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getRealisasiPelatihan" sheetId="1" r:id="rId5"/>
    <sheet state="visible" name="PelatihanData" sheetId="2" r:id="rId6"/>
    <sheet state="visible" name="Pelatihan2" sheetId="3" r:id="rId7"/>
    <sheet state="visible" name="RingkasanPelatihan" sheetId="4" r:id="rId8"/>
    <sheet state="visible" name="PelatihanUPTD" sheetId="5" r:id="rId9"/>
    <sheet state="visible" name="RingkasanPelatihanUPTD" sheetId="6" r:id="rId10"/>
    <sheet state="visible" name="Sertifikasi" sheetId="7" r:id="rId11"/>
    <sheet state="visible" name="RingkasanSertifikasi" sheetId="8" r:id="rId12"/>
    <sheet state="visible" name="Penempatan" sheetId="9" r:id="rId13"/>
    <sheet state="visible" name="RingkasanPenempatan" sheetId="10" r:id="rId14"/>
    <sheet state="visible" name="Produktivitas" sheetId="11" r:id="rId15"/>
  </sheets>
  <definedNames>
    <definedName hidden="1" localSheetId="6" name="_xlnm._FilterDatabase">Sertifikasi!$A$1:$S$821</definedName>
  </definedNames>
  <calcPr/>
</workbook>
</file>

<file path=xl/sharedStrings.xml><?xml version="1.0" encoding="utf-8"?>
<sst xmlns="http://schemas.openxmlformats.org/spreadsheetml/2006/main" count="113911" uniqueCount="292">
  <si>
    <t>JUMLAH PESERTA PELATIHAN</t>
  </si>
  <si>
    <t>Jumlah Peserta Berdasarkan Kejuruan</t>
  </si>
  <si>
    <t>Jumlah Peserta Berdasarkan Program</t>
  </si>
  <si>
    <t>data peserta per bulan (line chart)</t>
  </si>
  <si>
    <t>table klasifikasi usia (batang CHART)</t>
  </si>
  <si>
    <t>tabel berdaarkan kabupaten</t>
  </si>
  <si>
    <t>Peserta</t>
  </si>
  <si>
    <t>Total</t>
  </si>
  <si>
    <t>Kejuruan</t>
  </si>
  <si>
    <t>Jumlah Peserta</t>
  </si>
  <si>
    <t>Program</t>
  </si>
  <si>
    <t>Tanggal Mulai Pelatihan</t>
  </si>
  <si>
    <t>Tanggal Selesai Pelatihan</t>
  </si>
  <si>
    <t>Laki-laki</t>
  </si>
  <si>
    <t>Perempuan</t>
  </si>
  <si>
    <t>Bulan</t>
  </si>
  <si>
    <t>Jml Peserta</t>
  </si>
  <si>
    <t>Usia</t>
  </si>
  <si>
    <t>Nama Kabupaten</t>
  </si>
  <si>
    <t>Laki-Laki</t>
  </si>
  <si>
    <t>NO</t>
  </si>
  <si>
    <t>KEJURUAN</t>
  </si>
  <si>
    <t>PROGRAM PELATIHAN</t>
  </si>
  <si>
    <t>JENIS PELATIHAN</t>
  </si>
  <si>
    <t>No</t>
  </si>
  <si>
    <t>TGL MULAI PELATIHAN</t>
  </si>
  <si>
    <t>TGL SELESAI PELATIHAN</t>
  </si>
  <si>
    <t>BULAN MULAI PELATIHAN</t>
  </si>
  <si>
    <t>LULUS</t>
  </si>
  <si>
    <t>Jenis Pelatihan</t>
  </si>
  <si>
    <t>Jumlah Peserta Pelatihan</t>
  </si>
  <si>
    <t>TIDAK LULUS</t>
  </si>
  <si>
    <t>Target Pelatihan</t>
  </si>
  <si>
    <t>Gender</t>
  </si>
  <si>
    <t>PEREMPUAN</t>
  </si>
  <si>
    <t>Realisasi Pelatihan</t>
  </si>
  <si>
    <t>LAKI0LAKI</t>
  </si>
  <si>
    <t>Kabupaten/Kota</t>
  </si>
  <si>
    <t>Pendidikan</t>
  </si>
  <si>
    <t>Realisasi Anggaran</t>
  </si>
  <si>
    <t>Rentang Usia</t>
  </si>
  <si>
    <t>Target</t>
  </si>
  <si>
    <t>Persen</t>
  </si>
  <si>
    <t>Program Pelatihan</t>
  </si>
  <si>
    <t>Kegiatan</t>
  </si>
  <si>
    <t>Disabilitas</t>
  </si>
  <si>
    <t>Januari</t>
  </si>
  <si>
    <t>17-24 tahun</t>
  </si>
  <si>
    <t/>
  </si>
  <si>
    <t>Tata Kecantikan</t>
  </si>
  <si>
    <t>Pemasangan Sistim Integrasi Bangunan Cerdas 2</t>
  </si>
  <si>
    <t>Februari</t>
  </si>
  <si>
    <t>25-28 tahun</t>
  </si>
  <si>
    <t>Bekerja</t>
  </si>
  <si>
    <t>Las</t>
  </si>
  <si>
    <t>Pemasangan Sistim Integrasi Bangunan Cerdas 3</t>
  </si>
  <si>
    <t>Maret</t>
  </si>
  <si>
    <t>29-34 tahun</t>
  </si>
  <si>
    <t>Sarjana</t>
  </si>
  <si>
    <t>Teknologi Informasi Dan Komunikasi</t>
  </si>
  <si>
    <t>Pemasangan Sistim Integrasi Bangunan Cerdas 4</t>
  </si>
  <si>
    <t>April</t>
  </si>
  <si>
    <t>35-40 tahun</t>
  </si>
  <si>
    <t>Diploma</t>
  </si>
  <si>
    <t>Bisnis Dan Manajemen</t>
  </si>
  <si>
    <t>Pemasangan Sistim Integrasi Bangunan Cerdas 5</t>
  </si>
  <si>
    <t>Mei</t>
  </si>
  <si>
    <t>Di atas 41 tahun</t>
  </si>
  <si>
    <t>SMA/
SMK</t>
  </si>
  <si>
    <t>Listrik</t>
  </si>
  <si>
    <t>Smart Farming 1</t>
  </si>
  <si>
    <t>Juni</t>
  </si>
  <si>
    <t>SMP</t>
  </si>
  <si>
    <t>Teknologi Pengolahan Agroindustri</t>
  </si>
  <si>
    <t>Smart Farming 2</t>
  </si>
  <si>
    <t>Juli</t>
  </si>
  <si>
    <t>SD</t>
  </si>
  <si>
    <t>Fashion Technology</t>
  </si>
  <si>
    <t>Smart Farming 3</t>
  </si>
  <si>
    <t>Agustus</t>
  </si>
  <si>
    <t>Konstruksi</t>
  </si>
  <si>
    <t>Smart Farming 4</t>
  </si>
  <si>
    <t>September</t>
  </si>
  <si>
    <t>Processing</t>
  </si>
  <si>
    <t>Digital Office Administration Berbasis Google Workspace 1</t>
  </si>
  <si>
    <t>2026-04-01</t>
  </si>
  <si>
    <t>2026-05-12</t>
  </si>
  <si>
    <t>Oktober</t>
  </si>
  <si>
    <t>Pariwisata</t>
  </si>
  <si>
    <t>Digital Office Administration Berbasis Google Workspace 2</t>
  </si>
  <si>
    <t>2026-06-22</t>
  </si>
  <si>
    <t>2026-07-29</t>
  </si>
  <si>
    <t>November</t>
  </si>
  <si>
    <t>Jumlah Peserta Lulus dan Tidak Lulus</t>
  </si>
  <si>
    <t>Pertanian</t>
  </si>
  <si>
    <t>Digital Office Administration Berbasis Google Workspace 3</t>
  </si>
  <si>
    <t>Desember</t>
  </si>
  <si>
    <t>Status Kelulusan</t>
  </si>
  <si>
    <t>Total Peserta</t>
  </si>
  <si>
    <t>Elektronika</t>
  </si>
  <si>
    <t>Digital Office Administration Berbasis Google Workspace 4</t>
  </si>
  <si>
    <t>Lulus</t>
  </si>
  <si>
    <t>Digital Office Administration Berbasis Google Workspace 5</t>
  </si>
  <si>
    <t>Tudak Lulus</t>
  </si>
  <si>
    <t>Digital Office Administration Berbasis Google Workspace 6</t>
  </si>
  <si>
    <t>Optimalisasi Pemasaran Melalui Media Sosial</t>
  </si>
  <si>
    <t>Pengoperasian Tools Generative AI untuk Konten Digital dan Bisnis</t>
  </si>
  <si>
    <t>Jumlah Semua Peserta (DIHOME)</t>
  </si>
  <si>
    <t>Pengembangan Web dengan Node JS dan React</t>
  </si>
  <si>
    <t>Pembuatan Konten Visual untuk Sosial Media 1</t>
  </si>
  <si>
    <t>Pembuatan Konten Visual untuk Sosial Media 2</t>
  </si>
  <si>
    <t>Pemeliharaan Kendaraan Ringan Sistem Injeksi 1</t>
  </si>
  <si>
    <t>2026-08-07</t>
  </si>
  <si>
    <t>Servis Sepeda Motor Sistem Injeksi 1</t>
  </si>
  <si>
    <t>Operator Truck Excavator 1</t>
  </si>
  <si>
    <t>2026-05-25</t>
  </si>
  <si>
    <t>Operator Truck Excavator 2</t>
  </si>
  <si>
    <t>Teknisi Telepon Seluler Perangkat Keras 1</t>
  </si>
  <si>
    <t>2026-08-05</t>
  </si>
  <si>
    <t>Perakitan Komponen Fabrikasi 1</t>
  </si>
  <si>
    <t>2026-05-05</t>
  </si>
  <si>
    <t>Perakitan Komponen Fabrikasi 2</t>
  </si>
  <si>
    <t>2026-07-22</t>
  </si>
  <si>
    <t xml:space="preserve">Perakitan Komponen Fabrikasi 3 </t>
  </si>
  <si>
    <t>Juru Gambar Pekerjaan Jalan dan Jembatan 1</t>
  </si>
  <si>
    <t>Juru Ukur (Surveyor) Kualifikasi 3 1</t>
  </si>
  <si>
    <t>Juru Ukur (Surveyor) Kualifikasi 3 2</t>
  </si>
  <si>
    <t>Juru Ukur (Surveyor) Kualifikasi 3 3</t>
  </si>
  <si>
    <t>Konstruksi (Estimator Biaya Jalan)</t>
  </si>
  <si>
    <t>Merias Wajah 1</t>
  </si>
  <si>
    <t>2026-04-29</t>
  </si>
  <si>
    <t>Merias Wajah 2</t>
  </si>
  <si>
    <t>Merias Wajah 3</t>
  </si>
  <si>
    <t>2026-07-17</t>
  </si>
  <si>
    <t>Merias Wajah 4</t>
  </si>
  <si>
    <t>Asisten Pembuat Pakaian 1</t>
  </si>
  <si>
    <t>Asisten Pembuat Pakaian 2</t>
  </si>
  <si>
    <t>Asisten Pembuat Pakaian 3</t>
  </si>
  <si>
    <t>Menjahit Pakaian Wanita Dewasa 1</t>
  </si>
  <si>
    <t>Menjahit Pakaian Wanita Dewasa 2</t>
  </si>
  <si>
    <t>Menjahit Pakaian Wanita Dewasa 3</t>
  </si>
  <si>
    <t>Peracikan Minuman Kopi 1</t>
  </si>
  <si>
    <t>Barista 2</t>
  </si>
  <si>
    <t>Menyiapkan Produk Roti/Bakery 1</t>
  </si>
  <si>
    <t>2026-07-15</t>
  </si>
  <si>
    <t>Menyiapkan Produk Roti/Bakery 2</t>
  </si>
  <si>
    <t>Pembuatan Roti dan Kue 1</t>
  </si>
  <si>
    <t>Pembuatan Roti dan Kue 2</t>
  </si>
  <si>
    <t>Junior Mobile Programmer 1</t>
  </si>
  <si>
    <t>Junior Mobile Programmer 2</t>
  </si>
  <si>
    <t>Computer Operator Assistant 1</t>
  </si>
  <si>
    <t>2026-05-21</t>
  </si>
  <si>
    <t>Computer Operator Assistant 2</t>
  </si>
  <si>
    <t>Computer Operator Assistant 3</t>
  </si>
  <si>
    <t>Computer Operator Assistant 4</t>
  </si>
  <si>
    <t>Menjadi Perancang UI/UX yang Kompeten di Industri</t>
  </si>
  <si>
    <t>2026-06-26</t>
  </si>
  <si>
    <t>Menjahit Blouse Wanita</t>
  </si>
  <si>
    <t>2026-06-29</t>
  </si>
  <si>
    <t>2026-07-09</t>
  </si>
  <si>
    <t>Daily Makeup 1</t>
  </si>
  <si>
    <t>Pembuatan Cocopeat 1</t>
  </si>
  <si>
    <t>2026-07-14</t>
  </si>
  <si>
    <t>0206-07-17</t>
  </si>
  <si>
    <t>Pembuatan Cocopeat 2</t>
  </si>
  <si>
    <t>2026-07-18</t>
  </si>
  <si>
    <t>Pengolahan Roti dan Kue</t>
  </si>
  <si>
    <t>Daily Makeup 2</t>
  </si>
  <si>
    <t>Daily Makeup 3</t>
  </si>
  <si>
    <t>Daily Makeup 4</t>
  </si>
  <si>
    <t>2026-07-23</t>
  </si>
  <si>
    <t>2026-07-27</t>
  </si>
  <si>
    <t>Produksi Roti dan Kue</t>
  </si>
  <si>
    <t>Teknik Dasar dan Lanjutan Menjahit Busana Wanita Deawasa</t>
  </si>
  <si>
    <t>2026-07-13</t>
  </si>
  <si>
    <t>2026-07-16</t>
  </si>
  <si>
    <t>2026-07-21</t>
  </si>
  <si>
    <t>Daily Makeup 5</t>
  </si>
  <si>
    <t>Daily Makeup</t>
  </si>
  <si>
    <t>Pembuatan Berbagai Jenis Roti Manis</t>
  </si>
  <si>
    <t>2026-07-20</t>
  </si>
  <si>
    <t xml:space="preserve">Barista  </t>
  </si>
  <si>
    <t>Barista</t>
  </si>
  <si>
    <t>Houseskeeping</t>
  </si>
  <si>
    <t>2026-07-24</t>
  </si>
  <si>
    <t>2026-07-28</t>
  </si>
  <si>
    <t>2026-08-01</t>
  </si>
  <si>
    <t>Front Office</t>
  </si>
  <si>
    <t>Jumlah Peserta Berdasarkan UPTD</t>
  </si>
  <si>
    <t>Jumlah Peserta Berdasarkan Pendidikan</t>
  </si>
  <si>
    <t>UPTD</t>
  </si>
  <si>
    <t>BLK Kolaka</t>
  </si>
  <si>
    <t>BLK Kolaka Utara</t>
  </si>
  <si>
    <t>BLK Konawe Selatan</t>
  </si>
  <si>
    <t>BLK Konawe Utara</t>
  </si>
  <si>
    <t>BLK Buton</t>
  </si>
  <si>
    <t>Skema</t>
  </si>
  <si>
    <t>TUK</t>
  </si>
  <si>
    <t>Tahap</t>
  </si>
  <si>
    <t>Tanggal Pendaftaran</t>
  </si>
  <si>
    <t>Nama Lengkap</t>
  </si>
  <si>
    <t>Nomor KTP</t>
  </si>
  <si>
    <t>Tempat Lahir</t>
  </si>
  <si>
    <t>Tanggal Lahir
Bulan/Tgl/Tahun</t>
  </si>
  <si>
    <t>Jenis Kelamin</t>
  </si>
  <si>
    <t>Alamat Rumah</t>
  </si>
  <si>
    <t>Nomor Telepon</t>
  </si>
  <si>
    <t>Alamat Email</t>
  </si>
  <si>
    <t>Kualifikasi pendidikan</t>
  </si>
  <si>
    <t>Kebangsaan</t>
  </si>
  <si>
    <t>Asesor</t>
  </si>
  <si>
    <t>Form APL 01 &amp; 02</t>
  </si>
  <si>
    <t>Hasil UJK</t>
  </si>
  <si>
    <t>Cetak Sertifikat</t>
  </si>
  <si>
    <t>Tidak Lulus</t>
  </si>
  <si>
    <t>RINCIAN</t>
  </si>
  <si>
    <t>Lulus UJK</t>
  </si>
  <si>
    <t>Tidak Lulus UJK</t>
  </si>
  <si>
    <t>Desainer Grafis Muda</t>
  </si>
  <si>
    <t>Menjahit Pakaian Wanita Dewasa</t>
  </si>
  <si>
    <t>KERJASAMA</t>
  </si>
  <si>
    <t>SMK Negeri 2 Kendari</t>
  </si>
  <si>
    <t>Pembuatan Roti dan Kue</t>
  </si>
  <si>
    <t>Sertifikat Sudah Dicetak</t>
  </si>
  <si>
    <t>SMK Negeri 6 Kendari</t>
  </si>
  <si>
    <t xml:space="preserve">Pemeliharaan Kendaraan Ringan Sistem Injeksi </t>
  </si>
  <si>
    <t>SMK Negeri 1 Kendari</t>
  </si>
  <si>
    <t>Merakit Komponen Fabrikasi</t>
  </si>
  <si>
    <t>Belum Lulus UJK</t>
  </si>
  <si>
    <t>SMK Negeri 4 Kendari</t>
  </si>
  <si>
    <t>Pemasangan Pembangkit Listrik Tenaga Surya Off-Grid</t>
  </si>
  <si>
    <t>Total Peserta Terdaftar</t>
  </si>
  <si>
    <t>SMK Negeri 1 Muna</t>
  </si>
  <si>
    <t>Pemasangan Instalasi Listrik Bangunan Sederhana</t>
  </si>
  <si>
    <t>SMK Negeri 2 Konawe</t>
  </si>
  <si>
    <t>Pemrograman Web</t>
  </si>
  <si>
    <t>SMKS Kelautan dan Perikanan Raha</t>
  </si>
  <si>
    <t>Pengelola Administrasi Perkantoran</t>
  </si>
  <si>
    <t>SMK Negeri 2 Kolaka</t>
  </si>
  <si>
    <t>Pemeliharaan Kendaraan Ringan Sistem Injeksi</t>
  </si>
  <si>
    <t>SMK Negeri 2 Bombana</t>
  </si>
  <si>
    <t>Pengelolaan Administrasi Kantor Digital Berbasis Google Workspace</t>
  </si>
  <si>
    <t>SMK Negeri 1 Bombana</t>
  </si>
  <si>
    <t xml:space="preserve">Computer Operator Assistant </t>
  </si>
  <si>
    <t>SMK Negeri 1 Kolaka</t>
  </si>
  <si>
    <t>Pengelolaan Administrasi Perkantoraan</t>
  </si>
  <si>
    <t>SMK Negeri 3 Kendari</t>
  </si>
  <si>
    <t>Analis Data (Data Analyst)</t>
  </si>
  <si>
    <t>SMK Negeri 5 Kendari</t>
  </si>
  <si>
    <t>Petugas Keselamatan dan Kesehatan Kerja</t>
  </si>
  <si>
    <t>BLK/BLKK</t>
  </si>
  <si>
    <t>Asisten Pengembangan Web (Assistant Web Developer)</t>
  </si>
  <si>
    <t>BPVP KENDARI</t>
  </si>
  <si>
    <t>BPVP Kendari</t>
  </si>
  <si>
    <t>Supervisor Sumber Daya Manusia</t>
  </si>
  <si>
    <t>Digital Marketing</t>
  </si>
  <si>
    <t>Pelayanan Pelanggan</t>
  </si>
  <si>
    <t>Penyusunan Laporan Keuangan Untuk Pemula</t>
  </si>
  <si>
    <t>Petugas Keselematan dan Kesehatan Kerja</t>
  </si>
  <si>
    <t>Perakitan Komponen Fabrikasi</t>
  </si>
  <si>
    <t>Pembuatan Desain Grafis</t>
  </si>
  <si>
    <t>Operator Komputer (Computer Operator</t>
  </si>
  <si>
    <t>Asisten Pembuat Pakaian</t>
  </si>
  <si>
    <t xml:space="preserve">Peracikan Minuman Kopi </t>
  </si>
  <si>
    <t>Produktivitas Jenjang 5</t>
  </si>
  <si>
    <t>Pembuatan Konten Visual Untuk Media Sosial</t>
  </si>
  <si>
    <t>Pengoperasian Tools Generative AI Untuk Konten Digital dan Bisnis</t>
  </si>
  <si>
    <t>Service Sepeda Motor Injeksi</t>
  </si>
  <si>
    <t>Total Penempatan</t>
  </si>
  <si>
    <t>Ditempatkan / Bekerja</t>
  </si>
  <si>
    <t>Tidak Ditempatkan</t>
  </si>
  <si>
    <t>Berwirausaha</t>
  </si>
  <si>
    <t>Penempatan Dalam Kota Kendari</t>
  </si>
  <si>
    <t>Luar Kota Kendari / Sulawesi Tenggara</t>
  </si>
  <si>
    <t>Luar Sulawesi Tenggara</t>
  </si>
  <si>
    <t>Nama Perusahaan</t>
  </si>
  <si>
    <t>Sektor</t>
  </si>
  <si>
    <t>Jumlah Alumni Ditempatkan</t>
  </si>
  <si>
    <t>Status Penempatan Alumni</t>
  </si>
  <si>
    <t>Penempatan Kerja Berdasarkan Kejuruan</t>
  </si>
  <si>
    <t>Total Alumni Ditempatkan Berdasarkan Lokasi</t>
  </si>
  <si>
    <t>Status</t>
  </si>
  <si>
    <t>Jumlah</t>
  </si>
  <si>
    <t>Persentase</t>
  </si>
  <si>
    <t>Jumlah Peserta yang Ditempatkan</t>
  </si>
  <si>
    <t>Lokasi</t>
  </si>
  <si>
    <t>Jumlah Alumni</t>
  </si>
  <si>
    <t>Dalam Kota Kendari</t>
  </si>
  <si>
    <t>Berwirausaha Mandiri</t>
  </si>
  <si>
    <t>Sulawesi Tenggara (Selain Kota Kendari)</t>
  </si>
  <si>
    <t>Total Alumni Ditempatkan</t>
  </si>
  <si>
    <t>Alamat Perusahaan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</si>
</sst>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&quot; &quot;mmmm&quot; &quot;yyyy"/>
    <numFmt numFmtId="165" formatCode="[$-421]dd\ mmmm\ yyyy"/>
    <numFmt numFmtId="166" formatCode="d&quot; &quot;mmmm&quot; &quot;yyyy"/>
    <numFmt numFmtId="167" formatCode="[$Rp-421]#,##0"/>
    <numFmt numFmtId="168" formatCode="[$Rp]#,##0"/>
    <numFmt numFmtId="169" formatCode="[$Rp]#,##0.00"/>
  </numFmts>
  <fonts count="12">
    <font>
      <sz val="10.0"/>
      <color rgb="FF000000"/>
      <name val="Arial"/>
      <scheme val="minor"/>
    </font>
    <font>
      <sz val="11.0"/>
      <color rgb="FF000000"/>
      <name val="Arial"/>
    </font>
    <font/>
    <font>
      <color theme="1"/>
      <name val="Arial"/>
      <scheme val="minor"/>
    </font>
    <font>
      <color rgb="FF1F2937"/>
      <name val="Inter"/>
    </font>
    <font>
      <b/>
      <sz val="11.0"/>
      <color theme="1"/>
      <name val="Arial"/>
    </font>
    <font>
      <b/>
      <color theme="1"/>
      <name val="Arial"/>
      <scheme val="minor"/>
    </font>
    <font>
      <sz val="11.0"/>
      <color theme="1"/>
      <name val="Arial"/>
    </font>
    <font>
      <b/>
      <color theme="1"/>
      <name val="Roboto"/>
    </font>
    <font>
      <color rgb="FFFFFFFF"/>
      <name val="Roboto"/>
    </font>
    <font>
      <color theme="1"/>
      <name val="Roboto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535FC1"/>
        <bgColor rgb="FF535FC1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top style="thin">
        <color rgb="FF000000"/>
      </top>
      <bottom style="thin">
        <color rgb="FF000000"/>
      </bottom>
    </border>
    <border>
      <left style="thin">
        <color rgb="FF3E4791"/>
      </left>
      <right style="thin">
        <color rgb="FF535FC1"/>
      </right>
      <top style="thin">
        <color rgb="FF3E4791"/>
      </top>
      <bottom style="thin">
        <color rgb="FF3E4791"/>
      </bottom>
    </border>
    <border>
      <left style="thin">
        <color rgb="FF535FC1"/>
      </left>
      <right style="thin">
        <color rgb="FF535FC1"/>
      </right>
      <top style="thin">
        <color rgb="FF3E4791"/>
      </top>
      <bottom style="thin">
        <color rgb="FF3E4791"/>
      </bottom>
    </border>
    <border>
      <left style="thin">
        <color rgb="FF535FC1"/>
      </left>
      <right style="thin">
        <color rgb="FF3E4791"/>
      </right>
      <top style="thin">
        <color rgb="FF3E4791"/>
      </top>
      <bottom style="thin">
        <color rgb="FF3E4791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wrapText="1"/>
    </xf>
    <xf borderId="2" fillId="0" fontId="2" numFmtId="0" xfId="0" applyBorder="1" applyFont="1"/>
    <xf borderId="1" fillId="0" fontId="3" numFmtId="0" xfId="0" applyAlignment="1" applyBorder="1" applyFont="1">
      <alignment horizontal="center"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3" fillId="0" fontId="5" numFmtId="0" xfId="0" applyAlignment="1" applyBorder="1" applyFont="1">
      <alignment horizontal="center" readingOrder="0"/>
    </xf>
    <xf borderId="3" fillId="0" fontId="6" numFmtId="0" xfId="0" applyAlignment="1" applyBorder="1" applyFont="1">
      <alignment horizontal="center" readingOrder="0"/>
    </xf>
    <xf borderId="3" fillId="0" fontId="6" numFmtId="49" xfId="0" applyAlignment="1" applyBorder="1" applyFont="1" applyNumberFormat="1">
      <alignment horizontal="center" readingOrder="0"/>
    </xf>
    <xf borderId="3" fillId="0" fontId="7" numFmtId="0" xfId="0" applyAlignment="1" applyBorder="1" applyFont="1">
      <alignment horizontal="left" readingOrder="0" shrinkToFit="0" wrapText="1"/>
    </xf>
    <xf borderId="3" fillId="0" fontId="3" numFmtId="0" xfId="0" applyBorder="1" applyFont="1"/>
    <xf borderId="0" fillId="0" fontId="8" numFmtId="0" xfId="0" applyAlignment="1" applyFont="1">
      <alignment horizontal="center" readingOrder="0" shrinkToFit="0" vertical="center" wrapText="0"/>
    </xf>
    <xf borderId="0" fillId="0" fontId="8" numFmtId="49" xfId="0" applyAlignment="1" applyFont="1" applyNumberFormat="1">
      <alignment horizontal="center" readingOrder="0" shrinkToFit="0" vertical="center" wrapText="0"/>
    </xf>
    <xf borderId="0" fillId="0" fontId="8" numFmtId="164" xfId="0" applyAlignment="1" applyFont="1" applyNumberFormat="1">
      <alignment horizontal="center" readingOrder="0" shrinkToFit="0" vertical="center" wrapText="0"/>
    </xf>
    <xf borderId="4" fillId="3" fontId="9" numFmtId="0" xfId="0" applyAlignment="1" applyBorder="1" applyFill="1" applyFont="1">
      <alignment horizontal="left" readingOrder="0" shrinkToFit="0" vertical="center" wrapText="1"/>
    </xf>
    <xf borderId="0" fillId="0" fontId="10" numFmtId="0" xfId="0" applyAlignment="1" applyFont="1">
      <alignment horizontal="left" readingOrder="0" shrinkToFit="0" vertical="center" wrapText="1"/>
    </xf>
    <xf borderId="5" fillId="3" fontId="9" numFmtId="0" xfId="0" applyAlignment="1" applyBorder="1" applyFill="1" applyFont="1">
      <alignment horizontal="left" readingOrder="0" shrinkToFit="0" vertical="center" wrapText="1"/>
    </xf>
    <xf borderId="0" fillId="0" fontId="11" numFmtId="0" xfId="0" applyAlignment="1" applyFont="1">
      <alignment vertical="bottom"/>
    </xf>
    <xf borderId="0" fillId="0" fontId="8" numFmtId="1" xfId="0" applyAlignment="1" applyFont="1" applyNumberFormat="1">
      <alignment horizontal="center" readingOrder="0" shrinkToFit="0" vertical="center" wrapText="1"/>
    </xf>
    <xf borderId="0" fillId="0" fontId="8" numFmtId="1" xfId="0" applyAlignment="1" applyFont="1" applyNumberFormat="1">
      <alignment horizontal="center" readingOrder="0" shrinkToFit="0" vertical="center" wrapText="0"/>
    </xf>
    <xf borderId="6" fillId="3" fontId="9" numFmtId="0" xfId="0" applyAlignment="1" applyBorder="1" applyFill="1" applyFont="1">
      <alignment horizontal="left" readingOrder="0" shrinkToFit="0" vertical="center" wrapText="1"/>
    </xf>
    <xf borderId="0" fillId="0" fontId="8" numFmtId="1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0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165" xfId="0" applyAlignment="1" applyFont="1" applyNumberFormat="1">
      <alignment horizontal="center" shrinkToFit="0" vertical="center" wrapText="0"/>
    </xf>
    <xf borderId="0" fillId="0" fontId="3" numFmtId="166" xfId="0" applyAlignment="1" applyFont="1" applyNumberFormat="1">
      <alignment horizontal="center" shrinkToFit="0" vertical="center" wrapText="0"/>
    </xf>
    <xf borderId="0" fillId="0" fontId="3" numFmtId="165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3" xfId="0" applyAlignment="1" applyFont="1" applyNumberFormat="1">
      <alignment shrinkToFit="0" vertical="center" wrapText="0"/>
    </xf>
    <xf borderId="0" fillId="0" fontId="3" numFmtId="167" xfId="0" applyAlignment="1" applyFont="1" applyNumberFormat="1">
      <alignment shrinkToFit="0" vertical="center" wrapText="0"/>
    </xf>
    <xf borderId="0" fillId="0" fontId="3" numFmtId="10" xfId="0" applyAlignment="1" applyFont="1" applyNumberFormat="1">
      <alignment shrinkToFit="0" vertical="center" wrapText="0"/>
    </xf>
    <xf borderId="3" fillId="0" fontId="3" numFmtId="0" xfId="0" applyAlignment="1" applyBorder="1" applyFont="1">
      <alignment horizontal="center"/>
    </xf>
    <xf borderId="0" fillId="0" fontId="3" numFmtId="168" xfId="0" applyAlignment="1" applyFont="1" applyNumberFormat="1">
      <alignment shrinkToFit="0" vertical="center" wrapText="0"/>
    </xf>
    <xf borderId="0" fillId="0" fontId="3" numFmtId="169" xfId="0" applyAlignment="1" applyFont="1" applyNumberFormat="1">
      <alignment shrinkToFit="0" vertical="center" wrapText="0"/>
    </xf>
    <xf borderId="0" fillId="0" fontId="3" numFmtId="0" xfId="0" applyFont="1"/>
    <xf borderId="0" fillId="0" fontId="3" numFmtId="0" xfId="0" applyAlignment="1" applyFont="1">
      <alignment readingOrder="0" shrinkToFit="0" vertical="center" wrapText="0"/>
    </xf>
    <xf borderId="0" fillId="0" fontId="3" numFmtId="164" xfId="0" applyAlignment="1" applyFont="1" applyNumberFormat="1">
      <alignment horizontal="center" shrinkToFit="0" vertical="center" wrapText="0"/>
    </xf>
    <xf borderId="0" fillId="0" fontId="3" numFmtId="0" xfId="0" applyAlignment="1" applyFont="1">
      <alignment horizontal="center"/>
    </xf>
    <xf borderId="0" fillId="0" fontId="3" numFmtId="169" xfId="0" applyFont="1" applyNumberFormat="1"/>
    <xf borderId="3" fillId="0" fontId="3" numFmtId="0" xfId="0" applyAlignment="1" applyBorder="1" applyFont="1">
      <alignment readingOrder="0"/>
    </xf>
    <xf borderId="3" fillId="0" fontId="3" numFmtId="49" xfId="0" applyBorder="1" applyFont="1" applyNumberFormat="1"/>
    <xf borderId="3" fillId="4" fontId="1" numFmtId="0" xfId="0" applyAlignment="1" applyBorder="1" applyFill="1" applyFont="1">
      <alignment horizontal="left" readingOrder="0"/>
    </xf>
    <xf borderId="3" fillId="4" fontId="1" numFmtId="0" xfId="0" applyAlignment="1" applyBorder="1" applyFill="1" applyFont="1">
      <alignment horizontal="left" readingOrder="0" shrinkToFit="0" wrapText="1"/>
    </xf>
    <xf borderId="3" fillId="4" fontId="1" numFmtId="0" xfId="0" applyAlignment="1" applyBorder="1" applyFill="1" applyFont="1">
      <alignment horizontal="left" shrinkToFit="0" wrapText="1"/>
    </xf>
    <xf borderId="3" fillId="0" fontId="6" numFmtId="0" xfId="0" applyAlignment="1" applyBorder="1" applyFont="1">
      <alignment readingOrder="0"/>
    </xf>
    <xf borderId="3" fillId="0" fontId="6" numFmtId="0" xfId="0" applyBorder="1" applyFont="1"/>
    <xf borderId="3" fillId="0" fontId="3" numFmtId="49" xfId="0" applyAlignment="1" applyBorder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49" xfId="0" applyFont="1" applyNumberFormat="1"/>
    <xf borderId="1" fillId="0" fontId="3" numFmtId="0" xfId="0" applyAlignment="1" applyBorder="1" applyFont="1">
      <alignment readingOrder="0"/>
    </xf>
    <xf borderId="7" fillId="0" fontId="2" numFmtId="0" xfId="0" applyBorder="1" applyFont="1"/>
    <xf borderId="0" fillId="0" fontId="6" numFmtId="0" xfId="0" applyAlignment="1" applyFont="1">
      <alignment horizontal="center" readingOrder="0"/>
    </xf>
    <xf borderId="0" fillId="0" fontId="3" numFmtId="164" xfId="0" applyAlignment="1" applyFont="1" applyNumberFormat="1">
      <alignment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164" xfId="0" applyAlignment="1" applyFont="1" applyNumberFormat="1">
      <alignment shrinkToFit="0" vertical="center" wrapText="0"/>
    </xf>
    <xf borderId="8" fillId="5" fontId="9" numFmtId="0" xfId="0" applyAlignment="1" applyBorder="1" applyFill="1" applyFont="1">
      <alignment horizontal="left" readingOrder="0" shrinkToFit="0" vertical="center" wrapText="0"/>
    </xf>
    <xf borderId="9" fillId="5" fontId="9" numFmtId="49" xfId="0" applyAlignment="1" applyBorder="1" applyFill="1" applyFont="1" applyNumberFormat="1">
      <alignment horizontal="left" readingOrder="0" shrinkToFit="0" vertical="center" wrapText="0"/>
    </xf>
    <xf borderId="9" fillId="5" fontId="9" numFmtId="0" xfId="0" applyAlignment="1" applyBorder="1" applyFill="1" applyFont="1">
      <alignment horizontal="left" readingOrder="0" shrinkToFit="0" vertical="center" wrapText="0"/>
    </xf>
    <xf borderId="9" fillId="5" fontId="9" numFmtId="0" xfId="0" applyAlignment="1" applyBorder="1" applyFill="1" applyFont="1">
      <alignment horizontal="left" readingOrder="0" shrinkToFit="0" vertical="center" wrapText="1"/>
    </xf>
    <xf borderId="10" fillId="5" fontId="9" numFmtId="0" xfId="0" applyAlignment="1" applyBorder="1" applyFill="1" applyFont="1">
      <alignment horizontal="center" readingOrder="0" shrinkToFit="0" vertical="center" wrapText="0"/>
    </xf>
    <xf borderId="0" fillId="5" fontId="9" numFmtId="0" xfId="0" applyAlignment="1" applyFill="1" applyFont="1">
      <alignment horizontal="center" readingOrder="0" shrinkToFit="0" vertical="center" wrapText="0"/>
    </xf>
    <xf borderId="0" fillId="0" fontId="3" numFmtId="164" xfId="0" applyFont="1" applyNumberFormat="1"/>
    <xf borderId="0" fillId="0" fontId="3" numFmtId="0" xfId="0" applyAlignment="1" applyFont="1">
      <alignment horizontal="center" readingOrder="0"/>
    </xf>
    <xf borderId="3" fillId="0" fontId="3" numFmtId="0" xfId="0" applyAlignment="1" applyBorder="1" applyFont="1">
      <alignment readingOrder="0" shrinkToFit="0" wrapText="1"/>
    </xf>
    <xf borderId="3" fillId="0" fontId="3" numFmtId="0" xfId="0" applyBorder="1" applyFont="1"/>
    <xf borderId="0" fillId="0" fontId="3" numFmtId="0" xfId="0" applyFont="1"/>
    <xf borderId="3" fillId="0" fontId="6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1" fillId="0" fontId="3" numFmtId="0" xfId="0" applyBorder="1" applyFont="1"/>
    <xf borderId="1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4" fillId="3" fontId="9" numFmtId="0" xfId="0" applyAlignment="1" applyBorder="1" applyFill="1" applyFont="1">
      <alignment horizontal="center" readingOrder="0" shrinkToFit="0" vertical="center" wrapText="0"/>
    </xf>
    <xf borderId="5" fillId="3" fontId="9" numFmtId="0" xfId="0" applyAlignment="1" applyBorder="1" applyFill="1" applyFont="1">
      <alignment horizontal="center" readingOrder="0" shrinkToFit="0" vertical="center" wrapText="0"/>
    </xf>
    <xf borderId="5" fillId="3" fontId="9" numFmtId="49" xfId="0" applyAlignment="1" applyBorder="1" applyFill="1" applyFont="1" applyNumberFormat="1">
      <alignment horizontal="center" readingOrder="0" shrinkToFit="0" vertical="center" wrapText="0"/>
    </xf>
    <xf borderId="6" fillId="3" fontId="9" numFmtId="0" xfId="0" applyAlignment="1" applyBorder="1" applyFill="1" applyFont="1">
      <alignment horizontal="center" readingOrder="0" shrinkToFit="0" vertical="center" wrapText="0"/>
    </xf>
    <xf borderId="0" fillId="0" fontId="9" numFmtId="0" xfId="0" applyAlignment="1" applyFont="1">
      <alignment horizontal="center" readingOrder="0" shrinkToFit="0" wrapText="0"/>
    </xf>
    <xf borderId="0" fillId="0" fontId="10" numFmtId="0" xfId="0" applyAlignment="1" applyFont="1">
      <alignment horizontal="center" readingOrder="0" shrinkToFit="0" vertical="center" wrapText="0"/>
    </xf>
    <xf borderId="0" fillId="0" fontId="10" numFmtId="49" xfId="0" applyAlignment="1" applyFont="1" applyNumberFormat="1">
      <alignment horizontal="center" readingOrder="0" shrinkToFit="0" vertical="center" wrapText="0"/>
    </xf>
    <xf borderId="0" fillId="0" fontId="11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shrinkToFit="0" vertical="center" wrapText="0"/>
    </xf>
    <xf borderId="0" fillId="0" fontId="3" numFmtId="0" xfId="0" applyFont="1"/>
    <xf borderId="0" fillId="0" fontId="3" numFmtId="49" xfId="0" applyAlignment="1" applyFont="1" applyNumberFormat="1">
      <alignment shrinkToFit="0" vertical="center" wrapText="0"/>
    </xf>
    <xf borderId="0" fillId="0" fontId="3" numFmtId="1" xfId="0" applyAlignment="1" applyFont="1" applyNumberFormat="1">
      <alignment shrinkToFit="0" vertical="center" wrapText="0"/>
    </xf>
    <xf borderId="0" fillId="0" fontId="6" numFmtId="0" xfId="0" applyAlignment="1" applyFont="1">
      <alignment readingOrder="0"/>
    </xf>
    <xf borderId="0" fillId="0" fontId="3" numFmtId="10" xfId="0" applyFont="1" applyNumberFormat="1"/>
    <xf borderId="0" fillId="0" fontId="3" numFmtId="3" xfId="0" applyAlignment="1" applyFont="1" applyNumberFormat="1">
      <alignment horizontal="center"/>
    </xf>
    <xf borderId="0" fillId="0" fontId="3" numFmtId="9" xfId="0" applyFont="1" applyNumberFormat="1"/>
    <xf borderId="3" fillId="0" fontId="6" numFmtId="10" xfId="0" applyAlignment="1" applyBorder="1" applyFont="1" applyNumberFormat="1">
      <alignment horizontal="center" readingOrder="0"/>
    </xf>
    <xf borderId="3" fillId="0" fontId="6" numFmtId="0" xfId="0" applyAlignment="1" applyBorder="1" applyFont="1">
      <alignment horizontal="center" readingOrder="0" shrinkToFit="0" wrapText="0"/>
    </xf>
    <xf borderId="3" fillId="0" fontId="6" numFmtId="3" xfId="0" applyAlignment="1" applyBorder="1" applyFont="1" applyNumberFormat="1">
      <alignment horizontal="center" readingOrder="0"/>
    </xf>
    <xf borderId="2" fillId="0" fontId="6" numFmtId="0" xfId="0" applyAlignment="1" applyBorder="1" applyFont="1">
      <alignment horizontal="center" readingOrder="0"/>
    </xf>
    <xf borderId="3" fillId="0" fontId="6" numFmtId="9" xfId="0" applyAlignment="1" applyBorder="1" applyFont="1" applyNumberFormat="1">
      <alignment horizontal="center" readingOrder="0"/>
    </xf>
    <xf borderId="3" fillId="4" fontId="0" numFmtId="0" xfId="0" applyAlignment="1" applyBorder="1" applyFill="1" applyFont="1">
      <alignment horizontal="center" readingOrder="0"/>
    </xf>
    <xf borderId="3" fillId="0" fontId="3" numFmtId="10" xfId="0" applyBorder="1" applyFont="1" applyNumberFormat="1"/>
    <xf borderId="3" fillId="0" fontId="3" numFmtId="0" xfId="0" applyAlignment="1" applyBorder="1" applyFont="1">
      <alignment horizontal="left"/>
    </xf>
    <xf borderId="3" fillId="0" fontId="3" numFmtId="3" xfId="0" applyAlignment="1" applyBorder="1" applyFont="1" applyNumberFormat="1">
      <alignment horizontal="center"/>
    </xf>
    <xf borderId="2" fillId="0" fontId="3" numFmtId="0" xfId="0" applyAlignment="1" applyBorder="1" applyFont="1">
      <alignment readingOrder="0"/>
    </xf>
    <xf borderId="3" fillId="0" fontId="3" numFmtId="9" xfId="0" applyBorder="1" applyFont="1" applyNumberFormat="1"/>
    <xf borderId="0" fillId="0" fontId="10" numFmtId="0" xfId="0" applyAlignment="1" applyFont="1">
      <alignment readingOrder="0" shrinkToFit="0" vertical="center" wrapText="1"/>
    </xf>
    <xf borderId="0" fillId="0" fontId="10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/>
    </xf>
    <xf borderId="0" fillId="0" fontId="3" numFmtId="1" xfId="0" applyFont="1" applyNumberFormat="1"/>
    <xf borderId="0" fillId="0" fontId="3" numFmtId="1" xfId="0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7">
    <tableStyle count="4" pivot="0" name="Pelatihan2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TargetRealisasiPelatihan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PelatihanData-style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Pelatihan2-style 2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TargetRealisasiPelatihan-style 2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Pelatihan2-style 3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TargetRealisasiPelatihan-style 3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Pelatihan2-style 4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TargetRealisasiPelatihan-style 4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Pelatihan2-style 5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Pelatihan2-style 6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Sertifikasi-style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2" pivot="0" name="Sertifikasi-style 2">
      <tableStyleElement dxfId="4" type="firstRowStripe"/>
      <tableStyleElement dxfId="3" type="secondRowStripe"/>
    </tableStyle>
    <tableStyle count="4" pivot="0" name="Penempatan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Penempatan-style 2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Produktivitas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Produktivitas-style 2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5" displayName="Table5" name="Table5" id="2">
  <tableColumns count="4">
    <tableColumn name="No" id="1"/>
    <tableColumn name="Jenis Pelatihan" id="2"/>
    <tableColumn name="Target Pelatihan" id="3"/>
    <tableColumn name="Realisasi Pelatihan" id="4"/>
  </tableColumns>
  <tableStyleInfo name="TargetRealisasiPelatihan-style" showColumnStripes="0" showFirstColumn="1" showLastColumn="1" showRowStripes="1"/>
</table>
</file>

<file path=xl/tables/table2.xml><?xml version="1.0" encoding="utf-8"?>
<table xmlns="http://schemas.openxmlformats.org/spreadsheetml/2006/main" ref="G1:I20" displayName="Table6" name="Table6" id="5">
  <tableColumns count="3">
    <tableColumn name="Realisasi Anggaran" id="1"/>
    <tableColumn name="Target" id="2"/>
    <tableColumn name="Persen" id="3"/>
  </tableColumns>
  <tableStyleInfo name="TargetRealisasiPelatihan-style 2" showColumnStripes="0" showFirstColumn="1" showLastColumn="1" showRowStripes="1"/>
</table>
</file>

<file path=xl/tables/table3.xml><?xml version="1.0" encoding="utf-8"?>
<table xmlns="http://schemas.openxmlformats.org/spreadsheetml/2006/main" ref="L1:O5" displayName="Table7" name="Table7" id="7">
  <tableColumns count="4">
    <tableColumn name="No" id="1"/>
    <tableColumn name="Program Pelatihan" id="2"/>
    <tableColumn name="Target Pelatihan" id="3"/>
    <tableColumn name="Realisasi Pelatihan" id="4"/>
  </tableColumns>
  <tableStyleInfo name="TargetRealisasiPelatihan-style 3" showColumnStripes="0" showFirstColumn="1" showLastColumn="1" showRowStripes="1"/>
</table>
</file>

<file path=xl/tables/table4.xml><?xml version="1.0" encoding="utf-8"?>
<table xmlns="http://schemas.openxmlformats.org/spreadsheetml/2006/main" ref="Q1:S5" displayName="Table8" name="Table8" id="9">
  <tableColumns count="3">
    <tableColumn name="Kegiatan" id="1"/>
    <tableColumn name="Target Pelatihan" id="2"/>
    <tableColumn name="Realisasi Pelatihan" id="3"/>
  </tableColumns>
  <tableStyleInfo name="TargetRealisasiPelatihan-style 4" showColumnStripes="0" showFirstColumn="1" showLastColumn="1" showRowStripes="1"/>
</table>
</file>

<file path=xl/tables/table5.xml><?xml version="1.0" encoding="utf-8"?>
<table xmlns="http://schemas.openxmlformats.org/spreadsheetml/2006/main" ref="A1:L119" displayName="Table2" name="Table2" id="1">
  <tableColumns count="12">
    <tableColumn name="NO" id="1"/>
    <tableColumn name="KEJURUAN" id="2"/>
    <tableColumn name="PROGRAM PELATIHAN" id="3"/>
    <tableColumn name="JENIS PELATIHAN" id="4"/>
    <tableColumn name="TGL MULAI PELATIHAN" id="5"/>
    <tableColumn name="TGL SELESAI PELATIHAN" id="6"/>
    <tableColumn name="BULAN MULAI PELATIHAN" id="7"/>
    <tableColumn name="LULUS" id="8"/>
    <tableColumn name="TIDAK LULUS" id="9"/>
    <tableColumn name="JUMLAH PESERTA PELATIHAN" id="10"/>
    <tableColumn name="PEREMPUAN" id="11"/>
    <tableColumn name="LAKI0LAKI" id="12"/>
  </tableColumns>
  <tableStyleInfo name="PelatihanData-style" showColumnStripes="0" showFirstColumn="1" showLastColumn="1" showRowStripes="1"/>
</table>
</file>

<file path=xl/tables/table6.xml><?xml version="1.0" encoding="utf-8"?>
<table xmlns="http://schemas.openxmlformats.org/spreadsheetml/2006/main" ref="A1:B20" displayName="Table13" name="Table13" id="3">
  <tableColumns count="2">
    <tableColumn name="Kejuruan" id="1"/>
    <tableColumn name="Jumlah Peserta Pelatihan" id="2"/>
  </tableColumns>
  <tableStyleInfo name="Pelatihan2-style" showColumnStripes="0" showFirstColumn="1" showLastColumn="1" showRowStripes="1"/>
</table>
</file>

<file path=xl/tables/table7.xml><?xml version="1.0" encoding="utf-8"?>
<table xmlns="http://schemas.openxmlformats.org/spreadsheetml/2006/main" ref="D1:E6" displayName="Table12" name="Table12" id="4">
  <tableColumns count="2">
    <tableColumn name="Gender" id="1"/>
    <tableColumn name="Jumlah Peserta Pelatihan" id="2"/>
  </tableColumns>
  <tableStyleInfo name="Pelatihan2-style 2" showColumnStripes="0" showFirstColumn="1" showLastColumn="1" showRowStripes="1"/>
</table>
</file>

<file path=xl/tables/table8.xml><?xml version="1.0" encoding="utf-8"?>
<table xmlns="http://schemas.openxmlformats.org/spreadsheetml/2006/main" ref="G1:H25" displayName="Table15" name="Table15" id="6">
  <tableColumns count="2">
    <tableColumn name="Kabupaten/Kota" id="1"/>
    <tableColumn name="Jumlah Peserta Pelatihan" id="2"/>
  </tableColumns>
  <tableStyleInfo name="Pelatihan2-style 3" showColumnStripes="0" showFirstColumn="1" showLastColumn="1" showRowStripes="1"/>
</table>
</file>

<file path=xl/tables/table9.xml><?xml version="1.0" encoding="utf-8"?>
<table xmlns="http://schemas.openxmlformats.org/spreadsheetml/2006/main" ref="J1:K10" displayName="Table14" name="Table14" id="8">
  <tableColumns count="2">
    <tableColumn name="Pendidikan" id="1"/>
    <tableColumn name="Jumlah Peserta Pelatihan" id="2"/>
  </tableColumns>
  <tableStyleInfo name="Pelatihan2-style 4" showColumnStripes="0" showFirstColumn="1" showLastColumn="1" showRowStripes="1"/>
</table>
</file>

<file path=xl/tables/table10.xml><?xml version="1.0" encoding="utf-8"?>
<table xmlns="http://schemas.openxmlformats.org/spreadsheetml/2006/main" ref="M1:N9" displayName="Table11" name="Table11" id="10">
  <tableColumns count="2">
    <tableColumn name="Rentang Usia" id="1"/>
    <tableColumn name="Jumlah Peserta Pelatihan" id="2"/>
  </tableColumns>
  <tableStyleInfo name="Pelatihan2-style 5" showColumnStripes="0" showFirstColumn="1" showLastColumn="1" showRowStripes="1"/>
</table>
</file>

<file path=xl/tables/table11.xml><?xml version="1.0" encoding="utf-8"?>
<table xmlns="http://schemas.openxmlformats.org/spreadsheetml/2006/main" ref="D8:E10" displayName="Table16" name="Table16" id="11">
  <tableColumns count="2">
    <tableColumn name="Disabilitas" id="1"/>
    <tableColumn name="Jumlah Peserta Pelatihan" id="2"/>
  </tableColumns>
  <tableStyleInfo name="Pelatihan2-style 6" showColumnStripes="0" showFirstColumn="1" showLastColumn="1" showRowStripes="1"/>
</table>
</file>

<file path=xl/tables/table12.xml><?xml version="1.0" encoding="utf-8"?>
<table xmlns="http://schemas.openxmlformats.org/spreadsheetml/2006/main" ref="A1:S821" displayName="Table1" name="Table1" id="12">
  <autoFilter ref="$A$1:$S$821"/>
  <tableColumns count="19">
    <tableColumn name="No" id="1"/>
    <tableColumn name="Skema" id="2"/>
    <tableColumn name="TUK" id="3"/>
    <tableColumn name="Tahap" id="4"/>
    <tableColumn name="Tanggal Pendaftaran" id="5"/>
    <tableColumn name="Nama Lengkap" id="6"/>
    <tableColumn name="Nomor KTP" id="7"/>
    <tableColumn name="Tempat Lahir" id="8"/>
    <tableColumn name="Tanggal Lahir_x000a_Bulan/Tgl/Tahun" id="9"/>
    <tableColumn name="Jenis Kelamin" id="10"/>
    <tableColumn name="Alamat Rumah" id="11"/>
    <tableColumn name="Nomor Telepon" id="12"/>
    <tableColumn name="Alamat Email" id="13"/>
    <tableColumn name="Kualifikasi pendidikan" id="14"/>
    <tableColumn name="Kebangsaan" id="15"/>
    <tableColumn name="Asesor" id="16"/>
    <tableColumn name="Form APL 01 &amp; 02" id="17"/>
    <tableColumn name="Hasil UJK" id="18"/>
    <tableColumn name="Cetak Sertifikat" id="19"/>
  </tableColumns>
  <tableStyleInfo name="Sertifikasi-style" showColumnStripes="0" showFirstColumn="1" showLastColumn="1" showRowStripes="1"/>
</table>
</file>

<file path=xl/tables/table13.xml><?xml version="1.0" encoding="utf-8"?>
<table xmlns="http://schemas.openxmlformats.org/spreadsheetml/2006/main" headerRowCount="0" ref="A822:R825" displayName="Table_1" name="Table_1" id="13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Sertifikasi-style 2" showColumnStripes="0" showFirstColumn="1" showLastColumn="1" showRowStripes="1"/>
</table>
</file>

<file path=xl/tables/table14.xml><?xml version="1.0" encoding="utf-8"?>
<table xmlns="http://schemas.openxmlformats.org/spreadsheetml/2006/main" ref="A1:J39" displayName="Table4" name="Table4" id="14">
  <tableColumns count="10">
    <tableColumn name="No" id="1"/>
    <tableColumn name="Kejuruan" id="2"/>
    <tableColumn name="Jumlah Peserta Pelatihan" id="3"/>
    <tableColumn name="Total Penempatan" id="4"/>
    <tableColumn name="Ditempatkan / Bekerja" id="5"/>
    <tableColumn name="Tidak Ditempatkan" id="6"/>
    <tableColumn name="Berwirausaha" id="7"/>
    <tableColumn name="Penempatan Dalam Kota Kendari" id="8"/>
    <tableColumn name="Luar Kota Kendari / Sulawesi Tenggara" id="9"/>
    <tableColumn name="Luar Sulawesi Tenggara" id="10"/>
  </tableColumns>
  <tableStyleInfo name="Penempatan-style" showColumnStripes="0" showFirstColumn="1" showLastColumn="1" showRowStripes="1"/>
</table>
</file>

<file path=xl/tables/table15.xml><?xml version="1.0" encoding="utf-8"?>
<table xmlns="http://schemas.openxmlformats.org/spreadsheetml/2006/main" ref="N1:Q41" displayName="Table3" name="Table3" id="15">
  <tableColumns count="4">
    <tableColumn name="No" id="1"/>
    <tableColumn name="Nama Perusahaan" id="2"/>
    <tableColumn name="Sektor" id="3"/>
    <tableColumn name="Jumlah Alumni Ditempatkan" id="4"/>
  </tableColumns>
  <tableStyleInfo name="Penempatan-style 2" showColumnStripes="0" showFirstColumn="1" showLastColumn="1" showRowStripes="1"/>
</table>
</file>

<file path=xl/tables/table16.xml><?xml version="1.0" encoding="utf-8"?>
<table xmlns="http://schemas.openxmlformats.org/spreadsheetml/2006/main" ref="A1:B4" displayName="Table10" name="Table10" id="16">
  <tableColumns count="2">
    <tableColumn name="Peserta" id="1"/>
    <tableColumn name="Jumlah" id="2"/>
  </tableColumns>
  <tableStyleInfo name="Produktivitas-style" showColumnStripes="0" showFirstColumn="1" showLastColumn="1" showRowStripes="1"/>
</table>
</file>

<file path=xl/tables/table17.xml><?xml version="1.0" encoding="utf-8"?>
<table xmlns="http://schemas.openxmlformats.org/spreadsheetml/2006/main" ref="D1:F8" displayName="Table9" name="Table9" id="17">
  <tableColumns count="3">
    <tableColumn name="No" id="1"/>
    <tableColumn name="Nama Perusahaan" id="2"/>
    <tableColumn name="Alamat Perusahaan" id="3"/>
  </tableColumns>
  <tableStyleInfo name="Produktivita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5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11" Type="http://schemas.openxmlformats.org/officeDocument/2006/relationships/table" Target="../tables/table9.xml"/><Relationship Id="rId10" Type="http://schemas.openxmlformats.org/officeDocument/2006/relationships/table" Target="../tables/table8.xml"/><Relationship Id="rId13" Type="http://schemas.openxmlformats.org/officeDocument/2006/relationships/table" Target="../tables/table11.xml"/><Relationship Id="rId12" Type="http://schemas.openxmlformats.org/officeDocument/2006/relationships/table" Target="../tables/table10.xml"/><Relationship Id="rId9" Type="http://schemas.openxmlformats.org/officeDocument/2006/relationships/table" Target="../tables/table7.xml"/><Relationship Id="rId8" Type="http://schemas.openxmlformats.org/officeDocument/2006/relationships/table" Target="../tables/table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12.xml"/><Relationship Id="rId5" Type="http://schemas.openxmlformats.org/officeDocument/2006/relationships/table" Target="../tables/table13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14.xml"/><Relationship Id="rId5" Type="http://schemas.openxmlformats.org/officeDocument/2006/relationships/table" Target="../tables/table15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4" Type="http://schemas.openxmlformats.org/officeDocument/2006/relationships/table" Target="../tables/table16.xml"/><Relationship Id="rId5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3.75"/>
    <col customWidth="1" min="3" max="3" width="20.38"/>
    <col customWidth="1" min="4" max="4" width="30.0"/>
    <col customWidth="1" min="6" max="6" width="22.63"/>
    <col customWidth="1" min="7" max="7" width="68.88"/>
    <col customWidth="1" min="8" max="8" width="18.0"/>
    <col customWidth="1" min="13" max="13" width="15.25"/>
    <col customWidth="1" min="17" max="17" width="87.25"/>
    <col customWidth="1" min="18" max="19" width="18.0"/>
  </cols>
  <sheetData>
    <row r="1" ht="22.5" customHeight="1">
      <c r="A1" s="14" t="s">
        <v>24</v>
      </c>
      <c r="B1" s="16" t="s">
        <v>29</v>
      </c>
      <c r="C1" s="16" t="s">
        <v>32</v>
      </c>
      <c r="D1" s="20" t="s">
        <v>35</v>
      </c>
      <c r="E1" s="17"/>
      <c r="F1" s="17"/>
      <c r="G1" s="15" t="s">
        <v>39</v>
      </c>
      <c r="H1" s="23" t="s">
        <v>41</v>
      </c>
      <c r="I1" s="23" t="s">
        <v>42</v>
      </c>
      <c r="J1" s="17"/>
      <c r="K1" s="17"/>
      <c r="L1" s="15" t="s">
        <v>24</v>
      </c>
      <c r="M1" s="15" t="s">
        <v>43</v>
      </c>
      <c r="N1" s="15" t="s">
        <v>32</v>
      </c>
      <c r="O1" s="15" t="s">
        <v>35</v>
      </c>
      <c r="P1" s="17"/>
      <c r="Q1" s="15" t="s">
        <v>44</v>
      </c>
      <c r="R1" s="15" t="s">
        <v>32</v>
      </c>
      <c r="S1" s="15" t="s">
        <v>35</v>
      </c>
      <c r="T1" s="17"/>
      <c r="U1" s="17"/>
      <c r="V1" s="17"/>
      <c r="W1" s="17"/>
      <c r="X1" s="17"/>
      <c r="Y1" s="17"/>
      <c r="Z1" s="17"/>
    </row>
    <row r="2" ht="22.5" customHeight="1">
      <c r="A2" s="22">
        <v>1.0</v>
      </c>
      <c r="B2" s="24" t="str">
        <f>IFERROR(__xludf.DUMMYFUNCTION("IMPORTRANGE(""https://docs.google.com/spreadsheets/d/1gOuC86bPcKRp_ezDVZ2jC8qSfdua3mXaPnAXFkKjDdI/edit?gid=1300176874#gid=1300176874"",""TargetRealisasi!B2:D"")"),"PBK")</f>
        <v>PBK</v>
      </c>
      <c r="C2" s="24">
        <f>IFERROR(__xludf.DUMMYFUNCTION("""COMPUTED_VALUE"""),576.0)</f>
        <v>576</v>
      </c>
      <c r="D2" s="24">
        <f>IFERROR(__xludf.DUMMYFUNCTION("""COMPUTED_VALUE"""),284.0)</f>
        <v>284</v>
      </c>
      <c r="G2" s="29" t="str">
        <f>IFERROR(__xludf.DUMMYFUNCTION("IMPORTRANGE(""https://docs.google.com/spreadsheets/d/1gOuC86bPcKRp_ezDVZ2jC8qSfdua3mXaPnAXFkKjDdI/edit?gid=1300176874#gid=1300176874"",""TargetRealisasi!F2:H"")"),"Pagu (My Intress)")</f>
        <v>Pagu (My Intress)</v>
      </c>
      <c r="H2" s="31">
        <f>IFERROR(__xludf.DUMMYFUNCTION("""COMPUTED_VALUE"""),5.8460407E10)</f>
        <v>58460407000</v>
      </c>
      <c r="I2" s="32">
        <f>IFERROR(__xludf.DUMMYFUNCTION("""COMPUTED_VALUE"""),1.0)</f>
        <v>1</v>
      </c>
      <c r="L2" s="22">
        <v>1.0</v>
      </c>
      <c r="M2" s="24" t="str">
        <f>IFERROR(__xludf.DUMMYFUNCTION("IMPORTRANGE(""https://docs.google.com/spreadsheets/d/1gOuC86bPcKRp_ezDVZ2jC8qSfdua3mXaPnAXFkKjDdI/edit?gid=1300176874#gid=1300176874"",""TargetRealisasi!L2:N"")"),"Sertifikasi")</f>
        <v>Sertifikasi</v>
      </c>
      <c r="N2" s="24">
        <f>IFERROR(__xludf.DUMMYFUNCTION("""COMPUTED_VALUE"""),1728.0)</f>
        <v>1728</v>
      </c>
      <c r="O2" s="24">
        <f>IFERROR(__xludf.DUMMYFUNCTION("""COMPUTED_VALUE"""),1459.0)</f>
        <v>1459</v>
      </c>
      <c r="Q2" s="29" t="str">
        <f>IFERROR(__xludf.DUMMYFUNCTION("IMPORTRANGE(""https://docs.google.com/spreadsheets/d/1gOuC86bPcKRp_ezDVZ2jC8qSfdua3mXaPnAXFkKjDdI/edit?gid=1300176874#gid=1300176874"",""TargetRealisasi!P2:R"")"),"4053 [Pengembangan Sistem dan Pelaksanaan Sertifikasi Kompetensi Profesi Binalavotas")</f>
        <v>4053 [Pengembangan Sistem dan Pelaksanaan Sertifikasi Kompetensi Profesi Binalavotas</v>
      </c>
      <c r="R2" s="34">
        <f>IFERROR(__xludf.DUMMYFUNCTION("""COMPUTED_VALUE"""),3.651418E9)</f>
        <v>3651418000</v>
      </c>
      <c r="S2" s="35">
        <f>IFERROR(__xludf.DUMMYFUNCTION("""COMPUTED_VALUE"""),1.859E7)</f>
        <v>18590000</v>
      </c>
    </row>
    <row r="3" ht="22.5" customHeight="1">
      <c r="A3" s="22">
        <v>2.0</v>
      </c>
      <c r="B3" s="24" t="str">
        <f>IFERROR(__xludf.DUMMYFUNCTION("""COMPUTED_VALUE"""),"PBL")</f>
        <v>PBL</v>
      </c>
      <c r="C3" s="24">
        <f>IFERROR(__xludf.DUMMYFUNCTION("""COMPUTED_VALUE"""),320.0)</f>
        <v>320</v>
      </c>
      <c r="D3" s="24">
        <f>IFERROR(__xludf.DUMMYFUNCTION("""COMPUTED_VALUE"""),78.0)</f>
        <v>78</v>
      </c>
      <c r="G3" s="29" t="str">
        <f>IFERROR(__xludf.DUMMYFUNCTION("""COMPUTED_VALUE"""),"Pagu Blokir")</f>
        <v>Pagu Blokir</v>
      </c>
      <c r="H3" s="31">
        <f>IFERROR(__xludf.DUMMYFUNCTION("""COMPUTED_VALUE"""),7.4269E7)</f>
        <v>74269000</v>
      </c>
      <c r="I3" s="32">
        <f>IFERROR(__xludf.DUMMYFUNCTION("""COMPUTED_VALUE"""),0.0012704153770260272)</f>
        <v>0.001270415377</v>
      </c>
      <c r="L3" s="22">
        <v>2.0</v>
      </c>
      <c r="M3" s="24" t="str">
        <f>IFERROR(__xludf.DUMMYFUNCTION("""COMPUTED_VALUE"""),"Program Bantuan")</f>
        <v>Program Bantuan</v>
      </c>
      <c r="N3" s="24"/>
      <c r="O3" s="22"/>
      <c r="Q3" s="29" t="str">
        <f>IFERROR(__xludf.DUMMYFUNCTION("""COMPUTED_VALUE"""),"4057 [Peningkatan Penyelenggaraan Pelatihan Vokasi dan Pemagangan Binalavotas")</f>
        <v>4057 [Peningkatan Penyelenggaraan Pelatihan Vokasi dan Pemagangan Binalavotas</v>
      </c>
      <c r="R3" s="34">
        <f>IFERROR(__xludf.DUMMYFUNCTION("""COMPUTED_VALUE"""),4.1097245E10)</f>
        <v>41097245000</v>
      </c>
      <c r="S3" s="35">
        <f>IFERROR(__xludf.DUMMYFUNCTION("""COMPUTED_VALUE"""),3.22344854E8)</f>
        <v>322344854</v>
      </c>
    </row>
    <row r="4" ht="22.5" customHeight="1">
      <c r="A4" s="22">
        <v>3.0</v>
      </c>
      <c r="B4" s="24" t="str">
        <f>IFERROR(__xludf.DUMMYFUNCTION("""COMPUTED_VALUE"""),"TMT")</f>
        <v>TMT</v>
      </c>
      <c r="C4" s="24">
        <f>IFERROR(__xludf.DUMMYFUNCTION("""COMPUTED_VALUE"""),871.0)</f>
        <v>871</v>
      </c>
      <c r="D4" s="24">
        <f>IFERROR(__xludf.DUMMYFUNCTION("""COMPUTED_VALUE"""),235.0)</f>
        <v>235</v>
      </c>
      <c r="G4" s="29" t="str">
        <f>IFERROR(__xludf.DUMMYFUNCTION("""COMPUTED_VALUE"""),"Pagu Setelah Blokir")</f>
        <v>Pagu Setelah Blokir</v>
      </c>
      <c r="H4" s="31">
        <f>IFERROR(__xludf.DUMMYFUNCTION("""COMPUTED_VALUE"""),5.8386138E10)</f>
        <v>58386138000</v>
      </c>
      <c r="I4" s="32">
        <f>IFERROR(__xludf.DUMMYFUNCTION("""COMPUTED_VALUE"""),0.998729584622974)</f>
        <v>0.9987295846</v>
      </c>
      <c r="L4" s="22">
        <v>3.0</v>
      </c>
      <c r="M4" s="24" t="str">
        <f>IFERROR(__xludf.DUMMYFUNCTION("""COMPUTED_VALUE"""),"Produktivitas")</f>
        <v>Produktivitas</v>
      </c>
      <c r="N4" s="24">
        <f>IFERROR(__xludf.DUMMYFUNCTION("""COMPUTED_VALUE"""),25.0)</f>
        <v>25</v>
      </c>
      <c r="O4" s="24"/>
      <c r="Q4" s="29" t="str">
        <f>IFERROR(__xludf.DUMMYFUNCTION("""COMPUTED_VALUE"""),"4059 [Pengembangan dan Peningkatan Produktivitas Tenaga Kerja Binalavotas")</f>
        <v>4059 [Pengembangan dan Peningkatan Produktivitas Tenaga Kerja Binalavotas</v>
      </c>
      <c r="R4" s="34">
        <f>IFERROR(__xludf.DUMMYFUNCTION("""COMPUTED_VALUE"""),1.37864E8)</f>
        <v>137864000</v>
      </c>
      <c r="S4" s="35">
        <f>IFERROR(__xludf.DUMMYFUNCTION("""COMPUTED_VALUE"""),0.0)</f>
        <v>0</v>
      </c>
    </row>
    <row r="5" ht="22.5" customHeight="1">
      <c r="A5" s="22">
        <v>4.0</v>
      </c>
      <c r="B5" s="24" t="str">
        <f>IFERROR(__xludf.DUMMYFUNCTION("""COMPUTED_VALUE"""),"UPTD BInaan")</f>
        <v>UPTD BInaan</v>
      </c>
      <c r="C5" s="24">
        <f>IFERROR(__xludf.DUMMYFUNCTION("""COMPUTED_VALUE"""),368.0)</f>
        <v>368</v>
      </c>
      <c r="D5" s="24">
        <f>IFERROR(__xludf.DUMMYFUNCTION("""COMPUTED_VALUE"""),0.0)</f>
        <v>0</v>
      </c>
      <c r="G5" s="29" t="str">
        <f>IFERROR(__xludf.DUMMYFUNCTION("""COMPUTED_VALUE"""),"Target Penerimaan PNBP")</f>
        <v>Target Penerimaan PNBP</v>
      </c>
      <c r="H5" s="31">
        <f>IFERROR(__xludf.DUMMYFUNCTION("""COMPUTED_VALUE"""),4.32242E9)</f>
        <v>4322420000</v>
      </c>
      <c r="I5" s="32">
        <f>IFERROR(__xludf.DUMMYFUNCTION("""COMPUTED_VALUE"""),1.0)</f>
        <v>1</v>
      </c>
      <c r="L5" s="37">
        <v>4.0</v>
      </c>
      <c r="M5" s="29" t="str">
        <f>IFERROR(__xludf.DUMMYFUNCTION("""COMPUTED_VALUE"""),"Pemagangan")</f>
        <v>Pemagangan</v>
      </c>
      <c r="N5" s="29">
        <f>IFERROR(__xludf.DUMMYFUNCTION("""COMPUTED_VALUE"""),4.0)</f>
        <v>4</v>
      </c>
      <c r="O5" s="29"/>
      <c r="Q5" s="29" t="str">
        <f>IFERROR(__xludf.DUMMYFUNCTION("""COMPUTED_VALUE"""),"6988 [Dukungan Manajemen Direktorat Jenderal Pembinaan Pelatihan Vokasi dan Produktivitas Tenaga Kerja Binalavotas")</f>
        <v>6988 [Dukungan Manajemen Direktorat Jenderal Pembinaan Pelatihan Vokasi dan Produktivitas Tenaga Kerja Binalavotas</v>
      </c>
      <c r="R5" s="34">
        <f>IFERROR(__xludf.DUMMYFUNCTION("""COMPUTED_VALUE"""),1.357388E10)</f>
        <v>13573880000</v>
      </c>
      <c r="S5" s="35">
        <f>IFERROR(__xludf.DUMMYFUNCTION("""COMPUTED_VALUE"""),4.01980493E8)</f>
        <v>401980493</v>
      </c>
    </row>
    <row r="6" ht="22.5" customHeight="1">
      <c r="A6" s="22">
        <v>5.0</v>
      </c>
      <c r="B6" s="24" t="str">
        <f>IFERROR(__xludf.DUMMYFUNCTION("""COMPUTED_VALUE"""),"PFLK ")</f>
        <v>PFLK </v>
      </c>
      <c r="C6" s="24">
        <f>IFERROR(__xludf.DUMMYFUNCTION("""COMPUTED_VALUE"""),5.0)</f>
        <v>5</v>
      </c>
      <c r="D6" s="24"/>
      <c r="G6" s="29" t="str">
        <f>IFERROR(__xludf.DUMMYFUNCTION("""COMPUTED_VALUE"""),"Realisasi Penerimaan PNBP")</f>
        <v>Realisasi Penerimaan PNBP</v>
      </c>
      <c r="H6" s="31">
        <f>IFERROR(__xludf.DUMMYFUNCTION("""COMPUTED_VALUE"""),1.291859579E9)</f>
        <v>1291859579</v>
      </c>
      <c r="I6" s="32">
        <f>IFERROR(__xludf.DUMMYFUNCTION("""COMPUTED_VALUE"""),0.298874144345066)</f>
        <v>0.2988741443</v>
      </c>
      <c r="M6" s="36"/>
      <c r="N6" s="36"/>
      <c r="O6" s="36"/>
      <c r="Q6" s="36"/>
      <c r="R6" s="36"/>
      <c r="S6" s="36"/>
    </row>
    <row r="7" ht="22.5" customHeight="1">
      <c r="A7" s="22">
        <v>6.0</v>
      </c>
      <c r="B7" s="24"/>
      <c r="C7" s="24"/>
      <c r="D7" s="24"/>
      <c r="G7" s="29" t="str">
        <f>IFERROR(__xludf.DUMMYFUNCTION("""COMPUTED_VALUE"""),"Realisasi Minggu Lalu (my Intress)")</f>
        <v>Realisasi Minggu Lalu (my Intress)</v>
      </c>
      <c r="H7" s="31">
        <f>IFERROR(__xludf.DUMMYFUNCTION("""COMPUTED_VALUE"""),1.1909004557E10)</f>
        <v>11909004557</v>
      </c>
      <c r="I7" s="32">
        <f>IFERROR(__xludf.DUMMYFUNCTION("""COMPUTED_VALUE"""),0.20371059950027376)</f>
        <v>0.2037105995</v>
      </c>
      <c r="M7" s="36"/>
      <c r="N7" s="36"/>
      <c r="O7" s="36"/>
      <c r="Q7" s="36"/>
      <c r="R7" s="36"/>
      <c r="S7" s="36"/>
    </row>
    <row r="8" ht="22.5" customHeight="1">
      <c r="A8" s="22">
        <v>7.0</v>
      </c>
      <c r="B8" s="24"/>
      <c r="C8" s="24"/>
      <c r="D8" s="24"/>
      <c r="G8" s="29" t="str">
        <f>IFERROR(__xludf.DUMMYFUNCTION("""COMPUTED_VALUE"""),"Capaian Realisasi Minggu Ini")</f>
        <v>Capaian Realisasi Minggu Ini</v>
      </c>
      <c r="H8" s="31">
        <f>IFERROR(__xludf.DUMMYFUNCTION("""COMPUTED_VALUE"""),7.42915347E8)</f>
        <v>742915347</v>
      </c>
      <c r="I8" s="32">
        <f>IFERROR(__xludf.DUMMYFUNCTION("""COMPUTED_VALUE"""),0.012708008464600665)</f>
        <v>0.01270800846</v>
      </c>
      <c r="M8" s="36"/>
      <c r="N8" s="36"/>
      <c r="O8" s="36"/>
      <c r="Q8" s="36"/>
      <c r="R8" s="36"/>
      <c r="S8" s="36"/>
    </row>
    <row r="9" ht="22.5" customHeight="1">
      <c r="A9" s="22">
        <v>8.0</v>
      </c>
      <c r="B9" s="24"/>
      <c r="C9" s="24"/>
      <c r="D9" s="24"/>
      <c r="G9" s="29" t="str">
        <f>IFERROR(__xludf.DUMMYFUNCTION("""COMPUTED_VALUE"""),"Total Realisasi")</f>
        <v>Total Realisasi</v>
      </c>
      <c r="H9" s="31">
        <f>IFERROR(__xludf.DUMMYFUNCTION("""COMPUTED_VALUE"""),1.2651919904E10)</f>
        <v>12651919904</v>
      </c>
      <c r="I9" s="32">
        <f>IFERROR(__xludf.DUMMYFUNCTION("""COMPUTED_VALUE"""),0.21641860796487442)</f>
        <v>0.216418608</v>
      </c>
      <c r="M9" s="36"/>
      <c r="N9" s="36"/>
      <c r="O9" s="36"/>
      <c r="Q9" s="36"/>
      <c r="R9" s="36"/>
      <c r="S9" s="36"/>
    </row>
    <row r="10" ht="22.5" customHeight="1">
      <c r="A10" s="22">
        <v>9.0</v>
      </c>
      <c r="B10" s="24"/>
      <c r="C10" s="24"/>
      <c r="D10" s="24"/>
      <c r="G10" s="29" t="str">
        <f>IFERROR(__xludf.DUMMYFUNCTION("""COMPUTED_VALUE"""),"Sisa Pagu (SAKTI)")</f>
        <v>Sisa Pagu (SAKTI)</v>
      </c>
      <c r="H10" s="31">
        <f>IFERROR(__xludf.DUMMYFUNCTION("""COMPUTED_VALUE"""),4.5808487096E10)</f>
        <v>45808487096</v>
      </c>
      <c r="I10" s="32">
        <f>IFERROR(__xludf.DUMMYFUNCTION("""COMPUTED_VALUE"""),0.7835813920351256)</f>
        <v>0.783581392</v>
      </c>
      <c r="M10" s="36"/>
      <c r="N10" s="36"/>
      <c r="O10" s="36"/>
      <c r="Q10" s="36"/>
      <c r="R10" s="36"/>
      <c r="S10" s="36"/>
    </row>
    <row r="11" ht="22.5" customHeight="1">
      <c r="A11" s="22">
        <v>10.0</v>
      </c>
      <c r="B11" s="24"/>
      <c r="C11" s="24"/>
      <c r="D11" s="24"/>
      <c r="G11" s="29"/>
      <c r="H11" s="29"/>
      <c r="I11" s="29"/>
      <c r="M11" s="36"/>
      <c r="N11" s="36"/>
      <c r="O11" s="36"/>
      <c r="Q11" s="36"/>
      <c r="R11" s="36"/>
      <c r="S11" s="40">
        <f>IFERROR(__xludf.DUMMYFUNCTION("""COMPUTED_VALUE"""),7.42915347E8)</f>
        <v>742915347</v>
      </c>
    </row>
    <row r="12" ht="22.5" customHeight="1">
      <c r="A12" s="22">
        <v>11.0</v>
      </c>
      <c r="B12" s="24"/>
      <c r="C12" s="24"/>
      <c r="D12" s="24"/>
      <c r="G12" s="29"/>
      <c r="H12" s="29"/>
      <c r="I12" s="29"/>
      <c r="M12" s="36"/>
      <c r="N12" s="36"/>
      <c r="O12" s="36"/>
      <c r="Q12" s="36"/>
      <c r="R12" s="36"/>
      <c r="S12" s="36"/>
    </row>
    <row r="13" ht="22.5" customHeight="1">
      <c r="A13" s="22">
        <v>12.0</v>
      </c>
      <c r="B13" s="24"/>
      <c r="C13" s="24"/>
      <c r="D13" s="24"/>
      <c r="G13" s="29"/>
      <c r="H13" s="29"/>
      <c r="I13" s="29"/>
      <c r="M13" s="36"/>
      <c r="N13" s="36"/>
      <c r="O13" s="36"/>
      <c r="Q13" s="36"/>
      <c r="R13" s="36"/>
      <c r="S13" s="36"/>
    </row>
    <row r="14" ht="22.5" customHeight="1">
      <c r="A14" s="22">
        <v>13.0</v>
      </c>
      <c r="B14" s="24"/>
      <c r="C14" s="24"/>
      <c r="D14" s="24"/>
      <c r="G14" s="29"/>
      <c r="H14" s="29"/>
      <c r="I14" s="29"/>
      <c r="M14" s="36"/>
      <c r="N14" s="36"/>
      <c r="O14" s="36"/>
      <c r="Q14" s="36"/>
      <c r="R14" s="36"/>
      <c r="S14" s="36"/>
    </row>
    <row r="15" ht="22.5" customHeight="1">
      <c r="A15" s="22">
        <v>14.0</v>
      </c>
      <c r="B15" s="24"/>
      <c r="C15" s="24"/>
      <c r="D15" s="24"/>
      <c r="G15" s="29"/>
      <c r="H15" s="29"/>
      <c r="I15" s="29"/>
      <c r="M15" s="36"/>
      <c r="N15" s="36"/>
      <c r="O15" s="36"/>
      <c r="Q15" s="36"/>
      <c r="R15" s="36"/>
      <c r="S15" s="36"/>
    </row>
    <row r="16" ht="22.5" customHeight="1">
      <c r="B16" s="36"/>
      <c r="C16" s="36"/>
      <c r="D16" s="36"/>
      <c r="G16" s="29"/>
      <c r="H16" s="29"/>
      <c r="I16" s="29"/>
      <c r="M16" s="36"/>
      <c r="N16" s="36"/>
      <c r="O16" s="36"/>
      <c r="Q16" s="36"/>
      <c r="R16" s="36"/>
      <c r="S16" s="36"/>
    </row>
    <row r="17" ht="22.5" customHeight="1">
      <c r="B17" s="36"/>
      <c r="C17" s="36"/>
      <c r="D17" s="36"/>
      <c r="G17" s="29"/>
      <c r="H17" s="29"/>
      <c r="I17" s="29"/>
      <c r="M17" s="36"/>
      <c r="N17" s="36"/>
      <c r="O17" s="36"/>
      <c r="Q17" s="36"/>
      <c r="R17" s="36"/>
      <c r="S17" s="36"/>
    </row>
    <row r="18" ht="22.5" customHeight="1">
      <c r="B18" s="36"/>
      <c r="C18" s="36"/>
      <c r="D18" s="36"/>
      <c r="G18" s="29"/>
      <c r="H18" s="29"/>
      <c r="I18" s="29"/>
      <c r="M18" s="36"/>
      <c r="N18" s="36"/>
      <c r="O18" s="36"/>
      <c r="Q18" s="36"/>
      <c r="R18" s="36"/>
      <c r="S18" s="36"/>
    </row>
    <row r="19" ht="22.5" customHeight="1">
      <c r="B19" s="36"/>
      <c r="C19" s="36"/>
      <c r="D19" s="36"/>
      <c r="G19" s="29"/>
      <c r="H19" s="29"/>
      <c r="I19" s="29"/>
      <c r="M19" s="36"/>
      <c r="N19" s="36"/>
      <c r="O19" s="36"/>
      <c r="Q19" s="36"/>
      <c r="R19" s="36"/>
      <c r="S19" s="36"/>
    </row>
    <row r="20" ht="22.5" customHeight="1">
      <c r="B20" s="36"/>
      <c r="C20" s="36"/>
      <c r="D20" s="36"/>
      <c r="G20" s="29"/>
      <c r="H20" s="29"/>
      <c r="I20" s="29"/>
      <c r="M20" s="36"/>
      <c r="N20" s="36"/>
      <c r="O20" s="36"/>
      <c r="Q20" s="36"/>
      <c r="R20" s="36"/>
      <c r="S20" s="36"/>
    </row>
    <row r="21">
      <c r="B21" s="36"/>
      <c r="C21" s="36"/>
      <c r="D21" s="36"/>
      <c r="G21" s="36"/>
      <c r="H21" s="36"/>
      <c r="I21" s="36"/>
      <c r="M21" s="36"/>
      <c r="N21" s="36"/>
      <c r="O21" s="36"/>
      <c r="Q21" s="36"/>
      <c r="R21" s="36"/>
      <c r="S21" s="36"/>
    </row>
    <row r="22">
      <c r="B22" s="36"/>
      <c r="C22" s="36"/>
      <c r="D22" s="36"/>
      <c r="G22" s="36"/>
      <c r="H22" s="36"/>
      <c r="I22" s="36"/>
      <c r="M22" s="36"/>
      <c r="N22" s="36"/>
      <c r="O22" s="36"/>
      <c r="Q22" s="36"/>
      <c r="R22" s="36"/>
      <c r="S22" s="36"/>
    </row>
    <row r="23">
      <c r="B23" s="36"/>
      <c r="C23" s="36"/>
      <c r="D23" s="36"/>
      <c r="G23" s="36"/>
      <c r="H23" s="36"/>
      <c r="I23" s="36"/>
      <c r="M23" s="36"/>
      <c r="N23" s="36"/>
      <c r="O23" s="36"/>
      <c r="Q23" s="36"/>
      <c r="R23" s="36"/>
      <c r="S23" s="36"/>
    </row>
    <row r="24">
      <c r="B24" s="36"/>
      <c r="C24" s="36"/>
      <c r="D24" s="36"/>
      <c r="G24" s="36"/>
      <c r="H24" s="36"/>
      <c r="I24" s="36"/>
      <c r="M24" s="36"/>
      <c r="N24" s="36"/>
      <c r="O24" s="36"/>
      <c r="Q24" s="36"/>
      <c r="R24" s="36"/>
      <c r="S24" s="36"/>
    </row>
    <row r="25">
      <c r="B25" s="36"/>
      <c r="C25" s="36"/>
      <c r="D25" s="36"/>
      <c r="G25" s="36"/>
      <c r="H25" s="36"/>
      <c r="I25" s="36"/>
      <c r="M25" s="36"/>
      <c r="N25" s="36"/>
      <c r="O25" s="36"/>
      <c r="Q25" s="36"/>
      <c r="R25" s="36"/>
      <c r="S25" s="36"/>
    </row>
    <row r="26">
      <c r="B26" s="36"/>
      <c r="C26" s="36"/>
      <c r="D26" s="36"/>
      <c r="G26" s="36"/>
      <c r="H26" s="36"/>
      <c r="I26" s="36"/>
      <c r="M26" s="36"/>
      <c r="N26" s="36"/>
      <c r="O26" s="36"/>
      <c r="Q26" s="36"/>
      <c r="R26" s="36"/>
      <c r="S26" s="36"/>
    </row>
    <row r="27">
      <c r="B27" s="36"/>
      <c r="C27" s="36"/>
      <c r="D27" s="36"/>
      <c r="G27" s="36"/>
      <c r="H27" s="36"/>
      <c r="I27" s="36"/>
      <c r="M27" s="36"/>
      <c r="N27" s="36"/>
      <c r="O27" s="36"/>
      <c r="Q27" s="36"/>
      <c r="R27" s="36"/>
      <c r="S27" s="36"/>
    </row>
    <row r="28">
      <c r="B28" s="36"/>
      <c r="C28" s="36"/>
      <c r="D28" s="36"/>
      <c r="G28" s="36"/>
      <c r="H28" s="36"/>
      <c r="I28" s="36"/>
      <c r="M28" s="36"/>
      <c r="N28" s="36"/>
      <c r="O28" s="36"/>
      <c r="Q28" s="36"/>
      <c r="R28" s="36"/>
      <c r="S28" s="36"/>
    </row>
    <row r="29">
      <c r="B29" s="36"/>
      <c r="C29" s="36"/>
      <c r="D29" s="36"/>
      <c r="G29" s="36"/>
      <c r="H29" s="36"/>
      <c r="I29" s="36"/>
      <c r="M29" s="36"/>
      <c r="N29" s="36"/>
      <c r="O29" s="36"/>
      <c r="Q29" s="36"/>
      <c r="R29" s="36"/>
      <c r="S29" s="36"/>
    </row>
    <row r="30">
      <c r="B30" s="36"/>
      <c r="C30" s="36"/>
      <c r="D30" s="36"/>
      <c r="G30" s="36"/>
      <c r="H30" s="36"/>
      <c r="I30" s="36"/>
      <c r="M30" s="36"/>
      <c r="N30" s="36"/>
      <c r="O30" s="36"/>
      <c r="Q30" s="36"/>
      <c r="R30" s="36"/>
      <c r="S30" s="36"/>
    </row>
    <row r="31">
      <c r="B31" s="36"/>
      <c r="C31" s="36"/>
      <c r="D31" s="36"/>
      <c r="G31" s="36"/>
      <c r="H31" s="36"/>
      <c r="I31" s="36"/>
      <c r="M31" s="36"/>
      <c r="N31" s="36"/>
      <c r="O31" s="36"/>
      <c r="Q31" s="36"/>
      <c r="R31" s="36"/>
      <c r="S31" s="36"/>
    </row>
    <row r="32">
      <c r="B32" s="36"/>
      <c r="C32" s="36"/>
      <c r="D32" s="36"/>
      <c r="G32" s="36"/>
      <c r="H32" s="36"/>
      <c r="I32" s="36"/>
      <c r="M32" s="36"/>
      <c r="N32" s="36"/>
      <c r="O32" s="36"/>
      <c r="Q32" s="36"/>
      <c r="R32" s="36"/>
      <c r="S32" s="36"/>
    </row>
    <row r="33">
      <c r="B33" s="36"/>
      <c r="C33" s="36"/>
      <c r="D33" s="36"/>
      <c r="G33" s="36"/>
      <c r="H33" s="36"/>
      <c r="I33" s="36"/>
      <c r="M33" s="36"/>
      <c r="N33" s="36"/>
      <c r="O33" s="36"/>
      <c r="Q33" s="36"/>
      <c r="R33" s="36"/>
      <c r="S33" s="36"/>
    </row>
    <row r="34">
      <c r="B34" s="36"/>
      <c r="C34" s="36"/>
      <c r="D34" s="36"/>
      <c r="G34" s="36"/>
      <c r="H34" s="36"/>
      <c r="I34" s="36"/>
      <c r="M34" s="36"/>
      <c r="N34" s="36"/>
      <c r="O34" s="36"/>
      <c r="Q34" s="36"/>
      <c r="R34" s="36"/>
      <c r="S34" s="36"/>
    </row>
    <row r="35">
      <c r="B35" s="36"/>
      <c r="C35" s="36"/>
      <c r="D35" s="36"/>
      <c r="G35" s="36"/>
      <c r="H35" s="36"/>
      <c r="I35" s="36"/>
      <c r="M35" s="36"/>
      <c r="N35" s="36"/>
      <c r="O35" s="36"/>
      <c r="Q35" s="36"/>
      <c r="R35" s="36"/>
      <c r="S35" s="36"/>
    </row>
    <row r="36">
      <c r="B36" s="36"/>
      <c r="C36" s="36"/>
      <c r="D36" s="36"/>
      <c r="G36" s="36"/>
      <c r="H36" s="36"/>
      <c r="I36" s="36"/>
      <c r="M36" s="36"/>
      <c r="N36" s="36"/>
      <c r="O36" s="36"/>
      <c r="Q36" s="36"/>
      <c r="R36" s="36"/>
      <c r="S36" s="36"/>
    </row>
    <row r="37">
      <c r="B37" s="36"/>
      <c r="C37" s="36"/>
      <c r="D37" s="36"/>
      <c r="G37" s="36"/>
      <c r="H37" s="36"/>
      <c r="I37" s="36"/>
      <c r="M37" s="36"/>
      <c r="N37" s="36"/>
      <c r="O37" s="36"/>
      <c r="Q37" s="36"/>
      <c r="R37" s="36"/>
      <c r="S37" s="36"/>
    </row>
    <row r="38">
      <c r="B38" s="36"/>
      <c r="C38" s="36"/>
      <c r="D38" s="36"/>
      <c r="G38" s="36"/>
      <c r="H38" s="36"/>
      <c r="I38" s="36"/>
      <c r="M38" s="36"/>
      <c r="N38" s="36"/>
      <c r="O38" s="36"/>
      <c r="Q38" s="36"/>
      <c r="R38" s="36"/>
      <c r="S38" s="36"/>
    </row>
    <row r="39">
      <c r="B39" s="36"/>
      <c r="C39" s="36"/>
      <c r="D39" s="36"/>
      <c r="G39" s="36"/>
      <c r="H39" s="36"/>
      <c r="I39" s="36"/>
      <c r="M39" s="36"/>
      <c r="N39" s="36"/>
      <c r="O39" s="36"/>
      <c r="Q39" s="36"/>
      <c r="R39" s="36"/>
      <c r="S39" s="36"/>
    </row>
    <row r="40">
      <c r="B40" s="36"/>
      <c r="C40" s="36"/>
      <c r="D40" s="36"/>
      <c r="G40" s="36"/>
      <c r="H40" s="36"/>
      <c r="I40" s="36"/>
      <c r="M40" s="36"/>
      <c r="N40" s="36"/>
      <c r="O40" s="36"/>
      <c r="Q40" s="36"/>
      <c r="R40" s="36"/>
      <c r="S40" s="36"/>
    </row>
    <row r="41">
      <c r="B41" s="36"/>
      <c r="C41" s="36"/>
      <c r="D41" s="36"/>
      <c r="G41" s="36"/>
      <c r="H41" s="36"/>
      <c r="I41" s="36"/>
      <c r="M41" s="36"/>
      <c r="N41" s="36"/>
      <c r="O41" s="36"/>
      <c r="Q41" s="36"/>
      <c r="R41" s="36"/>
      <c r="S41" s="36"/>
    </row>
    <row r="42">
      <c r="B42" s="36"/>
      <c r="C42" s="36"/>
      <c r="D42" s="36"/>
      <c r="G42" s="36"/>
      <c r="H42" s="36"/>
      <c r="I42" s="36"/>
      <c r="M42" s="36"/>
      <c r="N42" s="36"/>
      <c r="O42" s="36"/>
      <c r="Q42" s="36"/>
      <c r="R42" s="36"/>
      <c r="S42" s="36"/>
    </row>
    <row r="43">
      <c r="B43" s="36"/>
      <c r="C43" s="36"/>
      <c r="D43" s="36"/>
      <c r="G43" s="36"/>
      <c r="H43" s="36"/>
      <c r="I43" s="36"/>
      <c r="M43" s="36"/>
      <c r="N43" s="36"/>
      <c r="O43" s="36"/>
      <c r="Q43" s="36"/>
      <c r="R43" s="36"/>
      <c r="S43" s="36"/>
    </row>
    <row r="44">
      <c r="B44" s="36"/>
      <c r="C44" s="36"/>
      <c r="D44" s="36"/>
      <c r="G44" s="36"/>
      <c r="H44" s="36"/>
      <c r="I44" s="36"/>
      <c r="M44" s="36"/>
      <c r="N44" s="36"/>
      <c r="O44" s="36"/>
      <c r="Q44" s="36"/>
      <c r="R44" s="36"/>
      <c r="S44" s="36"/>
    </row>
    <row r="45">
      <c r="B45" s="36"/>
      <c r="C45" s="36"/>
      <c r="D45" s="36"/>
      <c r="G45" s="36"/>
      <c r="H45" s="36"/>
      <c r="I45" s="36"/>
      <c r="M45" s="36"/>
      <c r="N45" s="36"/>
      <c r="O45" s="36"/>
      <c r="Q45" s="36"/>
      <c r="R45" s="36"/>
      <c r="S45" s="36"/>
    </row>
    <row r="46">
      <c r="B46" s="36"/>
      <c r="C46" s="36"/>
      <c r="D46" s="36"/>
      <c r="G46" s="36"/>
      <c r="H46" s="36"/>
      <c r="I46" s="36"/>
      <c r="M46" s="36"/>
      <c r="N46" s="36"/>
      <c r="O46" s="36"/>
      <c r="Q46" s="36"/>
      <c r="R46" s="36"/>
      <c r="S46" s="36"/>
    </row>
    <row r="47">
      <c r="B47" s="36"/>
      <c r="C47" s="36"/>
      <c r="D47" s="36"/>
      <c r="G47" s="36"/>
      <c r="H47" s="36"/>
      <c r="I47" s="36"/>
      <c r="M47" s="36"/>
      <c r="N47" s="36"/>
      <c r="O47" s="36"/>
      <c r="Q47" s="36"/>
      <c r="R47" s="36"/>
      <c r="S47" s="36"/>
    </row>
    <row r="48">
      <c r="B48" s="36"/>
      <c r="C48" s="36"/>
      <c r="D48" s="36"/>
      <c r="G48" s="36"/>
      <c r="H48" s="36"/>
      <c r="I48" s="36"/>
      <c r="M48" s="36"/>
      <c r="N48" s="36"/>
      <c r="O48" s="36"/>
      <c r="Q48" s="36"/>
      <c r="R48" s="36"/>
      <c r="S48" s="36"/>
    </row>
    <row r="49">
      <c r="B49" s="36"/>
      <c r="C49" s="36"/>
      <c r="D49" s="36"/>
      <c r="G49" s="36"/>
      <c r="H49" s="36"/>
      <c r="I49" s="36"/>
      <c r="M49" s="36"/>
      <c r="N49" s="36"/>
      <c r="O49" s="36"/>
      <c r="Q49" s="36"/>
      <c r="R49" s="36"/>
      <c r="S49" s="36"/>
    </row>
    <row r="50">
      <c r="B50" s="36"/>
      <c r="C50" s="36"/>
      <c r="D50" s="36"/>
      <c r="G50" s="36"/>
      <c r="H50" s="36"/>
      <c r="I50" s="36"/>
      <c r="M50" s="36"/>
      <c r="N50" s="36"/>
      <c r="O50" s="36"/>
      <c r="Q50" s="36"/>
      <c r="R50" s="36"/>
      <c r="S50" s="36"/>
    </row>
    <row r="51">
      <c r="B51" s="36"/>
      <c r="C51" s="36"/>
      <c r="D51" s="36"/>
      <c r="G51" s="36"/>
      <c r="H51" s="36"/>
      <c r="I51" s="36"/>
      <c r="M51" s="36"/>
      <c r="N51" s="36"/>
      <c r="O51" s="36"/>
      <c r="Q51" s="36"/>
      <c r="R51" s="36"/>
      <c r="S51" s="36"/>
    </row>
    <row r="52">
      <c r="B52" s="36"/>
      <c r="C52" s="36"/>
      <c r="D52" s="36"/>
      <c r="G52" s="36"/>
      <c r="H52" s="36"/>
      <c r="I52" s="36"/>
      <c r="M52" s="36"/>
      <c r="N52" s="36"/>
      <c r="O52" s="36"/>
      <c r="Q52" s="36"/>
      <c r="R52" s="36"/>
      <c r="S52" s="36"/>
    </row>
    <row r="53">
      <c r="B53" s="36"/>
      <c r="C53" s="36"/>
      <c r="D53" s="36"/>
      <c r="G53" s="36"/>
      <c r="H53" s="36"/>
      <c r="I53" s="36"/>
      <c r="M53" s="36"/>
      <c r="N53" s="36"/>
      <c r="O53" s="36"/>
      <c r="Q53" s="36"/>
      <c r="R53" s="36"/>
      <c r="S53" s="36"/>
    </row>
    <row r="54">
      <c r="B54" s="36"/>
      <c r="C54" s="36"/>
      <c r="D54" s="36"/>
      <c r="G54" s="36"/>
      <c r="H54" s="36"/>
      <c r="I54" s="36"/>
      <c r="M54" s="36"/>
      <c r="N54" s="36"/>
      <c r="O54" s="36"/>
      <c r="Q54" s="36"/>
      <c r="R54" s="36"/>
      <c r="S54" s="36"/>
    </row>
    <row r="55">
      <c r="B55" s="36"/>
      <c r="C55" s="36"/>
      <c r="D55" s="36"/>
      <c r="G55" s="36"/>
      <c r="H55" s="36"/>
      <c r="I55" s="36"/>
      <c r="M55" s="36"/>
      <c r="N55" s="36"/>
      <c r="O55" s="36"/>
      <c r="Q55" s="36"/>
      <c r="R55" s="36"/>
      <c r="S55" s="36"/>
    </row>
    <row r="56">
      <c r="B56" s="36"/>
      <c r="C56" s="36"/>
      <c r="D56" s="36"/>
      <c r="G56" s="36"/>
      <c r="H56" s="36"/>
      <c r="I56" s="36"/>
      <c r="M56" s="36"/>
      <c r="N56" s="36"/>
      <c r="O56" s="36"/>
      <c r="Q56" s="36"/>
      <c r="R56" s="36"/>
      <c r="S56" s="36"/>
    </row>
    <row r="57">
      <c r="B57" s="36"/>
      <c r="C57" s="36"/>
      <c r="D57" s="36"/>
      <c r="G57" s="36"/>
      <c r="H57" s="36"/>
      <c r="I57" s="36"/>
      <c r="M57" s="36"/>
      <c r="N57" s="36"/>
      <c r="O57" s="36"/>
      <c r="Q57" s="36"/>
      <c r="R57" s="36"/>
      <c r="S57" s="36"/>
    </row>
    <row r="58">
      <c r="B58" s="36"/>
      <c r="C58" s="36"/>
      <c r="D58" s="36"/>
      <c r="G58" s="36"/>
      <c r="H58" s="36"/>
      <c r="I58" s="36"/>
      <c r="M58" s="36"/>
      <c r="N58" s="36"/>
      <c r="O58" s="36"/>
      <c r="Q58" s="36"/>
      <c r="R58" s="36"/>
      <c r="S58" s="36"/>
    </row>
    <row r="59">
      <c r="B59" s="36"/>
      <c r="C59" s="36"/>
      <c r="D59" s="36"/>
      <c r="G59" s="36"/>
      <c r="H59" s="36"/>
      <c r="I59" s="36"/>
      <c r="M59" s="36"/>
      <c r="N59" s="36"/>
      <c r="O59" s="36"/>
      <c r="Q59" s="36"/>
      <c r="R59" s="36"/>
      <c r="S59" s="36"/>
    </row>
    <row r="60">
      <c r="B60" s="36"/>
      <c r="C60" s="36"/>
      <c r="D60" s="36"/>
      <c r="G60" s="36"/>
      <c r="H60" s="36"/>
      <c r="I60" s="36"/>
      <c r="M60" s="36"/>
      <c r="N60" s="36"/>
      <c r="O60" s="36"/>
      <c r="Q60" s="36"/>
      <c r="R60" s="36"/>
      <c r="S60" s="36"/>
    </row>
    <row r="61">
      <c r="B61" s="36"/>
      <c r="C61" s="36"/>
      <c r="D61" s="36"/>
      <c r="G61" s="36"/>
      <c r="H61" s="36"/>
      <c r="I61" s="36"/>
      <c r="M61" s="36"/>
      <c r="N61" s="36"/>
      <c r="O61" s="36"/>
      <c r="Q61" s="36"/>
      <c r="R61" s="36"/>
      <c r="S61" s="36"/>
    </row>
    <row r="62">
      <c r="B62" s="36"/>
      <c r="C62" s="36"/>
      <c r="D62" s="36"/>
      <c r="G62" s="36"/>
      <c r="H62" s="36"/>
      <c r="I62" s="36"/>
      <c r="M62" s="36"/>
      <c r="N62" s="36"/>
      <c r="O62" s="36"/>
      <c r="Q62" s="36"/>
      <c r="R62" s="36"/>
      <c r="S62" s="36"/>
    </row>
    <row r="63">
      <c r="B63" s="36"/>
      <c r="C63" s="36"/>
      <c r="D63" s="36"/>
      <c r="G63" s="36"/>
      <c r="H63" s="36"/>
      <c r="I63" s="36"/>
      <c r="M63" s="36"/>
      <c r="N63" s="36"/>
      <c r="O63" s="36"/>
      <c r="Q63" s="36"/>
      <c r="R63" s="36"/>
      <c r="S63" s="36"/>
    </row>
    <row r="64">
      <c r="B64" s="36"/>
      <c r="C64" s="36"/>
      <c r="D64" s="36"/>
      <c r="G64" s="36"/>
      <c r="H64" s="36"/>
      <c r="I64" s="36"/>
      <c r="M64" s="36"/>
      <c r="N64" s="36"/>
      <c r="O64" s="36"/>
      <c r="Q64" s="36"/>
      <c r="R64" s="36"/>
      <c r="S64" s="36"/>
    </row>
    <row r="65">
      <c r="B65" s="36"/>
      <c r="C65" s="36"/>
      <c r="D65" s="36"/>
      <c r="G65" s="36"/>
      <c r="H65" s="36"/>
      <c r="I65" s="36"/>
      <c r="M65" s="36"/>
      <c r="N65" s="36"/>
      <c r="O65" s="36"/>
      <c r="Q65" s="36"/>
      <c r="R65" s="36"/>
      <c r="S65" s="36"/>
    </row>
    <row r="66">
      <c r="B66" s="36"/>
      <c r="C66" s="36"/>
      <c r="D66" s="36"/>
      <c r="G66" s="36"/>
      <c r="H66" s="36"/>
      <c r="I66" s="36"/>
      <c r="M66" s="36"/>
      <c r="N66" s="36"/>
      <c r="O66" s="36"/>
      <c r="Q66" s="36"/>
      <c r="R66" s="36"/>
      <c r="S66" s="36"/>
    </row>
    <row r="67">
      <c r="B67" s="36"/>
      <c r="C67" s="36"/>
      <c r="D67" s="36"/>
      <c r="G67" s="36"/>
      <c r="H67" s="36"/>
      <c r="I67" s="36"/>
      <c r="M67" s="36"/>
      <c r="N67" s="36"/>
      <c r="O67" s="36"/>
      <c r="Q67" s="36"/>
      <c r="R67" s="36"/>
      <c r="S67" s="36"/>
    </row>
    <row r="68">
      <c r="B68" s="36"/>
      <c r="C68" s="36"/>
      <c r="D68" s="36"/>
      <c r="G68" s="36"/>
      <c r="H68" s="36"/>
      <c r="I68" s="36"/>
      <c r="M68" s="36"/>
      <c r="N68" s="36"/>
      <c r="O68" s="36"/>
      <c r="Q68" s="36"/>
      <c r="R68" s="36"/>
      <c r="S68" s="36"/>
    </row>
    <row r="69">
      <c r="B69" s="36"/>
      <c r="C69" s="36"/>
      <c r="D69" s="36"/>
      <c r="G69" s="36"/>
      <c r="H69" s="36"/>
      <c r="I69" s="36"/>
      <c r="M69" s="36"/>
      <c r="N69" s="36"/>
      <c r="O69" s="36"/>
      <c r="Q69" s="36"/>
      <c r="R69" s="36"/>
      <c r="S69" s="36"/>
    </row>
    <row r="70">
      <c r="B70" s="36"/>
      <c r="C70" s="36"/>
      <c r="D70" s="36"/>
      <c r="G70" s="36"/>
      <c r="H70" s="36"/>
      <c r="I70" s="36"/>
      <c r="M70" s="36"/>
      <c r="N70" s="36"/>
      <c r="O70" s="36"/>
      <c r="Q70" s="36"/>
      <c r="R70" s="36"/>
      <c r="S70" s="36"/>
    </row>
    <row r="71">
      <c r="B71" s="36"/>
      <c r="C71" s="36"/>
      <c r="D71" s="36"/>
      <c r="G71" s="36"/>
      <c r="H71" s="36"/>
      <c r="I71" s="36"/>
      <c r="M71" s="36"/>
      <c r="N71" s="36"/>
      <c r="O71" s="36"/>
      <c r="Q71" s="36"/>
      <c r="R71" s="36"/>
      <c r="S71" s="36"/>
    </row>
    <row r="72">
      <c r="B72" s="36"/>
      <c r="C72" s="36"/>
      <c r="D72" s="36"/>
      <c r="G72" s="36"/>
      <c r="H72" s="36"/>
      <c r="I72" s="36"/>
      <c r="M72" s="36"/>
      <c r="N72" s="36"/>
      <c r="O72" s="36"/>
      <c r="Q72" s="36"/>
      <c r="R72" s="36"/>
      <c r="S72" s="36"/>
    </row>
    <row r="73">
      <c r="B73" s="36"/>
      <c r="C73" s="36"/>
      <c r="D73" s="36"/>
      <c r="G73" s="36"/>
      <c r="H73" s="36"/>
      <c r="I73" s="36"/>
      <c r="M73" s="36"/>
      <c r="N73" s="36"/>
      <c r="O73" s="36"/>
      <c r="Q73" s="36"/>
      <c r="R73" s="36"/>
      <c r="S73" s="36"/>
    </row>
    <row r="74">
      <c r="B74" s="36"/>
      <c r="C74" s="36"/>
      <c r="D74" s="36"/>
      <c r="G74" s="36"/>
      <c r="H74" s="36"/>
      <c r="I74" s="36"/>
      <c r="M74" s="36"/>
      <c r="N74" s="36"/>
      <c r="O74" s="36"/>
      <c r="Q74" s="36"/>
      <c r="R74" s="36"/>
      <c r="S74" s="36"/>
    </row>
    <row r="75">
      <c r="B75" s="36"/>
      <c r="C75" s="36"/>
      <c r="D75" s="36"/>
      <c r="G75" s="36"/>
      <c r="H75" s="36"/>
      <c r="I75" s="36"/>
      <c r="M75" s="36"/>
      <c r="N75" s="36"/>
      <c r="O75" s="36"/>
      <c r="Q75" s="36"/>
      <c r="R75" s="36"/>
      <c r="S75" s="36"/>
    </row>
    <row r="76">
      <c r="B76" s="36"/>
      <c r="C76" s="36"/>
      <c r="D76" s="36"/>
      <c r="G76" s="36"/>
      <c r="H76" s="36"/>
      <c r="I76" s="36"/>
      <c r="M76" s="36"/>
      <c r="N76" s="36"/>
      <c r="O76" s="36"/>
      <c r="Q76" s="36"/>
      <c r="R76" s="36"/>
      <c r="S76" s="36"/>
    </row>
    <row r="77">
      <c r="B77" s="36"/>
      <c r="C77" s="36"/>
      <c r="D77" s="36"/>
      <c r="G77" s="36"/>
      <c r="H77" s="36"/>
      <c r="I77" s="36"/>
      <c r="M77" s="36"/>
      <c r="N77" s="36"/>
      <c r="O77" s="36"/>
      <c r="Q77" s="36"/>
      <c r="R77" s="36"/>
      <c r="S77" s="36"/>
    </row>
    <row r="78">
      <c r="B78" s="36"/>
      <c r="C78" s="36"/>
      <c r="D78" s="36"/>
      <c r="G78" s="36"/>
      <c r="H78" s="36"/>
      <c r="I78" s="36"/>
      <c r="M78" s="36"/>
      <c r="N78" s="36"/>
      <c r="O78" s="36"/>
      <c r="Q78" s="36"/>
      <c r="R78" s="36"/>
      <c r="S78" s="36"/>
    </row>
    <row r="79">
      <c r="B79" s="36"/>
      <c r="C79" s="36"/>
      <c r="D79" s="36"/>
      <c r="G79" s="36"/>
      <c r="H79" s="36"/>
      <c r="I79" s="36"/>
      <c r="M79" s="36"/>
      <c r="N79" s="36"/>
      <c r="O79" s="36"/>
      <c r="Q79" s="36"/>
      <c r="R79" s="36"/>
      <c r="S79" s="36"/>
    </row>
    <row r="80">
      <c r="B80" s="36"/>
      <c r="C80" s="36"/>
      <c r="D80" s="36"/>
      <c r="G80" s="36"/>
      <c r="H80" s="36"/>
      <c r="I80" s="36"/>
      <c r="M80" s="36"/>
      <c r="N80" s="36"/>
      <c r="O80" s="36"/>
      <c r="Q80" s="36"/>
      <c r="R80" s="36"/>
      <c r="S80" s="36"/>
    </row>
    <row r="81">
      <c r="B81" s="36"/>
      <c r="C81" s="36"/>
      <c r="D81" s="36"/>
      <c r="G81" s="36"/>
      <c r="H81" s="36"/>
      <c r="I81" s="36"/>
      <c r="M81" s="36"/>
      <c r="N81" s="36"/>
      <c r="O81" s="36"/>
      <c r="Q81" s="36"/>
      <c r="R81" s="36"/>
      <c r="S81" s="36"/>
    </row>
    <row r="82">
      <c r="B82" s="36"/>
      <c r="C82" s="36"/>
      <c r="D82" s="36"/>
      <c r="G82" s="36"/>
      <c r="H82" s="36"/>
      <c r="I82" s="36"/>
      <c r="M82" s="36"/>
      <c r="N82" s="36"/>
      <c r="O82" s="36"/>
      <c r="Q82" s="36"/>
      <c r="R82" s="36"/>
      <c r="S82" s="36"/>
    </row>
    <row r="83">
      <c r="B83" s="36"/>
      <c r="C83" s="36"/>
      <c r="D83" s="36"/>
      <c r="G83" s="36"/>
      <c r="H83" s="36"/>
      <c r="I83" s="36"/>
      <c r="M83" s="36"/>
      <c r="N83" s="36"/>
      <c r="O83" s="36"/>
      <c r="Q83" s="36"/>
      <c r="R83" s="36"/>
      <c r="S83" s="36"/>
    </row>
    <row r="84">
      <c r="B84" s="36"/>
      <c r="C84" s="36"/>
      <c r="D84" s="36"/>
      <c r="G84" s="36"/>
      <c r="H84" s="36"/>
      <c r="I84" s="36"/>
      <c r="M84" s="36"/>
      <c r="N84" s="36"/>
      <c r="O84" s="36"/>
      <c r="Q84" s="36"/>
      <c r="R84" s="36"/>
      <c r="S84" s="36"/>
    </row>
    <row r="85">
      <c r="B85" s="36"/>
      <c r="C85" s="36"/>
      <c r="D85" s="36"/>
      <c r="G85" s="36"/>
      <c r="H85" s="36"/>
      <c r="I85" s="36"/>
      <c r="M85" s="36"/>
      <c r="N85" s="36"/>
      <c r="O85" s="36"/>
      <c r="Q85" s="36"/>
      <c r="R85" s="36"/>
      <c r="S85" s="36"/>
    </row>
    <row r="86">
      <c r="B86" s="36"/>
      <c r="C86" s="36"/>
      <c r="D86" s="36"/>
      <c r="G86" s="36"/>
      <c r="H86" s="36"/>
      <c r="I86" s="36"/>
      <c r="M86" s="36"/>
      <c r="N86" s="36"/>
      <c r="O86" s="36"/>
      <c r="Q86" s="36"/>
      <c r="R86" s="36"/>
      <c r="S86" s="36"/>
    </row>
    <row r="87">
      <c r="B87" s="36"/>
      <c r="C87" s="36"/>
      <c r="D87" s="36"/>
      <c r="G87" s="36"/>
      <c r="H87" s="36"/>
      <c r="I87" s="36"/>
      <c r="M87" s="36"/>
      <c r="N87" s="36"/>
      <c r="O87" s="36"/>
      <c r="Q87" s="36"/>
      <c r="R87" s="36"/>
      <c r="S87" s="36"/>
    </row>
    <row r="88">
      <c r="B88" s="36"/>
      <c r="C88" s="36"/>
      <c r="D88" s="36"/>
      <c r="G88" s="36"/>
      <c r="H88" s="36"/>
      <c r="I88" s="36"/>
      <c r="M88" s="36"/>
      <c r="N88" s="36"/>
      <c r="O88" s="36"/>
      <c r="Q88" s="36"/>
      <c r="R88" s="36"/>
      <c r="S88" s="36"/>
    </row>
    <row r="89">
      <c r="B89" s="36"/>
      <c r="C89" s="36"/>
      <c r="D89" s="36"/>
      <c r="G89" s="36"/>
      <c r="H89" s="36"/>
      <c r="I89" s="36"/>
      <c r="M89" s="36"/>
      <c r="N89" s="36"/>
      <c r="O89" s="36"/>
      <c r="Q89" s="36"/>
      <c r="R89" s="36"/>
      <c r="S89" s="36"/>
    </row>
    <row r="90">
      <c r="B90" s="36"/>
      <c r="C90" s="36"/>
      <c r="D90" s="36"/>
      <c r="G90" s="36"/>
      <c r="H90" s="36"/>
      <c r="I90" s="36"/>
      <c r="M90" s="36"/>
      <c r="N90" s="36"/>
      <c r="O90" s="36"/>
      <c r="Q90" s="36"/>
      <c r="R90" s="36"/>
      <c r="S90" s="36"/>
    </row>
    <row r="91">
      <c r="B91" s="36"/>
      <c r="C91" s="36"/>
      <c r="D91" s="36"/>
      <c r="G91" s="36"/>
      <c r="H91" s="36"/>
      <c r="I91" s="36"/>
      <c r="M91" s="36"/>
      <c r="N91" s="36"/>
      <c r="O91" s="36"/>
      <c r="Q91" s="36"/>
      <c r="R91" s="36"/>
      <c r="S91" s="36"/>
    </row>
    <row r="92">
      <c r="B92" s="36"/>
      <c r="C92" s="36"/>
      <c r="D92" s="36"/>
      <c r="G92" s="36"/>
      <c r="H92" s="36"/>
      <c r="I92" s="36"/>
      <c r="M92" s="36"/>
      <c r="N92" s="36"/>
      <c r="O92" s="36"/>
      <c r="Q92" s="36"/>
      <c r="R92" s="36"/>
      <c r="S92" s="36"/>
    </row>
    <row r="93">
      <c r="B93" s="36"/>
      <c r="C93" s="36"/>
      <c r="D93" s="36"/>
      <c r="G93" s="36"/>
      <c r="H93" s="36"/>
      <c r="I93" s="36"/>
      <c r="M93" s="36"/>
      <c r="N93" s="36"/>
      <c r="O93" s="36"/>
      <c r="Q93" s="36"/>
      <c r="R93" s="36"/>
      <c r="S93" s="36"/>
    </row>
    <row r="94">
      <c r="B94" s="36"/>
      <c r="C94" s="36"/>
      <c r="D94" s="36"/>
      <c r="G94" s="36"/>
      <c r="H94" s="36"/>
      <c r="I94" s="36"/>
      <c r="M94" s="36"/>
      <c r="N94" s="36"/>
      <c r="O94" s="36"/>
      <c r="Q94" s="36"/>
      <c r="R94" s="36"/>
      <c r="S94" s="36"/>
    </row>
    <row r="95">
      <c r="B95" s="36"/>
      <c r="C95" s="36"/>
      <c r="D95" s="36"/>
      <c r="G95" s="36"/>
      <c r="H95" s="36"/>
      <c r="I95" s="36"/>
      <c r="M95" s="36"/>
      <c r="N95" s="36"/>
      <c r="O95" s="36"/>
      <c r="Q95" s="36"/>
      <c r="R95" s="36"/>
      <c r="S95" s="36"/>
    </row>
    <row r="96">
      <c r="B96" s="36"/>
      <c r="C96" s="36"/>
      <c r="D96" s="36"/>
      <c r="G96" s="36"/>
      <c r="H96" s="36"/>
      <c r="I96" s="36"/>
      <c r="M96" s="36"/>
      <c r="N96" s="36"/>
      <c r="O96" s="36"/>
      <c r="Q96" s="36"/>
      <c r="R96" s="36"/>
      <c r="S96" s="36"/>
    </row>
    <row r="97">
      <c r="B97" s="36"/>
      <c r="C97" s="36"/>
      <c r="D97" s="36"/>
      <c r="G97" s="36"/>
      <c r="H97" s="36"/>
      <c r="I97" s="36"/>
      <c r="M97" s="36"/>
      <c r="N97" s="36"/>
      <c r="O97" s="36"/>
      <c r="Q97" s="36"/>
      <c r="R97" s="36"/>
      <c r="S97" s="36"/>
    </row>
    <row r="98">
      <c r="B98" s="36"/>
      <c r="C98" s="36"/>
      <c r="D98" s="36"/>
      <c r="G98" s="36"/>
      <c r="H98" s="36"/>
      <c r="I98" s="36"/>
      <c r="M98" s="36"/>
      <c r="N98" s="36"/>
      <c r="O98" s="36"/>
      <c r="Q98" s="36"/>
      <c r="R98" s="36"/>
      <c r="S98" s="36"/>
    </row>
    <row r="99">
      <c r="B99" s="36"/>
      <c r="C99" s="36"/>
      <c r="D99" s="36"/>
      <c r="G99" s="36"/>
      <c r="H99" s="36"/>
      <c r="I99" s="36"/>
      <c r="M99" s="36"/>
      <c r="N99" s="36"/>
      <c r="O99" s="36"/>
      <c r="Q99" s="36"/>
      <c r="R99" s="36"/>
      <c r="S99" s="36"/>
    </row>
    <row r="100">
      <c r="B100" s="36"/>
      <c r="C100" s="36"/>
      <c r="D100" s="36"/>
      <c r="G100" s="36"/>
      <c r="H100" s="36"/>
      <c r="I100" s="36"/>
      <c r="M100" s="36"/>
      <c r="N100" s="36"/>
      <c r="O100" s="36"/>
      <c r="Q100" s="36"/>
      <c r="R100" s="36"/>
      <c r="S100" s="36"/>
    </row>
    <row r="101">
      <c r="B101" s="36"/>
      <c r="C101" s="36"/>
      <c r="D101" s="36"/>
      <c r="G101" s="36"/>
      <c r="H101" s="36"/>
      <c r="I101" s="36"/>
      <c r="M101" s="36"/>
      <c r="N101" s="36"/>
      <c r="O101" s="36"/>
      <c r="Q101" s="36"/>
      <c r="R101" s="36"/>
      <c r="S101" s="36"/>
    </row>
    <row r="102">
      <c r="B102" s="36"/>
      <c r="C102" s="36"/>
      <c r="D102" s="36"/>
      <c r="G102" s="36"/>
      <c r="H102" s="36"/>
      <c r="I102" s="36"/>
      <c r="M102" s="36"/>
      <c r="N102" s="36"/>
      <c r="O102" s="36"/>
      <c r="Q102" s="36"/>
      <c r="R102" s="36"/>
      <c r="S102" s="36"/>
    </row>
    <row r="103">
      <c r="B103" s="36"/>
      <c r="C103" s="36"/>
      <c r="D103" s="36"/>
      <c r="G103" s="36"/>
      <c r="H103" s="36"/>
      <c r="I103" s="36"/>
      <c r="M103" s="36"/>
      <c r="N103" s="36"/>
      <c r="O103" s="36"/>
      <c r="Q103" s="36"/>
      <c r="R103" s="36"/>
      <c r="S103" s="36"/>
    </row>
    <row r="104">
      <c r="B104" s="36"/>
      <c r="C104" s="36"/>
      <c r="D104" s="36"/>
      <c r="G104" s="36"/>
      <c r="H104" s="36"/>
      <c r="I104" s="36"/>
      <c r="M104" s="36"/>
      <c r="N104" s="36"/>
      <c r="O104" s="36"/>
      <c r="Q104" s="36"/>
      <c r="R104" s="36"/>
      <c r="S104" s="36"/>
    </row>
    <row r="105">
      <c r="B105" s="36"/>
      <c r="C105" s="36"/>
      <c r="D105" s="36"/>
      <c r="G105" s="36"/>
      <c r="H105" s="36"/>
      <c r="I105" s="36"/>
      <c r="M105" s="36"/>
      <c r="N105" s="36"/>
      <c r="O105" s="36"/>
      <c r="Q105" s="36"/>
      <c r="R105" s="36"/>
      <c r="S105" s="36"/>
    </row>
    <row r="106">
      <c r="B106" s="36"/>
      <c r="C106" s="36"/>
      <c r="D106" s="36"/>
      <c r="G106" s="36"/>
      <c r="H106" s="36"/>
      <c r="I106" s="36"/>
      <c r="M106" s="36"/>
      <c r="N106" s="36"/>
      <c r="O106" s="36"/>
      <c r="Q106" s="36"/>
      <c r="R106" s="36"/>
      <c r="S106" s="36"/>
    </row>
    <row r="107">
      <c r="B107" s="36"/>
      <c r="C107" s="36"/>
      <c r="D107" s="36"/>
      <c r="G107" s="36"/>
      <c r="H107" s="36"/>
      <c r="I107" s="36"/>
      <c r="M107" s="36"/>
      <c r="N107" s="36"/>
      <c r="O107" s="36"/>
      <c r="Q107" s="36"/>
      <c r="R107" s="36"/>
      <c r="S107" s="36"/>
    </row>
    <row r="108">
      <c r="B108" s="36"/>
      <c r="C108" s="36"/>
      <c r="D108" s="36"/>
      <c r="G108" s="36"/>
      <c r="H108" s="36"/>
      <c r="I108" s="36"/>
      <c r="M108" s="36"/>
      <c r="N108" s="36"/>
      <c r="O108" s="36"/>
      <c r="Q108" s="36"/>
      <c r="R108" s="36"/>
      <c r="S108" s="36"/>
    </row>
    <row r="109">
      <c r="B109" s="36"/>
      <c r="C109" s="36"/>
      <c r="D109" s="36"/>
      <c r="G109" s="36"/>
      <c r="H109" s="36"/>
      <c r="I109" s="36"/>
      <c r="M109" s="36"/>
      <c r="N109" s="36"/>
      <c r="O109" s="36"/>
      <c r="Q109" s="36"/>
      <c r="R109" s="36"/>
      <c r="S109" s="36"/>
    </row>
    <row r="110">
      <c r="B110" s="36"/>
      <c r="C110" s="36"/>
      <c r="D110" s="36"/>
      <c r="G110" s="36"/>
      <c r="H110" s="36"/>
      <c r="I110" s="36"/>
      <c r="M110" s="36"/>
      <c r="N110" s="36"/>
      <c r="O110" s="36"/>
      <c r="Q110" s="36"/>
      <c r="R110" s="36"/>
      <c r="S110" s="36"/>
    </row>
    <row r="111">
      <c r="B111" s="36"/>
      <c r="C111" s="36"/>
      <c r="D111" s="36"/>
      <c r="G111" s="36"/>
      <c r="H111" s="36"/>
      <c r="I111" s="36"/>
      <c r="M111" s="36"/>
      <c r="N111" s="36"/>
      <c r="O111" s="36"/>
      <c r="Q111" s="36"/>
      <c r="R111" s="36"/>
      <c r="S111" s="36"/>
    </row>
    <row r="112">
      <c r="B112" s="36"/>
      <c r="C112" s="36"/>
      <c r="D112" s="36"/>
      <c r="G112" s="36"/>
      <c r="H112" s="36"/>
      <c r="I112" s="36"/>
      <c r="M112" s="36"/>
      <c r="N112" s="36"/>
      <c r="O112" s="36"/>
      <c r="Q112" s="36"/>
      <c r="R112" s="36"/>
      <c r="S112" s="36"/>
    </row>
    <row r="113">
      <c r="B113" s="36"/>
      <c r="C113" s="36"/>
      <c r="D113" s="36"/>
      <c r="G113" s="36"/>
      <c r="H113" s="36"/>
      <c r="I113" s="36"/>
      <c r="M113" s="36"/>
      <c r="N113" s="36"/>
      <c r="O113" s="36"/>
      <c r="Q113" s="36"/>
      <c r="R113" s="36"/>
      <c r="S113" s="36"/>
    </row>
    <row r="114">
      <c r="B114" s="36"/>
      <c r="C114" s="36"/>
      <c r="D114" s="36"/>
      <c r="G114" s="36"/>
      <c r="H114" s="36"/>
      <c r="I114" s="36"/>
      <c r="M114" s="36"/>
      <c r="N114" s="36"/>
      <c r="O114" s="36"/>
      <c r="Q114" s="36"/>
      <c r="R114" s="36"/>
      <c r="S114" s="36"/>
    </row>
    <row r="115">
      <c r="B115" s="36"/>
      <c r="C115" s="36"/>
      <c r="D115" s="36"/>
      <c r="G115" s="36"/>
      <c r="H115" s="36"/>
      <c r="I115" s="36"/>
      <c r="M115" s="36"/>
      <c r="N115" s="36"/>
      <c r="O115" s="36"/>
      <c r="Q115" s="36"/>
      <c r="R115" s="36"/>
      <c r="S115" s="36"/>
    </row>
    <row r="116">
      <c r="B116" s="36"/>
      <c r="C116" s="36"/>
      <c r="D116" s="36"/>
      <c r="G116" s="36"/>
      <c r="H116" s="36"/>
      <c r="I116" s="36"/>
      <c r="M116" s="36"/>
      <c r="N116" s="36"/>
      <c r="O116" s="36"/>
      <c r="Q116" s="36"/>
      <c r="R116" s="36"/>
      <c r="S116" s="36"/>
    </row>
    <row r="117">
      <c r="B117" s="36"/>
      <c r="C117" s="36"/>
      <c r="D117" s="36"/>
      <c r="G117" s="36"/>
      <c r="H117" s="36"/>
      <c r="I117" s="36"/>
      <c r="M117" s="36"/>
      <c r="N117" s="36"/>
      <c r="O117" s="36"/>
      <c r="Q117" s="36"/>
      <c r="R117" s="36"/>
      <c r="S117" s="36"/>
    </row>
    <row r="118">
      <c r="B118" s="36"/>
      <c r="C118" s="36"/>
      <c r="D118" s="36"/>
      <c r="G118" s="36"/>
      <c r="H118" s="36"/>
      <c r="I118" s="36"/>
      <c r="M118" s="36"/>
      <c r="N118" s="36"/>
      <c r="O118" s="36"/>
      <c r="Q118" s="36"/>
      <c r="R118" s="36"/>
      <c r="S118" s="36"/>
    </row>
    <row r="119">
      <c r="B119" s="36"/>
      <c r="C119" s="36"/>
      <c r="D119" s="36"/>
      <c r="G119" s="36"/>
      <c r="H119" s="36"/>
      <c r="I119" s="36"/>
      <c r="M119" s="36"/>
      <c r="N119" s="36"/>
      <c r="O119" s="36"/>
      <c r="Q119" s="36"/>
      <c r="R119" s="36"/>
      <c r="S119" s="36"/>
    </row>
    <row r="120">
      <c r="B120" s="36"/>
      <c r="C120" s="36"/>
      <c r="D120" s="36"/>
      <c r="G120" s="36"/>
      <c r="H120" s="36"/>
      <c r="I120" s="36"/>
      <c r="M120" s="36"/>
      <c r="N120" s="36"/>
      <c r="O120" s="36"/>
      <c r="Q120" s="36"/>
      <c r="R120" s="36"/>
      <c r="S120" s="36"/>
    </row>
    <row r="121">
      <c r="B121" s="36"/>
      <c r="C121" s="36"/>
      <c r="D121" s="36"/>
      <c r="G121" s="36"/>
      <c r="H121" s="36"/>
      <c r="I121" s="36"/>
      <c r="M121" s="36"/>
      <c r="N121" s="36"/>
      <c r="O121" s="36"/>
      <c r="Q121" s="36"/>
      <c r="R121" s="36"/>
      <c r="S121" s="36"/>
    </row>
    <row r="122">
      <c r="B122" s="36"/>
      <c r="C122" s="36"/>
      <c r="D122" s="36"/>
      <c r="G122" s="36"/>
      <c r="H122" s="36"/>
      <c r="I122" s="36"/>
      <c r="M122" s="36"/>
      <c r="N122" s="36"/>
      <c r="O122" s="36"/>
      <c r="Q122" s="36"/>
      <c r="R122" s="36"/>
      <c r="S122" s="36"/>
    </row>
    <row r="123">
      <c r="B123" s="36"/>
      <c r="C123" s="36"/>
      <c r="D123" s="36"/>
      <c r="G123" s="36"/>
      <c r="H123" s="36"/>
      <c r="I123" s="36"/>
      <c r="M123" s="36"/>
      <c r="N123" s="36"/>
      <c r="O123" s="36"/>
      <c r="Q123" s="36"/>
      <c r="R123" s="36"/>
      <c r="S123" s="36"/>
    </row>
    <row r="124">
      <c r="B124" s="36"/>
      <c r="C124" s="36"/>
      <c r="D124" s="36"/>
      <c r="G124" s="36"/>
      <c r="H124" s="36"/>
      <c r="I124" s="36"/>
      <c r="M124" s="36"/>
      <c r="N124" s="36"/>
      <c r="O124" s="36"/>
      <c r="Q124" s="36"/>
      <c r="R124" s="36"/>
      <c r="S124" s="36"/>
    </row>
    <row r="125">
      <c r="B125" s="36"/>
      <c r="C125" s="36"/>
      <c r="D125" s="36"/>
      <c r="G125" s="36"/>
      <c r="H125" s="36"/>
      <c r="I125" s="36"/>
      <c r="M125" s="36"/>
      <c r="N125" s="36"/>
      <c r="O125" s="36"/>
      <c r="Q125" s="36"/>
      <c r="R125" s="36"/>
      <c r="S125" s="36"/>
    </row>
    <row r="126">
      <c r="B126" s="36"/>
      <c r="C126" s="36"/>
      <c r="D126" s="36"/>
      <c r="G126" s="36"/>
      <c r="H126" s="36"/>
      <c r="I126" s="36"/>
      <c r="M126" s="36"/>
      <c r="N126" s="36"/>
      <c r="O126" s="36"/>
      <c r="Q126" s="36"/>
      <c r="R126" s="36"/>
      <c r="S126" s="36"/>
    </row>
    <row r="127">
      <c r="B127" s="36"/>
      <c r="C127" s="36"/>
      <c r="D127" s="36"/>
      <c r="G127" s="36"/>
      <c r="H127" s="36"/>
      <c r="I127" s="36"/>
      <c r="M127" s="36"/>
      <c r="N127" s="36"/>
      <c r="O127" s="36"/>
      <c r="Q127" s="36"/>
      <c r="R127" s="36"/>
      <c r="S127" s="36"/>
    </row>
    <row r="128">
      <c r="B128" s="36"/>
      <c r="C128" s="36"/>
      <c r="D128" s="36"/>
      <c r="G128" s="36"/>
      <c r="H128" s="36"/>
      <c r="I128" s="36"/>
      <c r="M128" s="36"/>
      <c r="N128" s="36"/>
      <c r="O128" s="36"/>
      <c r="Q128" s="36"/>
      <c r="R128" s="36"/>
      <c r="S128" s="36"/>
    </row>
    <row r="129">
      <c r="B129" s="36"/>
      <c r="C129" s="36"/>
      <c r="D129" s="36"/>
      <c r="G129" s="36"/>
      <c r="H129" s="36"/>
      <c r="I129" s="36"/>
      <c r="M129" s="36"/>
      <c r="N129" s="36"/>
      <c r="O129" s="36"/>
      <c r="Q129" s="36"/>
      <c r="R129" s="36"/>
      <c r="S129" s="36"/>
    </row>
    <row r="130">
      <c r="B130" s="36"/>
      <c r="C130" s="36"/>
      <c r="D130" s="36"/>
      <c r="G130" s="36"/>
      <c r="H130" s="36"/>
      <c r="I130" s="36"/>
      <c r="M130" s="36"/>
      <c r="N130" s="36"/>
      <c r="O130" s="36"/>
      <c r="Q130" s="36"/>
      <c r="R130" s="36"/>
      <c r="S130" s="36"/>
    </row>
    <row r="131">
      <c r="B131" s="36"/>
      <c r="C131" s="36"/>
      <c r="D131" s="36"/>
      <c r="G131" s="36"/>
      <c r="H131" s="36"/>
      <c r="I131" s="36"/>
      <c r="M131" s="36"/>
      <c r="N131" s="36"/>
      <c r="O131" s="36"/>
      <c r="Q131" s="36"/>
      <c r="R131" s="36"/>
      <c r="S131" s="36"/>
    </row>
    <row r="132">
      <c r="B132" s="36"/>
      <c r="C132" s="36"/>
      <c r="D132" s="36"/>
      <c r="G132" s="36"/>
      <c r="H132" s="36"/>
      <c r="I132" s="36"/>
      <c r="M132" s="36"/>
      <c r="N132" s="36"/>
      <c r="O132" s="36"/>
      <c r="Q132" s="36"/>
      <c r="R132" s="36"/>
      <c r="S132" s="36"/>
    </row>
    <row r="133">
      <c r="B133" s="36"/>
      <c r="C133" s="36"/>
      <c r="D133" s="36"/>
      <c r="G133" s="36"/>
      <c r="H133" s="36"/>
      <c r="I133" s="36"/>
      <c r="M133" s="36"/>
      <c r="N133" s="36"/>
      <c r="O133" s="36"/>
      <c r="Q133" s="36"/>
      <c r="R133" s="36"/>
      <c r="S133" s="36"/>
    </row>
    <row r="134">
      <c r="B134" s="36"/>
      <c r="C134" s="36"/>
      <c r="D134" s="36"/>
      <c r="G134" s="36"/>
      <c r="H134" s="36"/>
      <c r="I134" s="36"/>
      <c r="M134" s="36"/>
      <c r="N134" s="36"/>
      <c r="O134" s="36"/>
      <c r="Q134" s="36"/>
      <c r="R134" s="36"/>
      <c r="S134" s="36"/>
    </row>
    <row r="135">
      <c r="B135" s="36"/>
      <c r="C135" s="36"/>
      <c r="D135" s="36"/>
      <c r="G135" s="36"/>
      <c r="H135" s="36"/>
      <c r="I135" s="36"/>
      <c r="M135" s="36"/>
      <c r="N135" s="36"/>
      <c r="O135" s="36"/>
      <c r="Q135" s="36"/>
      <c r="R135" s="36"/>
      <c r="S135" s="36"/>
    </row>
    <row r="136">
      <c r="B136" s="36"/>
      <c r="C136" s="36"/>
      <c r="D136" s="36"/>
      <c r="G136" s="36"/>
      <c r="H136" s="36"/>
      <c r="I136" s="36"/>
      <c r="M136" s="36"/>
      <c r="N136" s="36"/>
      <c r="O136" s="36"/>
      <c r="Q136" s="36"/>
      <c r="R136" s="36"/>
      <c r="S136" s="36"/>
    </row>
    <row r="137">
      <c r="B137" s="36"/>
      <c r="C137" s="36"/>
      <c r="D137" s="36"/>
      <c r="G137" s="36"/>
      <c r="H137" s="36"/>
      <c r="I137" s="36"/>
      <c r="M137" s="36"/>
      <c r="N137" s="36"/>
      <c r="O137" s="36"/>
      <c r="Q137" s="36"/>
      <c r="R137" s="36"/>
      <c r="S137" s="36"/>
    </row>
    <row r="138">
      <c r="B138" s="36"/>
      <c r="C138" s="36"/>
      <c r="D138" s="36"/>
      <c r="G138" s="36"/>
      <c r="H138" s="36"/>
      <c r="I138" s="36"/>
      <c r="M138" s="36"/>
      <c r="N138" s="36"/>
      <c r="O138" s="36"/>
      <c r="Q138" s="36"/>
      <c r="R138" s="36"/>
      <c r="S138" s="36"/>
    </row>
    <row r="139">
      <c r="B139" s="36"/>
      <c r="C139" s="36"/>
      <c r="D139" s="36"/>
      <c r="G139" s="36"/>
      <c r="H139" s="36"/>
      <c r="I139" s="36"/>
      <c r="M139" s="36"/>
      <c r="N139" s="36"/>
      <c r="O139" s="36"/>
      <c r="Q139" s="36"/>
      <c r="R139" s="36"/>
      <c r="S139" s="36"/>
    </row>
    <row r="140">
      <c r="B140" s="36"/>
      <c r="C140" s="36"/>
      <c r="D140" s="36"/>
      <c r="G140" s="36"/>
      <c r="H140" s="36"/>
      <c r="I140" s="36"/>
      <c r="M140" s="36"/>
      <c r="N140" s="36"/>
      <c r="O140" s="36"/>
      <c r="Q140" s="36"/>
      <c r="R140" s="36"/>
      <c r="S140" s="36"/>
    </row>
    <row r="141">
      <c r="B141" s="36"/>
      <c r="C141" s="36"/>
      <c r="D141" s="36"/>
      <c r="G141" s="36"/>
      <c r="H141" s="36"/>
      <c r="I141" s="36"/>
      <c r="M141" s="36"/>
      <c r="N141" s="36"/>
      <c r="O141" s="36"/>
      <c r="Q141" s="36"/>
      <c r="R141" s="36"/>
      <c r="S141" s="36"/>
    </row>
    <row r="142">
      <c r="B142" s="36"/>
      <c r="C142" s="36"/>
      <c r="D142" s="36"/>
      <c r="G142" s="36"/>
      <c r="H142" s="36"/>
      <c r="I142" s="36"/>
      <c r="M142" s="36"/>
      <c r="N142" s="36"/>
      <c r="O142" s="36"/>
      <c r="Q142" s="36"/>
      <c r="R142" s="36"/>
      <c r="S142" s="36"/>
    </row>
    <row r="143">
      <c r="B143" s="36"/>
      <c r="C143" s="36"/>
      <c r="D143" s="36"/>
      <c r="G143" s="36"/>
      <c r="H143" s="36"/>
      <c r="I143" s="36"/>
      <c r="M143" s="36"/>
      <c r="N143" s="36"/>
      <c r="O143" s="36"/>
      <c r="Q143" s="36"/>
      <c r="R143" s="36"/>
      <c r="S143" s="36"/>
    </row>
    <row r="144">
      <c r="B144" s="36"/>
      <c r="C144" s="36"/>
      <c r="D144" s="36"/>
      <c r="G144" s="36"/>
      <c r="H144" s="36"/>
      <c r="I144" s="36"/>
      <c r="M144" s="36"/>
      <c r="N144" s="36"/>
      <c r="O144" s="36"/>
      <c r="Q144" s="36"/>
      <c r="R144" s="36"/>
      <c r="S144" s="36"/>
    </row>
    <row r="145">
      <c r="B145" s="36"/>
      <c r="C145" s="36"/>
      <c r="D145" s="36"/>
      <c r="G145" s="36"/>
      <c r="H145" s="36"/>
      <c r="I145" s="36"/>
      <c r="M145" s="36"/>
      <c r="N145" s="36"/>
      <c r="O145" s="36"/>
      <c r="Q145" s="36"/>
      <c r="R145" s="36"/>
      <c r="S145" s="36"/>
    </row>
    <row r="146">
      <c r="B146" s="36"/>
      <c r="C146" s="36"/>
      <c r="D146" s="36"/>
      <c r="G146" s="36"/>
      <c r="H146" s="36"/>
      <c r="I146" s="36"/>
      <c r="M146" s="36"/>
      <c r="N146" s="36"/>
      <c r="O146" s="36"/>
      <c r="Q146" s="36"/>
      <c r="R146" s="36"/>
      <c r="S146" s="36"/>
    </row>
    <row r="147">
      <c r="B147" s="36"/>
      <c r="C147" s="36"/>
      <c r="D147" s="36"/>
      <c r="G147" s="36"/>
      <c r="H147" s="36"/>
      <c r="I147" s="36"/>
      <c r="M147" s="36"/>
      <c r="N147" s="36"/>
      <c r="O147" s="36"/>
      <c r="Q147" s="36"/>
      <c r="R147" s="36"/>
      <c r="S147" s="36"/>
    </row>
    <row r="148">
      <c r="B148" s="36"/>
      <c r="C148" s="36"/>
      <c r="D148" s="36"/>
      <c r="G148" s="36"/>
      <c r="H148" s="36"/>
      <c r="I148" s="36"/>
      <c r="M148" s="36"/>
      <c r="N148" s="36"/>
      <c r="O148" s="36"/>
      <c r="Q148" s="36"/>
      <c r="R148" s="36"/>
      <c r="S148" s="36"/>
    </row>
    <row r="149">
      <c r="B149" s="36"/>
      <c r="C149" s="36"/>
      <c r="D149" s="36"/>
      <c r="G149" s="36"/>
      <c r="H149" s="36"/>
      <c r="I149" s="36"/>
      <c r="M149" s="36"/>
      <c r="N149" s="36"/>
      <c r="O149" s="36"/>
      <c r="Q149" s="36"/>
      <c r="R149" s="36"/>
      <c r="S149" s="36"/>
    </row>
    <row r="150">
      <c r="B150" s="36"/>
      <c r="C150" s="36"/>
      <c r="D150" s="36"/>
      <c r="G150" s="36"/>
      <c r="H150" s="36"/>
      <c r="I150" s="36"/>
      <c r="M150" s="36"/>
      <c r="N150" s="36"/>
      <c r="O150" s="36"/>
      <c r="Q150" s="36"/>
      <c r="R150" s="36"/>
      <c r="S150" s="36"/>
    </row>
    <row r="151">
      <c r="B151" s="36"/>
      <c r="C151" s="36"/>
      <c r="D151" s="36"/>
      <c r="G151" s="36"/>
      <c r="H151" s="36"/>
      <c r="I151" s="36"/>
      <c r="M151" s="36"/>
      <c r="N151" s="36"/>
      <c r="O151" s="36"/>
      <c r="Q151" s="36"/>
      <c r="R151" s="36"/>
      <c r="S151" s="36"/>
    </row>
    <row r="152">
      <c r="B152" s="36"/>
      <c r="C152" s="36"/>
      <c r="D152" s="36"/>
      <c r="G152" s="36"/>
      <c r="H152" s="36"/>
      <c r="I152" s="36"/>
      <c r="M152" s="36"/>
      <c r="N152" s="36"/>
      <c r="O152" s="36"/>
      <c r="Q152" s="36"/>
      <c r="R152" s="36"/>
      <c r="S152" s="36"/>
    </row>
    <row r="153">
      <c r="B153" s="36"/>
      <c r="C153" s="36"/>
      <c r="D153" s="36"/>
      <c r="G153" s="36"/>
      <c r="H153" s="36"/>
      <c r="I153" s="36"/>
      <c r="M153" s="36"/>
      <c r="N153" s="36"/>
      <c r="O153" s="36"/>
      <c r="Q153" s="36"/>
      <c r="R153" s="36"/>
      <c r="S153" s="36"/>
    </row>
    <row r="154">
      <c r="B154" s="36"/>
      <c r="C154" s="36"/>
      <c r="D154" s="36"/>
      <c r="G154" s="36"/>
      <c r="H154" s="36"/>
      <c r="I154" s="36"/>
      <c r="M154" s="36"/>
      <c r="N154" s="36"/>
      <c r="O154" s="36"/>
      <c r="Q154" s="36"/>
      <c r="R154" s="36"/>
      <c r="S154" s="36"/>
    </row>
    <row r="155">
      <c r="B155" s="36"/>
      <c r="C155" s="36"/>
      <c r="D155" s="36"/>
      <c r="G155" s="36"/>
      <c r="H155" s="36"/>
      <c r="I155" s="36"/>
      <c r="M155" s="36"/>
      <c r="N155" s="36"/>
      <c r="O155" s="36"/>
      <c r="Q155" s="36"/>
      <c r="R155" s="36"/>
      <c r="S155" s="36"/>
    </row>
    <row r="156">
      <c r="B156" s="36"/>
      <c r="C156" s="36"/>
      <c r="D156" s="36"/>
      <c r="G156" s="36"/>
      <c r="H156" s="36"/>
      <c r="I156" s="36"/>
      <c r="M156" s="36"/>
      <c r="N156" s="36"/>
      <c r="O156" s="36"/>
      <c r="Q156" s="36"/>
      <c r="R156" s="36"/>
      <c r="S156" s="36"/>
    </row>
    <row r="157">
      <c r="B157" s="36"/>
      <c r="C157" s="36"/>
      <c r="D157" s="36"/>
      <c r="G157" s="36"/>
      <c r="H157" s="36"/>
      <c r="I157" s="36"/>
      <c r="M157" s="36"/>
      <c r="N157" s="36"/>
      <c r="O157" s="36"/>
      <c r="Q157" s="36"/>
      <c r="R157" s="36"/>
      <c r="S157" s="36"/>
    </row>
    <row r="158">
      <c r="B158" s="36"/>
      <c r="C158" s="36"/>
      <c r="D158" s="36"/>
      <c r="G158" s="36"/>
      <c r="H158" s="36"/>
      <c r="I158" s="36"/>
      <c r="M158" s="36"/>
      <c r="N158" s="36"/>
      <c r="O158" s="36"/>
      <c r="Q158" s="36"/>
      <c r="R158" s="36"/>
      <c r="S158" s="36"/>
    </row>
    <row r="159">
      <c r="B159" s="36"/>
      <c r="C159" s="36"/>
      <c r="D159" s="36"/>
      <c r="G159" s="36"/>
      <c r="H159" s="36"/>
      <c r="I159" s="36"/>
      <c r="M159" s="36"/>
      <c r="N159" s="36"/>
      <c r="O159" s="36"/>
      <c r="Q159" s="36"/>
      <c r="R159" s="36"/>
      <c r="S159" s="36"/>
    </row>
    <row r="160">
      <c r="B160" s="36"/>
      <c r="C160" s="36"/>
      <c r="D160" s="36"/>
      <c r="G160" s="36"/>
      <c r="H160" s="36"/>
      <c r="I160" s="36"/>
      <c r="M160" s="36"/>
      <c r="N160" s="36"/>
      <c r="O160" s="36"/>
      <c r="Q160" s="36"/>
      <c r="R160" s="36"/>
      <c r="S160" s="36"/>
    </row>
    <row r="161">
      <c r="B161" s="36"/>
      <c r="C161" s="36"/>
      <c r="D161" s="36"/>
      <c r="G161" s="36"/>
      <c r="H161" s="36"/>
      <c r="I161" s="36"/>
      <c r="M161" s="36"/>
      <c r="N161" s="36"/>
      <c r="O161" s="36"/>
      <c r="Q161" s="36"/>
      <c r="R161" s="36"/>
      <c r="S161" s="36"/>
    </row>
    <row r="162">
      <c r="B162" s="36"/>
      <c r="C162" s="36"/>
      <c r="D162" s="36"/>
      <c r="G162" s="36"/>
      <c r="H162" s="36"/>
      <c r="I162" s="36"/>
      <c r="M162" s="36"/>
      <c r="N162" s="36"/>
      <c r="O162" s="36"/>
      <c r="Q162" s="36"/>
      <c r="R162" s="36"/>
      <c r="S162" s="36"/>
    </row>
    <row r="163">
      <c r="B163" s="36"/>
      <c r="C163" s="36"/>
      <c r="D163" s="36"/>
      <c r="G163" s="36"/>
      <c r="H163" s="36"/>
      <c r="I163" s="36"/>
      <c r="M163" s="36"/>
      <c r="N163" s="36"/>
      <c r="O163" s="36"/>
      <c r="Q163" s="36"/>
      <c r="R163" s="36"/>
      <c r="S163" s="36"/>
    </row>
    <row r="164">
      <c r="B164" s="36"/>
      <c r="C164" s="36"/>
      <c r="D164" s="36"/>
      <c r="G164" s="36"/>
      <c r="H164" s="36"/>
      <c r="I164" s="36"/>
      <c r="M164" s="36"/>
      <c r="N164" s="36"/>
      <c r="O164" s="36"/>
      <c r="Q164" s="36"/>
      <c r="R164" s="36"/>
      <c r="S164" s="36"/>
    </row>
    <row r="165">
      <c r="B165" s="36"/>
      <c r="C165" s="36"/>
      <c r="D165" s="36"/>
      <c r="G165" s="36"/>
      <c r="H165" s="36"/>
      <c r="I165" s="36"/>
      <c r="M165" s="36"/>
      <c r="N165" s="36"/>
      <c r="O165" s="36"/>
      <c r="Q165" s="36"/>
      <c r="R165" s="36"/>
      <c r="S165" s="36"/>
    </row>
    <row r="166">
      <c r="B166" s="36"/>
      <c r="C166" s="36"/>
      <c r="D166" s="36"/>
      <c r="G166" s="36"/>
      <c r="H166" s="36"/>
      <c r="I166" s="36"/>
      <c r="M166" s="36"/>
      <c r="N166" s="36"/>
      <c r="O166" s="36"/>
      <c r="Q166" s="36"/>
      <c r="R166" s="36"/>
      <c r="S166" s="36"/>
    </row>
    <row r="167">
      <c r="B167" s="36"/>
      <c r="C167" s="36"/>
      <c r="D167" s="36"/>
      <c r="G167" s="36"/>
      <c r="H167" s="36"/>
      <c r="I167" s="36"/>
      <c r="M167" s="36"/>
      <c r="N167" s="36"/>
      <c r="O167" s="36"/>
      <c r="Q167" s="36"/>
      <c r="R167" s="36"/>
      <c r="S167" s="36"/>
    </row>
    <row r="168">
      <c r="B168" s="36"/>
      <c r="C168" s="36"/>
      <c r="D168" s="36"/>
      <c r="G168" s="36"/>
      <c r="H168" s="36"/>
      <c r="I168" s="36"/>
      <c r="M168" s="36"/>
      <c r="N168" s="36"/>
      <c r="O168" s="36"/>
      <c r="Q168" s="36"/>
      <c r="R168" s="36"/>
      <c r="S168" s="36"/>
    </row>
    <row r="169">
      <c r="B169" s="36"/>
      <c r="C169" s="36"/>
      <c r="D169" s="36"/>
      <c r="G169" s="36"/>
      <c r="H169" s="36"/>
      <c r="I169" s="36"/>
      <c r="M169" s="36"/>
      <c r="N169" s="36"/>
      <c r="O169" s="36"/>
      <c r="Q169" s="36"/>
      <c r="R169" s="36"/>
      <c r="S169" s="36"/>
    </row>
    <row r="170">
      <c r="B170" s="36"/>
      <c r="C170" s="36"/>
      <c r="D170" s="36"/>
      <c r="G170" s="36"/>
      <c r="H170" s="36"/>
      <c r="I170" s="36"/>
      <c r="M170" s="36"/>
      <c r="N170" s="36"/>
      <c r="O170" s="36"/>
      <c r="Q170" s="36"/>
      <c r="R170" s="36"/>
      <c r="S170" s="36"/>
    </row>
    <row r="171">
      <c r="B171" s="36"/>
      <c r="C171" s="36"/>
      <c r="D171" s="36"/>
      <c r="G171" s="36"/>
      <c r="H171" s="36"/>
      <c r="I171" s="36"/>
      <c r="M171" s="36"/>
      <c r="N171" s="36"/>
      <c r="O171" s="36"/>
      <c r="Q171" s="36"/>
      <c r="R171" s="36"/>
      <c r="S171" s="36"/>
    </row>
    <row r="172">
      <c r="B172" s="36"/>
      <c r="C172" s="36"/>
      <c r="D172" s="36"/>
      <c r="G172" s="36"/>
      <c r="H172" s="36"/>
      <c r="I172" s="36"/>
      <c r="M172" s="36"/>
      <c r="N172" s="36"/>
      <c r="O172" s="36"/>
      <c r="Q172" s="36"/>
      <c r="R172" s="36"/>
      <c r="S172" s="36"/>
    </row>
    <row r="173">
      <c r="B173" s="36"/>
      <c r="C173" s="36"/>
      <c r="D173" s="36"/>
      <c r="G173" s="36"/>
      <c r="H173" s="36"/>
      <c r="I173" s="36"/>
      <c r="M173" s="36"/>
      <c r="N173" s="36"/>
      <c r="O173" s="36"/>
      <c r="Q173" s="36"/>
      <c r="R173" s="36"/>
      <c r="S173" s="36"/>
    </row>
    <row r="174">
      <c r="B174" s="36"/>
      <c r="C174" s="36"/>
      <c r="D174" s="36"/>
      <c r="G174" s="36"/>
      <c r="H174" s="36"/>
      <c r="I174" s="36"/>
      <c r="M174" s="36"/>
      <c r="N174" s="36"/>
      <c r="O174" s="36"/>
      <c r="Q174" s="36"/>
      <c r="R174" s="36"/>
      <c r="S174" s="36"/>
    </row>
    <row r="175">
      <c r="B175" s="36"/>
      <c r="C175" s="36"/>
      <c r="D175" s="36"/>
      <c r="G175" s="36"/>
      <c r="H175" s="36"/>
      <c r="I175" s="36"/>
      <c r="M175" s="36"/>
      <c r="N175" s="36"/>
      <c r="O175" s="36"/>
      <c r="Q175" s="36"/>
      <c r="R175" s="36"/>
      <c r="S175" s="36"/>
    </row>
    <row r="176">
      <c r="B176" s="36"/>
      <c r="C176" s="36"/>
      <c r="D176" s="36"/>
      <c r="G176" s="36"/>
      <c r="H176" s="36"/>
      <c r="I176" s="36"/>
      <c r="M176" s="36"/>
      <c r="N176" s="36"/>
      <c r="O176" s="36"/>
      <c r="Q176" s="36"/>
      <c r="R176" s="36"/>
      <c r="S176" s="36"/>
    </row>
    <row r="177">
      <c r="B177" s="36"/>
      <c r="C177" s="36"/>
      <c r="D177" s="36"/>
      <c r="G177" s="36"/>
      <c r="H177" s="36"/>
      <c r="I177" s="36"/>
      <c r="M177" s="36"/>
      <c r="N177" s="36"/>
      <c r="O177" s="36"/>
      <c r="Q177" s="36"/>
      <c r="R177" s="36"/>
      <c r="S177" s="36"/>
    </row>
    <row r="178">
      <c r="B178" s="36"/>
      <c r="C178" s="36"/>
      <c r="D178" s="36"/>
      <c r="G178" s="36"/>
      <c r="H178" s="36"/>
      <c r="I178" s="36"/>
      <c r="M178" s="36"/>
      <c r="N178" s="36"/>
      <c r="O178" s="36"/>
      <c r="Q178" s="36"/>
      <c r="R178" s="36"/>
      <c r="S178" s="36"/>
    </row>
    <row r="179">
      <c r="B179" s="36"/>
      <c r="C179" s="36"/>
      <c r="D179" s="36"/>
      <c r="G179" s="36"/>
      <c r="H179" s="36"/>
      <c r="I179" s="36"/>
      <c r="M179" s="36"/>
      <c r="N179" s="36"/>
      <c r="O179" s="36"/>
      <c r="Q179" s="36"/>
      <c r="R179" s="36"/>
      <c r="S179" s="36"/>
    </row>
    <row r="180">
      <c r="B180" s="36"/>
      <c r="C180" s="36"/>
      <c r="D180" s="36"/>
      <c r="G180" s="36"/>
      <c r="H180" s="36"/>
      <c r="I180" s="36"/>
      <c r="M180" s="36"/>
      <c r="N180" s="36"/>
      <c r="O180" s="36"/>
      <c r="Q180" s="36"/>
      <c r="R180" s="36"/>
      <c r="S180" s="36"/>
    </row>
    <row r="181">
      <c r="B181" s="36"/>
      <c r="C181" s="36"/>
      <c r="D181" s="36"/>
      <c r="G181" s="36"/>
      <c r="H181" s="36"/>
      <c r="I181" s="36"/>
      <c r="M181" s="36"/>
      <c r="N181" s="36"/>
      <c r="O181" s="36"/>
      <c r="Q181" s="36"/>
      <c r="R181" s="36"/>
      <c r="S181" s="36"/>
    </row>
    <row r="182">
      <c r="B182" s="36"/>
      <c r="C182" s="36"/>
      <c r="D182" s="36"/>
      <c r="G182" s="36"/>
      <c r="H182" s="36"/>
      <c r="I182" s="36"/>
      <c r="M182" s="36"/>
      <c r="N182" s="36"/>
      <c r="O182" s="36"/>
      <c r="Q182" s="36"/>
      <c r="R182" s="36"/>
      <c r="S182" s="36"/>
    </row>
    <row r="183">
      <c r="B183" s="36"/>
      <c r="C183" s="36"/>
      <c r="D183" s="36"/>
      <c r="G183" s="36"/>
      <c r="H183" s="36"/>
      <c r="I183" s="36"/>
      <c r="M183" s="36"/>
      <c r="N183" s="36"/>
      <c r="O183" s="36"/>
      <c r="Q183" s="36"/>
      <c r="R183" s="36"/>
      <c r="S183" s="36"/>
    </row>
    <row r="184">
      <c r="B184" s="36"/>
      <c r="C184" s="36"/>
      <c r="D184" s="36"/>
      <c r="G184" s="36"/>
      <c r="H184" s="36"/>
      <c r="I184" s="36"/>
      <c r="M184" s="36"/>
      <c r="N184" s="36"/>
      <c r="O184" s="36"/>
      <c r="Q184" s="36"/>
      <c r="R184" s="36"/>
      <c r="S184" s="36"/>
    </row>
    <row r="185">
      <c r="B185" s="36"/>
      <c r="C185" s="36"/>
      <c r="D185" s="36"/>
      <c r="G185" s="36"/>
      <c r="H185" s="36"/>
      <c r="I185" s="36"/>
      <c r="M185" s="36"/>
      <c r="N185" s="36"/>
      <c r="O185" s="36"/>
      <c r="Q185" s="36"/>
      <c r="R185" s="36"/>
      <c r="S185" s="36"/>
    </row>
    <row r="186">
      <c r="B186" s="36"/>
      <c r="C186" s="36"/>
      <c r="D186" s="36"/>
      <c r="G186" s="36"/>
      <c r="H186" s="36"/>
      <c r="I186" s="36"/>
      <c r="M186" s="36"/>
      <c r="N186" s="36"/>
      <c r="O186" s="36"/>
      <c r="Q186" s="36"/>
      <c r="R186" s="36"/>
      <c r="S186" s="36"/>
    </row>
    <row r="187">
      <c r="B187" s="36"/>
      <c r="C187" s="36"/>
      <c r="D187" s="36"/>
      <c r="G187" s="36"/>
      <c r="H187" s="36"/>
      <c r="I187" s="36"/>
      <c r="M187" s="36"/>
      <c r="N187" s="36"/>
      <c r="O187" s="36"/>
      <c r="Q187" s="36"/>
      <c r="R187" s="36"/>
      <c r="S187" s="36"/>
    </row>
    <row r="188">
      <c r="B188" s="36"/>
      <c r="C188" s="36"/>
      <c r="D188" s="36"/>
      <c r="G188" s="36"/>
      <c r="H188" s="36"/>
      <c r="I188" s="36"/>
      <c r="M188" s="36"/>
      <c r="N188" s="36"/>
      <c r="O188" s="36"/>
      <c r="Q188" s="36"/>
      <c r="R188" s="36"/>
      <c r="S188" s="36"/>
    </row>
    <row r="189">
      <c r="B189" s="36"/>
      <c r="C189" s="36"/>
      <c r="D189" s="36"/>
      <c r="G189" s="36"/>
      <c r="H189" s="36"/>
      <c r="I189" s="36"/>
      <c r="M189" s="36"/>
      <c r="N189" s="36"/>
      <c r="O189" s="36"/>
      <c r="Q189" s="36"/>
      <c r="R189" s="36"/>
      <c r="S189" s="36"/>
    </row>
    <row r="190">
      <c r="B190" s="36"/>
      <c r="C190" s="36"/>
      <c r="D190" s="36"/>
      <c r="G190" s="36"/>
      <c r="H190" s="36"/>
      <c r="I190" s="36"/>
      <c r="M190" s="36"/>
      <c r="N190" s="36"/>
      <c r="O190" s="36"/>
      <c r="Q190" s="36"/>
      <c r="R190" s="36"/>
      <c r="S190" s="36"/>
    </row>
    <row r="191">
      <c r="B191" s="36"/>
      <c r="C191" s="36"/>
      <c r="D191" s="36"/>
      <c r="G191" s="36"/>
      <c r="H191" s="36"/>
      <c r="I191" s="36"/>
      <c r="M191" s="36"/>
      <c r="N191" s="36"/>
      <c r="O191" s="36"/>
      <c r="Q191" s="36"/>
      <c r="R191" s="36"/>
      <c r="S191" s="36"/>
    </row>
    <row r="192">
      <c r="B192" s="36"/>
      <c r="C192" s="36"/>
      <c r="D192" s="36"/>
      <c r="G192" s="36"/>
      <c r="H192" s="36"/>
      <c r="I192" s="36"/>
      <c r="M192" s="36"/>
      <c r="N192" s="36"/>
      <c r="O192" s="36"/>
      <c r="Q192" s="36"/>
      <c r="R192" s="36"/>
      <c r="S192" s="36"/>
    </row>
    <row r="193">
      <c r="B193" s="36"/>
      <c r="C193" s="36"/>
      <c r="D193" s="36"/>
      <c r="G193" s="36"/>
      <c r="H193" s="36"/>
      <c r="I193" s="36"/>
      <c r="M193" s="36"/>
      <c r="N193" s="36"/>
      <c r="O193" s="36"/>
      <c r="Q193" s="36"/>
      <c r="R193" s="36"/>
      <c r="S193" s="36"/>
    </row>
    <row r="194">
      <c r="B194" s="36"/>
      <c r="C194" s="36"/>
      <c r="D194" s="36"/>
      <c r="G194" s="36"/>
      <c r="H194" s="36"/>
      <c r="I194" s="36"/>
      <c r="M194" s="36"/>
      <c r="N194" s="36"/>
      <c r="O194" s="36"/>
      <c r="Q194" s="36"/>
      <c r="R194" s="36"/>
      <c r="S194" s="36"/>
    </row>
    <row r="195">
      <c r="B195" s="36"/>
      <c r="C195" s="36"/>
      <c r="D195" s="36"/>
      <c r="G195" s="36"/>
      <c r="H195" s="36"/>
      <c r="I195" s="36"/>
      <c r="M195" s="36"/>
      <c r="N195" s="36"/>
      <c r="O195" s="36"/>
      <c r="Q195" s="36"/>
      <c r="R195" s="36"/>
      <c r="S195" s="36"/>
    </row>
    <row r="196">
      <c r="B196" s="36"/>
      <c r="C196" s="36"/>
      <c r="D196" s="36"/>
      <c r="G196" s="36"/>
      <c r="H196" s="36"/>
      <c r="I196" s="36"/>
      <c r="M196" s="36"/>
      <c r="N196" s="36"/>
      <c r="O196" s="36"/>
      <c r="Q196" s="36"/>
      <c r="R196" s="36"/>
      <c r="S196" s="36"/>
    </row>
    <row r="197">
      <c r="B197" s="36"/>
      <c r="C197" s="36"/>
      <c r="D197" s="36"/>
      <c r="G197" s="36"/>
      <c r="H197" s="36"/>
      <c r="I197" s="36"/>
      <c r="M197" s="36"/>
      <c r="N197" s="36"/>
      <c r="O197" s="36"/>
      <c r="Q197" s="36"/>
      <c r="R197" s="36"/>
      <c r="S197" s="36"/>
    </row>
    <row r="198">
      <c r="B198" s="36"/>
      <c r="C198" s="36"/>
      <c r="D198" s="36"/>
      <c r="G198" s="36"/>
      <c r="H198" s="36"/>
      <c r="I198" s="36"/>
      <c r="M198" s="36"/>
      <c r="N198" s="36"/>
      <c r="O198" s="36"/>
      <c r="Q198" s="36"/>
      <c r="R198" s="36"/>
      <c r="S198" s="36"/>
    </row>
    <row r="199">
      <c r="B199" s="36"/>
      <c r="C199" s="36"/>
      <c r="D199" s="36"/>
      <c r="G199" s="36"/>
      <c r="H199" s="36"/>
      <c r="I199" s="36"/>
      <c r="M199" s="36"/>
      <c r="N199" s="36"/>
      <c r="O199" s="36"/>
      <c r="Q199" s="36"/>
      <c r="R199" s="36"/>
      <c r="S199" s="36"/>
    </row>
    <row r="200">
      <c r="B200" s="36"/>
      <c r="C200" s="36"/>
      <c r="D200" s="36"/>
      <c r="G200" s="36"/>
      <c r="H200" s="36"/>
      <c r="I200" s="36"/>
      <c r="M200" s="36"/>
      <c r="N200" s="36"/>
      <c r="O200" s="36"/>
      <c r="Q200" s="36"/>
      <c r="R200" s="36"/>
      <c r="S200" s="36"/>
    </row>
    <row r="201">
      <c r="B201" s="36"/>
      <c r="C201" s="36"/>
      <c r="D201" s="36"/>
      <c r="G201" s="36"/>
      <c r="H201" s="36"/>
      <c r="I201" s="36"/>
      <c r="M201" s="36"/>
      <c r="N201" s="36"/>
      <c r="O201" s="36"/>
      <c r="Q201" s="36"/>
      <c r="R201" s="36"/>
      <c r="S201" s="36"/>
    </row>
    <row r="202">
      <c r="B202" s="36"/>
      <c r="C202" s="36"/>
      <c r="D202" s="36"/>
      <c r="G202" s="36"/>
      <c r="H202" s="36"/>
      <c r="I202" s="36"/>
      <c r="M202" s="36"/>
      <c r="N202" s="36"/>
      <c r="O202" s="36"/>
      <c r="Q202" s="36"/>
      <c r="R202" s="36"/>
      <c r="S202" s="36"/>
    </row>
    <row r="203">
      <c r="B203" s="36"/>
      <c r="C203" s="36"/>
      <c r="D203" s="36"/>
      <c r="G203" s="36"/>
      <c r="H203" s="36"/>
      <c r="I203" s="36"/>
      <c r="M203" s="36"/>
      <c r="N203" s="36"/>
      <c r="O203" s="36"/>
      <c r="Q203" s="36"/>
      <c r="R203" s="36"/>
      <c r="S203" s="36"/>
    </row>
    <row r="204">
      <c r="B204" s="36"/>
      <c r="C204" s="36"/>
      <c r="D204" s="36"/>
      <c r="G204" s="36"/>
      <c r="H204" s="36"/>
      <c r="I204" s="36"/>
      <c r="M204" s="36"/>
      <c r="N204" s="36"/>
      <c r="O204" s="36"/>
      <c r="Q204" s="36"/>
      <c r="R204" s="36"/>
      <c r="S204" s="36"/>
    </row>
    <row r="205">
      <c r="B205" s="36"/>
      <c r="C205" s="36"/>
      <c r="D205" s="36"/>
      <c r="G205" s="36"/>
      <c r="H205" s="36"/>
      <c r="I205" s="36"/>
      <c r="M205" s="36"/>
      <c r="N205" s="36"/>
      <c r="O205" s="36"/>
      <c r="Q205" s="36"/>
      <c r="R205" s="36"/>
      <c r="S205" s="36"/>
    </row>
    <row r="206">
      <c r="B206" s="36"/>
      <c r="C206" s="36"/>
      <c r="D206" s="36"/>
      <c r="G206" s="36"/>
      <c r="H206" s="36"/>
      <c r="I206" s="36"/>
      <c r="M206" s="36"/>
      <c r="N206" s="36"/>
      <c r="O206" s="36"/>
      <c r="Q206" s="36"/>
      <c r="R206" s="36"/>
      <c r="S206" s="36"/>
    </row>
    <row r="207">
      <c r="B207" s="36"/>
      <c r="C207" s="36"/>
      <c r="D207" s="36"/>
      <c r="G207" s="36"/>
      <c r="H207" s="36"/>
      <c r="I207" s="36"/>
      <c r="M207" s="36"/>
      <c r="N207" s="36"/>
      <c r="O207" s="36"/>
      <c r="Q207" s="36"/>
      <c r="R207" s="36"/>
      <c r="S207" s="36"/>
    </row>
    <row r="208">
      <c r="B208" s="36"/>
      <c r="C208" s="36"/>
      <c r="D208" s="36"/>
      <c r="G208" s="36"/>
      <c r="H208" s="36"/>
      <c r="I208" s="36"/>
      <c r="M208" s="36"/>
      <c r="N208" s="36"/>
      <c r="O208" s="36"/>
      <c r="Q208" s="36"/>
      <c r="R208" s="36"/>
      <c r="S208" s="36"/>
    </row>
    <row r="209">
      <c r="B209" s="36"/>
      <c r="C209" s="36"/>
      <c r="D209" s="36"/>
      <c r="G209" s="36"/>
      <c r="H209" s="36"/>
      <c r="I209" s="36"/>
      <c r="M209" s="36"/>
      <c r="N209" s="36"/>
      <c r="O209" s="36"/>
      <c r="Q209" s="36"/>
      <c r="R209" s="36"/>
      <c r="S209" s="36"/>
    </row>
    <row r="210">
      <c r="B210" s="36"/>
      <c r="C210" s="36"/>
      <c r="D210" s="36"/>
      <c r="G210" s="36"/>
      <c r="H210" s="36"/>
      <c r="I210" s="36"/>
      <c r="M210" s="36"/>
      <c r="N210" s="36"/>
      <c r="O210" s="36"/>
      <c r="Q210" s="36"/>
      <c r="R210" s="36"/>
      <c r="S210" s="36"/>
    </row>
    <row r="211">
      <c r="B211" s="36"/>
      <c r="C211" s="36"/>
      <c r="D211" s="36"/>
      <c r="G211" s="36"/>
      <c r="H211" s="36"/>
      <c r="I211" s="36"/>
      <c r="M211" s="36"/>
      <c r="N211" s="36"/>
      <c r="O211" s="36"/>
      <c r="Q211" s="36"/>
      <c r="R211" s="36"/>
      <c r="S211" s="36"/>
    </row>
    <row r="212">
      <c r="B212" s="36"/>
      <c r="C212" s="36"/>
      <c r="D212" s="36"/>
      <c r="G212" s="36"/>
      <c r="H212" s="36"/>
      <c r="I212" s="36"/>
      <c r="M212" s="36"/>
      <c r="N212" s="36"/>
      <c r="O212" s="36"/>
      <c r="Q212" s="36"/>
      <c r="R212" s="36"/>
      <c r="S212" s="36"/>
    </row>
    <row r="213">
      <c r="B213" s="36"/>
      <c r="C213" s="36"/>
      <c r="D213" s="36"/>
      <c r="G213" s="36"/>
      <c r="H213" s="36"/>
      <c r="I213" s="36"/>
      <c r="M213" s="36"/>
      <c r="N213" s="36"/>
      <c r="O213" s="36"/>
      <c r="Q213" s="36"/>
      <c r="R213" s="36"/>
      <c r="S213" s="36"/>
    </row>
    <row r="214">
      <c r="B214" s="36"/>
      <c r="C214" s="36"/>
      <c r="D214" s="36"/>
      <c r="G214" s="36"/>
      <c r="H214" s="36"/>
      <c r="I214" s="36"/>
      <c r="M214" s="36"/>
      <c r="N214" s="36"/>
      <c r="O214" s="36"/>
      <c r="Q214" s="36"/>
      <c r="R214" s="36"/>
      <c r="S214" s="36"/>
    </row>
    <row r="215">
      <c r="B215" s="36"/>
      <c r="C215" s="36"/>
      <c r="D215" s="36"/>
      <c r="G215" s="36"/>
      <c r="H215" s="36"/>
      <c r="I215" s="36"/>
      <c r="M215" s="36"/>
      <c r="N215" s="36"/>
      <c r="O215" s="36"/>
      <c r="Q215" s="36"/>
      <c r="R215" s="36"/>
      <c r="S215" s="36"/>
    </row>
    <row r="216">
      <c r="B216" s="36"/>
      <c r="C216" s="36"/>
      <c r="D216" s="36"/>
      <c r="G216" s="36"/>
      <c r="H216" s="36"/>
      <c r="I216" s="36"/>
      <c r="M216" s="36"/>
      <c r="N216" s="36"/>
      <c r="O216" s="36"/>
      <c r="Q216" s="36"/>
      <c r="R216" s="36"/>
      <c r="S216" s="36"/>
    </row>
    <row r="217">
      <c r="B217" s="36"/>
      <c r="C217" s="36"/>
      <c r="D217" s="36"/>
      <c r="G217" s="36"/>
      <c r="H217" s="36"/>
      <c r="I217" s="36"/>
      <c r="M217" s="36"/>
      <c r="N217" s="36"/>
      <c r="O217" s="36"/>
      <c r="Q217" s="36"/>
      <c r="R217" s="36"/>
      <c r="S217" s="36"/>
    </row>
    <row r="218">
      <c r="B218" s="36"/>
      <c r="C218" s="36"/>
      <c r="D218" s="36"/>
      <c r="G218" s="36"/>
      <c r="H218" s="36"/>
      <c r="I218" s="36"/>
      <c r="M218" s="36"/>
      <c r="N218" s="36"/>
      <c r="O218" s="36"/>
      <c r="Q218" s="36"/>
      <c r="R218" s="36"/>
      <c r="S218" s="36"/>
    </row>
    <row r="219">
      <c r="B219" s="36"/>
      <c r="C219" s="36"/>
      <c r="D219" s="36"/>
      <c r="G219" s="36"/>
      <c r="H219" s="36"/>
      <c r="I219" s="36"/>
      <c r="M219" s="36"/>
      <c r="N219" s="36"/>
      <c r="O219" s="36"/>
      <c r="Q219" s="36"/>
      <c r="R219" s="36"/>
      <c r="S219" s="36"/>
    </row>
    <row r="220">
      <c r="B220" s="36"/>
      <c r="C220" s="36"/>
      <c r="D220" s="36"/>
      <c r="G220" s="36"/>
      <c r="H220" s="36"/>
      <c r="I220" s="36"/>
      <c r="M220" s="36"/>
      <c r="N220" s="36"/>
      <c r="O220" s="36"/>
      <c r="Q220" s="36"/>
      <c r="R220" s="36"/>
      <c r="S220" s="36"/>
    </row>
    <row r="221">
      <c r="B221" s="36"/>
      <c r="C221" s="36"/>
      <c r="D221" s="36"/>
      <c r="G221" s="36"/>
      <c r="H221" s="36"/>
      <c r="I221" s="36"/>
      <c r="M221" s="36"/>
      <c r="N221" s="36"/>
      <c r="O221" s="36"/>
      <c r="Q221" s="36"/>
      <c r="R221" s="36"/>
      <c r="S221" s="36"/>
    </row>
    <row r="222">
      <c r="B222" s="36"/>
      <c r="C222" s="36"/>
      <c r="D222" s="36"/>
      <c r="G222" s="36"/>
      <c r="H222" s="36"/>
      <c r="I222" s="36"/>
      <c r="M222" s="36"/>
      <c r="N222" s="36"/>
      <c r="O222" s="36"/>
      <c r="Q222" s="36"/>
      <c r="R222" s="36"/>
      <c r="S222" s="36"/>
    </row>
    <row r="223">
      <c r="B223" s="36"/>
      <c r="C223" s="36"/>
      <c r="D223" s="36"/>
      <c r="G223" s="36"/>
      <c r="H223" s="36"/>
      <c r="I223" s="36"/>
      <c r="M223" s="36"/>
      <c r="N223" s="36"/>
      <c r="O223" s="36"/>
      <c r="Q223" s="36"/>
      <c r="R223" s="36"/>
      <c r="S223" s="36"/>
    </row>
    <row r="224">
      <c r="B224" s="36"/>
      <c r="C224" s="36"/>
      <c r="D224" s="36"/>
      <c r="G224" s="36"/>
      <c r="H224" s="36"/>
      <c r="I224" s="36"/>
      <c r="M224" s="36"/>
      <c r="N224" s="36"/>
      <c r="O224" s="36"/>
      <c r="Q224" s="36"/>
      <c r="R224" s="36"/>
      <c r="S224" s="36"/>
    </row>
    <row r="225">
      <c r="B225" s="36"/>
      <c r="C225" s="36"/>
      <c r="D225" s="36"/>
      <c r="G225" s="36"/>
      <c r="H225" s="36"/>
      <c r="I225" s="36"/>
      <c r="M225" s="36"/>
      <c r="N225" s="36"/>
      <c r="O225" s="36"/>
      <c r="Q225" s="36"/>
      <c r="R225" s="36"/>
      <c r="S225" s="36"/>
    </row>
    <row r="226">
      <c r="B226" s="36"/>
      <c r="C226" s="36"/>
      <c r="D226" s="36"/>
      <c r="G226" s="36"/>
      <c r="H226" s="36"/>
      <c r="I226" s="36"/>
      <c r="M226" s="36"/>
      <c r="N226" s="36"/>
      <c r="O226" s="36"/>
      <c r="Q226" s="36"/>
      <c r="R226" s="36"/>
      <c r="S226" s="36"/>
    </row>
    <row r="227">
      <c r="B227" s="36"/>
      <c r="C227" s="36"/>
      <c r="D227" s="36"/>
      <c r="G227" s="36"/>
      <c r="H227" s="36"/>
      <c r="I227" s="36"/>
      <c r="M227" s="36"/>
      <c r="N227" s="36"/>
      <c r="O227" s="36"/>
      <c r="Q227" s="36"/>
      <c r="R227" s="36"/>
      <c r="S227" s="36"/>
    </row>
    <row r="228">
      <c r="B228" s="36"/>
      <c r="C228" s="36"/>
      <c r="D228" s="36"/>
      <c r="G228" s="36"/>
      <c r="H228" s="36"/>
      <c r="I228" s="36"/>
      <c r="M228" s="36"/>
      <c r="N228" s="36"/>
      <c r="O228" s="36"/>
      <c r="Q228" s="36"/>
      <c r="R228" s="36"/>
      <c r="S228" s="36"/>
    </row>
    <row r="229">
      <c r="B229" s="36"/>
      <c r="C229" s="36"/>
      <c r="D229" s="36"/>
      <c r="G229" s="36"/>
      <c r="H229" s="36"/>
      <c r="I229" s="36"/>
      <c r="M229" s="36"/>
      <c r="N229" s="36"/>
      <c r="O229" s="36"/>
      <c r="Q229" s="36"/>
      <c r="R229" s="36"/>
      <c r="S229" s="36"/>
    </row>
    <row r="230">
      <c r="B230" s="36"/>
      <c r="C230" s="36"/>
      <c r="D230" s="36"/>
      <c r="G230" s="36"/>
      <c r="H230" s="36"/>
      <c r="I230" s="36"/>
      <c r="M230" s="36"/>
      <c r="N230" s="36"/>
      <c r="O230" s="36"/>
      <c r="Q230" s="36"/>
      <c r="R230" s="36"/>
      <c r="S230" s="36"/>
    </row>
    <row r="231">
      <c r="B231" s="36"/>
      <c r="C231" s="36"/>
      <c r="D231" s="36"/>
      <c r="G231" s="36"/>
      <c r="H231" s="36"/>
      <c r="I231" s="36"/>
      <c r="M231" s="36"/>
      <c r="N231" s="36"/>
      <c r="O231" s="36"/>
      <c r="Q231" s="36"/>
      <c r="R231" s="36"/>
      <c r="S231" s="36"/>
    </row>
    <row r="232">
      <c r="B232" s="36"/>
      <c r="C232" s="36"/>
      <c r="D232" s="36"/>
      <c r="G232" s="36"/>
      <c r="H232" s="36"/>
      <c r="I232" s="36"/>
      <c r="M232" s="36"/>
      <c r="N232" s="36"/>
      <c r="O232" s="36"/>
      <c r="Q232" s="36"/>
      <c r="R232" s="36"/>
      <c r="S232" s="36"/>
    </row>
    <row r="233">
      <c r="B233" s="36"/>
      <c r="C233" s="36"/>
      <c r="D233" s="36"/>
      <c r="G233" s="36"/>
      <c r="H233" s="36"/>
      <c r="I233" s="36"/>
      <c r="M233" s="36"/>
      <c r="N233" s="36"/>
      <c r="O233" s="36"/>
      <c r="Q233" s="36"/>
      <c r="R233" s="36"/>
      <c r="S233" s="36"/>
    </row>
    <row r="234">
      <c r="B234" s="36"/>
      <c r="C234" s="36"/>
      <c r="D234" s="36"/>
      <c r="G234" s="36"/>
      <c r="H234" s="36"/>
      <c r="I234" s="36"/>
      <c r="M234" s="36"/>
      <c r="N234" s="36"/>
      <c r="O234" s="36"/>
      <c r="Q234" s="36"/>
      <c r="R234" s="36"/>
      <c r="S234" s="36"/>
    </row>
    <row r="235">
      <c r="B235" s="36"/>
      <c r="C235" s="36"/>
      <c r="D235" s="36"/>
      <c r="G235" s="36"/>
      <c r="H235" s="36"/>
      <c r="I235" s="36"/>
      <c r="M235" s="36"/>
      <c r="N235" s="36"/>
      <c r="O235" s="36"/>
      <c r="Q235" s="36"/>
      <c r="R235" s="36"/>
      <c r="S235" s="36"/>
    </row>
    <row r="236">
      <c r="B236" s="36"/>
      <c r="C236" s="36"/>
      <c r="D236" s="36"/>
      <c r="G236" s="36"/>
      <c r="H236" s="36"/>
      <c r="I236" s="36"/>
      <c r="M236" s="36"/>
      <c r="N236" s="36"/>
      <c r="O236" s="36"/>
      <c r="Q236" s="36"/>
      <c r="R236" s="36"/>
      <c r="S236" s="36"/>
    </row>
    <row r="237">
      <c r="B237" s="36"/>
      <c r="C237" s="36"/>
      <c r="D237" s="36"/>
      <c r="G237" s="36"/>
      <c r="H237" s="36"/>
      <c r="I237" s="36"/>
      <c r="M237" s="36"/>
      <c r="N237" s="36"/>
      <c r="O237" s="36"/>
      <c r="Q237" s="36"/>
      <c r="R237" s="36"/>
      <c r="S237" s="36"/>
    </row>
    <row r="238">
      <c r="B238" s="36"/>
      <c r="C238" s="36"/>
      <c r="D238" s="36"/>
      <c r="G238" s="36"/>
      <c r="H238" s="36"/>
      <c r="I238" s="36"/>
      <c r="M238" s="36"/>
      <c r="N238" s="36"/>
      <c r="O238" s="36"/>
      <c r="Q238" s="36"/>
      <c r="R238" s="36"/>
      <c r="S238" s="36"/>
    </row>
    <row r="239">
      <c r="B239" s="36"/>
      <c r="C239" s="36"/>
      <c r="D239" s="36"/>
      <c r="G239" s="36"/>
      <c r="H239" s="36"/>
      <c r="I239" s="36"/>
      <c r="M239" s="36"/>
      <c r="N239" s="36"/>
      <c r="O239" s="36"/>
      <c r="Q239" s="36"/>
      <c r="R239" s="36"/>
      <c r="S239" s="36"/>
    </row>
    <row r="240">
      <c r="B240" s="36"/>
      <c r="C240" s="36"/>
      <c r="D240" s="36"/>
      <c r="G240" s="36"/>
      <c r="H240" s="36"/>
      <c r="I240" s="36"/>
      <c r="M240" s="36"/>
      <c r="N240" s="36"/>
      <c r="O240" s="36"/>
      <c r="Q240" s="36"/>
      <c r="R240" s="36"/>
      <c r="S240" s="36"/>
    </row>
    <row r="241">
      <c r="B241" s="36"/>
      <c r="C241" s="36"/>
      <c r="D241" s="36"/>
      <c r="G241" s="36"/>
      <c r="H241" s="36"/>
      <c r="I241" s="36"/>
      <c r="M241" s="36"/>
      <c r="N241" s="36"/>
      <c r="O241" s="36"/>
      <c r="Q241" s="36"/>
      <c r="R241" s="36"/>
      <c r="S241" s="36"/>
    </row>
    <row r="242">
      <c r="B242" s="36"/>
      <c r="C242" s="36"/>
      <c r="D242" s="36"/>
      <c r="G242" s="36"/>
      <c r="H242" s="36"/>
      <c r="I242" s="36"/>
      <c r="M242" s="36"/>
      <c r="N242" s="36"/>
      <c r="O242" s="36"/>
      <c r="Q242" s="36"/>
      <c r="R242" s="36"/>
      <c r="S242" s="36"/>
    </row>
    <row r="243">
      <c r="B243" s="36"/>
      <c r="C243" s="36"/>
      <c r="D243" s="36"/>
      <c r="G243" s="36"/>
      <c r="H243" s="36"/>
      <c r="I243" s="36"/>
      <c r="M243" s="36"/>
      <c r="N243" s="36"/>
      <c r="O243" s="36"/>
      <c r="Q243" s="36"/>
      <c r="R243" s="36"/>
      <c r="S243" s="36"/>
    </row>
    <row r="244">
      <c r="B244" s="36"/>
      <c r="C244" s="36"/>
      <c r="D244" s="36"/>
      <c r="G244" s="36"/>
      <c r="H244" s="36"/>
      <c r="I244" s="36"/>
      <c r="M244" s="36"/>
      <c r="N244" s="36"/>
      <c r="O244" s="36"/>
      <c r="Q244" s="36"/>
      <c r="R244" s="36"/>
      <c r="S244" s="36"/>
    </row>
    <row r="245">
      <c r="B245" s="36"/>
      <c r="C245" s="36"/>
      <c r="D245" s="36"/>
      <c r="G245" s="36"/>
      <c r="H245" s="36"/>
      <c r="I245" s="36"/>
      <c r="M245" s="36"/>
      <c r="N245" s="36"/>
      <c r="O245" s="36"/>
      <c r="Q245" s="36"/>
      <c r="R245" s="36"/>
      <c r="S245" s="36"/>
    </row>
    <row r="246">
      <c r="B246" s="36"/>
      <c r="C246" s="36"/>
      <c r="D246" s="36"/>
      <c r="G246" s="36"/>
      <c r="H246" s="36"/>
      <c r="I246" s="36"/>
      <c r="M246" s="36"/>
      <c r="N246" s="36"/>
      <c r="O246" s="36"/>
      <c r="Q246" s="36"/>
      <c r="R246" s="36"/>
      <c r="S246" s="36"/>
    </row>
    <row r="247">
      <c r="B247" s="36"/>
      <c r="C247" s="36"/>
      <c r="D247" s="36"/>
      <c r="G247" s="36"/>
      <c r="H247" s="36"/>
      <c r="I247" s="36"/>
      <c r="M247" s="36"/>
      <c r="N247" s="36"/>
      <c r="O247" s="36"/>
      <c r="Q247" s="36"/>
      <c r="R247" s="36"/>
      <c r="S247" s="36"/>
    </row>
    <row r="248">
      <c r="B248" s="36"/>
      <c r="C248" s="36"/>
      <c r="D248" s="36"/>
      <c r="G248" s="36"/>
      <c r="H248" s="36"/>
      <c r="I248" s="36"/>
      <c r="M248" s="36"/>
      <c r="N248" s="36"/>
      <c r="O248" s="36"/>
      <c r="Q248" s="36"/>
      <c r="R248" s="36"/>
      <c r="S248" s="36"/>
    </row>
    <row r="249">
      <c r="B249" s="36"/>
      <c r="C249" s="36"/>
      <c r="D249" s="36"/>
      <c r="G249" s="36"/>
      <c r="H249" s="36"/>
      <c r="I249" s="36"/>
      <c r="M249" s="36"/>
      <c r="N249" s="36"/>
      <c r="O249" s="36"/>
      <c r="Q249" s="36"/>
      <c r="R249" s="36"/>
      <c r="S249" s="36"/>
    </row>
    <row r="250">
      <c r="B250" s="36"/>
      <c r="C250" s="36"/>
      <c r="D250" s="36"/>
      <c r="G250" s="36"/>
      <c r="H250" s="36"/>
      <c r="I250" s="36"/>
      <c r="M250" s="36"/>
      <c r="N250" s="36"/>
      <c r="O250" s="36"/>
      <c r="Q250" s="36"/>
      <c r="R250" s="36"/>
      <c r="S250" s="36"/>
    </row>
    <row r="251">
      <c r="B251" s="36"/>
      <c r="C251" s="36"/>
      <c r="D251" s="36"/>
      <c r="G251" s="36"/>
      <c r="H251" s="36"/>
      <c r="I251" s="36"/>
      <c r="M251" s="36"/>
      <c r="N251" s="36"/>
      <c r="O251" s="36"/>
      <c r="Q251" s="36"/>
      <c r="R251" s="36"/>
      <c r="S251" s="36"/>
    </row>
    <row r="252">
      <c r="B252" s="36"/>
      <c r="C252" s="36"/>
      <c r="D252" s="36"/>
      <c r="G252" s="36"/>
      <c r="H252" s="36"/>
      <c r="I252" s="36"/>
      <c r="M252" s="36"/>
      <c r="N252" s="36"/>
      <c r="O252" s="36"/>
      <c r="Q252" s="36"/>
      <c r="R252" s="36"/>
      <c r="S252" s="36"/>
    </row>
    <row r="253">
      <c r="B253" s="36"/>
      <c r="C253" s="36"/>
      <c r="D253" s="36"/>
      <c r="G253" s="36"/>
      <c r="H253" s="36"/>
      <c r="I253" s="36"/>
      <c r="M253" s="36"/>
      <c r="N253" s="36"/>
      <c r="O253" s="36"/>
      <c r="Q253" s="36"/>
      <c r="R253" s="36"/>
      <c r="S253" s="36"/>
    </row>
    <row r="254">
      <c r="B254" s="36"/>
      <c r="C254" s="36"/>
      <c r="D254" s="36"/>
      <c r="G254" s="36"/>
      <c r="H254" s="36"/>
      <c r="I254" s="36"/>
      <c r="M254" s="36"/>
      <c r="N254" s="36"/>
      <c r="O254" s="36"/>
      <c r="Q254" s="36"/>
      <c r="R254" s="36"/>
      <c r="S254" s="36"/>
    </row>
    <row r="255">
      <c r="B255" s="36"/>
      <c r="C255" s="36"/>
      <c r="D255" s="36"/>
      <c r="G255" s="36"/>
      <c r="H255" s="36"/>
      <c r="I255" s="36"/>
      <c r="M255" s="36"/>
      <c r="N255" s="36"/>
      <c r="O255" s="36"/>
      <c r="Q255" s="36"/>
      <c r="R255" s="36"/>
      <c r="S255" s="36"/>
    </row>
    <row r="256">
      <c r="B256" s="36"/>
      <c r="C256" s="36"/>
      <c r="D256" s="36"/>
      <c r="G256" s="36"/>
      <c r="H256" s="36"/>
      <c r="I256" s="36"/>
      <c r="M256" s="36"/>
      <c r="N256" s="36"/>
      <c r="O256" s="36"/>
      <c r="Q256" s="36"/>
      <c r="R256" s="36"/>
      <c r="S256" s="36"/>
    </row>
    <row r="257">
      <c r="B257" s="36"/>
      <c r="C257" s="36"/>
      <c r="D257" s="36"/>
      <c r="G257" s="36"/>
      <c r="H257" s="36"/>
      <c r="I257" s="36"/>
      <c r="M257" s="36"/>
      <c r="N257" s="36"/>
      <c r="O257" s="36"/>
      <c r="Q257" s="36"/>
      <c r="R257" s="36"/>
      <c r="S257" s="36"/>
    </row>
    <row r="258">
      <c r="B258" s="36"/>
      <c r="C258" s="36"/>
      <c r="D258" s="36"/>
      <c r="G258" s="36"/>
      <c r="H258" s="36"/>
      <c r="I258" s="36"/>
      <c r="M258" s="36"/>
      <c r="N258" s="36"/>
      <c r="O258" s="36"/>
      <c r="Q258" s="36"/>
      <c r="R258" s="36"/>
      <c r="S258" s="36"/>
    </row>
    <row r="259">
      <c r="B259" s="36"/>
      <c r="C259" s="36"/>
      <c r="D259" s="36"/>
      <c r="G259" s="36"/>
      <c r="H259" s="36"/>
      <c r="I259" s="36"/>
      <c r="M259" s="36"/>
      <c r="N259" s="36"/>
      <c r="O259" s="36"/>
      <c r="Q259" s="36"/>
      <c r="R259" s="36"/>
      <c r="S259" s="36"/>
    </row>
    <row r="260">
      <c r="B260" s="36"/>
      <c r="C260" s="36"/>
      <c r="D260" s="36"/>
      <c r="G260" s="36"/>
      <c r="H260" s="36"/>
      <c r="I260" s="36"/>
      <c r="M260" s="36"/>
      <c r="N260" s="36"/>
      <c r="O260" s="36"/>
      <c r="Q260" s="36"/>
      <c r="R260" s="36"/>
      <c r="S260" s="36"/>
    </row>
    <row r="261">
      <c r="B261" s="36"/>
      <c r="C261" s="36"/>
      <c r="D261" s="36"/>
      <c r="G261" s="36"/>
      <c r="H261" s="36"/>
      <c r="I261" s="36"/>
      <c r="M261" s="36"/>
      <c r="N261" s="36"/>
      <c r="O261" s="36"/>
      <c r="Q261" s="36"/>
      <c r="R261" s="36"/>
      <c r="S261" s="36"/>
    </row>
    <row r="262">
      <c r="B262" s="36"/>
      <c r="C262" s="36"/>
      <c r="D262" s="36"/>
      <c r="G262" s="36"/>
      <c r="H262" s="36"/>
      <c r="I262" s="36"/>
      <c r="M262" s="36"/>
      <c r="N262" s="36"/>
      <c r="O262" s="36"/>
      <c r="Q262" s="36"/>
      <c r="R262" s="36"/>
      <c r="S262" s="36"/>
    </row>
    <row r="263">
      <c r="B263" s="36"/>
      <c r="C263" s="36"/>
      <c r="D263" s="36"/>
      <c r="G263" s="36"/>
      <c r="H263" s="36"/>
      <c r="I263" s="36"/>
      <c r="M263" s="36"/>
      <c r="N263" s="36"/>
      <c r="O263" s="36"/>
      <c r="Q263" s="36"/>
      <c r="R263" s="36"/>
      <c r="S263" s="36"/>
    </row>
    <row r="264">
      <c r="B264" s="36"/>
      <c r="C264" s="36"/>
      <c r="D264" s="36"/>
      <c r="G264" s="36"/>
      <c r="H264" s="36"/>
      <c r="I264" s="36"/>
      <c r="M264" s="36"/>
      <c r="N264" s="36"/>
      <c r="O264" s="36"/>
      <c r="Q264" s="36"/>
      <c r="R264" s="36"/>
      <c r="S264" s="36"/>
    </row>
    <row r="265">
      <c r="B265" s="36"/>
      <c r="C265" s="36"/>
      <c r="D265" s="36"/>
      <c r="G265" s="36"/>
      <c r="H265" s="36"/>
      <c r="I265" s="36"/>
      <c r="M265" s="36"/>
      <c r="N265" s="36"/>
      <c r="O265" s="36"/>
      <c r="Q265" s="36"/>
      <c r="R265" s="36"/>
      <c r="S265" s="36"/>
    </row>
    <row r="266">
      <c r="B266" s="36"/>
      <c r="C266" s="36"/>
      <c r="D266" s="36"/>
      <c r="G266" s="36"/>
      <c r="H266" s="36"/>
      <c r="I266" s="36"/>
      <c r="M266" s="36"/>
      <c r="N266" s="36"/>
      <c r="O266" s="36"/>
      <c r="Q266" s="36"/>
      <c r="R266" s="36"/>
      <c r="S266" s="36"/>
    </row>
    <row r="267">
      <c r="B267" s="36"/>
      <c r="C267" s="36"/>
      <c r="D267" s="36"/>
      <c r="G267" s="36"/>
      <c r="H267" s="36"/>
      <c r="I267" s="36"/>
      <c r="M267" s="36"/>
      <c r="N267" s="36"/>
      <c r="O267" s="36"/>
      <c r="Q267" s="36"/>
      <c r="R267" s="36"/>
      <c r="S267" s="36"/>
    </row>
    <row r="268">
      <c r="B268" s="36"/>
      <c r="C268" s="36"/>
      <c r="D268" s="36"/>
      <c r="G268" s="36"/>
      <c r="H268" s="36"/>
      <c r="I268" s="36"/>
      <c r="M268" s="36"/>
      <c r="N268" s="36"/>
      <c r="O268" s="36"/>
      <c r="Q268" s="36"/>
      <c r="R268" s="36"/>
      <c r="S268" s="36"/>
    </row>
    <row r="269">
      <c r="B269" s="36"/>
      <c r="C269" s="36"/>
      <c r="D269" s="36"/>
      <c r="G269" s="36"/>
      <c r="H269" s="36"/>
      <c r="I269" s="36"/>
      <c r="M269" s="36"/>
      <c r="N269" s="36"/>
      <c r="O269" s="36"/>
      <c r="Q269" s="36"/>
      <c r="R269" s="36"/>
      <c r="S269" s="36"/>
    </row>
    <row r="270">
      <c r="B270" s="36"/>
      <c r="C270" s="36"/>
      <c r="D270" s="36"/>
      <c r="G270" s="36"/>
      <c r="H270" s="36"/>
      <c r="I270" s="36"/>
      <c r="M270" s="36"/>
      <c r="N270" s="36"/>
      <c r="O270" s="36"/>
      <c r="Q270" s="36"/>
      <c r="R270" s="36"/>
      <c r="S270" s="36"/>
    </row>
    <row r="271">
      <c r="B271" s="36"/>
      <c r="C271" s="36"/>
      <c r="D271" s="36"/>
      <c r="G271" s="36"/>
      <c r="H271" s="36"/>
      <c r="I271" s="36"/>
      <c r="M271" s="36"/>
      <c r="N271" s="36"/>
      <c r="O271" s="36"/>
      <c r="Q271" s="36"/>
      <c r="R271" s="36"/>
      <c r="S271" s="36"/>
    </row>
    <row r="272">
      <c r="B272" s="36"/>
      <c r="C272" s="36"/>
      <c r="D272" s="36"/>
      <c r="G272" s="36"/>
      <c r="H272" s="36"/>
      <c r="I272" s="36"/>
      <c r="M272" s="36"/>
      <c r="N272" s="36"/>
      <c r="O272" s="36"/>
      <c r="Q272" s="36"/>
      <c r="R272" s="36"/>
      <c r="S272" s="36"/>
    </row>
    <row r="273">
      <c r="B273" s="36"/>
      <c r="C273" s="36"/>
      <c r="D273" s="36"/>
      <c r="G273" s="36"/>
      <c r="H273" s="36"/>
      <c r="I273" s="36"/>
      <c r="M273" s="36"/>
      <c r="N273" s="36"/>
      <c r="O273" s="36"/>
      <c r="Q273" s="36"/>
      <c r="R273" s="36"/>
      <c r="S273" s="36"/>
    </row>
    <row r="274">
      <c r="B274" s="36"/>
      <c r="C274" s="36"/>
      <c r="D274" s="36"/>
      <c r="G274" s="36"/>
      <c r="H274" s="36"/>
      <c r="I274" s="36"/>
      <c r="M274" s="36"/>
      <c r="N274" s="36"/>
      <c r="O274" s="36"/>
      <c r="Q274" s="36"/>
      <c r="R274" s="36"/>
      <c r="S274" s="36"/>
    </row>
    <row r="275">
      <c r="B275" s="36"/>
      <c r="C275" s="36"/>
      <c r="D275" s="36"/>
      <c r="G275" s="36"/>
      <c r="H275" s="36"/>
      <c r="I275" s="36"/>
      <c r="M275" s="36"/>
      <c r="N275" s="36"/>
      <c r="O275" s="36"/>
      <c r="Q275" s="36"/>
      <c r="R275" s="36"/>
      <c r="S275" s="36"/>
    </row>
    <row r="276">
      <c r="B276" s="36"/>
      <c r="C276" s="36"/>
      <c r="D276" s="36"/>
      <c r="G276" s="36"/>
      <c r="H276" s="36"/>
      <c r="I276" s="36"/>
      <c r="M276" s="36"/>
      <c r="N276" s="36"/>
      <c r="O276" s="36"/>
      <c r="Q276" s="36"/>
      <c r="R276" s="36"/>
      <c r="S276" s="36"/>
    </row>
    <row r="277">
      <c r="B277" s="36"/>
      <c r="C277" s="36"/>
      <c r="D277" s="36"/>
      <c r="G277" s="36"/>
      <c r="H277" s="36"/>
      <c r="I277" s="36"/>
      <c r="M277" s="36"/>
      <c r="N277" s="36"/>
      <c r="O277" s="36"/>
      <c r="Q277" s="36"/>
      <c r="R277" s="36"/>
      <c r="S277" s="36"/>
    </row>
    <row r="278">
      <c r="B278" s="36"/>
      <c r="C278" s="36"/>
      <c r="D278" s="36"/>
      <c r="G278" s="36"/>
      <c r="H278" s="36"/>
      <c r="I278" s="36"/>
      <c r="M278" s="36"/>
      <c r="N278" s="36"/>
      <c r="O278" s="36"/>
      <c r="Q278" s="36"/>
      <c r="R278" s="36"/>
      <c r="S278" s="36"/>
    </row>
    <row r="279">
      <c r="B279" s="36"/>
      <c r="C279" s="36"/>
      <c r="D279" s="36"/>
      <c r="G279" s="36"/>
      <c r="H279" s="36"/>
      <c r="I279" s="36"/>
      <c r="M279" s="36"/>
      <c r="N279" s="36"/>
      <c r="O279" s="36"/>
      <c r="Q279" s="36"/>
      <c r="R279" s="36"/>
      <c r="S279" s="36"/>
    </row>
    <row r="280">
      <c r="B280" s="36"/>
      <c r="C280" s="36"/>
      <c r="D280" s="36"/>
      <c r="G280" s="36"/>
      <c r="H280" s="36"/>
      <c r="I280" s="36"/>
      <c r="M280" s="36"/>
      <c r="N280" s="36"/>
      <c r="O280" s="36"/>
      <c r="Q280" s="36"/>
      <c r="R280" s="36"/>
      <c r="S280" s="36"/>
    </row>
    <row r="281">
      <c r="B281" s="36"/>
      <c r="C281" s="36"/>
      <c r="D281" s="36"/>
      <c r="G281" s="36"/>
      <c r="H281" s="36"/>
      <c r="I281" s="36"/>
      <c r="M281" s="36"/>
      <c r="N281" s="36"/>
      <c r="O281" s="36"/>
      <c r="Q281" s="36"/>
      <c r="R281" s="36"/>
      <c r="S281" s="36"/>
    </row>
    <row r="282">
      <c r="B282" s="36"/>
      <c r="C282" s="36"/>
      <c r="D282" s="36"/>
      <c r="G282" s="36"/>
      <c r="H282" s="36"/>
      <c r="I282" s="36"/>
      <c r="M282" s="36"/>
      <c r="N282" s="36"/>
      <c r="O282" s="36"/>
      <c r="Q282" s="36"/>
      <c r="R282" s="36"/>
      <c r="S282" s="36"/>
    </row>
    <row r="283">
      <c r="B283" s="36"/>
      <c r="C283" s="36"/>
      <c r="D283" s="36"/>
      <c r="G283" s="36"/>
      <c r="H283" s="36"/>
      <c r="I283" s="36"/>
      <c r="M283" s="36"/>
      <c r="N283" s="36"/>
      <c r="O283" s="36"/>
      <c r="Q283" s="36"/>
      <c r="R283" s="36"/>
      <c r="S283" s="36"/>
    </row>
    <row r="284">
      <c r="B284" s="36"/>
      <c r="C284" s="36"/>
      <c r="D284" s="36"/>
      <c r="G284" s="36"/>
      <c r="H284" s="36"/>
      <c r="I284" s="36"/>
      <c r="M284" s="36"/>
      <c r="N284" s="36"/>
      <c r="O284" s="36"/>
      <c r="Q284" s="36"/>
      <c r="R284" s="36"/>
      <c r="S284" s="36"/>
    </row>
    <row r="285">
      <c r="B285" s="36"/>
      <c r="C285" s="36"/>
      <c r="D285" s="36"/>
      <c r="G285" s="36"/>
      <c r="H285" s="36"/>
      <c r="I285" s="36"/>
      <c r="M285" s="36"/>
      <c r="N285" s="36"/>
      <c r="O285" s="36"/>
      <c r="Q285" s="36"/>
      <c r="R285" s="36"/>
      <c r="S285" s="36"/>
    </row>
    <row r="286">
      <c r="B286" s="36"/>
      <c r="C286" s="36"/>
      <c r="D286" s="36"/>
      <c r="G286" s="36"/>
      <c r="H286" s="36"/>
      <c r="I286" s="36"/>
      <c r="M286" s="36"/>
      <c r="N286" s="36"/>
      <c r="O286" s="36"/>
      <c r="Q286" s="36"/>
      <c r="R286" s="36"/>
      <c r="S286" s="36"/>
    </row>
    <row r="287">
      <c r="B287" s="36"/>
      <c r="C287" s="36"/>
      <c r="D287" s="36"/>
      <c r="G287" s="36"/>
      <c r="H287" s="36"/>
      <c r="I287" s="36"/>
      <c r="M287" s="36"/>
      <c r="N287" s="36"/>
      <c r="O287" s="36"/>
      <c r="Q287" s="36"/>
      <c r="R287" s="36"/>
      <c r="S287" s="36"/>
    </row>
    <row r="288">
      <c r="B288" s="36"/>
      <c r="C288" s="36"/>
      <c r="D288" s="36"/>
      <c r="G288" s="36"/>
      <c r="H288" s="36"/>
      <c r="I288" s="36"/>
      <c r="M288" s="36"/>
      <c r="N288" s="36"/>
      <c r="O288" s="36"/>
      <c r="Q288" s="36"/>
      <c r="R288" s="36"/>
      <c r="S288" s="36"/>
    </row>
    <row r="289">
      <c r="B289" s="36"/>
      <c r="C289" s="36"/>
      <c r="D289" s="36"/>
      <c r="G289" s="36"/>
      <c r="H289" s="36"/>
      <c r="I289" s="36"/>
      <c r="M289" s="36"/>
      <c r="N289" s="36"/>
      <c r="O289" s="36"/>
      <c r="Q289" s="36"/>
      <c r="R289" s="36"/>
      <c r="S289" s="36"/>
    </row>
    <row r="290">
      <c r="B290" s="36"/>
      <c r="C290" s="36"/>
      <c r="D290" s="36"/>
      <c r="G290" s="36"/>
      <c r="H290" s="36"/>
      <c r="I290" s="36"/>
      <c r="M290" s="36"/>
      <c r="N290" s="36"/>
      <c r="O290" s="36"/>
      <c r="Q290" s="36"/>
      <c r="R290" s="36"/>
      <c r="S290" s="36"/>
    </row>
    <row r="291">
      <c r="B291" s="36"/>
      <c r="C291" s="36"/>
      <c r="D291" s="36"/>
      <c r="G291" s="36"/>
      <c r="H291" s="36"/>
      <c r="I291" s="36"/>
      <c r="M291" s="36"/>
      <c r="N291" s="36"/>
      <c r="O291" s="36"/>
      <c r="Q291" s="36"/>
      <c r="R291" s="36"/>
      <c r="S291" s="36"/>
    </row>
    <row r="292">
      <c r="B292" s="36"/>
      <c r="C292" s="36"/>
      <c r="D292" s="36"/>
      <c r="G292" s="36"/>
      <c r="H292" s="36"/>
      <c r="I292" s="36"/>
      <c r="M292" s="36"/>
      <c r="N292" s="36"/>
      <c r="O292" s="36"/>
      <c r="Q292" s="36"/>
      <c r="R292" s="36"/>
      <c r="S292" s="36"/>
    </row>
    <row r="293">
      <c r="B293" s="36"/>
      <c r="C293" s="36"/>
      <c r="D293" s="36"/>
      <c r="G293" s="36"/>
      <c r="H293" s="36"/>
      <c r="I293" s="36"/>
      <c r="M293" s="36"/>
      <c r="N293" s="36"/>
      <c r="O293" s="36"/>
      <c r="Q293" s="36"/>
      <c r="R293" s="36"/>
      <c r="S293" s="36"/>
    </row>
    <row r="294">
      <c r="B294" s="36"/>
      <c r="C294" s="36"/>
      <c r="D294" s="36"/>
      <c r="G294" s="36"/>
      <c r="H294" s="36"/>
      <c r="I294" s="36"/>
      <c r="M294" s="36"/>
      <c r="N294" s="36"/>
      <c r="O294" s="36"/>
      <c r="Q294" s="36"/>
      <c r="R294" s="36"/>
      <c r="S294" s="36"/>
    </row>
    <row r="295">
      <c r="B295" s="36"/>
      <c r="C295" s="36"/>
      <c r="D295" s="36"/>
      <c r="G295" s="36"/>
      <c r="H295" s="36"/>
      <c r="I295" s="36"/>
      <c r="M295" s="36"/>
      <c r="N295" s="36"/>
      <c r="O295" s="36"/>
      <c r="Q295" s="36"/>
      <c r="R295" s="36"/>
      <c r="S295" s="36"/>
    </row>
    <row r="296">
      <c r="B296" s="36"/>
      <c r="C296" s="36"/>
      <c r="D296" s="36"/>
      <c r="G296" s="36"/>
      <c r="H296" s="36"/>
      <c r="I296" s="36"/>
      <c r="M296" s="36"/>
      <c r="N296" s="36"/>
      <c r="O296" s="36"/>
      <c r="Q296" s="36"/>
      <c r="R296" s="36"/>
      <c r="S296" s="36"/>
    </row>
    <row r="297">
      <c r="B297" s="36"/>
      <c r="C297" s="36"/>
      <c r="D297" s="36"/>
      <c r="G297" s="36"/>
      <c r="H297" s="36"/>
      <c r="I297" s="36"/>
      <c r="M297" s="36"/>
      <c r="N297" s="36"/>
      <c r="O297" s="36"/>
      <c r="Q297" s="36"/>
      <c r="R297" s="36"/>
      <c r="S297" s="36"/>
    </row>
    <row r="298">
      <c r="B298" s="36"/>
      <c r="C298" s="36"/>
      <c r="D298" s="36"/>
      <c r="G298" s="36"/>
      <c r="H298" s="36"/>
      <c r="I298" s="36"/>
      <c r="M298" s="36"/>
      <c r="N298" s="36"/>
      <c r="O298" s="36"/>
      <c r="Q298" s="36"/>
      <c r="R298" s="36"/>
      <c r="S298" s="36"/>
    </row>
    <row r="299">
      <c r="B299" s="36"/>
      <c r="C299" s="36"/>
      <c r="D299" s="36"/>
      <c r="G299" s="36"/>
      <c r="H299" s="36"/>
      <c r="I299" s="36"/>
      <c r="M299" s="36"/>
      <c r="N299" s="36"/>
      <c r="O299" s="36"/>
      <c r="Q299" s="36"/>
      <c r="R299" s="36"/>
      <c r="S299" s="36"/>
    </row>
    <row r="300">
      <c r="B300" s="36"/>
      <c r="C300" s="36"/>
      <c r="D300" s="36"/>
      <c r="G300" s="36"/>
      <c r="H300" s="36"/>
      <c r="I300" s="36"/>
      <c r="M300" s="36"/>
      <c r="N300" s="36"/>
      <c r="O300" s="36"/>
      <c r="Q300" s="36"/>
      <c r="R300" s="36"/>
      <c r="S300" s="36"/>
    </row>
    <row r="301">
      <c r="B301" s="36"/>
      <c r="C301" s="36"/>
      <c r="D301" s="36"/>
      <c r="G301" s="36"/>
      <c r="H301" s="36"/>
      <c r="I301" s="36"/>
      <c r="M301" s="36"/>
      <c r="N301" s="36"/>
      <c r="O301" s="36"/>
      <c r="Q301" s="36"/>
      <c r="R301" s="36"/>
      <c r="S301" s="36"/>
    </row>
    <row r="302">
      <c r="B302" s="36"/>
      <c r="C302" s="36"/>
      <c r="D302" s="36"/>
      <c r="G302" s="36"/>
      <c r="H302" s="36"/>
      <c r="I302" s="36"/>
      <c r="M302" s="36"/>
      <c r="N302" s="36"/>
      <c r="O302" s="36"/>
      <c r="Q302" s="36"/>
      <c r="R302" s="36"/>
      <c r="S302" s="36"/>
    </row>
    <row r="303">
      <c r="B303" s="36"/>
      <c r="C303" s="36"/>
      <c r="D303" s="36"/>
      <c r="G303" s="36"/>
      <c r="H303" s="36"/>
      <c r="I303" s="36"/>
      <c r="M303" s="36"/>
      <c r="N303" s="36"/>
      <c r="O303" s="36"/>
      <c r="Q303" s="36"/>
      <c r="R303" s="36"/>
      <c r="S303" s="36"/>
    </row>
    <row r="304">
      <c r="B304" s="36"/>
      <c r="C304" s="36"/>
      <c r="D304" s="36"/>
      <c r="G304" s="36"/>
      <c r="H304" s="36"/>
      <c r="I304" s="36"/>
      <c r="M304" s="36"/>
      <c r="N304" s="36"/>
      <c r="O304" s="36"/>
      <c r="Q304" s="36"/>
      <c r="R304" s="36"/>
      <c r="S304" s="36"/>
    </row>
    <row r="305">
      <c r="B305" s="36"/>
      <c r="C305" s="36"/>
      <c r="D305" s="36"/>
      <c r="G305" s="36"/>
      <c r="H305" s="36"/>
      <c r="I305" s="36"/>
      <c r="M305" s="36"/>
      <c r="N305" s="36"/>
      <c r="O305" s="36"/>
      <c r="Q305" s="36"/>
      <c r="R305" s="36"/>
      <c r="S305" s="36"/>
    </row>
    <row r="306">
      <c r="B306" s="36"/>
      <c r="C306" s="36"/>
      <c r="D306" s="36"/>
      <c r="G306" s="36"/>
      <c r="H306" s="36"/>
      <c r="I306" s="36"/>
      <c r="M306" s="36"/>
      <c r="N306" s="36"/>
      <c r="O306" s="36"/>
      <c r="Q306" s="36"/>
      <c r="R306" s="36"/>
      <c r="S306" s="36"/>
    </row>
    <row r="307">
      <c r="B307" s="36"/>
      <c r="C307" s="36"/>
      <c r="D307" s="36"/>
      <c r="G307" s="36"/>
      <c r="H307" s="36"/>
      <c r="I307" s="36"/>
      <c r="M307" s="36"/>
      <c r="N307" s="36"/>
      <c r="O307" s="36"/>
      <c r="Q307" s="36"/>
      <c r="R307" s="36"/>
      <c r="S307" s="36"/>
    </row>
    <row r="308">
      <c r="B308" s="36"/>
      <c r="C308" s="36"/>
      <c r="D308" s="36"/>
      <c r="G308" s="36"/>
      <c r="H308" s="36"/>
      <c r="I308" s="36"/>
      <c r="M308" s="36"/>
      <c r="N308" s="36"/>
      <c r="O308" s="36"/>
      <c r="Q308" s="36"/>
      <c r="R308" s="36"/>
      <c r="S308" s="36"/>
    </row>
    <row r="309">
      <c r="B309" s="36"/>
      <c r="C309" s="36"/>
      <c r="D309" s="36"/>
      <c r="G309" s="36"/>
      <c r="H309" s="36"/>
      <c r="I309" s="36"/>
      <c r="M309" s="36"/>
      <c r="N309" s="36"/>
      <c r="O309" s="36"/>
      <c r="Q309" s="36"/>
      <c r="R309" s="36"/>
      <c r="S309" s="36"/>
    </row>
    <row r="310">
      <c r="B310" s="36"/>
      <c r="C310" s="36"/>
      <c r="D310" s="36"/>
      <c r="G310" s="36"/>
      <c r="H310" s="36"/>
      <c r="I310" s="36"/>
      <c r="M310" s="36"/>
      <c r="N310" s="36"/>
      <c r="O310" s="36"/>
      <c r="Q310" s="36"/>
      <c r="R310" s="36"/>
      <c r="S310" s="36"/>
    </row>
    <row r="311">
      <c r="B311" s="36"/>
      <c r="C311" s="36"/>
      <c r="D311" s="36"/>
      <c r="G311" s="36"/>
      <c r="H311" s="36"/>
      <c r="I311" s="36"/>
      <c r="M311" s="36"/>
      <c r="N311" s="36"/>
      <c r="O311" s="36"/>
      <c r="Q311" s="36"/>
      <c r="R311" s="36"/>
      <c r="S311" s="36"/>
    </row>
    <row r="312">
      <c r="B312" s="36"/>
      <c r="C312" s="36"/>
      <c r="D312" s="36"/>
      <c r="G312" s="36"/>
      <c r="H312" s="36"/>
      <c r="I312" s="36"/>
      <c r="M312" s="36"/>
      <c r="N312" s="36"/>
      <c r="O312" s="36"/>
      <c r="Q312" s="36"/>
      <c r="R312" s="36"/>
      <c r="S312" s="36"/>
    </row>
    <row r="313">
      <c r="B313" s="36"/>
      <c r="C313" s="36"/>
      <c r="D313" s="36"/>
      <c r="G313" s="36"/>
      <c r="H313" s="36"/>
      <c r="I313" s="36"/>
      <c r="M313" s="36"/>
      <c r="N313" s="36"/>
      <c r="O313" s="36"/>
      <c r="Q313" s="36"/>
      <c r="R313" s="36"/>
      <c r="S313" s="36"/>
    </row>
    <row r="314">
      <c r="B314" s="36"/>
      <c r="C314" s="36"/>
      <c r="D314" s="36"/>
      <c r="G314" s="36"/>
      <c r="H314" s="36"/>
      <c r="I314" s="36"/>
      <c r="M314" s="36"/>
      <c r="N314" s="36"/>
      <c r="O314" s="36"/>
      <c r="Q314" s="36"/>
      <c r="R314" s="36"/>
      <c r="S314" s="36"/>
    </row>
    <row r="315">
      <c r="B315" s="36"/>
      <c r="C315" s="36"/>
      <c r="D315" s="36"/>
      <c r="G315" s="36"/>
      <c r="H315" s="36"/>
      <c r="I315" s="36"/>
      <c r="M315" s="36"/>
      <c r="N315" s="36"/>
      <c r="O315" s="36"/>
      <c r="Q315" s="36"/>
      <c r="R315" s="36"/>
      <c r="S315" s="36"/>
    </row>
    <row r="316">
      <c r="B316" s="36"/>
      <c r="C316" s="36"/>
      <c r="D316" s="36"/>
      <c r="G316" s="36"/>
      <c r="H316" s="36"/>
      <c r="I316" s="36"/>
      <c r="M316" s="36"/>
      <c r="N316" s="36"/>
      <c r="O316" s="36"/>
      <c r="Q316" s="36"/>
      <c r="R316" s="36"/>
      <c r="S316" s="36"/>
    </row>
    <row r="317">
      <c r="B317" s="36"/>
      <c r="C317" s="36"/>
      <c r="D317" s="36"/>
      <c r="G317" s="36"/>
      <c r="H317" s="36"/>
      <c r="I317" s="36"/>
      <c r="M317" s="36"/>
      <c r="N317" s="36"/>
      <c r="O317" s="36"/>
      <c r="Q317" s="36"/>
      <c r="R317" s="36"/>
      <c r="S317" s="36"/>
    </row>
    <row r="318">
      <c r="B318" s="36"/>
      <c r="C318" s="36"/>
      <c r="D318" s="36"/>
      <c r="G318" s="36"/>
      <c r="H318" s="36"/>
      <c r="I318" s="36"/>
      <c r="M318" s="36"/>
      <c r="N318" s="36"/>
      <c r="O318" s="36"/>
      <c r="Q318" s="36"/>
      <c r="R318" s="36"/>
      <c r="S318" s="36"/>
    </row>
    <row r="319">
      <c r="B319" s="36"/>
      <c r="C319" s="36"/>
      <c r="D319" s="36"/>
      <c r="G319" s="36"/>
      <c r="H319" s="36"/>
      <c r="I319" s="36"/>
      <c r="M319" s="36"/>
      <c r="N319" s="36"/>
      <c r="O319" s="36"/>
      <c r="Q319" s="36"/>
      <c r="R319" s="36"/>
      <c r="S319" s="36"/>
    </row>
    <row r="320">
      <c r="B320" s="36"/>
      <c r="C320" s="36"/>
      <c r="D320" s="36"/>
      <c r="G320" s="36"/>
      <c r="H320" s="36"/>
      <c r="I320" s="36"/>
      <c r="M320" s="36"/>
      <c r="N320" s="36"/>
      <c r="O320" s="36"/>
      <c r="Q320" s="36"/>
      <c r="R320" s="36"/>
      <c r="S320" s="36"/>
    </row>
    <row r="321">
      <c r="B321" s="36"/>
      <c r="C321" s="36"/>
      <c r="D321" s="36"/>
      <c r="G321" s="36"/>
      <c r="H321" s="36"/>
      <c r="I321" s="36"/>
      <c r="M321" s="36"/>
      <c r="N321" s="36"/>
      <c r="O321" s="36"/>
      <c r="Q321" s="36"/>
      <c r="R321" s="36"/>
      <c r="S321" s="36"/>
    </row>
    <row r="322">
      <c r="B322" s="36"/>
      <c r="C322" s="36"/>
      <c r="D322" s="36"/>
      <c r="G322" s="36"/>
      <c r="H322" s="36"/>
      <c r="I322" s="36"/>
      <c r="M322" s="36"/>
      <c r="N322" s="36"/>
      <c r="O322" s="36"/>
      <c r="Q322" s="36"/>
      <c r="R322" s="36"/>
      <c r="S322" s="36"/>
    </row>
    <row r="323">
      <c r="B323" s="36"/>
      <c r="C323" s="36"/>
      <c r="D323" s="36"/>
      <c r="G323" s="36"/>
      <c r="H323" s="36"/>
      <c r="I323" s="36"/>
      <c r="M323" s="36"/>
      <c r="N323" s="36"/>
      <c r="O323" s="36"/>
      <c r="Q323" s="36"/>
      <c r="R323" s="36"/>
      <c r="S323" s="36"/>
    </row>
    <row r="324">
      <c r="B324" s="36"/>
      <c r="C324" s="36"/>
      <c r="D324" s="36"/>
      <c r="G324" s="36"/>
      <c r="H324" s="36"/>
      <c r="I324" s="36"/>
      <c r="M324" s="36"/>
      <c r="N324" s="36"/>
      <c r="O324" s="36"/>
      <c r="Q324" s="36"/>
      <c r="R324" s="36"/>
      <c r="S324" s="36"/>
    </row>
    <row r="325">
      <c r="B325" s="36"/>
      <c r="C325" s="36"/>
      <c r="D325" s="36"/>
      <c r="G325" s="36"/>
      <c r="H325" s="36"/>
      <c r="I325" s="36"/>
      <c r="M325" s="36"/>
      <c r="N325" s="36"/>
      <c r="O325" s="36"/>
      <c r="Q325" s="36"/>
      <c r="R325" s="36"/>
      <c r="S325" s="36"/>
    </row>
    <row r="326">
      <c r="B326" s="36"/>
      <c r="C326" s="36"/>
      <c r="D326" s="36"/>
      <c r="G326" s="36"/>
      <c r="H326" s="36"/>
      <c r="I326" s="36"/>
      <c r="M326" s="36"/>
      <c r="N326" s="36"/>
      <c r="O326" s="36"/>
      <c r="Q326" s="36"/>
      <c r="R326" s="36"/>
      <c r="S326" s="36"/>
    </row>
    <row r="327">
      <c r="B327" s="36"/>
      <c r="C327" s="36"/>
      <c r="D327" s="36"/>
      <c r="G327" s="36"/>
      <c r="H327" s="36"/>
      <c r="I327" s="36"/>
      <c r="M327" s="36"/>
      <c r="N327" s="36"/>
      <c r="O327" s="36"/>
      <c r="Q327" s="36"/>
      <c r="R327" s="36"/>
      <c r="S327" s="36"/>
    </row>
    <row r="328">
      <c r="B328" s="36"/>
      <c r="C328" s="36"/>
      <c r="D328" s="36"/>
      <c r="G328" s="36"/>
      <c r="H328" s="36"/>
      <c r="I328" s="36"/>
      <c r="M328" s="36"/>
      <c r="N328" s="36"/>
      <c r="O328" s="36"/>
      <c r="Q328" s="36"/>
      <c r="R328" s="36"/>
      <c r="S328" s="36"/>
    </row>
    <row r="329">
      <c r="B329" s="36"/>
      <c r="C329" s="36"/>
      <c r="D329" s="36"/>
      <c r="G329" s="36"/>
      <c r="H329" s="36"/>
      <c r="I329" s="36"/>
      <c r="M329" s="36"/>
      <c r="N329" s="36"/>
      <c r="O329" s="36"/>
      <c r="Q329" s="36"/>
      <c r="R329" s="36"/>
      <c r="S329" s="36"/>
    </row>
    <row r="330">
      <c r="B330" s="36"/>
      <c r="C330" s="36"/>
      <c r="D330" s="36"/>
      <c r="G330" s="36"/>
      <c r="H330" s="36"/>
      <c r="I330" s="36"/>
      <c r="M330" s="36"/>
      <c r="N330" s="36"/>
      <c r="O330" s="36"/>
      <c r="Q330" s="36"/>
      <c r="R330" s="36"/>
      <c r="S330" s="36"/>
    </row>
    <row r="331">
      <c r="B331" s="36"/>
      <c r="C331" s="36"/>
      <c r="D331" s="36"/>
      <c r="G331" s="36"/>
      <c r="H331" s="36"/>
      <c r="I331" s="36"/>
      <c r="M331" s="36"/>
      <c r="N331" s="36"/>
      <c r="O331" s="36"/>
      <c r="Q331" s="36"/>
      <c r="R331" s="36"/>
      <c r="S331" s="36"/>
    </row>
    <row r="332">
      <c r="B332" s="36"/>
      <c r="C332" s="36"/>
      <c r="D332" s="36"/>
      <c r="G332" s="36"/>
      <c r="H332" s="36"/>
      <c r="I332" s="36"/>
      <c r="M332" s="36"/>
      <c r="N332" s="36"/>
      <c r="O332" s="36"/>
      <c r="Q332" s="36"/>
      <c r="R332" s="36"/>
      <c r="S332" s="36"/>
    </row>
    <row r="333">
      <c r="B333" s="36"/>
      <c r="C333" s="36"/>
      <c r="D333" s="36"/>
      <c r="G333" s="36"/>
      <c r="H333" s="36"/>
      <c r="I333" s="36"/>
      <c r="M333" s="36"/>
      <c r="N333" s="36"/>
      <c r="O333" s="36"/>
      <c r="Q333" s="36"/>
      <c r="R333" s="36"/>
      <c r="S333" s="36"/>
    </row>
    <row r="334">
      <c r="B334" s="36"/>
      <c r="C334" s="36"/>
      <c r="D334" s="36"/>
      <c r="G334" s="36"/>
      <c r="H334" s="36"/>
      <c r="I334" s="36"/>
      <c r="M334" s="36"/>
      <c r="N334" s="36"/>
      <c r="O334" s="36"/>
      <c r="Q334" s="36"/>
      <c r="R334" s="36"/>
      <c r="S334" s="36"/>
    </row>
    <row r="335">
      <c r="B335" s="36"/>
      <c r="C335" s="36"/>
      <c r="D335" s="36"/>
      <c r="G335" s="36"/>
      <c r="H335" s="36"/>
      <c r="I335" s="36"/>
      <c r="M335" s="36"/>
      <c r="N335" s="36"/>
      <c r="O335" s="36"/>
      <c r="Q335" s="36"/>
      <c r="R335" s="36"/>
      <c r="S335" s="36"/>
    </row>
    <row r="336">
      <c r="B336" s="36"/>
      <c r="C336" s="36"/>
      <c r="D336" s="36"/>
      <c r="G336" s="36"/>
      <c r="H336" s="36"/>
      <c r="I336" s="36"/>
      <c r="M336" s="36"/>
      <c r="N336" s="36"/>
      <c r="O336" s="36"/>
      <c r="Q336" s="36"/>
      <c r="R336" s="36"/>
      <c r="S336" s="36"/>
    </row>
    <row r="337">
      <c r="B337" s="36"/>
      <c r="C337" s="36"/>
      <c r="D337" s="36"/>
      <c r="G337" s="36"/>
      <c r="H337" s="36"/>
      <c r="I337" s="36"/>
      <c r="M337" s="36"/>
      <c r="N337" s="36"/>
      <c r="O337" s="36"/>
      <c r="Q337" s="36"/>
      <c r="R337" s="36"/>
      <c r="S337" s="36"/>
    </row>
    <row r="338">
      <c r="B338" s="36"/>
      <c r="C338" s="36"/>
      <c r="D338" s="36"/>
      <c r="G338" s="36"/>
      <c r="H338" s="36"/>
      <c r="I338" s="36"/>
      <c r="M338" s="36"/>
      <c r="N338" s="36"/>
      <c r="O338" s="36"/>
      <c r="Q338" s="36"/>
      <c r="R338" s="36"/>
      <c r="S338" s="36"/>
    </row>
    <row r="339">
      <c r="B339" s="36"/>
      <c r="C339" s="36"/>
      <c r="D339" s="36"/>
      <c r="G339" s="36"/>
      <c r="H339" s="36"/>
      <c r="I339" s="36"/>
      <c r="M339" s="36"/>
      <c r="N339" s="36"/>
      <c r="O339" s="36"/>
      <c r="Q339" s="36"/>
      <c r="R339" s="36"/>
      <c r="S339" s="36"/>
    </row>
    <row r="340">
      <c r="B340" s="36"/>
      <c r="C340" s="36"/>
      <c r="D340" s="36"/>
      <c r="G340" s="36"/>
      <c r="H340" s="36"/>
      <c r="I340" s="36"/>
      <c r="M340" s="36"/>
      <c r="N340" s="36"/>
      <c r="O340" s="36"/>
      <c r="Q340" s="36"/>
      <c r="R340" s="36"/>
      <c r="S340" s="36"/>
    </row>
    <row r="341">
      <c r="B341" s="36"/>
      <c r="C341" s="36"/>
      <c r="D341" s="36"/>
      <c r="G341" s="36"/>
      <c r="H341" s="36"/>
      <c r="I341" s="36"/>
      <c r="M341" s="36"/>
      <c r="N341" s="36"/>
      <c r="O341" s="36"/>
      <c r="Q341" s="36"/>
      <c r="R341" s="36"/>
      <c r="S341" s="36"/>
    </row>
    <row r="342">
      <c r="B342" s="36"/>
      <c r="C342" s="36"/>
      <c r="D342" s="36"/>
      <c r="G342" s="36"/>
      <c r="H342" s="36"/>
      <c r="I342" s="36"/>
      <c r="M342" s="36"/>
      <c r="N342" s="36"/>
      <c r="O342" s="36"/>
      <c r="Q342" s="36"/>
      <c r="R342" s="36"/>
      <c r="S342" s="36"/>
    </row>
    <row r="343">
      <c r="B343" s="36"/>
      <c r="C343" s="36"/>
      <c r="D343" s="36"/>
      <c r="G343" s="36"/>
      <c r="H343" s="36"/>
      <c r="I343" s="36"/>
      <c r="M343" s="36"/>
      <c r="N343" s="36"/>
      <c r="O343" s="36"/>
      <c r="Q343" s="36"/>
      <c r="R343" s="36"/>
      <c r="S343" s="36"/>
    </row>
    <row r="344">
      <c r="B344" s="36"/>
      <c r="C344" s="36"/>
      <c r="D344" s="36"/>
      <c r="G344" s="36"/>
      <c r="H344" s="36"/>
      <c r="I344" s="36"/>
      <c r="M344" s="36"/>
      <c r="N344" s="36"/>
      <c r="O344" s="36"/>
      <c r="Q344" s="36"/>
      <c r="R344" s="36"/>
      <c r="S344" s="36"/>
    </row>
    <row r="345">
      <c r="B345" s="36"/>
      <c r="C345" s="36"/>
      <c r="D345" s="36"/>
      <c r="G345" s="36"/>
      <c r="H345" s="36"/>
      <c r="I345" s="36"/>
      <c r="M345" s="36"/>
      <c r="N345" s="36"/>
      <c r="O345" s="36"/>
      <c r="Q345" s="36"/>
      <c r="R345" s="36"/>
      <c r="S345" s="36"/>
    </row>
    <row r="346">
      <c r="B346" s="36"/>
      <c r="C346" s="36"/>
      <c r="D346" s="36"/>
      <c r="G346" s="36"/>
      <c r="H346" s="36"/>
      <c r="I346" s="36"/>
      <c r="M346" s="36"/>
      <c r="N346" s="36"/>
      <c r="O346" s="36"/>
      <c r="Q346" s="36"/>
      <c r="R346" s="36"/>
      <c r="S346" s="36"/>
    </row>
    <row r="347">
      <c r="B347" s="36"/>
      <c r="C347" s="36"/>
      <c r="D347" s="36"/>
      <c r="G347" s="36"/>
      <c r="H347" s="36"/>
      <c r="I347" s="36"/>
      <c r="M347" s="36"/>
      <c r="N347" s="36"/>
      <c r="O347" s="36"/>
      <c r="Q347" s="36"/>
      <c r="R347" s="36"/>
      <c r="S347" s="36"/>
    </row>
    <row r="348">
      <c r="B348" s="36"/>
      <c r="C348" s="36"/>
      <c r="D348" s="36"/>
      <c r="G348" s="36"/>
      <c r="H348" s="36"/>
      <c r="I348" s="36"/>
      <c r="M348" s="36"/>
      <c r="N348" s="36"/>
      <c r="O348" s="36"/>
      <c r="Q348" s="36"/>
      <c r="R348" s="36"/>
      <c r="S348" s="36"/>
    </row>
    <row r="349">
      <c r="B349" s="36"/>
      <c r="C349" s="36"/>
      <c r="D349" s="36"/>
      <c r="G349" s="36"/>
      <c r="H349" s="36"/>
      <c r="I349" s="36"/>
      <c r="M349" s="36"/>
      <c r="N349" s="36"/>
      <c r="O349" s="36"/>
      <c r="Q349" s="36"/>
      <c r="R349" s="36"/>
      <c r="S349" s="36"/>
    </row>
    <row r="350">
      <c r="B350" s="36"/>
      <c r="C350" s="36"/>
      <c r="D350" s="36"/>
      <c r="G350" s="36"/>
      <c r="H350" s="36"/>
      <c r="I350" s="36"/>
      <c r="M350" s="36"/>
      <c r="N350" s="36"/>
      <c r="O350" s="36"/>
      <c r="Q350" s="36"/>
      <c r="R350" s="36"/>
      <c r="S350" s="36"/>
    </row>
    <row r="351">
      <c r="B351" s="36"/>
      <c r="C351" s="36"/>
      <c r="D351" s="36"/>
      <c r="G351" s="36"/>
      <c r="H351" s="36"/>
      <c r="I351" s="36"/>
      <c r="M351" s="36"/>
      <c r="N351" s="36"/>
      <c r="O351" s="36"/>
      <c r="Q351" s="36"/>
      <c r="R351" s="36"/>
      <c r="S351" s="36"/>
    </row>
    <row r="352">
      <c r="B352" s="36"/>
      <c r="C352" s="36"/>
      <c r="D352" s="36"/>
      <c r="G352" s="36"/>
      <c r="H352" s="36"/>
      <c r="I352" s="36"/>
      <c r="M352" s="36"/>
      <c r="N352" s="36"/>
      <c r="O352" s="36"/>
      <c r="Q352" s="36"/>
      <c r="R352" s="36"/>
      <c r="S352" s="36"/>
    </row>
    <row r="353">
      <c r="B353" s="36"/>
      <c r="C353" s="36"/>
      <c r="D353" s="36"/>
      <c r="G353" s="36"/>
      <c r="H353" s="36"/>
      <c r="I353" s="36"/>
      <c r="M353" s="36"/>
      <c r="N353" s="36"/>
      <c r="O353" s="36"/>
      <c r="Q353" s="36"/>
      <c r="R353" s="36"/>
      <c r="S353" s="36"/>
    </row>
    <row r="354">
      <c r="B354" s="36"/>
      <c r="C354" s="36"/>
      <c r="D354" s="36"/>
      <c r="G354" s="36"/>
      <c r="H354" s="36"/>
      <c r="I354" s="36"/>
      <c r="M354" s="36"/>
      <c r="N354" s="36"/>
      <c r="O354" s="36"/>
      <c r="Q354" s="36"/>
      <c r="R354" s="36"/>
      <c r="S354" s="36"/>
    </row>
    <row r="355">
      <c r="B355" s="36"/>
      <c r="C355" s="36"/>
      <c r="D355" s="36"/>
      <c r="G355" s="36"/>
      <c r="H355" s="36"/>
      <c r="I355" s="36"/>
      <c r="M355" s="36"/>
      <c r="N355" s="36"/>
      <c r="O355" s="36"/>
      <c r="Q355" s="36"/>
      <c r="R355" s="36"/>
      <c r="S355" s="36"/>
    </row>
    <row r="356">
      <c r="B356" s="36"/>
      <c r="C356" s="36"/>
      <c r="D356" s="36"/>
      <c r="G356" s="36"/>
      <c r="H356" s="36"/>
      <c r="I356" s="36"/>
      <c r="M356" s="36"/>
      <c r="N356" s="36"/>
      <c r="O356" s="36"/>
      <c r="Q356" s="36"/>
      <c r="R356" s="36"/>
      <c r="S356" s="36"/>
    </row>
    <row r="357">
      <c r="B357" s="36"/>
      <c r="C357" s="36"/>
      <c r="D357" s="36"/>
      <c r="G357" s="36"/>
      <c r="H357" s="36"/>
      <c r="I357" s="36"/>
      <c r="M357" s="36"/>
      <c r="N357" s="36"/>
      <c r="O357" s="36"/>
      <c r="Q357" s="36"/>
      <c r="R357" s="36"/>
      <c r="S357" s="36"/>
    </row>
    <row r="358">
      <c r="B358" s="36"/>
      <c r="C358" s="36"/>
      <c r="D358" s="36"/>
      <c r="G358" s="36"/>
      <c r="H358" s="36"/>
      <c r="I358" s="36"/>
      <c r="M358" s="36"/>
      <c r="N358" s="36"/>
      <c r="O358" s="36"/>
      <c r="Q358" s="36"/>
      <c r="R358" s="36"/>
      <c r="S358" s="36"/>
    </row>
    <row r="359">
      <c r="B359" s="36"/>
      <c r="C359" s="36"/>
      <c r="D359" s="36"/>
      <c r="G359" s="36"/>
      <c r="H359" s="36"/>
      <c r="I359" s="36"/>
      <c r="M359" s="36"/>
      <c r="N359" s="36"/>
      <c r="O359" s="36"/>
      <c r="Q359" s="36"/>
      <c r="R359" s="36"/>
      <c r="S359" s="36"/>
    </row>
    <row r="360">
      <c r="B360" s="36"/>
      <c r="C360" s="36"/>
      <c r="D360" s="36"/>
      <c r="G360" s="36"/>
      <c r="H360" s="36"/>
      <c r="I360" s="36"/>
      <c r="M360" s="36"/>
      <c r="N360" s="36"/>
      <c r="O360" s="36"/>
      <c r="Q360" s="36"/>
      <c r="R360" s="36"/>
      <c r="S360" s="36"/>
    </row>
    <row r="361">
      <c r="B361" s="36"/>
      <c r="C361" s="36"/>
      <c r="D361" s="36"/>
      <c r="G361" s="36"/>
      <c r="H361" s="36"/>
      <c r="I361" s="36"/>
      <c r="M361" s="36"/>
      <c r="N361" s="36"/>
      <c r="O361" s="36"/>
      <c r="Q361" s="36"/>
      <c r="R361" s="36"/>
      <c r="S361" s="36"/>
    </row>
    <row r="362">
      <c r="B362" s="36"/>
      <c r="C362" s="36"/>
      <c r="D362" s="36"/>
      <c r="G362" s="36"/>
      <c r="H362" s="36"/>
      <c r="I362" s="36"/>
      <c r="M362" s="36"/>
      <c r="N362" s="36"/>
      <c r="O362" s="36"/>
      <c r="Q362" s="36"/>
      <c r="R362" s="36"/>
      <c r="S362" s="36"/>
    </row>
    <row r="363">
      <c r="B363" s="36"/>
      <c r="C363" s="36"/>
      <c r="D363" s="36"/>
      <c r="G363" s="36"/>
      <c r="H363" s="36"/>
      <c r="I363" s="36"/>
      <c r="M363" s="36"/>
      <c r="N363" s="36"/>
      <c r="O363" s="36"/>
      <c r="Q363" s="36"/>
      <c r="R363" s="36"/>
      <c r="S363" s="36"/>
    </row>
    <row r="364">
      <c r="B364" s="36"/>
      <c r="C364" s="36"/>
      <c r="D364" s="36"/>
      <c r="G364" s="36"/>
      <c r="H364" s="36"/>
      <c r="I364" s="36"/>
      <c r="M364" s="36"/>
      <c r="N364" s="36"/>
      <c r="O364" s="36"/>
      <c r="Q364" s="36"/>
      <c r="R364" s="36"/>
      <c r="S364" s="36"/>
    </row>
    <row r="365">
      <c r="B365" s="36"/>
      <c r="C365" s="36"/>
      <c r="D365" s="36"/>
      <c r="G365" s="36"/>
      <c r="H365" s="36"/>
      <c r="I365" s="36"/>
      <c r="M365" s="36"/>
      <c r="N365" s="36"/>
      <c r="O365" s="36"/>
      <c r="Q365" s="36"/>
      <c r="R365" s="36"/>
      <c r="S365" s="36"/>
    </row>
    <row r="366">
      <c r="B366" s="36"/>
      <c r="C366" s="36"/>
      <c r="D366" s="36"/>
      <c r="G366" s="36"/>
      <c r="H366" s="36"/>
      <c r="I366" s="36"/>
      <c r="M366" s="36"/>
      <c r="N366" s="36"/>
      <c r="O366" s="36"/>
      <c r="Q366" s="36"/>
      <c r="R366" s="36"/>
      <c r="S366" s="36"/>
    </row>
    <row r="367">
      <c r="B367" s="36"/>
      <c r="C367" s="36"/>
      <c r="D367" s="36"/>
      <c r="G367" s="36"/>
      <c r="H367" s="36"/>
      <c r="I367" s="36"/>
      <c r="M367" s="36"/>
      <c r="N367" s="36"/>
      <c r="O367" s="36"/>
      <c r="Q367" s="36"/>
      <c r="R367" s="36"/>
      <c r="S367" s="36"/>
    </row>
    <row r="368">
      <c r="B368" s="36"/>
      <c r="C368" s="36"/>
      <c r="D368" s="36"/>
      <c r="G368" s="36"/>
      <c r="H368" s="36"/>
      <c r="I368" s="36"/>
      <c r="M368" s="36"/>
      <c r="N368" s="36"/>
      <c r="O368" s="36"/>
      <c r="Q368" s="36"/>
      <c r="R368" s="36"/>
      <c r="S368" s="36"/>
    </row>
    <row r="369">
      <c r="B369" s="36"/>
      <c r="C369" s="36"/>
      <c r="D369" s="36"/>
      <c r="G369" s="36"/>
      <c r="H369" s="36"/>
      <c r="I369" s="36"/>
      <c r="M369" s="36"/>
      <c r="N369" s="36"/>
      <c r="O369" s="36"/>
      <c r="Q369" s="36"/>
      <c r="R369" s="36"/>
      <c r="S369" s="36"/>
    </row>
    <row r="370">
      <c r="B370" s="36"/>
      <c r="C370" s="36"/>
      <c r="D370" s="36"/>
      <c r="G370" s="36"/>
      <c r="H370" s="36"/>
      <c r="I370" s="36"/>
      <c r="M370" s="36"/>
      <c r="N370" s="36"/>
      <c r="O370" s="36"/>
      <c r="Q370" s="36"/>
      <c r="R370" s="36"/>
      <c r="S370" s="36"/>
    </row>
    <row r="371">
      <c r="B371" s="36"/>
      <c r="C371" s="36"/>
      <c r="D371" s="36"/>
      <c r="G371" s="36"/>
      <c r="H371" s="36"/>
      <c r="I371" s="36"/>
      <c r="M371" s="36"/>
      <c r="N371" s="36"/>
      <c r="O371" s="36"/>
      <c r="Q371" s="36"/>
      <c r="R371" s="36"/>
      <c r="S371" s="36"/>
    </row>
    <row r="372">
      <c r="B372" s="36"/>
      <c r="C372" s="36"/>
      <c r="D372" s="36"/>
      <c r="G372" s="36"/>
      <c r="H372" s="36"/>
      <c r="I372" s="36"/>
      <c r="M372" s="36"/>
      <c r="N372" s="36"/>
      <c r="O372" s="36"/>
      <c r="Q372" s="36"/>
      <c r="R372" s="36"/>
      <c r="S372" s="36"/>
    </row>
    <row r="373">
      <c r="B373" s="36"/>
      <c r="C373" s="36"/>
      <c r="D373" s="36"/>
      <c r="G373" s="36"/>
      <c r="H373" s="36"/>
      <c r="I373" s="36"/>
      <c r="M373" s="36"/>
      <c r="N373" s="36"/>
      <c r="O373" s="36"/>
      <c r="Q373" s="36"/>
      <c r="R373" s="36"/>
      <c r="S373" s="36"/>
    </row>
    <row r="374">
      <c r="B374" s="36"/>
      <c r="C374" s="36"/>
      <c r="D374" s="36"/>
      <c r="G374" s="36"/>
      <c r="H374" s="36"/>
      <c r="I374" s="36"/>
      <c r="M374" s="36"/>
      <c r="N374" s="36"/>
      <c r="O374" s="36"/>
      <c r="Q374" s="36"/>
      <c r="R374" s="36"/>
      <c r="S374" s="36"/>
    </row>
    <row r="375">
      <c r="B375" s="36"/>
      <c r="C375" s="36"/>
      <c r="D375" s="36"/>
      <c r="G375" s="36"/>
      <c r="H375" s="36"/>
      <c r="I375" s="36"/>
      <c r="M375" s="36"/>
      <c r="N375" s="36"/>
      <c r="O375" s="36"/>
      <c r="Q375" s="36"/>
      <c r="R375" s="36"/>
      <c r="S375" s="36"/>
    </row>
    <row r="376">
      <c r="B376" s="36"/>
      <c r="C376" s="36"/>
      <c r="D376" s="36"/>
      <c r="G376" s="36"/>
      <c r="H376" s="36"/>
      <c r="I376" s="36"/>
      <c r="M376" s="36"/>
      <c r="N376" s="36"/>
      <c r="O376" s="36"/>
      <c r="Q376" s="36"/>
      <c r="R376" s="36"/>
      <c r="S376" s="36"/>
    </row>
    <row r="377">
      <c r="B377" s="36"/>
      <c r="C377" s="36"/>
      <c r="D377" s="36"/>
      <c r="G377" s="36"/>
      <c r="H377" s="36"/>
      <c r="I377" s="36"/>
      <c r="M377" s="36"/>
      <c r="N377" s="36"/>
      <c r="O377" s="36"/>
      <c r="Q377" s="36"/>
      <c r="R377" s="36"/>
      <c r="S377" s="36"/>
    </row>
    <row r="378">
      <c r="B378" s="36"/>
      <c r="C378" s="36"/>
      <c r="D378" s="36"/>
      <c r="G378" s="36"/>
      <c r="H378" s="36"/>
      <c r="I378" s="36"/>
      <c r="M378" s="36"/>
      <c r="N378" s="36"/>
      <c r="O378" s="36"/>
      <c r="Q378" s="36"/>
      <c r="R378" s="36"/>
      <c r="S378" s="36"/>
    </row>
    <row r="379">
      <c r="B379" s="36"/>
      <c r="C379" s="36"/>
      <c r="D379" s="36"/>
      <c r="G379" s="36"/>
      <c r="H379" s="36"/>
      <c r="I379" s="36"/>
      <c r="M379" s="36"/>
      <c r="N379" s="36"/>
      <c r="O379" s="36"/>
      <c r="Q379" s="36"/>
      <c r="R379" s="36"/>
      <c r="S379" s="36"/>
    </row>
    <row r="380">
      <c r="B380" s="36"/>
      <c r="C380" s="36"/>
      <c r="D380" s="36"/>
      <c r="G380" s="36"/>
      <c r="H380" s="36"/>
      <c r="I380" s="36"/>
      <c r="M380" s="36"/>
      <c r="N380" s="36"/>
      <c r="O380" s="36"/>
      <c r="Q380" s="36"/>
      <c r="R380" s="36"/>
      <c r="S380" s="36"/>
    </row>
    <row r="381">
      <c r="B381" s="36"/>
      <c r="C381" s="36"/>
      <c r="D381" s="36"/>
      <c r="G381" s="36"/>
      <c r="H381" s="36"/>
      <c r="I381" s="36"/>
      <c r="M381" s="36"/>
      <c r="N381" s="36"/>
      <c r="O381" s="36"/>
      <c r="Q381" s="36"/>
      <c r="R381" s="36"/>
      <c r="S381" s="36"/>
    </row>
    <row r="382">
      <c r="B382" s="36"/>
      <c r="C382" s="36"/>
      <c r="D382" s="36"/>
      <c r="G382" s="36"/>
      <c r="H382" s="36"/>
      <c r="I382" s="36"/>
      <c r="M382" s="36"/>
      <c r="N382" s="36"/>
      <c r="O382" s="36"/>
      <c r="Q382" s="36"/>
      <c r="R382" s="36"/>
      <c r="S382" s="36"/>
    </row>
    <row r="383">
      <c r="B383" s="36"/>
      <c r="C383" s="36"/>
      <c r="D383" s="36"/>
      <c r="G383" s="36"/>
      <c r="H383" s="36"/>
      <c r="I383" s="36"/>
      <c r="M383" s="36"/>
      <c r="N383" s="36"/>
      <c r="O383" s="36"/>
      <c r="Q383" s="36"/>
      <c r="R383" s="36"/>
      <c r="S383" s="36"/>
    </row>
    <row r="384">
      <c r="B384" s="36"/>
      <c r="C384" s="36"/>
      <c r="D384" s="36"/>
      <c r="G384" s="36"/>
      <c r="H384" s="36"/>
      <c r="I384" s="36"/>
      <c r="M384" s="36"/>
      <c r="N384" s="36"/>
      <c r="O384" s="36"/>
      <c r="Q384" s="36"/>
      <c r="R384" s="36"/>
      <c r="S384" s="36"/>
    </row>
    <row r="385">
      <c r="B385" s="36"/>
      <c r="C385" s="36"/>
      <c r="D385" s="36"/>
      <c r="G385" s="36"/>
      <c r="H385" s="36"/>
      <c r="I385" s="36"/>
      <c r="M385" s="36"/>
      <c r="N385" s="36"/>
      <c r="O385" s="36"/>
      <c r="Q385" s="36"/>
      <c r="R385" s="36"/>
      <c r="S385" s="36"/>
    </row>
    <row r="386">
      <c r="B386" s="36"/>
      <c r="C386" s="36"/>
      <c r="D386" s="36"/>
      <c r="G386" s="36"/>
      <c r="H386" s="36"/>
      <c r="I386" s="36"/>
      <c r="M386" s="36"/>
      <c r="N386" s="36"/>
      <c r="O386" s="36"/>
      <c r="Q386" s="36"/>
      <c r="R386" s="36"/>
      <c r="S386" s="36"/>
    </row>
    <row r="387">
      <c r="B387" s="36"/>
      <c r="C387" s="36"/>
      <c r="D387" s="36"/>
      <c r="G387" s="36"/>
      <c r="H387" s="36"/>
      <c r="I387" s="36"/>
      <c r="M387" s="36"/>
      <c r="N387" s="36"/>
      <c r="O387" s="36"/>
      <c r="Q387" s="36"/>
      <c r="R387" s="36"/>
      <c r="S387" s="36"/>
    </row>
    <row r="388">
      <c r="B388" s="36"/>
      <c r="C388" s="36"/>
      <c r="D388" s="36"/>
      <c r="G388" s="36"/>
      <c r="H388" s="36"/>
      <c r="I388" s="36"/>
      <c r="M388" s="36"/>
      <c r="N388" s="36"/>
      <c r="O388" s="36"/>
      <c r="Q388" s="36"/>
      <c r="R388" s="36"/>
      <c r="S388" s="36"/>
    </row>
    <row r="389">
      <c r="B389" s="36"/>
      <c r="C389" s="36"/>
      <c r="D389" s="36"/>
      <c r="G389" s="36"/>
      <c r="H389" s="36"/>
      <c r="I389" s="36"/>
      <c r="M389" s="36"/>
      <c r="N389" s="36"/>
      <c r="O389" s="36"/>
      <c r="Q389" s="36"/>
      <c r="R389" s="36"/>
      <c r="S389" s="36"/>
    </row>
    <row r="390">
      <c r="B390" s="36"/>
      <c r="C390" s="36"/>
      <c r="D390" s="36"/>
      <c r="G390" s="36"/>
      <c r="H390" s="36"/>
      <c r="I390" s="36"/>
      <c r="M390" s="36"/>
      <c r="N390" s="36"/>
      <c r="O390" s="36"/>
      <c r="Q390" s="36"/>
      <c r="R390" s="36"/>
      <c r="S390" s="36"/>
    </row>
    <row r="391">
      <c r="B391" s="36"/>
      <c r="C391" s="36"/>
      <c r="D391" s="36"/>
      <c r="G391" s="36"/>
      <c r="H391" s="36"/>
      <c r="I391" s="36"/>
      <c r="M391" s="36"/>
      <c r="N391" s="36"/>
      <c r="O391" s="36"/>
      <c r="Q391" s="36"/>
      <c r="R391" s="36"/>
      <c r="S391" s="36"/>
    </row>
    <row r="392">
      <c r="B392" s="36"/>
      <c r="C392" s="36"/>
      <c r="D392" s="36"/>
      <c r="G392" s="36"/>
      <c r="H392" s="36"/>
      <c r="I392" s="36"/>
      <c r="M392" s="36"/>
      <c r="N392" s="36"/>
      <c r="O392" s="36"/>
      <c r="Q392" s="36"/>
      <c r="R392" s="36"/>
      <c r="S392" s="36"/>
    </row>
    <row r="393">
      <c r="B393" s="36"/>
      <c r="C393" s="36"/>
      <c r="D393" s="36"/>
      <c r="G393" s="36"/>
      <c r="H393" s="36"/>
      <c r="I393" s="36"/>
      <c r="M393" s="36"/>
      <c r="N393" s="36"/>
      <c r="O393" s="36"/>
      <c r="Q393" s="36"/>
      <c r="R393" s="36"/>
      <c r="S393" s="36"/>
    </row>
    <row r="394">
      <c r="B394" s="36"/>
      <c r="C394" s="36"/>
      <c r="D394" s="36"/>
      <c r="G394" s="36"/>
      <c r="H394" s="36"/>
      <c r="I394" s="36"/>
      <c r="M394" s="36"/>
      <c r="N394" s="36"/>
      <c r="O394" s="36"/>
      <c r="Q394" s="36"/>
      <c r="R394" s="36"/>
      <c r="S394" s="36"/>
    </row>
    <row r="395">
      <c r="B395" s="36"/>
      <c r="C395" s="36"/>
      <c r="D395" s="36"/>
      <c r="G395" s="36"/>
      <c r="H395" s="36"/>
      <c r="I395" s="36"/>
      <c r="M395" s="36"/>
      <c r="N395" s="36"/>
      <c r="O395" s="36"/>
      <c r="Q395" s="36"/>
      <c r="R395" s="36"/>
      <c r="S395" s="36"/>
    </row>
    <row r="396">
      <c r="B396" s="36"/>
      <c r="C396" s="36"/>
      <c r="D396" s="36"/>
      <c r="G396" s="36"/>
      <c r="H396" s="36"/>
      <c r="I396" s="36"/>
      <c r="M396" s="36"/>
      <c r="N396" s="36"/>
      <c r="O396" s="36"/>
      <c r="Q396" s="36"/>
      <c r="R396" s="36"/>
      <c r="S396" s="36"/>
    </row>
    <row r="397">
      <c r="B397" s="36"/>
      <c r="C397" s="36"/>
      <c r="D397" s="36"/>
      <c r="G397" s="36"/>
      <c r="H397" s="36"/>
      <c r="I397" s="36"/>
      <c r="M397" s="36"/>
      <c r="N397" s="36"/>
      <c r="O397" s="36"/>
      <c r="Q397" s="36"/>
      <c r="R397" s="36"/>
      <c r="S397" s="36"/>
    </row>
    <row r="398">
      <c r="B398" s="36"/>
      <c r="C398" s="36"/>
      <c r="D398" s="36"/>
      <c r="G398" s="36"/>
      <c r="H398" s="36"/>
      <c r="I398" s="36"/>
      <c r="M398" s="36"/>
      <c r="N398" s="36"/>
      <c r="O398" s="36"/>
      <c r="Q398" s="36"/>
      <c r="R398" s="36"/>
      <c r="S398" s="36"/>
    </row>
    <row r="399">
      <c r="B399" s="36"/>
      <c r="C399" s="36"/>
      <c r="D399" s="36"/>
      <c r="G399" s="36"/>
      <c r="H399" s="36"/>
      <c r="I399" s="36"/>
      <c r="M399" s="36"/>
      <c r="N399" s="36"/>
      <c r="O399" s="36"/>
      <c r="Q399" s="36"/>
      <c r="R399" s="36"/>
      <c r="S399" s="36"/>
    </row>
    <row r="400">
      <c r="B400" s="36"/>
      <c r="C400" s="36"/>
      <c r="D400" s="36"/>
      <c r="G400" s="36"/>
      <c r="H400" s="36"/>
      <c r="I400" s="36"/>
      <c r="M400" s="36"/>
      <c r="N400" s="36"/>
      <c r="O400" s="36"/>
      <c r="Q400" s="36"/>
      <c r="R400" s="36"/>
      <c r="S400" s="36"/>
    </row>
    <row r="401">
      <c r="B401" s="36"/>
      <c r="C401" s="36"/>
      <c r="D401" s="36"/>
      <c r="G401" s="36"/>
      <c r="H401" s="36"/>
      <c r="I401" s="36"/>
      <c r="M401" s="36"/>
      <c r="N401" s="36"/>
      <c r="O401" s="36"/>
      <c r="Q401" s="36"/>
      <c r="R401" s="36"/>
      <c r="S401" s="36"/>
    </row>
    <row r="402">
      <c r="B402" s="36"/>
      <c r="C402" s="36"/>
      <c r="D402" s="36"/>
      <c r="G402" s="36"/>
      <c r="H402" s="36"/>
      <c r="I402" s="36"/>
      <c r="M402" s="36"/>
      <c r="N402" s="36"/>
      <c r="O402" s="36"/>
      <c r="Q402" s="36"/>
      <c r="R402" s="36"/>
      <c r="S402" s="36"/>
    </row>
    <row r="403">
      <c r="B403" s="36"/>
      <c r="C403" s="36"/>
      <c r="D403" s="36"/>
      <c r="G403" s="36"/>
      <c r="H403" s="36"/>
      <c r="I403" s="36"/>
      <c r="M403" s="36"/>
      <c r="N403" s="36"/>
      <c r="O403" s="36"/>
      <c r="Q403" s="36"/>
      <c r="R403" s="36"/>
      <c r="S403" s="36"/>
    </row>
    <row r="404">
      <c r="B404" s="36"/>
      <c r="C404" s="36"/>
      <c r="D404" s="36"/>
      <c r="G404" s="36"/>
      <c r="H404" s="36"/>
      <c r="I404" s="36"/>
      <c r="M404" s="36"/>
      <c r="N404" s="36"/>
      <c r="O404" s="36"/>
      <c r="Q404" s="36"/>
      <c r="R404" s="36"/>
      <c r="S404" s="36"/>
    </row>
    <row r="405">
      <c r="B405" s="36"/>
      <c r="C405" s="36"/>
      <c r="D405" s="36"/>
      <c r="G405" s="36"/>
      <c r="H405" s="36"/>
      <c r="I405" s="36"/>
      <c r="M405" s="36"/>
      <c r="N405" s="36"/>
      <c r="O405" s="36"/>
      <c r="Q405" s="36"/>
      <c r="R405" s="36"/>
      <c r="S405" s="36"/>
    </row>
    <row r="406">
      <c r="B406" s="36"/>
      <c r="C406" s="36"/>
      <c r="D406" s="36"/>
      <c r="G406" s="36"/>
      <c r="H406" s="36"/>
      <c r="I406" s="36"/>
      <c r="M406" s="36"/>
      <c r="N406" s="36"/>
      <c r="O406" s="36"/>
      <c r="Q406" s="36"/>
      <c r="R406" s="36"/>
      <c r="S406" s="36"/>
    </row>
    <row r="407">
      <c r="B407" s="36"/>
      <c r="C407" s="36"/>
      <c r="D407" s="36"/>
      <c r="G407" s="36"/>
      <c r="H407" s="36"/>
      <c r="I407" s="36"/>
      <c r="M407" s="36"/>
      <c r="N407" s="36"/>
      <c r="O407" s="36"/>
      <c r="Q407" s="36"/>
      <c r="R407" s="36"/>
      <c r="S407" s="36"/>
    </row>
    <row r="408">
      <c r="B408" s="36"/>
      <c r="C408" s="36"/>
      <c r="D408" s="36"/>
      <c r="G408" s="36"/>
      <c r="H408" s="36"/>
      <c r="I408" s="36"/>
      <c r="M408" s="36"/>
      <c r="N408" s="36"/>
      <c r="O408" s="36"/>
      <c r="Q408" s="36"/>
      <c r="R408" s="36"/>
      <c r="S408" s="36"/>
    </row>
    <row r="409">
      <c r="B409" s="36"/>
      <c r="C409" s="36"/>
      <c r="D409" s="36"/>
      <c r="G409" s="36"/>
      <c r="H409" s="36"/>
      <c r="I409" s="36"/>
      <c r="M409" s="36"/>
      <c r="N409" s="36"/>
      <c r="O409" s="36"/>
      <c r="Q409" s="36"/>
      <c r="R409" s="36"/>
      <c r="S409" s="36"/>
    </row>
    <row r="410">
      <c r="B410" s="36"/>
      <c r="C410" s="36"/>
      <c r="D410" s="36"/>
      <c r="G410" s="36"/>
      <c r="H410" s="36"/>
      <c r="I410" s="36"/>
      <c r="M410" s="36"/>
      <c r="N410" s="36"/>
      <c r="O410" s="36"/>
      <c r="Q410" s="36"/>
      <c r="R410" s="36"/>
      <c r="S410" s="36"/>
    </row>
    <row r="411">
      <c r="B411" s="36"/>
      <c r="C411" s="36"/>
      <c r="D411" s="36"/>
      <c r="G411" s="36"/>
      <c r="H411" s="36"/>
      <c r="I411" s="36"/>
      <c r="M411" s="36"/>
      <c r="N411" s="36"/>
      <c r="O411" s="36"/>
      <c r="Q411" s="36"/>
      <c r="R411" s="36"/>
      <c r="S411" s="36"/>
    </row>
    <row r="412">
      <c r="B412" s="36"/>
      <c r="C412" s="36"/>
      <c r="D412" s="36"/>
      <c r="G412" s="36"/>
      <c r="H412" s="36"/>
      <c r="I412" s="36"/>
      <c r="M412" s="36"/>
      <c r="N412" s="36"/>
      <c r="O412" s="36"/>
      <c r="Q412" s="36"/>
      <c r="R412" s="36"/>
      <c r="S412" s="36"/>
    </row>
    <row r="413">
      <c r="B413" s="36"/>
      <c r="C413" s="36"/>
      <c r="D413" s="36"/>
      <c r="G413" s="36"/>
      <c r="H413" s="36"/>
      <c r="I413" s="36"/>
      <c r="M413" s="36"/>
      <c r="N413" s="36"/>
      <c r="O413" s="36"/>
      <c r="Q413" s="36"/>
      <c r="R413" s="36"/>
      <c r="S413" s="36"/>
    </row>
    <row r="414">
      <c r="B414" s="36"/>
      <c r="C414" s="36"/>
      <c r="D414" s="36"/>
      <c r="G414" s="36"/>
      <c r="H414" s="36"/>
      <c r="I414" s="36"/>
      <c r="M414" s="36"/>
      <c r="N414" s="36"/>
      <c r="O414" s="36"/>
      <c r="Q414" s="36"/>
      <c r="R414" s="36"/>
      <c r="S414" s="36"/>
    </row>
    <row r="415">
      <c r="B415" s="36"/>
      <c r="C415" s="36"/>
      <c r="D415" s="36"/>
      <c r="G415" s="36"/>
      <c r="H415" s="36"/>
      <c r="I415" s="36"/>
      <c r="M415" s="36"/>
      <c r="N415" s="36"/>
      <c r="O415" s="36"/>
      <c r="Q415" s="36"/>
      <c r="R415" s="36"/>
      <c r="S415" s="36"/>
    </row>
    <row r="416">
      <c r="B416" s="36"/>
      <c r="C416" s="36"/>
      <c r="D416" s="36"/>
      <c r="G416" s="36"/>
      <c r="H416" s="36"/>
      <c r="I416" s="36"/>
      <c r="M416" s="36"/>
      <c r="N416" s="36"/>
      <c r="O416" s="36"/>
      <c r="Q416" s="36"/>
      <c r="R416" s="36"/>
      <c r="S416" s="36"/>
    </row>
    <row r="417">
      <c r="B417" s="36"/>
      <c r="C417" s="36"/>
      <c r="D417" s="36"/>
      <c r="G417" s="36"/>
      <c r="H417" s="36"/>
      <c r="I417" s="36"/>
      <c r="M417" s="36"/>
      <c r="N417" s="36"/>
      <c r="O417" s="36"/>
      <c r="Q417" s="36"/>
      <c r="R417" s="36"/>
      <c r="S417" s="36"/>
    </row>
    <row r="418">
      <c r="B418" s="36"/>
      <c r="C418" s="36"/>
      <c r="D418" s="36"/>
      <c r="G418" s="36"/>
      <c r="H418" s="36"/>
      <c r="I418" s="36"/>
      <c r="M418" s="36"/>
      <c r="N418" s="36"/>
      <c r="O418" s="36"/>
      <c r="Q418" s="36"/>
      <c r="R418" s="36"/>
      <c r="S418" s="36"/>
    </row>
    <row r="419">
      <c r="B419" s="36"/>
      <c r="C419" s="36"/>
      <c r="D419" s="36"/>
      <c r="G419" s="36"/>
      <c r="H419" s="36"/>
      <c r="I419" s="36"/>
      <c r="M419" s="36"/>
      <c r="N419" s="36"/>
      <c r="O419" s="36"/>
      <c r="Q419" s="36"/>
      <c r="R419" s="36"/>
      <c r="S419" s="36"/>
    </row>
    <row r="420">
      <c r="B420" s="36"/>
      <c r="C420" s="36"/>
      <c r="D420" s="36"/>
      <c r="G420" s="36"/>
      <c r="H420" s="36"/>
      <c r="I420" s="36"/>
      <c r="M420" s="36"/>
      <c r="N420" s="36"/>
      <c r="O420" s="36"/>
      <c r="Q420" s="36"/>
      <c r="R420" s="36"/>
      <c r="S420" s="36"/>
    </row>
    <row r="421">
      <c r="B421" s="36"/>
      <c r="C421" s="36"/>
      <c r="D421" s="36"/>
      <c r="G421" s="36"/>
      <c r="H421" s="36"/>
      <c r="I421" s="36"/>
      <c r="M421" s="36"/>
      <c r="N421" s="36"/>
      <c r="O421" s="36"/>
      <c r="Q421" s="36"/>
      <c r="R421" s="36"/>
      <c r="S421" s="36"/>
    </row>
    <row r="422">
      <c r="B422" s="36"/>
      <c r="C422" s="36"/>
      <c r="D422" s="36"/>
      <c r="G422" s="36"/>
      <c r="H422" s="36"/>
      <c r="I422" s="36"/>
      <c r="M422" s="36"/>
      <c r="N422" s="36"/>
      <c r="O422" s="36"/>
      <c r="Q422" s="36"/>
      <c r="R422" s="36"/>
      <c r="S422" s="36"/>
    </row>
    <row r="423">
      <c r="B423" s="36"/>
      <c r="C423" s="36"/>
      <c r="D423" s="36"/>
      <c r="G423" s="36"/>
      <c r="H423" s="36"/>
      <c r="I423" s="36"/>
      <c r="M423" s="36"/>
      <c r="N423" s="36"/>
      <c r="O423" s="36"/>
      <c r="Q423" s="36"/>
      <c r="R423" s="36"/>
      <c r="S423" s="36"/>
    </row>
    <row r="424">
      <c r="B424" s="36"/>
      <c r="C424" s="36"/>
      <c r="D424" s="36"/>
      <c r="G424" s="36"/>
      <c r="H424" s="36"/>
      <c r="I424" s="36"/>
      <c r="M424" s="36"/>
      <c r="N424" s="36"/>
      <c r="O424" s="36"/>
      <c r="Q424" s="36"/>
      <c r="R424" s="36"/>
      <c r="S424" s="36"/>
    </row>
    <row r="425">
      <c r="B425" s="36"/>
      <c r="C425" s="36"/>
      <c r="D425" s="36"/>
      <c r="G425" s="36"/>
      <c r="H425" s="36"/>
      <c r="I425" s="36"/>
      <c r="M425" s="36"/>
      <c r="N425" s="36"/>
      <c r="O425" s="36"/>
      <c r="Q425" s="36"/>
      <c r="R425" s="36"/>
      <c r="S425" s="36"/>
    </row>
    <row r="426">
      <c r="B426" s="36"/>
      <c r="C426" s="36"/>
      <c r="D426" s="36"/>
      <c r="G426" s="36"/>
      <c r="H426" s="36"/>
      <c r="I426" s="36"/>
      <c r="M426" s="36"/>
      <c r="N426" s="36"/>
      <c r="O426" s="36"/>
      <c r="Q426" s="36"/>
      <c r="R426" s="36"/>
      <c r="S426" s="36"/>
    </row>
    <row r="427">
      <c r="B427" s="36"/>
      <c r="C427" s="36"/>
      <c r="D427" s="36"/>
      <c r="G427" s="36"/>
      <c r="H427" s="36"/>
      <c r="I427" s="36"/>
      <c r="M427" s="36"/>
      <c r="N427" s="36"/>
      <c r="O427" s="36"/>
      <c r="Q427" s="36"/>
      <c r="R427" s="36"/>
      <c r="S427" s="36"/>
    </row>
    <row r="428">
      <c r="B428" s="36"/>
      <c r="C428" s="36"/>
      <c r="D428" s="36"/>
      <c r="G428" s="36"/>
      <c r="H428" s="36"/>
      <c r="I428" s="36"/>
      <c r="M428" s="36"/>
      <c r="N428" s="36"/>
      <c r="O428" s="36"/>
      <c r="Q428" s="36"/>
      <c r="R428" s="36"/>
      <c r="S428" s="36"/>
    </row>
    <row r="429">
      <c r="B429" s="36"/>
      <c r="C429" s="36"/>
      <c r="D429" s="36"/>
      <c r="G429" s="36"/>
      <c r="H429" s="36"/>
      <c r="I429" s="36"/>
      <c r="M429" s="36"/>
      <c r="N429" s="36"/>
      <c r="O429" s="36"/>
      <c r="Q429" s="36"/>
      <c r="R429" s="36"/>
      <c r="S429" s="36"/>
    </row>
    <row r="430">
      <c r="B430" s="36"/>
      <c r="C430" s="36"/>
      <c r="D430" s="36"/>
      <c r="G430" s="36"/>
      <c r="H430" s="36"/>
      <c r="I430" s="36"/>
      <c r="M430" s="36"/>
      <c r="N430" s="36"/>
      <c r="O430" s="36"/>
      <c r="Q430" s="36"/>
      <c r="R430" s="36"/>
      <c r="S430" s="36"/>
    </row>
    <row r="431">
      <c r="B431" s="36"/>
      <c r="C431" s="36"/>
      <c r="D431" s="36"/>
      <c r="G431" s="36"/>
      <c r="H431" s="36"/>
      <c r="I431" s="36"/>
      <c r="M431" s="36"/>
      <c r="N431" s="36"/>
      <c r="O431" s="36"/>
      <c r="Q431" s="36"/>
      <c r="R431" s="36"/>
      <c r="S431" s="36"/>
    </row>
    <row r="432">
      <c r="B432" s="36"/>
      <c r="C432" s="36"/>
      <c r="D432" s="36"/>
      <c r="G432" s="36"/>
      <c r="H432" s="36"/>
      <c r="I432" s="36"/>
      <c r="M432" s="36"/>
      <c r="N432" s="36"/>
      <c r="O432" s="36"/>
      <c r="Q432" s="36"/>
      <c r="R432" s="36"/>
      <c r="S432" s="36"/>
    </row>
    <row r="433">
      <c r="B433" s="36"/>
      <c r="C433" s="36"/>
      <c r="D433" s="36"/>
      <c r="G433" s="36"/>
      <c r="H433" s="36"/>
      <c r="I433" s="36"/>
      <c r="M433" s="36"/>
      <c r="N433" s="36"/>
      <c r="O433" s="36"/>
      <c r="Q433" s="36"/>
      <c r="R433" s="36"/>
      <c r="S433" s="36"/>
    </row>
    <row r="434">
      <c r="B434" s="36"/>
      <c r="C434" s="36"/>
      <c r="D434" s="36"/>
      <c r="G434" s="36"/>
      <c r="H434" s="36"/>
      <c r="I434" s="36"/>
      <c r="M434" s="36"/>
      <c r="N434" s="36"/>
      <c r="O434" s="36"/>
      <c r="Q434" s="36"/>
      <c r="R434" s="36"/>
      <c r="S434" s="36"/>
    </row>
    <row r="435">
      <c r="B435" s="36"/>
      <c r="C435" s="36"/>
      <c r="D435" s="36"/>
      <c r="G435" s="36"/>
      <c r="H435" s="36"/>
      <c r="I435" s="36"/>
      <c r="M435" s="36"/>
      <c r="N435" s="36"/>
      <c r="O435" s="36"/>
      <c r="Q435" s="36"/>
      <c r="R435" s="36"/>
      <c r="S435" s="36"/>
    </row>
    <row r="436">
      <c r="B436" s="36"/>
      <c r="C436" s="36"/>
      <c r="D436" s="36"/>
      <c r="G436" s="36"/>
      <c r="H436" s="36"/>
      <c r="I436" s="36"/>
      <c r="M436" s="36"/>
      <c r="N436" s="36"/>
      <c r="O436" s="36"/>
      <c r="Q436" s="36"/>
      <c r="R436" s="36"/>
      <c r="S436" s="36"/>
    </row>
    <row r="437">
      <c r="B437" s="36"/>
      <c r="C437" s="36"/>
      <c r="D437" s="36"/>
      <c r="G437" s="36"/>
      <c r="H437" s="36"/>
      <c r="I437" s="36"/>
      <c r="M437" s="36"/>
      <c r="N437" s="36"/>
      <c r="O437" s="36"/>
      <c r="Q437" s="36"/>
      <c r="R437" s="36"/>
      <c r="S437" s="36"/>
    </row>
    <row r="438">
      <c r="B438" s="36"/>
      <c r="C438" s="36"/>
      <c r="D438" s="36"/>
      <c r="G438" s="36"/>
      <c r="H438" s="36"/>
      <c r="I438" s="36"/>
      <c r="M438" s="36"/>
      <c r="N438" s="36"/>
      <c r="O438" s="36"/>
      <c r="Q438" s="36"/>
      <c r="R438" s="36"/>
      <c r="S438" s="36"/>
    </row>
    <row r="439">
      <c r="B439" s="36"/>
      <c r="C439" s="36"/>
      <c r="D439" s="36"/>
      <c r="G439" s="36"/>
      <c r="H439" s="36"/>
      <c r="I439" s="36"/>
      <c r="M439" s="36"/>
      <c r="N439" s="36"/>
      <c r="O439" s="36"/>
      <c r="Q439" s="36"/>
      <c r="R439" s="36"/>
      <c r="S439" s="36"/>
    </row>
    <row r="440">
      <c r="B440" s="36"/>
      <c r="C440" s="36"/>
      <c r="D440" s="36"/>
      <c r="G440" s="36"/>
      <c r="H440" s="36"/>
      <c r="I440" s="36"/>
      <c r="M440" s="36"/>
      <c r="N440" s="36"/>
      <c r="O440" s="36"/>
      <c r="Q440" s="36"/>
      <c r="R440" s="36"/>
      <c r="S440" s="36"/>
    </row>
    <row r="441">
      <c r="B441" s="36"/>
      <c r="C441" s="36"/>
      <c r="D441" s="36"/>
      <c r="G441" s="36"/>
      <c r="H441" s="36"/>
      <c r="I441" s="36"/>
      <c r="M441" s="36"/>
      <c r="N441" s="36"/>
      <c r="O441" s="36"/>
      <c r="Q441" s="36"/>
      <c r="R441" s="36"/>
      <c r="S441" s="36"/>
    </row>
    <row r="442">
      <c r="B442" s="36"/>
      <c r="C442" s="36"/>
      <c r="D442" s="36"/>
      <c r="G442" s="36"/>
      <c r="H442" s="36"/>
      <c r="I442" s="36"/>
      <c r="M442" s="36"/>
      <c r="N442" s="36"/>
      <c r="O442" s="36"/>
      <c r="Q442" s="36"/>
      <c r="R442" s="36"/>
      <c r="S442" s="36"/>
    </row>
    <row r="443">
      <c r="B443" s="36"/>
      <c r="C443" s="36"/>
      <c r="D443" s="36"/>
      <c r="G443" s="36"/>
      <c r="H443" s="36"/>
      <c r="I443" s="36"/>
      <c r="M443" s="36"/>
      <c r="N443" s="36"/>
      <c r="O443" s="36"/>
      <c r="Q443" s="36"/>
      <c r="R443" s="36"/>
      <c r="S443" s="36"/>
    </row>
    <row r="444">
      <c r="B444" s="36"/>
      <c r="C444" s="36"/>
      <c r="D444" s="36"/>
      <c r="G444" s="36"/>
      <c r="H444" s="36"/>
      <c r="I444" s="36"/>
      <c r="M444" s="36"/>
      <c r="N444" s="36"/>
      <c r="O444" s="36"/>
      <c r="Q444" s="36"/>
      <c r="R444" s="36"/>
      <c r="S444" s="36"/>
    </row>
    <row r="445">
      <c r="B445" s="36"/>
      <c r="C445" s="36"/>
      <c r="D445" s="36"/>
      <c r="G445" s="36"/>
      <c r="H445" s="36"/>
      <c r="I445" s="36"/>
      <c r="M445" s="36"/>
      <c r="N445" s="36"/>
      <c r="O445" s="36"/>
      <c r="Q445" s="36"/>
      <c r="R445" s="36"/>
      <c r="S445" s="36"/>
    </row>
    <row r="446">
      <c r="B446" s="36"/>
      <c r="C446" s="36"/>
      <c r="D446" s="36"/>
      <c r="G446" s="36"/>
      <c r="H446" s="36"/>
      <c r="I446" s="36"/>
      <c r="M446" s="36"/>
      <c r="N446" s="36"/>
      <c r="O446" s="36"/>
      <c r="Q446" s="36"/>
      <c r="R446" s="36"/>
      <c r="S446" s="36"/>
    </row>
    <row r="447">
      <c r="B447" s="36"/>
      <c r="C447" s="36"/>
      <c r="D447" s="36"/>
      <c r="G447" s="36"/>
      <c r="H447" s="36"/>
      <c r="I447" s="36"/>
      <c r="M447" s="36"/>
      <c r="N447" s="36"/>
      <c r="O447" s="36"/>
      <c r="Q447" s="36"/>
      <c r="R447" s="36"/>
      <c r="S447" s="36"/>
    </row>
    <row r="448">
      <c r="B448" s="36"/>
      <c r="C448" s="36"/>
      <c r="D448" s="36"/>
      <c r="G448" s="36"/>
      <c r="H448" s="36"/>
      <c r="I448" s="36"/>
      <c r="M448" s="36"/>
      <c r="N448" s="36"/>
      <c r="O448" s="36"/>
      <c r="Q448" s="36"/>
      <c r="R448" s="36"/>
      <c r="S448" s="36"/>
    </row>
    <row r="449">
      <c r="B449" s="36"/>
      <c r="C449" s="36"/>
      <c r="D449" s="36"/>
      <c r="G449" s="36"/>
      <c r="H449" s="36"/>
      <c r="I449" s="36"/>
      <c r="M449" s="36"/>
      <c r="N449" s="36"/>
      <c r="O449" s="36"/>
      <c r="Q449" s="36"/>
      <c r="R449" s="36"/>
      <c r="S449" s="36"/>
    </row>
    <row r="450">
      <c r="B450" s="36"/>
      <c r="C450" s="36"/>
      <c r="D450" s="36"/>
      <c r="G450" s="36"/>
      <c r="H450" s="36"/>
      <c r="I450" s="36"/>
      <c r="M450" s="36"/>
      <c r="N450" s="36"/>
      <c r="O450" s="36"/>
      <c r="Q450" s="36"/>
      <c r="R450" s="36"/>
      <c r="S450" s="36"/>
    </row>
    <row r="451">
      <c r="B451" s="36"/>
      <c r="C451" s="36"/>
      <c r="D451" s="36"/>
      <c r="G451" s="36"/>
      <c r="H451" s="36"/>
      <c r="I451" s="36"/>
      <c r="M451" s="36"/>
      <c r="N451" s="36"/>
      <c r="O451" s="36"/>
      <c r="Q451" s="36"/>
      <c r="R451" s="36"/>
      <c r="S451" s="36"/>
    </row>
    <row r="452">
      <c r="B452" s="36"/>
      <c r="C452" s="36"/>
      <c r="D452" s="36"/>
      <c r="G452" s="36"/>
      <c r="H452" s="36"/>
      <c r="I452" s="36"/>
      <c r="M452" s="36"/>
      <c r="N452" s="36"/>
      <c r="O452" s="36"/>
      <c r="Q452" s="36"/>
      <c r="R452" s="36"/>
      <c r="S452" s="36"/>
    </row>
    <row r="453">
      <c r="B453" s="36"/>
      <c r="C453" s="36"/>
      <c r="D453" s="36"/>
      <c r="G453" s="36"/>
      <c r="H453" s="36"/>
      <c r="I453" s="36"/>
      <c r="M453" s="36"/>
      <c r="N453" s="36"/>
      <c r="O453" s="36"/>
      <c r="Q453" s="36"/>
      <c r="R453" s="36"/>
      <c r="S453" s="36"/>
    </row>
    <row r="454">
      <c r="B454" s="36"/>
      <c r="C454" s="36"/>
      <c r="D454" s="36"/>
      <c r="G454" s="36"/>
      <c r="H454" s="36"/>
      <c r="I454" s="36"/>
      <c r="M454" s="36"/>
      <c r="N454" s="36"/>
      <c r="O454" s="36"/>
      <c r="Q454" s="36"/>
      <c r="R454" s="36"/>
      <c r="S454" s="36"/>
    </row>
    <row r="455">
      <c r="B455" s="36"/>
      <c r="C455" s="36"/>
      <c r="D455" s="36"/>
      <c r="G455" s="36"/>
      <c r="H455" s="36"/>
      <c r="I455" s="36"/>
      <c r="M455" s="36"/>
      <c r="N455" s="36"/>
      <c r="O455" s="36"/>
      <c r="Q455" s="36"/>
      <c r="R455" s="36"/>
      <c r="S455" s="36"/>
    </row>
    <row r="456">
      <c r="B456" s="36"/>
      <c r="C456" s="36"/>
      <c r="D456" s="36"/>
      <c r="G456" s="36"/>
      <c r="H456" s="36"/>
      <c r="I456" s="36"/>
      <c r="M456" s="36"/>
      <c r="N456" s="36"/>
      <c r="O456" s="36"/>
      <c r="Q456" s="36"/>
      <c r="R456" s="36"/>
      <c r="S456" s="36"/>
    </row>
    <row r="457">
      <c r="B457" s="36"/>
      <c r="C457" s="36"/>
      <c r="D457" s="36"/>
      <c r="G457" s="36"/>
      <c r="H457" s="36"/>
      <c r="I457" s="36"/>
      <c r="M457" s="36"/>
      <c r="N457" s="36"/>
      <c r="O457" s="36"/>
      <c r="Q457" s="36"/>
      <c r="R457" s="36"/>
      <c r="S457" s="36"/>
    </row>
    <row r="458">
      <c r="B458" s="36"/>
      <c r="C458" s="36"/>
      <c r="D458" s="36"/>
      <c r="G458" s="36"/>
      <c r="H458" s="36"/>
      <c r="I458" s="36"/>
      <c r="M458" s="36"/>
      <c r="N458" s="36"/>
      <c r="O458" s="36"/>
      <c r="Q458" s="36"/>
      <c r="R458" s="36"/>
      <c r="S458" s="36"/>
    </row>
    <row r="459">
      <c r="B459" s="36"/>
      <c r="C459" s="36"/>
      <c r="D459" s="36"/>
      <c r="G459" s="36"/>
      <c r="H459" s="36"/>
      <c r="I459" s="36"/>
      <c r="M459" s="36"/>
      <c r="N459" s="36"/>
      <c r="O459" s="36"/>
      <c r="Q459" s="36"/>
      <c r="R459" s="36"/>
      <c r="S459" s="36"/>
    </row>
    <row r="460">
      <c r="B460" s="36"/>
      <c r="C460" s="36"/>
      <c r="D460" s="36"/>
      <c r="G460" s="36"/>
      <c r="H460" s="36"/>
      <c r="I460" s="36"/>
      <c r="M460" s="36"/>
      <c r="N460" s="36"/>
      <c r="O460" s="36"/>
      <c r="Q460" s="36"/>
      <c r="R460" s="36"/>
      <c r="S460" s="36"/>
    </row>
    <row r="461">
      <c r="B461" s="36"/>
      <c r="C461" s="36"/>
      <c r="D461" s="36"/>
      <c r="G461" s="36"/>
      <c r="H461" s="36"/>
      <c r="I461" s="36"/>
      <c r="M461" s="36"/>
      <c r="N461" s="36"/>
      <c r="O461" s="36"/>
      <c r="Q461" s="36"/>
      <c r="R461" s="36"/>
      <c r="S461" s="36"/>
    </row>
    <row r="462">
      <c r="B462" s="36"/>
      <c r="C462" s="36"/>
      <c r="D462" s="36"/>
      <c r="G462" s="36"/>
      <c r="H462" s="36"/>
      <c r="I462" s="36"/>
      <c r="M462" s="36"/>
      <c r="N462" s="36"/>
      <c r="O462" s="36"/>
      <c r="Q462" s="36"/>
      <c r="R462" s="36"/>
      <c r="S462" s="36"/>
    </row>
    <row r="463">
      <c r="B463" s="36"/>
      <c r="C463" s="36"/>
      <c r="D463" s="36"/>
      <c r="G463" s="36"/>
      <c r="H463" s="36"/>
      <c r="I463" s="36"/>
      <c r="M463" s="36"/>
      <c r="N463" s="36"/>
      <c r="O463" s="36"/>
      <c r="Q463" s="36"/>
      <c r="R463" s="36"/>
      <c r="S463" s="36"/>
    </row>
    <row r="464">
      <c r="B464" s="36"/>
      <c r="C464" s="36"/>
      <c r="D464" s="36"/>
      <c r="G464" s="36"/>
      <c r="H464" s="36"/>
      <c r="I464" s="36"/>
      <c r="M464" s="36"/>
      <c r="N464" s="36"/>
      <c r="O464" s="36"/>
      <c r="Q464" s="36"/>
      <c r="R464" s="36"/>
      <c r="S464" s="36"/>
    </row>
    <row r="465">
      <c r="B465" s="36"/>
      <c r="C465" s="36"/>
      <c r="D465" s="36"/>
      <c r="G465" s="36"/>
      <c r="H465" s="36"/>
      <c r="I465" s="36"/>
      <c r="M465" s="36"/>
      <c r="N465" s="36"/>
      <c r="O465" s="36"/>
      <c r="Q465" s="36"/>
      <c r="R465" s="36"/>
      <c r="S465" s="36"/>
    </row>
    <row r="466">
      <c r="B466" s="36"/>
      <c r="C466" s="36"/>
      <c r="D466" s="36"/>
      <c r="G466" s="36"/>
      <c r="H466" s="36"/>
      <c r="I466" s="36"/>
      <c r="M466" s="36"/>
      <c r="N466" s="36"/>
      <c r="O466" s="36"/>
      <c r="Q466" s="36"/>
      <c r="R466" s="36"/>
      <c r="S466" s="36"/>
    </row>
    <row r="467">
      <c r="B467" s="36"/>
      <c r="C467" s="36"/>
      <c r="D467" s="36"/>
      <c r="G467" s="36"/>
      <c r="H467" s="36"/>
      <c r="I467" s="36"/>
      <c r="M467" s="36"/>
      <c r="N467" s="36"/>
      <c r="O467" s="36"/>
      <c r="Q467" s="36"/>
      <c r="R467" s="36"/>
      <c r="S467" s="36"/>
    </row>
    <row r="468">
      <c r="B468" s="36"/>
      <c r="C468" s="36"/>
      <c r="D468" s="36"/>
      <c r="G468" s="36"/>
      <c r="H468" s="36"/>
      <c r="I468" s="36"/>
      <c r="M468" s="36"/>
      <c r="N468" s="36"/>
      <c r="O468" s="36"/>
      <c r="Q468" s="36"/>
      <c r="R468" s="36"/>
      <c r="S468" s="36"/>
    </row>
    <row r="469">
      <c r="B469" s="36"/>
      <c r="C469" s="36"/>
      <c r="D469" s="36"/>
      <c r="G469" s="36"/>
      <c r="H469" s="36"/>
      <c r="I469" s="36"/>
      <c r="M469" s="36"/>
      <c r="N469" s="36"/>
      <c r="O469" s="36"/>
      <c r="Q469" s="36"/>
      <c r="R469" s="36"/>
      <c r="S469" s="36"/>
    </row>
    <row r="470">
      <c r="B470" s="36"/>
      <c r="C470" s="36"/>
      <c r="D470" s="36"/>
      <c r="G470" s="36"/>
      <c r="H470" s="36"/>
      <c r="I470" s="36"/>
      <c r="M470" s="36"/>
      <c r="N470" s="36"/>
      <c r="O470" s="36"/>
      <c r="Q470" s="36"/>
      <c r="R470" s="36"/>
      <c r="S470" s="36"/>
    </row>
    <row r="471">
      <c r="B471" s="36"/>
      <c r="C471" s="36"/>
      <c r="D471" s="36"/>
      <c r="G471" s="36"/>
      <c r="H471" s="36"/>
      <c r="I471" s="36"/>
      <c r="M471" s="36"/>
      <c r="N471" s="36"/>
      <c r="O471" s="36"/>
      <c r="Q471" s="36"/>
      <c r="R471" s="36"/>
      <c r="S471" s="36"/>
    </row>
    <row r="472">
      <c r="B472" s="36"/>
      <c r="C472" s="36"/>
      <c r="D472" s="36"/>
      <c r="G472" s="36"/>
      <c r="H472" s="36"/>
      <c r="I472" s="36"/>
      <c r="M472" s="36"/>
      <c r="N472" s="36"/>
      <c r="O472" s="36"/>
      <c r="Q472" s="36"/>
      <c r="R472" s="36"/>
      <c r="S472" s="36"/>
    </row>
    <row r="473">
      <c r="B473" s="36"/>
      <c r="C473" s="36"/>
      <c r="D473" s="36"/>
      <c r="G473" s="36"/>
      <c r="H473" s="36"/>
      <c r="I473" s="36"/>
      <c r="M473" s="36"/>
      <c r="N473" s="36"/>
      <c r="O473" s="36"/>
      <c r="Q473" s="36"/>
      <c r="R473" s="36"/>
      <c r="S473" s="36"/>
    </row>
    <row r="474">
      <c r="B474" s="36"/>
      <c r="C474" s="36"/>
      <c r="D474" s="36"/>
      <c r="G474" s="36"/>
      <c r="H474" s="36"/>
      <c r="I474" s="36"/>
      <c r="M474" s="36"/>
      <c r="N474" s="36"/>
      <c r="O474" s="36"/>
      <c r="Q474" s="36"/>
      <c r="R474" s="36"/>
      <c r="S474" s="36"/>
    </row>
    <row r="475">
      <c r="B475" s="36"/>
      <c r="C475" s="36"/>
      <c r="D475" s="36"/>
      <c r="G475" s="36"/>
      <c r="H475" s="36"/>
      <c r="I475" s="36"/>
      <c r="M475" s="36"/>
      <c r="N475" s="36"/>
      <c r="O475" s="36"/>
      <c r="Q475" s="36"/>
      <c r="R475" s="36"/>
      <c r="S475" s="36"/>
    </row>
    <row r="476">
      <c r="B476" s="36"/>
      <c r="C476" s="36"/>
      <c r="D476" s="36"/>
      <c r="G476" s="36"/>
      <c r="H476" s="36"/>
      <c r="I476" s="36"/>
      <c r="M476" s="36"/>
      <c r="N476" s="36"/>
      <c r="O476" s="36"/>
      <c r="Q476" s="36"/>
      <c r="R476" s="36"/>
      <c r="S476" s="36"/>
    </row>
    <row r="477">
      <c r="B477" s="36"/>
      <c r="C477" s="36"/>
      <c r="D477" s="36"/>
      <c r="G477" s="36"/>
      <c r="H477" s="36"/>
      <c r="I477" s="36"/>
      <c r="M477" s="36"/>
      <c r="N477" s="36"/>
      <c r="O477" s="36"/>
      <c r="Q477" s="36"/>
      <c r="R477" s="36"/>
      <c r="S477" s="36"/>
    </row>
    <row r="478">
      <c r="B478" s="36"/>
      <c r="C478" s="36"/>
      <c r="D478" s="36"/>
      <c r="G478" s="36"/>
      <c r="H478" s="36"/>
      <c r="I478" s="36"/>
      <c r="M478" s="36"/>
      <c r="N478" s="36"/>
      <c r="O478" s="36"/>
      <c r="Q478" s="36"/>
      <c r="R478" s="36"/>
      <c r="S478" s="36"/>
    </row>
    <row r="479">
      <c r="B479" s="36"/>
      <c r="C479" s="36"/>
      <c r="D479" s="36"/>
      <c r="G479" s="36"/>
      <c r="H479" s="36"/>
      <c r="I479" s="36"/>
      <c r="M479" s="36"/>
      <c r="N479" s="36"/>
      <c r="O479" s="36"/>
      <c r="Q479" s="36"/>
      <c r="R479" s="36"/>
      <c r="S479" s="36"/>
    </row>
    <row r="480">
      <c r="B480" s="36"/>
      <c r="C480" s="36"/>
      <c r="D480" s="36"/>
      <c r="G480" s="36"/>
      <c r="H480" s="36"/>
      <c r="I480" s="36"/>
      <c r="M480" s="36"/>
      <c r="N480" s="36"/>
      <c r="O480" s="36"/>
      <c r="Q480" s="36"/>
      <c r="R480" s="36"/>
      <c r="S480" s="36"/>
    </row>
    <row r="481">
      <c r="B481" s="36"/>
      <c r="C481" s="36"/>
      <c r="D481" s="36"/>
      <c r="G481" s="36"/>
      <c r="H481" s="36"/>
      <c r="I481" s="36"/>
      <c r="M481" s="36"/>
      <c r="N481" s="36"/>
      <c r="O481" s="36"/>
      <c r="Q481" s="36"/>
      <c r="R481" s="36"/>
      <c r="S481" s="36"/>
    </row>
    <row r="482">
      <c r="B482" s="36"/>
      <c r="C482" s="36"/>
      <c r="D482" s="36"/>
      <c r="G482" s="36"/>
      <c r="H482" s="36"/>
      <c r="I482" s="36"/>
      <c r="M482" s="36"/>
      <c r="N482" s="36"/>
      <c r="O482" s="36"/>
      <c r="Q482" s="36"/>
      <c r="R482" s="36"/>
      <c r="S482" s="36"/>
    </row>
    <row r="483">
      <c r="B483" s="36"/>
      <c r="C483" s="36"/>
      <c r="D483" s="36"/>
      <c r="G483" s="36"/>
      <c r="H483" s="36"/>
      <c r="I483" s="36"/>
      <c r="M483" s="36"/>
      <c r="N483" s="36"/>
      <c r="O483" s="36"/>
      <c r="Q483" s="36"/>
      <c r="R483" s="36"/>
      <c r="S483" s="36"/>
    </row>
    <row r="484">
      <c r="B484" s="36"/>
      <c r="C484" s="36"/>
      <c r="D484" s="36"/>
      <c r="G484" s="36"/>
      <c r="H484" s="36"/>
      <c r="I484" s="36"/>
      <c r="M484" s="36"/>
      <c r="N484" s="36"/>
      <c r="O484" s="36"/>
      <c r="Q484" s="36"/>
      <c r="R484" s="36"/>
      <c r="S484" s="36"/>
    </row>
    <row r="485">
      <c r="B485" s="36"/>
      <c r="C485" s="36"/>
      <c r="D485" s="36"/>
      <c r="G485" s="36"/>
      <c r="H485" s="36"/>
      <c r="I485" s="36"/>
      <c r="M485" s="36"/>
      <c r="N485" s="36"/>
      <c r="O485" s="36"/>
      <c r="Q485" s="36"/>
      <c r="R485" s="36"/>
      <c r="S485" s="36"/>
    </row>
    <row r="486">
      <c r="B486" s="36"/>
      <c r="C486" s="36"/>
      <c r="D486" s="36"/>
      <c r="G486" s="36"/>
      <c r="H486" s="36"/>
      <c r="I486" s="36"/>
      <c r="M486" s="36"/>
      <c r="N486" s="36"/>
      <c r="O486" s="36"/>
      <c r="Q486" s="36"/>
      <c r="R486" s="36"/>
      <c r="S486" s="36"/>
    </row>
    <row r="487">
      <c r="B487" s="36"/>
      <c r="C487" s="36"/>
      <c r="D487" s="36"/>
      <c r="G487" s="36"/>
      <c r="H487" s="36"/>
      <c r="I487" s="36"/>
      <c r="M487" s="36"/>
      <c r="N487" s="36"/>
      <c r="O487" s="36"/>
      <c r="Q487" s="36"/>
      <c r="R487" s="36"/>
      <c r="S487" s="36"/>
    </row>
    <row r="488">
      <c r="B488" s="36"/>
      <c r="C488" s="36"/>
      <c r="D488" s="36"/>
      <c r="G488" s="36"/>
      <c r="H488" s="36"/>
      <c r="I488" s="36"/>
      <c r="M488" s="36"/>
      <c r="N488" s="36"/>
      <c r="O488" s="36"/>
      <c r="Q488" s="36"/>
      <c r="R488" s="36"/>
      <c r="S488" s="36"/>
    </row>
    <row r="489">
      <c r="B489" s="36"/>
      <c r="C489" s="36"/>
      <c r="D489" s="36"/>
      <c r="G489" s="36"/>
      <c r="H489" s="36"/>
      <c r="I489" s="36"/>
      <c r="M489" s="36"/>
      <c r="N489" s="36"/>
      <c r="O489" s="36"/>
      <c r="Q489" s="36"/>
      <c r="R489" s="36"/>
      <c r="S489" s="36"/>
    </row>
    <row r="490">
      <c r="B490" s="36"/>
      <c r="C490" s="36"/>
      <c r="D490" s="36"/>
      <c r="G490" s="36"/>
      <c r="H490" s="36"/>
      <c r="I490" s="36"/>
      <c r="M490" s="36"/>
      <c r="N490" s="36"/>
      <c r="O490" s="36"/>
      <c r="Q490" s="36"/>
      <c r="R490" s="36"/>
      <c r="S490" s="36"/>
    </row>
    <row r="491">
      <c r="B491" s="36"/>
      <c r="C491" s="36"/>
      <c r="D491" s="36"/>
      <c r="G491" s="36"/>
      <c r="H491" s="36"/>
      <c r="I491" s="36"/>
      <c r="M491" s="36"/>
      <c r="N491" s="36"/>
      <c r="O491" s="36"/>
      <c r="Q491" s="36"/>
      <c r="R491" s="36"/>
      <c r="S491" s="36"/>
    </row>
    <row r="492">
      <c r="B492" s="36"/>
      <c r="C492" s="36"/>
      <c r="D492" s="36"/>
      <c r="G492" s="36"/>
      <c r="H492" s="36"/>
      <c r="I492" s="36"/>
      <c r="M492" s="36"/>
      <c r="N492" s="36"/>
      <c r="O492" s="36"/>
      <c r="Q492" s="36"/>
      <c r="R492" s="36"/>
      <c r="S492" s="36"/>
    </row>
    <row r="493">
      <c r="B493" s="36"/>
      <c r="C493" s="36"/>
      <c r="D493" s="36"/>
      <c r="G493" s="36"/>
      <c r="H493" s="36"/>
      <c r="I493" s="36"/>
      <c r="M493" s="36"/>
      <c r="N493" s="36"/>
      <c r="O493" s="36"/>
      <c r="Q493" s="36"/>
      <c r="R493" s="36"/>
      <c r="S493" s="36"/>
    </row>
    <row r="494">
      <c r="B494" s="36"/>
      <c r="C494" s="36"/>
      <c r="D494" s="36"/>
      <c r="G494" s="36"/>
      <c r="H494" s="36"/>
      <c r="I494" s="36"/>
      <c r="M494" s="36"/>
      <c r="N494" s="36"/>
      <c r="O494" s="36"/>
      <c r="Q494" s="36"/>
      <c r="R494" s="36"/>
      <c r="S494" s="36"/>
    </row>
    <row r="495">
      <c r="B495" s="36"/>
      <c r="C495" s="36"/>
      <c r="D495" s="36"/>
      <c r="G495" s="36"/>
      <c r="H495" s="36"/>
      <c r="I495" s="36"/>
      <c r="M495" s="36"/>
      <c r="N495" s="36"/>
      <c r="O495" s="36"/>
      <c r="Q495" s="36"/>
      <c r="R495" s="36"/>
      <c r="S495" s="36"/>
    </row>
    <row r="496">
      <c r="B496" s="36"/>
      <c r="C496" s="36"/>
      <c r="D496" s="36"/>
      <c r="G496" s="36"/>
      <c r="H496" s="36"/>
      <c r="I496" s="36"/>
      <c r="M496" s="36"/>
      <c r="N496" s="36"/>
      <c r="O496" s="36"/>
      <c r="Q496" s="36"/>
      <c r="R496" s="36"/>
      <c r="S496" s="36"/>
    </row>
    <row r="497">
      <c r="B497" s="36"/>
      <c r="C497" s="36"/>
      <c r="D497" s="36"/>
      <c r="G497" s="36"/>
      <c r="H497" s="36"/>
      <c r="I497" s="36"/>
      <c r="M497" s="36"/>
      <c r="N497" s="36"/>
      <c r="O497" s="36"/>
      <c r="Q497" s="36"/>
      <c r="R497" s="36"/>
      <c r="S497" s="36"/>
    </row>
    <row r="498">
      <c r="B498" s="36"/>
      <c r="C498" s="36"/>
      <c r="D498" s="36"/>
      <c r="G498" s="36"/>
      <c r="H498" s="36"/>
      <c r="I498" s="36"/>
      <c r="M498" s="36"/>
      <c r="N498" s="36"/>
      <c r="O498" s="36"/>
      <c r="Q498" s="36"/>
      <c r="R498" s="36"/>
      <c r="S498" s="36"/>
    </row>
    <row r="499">
      <c r="B499" s="36"/>
      <c r="C499" s="36"/>
      <c r="D499" s="36"/>
      <c r="G499" s="36"/>
      <c r="H499" s="36"/>
      <c r="I499" s="36"/>
      <c r="M499" s="36"/>
      <c r="N499" s="36"/>
      <c r="O499" s="36"/>
      <c r="Q499" s="36"/>
      <c r="R499" s="36"/>
      <c r="S499" s="36"/>
    </row>
    <row r="500">
      <c r="B500" s="36"/>
      <c r="C500" s="36"/>
      <c r="D500" s="36"/>
      <c r="G500" s="36"/>
      <c r="H500" s="36"/>
      <c r="I500" s="36"/>
      <c r="M500" s="36"/>
      <c r="N500" s="36"/>
      <c r="O500" s="36"/>
      <c r="Q500" s="36"/>
      <c r="R500" s="36"/>
      <c r="S500" s="36"/>
    </row>
    <row r="501">
      <c r="B501" s="36"/>
      <c r="C501" s="36"/>
      <c r="D501" s="36"/>
      <c r="G501" s="36"/>
      <c r="H501" s="36"/>
      <c r="I501" s="36"/>
      <c r="M501" s="36"/>
      <c r="N501" s="36"/>
      <c r="O501" s="36"/>
      <c r="Q501" s="36"/>
      <c r="R501" s="36"/>
      <c r="S501" s="36"/>
    </row>
    <row r="502">
      <c r="B502" s="36"/>
      <c r="C502" s="36"/>
      <c r="D502" s="36"/>
      <c r="G502" s="36"/>
      <c r="H502" s="36"/>
      <c r="I502" s="36"/>
      <c r="M502" s="36"/>
      <c r="N502" s="36"/>
      <c r="O502" s="36"/>
      <c r="Q502" s="36"/>
      <c r="R502" s="36"/>
      <c r="S502" s="36"/>
    </row>
    <row r="503">
      <c r="B503" s="36"/>
      <c r="C503" s="36"/>
      <c r="D503" s="36"/>
      <c r="G503" s="36"/>
      <c r="H503" s="36"/>
      <c r="I503" s="36"/>
      <c r="M503" s="36"/>
      <c r="N503" s="36"/>
      <c r="O503" s="36"/>
      <c r="Q503" s="36"/>
      <c r="R503" s="36"/>
      <c r="S503" s="36"/>
    </row>
    <row r="504">
      <c r="B504" s="36"/>
      <c r="C504" s="36"/>
      <c r="D504" s="36"/>
      <c r="G504" s="36"/>
      <c r="H504" s="36"/>
      <c r="I504" s="36"/>
      <c r="M504" s="36"/>
      <c r="N504" s="36"/>
      <c r="O504" s="36"/>
      <c r="Q504" s="36"/>
      <c r="R504" s="36"/>
      <c r="S504" s="36"/>
    </row>
    <row r="505">
      <c r="B505" s="36"/>
      <c r="C505" s="36"/>
      <c r="D505" s="36"/>
      <c r="G505" s="36"/>
      <c r="H505" s="36"/>
      <c r="I505" s="36"/>
      <c r="M505" s="36"/>
      <c r="N505" s="36"/>
      <c r="O505" s="36"/>
      <c r="Q505" s="36"/>
      <c r="R505" s="36"/>
      <c r="S505" s="36"/>
    </row>
    <row r="506">
      <c r="B506" s="36"/>
      <c r="C506" s="36"/>
      <c r="D506" s="36"/>
      <c r="G506" s="36"/>
      <c r="H506" s="36"/>
      <c r="I506" s="36"/>
      <c r="M506" s="36"/>
      <c r="N506" s="36"/>
      <c r="O506" s="36"/>
      <c r="Q506" s="36"/>
      <c r="R506" s="36"/>
      <c r="S506" s="36"/>
    </row>
    <row r="507">
      <c r="B507" s="36"/>
      <c r="C507" s="36"/>
      <c r="D507" s="36"/>
      <c r="G507" s="36"/>
      <c r="H507" s="36"/>
      <c r="I507" s="36"/>
      <c r="M507" s="36"/>
      <c r="N507" s="36"/>
      <c r="O507" s="36"/>
      <c r="Q507" s="36"/>
      <c r="R507" s="36"/>
      <c r="S507" s="36"/>
    </row>
    <row r="508">
      <c r="B508" s="36"/>
      <c r="C508" s="36"/>
      <c r="D508" s="36"/>
      <c r="G508" s="36"/>
      <c r="H508" s="36"/>
      <c r="I508" s="36"/>
      <c r="M508" s="36"/>
      <c r="N508" s="36"/>
      <c r="O508" s="36"/>
      <c r="Q508" s="36"/>
      <c r="R508" s="36"/>
      <c r="S508" s="36"/>
    </row>
    <row r="509">
      <c r="B509" s="36"/>
      <c r="C509" s="36"/>
      <c r="D509" s="36"/>
      <c r="G509" s="36"/>
      <c r="H509" s="36"/>
      <c r="I509" s="36"/>
      <c r="M509" s="36"/>
      <c r="N509" s="36"/>
      <c r="O509" s="36"/>
      <c r="Q509" s="36"/>
      <c r="R509" s="36"/>
      <c r="S509" s="36"/>
    </row>
    <row r="510">
      <c r="B510" s="36"/>
      <c r="C510" s="36"/>
      <c r="D510" s="36"/>
      <c r="G510" s="36"/>
      <c r="H510" s="36"/>
      <c r="I510" s="36"/>
      <c r="M510" s="36"/>
      <c r="N510" s="36"/>
      <c r="O510" s="36"/>
      <c r="Q510" s="36"/>
      <c r="R510" s="36"/>
      <c r="S510" s="36"/>
    </row>
    <row r="511">
      <c r="B511" s="36"/>
      <c r="C511" s="36"/>
      <c r="D511" s="36"/>
      <c r="G511" s="36"/>
      <c r="H511" s="36"/>
      <c r="I511" s="36"/>
      <c r="M511" s="36"/>
      <c r="N511" s="36"/>
      <c r="O511" s="36"/>
      <c r="Q511" s="36"/>
      <c r="R511" s="36"/>
      <c r="S511" s="36"/>
    </row>
    <row r="512">
      <c r="B512" s="36"/>
      <c r="C512" s="36"/>
      <c r="D512" s="36"/>
      <c r="G512" s="36"/>
      <c r="H512" s="36"/>
      <c r="I512" s="36"/>
      <c r="M512" s="36"/>
      <c r="N512" s="36"/>
      <c r="O512" s="36"/>
      <c r="Q512" s="36"/>
      <c r="R512" s="36"/>
      <c r="S512" s="36"/>
    </row>
    <row r="513">
      <c r="B513" s="36"/>
      <c r="C513" s="36"/>
      <c r="D513" s="36"/>
      <c r="G513" s="36"/>
      <c r="H513" s="36"/>
      <c r="I513" s="36"/>
      <c r="M513" s="36"/>
      <c r="N513" s="36"/>
      <c r="O513" s="36"/>
      <c r="Q513" s="36"/>
      <c r="R513" s="36"/>
      <c r="S513" s="36"/>
    </row>
    <row r="514">
      <c r="B514" s="36"/>
      <c r="C514" s="36"/>
      <c r="D514" s="36"/>
      <c r="G514" s="36"/>
      <c r="H514" s="36"/>
      <c r="I514" s="36"/>
      <c r="M514" s="36"/>
      <c r="N514" s="36"/>
      <c r="O514" s="36"/>
      <c r="Q514" s="36"/>
      <c r="R514" s="36"/>
      <c r="S514" s="36"/>
    </row>
    <row r="515">
      <c r="B515" s="36"/>
      <c r="C515" s="36"/>
      <c r="D515" s="36"/>
      <c r="G515" s="36"/>
      <c r="H515" s="36"/>
      <c r="I515" s="36"/>
      <c r="M515" s="36"/>
      <c r="N515" s="36"/>
      <c r="O515" s="36"/>
      <c r="Q515" s="36"/>
      <c r="R515" s="36"/>
      <c r="S515" s="36"/>
    </row>
    <row r="516">
      <c r="B516" s="36"/>
      <c r="C516" s="36"/>
      <c r="D516" s="36"/>
      <c r="G516" s="36"/>
      <c r="H516" s="36"/>
      <c r="I516" s="36"/>
      <c r="M516" s="36"/>
      <c r="N516" s="36"/>
      <c r="O516" s="36"/>
      <c r="Q516" s="36"/>
      <c r="R516" s="36"/>
      <c r="S516" s="36"/>
    </row>
    <row r="517">
      <c r="B517" s="36"/>
      <c r="C517" s="36"/>
      <c r="D517" s="36"/>
      <c r="G517" s="36"/>
      <c r="H517" s="36"/>
      <c r="I517" s="36"/>
      <c r="M517" s="36"/>
      <c r="N517" s="36"/>
      <c r="O517" s="36"/>
      <c r="Q517" s="36"/>
      <c r="R517" s="36"/>
      <c r="S517" s="36"/>
    </row>
    <row r="518">
      <c r="B518" s="36"/>
      <c r="C518" s="36"/>
      <c r="D518" s="36"/>
      <c r="G518" s="36"/>
      <c r="H518" s="36"/>
      <c r="I518" s="36"/>
      <c r="M518" s="36"/>
      <c r="N518" s="36"/>
      <c r="O518" s="36"/>
      <c r="Q518" s="36"/>
      <c r="R518" s="36"/>
      <c r="S518" s="36"/>
    </row>
    <row r="519">
      <c r="B519" s="36"/>
      <c r="C519" s="36"/>
      <c r="D519" s="36"/>
      <c r="G519" s="36"/>
      <c r="H519" s="36"/>
      <c r="I519" s="36"/>
      <c r="M519" s="36"/>
      <c r="N519" s="36"/>
      <c r="O519" s="36"/>
      <c r="Q519" s="36"/>
      <c r="R519" s="36"/>
      <c r="S519" s="36"/>
    </row>
    <row r="520">
      <c r="B520" s="36"/>
      <c r="C520" s="36"/>
      <c r="D520" s="36"/>
      <c r="G520" s="36"/>
      <c r="H520" s="36"/>
      <c r="I520" s="36"/>
      <c r="M520" s="36"/>
      <c r="N520" s="36"/>
      <c r="O520" s="36"/>
      <c r="Q520" s="36"/>
      <c r="R520" s="36"/>
      <c r="S520" s="36"/>
    </row>
    <row r="521">
      <c r="B521" s="36"/>
      <c r="C521" s="36"/>
      <c r="D521" s="36"/>
      <c r="G521" s="36"/>
      <c r="H521" s="36"/>
      <c r="I521" s="36"/>
      <c r="M521" s="36"/>
      <c r="N521" s="36"/>
      <c r="O521" s="36"/>
      <c r="Q521" s="36"/>
      <c r="R521" s="36"/>
      <c r="S521" s="36"/>
    </row>
    <row r="522">
      <c r="B522" s="36"/>
      <c r="C522" s="36"/>
      <c r="D522" s="36"/>
      <c r="G522" s="36"/>
      <c r="H522" s="36"/>
      <c r="I522" s="36"/>
      <c r="M522" s="36"/>
      <c r="N522" s="36"/>
      <c r="O522" s="36"/>
      <c r="Q522" s="36"/>
      <c r="R522" s="36"/>
      <c r="S522" s="36"/>
    </row>
    <row r="523">
      <c r="B523" s="36"/>
      <c r="C523" s="36"/>
      <c r="D523" s="36"/>
      <c r="G523" s="36"/>
      <c r="H523" s="36"/>
      <c r="I523" s="36"/>
      <c r="M523" s="36"/>
      <c r="N523" s="36"/>
      <c r="O523" s="36"/>
      <c r="Q523" s="36"/>
      <c r="R523" s="36"/>
      <c r="S523" s="36"/>
    </row>
    <row r="524">
      <c r="B524" s="36"/>
      <c r="C524" s="36"/>
      <c r="D524" s="36"/>
      <c r="G524" s="36"/>
      <c r="H524" s="36"/>
      <c r="I524" s="36"/>
      <c r="M524" s="36"/>
      <c r="N524" s="36"/>
      <c r="O524" s="36"/>
      <c r="Q524" s="36"/>
      <c r="R524" s="36"/>
      <c r="S524" s="36"/>
    </row>
    <row r="525">
      <c r="B525" s="36"/>
      <c r="C525" s="36"/>
      <c r="D525" s="36"/>
      <c r="G525" s="36"/>
      <c r="H525" s="36"/>
      <c r="I525" s="36"/>
      <c r="M525" s="36"/>
      <c r="N525" s="36"/>
      <c r="O525" s="36"/>
      <c r="Q525" s="36"/>
      <c r="R525" s="36"/>
      <c r="S525" s="36"/>
    </row>
    <row r="526">
      <c r="B526" s="36"/>
      <c r="C526" s="36"/>
      <c r="D526" s="36"/>
      <c r="G526" s="36"/>
      <c r="H526" s="36"/>
      <c r="I526" s="36"/>
      <c r="M526" s="36"/>
      <c r="N526" s="36"/>
      <c r="O526" s="36"/>
      <c r="Q526" s="36"/>
      <c r="R526" s="36"/>
      <c r="S526" s="36"/>
    </row>
    <row r="527">
      <c r="B527" s="36"/>
      <c r="C527" s="36"/>
      <c r="D527" s="36"/>
      <c r="G527" s="36"/>
      <c r="H527" s="36"/>
      <c r="I527" s="36"/>
      <c r="M527" s="36"/>
      <c r="N527" s="36"/>
      <c r="O527" s="36"/>
      <c r="Q527" s="36"/>
      <c r="R527" s="36"/>
      <c r="S527" s="36"/>
    </row>
    <row r="528">
      <c r="B528" s="36"/>
      <c r="C528" s="36"/>
      <c r="D528" s="36"/>
      <c r="G528" s="36"/>
      <c r="H528" s="36"/>
      <c r="I528" s="36"/>
      <c r="M528" s="36"/>
      <c r="N528" s="36"/>
      <c r="O528" s="36"/>
      <c r="Q528" s="36"/>
      <c r="R528" s="36"/>
      <c r="S528" s="36"/>
    </row>
    <row r="529">
      <c r="B529" s="36"/>
      <c r="C529" s="36"/>
      <c r="D529" s="36"/>
      <c r="G529" s="36"/>
      <c r="H529" s="36"/>
      <c r="I529" s="36"/>
      <c r="M529" s="36"/>
      <c r="N529" s="36"/>
      <c r="O529" s="36"/>
      <c r="Q529" s="36"/>
      <c r="R529" s="36"/>
      <c r="S529" s="36"/>
    </row>
    <row r="530">
      <c r="B530" s="36"/>
      <c r="C530" s="36"/>
      <c r="D530" s="36"/>
      <c r="G530" s="36"/>
      <c r="H530" s="36"/>
      <c r="I530" s="36"/>
      <c r="M530" s="36"/>
      <c r="N530" s="36"/>
      <c r="O530" s="36"/>
      <c r="Q530" s="36"/>
      <c r="R530" s="36"/>
      <c r="S530" s="36"/>
    </row>
    <row r="531">
      <c r="B531" s="36"/>
      <c r="C531" s="36"/>
      <c r="D531" s="36"/>
      <c r="G531" s="36"/>
      <c r="H531" s="36"/>
      <c r="I531" s="36"/>
      <c r="M531" s="36"/>
      <c r="N531" s="36"/>
      <c r="O531" s="36"/>
      <c r="Q531" s="36"/>
      <c r="R531" s="36"/>
      <c r="S531" s="36"/>
    </row>
    <row r="532">
      <c r="B532" s="36"/>
      <c r="C532" s="36"/>
      <c r="D532" s="36"/>
      <c r="G532" s="36"/>
      <c r="H532" s="36"/>
      <c r="I532" s="36"/>
      <c r="M532" s="36"/>
      <c r="N532" s="36"/>
      <c r="O532" s="36"/>
      <c r="Q532" s="36"/>
      <c r="R532" s="36"/>
      <c r="S532" s="36"/>
    </row>
    <row r="533">
      <c r="B533" s="36"/>
      <c r="C533" s="36"/>
      <c r="D533" s="36"/>
      <c r="G533" s="36"/>
      <c r="H533" s="36"/>
      <c r="I533" s="36"/>
      <c r="M533" s="36"/>
      <c r="N533" s="36"/>
      <c r="O533" s="36"/>
      <c r="Q533" s="36"/>
      <c r="R533" s="36"/>
      <c r="S533" s="36"/>
    </row>
    <row r="534">
      <c r="B534" s="36"/>
      <c r="C534" s="36"/>
      <c r="D534" s="36"/>
      <c r="G534" s="36"/>
      <c r="H534" s="36"/>
      <c r="I534" s="36"/>
      <c r="M534" s="36"/>
      <c r="N534" s="36"/>
      <c r="O534" s="36"/>
      <c r="Q534" s="36"/>
      <c r="R534" s="36"/>
      <c r="S534" s="36"/>
    </row>
    <row r="535">
      <c r="B535" s="36"/>
      <c r="C535" s="36"/>
      <c r="D535" s="36"/>
      <c r="G535" s="36"/>
      <c r="H535" s="36"/>
      <c r="I535" s="36"/>
      <c r="M535" s="36"/>
      <c r="N535" s="36"/>
      <c r="O535" s="36"/>
      <c r="Q535" s="36"/>
      <c r="R535" s="36"/>
      <c r="S535" s="36"/>
    </row>
    <row r="536">
      <c r="B536" s="36"/>
      <c r="C536" s="36"/>
      <c r="D536" s="36"/>
      <c r="G536" s="36"/>
      <c r="H536" s="36"/>
      <c r="I536" s="36"/>
      <c r="M536" s="36"/>
      <c r="N536" s="36"/>
      <c r="O536" s="36"/>
      <c r="Q536" s="36"/>
      <c r="R536" s="36"/>
      <c r="S536" s="36"/>
    </row>
    <row r="537">
      <c r="B537" s="36"/>
      <c r="C537" s="36"/>
      <c r="D537" s="36"/>
      <c r="G537" s="36"/>
      <c r="H537" s="36"/>
      <c r="I537" s="36"/>
      <c r="M537" s="36"/>
      <c r="N537" s="36"/>
      <c r="O537" s="36"/>
      <c r="Q537" s="36"/>
      <c r="R537" s="36"/>
      <c r="S537" s="36"/>
    </row>
    <row r="538">
      <c r="B538" s="36"/>
      <c r="C538" s="36"/>
      <c r="D538" s="36"/>
      <c r="G538" s="36"/>
      <c r="H538" s="36"/>
      <c r="I538" s="36"/>
      <c r="M538" s="36"/>
      <c r="N538" s="36"/>
      <c r="O538" s="36"/>
      <c r="Q538" s="36"/>
      <c r="R538" s="36"/>
      <c r="S538" s="36"/>
    </row>
    <row r="539">
      <c r="B539" s="36"/>
      <c r="C539" s="36"/>
      <c r="D539" s="36"/>
      <c r="G539" s="36"/>
      <c r="H539" s="36"/>
      <c r="I539" s="36"/>
      <c r="M539" s="36"/>
      <c r="N539" s="36"/>
      <c r="O539" s="36"/>
      <c r="Q539" s="36"/>
      <c r="R539" s="36"/>
      <c r="S539" s="36"/>
    </row>
    <row r="540">
      <c r="B540" s="36"/>
      <c r="C540" s="36"/>
      <c r="D540" s="36"/>
      <c r="G540" s="36"/>
      <c r="H540" s="36"/>
      <c r="I540" s="36"/>
      <c r="M540" s="36"/>
      <c r="N540" s="36"/>
      <c r="O540" s="36"/>
      <c r="Q540" s="36"/>
      <c r="R540" s="36"/>
      <c r="S540" s="36"/>
    </row>
    <row r="541">
      <c r="B541" s="36"/>
      <c r="C541" s="36"/>
      <c r="D541" s="36"/>
      <c r="G541" s="36"/>
      <c r="H541" s="36"/>
      <c r="I541" s="36"/>
      <c r="M541" s="36"/>
      <c r="N541" s="36"/>
      <c r="O541" s="36"/>
      <c r="Q541" s="36"/>
      <c r="R541" s="36"/>
      <c r="S541" s="36"/>
    </row>
    <row r="542">
      <c r="B542" s="36"/>
      <c r="C542" s="36"/>
      <c r="D542" s="36"/>
      <c r="G542" s="36"/>
      <c r="H542" s="36"/>
      <c r="I542" s="36"/>
      <c r="M542" s="36"/>
      <c r="N542" s="36"/>
      <c r="O542" s="36"/>
      <c r="Q542" s="36"/>
      <c r="R542" s="36"/>
      <c r="S542" s="36"/>
    </row>
    <row r="543">
      <c r="B543" s="36"/>
      <c r="C543" s="36"/>
      <c r="D543" s="36"/>
      <c r="G543" s="36"/>
      <c r="H543" s="36"/>
      <c r="I543" s="36"/>
      <c r="M543" s="36"/>
      <c r="N543" s="36"/>
      <c r="O543" s="36"/>
      <c r="Q543" s="36"/>
      <c r="R543" s="36"/>
      <c r="S543" s="36"/>
    </row>
    <row r="544">
      <c r="B544" s="36"/>
      <c r="C544" s="36"/>
      <c r="D544" s="36"/>
      <c r="G544" s="36"/>
      <c r="H544" s="36"/>
      <c r="I544" s="36"/>
      <c r="M544" s="36"/>
      <c r="N544" s="36"/>
      <c r="O544" s="36"/>
      <c r="Q544" s="36"/>
      <c r="R544" s="36"/>
      <c r="S544" s="36"/>
    </row>
    <row r="545">
      <c r="B545" s="36"/>
      <c r="C545" s="36"/>
      <c r="D545" s="36"/>
      <c r="G545" s="36"/>
      <c r="H545" s="36"/>
      <c r="I545" s="36"/>
      <c r="M545" s="36"/>
      <c r="N545" s="36"/>
      <c r="O545" s="36"/>
      <c r="Q545" s="36"/>
      <c r="R545" s="36"/>
      <c r="S545" s="36"/>
    </row>
    <row r="546">
      <c r="B546" s="36"/>
      <c r="C546" s="36"/>
      <c r="D546" s="36"/>
      <c r="G546" s="36"/>
      <c r="H546" s="36"/>
      <c r="I546" s="36"/>
      <c r="M546" s="36"/>
      <c r="N546" s="36"/>
      <c r="O546" s="36"/>
      <c r="Q546" s="36"/>
      <c r="R546" s="36"/>
      <c r="S546" s="36"/>
    </row>
    <row r="547">
      <c r="B547" s="36"/>
      <c r="C547" s="36"/>
      <c r="D547" s="36"/>
      <c r="G547" s="36"/>
      <c r="H547" s="36"/>
      <c r="I547" s="36"/>
      <c r="M547" s="36"/>
      <c r="N547" s="36"/>
      <c r="O547" s="36"/>
      <c r="Q547" s="36"/>
      <c r="R547" s="36"/>
      <c r="S547" s="36"/>
    </row>
    <row r="548">
      <c r="B548" s="36"/>
      <c r="C548" s="36"/>
      <c r="D548" s="36"/>
      <c r="G548" s="36"/>
      <c r="H548" s="36"/>
      <c r="I548" s="36"/>
      <c r="M548" s="36"/>
      <c r="N548" s="36"/>
      <c r="O548" s="36"/>
      <c r="Q548" s="36"/>
      <c r="R548" s="36"/>
      <c r="S548" s="36"/>
    </row>
    <row r="549">
      <c r="B549" s="36"/>
      <c r="C549" s="36"/>
      <c r="D549" s="36"/>
      <c r="G549" s="36"/>
      <c r="H549" s="36"/>
      <c r="I549" s="36"/>
      <c r="M549" s="36"/>
      <c r="N549" s="36"/>
      <c r="O549" s="36"/>
      <c r="Q549" s="36"/>
      <c r="R549" s="36"/>
      <c r="S549" s="36"/>
    </row>
    <row r="550">
      <c r="B550" s="36"/>
      <c r="C550" s="36"/>
      <c r="D550" s="36"/>
      <c r="G550" s="36"/>
      <c r="H550" s="36"/>
      <c r="I550" s="36"/>
      <c r="M550" s="36"/>
      <c r="N550" s="36"/>
      <c r="O550" s="36"/>
      <c r="Q550" s="36"/>
      <c r="R550" s="36"/>
      <c r="S550" s="36"/>
    </row>
    <row r="551">
      <c r="B551" s="36"/>
      <c r="C551" s="36"/>
      <c r="D551" s="36"/>
      <c r="G551" s="36"/>
      <c r="H551" s="36"/>
      <c r="I551" s="36"/>
      <c r="M551" s="36"/>
      <c r="N551" s="36"/>
      <c r="O551" s="36"/>
      <c r="Q551" s="36"/>
      <c r="R551" s="36"/>
      <c r="S551" s="36"/>
    </row>
    <row r="552">
      <c r="B552" s="36"/>
      <c r="C552" s="36"/>
      <c r="D552" s="36"/>
      <c r="G552" s="36"/>
      <c r="H552" s="36"/>
      <c r="I552" s="36"/>
      <c r="M552" s="36"/>
      <c r="N552" s="36"/>
      <c r="O552" s="36"/>
      <c r="Q552" s="36"/>
      <c r="R552" s="36"/>
      <c r="S552" s="36"/>
    </row>
    <row r="553">
      <c r="B553" s="36"/>
      <c r="C553" s="36"/>
      <c r="D553" s="36"/>
      <c r="G553" s="36"/>
      <c r="H553" s="36"/>
      <c r="I553" s="36"/>
      <c r="M553" s="36"/>
      <c r="N553" s="36"/>
      <c r="O553" s="36"/>
      <c r="Q553" s="36"/>
      <c r="R553" s="36"/>
      <c r="S553" s="36"/>
    </row>
    <row r="554">
      <c r="B554" s="36"/>
      <c r="C554" s="36"/>
      <c r="D554" s="36"/>
      <c r="G554" s="36"/>
      <c r="H554" s="36"/>
      <c r="I554" s="36"/>
      <c r="M554" s="36"/>
      <c r="N554" s="36"/>
      <c r="O554" s="36"/>
      <c r="Q554" s="36"/>
      <c r="R554" s="36"/>
      <c r="S554" s="36"/>
    </row>
    <row r="555">
      <c r="B555" s="36"/>
      <c r="C555" s="36"/>
      <c r="D555" s="36"/>
      <c r="G555" s="36"/>
      <c r="H555" s="36"/>
      <c r="I555" s="36"/>
      <c r="M555" s="36"/>
      <c r="N555" s="36"/>
      <c r="O555" s="36"/>
      <c r="Q555" s="36"/>
      <c r="R555" s="36"/>
      <c r="S555" s="36"/>
    </row>
    <row r="556">
      <c r="B556" s="36"/>
      <c r="C556" s="36"/>
      <c r="D556" s="36"/>
      <c r="G556" s="36"/>
      <c r="H556" s="36"/>
      <c r="I556" s="36"/>
      <c r="M556" s="36"/>
      <c r="N556" s="36"/>
      <c r="O556" s="36"/>
      <c r="Q556" s="36"/>
      <c r="R556" s="36"/>
      <c r="S556" s="36"/>
    </row>
    <row r="557">
      <c r="B557" s="36"/>
      <c r="C557" s="36"/>
      <c r="D557" s="36"/>
      <c r="G557" s="36"/>
      <c r="H557" s="36"/>
      <c r="I557" s="36"/>
      <c r="M557" s="36"/>
      <c r="N557" s="36"/>
      <c r="O557" s="36"/>
      <c r="Q557" s="36"/>
      <c r="R557" s="36"/>
      <c r="S557" s="36"/>
    </row>
    <row r="558">
      <c r="B558" s="36"/>
      <c r="C558" s="36"/>
      <c r="D558" s="36"/>
      <c r="G558" s="36"/>
      <c r="H558" s="36"/>
      <c r="I558" s="36"/>
      <c r="M558" s="36"/>
      <c r="N558" s="36"/>
      <c r="O558" s="36"/>
      <c r="Q558" s="36"/>
      <c r="R558" s="36"/>
      <c r="S558" s="36"/>
    </row>
    <row r="559">
      <c r="B559" s="36"/>
      <c r="C559" s="36"/>
      <c r="D559" s="36"/>
      <c r="G559" s="36"/>
      <c r="H559" s="36"/>
      <c r="I559" s="36"/>
      <c r="M559" s="36"/>
      <c r="N559" s="36"/>
      <c r="O559" s="36"/>
      <c r="Q559" s="36"/>
      <c r="R559" s="36"/>
      <c r="S559" s="36"/>
    </row>
    <row r="560">
      <c r="B560" s="36"/>
      <c r="C560" s="36"/>
      <c r="D560" s="36"/>
      <c r="G560" s="36"/>
      <c r="H560" s="36"/>
      <c r="I560" s="36"/>
      <c r="M560" s="36"/>
      <c r="N560" s="36"/>
      <c r="O560" s="36"/>
      <c r="Q560" s="36"/>
      <c r="R560" s="36"/>
      <c r="S560" s="36"/>
    </row>
    <row r="561">
      <c r="B561" s="36"/>
      <c r="C561" s="36"/>
      <c r="D561" s="36"/>
      <c r="G561" s="36"/>
      <c r="H561" s="36"/>
      <c r="I561" s="36"/>
      <c r="M561" s="36"/>
      <c r="N561" s="36"/>
      <c r="O561" s="36"/>
      <c r="Q561" s="36"/>
      <c r="R561" s="36"/>
      <c r="S561" s="36"/>
    </row>
    <row r="562">
      <c r="B562" s="36"/>
      <c r="C562" s="36"/>
      <c r="D562" s="36"/>
      <c r="G562" s="36"/>
      <c r="H562" s="36"/>
      <c r="I562" s="36"/>
      <c r="M562" s="36"/>
      <c r="N562" s="36"/>
      <c r="O562" s="36"/>
      <c r="Q562" s="36"/>
      <c r="R562" s="36"/>
      <c r="S562" s="36"/>
    </row>
    <row r="563">
      <c r="B563" s="36"/>
      <c r="C563" s="36"/>
      <c r="D563" s="36"/>
      <c r="G563" s="36"/>
      <c r="H563" s="36"/>
      <c r="I563" s="36"/>
      <c r="M563" s="36"/>
      <c r="N563" s="36"/>
      <c r="O563" s="36"/>
      <c r="Q563" s="36"/>
      <c r="R563" s="36"/>
      <c r="S563" s="36"/>
    </row>
    <row r="564">
      <c r="B564" s="36"/>
      <c r="C564" s="36"/>
      <c r="D564" s="36"/>
      <c r="G564" s="36"/>
      <c r="H564" s="36"/>
      <c r="I564" s="36"/>
      <c r="M564" s="36"/>
      <c r="N564" s="36"/>
      <c r="O564" s="36"/>
      <c r="Q564" s="36"/>
      <c r="R564" s="36"/>
      <c r="S564" s="36"/>
    </row>
    <row r="565">
      <c r="B565" s="36"/>
      <c r="C565" s="36"/>
      <c r="D565" s="36"/>
      <c r="G565" s="36"/>
      <c r="H565" s="36"/>
      <c r="I565" s="36"/>
      <c r="M565" s="36"/>
      <c r="N565" s="36"/>
      <c r="O565" s="36"/>
      <c r="Q565" s="36"/>
      <c r="R565" s="36"/>
      <c r="S565" s="36"/>
    </row>
    <row r="566">
      <c r="B566" s="36"/>
      <c r="C566" s="36"/>
      <c r="D566" s="36"/>
      <c r="G566" s="36"/>
      <c r="H566" s="36"/>
      <c r="I566" s="36"/>
      <c r="M566" s="36"/>
      <c r="N566" s="36"/>
      <c r="O566" s="36"/>
      <c r="Q566" s="36"/>
      <c r="R566" s="36"/>
      <c r="S566" s="36"/>
    </row>
    <row r="567">
      <c r="B567" s="36"/>
      <c r="C567" s="36"/>
      <c r="D567" s="36"/>
      <c r="G567" s="36"/>
      <c r="H567" s="36"/>
      <c r="I567" s="36"/>
      <c r="M567" s="36"/>
      <c r="N567" s="36"/>
      <c r="O567" s="36"/>
      <c r="Q567" s="36"/>
      <c r="R567" s="36"/>
      <c r="S567" s="36"/>
    </row>
    <row r="568">
      <c r="B568" s="36"/>
      <c r="C568" s="36"/>
      <c r="D568" s="36"/>
      <c r="G568" s="36"/>
      <c r="H568" s="36"/>
      <c r="I568" s="36"/>
      <c r="M568" s="36"/>
      <c r="N568" s="36"/>
      <c r="O568" s="36"/>
      <c r="Q568" s="36"/>
      <c r="R568" s="36"/>
      <c r="S568" s="36"/>
    </row>
    <row r="569">
      <c r="B569" s="36"/>
      <c r="C569" s="36"/>
      <c r="D569" s="36"/>
      <c r="G569" s="36"/>
      <c r="H569" s="36"/>
      <c r="I569" s="36"/>
      <c r="M569" s="36"/>
      <c r="N569" s="36"/>
      <c r="O569" s="36"/>
      <c r="Q569" s="36"/>
      <c r="R569" s="36"/>
      <c r="S569" s="36"/>
    </row>
    <row r="570">
      <c r="B570" s="36"/>
      <c r="C570" s="36"/>
      <c r="D570" s="36"/>
      <c r="G570" s="36"/>
      <c r="H570" s="36"/>
      <c r="I570" s="36"/>
      <c r="M570" s="36"/>
      <c r="N570" s="36"/>
      <c r="O570" s="36"/>
      <c r="Q570" s="36"/>
      <c r="R570" s="36"/>
      <c r="S570" s="36"/>
    </row>
    <row r="571">
      <c r="B571" s="36"/>
      <c r="C571" s="36"/>
      <c r="D571" s="36"/>
      <c r="G571" s="36"/>
      <c r="H571" s="36"/>
      <c r="I571" s="36"/>
      <c r="M571" s="36"/>
      <c r="N571" s="36"/>
      <c r="O571" s="36"/>
      <c r="Q571" s="36"/>
      <c r="R571" s="36"/>
      <c r="S571" s="36"/>
    </row>
    <row r="572">
      <c r="B572" s="36"/>
      <c r="C572" s="36"/>
      <c r="D572" s="36"/>
      <c r="G572" s="36"/>
      <c r="H572" s="36"/>
      <c r="I572" s="36"/>
      <c r="M572" s="36"/>
      <c r="N572" s="36"/>
      <c r="O572" s="36"/>
      <c r="Q572" s="36"/>
      <c r="R572" s="36"/>
      <c r="S572" s="36"/>
    </row>
    <row r="573">
      <c r="B573" s="36"/>
      <c r="C573" s="36"/>
      <c r="D573" s="36"/>
      <c r="G573" s="36"/>
      <c r="H573" s="36"/>
      <c r="I573" s="36"/>
      <c r="M573" s="36"/>
      <c r="N573" s="36"/>
      <c r="O573" s="36"/>
      <c r="Q573" s="36"/>
      <c r="R573" s="36"/>
      <c r="S573" s="36"/>
    </row>
    <row r="574">
      <c r="B574" s="36"/>
      <c r="C574" s="36"/>
      <c r="D574" s="36"/>
      <c r="G574" s="36"/>
      <c r="H574" s="36"/>
      <c r="I574" s="36"/>
      <c r="M574" s="36"/>
      <c r="N574" s="36"/>
      <c r="O574" s="36"/>
      <c r="Q574" s="36"/>
      <c r="R574" s="36"/>
      <c r="S574" s="36"/>
    </row>
    <row r="575">
      <c r="B575" s="36"/>
      <c r="C575" s="36"/>
      <c r="D575" s="36"/>
      <c r="G575" s="36"/>
      <c r="H575" s="36"/>
      <c r="I575" s="36"/>
      <c r="M575" s="36"/>
      <c r="N575" s="36"/>
      <c r="O575" s="36"/>
      <c r="Q575" s="36"/>
      <c r="R575" s="36"/>
      <c r="S575" s="36"/>
    </row>
    <row r="576">
      <c r="B576" s="36"/>
      <c r="C576" s="36"/>
      <c r="D576" s="36"/>
      <c r="G576" s="36"/>
      <c r="H576" s="36"/>
      <c r="I576" s="36"/>
      <c r="M576" s="36"/>
      <c r="N576" s="36"/>
      <c r="O576" s="36"/>
      <c r="Q576" s="36"/>
      <c r="R576" s="36"/>
      <c r="S576" s="36"/>
    </row>
    <row r="577">
      <c r="B577" s="36"/>
      <c r="C577" s="36"/>
      <c r="D577" s="36"/>
      <c r="G577" s="36"/>
      <c r="H577" s="36"/>
      <c r="I577" s="36"/>
      <c r="M577" s="36"/>
      <c r="N577" s="36"/>
      <c r="O577" s="36"/>
      <c r="Q577" s="36"/>
      <c r="R577" s="36"/>
      <c r="S577" s="36"/>
    </row>
    <row r="578">
      <c r="B578" s="36"/>
      <c r="C578" s="36"/>
      <c r="D578" s="36"/>
      <c r="G578" s="36"/>
      <c r="H578" s="36"/>
      <c r="I578" s="36"/>
      <c r="M578" s="36"/>
      <c r="N578" s="36"/>
      <c r="O578" s="36"/>
      <c r="Q578" s="36"/>
      <c r="R578" s="36"/>
      <c r="S578" s="36"/>
    </row>
    <row r="579">
      <c r="B579" s="36"/>
      <c r="C579" s="36"/>
      <c r="D579" s="36"/>
      <c r="G579" s="36"/>
      <c r="H579" s="36"/>
      <c r="I579" s="36"/>
      <c r="M579" s="36"/>
      <c r="N579" s="36"/>
      <c r="O579" s="36"/>
      <c r="Q579" s="36"/>
      <c r="R579" s="36"/>
      <c r="S579" s="36"/>
    </row>
    <row r="580">
      <c r="B580" s="36"/>
      <c r="C580" s="36"/>
      <c r="D580" s="36"/>
      <c r="G580" s="36"/>
      <c r="H580" s="36"/>
      <c r="I580" s="36"/>
      <c r="M580" s="36"/>
      <c r="N580" s="36"/>
      <c r="O580" s="36"/>
      <c r="Q580" s="36"/>
      <c r="R580" s="36"/>
      <c r="S580" s="36"/>
    </row>
    <row r="581">
      <c r="B581" s="36"/>
      <c r="C581" s="36"/>
      <c r="D581" s="36"/>
      <c r="G581" s="36"/>
      <c r="H581" s="36"/>
      <c r="I581" s="36"/>
      <c r="M581" s="36"/>
      <c r="N581" s="36"/>
      <c r="O581" s="36"/>
      <c r="Q581" s="36"/>
      <c r="R581" s="36"/>
      <c r="S581" s="36"/>
    </row>
    <row r="582">
      <c r="B582" s="36"/>
      <c r="C582" s="36"/>
      <c r="D582" s="36"/>
      <c r="G582" s="36"/>
      <c r="H582" s="36"/>
      <c r="I582" s="36"/>
      <c r="M582" s="36"/>
      <c r="N582" s="36"/>
      <c r="O582" s="36"/>
      <c r="Q582" s="36"/>
      <c r="R582" s="36"/>
      <c r="S582" s="36"/>
    </row>
    <row r="583">
      <c r="B583" s="36"/>
      <c r="C583" s="36"/>
      <c r="D583" s="36"/>
      <c r="G583" s="36"/>
      <c r="H583" s="36"/>
      <c r="I583" s="36"/>
      <c r="M583" s="36"/>
      <c r="N583" s="36"/>
      <c r="O583" s="36"/>
      <c r="Q583" s="36"/>
      <c r="R583" s="36"/>
      <c r="S583" s="36"/>
    </row>
    <row r="584">
      <c r="B584" s="36"/>
      <c r="C584" s="36"/>
      <c r="D584" s="36"/>
      <c r="G584" s="36"/>
      <c r="H584" s="36"/>
      <c r="I584" s="36"/>
      <c r="M584" s="36"/>
      <c r="N584" s="36"/>
      <c r="O584" s="36"/>
      <c r="Q584" s="36"/>
      <c r="R584" s="36"/>
      <c r="S584" s="36"/>
    </row>
    <row r="585">
      <c r="B585" s="36"/>
      <c r="C585" s="36"/>
      <c r="D585" s="36"/>
      <c r="G585" s="36"/>
      <c r="H585" s="36"/>
      <c r="I585" s="36"/>
      <c r="M585" s="36"/>
      <c r="N585" s="36"/>
      <c r="O585" s="36"/>
      <c r="Q585" s="36"/>
      <c r="R585" s="36"/>
      <c r="S585" s="36"/>
    </row>
    <row r="586">
      <c r="B586" s="36"/>
      <c r="C586" s="36"/>
      <c r="D586" s="36"/>
      <c r="G586" s="36"/>
      <c r="H586" s="36"/>
      <c r="I586" s="36"/>
      <c r="M586" s="36"/>
      <c r="N586" s="36"/>
      <c r="O586" s="36"/>
      <c r="Q586" s="36"/>
      <c r="R586" s="36"/>
      <c r="S586" s="36"/>
    </row>
    <row r="587">
      <c r="B587" s="36"/>
      <c r="C587" s="36"/>
      <c r="D587" s="36"/>
      <c r="G587" s="36"/>
      <c r="H587" s="36"/>
      <c r="I587" s="36"/>
      <c r="M587" s="36"/>
      <c r="N587" s="36"/>
      <c r="O587" s="36"/>
      <c r="Q587" s="36"/>
      <c r="R587" s="36"/>
      <c r="S587" s="36"/>
    </row>
    <row r="588">
      <c r="B588" s="36"/>
      <c r="C588" s="36"/>
      <c r="D588" s="36"/>
      <c r="G588" s="36"/>
      <c r="H588" s="36"/>
      <c r="I588" s="36"/>
      <c r="M588" s="36"/>
      <c r="N588" s="36"/>
      <c r="O588" s="36"/>
      <c r="Q588" s="36"/>
      <c r="R588" s="36"/>
      <c r="S588" s="36"/>
    </row>
    <row r="589">
      <c r="B589" s="36"/>
      <c r="C589" s="36"/>
      <c r="D589" s="36"/>
      <c r="G589" s="36"/>
      <c r="H589" s="36"/>
      <c r="I589" s="36"/>
      <c r="M589" s="36"/>
      <c r="N589" s="36"/>
      <c r="O589" s="36"/>
      <c r="Q589" s="36"/>
      <c r="R589" s="36"/>
      <c r="S589" s="36"/>
    </row>
    <row r="590">
      <c r="B590" s="36"/>
      <c r="C590" s="36"/>
      <c r="D590" s="36"/>
      <c r="G590" s="36"/>
      <c r="H590" s="36"/>
      <c r="I590" s="36"/>
      <c r="M590" s="36"/>
      <c r="N590" s="36"/>
      <c r="O590" s="36"/>
      <c r="Q590" s="36"/>
      <c r="R590" s="36"/>
      <c r="S590" s="36"/>
    </row>
    <row r="591">
      <c r="B591" s="36"/>
      <c r="C591" s="36"/>
      <c r="D591" s="36"/>
      <c r="G591" s="36"/>
      <c r="H591" s="36"/>
      <c r="I591" s="36"/>
      <c r="M591" s="36"/>
      <c r="N591" s="36"/>
      <c r="O591" s="36"/>
      <c r="Q591" s="36"/>
      <c r="R591" s="36"/>
      <c r="S591" s="36"/>
    </row>
    <row r="592">
      <c r="B592" s="36"/>
      <c r="C592" s="36"/>
      <c r="D592" s="36"/>
      <c r="G592" s="36"/>
      <c r="H592" s="36"/>
      <c r="I592" s="36"/>
      <c r="M592" s="36"/>
      <c r="N592" s="36"/>
      <c r="O592" s="36"/>
      <c r="Q592" s="36"/>
      <c r="R592" s="36"/>
      <c r="S592" s="36"/>
    </row>
    <row r="593">
      <c r="B593" s="36"/>
      <c r="C593" s="36"/>
      <c r="D593" s="36"/>
      <c r="G593" s="36"/>
      <c r="H593" s="36"/>
      <c r="I593" s="36"/>
      <c r="M593" s="36"/>
      <c r="N593" s="36"/>
      <c r="O593" s="36"/>
      <c r="Q593" s="36"/>
      <c r="R593" s="36"/>
      <c r="S593" s="36"/>
    </row>
    <row r="594">
      <c r="B594" s="36"/>
      <c r="C594" s="36"/>
      <c r="D594" s="36"/>
      <c r="G594" s="36"/>
      <c r="H594" s="36"/>
      <c r="I594" s="36"/>
      <c r="M594" s="36"/>
      <c r="N594" s="36"/>
      <c r="O594" s="36"/>
      <c r="Q594" s="36"/>
      <c r="R594" s="36"/>
      <c r="S594" s="36"/>
    </row>
    <row r="595">
      <c r="B595" s="36"/>
      <c r="C595" s="36"/>
      <c r="D595" s="36"/>
      <c r="G595" s="36"/>
      <c r="H595" s="36"/>
      <c r="I595" s="36"/>
      <c r="M595" s="36"/>
      <c r="N595" s="36"/>
      <c r="O595" s="36"/>
      <c r="Q595" s="36"/>
      <c r="R595" s="36"/>
      <c r="S595" s="36"/>
    </row>
    <row r="596">
      <c r="B596" s="36"/>
      <c r="C596" s="36"/>
      <c r="D596" s="36"/>
      <c r="G596" s="36"/>
      <c r="H596" s="36"/>
      <c r="I596" s="36"/>
      <c r="M596" s="36"/>
      <c r="N596" s="36"/>
      <c r="O596" s="36"/>
      <c r="Q596" s="36"/>
      <c r="R596" s="36"/>
      <c r="S596" s="36"/>
    </row>
    <row r="597">
      <c r="B597" s="36"/>
      <c r="C597" s="36"/>
      <c r="D597" s="36"/>
      <c r="G597" s="36"/>
      <c r="H597" s="36"/>
      <c r="I597" s="36"/>
      <c r="M597" s="36"/>
      <c r="N597" s="36"/>
      <c r="O597" s="36"/>
      <c r="Q597" s="36"/>
      <c r="R597" s="36"/>
      <c r="S597" s="36"/>
    </row>
    <row r="598">
      <c r="B598" s="36"/>
      <c r="C598" s="36"/>
      <c r="D598" s="36"/>
      <c r="G598" s="36"/>
      <c r="H598" s="36"/>
      <c r="I598" s="36"/>
      <c r="M598" s="36"/>
      <c r="N598" s="36"/>
      <c r="O598" s="36"/>
      <c r="Q598" s="36"/>
      <c r="R598" s="36"/>
      <c r="S598" s="36"/>
    </row>
    <row r="599">
      <c r="B599" s="36"/>
      <c r="C599" s="36"/>
      <c r="D599" s="36"/>
      <c r="G599" s="36"/>
      <c r="H599" s="36"/>
      <c r="I599" s="36"/>
      <c r="M599" s="36"/>
      <c r="N599" s="36"/>
      <c r="O599" s="36"/>
      <c r="Q599" s="36"/>
      <c r="R599" s="36"/>
      <c r="S599" s="36"/>
    </row>
    <row r="600">
      <c r="B600" s="36"/>
      <c r="C600" s="36"/>
      <c r="D600" s="36"/>
      <c r="G600" s="36"/>
      <c r="H600" s="36"/>
      <c r="I600" s="36"/>
      <c r="M600" s="36"/>
      <c r="N600" s="36"/>
      <c r="O600" s="36"/>
      <c r="Q600" s="36"/>
      <c r="R600" s="36"/>
      <c r="S600" s="36"/>
    </row>
    <row r="601">
      <c r="B601" s="36"/>
      <c r="C601" s="36"/>
      <c r="D601" s="36"/>
      <c r="G601" s="36"/>
      <c r="H601" s="36"/>
      <c r="I601" s="36"/>
      <c r="M601" s="36"/>
      <c r="N601" s="36"/>
      <c r="O601" s="36"/>
      <c r="Q601" s="36"/>
      <c r="R601" s="36"/>
      <c r="S601" s="36"/>
    </row>
    <row r="602">
      <c r="B602" s="36"/>
      <c r="C602" s="36"/>
      <c r="D602" s="36"/>
      <c r="G602" s="36"/>
      <c r="H602" s="36"/>
      <c r="I602" s="36"/>
      <c r="M602" s="36"/>
      <c r="N602" s="36"/>
      <c r="O602" s="36"/>
      <c r="Q602" s="36"/>
      <c r="R602" s="36"/>
      <c r="S602" s="36"/>
    </row>
    <row r="603">
      <c r="B603" s="36"/>
      <c r="C603" s="36"/>
      <c r="D603" s="36"/>
      <c r="G603" s="36"/>
      <c r="H603" s="36"/>
      <c r="I603" s="36"/>
      <c r="M603" s="36"/>
      <c r="N603" s="36"/>
      <c r="O603" s="36"/>
      <c r="Q603" s="36"/>
      <c r="R603" s="36"/>
      <c r="S603" s="36"/>
    </row>
    <row r="604">
      <c r="B604" s="36"/>
      <c r="C604" s="36"/>
      <c r="D604" s="36"/>
      <c r="G604" s="36"/>
      <c r="H604" s="36"/>
      <c r="I604" s="36"/>
      <c r="M604" s="36"/>
      <c r="N604" s="36"/>
      <c r="O604" s="36"/>
      <c r="Q604" s="36"/>
      <c r="R604" s="36"/>
      <c r="S604" s="36"/>
    </row>
    <row r="605">
      <c r="B605" s="36"/>
      <c r="C605" s="36"/>
      <c r="D605" s="36"/>
      <c r="G605" s="36"/>
      <c r="H605" s="36"/>
      <c r="I605" s="36"/>
      <c r="M605" s="36"/>
      <c r="N605" s="36"/>
      <c r="O605" s="36"/>
      <c r="Q605" s="36"/>
      <c r="R605" s="36"/>
      <c r="S605" s="36"/>
    </row>
    <row r="606">
      <c r="B606" s="36"/>
      <c r="C606" s="36"/>
      <c r="D606" s="36"/>
      <c r="G606" s="36"/>
      <c r="H606" s="36"/>
      <c r="I606" s="36"/>
      <c r="M606" s="36"/>
      <c r="N606" s="36"/>
      <c r="O606" s="36"/>
      <c r="Q606" s="36"/>
      <c r="R606" s="36"/>
      <c r="S606" s="36"/>
    </row>
    <row r="607">
      <c r="B607" s="36"/>
      <c r="C607" s="36"/>
      <c r="D607" s="36"/>
      <c r="G607" s="36"/>
      <c r="H607" s="36"/>
      <c r="I607" s="36"/>
      <c r="M607" s="36"/>
      <c r="N607" s="36"/>
      <c r="O607" s="36"/>
      <c r="Q607" s="36"/>
      <c r="R607" s="36"/>
      <c r="S607" s="36"/>
    </row>
    <row r="608">
      <c r="B608" s="36"/>
      <c r="C608" s="36"/>
      <c r="D608" s="36"/>
      <c r="G608" s="36"/>
      <c r="H608" s="36"/>
      <c r="I608" s="36"/>
      <c r="M608" s="36"/>
      <c r="N608" s="36"/>
      <c r="O608" s="36"/>
      <c r="Q608" s="36"/>
      <c r="R608" s="36"/>
      <c r="S608" s="36"/>
    </row>
    <row r="609">
      <c r="B609" s="36"/>
      <c r="C609" s="36"/>
      <c r="D609" s="36"/>
      <c r="G609" s="36"/>
      <c r="H609" s="36"/>
      <c r="I609" s="36"/>
      <c r="M609" s="36"/>
      <c r="N609" s="36"/>
      <c r="O609" s="36"/>
      <c r="Q609" s="36"/>
      <c r="R609" s="36"/>
      <c r="S609" s="36"/>
    </row>
    <row r="610">
      <c r="B610" s="36"/>
      <c r="C610" s="36"/>
      <c r="D610" s="36"/>
      <c r="G610" s="36"/>
      <c r="H610" s="36"/>
      <c r="I610" s="36"/>
      <c r="M610" s="36"/>
      <c r="N610" s="36"/>
      <c r="O610" s="36"/>
      <c r="Q610" s="36"/>
      <c r="R610" s="36"/>
      <c r="S610" s="36"/>
    </row>
    <row r="611">
      <c r="B611" s="36"/>
      <c r="C611" s="36"/>
      <c r="D611" s="36"/>
      <c r="G611" s="36"/>
      <c r="H611" s="36"/>
      <c r="I611" s="36"/>
      <c r="M611" s="36"/>
      <c r="N611" s="36"/>
      <c r="O611" s="36"/>
      <c r="Q611" s="36"/>
      <c r="R611" s="36"/>
      <c r="S611" s="36"/>
    </row>
    <row r="612">
      <c r="B612" s="36"/>
      <c r="C612" s="36"/>
      <c r="D612" s="36"/>
      <c r="G612" s="36"/>
      <c r="H612" s="36"/>
      <c r="I612" s="36"/>
      <c r="M612" s="36"/>
      <c r="N612" s="36"/>
      <c r="O612" s="36"/>
      <c r="Q612" s="36"/>
      <c r="R612" s="36"/>
      <c r="S612" s="36"/>
    </row>
    <row r="613">
      <c r="B613" s="36"/>
      <c r="C613" s="36"/>
      <c r="D613" s="36"/>
      <c r="G613" s="36"/>
      <c r="H613" s="36"/>
      <c r="I613" s="36"/>
      <c r="M613" s="36"/>
      <c r="N613" s="36"/>
      <c r="O613" s="36"/>
      <c r="Q613" s="36"/>
      <c r="R613" s="36"/>
      <c r="S613" s="36"/>
    </row>
    <row r="614">
      <c r="B614" s="36"/>
      <c r="C614" s="36"/>
      <c r="D614" s="36"/>
      <c r="G614" s="36"/>
      <c r="H614" s="36"/>
      <c r="I614" s="36"/>
      <c r="M614" s="36"/>
      <c r="N614" s="36"/>
      <c r="O614" s="36"/>
      <c r="Q614" s="36"/>
      <c r="R614" s="36"/>
      <c r="S614" s="36"/>
    </row>
    <row r="615">
      <c r="B615" s="36"/>
      <c r="C615" s="36"/>
      <c r="D615" s="36"/>
      <c r="G615" s="36"/>
      <c r="H615" s="36"/>
      <c r="I615" s="36"/>
      <c r="M615" s="36"/>
      <c r="N615" s="36"/>
      <c r="O615" s="36"/>
      <c r="Q615" s="36"/>
      <c r="R615" s="36"/>
      <c r="S615" s="36"/>
    </row>
    <row r="616">
      <c r="B616" s="36"/>
      <c r="C616" s="36"/>
      <c r="D616" s="36"/>
      <c r="G616" s="36"/>
      <c r="H616" s="36"/>
      <c r="I616" s="36"/>
      <c r="M616" s="36"/>
      <c r="N616" s="36"/>
      <c r="O616" s="36"/>
      <c r="Q616" s="36"/>
      <c r="R616" s="36"/>
      <c r="S616" s="36"/>
    </row>
    <row r="617">
      <c r="B617" s="36"/>
      <c r="C617" s="36"/>
      <c r="D617" s="36"/>
      <c r="G617" s="36"/>
      <c r="H617" s="36"/>
      <c r="I617" s="36"/>
      <c r="M617" s="36"/>
      <c r="N617" s="36"/>
      <c r="O617" s="36"/>
      <c r="Q617" s="36"/>
      <c r="R617" s="36"/>
      <c r="S617" s="36"/>
    </row>
    <row r="618">
      <c r="B618" s="36"/>
      <c r="C618" s="36"/>
      <c r="D618" s="36"/>
      <c r="G618" s="36"/>
      <c r="H618" s="36"/>
      <c r="I618" s="36"/>
      <c r="M618" s="36"/>
      <c r="N618" s="36"/>
      <c r="O618" s="36"/>
      <c r="Q618" s="36"/>
      <c r="R618" s="36"/>
      <c r="S618" s="36"/>
    </row>
    <row r="619">
      <c r="B619" s="36"/>
      <c r="C619" s="36"/>
      <c r="D619" s="36"/>
      <c r="G619" s="36"/>
      <c r="H619" s="36"/>
      <c r="I619" s="36"/>
      <c r="M619" s="36"/>
      <c r="N619" s="36"/>
      <c r="O619" s="36"/>
      <c r="Q619" s="36"/>
      <c r="R619" s="36"/>
      <c r="S619" s="36"/>
    </row>
    <row r="620">
      <c r="B620" s="36"/>
      <c r="C620" s="36"/>
      <c r="D620" s="36"/>
      <c r="G620" s="36"/>
      <c r="H620" s="36"/>
      <c r="I620" s="36"/>
      <c r="M620" s="36"/>
      <c r="N620" s="36"/>
      <c r="O620" s="36"/>
      <c r="Q620" s="36"/>
      <c r="R620" s="36"/>
      <c r="S620" s="36"/>
    </row>
    <row r="621">
      <c r="B621" s="36"/>
      <c r="C621" s="36"/>
      <c r="D621" s="36"/>
      <c r="G621" s="36"/>
      <c r="H621" s="36"/>
      <c r="I621" s="36"/>
      <c r="M621" s="36"/>
      <c r="N621" s="36"/>
      <c r="O621" s="36"/>
      <c r="Q621" s="36"/>
      <c r="R621" s="36"/>
      <c r="S621" s="36"/>
    </row>
    <row r="622">
      <c r="B622" s="36"/>
      <c r="C622" s="36"/>
      <c r="D622" s="36"/>
      <c r="G622" s="36"/>
      <c r="H622" s="36"/>
      <c r="I622" s="36"/>
      <c r="M622" s="36"/>
      <c r="N622" s="36"/>
      <c r="O622" s="36"/>
      <c r="Q622" s="36"/>
      <c r="R622" s="36"/>
      <c r="S622" s="36"/>
    </row>
    <row r="623">
      <c r="B623" s="36"/>
      <c r="C623" s="36"/>
      <c r="D623" s="36"/>
      <c r="G623" s="36"/>
      <c r="H623" s="36"/>
      <c r="I623" s="36"/>
      <c r="M623" s="36"/>
      <c r="N623" s="36"/>
      <c r="O623" s="36"/>
      <c r="Q623" s="36"/>
      <c r="R623" s="36"/>
      <c r="S623" s="36"/>
    </row>
    <row r="624">
      <c r="B624" s="36"/>
      <c r="C624" s="36"/>
      <c r="D624" s="36"/>
      <c r="G624" s="36"/>
      <c r="H624" s="36"/>
      <c r="I624" s="36"/>
      <c r="M624" s="36"/>
      <c r="N624" s="36"/>
      <c r="O624" s="36"/>
      <c r="Q624" s="36"/>
      <c r="R624" s="36"/>
      <c r="S624" s="36"/>
    </row>
    <row r="625">
      <c r="B625" s="36"/>
      <c r="C625" s="36"/>
      <c r="D625" s="36"/>
      <c r="G625" s="36"/>
      <c r="H625" s="36"/>
      <c r="I625" s="36"/>
      <c r="M625" s="36"/>
      <c r="N625" s="36"/>
      <c r="O625" s="36"/>
      <c r="Q625" s="36"/>
      <c r="R625" s="36"/>
      <c r="S625" s="36"/>
    </row>
    <row r="626">
      <c r="B626" s="36"/>
      <c r="C626" s="36"/>
      <c r="D626" s="36"/>
      <c r="G626" s="36"/>
      <c r="H626" s="36"/>
      <c r="I626" s="36"/>
      <c r="M626" s="36"/>
      <c r="N626" s="36"/>
      <c r="O626" s="36"/>
      <c r="Q626" s="36"/>
      <c r="R626" s="36"/>
      <c r="S626" s="36"/>
    </row>
    <row r="627">
      <c r="B627" s="36"/>
      <c r="C627" s="36"/>
      <c r="D627" s="36"/>
      <c r="G627" s="36"/>
      <c r="H627" s="36"/>
      <c r="I627" s="36"/>
      <c r="M627" s="36"/>
      <c r="N627" s="36"/>
      <c r="O627" s="36"/>
      <c r="Q627" s="36"/>
      <c r="R627" s="36"/>
      <c r="S627" s="36"/>
    </row>
    <row r="628">
      <c r="B628" s="36"/>
      <c r="C628" s="36"/>
      <c r="D628" s="36"/>
      <c r="G628" s="36"/>
      <c r="H628" s="36"/>
      <c r="I628" s="36"/>
      <c r="M628" s="36"/>
      <c r="N628" s="36"/>
      <c r="O628" s="36"/>
      <c r="Q628" s="36"/>
      <c r="R628" s="36"/>
      <c r="S628" s="36"/>
    </row>
    <row r="629">
      <c r="B629" s="36"/>
      <c r="C629" s="36"/>
      <c r="D629" s="36"/>
      <c r="G629" s="36"/>
      <c r="H629" s="36"/>
      <c r="I629" s="36"/>
      <c r="M629" s="36"/>
      <c r="N629" s="36"/>
      <c r="O629" s="36"/>
      <c r="Q629" s="36"/>
      <c r="R629" s="36"/>
      <c r="S629" s="36"/>
    </row>
    <row r="630">
      <c r="B630" s="36"/>
      <c r="C630" s="36"/>
      <c r="D630" s="36"/>
      <c r="G630" s="36"/>
      <c r="H630" s="36"/>
      <c r="I630" s="36"/>
      <c r="M630" s="36"/>
      <c r="N630" s="36"/>
      <c r="O630" s="36"/>
      <c r="Q630" s="36"/>
      <c r="R630" s="36"/>
      <c r="S630" s="36"/>
    </row>
    <row r="631">
      <c r="B631" s="36"/>
      <c r="C631" s="36"/>
      <c r="D631" s="36"/>
      <c r="G631" s="36"/>
      <c r="H631" s="36"/>
      <c r="I631" s="36"/>
      <c r="M631" s="36"/>
      <c r="N631" s="36"/>
      <c r="O631" s="36"/>
      <c r="Q631" s="36"/>
      <c r="R631" s="36"/>
      <c r="S631" s="36"/>
    </row>
    <row r="632">
      <c r="B632" s="36"/>
      <c r="C632" s="36"/>
      <c r="D632" s="36"/>
      <c r="G632" s="36"/>
      <c r="H632" s="36"/>
      <c r="I632" s="36"/>
      <c r="M632" s="36"/>
      <c r="N632" s="36"/>
      <c r="O632" s="36"/>
      <c r="Q632" s="36"/>
      <c r="R632" s="36"/>
      <c r="S632" s="36"/>
    </row>
    <row r="633">
      <c r="B633" s="36"/>
      <c r="C633" s="36"/>
      <c r="D633" s="36"/>
      <c r="G633" s="36"/>
      <c r="H633" s="36"/>
      <c r="I633" s="36"/>
      <c r="M633" s="36"/>
      <c r="N633" s="36"/>
      <c r="O633" s="36"/>
      <c r="Q633" s="36"/>
      <c r="R633" s="36"/>
      <c r="S633" s="36"/>
    </row>
    <row r="634">
      <c r="B634" s="36"/>
      <c r="C634" s="36"/>
      <c r="D634" s="36"/>
      <c r="G634" s="36"/>
      <c r="H634" s="36"/>
      <c r="I634" s="36"/>
      <c r="M634" s="36"/>
      <c r="N634" s="36"/>
      <c r="O634" s="36"/>
      <c r="Q634" s="36"/>
      <c r="R634" s="36"/>
      <c r="S634" s="36"/>
    </row>
    <row r="635">
      <c r="B635" s="36"/>
      <c r="C635" s="36"/>
      <c r="D635" s="36"/>
      <c r="G635" s="36"/>
      <c r="H635" s="36"/>
      <c r="I635" s="36"/>
      <c r="M635" s="36"/>
      <c r="N635" s="36"/>
      <c r="O635" s="36"/>
      <c r="Q635" s="36"/>
      <c r="R635" s="36"/>
      <c r="S635" s="36"/>
    </row>
    <row r="636">
      <c r="B636" s="36"/>
      <c r="C636" s="36"/>
      <c r="D636" s="36"/>
      <c r="G636" s="36"/>
      <c r="H636" s="36"/>
      <c r="I636" s="36"/>
      <c r="M636" s="36"/>
      <c r="N636" s="36"/>
      <c r="O636" s="36"/>
      <c r="Q636" s="36"/>
      <c r="R636" s="36"/>
      <c r="S636" s="36"/>
    </row>
    <row r="637">
      <c r="B637" s="36"/>
      <c r="C637" s="36"/>
      <c r="D637" s="36"/>
      <c r="G637" s="36"/>
      <c r="H637" s="36"/>
      <c r="I637" s="36"/>
      <c r="M637" s="36"/>
      <c r="N637" s="36"/>
      <c r="O637" s="36"/>
      <c r="Q637" s="36"/>
      <c r="R637" s="36"/>
      <c r="S637" s="36"/>
    </row>
    <row r="638">
      <c r="B638" s="36"/>
      <c r="C638" s="36"/>
      <c r="D638" s="36"/>
      <c r="G638" s="36"/>
      <c r="H638" s="36"/>
      <c r="I638" s="36"/>
      <c r="M638" s="36"/>
      <c r="N638" s="36"/>
      <c r="O638" s="36"/>
      <c r="Q638" s="36"/>
      <c r="R638" s="36"/>
      <c r="S638" s="36"/>
    </row>
    <row r="639">
      <c r="B639" s="36"/>
      <c r="C639" s="36"/>
      <c r="D639" s="36"/>
      <c r="G639" s="36"/>
      <c r="H639" s="36"/>
      <c r="I639" s="36"/>
      <c r="M639" s="36"/>
      <c r="N639" s="36"/>
      <c r="O639" s="36"/>
      <c r="Q639" s="36"/>
      <c r="R639" s="36"/>
      <c r="S639" s="36"/>
    </row>
    <row r="640">
      <c r="B640" s="36"/>
      <c r="C640" s="36"/>
      <c r="D640" s="36"/>
      <c r="G640" s="36"/>
      <c r="H640" s="36"/>
      <c r="I640" s="36"/>
      <c r="M640" s="36"/>
      <c r="N640" s="36"/>
      <c r="O640" s="36"/>
      <c r="Q640" s="36"/>
      <c r="R640" s="36"/>
      <c r="S640" s="36"/>
    </row>
    <row r="641">
      <c r="B641" s="36"/>
      <c r="C641" s="36"/>
      <c r="D641" s="36"/>
      <c r="G641" s="36"/>
      <c r="H641" s="36"/>
      <c r="I641" s="36"/>
      <c r="M641" s="36"/>
      <c r="N641" s="36"/>
      <c r="O641" s="36"/>
      <c r="Q641" s="36"/>
      <c r="R641" s="36"/>
      <c r="S641" s="36"/>
    </row>
    <row r="642">
      <c r="B642" s="36"/>
      <c r="C642" s="36"/>
      <c r="D642" s="36"/>
      <c r="G642" s="36"/>
      <c r="H642" s="36"/>
      <c r="I642" s="36"/>
      <c r="M642" s="36"/>
      <c r="N642" s="36"/>
      <c r="O642" s="36"/>
      <c r="Q642" s="36"/>
      <c r="R642" s="36"/>
      <c r="S642" s="36"/>
    </row>
    <row r="643">
      <c r="B643" s="36"/>
      <c r="C643" s="36"/>
      <c r="D643" s="36"/>
      <c r="G643" s="36"/>
      <c r="H643" s="36"/>
      <c r="I643" s="36"/>
      <c r="M643" s="36"/>
      <c r="N643" s="36"/>
      <c r="O643" s="36"/>
      <c r="Q643" s="36"/>
      <c r="R643" s="36"/>
      <c r="S643" s="36"/>
    </row>
    <row r="644">
      <c r="B644" s="36"/>
      <c r="C644" s="36"/>
      <c r="D644" s="36"/>
      <c r="G644" s="36"/>
      <c r="H644" s="36"/>
      <c r="I644" s="36"/>
      <c r="M644" s="36"/>
      <c r="N644" s="36"/>
      <c r="O644" s="36"/>
      <c r="Q644" s="36"/>
      <c r="R644" s="36"/>
      <c r="S644" s="36"/>
    </row>
    <row r="645">
      <c r="B645" s="36"/>
      <c r="C645" s="36"/>
      <c r="D645" s="36"/>
      <c r="G645" s="36"/>
      <c r="H645" s="36"/>
      <c r="I645" s="36"/>
      <c r="M645" s="36"/>
      <c r="N645" s="36"/>
      <c r="O645" s="36"/>
      <c r="Q645" s="36"/>
      <c r="R645" s="36"/>
      <c r="S645" s="36"/>
    </row>
    <row r="646">
      <c r="B646" s="36"/>
      <c r="C646" s="36"/>
      <c r="D646" s="36"/>
      <c r="G646" s="36"/>
      <c r="H646" s="36"/>
      <c r="I646" s="36"/>
      <c r="M646" s="36"/>
      <c r="N646" s="36"/>
      <c r="O646" s="36"/>
      <c r="Q646" s="36"/>
      <c r="R646" s="36"/>
      <c r="S646" s="36"/>
    </row>
    <row r="647">
      <c r="B647" s="36"/>
      <c r="C647" s="36"/>
      <c r="D647" s="36"/>
      <c r="G647" s="36"/>
      <c r="H647" s="36"/>
      <c r="I647" s="36"/>
      <c r="M647" s="36"/>
      <c r="N647" s="36"/>
      <c r="O647" s="36"/>
      <c r="Q647" s="36"/>
      <c r="R647" s="36"/>
      <c r="S647" s="36"/>
    </row>
    <row r="648">
      <c r="B648" s="36"/>
      <c r="C648" s="36"/>
      <c r="D648" s="36"/>
      <c r="G648" s="36"/>
      <c r="H648" s="36"/>
      <c r="I648" s="36"/>
      <c r="M648" s="36"/>
      <c r="N648" s="36"/>
      <c r="O648" s="36"/>
      <c r="Q648" s="36"/>
      <c r="R648" s="36"/>
      <c r="S648" s="36"/>
    </row>
    <row r="649">
      <c r="B649" s="36"/>
      <c r="C649" s="36"/>
      <c r="D649" s="36"/>
      <c r="G649" s="36"/>
      <c r="H649" s="36"/>
      <c r="I649" s="36"/>
      <c r="M649" s="36"/>
      <c r="N649" s="36"/>
      <c r="O649" s="36"/>
      <c r="Q649" s="36"/>
      <c r="R649" s="36"/>
      <c r="S649" s="36"/>
    </row>
    <row r="650">
      <c r="B650" s="36"/>
      <c r="C650" s="36"/>
      <c r="D650" s="36"/>
      <c r="G650" s="36"/>
      <c r="H650" s="36"/>
      <c r="I650" s="36"/>
      <c r="M650" s="36"/>
      <c r="N650" s="36"/>
      <c r="O650" s="36"/>
      <c r="Q650" s="36"/>
      <c r="R650" s="36"/>
      <c r="S650" s="36"/>
    </row>
    <row r="651">
      <c r="B651" s="36"/>
      <c r="C651" s="36"/>
      <c r="D651" s="36"/>
      <c r="G651" s="36"/>
      <c r="H651" s="36"/>
      <c r="I651" s="36"/>
      <c r="M651" s="36"/>
      <c r="N651" s="36"/>
      <c r="O651" s="36"/>
      <c r="Q651" s="36"/>
      <c r="R651" s="36"/>
      <c r="S651" s="36"/>
    </row>
    <row r="652">
      <c r="B652" s="36"/>
      <c r="C652" s="36"/>
      <c r="D652" s="36"/>
      <c r="G652" s="36"/>
      <c r="H652" s="36"/>
      <c r="I652" s="36"/>
      <c r="M652" s="36"/>
      <c r="N652" s="36"/>
      <c r="O652" s="36"/>
      <c r="Q652" s="36"/>
      <c r="R652" s="36"/>
      <c r="S652" s="36"/>
    </row>
    <row r="653">
      <c r="B653" s="36"/>
      <c r="C653" s="36"/>
      <c r="D653" s="36"/>
      <c r="G653" s="36"/>
      <c r="H653" s="36"/>
      <c r="I653" s="36"/>
      <c r="M653" s="36"/>
      <c r="N653" s="36"/>
      <c r="O653" s="36"/>
      <c r="Q653" s="36"/>
      <c r="R653" s="36"/>
      <c r="S653" s="36"/>
    </row>
    <row r="654">
      <c r="B654" s="36"/>
      <c r="C654" s="36"/>
      <c r="D654" s="36"/>
      <c r="G654" s="36"/>
      <c r="H654" s="36"/>
      <c r="I654" s="36"/>
      <c r="M654" s="36"/>
      <c r="N654" s="36"/>
      <c r="O654" s="36"/>
      <c r="Q654" s="36"/>
      <c r="R654" s="36"/>
      <c r="S654" s="36"/>
    </row>
    <row r="655">
      <c r="B655" s="36"/>
      <c r="C655" s="36"/>
      <c r="D655" s="36"/>
      <c r="G655" s="36"/>
      <c r="H655" s="36"/>
      <c r="I655" s="36"/>
      <c r="M655" s="36"/>
      <c r="N655" s="36"/>
      <c r="O655" s="36"/>
      <c r="Q655" s="36"/>
      <c r="R655" s="36"/>
      <c r="S655" s="36"/>
    </row>
    <row r="656">
      <c r="B656" s="36"/>
      <c r="C656" s="36"/>
      <c r="D656" s="36"/>
      <c r="G656" s="36"/>
      <c r="H656" s="36"/>
      <c r="I656" s="36"/>
      <c r="M656" s="36"/>
      <c r="N656" s="36"/>
      <c r="O656" s="36"/>
      <c r="Q656" s="36"/>
      <c r="R656" s="36"/>
      <c r="S656" s="36"/>
    </row>
    <row r="657">
      <c r="B657" s="36"/>
      <c r="C657" s="36"/>
      <c r="D657" s="36"/>
      <c r="G657" s="36"/>
      <c r="H657" s="36"/>
      <c r="I657" s="36"/>
      <c r="M657" s="36"/>
      <c r="N657" s="36"/>
      <c r="O657" s="36"/>
      <c r="Q657" s="36"/>
      <c r="R657" s="36"/>
      <c r="S657" s="36"/>
    </row>
    <row r="658">
      <c r="B658" s="36"/>
      <c r="C658" s="36"/>
      <c r="D658" s="36"/>
      <c r="G658" s="36"/>
      <c r="H658" s="36"/>
      <c r="I658" s="36"/>
      <c r="M658" s="36"/>
      <c r="N658" s="36"/>
      <c r="O658" s="36"/>
      <c r="Q658" s="36"/>
      <c r="R658" s="36"/>
      <c r="S658" s="36"/>
    </row>
    <row r="659">
      <c r="B659" s="36"/>
      <c r="C659" s="36"/>
      <c r="D659" s="36"/>
      <c r="G659" s="36"/>
      <c r="H659" s="36"/>
      <c r="I659" s="36"/>
      <c r="M659" s="36"/>
      <c r="N659" s="36"/>
      <c r="O659" s="36"/>
      <c r="Q659" s="36"/>
      <c r="R659" s="36"/>
      <c r="S659" s="36"/>
    </row>
    <row r="660">
      <c r="B660" s="36"/>
      <c r="C660" s="36"/>
      <c r="D660" s="36"/>
      <c r="G660" s="36"/>
      <c r="H660" s="36"/>
      <c r="I660" s="36"/>
      <c r="M660" s="36"/>
      <c r="N660" s="36"/>
      <c r="O660" s="36"/>
      <c r="Q660" s="36"/>
      <c r="R660" s="36"/>
      <c r="S660" s="36"/>
    </row>
    <row r="661">
      <c r="B661" s="36"/>
      <c r="C661" s="36"/>
      <c r="D661" s="36"/>
      <c r="G661" s="36"/>
      <c r="H661" s="36"/>
      <c r="I661" s="36"/>
      <c r="M661" s="36"/>
      <c r="N661" s="36"/>
      <c r="O661" s="36"/>
      <c r="Q661" s="36"/>
      <c r="R661" s="36"/>
      <c r="S661" s="36"/>
    </row>
    <row r="662">
      <c r="B662" s="36"/>
      <c r="C662" s="36"/>
      <c r="D662" s="36"/>
      <c r="G662" s="36"/>
      <c r="H662" s="36"/>
      <c r="I662" s="36"/>
      <c r="M662" s="36"/>
      <c r="N662" s="36"/>
      <c r="O662" s="36"/>
      <c r="Q662" s="36"/>
      <c r="R662" s="36"/>
      <c r="S662" s="36"/>
    </row>
    <row r="663">
      <c r="B663" s="36"/>
      <c r="C663" s="36"/>
      <c r="D663" s="36"/>
      <c r="G663" s="36"/>
      <c r="H663" s="36"/>
      <c r="I663" s="36"/>
      <c r="M663" s="36"/>
      <c r="N663" s="36"/>
      <c r="O663" s="36"/>
      <c r="Q663" s="36"/>
      <c r="R663" s="36"/>
      <c r="S663" s="36"/>
    </row>
    <row r="664">
      <c r="B664" s="36"/>
      <c r="C664" s="36"/>
      <c r="D664" s="36"/>
      <c r="G664" s="36"/>
      <c r="H664" s="36"/>
      <c r="I664" s="36"/>
      <c r="M664" s="36"/>
      <c r="N664" s="36"/>
      <c r="O664" s="36"/>
      <c r="Q664" s="36"/>
      <c r="R664" s="36"/>
      <c r="S664" s="36"/>
    </row>
    <row r="665">
      <c r="B665" s="36"/>
      <c r="C665" s="36"/>
      <c r="D665" s="36"/>
      <c r="G665" s="36"/>
      <c r="H665" s="36"/>
      <c r="I665" s="36"/>
      <c r="M665" s="36"/>
      <c r="N665" s="36"/>
      <c r="O665" s="36"/>
      <c r="Q665" s="36"/>
      <c r="R665" s="36"/>
      <c r="S665" s="36"/>
    </row>
    <row r="666">
      <c r="B666" s="36"/>
      <c r="C666" s="36"/>
      <c r="D666" s="36"/>
      <c r="G666" s="36"/>
      <c r="H666" s="36"/>
      <c r="I666" s="36"/>
      <c r="M666" s="36"/>
      <c r="N666" s="36"/>
      <c r="O666" s="36"/>
      <c r="Q666" s="36"/>
      <c r="R666" s="36"/>
      <c r="S666" s="36"/>
    </row>
    <row r="667">
      <c r="B667" s="36"/>
      <c r="C667" s="36"/>
      <c r="D667" s="36"/>
      <c r="G667" s="36"/>
      <c r="H667" s="36"/>
      <c r="I667" s="36"/>
      <c r="M667" s="36"/>
      <c r="N667" s="36"/>
      <c r="O667" s="36"/>
      <c r="Q667" s="36"/>
      <c r="R667" s="36"/>
      <c r="S667" s="36"/>
    </row>
    <row r="668">
      <c r="B668" s="36"/>
      <c r="C668" s="36"/>
      <c r="D668" s="36"/>
      <c r="G668" s="36"/>
      <c r="H668" s="36"/>
      <c r="I668" s="36"/>
      <c r="M668" s="36"/>
      <c r="N668" s="36"/>
      <c r="O668" s="36"/>
      <c r="Q668" s="36"/>
      <c r="R668" s="36"/>
      <c r="S668" s="36"/>
    </row>
    <row r="669">
      <c r="B669" s="36"/>
      <c r="C669" s="36"/>
      <c r="D669" s="36"/>
      <c r="G669" s="36"/>
      <c r="H669" s="36"/>
      <c r="I669" s="36"/>
      <c r="M669" s="36"/>
      <c r="N669" s="36"/>
      <c r="O669" s="36"/>
      <c r="Q669" s="36"/>
      <c r="R669" s="36"/>
      <c r="S669" s="36"/>
    </row>
    <row r="670">
      <c r="B670" s="36"/>
      <c r="C670" s="36"/>
      <c r="D670" s="36"/>
      <c r="G670" s="36"/>
      <c r="H670" s="36"/>
      <c r="I670" s="36"/>
      <c r="M670" s="36"/>
      <c r="N670" s="36"/>
      <c r="O670" s="36"/>
      <c r="Q670" s="36"/>
      <c r="R670" s="36"/>
      <c r="S670" s="36"/>
    </row>
    <row r="671">
      <c r="B671" s="36"/>
      <c r="C671" s="36"/>
      <c r="D671" s="36"/>
      <c r="G671" s="36"/>
      <c r="H671" s="36"/>
      <c r="I671" s="36"/>
      <c r="M671" s="36"/>
      <c r="N671" s="36"/>
      <c r="O671" s="36"/>
      <c r="Q671" s="36"/>
      <c r="R671" s="36"/>
      <c r="S671" s="36"/>
    </row>
    <row r="672">
      <c r="B672" s="36"/>
      <c r="C672" s="36"/>
      <c r="D672" s="36"/>
      <c r="G672" s="36"/>
      <c r="H672" s="36"/>
      <c r="I672" s="36"/>
      <c r="M672" s="36"/>
      <c r="N672" s="36"/>
      <c r="O672" s="36"/>
      <c r="Q672" s="36"/>
      <c r="R672" s="36"/>
      <c r="S672" s="36"/>
    </row>
    <row r="673">
      <c r="B673" s="36"/>
      <c r="C673" s="36"/>
      <c r="D673" s="36"/>
      <c r="G673" s="36"/>
      <c r="H673" s="36"/>
      <c r="I673" s="36"/>
      <c r="M673" s="36"/>
      <c r="N673" s="36"/>
      <c r="O673" s="36"/>
      <c r="Q673" s="36"/>
      <c r="R673" s="36"/>
      <c r="S673" s="36"/>
    </row>
    <row r="674">
      <c r="B674" s="36"/>
      <c r="C674" s="36"/>
      <c r="D674" s="36"/>
      <c r="G674" s="36"/>
      <c r="H674" s="36"/>
      <c r="I674" s="36"/>
      <c r="M674" s="36"/>
      <c r="N674" s="36"/>
      <c r="O674" s="36"/>
      <c r="Q674" s="36"/>
      <c r="R674" s="36"/>
      <c r="S674" s="36"/>
    </row>
    <row r="675">
      <c r="B675" s="36"/>
      <c r="C675" s="36"/>
      <c r="D675" s="36"/>
      <c r="G675" s="36"/>
      <c r="H675" s="36"/>
      <c r="I675" s="36"/>
      <c r="M675" s="36"/>
      <c r="N675" s="36"/>
      <c r="O675" s="36"/>
      <c r="Q675" s="36"/>
      <c r="R675" s="36"/>
      <c r="S675" s="36"/>
    </row>
    <row r="676">
      <c r="B676" s="36"/>
      <c r="C676" s="36"/>
      <c r="D676" s="36"/>
      <c r="G676" s="36"/>
      <c r="H676" s="36"/>
      <c r="I676" s="36"/>
      <c r="M676" s="36"/>
      <c r="N676" s="36"/>
      <c r="O676" s="36"/>
      <c r="Q676" s="36"/>
      <c r="R676" s="36"/>
      <c r="S676" s="36"/>
    </row>
    <row r="677">
      <c r="B677" s="36"/>
      <c r="C677" s="36"/>
      <c r="D677" s="36"/>
      <c r="G677" s="36"/>
      <c r="H677" s="36"/>
      <c r="I677" s="36"/>
      <c r="M677" s="36"/>
      <c r="N677" s="36"/>
      <c r="O677" s="36"/>
      <c r="Q677" s="36"/>
      <c r="R677" s="36"/>
      <c r="S677" s="36"/>
    </row>
    <row r="678">
      <c r="B678" s="36"/>
      <c r="C678" s="36"/>
      <c r="D678" s="36"/>
      <c r="G678" s="36"/>
      <c r="H678" s="36"/>
      <c r="I678" s="36"/>
      <c r="M678" s="36"/>
      <c r="N678" s="36"/>
      <c r="O678" s="36"/>
      <c r="Q678" s="36"/>
      <c r="R678" s="36"/>
      <c r="S678" s="36"/>
    </row>
    <row r="679">
      <c r="B679" s="36"/>
      <c r="C679" s="36"/>
      <c r="D679" s="36"/>
      <c r="G679" s="36"/>
      <c r="H679" s="36"/>
      <c r="I679" s="36"/>
      <c r="M679" s="36"/>
      <c r="N679" s="36"/>
      <c r="O679" s="36"/>
      <c r="Q679" s="36"/>
      <c r="R679" s="36"/>
      <c r="S679" s="36"/>
    </row>
    <row r="680">
      <c r="B680" s="36"/>
      <c r="C680" s="36"/>
      <c r="D680" s="36"/>
      <c r="G680" s="36"/>
      <c r="H680" s="36"/>
      <c r="I680" s="36"/>
      <c r="M680" s="36"/>
      <c r="N680" s="36"/>
      <c r="O680" s="36"/>
      <c r="Q680" s="36"/>
      <c r="R680" s="36"/>
      <c r="S680" s="36"/>
    </row>
    <row r="681">
      <c r="B681" s="36"/>
      <c r="C681" s="36"/>
      <c r="D681" s="36"/>
      <c r="G681" s="36"/>
      <c r="H681" s="36"/>
      <c r="I681" s="36"/>
      <c r="M681" s="36"/>
      <c r="N681" s="36"/>
      <c r="O681" s="36"/>
      <c r="Q681" s="36"/>
      <c r="R681" s="36"/>
      <c r="S681" s="36"/>
    </row>
    <row r="682">
      <c r="B682" s="36"/>
      <c r="C682" s="36"/>
      <c r="D682" s="36"/>
      <c r="G682" s="36"/>
      <c r="H682" s="36"/>
      <c r="I682" s="36"/>
      <c r="M682" s="36"/>
      <c r="N682" s="36"/>
      <c r="O682" s="36"/>
      <c r="Q682" s="36"/>
      <c r="R682" s="36"/>
      <c r="S682" s="36"/>
    </row>
    <row r="683">
      <c r="B683" s="36"/>
      <c r="C683" s="36"/>
      <c r="D683" s="36"/>
      <c r="G683" s="36"/>
      <c r="H683" s="36"/>
      <c r="I683" s="36"/>
      <c r="M683" s="36"/>
      <c r="N683" s="36"/>
      <c r="O683" s="36"/>
      <c r="Q683" s="36"/>
      <c r="R683" s="36"/>
      <c r="S683" s="36"/>
    </row>
    <row r="684">
      <c r="B684" s="36"/>
      <c r="C684" s="36"/>
      <c r="D684" s="36"/>
      <c r="G684" s="36"/>
      <c r="H684" s="36"/>
      <c r="I684" s="36"/>
      <c r="M684" s="36"/>
      <c r="N684" s="36"/>
      <c r="O684" s="36"/>
      <c r="Q684" s="36"/>
      <c r="R684" s="36"/>
      <c r="S684" s="36"/>
    </row>
    <row r="685">
      <c r="B685" s="36"/>
      <c r="C685" s="36"/>
      <c r="D685" s="36"/>
      <c r="G685" s="36"/>
      <c r="H685" s="36"/>
      <c r="I685" s="36"/>
      <c r="M685" s="36"/>
      <c r="N685" s="36"/>
      <c r="O685" s="36"/>
      <c r="Q685" s="36"/>
      <c r="R685" s="36"/>
      <c r="S685" s="36"/>
    </row>
    <row r="686">
      <c r="B686" s="36"/>
      <c r="C686" s="36"/>
      <c r="D686" s="36"/>
      <c r="G686" s="36"/>
      <c r="H686" s="36"/>
      <c r="I686" s="36"/>
      <c r="M686" s="36"/>
      <c r="N686" s="36"/>
      <c r="O686" s="36"/>
      <c r="Q686" s="36"/>
      <c r="R686" s="36"/>
      <c r="S686" s="36"/>
    </row>
    <row r="687">
      <c r="B687" s="36"/>
      <c r="C687" s="36"/>
      <c r="D687" s="36"/>
      <c r="G687" s="36"/>
      <c r="H687" s="36"/>
      <c r="I687" s="36"/>
      <c r="M687" s="36"/>
      <c r="N687" s="36"/>
      <c r="O687" s="36"/>
      <c r="Q687" s="36"/>
      <c r="R687" s="36"/>
      <c r="S687" s="36"/>
    </row>
    <row r="688">
      <c r="B688" s="36"/>
      <c r="C688" s="36"/>
      <c r="D688" s="36"/>
      <c r="G688" s="36"/>
      <c r="H688" s="36"/>
      <c r="I688" s="36"/>
      <c r="M688" s="36"/>
      <c r="N688" s="36"/>
      <c r="O688" s="36"/>
      <c r="Q688" s="36"/>
      <c r="R688" s="36"/>
      <c r="S688" s="36"/>
    </row>
    <row r="689">
      <c r="B689" s="36"/>
      <c r="C689" s="36"/>
      <c r="D689" s="36"/>
      <c r="G689" s="36"/>
      <c r="H689" s="36"/>
      <c r="I689" s="36"/>
      <c r="M689" s="36"/>
      <c r="N689" s="36"/>
      <c r="O689" s="36"/>
      <c r="Q689" s="36"/>
      <c r="R689" s="36"/>
      <c r="S689" s="36"/>
    </row>
    <row r="690">
      <c r="B690" s="36"/>
      <c r="C690" s="36"/>
      <c r="D690" s="36"/>
      <c r="G690" s="36"/>
      <c r="H690" s="36"/>
      <c r="I690" s="36"/>
      <c r="M690" s="36"/>
      <c r="N690" s="36"/>
      <c r="O690" s="36"/>
      <c r="Q690" s="36"/>
      <c r="R690" s="36"/>
      <c r="S690" s="36"/>
    </row>
    <row r="691">
      <c r="B691" s="36"/>
      <c r="C691" s="36"/>
      <c r="D691" s="36"/>
      <c r="G691" s="36"/>
      <c r="H691" s="36"/>
      <c r="I691" s="36"/>
      <c r="M691" s="36"/>
      <c r="N691" s="36"/>
      <c r="O691" s="36"/>
      <c r="Q691" s="36"/>
      <c r="R691" s="36"/>
      <c r="S691" s="36"/>
    </row>
    <row r="692">
      <c r="B692" s="36"/>
      <c r="C692" s="36"/>
      <c r="D692" s="36"/>
      <c r="G692" s="36"/>
      <c r="H692" s="36"/>
      <c r="I692" s="36"/>
      <c r="M692" s="36"/>
      <c r="N692" s="36"/>
      <c r="O692" s="36"/>
      <c r="Q692" s="36"/>
      <c r="R692" s="36"/>
      <c r="S692" s="36"/>
    </row>
    <row r="693">
      <c r="B693" s="36"/>
      <c r="C693" s="36"/>
      <c r="D693" s="36"/>
      <c r="G693" s="36"/>
      <c r="H693" s="36"/>
      <c r="I693" s="36"/>
      <c r="M693" s="36"/>
      <c r="N693" s="36"/>
      <c r="O693" s="36"/>
      <c r="Q693" s="36"/>
      <c r="R693" s="36"/>
      <c r="S693" s="36"/>
    </row>
    <row r="694">
      <c r="B694" s="36"/>
      <c r="C694" s="36"/>
      <c r="D694" s="36"/>
      <c r="G694" s="36"/>
      <c r="H694" s="36"/>
      <c r="I694" s="36"/>
      <c r="M694" s="36"/>
      <c r="N694" s="36"/>
      <c r="O694" s="36"/>
      <c r="Q694" s="36"/>
      <c r="R694" s="36"/>
      <c r="S694" s="36"/>
    </row>
    <row r="695">
      <c r="B695" s="36"/>
      <c r="C695" s="36"/>
      <c r="D695" s="36"/>
      <c r="G695" s="36"/>
      <c r="H695" s="36"/>
      <c r="I695" s="36"/>
      <c r="M695" s="36"/>
      <c r="N695" s="36"/>
      <c r="O695" s="36"/>
      <c r="Q695" s="36"/>
      <c r="R695" s="36"/>
      <c r="S695" s="36"/>
    </row>
    <row r="696">
      <c r="B696" s="36"/>
      <c r="C696" s="36"/>
      <c r="D696" s="36"/>
      <c r="G696" s="36"/>
      <c r="H696" s="36"/>
      <c r="I696" s="36"/>
      <c r="M696" s="36"/>
      <c r="N696" s="36"/>
      <c r="O696" s="36"/>
      <c r="Q696" s="36"/>
      <c r="R696" s="36"/>
      <c r="S696" s="36"/>
    </row>
    <row r="697">
      <c r="B697" s="36"/>
      <c r="C697" s="36"/>
      <c r="D697" s="36"/>
      <c r="G697" s="36"/>
      <c r="H697" s="36"/>
      <c r="I697" s="36"/>
      <c r="M697" s="36"/>
      <c r="N697" s="36"/>
      <c r="O697" s="36"/>
      <c r="Q697" s="36"/>
      <c r="R697" s="36"/>
      <c r="S697" s="36"/>
    </row>
    <row r="698">
      <c r="B698" s="36"/>
      <c r="C698" s="36"/>
      <c r="D698" s="36"/>
      <c r="G698" s="36"/>
      <c r="H698" s="36"/>
      <c r="I698" s="36"/>
      <c r="M698" s="36"/>
      <c r="N698" s="36"/>
      <c r="O698" s="36"/>
      <c r="Q698" s="36"/>
      <c r="R698" s="36"/>
      <c r="S698" s="36"/>
    </row>
    <row r="699">
      <c r="B699" s="36"/>
      <c r="C699" s="36"/>
      <c r="D699" s="36"/>
      <c r="G699" s="36"/>
      <c r="H699" s="36"/>
      <c r="I699" s="36"/>
      <c r="M699" s="36"/>
      <c r="N699" s="36"/>
      <c r="O699" s="36"/>
      <c r="Q699" s="36"/>
      <c r="R699" s="36"/>
      <c r="S699" s="36"/>
    </row>
    <row r="700">
      <c r="B700" s="36"/>
      <c r="C700" s="36"/>
      <c r="D700" s="36"/>
      <c r="G700" s="36"/>
      <c r="H700" s="36"/>
      <c r="I700" s="36"/>
      <c r="M700" s="36"/>
      <c r="N700" s="36"/>
      <c r="O700" s="36"/>
      <c r="Q700" s="36"/>
      <c r="R700" s="36"/>
      <c r="S700" s="36"/>
    </row>
    <row r="701">
      <c r="B701" s="36"/>
      <c r="C701" s="36"/>
      <c r="D701" s="36"/>
      <c r="G701" s="36"/>
      <c r="H701" s="36"/>
      <c r="I701" s="36"/>
      <c r="M701" s="36"/>
      <c r="N701" s="36"/>
      <c r="O701" s="36"/>
      <c r="Q701" s="36"/>
      <c r="R701" s="36"/>
      <c r="S701" s="36"/>
    </row>
    <row r="702">
      <c r="B702" s="36"/>
      <c r="C702" s="36"/>
      <c r="D702" s="36"/>
      <c r="G702" s="36"/>
      <c r="H702" s="36"/>
      <c r="I702" s="36"/>
      <c r="M702" s="36"/>
      <c r="N702" s="36"/>
      <c r="O702" s="36"/>
      <c r="Q702" s="36"/>
      <c r="R702" s="36"/>
      <c r="S702" s="36"/>
    </row>
    <row r="703">
      <c r="B703" s="36"/>
      <c r="C703" s="36"/>
      <c r="D703" s="36"/>
      <c r="G703" s="36"/>
      <c r="H703" s="36"/>
      <c r="I703" s="36"/>
      <c r="M703" s="36"/>
      <c r="N703" s="36"/>
      <c r="O703" s="36"/>
      <c r="Q703" s="36"/>
      <c r="R703" s="36"/>
      <c r="S703" s="36"/>
    </row>
    <row r="704">
      <c r="B704" s="36"/>
      <c r="C704" s="36"/>
      <c r="D704" s="36"/>
      <c r="G704" s="36"/>
      <c r="H704" s="36"/>
      <c r="I704" s="36"/>
      <c r="M704" s="36"/>
      <c r="N704" s="36"/>
      <c r="O704" s="36"/>
      <c r="Q704" s="36"/>
      <c r="R704" s="36"/>
      <c r="S704" s="36"/>
    </row>
    <row r="705">
      <c r="B705" s="36"/>
      <c r="C705" s="36"/>
      <c r="D705" s="36"/>
      <c r="G705" s="36"/>
      <c r="H705" s="36"/>
      <c r="I705" s="36"/>
      <c r="M705" s="36"/>
      <c r="N705" s="36"/>
      <c r="O705" s="36"/>
      <c r="Q705" s="36"/>
      <c r="R705" s="36"/>
      <c r="S705" s="36"/>
    </row>
    <row r="706">
      <c r="B706" s="36"/>
      <c r="C706" s="36"/>
      <c r="D706" s="36"/>
      <c r="G706" s="36"/>
      <c r="H706" s="36"/>
      <c r="I706" s="36"/>
      <c r="M706" s="36"/>
      <c r="N706" s="36"/>
      <c r="O706" s="36"/>
      <c r="Q706" s="36"/>
      <c r="R706" s="36"/>
      <c r="S706" s="36"/>
    </row>
    <row r="707">
      <c r="B707" s="36"/>
      <c r="C707" s="36"/>
      <c r="D707" s="36"/>
      <c r="G707" s="36"/>
      <c r="H707" s="36"/>
      <c r="I707" s="36"/>
      <c r="M707" s="36"/>
      <c r="N707" s="36"/>
      <c r="O707" s="36"/>
      <c r="Q707" s="36"/>
      <c r="R707" s="36"/>
      <c r="S707" s="36"/>
    </row>
    <row r="708">
      <c r="B708" s="36"/>
      <c r="C708" s="36"/>
      <c r="D708" s="36"/>
      <c r="G708" s="36"/>
      <c r="H708" s="36"/>
      <c r="I708" s="36"/>
      <c r="M708" s="36"/>
      <c r="N708" s="36"/>
      <c r="O708" s="36"/>
      <c r="Q708" s="36"/>
      <c r="R708" s="36"/>
      <c r="S708" s="36"/>
    </row>
    <row r="709">
      <c r="B709" s="36"/>
      <c r="C709" s="36"/>
      <c r="D709" s="36"/>
      <c r="G709" s="36"/>
      <c r="H709" s="36"/>
      <c r="I709" s="36"/>
      <c r="M709" s="36"/>
      <c r="N709" s="36"/>
      <c r="O709" s="36"/>
      <c r="Q709" s="36"/>
      <c r="R709" s="36"/>
      <c r="S709" s="36"/>
    </row>
    <row r="710">
      <c r="B710" s="36"/>
      <c r="C710" s="36"/>
      <c r="D710" s="36"/>
      <c r="G710" s="36"/>
      <c r="H710" s="36"/>
      <c r="I710" s="36"/>
      <c r="M710" s="36"/>
      <c r="N710" s="36"/>
      <c r="O710" s="36"/>
      <c r="Q710" s="36"/>
      <c r="R710" s="36"/>
      <c r="S710" s="36"/>
    </row>
    <row r="711">
      <c r="B711" s="36"/>
      <c r="C711" s="36"/>
      <c r="D711" s="36"/>
      <c r="G711" s="36"/>
      <c r="H711" s="36"/>
      <c r="I711" s="36"/>
      <c r="M711" s="36"/>
      <c r="N711" s="36"/>
      <c r="O711" s="36"/>
      <c r="Q711" s="36"/>
      <c r="R711" s="36"/>
      <c r="S711" s="36"/>
    </row>
    <row r="712">
      <c r="B712" s="36"/>
      <c r="C712" s="36"/>
      <c r="D712" s="36"/>
      <c r="G712" s="36"/>
      <c r="H712" s="36"/>
      <c r="I712" s="36"/>
      <c r="M712" s="36"/>
      <c r="N712" s="36"/>
      <c r="O712" s="36"/>
      <c r="Q712" s="36"/>
      <c r="R712" s="36"/>
      <c r="S712" s="36"/>
    </row>
    <row r="713">
      <c r="B713" s="36"/>
      <c r="C713" s="36"/>
      <c r="D713" s="36"/>
      <c r="G713" s="36"/>
      <c r="H713" s="36"/>
      <c r="I713" s="36"/>
      <c r="M713" s="36"/>
      <c r="N713" s="36"/>
      <c r="O713" s="36"/>
      <c r="Q713" s="36"/>
      <c r="R713" s="36"/>
      <c r="S713" s="36"/>
    </row>
    <row r="714">
      <c r="B714" s="36"/>
      <c r="C714" s="36"/>
      <c r="D714" s="36"/>
      <c r="G714" s="36"/>
      <c r="H714" s="36"/>
      <c r="I714" s="36"/>
      <c r="M714" s="36"/>
      <c r="N714" s="36"/>
      <c r="O714" s="36"/>
      <c r="Q714" s="36"/>
      <c r="R714" s="36"/>
      <c r="S714" s="36"/>
    </row>
    <row r="715">
      <c r="B715" s="36"/>
      <c r="C715" s="36"/>
      <c r="D715" s="36"/>
      <c r="G715" s="36"/>
      <c r="H715" s="36"/>
      <c r="I715" s="36"/>
      <c r="M715" s="36"/>
      <c r="N715" s="36"/>
      <c r="O715" s="36"/>
      <c r="Q715" s="36"/>
      <c r="R715" s="36"/>
      <c r="S715" s="36"/>
    </row>
    <row r="716">
      <c r="B716" s="36"/>
      <c r="C716" s="36"/>
      <c r="D716" s="36"/>
      <c r="G716" s="36"/>
      <c r="H716" s="36"/>
      <c r="I716" s="36"/>
      <c r="M716" s="36"/>
      <c r="N716" s="36"/>
      <c r="O716" s="36"/>
      <c r="Q716" s="36"/>
      <c r="R716" s="36"/>
      <c r="S716" s="36"/>
    </row>
    <row r="717">
      <c r="B717" s="36"/>
      <c r="C717" s="36"/>
      <c r="D717" s="36"/>
      <c r="G717" s="36"/>
      <c r="H717" s="36"/>
      <c r="I717" s="36"/>
      <c r="M717" s="36"/>
      <c r="N717" s="36"/>
      <c r="O717" s="36"/>
      <c r="Q717" s="36"/>
      <c r="R717" s="36"/>
      <c r="S717" s="36"/>
    </row>
    <row r="718">
      <c r="B718" s="36"/>
      <c r="C718" s="36"/>
      <c r="D718" s="36"/>
      <c r="G718" s="36"/>
      <c r="H718" s="36"/>
      <c r="I718" s="36"/>
      <c r="M718" s="36"/>
      <c r="N718" s="36"/>
      <c r="O718" s="36"/>
      <c r="Q718" s="36"/>
      <c r="R718" s="36"/>
      <c r="S718" s="36"/>
    </row>
    <row r="719">
      <c r="B719" s="36"/>
      <c r="C719" s="36"/>
      <c r="D719" s="36"/>
      <c r="G719" s="36"/>
      <c r="H719" s="36"/>
      <c r="I719" s="36"/>
      <c r="M719" s="36"/>
      <c r="N719" s="36"/>
      <c r="O719" s="36"/>
      <c r="Q719" s="36"/>
      <c r="R719" s="36"/>
      <c r="S719" s="36"/>
    </row>
    <row r="720">
      <c r="B720" s="36"/>
      <c r="C720" s="36"/>
      <c r="D720" s="36"/>
      <c r="G720" s="36"/>
      <c r="H720" s="36"/>
      <c r="I720" s="36"/>
      <c r="M720" s="36"/>
      <c r="N720" s="36"/>
      <c r="O720" s="36"/>
      <c r="Q720" s="36"/>
      <c r="R720" s="36"/>
      <c r="S720" s="36"/>
    </row>
    <row r="721">
      <c r="B721" s="36"/>
      <c r="C721" s="36"/>
      <c r="D721" s="36"/>
      <c r="G721" s="36"/>
      <c r="H721" s="36"/>
      <c r="I721" s="36"/>
      <c r="M721" s="36"/>
      <c r="N721" s="36"/>
      <c r="O721" s="36"/>
      <c r="Q721" s="36"/>
      <c r="R721" s="36"/>
      <c r="S721" s="36"/>
    </row>
    <row r="722">
      <c r="B722" s="36"/>
      <c r="C722" s="36"/>
      <c r="D722" s="36"/>
      <c r="G722" s="36"/>
      <c r="H722" s="36"/>
      <c r="I722" s="36"/>
      <c r="M722" s="36"/>
      <c r="N722" s="36"/>
      <c r="O722" s="36"/>
      <c r="Q722" s="36"/>
      <c r="R722" s="36"/>
      <c r="S722" s="36"/>
    </row>
    <row r="723">
      <c r="B723" s="36"/>
      <c r="C723" s="36"/>
      <c r="D723" s="36"/>
      <c r="G723" s="36"/>
      <c r="H723" s="36"/>
      <c r="I723" s="36"/>
      <c r="M723" s="36"/>
      <c r="N723" s="36"/>
      <c r="O723" s="36"/>
      <c r="Q723" s="36"/>
      <c r="R723" s="36"/>
      <c r="S723" s="36"/>
    </row>
    <row r="724">
      <c r="B724" s="36"/>
      <c r="C724" s="36"/>
      <c r="D724" s="36"/>
      <c r="G724" s="36"/>
      <c r="H724" s="36"/>
      <c r="I724" s="36"/>
      <c r="M724" s="36"/>
      <c r="N724" s="36"/>
      <c r="O724" s="36"/>
      <c r="Q724" s="36"/>
      <c r="R724" s="36"/>
      <c r="S724" s="36"/>
    </row>
    <row r="725">
      <c r="B725" s="36"/>
      <c r="C725" s="36"/>
      <c r="D725" s="36"/>
      <c r="G725" s="36"/>
      <c r="H725" s="36"/>
      <c r="I725" s="36"/>
      <c r="M725" s="36"/>
      <c r="N725" s="36"/>
      <c r="O725" s="36"/>
      <c r="Q725" s="36"/>
      <c r="R725" s="36"/>
      <c r="S725" s="36"/>
    </row>
    <row r="726">
      <c r="B726" s="36"/>
      <c r="C726" s="36"/>
      <c r="D726" s="36"/>
      <c r="G726" s="36"/>
      <c r="H726" s="36"/>
      <c r="I726" s="36"/>
      <c r="M726" s="36"/>
      <c r="N726" s="36"/>
      <c r="O726" s="36"/>
      <c r="Q726" s="36"/>
      <c r="R726" s="36"/>
      <c r="S726" s="36"/>
    </row>
    <row r="727">
      <c r="B727" s="36"/>
      <c r="C727" s="36"/>
      <c r="D727" s="36"/>
      <c r="G727" s="36"/>
      <c r="H727" s="36"/>
      <c r="I727" s="36"/>
      <c r="M727" s="36"/>
      <c r="N727" s="36"/>
      <c r="O727" s="36"/>
      <c r="Q727" s="36"/>
      <c r="R727" s="36"/>
      <c r="S727" s="36"/>
    </row>
    <row r="728">
      <c r="B728" s="36"/>
      <c r="C728" s="36"/>
      <c r="D728" s="36"/>
      <c r="G728" s="36"/>
      <c r="H728" s="36"/>
      <c r="I728" s="36"/>
      <c r="M728" s="36"/>
      <c r="N728" s="36"/>
      <c r="O728" s="36"/>
      <c r="Q728" s="36"/>
      <c r="R728" s="36"/>
      <c r="S728" s="36"/>
    </row>
    <row r="729">
      <c r="B729" s="36"/>
      <c r="C729" s="36"/>
      <c r="D729" s="36"/>
      <c r="G729" s="36"/>
      <c r="H729" s="36"/>
      <c r="I729" s="36"/>
      <c r="M729" s="36"/>
      <c r="N729" s="36"/>
      <c r="O729" s="36"/>
      <c r="Q729" s="36"/>
      <c r="R729" s="36"/>
      <c r="S729" s="36"/>
    </row>
    <row r="730">
      <c r="B730" s="36"/>
      <c r="C730" s="36"/>
      <c r="D730" s="36"/>
      <c r="G730" s="36"/>
      <c r="H730" s="36"/>
      <c r="I730" s="36"/>
      <c r="M730" s="36"/>
      <c r="N730" s="36"/>
      <c r="O730" s="36"/>
      <c r="Q730" s="36"/>
      <c r="R730" s="36"/>
      <c r="S730" s="36"/>
    </row>
    <row r="731">
      <c r="B731" s="36"/>
      <c r="C731" s="36"/>
      <c r="D731" s="36"/>
      <c r="G731" s="36"/>
      <c r="H731" s="36"/>
      <c r="I731" s="36"/>
      <c r="M731" s="36"/>
      <c r="N731" s="36"/>
      <c r="O731" s="36"/>
      <c r="Q731" s="36"/>
      <c r="R731" s="36"/>
      <c r="S731" s="36"/>
    </row>
    <row r="732">
      <c r="B732" s="36"/>
      <c r="C732" s="36"/>
      <c r="D732" s="36"/>
      <c r="G732" s="36"/>
      <c r="H732" s="36"/>
      <c r="I732" s="36"/>
      <c r="M732" s="36"/>
      <c r="N732" s="36"/>
      <c r="O732" s="36"/>
      <c r="Q732" s="36"/>
      <c r="R732" s="36"/>
      <c r="S732" s="36"/>
    </row>
    <row r="733">
      <c r="B733" s="36"/>
      <c r="C733" s="36"/>
      <c r="D733" s="36"/>
      <c r="G733" s="36"/>
      <c r="H733" s="36"/>
      <c r="I733" s="36"/>
      <c r="M733" s="36"/>
      <c r="N733" s="36"/>
      <c r="O733" s="36"/>
      <c r="Q733" s="36"/>
      <c r="R733" s="36"/>
      <c r="S733" s="36"/>
    </row>
    <row r="734">
      <c r="B734" s="36"/>
      <c r="C734" s="36"/>
      <c r="D734" s="36"/>
      <c r="G734" s="36"/>
      <c r="H734" s="36"/>
      <c r="I734" s="36"/>
      <c r="M734" s="36"/>
      <c r="N734" s="36"/>
      <c r="O734" s="36"/>
      <c r="Q734" s="36"/>
      <c r="R734" s="36"/>
      <c r="S734" s="36"/>
    </row>
    <row r="735">
      <c r="B735" s="36"/>
      <c r="C735" s="36"/>
      <c r="D735" s="36"/>
      <c r="G735" s="36"/>
      <c r="H735" s="36"/>
      <c r="I735" s="36"/>
      <c r="M735" s="36"/>
      <c r="N735" s="36"/>
      <c r="O735" s="36"/>
      <c r="Q735" s="36"/>
      <c r="R735" s="36"/>
      <c r="S735" s="36"/>
    </row>
    <row r="736">
      <c r="B736" s="36"/>
      <c r="C736" s="36"/>
      <c r="D736" s="36"/>
      <c r="G736" s="36"/>
      <c r="H736" s="36"/>
      <c r="I736" s="36"/>
      <c r="M736" s="36"/>
      <c r="N736" s="36"/>
      <c r="O736" s="36"/>
      <c r="Q736" s="36"/>
      <c r="R736" s="36"/>
      <c r="S736" s="36"/>
    </row>
    <row r="737">
      <c r="B737" s="36"/>
      <c r="C737" s="36"/>
      <c r="D737" s="36"/>
      <c r="G737" s="36"/>
      <c r="H737" s="36"/>
      <c r="I737" s="36"/>
      <c r="M737" s="36"/>
      <c r="N737" s="36"/>
      <c r="O737" s="36"/>
      <c r="Q737" s="36"/>
      <c r="R737" s="36"/>
      <c r="S737" s="36"/>
    </row>
    <row r="738">
      <c r="B738" s="36"/>
      <c r="C738" s="36"/>
      <c r="D738" s="36"/>
      <c r="G738" s="36"/>
      <c r="H738" s="36"/>
      <c r="I738" s="36"/>
      <c r="M738" s="36"/>
      <c r="N738" s="36"/>
      <c r="O738" s="36"/>
      <c r="Q738" s="36"/>
      <c r="R738" s="36"/>
      <c r="S738" s="36"/>
    </row>
    <row r="739">
      <c r="B739" s="36"/>
      <c r="C739" s="36"/>
      <c r="D739" s="36"/>
      <c r="G739" s="36"/>
      <c r="H739" s="36"/>
      <c r="I739" s="36"/>
      <c r="M739" s="36"/>
      <c r="N739" s="36"/>
      <c r="O739" s="36"/>
      <c r="Q739" s="36"/>
      <c r="R739" s="36"/>
      <c r="S739" s="36"/>
    </row>
    <row r="740">
      <c r="B740" s="36"/>
      <c r="C740" s="36"/>
      <c r="D740" s="36"/>
      <c r="G740" s="36"/>
      <c r="H740" s="36"/>
      <c r="I740" s="36"/>
      <c r="M740" s="36"/>
      <c r="N740" s="36"/>
      <c r="O740" s="36"/>
      <c r="Q740" s="36"/>
      <c r="R740" s="36"/>
      <c r="S740" s="36"/>
    </row>
    <row r="741">
      <c r="B741" s="36"/>
      <c r="C741" s="36"/>
      <c r="D741" s="36"/>
      <c r="G741" s="36"/>
      <c r="H741" s="36"/>
      <c r="I741" s="36"/>
      <c r="M741" s="36"/>
      <c r="N741" s="36"/>
      <c r="O741" s="36"/>
      <c r="Q741" s="36"/>
      <c r="R741" s="36"/>
      <c r="S741" s="36"/>
    </row>
    <row r="742">
      <c r="B742" s="36"/>
      <c r="C742" s="36"/>
      <c r="D742" s="36"/>
      <c r="G742" s="36"/>
      <c r="H742" s="36"/>
      <c r="I742" s="36"/>
      <c r="M742" s="36"/>
      <c r="N742" s="36"/>
      <c r="O742" s="36"/>
      <c r="Q742" s="36"/>
      <c r="R742" s="36"/>
      <c r="S742" s="36"/>
    </row>
    <row r="743">
      <c r="B743" s="36"/>
      <c r="C743" s="36"/>
      <c r="D743" s="36"/>
      <c r="G743" s="36"/>
      <c r="H743" s="36"/>
      <c r="I743" s="36"/>
      <c r="M743" s="36"/>
      <c r="N743" s="36"/>
      <c r="O743" s="36"/>
      <c r="Q743" s="36"/>
      <c r="R743" s="36"/>
      <c r="S743" s="36"/>
    </row>
    <row r="744">
      <c r="B744" s="36"/>
      <c r="C744" s="36"/>
      <c r="D744" s="36"/>
      <c r="G744" s="36"/>
      <c r="H744" s="36"/>
      <c r="I744" s="36"/>
      <c r="M744" s="36"/>
      <c r="N744" s="36"/>
      <c r="O744" s="36"/>
      <c r="Q744" s="36"/>
      <c r="R744" s="36"/>
      <c r="S744" s="36"/>
    </row>
    <row r="745">
      <c r="B745" s="36"/>
      <c r="C745" s="36"/>
      <c r="D745" s="36"/>
      <c r="G745" s="36"/>
      <c r="H745" s="36"/>
      <c r="I745" s="36"/>
      <c r="M745" s="36"/>
      <c r="N745" s="36"/>
      <c r="O745" s="36"/>
      <c r="Q745" s="36"/>
      <c r="R745" s="36"/>
      <c r="S745" s="36"/>
    </row>
    <row r="746">
      <c r="B746" s="36"/>
      <c r="C746" s="36"/>
      <c r="D746" s="36"/>
      <c r="G746" s="36"/>
      <c r="H746" s="36"/>
      <c r="I746" s="36"/>
      <c r="M746" s="36"/>
      <c r="N746" s="36"/>
      <c r="O746" s="36"/>
      <c r="Q746" s="36"/>
      <c r="R746" s="36"/>
      <c r="S746" s="36"/>
    </row>
    <row r="747">
      <c r="B747" s="36"/>
      <c r="C747" s="36"/>
      <c r="D747" s="36"/>
      <c r="G747" s="36"/>
      <c r="H747" s="36"/>
      <c r="I747" s="36"/>
      <c r="M747" s="36"/>
      <c r="N747" s="36"/>
      <c r="O747" s="36"/>
      <c r="Q747" s="36"/>
      <c r="R747" s="36"/>
      <c r="S747" s="36"/>
    </row>
    <row r="748">
      <c r="B748" s="36"/>
      <c r="C748" s="36"/>
      <c r="D748" s="36"/>
      <c r="G748" s="36"/>
      <c r="H748" s="36"/>
      <c r="I748" s="36"/>
      <c r="M748" s="36"/>
      <c r="N748" s="36"/>
      <c r="O748" s="36"/>
      <c r="Q748" s="36"/>
      <c r="R748" s="36"/>
      <c r="S748" s="36"/>
    </row>
    <row r="749">
      <c r="B749" s="36"/>
      <c r="C749" s="36"/>
      <c r="D749" s="36"/>
      <c r="G749" s="36"/>
      <c r="H749" s="36"/>
      <c r="I749" s="36"/>
      <c r="M749" s="36"/>
      <c r="N749" s="36"/>
      <c r="O749" s="36"/>
      <c r="Q749" s="36"/>
      <c r="R749" s="36"/>
      <c r="S749" s="36"/>
    </row>
    <row r="750">
      <c r="B750" s="36"/>
      <c r="C750" s="36"/>
      <c r="D750" s="36"/>
      <c r="G750" s="36"/>
      <c r="H750" s="36"/>
      <c r="I750" s="36"/>
      <c r="M750" s="36"/>
      <c r="N750" s="36"/>
      <c r="O750" s="36"/>
      <c r="Q750" s="36"/>
      <c r="R750" s="36"/>
      <c r="S750" s="36"/>
    </row>
    <row r="751">
      <c r="B751" s="36"/>
      <c r="C751" s="36"/>
      <c r="D751" s="36"/>
      <c r="G751" s="36"/>
      <c r="H751" s="36"/>
      <c r="I751" s="36"/>
      <c r="M751" s="36"/>
      <c r="N751" s="36"/>
      <c r="O751" s="36"/>
      <c r="Q751" s="36"/>
      <c r="R751" s="36"/>
      <c r="S751" s="36"/>
    </row>
    <row r="752">
      <c r="B752" s="36"/>
      <c r="C752" s="36"/>
      <c r="D752" s="36"/>
      <c r="G752" s="36"/>
      <c r="H752" s="36"/>
      <c r="I752" s="36"/>
      <c r="M752" s="36"/>
      <c r="N752" s="36"/>
      <c r="O752" s="36"/>
      <c r="Q752" s="36"/>
      <c r="R752" s="36"/>
      <c r="S752" s="36"/>
    </row>
    <row r="753">
      <c r="B753" s="36"/>
      <c r="C753" s="36"/>
      <c r="D753" s="36"/>
      <c r="G753" s="36"/>
      <c r="H753" s="36"/>
      <c r="I753" s="36"/>
      <c r="M753" s="36"/>
      <c r="N753" s="36"/>
      <c r="O753" s="36"/>
      <c r="Q753" s="36"/>
      <c r="R753" s="36"/>
      <c r="S753" s="36"/>
    </row>
    <row r="754">
      <c r="B754" s="36"/>
      <c r="C754" s="36"/>
      <c r="D754" s="36"/>
      <c r="G754" s="36"/>
      <c r="H754" s="36"/>
      <c r="I754" s="36"/>
      <c r="M754" s="36"/>
      <c r="N754" s="36"/>
      <c r="O754" s="36"/>
      <c r="Q754" s="36"/>
      <c r="R754" s="36"/>
      <c r="S754" s="36"/>
    </row>
    <row r="755">
      <c r="B755" s="36"/>
      <c r="C755" s="36"/>
      <c r="D755" s="36"/>
      <c r="G755" s="36"/>
      <c r="H755" s="36"/>
      <c r="I755" s="36"/>
      <c r="M755" s="36"/>
      <c r="N755" s="36"/>
      <c r="O755" s="36"/>
      <c r="Q755" s="36"/>
      <c r="R755" s="36"/>
      <c r="S755" s="36"/>
    </row>
    <row r="756">
      <c r="B756" s="36"/>
      <c r="C756" s="36"/>
      <c r="D756" s="36"/>
      <c r="G756" s="36"/>
      <c r="H756" s="36"/>
      <c r="I756" s="36"/>
      <c r="M756" s="36"/>
      <c r="N756" s="36"/>
      <c r="O756" s="36"/>
      <c r="Q756" s="36"/>
      <c r="R756" s="36"/>
      <c r="S756" s="36"/>
    </row>
    <row r="757">
      <c r="B757" s="36"/>
      <c r="C757" s="36"/>
      <c r="D757" s="36"/>
      <c r="G757" s="36"/>
      <c r="H757" s="36"/>
      <c r="I757" s="36"/>
      <c r="M757" s="36"/>
      <c r="N757" s="36"/>
      <c r="O757" s="36"/>
      <c r="Q757" s="36"/>
      <c r="R757" s="36"/>
      <c r="S757" s="36"/>
    </row>
    <row r="758">
      <c r="B758" s="36"/>
      <c r="C758" s="36"/>
      <c r="D758" s="36"/>
      <c r="G758" s="36"/>
      <c r="H758" s="36"/>
      <c r="I758" s="36"/>
      <c r="M758" s="36"/>
      <c r="N758" s="36"/>
      <c r="O758" s="36"/>
      <c r="Q758" s="36"/>
      <c r="R758" s="36"/>
      <c r="S758" s="36"/>
    </row>
    <row r="759">
      <c r="B759" s="36"/>
      <c r="C759" s="36"/>
      <c r="D759" s="36"/>
      <c r="G759" s="36"/>
      <c r="H759" s="36"/>
      <c r="I759" s="36"/>
      <c r="M759" s="36"/>
      <c r="N759" s="36"/>
      <c r="O759" s="36"/>
      <c r="Q759" s="36"/>
      <c r="R759" s="36"/>
      <c r="S759" s="36"/>
    </row>
    <row r="760">
      <c r="B760" s="36"/>
      <c r="C760" s="36"/>
      <c r="D760" s="36"/>
      <c r="G760" s="36"/>
      <c r="H760" s="36"/>
      <c r="I760" s="36"/>
      <c r="M760" s="36"/>
      <c r="N760" s="36"/>
      <c r="O760" s="36"/>
      <c r="Q760" s="36"/>
      <c r="R760" s="36"/>
      <c r="S760" s="36"/>
    </row>
    <row r="761">
      <c r="B761" s="36"/>
      <c r="C761" s="36"/>
      <c r="D761" s="36"/>
      <c r="G761" s="36"/>
      <c r="H761" s="36"/>
      <c r="I761" s="36"/>
      <c r="M761" s="36"/>
      <c r="N761" s="36"/>
      <c r="O761" s="36"/>
      <c r="Q761" s="36"/>
      <c r="R761" s="36"/>
      <c r="S761" s="36"/>
    </row>
    <row r="762">
      <c r="B762" s="36"/>
      <c r="C762" s="36"/>
      <c r="D762" s="36"/>
      <c r="G762" s="36"/>
      <c r="H762" s="36"/>
      <c r="I762" s="36"/>
      <c r="M762" s="36"/>
      <c r="N762" s="36"/>
      <c r="O762" s="36"/>
      <c r="Q762" s="36"/>
      <c r="R762" s="36"/>
      <c r="S762" s="36"/>
    </row>
    <row r="763">
      <c r="B763" s="36"/>
      <c r="C763" s="36"/>
      <c r="D763" s="36"/>
      <c r="G763" s="36"/>
      <c r="H763" s="36"/>
      <c r="I763" s="36"/>
      <c r="M763" s="36"/>
      <c r="N763" s="36"/>
      <c r="O763" s="36"/>
      <c r="Q763" s="36"/>
      <c r="R763" s="36"/>
      <c r="S763" s="36"/>
    </row>
    <row r="764">
      <c r="B764" s="36"/>
      <c r="C764" s="36"/>
      <c r="D764" s="36"/>
      <c r="G764" s="36"/>
      <c r="H764" s="36"/>
      <c r="I764" s="36"/>
      <c r="M764" s="36"/>
      <c r="N764" s="36"/>
      <c r="O764" s="36"/>
      <c r="Q764" s="36"/>
      <c r="R764" s="36"/>
      <c r="S764" s="36"/>
    </row>
    <row r="765">
      <c r="B765" s="36"/>
      <c r="C765" s="36"/>
      <c r="D765" s="36"/>
      <c r="G765" s="36"/>
      <c r="H765" s="36"/>
      <c r="I765" s="36"/>
      <c r="M765" s="36"/>
      <c r="N765" s="36"/>
      <c r="O765" s="36"/>
      <c r="Q765" s="36"/>
      <c r="R765" s="36"/>
      <c r="S765" s="36"/>
    </row>
    <row r="766">
      <c r="B766" s="36"/>
      <c r="C766" s="36"/>
      <c r="D766" s="36"/>
      <c r="G766" s="36"/>
      <c r="H766" s="36"/>
      <c r="I766" s="36"/>
      <c r="M766" s="36"/>
      <c r="N766" s="36"/>
      <c r="O766" s="36"/>
      <c r="Q766" s="36"/>
      <c r="R766" s="36"/>
      <c r="S766" s="36"/>
    </row>
    <row r="767">
      <c r="B767" s="36"/>
      <c r="C767" s="36"/>
      <c r="D767" s="36"/>
      <c r="G767" s="36"/>
      <c r="H767" s="36"/>
      <c r="I767" s="36"/>
      <c r="M767" s="36"/>
      <c r="N767" s="36"/>
      <c r="O767" s="36"/>
      <c r="Q767" s="36"/>
      <c r="R767" s="36"/>
      <c r="S767" s="36"/>
    </row>
    <row r="768">
      <c r="B768" s="36"/>
      <c r="C768" s="36"/>
      <c r="D768" s="36"/>
      <c r="G768" s="36"/>
      <c r="H768" s="36"/>
      <c r="I768" s="36"/>
      <c r="M768" s="36"/>
      <c r="N768" s="36"/>
      <c r="O768" s="36"/>
      <c r="Q768" s="36"/>
      <c r="R768" s="36"/>
      <c r="S768" s="36"/>
    </row>
    <row r="769">
      <c r="B769" s="36"/>
      <c r="C769" s="36"/>
      <c r="D769" s="36"/>
      <c r="G769" s="36"/>
      <c r="H769" s="36"/>
      <c r="I769" s="36"/>
      <c r="M769" s="36"/>
      <c r="N769" s="36"/>
      <c r="O769" s="36"/>
      <c r="Q769" s="36"/>
      <c r="R769" s="36"/>
      <c r="S769" s="36"/>
    </row>
    <row r="770">
      <c r="B770" s="36"/>
      <c r="C770" s="36"/>
      <c r="D770" s="36"/>
      <c r="G770" s="36"/>
      <c r="H770" s="36"/>
      <c r="I770" s="36"/>
      <c r="M770" s="36"/>
      <c r="N770" s="36"/>
      <c r="O770" s="36"/>
      <c r="Q770" s="36"/>
      <c r="R770" s="36"/>
      <c r="S770" s="36"/>
    </row>
    <row r="771">
      <c r="B771" s="36"/>
      <c r="C771" s="36"/>
      <c r="D771" s="36"/>
      <c r="G771" s="36"/>
      <c r="H771" s="36"/>
      <c r="I771" s="36"/>
      <c r="M771" s="36"/>
      <c r="N771" s="36"/>
      <c r="O771" s="36"/>
      <c r="Q771" s="36"/>
      <c r="R771" s="36"/>
      <c r="S771" s="36"/>
    </row>
    <row r="772">
      <c r="B772" s="36"/>
      <c r="C772" s="36"/>
      <c r="D772" s="36"/>
      <c r="G772" s="36"/>
      <c r="H772" s="36"/>
      <c r="I772" s="36"/>
      <c r="M772" s="36"/>
      <c r="N772" s="36"/>
      <c r="O772" s="36"/>
      <c r="Q772" s="36"/>
      <c r="R772" s="36"/>
      <c r="S772" s="36"/>
    </row>
    <row r="773">
      <c r="B773" s="36"/>
      <c r="C773" s="36"/>
      <c r="D773" s="36"/>
      <c r="G773" s="36"/>
      <c r="H773" s="36"/>
      <c r="I773" s="36"/>
      <c r="M773" s="36"/>
      <c r="N773" s="36"/>
      <c r="O773" s="36"/>
      <c r="Q773" s="36"/>
      <c r="R773" s="36"/>
      <c r="S773" s="36"/>
    </row>
    <row r="774">
      <c r="B774" s="36"/>
      <c r="C774" s="36"/>
      <c r="D774" s="36"/>
      <c r="G774" s="36"/>
      <c r="H774" s="36"/>
      <c r="I774" s="36"/>
      <c r="M774" s="36"/>
      <c r="N774" s="36"/>
      <c r="O774" s="36"/>
      <c r="Q774" s="36"/>
      <c r="R774" s="36"/>
      <c r="S774" s="36"/>
    </row>
    <row r="775">
      <c r="B775" s="36"/>
      <c r="C775" s="36"/>
      <c r="D775" s="36"/>
      <c r="G775" s="36"/>
      <c r="H775" s="36"/>
      <c r="I775" s="36"/>
      <c r="M775" s="36"/>
      <c r="N775" s="36"/>
      <c r="O775" s="36"/>
      <c r="Q775" s="36"/>
      <c r="R775" s="36"/>
      <c r="S775" s="36"/>
    </row>
    <row r="776">
      <c r="B776" s="36"/>
      <c r="C776" s="36"/>
      <c r="D776" s="36"/>
      <c r="G776" s="36"/>
      <c r="H776" s="36"/>
      <c r="I776" s="36"/>
      <c r="M776" s="36"/>
      <c r="N776" s="36"/>
      <c r="O776" s="36"/>
      <c r="Q776" s="36"/>
      <c r="R776" s="36"/>
      <c r="S776" s="36"/>
    </row>
    <row r="777">
      <c r="B777" s="36"/>
      <c r="C777" s="36"/>
      <c r="D777" s="36"/>
      <c r="G777" s="36"/>
      <c r="H777" s="36"/>
      <c r="I777" s="36"/>
      <c r="M777" s="36"/>
      <c r="N777" s="36"/>
      <c r="O777" s="36"/>
      <c r="Q777" s="36"/>
      <c r="R777" s="36"/>
      <c r="S777" s="36"/>
    </row>
    <row r="778">
      <c r="B778" s="36"/>
      <c r="C778" s="36"/>
      <c r="D778" s="36"/>
      <c r="G778" s="36"/>
      <c r="H778" s="36"/>
      <c r="I778" s="36"/>
      <c r="M778" s="36"/>
      <c r="N778" s="36"/>
      <c r="O778" s="36"/>
      <c r="Q778" s="36"/>
      <c r="R778" s="36"/>
      <c r="S778" s="36"/>
    </row>
    <row r="779">
      <c r="B779" s="36"/>
      <c r="C779" s="36"/>
      <c r="D779" s="36"/>
      <c r="G779" s="36"/>
      <c r="H779" s="36"/>
      <c r="I779" s="36"/>
      <c r="M779" s="36"/>
      <c r="N779" s="36"/>
      <c r="O779" s="36"/>
      <c r="Q779" s="36"/>
      <c r="R779" s="36"/>
      <c r="S779" s="36"/>
    </row>
    <row r="780">
      <c r="B780" s="36"/>
      <c r="C780" s="36"/>
      <c r="D780" s="36"/>
      <c r="G780" s="36"/>
      <c r="H780" s="36"/>
      <c r="I780" s="36"/>
      <c r="M780" s="36"/>
      <c r="N780" s="36"/>
      <c r="O780" s="36"/>
      <c r="Q780" s="36"/>
      <c r="R780" s="36"/>
      <c r="S780" s="36"/>
    </row>
    <row r="781">
      <c r="B781" s="36"/>
      <c r="C781" s="36"/>
      <c r="D781" s="36"/>
      <c r="G781" s="36"/>
      <c r="H781" s="36"/>
      <c r="I781" s="36"/>
      <c r="M781" s="36"/>
      <c r="N781" s="36"/>
      <c r="O781" s="36"/>
      <c r="Q781" s="36"/>
      <c r="R781" s="36"/>
      <c r="S781" s="36"/>
    </row>
    <row r="782">
      <c r="B782" s="36"/>
      <c r="C782" s="36"/>
      <c r="D782" s="36"/>
      <c r="G782" s="36"/>
      <c r="H782" s="36"/>
      <c r="I782" s="36"/>
      <c r="M782" s="36"/>
      <c r="N782" s="36"/>
      <c r="O782" s="36"/>
      <c r="Q782" s="36"/>
      <c r="R782" s="36"/>
      <c r="S782" s="36"/>
    </row>
    <row r="783">
      <c r="B783" s="36"/>
      <c r="C783" s="36"/>
      <c r="D783" s="36"/>
      <c r="G783" s="36"/>
      <c r="H783" s="36"/>
      <c r="I783" s="36"/>
      <c r="M783" s="36"/>
      <c r="N783" s="36"/>
      <c r="O783" s="36"/>
      <c r="Q783" s="36"/>
      <c r="R783" s="36"/>
      <c r="S783" s="36"/>
    </row>
    <row r="784">
      <c r="B784" s="36"/>
      <c r="C784" s="36"/>
      <c r="D784" s="36"/>
      <c r="G784" s="36"/>
      <c r="H784" s="36"/>
      <c r="I784" s="36"/>
      <c r="M784" s="36"/>
      <c r="N784" s="36"/>
      <c r="O784" s="36"/>
      <c r="Q784" s="36"/>
      <c r="R784" s="36"/>
      <c r="S784" s="36"/>
    </row>
    <row r="785">
      <c r="B785" s="36"/>
      <c r="C785" s="36"/>
      <c r="D785" s="36"/>
      <c r="G785" s="36"/>
      <c r="H785" s="36"/>
      <c r="I785" s="36"/>
      <c r="M785" s="36"/>
      <c r="N785" s="36"/>
      <c r="O785" s="36"/>
      <c r="Q785" s="36"/>
      <c r="R785" s="36"/>
      <c r="S785" s="36"/>
    </row>
    <row r="786">
      <c r="B786" s="36"/>
      <c r="C786" s="36"/>
      <c r="D786" s="36"/>
      <c r="G786" s="36"/>
      <c r="H786" s="36"/>
      <c r="I786" s="36"/>
      <c r="M786" s="36"/>
      <c r="N786" s="36"/>
      <c r="O786" s="36"/>
      <c r="Q786" s="36"/>
      <c r="R786" s="36"/>
      <c r="S786" s="36"/>
    </row>
    <row r="787">
      <c r="B787" s="36"/>
      <c r="C787" s="36"/>
      <c r="D787" s="36"/>
      <c r="G787" s="36"/>
      <c r="H787" s="36"/>
      <c r="I787" s="36"/>
      <c r="M787" s="36"/>
      <c r="N787" s="36"/>
      <c r="O787" s="36"/>
      <c r="Q787" s="36"/>
      <c r="R787" s="36"/>
      <c r="S787" s="36"/>
    </row>
    <row r="788">
      <c r="B788" s="36"/>
      <c r="C788" s="36"/>
      <c r="D788" s="36"/>
      <c r="G788" s="36"/>
      <c r="H788" s="36"/>
      <c r="I788" s="36"/>
      <c r="M788" s="36"/>
      <c r="N788" s="36"/>
      <c r="O788" s="36"/>
      <c r="Q788" s="36"/>
      <c r="R788" s="36"/>
      <c r="S788" s="36"/>
    </row>
    <row r="789">
      <c r="B789" s="36"/>
      <c r="C789" s="36"/>
      <c r="D789" s="36"/>
      <c r="G789" s="36"/>
      <c r="H789" s="36"/>
      <c r="I789" s="36"/>
      <c r="M789" s="36"/>
      <c r="N789" s="36"/>
      <c r="O789" s="36"/>
      <c r="Q789" s="36"/>
      <c r="R789" s="36"/>
      <c r="S789" s="36"/>
    </row>
    <row r="790">
      <c r="B790" s="36"/>
      <c r="C790" s="36"/>
      <c r="D790" s="36"/>
      <c r="G790" s="36"/>
      <c r="H790" s="36"/>
      <c r="I790" s="36"/>
      <c r="M790" s="36"/>
      <c r="N790" s="36"/>
      <c r="O790" s="36"/>
      <c r="Q790" s="36"/>
      <c r="R790" s="36"/>
      <c r="S790" s="36"/>
    </row>
    <row r="791">
      <c r="B791" s="36"/>
      <c r="C791" s="36"/>
      <c r="D791" s="36"/>
      <c r="G791" s="36"/>
      <c r="H791" s="36"/>
      <c r="I791" s="36"/>
      <c r="M791" s="36"/>
      <c r="N791" s="36"/>
      <c r="O791" s="36"/>
      <c r="Q791" s="36"/>
      <c r="R791" s="36"/>
      <c r="S791" s="36"/>
    </row>
    <row r="792">
      <c r="B792" s="36"/>
      <c r="C792" s="36"/>
      <c r="D792" s="36"/>
      <c r="G792" s="36"/>
      <c r="H792" s="36"/>
      <c r="I792" s="36"/>
      <c r="M792" s="36"/>
      <c r="N792" s="36"/>
      <c r="O792" s="36"/>
      <c r="Q792" s="36"/>
      <c r="R792" s="36"/>
      <c r="S792" s="36"/>
    </row>
    <row r="793">
      <c r="B793" s="36"/>
      <c r="C793" s="36"/>
      <c r="D793" s="36"/>
      <c r="G793" s="36"/>
      <c r="H793" s="36"/>
      <c r="I793" s="36"/>
      <c r="M793" s="36"/>
      <c r="N793" s="36"/>
      <c r="O793" s="36"/>
      <c r="Q793" s="36"/>
      <c r="R793" s="36"/>
      <c r="S793" s="36"/>
    </row>
    <row r="794">
      <c r="B794" s="36"/>
      <c r="C794" s="36"/>
      <c r="D794" s="36"/>
      <c r="G794" s="36"/>
      <c r="H794" s="36"/>
      <c r="I794" s="36"/>
      <c r="M794" s="36"/>
      <c r="N794" s="36"/>
      <c r="O794" s="36"/>
      <c r="Q794" s="36"/>
      <c r="R794" s="36"/>
      <c r="S794" s="36"/>
    </row>
    <row r="795">
      <c r="B795" s="36"/>
      <c r="C795" s="36"/>
      <c r="D795" s="36"/>
      <c r="G795" s="36"/>
      <c r="H795" s="36"/>
      <c r="I795" s="36"/>
      <c r="M795" s="36"/>
      <c r="N795" s="36"/>
      <c r="O795" s="36"/>
      <c r="Q795" s="36"/>
      <c r="R795" s="36"/>
      <c r="S795" s="36"/>
    </row>
    <row r="796">
      <c r="B796" s="36"/>
      <c r="C796" s="36"/>
      <c r="D796" s="36"/>
      <c r="G796" s="36"/>
      <c r="H796" s="36"/>
      <c r="I796" s="36"/>
      <c r="M796" s="36"/>
      <c r="N796" s="36"/>
      <c r="O796" s="36"/>
      <c r="Q796" s="36"/>
      <c r="R796" s="36"/>
      <c r="S796" s="36"/>
    </row>
    <row r="797">
      <c r="B797" s="36"/>
      <c r="C797" s="36"/>
      <c r="D797" s="36"/>
      <c r="G797" s="36"/>
      <c r="H797" s="36"/>
      <c r="I797" s="36"/>
      <c r="M797" s="36"/>
      <c r="N797" s="36"/>
      <c r="O797" s="36"/>
      <c r="Q797" s="36"/>
      <c r="R797" s="36"/>
      <c r="S797" s="36"/>
    </row>
    <row r="798">
      <c r="B798" s="36"/>
      <c r="C798" s="36"/>
      <c r="D798" s="36"/>
      <c r="G798" s="36"/>
      <c r="H798" s="36"/>
      <c r="I798" s="36"/>
      <c r="M798" s="36"/>
      <c r="N798" s="36"/>
      <c r="O798" s="36"/>
      <c r="Q798" s="36"/>
      <c r="R798" s="36"/>
      <c r="S798" s="36"/>
    </row>
    <row r="799">
      <c r="B799" s="36"/>
      <c r="C799" s="36"/>
      <c r="D799" s="36"/>
      <c r="G799" s="36"/>
      <c r="H799" s="36"/>
      <c r="I799" s="36"/>
      <c r="M799" s="36"/>
      <c r="N799" s="36"/>
      <c r="O799" s="36"/>
      <c r="Q799" s="36"/>
      <c r="R799" s="36"/>
      <c r="S799" s="36"/>
    </row>
    <row r="800">
      <c r="B800" s="36"/>
      <c r="C800" s="36"/>
      <c r="D800" s="36"/>
      <c r="G800" s="36"/>
      <c r="H800" s="36"/>
      <c r="I800" s="36"/>
      <c r="M800" s="36"/>
      <c r="N800" s="36"/>
      <c r="O800" s="36"/>
      <c r="Q800" s="36"/>
      <c r="R800" s="36"/>
      <c r="S800" s="36"/>
    </row>
    <row r="801">
      <c r="B801" s="36"/>
      <c r="C801" s="36"/>
      <c r="D801" s="36"/>
      <c r="G801" s="36"/>
      <c r="H801" s="36"/>
      <c r="I801" s="36"/>
      <c r="M801" s="36"/>
      <c r="N801" s="36"/>
      <c r="O801" s="36"/>
      <c r="Q801" s="36"/>
      <c r="R801" s="36"/>
      <c r="S801" s="36"/>
    </row>
    <row r="802">
      <c r="B802" s="36"/>
      <c r="C802" s="36"/>
      <c r="D802" s="36"/>
      <c r="G802" s="36"/>
      <c r="H802" s="36"/>
      <c r="I802" s="36"/>
      <c r="M802" s="36"/>
      <c r="N802" s="36"/>
      <c r="O802" s="36"/>
      <c r="Q802" s="36"/>
      <c r="R802" s="36"/>
      <c r="S802" s="36"/>
    </row>
    <row r="803">
      <c r="B803" s="36"/>
      <c r="C803" s="36"/>
      <c r="D803" s="36"/>
      <c r="G803" s="36"/>
      <c r="H803" s="36"/>
      <c r="I803" s="36"/>
      <c r="M803" s="36"/>
      <c r="N803" s="36"/>
      <c r="O803" s="36"/>
      <c r="Q803" s="36"/>
      <c r="R803" s="36"/>
      <c r="S803" s="36"/>
    </row>
    <row r="804">
      <c r="B804" s="36"/>
      <c r="C804" s="36"/>
      <c r="D804" s="36"/>
      <c r="G804" s="36"/>
      <c r="H804" s="36"/>
      <c r="I804" s="36"/>
      <c r="M804" s="36"/>
      <c r="N804" s="36"/>
      <c r="O804" s="36"/>
      <c r="Q804" s="36"/>
      <c r="R804" s="36"/>
      <c r="S804" s="36"/>
    </row>
    <row r="805">
      <c r="B805" s="36"/>
      <c r="C805" s="36"/>
      <c r="D805" s="36"/>
      <c r="G805" s="36"/>
      <c r="H805" s="36"/>
      <c r="I805" s="36"/>
      <c r="M805" s="36"/>
      <c r="N805" s="36"/>
      <c r="O805" s="36"/>
      <c r="Q805" s="36"/>
      <c r="R805" s="36"/>
      <c r="S805" s="36"/>
    </row>
    <row r="806">
      <c r="B806" s="36"/>
      <c r="C806" s="36"/>
      <c r="D806" s="36"/>
      <c r="G806" s="36"/>
      <c r="H806" s="36"/>
      <c r="I806" s="36"/>
      <c r="M806" s="36"/>
      <c r="N806" s="36"/>
      <c r="O806" s="36"/>
      <c r="Q806" s="36"/>
      <c r="R806" s="36"/>
      <c r="S806" s="36"/>
    </row>
    <row r="807">
      <c r="B807" s="36"/>
      <c r="C807" s="36"/>
      <c r="D807" s="36"/>
      <c r="G807" s="36"/>
      <c r="H807" s="36"/>
      <c r="I807" s="36"/>
      <c r="M807" s="36"/>
      <c r="N807" s="36"/>
      <c r="O807" s="36"/>
      <c r="Q807" s="36"/>
      <c r="R807" s="36"/>
      <c r="S807" s="36"/>
    </row>
    <row r="808">
      <c r="B808" s="36"/>
      <c r="C808" s="36"/>
      <c r="D808" s="36"/>
      <c r="G808" s="36"/>
      <c r="H808" s="36"/>
      <c r="I808" s="36"/>
      <c r="M808" s="36"/>
      <c r="N808" s="36"/>
      <c r="O808" s="36"/>
      <c r="Q808" s="36"/>
      <c r="R808" s="36"/>
      <c r="S808" s="36"/>
    </row>
    <row r="809">
      <c r="B809" s="36"/>
      <c r="C809" s="36"/>
      <c r="D809" s="36"/>
      <c r="G809" s="36"/>
      <c r="H809" s="36"/>
      <c r="I809" s="36"/>
      <c r="M809" s="36"/>
      <c r="N809" s="36"/>
      <c r="O809" s="36"/>
      <c r="Q809" s="36"/>
      <c r="R809" s="36"/>
      <c r="S809" s="36"/>
    </row>
    <row r="810">
      <c r="B810" s="36"/>
      <c r="C810" s="36"/>
      <c r="D810" s="36"/>
      <c r="G810" s="36"/>
      <c r="H810" s="36"/>
      <c r="I810" s="36"/>
      <c r="M810" s="36"/>
      <c r="N810" s="36"/>
      <c r="O810" s="36"/>
      <c r="Q810" s="36"/>
      <c r="R810" s="36"/>
      <c r="S810" s="36"/>
    </row>
    <row r="811">
      <c r="B811" s="36"/>
      <c r="C811" s="36"/>
      <c r="D811" s="36"/>
      <c r="G811" s="36"/>
      <c r="H811" s="36"/>
      <c r="I811" s="36"/>
      <c r="M811" s="36"/>
      <c r="N811" s="36"/>
      <c r="O811" s="36"/>
      <c r="Q811" s="36"/>
      <c r="R811" s="36"/>
      <c r="S811" s="36"/>
    </row>
    <row r="812">
      <c r="B812" s="36"/>
      <c r="C812" s="36"/>
      <c r="D812" s="36"/>
      <c r="G812" s="36"/>
      <c r="H812" s="36"/>
      <c r="I812" s="36"/>
      <c r="M812" s="36"/>
      <c r="N812" s="36"/>
      <c r="O812" s="36"/>
      <c r="Q812" s="36"/>
      <c r="R812" s="36"/>
      <c r="S812" s="36"/>
    </row>
    <row r="813">
      <c r="B813" s="36"/>
      <c r="C813" s="36"/>
      <c r="D813" s="36"/>
      <c r="G813" s="36"/>
      <c r="H813" s="36"/>
      <c r="I813" s="36"/>
      <c r="M813" s="36"/>
      <c r="N813" s="36"/>
      <c r="O813" s="36"/>
      <c r="Q813" s="36"/>
      <c r="R813" s="36"/>
      <c r="S813" s="36"/>
    </row>
    <row r="814">
      <c r="B814" s="36"/>
      <c r="C814" s="36"/>
      <c r="D814" s="36"/>
      <c r="G814" s="36"/>
      <c r="H814" s="36"/>
      <c r="I814" s="36"/>
      <c r="M814" s="36"/>
      <c r="N814" s="36"/>
      <c r="O814" s="36"/>
      <c r="Q814" s="36"/>
      <c r="R814" s="36"/>
      <c r="S814" s="36"/>
    </row>
    <row r="815">
      <c r="B815" s="36"/>
      <c r="C815" s="36"/>
      <c r="D815" s="36"/>
      <c r="G815" s="36"/>
      <c r="H815" s="36"/>
      <c r="I815" s="36"/>
      <c r="M815" s="36"/>
      <c r="N815" s="36"/>
      <c r="O815" s="36"/>
      <c r="Q815" s="36"/>
      <c r="R815" s="36"/>
      <c r="S815" s="36"/>
    </row>
    <row r="816">
      <c r="B816" s="36"/>
      <c r="C816" s="36"/>
      <c r="D816" s="36"/>
      <c r="G816" s="36"/>
      <c r="H816" s="36"/>
      <c r="I816" s="36"/>
      <c r="M816" s="36"/>
      <c r="N816" s="36"/>
      <c r="O816" s="36"/>
      <c r="Q816" s="36"/>
      <c r="R816" s="36"/>
      <c r="S816" s="36"/>
    </row>
    <row r="817">
      <c r="B817" s="36"/>
      <c r="C817" s="36"/>
      <c r="D817" s="36"/>
      <c r="G817" s="36"/>
      <c r="H817" s="36"/>
      <c r="I817" s="36"/>
      <c r="M817" s="36"/>
      <c r="N817" s="36"/>
      <c r="O817" s="36"/>
      <c r="Q817" s="36"/>
      <c r="R817" s="36"/>
      <c r="S817" s="36"/>
    </row>
    <row r="818">
      <c r="B818" s="36"/>
      <c r="C818" s="36"/>
      <c r="D818" s="36"/>
      <c r="G818" s="36"/>
      <c r="H818" s="36"/>
      <c r="I818" s="36"/>
      <c r="M818" s="36"/>
      <c r="N818" s="36"/>
      <c r="O818" s="36"/>
      <c r="Q818" s="36"/>
      <c r="R818" s="36"/>
      <c r="S818" s="36"/>
    </row>
    <row r="819">
      <c r="B819" s="36"/>
      <c r="C819" s="36"/>
      <c r="D819" s="36"/>
      <c r="G819" s="36"/>
      <c r="H819" s="36"/>
      <c r="I819" s="36"/>
      <c r="M819" s="36"/>
      <c r="N819" s="36"/>
      <c r="O819" s="36"/>
      <c r="Q819" s="36"/>
      <c r="R819" s="36"/>
      <c r="S819" s="36"/>
    </row>
    <row r="820">
      <c r="B820" s="36"/>
      <c r="C820" s="36"/>
      <c r="D820" s="36"/>
      <c r="G820" s="36"/>
      <c r="H820" s="36"/>
      <c r="I820" s="36"/>
      <c r="M820" s="36"/>
      <c r="N820" s="36"/>
      <c r="O820" s="36"/>
      <c r="Q820" s="36"/>
      <c r="R820" s="36"/>
      <c r="S820" s="36"/>
    </row>
    <row r="821">
      <c r="B821" s="36"/>
      <c r="C821" s="36"/>
      <c r="D821" s="36"/>
      <c r="G821" s="36"/>
      <c r="H821" s="36"/>
      <c r="I821" s="36"/>
      <c r="M821" s="36"/>
      <c r="N821" s="36"/>
      <c r="O821" s="36"/>
      <c r="Q821" s="36"/>
      <c r="R821" s="36"/>
      <c r="S821" s="36"/>
    </row>
    <row r="822">
      <c r="B822" s="36"/>
      <c r="C822" s="36"/>
      <c r="D822" s="36"/>
      <c r="G822" s="36"/>
      <c r="H822" s="36"/>
      <c r="I822" s="36"/>
      <c r="M822" s="36"/>
      <c r="N822" s="36"/>
      <c r="O822" s="36"/>
      <c r="Q822" s="36"/>
      <c r="R822" s="36"/>
      <c r="S822" s="36"/>
    </row>
    <row r="823">
      <c r="B823" s="36"/>
      <c r="C823" s="36"/>
      <c r="D823" s="36"/>
      <c r="G823" s="36"/>
      <c r="H823" s="36"/>
      <c r="I823" s="36"/>
      <c r="M823" s="36"/>
      <c r="N823" s="36"/>
      <c r="O823" s="36"/>
      <c r="Q823" s="36"/>
      <c r="R823" s="36"/>
      <c r="S823" s="36"/>
    </row>
    <row r="824">
      <c r="B824" s="36"/>
      <c r="C824" s="36"/>
      <c r="D824" s="36"/>
      <c r="G824" s="36"/>
      <c r="H824" s="36"/>
      <c r="I824" s="36"/>
      <c r="M824" s="36"/>
      <c r="N824" s="36"/>
      <c r="O824" s="36"/>
      <c r="Q824" s="36"/>
      <c r="R824" s="36"/>
      <c r="S824" s="36"/>
    </row>
    <row r="825">
      <c r="B825" s="36"/>
      <c r="C825" s="36"/>
      <c r="D825" s="36"/>
      <c r="G825" s="36"/>
      <c r="H825" s="36"/>
      <c r="I825" s="36"/>
      <c r="M825" s="36"/>
      <c r="N825" s="36"/>
      <c r="O825" s="36"/>
      <c r="Q825" s="36"/>
      <c r="R825" s="36"/>
      <c r="S825" s="36"/>
    </row>
    <row r="826">
      <c r="B826" s="36"/>
      <c r="C826" s="36"/>
      <c r="D826" s="36"/>
      <c r="G826" s="36"/>
      <c r="H826" s="36"/>
      <c r="I826" s="36"/>
      <c r="M826" s="36"/>
      <c r="N826" s="36"/>
      <c r="O826" s="36"/>
      <c r="Q826" s="36"/>
      <c r="R826" s="36"/>
      <c r="S826" s="36"/>
    </row>
    <row r="827">
      <c r="B827" s="36"/>
      <c r="C827" s="36"/>
      <c r="D827" s="36"/>
      <c r="G827" s="36"/>
      <c r="H827" s="36"/>
      <c r="I827" s="36"/>
      <c r="M827" s="36"/>
      <c r="N827" s="36"/>
      <c r="O827" s="36"/>
      <c r="Q827" s="36"/>
      <c r="R827" s="36"/>
      <c r="S827" s="36"/>
    </row>
    <row r="828">
      <c r="B828" s="36"/>
      <c r="C828" s="36"/>
      <c r="D828" s="36"/>
      <c r="G828" s="36"/>
      <c r="H828" s="36"/>
      <c r="I828" s="36"/>
      <c r="M828" s="36"/>
      <c r="N828" s="36"/>
      <c r="O828" s="36"/>
      <c r="Q828" s="36"/>
      <c r="R828" s="36"/>
      <c r="S828" s="36"/>
    </row>
    <row r="829">
      <c r="B829" s="36"/>
      <c r="C829" s="36"/>
      <c r="D829" s="36"/>
      <c r="G829" s="36"/>
      <c r="H829" s="36"/>
      <c r="I829" s="36"/>
      <c r="M829" s="36"/>
      <c r="N829" s="36"/>
      <c r="O829" s="36"/>
      <c r="Q829" s="36"/>
      <c r="R829" s="36"/>
      <c r="S829" s="36"/>
    </row>
    <row r="830">
      <c r="B830" s="36"/>
      <c r="C830" s="36"/>
      <c r="D830" s="36"/>
      <c r="G830" s="36"/>
      <c r="H830" s="36"/>
      <c r="I830" s="36"/>
      <c r="M830" s="36"/>
      <c r="N830" s="36"/>
      <c r="O830" s="36"/>
      <c r="Q830" s="36"/>
      <c r="R830" s="36"/>
      <c r="S830" s="36"/>
    </row>
    <row r="831">
      <c r="B831" s="36"/>
      <c r="C831" s="36"/>
      <c r="D831" s="36"/>
      <c r="G831" s="36"/>
      <c r="H831" s="36"/>
      <c r="I831" s="36"/>
      <c r="M831" s="36"/>
      <c r="N831" s="36"/>
      <c r="O831" s="36"/>
      <c r="Q831" s="36"/>
      <c r="R831" s="36"/>
      <c r="S831" s="36"/>
    </row>
    <row r="832">
      <c r="B832" s="36"/>
      <c r="C832" s="36"/>
      <c r="D832" s="36"/>
      <c r="G832" s="36"/>
      <c r="H832" s="36"/>
      <c r="I832" s="36"/>
      <c r="M832" s="36"/>
      <c r="N832" s="36"/>
      <c r="O832" s="36"/>
      <c r="Q832" s="36"/>
      <c r="R832" s="36"/>
      <c r="S832" s="36"/>
    </row>
    <row r="833">
      <c r="B833" s="36"/>
      <c r="C833" s="36"/>
      <c r="D833" s="36"/>
      <c r="G833" s="36"/>
      <c r="H833" s="36"/>
      <c r="I833" s="36"/>
      <c r="M833" s="36"/>
      <c r="N833" s="36"/>
      <c r="O833" s="36"/>
      <c r="Q833" s="36"/>
      <c r="R833" s="36"/>
      <c r="S833" s="36"/>
    </row>
    <row r="834">
      <c r="B834" s="36"/>
      <c r="C834" s="36"/>
      <c r="D834" s="36"/>
      <c r="G834" s="36"/>
      <c r="H834" s="36"/>
      <c r="I834" s="36"/>
      <c r="M834" s="36"/>
      <c r="N834" s="36"/>
      <c r="O834" s="36"/>
      <c r="Q834" s="36"/>
      <c r="R834" s="36"/>
      <c r="S834" s="36"/>
    </row>
    <row r="835">
      <c r="B835" s="36"/>
      <c r="C835" s="36"/>
      <c r="D835" s="36"/>
      <c r="G835" s="36"/>
      <c r="H835" s="36"/>
      <c r="I835" s="36"/>
      <c r="M835" s="36"/>
      <c r="N835" s="36"/>
      <c r="O835" s="36"/>
      <c r="Q835" s="36"/>
      <c r="R835" s="36"/>
      <c r="S835" s="36"/>
    </row>
    <row r="836">
      <c r="B836" s="36"/>
      <c r="C836" s="36"/>
      <c r="D836" s="36"/>
      <c r="G836" s="36"/>
      <c r="H836" s="36"/>
      <c r="I836" s="36"/>
      <c r="M836" s="36"/>
      <c r="N836" s="36"/>
      <c r="O836" s="36"/>
      <c r="Q836" s="36"/>
      <c r="R836" s="36"/>
      <c r="S836" s="36"/>
    </row>
    <row r="837">
      <c r="B837" s="36"/>
      <c r="C837" s="36"/>
      <c r="D837" s="36"/>
      <c r="G837" s="36"/>
      <c r="H837" s="36"/>
      <c r="I837" s="36"/>
      <c r="M837" s="36"/>
      <c r="N837" s="36"/>
      <c r="O837" s="36"/>
      <c r="Q837" s="36"/>
      <c r="R837" s="36"/>
      <c r="S837" s="36"/>
    </row>
    <row r="838">
      <c r="B838" s="36"/>
      <c r="C838" s="36"/>
      <c r="D838" s="36"/>
      <c r="G838" s="36"/>
      <c r="H838" s="36"/>
      <c r="I838" s="36"/>
      <c r="M838" s="36"/>
      <c r="N838" s="36"/>
      <c r="O838" s="36"/>
      <c r="Q838" s="36"/>
      <c r="R838" s="36"/>
      <c r="S838" s="36"/>
    </row>
    <row r="839">
      <c r="B839" s="36"/>
      <c r="C839" s="36"/>
      <c r="D839" s="36"/>
      <c r="G839" s="36"/>
      <c r="H839" s="36"/>
      <c r="I839" s="36"/>
      <c r="M839" s="36"/>
      <c r="N839" s="36"/>
      <c r="O839" s="36"/>
      <c r="Q839" s="36"/>
      <c r="R839" s="36"/>
      <c r="S839" s="36"/>
    </row>
    <row r="840">
      <c r="B840" s="36"/>
      <c r="C840" s="36"/>
      <c r="D840" s="36"/>
      <c r="G840" s="36"/>
      <c r="H840" s="36"/>
      <c r="I840" s="36"/>
      <c r="M840" s="36"/>
      <c r="N840" s="36"/>
      <c r="O840" s="36"/>
      <c r="Q840" s="36"/>
      <c r="R840" s="36"/>
      <c r="S840" s="36"/>
    </row>
    <row r="841">
      <c r="B841" s="36"/>
      <c r="C841" s="36"/>
      <c r="D841" s="36"/>
      <c r="G841" s="36"/>
      <c r="H841" s="36"/>
      <c r="I841" s="36"/>
      <c r="M841" s="36"/>
      <c r="N841" s="36"/>
      <c r="O841" s="36"/>
      <c r="Q841" s="36"/>
      <c r="R841" s="36"/>
      <c r="S841" s="36"/>
    </row>
    <row r="842">
      <c r="B842" s="36"/>
      <c r="C842" s="36"/>
      <c r="D842" s="36"/>
      <c r="G842" s="36"/>
      <c r="H842" s="36"/>
      <c r="I842" s="36"/>
      <c r="M842" s="36"/>
      <c r="N842" s="36"/>
      <c r="O842" s="36"/>
      <c r="Q842" s="36"/>
      <c r="R842" s="36"/>
      <c r="S842" s="36"/>
    </row>
    <row r="843">
      <c r="B843" s="36"/>
      <c r="C843" s="36"/>
      <c r="D843" s="36"/>
      <c r="G843" s="36"/>
      <c r="H843" s="36"/>
      <c r="I843" s="36"/>
      <c r="M843" s="36"/>
      <c r="N843" s="36"/>
      <c r="O843" s="36"/>
      <c r="Q843" s="36"/>
      <c r="R843" s="36"/>
      <c r="S843" s="36"/>
    </row>
    <row r="844">
      <c r="B844" s="36"/>
      <c r="C844" s="36"/>
      <c r="D844" s="36"/>
      <c r="G844" s="36"/>
      <c r="H844" s="36"/>
      <c r="I844" s="36"/>
      <c r="M844" s="36"/>
      <c r="N844" s="36"/>
      <c r="O844" s="36"/>
      <c r="Q844" s="36"/>
      <c r="R844" s="36"/>
      <c r="S844" s="36"/>
    </row>
    <row r="845">
      <c r="B845" s="36"/>
      <c r="C845" s="36"/>
      <c r="D845" s="36"/>
      <c r="G845" s="36"/>
      <c r="H845" s="36"/>
      <c r="I845" s="36"/>
      <c r="M845" s="36"/>
      <c r="N845" s="36"/>
      <c r="O845" s="36"/>
      <c r="Q845" s="36"/>
      <c r="R845" s="36"/>
      <c r="S845" s="36"/>
    </row>
    <row r="846">
      <c r="B846" s="36"/>
      <c r="C846" s="36"/>
      <c r="D846" s="36"/>
      <c r="G846" s="36"/>
      <c r="H846" s="36"/>
      <c r="I846" s="36"/>
      <c r="M846" s="36"/>
      <c r="N846" s="36"/>
      <c r="O846" s="36"/>
      <c r="Q846" s="36"/>
      <c r="R846" s="36"/>
      <c r="S846" s="36"/>
    </row>
    <row r="847">
      <c r="B847" s="36"/>
      <c r="C847" s="36"/>
      <c r="D847" s="36"/>
      <c r="G847" s="36"/>
      <c r="H847" s="36"/>
      <c r="I847" s="36"/>
      <c r="M847" s="36"/>
      <c r="N847" s="36"/>
      <c r="O847" s="36"/>
      <c r="Q847" s="36"/>
      <c r="R847" s="36"/>
      <c r="S847" s="36"/>
    </row>
    <row r="848">
      <c r="B848" s="36"/>
      <c r="C848" s="36"/>
      <c r="D848" s="36"/>
      <c r="G848" s="36"/>
      <c r="H848" s="36"/>
      <c r="I848" s="36"/>
      <c r="M848" s="36"/>
      <c r="N848" s="36"/>
      <c r="O848" s="36"/>
      <c r="Q848" s="36"/>
      <c r="R848" s="36"/>
      <c r="S848" s="36"/>
    </row>
    <row r="849">
      <c r="B849" s="36"/>
      <c r="C849" s="36"/>
      <c r="D849" s="36"/>
      <c r="G849" s="36"/>
      <c r="H849" s="36"/>
      <c r="I849" s="36"/>
      <c r="M849" s="36"/>
      <c r="N849" s="36"/>
      <c r="O849" s="36"/>
      <c r="Q849" s="36"/>
      <c r="R849" s="36"/>
      <c r="S849" s="36"/>
    </row>
    <row r="850">
      <c r="B850" s="36"/>
      <c r="C850" s="36"/>
      <c r="D850" s="36"/>
      <c r="G850" s="36"/>
      <c r="H850" s="36"/>
      <c r="I850" s="36"/>
      <c r="M850" s="36"/>
      <c r="N850" s="36"/>
      <c r="O850" s="36"/>
      <c r="Q850" s="36"/>
      <c r="R850" s="36"/>
      <c r="S850" s="36"/>
    </row>
    <row r="851">
      <c r="B851" s="36"/>
      <c r="C851" s="36"/>
      <c r="D851" s="36"/>
      <c r="G851" s="36"/>
      <c r="H851" s="36"/>
      <c r="I851" s="36"/>
      <c r="M851" s="36"/>
      <c r="N851" s="36"/>
      <c r="O851" s="36"/>
      <c r="Q851" s="36"/>
      <c r="R851" s="36"/>
      <c r="S851" s="36"/>
    </row>
    <row r="852">
      <c r="B852" s="36"/>
      <c r="C852" s="36"/>
      <c r="D852" s="36"/>
      <c r="G852" s="36"/>
      <c r="H852" s="36"/>
      <c r="I852" s="36"/>
      <c r="M852" s="36"/>
      <c r="N852" s="36"/>
      <c r="O852" s="36"/>
      <c r="Q852" s="36"/>
      <c r="R852" s="36"/>
      <c r="S852" s="36"/>
    </row>
    <row r="853">
      <c r="B853" s="36"/>
      <c r="C853" s="36"/>
      <c r="D853" s="36"/>
      <c r="G853" s="36"/>
      <c r="H853" s="36"/>
      <c r="I853" s="36"/>
      <c r="M853" s="36"/>
      <c r="N853" s="36"/>
      <c r="O853" s="36"/>
      <c r="Q853" s="36"/>
      <c r="R853" s="36"/>
      <c r="S853" s="36"/>
    </row>
    <row r="854">
      <c r="B854" s="36"/>
      <c r="C854" s="36"/>
      <c r="D854" s="36"/>
      <c r="G854" s="36"/>
      <c r="H854" s="36"/>
      <c r="I854" s="36"/>
      <c r="M854" s="36"/>
      <c r="N854" s="36"/>
      <c r="O854" s="36"/>
      <c r="Q854" s="36"/>
      <c r="R854" s="36"/>
      <c r="S854" s="36"/>
    </row>
    <row r="855">
      <c r="B855" s="36"/>
      <c r="C855" s="36"/>
      <c r="D855" s="36"/>
      <c r="G855" s="36"/>
      <c r="H855" s="36"/>
      <c r="I855" s="36"/>
      <c r="M855" s="36"/>
      <c r="N855" s="36"/>
      <c r="O855" s="36"/>
      <c r="Q855" s="36"/>
      <c r="R855" s="36"/>
      <c r="S855" s="36"/>
    </row>
    <row r="856">
      <c r="B856" s="36"/>
      <c r="C856" s="36"/>
      <c r="D856" s="36"/>
      <c r="G856" s="36"/>
      <c r="H856" s="36"/>
      <c r="I856" s="36"/>
      <c r="M856" s="36"/>
      <c r="N856" s="36"/>
      <c r="O856" s="36"/>
      <c r="Q856" s="36"/>
      <c r="R856" s="36"/>
      <c r="S856" s="36"/>
    </row>
    <row r="857">
      <c r="B857" s="36"/>
      <c r="C857" s="36"/>
      <c r="D857" s="36"/>
      <c r="G857" s="36"/>
      <c r="H857" s="36"/>
      <c r="I857" s="36"/>
      <c r="M857" s="36"/>
      <c r="N857" s="36"/>
      <c r="O857" s="36"/>
      <c r="Q857" s="36"/>
      <c r="R857" s="36"/>
      <c r="S857" s="36"/>
    </row>
    <row r="858">
      <c r="B858" s="36"/>
      <c r="C858" s="36"/>
      <c r="D858" s="36"/>
      <c r="G858" s="36"/>
      <c r="H858" s="36"/>
      <c r="I858" s="36"/>
      <c r="M858" s="36"/>
      <c r="N858" s="36"/>
      <c r="O858" s="36"/>
      <c r="Q858" s="36"/>
      <c r="R858" s="36"/>
      <c r="S858" s="36"/>
    </row>
    <row r="859">
      <c r="B859" s="36"/>
      <c r="C859" s="36"/>
      <c r="D859" s="36"/>
      <c r="G859" s="36"/>
      <c r="H859" s="36"/>
      <c r="I859" s="36"/>
      <c r="M859" s="36"/>
      <c r="N859" s="36"/>
      <c r="O859" s="36"/>
      <c r="Q859" s="36"/>
      <c r="R859" s="36"/>
      <c r="S859" s="36"/>
    </row>
    <row r="860">
      <c r="B860" s="36"/>
      <c r="C860" s="36"/>
      <c r="D860" s="36"/>
      <c r="G860" s="36"/>
      <c r="H860" s="36"/>
      <c r="I860" s="36"/>
      <c r="M860" s="36"/>
      <c r="N860" s="36"/>
      <c r="O860" s="36"/>
      <c r="Q860" s="36"/>
      <c r="R860" s="36"/>
      <c r="S860" s="36"/>
    </row>
    <row r="861">
      <c r="B861" s="36"/>
      <c r="C861" s="36"/>
      <c r="D861" s="36"/>
      <c r="G861" s="36"/>
      <c r="H861" s="36"/>
      <c r="I861" s="36"/>
      <c r="M861" s="36"/>
      <c r="N861" s="36"/>
      <c r="O861" s="36"/>
      <c r="Q861" s="36"/>
      <c r="R861" s="36"/>
      <c r="S861" s="36"/>
    </row>
    <row r="862">
      <c r="B862" s="36"/>
      <c r="C862" s="36"/>
      <c r="D862" s="36"/>
      <c r="G862" s="36"/>
      <c r="H862" s="36"/>
      <c r="I862" s="36"/>
      <c r="M862" s="36"/>
      <c r="N862" s="36"/>
      <c r="O862" s="36"/>
      <c r="Q862" s="36"/>
      <c r="R862" s="36"/>
      <c r="S862" s="36"/>
    </row>
    <row r="863">
      <c r="B863" s="36"/>
      <c r="C863" s="36"/>
      <c r="D863" s="36"/>
      <c r="G863" s="36"/>
      <c r="H863" s="36"/>
      <c r="I863" s="36"/>
      <c r="M863" s="36"/>
      <c r="N863" s="36"/>
      <c r="O863" s="36"/>
      <c r="Q863" s="36"/>
      <c r="R863" s="36"/>
      <c r="S863" s="36"/>
    </row>
    <row r="864">
      <c r="B864" s="36"/>
      <c r="C864" s="36"/>
      <c r="D864" s="36"/>
      <c r="G864" s="36"/>
      <c r="H864" s="36"/>
      <c r="I864" s="36"/>
      <c r="M864" s="36"/>
      <c r="N864" s="36"/>
      <c r="O864" s="36"/>
      <c r="Q864" s="36"/>
      <c r="R864" s="36"/>
      <c r="S864" s="36"/>
    </row>
    <row r="865">
      <c r="B865" s="36"/>
      <c r="C865" s="36"/>
      <c r="D865" s="36"/>
      <c r="G865" s="36"/>
      <c r="H865" s="36"/>
      <c r="I865" s="36"/>
      <c r="M865" s="36"/>
      <c r="N865" s="36"/>
      <c r="O865" s="36"/>
      <c r="Q865" s="36"/>
      <c r="R865" s="36"/>
      <c r="S865" s="36"/>
    </row>
    <row r="866">
      <c r="B866" s="36"/>
      <c r="C866" s="36"/>
      <c r="D866" s="36"/>
      <c r="G866" s="36"/>
      <c r="H866" s="36"/>
      <c r="I866" s="36"/>
      <c r="M866" s="36"/>
      <c r="N866" s="36"/>
      <c r="O866" s="36"/>
      <c r="Q866" s="36"/>
      <c r="R866" s="36"/>
      <c r="S866" s="36"/>
    </row>
    <row r="867">
      <c r="B867" s="36"/>
      <c r="C867" s="36"/>
      <c r="D867" s="36"/>
      <c r="G867" s="36"/>
      <c r="H867" s="36"/>
      <c r="I867" s="36"/>
      <c r="M867" s="36"/>
      <c r="N867" s="36"/>
      <c r="O867" s="36"/>
      <c r="Q867" s="36"/>
      <c r="R867" s="36"/>
      <c r="S867" s="36"/>
    </row>
    <row r="868">
      <c r="B868" s="36"/>
      <c r="C868" s="36"/>
      <c r="D868" s="36"/>
      <c r="G868" s="36"/>
      <c r="H868" s="36"/>
      <c r="I868" s="36"/>
      <c r="M868" s="36"/>
      <c r="N868" s="36"/>
      <c r="O868" s="36"/>
      <c r="Q868" s="36"/>
      <c r="R868" s="36"/>
      <c r="S868" s="36"/>
    </row>
    <row r="869">
      <c r="B869" s="36"/>
      <c r="C869" s="36"/>
      <c r="D869" s="36"/>
      <c r="G869" s="36"/>
      <c r="H869" s="36"/>
      <c r="I869" s="36"/>
      <c r="M869" s="36"/>
      <c r="N869" s="36"/>
      <c r="O869" s="36"/>
      <c r="Q869" s="36"/>
      <c r="R869" s="36"/>
      <c r="S869" s="36"/>
    </row>
    <row r="870">
      <c r="B870" s="36"/>
      <c r="C870" s="36"/>
      <c r="D870" s="36"/>
      <c r="G870" s="36"/>
      <c r="H870" s="36"/>
      <c r="I870" s="36"/>
      <c r="M870" s="36"/>
      <c r="N870" s="36"/>
      <c r="O870" s="36"/>
      <c r="Q870" s="36"/>
      <c r="R870" s="36"/>
      <c r="S870" s="36"/>
    </row>
    <row r="871">
      <c r="B871" s="36"/>
      <c r="C871" s="36"/>
      <c r="D871" s="36"/>
      <c r="G871" s="36"/>
      <c r="H871" s="36"/>
      <c r="I871" s="36"/>
      <c r="M871" s="36"/>
      <c r="N871" s="36"/>
      <c r="O871" s="36"/>
      <c r="Q871" s="36"/>
      <c r="R871" s="36"/>
      <c r="S871" s="36"/>
    </row>
    <row r="872">
      <c r="B872" s="36"/>
      <c r="C872" s="36"/>
      <c r="D872" s="36"/>
      <c r="G872" s="36"/>
      <c r="H872" s="36"/>
      <c r="I872" s="36"/>
      <c r="M872" s="36"/>
      <c r="N872" s="36"/>
      <c r="O872" s="36"/>
      <c r="Q872" s="36"/>
      <c r="R872" s="36"/>
      <c r="S872" s="36"/>
    </row>
    <row r="873">
      <c r="B873" s="36"/>
      <c r="C873" s="36"/>
      <c r="D873" s="36"/>
      <c r="G873" s="36"/>
      <c r="H873" s="36"/>
      <c r="I873" s="36"/>
      <c r="M873" s="36"/>
      <c r="N873" s="36"/>
      <c r="O873" s="36"/>
      <c r="Q873" s="36"/>
      <c r="R873" s="36"/>
      <c r="S873" s="36"/>
    </row>
    <row r="874">
      <c r="B874" s="36"/>
      <c r="C874" s="36"/>
      <c r="D874" s="36"/>
      <c r="G874" s="36"/>
      <c r="H874" s="36"/>
      <c r="I874" s="36"/>
      <c r="M874" s="36"/>
      <c r="N874" s="36"/>
      <c r="O874" s="36"/>
      <c r="Q874" s="36"/>
      <c r="R874" s="36"/>
      <c r="S874" s="36"/>
    </row>
    <row r="875">
      <c r="B875" s="36"/>
      <c r="C875" s="36"/>
      <c r="D875" s="36"/>
      <c r="G875" s="36"/>
      <c r="H875" s="36"/>
      <c r="I875" s="36"/>
      <c r="M875" s="36"/>
      <c r="N875" s="36"/>
      <c r="O875" s="36"/>
      <c r="Q875" s="36"/>
      <c r="R875" s="36"/>
      <c r="S875" s="36"/>
    </row>
    <row r="876">
      <c r="B876" s="36"/>
      <c r="C876" s="36"/>
      <c r="D876" s="36"/>
      <c r="G876" s="36"/>
      <c r="H876" s="36"/>
      <c r="I876" s="36"/>
      <c r="M876" s="36"/>
      <c r="N876" s="36"/>
      <c r="O876" s="36"/>
      <c r="Q876" s="36"/>
      <c r="R876" s="36"/>
      <c r="S876" s="36"/>
    </row>
    <row r="877">
      <c r="B877" s="36"/>
      <c r="C877" s="36"/>
      <c r="D877" s="36"/>
      <c r="G877" s="36"/>
      <c r="H877" s="36"/>
      <c r="I877" s="36"/>
      <c r="M877" s="36"/>
      <c r="N877" s="36"/>
      <c r="O877" s="36"/>
      <c r="Q877" s="36"/>
      <c r="R877" s="36"/>
      <c r="S877" s="36"/>
    </row>
    <row r="878">
      <c r="B878" s="36"/>
      <c r="C878" s="36"/>
      <c r="D878" s="36"/>
      <c r="G878" s="36"/>
      <c r="H878" s="36"/>
      <c r="I878" s="36"/>
      <c r="M878" s="36"/>
      <c r="N878" s="36"/>
      <c r="O878" s="36"/>
      <c r="Q878" s="36"/>
      <c r="R878" s="36"/>
      <c r="S878" s="36"/>
    </row>
    <row r="879">
      <c r="B879" s="36"/>
      <c r="C879" s="36"/>
      <c r="D879" s="36"/>
      <c r="G879" s="36"/>
      <c r="H879" s="36"/>
      <c r="I879" s="36"/>
      <c r="M879" s="36"/>
      <c r="N879" s="36"/>
      <c r="O879" s="36"/>
      <c r="Q879" s="36"/>
      <c r="R879" s="36"/>
      <c r="S879" s="36"/>
    </row>
    <row r="880">
      <c r="B880" s="36"/>
      <c r="C880" s="36"/>
      <c r="D880" s="36"/>
      <c r="G880" s="36"/>
      <c r="H880" s="36"/>
      <c r="I880" s="36"/>
      <c r="M880" s="36"/>
      <c r="N880" s="36"/>
      <c r="O880" s="36"/>
      <c r="Q880" s="36"/>
      <c r="R880" s="36"/>
      <c r="S880" s="36"/>
    </row>
    <row r="881">
      <c r="B881" s="36"/>
      <c r="C881" s="36"/>
      <c r="D881" s="36"/>
      <c r="G881" s="36"/>
      <c r="H881" s="36"/>
      <c r="I881" s="36"/>
      <c r="M881" s="36"/>
      <c r="N881" s="36"/>
      <c r="O881" s="36"/>
      <c r="Q881" s="36"/>
      <c r="R881" s="36"/>
      <c r="S881" s="36"/>
    </row>
    <row r="882">
      <c r="B882" s="36"/>
      <c r="C882" s="36"/>
      <c r="D882" s="36"/>
      <c r="G882" s="36"/>
      <c r="H882" s="36"/>
      <c r="I882" s="36"/>
      <c r="M882" s="36"/>
      <c r="N882" s="36"/>
      <c r="O882" s="36"/>
      <c r="Q882" s="36"/>
      <c r="R882" s="36"/>
      <c r="S882" s="36"/>
    </row>
    <row r="883">
      <c r="B883" s="36"/>
      <c r="C883" s="36"/>
      <c r="D883" s="36"/>
      <c r="G883" s="36"/>
      <c r="H883" s="36"/>
      <c r="I883" s="36"/>
      <c r="M883" s="36"/>
      <c r="N883" s="36"/>
      <c r="O883" s="36"/>
      <c r="Q883" s="36"/>
      <c r="R883" s="36"/>
      <c r="S883" s="36"/>
    </row>
    <row r="884">
      <c r="B884" s="36"/>
      <c r="C884" s="36"/>
      <c r="D884" s="36"/>
      <c r="G884" s="36"/>
      <c r="H884" s="36"/>
      <c r="I884" s="36"/>
      <c r="M884" s="36"/>
      <c r="N884" s="36"/>
      <c r="O884" s="36"/>
      <c r="Q884" s="36"/>
      <c r="R884" s="36"/>
      <c r="S884" s="36"/>
    </row>
    <row r="885">
      <c r="B885" s="36"/>
      <c r="C885" s="36"/>
      <c r="D885" s="36"/>
      <c r="G885" s="36"/>
      <c r="H885" s="36"/>
      <c r="I885" s="36"/>
      <c r="M885" s="36"/>
      <c r="N885" s="36"/>
      <c r="O885" s="36"/>
      <c r="Q885" s="36"/>
      <c r="R885" s="36"/>
      <c r="S885" s="36"/>
    </row>
    <row r="886">
      <c r="B886" s="36"/>
      <c r="C886" s="36"/>
      <c r="D886" s="36"/>
      <c r="G886" s="36"/>
      <c r="H886" s="36"/>
      <c r="I886" s="36"/>
      <c r="M886" s="36"/>
      <c r="N886" s="36"/>
      <c r="O886" s="36"/>
      <c r="Q886" s="36"/>
      <c r="R886" s="36"/>
      <c r="S886" s="36"/>
    </row>
    <row r="887">
      <c r="B887" s="36"/>
      <c r="C887" s="36"/>
      <c r="D887" s="36"/>
      <c r="G887" s="36"/>
      <c r="H887" s="36"/>
      <c r="I887" s="36"/>
      <c r="M887" s="36"/>
      <c r="N887" s="36"/>
      <c r="O887" s="36"/>
      <c r="Q887" s="36"/>
      <c r="R887" s="36"/>
      <c r="S887" s="36"/>
    </row>
    <row r="888">
      <c r="B888" s="36"/>
      <c r="C888" s="36"/>
      <c r="D888" s="36"/>
      <c r="G888" s="36"/>
      <c r="H888" s="36"/>
      <c r="I888" s="36"/>
      <c r="M888" s="36"/>
      <c r="N888" s="36"/>
      <c r="O888" s="36"/>
      <c r="Q888" s="36"/>
      <c r="R888" s="36"/>
      <c r="S888" s="36"/>
    </row>
    <row r="889">
      <c r="B889" s="36"/>
      <c r="C889" s="36"/>
      <c r="D889" s="36"/>
      <c r="G889" s="36"/>
      <c r="H889" s="36"/>
      <c r="I889" s="36"/>
      <c r="M889" s="36"/>
      <c r="N889" s="36"/>
      <c r="O889" s="36"/>
      <c r="Q889" s="36"/>
      <c r="R889" s="36"/>
      <c r="S889" s="36"/>
    </row>
    <row r="890">
      <c r="B890" s="36"/>
      <c r="C890" s="36"/>
      <c r="D890" s="36"/>
      <c r="G890" s="36"/>
      <c r="H890" s="36"/>
      <c r="I890" s="36"/>
      <c r="M890" s="36"/>
      <c r="N890" s="36"/>
      <c r="O890" s="36"/>
      <c r="Q890" s="36"/>
      <c r="R890" s="36"/>
      <c r="S890" s="36"/>
    </row>
    <row r="891">
      <c r="B891" s="36"/>
      <c r="C891" s="36"/>
      <c r="D891" s="36"/>
      <c r="G891" s="36"/>
      <c r="H891" s="36"/>
      <c r="I891" s="36"/>
      <c r="M891" s="36"/>
      <c r="N891" s="36"/>
      <c r="O891" s="36"/>
      <c r="Q891" s="36"/>
      <c r="R891" s="36"/>
      <c r="S891" s="36"/>
    </row>
    <row r="892">
      <c r="B892" s="36"/>
      <c r="C892" s="36"/>
      <c r="D892" s="36"/>
      <c r="G892" s="36"/>
      <c r="H892" s="36"/>
      <c r="I892" s="36"/>
      <c r="M892" s="36"/>
      <c r="N892" s="36"/>
      <c r="O892" s="36"/>
      <c r="Q892" s="36"/>
      <c r="R892" s="36"/>
      <c r="S892" s="36"/>
    </row>
    <row r="893">
      <c r="B893" s="36"/>
      <c r="C893" s="36"/>
      <c r="D893" s="36"/>
      <c r="G893" s="36"/>
      <c r="H893" s="36"/>
      <c r="I893" s="36"/>
      <c r="M893" s="36"/>
      <c r="N893" s="36"/>
      <c r="O893" s="36"/>
      <c r="Q893" s="36"/>
      <c r="R893" s="36"/>
      <c r="S893" s="36"/>
    </row>
    <row r="894">
      <c r="B894" s="36"/>
      <c r="C894" s="36"/>
      <c r="D894" s="36"/>
      <c r="G894" s="36"/>
      <c r="H894" s="36"/>
      <c r="I894" s="36"/>
      <c r="M894" s="36"/>
      <c r="N894" s="36"/>
      <c r="O894" s="36"/>
      <c r="Q894" s="36"/>
      <c r="R894" s="36"/>
      <c r="S894" s="36"/>
    </row>
    <row r="895">
      <c r="B895" s="36"/>
      <c r="C895" s="36"/>
      <c r="D895" s="36"/>
      <c r="G895" s="36"/>
      <c r="H895" s="36"/>
      <c r="I895" s="36"/>
      <c r="M895" s="36"/>
      <c r="N895" s="36"/>
      <c r="O895" s="36"/>
      <c r="Q895" s="36"/>
      <c r="R895" s="36"/>
      <c r="S895" s="36"/>
    </row>
    <row r="896">
      <c r="B896" s="36"/>
      <c r="C896" s="36"/>
      <c r="D896" s="36"/>
      <c r="G896" s="36"/>
      <c r="H896" s="36"/>
      <c r="I896" s="36"/>
      <c r="M896" s="36"/>
      <c r="N896" s="36"/>
      <c r="O896" s="36"/>
      <c r="Q896" s="36"/>
      <c r="R896" s="36"/>
      <c r="S896" s="36"/>
    </row>
    <row r="897">
      <c r="B897" s="36"/>
      <c r="C897" s="36"/>
      <c r="D897" s="36"/>
      <c r="G897" s="36"/>
      <c r="H897" s="36"/>
      <c r="I897" s="36"/>
      <c r="M897" s="36"/>
      <c r="N897" s="36"/>
      <c r="O897" s="36"/>
      <c r="Q897" s="36"/>
      <c r="R897" s="36"/>
      <c r="S897" s="36"/>
    </row>
    <row r="898">
      <c r="B898" s="36"/>
      <c r="C898" s="36"/>
      <c r="D898" s="36"/>
      <c r="G898" s="36"/>
      <c r="H898" s="36"/>
      <c r="I898" s="36"/>
      <c r="M898" s="36"/>
      <c r="N898" s="36"/>
      <c r="O898" s="36"/>
      <c r="Q898" s="36"/>
      <c r="R898" s="36"/>
      <c r="S898" s="36"/>
    </row>
    <row r="899">
      <c r="B899" s="36"/>
      <c r="C899" s="36"/>
      <c r="D899" s="36"/>
      <c r="G899" s="36"/>
      <c r="H899" s="36"/>
      <c r="I899" s="36"/>
      <c r="M899" s="36"/>
      <c r="N899" s="36"/>
      <c r="O899" s="36"/>
      <c r="Q899" s="36"/>
      <c r="R899" s="36"/>
      <c r="S899" s="36"/>
    </row>
    <row r="900">
      <c r="B900" s="36"/>
      <c r="C900" s="36"/>
      <c r="D900" s="36"/>
      <c r="G900" s="36"/>
      <c r="H900" s="36"/>
      <c r="I900" s="36"/>
      <c r="M900" s="36"/>
      <c r="N900" s="36"/>
      <c r="O900" s="36"/>
      <c r="Q900" s="36"/>
      <c r="R900" s="36"/>
      <c r="S900" s="36"/>
    </row>
    <row r="901">
      <c r="B901" s="36"/>
      <c r="C901" s="36"/>
      <c r="D901" s="36"/>
      <c r="G901" s="36"/>
      <c r="H901" s="36"/>
      <c r="I901" s="36"/>
      <c r="M901" s="36"/>
      <c r="N901" s="36"/>
      <c r="O901" s="36"/>
      <c r="Q901" s="36"/>
      <c r="R901" s="36"/>
      <c r="S901" s="36"/>
    </row>
    <row r="902">
      <c r="B902" s="36"/>
      <c r="C902" s="36"/>
      <c r="D902" s="36"/>
      <c r="G902" s="36"/>
      <c r="H902" s="36"/>
      <c r="I902" s="36"/>
      <c r="M902" s="36"/>
      <c r="N902" s="36"/>
      <c r="O902" s="36"/>
      <c r="Q902" s="36"/>
      <c r="R902" s="36"/>
      <c r="S902" s="36"/>
    </row>
    <row r="903">
      <c r="B903" s="36"/>
      <c r="C903" s="36"/>
      <c r="D903" s="36"/>
      <c r="G903" s="36"/>
      <c r="H903" s="36"/>
      <c r="I903" s="36"/>
      <c r="M903" s="36"/>
      <c r="N903" s="36"/>
      <c r="O903" s="36"/>
      <c r="Q903" s="36"/>
      <c r="R903" s="36"/>
      <c r="S903" s="36"/>
    </row>
    <row r="904">
      <c r="B904" s="36"/>
      <c r="C904" s="36"/>
      <c r="D904" s="36"/>
      <c r="G904" s="36"/>
      <c r="H904" s="36"/>
      <c r="I904" s="36"/>
      <c r="M904" s="36"/>
      <c r="N904" s="36"/>
      <c r="O904" s="36"/>
      <c r="Q904" s="36"/>
      <c r="R904" s="36"/>
      <c r="S904" s="36"/>
    </row>
    <row r="905">
      <c r="B905" s="36"/>
      <c r="C905" s="36"/>
      <c r="D905" s="36"/>
      <c r="G905" s="36"/>
      <c r="H905" s="36"/>
      <c r="I905" s="36"/>
      <c r="M905" s="36"/>
      <c r="N905" s="36"/>
      <c r="O905" s="36"/>
      <c r="Q905" s="36"/>
      <c r="R905" s="36"/>
      <c r="S905" s="36"/>
    </row>
    <row r="906">
      <c r="B906" s="36"/>
      <c r="C906" s="36"/>
      <c r="D906" s="36"/>
      <c r="G906" s="36"/>
      <c r="H906" s="36"/>
      <c r="I906" s="36"/>
      <c r="M906" s="36"/>
      <c r="N906" s="36"/>
      <c r="O906" s="36"/>
      <c r="Q906" s="36"/>
      <c r="R906" s="36"/>
      <c r="S906" s="36"/>
    </row>
    <row r="907">
      <c r="B907" s="36"/>
      <c r="C907" s="36"/>
      <c r="D907" s="36"/>
      <c r="G907" s="36"/>
      <c r="H907" s="36"/>
      <c r="I907" s="36"/>
      <c r="M907" s="36"/>
      <c r="N907" s="36"/>
      <c r="O907" s="36"/>
      <c r="Q907" s="36"/>
      <c r="R907" s="36"/>
      <c r="S907" s="36"/>
    </row>
    <row r="908">
      <c r="B908" s="36"/>
      <c r="C908" s="36"/>
      <c r="D908" s="36"/>
      <c r="G908" s="36"/>
      <c r="H908" s="36"/>
      <c r="I908" s="36"/>
      <c r="M908" s="36"/>
      <c r="N908" s="36"/>
      <c r="O908" s="36"/>
      <c r="Q908" s="36"/>
      <c r="R908" s="36"/>
      <c r="S908" s="36"/>
    </row>
    <row r="909">
      <c r="B909" s="36"/>
      <c r="C909" s="36"/>
      <c r="D909" s="36"/>
      <c r="G909" s="36"/>
      <c r="H909" s="36"/>
      <c r="I909" s="36"/>
      <c r="M909" s="36"/>
      <c r="N909" s="36"/>
      <c r="O909" s="36"/>
      <c r="Q909" s="36"/>
      <c r="R909" s="36"/>
      <c r="S909" s="36"/>
    </row>
    <row r="910">
      <c r="B910" s="36"/>
      <c r="C910" s="36"/>
      <c r="D910" s="36"/>
      <c r="G910" s="36"/>
      <c r="H910" s="36"/>
      <c r="I910" s="36"/>
      <c r="M910" s="36"/>
      <c r="N910" s="36"/>
      <c r="O910" s="36"/>
      <c r="Q910" s="36"/>
      <c r="R910" s="36"/>
      <c r="S910" s="36"/>
    </row>
    <row r="911">
      <c r="B911" s="36"/>
      <c r="C911" s="36"/>
      <c r="D911" s="36"/>
      <c r="G911" s="36"/>
      <c r="H911" s="36"/>
      <c r="I911" s="36"/>
      <c r="M911" s="36"/>
      <c r="N911" s="36"/>
      <c r="O911" s="36"/>
      <c r="Q911" s="36"/>
      <c r="R911" s="36"/>
      <c r="S911" s="36"/>
    </row>
    <row r="912">
      <c r="B912" s="36"/>
      <c r="C912" s="36"/>
      <c r="D912" s="36"/>
      <c r="G912" s="36"/>
      <c r="H912" s="36"/>
      <c r="I912" s="36"/>
      <c r="M912" s="36"/>
      <c r="N912" s="36"/>
      <c r="O912" s="36"/>
      <c r="Q912" s="36"/>
      <c r="R912" s="36"/>
      <c r="S912" s="36"/>
    </row>
    <row r="913">
      <c r="B913" s="36"/>
      <c r="C913" s="36"/>
      <c r="D913" s="36"/>
      <c r="G913" s="36"/>
      <c r="H913" s="36"/>
      <c r="I913" s="36"/>
      <c r="M913" s="36"/>
      <c r="N913" s="36"/>
      <c r="O913" s="36"/>
      <c r="Q913" s="36"/>
      <c r="R913" s="36"/>
      <c r="S913" s="36"/>
    </row>
    <row r="914">
      <c r="B914" s="36"/>
      <c r="C914" s="36"/>
      <c r="D914" s="36"/>
      <c r="G914" s="36"/>
      <c r="H914" s="36"/>
      <c r="I914" s="36"/>
      <c r="M914" s="36"/>
      <c r="N914" s="36"/>
      <c r="O914" s="36"/>
      <c r="Q914" s="36"/>
      <c r="R914" s="36"/>
      <c r="S914" s="36"/>
    </row>
    <row r="915">
      <c r="B915" s="36"/>
      <c r="C915" s="36"/>
      <c r="D915" s="36"/>
      <c r="G915" s="36"/>
      <c r="H915" s="36"/>
      <c r="I915" s="36"/>
      <c r="M915" s="36"/>
      <c r="N915" s="36"/>
      <c r="O915" s="36"/>
      <c r="Q915" s="36"/>
      <c r="R915" s="36"/>
      <c r="S915" s="36"/>
    </row>
    <row r="916">
      <c r="B916" s="36"/>
      <c r="C916" s="36"/>
      <c r="D916" s="36"/>
      <c r="G916" s="36"/>
      <c r="H916" s="36"/>
      <c r="I916" s="36"/>
      <c r="M916" s="36"/>
      <c r="N916" s="36"/>
      <c r="O916" s="36"/>
      <c r="Q916" s="36"/>
      <c r="R916" s="36"/>
      <c r="S916" s="36"/>
    </row>
    <row r="917">
      <c r="B917" s="36"/>
      <c r="C917" s="36"/>
      <c r="D917" s="36"/>
      <c r="G917" s="36"/>
      <c r="H917" s="36"/>
      <c r="I917" s="36"/>
      <c r="M917" s="36"/>
      <c r="N917" s="36"/>
      <c r="O917" s="36"/>
      <c r="Q917" s="36"/>
      <c r="R917" s="36"/>
      <c r="S917" s="36"/>
    </row>
    <row r="918">
      <c r="B918" s="36"/>
      <c r="C918" s="36"/>
      <c r="D918" s="36"/>
      <c r="G918" s="36"/>
      <c r="H918" s="36"/>
      <c r="I918" s="36"/>
      <c r="M918" s="36"/>
      <c r="N918" s="36"/>
      <c r="O918" s="36"/>
      <c r="Q918" s="36"/>
      <c r="R918" s="36"/>
      <c r="S918" s="36"/>
    </row>
    <row r="919">
      <c r="B919" s="36"/>
      <c r="C919" s="36"/>
      <c r="D919" s="36"/>
      <c r="G919" s="36"/>
      <c r="H919" s="36"/>
      <c r="I919" s="36"/>
      <c r="M919" s="36"/>
      <c r="N919" s="36"/>
      <c r="O919" s="36"/>
      <c r="Q919" s="36"/>
      <c r="R919" s="36"/>
      <c r="S919" s="36"/>
    </row>
    <row r="920">
      <c r="B920" s="36"/>
      <c r="C920" s="36"/>
      <c r="D920" s="36"/>
      <c r="G920" s="36"/>
      <c r="H920" s="36"/>
      <c r="I920" s="36"/>
      <c r="M920" s="36"/>
      <c r="N920" s="36"/>
      <c r="O920" s="36"/>
      <c r="Q920" s="36"/>
      <c r="R920" s="36"/>
      <c r="S920" s="36"/>
    </row>
    <row r="921">
      <c r="B921" s="36"/>
      <c r="C921" s="36"/>
      <c r="D921" s="36"/>
      <c r="G921" s="36"/>
      <c r="H921" s="36"/>
      <c r="I921" s="36"/>
      <c r="M921" s="36"/>
      <c r="N921" s="36"/>
      <c r="O921" s="36"/>
      <c r="Q921" s="36"/>
      <c r="R921" s="36"/>
      <c r="S921" s="36"/>
    </row>
    <row r="922">
      <c r="B922" s="36"/>
      <c r="C922" s="36"/>
      <c r="D922" s="36"/>
      <c r="G922" s="36"/>
      <c r="H922" s="36"/>
      <c r="I922" s="36"/>
      <c r="M922" s="36"/>
      <c r="N922" s="36"/>
      <c r="O922" s="36"/>
      <c r="Q922" s="36"/>
      <c r="R922" s="36"/>
      <c r="S922" s="36"/>
    </row>
    <row r="923">
      <c r="B923" s="36"/>
      <c r="C923" s="36"/>
      <c r="D923" s="36"/>
      <c r="G923" s="36"/>
      <c r="H923" s="36"/>
      <c r="I923" s="36"/>
      <c r="M923" s="36"/>
      <c r="N923" s="36"/>
      <c r="O923" s="36"/>
      <c r="Q923" s="36"/>
      <c r="R923" s="36"/>
      <c r="S923" s="36"/>
    </row>
    <row r="924">
      <c r="B924" s="36"/>
      <c r="C924" s="36"/>
      <c r="D924" s="36"/>
      <c r="G924" s="36"/>
      <c r="H924" s="36"/>
      <c r="I924" s="36"/>
      <c r="M924" s="36"/>
      <c r="N924" s="36"/>
      <c r="O924" s="36"/>
      <c r="Q924" s="36"/>
      <c r="R924" s="36"/>
      <c r="S924" s="36"/>
    </row>
    <row r="925">
      <c r="B925" s="36"/>
      <c r="C925" s="36"/>
      <c r="D925" s="36"/>
      <c r="G925" s="36"/>
      <c r="H925" s="36"/>
      <c r="I925" s="36"/>
      <c r="M925" s="36"/>
      <c r="N925" s="36"/>
      <c r="O925" s="36"/>
      <c r="Q925" s="36"/>
      <c r="R925" s="36"/>
      <c r="S925" s="36"/>
    </row>
    <row r="926">
      <c r="B926" s="36"/>
      <c r="C926" s="36"/>
      <c r="D926" s="36"/>
      <c r="G926" s="36"/>
      <c r="H926" s="36"/>
      <c r="I926" s="36"/>
      <c r="M926" s="36"/>
      <c r="N926" s="36"/>
      <c r="O926" s="36"/>
      <c r="Q926" s="36"/>
      <c r="R926" s="36"/>
      <c r="S926" s="36"/>
    </row>
    <row r="927">
      <c r="B927" s="36"/>
      <c r="C927" s="36"/>
      <c r="D927" s="36"/>
      <c r="G927" s="36"/>
      <c r="H927" s="36"/>
      <c r="I927" s="36"/>
      <c r="M927" s="36"/>
      <c r="N927" s="36"/>
      <c r="O927" s="36"/>
      <c r="Q927" s="36"/>
      <c r="R927" s="36"/>
      <c r="S927" s="36"/>
    </row>
    <row r="928">
      <c r="B928" s="36"/>
      <c r="C928" s="36"/>
      <c r="D928" s="36"/>
      <c r="G928" s="36"/>
      <c r="H928" s="36"/>
      <c r="I928" s="36"/>
      <c r="M928" s="36"/>
      <c r="N928" s="36"/>
      <c r="O928" s="36"/>
      <c r="Q928" s="36"/>
      <c r="R928" s="36"/>
      <c r="S928" s="36"/>
    </row>
    <row r="929">
      <c r="B929" s="36"/>
      <c r="C929" s="36"/>
      <c r="D929" s="36"/>
      <c r="G929" s="36"/>
      <c r="H929" s="36"/>
      <c r="I929" s="36"/>
      <c r="M929" s="36"/>
      <c r="N929" s="36"/>
      <c r="O929" s="36"/>
      <c r="Q929" s="36"/>
      <c r="R929" s="36"/>
      <c r="S929" s="36"/>
    </row>
    <row r="930">
      <c r="B930" s="36"/>
      <c r="C930" s="36"/>
      <c r="D930" s="36"/>
      <c r="G930" s="36"/>
      <c r="H930" s="36"/>
      <c r="I930" s="36"/>
      <c r="M930" s="36"/>
      <c r="N930" s="36"/>
      <c r="O930" s="36"/>
      <c r="Q930" s="36"/>
      <c r="R930" s="36"/>
      <c r="S930" s="36"/>
    </row>
    <row r="931">
      <c r="B931" s="36"/>
      <c r="C931" s="36"/>
      <c r="D931" s="36"/>
      <c r="G931" s="36"/>
      <c r="H931" s="36"/>
      <c r="I931" s="36"/>
      <c r="M931" s="36"/>
      <c r="N931" s="36"/>
      <c r="O931" s="36"/>
      <c r="Q931" s="36"/>
      <c r="R931" s="36"/>
      <c r="S931" s="36"/>
    </row>
    <row r="932">
      <c r="B932" s="36"/>
      <c r="C932" s="36"/>
      <c r="D932" s="36"/>
      <c r="G932" s="36"/>
      <c r="H932" s="36"/>
      <c r="I932" s="36"/>
      <c r="M932" s="36"/>
      <c r="N932" s="36"/>
      <c r="O932" s="36"/>
      <c r="Q932" s="36"/>
      <c r="R932" s="36"/>
      <c r="S932" s="36"/>
    </row>
    <row r="933">
      <c r="B933" s="36"/>
      <c r="C933" s="36"/>
      <c r="D933" s="36"/>
      <c r="G933" s="36"/>
      <c r="H933" s="36"/>
      <c r="I933" s="36"/>
      <c r="M933" s="36"/>
      <c r="N933" s="36"/>
      <c r="O933" s="36"/>
      <c r="Q933" s="36"/>
      <c r="R933" s="36"/>
      <c r="S933" s="36"/>
    </row>
    <row r="934">
      <c r="B934" s="36"/>
      <c r="C934" s="36"/>
      <c r="D934" s="36"/>
      <c r="G934" s="36"/>
      <c r="H934" s="36"/>
      <c r="I934" s="36"/>
      <c r="M934" s="36"/>
      <c r="N934" s="36"/>
      <c r="O934" s="36"/>
      <c r="Q934" s="36"/>
      <c r="R934" s="36"/>
      <c r="S934" s="36"/>
    </row>
    <row r="935">
      <c r="B935" s="36"/>
      <c r="C935" s="36"/>
      <c r="D935" s="36"/>
      <c r="G935" s="36"/>
      <c r="H935" s="36"/>
      <c r="I935" s="36"/>
      <c r="M935" s="36"/>
      <c r="N935" s="36"/>
      <c r="O935" s="36"/>
      <c r="Q935" s="36"/>
      <c r="R935" s="36"/>
      <c r="S935" s="36"/>
    </row>
    <row r="936">
      <c r="B936" s="36"/>
      <c r="C936" s="36"/>
      <c r="D936" s="36"/>
      <c r="G936" s="36"/>
      <c r="H936" s="36"/>
      <c r="I936" s="36"/>
      <c r="M936" s="36"/>
      <c r="N936" s="36"/>
      <c r="O936" s="36"/>
      <c r="Q936" s="36"/>
      <c r="R936" s="36"/>
      <c r="S936" s="36"/>
    </row>
    <row r="937">
      <c r="B937" s="36"/>
      <c r="C937" s="36"/>
      <c r="D937" s="36"/>
      <c r="G937" s="36"/>
      <c r="H937" s="36"/>
      <c r="I937" s="36"/>
      <c r="M937" s="36"/>
      <c r="N937" s="36"/>
      <c r="O937" s="36"/>
      <c r="Q937" s="36"/>
      <c r="R937" s="36"/>
      <c r="S937" s="36"/>
    </row>
    <row r="938">
      <c r="B938" s="36"/>
      <c r="C938" s="36"/>
      <c r="D938" s="36"/>
      <c r="G938" s="36"/>
      <c r="H938" s="36"/>
      <c r="I938" s="36"/>
      <c r="M938" s="36"/>
      <c r="N938" s="36"/>
      <c r="O938" s="36"/>
      <c r="Q938" s="36"/>
      <c r="R938" s="36"/>
      <c r="S938" s="36"/>
    </row>
    <row r="939">
      <c r="B939" s="36"/>
      <c r="C939" s="36"/>
      <c r="D939" s="36"/>
      <c r="G939" s="36"/>
      <c r="H939" s="36"/>
      <c r="I939" s="36"/>
      <c r="M939" s="36"/>
      <c r="N939" s="36"/>
      <c r="O939" s="36"/>
      <c r="Q939" s="36"/>
      <c r="R939" s="36"/>
      <c r="S939" s="36"/>
    </row>
    <row r="940">
      <c r="B940" s="36"/>
      <c r="C940" s="36"/>
      <c r="D940" s="36"/>
      <c r="G940" s="36"/>
      <c r="H940" s="36"/>
      <c r="I940" s="36"/>
      <c r="M940" s="36"/>
      <c r="N940" s="36"/>
      <c r="O940" s="36"/>
      <c r="Q940" s="36"/>
      <c r="R940" s="36"/>
      <c r="S940" s="36"/>
    </row>
    <row r="941">
      <c r="B941" s="36"/>
      <c r="C941" s="36"/>
      <c r="D941" s="36"/>
      <c r="G941" s="36"/>
      <c r="H941" s="36"/>
      <c r="I941" s="36"/>
      <c r="M941" s="36"/>
      <c r="N941" s="36"/>
      <c r="O941" s="36"/>
      <c r="Q941" s="36"/>
      <c r="R941" s="36"/>
      <c r="S941" s="36"/>
    </row>
    <row r="942">
      <c r="B942" s="36"/>
      <c r="C942" s="36"/>
      <c r="D942" s="36"/>
      <c r="G942" s="36"/>
      <c r="H942" s="36"/>
      <c r="I942" s="36"/>
      <c r="M942" s="36"/>
      <c r="N942" s="36"/>
      <c r="O942" s="36"/>
      <c r="Q942" s="36"/>
      <c r="R942" s="36"/>
      <c r="S942" s="36"/>
    </row>
    <row r="943">
      <c r="B943" s="36"/>
      <c r="C943" s="36"/>
      <c r="D943" s="36"/>
      <c r="G943" s="36"/>
      <c r="H943" s="36"/>
      <c r="I943" s="36"/>
      <c r="M943" s="36"/>
      <c r="N943" s="36"/>
      <c r="O943" s="36"/>
      <c r="Q943" s="36"/>
      <c r="R943" s="36"/>
      <c r="S943" s="36"/>
    </row>
    <row r="944">
      <c r="B944" s="36"/>
      <c r="C944" s="36"/>
      <c r="D944" s="36"/>
      <c r="G944" s="36"/>
      <c r="H944" s="36"/>
      <c r="I944" s="36"/>
      <c r="M944" s="36"/>
      <c r="N944" s="36"/>
      <c r="O944" s="36"/>
      <c r="Q944" s="36"/>
      <c r="R944" s="36"/>
      <c r="S944" s="36"/>
    </row>
    <row r="945">
      <c r="B945" s="36"/>
      <c r="C945" s="36"/>
      <c r="D945" s="36"/>
      <c r="G945" s="36"/>
      <c r="H945" s="36"/>
      <c r="I945" s="36"/>
      <c r="M945" s="36"/>
      <c r="N945" s="36"/>
      <c r="O945" s="36"/>
      <c r="Q945" s="36"/>
      <c r="R945" s="36"/>
      <c r="S945" s="36"/>
    </row>
    <row r="946">
      <c r="B946" s="36"/>
      <c r="C946" s="36"/>
      <c r="D946" s="36"/>
      <c r="G946" s="36"/>
      <c r="H946" s="36"/>
      <c r="I946" s="36"/>
      <c r="M946" s="36"/>
      <c r="N946" s="36"/>
      <c r="O946" s="36"/>
      <c r="Q946" s="36"/>
      <c r="R946" s="36"/>
      <c r="S946" s="36"/>
    </row>
    <row r="947">
      <c r="B947" s="36"/>
      <c r="C947" s="36"/>
      <c r="D947" s="36"/>
      <c r="G947" s="36"/>
      <c r="H947" s="36"/>
      <c r="I947" s="36"/>
      <c r="M947" s="36"/>
      <c r="N947" s="36"/>
      <c r="O947" s="36"/>
      <c r="Q947" s="36"/>
      <c r="R947" s="36"/>
      <c r="S947" s="36"/>
    </row>
    <row r="948">
      <c r="B948" s="36"/>
      <c r="C948" s="36"/>
      <c r="D948" s="36"/>
      <c r="G948" s="36"/>
      <c r="H948" s="36"/>
      <c r="I948" s="36"/>
      <c r="M948" s="36"/>
      <c r="N948" s="36"/>
      <c r="O948" s="36"/>
      <c r="Q948" s="36"/>
      <c r="R948" s="36"/>
      <c r="S948" s="36"/>
    </row>
    <row r="949">
      <c r="B949" s="36"/>
      <c r="C949" s="36"/>
      <c r="D949" s="36"/>
      <c r="G949" s="36"/>
      <c r="H949" s="36"/>
      <c r="I949" s="36"/>
      <c r="M949" s="36"/>
      <c r="N949" s="36"/>
      <c r="O949" s="36"/>
      <c r="Q949" s="36"/>
      <c r="R949" s="36"/>
      <c r="S949" s="36"/>
    </row>
    <row r="950">
      <c r="B950" s="36"/>
      <c r="C950" s="36"/>
      <c r="D950" s="36"/>
      <c r="G950" s="36"/>
      <c r="H950" s="36"/>
      <c r="I950" s="36"/>
      <c r="M950" s="36"/>
      <c r="N950" s="36"/>
      <c r="O950" s="36"/>
      <c r="Q950" s="36"/>
      <c r="R950" s="36"/>
      <c r="S950" s="36"/>
    </row>
    <row r="951">
      <c r="B951" s="36"/>
      <c r="C951" s="36"/>
      <c r="D951" s="36"/>
      <c r="G951" s="36"/>
      <c r="H951" s="36"/>
      <c r="I951" s="36"/>
      <c r="M951" s="36"/>
      <c r="N951" s="36"/>
      <c r="O951" s="36"/>
      <c r="Q951" s="36"/>
      <c r="R951" s="36"/>
      <c r="S951" s="36"/>
    </row>
    <row r="952">
      <c r="B952" s="36"/>
      <c r="C952" s="36"/>
      <c r="D952" s="36"/>
      <c r="G952" s="36"/>
      <c r="H952" s="36"/>
      <c r="I952" s="36"/>
      <c r="M952" s="36"/>
      <c r="N952" s="36"/>
      <c r="O952" s="36"/>
      <c r="Q952" s="36"/>
      <c r="R952" s="36"/>
      <c r="S952" s="36"/>
    </row>
    <row r="953">
      <c r="B953" s="36"/>
      <c r="C953" s="36"/>
      <c r="D953" s="36"/>
      <c r="G953" s="36"/>
      <c r="H953" s="36"/>
      <c r="I953" s="36"/>
      <c r="M953" s="36"/>
      <c r="N953" s="36"/>
      <c r="O953" s="36"/>
      <c r="Q953" s="36"/>
      <c r="R953" s="36"/>
      <c r="S953" s="36"/>
    </row>
    <row r="954">
      <c r="B954" s="36"/>
      <c r="C954" s="36"/>
      <c r="D954" s="36"/>
      <c r="G954" s="36"/>
      <c r="H954" s="36"/>
      <c r="I954" s="36"/>
      <c r="M954" s="36"/>
      <c r="N954" s="36"/>
      <c r="O954" s="36"/>
      <c r="Q954" s="36"/>
      <c r="R954" s="36"/>
      <c r="S954" s="36"/>
    </row>
    <row r="955">
      <c r="B955" s="36"/>
      <c r="C955" s="36"/>
      <c r="D955" s="36"/>
      <c r="G955" s="36"/>
      <c r="H955" s="36"/>
      <c r="I955" s="36"/>
      <c r="M955" s="36"/>
      <c r="N955" s="36"/>
      <c r="O955" s="36"/>
      <c r="Q955" s="36"/>
      <c r="R955" s="36"/>
      <c r="S955" s="36"/>
    </row>
    <row r="956">
      <c r="B956" s="36"/>
      <c r="C956" s="36"/>
      <c r="D956" s="36"/>
      <c r="G956" s="36"/>
      <c r="H956" s="36"/>
      <c r="I956" s="36"/>
      <c r="M956" s="36"/>
      <c r="N956" s="36"/>
      <c r="O956" s="36"/>
      <c r="Q956" s="36"/>
      <c r="R956" s="36"/>
      <c r="S956" s="36"/>
    </row>
    <row r="957">
      <c r="B957" s="36"/>
      <c r="C957" s="36"/>
      <c r="D957" s="36"/>
      <c r="G957" s="36"/>
      <c r="H957" s="36"/>
      <c r="I957" s="36"/>
      <c r="M957" s="36"/>
      <c r="N957" s="36"/>
      <c r="O957" s="36"/>
      <c r="Q957" s="36"/>
      <c r="R957" s="36"/>
      <c r="S957" s="36"/>
    </row>
    <row r="958">
      <c r="B958" s="36"/>
      <c r="C958" s="36"/>
      <c r="D958" s="36"/>
      <c r="G958" s="36"/>
      <c r="H958" s="36"/>
      <c r="I958" s="36"/>
      <c r="M958" s="36"/>
      <c r="N958" s="36"/>
      <c r="O958" s="36"/>
      <c r="Q958" s="36"/>
      <c r="R958" s="36"/>
      <c r="S958" s="36"/>
    </row>
    <row r="959">
      <c r="B959" s="36"/>
      <c r="C959" s="36"/>
      <c r="D959" s="36"/>
      <c r="G959" s="36"/>
      <c r="H959" s="36"/>
      <c r="I959" s="36"/>
      <c r="M959" s="36"/>
      <c r="N959" s="36"/>
      <c r="O959" s="36"/>
      <c r="Q959" s="36"/>
      <c r="R959" s="36"/>
      <c r="S959" s="36"/>
    </row>
    <row r="960">
      <c r="B960" s="36"/>
      <c r="C960" s="36"/>
      <c r="D960" s="36"/>
      <c r="G960" s="36"/>
      <c r="H960" s="36"/>
      <c r="I960" s="36"/>
      <c r="M960" s="36"/>
      <c r="N960" s="36"/>
      <c r="O960" s="36"/>
      <c r="Q960" s="36"/>
      <c r="R960" s="36"/>
      <c r="S960" s="36"/>
    </row>
    <row r="961">
      <c r="B961" s="36"/>
      <c r="C961" s="36"/>
      <c r="D961" s="36"/>
      <c r="G961" s="36"/>
      <c r="H961" s="36"/>
      <c r="I961" s="36"/>
      <c r="M961" s="36"/>
      <c r="N961" s="36"/>
      <c r="O961" s="36"/>
      <c r="Q961" s="36"/>
      <c r="R961" s="36"/>
      <c r="S961" s="36"/>
    </row>
    <row r="962">
      <c r="B962" s="36"/>
      <c r="C962" s="36"/>
      <c r="D962" s="36"/>
      <c r="G962" s="36"/>
      <c r="H962" s="36"/>
      <c r="I962" s="36"/>
      <c r="M962" s="36"/>
      <c r="N962" s="36"/>
      <c r="O962" s="36"/>
      <c r="Q962" s="36"/>
      <c r="R962" s="36"/>
      <c r="S962" s="36"/>
    </row>
    <row r="963">
      <c r="B963" s="36"/>
      <c r="C963" s="36"/>
      <c r="D963" s="36"/>
      <c r="G963" s="36"/>
      <c r="H963" s="36"/>
      <c r="I963" s="36"/>
      <c r="M963" s="36"/>
      <c r="N963" s="36"/>
      <c r="O963" s="36"/>
      <c r="Q963" s="36"/>
      <c r="R963" s="36"/>
      <c r="S963" s="36"/>
    </row>
    <row r="964">
      <c r="B964" s="36"/>
      <c r="C964" s="36"/>
      <c r="D964" s="36"/>
      <c r="G964" s="36"/>
      <c r="H964" s="36"/>
      <c r="I964" s="36"/>
      <c r="M964" s="36"/>
      <c r="N964" s="36"/>
      <c r="O964" s="36"/>
      <c r="Q964" s="36"/>
      <c r="R964" s="36"/>
      <c r="S964" s="36"/>
    </row>
    <row r="965">
      <c r="B965" s="36"/>
      <c r="C965" s="36"/>
      <c r="D965" s="36"/>
      <c r="G965" s="36"/>
      <c r="H965" s="36"/>
      <c r="I965" s="36"/>
      <c r="M965" s="36"/>
      <c r="N965" s="36"/>
      <c r="O965" s="36"/>
      <c r="Q965" s="36"/>
      <c r="R965" s="36"/>
      <c r="S965" s="36"/>
    </row>
    <row r="966">
      <c r="B966" s="36"/>
      <c r="C966" s="36"/>
      <c r="D966" s="36"/>
      <c r="G966" s="36"/>
      <c r="H966" s="36"/>
      <c r="I966" s="36"/>
      <c r="M966" s="36"/>
      <c r="N966" s="36"/>
      <c r="O966" s="36"/>
      <c r="Q966" s="36"/>
      <c r="R966" s="36"/>
      <c r="S966" s="36"/>
    </row>
    <row r="967">
      <c r="B967" s="36"/>
      <c r="C967" s="36"/>
      <c r="D967" s="36"/>
      <c r="G967" s="36"/>
      <c r="H967" s="36"/>
      <c r="I967" s="36"/>
      <c r="M967" s="36"/>
      <c r="N967" s="36"/>
      <c r="O967" s="36"/>
      <c r="Q967" s="36"/>
      <c r="R967" s="36"/>
      <c r="S967" s="36"/>
    </row>
    <row r="968">
      <c r="B968" s="36"/>
      <c r="C968" s="36"/>
      <c r="D968" s="36"/>
      <c r="G968" s="36"/>
      <c r="H968" s="36"/>
      <c r="I968" s="36"/>
      <c r="M968" s="36"/>
      <c r="N968" s="36"/>
      <c r="O968" s="36"/>
      <c r="Q968" s="36"/>
      <c r="R968" s="36"/>
      <c r="S968" s="36"/>
    </row>
    <row r="969">
      <c r="B969" s="36"/>
      <c r="C969" s="36"/>
      <c r="D969" s="36"/>
      <c r="G969" s="36"/>
      <c r="H969" s="36"/>
      <c r="I969" s="36"/>
      <c r="M969" s="36"/>
      <c r="N969" s="36"/>
      <c r="O969" s="36"/>
      <c r="Q969" s="36"/>
      <c r="R969" s="36"/>
      <c r="S969" s="36"/>
    </row>
    <row r="970">
      <c r="B970" s="36"/>
      <c r="C970" s="36"/>
      <c r="D970" s="36"/>
      <c r="G970" s="36"/>
      <c r="H970" s="36"/>
      <c r="I970" s="36"/>
      <c r="M970" s="36"/>
      <c r="N970" s="36"/>
      <c r="O970" s="36"/>
      <c r="Q970" s="36"/>
      <c r="R970" s="36"/>
      <c r="S970" s="36"/>
    </row>
    <row r="971">
      <c r="B971" s="36"/>
      <c r="C971" s="36"/>
      <c r="D971" s="36"/>
      <c r="G971" s="36"/>
      <c r="H971" s="36"/>
      <c r="I971" s="36"/>
      <c r="M971" s="36"/>
      <c r="N971" s="36"/>
      <c r="O971" s="36"/>
      <c r="Q971" s="36"/>
      <c r="R971" s="36"/>
      <c r="S971" s="36"/>
    </row>
    <row r="972">
      <c r="B972" s="36"/>
      <c r="C972" s="36"/>
      <c r="D972" s="36"/>
      <c r="G972" s="36"/>
      <c r="H972" s="36"/>
      <c r="I972" s="36"/>
      <c r="M972" s="36"/>
      <c r="N972" s="36"/>
      <c r="O972" s="36"/>
      <c r="Q972" s="36"/>
      <c r="R972" s="36"/>
      <c r="S972" s="36"/>
    </row>
    <row r="973">
      <c r="B973" s="36"/>
      <c r="C973" s="36"/>
      <c r="D973" s="36"/>
      <c r="G973" s="36"/>
      <c r="H973" s="36"/>
      <c r="I973" s="36"/>
      <c r="M973" s="36"/>
      <c r="N973" s="36"/>
      <c r="O973" s="36"/>
      <c r="Q973" s="36"/>
      <c r="R973" s="36"/>
      <c r="S973" s="36"/>
    </row>
    <row r="974">
      <c r="B974" s="36"/>
      <c r="C974" s="36"/>
      <c r="D974" s="36"/>
      <c r="G974" s="36"/>
      <c r="H974" s="36"/>
      <c r="I974" s="36"/>
      <c r="M974" s="36"/>
      <c r="N974" s="36"/>
      <c r="O974" s="36"/>
      <c r="Q974" s="36"/>
      <c r="R974" s="36"/>
      <c r="S974" s="36"/>
    </row>
    <row r="975">
      <c r="B975" s="36"/>
      <c r="C975" s="36"/>
      <c r="D975" s="36"/>
      <c r="G975" s="36"/>
      <c r="H975" s="36"/>
      <c r="I975" s="36"/>
      <c r="M975" s="36"/>
      <c r="N975" s="36"/>
      <c r="O975" s="36"/>
      <c r="Q975" s="36"/>
      <c r="R975" s="36"/>
      <c r="S975" s="36"/>
    </row>
    <row r="976">
      <c r="B976" s="36"/>
      <c r="C976" s="36"/>
      <c r="D976" s="36"/>
      <c r="G976" s="36"/>
      <c r="H976" s="36"/>
      <c r="I976" s="36"/>
      <c r="M976" s="36"/>
      <c r="N976" s="36"/>
      <c r="O976" s="36"/>
      <c r="Q976" s="36"/>
      <c r="R976" s="36"/>
      <c r="S976" s="36"/>
    </row>
    <row r="977">
      <c r="B977" s="36"/>
      <c r="C977" s="36"/>
      <c r="D977" s="36"/>
      <c r="G977" s="36"/>
      <c r="H977" s="36"/>
      <c r="I977" s="36"/>
      <c r="M977" s="36"/>
      <c r="N977" s="36"/>
      <c r="O977" s="36"/>
      <c r="Q977" s="36"/>
      <c r="R977" s="36"/>
      <c r="S977" s="36"/>
    </row>
    <row r="978">
      <c r="B978" s="36"/>
      <c r="C978" s="36"/>
      <c r="D978" s="36"/>
      <c r="G978" s="36"/>
      <c r="H978" s="36"/>
      <c r="I978" s="36"/>
      <c r="M978" s="36"/>
      <c r="N978" s="36"/>
      <c r="O978" s="36"/>
      <c r="Q978" s="36"/>
      <c r="R978" s="36"/>
      <c r="S978" s="36"/>
    </row>
    <row r="979">
      <c r="B979" s="36"/>
      <c r="C979" s="36"/>
      <c r="D979" s="36"/>
      <c r="G979" s="36"/>
      <c r="H979" s="36"/>
      <c r="I979" s="36"/>
      <c r="M979" s="36"/>
      <c r="N979" s="36"/>
      <c r="O979" s="36"/>
      <c r="Q979" s="36"/>
      <c r="R979" s="36"/>
      <c r="S979" s="36"/>
    </row>
    <row r="980">
      <c r="B980" s="36"/>
      <c r="C980" s="36"/>
      <c r="D980" s="36"/>
      <c r="G980" s="36"/>
      <c r="H980" s="36"/>
      <c r="I980" s="36"/>
      <c r="M980" s="36"/>
      <c r="N980" s="36"/>
      <c r="O980" s="36"/>
      <c r="Q980" s="36"/>
      <c r="R980" s="36"/>
      <c r="S980" s="36"/>
    </row>
    <row r="981">
      <c r="B981" s="36"/>
      <c r="C981" s="36"/>
      <c r="D981" s="36"/>
      <c r="G981" s="36"/>
      <c r="H981" s="36"/>
      <c r="I981" s="36"/>
      <c r="M981" s="36"/>
      <c r="N981" s="36"/>
      <c r="O981" s="36"/>
      <c r="Q981" s="36"/>
      <c r="R981" s="36"/>
      <c r="S981" s="36"/>
    </row>
    <row r="982">
      <c r="B982" s="36"/>
      <c r="C982" s="36"/>
      <c r="D982" s="36"/>
      <c r="G982" s="36"/>
      <c r="H982" s="36"/>
      <c r="I982" s="36"/>
      <c r="M982" s="36"/>
      <c r="N982" s="36"/>
      <c r="O982" s="36"/>
      <c r="Q982" s="36"/>
      <c r="R982" s="36"/>
      <c r="S982" s="36"/>
    </row>
    <row r="983">
      <c r="B983" s="36"/>
      <c r="C983" s="36"/>
      <c r="D983" s="36"/>
      <c r="G983" s="36"/>
      <c r="H983" s="36"/>
      <c r="I983" s="36"/>
      <c r="M983" s="36"/>
      <c r="N983" s="36"/>
      <c r="O983" s="36"/>
      <c r="Q983" s="36"/>
      <c r="R983" s="36"/>
      <c r="S983" s="36"/>
    </row>
    <row r="984">
      <c r="B984" s="36"/>
      <c r="C984" s="36"/>
      <c r="D984" s="36"/>
      <c r="G984" s="36"/>
      <c r="H984" s="36"/>
      <c r="I984" s="36"/>
      <c r="M984" s="36"/>
      <c r="N984" s="36"/>
      <c r="O984" s="36"/>
      <c r="Q984" s="36"/>
      <c r="R984" s="36"/>
      <c r="S984" s="36"/>
    </row>
    <row r="985">
      <c r="B985" s="36"/>
      <c r="C985" s="36"/>
      <c r="D985" s="36"/>
      <c r="G985" s="36"/>
      <c r="H985" s="36"/>
      <c r="I985" s="36"/>
      <c r="M985" s="36"/>
      <c r="N985" s="36"/>
      <c r="O985" s="36"/>
      <c r="Q985" s="36"/>
      <c r="R985" s="36"/>
      <c r="S985" s="36"/>
    </row>
    <row r="986">
      <c r="B986" s="36"/>
      <c r="C986" s="36"/>
      <c r="D986" s="36"/>
      <c r="G986" s="36"/>
      <c r="H986" s="36"/>
      <c r="I986" s="36"/>
      <c r="M986" s="36"/>
      <c r="N986" s="36"/>
      <c r="O986" s="36"/>
      <c r="Q986" s="36"/>
      <c r="R986" s="36"/>
      <c r="S986" s="36"/>
    </row>
    <row r="987">
      <c r="B987" s="36"/>
      <c r="C987" s="36"/>
      <c r="D987" s="36"/>
      <c r="G987" s="36"/>
      <c r="H987" s="36"/>
      <c r="I987" s="36"/>
      <c r="M987" s="36"/>
      <c r="N987" s="36"/>
      <c r="O987" s="36"/>
      <c r="Q987" s="36"/>
      <c r="R987" s="36"/>
      <c r="S987" s="36"/>
    </row>
    <row r="988">
      <c r="B988" s="36"/>
      <c r="C988" s="36"/>
      <c r="D988" s="36"/>
      <c r="G988" s="36"/>
      <c r="H988" s="36"/>
      <c r="I988" s="36"/>
      <c r="M988" s="36"/>
      <c r="N988" s="36"/>
      <c r="O988" s="36"/>
      <c r="Q988" s="36"/>
      <c r="R988" s="36"/>
      <c r="S988" s="36"/>
    </row>
    <row r="989">
      <c r="B989" s="36"/>
      <c r="C989" s="36"/>
      <c r="D989" s="36"/>
      <c r="G989" s="36"/>
      <c r="H989" s="36"/>
      <c r="I989" s="36"/>
      <c r="M989" s="36"/>
      <c r="N989" s="36"/>
      <c r="O989" s="36"/>
      <c r="Q989" s="36"/>
      <c r="R989" s="36"/>
      <c r="S989" s="36"/>
    </row>
    <row r="990">
      <c r="B990" s="36"/>
      <c r="C990" s="36"/>
      <c r="D990" s="36"/>
      <c r="G990" s="36"/>
      <c r="H990" s="36"/>
      <c r="I990" s="36"/>
      <c r="M990" s="36"/>
      <c r="N990" s="36"/>
      <c r="O990" s="36"/>
      <c r="Q990" s="36"/>
      <c r="R990" s="36"/>
      <c r="S990" s="36"/>
    </row>
    <row r="991">
      <c r="B991" s="36"/>
      <c r="C991" s="36"/>
      <c r="D991" s="36"/>
      <c r="G991" s="36"/>
      <c r="H991" s="36"/>
      <c r="I991" s="36"/>
      <c r="M991" s="36"/>
      <c r="N991" s="36"/>
      <c r="O991" s="36"/>
      <c r="Q991" s="36"/>
      <c r="R991" s="36"/>
      <c r="S991" s="36"/>
    </row>
    <row r="992">
      <c r="B992" s="36"/>
      <c r="C992" s="36"/>
      <c r="D992" s="36"/>
      <c r="G992" s="36"/>
      <c r="H992" s="36"/>
      <c r="I992" s="36"/>
      <c r="M992" s="36"/>
      <c r="N992" s="36"/>
      <c r="O992" s="36"/>
      <c r="Q992" s="36"/>
      <c r="R992" s="36"/>
      <c r="S992" s="36"/>
    </row>
    <row r="993">
      <c r="B993" s="36"/>
      <c r="C993" s="36"/>
      <c r="D993" s="36"/>
      <c r="G993" s="36"/>
      <c r="H993" s="36"/>
      <c r="I993" s="36"/>
      <c r="M993" s="36"/>
      <c r="N993" s="36"/>
      <c r="O993" s="36"/>
      <c r="Q993" s="36"/>
      <c r="R993" s="36"/>
      <c r="S993" s="36"/>
    </row>
    <row r="994">
      <c r="B994" s="36"/>
      <c r="C994" s="36"/>
      <c r="D994" s="36"/>
      <c r="G994" s="36"/>
      <c r="H994" s="36"/>
      <c r="I994" s="36"/>
      <c r="M994" s="36"/>
      <c r="N994" s="36"/>
      <c r="O994" s="36"/>
      <c r="Q994" s="36"/>
      <c r="R994" s="36"/>
      <c r="S994" s="36"/>
    </row>
    <row r="995">
      <c r="B995" s="36"/>
      <c r="C995" s="36"/>
      <c r="D995" s="36"/>
      <c r="G995" s="36"/>
      <c r="H995" s="36"/>
      <c r="I995" s="36"/>
      <c r="M995" s="36"/>
      <c r="N995" s="36"/>
      <c r="O995" s="36"/>
      <c r="Q995" s="36"/>
      <c r="R995" s="36"/>
      <c r="S995" s="36"/>
    </row>
    <row r="996">
      <c r="B996" s="36"/>
      <c r="C996" s="36"/>
      <c r="D996" s="36"/>
      <c r="G996" s="36"/>
      <c r="H996" s="36"/>
      <c r="I996" s="36"/>
      <c r="M996" s="36"/>
      <c r="N996" s="36"/>
      <c r="O996" s="36"/>
      <c r="Q996" s="36"/>
      <c r="R996" s="36"/>
      <c r="S996" s="36"/>
    </row>
    <row r="997">
      <c r="B997" s="36"/>
      <c r="C997" s="36"/>
      <c r="D997" s="36"/>
      <c r="G997" s="36"/>
      <c r="H997" s="36"/>
      <c r="I997" s="36"/>
      <c r="M997" s="36"/>
      <c r="N997" s="36"/>
      <c r="O997" s="36"/>
      <c r="Q997" s="36"/>
      <c r="R997" s="36"/>
      <c r="S997" s="36"/>
    </row>
    <row r="998">
      <c r="B998" s="36"/>
      <c r="C998" s="36"/>
      <c r="D998" s="36"/>
      <c r="G998" s="36"/>
      <c r="H998" s="36"/>
      <c r="I998" s="36"/>
      <c r="M998" s="36"/>
      <c r="N998" s="36"/>
      <c r="O998" s="36"/>
      <c r="Q998" s="36"/>
      <c r="R998" s="36"/>
      <c r="S998" s="36"/>
    </row>
    <row r="999">
      <c r="B999" s="36"/>
      <c r="C999" s="36"/>
      <c r="D999" s="36"/>
      <c r="G999" s="36"/>
      <c r="H999" s="36"/>
      <c r="I999" s="36"/>
      <c r="M999" s="36"/>
      <c r="N999" s="36"/>
      <c r="O999" s="36"/>
      <c r="Q999" s="36"/>
      <c r="R999" s="36"/>
      <c r="S999" s="36"/>
    </row>
    <row r="1000">
      <c r="B1000" s="36"/>
      <c r="C1000" s="36"/>
      <c r="D1000" s="36"/>
      <c r="G1000" s="36"/>
      <c r="H1000" s="36"/>
      <c r="I1000" s="36"/>
      <c r="M1000" s="36"/>
      <c r="N1000" s="36"/>
      <c r="O1000" s="36"/>
      <c r="Q1000" s="36"/>
      <c r="R1000" s="36"/>
      <c r="S1000" s="36"/>
    </row>
  </sheetData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4.38"/>
    <col customWidth="1" min="3" max="3" width="61.5"/>
    <col customWidth="1" min="4" max="4" width="15.5"/>
  </cols>
  <sheetData>
    <row r="1" ht="22.5" customHeight="1">
      <c r="A1" s="11" t="s">
        <v>20</v>
      </c>
      <c r="B1" s="11" t="s">
        <v>21</v>
      </c>
      <c r="C1" s="11" t="s">
        <v>22</v>
      </c>
      <c r="D1" s="12" t="s">
        <v>23</v>
      </c>
      <c r="E1" s="13" t="s">
        <v>25</v>
      </c>
      <c r="F1" s="12" t="s">
        <v>26</v>
      </c>
      <c r="G1" s="11" t="s">
        <v>27</v>
      </c>
      <c r="H1" s="11" t="s">
        <v>28</v>
      </c>
      <c r="I1" s="11" t="s">
        <v>31</v>
      </c>
      <c r="J1" s="18" t="s">
        <v>0</v>
      </c>
      <c r="K1" s="19" t="s">
        <v>34</v>
      </c>
      <c r="L1" s="21" t="s">
        <v>36</v>
      </c>
    </row>
    <row r="2" ht="22.5" customHeight="1">
      <c r="A2" s="22">
        <v>1.0</v>
      </c>
      <c r="B2" s="22" t="str">
        <f>IFERROR(__xludf.DUMMYFUNCTION("IMPORTRANGE(""https://docs.google.com/spreadsheets/d/1YM9eKooeCb3MqOvgwh-HJDRUSsIyH2R7PvjYqBnwrQ0/edit?gid=0#gid=0"", ""Pelatihan!B9:AO200"")"),"Listrik")</f>
        <v>Listrik</v>
      </c>
      <c r="C2" s="24" t="str">
        <f>IFERROR(__xludf.DUMMYFUNCTION("""COMPUTED_VALUE"""),"Pemasangan Sistim Integrasi Bangunan Cerdas 1")</f>
        <v>Pemasangan Sistim Integrasi Bangunan Cerdas 1</v>
      </c>
      <c r="D2" s="25" t="str">
        <f>IFERROR(__xludf.DUMMYFUNCTION("""COMPUTED_VALUE"""),"PBL")</f>
        <v>PBL</v>
      </c>
      <c r="E2" s="26">
        <f>IFERROR(__xludf.DUMMYFUNCTION("""COMPUTED_VALUE"""),46195.0)</f>
        <v>46195</v>
      </c>
      <c r="F2" s="27">
        <f>IFERROR(__xludf.DUMMYFUNCTION("""COMPUTED_VALUE"""),46232.0)</f>
        <v>46232</v>
      </c>
      <c r="G2" s="28" t="str">
        <f>IFERROR(__xludf.DUMMYFUNCTION("""COMPUTED_VALUE"""),"Juni")</f>
        <v>Juni</v>
      </c>
      <c r="H2" s="24">
        <f>IFERROR(__xludf.DUMMYFUNCTION("""COMPUTED_VALUE"""),4.0)</f>
        <v>4</v>
      </c>
      <c r="I2" s="24">
        <f>IFERROR(__xludf.DUMMYFUNCTION("""COMPUTED_VALUE"""),4.0)</f>
        <v>4</v>
      </c>
      <c r="J2" s="24">
        <f>IFERROR(__xludf.DUMMYFUNCTION("""COMPUTED_VALUE"""),8.0)</f>
        <v>8</v>
      </c>
      <c r="K2" s="30">
        <f>IFERROR(__xludf.DUMMYFUNCTION("""COMPUTED_VALUE"""),1.0)</f>
        <v>1</v>
      </c>
      <c r="L2" s="30">
        <f>IFERROR(__xludf.DUMMYFUNCTION("""COMPUTED_VALUE"""),7.0)</f>
        <v>7</v>
      </c>
    </row>
    <row r="3" ht="22.5" customHeight="1">
      <c r="A3" s="22">
        <v>2.0</v>
      </c>
      <c r="B3" s="24" t="str">
        <f>IFERROR(__xludf.DUMMYFUNCTION("""COMPUTED_VALUE"""),"Listrik")</f>
        <v>Listrik</v>
      </c>
      <c r="C3" s="24" t="str">
        <f>IFERROR(__xludf.DUMMYFUNCTION("""COMPUTED_VALUE"""),"Pemasangan Sistim Integrasi Bangunan Cerdas 2")</f>
        <v>Pemasangan Sistim Integrasi Bangunan Cerdas 2</v>
      </c>
      <c r="D3" s="25" t="str">
        <f>IFERROR(__xludf.DUMMYFUNCTION("""COMPUTED_VALUE"""),"PBL")</f>
        <v>PBL</v>
      </c>
      <c r="E3" s="25"/>
      <c r="F3" s="25"/>
      <c r="G3" s="28" t="str">
        <f>IFERROR(__xludf.DUMMYFUNCTION("""COMPUTED_VALUE"""),"")</f>
        <v/>
      </c>
      <c r="H3" s="24"/>
      <c r="I3" s="24"/>
      <c r="J3" s="24" t="str">
        <f>IFERROR(__xludf.DUMMYFUNCTION("""COMPUTED_VALUE"""),"")</f>
        <v/>
      </c>
      <c r="K3" s="24"/>
      <c r="L3" s="24"/>
    </row>
    <row r="4" ht="22.5" customHeight="1">
      <c r="A4" s="22">
        <v>3.0</v>
      </c>
      <c r="B4" s="24" t="str">
        <f>IFERROR(__xludf.DUMMYFUNCTION("""COMPUTED_VALUE"""),"Listrik")</f>
        <v>Listrik</v>
      </c>
      <c r="C4" s="24" t="str">
        <f>IFERROR(__xludf.DUMMYFUNCTION("""COMPUTED_VALUE"""),"Pemasangan Sistim Integrasi Bangunan Cerdas 3")</f>
        <v>Pemasangan Sistim Integrasi Bangunan Cerdas 3</v>
      </c>
      <c r="D4" s="25" t="str">
        <f>IFERROR(__xludf.DUMMYFUNCTION("""COMPUTED_VALUE"""),"PBL")</f>
        <v>PBL</v>
      </c>
      <c r="E4" s="25"/>
      <c r="F4" s="25"/>
      <c r="G4" s="28" t="str">
        <f>IFERROR(__xludf.DUMMYFUNCTION("""COMPUTED_VALUE"""),"")</f>
        <v/>
      </c>
      <c r="H4" s="24"/>
      <c r="I4" s="24"/>
      <c r="J4" s="24" t="str">
        <f>IFERROR(__xludf.DUMMYFUNCTION("""COMPUTED_VALUE"""),"")</f>
        <v/>
      </c>
      <c r="K4" s="24"/>
      <c r="L4" s="24"/>
    </row>
    <row r="5" ht="22.5" customHeight="1">
      <c r="A5" s="22">
        <v>4.0</v>
      </c>
      <c r="B5" s="24" t="str">
        <f>IFERROR(__xludf.DUMMYFUNCTION("""COMPUTED_VALUE"""),"Listrik")</f>
        <v>Listrik</v>
      </c>
      <c r="C5" s="24" t="str">
        <f>IFERROR(__xludf.DUMMYFUNCTION("""COMPUTED_VALUE"""),"Pemasangan Sistim Integrasi Bangunan Cerdas 4")</f>
        <v>Pemasangan Sistim Integrasi Bangunan Cerdas 4</v>
      </c>
      <c r="D5" s="25" t="str">
        <f>IFERROR(__xludf.DUMMYFUNCTION("""COMPUTED_VALUE"""),"PBL")</f>
        <v>PBL</v>
      </c>
      <c r="E5" s="25"/>
      <c r="F5" s="25"/>
      <c r="G5" s="28" t="str">
        <f>IFERROR(__xludf.DUMMYFUNCTION("""COMPUTED_VALUE"""),"")</f>
        <v/>
      </c>
      <c r="H5" s="24"/>
      <c r="I5" s="24"/>
      <c r="J5" s="24" t="str">
        <f>IFERROR(__xludf.DUMMYFUNCTION("""COMPUTED_VALUE"""),"")</f>
        <v/>
      </c>
      <c r="K5" s="24"/>
      <c r="L5" s="24"/>
    </row>
    <row r="6" ht="22.5" customHeight="1">
      <c r="A6" s="22">
        <v>5.0</v>
      </c>
      <c r="B6" s="24" t="str">
        <f>IFERROR(__xludf.DUMMYFUNCTION("""COMPUTED_VALUE"""),"Listrik")</f>
        <v>Listrik</v>
      </c>
      <c r="C6" s="24" t="str">
        <f>IFERROR(__xludf.DUMMYFUNCTION("""COMPUTED_VALUE"""),"Pemasangan Sistim Integrasi Bangunan Cerdas 5")</f>
        <v>Pemasangan Sistim Integrasi Bangunan Cerdas 5</v>
      </c>
      <c r="D6" s="25" t="str">
        <f>IFERROR(__xludf.DUMMYFUNCTION("""COMPUTED_VALUE"""),"PBL")</f>
        <v>PBL</v>
      </c>
      <c r="E6" s="25"/>
      <c r="F6" s="25"/>
      <c r="G6" s="28" t="str">
        <f>IFERROR(__xludf.DUMMYFUNCTION("""COMPUTED_VALUE"""),"")</f>
        <v/>
      </c>
      <c r="H6" s="24"/>
      <c r="I6" s="24"/>
      <c r="J6" s="24" t="str">
        <f>IFERROR(__xludf.DUMMYFUNCTION("""COMPUTED_VALUE"""),"")</f>
        <v/>
      </c>
      <c r="K6" s="24"/>
      <c r="L6" s="24"/>
    </row>
    <row r="7" ht="22.5" customHeight="1">
      <c r="A7" s="22">
        <v>6.0</v>
      </c>
      <c r="B7" s="24" t="str">
        <f>IFERROR(__xludf.DUMMYFUNCTION("""COMPUTED_VALUE"""),"Elektronika")</f>
        <v>Elektronika</v>
      </c>
      <c r="C7" s="24" t="str">
        <f>IFERROR(__xludf.DUMMYFUNCTION("""COMPUTED_VALUE"""),"Smart Farming 1")</f>
        <v>Smart Farming 1</v>
      </c>
      <c r="D7" s="25" t="str">
        <f>IFERROR(__xludf.DUMMYFUNCTION("""COMPUTED_VALUE"""),"PBL")</f>
        <v>PBL</v>
      </c>
      <c r="E7" s="25"/>
      <c r="F7" s="25"/>
      <c r="G7" s="28" t="str">
        <f>IFERROR(__xludf.DUMMYFUNCTION("""COMPUTED_VALUE"""),"")</f>
        <v/>
      </c>
      <c r="H7" s="24"/>
      <c r="I7" s="24"/>
      <c r="J7" s="24" t="str">
        <f>IFERROR(__xludf.DUMMYFUNCTION("""COMPUTED_VALUE"""),"")</f>
        <v/>
      </c>
      <c r="K7" s="24"/>
      <c r="L7" s="24"/>
    </row>
    <row r="8" ht="22.5" customHeight="1">
      <c r="A8" s="22">
        <v>7.0</v>
      </c>
      <c r="B8" s="24" t="str">
        <f>IFERROR(__xludf.DUMMYFUNCTION("""COMPUTED_VALUE"""),"Elektronika")</f>
        <v>Elektronika</v>
      </c>
      <c r="C8" s="24" t="str">
        <f>IFERROR(__xludf.DUMMYFUNCTION("""COMPUTED_VALUE"""),"Smart Farming 2")</f>
        <v>Smart Farming 2</v>
      </c>
      <c r="D8" s="25" t="str">
        <f>IFERROR(__xludf.DUMMYFUNCTION("""COMPUTED_VALUE"""),"PBL")</f>
        <v>PBL</v>
      </c>
      <c r="E8" s="25"/>
      <c r="F8" s="25"/>
      <c r="G8" s="28" t="str">
        <f>IFERROR(__xludf.DUMMYFUNCTION("""COMPUTED_VALUE"""),"")</f>
        <v/>
      </c>
      <c r="H8" s="24"/>
      <c r="I8" s="24"/>
      <c r="J8" s="24" t="str">
        <f>IFERROR(__xludf.DUMMYFUNCTION("""COMPUTED_VALUE"""),"")</f>
        <v/>
      </c>
      <c r="K8" s="24"/>
      <c r="L8" s="24"/>
    </row>
    <row r="9" ht="22.5" customHeight="1">
      <c r="A9" s="22">
        <v>8.0</v>
      </c>
      <c r="B9" s="24" t="str">
        <f>IFERROR(__xludf.DUMMYFUNCTION("""COMPUTED_VALUE"""),"Elektronika")</f>
        <v>Elektronika</v>
      </c>
      <c r="C9" s="24" t="str">
        <f>IFERROR(__xludf.DUMMYFUNCTION("""COMPUTED_VALUE"""),"Smart Farming 3")</f>
        <v>Smart Farming 3</v>
      </c>
      <c r="D9" s="25" t="str">
        <f>IFERROR(__xludf.DUMMYFUNCTION("""COMPUTED_VALUE"""),"PBL")</f>
        <v>PBL</v>
      </c>
      <c r="E9" s="25"/>
      <c r="F9" s="25"/>
      <c r="G9" s="28" t="str">
        <f>IFERROR(__xludf.DUMMYFUNCTION("""COMPUTED_VALUE"""),"")</f>
        <v/>
      </c>
      <c r="H9" s="24"/>
      <c r="I9" s="24"/>
      <c r="J9" s="24" t="str">
        <f>IFERROR(__xludf.DUMMYFUNCTION("""COMPUTED_VALUE"""),"")</f>
        <v/>
      </c>
      <c r="K9" s="24"/>
      <c r="L9" s="24"/>
    </row>
    <row r="10" ht="22.5" customHeight="1">
      <c r="A10" s="22">
        <v>9.0</v>
      </c>
      <c r="B10" s="24" t="str">
        <f>IFERROR(__xludf.DUMMYFUNCTION("""COMPUTED_VALUE"""),"Elektronika")</f>
        <v>Elektronika</v>
      </c>
      <c r="C10" s="24" t="str">
        <f>IFERROR(__xludf.DUMMYFUNCTION("""COMPUTED_VALUE"""),"Smart Farming 4")</f>
        <v>Smart Farming 4</v>
      </c>
      <c r="D10" s="25" t="str">
        <f>IFERROR(__xludf.DUMMYFUNCTION("""COMPUTED_VALUE"""),"PBL")</f>
        <v>PBL</v>
      </c>
      <c r="E10" s="25"/>
      <c r="F10" s="25"/>
      <c r="G10" s="28" t="str">
        <f>IFERROR(__xludf.DUMMYFUNCTION("""COMPUTED_VALUE"""),"")</f>
        <v/>
      </c>
      <c r="H10" s="24"/>
      <c r="I10" s="24"/>
      <c r="J10" s="24" t="str">
        <f>IFERROR(__xludf.DUMMYFUNCTION("""COMPUTED_VALUE"""),"")</f>
        <v/>
      </c>
      <c r="K10" s="24"/>
      <c r="L10" s="24"/>
    </row>
    <row r="11" ht="22.5" customHeight="1">
      <c r="A11" s="22">
        <v>10.0</v>
      </c>
      <c r="B11" s="24" t="str">
        <f>IFERROR(__xludf.DUMMYFUNCTION("""COMPUTED_VALUE"""),"Bisnis dan Manajemen")</f>
        <v>Bisnis dan Manajemen</v>
      </c>
      <c r="C11" s="24" t="str">
        <f>IFERROR(__xludf.DUMMYFUNCTION("""COMPUTED_VALUE"""),"Digital Office Administration Berbasis Google Workspace 1")</f>
        <v>Digital Office Administration Berbasis Google Workspace 1</v>
      </c>
      <c r="D11" s="25" t="str">
        <f>IFERROR(__xludf.DUMMYFUNCTION("""COMPUTED_VALUE"""),"PBL")</f>
        <v>PBL</v>
      </c>
      <c r="E11" s="38">
        <f>IFERROR(__xludf.DUMMYFUNCTION("""COMPUTED_VALUE"""),46113.0)</f>
        <v>46113</v>
      </c>
      <c r="F11" s="27">
        <f>IFERROR(__xludf.DUMMYFUNCTION("""COMPUTED_VALUE"""),46154.0)</f>
        <v>46154</v>
      </c>
      <c r="G11" s="28" t="str">
        <f>IFERROR(__xludf.DUMMYFUNCTION("""COMPUTED_VALUE"""),"April")</f>
        <v>April</v>
      </c>
      <c r="H11" s="24">
        <f>IFERROR(__xludf.DUMMYFUNCTION("""COMPUTED_VALUE"""),11.0)</f>
        <v>11</v>
      </c>
      <c r="I11" s="24">
        <f>IFERROR(__xludf.DUMMYFUNCTION("""COMPUTED_VALUE"""),1.0)</f>
        <v>1</v>
      </c>
      <c r="J11" s="24">
        <f>IFERROR(__xludf.DUMMYFUNCTION("""COMPUTED_VALUE"""),12.0)</f>
        <v>12</v>
      </c>
      <c r="K11" s="30">
        <f>IFERROR(__xludf.DUMMYFUNCTION("""COMPUTED_VALUE"""),10.0)</f>
        <v>10</v>
      </c>
      <c r="L11" s="30">
        <f>IFERROR(__xludf.DUMMYFUNCTION("""COMPUTED_VALUE"""),2.0)</f>
        <v>2</v>
      </c>
    </row>
    <row r="12" ht="22.5" customHeight="1">
      <c r="A12" s="22">
        <v>11.0</v>
      </c>
      <c r="B12" s="24" t="str">
        <f>IFERROR(__xludf.DUMMYFUNCTION("""COMPUTED_VALUE"""),"Bisnis dan Manajemen")</f>
        <v>Bisnis dan Manajemen</v>
      </c>
      <c r="C12" s="24" t="str">
        <f>IFERROR(__xludf.DUMMYFUNCTION("""COMPUTED_VALUE"""),"Digital Office Administration Berbasis Google Workspace 2")</f>
        <v>Digital Office Administration Berbasis Google Workspace 2</v>
      </c>
      <c r="D12" s="25" t="str">
        <f>IFERROR(__xludf.DUMMYFUNCTION("""COMPUTED_VALUE"""),"PBL")</f>
        <v>PBL</v>
      </c>
      <c r="E12" s="38">
        <f>IFERROR(__xludf.DUMMYFUNCTION("""COMPUTED_VALUE"""),46195.0)</f>
        <v>46195</v>
      </c>
      <c r="F12" s="27">
        <f>IFERROR(__xludf.DUMMYFUNCTION("""COMPUTED_VALUE"""),46232.0)</f>
        <v>46232</v>
      </c>
      <c r="G12" s="28" t="str">
        <f>IFERROR(__xludf.DUMMYFUNCTION("""COMPUTED_VALUE"""),"Juni")</f>
        <v>Juni</v>
      </c>
      <c r="H12" s="24"/>
      <c r="I12" s="24"/>
      <c r="J12" s="24">
        <f>IFERROR(__xludf.DUMMYFUNCTION("""COMPUTED_VALUE"""),16.0)</f>
        <v>16</v>
      </c>
      <c r="K12" s="30">
        <f>IFERROR(__xludf.DUMMYFUNCTION("""COMPUTED_VALUE"""),13.0)</f>
        <v>13</v>
      </c>
      <c r="L12" s="30">
        <f>IFERROR(__xludf.DUMMYFUNCTION("""COMPUTED_VALUE"""),3.0)</f>
        <v>3</v>
      </c>
    </row>
    <row r="13" ht="22.5" customHeight="1">
      <c r="A13" s="22">
        <v>12.0</v>
      </c>
      <c r="B13" s="24" t="str">
        <f>IFERROR(__xludf.DUMMYFUNCTION("""COMPUTED_VALUE"""),"Bisnis dan Manajemen")</f>
        <v>Bisnis dan Manajemen</v>
      </c>
      <c r="C13" s="24" t="str">
        <f>IFERROR(__xludf.DUMMYFUNCTION("""COMPUTED_VALUE"""),"Digital Office Administration Berbasis Google Workspace 3")</f>
        <v>Digital Office Administration Berbasis Google Workspace 3</v>
      </c>
      <c r="D13" s="25" t="str">
        <f>IFERROR(__xludf.DUMMYFUNCTION("""COMPUTED_VALUE"""),"PBL")</f>
        <v>PBL</v>
      </c>
      <c r="E13" s="38">
        <f>IFERROR(__xludf.DUMMYFUNCTION("""COMPUTED_VALUE"""),46195.0)</f>
        <v>46195</v>
      </c>
      <c r="F13" s="27">
        <f>IFERROR(__xludf.DUMMYFUNCTION("""COMPUTED_VALUE"""),46232.0)</f>
        <v>46232</v>
      </c>
      <c r="G13" s="28" t="str">
        <f>IFERROR(__xludf.DUMMYFUNCTION("""COMPUTED_VALUE"""),"Juni")</f>
        <v>Juni</v>
      </c>
      <c r="H13" s="24"/>
      <c r="I13" s="24"/>
      <c r="J13" s="24">
        <f>IFERROR(__xludf.DUMMYFUNCTION("""COMPUTED_VALUE"""),16.0)</f>
        <v>16</v>
      </c>
      <c r="K13" s="30">
        <f>IFERROR(__xludf.DUMMYFUNCTION("""COMPUTED_VALUE"""),11.0)</f>
        <v>11</v>
      </c>
      <c r="L13" s="30">
        <f>IFERROR(__xludf.DUMMYFUNCTION("""COMPUTED_VALUE"""),5.0)</f>
        <v>5</v>
      </c>
    </row>
    <row r="14" ht="22.5" customHeight="1">
      <c r="A14" s="22">
        <v>13.0</v>
      </c>
      <c r="B14" s="24" t="str">
        <f>IFERROR(__xludf.DUMMYFUNCTION("""COMPUTED_VALUE"""),"Bisnis dan Manajemen")</f>
        <v>Bisnis dan Manajemen</v>
      </c>
      <c r="C14" s="24" t="str">
        <f>IFERROR(__xludf.DUMMYFUNCTION("""COMPUTED_VALUE"""),"Digital Office Administration Berbasis Google Workspace 4")</f>
        <v>Digital Office Administration Berbasis Google Workspace 4</v>
      </c>
      <c r="D14" s="25" t="str">
        <f>IFERROR(__xludf.DUMMYFUNCTION("""COMPUTED_VALUE"""),"PBL")</f>
        <v>PBL</v>
      </c>
      <c r="E14" s="25"/>
      <c r="F14" s="25"/>
      <c r="G14" s="28" t="str">
        <f>IFERROR(__xludf.DUMMYFUNCTION("""COMPUTED_VALUE"""),"")</f>
        <v/>
      </c>
      <c r="H14" s="24"/>
      <c r="I14" s="24"/>
      <c r="J14" s="24" t="str">
        <f>IFERROR(__xludf.DUMMYFUNCTION("""COMPUTED_VALUE"""),"")</f>
        <v/>
      </c>
      <c r="K14" s="24"/>
      <c r="L14" s="24"/>
    </row>
    <row r="15" ht="22.5" customHeight="1">
      <c r="A15" s="22">
        <v>14.0</v>
      </c>
      <c r="B15" s="24" t="str">
        <f>IFERROR(__xludf.DUMMYFUNCTION("""COMPUTED_VALUE"""),"Bisnis dan Manajemen")</f>
        <v>Bisnis dan Manajemen</v>
      </c>
      <c r="C15" s="24" t="str">
        <f>IFERROR(__xludf.DUMMYFUNCTION("""COMPUTED_VALUE"""),"Digital Office Administration Berbasis Google Workspace 5")</f>
        <v>Digital Office Administration Berbasis Google Workspace 5</v>
      </c>
      <c r="D15" s="25" t="str">
        <f>IFERROR(__xludf.DUMMYFUNCTION("""COMPUTED_VALUE"""),"PBL")</f>
        <v>PBL</v>
      </c>
      <c r="E15" s="25"/>
      <c r="F15" s="25"/>
      <c r="G15" s="28" t="str">
        <f>IFERROR(__xludf.DUMMYFUNCTION("""COMPUTED_VALUE"""),"")</f>
        <v/>
      </c>
      <c r="H15" s="24"/>
      <c r="I15" s="24"/>
      <c r="J15" s="24" t="str">
        <f>IFERROR(__xludf.DUMMYFUNCTION("""COMPUTED_VALUE"""),"")</f>
        <v/>
      </c>
      <c r="K15" s="24"/>
      <c r="L15" s="24"/>
    </row>
    <row r="16" ht="22.5" customHeight="1">
      <c r="A16" s="22">
        <v>15.0</v>
      </c>
      <c r="B16" s="24" t="str">
        <f>IFERROR(__xludf.DUMMYFUNCTION("""COMPUTED_VALUE"""),"Bisnis dan Manajemen")</f>
        <v>Bisnis dan Manajemen</v>
      </c>
      <c r="C16" s="24" t="str">
        <f>IFERROR(__xludf.DUMMYFUNCTION("""COMPUTED_VALUE"""),"Digital Office Administration Berbasis Google Workspace 6")</f>
        <v>Digital Office Administration Berbasis Google Workspace 6</v>
      </c>
      <c r="D16" s="25" t="str">
        <f>IFERROR(__xludf.DUMMYFUNCTION("""COMPUTED_VALUE"""),"PBL")</f>
        <v>PBL</v>
      </c>
      <c r="E16" s="25"/>
      <c r="F16" s="25"/>
      <c r="G16" s="28" t="str">
        <f>IFERROR(__xludf.DUMMYFUNCTION("""COMPUTED_VALUE"""),"")</f>
        <v/>
      </c>
      <c r="H16" s="24"/>
      <c r="I16" s="24"/>
      <c r="J16" s="24" t="str">
        <f>IFERROR(__xludf.DUMMYFUNCTION("""COMPUTED_VALUE"""),"")</f>
        <v/>
      </c>
      <c r="K16" s="24"/>
      <c r="L16" s="24"/>
    </row>
    <row r="17" ht="22.5" customHeight="1">
      <c r="A17" s="22">
        <v>16.0</v>
      </c>
      <c r="B17" s="24" t="str">
        <f>IFERROR(__xludf.DUMMYFUNCTION("""COMPUTED_VALUE"""),"Bisnis dan Manajemen")</f>
        <v>Bisnis dan Manajemen</v>
      </c>
      <c r="C17" s="24" t="str">
        <f>IFERROR(__xludf.DUMMYFUNCTION("""COMPUTED_VALUE"""),"Optimalisasi Pemasaran Melalui Media Sosial")</f>
        <v>Optimalisasi Pemasaran Melalui Media Sosial</v>
      </c>
      <c r="D17" s="25" t="str">
        <f>IFERROR(__xludf.DUMMYFUNCTION("""COMPUTED_VALUE"""),"PBL")</f>
        <v>PBL</v>
      </c>
      <c r="E17" s="25"/>
      <c r="F17" s="25"/>
      <c r="G17" s="28" t="str">
        <f>IFERROR(__xludf.DUMMYFUNCTION("""COMPUTED_VALUE"""),"")</f>
        <v/>
      </c>
      <c r="H17" s="24"/>
      <c r="I17" s="24"/>
      <c r="J17" s="24" t="str">
        <f>IFERROR(__xludf.DUMMYFUNCTION("""COMPUTED_VALUE"""),"")</f>
        <v/>
      </c>
      <c r="K17" s="24"/>
      <c r="L17" s="24"/>
    </row>
    <row r="18" ht="22.5" customHeight="1">
      <c r="A18" s="22">
        <v>17.0</v>
      </c>
      <c r="B18" s="24" t="str">
        <f>IFERROR(__xludf.DUMMYFUNCTION("""COMPUTED_VALUE"""),"TIK")</f>
        <v>TIK</v>
      </c>
      <c r="C18" s="24" t="str">
        <f>IFERROR(__xludf.DUMMYFUNCTION("""COMPUTED_VALUE"""),"Pengoperasian Tools Generative AI untuk Konten Digital dan Bisnis")</f>
        <v>Pengoperasian Tools Generative AI untuk Konten Digital dan Bisnis</v>
      </c>
      <c r="D18" s="25" t="str">
        <f>IFERROR(__xludf.DUMMYFUNCTION("""COMPUTED_VALUE"""),"PBL")</f>
        <v>PBL</v>
      </c>
      <c r="E18" s="26">
        <f>IFERROR(__xludf.DUMMYFUNCTION("""COMPUTED_VALUE"""),46195.0)</f>
        <v>46195</v>
      </c>
      <c r="F18" s="27">
        <f>IFERROR(__xludf.DUMMYFUNCTION("""COMPUTED_VALUE"""),46232.0)</f>
        <v>46232</v>
      </c>
      <c r="G18" s="28" t="str">
        <f>IFERROR(__xludf.DUMMYFUNCTION("""COMPUTED_VALUE"""),"Juni")</f>
        <v>Juni</v>
      </c>
      <c r="H18" s="24"/>
      <c r="I18" s="24"/>
      <c r="J18" s="24">
        <f>IFERROR(__xludf.DUMMYFUNCTION("""COMPUTED_VALUE"""),13.0)</f>
        <v>13</v>
      </c>
      <c r="K18" s="30">
        <f>IFERROR(__xludf.DUMMYFUNCTION("""COMPUTED_VALUE"""),8.0)</f>
        <v>8</v>
      </c>
      <c r="L18" s="30">
        <f>IFERROR(__xludf.DUMMYFUNCTION("""COMPUTED_VALUE"""),5.0)</f>
        <v>5</v>
      </c>
    </row>
    <row r="19" ht="22.5" customHeight="1">
      <c r="A19" s="22">
        <v>18.0</v>
      </c>
      <c r="B19" s="24" t="str">
        <f>IFERROR(__xludf.DUMMYFUNCTION("""COMPUTED_VALUE"""),"TIK")</f>
        <v>TIK</v>
      </c>
      <c r="C19" s="24" t="str">
        <f>IFERROR(__xludf.DUMMYFUNCTION("""COMPUTED_VALUE"""),"Pengembangan Web dengan Node JS dan React")</f>
        <v>Pengembangan Web dengan Node JS dan React</v>
      </c>
      <c r="D19" s="25" t="str">
        <f>IFERROR(__xludf.DUMMYFUNCTION("""COMPUTED_VALUE"""),"PBL")</f>
        <v>PBL</v>
      </c>
      <c r="E19" s="25"/>
      <c r="F19" s="25"/>
      <c r="G19" s="28" t="str">
        <f>IFERROR(__xludf.DUMMYFUNCTION("""COMPUTED_VALUE"""),"")</f>
        <v/>
      </c>
      <c r="H19" s="24"/>
      <c r="I19" s="24"/>
      <c r="J19" s="24" t="str">
        <f>IFERROR(__xludf.DUMMYFUNCTION("""COMPUTED_VALUE"""),"")</f>
        <v/>
      </c>
      <c r="K19" s="24"/>
      <c r="L19" s="24"/>
    </row>
    <row r="20" ht="22.5" customHeight="1">
      <c r="A20" s="22">
        <v>19.0</v>
      </c>
      <c r="B20" s="24" t="str">
        <f>IFERROR(__xludf.DUMMYFUNCTION("""COMPUTED_VALUE"""),"TIK")</f>
        <v>TIK</v>
      </c>
      <c r="C20" s="24" t="str">
        <f>IFERROR(__xludf.DUMMYFUNCTION("""COMPUTED_VALUE"""),"Pembuatan Konten Visual untuk Sosial Media 1")</f>
        <v>Pembuatan Konten Visual untuk Sosial Media 1</v>
      </c>
      <c r="D20" s="25" t="str">
        <f>IFERROR(__xludf.DUMMYFUNCTION("""COMPUTED_VALUE"""),"PBL")</f>
        <v>PBL</v>
      </c>
      <c r="E20" s="26">
        <f>IFERROR(__xludf.DUMMYFUNCTION("""COMPUTED_VALUE"""),46195.0)</f>
        <v>46195</v>
      </c>
      <c r="F20" s="27">
        <f>IFERROR(__xludf.DUMMYFUNCTION("""COMPUTED_VALUE"""),46232.0)</f>
        <v>46232</v>
      </c>
      <c r="G20" s="28" t="str">
        <f>IFERROR(__xludf.DUMMYFUNCTION("""COMPUTED_VALUE"""),"Juni")</f>
        <v>Juni</v>
      </c>
      <c r="H20" s="24">
        <f>IFERROR(__xludf.DUMMYFUNCTION("""COMPUTED_VALUE"""),11.0)</f>
        <v>11</v>
      </c>
      <c r="I20" s="24">
        <f>IFERROR(__xludf.DUMMYFUNCTION("""COMPUTED_VALUE"""),2.0)</f>
        <v>2</v>
      </c>
      <c r="J20" s="24">
        <f>IFERROR(__xludf.DUMMYFUNCTION("""COMPUTED_VALUE"""),13.0)</f>
        <v>13</v>
      </c>
      <c r="K20" s="30">
        <f>IFERROR(__xludf.DUMMYFUNCTION("""COMPUTED_VALUE"""),6.0)</f>
        <v>6</v>
      </c>
      <c r="L20" s="30">
        <f>IFERROR(__xludf.DUMMYFUNCTION("""COMPUTED_VALUE"""),7.0)</f>
        <v>7</v>
      </c>
    </row>
    <row r="21" ht="22.5" customHeight="1">
      <c r="A21" s="22">
        <v>20.0</v>
      </c>
      <c r="B21" s="24" t="str">
        <f>IFERROR(__xludf.DUMMYFUNCTION("""COMPUTED_VALUE"""),"TIK")</f>
        <v>TIK</v>
      </c>
      <c r="C21" s="24" t="str">
        <f>IFERROR(__xludf.DUMMYFUNCTION("""COMPUTED_VALUE"""),"Pembuatan Konten Visual untuk Sosial Media 2")</f>
        <v>Pembuatan Konten Visual untuk Sosial Media 2</v>
      </c>
      <c r="D21" s="25" t="str">
        <f>IFERROR(__xludf.DUMMYFUNCTION("""COMPUTED_VALUE"""),"PBL")</f>
        <v>PBL</v>
      </c>
      <c r="E21" s="25"/>
      <c r="F21" s="25"/>
      <c r="G21" s="28" t="str">
        <f>IFERROR(__xludf.DUMMYFUNCTION("""COMPUTED_VALUE"""),"")</f>
        <v/>
      </c>
      <c r="H21" s="24"/>
      <c r="I21" s="24"/>
      <c r="J21" s="24" t="str">
        <f>IFERROR(__xludf.DUMMYFUNCTION("""COMPUTED_VALUE"""),"")</f>
        <v/>
      </c>
      <c r="K21" s="24"/>
      <c r="L21" s="24"/>
    </row>
    <row r="22" ht="22.5" customHeight="1">
      <c r="A22" s="22">
        <v>21.0</v>
      </c>
      <c r="B22" s="24" t="str">
        <f>IFERROR(__xludf.DUMMYFUNCTION("""COMPUTED_VALUE"""),"Otomotif")</f>
        <v>Otomotif</v>
      </c>
      <c r="C22" s="24" t="str">
        <f>IFERROR(__xludf.DUMMYFUNCTION("""COMPUTED_VALUE"""),"Pemeliharaan Kendaraan Ringan Sistem Injeksi 1")</f>
        <v>Pemeliharaan Kendaraan Ringan Sistem Injeksi 1</v>
      </c>
      <c r="D22" s="25" t="str">
        <f>IFERROR(__xludf.DUMMYFUNCTION("""COMPUTED_VALUE"""),"PBK")</f>
        <v>PBK</v>
      </c>
      <c r="E22" s="26">
        <f>IFERROR(__xludf.DUMMYFUNCTION("""COMPUTED_VALUE"""),46195.0)</f>
        <v>46195</v>
      </c>
      <c r="F22" s="27">
        <f>IFERROR(__xludf.DUMMYFUNCTION("""COMPUTED_VALUE"""),46241.0)</f>
        <v>46241</v>
      </c>
      <c r="G22" s="28" t="str">
        <f>IFERROR(__xludf.DUMMYFUNCTION("""COMPUTED_VALUE"""),"Juni")</f>
        <v>Juni</v>
      </c>
      <c r="H22" s="24"/>
      <c r="I22" s="24"/>
      <c r="J22" s="24">
        <f>IFERROR(__xludf.DUMMYFUNCTION("""COMPUTED_VALUE"""),16.0)</f>
        <v>16</v>
      </c>
      <c r="K22" s="24"/>
      <c r="L22" s="30">
        <f>IFERROR(__xludf.DUMMYFUNCTION("""COMPUTED_VALUE"""),16.0)</f>
        <v>16</v>
      </c>
    </row>
    <row r="23" ht="22.5" customHeight="1">
      <c r="A23" s="22">
        <v>22.0</v>
      </c>
      <c r="B23" s="24" t="str">
        <f>IFERROR(__xludf.DUMMYFUNCTION("""COMPUTED_VALUE"""),"Otomotif")</f>
        <v>Otomotif</v>
      </c>
      <c r="C23" s="24" t="str">
        <f>IFERROR(__xludf.DUMMYFUNCTION("""COMPUTED_VALUE"""),"Servis Sepeda Motor Sistem Injeksi 1")</f>
        <v>Servis Sepeda Motor Sistem Injeksi 1</v>
      </c>
      <c r="D23" s="25" t="str">
        <f>IFERROR(__xludf.DUMMYFUNCTION("""COMPUTED_VALUE"""),"PBK")</f>
        <v>PBK</v>
      </c>
      <c r="E23" s="26">
        <f>IFERROR(__xludf.DUMMYFUNCTION("""COMPUTED_VALUE"""),46195.0)</f>
        <v>46195</v>
      </c>
      <c r="F23" s="27">
        <f>IFERROR(__xludf.DUMMYFUNCTION("""COMPUTED_VALUE"""),46241.0)</f>
        <v>46241</v>
      </c>
      <c r="G23" s="28" t="str">
        <f>IFERROR(__xludf.DUMMYFUNCTION("""COMPUTED_VALUE"""),"Juni")</f>
        <v>Juni</v>
      </c>
      <c r="H23" s="24">
        <f>IFERROR(__xludf.DUMMYFUNCTION("""COMPUTED_VALUE"""),11.0)</f>
        <v>11</v>
      </c>
      <c r="I23" s="24">
        <f>IFERROR(__xludf.DUMMYFUNCTION("""COMPUTED_VALUE"""),5.0)</f>
        <v>5</v>
      </c>
      <c r="J23" s="24">
        <f>IFERROR(__xludf.DUMMYFUNCTION("""COMPUTED_VALUE"""),16.0)</f>
        <v>16</v>
      </c>
      <c r="K23" s="24"/>
      <c r="L23" s="30">
        <f>IFERROR(__xludf.DUMMYFUNCTION("""COMPUTED_VALUE"""),16.0)</f>
        <v>16</v>
      </c>
    </row>
    <row r="24" ht="22.5" customHeight="1">
      <c r="A24" s="22">
        <v>23.0</v>
      </c>
      <c r="B24" s="24" t="str">
        <f>IFERROR(__xludf.DUMMYFUNCTION("""COMPUTED_VALUE"""),"Pertambangan")</f>
        <v>Pertambangan</v>
      </c>
      <c r="C24" s="24" t="str">
        <f>IFERROR(__xludf.DUMMYFUNCTION("""COMPUTED_VALUE"""),"Operator Truck Excavator 1")</f>
        <v>Operator Truck Excavator 1</v>
      </c>
      <c r="D24" s="25" t="str">
        <f>IFERROR(__xludf.DUMMYFUNCTION("""COMPUTED_VALUE"""),"PBK")</f>
        <v>PBK</v>
      </c>
      <c r="E24" s="26">
        <f>IFERROR(__xludf.DUMMYFUNCTION("""COMPUTED_VALUE"""),46113.0)</f>
        <v>46113</v>
      </c>
      <c r="F24" s="27">
        <f>IFERROR(__xludf.DUMMYFUNCTION("""COMPUTED_VALUE"""),46167.0)</f>
        <v>46167</v>
      </c>
      <c r="G24" s="28" t="str">
        <f>IFERROR(__xludf.DUMMYFUNCTION("""COMPUTED_VALUE"""),"April")</f>
        <v>April</v>
      </c>
      <c r="H24" s="24">
        <f>IFERROR(__xludf.DUMMYFUNCTION("""COMPUTED_VALUE"""),15.0)</f>
        <v>15</v>
      </c>
      <c r="I24" s="24">
        <f>IFERROR(__xludf.DUMMYFUNCTION("""COMPUTED_VALUE"""),1.0)</f>
        <v>1</v>
      </c>
      <c r="J24" s="24">
        <f>IFERROR(__xludf.DUMMYFUNCTION("""COMPUTED_VALUE"""),16.0)</f>
        <v>16</v>
      </c>
      <c r="K24" s="30">
        <f>IFERROR(__xludf.DUMMYFUNCTION("""COMPUTED_VALUE"""),3.0)</f>
        <v>3</v>
      </c>
      <c r="L24" s="30">
        <f>IFERROR(__xludf.DUMMYFUNCTION("""COMPUTED_VALUE"""),13.0)</f>
        <v>13</v>
      </c>
    </row>
    <row r="25" ht="22.5" customHeight="1">
      <c r="A25" s="22">
        <v>24.0</v>
      </c>
      <c r="B25" s="24" t="str">
        <f>IFERROR(__xludf.DUMMYFUNCTION("""COMPUTED_VALUE"""),"Pertambangan")</f>
        <v>Pertambangan</v>
      </c>
      <c r="C25" s="24" t="str">
        <f>IFERROR(__xludf.DUMMYFUNCTION("""COMPUTED_VALUE"""),"Operator Truck Excavator 2")</f>
        <v>Operator Truck Excavator 2</v>
      </c>
      <c r="D25" s="25" t="str">
        <f>IFERROR(__xludf.DUMMYFUNCTION("""COMPUTED_VALUE"""),"PBK")</f>
        <v>PBK</v>
      </c>
      <c r="E25" s="25"/>
      <c r="F25" s="25"/>
      <c r="G25" s="28" t="str">
        <f>IFERROR(__xludf.DUMMYFUNCTION("""COMPUTED_VALUE"""),"")</f>
        <v/>
      </c>
      <c r="H25" s="24"/>
      <c r="I25" s="24"/>
      <c r="J25" s="24" t="str">
        <f>IFERROR(__xludf.DUMMYFUNCTION("""COMPUTED_VALUE"""),"")</f>
        <v/>
      </c>
      <c r="K25" s="24"/>
      <c r="L25" s="24"/>
    </row>
    <row r="26" ht="22.5" customHeight="1">
      <c r="A26" s="22">
        <v>25.0</v>
      </c>
      <c r="B26" s="24" t="str">
        <f>IFERROR(__xludf.DUMMYFUNCTION("""COMPUTED_VALUE"""),"Elektronika")</f>
        <v>Elektronika</v>
      </c>
      <c r="C26" s="24" t="str">
        <f>IFERROR(__xludf.DUMMYFUNCTION("""COMPUTED_VALUE"""),"Teknisi Telepon Seluler Perangkat Keras 1")</f>
        <v>Teknisi Telepon Seluler Perangkat Keras 1</v>
      </c>
      <c r="D26" s="25" t="str">
        <f>IFERROR(__xludf.DUMMYFUNCTION("""COMPUTED_VALUE"""),"PBK")</f>
        <v>PBK</v>
      </c>
      <c r="E26" s="26">
        <f>IFERROR(__xludf.DUMMYFUNCTION("""COMPUTED_VALUE"""),46195.0)</f>
        <v>46195</v>
      </c>
      <c r="F26" s="27">
        <f>IFERROR(__xludf.DUMMYFUNCTION("""COMPUTED_VALUE"""),46239.0)</f>
        <v>46239</v>
      </c>
      <c r="G26" s="28" t="str">
        <f>IFERROR(__xludf.DUMMYFUNCTION("""COMPUTED_VALUE"""),"Juni")</f>
        <v>Juni</v>
      </c>
      <c r="H26" s="24">
        <f>IFERROR(__xludf.DUMMYFUNCTION("""COMPUTED_VALUE"""),14.0)</f>
        <v>14</v>
      </c>
      <c r="I26" s="24">
        <f>IFERROR(__xludf.DUMMYFUNCTION("""COMPUTED_VALUE"""),2.0)</f>
        <v>2</v>
      </c>
      <c r="J26" s="24">
        <f>IFERROR(__xludf.DUMMYFUNCTION("""COMPUTED_VALUE"""),16.0)</f>
        <v>16</v>
      </c>
      <c r="K26" s="24"/>
      <c r="L26" s="30">
        <f>IFERROR(__xludf.DUMMYFUNCTION("""COMPUTED_VALUE"""),16.0)</f>
        <v>16</v>
      </c>
    </row>
    <row r="27" ht="22.5" customHeight="1">
      <c r="A27" s="22">
        <v>26.0</v>
      </c>
      <c r="B27" s="24" t="str">
        <f>IFERROR(__xludf.DUMMYFUNCTION("""COMPUTED_VALUE"""),"Las")</f>
        <v>Las</v>
      </c>
      <c r="C27" s="24" t="str">
        <f>IFERROR(__xludf.DUMMYFUNCTION("""COMPUTED_VALUE"""),"Perakitan Komponen Fabrikasi 1")</f>
        <v>Perakitan Komponen Fabrikasi 1</v>
      </c>
      <c r="D27" s="25" t="str">
        <f>IFERROR(__xludf.DUMMYFUNCTION("""COMPUTED_VALUE"""),"PBK")</f>
        <v>PBK</v>
      </c>
      <c r="E27" s="26">
        <f>IFERROR(__xludf.DUMMYFUNCTION("""COMPUTED_VALUE"""),46113.0)</f>
        <v>46113</v>
      </c>
      <c r="F27" s="27">
        <f>IFERROR(__xludf.DUMMYFUNCTION("""COMPUTED_VALUE"""),46147.0)</f>
        <v>46147</v>
      </c>
      <c r="G27" s="28" t="str">
        <f>IFERROR(__xludf.DUMMYFUNCTION("""COMPUTED_VALUE"""),"April")</f>
        <v>April</v>
      </c>
      <c r="H27" s="24">
        <f>IFERROR(__xludf.DUMMYFUNCTION("""COMPUTED_VALUE"""),7.0)</f>
        <v>7</v>
      </c>
      <c r="I27" s="24">
        <f>IFERROR(__xludf.DUMMYFUNCTION("""COMPUTED_VALUE"""),0.0)</f>
        <v>0</v>
      </c>
      <c r="J27" s="24">
        <f>IFERROR(__xludf.DUMMYFUNCTION("""COMPUTED_VALUE"""),7.0)</f>
        <v>7</v>
      </c>
      <c r="K27" s="30">
        <f>IFERROR(__xludf.DUMMYFUNCTION("""COMPUTED_VALUE"""),0.0)</f>
        <v>0</v>
      </c>
      <c r="L27" s="30">
        <f>IFERROR(__xludf.DUMMYFUNCTION("""COMPUTED_VALUE"""),7.0)</f>
        <v>7</v>
      </c>
    </row>
    <row r="28" ht="22.5" customHeight="1">
      <c r="A28" s="22">
        <v>27.0</v>
      </c>
      <c r="B28" s="24" t="str">
        <f>IFERROR(__xludf.DUMMYFUNCTION("""COMPUTED_VALUE"""),"Las")</f>
        <v>Las</v>
      </c>
      <c r="C28" s="24" t="str">
        <f>IFERROR(__xludf.DUMMYFUNCTION("""COMPUTED_VALUE"""),"Perakitan Komponen Fabrikasi 2")</f>
        <v>Perakitan Komponen Fabrikasi 2</v>
      </c>
      <c r="D28" s="25" t="str">
        <f>IFERROR(__xludf.DUMMYFUNCTION("""COMPUTED_VALUE"""),"PBK")</f>
        <v>PBK</v>
      </c>
      <c r="E28" s="38">
        <f>IFERROR(__xludf.DUMMYFUNCTION("""COMPUTED_VALUE"""),46195.0)</f>
        <v>46195</v>
      </c>
      <c r="F28" s="27">
        <f>IFERROR(__xludf.DUMMYFUNCTION("""COMPUTED_VALUE"""),46225.0)</f>
        <v>46225</v>
      </c>
      <c r="G28" s="28" t="str">
        <f>IFERROR(__xludf.DUMMYFUNCTION("""COMPUTED_VALUE"""),"Juni")</f>
        <v>Juni</v>
      </c>
      <c r="H28" s="24">
        <f>IFERROR(__xludf.DUMMYFUNCTION("""COMPUTED_VALUE"""),16.0)</f>
        <v>16</v>
      </c>
      <c r="I28" s="24">
        <f>IFERROR(__xludf.DUMMYFUNCTION("""COMPUTED_VALUE"""),0.0)</f>
        <v>0</v>
      </c>
      <c r="J28" s="24">
        <f>IFERROR(__xludf.DUMMYFUNCTION("""COMPUTED_VALUE"""),16.0)</f>
        <v>16</v>
      </c>
      <c r="K28" s="24"/>
      <c r="L28" s="30">
        <f>IFERROR(__xludf.DUMMYFUNCTION("""COMPUTED_VALUE"""),16.0)</f>
        <v>16</v>
      </c>
    </row>
    <row r="29" ht="22.5" customHeight="1">
      <c r="A29" s="22">
        <v>28.0</v>
      </c>
      <c r="B29" s="24" t="str">
        <f>IFERROR(__xludf.DUMMYFUNCTION("""COMPUTED_VALUE"""),"Las")</f>
        <v>Las</v>
      </c>
      <c r="C29" s="24" t="str">
        <f>IFERROR(__xludf.DUMMYFUNCTION("""COMPUTED_VALUE"""),"Perakitan Komponen Fabrikasi 3 ")</f>
        <v>Perakitan Komponen Fabrikasi 3 </v>
      </c>
      <c r="D29" s="25" t="str">
        <f>IFERROR(__xludf.DUMMYFUNCTION("""COMPUTED_VALUE"""),"PBK")</f>
        <v>PBK</v>
      </c>
      <c r="E29" s="26">
        <f>IFERROR(__xludf.DUMMYFUNCTION("""COMPUTED_VALUE"""),46195.0)</f>
        <v>46195</v>
      </c>
      <c r="F29" s="27">
        <f>IFERROR(__xludf.DUMMYFUNCTION("""COMPUTED_VALUE"""),46225.0)</f>
        <v>46225</v>
      </c>
      <c r="G29" s="28" t="str">
        <f>IFERROR(__xludf.DUMMYFUNCTION("""COMPUTED_VALUE"""),"Juni")</f>
        <v>Juni</v>
      </c>
      <c r="H29" s="24">
        <f>IFERROR(__xludf.DUMMYFUNCTION("""COMPUTED_VALUE"""),15.0)</f>
        <v>15</v>
      </c>
      <c r="I29" s="24">
        <f>IFERROR(__xludf.DUMMYFUNCTION("""COMPUTED_VALUE"""),1.0)</f>
        <v>1</v>
      </c>
      <c r="J29" s="24">
        <f>IFERROR(__xludf.DUMMYFUNCTION("""COMPUTED_VALUE"""),16.0)</f>
        <v>16</v>
      </c>
      <c r="K29" s="24"/>
      <c r="L29" s="30">
        <f>IFERROR(__xludf.DUMMYFUNCTION("""COMPUTED_VALUE"""),16.0)</f>
        <v>16</v>
      </c>
    </row>
    <row r="30" ht="22.5" customHeight="1">
      <c r="A30" s="22">
        <v>29.0</v>
      </c>
      <c r="B30" s="24" t="str">
        <f>IFERROR(__xludf.DUMMYFUNCTION("""COMPUTED_VALUE"""),"Bangunan")</f>
        <v>Bangunan</v>
      </c>
      <c r="C30" s="24" t="str">
        <f>IFERROR(__xludf.DUMMYFUNCTION("""COMPUTED_VALUE"""),"Juru Gambar Pekerjaan Jalan dan Jembatan 1")</f>
        <v>Juru Gambar Pekerjaan Jalan dan Jembatan 1</v>
      </c>
      <c r="D30" s="25" t="str">
        <f>IFERROR(__xludf.DUMMYFUNCTION("""COMPUTED_VALUE"""),"PBK")</f>
        <v>PBK</v>
      </c>
      <c r="E30" s="38">
        <f>IFERROR(__xludf.DUMMYFUNCTION("""COMPUTED_VALUE"""),46195.0)</f>
        <v>46195</v>
      </c>
      <c r="F30" s="27">
        <f>IFERROR(__xludf.DUMMYFUNCTION("""COMPUTED_VALUE"""),46239.0)</f>
        <v>46239</v>
      </c>
      <c r="G30" s="28" t="str">
        <f>IFERROR(__xludf.DUMMYFUNCTION("""COMPUTED_VALUE"""),"Juni")</f>
        <v>Juni</v>
      </c>
      <c r="H30" s="24">
        <f>IFERROR(__xludf.DUMMYFUNCTION("""COMPUTED_VALUE"""),7.0)</f>
        <v>7</v>
      </c>
      <c r="I30" s="24">
        <f>IFERROR(__xludf.DUMMYFUNCTION("""COMPUTED_VALUE"""),2.0)</f>
        <v>2</v>
      </c>
      <c r="J30" s="24">
        <f>IFERROR(__xludf.DUMMYFUNCTION("""COMPUTED_VALUE"""),9.0)</f>
        <v>9</v>
      </c>
      <c r="K30" s="30">
        <f>IFERROR(__xludf.DUMMYFUNCTION("""COMPUTED_VALUE"""),2.0)</f>
        <v>2</v>
      </c>
      <c r="L30" s="30">
        <f>IFERROR(__xludf.DUMMYFUNCTION("""COMPUTED_VALUE"""),7.0)</f>
        <v>7</v>
      </c>
    </row>
    <row r="31" ht="22.5" customHeight="1">
      <c r="A31" s="22">
        <v>30.0</v>
      </c>
      <c r="B31" s="24" t="str">
        <f>IFERROR(__xludf.DUMMYFUNCTION("""COMPUTED_VALUE"""),"Bangunan")</f>
        <v>Bangunan</v>
      </c>
      <c r="C31" s="24" t="str">
        <f>IFERROR(__xludf.DUMMYFUNCTION("""COMPUTED_VALUE"""),"Juru Ukur (Surveyor) Kualifikasi 3 1")</f>
        <v>Juru Ukur (Surveyor) Kualifikasi 3 1</v>
      </c>
      <c r="D31" s="25" t="str">
        <f>IFERROR(__xludf.DUMMYFUNCTION("""COMPUTED_VALUE"""),"PBK")</f>
        <v>PBK</v>
      </c>
      <c r="E31" s="25"/>
      <c r="F31" s="25"/>
      <c r="G31" s="28" t="str">
        <f>IFERROR(__xludf.DUMMYFUNCTION("""COMPUTED_VALUE"""),"")</f>
        <v/>
      </c>
      <c r="H31" s="24"/>
      <c r="I31" s="24"/>
      <c r="J31" s="24" t="str">
        <f>IFERROR(__xludf.DUMMYFUNCTION("""COMPUTED_VALUE"""),"")</f>
        <v/>
      </c>
      <c r="K31" s="24"/>
      <c r="L31" s="24"/>
    </row>
    <row r="32" ht="22.5" customHeight="1">
      <c r="A32" s="22">
        <v>31.0</v>
      </c>
      <c r="B32" s="24" t="str">
        <f>IFERROR(__xludf.DUMMYFUNCTION("""COMPUTED_VALUE"""),"Bangunan")</f>
        <v>Bangunan</v>
      </c>
      <c r="C32" s="24" t="str">
        <f>IFERROR(__xludf.DUMMYFUNCTION("""COMPUTED_VALUE"""),"Juru Ukur (Surveyor) Kualifikasi 3 2")</f>
        <v>Juru Ukur (Surveyor) Kualifikasi 3 2</v>
      </c>
      <c r="D32" s="25" t="str">
        <f>IFERROR(__xludf.DUMMYFUNCTION("""COMPUTED_VALUE"""),"PBK")</f>
        <v>PBK</v>
      </c>
      <c r="E32" s="25"/>
      <c r="F32" s="25"/>
      <c r="G32" s="28" t="str">
        <f>IFERROR(__xludf.DUMMYFUNCTION("""COMPUTED_VALUE"""),"")</f>
        <v/>
      </c>
      <c r="H32" s="24"/>
      <c r="I32" s="24"/>
      <c r="J32" s="24" t="str">
        <f>IFERROR(__xludf.DUMMYFUNCTION("""COMPUTED_VALUE"""),"")</f>
        <v/>
      </c>
      <c r="K32" s="24"/>
      <c r="L32" s="24"/>
    </row>
    <row r="33" ht="22.5" customHeight="1">
      <c r="A33" s="22">
        <v>32.0</v>
      </c>
      <c r="B33" s="24" t="str">
        <f>IFERROR(__xludf.DUMMYFUNCTION("""COMPUTED_VALUE"""),"Bangunan")</f>
        <v>Bangunan</v>
      </c>
      <c r="C33" s="24" t="str">
        <f>IFERROR(__xludf.DUMMYFUNCTION("""COMPUTED_VALUE"""),"Juru Ukur (Surveyor) Kualifikasi 3 3")</f>
        <v>Juru Ukur (Surveyor) Kualifikasi 3 3</v>
      </c>
      <c r="D33" s="25" t="str">
        <f>IFERROR(__xludf.DUMMYFUNCTION("""COMPUTED_VALUE"""),"PBK")</f>
        <v>PBK</v>
      </c>
      <c r="E33" s="25"/>
      <c r="F33" s="25"/>
      <c r="G33" s="28" t="str">
        <f>IFERROR(__xludf.DUMMYFUNCTION("""COMPUTED_VALUE"""),"")</f>
        <v/>
      </c>
      <c r="H33" s="24"/>
      <c r="I33" s="24"/>
      <c r="J33" s="24" t="str">
        <f>IFERROR(__xludf.DUMMYFUNCTION("""COMPUTED_VALUE"""),"")</f>
        <v/>
      </c>
      <c r="K33" s="24"/>
      <c r="L33" s="24"/>
    </row>
    <row r="34" ht="22.5" customHeight="1">
      <c r="A34" s="22">
        <v>33.0</v>
      </c>
      <c r="B34" s="24" t="str">
        <f>IFERROR(__xludf.DUMMYFUNCTION("""COMPUTED_VALUE"""),"Bangunan")</f>
        <v>Bangunan</v>
      </c>
      <c r="C34" s="24" t="str">
        <f>IFERROR(__xludf.DUMMYFUNCTION("""COMPUTED_VALUE"""),"Konstruksi (Estimator Biaya Jalan)")</f>
        <v>Konstruksi (Estimator Biaya Jalan)</v>
      </c>
      <c r="D34" s="25" t="str">
        <f>IFERROR(__xludf.DUMMYFUNCTION("""COMPUTED_VALUE"""),"PBK")</f>
        <v>PBK</v>
      </c>
      <c r="E34" s="25"/>
      <c r="F34" s="25"/>
      <c r="G34" s="28" t="str">
        <f>IFERROR(__xludf.DUMMYFUNCTION("""COMPUTED_VALUE"""),"")</f>
        <v/>
      </c>
      <c r="H34" s="24"/>
      <c r="I34" s="24"/>
      <c r="J34" s="24" t="str">
        <f>IFERROR(__xludf.DUMMYFUNCTION("""COMPUTED_VALUE"""),"")</f>
        <v/>
      </c>
      <c r="K34" s="24"/>
      <c r="L34" s="24"/>
    </row>
    <row r="35" ht="22.5" customHeight="1">
      <c r="A35" s="22">
        <v>34.0</v>
      </c>
      <c r="B35" s="24" t="str">
        <f>IFERROR(__xludf.DUMMYFUNCTION("""COMPUTED_VALUE"""),"Kecantikan")</f>
        <v>Kecantikan</v>
      </c>
      <c r="C35" s="24" t="str">
        <f>IFERROR(__xludf.DUMMYFUNCTION("""COMPUTED_VALUE"""),"Merias Wajah 1")</f>
        <v>Merias Wajah 1</v>
      </c>
      <c r="D35" s="25" t="str">
        <f>IFERROR(__xludf.DUMMYFUNCTION("""COMPUTED_VALUE"""),"PBK")</f>
        <v>PBK</v>
      </c>
      <c r="E35" s="26">
        <f>IFERROR(__xludf.DUMMYFUNCTION("""COMPUTED_VALUE"""),46113.0)</f>
        <v>46113</v>
      </c>
      <c r="F35" s="27">
        <f>IFERROR(__xludf.DUMMYFUNCTION("""COMPUTED_VALUE"""),46141.0)</f>
        <v>46141</v>
      </c>
      <c r="G35" s="28" t="str">
        <f>IFERROR(__xludf.DUMMYFUNCTION("""COMPUTED_VALUE"""),"April")</f>
        <v>April</v>
      </c>
      <c r="H35" s="24">
        <f>IFERROR(__xludf.DUMMYFUNCTION("""COMPUTED_VALUE"""),10.0)</f>
        <v>10</v>
      </c>
      <c r="I35" s="24">
        <f>IFERROR(__xludf.DUMMYFUNCTION("""COMPUTED_VALUE"""),0.0)</f>
        <v>0</v>
      </c>
      <c r="J35" s="24">
        <f>IFERROR(__xludf.DUMMYFUNCTION("""COMPUTED_VALUE"""),10.0)</f>
        <v>10</v>
      </c>
      <c r="K35" s="30">
        <f>IFERROR(__xludf.DUMMYFUNCTION("""COMPUTED_VALUE"""),10.0)</f>
        <v>10</v>
      </c>
      <c r="L35" s="30">
        <f>IFERROR(__xludf.DUMMYFUNCTION("""COMPUTED_VALUE"""),0.0)</f>
        <v>0</v>
      </c>
    </row>
    <row r="36" ht="22.5" customHeight="1">
      <c r="A36" s="22">
        <v>35.0</v>
      </c>
      <c r="B36" s="24" t="str">
        <f>IFERROR(__xludf.DUMMYFUNCTION("""COMPUTED_VALUE"""),"Kecantikan")</f>
        <v>Kecantikan</v>
      </c>
      <c r="C36" s="24" t="str">
        <f>IFERROR(__xludf.DUMMYFUNCTION("""COMPUTED_VALUE"""),"Merias Wajah 2")</f>
        <v>Merias Wajah 2</v>
      </c>
      <c r="D36" s="25" t="str">
        <f>IFERROR(__xludf.DUMMYFUNCTION("""COMPUTED_VALUE"""),"PBK")</f>
        <v>PBK</v>
      </c>
      <c r="E36" s="26">
        <f>IFERROR(__xludf.DUMMYFUNCTION("""COMPUTED_VALUE"""),46113.0)</f>
        <v>46113</v>
      </c>
      <c r="F36" s="27">
        <f>IFERROR(__xludf.DUMMYFUNCTION("""COMPUTED_VALUE"""),46141.0)</f>
        <v>46141</v>
      </c>
      <c r="G36" s="28" t="str">
        <f>IFERROR(__xludf.DUMMYFUNCTION("""COMPUTED_VALUE"""),"April")</f>
        <v>April</v>
      </c>
      <c r="H36" s="24">
        <f>IFERROR(__xludf.DUMMYFUNCTION("""COMPUTED_VALUE"""),15.0)</f>
        <v>15</v>
      </c>
      <c r="I36" s="24">
        <f>IFERROR(__xludf.DUMMYFUNCTION("""COMPUTED_VALUE"""),1.0)</f>
        <v>1</v>
      </c>
      <c r="J36" s="24">
        <f>IFERROR(__xludf.DUMMYFUNCTION("""COMPUTED_VALUE"""),16.0)</f>
        <v>16</v>
      </c>
      <c r="K36" s="30">
        <f>IFERROR(__xludf.DUMMYFUNCTION("""COMPUTED_VALUE"""),16.0)</f>
        <v>16</v>
      </c>
      <c r="L36" s="30">
        <f>IFERROR(__xludf.DUMMYFUNCTION("""COMPUTED_VALUE"""),0.0)</f>
        <v>0</v>
      </c>
    </row>
    <row r="37" ht="22.5" customHeight="1">
      <c r="A37" s="22">
        <v>36.0</v>
      </c>
      <c r="B37" s="24" t="str">
        <f>IFERROR(__xludf.DUMMYFUNCTION("""COMPUTED_VALUE"""),"Kecantikan")</f>
        <v>Kecantikan</v>
      </c>
      <c r="C37" s="24" t="str">
        <f>IFERROR(__xludf.DUMMYFUNCTION("""COMPUTED_VALUE"""),"Merias Wajah 3")</f>
        <v>Merias Wajah 3</v>
      </c>
      <c r="D37" s="25" t="str">
        <f>IFERROR(__xludf.DUMMYFUNCTION("""COMPUTED_VALUE"""),"PBK")</f>
        <v>PBK</v>
      </c>
      <c r="E37" s="26">
        <f>IFERROR(__xludf.DUMMYFUNCTION("""COMPUTED_VALUE"""),46195.0)</f>
        <v>46195</v>
      </c>
      <c r="F37" s="27">
        <f>IFERROR(__xludf.DUMMYFUNCTION("""COMPUTED_VALUE"""),46220.0)</f>
        <v>46220</v>
      </c>
      <c r="G37" s="28" t="str">
        <f>IFERROR(__xludf.DUMMYFUNCTION("""COMPUTED_VALUE"""),"Juni")</f>
        <v>Juni</v>
      </c>
      <c r="H37" s="24">
        <f>IFERROR(__xludf.DUMMYFUNCTION("""COMPUTED_VALUE"""),16.0)</f>
        <v>16</v>
      </c>
      <c r="I37" s="24">
        <f>IFERROR(__xludf.DUMMYFUNCTION("""COMPUTED_VALUE"""),0.0)</f>
        <v>0</v>
      </c>
      <c r="J37" s="24">
        <f>IFERROR(__xludf.DUMMYFUNCTION("""COMPUTED_VALUE"""),16.0)</f>
        <v>16</v>
      </c>
      <c r="K37" s="30">
        <f>IFERROR(__xludf.DUMMYFUNCTION("""COMPUTED_VALUE"""),16.0)</f>
        <v>16</v>
      </c>
      <c r="L37" s="24"/>
    </row>
    <row r="38" ht="22.5" customHeight="1">
      <c r="A38" s="22">
        <v>37.0</v>
      </c>
      <c r="B38" s="24" t="str">
        <f>IFERROR(__xludf.DUMMYFUNCTION("""COMPUTED_VALUE"""),"Kecantikan")</f>
        <v>Kecantikan</v>
      </c>
      <c r="C38" s="24" t="str">
        <f>IFERROR(__xludf.DUMMYFUNCTION("""COMPUTED_VALUE"""),"Merias Wajah 4")</f>
        <v>Merias Wajah 4</v>
      </c>
      <c r="D38" s="25" t="str">
        <f>IFERROR(__xludf.DUMMYFUNCTION("""COMPUTED_VALUE"""),"PBK")</f>
        <v>PBK</v>
      </c>
      <c r="E38" s="26">
        <f>IFERROR(__xludf.DUMMYFUNCTION("""COMPUTED_VALUE"""),46195.0)</f>
        <v>46195</v>
      </c>
      <c r="F38" s="27">
        <f>IFERROR(__xludf.DUMMYFUNCTION("""COMPUTED_VALUE"""),46220.0)</f>
        <v>46220</v>
      </c>
      <c r="G38" s="28" t="str">
        <f>IFERROR(__xludf.DUMMYFUNCTION("""COMPUTED_VALUE"""),"Juni")</f>
        <v>Juni</v>
      </c>
      <c r="H38" s="24">
        <f>IFERROR(__xludf.DUMMYFUNCTION("""COMPUTED_VALUE"""),16.0)</f>
        <v>16</v>
      </c>
      <c r="I38" s="24">
        <f>IFERROR(__xludf.DUMMYFUNCTION("""COMPUTED_VALUE"""),0.0)</f>
        <v>0</v>
      </c>
      <c r="J38" s="24">
        <f>IFERROR(__xludf.DUMMYFUNCTION("""COMPUTED_VALUE"""),16.0)</f>
        <v>16</v>
      </c>
      <c r="K38" s="30">
        <f>IFERROR(__xludf.DUMMYFUNCTION("""COMPUTED_VALUE"""),16.0)</f>
        <v>16</v>
      </c>
      <c r="L38" s="24"/>
    </row>
    <row r="39" ht="22.5" customHeight="1">
      <c r="A39" s="22">
        <v>38.0</v>
      </c>
      <c r="B39" s="24" t="str">
        <f>IFERROR(__xludf.DUMMYFUNCTION("""COMPUTED_VALUE"""),"Fashion Technology")</f>
        <v>Fashion Technology</v>
      </c>
      <c r="C39" s="24" t="str">
        <f>IFERROR(__xludf.DUMMYFUNCTION("""COMPUTED_VALUE"""),"Asisten Pembuat Pakaian 1")</f>
        <v>Asisten Pembuat Pakaian 1</v>
      </c>
      <c r="D39" s="25" t="str">
        <f>IFERROR(__xludf.DUMMYFUNCTION("""COMPUTED_VALUE"""),"PBK")</f>
        <v>PBK</v>
      </c>
      <c r="E39" s="38">
        <f>IFERROR(__xludf.DUMMYFUNCTION("""COMPUTED_VALUE"""),46195.0)</f>
        <v>46195</v>
      </c>
      <c r="F39" s="27">
        <f>IFERROR(__xludf.DUMMYFUNCTION("""COMPUTED_VALUE"""),46225.0)</f>
        <v>46225</v>
      </c>
      <c r="G39" s="28" t="str">
        <f>IFERROR(__xludf.DUMMYFUNCTION("""COMPUTED_VALUE"""),"Juni")</f>
        <v>Juni</v>
      </c>
      <c r="H39" s="24">
        <f>IFERROR(__xludf.DUMMYFUNCTION("""COMPUTED_VALUE"""),16.0)</f>
        <v>16</v>
      </c>
      <c r="I39" s="24">
        <f>IFERROR(__xludf.DUMMYFUNCTION("""COMPUTED_VALUE"""),0.0)</f>
        <v>0</v>
      </c>
      <c r="J39" s="24">
        <f>IFERROR(__xludf.DUMMYFUNCTION("""COMPUTED_VALUE"""),16.0)</f>
        <v>16</v>
      </c>
      <c r="K39" s="30">
        <f>IFERROR(__xludf.DUMMYFUNCTION("""COMPUTED_VALUE"""),16.0)</f>
        <v>16</v>
      </c>
      <c r="L39" s="24"/>
    </row>
    <row r="40" ht="22.5" customHeight="1">
      <c r="A40" s="22">
        <v>39.0</v>
      </c>
      <c r="B40" s="24" t="str">
        <f>IFERROR(__xludf.DUMMYFUNCTION("""COMPUTED_VALUE"""),"Fashion Technology")</f>
        <v>Fashion Technology</v>
      </c>
      <c r="C40" s="24" t="str">
        <f>IFERROR(__xludf.DUMMYFUNCTION("""COMPUTED_VALUE"""),"Asisten Pembuat Pakaian 2")</f>
        <v>Asisten Pembuat Pakaian 2</v>
      </c>
      <c r="D40" s="25" t="str">
        <f>IFERROR(__xludf.DUMMYFUNCTION("""COMPUTED_VALUE"""),"PBK")</f>
        <v>PBK</v>
      </c>
      <c r="E40" s="25"/>
      <c r="F40" s="25"/>
      <c r="G40" s="28" t="str">
        <f>IFERROR(__xludf.DUMMYFUNCTION("""COMPUTED_VALUE"""),"")</f>
        <v/>
      </c>
      <c r="H40" s="24"/>
      <c r="I40" s="24"/>
      <c r="J40" s="24">
        <f>IFERROR(__xludf.DUMMYFUNCTION("""COMPUTED_VALUE"""),16.0)</f>
        <v>16</v>
      </c>
      <c r="K40" s="30">
        <f>IFERROR(__xludf.DUMMYFUNCTION("""COMPUTED_VALUE"""),16.0)</f>
        <v>16</v>
      </c>
      <c r="L40" s="24"/>
    </row>
    <row r="41" ht="22.5" customHeight="1">
      <c r="A41" s="22">
        <v>40.0</v>
      </c>
      <c r="B41" s="24" t="str">
        <f>IFERROR(__xludf.DUMMYFUNCTION("""COMPUTED_VALUE"""),"Fashion Technology")</f>
        <v>Fashion Technology</v>
      </c>
      <c r="C41" s="24" t="str">
        <f>IFERROR(__xludf.DUMMYFUNCTION("""COMPUTED_VALUE"""),"Asisten Pembuat Pakaian 3")</f>
        <v>Asisten Pembuat Pakaian 3</v>
      </c>
      <c r="D41" s="25" t="str">
        <f>IFERROR(__xludf.DUMMYFUNCTION("""COMPUTED_VALUE"""),"PBK")</f>
        <v>PBK</v>
      </c>
      <c r="E41" s="25"/>
      <c r="F41" s="25"/>
      <c r="G41" s="28" t="str">
        <f>IFERROR(__xludf.DUMMYFUNCTION("""COMPUTED_VALUE"""),"")</f>
        <v/>
      </c>
      <c r="H41" s="24"/>
      <c r="I41" s="24"/>
      <c r="J41" s="24" t="str">
        <f>IFERROR(__xludf.DUMMYFUNCTION("""COMPUTED_VALUE"""),"")</f>
        <v/>
      </c>
      <c r="K41" s="24"/>
      <c r="L41" s="24"/>
    </row>
    <row r="42" ht="22.5" customHeight="1">
      <c r="A42" s="22">
        <v>41.0</v>
      </c>
      <c r="B42" s="24" t="str">
        <f>IFERROR(__xludf.DUMMYFUNCTION("""COMPUTED_VALUE"""),"Fashion Technology")</f>
        <v>Fashion Technology</v>
      </c>
      <c r="C42" s="24" t="str">
        <f>IFERROR(__xludf.DUMMYFUNCTION("""COMPUTED_VALUE"""),"Menjahit Pakaian Wanita Dewasa 1")</f>
        <v>Menjahit Pakaian Wanita Dewasa 1</v>
      </c>
      <c r="D42" s="25" t="str">
        <f>IFERROR(__xludf.DUMMYFUNCTION("""COMPUTED_VALUE"""),"PBK")</f>
        <v>PBK</v>
      </c>
      <c r="E42" s="25"/>
      <c r="F42" s="25"/>
      <c r="G42" s="28" t="str">
        <f>IFERROR(__xludf.DUMMYFUNCTION("""COMPUTED_VALUE"""),"")</f>
        <v/>
      </c>
      <c r="H42" s="24"/>
      <c r="I42" s="24"/>
      <c r="J42" s="24" t="str">
        <f>IFERROR(__xludf.DUMMYFUNCTION("""COMPUTED_VALUE"""),"")</f>
        <v/>
      </c>
      <c r="K42" s="24"/>
      <c r="L42" s="24"/>
    </row>
    <row r="43" ht="22.5" customHeight="1">
      <c r="A43" s="22">
        <v>42.0</v>
      </c>
      <c r="B43" s="24" t="str">
        <f>IFERROR(__xludf.DUMMYFUNCTION("""COMPUTED_VALUE"""),"Fashion Technology")</f>
        <v>Fashion Technology</v>
      </c>
      <c r="C43" s="24" t="str">
        <f>IFERROR(__xludf.DUMMYFUNCTION("""COMPUTED_VALUE"""),"Menjahit Pakaian Wanita Dewasa 2")</f>
        <v>Menjahit Pakaian Wanita Dewasa 2</v>
      </c>
      <c r="D43" s="25" t="str">
        <f>IFERROR(__xludf.DUMMYFUNCTION("""COMPUTED_VALUE"""),"PBK")</f>
        <v>PBK</v>
      </c>
      <c r="E43" s="25"/>
      <c r="F43" s="25"/>
      <c r="G43" s="28" t="str">
        <f>IFERROR(__xludf.DUMMYFUNCTION("""COMPUTED_VALUE"""),"")</f>
        <v/>
      </c>
      <c r="H43" s="24"/>
      <c r="I43" s="24"/>
      <c r="J43" s="24" t="str">
        <f>IFERROR(__xludf.DUMMYFUNCTION("""COMPUTED_VALUE"""),"")</f>
        <v/>
      </c>
      <c r="K43" s="24"/>
      <c r="L43" s="24"/>
    </row>
    <row r="44" ht="22.5" customHeight="1">
      <c r="A44" s="22">
        <v>43.0</v>
      </c>
      <c r="B44" s="24" t="str">
        <f>IFERROR(__xludf.DUMMYFUNCTION("""COMPUTED_VALUE"""),"Fashion Technology")</f>
        <v>Fashion Technology</v>
      </c>
      <c r="C44" s="24" t="str">
        <f>IFERROR(__xludf.DUMMYFUNCTION("""COMPUTED_VALUE"""),"Menjahit Pakaian Wanita Dewasa 3")</f>
        <v>Menjahit Pakaian Wanita Dewasa 3</v>
      </c>
      <c r="D44" s="25" t="str">
        <f>IFERROR(__xludf.DUMMYFUNCTION("""COMPUTED_VALUE"""),"PBK")</f>
        <v>PBK</v>
      </c>
      <c r="E44" s="25"/>
      <c r="F44" s="25"/>
      <c r="G44" s="28" t="str">
        <f>IFERROR(__xludf.DUMMYFUNCTION("""COMPUTED_VALUE"""),"")</f>
        <v/>
      </c>
      <c r="H44" s="24"/>
      <c r="I44" s="24"/>
      <c r="J44" s="24" t="str">
        <f>IFERROR(__xludf.DUMMYFUNCTION("""COMPUTED_VALUE"""),"")</f>
        <v/>
      </c>
      <c r="K44" s="24"/>
      <c r="L44" s="24"/>
    </row>
    <row r="45" ht="22.5" customHeight="1">
      <c r="A45" s="22">
        <v>44.0</v>
      </c>
      <c r="B45" s="24" t="str">
        <f>IFERROR(__xludf.DUMMYFUNCTION("""COMPUTED_VALUE"""),"Pariwisata")</f>
        <v>Pariwisata</v>
      </c>
      <c r="C45" s="24" t="str">
        <f>IFERROR(__xludf.DUMMYFUNCTION("""COMPUTED_VALUE"""),"Peracikan Minuman Kopi 1")</f>
        <v>Peracikan Minuman Kopi 1</v>
      </c>
      <c r="D45" s="25" t="str">
        <f>IFERROR(__xludf.DUMMYFUNCTION("""COMPUTED_VALUE"""),"PBK")</f>
        <v>PBK</v>
      </c>
      <c r="E45" s="26">
        <f>IFERROR(__xludf.DUMMYFUNCTION("""COMPUTED_VALUE"""),46195.0)</f>
        <v>46195</v>
      </c>
      <c r="F45" s="27">
        <f>IFERROR(__xludf.DUMMYFUNCTION("""COMPUTED_VALUE"""),46225.0)</f>
        <v>46225</v>
      </c>
      <c r="G45" s="28" t="str">
        <f>IFERROR(__xludf.DUMMYFUNCTION("""COMPUTED_VALUE"""),"Juni")</f>
        <v>Juni</v>
      </c>
      <c r="H45" s="24"/>
      <c r="I45" s="24"/>
      <c r="J45" s="24">
        <f>IFERROR(__xludf.DUMMYFUNCTION("""COMPUTED_VALUE"""),13.0)</f>
        <v>13</v>
      </c>
      <c r="K45" s="30">
        <f>IFERROR(__xludf.DUMMYFUNCTION("""COMPUTED_VALUE"""),4.0)</f>
        <v>4</v>
      </c>
      <c r="L45" s="30">
        <f>IFERROR(__xludf.DUMMYFUNCTION("""COMPUTED_VALUE"""),9.0)</f>
        <v>9</v>
      </c>
    </row>
    <row r="46" ht="22.5" customHeight="1">
      <c r="A46" s="22">
        <v>45.0</v>
      </c>
      <c r="B46" s="24" t="str">
        <f>IFERROR(__xludf.DUMMYFUNCTION("""COMPUTED_VALUE"""),"Pariwisata")</f>
        <v>Pariwisata</v>
      </c>
      <c r="C46" s="24" t="str">
        <f>IFERROR(__xludf.DUMMYFUNCTION("""COMPUTED_VALUE"""),"Barista 2")</f>
        <v>Barista 2</v>
      </c>
      <c r="D46" s="25" t="str">
        <f>IFERROR(__xludf.DUMMYFUNCTION("""COMPUTED_VALUE"""),"PBK")</f>
        <v>PBK</v>
      </c>
      <c r="E46" s="25"/>
      <c r="F46" s="25"/>
      <c r="G46" s="28" t="str">
        <f>IFERROR(__xludf.DUMMYFUNCTION("""COMPUTED_VALUE"""),"")</f>
        <v/>
      </c>
      <c r="H46" s="24"/>
      <c r="I46" s="24"/>
      <c r="J46" s="24" t="str">
        <f>IFERROR(__xludf.DUMMYFUNCTION("""COMPUTED_VALUE"""),"")</f>
        <v/>
      </c>
      <c r="K46" s="24"/>
      <c r="L46" s="24"/>
    </row>
    <row r="47" ht="22.5" customHeight="1">
      <c r="A47" s="22">
        <v>46.0</v>
      </c>
      <c r="B47" s="24" t="str">
        <f>IFERROR(__xludf.DUMMYFUNCTION("""COMPUTED_VALUE"""),"Pariwisata")</f>
        <v>Pariwisata</v>
      </c>
      <c r="C47" s="24" t="str">
        <f>IFERROR(__xludf.DUMMYFUNCTION("""COMPUTED_VALUE"""),"Menyiapkan Produk Roti/Bakery 1")</f>
        <v>Menyiapkan Produk Roti/Bakery 1</v>
      </c>
      <c r="D47" s="25" t="str">
        <f>IFERROR(__xludf.DUMMYFUNCTION("""COMPUTED_VALUE"""),"PBK")</f>
        <v>PBK</v>
      </c>
      <c r="E47" s="26">
        <f>IFERROR(__xludf.DUMMYFUNCTION("""COMPUTED_VALUE"""),46195.0)</f>
        <v>46195</v>
      </c>
      <c r="F47" s="27">
        <f>IFERROR(__xludf.DUMMYFUNCTION("""COMPUTED_VALUE"""),46218.0)</f>
        <v>46218</v>
      </c>
      <c r="G47" s="28" t="str">
        <f>IFERROR(__xludf.DUMMYFUNCTION("""COMPUTED_VALUE"""),"Juni")</f>
        <v>Juni</v>
      </c>
      <c r="H47" s="24"/>
      <c r="I47" s="24"/>
      <c r="J47" s="24">
        <f>IFERROR(__xludf.DUMMYFUNCTION("""COMPUTED_VALUE"""),16.0)</f>
        <v>16</v>
      </c>
      <c r="K47" s="30">
        <f>IFERROR(__xludf.DUMMYFUNCTION("""COMPUTED_VALUE"""),12.0)</f>
        <v>12</v>
      </c>
      <c r="L47" s="30">
        <f>IFERROR(__xludf.DUMMYFUNCTION("""COMPUTED_VALUE"""),4.0)</f>
        <v>4</v>
      </c>
    </row>
    <row r="48" ht="22.5" customHeight="1">
      <c r="A48" s="22">
        <v>47.0</v>
      </c>
      <c r="B48" s="24" t="str">
        <f>IFERROR(__xludf.DUMMYFUNCTION("""COMPUTED_VALUE"""),"Pariwisata")</f>
        <v>Pariwisata</v>
      </c>
      <c r="C48" s="24" t="str">
        <f>IFERROR(__xludf.DUMMYFUNCTION("""COMPUTED_VALUE"""),"Menyiapkan Produk Roti/Bakery 2")</f>
        <v>Menyiapkan Produk Roti/Bakery 2</v>
      </c>
      <c r="D48" s="25" t="str">
        <f>IFERROR(__xludf.DUMMYFUNCTION("""COMPUTED_VALUE"""),"PBK")</f>
        <v>PBK</v>
      </c>
      <c r="E48" s="25"/>
      <c r="F48" s="25"/>
      <c r="G48" s="28" t="str">
        <f>IFERROR(__xludf.DUMMYFUNCTION("""COMPUTED_VALUE"""),"")</f>
        <v/>
      </c>
      <c r="H48" s="24"/>
      <c r="I48" s="24"/>
      <c r="J48" s="24" t="str">
        <f>IFERROR(__xludf.DUMMYFUNCTION("""COMPUTED_VALUE"""),"")</f>
        <v/>
      </c>
      <c r="K48" s="24"/>
      <c r="L48" s="24"/>
    </row>
    <row r="49" ht="22.5" customHeight="1">
      <c r="A49" s="22">
        <v>48.0</v>
      </c>
      <c r="B49" s="24" t="str">
        <f>IFERROR(__xludf.DUMMYFUNCTION("""COMPUTED_VALUE"""),"Teknologi Pengolahan Pertanian")</f>
        <v>Teknologi Pengolahan Pertanian</v>
      </c>
      <c r="C49" s="24" t="str">
        <f>IFERROR(__xludf.DUMMYFUNCTION("""COMPUTED_VALUE"""),"Pembuatan Roti dan Kue 1")</f>
        <v>Pembuatan Roti dan Kue 1</v>
      </c>
      <c r="D49" s="25" t="str">
        <f>IFERROR(__xludf.DUMMYFUNCTION("""COMPUTED_VALUE"""),"PBK")</f>
        <v>PBK</v>
      </c>
      <c r="E49" s="26">
        <f>IFERROR(__xludf.DUMMYFUNCTION("""COMPUTED_VALUE"""),46195.0)</f>
        <v>46195</v>
      </c>
      <c r="F49" s="27">
        <f>IFERROR(__xludf.DUMMYFUNCTION("""COMPUTED_VALUE"""),46218.0)</f>
        <v>46218</v>
      </c>
      <c r="G49" s="28" t="str">
        <f>IFERROR(__xludf.DUMMYFUNCTION("""COMPUTED_VALUE"""),"Juni")</f>
        <v>Juni</v>
      </c>
      <c r="H49" s="24"/>
      <c r="I49" s="24"/>
      <c r="J49" s="24">
        <f>IFERROR(__xludf.DUMMYFUNCTION("""COMPUTED_VALUE"""),16.0)</f>
        <v>16</v>
      </c>
      <c r="K49" s="30">
        <f>IFERROR(__xludf.DUMMYFUNCTION("""COMPUTED_VALUE"""),12.0)</f>
        <v>12</v>
      </c>
      <c r="L49" s="30">
        <f>IFERROR(__xludf.DUMMYFUNCTION("""COMPUTED_VALUE"""),4.0)</f>
        <v>4</v>
      </c>
    </row>
    <row r="50" ht="22.5" customHeight="1">
      <c r="A50" s="22">
        <v>49.0</v>
      </c>
      <c r="B50" s="24" t="str">
        <f>IFERROR(__xludf.DUMMYFUNCTION("""COMPUTED_VALUE"""),"Teknologi Pengolahan Pertanian")</f>
        <v>Teknologi Pengolahan Pertanian</v>
      </c>
      <c r="C50" s="24" t="str">
        <f>IFERROR(__xludf.DUMMYFUNCTION("""COMPUTED_VALUE"""),"Pembuatan Roti dan Kue 2")</f>
        <v>Pembuatan Roti dan Kue 2</v>
      </c>
      <c r="D50" s="25" t="str">
        <f>IFERROR(__xludf.DUMMYFUNCTION("""COMPUTED_VALUE"""),"PBK")</f>
        <v>PBK</v>
      </c>
      <c r="E50" s="25"/>
      <c r="F50" s="25"/>
      <c r="G50" s="28" t="str">
        <f>IFERROR(__xludf.DUMMYFUNCTION("""COMPUTED_VALUE"""),"")</f>
        <v/>
      </c>
      <c r="H50" s="24"/>
      <c r="I50" s="24"/>
      <c r="J50" s="24" t="str">
        <f>IFERROR(__xludf.DUMMYFUNCTION("""COMPUTED_VALUE"""),"")</f>
        <v/>
      </c>
      <c r="K50" s="24"/>
      <c r="L50" s="24"/>
    </row>
    <row r="51" ht="22.5" customHeight="1">
      <c r="A51" s="22">
        <v>50.0</v>
      </c>
      <c r="B51" s="24" t="str">
        <f>IFERROR(__xludf.DUMMYFUNCTION("""COMPUTED_VALUE"""),"TIK")</f>
        <v>TIK</v>
      </c>
      <c r="C51" s="24" t="str">
        <f>IFERROR(__xludf.DUMMYFUNCTION("""COMPUTED_VALUE"""),"Junior Mobile Programmer 1")</f>
        <v>Junior Mobile Programmer 1</v>
      </c>
      <c r="D51" s="25" t="str">
        <f>IFERROR(__xludf.DUMMYFUNCTION("""COMPUTED_VALUE"""),"PBK")</f>
        <v>PBK</v>
      </c>
      <c r="E51" s="25"/>
      <c r="F51" s="25"/>
      <c r="G51" s="28" t="str">
        <f>IFERROR(__xludf.DUMMYFUNCTION("""COMPUTED_VALUE"""),"")</f>
        <v/>
      </c>
      <c r="H51" s="24"/>
      <c r="I51" s="24"/>
      <c r="J51" s="24" t="str">
        <f>IFERROR(__xludf.DUMMYFUNCTION("""COMPUTED_VALUE"""),"")</f>
        <v/>
      </c>
      <c r="K51" s="24"/>
      <c r="L51" s="24"/>
    </row>
    <row r="52" ht="22.5" customHeight="1">
      <c r="A52" s="22">
        <v>51.0</v>
      </c>
      <c r="B52" s="24" t="str">
        <f>IFERROR(__xludf.DUMMYFUNCTION("""COMPUTED_VALUE"""),"TIK")</f>
        <v>TIK</v>
      </c>
      <c r="C52" s="24" t="str">
        <f>IFERROR(__xludf.DUMMYFUNCTION("""COMPUTED_VALUE"""),"Junior Mobile Programmer 2")</f>
        <v>Junior Mobile Programmer 2</v>
      </c>
      <c r="D52" s="25" t="str">
        <f>IFERROR(__xludf.DUMMYFUNCTION("""COMPUTED_VALUE"""),"PBK")</f>
        <v>PBK</v>
      </c>
      <c r="E52" s="25"/>
      <c r="F52" s="25"/>
      <c r="G52" s="28" t="str">
        <f>IFERROR(__xludf.DUMMYFUNCTION("""COMPUTED_VALUE"""),"")</f>
        <v/>
      </c>
      <c r="H52" s="24"/>
      <c r="I52" s="24"/>
      <c r="J52" s="24" t="str">
        <f>IFERROR(__xludf.DUMMYFUNCTION("""COMPUTED_VALUE"""),"")</f>
        <v/>
      </c>
      <c r="K52" s="24"/>
      <c r="L52" s="24"/>
    </row>
    <row r="53" ht="22.5" customHeight="1">
      <c r="A53" s="22">
        <v>52.0</v>
      </c>
      <c r="B53" s="24" t="str">
        <f>IFERROR(__xludf.DUMMYFUNCTION("""COMPUTED_VALUE"""),"TIK")</f>
        <v>TIK</v>
      </c>
      <c r="C53" s="24" t="str">
        <f>IFERROR(__xludf.DUMMYFUNCTION("""COMPUTED_VALUE"""),"Computer Operator Assistant 1")</f>
        <v>Computer Operator Assistant 1</v>
      </c>
      <c r="D53" s="25" t="str">
        <f>IFERROR(__xludf.DUMMYFUNCTION("""COMPUTED_VALUE"""),"PBK")</f>
        <v>PBK</v>
      </c>
      <c r="E53" s="26">
        <f>IFERROR(__xludf.DUMMYFUNCTION("""COMPUTED_VALUE"""),46113.0)</f>
        <v>46113</v>
      </c>
      <c r="F53" s="27">
        <f>IFERROR(__xludf.DUMMYFUNCTION("""COMPUTED_VALUE"""),46163.0)</f>
        <v>46163</v>
      </c>
      <c r="G53" s="28" t="str">
        <f>IFERROR(__xludf.DUMMYFUNCTION("""COMPUTED_VALUE"""),"April")</f>
        <v>April</v>
      </c>
      <c r="H53" s="24">
        <f>IFERROR(__xludf.DUMMYFUNCTION("""COMPUTED_VALUE"""),12.0)</f>
        <v>12</v>
      </c>
      <c r="I53" s="24">
        <f>IFERROR(__xludf.DUMMYFUNCTION("""COMPUTED_VALUE"""),0.0)</f>
        <v>0</v>
      </c>
      <c r="J53" s="24">
        <f>IFERROR(__xludf.DUMMYFUNCTION("""COMPUTED_VALUE"""),12.0)</f>
        <v>12</v>
      </c>
      <c r="K53" s="30">
        <f>IFERROR(__xludf.DUMMYFUNCTION("""COMPUTED_VALUE"""),6.0)</f>
        <v>6</v>
      </c>
      <c r="L53" s="30">
        <f>IFERROR(__xludf.DUMMYFUNCTION("""COMPUTED_VALUE"""),6.0)</f>
        <v>6</v>
      </c>
    </row>
    <row r="54" ht="22.5" customHeight="1">
      <c r="A54" s="22">
        <v>53.0</v>
      </c>
      <c r="B54" s="24" t="str">
        <f>IFERROR(__xludf.DUMMYFUNCTION("""COMPUTED_VALUE"""),"TIK")</f>
        <v>TIK</v>
      </c>
      <c r="C54" s="24" t="str">
        <f>IFERROR(__xludf.DUMMYFUNCTION("""COMPUTED_VALUE"""),"Computer Operator Assistant 2")</f>
        <v>Computer Operator Assistant 2</v>
      </c>
      <c r="D54" s="25" t="str">
        <f>IFERROR(__xludf.DUMMYFUNCTION("""COMPUTED_VALUE"""),"PBK")</f>
        <v>PBK</v>
      </c>
      <c r="E54" s="38">
        <f>IFERROR(__xludf.DUMMYFUNCTION("""COMPUTED_VALUE"""),46113.0)</f>
        <v>46113</v>
      </c>
      <c r="F54" s="27">
        <f>IFERROR(__xludf.DUMMYFUNCTION("""COMPUTED_VALUE"""),46163.0)</f>
        <v>46163</v>
      </c>
      <c r="G54" s="28" t="str">
        <f>IFERROR(__xludf.DUMMYFUNCTION("""COMPUTED_VALUE"""),"April")</f>
        <v>April</v>
      </c>
      <c r="H54" s="24">
        <f>IFERROR(__xludf.DUMMYFUNCTION("""COMPUTED_VALUE"""),9.0)</f>
        <v>9</v>
      </c>
      <c r="I54" s="24">
        <f>IFERROR(__xludf.DUMMYFUNCTION("""COMPUTED_VALUE"""),3.0)</f>
        <v>3</v>
      </c>
      <c r="J54" s="24">
        <f>IFERROR(__xludf.DUMMYFUNCTION("""COMPUTED_VALUE"""),11.0)</f>
        <v>11</v>
      </c>
      <c r="K54" s="30">
        <f>IFERROR(__xludf.DUMMYFUNCTION("""COMPUTED_VALUE"""),9.0)</f>
        <v>9</v>
      </c>
      <c r="L54" s="30">
        <f>IFERROR(__xludf.DUMMYFUNCTION("""COMPUTED_VALUE"""),2.0)</f>
        <v>2</v>
      </c>
    </row>
    <row r="55" ht="22.5" customHeight="1">
      <c r="A55" s="22">
        <v>54.0</v>
      </c>
      <c r="B55" s="24" t="str">
        <f>IFERROR(__xludf.DUMMYFUNCTION("""COMPUTED_VALUE"""),"TIK")</f>
        <v>TIK</v>
      </c>
      <c r="C55" s="24" t="str">
        <f>IFERROR(__xludf.DUMMYFUNCTION("""COMPUTED_VALUE"""),"Computer Operator Assistant 3")</f>
        <v>Computer Operator Assistant 3</v>
      </c>
      <c r="D55" s="25" t="str">
        <f>IFERROR(__xludf.DUMMYFUNCTION("""COMPUTED_VALUE"""),"PBK")</f>
        <v>PBK</v>
      </c>
      <c r="E55" s="38">
        <f>IFERROR(__xludf.DUMMYFUNCTION("""COMPUTED_VALUE"""),46113.0)</f>
        <v>46113</v>
      </c>
      <c r="F55" s="27">
        <f>IFERROR(__xludf.DUMMYFUNCTION("""COMPUTED_VALUE"""),46163.0)</f>
        <v>46163</v>
      </c>
      <c r="G55" s="28" t="str">
        <f>IFERROR(__xludf.DUMMYFUNCTION("""COMPUTED_VALUE"""),"April")</f>
        <v>April</v>
      </c>
      <c r="H55" s="24">
        <f>IFERROR(__xludf.DUMMYFUNCTION("""COMPUTED_VALUE"""),14.0)</f>
        <v>14</v>
      </c>
      <c r="I55" s="24">
        <f>IFERROR(__xludf.DUMMYFUNCTION("""COMPUTED_VALUE"""),0.0)</f>
        <v>0</v>
      </c>
      <c r="J55" s="24">
        <f>IFERROR(__xludf.DUMMYFUNCTION("""COMPUTED_VALUE"""),14.0)</f>
        <v>14</v>
      </c>
      <c r="K55" s="30">
        <f>IFERROR(__xludf.DUMMYFUNCTION("""COMPUTED_VALUE"""),14.0)</f>
        <v>14</v>
      </c>
      <c r="L55" s="30">
        <f>IFERROR(__xludf.DUMMYFUNCTION("""COMPUTED_VALUE"""),0.0)</f>
        <v>0</v>
      </c>
    </row>
    <row r="56" ht="22.5" customHeight="1">
      <c r="A56" s="22">
        <v>55.0</v>
      </c>
      <c r="B56" s="24" t="str">
        <f>IFERROR(__xludf.DUMMYFUNCTION("""COMPUTED_VALUE"""),"TIK")</f>
        <v>TIK</v>
      </c>
      <c r="C56" s="24" t="str">
        <f>IFERROR(__xludf.DUMMYFUNCTION("""COMPUTED_VALUE"""),"Computer Operator Assistant 4")</f>
        <v>Computer Operator Assistant 4</v>
      </c>
      <c r="D56" s="25" t="str">
        <f>IFERROR(__xludf.DUMMYFUNCTION("""COMPUTED_VALUE"""),"PBK")</f>
        <v>PBK</v>
      </c>
      <c r="E56" s="25"/>
      <c r="F56" s="25"/>
      <c r="G56" s="28" t="str">
        <f>IFERROR(__xludf.DUMMYFUNCTION("""COMPUTED_VALUE"""),"")</f>
        <v/>
      </c>
      <c r="H56" s="24"/>
      <c r="I56" s="24"/>
      <c r="J56" s="24" t="str">
        <f>IFERROR(__xludf.DUMMYFUNCTION("""COMPUTED_VALUE"""),"")</f>
        <v/>
      </c>
      <c r="K56" s="24"/>
      <c r="L56" s="24"/>
    </row>
    <row r="57" ht="22.5" customHeight="1">
      <c r="A57" s="22">
        <v>56.0</v>
      </c>
      <c r="B57" s="24" t="str">
        <f>IFERROR(__xludf.DUMMYFUNCTION("""COMPUTED_VALUE"""),"TIK")</f>
        <v>TIK</v>
      </c>
      <c r="C57" s="24" t="str">
        <f>IFERROR(__xludf.DUMMYFUNCTION("""COMPUTED_VALUE"""),"Menjadi Perancang UI/UX yang Kompeten di Industri")</f>
        <v>Menjadi Perancang UI/UX yang Kompeten di Industri</v>
      </c>
      <c r="D57" s="25" t="str">
        <f>IFERROR(__xludf.DUMMYFUNCTION("""COMPUTED_VALUE"""),"TMT")</f>
        <v>TMT</v>
      </c>
      <c r="E57" s="26">
        <f>IFERROR(__xludf.DUMMYFUNCTION("""COMPUTED_VALUE"""),46195.0)</f>
        <v>46195</v>
      </c>
      <c r="F57" s="27">
        <f>IFERROR(__xludf.DUMMYFUNCTION("""COMPUTED_VALUE"""),46199.0)</f>
        <v>46199</v>
      </c>
      <c r="G57" s="28" t="str">
        <f>IFERROR(__xludf.DUMMYFUNCTION("""COMPUTED_VALUE"""),"Juni")</f>
        <v>Juni</v>
      </c>
      <c r="H57" s="24">
        <f>IFERROR(__xludf.DUMMYFUNCTION("""COMPUTED_VALUE"""),9.0)</f>
        <v>9</v>
      </c>
      <c r="I57" s="24">
        <f>IFERROR(__xludf.DUMMYFUNCTION("""COMPUTED_VALUE"""),2.0)</f>
        <v>2</v>
      </c>
      <c r="J57" s="24">
        <f>IFERROR(__xludf.DUMMYFUNCTION("""COMPUTED_VALUE"""),11.0)</f>
        <v>11</v>
      </c>
      <c r="K57" s="30">
        <f>IFERROR(__xludf.DUMMYFUNCTION("""COMPUTED_VALUE"""),2.0)</f>
        <v>2</v>
      </c>
      <c r="L57" s="30">
        <f>IFERROR(__xludf.DUMMYFUNCTION("""COMPUTED_VALUE"""),9.0)</f>
        <v>9</v>
      </c>
    </row>
    <row r="58" ht="22.5" customHeight="1">
      <c r="A58" s="22">
        <v>57.0</v>
      </c>
      <c r="B58" s="24" t="str">
        <f>IFERROR(__xludf.DUMMYFUNCTION("""COMPUTED_VALUE"""),"Fashion Technology")</f>
        <v>Fashion Technology</v>
      </c>
      <c r="C58" s="24" t="str">
        <f>IFERROR(__xludf.DUMMYFUNCTION("""COMPUTED_VALUE"""),"Menjahit Blouse Wanita")</f>
        <v>Menjahit Blouse Wanita</v>
      </c>
      <c r="D58" s="25" t="str">
        <f>IFERROR(__xludf.DUMMYFUNCTION("""COMPUTED_VALUE"""),"TMT")</f>
        <v>TMT</v>
      </c>
      <c r="E58" s="26">
        <f>IFERROR(__xludf.DUMMYFUNCTION("""COMPUTED_VALUE"""),46202.0)</f>
        <v>46202</v>
      </c>
      <c r="F58" s="27">
        <f>IFERROR(__xludf.DUMMYFUNCTION("""COMPUTED_VALUE"""),46212.0)</f>
        <v>46212</v>
      </c>
      <c r="G58" s="28" t="str">
        <f>IFERROR(__xludf.DUMMYFUNCTION("""COMPUTED_VALUE"""),"Juni")</f>
        <v>Juni</v>
      </c>
      <c r="H58" s="24">
        <f>IFERROR(__xludf.DUMMYFUNCTION("""COMPUTED_VALUE"""),9.0)</f>
        <v>9</v>
      </c>
      <c r="I58" s="24">
        <f>IFERROR(__xludf.DUMMYFUNCTION("""COMPUTED_VALUE"""),7.0)</f>
        <v>7</v>
      </c>
      <c r="J58" s="24">
        <f>IFERROR(__xludf.DUMMYFUNCTION("""COMPUTED_VALUE"""),16.0)</f>
        <v>16</v>
      </c>
      <c r="K58" s="30">
        <f>IFERROR(__xludf.DUMMYFUNCTION("""COMPUTED_VALUE"""),15.0)</f>
        <v>15</v>
      </c>
      <c r="L58" s="30">
        <f>IFERROR(__xludf.DUMMYFUNCTION("""COMPUTED_VALUE"""),1.0)</f>
        <v>1</v>
      </c>
    </row>
    <row r="59" ht="22.5" customHeight="1">
      <c r="A59" s="22">
        <v>58.0</v>
      </c>
      <c r="B59" s="24" t="str">
        <f>IFERROR(__xludf.DUMMYFUNCTION("""COMPUTED_VALUE"""),"Tata Kecantikan")</f>
        <v>Tata Kecantikan</v>
      </c>
      <c r="C59" s="24" t="str">
        <f>IFERROR(__xludf.DUMMYFUNCTION("""COMPUTED_VALUE"""),"Daily Makeup 1")</f>
        <v>Daily Makeup 1</v>
      </c>
      <c r="D59" s="25" t="str">
        <f>IFERROR(__xludf.DUMMYFUNCTION("""COMPUTED_VALUE"""),"TMT")</f>
        <v>TMT</v>
      </c>
      <c r="E59" s="26">
        <f>IFERROR(__xludf.DUMMYFUNCTION("""COMPUTED_VALUE"""),46202.0)</f>
        <v>46202</v>
      </c>
      <c r="F59" s="27">
        <f>IFERROR(__xludf.DUMMYFUNCTION("""COMPUTED_VALUE"""),46212.0)</f>
        <v>46212</v>
      </c>
      <c r="G59" s="28" t="str">
        <f>IFERROR(__xludf.DUMMYFUNCTION("""COMPUTED_VALUE"""),"Juni")</f>
        <v>Juni</v>
      </c>
      <c r="H59" s="24">
        <f>IFERROR(__xludf.DUMMYFUNCTION("""COMPUTED_VALUE"""),16.0)</f>
        <v>16</v>
      </c>
      <c r="I59" s="24">
        <f>IFERROR(__xludf.DUMMYFUNCTION("""COMPUTED_VALUE"""),0.0)</f>
        <v>0</v>
      </c>
      <c r="J59" s="24">
        <f>IFERROR(__xludf.DUMMYFUNCTION("""COMPUTED_VALUE"""),16.0)</f>
        <v>16</v>
      </c>
      <c r="K59" s="30">
        <f>IFERROR(__xludf.DUMMYFUNCTION("""COMPUTED_VALUE"""),16.0)</f>
        <v>16</v>
      </c>
      <c r="L59" s="30">
        <f>IFERROR(__xludf.DUMMYFUNCTION("""COMPUTED_VALUE"""),0.0)</f>
        <v>0</v>
      </c>
    </row>
    <row r="60" ht="22.5" customHeight="1">
      <c r="A60" s="22">
        <v>59.0</v>
      </c>
      <c r="B60" s="24" t="str">
        <f>IFERROR(__xludf.DUMMYFUNCTION("""COMPUTED_VALUE"""),"Pertanian")</f>
        <v>Pertanian</v>
      </c>
      <c r="C60" s="24" t="str">
        <f>IFERROR(__xludf.DUMMYFUNCTION("""COMPUTED_VALUE"""),"Pembuatan Cocopeat 1")</f>
        <v>Pembuatan Cocopeat 1</v>
      </c>
      <c r="D60" s="25" t="str">
        <f>IFERROR(__xludf.DUMMYFUNCTION("""COMPUTED_VALUE"""),"TMT")</f>
        <v>TMT</v>
      </c>
      <c r="E60" s="26">
        <f>IFERROR(__xludf.DUMMYFUNCTION("""COMPUTED_VALUE"""),46217.0)</f>
        <v>46217</v>
      </c>
      <c r="F60" s="27">
        <f>IFERROR(__xludf.DUMMYFUNCTION("""COMPUTED_VALUE"""),-618522.0)</f>
        <v>-618522</v>
      </c>
      <c r="G60" s="28" t="str">
        <f>IFERROR(__xludf.DUMMYFUNCTION("""COMPUTED_VALUE"""),"Juli")</f>
        <v>Juli</v>
      </c>
      <c r="H60" s="24">
        <f>IFERROR(__xludf.DUMMYFUNCTION("""COMPUTED_VALUE"""),16.0)</f>
        <v>16</v>
      </c>
      <c r="I60" s="24">
        <f>IFERROR(__xludf.DUMMYFUNCTION("""COMPUTED_VALUE"""),0.0)</f>
        <v>0</v>
      </c>
      <c r="J60" s="24">
        <f>IFERROR(__xludf.DUMMYFUNCTION("""COMPUTED_VALUE"""),16.0)</f>
        <v>16</v>
      </c>
      <c r="K60" s="30">
        <f>IFERROR(__xludf.DUMMYFUNCTION("""COMPUTED_VALUE"""),0.0)</f>
        <v>0</v>
      </c>
      <c r="L60" s="30">
        <f>IFERROR(__xludf.DUMMYFUNCTION("""COMPUTED_VALUE"""),16.0)</f>
        <v>16</v>
      </c>
    </row>
    <row r="61" ht="22.5" customHeight="1">
      <c r="A61" s="22">
        <v>60.0</v>
      </c>
      <c r="B61" s="24" t="str">
        <f>IFERROR(__xludf.DUMMYFUNCTION("""COMPUTED_VALUE"""),"Pertanian")</f>
        <v>Pertanian</v>
      </c>
      <c r="C61" s="24" t="str">
        <f>IFERROR(__xludf.DUMMYFUNCTION("""COMPUTED_VALUE"""),"Pembuatan Cocopeat 2")</f>
        <v>Pembuatan Cocopeat 2</v>
      </c>
      <c r="D61" s="25" t="str">
        <f>IFERROR(__xludf.DUMMYFUNCTION("""COMPUTED_VALUE"""),"TMT")</f>
        <v>TMT</v>
      </c>
      <c r="E61" s="26">
        <f>IFERROR(__xludf.DUMMYFUNCTION("""COMPUTED_VALUE"""),46221.0)</f>
        <v>46221</v>
      </c>
      <c r="F61" s="27">
        <f>IFERROR(__xludf.DUMMYFUNCTION("""COMPUTED_VALUE"""),46225.0)</f>
        <v>46225</v>
      </c>
      <c r="G61" s="28" t="str">
        <f>IFERROR(__xludf.DUMMYFUNCTION("""COMPUTED_VALUE"""),"Juli")</f>
        <v>Juli</v>
      </c>
      <c r="H61" s="24">
        <f>IFERROR(__xludf.DUMMYFUNCTION("""COMPUTED_VALUE"""),16.0)</f>
        <v>16</v>
      </c>
      <c r="I61" s="24">
        <f>IFERROR(__xludf.DUMMYFUNCTION("""COMPUTED_VALUE"""),0.0)</f>
        <v>0</v>
      </c>
      <c r="J61" s="24">
        <f>IFERROR(__xludf.DUMMYFUNCTION("""COMPUTED_VALUE"""),16.0)</f>
        <v>16</v>
      </c>
      <c r="K61" s="30">
        <f>IFERROR(__xludf.DUMMYFUNCTION("""COMPUTED_VALUE"""),10.0)</f>
        <v>10</v>
      </c>
      <c r="L61" s="30">
        <f>IFERROR(__xludf.DUMMYFUNCTION("""COMPUTED_VALUE"""),6.0)</f>
        <v>6</v>
      </c>
    </row>
    <row r="62" ht="22.5" customHeight="1">
      <c r="A62" s="22">
        <v>61.0</v>
      </c>
      <c r="B62" s="24" t="str">
        <f>IFERROR(__xludf.DUMMYFUNCTION("""COMPUTED_VALUE"""),"Teknologi Pengolahan Pertanian")</f>
        <v>Teknologi Pengolahan Pertanian</v>
      </c>
      <c r="C62" s="24" t="str">
        <f>IFERROR(__xludf.DUMMYFUNCTION("""COMPUTED_VALUE"""),"Pengolahan Roti dan Kue")</f>
        <v>Pengolahan Roti dan Kue</v>
      </c>
      <c r="D62" s="25" t="str">
        <f>IFERROR(__xludf.DUMMYFUNCTION("""COMPUTED_VALUE"""),"TMT")</f>
        <v>TMT</v>
      </c>
      <c r="E62" s="26">
        <f>IFERROR(__xludf.DUMMYFUNCTION("""COMPUTED_VALUE"""),46217.0)</f>
        <v>46217</v>
      </c>
      <c r="F62" s="27">
        <f>IFERROR(__xludf.DUMMYFUNCTION("""COMPUTED_VALUE"""),46225.0)</f>
        <v>46225</v>
      </c>
      <c r="G62" s="28" t="str">
        <f>IFERROR(__xludf.DUMMYFUNCTION("""COMPUTED_VALUE"""),"Juli")</f>
        <v>Juli</v>
      </c>
      <c r="H62" s="24">
        <f>IFERROR(__xludf.DUMMYFUNCTION("""COMPUTED_VALUE"""),15.0)</f>
        <v>15</v>
      </c>
      <c r="I62" s="24">
        <f>IFERROR(__xludf.DUMMYFUNCTION("""COMPUTED_VALUE"""),1.0)</f>
        <v>1</v>
      </c>
      <c r="J62" s="24">
        <f>IFERROR(__xludf.DUMMYFUNCTION("""COMPUTED_VALUE"""),16.0)</f>
        <v>16</v>
      </c>
      <c r="K62" s="30">
        <f>IFERROR(__xludf.DUMMYFUNCTION("""COMPUTED_VALUE"""),16.0)</f>
        <v>16</v>
      </c>
      <c r="L62" s="30">
        <f>IFERROR(__xludf.DUMMYFUNCTION("""COMPUTED_VALUE"""),0.0)</f>
        <v>0</v>
      </c>
    </row>
    <row r="63" ht="22.5" customHeight="1">
      <c r="A63" s="22">
        <v>62.0</v>
      </c>
      <c r="B63" s="24" t="str">
        <f>IFERROR(__xludf.DUMMYFUNCTION("""COMPUTED_VALUE"""),"Tata Kecantikan")</f>
        <v>Tata Kecantikan</v>
      </c>
      <c r="C63" s="24" t="str">
        <f>IFERROR(__xludf.DUMMYFUNCTION("""COMPUTED_VALUE"""),"Daily Makeup 2")</f>
        <v>Daily Makeup 2</v>
      </c>
      <c r="D63" s="25" t="str">
        <f>IFERROR(__xludf.DUMMYFUNCTION("""COMPUTED_VALUE"""),"TMT")</f>
        <v>TMT</v>
      </c>
      <c r="E63" s="26">
        <f>IFERROR(__xludf.DUMMYFUNCTION("""COMPUTED_VALUE"""),46217.0)</f>
        <v>46217</v>
      </c>
      <c r="F63" s="27">
        <f>IFERROR(__xludf.DUMMYFUNCTION("""COMPUTED_VALUE"""),46225.0)</f>
        <v>46225</v>
      </c>
      <c r="G63" s="28" t="str">
        <f>IFERROR(__xludf.DUMMYFUNCTION("""COMPUTED_VALUE"""),"Juli")</f>
        <v>Juli</v>
      </c>
      <c r="H63" s="24">
        <f>IFERROR(__xludf.DUMMYFUNCTION("""COMPUTED_VALUE"""),16.0)</f>
        <v>16</v>
      </c>
      <c r="I63" s="24">
        <f>IFERROR(__xludf.DUMMYFUNCTION("""COMPUTED_VALUE"""),0.0)</f>
        <v>0</v>
      </c>
      <c r="J63" s="24">
        <f>IFERROR(__xludf.DUMMYFUNCTION("""COMPUTED_VALUE"""),16.0)</f>
        <v>16</v>
      </c>
      <c r="K63" s="30">
        <f>IFERROR(__xludf.DUMMYFUNCTION("""COMPUTED_VALUE"""),16.0)</f>
        <v>16</v>
      </c>
      <c r="L63" s="30">
        <f>IFERROR(__xludf.DUMMYFUNCTION("""COMPUTED_VALUE"""),0.0)</f>
        <v>0</v>
      </c>
    </row>
    <row r="64" ht="22.5" customHeight="1">
      <c r="A64" s="22">
        <v>63.0</v>
      </c>
      <c r="B64" s="24" t="str">
        <f>IFERROR(__xludf.DUMMYFUNCTION("""COMPUTED_VALUE"""),"Tata Kecantikan")</f>
        <v>Tata Kecantikan</v>
      </c>
      <c r="C64" s="24" t="str">
        <f>IFERROR(__xludf.DUMMYFUNCTION("""COMPUTED_VALUE"""),"Daily Makeup 3")</f>
        <v>Daily Makeup 3</v>
      </c>
      <c r="D64" s="25" t="str">
        <f>IFERROR(__xludf.DUMMYFUNCTION("""COMPUTED_VALUE"""),"TMT")</f>
        <v>TMT</v>
      </c>
      <c r="E64" s="26">
        <f>IFERROR(__xludf.DUMMYFUNCTION("""COMPUTED_VALUE"""),46217.0)</f>
        <v>46217</v>
      </c>
      <c r="F64" s="27">
        <f>IFERROR(__xludf.DUMMYFUNCTION("""COMPUTED_VALUE"""),46220.0)</f>
        <v>46220</v>
      </c>
      <c r="G64" s="28" t="str">
        <f>IFERROR(__xludf.DUMMYFUNCTION("""COMPUTED_VALUE"""),"Juli")</f>
        <v>Juli</v>
      </c>
      <c r="H64" s="24">
        <f>IFERROR(__xludf.DUMMYFUNCTION("""COMPUTED_VALUE"""),16.0)</f>
        <v>16</v>
      </c>
      <c r="I64" s="24">
        <f>IFERROR(__xludf.DUMMYFUNCTION("""COMPUTED_VALUE"""),0.0)</f>
        <v>0</v>
      </c>
      <c r="J64" s="24">
        <f>IFERROR(__xludf.DUMMYFUNCTION("""COMPUTED_VALUE"""),16.0)</f>
        <v>16</v>
      </c>
      <c r="K64" s="30">
        <f>IFERROR(__xludf.DUMMYFUNCTION("""COMPUTED_VALUE"""),16.0)</f>
        <v>16</v>
      </c>
      <c r="L64" s="30">
        <f>IFERROR(__xludf.DUMMYFUNCTION("""COMPUTED_VALUE"""),0.0)</f>
        <v>0</v>
      </c>
    </row>
    <row r="65" ht="22.5" customHeight="1">
      <c r="A65" s="22">
        <v>64.0</v>
      </c>
      <c r="B65" s="24" t="str">
        <f>IFERROR(__xludf.DUMMYFUNCTION("""COMPUTED_VALUE"""),"Tata Kecantikan")</f>
        <v>Tata Kecantikan</v>
      </c>
      <c r="C65" s="24" t="str">
        <f>IFERROR(__xludf.DUMMYFUNCTION("""COMPUTED_VALUE"""),"Daily Makeup 4")</f>
        <v>Daily Makeup 4</v>
      </c>
      <c r="D65" s="25" t="str">
        <f>IFERROR(__xludf.DUMMYFUNCTION("""COMPUTED_VALUE"""),"TMT")</f>
        <v>TMT</v>
      </c>
      <c r="E65" s="26">
        <f>IFERROR(__xludf.DUMMYFUNCTION("""COMPUTED_VALUE"""),46226.0)</f>
        <v>46226</v>
      </c>
      <c r="F65" s="27">
        <f>IFERROR(__xludf.DUMMYFUNCTION("""COMPUTED_VALUE"""),46230.0)</f>
        <v>46230</v>
      </c>
      <c r="G65" s="28" t="str">
        <f>IFERROR(__xludf.DUMMYFUNCTION("""COMPUTED_VALUE"""),"Juli")</f>
        <v>Juli</v>
      </c>
      <c r="H65" s="24"/>
      <c r="I65" s="24"/>
      <c r="J65" s="24">
        <f>IFERROR(__xludf.DUMMYFUNCTION("""COMPUTED_VALUE"""),16.0)</f>
        <v>16</v>
      </c>
      <c r="K65" s="30">
        <f>IFERROR(__xludf.DUMMYFUNCTION("""COMPUTED_VALUE"""),16.0)</f>
        <v>16</v>
      </c>
      <c r="L65" s="30">
        <f>IFERROR(__xludf.DUMMYFUNCTION("""COMPUTED_VALUE"""),0.0)</f>
        <v>0</v>
      </c>
    </row>
    <row r="66" ht="22.5" customHeight="1">
      <c r="A66" s="22">
        <v>65.0</v>
      </c>
      <c r="B66" s="24" t="str">
        <f>IFERROR(__xludf.DUMMYFUNCTION("""COMPUTED_VALUE"""),"Teknologi Pengolahan Pertanian")</f>
        <v>Teknologi Pengolahan Pertanian</v>
      </c>
      <c r="C66" s="24" t="str">
        <f>IFERROR(__xludf.DUMMYFUNCTION("""COMPUTED_VALUE"""),"Produksi Roti dan Kue")</f>
        <v>Produksi Roti dan Kue</v>
      </c>
      <c r="D66" s="25" t="str">
        <f>IFERROR(__xludf.DUMMYFUNCTION("""COMPUTED_VALUE"""),"TMT")</f>
        <v>TMT</v>
      </c>
      <c r="E66" s="26">
        <f>IFERROR(__xludf.DUMMYFUNCTION("""COMPUTED_VALUE"""),46217.0)</f>
        <v>46217</v>
      </c>
      <c r="F66" s="27">
        <f>IFERROR(__xludf.DUMMYFUNCTION("""COMPUTED_VALUE"""),46220.0)</f>
        <v>46220</v>
      </c>
      <c r="G66" s="28" t="str">
        <f>IFERROR(__xludf.DUMMYFUNCTION("""COMPUTED_VALUE"""),"Juli")</f>
        <v>Juli</v>
      </c>
      <c r="H66" s="24">
        <f>IFERROR(__xludf.DUMMYFUNCTION("""COMPUTED_VALUE"""),16.0)</f>
        <v>16</v>
      </c>
      <c r="I66" s="24">
        <f>IFERROR(__xludf.DUMMYFUNCTION("""COMPUTED_VALUE"""),0.0)</f>
        <v>0</v>
      </c>
      <c r="J66" s="24">
        <f>IFERROR(__xludf.DUMMYFUNCTION("""COMPUTED_VALUE"""),16.0)</f>
        <v>16</v>
      </c>
      <c r="K66" s="30">
        <f>IFERROR(__xludf.DUMMYFUNCTION("""COMPUTED_VALUE"""),16.0)</f>
        <v>16</v>
      </c>
      <c r="L66" s="30">
        <f>IFERROR(__xludf.DUMMYFUNCTION("""COMPUTED_VALUE"""),0.0)</f>
        <v>0</v>
      </c>
    </row>
    <row r="67" ht="22.5" customHeight="1">
      <c r="A67" s="22">
        <v>66.0</v>
      </c>
      <c r="B67" s="24" t="str">
        <f>IFERROR(__xludf.DUMMYFUNCTION("""COMPUTED_VALUE"""),"Teknologi Pengolahan Pertanian")</f>
        <v>Teknologi Pengolahan Pertanian</v>
      </c>
      <c r="C67" s="24" t="str">
        <f>IFERROR(__xludf.DUMMYFUNCTION("""COMPUTED_VALUE"""),"Produksi Roti dan Kue")</f>
        <v>Produksi Roti dan Kue</v>
      </c>
      <c r="D67" s="25" t="str">
        <f>IFERROR(__xludf.DUMMYFUNCTION("""COMPUTED_VALUE"""),"TMT")</f>
        <v>TMT</v>
      </c>
      <c r="E67" s="26">
        <f>IFERROR(__xludf.DUMMYFUNCTION("""COMPUTED_VALUE"""),46221.0)</f>
        <v>46221</v>
      </c>
      <c r="F67" s="27">
        <f>IFERROR(__xludf.DUMMYFUNCTION("""COMPUTED_VALUE"""),46225.0)</f>
        <v>46225</v>
      </c>
      <c r="G67" s="28" t="str">
        <f>IFERROR(__xludf.DUMMYFUNCTION("""COMPUTED_VALUE"""),"Juli")</f>
        <v>Juli</v>
      </c>
      <c r="H67" s="24">
        <f>IFERROR(__xludf.DUMMYFUNCTION("""COMPUTED_VALUE"""),16.0)</f>
        <v>16</v>
      </c>
      <c r="I67" s="24">
        <f>IFERROR(__xludf.DUMMYFUNCTION("""COMPUTED_VALUE"""),0.0)</f>
        <v>0</v>
      </c>
      <c r="J67" s="24">
        <f>IFERROR(__xludf.DUMMYFUNCTION("""COMPUTED_VALUE"""),16.0)</f>
        <v>16</v>
      </c>
      <c r="K67" s="30">
        <f>IFERROR(__xludf.DUMMYFUNCTION("""COMPUTED_VALUE"""),16.0)</f>
        <v>16</v>
      </c>
      <c r="L67" s="30">
        <f>IFERROR(__xludf.DUMMYFUNCTION("""COMPUTED_VALUE"""),0.0)</f>
        <v>0</v>
      </c>
    </row>
    <row r="68" ht="22.5" customHeight="1">
      <c r="A68" s="22">
        <v>67.0</v>
      </c>
      <c r="B68" s="24" t="str">
        <f>IFERROR(__xludf.DUMMYFUNCTION("""COMPUTED_VALUE"""),"Fashion Technology")</f>
        <v>Fashion Technology</v>
      </c>
      <c r="C68" s="24" t="str">
        <f>IFERROR(__xludf.DUMMYFUNCTION("""COMPUTED_VALUE"""),"Teknik Dasar dan Lanjutan Menjahit Busana Wanita Deawasa")</f>
        <v>Teknik Dasar dan Lanjutan Menjahit Busana Wanita Deawasa</v>
      </c>
      <c r="D68" s="25" t="str">
        <f>IFERROR(__xludf.DUMMYFUNCTION("""COMPUTED_VALUE"""),"TMT")</f>
        <v>TMT</v>
      </c>
      <c r="E68" s="26">
        <f>IFERROR(__xludf.DUMMYFUNCTION("""COMPUTED_VALUE"""),46216.0)</f>
        <v>46216</v>
      </c>
      <c r="F68" s="27">
        <f>IFERROR(__xludf.DUMMYFUNCTION("""COMPUTED_VALUE"""),46219.0)</f>
        <v>46219</v>
      </c>
      <c r="G68" s="28" t="str">
        <f>IFERROR(__xludf.DUMMYFUNCTION("""COMPUTED_VALUE"""),"Juli")</f>
        <v>Juli</v>
      </c>
      <c r="H68" s="24">
        <f>IFERROR(__xludf.DUMMYFUNCTION("""COMPUTED_VALUE"""),16.0)</f>
        <v>16</v>
      </c>
      <c r="I68" s="24">
        <f>IFERROR(__xludf.DUMMYFUNCTION("""COMPUTED_VALUE"""),0.0)</f>
        <v>0</v>
      </c>
      <c r="J68" s="24">
        <f>IFERROR(__xludf.DUMMYFUNCTION("""COMPUTED_VALUE"""),16.0)</f>
        <v>16</v>
      </c>
      <c r="K68" s="30">
        <f>IFERROR(__xludf.DUMMYFUNCTION("""COMPUTED_VALUE"""),16.0)</f>
        <v>16</v>
      </c>
      <c r="L68" s="30">
        <f>IFERROR(__xludf.DUMMYFUNCTION("""COMPUTED_VALUE"""),0.0)</f>
        <v>0</v>
      </c>
    </row>
    <row r="69" ht="22.5" customHeight="1">
      <c r="A69" s="22">
        <v>68.0</v>
      </c>
      <c r="B69" s="24" t="str">
        <f>IFERROR(__xludf.DUMMYFUNCTION("""COMPUTED_VALUE"""),"Fashion Technology")</f>
        <v>Fashion Technology</v>
      </c>
      <c r="C69" s="24" t="str">
        <f>IFERROR(__xludf.DUMMYFUNCTION("""COMPUTED_VALUE"""),"Teknik Dasar dan Lanjutan Menjahit Busana Wanita Deawasa")</f>
        <v>Teknik Dasar dan Lanjutan Menjahit Busana Wanita Deawasa</v>
      </c>
      <c r="D69" s="25" t="str">
        <f>IFERROR(__xludf.DUMMYFUNCTION("""COMPUTED_VALUE"""),"TMT")</f>
        <v>TMT</v>
      </c>
      <c r="E69" s="26">
        <f>IFERROR(__xludf.DUMMYFUNCTION("""COMPUTED_VALUE"""),46220.0)</f>
        <v>46220</v>
      </c>
      <c r="F69" s="27">
        <f>IFERROR(__xludf.DUMMYFUNCTION("""COMPUTED_VALUE"""),46224.0)</f>
        <v>46224</v>
      </c>
      <c r="G69" s="28" t="str">
        <f>IFERROR(__xludf.DUMMYFUNCTION("""COMPUTED_VALUE"""),"Juli")</f>
        <v>Juli</v>
      </c>
      <c r="H69" s="24"/>
      <c r="I69" s="24"/>
      <c r="J69" s="24" t="str">
        <f>IFERROR(__xludf.DUMMYFUNCTION("""COMPUTED_VALUE"""),"")</f>
        <v/>
      </c>
      <c r="K69" s="24"/>
      <c r="L69" s="24"/>
    </row>
    <row r="70" ht="22.5" customHeight="1">
      <c r="A70" s="22">
        <v>69.0</v>
      </c>
      <c r="B70" s="24" t="str">
        <f>IFERROR(__xludf.DUMMYFUNCTION("""COMPUTED_VALUE"""),"Tata Kecantikan")</f>
        <v>Tata Kecantikan</v>
      </c>
      <c r="C70" s="24" t="str">
        <f>IFERROR(__xludf.DUMMYFUNCTION("""COMPUTED_VALUE"""),"Daily Makeup 5")</f>
        <v>Daily Makeup 5</v>
      </c>
      <c r="D70" s="25" t="str">
        <f>IFERROR(__xludf.DUMMYFUNCTION("""COMPUTED_VALUE"""),"TMT")</f>
        <v>TMT</v>
      </c>
      <c r="E70" s="26">
        <f>IFERROR(__xludf.DUMMYFUNCTION("""COMPUTED_VALUE"""),46216.0)</f>
        <v>46216</v>
      </c>
      <c r="F70" s="27">
        <f>IFERROR(__xludf.DUMMYFUNCTION("""COMPUTED_VALUE"""),46219.0)</f>
        <v>46219</v>
      </c>
      <c r="G70" s="28" t="str">
        <f>IFERROR(__xludf.DUMMYFUNCTION("""COMPUTED_VALUE"""),"Juli")</f>
        <v>Juli</v>
      </c>
      <c r="H70" s="24">
        <f>IFERROR(__xludf.DUMMYFUNCTION("""COMPUTED_VALUE"""),16.0)</f>
        <v>16</v>
      </c>
      <c r="I70" s="24">
        <f>IFERROR(__xludf.DUMMYFUNCTION("""COMPUTED_VALUE"""),0.0)</f>
        <v>0</v>
      </c>
      <c r="J70" s="24">
        <f>IFERROR(__xludf.DUMMYFUNCTION("""COMPUTED_VALUE"""),16.0)</f>
        <v>16</v>
      </c>
      <c r="K70" s="30">
        <f>IFERROR(__xludf.DUMMYFUNCTION("""COMPUTED_VALUE"""),16.0)</f>
        <v>16</v>
      </c>
      <c r="L70" s="30">
        <f>IFERROR(__xludf.DUMMYFUNCTION("""COMPUTED_VALUE"""),0.0)</f>
        <v>0</v>
      </c>
    </row>
    <row r="71" ht="22.5" customHeight="1">
      <c r="A71" s="22">
        <v>70.0</v>
      </c>
      <c r="B71" s="24" t="str">
        <f>IFERROR(__xludf.DUMMYFUNCTION("""COMPUTED_VALUE"""),"Tata Kecantikan")</f>
        <v>Tata Kecantikan</v>
      </c>
      <c r="C71" s="24" t="str">
        <f>IFERROR(__xludf.DUMMYFUNCTION("""COMPUTED_VALUE"""),"Daily Makeup")</f>
        <v>Daily Makeup</v>
      </c>
      <c r="D71" s="25" t="str">
        <f>IFERROR(__xludf.DUMMYFUNCTION("""COMPUTED_VALUE"""),"TMT")</f>
        <v>TMT</v>
      </c>
      <c r="E71" s="26">
        <f>IFERROR(__xludf.DUMMYFUNCTION("""COMPUTED_VALUE"""),46220.0)</f>
        <v>46220</v>
      </c>
      <c r="F71" s="27">
        <f>IFERROR(__xludf.DUMMYFUNCTION("""COMPUTED_VALUE"""),46224.0)</f>
        <v>46224</v>
      </c>
      <c r="G71" s="28" t="str">
        <f>IFERROR(__xludf.DUMMYFUNCTION("""COMPUTED_VALUE"""),"Juli")</f>
        <v>Juli</v>
      </c>
      <c r="H71" s="24">
        <f>IFERROR(__xludf.DUMMYFUNCTION("""COMPUTED_VALUE"""),16.0)</f>
        <v>16</v>
      </c>
      <c r="I71" s="24">
        <f>IFERROR(__xludf.DUMMYFUNCTION("""COMPUTED_VALUE"""),0.0)</f>
        <v>0</v>
      </c>
      <c r="J71" s="24">
        <f>IFERROR(__xludf.DUMMYFUNCTION("""COMPUTED_VALUE"""),16.0)</f>
        <v>16</v>
      </c>
      <c r="K71" s="30">
        <f>IFERROR(__xludf.DUMMYFUNCTION("""COMPUTED_VALUE"""),16.0)</f>
        <v>16</v>
      </c>
      <c r="L71" s="30">
        <f>IFERROR(__xludf.DUMMYFUNCTION("""COMPUTED_VALUE"""),0.0)</f>
        <v>0</v>
      </c>
    </row>
    <row r="72" ht="22.5" customHeight="1">
      <c r="A72" s="22">
        <v>71.0</v>
      </c>
      <c r="B72" s="24" t="str">
        <f>IFERROR(__xludf.DUMMYFUNCTION("""COMPUTED_VALUE"""),"Pariwisata")</f>
        <v>Pariwisata</v>
      </c>
      <c r="C72" s="24" t="str">
        <f>IFERROR(__xludf.DUMMYFUNCTION("""COMPUTED_VALUE"""),"Pembuatan Berbagai Jenis Roti Manis")</f>
        <v>Pembuatan Berbagai Jenis Roti Manis</v>
      </c>
      <c r="D72" s="25" t="str">
        <f>IFERROR(__xludf.DUMMYFUNCTION("""COMPUTED_VALUE"""),"TMT")</f>
        <v>TMT</v>
      </c>
      <c r="E72" s="26">
        <f>IFERROR(__xludf.DUMMYFUNCTION("""COMPUTED_VALUE"""),46216.0)</f>
        <v>46216</v>
      </c>
      <c r="F72" s="27">
        <f>IFERROR(__xludf.DUMMYFUNCTION("""COMPUTED_VALUE"""),46219.0)</f>
        <v>46219</v>
      </c>
      <c r="G72" s="28" t="str">
        <f>IFERROR(__xludf.DUMMYFUNCTION("""COMPUTED_VALUE"""),"Juli")</f>
        <v>Juli</v>
      </c>
      <c r="H72" s="24">
        <f>IFERROR(__xludf.DUMMYFUNCTION("""COMPUTED_VALUE"""),16.0)</f>
        <v>16</v>
      </c>
      <c r="I72" s="24">
        <f>IFERROR(__xludf.DUMMYFUNCTION("""COMPUTED_VALUE"""),0.0)</f>
        <v>0</v>
      </c>
      <c r="J72" s="24">
        <f>IFERROR(__xludf.DUMMYFUNCTION("""COMPUTED_VALUE"""),16.0)</f>
        <v>16</v>
      </c>
      <c r="K72" s="30">
        <f>IFERROR(__xludf.DUMMYFUNCTION("""COMPUTED_VALUE"""),15.0)</f>
        <v>15</v>
      </c>
      <c r="L72" s="30">
        <f>IFERROR(__xludf.DUMMYFUNCTION("""COMPUTED_VALUE"""),1.0)</f>
        <v>1</v>
      </c>
    </row>
    <row r="73" ht="22.5" customHeight="1">
      <c r="A73" s="22">
        <v>72.0</v>
      </c>
      <c r="B73" s="24" t="str">
        <f>IFERROR(__xludf.DUMMYFUNCTION("""COMPUTED_VALUE"""),"Pariwisata")</f>
        <v>Pariwisata</v>
      </c>
      <c r="C73" s="24" t="str">
        <f>IFERROR(__xludf.DUMMYFUNCTION("""COMPUTED_VALUE"""),"Pembuatan Berbagai Jenis Roti Manis")</f>
        <v>Pembuatan Berbagai Jenis Roti Manis</v>
      </c>
      <c r="D73" s="25" t="str">
        <f>IFERROR(__xludf.DUMMYFUNCTION("""COMPUTED_VALUE"""),"TMT")</f>
        <v>TMT</v>
      </c>
      <c r="E73" s="26">
        <f>IFERROR(__xludf.DUMMYFUNCTION("""COMPUTED_VALUE"""),46223.0)</f>
        <v>46223</v>
      </c>
      <c r="F73" s="27">
        <f>IFERROR(__xludf.DUMMYFUNCTION("""COMPUTED_VALUE"""),46226.0)</f>
        <v>46226</v>
      </c>
      <c r="G73" s="28" t="str">
        <f>IFERROR(__xludf.DUMMYFUNCTION("""COMPUTED_VALUE"""),"Juli")</f>
        <v>Juli</v>
      </c>
      <c r="H73" s="24"/>
      <c r="I73" s="24"/>
      <c r="J73" s="24" t="str">
        <f>IFERROR(__xludf.DUMMYFUNCTION("""COMPUTED_VALUE"""),"")</f>
        <v/>
      </c>
      <c r="K73" s="24"/>
      <c r="L73" s="24"/>
    </row>
    <row r="74" ht="22.5" customHeight="1">
      <c r="A74" s="22">
        <v>73.0</v>
      </c>
      <c r="B74" s="24" t="str">
        <f>IFERROR(__xludf.DUMMYFUNCTION("""COMPUTED_VALUE"""),"Pariwisata")</f>
        <v>Pariwisata</v>
      </c>
      <c r="C74" s="24" t="str">
        <f>IFERROR(__xludf.DUMMYFUNCTION("""COMPUTED_VALUE"""),"Barista  ")</f>
        <v>Barista  </v>
      </c>
      <c r="D74" s="25" t="str">
        <f>IFERROR(__xludf.DUMMYFUNCTION("""COMPUTED_VALUE"""),"TMT")</f>
        <v>TMT</v>
      </c>
      <c r="E74" s="26">
        <f>IFERROR(__xludf.DUMMYFUNCTION("""COMPUTED_VALUE"""),46216.0)</f>
        <v>46216</v>
      </c>
      <c r="F74" s="27">
        <f>IFERROR(__xludf.DUMMYFUNCTION("""COMPUTED_VALUE"""),46219.0)</f>
        <v>46219</v>
      </c>
      <c r="G74" s="28" t="str">
        <f>IFERROR(__xludf.DUMMYFUNCTION("""COMPUTED_VALUE"""),"Juli")</f>
        <v>Juli</v>
      </c>
      <c r="H74" s="24"/>
      <c r="I74" s="24"/>
      <c r="J74" s="24" t="str">
        <f>IFERROR(__xludf.DUMMYFUNCTION("""COMPUTED_VALUE"""),"")</f>
        <v/>
      </c>
      <c r="K74" s="24"/>
      <c r="L74" s="24"/>
    </row>
    <row r="75" ht="22.5" customHeight="1">
      <c r="A75" s="22">
        <v>74.0</v>
      </c>
      <c r="B75" s="24" t="str">
        <f>IFERROR(__xludf.DUMMYFUNCTION("""COMPUTED_VALUE"""),"Pariwisata")</f>
        <v>Pariwisata</v>
      </c>
      <c r="C75" s="24" t="str">
        <f>IFERROR(__xludf.DUMMYFUNCTION("""COMPUTED_VALUE"""),"Barista")</f>
        <v>Barista</v>
      </c>
      <c r="D75" s="25" t="str">
        <f>IFERROR(__xludf.DUMMYFUNCTION("""COMPUTED_VALUE"""),"TMT")</f>
        <v>TMT</v>
      </c>
      <c r="E75" s="26">
        <f>IFERROR(__xludf.DUMMYFUNCTION("""COMPUTED_VALUE"""),46220.0)</f>
        <v>46220</v>
      </c>
      <c r="F75" s="27">
        <f>IFERROR(__xludf.DUMMYFUNCTION("""COMPUTED_VALUE"""),46224.0)</f>
        <v>46224</v>
      </c>
      <c r="G75" s="28" t="str">
        <f>IFERROR(__xludf.DUMMYFUNCTION("""COMPUTED_VALUE"""),"Juli")</f>
        <v>Juli</v>
      </c>
      <c r="H75" s="24"/>
      <c r="I75" s="24"/>
      <c r="J75" s="24" t="str">
        <f>IFERROR(__xludf.DUMMYFUNCTION("""COMPUTED_VALUE"""),"")</f>
        <v/>
      </c>
      <c r="K75" s="24"/>
      <c r="L75" s="24"/>
    </row>
    <row r="76" ht="22.5" customHeight="1">
      <c r="A76" s="22">
        <v>75.0</v>
      </c>
      <c r="B76" s="24" t="str">
        <f>IFERROR(__xludf.DUMMYFUNCTION("""COMPUTED_VALUE"""),"Pariwisata")</f>
        <v>Pariwisata</v>
      </c>
      <c r="C76" s="24" t="str">
        <f>IFERROR(__xludf.DUMMYFUNCTION("""COMPUTED_VALUE"""),"Houseskeeping")</f>
        <v>Houseskeeping</v>
      </c>
      <c r="D76" s="25" t="str">
        <f>IFERROR(__xludf.DUMMYFUNCTION("""COMPUTED_VALUE"""),"TMT")</f>
        <v>TMT</v>
      </c>
      <c r="E76" s="26">
        <f>IFERROR(__xludf.DUMMYFUNCTION("""COMPUTED_VALUE"""),46227.0)</f>
        <v>46227</v>
      </c>
      <c r="F76" s="27">
        <f>IFERROR(__xludf.DUMMYFUNCTION("""COMPUTED_VALUE"""),46231.0)</f>
        <v>46231</v>
      </c>
      <c r="G76" s="28" t="str">
        <f>IFERROR(__xludf.DUMMYFUNCTION("""COMPUTED_VALUE"""),"Juli")</f>
        <v>Juli</v>
      </c>
      <c r="H76" s="24"/>
      <c r="I76" s="24"/>
      <c r="J76" s="24" t="str">
        <f>IFERROR(__xludf.DUMMYFUNCTION("""COMPUTED_VALUE"""),"")</f>
        <v/>
      </c>
      <c r="K76" s="24"/>
      <c r="L76" s="24"/>
    </row>
    <row r="77" ht="22.5" customHeight="1">
      <c r="A77" s="22">
        <v>76.0</v>
      </c>
      <c r="B77" s="24" t="str">
        <f>IFERROR(__xludf.DUMMYFUNCTION("""COMPUTED_VALUE"""),"Pariwisata")</f>
        <v>Pariwisata</v>
      </c>
      <c r="C77" s="24" t="str">
        <f>IFERROR(__xludf.DUMMYFUNCTION("""COMPUTED_VALUE"""),"Barista")</f>
        <v>Barista</v>
      </c>
      <c r="D77" s="25" t="str">
        <f>IFERROR(__xludf.DUMMYFUNCTION("""COMPUTED_VALUE"""),"TMT")</f>
        <v>TMT</v>
      </c>
      <c r="E77" s="26">
        <f>IFERROR(__xludf.DUMMYFUNCTION("""COMPUTED_VALUE"""),46227.0)</f>
        <v>46227</v>
      </c>
      <c r="F77" s="27">
        <f>IFERROR(__xludf.DUMMYFUNCTION("""COMPUTED_VALUE"""),46235.0)</f>
        <v>46235</v>
      </c>
      <c r="G77" s="28" t="str">
        <f>IFERROR(__xludf.DUMMYFUNCTION("""COMPUTED_VALUE"""),"Juli")</f>
        <v>Juli</v>
      </c>
      <c r="H77" s="24"/>
      <c r="I77" s="24"/>
      <c r="J77" s="24" t="str">
        <f>IFERROR(__xludf.DUMMYFUNCTION("""COMPUTED_VALUE"""),"")</f>
        <v/>
      </c>
      <c r="K77" s="24"/>
      <c r="L77" s="24"/>
    </row>
    <row r="78" ht="22.5" customHeight="1">
      <c r="A78" s="22">
        <v>77.0</v>
      </c>
      <c r="B78" s="24" t="str">
        <f>IFERROR(__xludf.DUMMYFUNCTION("""COMPUTED_VALUE"""),"Teknologi Pengolahan Pertanian")</f>
        <v>Teknologi Pengolahan Pertanian</v>
      </c>
      <c r="C78" s="24" t="str">
        <f>IFERROR(__xludf.DUMMYFUNCTION("""COMPUTED_VALUE"""),"Produksi Roti dan Kue")</f>
        <v>Produksi Roti dan Kue</v>
      </c>
      <c r="D78" s="25" t="str">
        <f>IFERROR(__xludf.DUMMYFUNCTION("""COMPUTED_VALUE"""),"TMT")</f>
        <v>TMT</v>
      </c>
      <c r="E78" s="26">
        <f>IFERROR(__xludf.DUMMYFUNCTION("""COMPUTED_VALUE"""),46227.0)</f>
        <v>46227</v>
      </c>
      <c r="F78" s="27">
        <f>IFERROR(__xludf.DUMMYFUNCTION("""COMPUTED_VALUE"""),46231.0)</f>
        <v>46231</v>
      </c>
      <c r="G78" s="28" t="str">
        <f>IFERROR(__xludf.DUMMYFUNCTION("""COMPUTED_VALUE"""),"Juli")</f>
        <v>Juli</v>
      </c>
      <c r="H78" s="24"/>
      <c r="I78" s="24"/>
      <c r="J78" s="24" t="str">
        <f>IFERROR(__xludf.DUMMYFUNCTION("""COMPUTED_VALUE"""),"")</f>
        <v/>
      </c>
      <c r="K78" s="24"/>
      <c r="L78" s="24"/>
    </row>
    <row r="79" ht="22.5" customHeight="1">
      <c r="A79" s="22">
        <v>78.0</v>
      </c>
      <c r="B79" s="24" t="str">
        <f>IFERROR(__xludf.DUMMYFUNCTION("""COMPUTED_VALUE"""),"Tata Kecantikan")</f>
        <v>Tata Kecantikan</v>
      </c>
      <c r="C79" s="24" t="str">
        <f>IFERROR(__xludf.DUMMYFUNCTION("""COMPUTED_VALUE"""),"Daily Makeup")</f>
        <v>Daily Makeup</v>
      </c>
      <c r="D79" s="25" t="str">
        <f>IFERROR(__xludf.DUMMYFUNCTION("""COMPUTED_VALUE"""),"TMT")</f>
        <v>TMT</v>
      </c>
      <c r="E79" s="26">
        <f>IFERROR(__xludf.DUMMYFUNCTION("""COMPUTED_VALUE"""),46227.0)</f>
        <v>46227</v>
      </c>
      <c r="F79" s="27">
        <f>IFERROR(__xludf.DUMMYFUNCTION("""COMPUTED_VALUE"""),46231.0)</f>
        <v>46231</v>
      </c>
      <c r="G79" s="28" t="str">
        <f>IFERROR(__xludf.DUMMYFUNCTION("""COMPUTED_VALUE"""),"Juli")</f>
        <v>Juli</v>
      </c>
      <c r="H79" s="24"/>
      <c r="I79" s="24"/>
      <c r="J79" s="24" t="str">
        <f>IFERROR(__xludf.DUMMYFUNCTION("""COMPUTED_VALUE"""),"")</f>
        <v/>
      </c>
      <c r="K79" s="24"/>
      <c r="L79" s="24"/>
    </row>
    <row r="80" ht="22.5" customHeight="1">
      <c r="A80" s="22">
        <v>79.0</v>
      </c>
      <c r="B80" s="24" t="str">
        <f>IFERROR(__xludf.DUMMYFUNCTION("""COMPUTED_VALUE"""),"Tata Kecantikan")</f>
        <v>Tata Kecantikan</v>
      </c>
      <c r="C80" s="24" t="str">
        <f>IFERROR(__xludf.DUMMYFUNCTION("""COMPUTED_VALUE"""),"Daily Makeup")</f>
        <v>Daily Makeup</v>
      </c>
      <c r="D80" s="25" t="str">
        <f>IFERROR(__xludf.DUMMYFUNCTION("""COMPUTED_VALUE"""),"TMT")</f>
        <v>TMT</v>
      </c>
      <c r="E80" s="26">
        <f>IFERROR(__xludf.DUMMYFUNCTION("""COMPUTED_VALUE"""),46232.0)</f>
        <v>46232</v>
      </c>
      <c r="F80" s="27">
        <f>IFERROR(__xludf.DUMMYFUNCTION("""COMPUTED_VALUE"""),46235.0)</f>
        <v>46235</v>
      </c>
      <c r="G80" s="28" t="str">
        <f>IFERROR(__xludf.DUMMYFUNCTION("""COMPUTED_VALUE"""),"Juli")</f>
        <v>Juli</v>
      </c>
      <c r="H80" s="24"/>
      <c r="I80" s="24"/>
      <c r="J80" s="24" t="str">
        <f>IFERROR(__xludf.DUMMYFUNCTION("""COMPUTED_VALUE"""),"")</f>
        <v/>
      </c>
      <c r="K80" s="24"/>
      <c r="L80" s="24"/>
    </row>
    <row r="81" ht="22.5" customHeight="1">
      <c r="A81" s="22">
        <v>80.0</v>
      </c>
      <c r="B81" s="24" t="str">
        <f>IFERROR(__xludf.DUMMYFUNCTION("""COMPUTED_VALUE"""),"Pariwisata")</f>
        <v>Pariwisata</v>
      </c>
      <c r="C81" s="24" t="str">
        <f>IFERROR(__xludf.DUMMYFUNCTION("""COMPUTED_VALUE"""),"Front Office")</f>
        <v>Front Office</v>
      </c>
      <c r="D81" s="25" t="str">
        <f>IFERROR(__xludf.DUMMYFUNCTION("""COMPUTED_VALUE"""),"TMT")</f>
        <v>TMT</v>
      </c>
      <c r="E81" s="26">
        <f>IFERROR(__xludf.DUMMYFUNCTION("""COMPUTED_VALUE"""),46227.0)</f>
        <v>46227</v>
      </c>
      <c r="F81" s="27">
        <f>IFERROR(__xludf.DUMMYFUNCTION("""COMPUTED_VALUE"""),46231.0)</f>
        <v>46231</v>
      </c>
      <c r="G81" s="28" t="str">
        <f>IFERROR(__xludf.DUMMYFUNCTION("""COMPUTED_VALUE"""),"Juli")</f>
        <v>Juli</v>
      </c>
      <c r="H81" s="24"/>
      <c r="I81" s="24"/>
      <c r="J81" s="24" t="str">
        <f>IFERROR(__xludf.DUMMYFUNCTION("""COMPUTED_VALUE"""),"")</f>
        <v/>
      </c>
      <c r="K81" s="24"/>
      <c r="L81" s="24"/>
    </row>
    <row r="82" ht="22.5" customHeight="1">
      <c r="A82" s="22">
        <v>81.0</v>
      </c>
      <c r="B82" s="24"/>
      <c r="C82" s="24"/>
      <c r="D82" s="25" t="str">
        <f>IFERROR(__xludf.DUMMYFUNCTION("""COMPUTED_VALUE"""),"TMT")</f>
        <v>TMT</v>
      </c>
      <c r="E82" s="25"/>
      <c r="F82" s="25"/>
      <c r="G82" s="28" t="str">
        <f>IFERROR(__xludf.DUMMYFUNCTION("""COMPUTED_VALUE"""),"")</f>
        <v/>
      </c>
      <c r="H82" s="24"/>
      <c r="I82" s="24"/>
      <c r="J82" s="24" t="str">
        <f>IFERROR(__xludf.DUMMYFUNCTION("""COMPUTED_VALUE"""),"")</f>
        <v/>
      </c>
      <c r="K82" s="24"/>
      <c r="L82" s="24"/>
    </row>
    <row r="83" ht="22.5" customHeight="1">
      <c r="A83" s="22">
        <v>82.0</v>
      </c>
      <c r="B83" s="24"/>
      <c r="C83" s="24"/>
      <c r="D83" s="25" t="str">
        <f>IFERROR(__xludf.DUMMYFUNCTION("""COMPUTED_VALUE"""),"TMT")</f>
        <v>TMT</v>
      </c>
      <c r="E83" s="25"/>
      <c r="F83" s="25"/>
      <c r="G83" s="28" t="str">
        <f>IFERROR(__xludf.DUMMYFUNCTION("""COMPUTED_VALUE"""),"")</f>
        <v/>
      </c>
      <c r="H83" s="24"/>
      <c r="I83" s="24"/>
      <c r="J83" s="24" t="str">
        <f>IFERROR(__xludf.DUMMYFUNCTION("""COMPUTED_VALUE"""),"")</f>
        <v/>
      </c>
      <c r="K83" s="24"/>
      <c r="L83" s="24"/>
    </row>
    <row r="84" ht="22.5" customHeight="1">
      <c r="A84" s="22">
        <v>83.0</v>
      </c>
      <c r="B84" s="24"/>
      <c r="C84" s="24"/>
      <c r="D84" s="25" t="str">
        <f>IFERROR(__xludf.DUMMYFUNCTION("""COMPUTED_VALUE"""),"TMT")</f>
        <v>TMT</v>
      </c>
      <c r="E84" s="25"/>
      <c r="F84" s="25"/>
      <c r="G84" s="28" t="str">
        <f>IFERROR(__xludf.DUMMYFUNCTION("""COMPUTED_VALUE"""),"")</f>
        <v/>
      </c>
      <c r="H84" s="24"/>
      <c r="I84" s="24"/>
      <c r="J84" s="24" t="str">
        <f>IFERROR(__xludf.DUMMYFUNCTION("""COMPUTED_VALUE"""),"")</f>
        <v/>
      </c>
      <c r="K84" s="24"/>
      <c r="L84" s="24"/>
    </row>
    <row r="85" ht="22.5" customHeight="1">
      <c r="A85" s="22">
        <v>84.0</v>
      </c>
      <c r="B85" s="24"/>
      <c r="C85" s="24"/>
      <c r="D85" s="25" t="str">
        <f>IFERROR(__xludf.DUMMYFUNCTION("""COMPUTED_VALUE"""),"TMT")</f>
        <v>TMT</v>
      </c>
      <c r="E85" s="25"/>
      <c r="F85" s="25"/>
      <c r="G85" s="28" t="str">
        <f>IFERROR(__xludf.DUMMYFUNCTION("""COMPUTED_VALUE"""),"")</f>
        <v/>
      </c>
      <c r="H85" s="24"/>
      <c r="I85" s="24"/>
      <c r="J85" s="24" t="str">
        <f>IFERROR(__xludf.DUMMYFUNCTION("""COMPUTED_VALUE"""),"")</f>
        <v/>
      </c>
      <c r="K85" s="24"/>
      <c r="L85" s="24"/>
    </row>
    <row r="86" ht="22.5" customHeight="1">
      <c r="A86" s="22">
        <v>85.0</v>
      </c>
      <c r="B86" s="24"/>
      <c r="C86" s="24"/>
      <c r="D86" s="25" t="str">
        <f>IFERROR(__xludf.DUMMYFUNCTION("""COMPUTED_VALUE"""),"TMT")</f>
        <v>TMT</v>
      </c>
      <c r="E86" s="25"/>
      <c r="F86" s="25"/>
      <c r="G86" s="28" t="str">
        <f>IFERROR(__xludf.DUMMYFUNCTION("""COMPUTED_VALUE"""),"")</f>
        <v/>
      </c>
      <c r="H86" s="24"/>
      <c r="I86" s="24"/>
      <c r="J86" s="24" t="str">
        <f>IFERROR(__xludf.DUMMYFUNCTION("""COMPUTED_VALUE"""),"")</f>
        <v/>
      </c>
      <c r="K86" s="24"/>
      <c r="L86" s="24"/>
    </row>
    <row r="87" ht="22.5" customHeight="1">
      <c r="A87" s="22">
        <v>86.0</v>
      </c>
      <c r="B87" s="24"/>
      <c r="C87" s="24"/>
      <c r="D87" s="25" t="str">
        <f>IFERROR(__xludf.DUMMYFUNCTION("""COMPUTED_VALUE"""),"TMT")</f>
        <v>TMT</v>
      </c>
      <c r="E87" s="25"/>
      <c r="F87" s="25"/>
      <c r="G87" s="28" t="str">
        <f>IFERROR(__xludf.DUMMYFUNCTION("""COMPUTED_VALUE"""),"")</f>
        <v/>
      </c>
      <c r="H87" s="24"/>
      <c r="I87" s="24"/>
      <c r="J87" s="24" t="str">
        <f>IFERROR(__xludf.DUMMYFUNCTION("""COMPUTED_VALUE"""),"")</f>
        <v/>
      </c>
      <c r="K87" s="24"/>
      <c r="L87" s="24"/>
    </row>
    <row r="88" ht="22.5" customHeight="1">
      <c r="A88" s="22">
        <v>87.0</v>
      </c>
      <c r="B88" s="24"/>
      <c r="C88" s="24"/>
      <c r="D88" s="25" t="str">
        <f>IFERROR(__xludf.DUMMYFUNCTION("""COMPUTED_VALUE"""),"TMT")</f>
        <v>TMT</v>
      </c>
      <c r="E88" s="25"/>
      <c r="F88" s="25"/>
      <c r="G88" s="28" t="str">
        <f>IFERROR(__xludf.DUMMYFUNCTION("""COMPUTED_VALUE"""),"")</f>
        <v/>
      </c>
      <c r="H88" s="24"/>
      <c r="I88" s="24"/>
      <c r="J88" s="24" t="str">
        <f>IFERROR(__xludf.DUMMYFUNCTION("""COMPUTED_VALUE"""),"")</f>
        <v/>
      </c>
      <c r="K88" s="24"/>
      <c r="L88" s="24"/>
    </row>
    <row r="89" ht="22.5" customHeight="1">
      <c r="A89" s="22">
        <v>88.0</v>
      </c>
      <c r="B89" s="24"/>
      <c r="C89" s="24"/>
      <c r="D89" s="25" t="str">
        <f>IFERROR(__xludf.DUMMYFUNCTION("""COMPUTED_VALUE"""),"TMT")</f>
        <v>TMT</v>
      </c>
      <c r="E89" s="25"/>
      <c r="F89" s="25"/>
      <c r="G89" s="28" t="str">
        <f>IFERROR(__xludf.DUMMYFUNCTION("""COMPUTED_VALUE"""),"")</f>
        <v/>
      </c>
      <c r="H89" s="24"/>
      <c r="I89" s="24"/>
      <c r="J89" s="24" t="str">
        <f>IFERROR(__xludf.DUMMYFUNCTION("""COMPUTED_VALUE"""),"")</f>
        <v/>
      </c>
      <c r="K89" s="24"/>
      <c r="L89" s="24"/>
    </row>
    <row r="90" ht="22.5" customHeight="1">
      <c r="A90" s="22">
        <v>89.0</v>
      </c>
      <c r="B90" s="24"/>
      <c r="C90" s="24"/>
      <c r="D90" s="25" t="str">
        <f>IFERROR(__xludf.DUMMYFUNCTION("""COMPUTED_VALUE"""),"TMT")</f>
        <v>TMT</v>
      </c>
      <c r="E90" s="25"/>
      <c r="F90" s="25"/>
      <c r="G90" s="28" t="str">
        <f>IFERROR(__xludf.DUMMYFUNCTION("""COMPUTED_VALUE"""),"")</f>
        <v/>
      </c>
      <c r="H90" s="24"/>
      <c r="I90" s="24"/>
      <c r="J90" s="24" t="str">
        <f>IFERROR(__xludf.DUMMYFUNCTION("""COMPUTED_VALUE"""),"")</f>
        <v/>
      </c>
      <c r="K90" s="24"/>
      <c r="L90" s="24"/>
    </row>
    <row r="91" ht="22.5" customHeight="1">
      <c r="A91" s="22">
        <v>90.0</v>
      </c>
      <c r="B91" s="24"/>
      <c r="C91" s="24"/>
      <c r="D91" s="25" t="str">
        <f>IFERROR(__xludf.DUMMYFUNCTION("""COMPUTED_VALUE"""),"TMT")</f>
        <v>TMT</v>
      </c>
      <c r="E91" s="25"/>
      <c r="F91" s="25"/>
      <c r="G91" s="28" t="str">
        <f>IFERROR(__xludf.DUMMYFUNCTION("""COMPUTED_VALUE"""),"")</f>
        <v/>
      </c>
      <c r="H91" s="24"/>
      <c r="I91" s="24"/>
      <c r="J91" s="24" t="str">
        <f>IFERROR(__xludf.DUMMYFUNCTION("""COMPUTED_VALUE"""),"")</f>
        <v/>
      </c>
      <c r="K91" s="24"/>
      <c r="L91" s="24"/>
    </row>
    <row r="92" ht="22.5" customHeight="1">
      <c r="A92" s="22">
        <v>91.0</v>
      </c>
      <c r="B92" s="24"/>
      <c r="C92" s="24"/>
      <c r="D92" s="25" t="str">
        <f>IFERROR(__xludf.DUMMYFUNCTION("""COMPUTED_VALUE"""),"TMT")</f>
        <v>TMT</v>
      </c>
      <c r="E92" s="25"/>
      <c r="F92" s="25"/>
      <c r="G92" s="28" t="str">
        <f>IFERROR(__xludf.DUMMYFUNCTION("""COMPUTED_VALUE"""),"")</f>
        <v/>
      </c>
      <c r="H92" s="24"/>
      <c r="I92" s="24"/>
      <c r="J92" s="24" t="str">
        <f>IFERROR(__xludf.DUMMYFUNCTION("""COMPUTED_VALUE"""),"")</f>
        <v/>
      </c>
      <c r="K92" s="24"/>
      <c r="L92" s="24"/>
    </row>
    <row r="93" ht="22.5" customHeight="1">
      <c r="A93" s="22">
        <v>92.0</v>
      </c>
      <c r="B93" s="24"/>
      <c r="C93" s="24"/>
      <c r="D93" s="25" t="str">
        <f>IFERROR(__xludf.DUMMYFUNCTION("""COMPUTED_VALUE"""),"TMT")</f>
        <v>TMT</v>
      </c>
      <c r="E93" s="25"/>
      <c r="F93" s="25"/>
      <c r="G93" s="28" t="str">
        <f>IFERROR(__xludf.DUMMYFUNCTION("""COMPUTED_VALUE"""),"")</f>
        <v/>
      </c>
      <c r="H93" s="24"/>
      <c r="I93" s="24"/>
      <c r="J93" s="24" t="str">
        <f>IFERROR(__xludf.DUMMYFUNCTION("""COMPUTED_VALUE"""),"")</f>
        <v/>
      </c>
      <c r="K93" s="24"/>
      <c r="L93" s="24"/>
    </row>
    <row r="94" ht="22.5" customHeight="1">
      <c r="A94" s="22">
        <v>93.0</v>
      </c>
      <c r="B94" s="24"/>
      <c r="C94" s="24"/>
      <c r="D94" s="25" t="str">
        <f>IFERROR(__xludf.DUMMYFUNCTION("""COMPUTED_VALUE"""),"TMT")</f>
        <v>TMT</v>
      </c>
      <c r="E94" s="25"/>
      <c r="F94" s="25"/>
      <c r="G94" s="28" t="str">
        <f>IFERROR(__xludf.DUMMYFUNCTION("""COMPUTED_VALUE"""),"")</f>
        <v/>
      </c>
      <c r="H94" s="24"/>
      <c r="I94" s="24"/>
      <c r="J94" s="24" t="str">
        <f>IFERROR(__xludf.DUMMYFUNCTION("""COMPUTED_VALUE"""),"")</f>
        <v/>
      </c>
      <c r="K94" s="24"/>
      <c r="L94" s="24"/>
    </row>
    <row r="95" ht="22.5" customHeight="1">
      <c r="A95" s="22">
        <v>94.0</v>
      </c>
      <c r="B95" s="24"/>
      <c r="C95" s="24"/>
      <c r="D95" s="25" t="str">
        <f>IFERROR(__xludf.DUMMYFUNCTION("""COMPUTED_VALUE"""),"TMT")</f>
        <v>TMT</v>
      </c>
      <c r="E95" s="25"/>
      <c r="F95" s="25"/>
      <c r="G95" s="54" t="str">
        <f>IFERROR(__xludf.DUMMYFUNCTION("""COMPUTED_VALUE"""),"")</f>
        <v/>
      </c>
      <c r="H95" s="24"/>
      <c r="I95" s="24"/>
      <c r="J95" s="24" t="str">
        <f>IFERROR(__xludf.DUMMYFUNCTION("""COMPUTED_VALUE"""),"")</f>
        <v/>
      </c>
      <c r="K95" s="24"/>
      <c r="L95" s="24"/>
    </row>
    <row r="96" ht="22.5" customHeight="1">
      <c r="A96" s="22">
        <v>95.0</v>
      </c>
      <c r="B96" s="24"/>
      <c r="C96" s="24"/>
      <c r="D96" s="25" t="str">
        <f>IFERROR(__xludf.DUMMYFUNCTION("""COMPUTED_VALUE"""),"TMT")</f>
        <v>TMT</v>
      </c>
      <c r="E96" s="25"/>
      <c r="F96" s="25"/>
      <c r="G96" s="54" t="str">
        <f>IFERROR(__xludf.DUMMYFUNCTION("""COMPUTED_VALUE"""),"")</f>
        <v/>
      </c>
      <c r="H96" s="24"/>
      <c r="I96" s="24"/>
      <c r="J96" s="24" t="str">
        <f>IFERROR(__xludf.DUMMYFUNCTION("""COMPUTED_VALUE"""),"")</f>
        <v/>
      </c>
      <c r="K96" s="24"/>
      <c r="L96" s="24"/>
    </row>
    <row r="97" ht="22.5" customHeight="1">
      <c r="A97" s="22">
        <v>96.0</v>
      </c>
      <c r="B97" s="24"/>
      <c r="C97" s="24"/>
      <c r="D97" s="25" t="str">
        <f>IFERROR(__xludf.DUMMYFUNCTION("""COMPUTED_VALUE"""),"TMT")</f>
        <v>TMT</v>
      </c>
      <c r="E97" s="25"/>
      <c r="F97" s="25"/>
      <c r="G97" s="54" t="str">
        <f>IFERROR(__xludf.DUMMYFUNCTION("""COMPUTED_VALUE"""),"")</f>
        <v/>
      </c>
      <c r="H97" s="24"/>
      <c r="I97" s="24"/>
      <c r="J97" s="24" t="str">
        <f>IFERROR(__xludf.DUMMYFUNCTION("""COMPUTED_VALUE"""),"")</f>
        <v/>
      </c>
      <c r="K97" s="24"/>
      <c r="L97" s="24"/>
    </row>
    <row r="98" ht="22.5" customHeight="1">
      <c r="A98" s="22">
        <v>97.0</v>
      </c>
      <c r="B98" s="24"/>
      <c r="C98" s="24"/>
      <c r="D98" s="25" t="str">
        <f>IFERROR(__xludf.DUMMYFUNCTION("""COMPUTED_VALUE"""),"TMT")</f>
        <v>TMT</v>
      </c>
      <c r="E98" s="25"/>
      <c r="F98" s="25"/>
      <c r="G98" s="54" t="str">
        <f>IFERROR(__xludf.DUMMYFUNCTION("""COMPUTED_VALUE"""),"")</f>
        <v/>
      </c>
      <c r="H98" s="24"/>
      <c r="I98" s="24"/>
      <c r="J98" s="24" t="str">
        <f>IFERROR(__xludf.DUMMYFUNCTION("""COMPUTED_VALUE"""),"")</f>
        <v/>
      </c>
      <c r="K98" s="24"/>
      <c r="L98" s="24"/>
    </row>
    <row r="99" ht="22.5" customHeight="1">
      <c r="A99" s="22">
        <v>98.0</v>
      </c>
      <c r="B99" s="24"/>
      <c r="C99" s="24"/>
      <c r="D99" s="25" t="str">
        <f>IFERROR(__xludf.DUMMYFUNCTION("""COMPUTED_VALUE"""),"TMT")</f>
        <v>TMT</v>
      </c>
      <c r="E99" s="25"/>
      <c r="F99" s="25"/>
      <c r="G99" s="54" t="str">
        <f>IFERROR(__xludf.DUMMYFUNCTION("""COMPUTED_VALUE"""),"")</f>
        <v/>
      </c>
      <c r="H99" s="24"/>
      <c r="I99" s="24"/>
      <c r="J99" s="24" t="str">
        <f>IFERROR(__xludf.DUMMYFUNCTION("""COMPUTED_VALUE"""),"")</f>
        <v/>
      </c>
      <c r="K99" s="24"/>
      <c r="L99" s="24"/>
    </row>
    <row r="100" ht="22.5" customHeight="1">
      <c r="A100" s="22">
        <v>99.0</v>
      </c>
      <c r="B100" s="24"/>
      <c r="C100" s="24"/>
      <c r="D100" s="25" t="str">
        <f>IFERROR(__xludf.DUMMYFUNCTION("""COMPUTED_VALUE"""),"TMT")</f>
        <v>TMT</v>
      </c>
      <c r="E100" s="25"/>
      <c r="F100" s="25"/>
      <c r="G100" s="54" t="str">
        <f>IFERROR(__xludf.DUMMYFUNCTION("""COMPUTED_VALUE"""),"")</f>
        <v/>
      </c>
      <c r="H100" s="24"/>
      <c r="I100" s="24"/>
      <c r="J100" s="24" t="str">
        <f>IFERROR(__xludf.DUMMYFUNCTION("""COMPUTED_VALUE"""),"")</f>
        <v/>
      </c>
      <c r="K100" s="24"/>
      <c r="L100" s="24"/>
    </row>
    <row r="101" ht="22.5" customHeight="1">
      <c r="A101" s="22">
        <v>100.0</v>
      </c>
      <c r="B101" s="24"/>
      <c r="C101" s="24"/>
      <c r="D101" s="25" t="str">
        <f>IFERROR(__xludf.DUMMYFUNCTION("""COMPUTED_VALUE"""),"TMT")</f>
        <v>TMT</v>
      </c>
      <c r="E101" s="25"/>
      <c r="F101" s="25"/>
      <c r="G101" s="54" t="str">
        <f>IFERROR(__xludf.DUMMYFUNCTION("""COMPUTED_VALUE"""),"")</f>
        <v/>
      </c>
      <c r="H101" s="24"/>
      <c r="I101" s="24"/>
      <c r="J101" s="24" t="str">
        <f>IFERROR(__xludf.DUMMYFUNCTION("""COMPUTED_VALUE"""),"")</f>
        <v/>
      </c>
      <c r="K101" s="24"/>
      <c r="L101" s="24"/>
    </row>
    <row r="102" ht="22.5" customHeight="1">
      <c r="A102" s="22">
        <v>101.0</v>
      </c>
      <c r="B102" s="24"/>
      <c r="C102" s="24"/>
      <c r="D102" s="25" t="str">
        <f>IFERROR(__xludf.DUMMYFUNCTION("""COMPUTED_VALUE"""),"TMT")</f>
        <v>TMT</v>
      </c>
      <c r="E102" s="25"/>
      <c r="F102" s="25"/>
      <c r="G102" s="54" t="str">
        <f>IFERROR(__xludf.DUMMYFUNCTION("""COMPUTED_VALUE"""),"")</f>
        <v/>
      </c>
      <c r="H102" s="24"/>
      <c r="I102" s="24"/>
      <c r="J102" s="24" t="str">
        <f>IFERROR(__xludf.DUMMYFUNCTION("""COMPUTED_VALUE"""),"")</f>
        <v/>
      </c>
      <c r="K102" s="24"/>
      <c r="L102" s="24"/>
    </row>
    <row r="103" ht="22.5" customHeight="1">
      <c r="A103" s="22">
        <v>102.0</v>
      </c>
      <c r="B103" s="24"/>
      <c r="C103" s="24"/>
      <c r="D103" s="25" t="str">
        <f>IFERROR(__xludf.DUMMYFUNCTION("""COMPUTED_VALUE"""),"TMT")</f>
        <v>TMT</v>
      </c>
      <c r="E103" s="25"/>
      <c r="F103" s="25"/>
      <c r="G103" s="54" t="str">
        <f>IFERROR(__xludf.DUMMYFUNCTION("""COMPUTED_VALUE"""),"")</f>
        <v/>
      </c>
      <c r="H103" s="24"/>
      <c r="I103" s="24"/>
      <c r="J103" s="24" t="str">
        <f>IFERROR(__xludf.DUMMYFUNCTION("""COMPUTED_VALUE"""),"")</f>
        <v/>
      </c>
      <c r="K103" s="24"/>
      <c r="L103" s="24"/>
    </row>
    <row r="104" ht="22.5" customHeight="1">
      <c r="B104" s="29"/>
      <c r="C104" s="29"/>
      <c r="D104" s="55" t="str">
        <f>IFERROR(__xludf.DUMMYFUNCTION("""COMPUTED_VALUE"""),"TMT")</f>
        <v>TMT</v>
      </c>
      <c r="E104" s="55"/>
      <c r="F104" s="55"/>
      <c r="G104" s="56" t="str">
        <f>IFERROR(__xludf.DUMMYFUNCTION("""COMPUTED_VALUE"""),"")</f>
        <v/>
      </c>
      <c r="H104" s="29"/>
      <c r="I104" s="29"/>
      <c r="J104" s="29" t="str">
        <f>IFERROR(__xludf.DUMMYFUNCTION("""COMPUTED_VALUE"""),"")</f>
        <v/>
      </c>
      <c r="K104" s="29"/>
      <c r="L104" s="29"/>
    </row>
    <row r="105" ht="22.5" customHeight="1">
      <c r="B105" s="29"/>
      <c r="C105" s="29"/>
      <c r="D105" s="55" t="str">
        <f>IFERROR(__xludf.DUMMYFUNCTION("""COMPUTED_VALUE"""),"TMT")</f>
        <v>TMT</v>
      </c>
      <c r="E105" s="55"/>
      <c r="F105" s="55"/>
      <c r="G105" s="56" t="str">
        <f>IFERROR(__xludf.DUMMYFUNCTION("""COMPUTED_VALUE"""),"")</f>
        <v/>
      </c>
      <c r="H105" s="29"/>
      <c r="I105" s="29"/>
      <c r="J105" s="29" t="str">
        <f>IFERROR(__xludf.DUMMYFUNCTION("""COMPUTED_VALUE"""),"")</f>
        <v/>
      </c>
      <c r="K105" s="29"/>
      <c r="L105" s="29"/>
    </row>
    <row r="106" ht="22.5" customHeight="1">
      <c r="B106" s="29"/>
      <c r="C106" s="29"/>
      <c r="D106" s="55" t="str">
        <f>IFERROR(__xludf.DUMMYFUNCTION("""COMPUTED_VALUE"""),"TMT")</f>
        <v>TMT</v>
      </c>
      <c r="E106" s="55"/>
      <c r="F106" s="55"/>
      <c r="G106" s="56" t="str">
        <f>IFERROR(__xludf.DUMMYFUNCTION("""COMPUTED_VALUE"""),"")</f>
        <v/>
      </c>
      <c r="H106" s="29"/>
      <c r="I106" s="29"/>
      <c r="J106" s="29" t="str">
        <f>IFERROR(__xludf.DUMMYFUNCTION("""COMPUTED_VALUE"""),"")</f>
        <v/>
      </c>
      <c r="K106" s="29"/>
      <c r="L106" s="29"/>
    </row>
    <row r="107" ht="22.5" customHeight="1">
      <c r="B107" s="29"/>
      <c r="C107" s="29"/>
      <c r="D107" s="55" t="str">
        <f>IFERROR(__xludf.DUMMYFUNCTION("""COMPUTED_VALUE"""),"TMT")</f>
        <v>TMT</v>
      </c>
      <c r="E107" s="55"/>
      <c r="F107" s="55"/>
      <c r="G107" s="56" t="str">
        <f>IFERROR(__xludf.DUMMYFUNCTION("""COMPUTED_VALUE"""),"")</f>
        <v/>
      </c>
      <c r="H107" s="29"/>
      <c r="I107" s="29"/>
      <c r="J107" s="29" t="str">
        <f>IFERROR(__xludf.DUMMYFUNCTION("""COMPUTED_VALUE"""),"")</f>
        <v/>
      </c>
      <c r="K107" s="29"/>
      <c r="L107" s="29"/>
    </row>
    <row r="108" ht="22.5" customHeight="1">
      <c r="B108" s="29"/>
      <c r="C108" s="29"/>
      <c r="D108" s="55" t="str">
        <f>IFERROR(__xludf.DUMMYFUNCTION("""COMPUTED_VALUE"""),"TMT")</f>
        <v>TMT</v>
      </c>
      <c r="E108" s="55"/>
      <c r="F108" s="55"/>
      <c r="G108" s="56" t="str">
        <f>IFERROR(__xludf.DUMMYFUNCTION("""COMPUTED_VALUE"""),"")</f>
        <v/>
      </c>
      <c r="H108" s="29"/>
      <c r="I108" s="29"/>
      <c r="J108" s="29" t="str">
        <f>IFERROR(__xludf.DUMMYFUNCTION("""COMPUTED_VALUE"""),"")</f>
        <v/>
      </c>
      <c r="K108" s="29"/>
      <c r="L108" s="29"/>
    </row>
    <row r="109" ht="22.5" customHeight="1">
      <c r="B109" s="29"/>
      <c r="C109" s="29"/>
      <c r="D109" s="55" t="str">
        <f>IFERROR(__xludf.DUMMYFUNCTION("""COMPUTED_VALUE"""),"TMT")</f>
        <v>TMT</v>
      </c>
      <c r="E109" s="55"/>
      <c r="F109" s="55"/>
      <c r="G109" s="56" t="str">
        <f>IFERROR(__xludf.DUMMYFUNCTION("""COMPUTED_VALUE"""),"")</f>
        <v/>
      </c>
      <c r="H109" s="29"/>
      <c r="I109" s="29"/>
      <c r="J109" s="29" t="str">
        <f>IFERROR(__xludf.DUMMYFUNCTION("""COMPUTED_VALUE"""),"")</f>
        <v/>
      </c>
      <c r="K109" s="29"/>
      <c r="L109" s="29"/>
    </row>
    <row r="110" ht="22.5" customHeight="1">
      <c r="B110" s="29"/>
      <c r="C110" s="29"/>
      <c r="D110" s="55" t="str">
        <f>IFERROR(__xludf.DUMMYFUNCTION("""COMPUTED_VALUE"""),"TMT")</f>
        <v>TMT</v>
      </c>
      <c r="E110" s="55"/>
      <c r="F110" s="55"/>
      <c r="G110" s="56" t="str">
        <f>IFERROR(__xludf.DUMMYFUNCTION("""COMPUTED_VALUE"""),"")</f>
        <v/>
      </c>
      <c r="H110" s="29"/>
      <c r="I110" s="29"/>
      <c r="J110" s="29" t="str">
        <f>IFERROR(__xludf.DUMMYFUNCTION("""COMPUTED_VALUE"""),"")</f>
        <v/>
      </c>
      <c r="K110" s="29"/>
      <c r="L110" s="29"/>
    </row>
    <row r="111" ht="22.5" customHeight="1">
      <c r="B111" s="29"/>
      <c r="C111" s="29"/>
      <c r="D111" s="55" t="str">
        <f>IFERROR(__xludf.DUMMYFUNCTION("""COMPUTED_VALUE"""),"TMT")</f>
        <v>TMT</v>
      </c>
      <c r="E111" s="55"/>
      <c r="F111" s="55"/>
      <c r="G111" s="56" t="str">
        <f>IFERROR(__xludf.DUMMYFUNCTION("""COMPUTED_VALUE"""),"")</f>
        <v/>
      </c>
      <c r="H111" s="29"/>
      <c r="I111" s="29"/>
      <c r="J111" s="29" t="str">
        <f>IFERROR(__xludf.DUMMYFUNCTION("""COMPUTED_VALUE"""),"")</f>
        <v/>
      </c>
      <c r="K111" s="29"/>
      <c r="L111" s="29"/>
    </row>
    <row r="112" ht="22.5" customHeight="1">
      <c r="B112" s="29"/>
      <c r="C112" s="29"/>
      <c r="D112" s="55" t="str">
        <f>IFERROR(__xludf.DUMMYFUNCTION("""COMPUTED_VALUE"""),"PFLK")</f>
        <v>PFLK</v>
      </c>
      <c r="E112" s="55"/>
      <c r="F112" s="55"/>
      <c r="G112" s="56" t="str">
        <f>IFERROR(__xludf.DUMMYFUNCTION("""COMPUTED_VALUE"""),"")</f>
        <v/>
      </c>
      <c r="H112" s="29"/>
      <c r="I112" s="29"/>
      <c r="J112" s="29" t="str">
        <f>IFERROR(__xludf.DUMMYFUNCTION("""COMPUTED_VALUE"""),"")</f>
        <v/>
      </c>
      <c r="K112" s="29"/>
      <c r="L112" s="29"/>
    </row>
    <row r="113" ht="22.5" customHeight="1">
      <c r="B113" s="29"/>
      <c r="C113" s="29"/>
      <c r="D113" s="55"/>
      <c r="E113" s="55"/>
      <c r="F113" s="55"/>
      <c r="G113" s="56" t="str">
        <f>IFERROR(__xludf.DUMMYFUNCTION("""COMPUTED_VALUE"""),"")</f>
        <v/>
      </c>
      <c r="H113" s="29"/>
      <c r="I113" s="29"/>
      <c r="J113" s="29" t="str">
        <f>IFERROR(__xludf.DUMMYFUNCTION("""COMPUTED_VALUE"""),"")</f>
        <v/>
      </c>
      <c r="K113" s="29"/>
      <c r="L113" s="29"/>
    </row>
    <row r="114" ht="22.5" customHeight="1">
      <c r="B114" s="29"/>
      <c r="C114" s="29"/>
      <c r="D114" s="55"/>
      <c r="E114" s="55"/>
      <c r="F114" s="55"/>
      <c r="G114" s="56" t="str">
        <f>IFERROR(__xludf.DUMMYFUNCTION("""COMPUTED_VALUE"""),"")</f>
        <v/>
      </c>
      <c r="H114" s="29"/>
      <c r="I114" s="29"/>
      <c r="J114" s="29" t="str">
        <f>IFERROR(__xludf.DUMMYFUNCTION("""COMPUTED_VALUE"""),"")</f>
        <v/>
      </c>
      <c r="K114" s="29"/>
      <c r="L114" s="29"/>
    </row>
    <row r="115" ht="22.5" customHeight="1">
      <c r="B115" s="29"/>
      <c r="C115" s="29"/>
      <c r="D115" s="55"/>
      <c r="E115" s="55"/>
      <c r="F115" s="55"/>
      <c r="G115" s="56" t="str">
        <f>IFERROR(__xludf.DUMMYFUNCTION("""COMPUTED_VALUE"""),"")</f>
        <v/>
      </c>
      <c r="H115" s="29"/>
      <c r="I115" s="29"/>
      <c r="J115" s="29" t="str">
        <f>IFERROR(__xludf.DUMMYFUNCTION("""COMPUTED_VALUE"""),"")</f>
        <v/>
      </c>
      <c r="K115" s="29"/>
      <c r="L115" s="29"/>
    </row>
    <row r="116" ht="22.5" customHeight="1">
      <c r="B116" s="29"/>
      <c r="C116" s="29"/>
      <c r="D116" s="55"/>
      <c r="E116" s="55"/>
      <c r="F116" s="55"/>
      <c r="G116" s="56" t="str">
        <f>IFERROR(__xludf.DUMMYFUNCTION("""COMPUTED_VALUE"""),"")</f>
        <v/>
      </c>
      <c r="H116" s="29"/>
      <c r="I116" s="29"/>
      <c r="J116" s="29" t="str">
        <f>IFERROR(__xludf.DUMMYFUNCTION("""COMPUTED_VALUE"""),"")</f>
        <v/>
      </c>
      <c r="K116" s="29"/>
      <c r="L116" s="29"/>
    </row>
    <row r="117" ht="22.5" customHeight="1">
      <c r="B117" s="29"/>
      <c r="C117" s="29"/>
      <c r="D117" s="55"/>
      <c r="E117" s="55"/>
      <c r="F117" s="55"/>
      <c r="G117" s="56" t="str">
        <f>IFERROR(__xludf.DUMMYFUNCTION("""COMPUTED_VALUE"""),"")</f>
        <v/>
      </c>
      <c r="H117" s="29"/>
      <c r="I117" s="29"/>
      <c r="J117" s="29" t="str">
        <f>IFERROR(__xludf.DUMMYFUNCTION("""COMPUTED_VALUE"""),"")</f>
        <v/>
      </c>
      <c r="K117" s="29"/>
      <c r="L117" s="29"/>
    </row>
    <row r="118" ht="22.5" customHeight="1">
      <c r="B118" s="29"/>
      <c r="C118" s="29"/>
      <c r="D118" s="55"/>
      <c r="E118" s="55"/>
      <c r="F118" s="55"/>
      <c r="G118" s="56" t="str">
        <f>IFERROR(__xludf.DUMMYFUNCTION("""COMPUTED_VALUE"""),"")</f>
        <v/>
      </c>
      <c r="H118" s="29"/>
      <c r="I118" s="29"/>
      <c r="J118" s="29" t="str">
        <f>IFERROR(__xludf.DUMMYFUNCTION("""COMPUTED_VALUE"""),"")</f>
        <v/>
      </c>
      <c r="K118" s="29"/>
      <c r="L118" s="29"/>
    </row>
    <row r="119" ht="22.5" customHeight="1">
      <c r="B119" s="29"/>
      <c r="C119" s="29"/>
      <c r="D119" s="55"/>
      <c r="E119" s="55"/>
      <c r="F119" s="55"/>
      <c r="G119" s="56" t="str">
        <f>IFERROR(__xludf.DUMMYFUNCTION("""COMPUTED_VALUE"""),"")</f>
        <v/>
      </c>
      <c r="H119" s="29"/>
      <c r="I119" s="29"/>
      <c r="J119" s="29" t="str">
        <f>IFERROR(__xludf.DUMMYFUNCTION("""COMPUTED_VALUE"""),"")</f>
        <v/>
      </c>
      <c r="K119" s="29"/>
      <c r="L119" s="29"/>
    </row>
    <row r="120">
      <c r="B120" s="36"/>
      <c r="C120" s="36"/>
      <c r="D120" s="39"/>
      <c r="E120" s="39"/>
      <c r="F120" s="39"/>
      <c r="G120" s="63" t="str">
        <f>IFERROR(__xludf.DUMMYFUNCTION("""COMPUTED_VALUE"""),"")</f>
        <v/>
      </c>
      <c r="H120" s="36"/>
      <c r="I120" s="36"/>
      <c r="J120" s="36" t="str">
        <f>IFERROR(__xludf.DUMMYFUNCTION("""COMPUTED_VALUE"""),"")</f>
        <v/>
      </c>
      <c r="K120" s="36"/>
      <c r="L120" s="36"/>
    </row>
    <row r="121">
      <c r="B121" s="36"/>
      <c r="C121" s="36"/>
      <c r="D121" s="39"/>
      <c r="E121" s="39"/>
      <c r="F121" s="39"/>
      <c r="G121" s="63" t="str">
        <f>IFERROR(__xludf.DUMMYFUNCTION("""COMPUTED_VALUE"""),"")</f>
        <v/>
      </c>
      <c r="H121" s="36"/>
      <c r="I121" s="36"/>
      <c r="J121" s="36" t="str">
        <f>IFERROR(__xludf.DUMMYFUNCTION("""COMPUTED_VALUE"""),"")</f>
        <v/>
      </c>
      <c r="K121" s="36"/>
      <c r="L121" s="36"/>
    </row>
    <row r="122">
      <c r="B122" s="36"/>
      <c r="C122" s="36"/>
      <c r="D122" s="39"/>
      <c r="E122" s="39"/>
      <c r="F122" s="39"/>
      <c r="G122" s="63" t="str">
        <f>IFERROR(__xludf.DUMMYFUNCTION("""COMPUTED_VALUE"""),"")</f>
        <v/>
      </c>
      <c r="H122" s="36"/>
      <c r="I122" s="36"/>
      <c r="J122" s="36" t="str">
        <f>IFERROR(__xludf.DUMMYFUNCTION("""COMPUTED_VALUE"""),"")</f>
        <v/>
      </c>
      <c r="K122" s="36"/>
      <c r="L122" s="36"/>
    </row>
    <row r="123">
      <c r="B123" s="36"/>
      <c r="C123" s="36"/>
      <c r="D123" s="39"/>
      <c r="E123" s="39"/>
      <c r="F123" s="39"/>
      <c r="G123" s="63" t="str">
        <f>IFERROR(__xludf.DUMMYFUNCTION("""COMPUTED_VALUE"""),"")</f>
        <v/>
      </c>
      <c r="H123" s="36"/>
      <c r="I123" s="36"/>
      <c r="J123" s="36" t="str">
        <f>IFERROR(__xludf.DUMMYFUNCTION("""COMPUTED_VALUE"""),"")</f>
        <v/>
      </c>
      <c r="K123" s="36"/>
      <c r="L123" s="36"/>
    </row>
    <row r="124">
      <c r="B124" s="36"/>
      <c r="C124" s="36"/>
      <c r="D124" s="39"/>
      <c r="E124" s="39"/>
      <c r="F124" s="39"/>
      <c r="G124" s="63" t="str">
        <f>IFERROR(__xludf.DUMMYFUNCTION("""COMPUTED_VALUE"""),"")</f>
        <v/>
      </c>
      <c r="H124" s="36"/>
      <c r="I124" s="36"/>
      <c r="J124" s="36" t="str">
        <f>IFERROR(__xludf.DUMMYFUNCTION("""COMPUTED_VALUE"""),"")</f>
        <v/>
      </c>
      <c r="K124" s="36"/>
      <c r="L124" s="36"/>
    </row>
    <row r="125">
      <c r="B125" s="36"/>
      <c r="C125" s="36"/>
      <c r="D125" s="39"/>
      <c r="E125" s="39"/>
      <c r="F125" s="39"/>
      <c r="G125" s="63" t="str">
        <f>IFERROR(__xludf.DUMMYFUNCTION("""COMPUTED_VALUE"""),"")</f>
        <v/>
      </c>
      <c r="H125" s="36"/>
      <c r="I125" s="36"/>
      <c r="J125" s="36" t="str">
        <f>IFERROR(__xludf.DUMMYFUNCTION("""COMPUTED_VALUE"""),"")</f>
        <v/>
      </c>
      <c r="K125" s="36"/>
      <c r="L125" s="36"/>
    </row>
    <row r="126">
      <c r="B126" s="36"/>
      <c r="C126" s="36"/>
      <c r="D126" s="39"/>
      <c r="E126" s="39"/>
      <c r="F126" s="39"/>
      <c r="G126" s="63" t="str">
        <f>IFERROR(__xludf.DUMMYFUNCTION("""COMPUTED_VALUE"""),"")</f>
        <v/>
      </c>
      <c r="H126" s="36"/>
      <c r="I126" s="36"/>
      <c r="J126" s="36" t="str">
        <f>IFERROR(__xludf.DUMMYFUNCTION("""COMPUTED_VALUE"""),"")</f>
        <v/>
      </c>
      <c r="K126" s="36"/>
      <c r="L126" s="36"/>
    </row>
    <row r="127">
      <c r="B127" s="36"/>
      <c r="C127" s="36"/>
      <c r="D127" s="39"/>
      <c r="E127" s="39"/>
      <c r="F127" s="39"/>
      <c r="G127" s="63" t="str">
        <f>IFERROR(__xludf.DUMMYFUNCTION("""COMPUTED_VALUE"""),"")</f>
        <v/>
      </c>
      <c r="H127" s="36"/>
      <c r="I127" s="36"/>
      <c r="J127" s="36" t="str">
        <f>IFERROR(__xludf.DUMMYFUNCTION("""COMPUTED_VALUE"""),"")</f>
        <v/>
      </c>
      <c r="K127" s="36"/>
      <c r="L127" s="36"/>
    </row>
    <row r="128">
      <c r="B128" s="36"/>
      <c r="C128" s="36"/>
      <c r="D128" s="39"/>
      <c r="E128" s="39"/>
      <c r="F128" s="39"/>
      <c r="G128" s="63" t="str">
        <f>IFERROR(__xludf.DUMMYFUNCTION("""COMPUTED_VALUE"""),"")</f>
        <v/>
      </c>
      <c r="H128" s="36"/>
      <c r="I128" s="36"/>
      <c r="J128" s="36" t="str">
        <f>IFERROR(__xludf.DUMMYFUNCTION("""COMPUTED_VALUE"""),"")</f>
        <v/>
      </c>
      <c r="K128" s="36"/>
      <c r="L128" s="36"/>
    </row>
    <row r="129">
      <c r="B129" s="36"/>
      <c r="C129" s="36"/>
      <c r="D129" s="39"/>
      <c r="E129" s="39"/>
      <c r="F129" s="39"/>
      <c r="G129" s="63" t="str">
        <f>IFERROR(__xludf.DUMMYFUNCTION("""COMPUTED_VALUE"""),"")</f>
        <v/>
      </c>
      <c r="H129" s="36"/>
      <c r="I129" s="36"/>
      <c r="J129" s="36" t="str">
        <f>IFERROR(__xludf.DUMMYFUNCTION("""COMPUTED_VALUE"""),"")</f>
        <v/>
      </c>
      <c r="K129" s="36"/>
      <c r="L129" s="36"/>
    </row>
    <row r="130">
      <c r="B130" s="36"/>
      <c r="C130" s="36"/>
      <c r="D130" s="39"/>
      <c r="E130" s="39"/>
      <c r="F130" s="39"/>
      <c r="G130" s="63" t="str">
        <f>IFERROR(__xludf.DUMMYFUNCTION("""COMPUTED_VALUE"""),"")</f>
        <v/>
      </c>
      <c r="H130" s="36"/>
      <c r="I130" s="36"/>
      <c r="J130" s="36" t="str">
        <f>IFERROR(__xludf.DUMMYFUNCTION("""COMPUTED_VALUE"""),"")</f>
        <v/>
      </c>
      <c r="K130" s="36"/>
      <c r="L130" s="36"/>
    </row>
    <row r="131">
      <c r="B131" s="36"/>
      <c r="C131" s="36"/>
      <c r="D131" s="39"/>
      <c r="E131" s="39"/>
      <c r="F131" s="39"/>
      <c r="G131" s="63" t="str">
        <f>IFERROR(__xludf.DUMMYFUNCTION("""COMPUTED_VALUE"""),"")</f>
        <v/>
      </c>
      <c r="H131" s="36"/>
      <c r="I131" s="36"/>
      <c r="J131" s="36" t="str">
        <f>IFERROR(__xludf.DUMMYFUNCTION("""COMPUTED_VALUE"""),"")</f>
        <v/>
      </c>
      <c r="K131" s="36"/>
      <c r="L131" s="36"/>
    </row>
    <row r="132">
      <c r="B132" s="36"/>
      <c r="C132" s="36"/>
      <c r="D132" s="39"/>
      <c r="E132" s="39"/>
      <c r="F132" s="39"/>
      <c r="G132" s="63" t="str">
        <f>IFERROR(__xludf.DUMMYFUNCTION("""COMPUTED_VALUE"""),"")</f>
        <v/>
      </c>
      <c r="H132" s="36"/>
      <c r="I132" s="36"/>
      <c r="J132" s="36" t="str">
        <f>IFERROR(__xludf.DUMMYFUNCTION("""COMPUTED_VALUE"""),"")</f>
        <v/>
      </c>
      <c r="K132" s="36"/>
      <c r="L132" s="36"/>
    </row>
    <row r="133">
      <c r="B133" s="36"/>
      <c r="C133" s="36"/>
      <c r="D133" s="39"/>
      <c r="E133" s="39"/>
      <c r="F133" s="39"/>
      <c r="G133" s="63" t="str">
        <f>IFERROR(__xludf.DUMMYFUNCTION("""COMPUTED_VALUE"""),"")</f>
        <v/>
      </c>
      <c r="H133" s="36"/>
      <c r="I133" s="36"/>
      <c r="J133" s="36" t="str">
        <f>IFERROR(__xludf.DUMMYFUNCTION("""COMPUTED_VALUE"""),"")</f>
        <v/>
      </c>
      <c r="K133" s="36"/>
      <c r="L133" s="36"/>
    </row>
    <row r="134">
      <c r="B134" s="36"/>
      <c r="C134" s="36"/>
      <c r="D134" s="39"/>
      <c r="E134" s="39"/>
      <c r="F134" s="39"/>
      <c r="G134" s="63" t="str">
        <f>IFERROR(__xludf.DUMMYFUNCTION("""COMPUTED_VALUE"""),"")</f>
        <v/>
      </c>
      <c r="H134" s="36"/>
      <c r="I134" s="36"/>
      <c r="J134" s="36" t="str">
        <f>IFERROR(__xludf.DUMMYFUNCTION("""COMPUTED_VALUE"""),"")</f>
        <v/>
      </c>
      <c r="K134" s="36"/>
      <c r="L134" s="36"/>
    </row>
    <row r="135">
      <c r="B135" s="36"/>
      <c r="C135" s="36"/>
      <c r="D135" s="39"/>
      <c r="E135" s="39"/>
      <c r="F135" s="39"/>
      <c r="G135" s="63" t="str">
        <f>IFERROR(__xludf.DUMMYFUNCTION("""COMPUTED_VALUE"""),"")</f>
        <v/>
      </c>
      <c r="H135" s="36"/>
      <c r="I135" s="36"/>
      <c r="J135" s="36" t="str">
        <f>IFERROR(__xludf.DUMMYFUNCTION("""COMPUTED_VALUE"""),"")</f>
        <v/>
      </c>
      <c r="K135" s="36"/>
      <c r="L135" s="36"/>
    </row>
    <row r="136">
      <c r="B136" s="36"/>
      <c r="C136" s="36"/>
      <c r="D136" s="39"/>
      <c r="E136" s="39"/>
      <c r="F136" s="39"/>
      <c r="G136" s="63" t="str">
        <f>IFERROR(__xludf.DUMMYFUNCTION("""COMPUTED_VALUE"""),"")</f>
        <v/>
      </c>
      <c r="H136" s="36"/>
      <c r="I136" s="36"/>
      <c r="J136" s="36" t="str">
        <f>IFERROR(__xludf.DUMMYFUNCTION("""COMPUTED_VALUE"""),"")</f>
        <v/>
      </c>
      <c r="K136" s="36"/>
      <c r="L136" s="36"/>
    </row>
    <row r="137">
      <c r="B137" s="36"/>
      <c r="C137" s="36"/>
      <c r="D137" s="39"/>
      <c r="E137" s="39"/>
      <c r="F137" s="39"/>
      <c r="G137" s="63" t="str">
        <f>IFERROR(__xludf.DUMMYFUNCTION("""COMPUTED_VALUE"""),"")</f>
        <v/>
      </c>
      <c r="H137" s="36"/>
      <c r="I137" s="36"/>
      <c r="J137" s="36" t="str">
        <f>IFERROR(__xludf.DUMMYFUNCTION("""COMPUTED_VALUE"""),"")</f>
        <v/>
      </c>
      <c r="K137" s="36"/>
      <c r="L137" s="36"/>
    </row>
    <row r="138">
      <c r="B138" s="36"/>
      <c r="C138" s="36"/>
      <c r="D138" s="39"/>
      <c r="E138" s="39"/>
      <c r="F138" s="39"/>
      <c r="G138" s="63" t="str">
        <f>IFERROR(__xludf.DUMMYFUNCTION("""COMPUTED_VALUE"""),"")</f>
        <v/>
      </c>
      <c r="H138" s="36"/>
      <c r="I138" s="36"/>
      <c r="J138" s="36" t="str">
        <f>IFERROR(__xludf.DUMMYFUNCTION("""COMPUTED_VALUE"""),"")</f>
        <v/>
      </c>
      <c r="K138" s="36"/>
      <c r="L138" s="36"/>
    </row>
    <row r="139">
      <c r="B139" s="36"/>
      <c r="C139" s="36"/>
      <c r="D139" s="39"/>
      <c r="E139" s="39"/>
      <c r="F139" s="39"/>
      <c r="G139" s="63" t="str">
        <f>IFERROR(__xludf.DUMMYFUNCTION("""COMPUTED_VALUE"""),"")</f>
        <v/>
      </c>
      <c r="H139" s="36"/>
      <c r="I139" s="36"/>
      <c r="J139" s="36" t="str">
        <f>IFERROR(__xludf.DUMMYFUNCTION("""COMPUTED_VALUE"""),"")</f>
        <v/>
      </c>
      <c r="K139" s="36"/>
      <c r="L139" s="36"/>
    </row>
    <row r="140">
      <c r="B140" s="36"/>
      <c r="C140" s="36"/>
      <c r="D140" s="39"/>
      <c r="E140" s="39"/>
      <c r="F140" s="39"/>
      <c r="G140" s="63" t="str">
        <f>IFERROR(__xludf.DUMMYFUNCTION("""COMPUTED_VALUE"""),"")</f>
        <v/>
      </c>
      <c r="H140" s="36"/>
      <c r="I140" s="36"/>
      <c r="J140" s="36" t="str">
        <f>IFERROR(__xludf.DUMMYFUNCTION("""COMPUTED_VALUE"""),"")</f>
        <v/>
      </c>
      <c r="K140" s="36"/>
      <c r="L140" s="36"/>
    </row>
    <row r="141">
      <c r="B141" s="36"/>
      <c r="C141" s="36"/>
      <c r="D141" s="39"/>
      <c r="E141" s="39"/>
      <c r="F141" s="39"/>
      <c r="G141" s="63" t="str">
        <f>IFERROR(__xludf.DUMMYFUNCTION("""COMPUTED_VALUE"""),"")</f>
        <v/>
      </c>
      <c r="H141" s="36"/>
      <c r="I141" s="36"/>
      <c r="J141" s="36" t="str">
        <f>IFERROR(__xludf.DUMMYFUNCTION("""COMPUTED_VALUE"""),"")</f>
        <v/>
      </c>
      <c r="K141" s="36"/>
      <c r="L141" s="36"/>
    </row>
    <row r="142">
      <c r="B142" s="36"/>
      <c r="C142" s="36"/>
      <c r="D142" s="39"/>
      <c r="E142" s="39"/>
      <c r="F142" s="39"/>
      <c r="G142" s="63" t="str">
        <f>IFERROR(__xludf.DUMMYFUNCTION("""COMPUTED_VALUE"""),"")</f>
        <v/>
      </c>
      <c r="H142" s="36"/>
      <c r="I142" s="36"/>
      <c r="J142" s="36" t="str">
        <f>IFERROR(__xludf.DUMMYFUNCTION("""COMPUTED_VALUE"""),"")</f>
        <v/>
      </c>
      <c r="K142" s="36"/>
      <c r="L142" s="36"/>
    </row>
    <row r="143">
      <c r="B143" s="36"/>
      <c r="C143" s="36"/>
      <c r="D143" s="39"/>
      <c r="E143" s="39"/>
      <c r="F143" s="39"/>
      <c r="G143" s="63" t="str">
        <f>IFERROR(__xludf.DUMMYFUNCTION("""COMPUTED_VALUE"""),"")</f>
        <v/>
      </c>
      <c r="H143" s="36"/>
      <c r="I143" s="36"/>
      <c r="J143" s="36" t="str">
        <f>IFERROR(__xludf.DUMMYFUNCTION("""COMPUTED_VALUE"""),"")</f>
        <v/>
      </c>
      <c r="K143" s="36"/>
      <c r="L143" s="36"/>
    </row>
    <row r="144">
      <c r="B144" s="36"/>
      <c r="C144" s="36"/>
      <c r="D144" s="39"/>
      <c r="E144" s="39"/>
      <c r="F144" s="39"/>
      <c r="G144" s="63" t="str">
        <f>IFERROR(__xludf.DUMMYFUNCTION("""COMPUTED_VALUE"""),"")</f>
        <v/>
      </c>
      <c r="H144" s="36"/>
      <c r="I144" s="36"/>
      <c r="J144" s="36" t="str">
        <f>IFERROR(__xludf.DUMMYFUNCTION("""COMPUTED_VALUE"""),"")</f>
        <v/>
      </c>
      <c r="K144" s="36"/>
      <c r="L144" s="36"/>
    </row>
    <row r="145">
      <c r="B145" s="36"/>
      <c r="C145" s="36"/>
      <c r="D145" s="39"/>
      <c r="E145" s="39"/>
      <c r="F145" s="39"/>
      <c r="G145" s="36" t="str">
        <f>IFERROR(__xludf.DUMMYFUNCTION("""COMPUTED_VALUE"""),"")</f>
        <v/>
      </c>
      <c r="H145" s="36"/>
      <c r="I145" s="36"/>
      <c r="J145" s="36" t="str">
        <f>IFERROR(__xludf.DUMMYFUNCTION("""COMPUTED_VALUE"""),"")</f>
        <v/>
      </c>
      <c r="K145" s="36"/>
      <c r="L145" s="36"/>
    </row>
    <row r="146">
      <c r="B146" s="36"/>
      <c r="C146" s="36"/>
      <c r="D146" s="39"/>
      <c r="E146" s="39"/>
      <c r="F146" s="39"/>
      <c r="G146" s="36" t="str">
        <f>IFERROR(__xludf.DUMMYFUNCTION("""COMPUTED_VALUE"""),"")</f>
        <v/>
      </c>
      <c r="H146" s="36"/>
      <c r="I146" s="36"/>
      <c r="J146" s="36" t="str">
        <f>IFERROR(__xludf.DUMMYFUNCTION("""COMPUTED_VALUE"""),"")</f>
        <v/>
      </c>
      <c r="K146" s="36"/>
      <c r="L146" s="36"/>
    </row>
    <row r="147">
      <c r="B147" s="36"/>
      <c r="C147" s="36"/>
      <c r="D147" s="39"/>
      <c r="E147" s="39"/>
      <c r="F147" s="39"/>
      <c r="G147" s="36" t="str">
        <f>IFERROR(__xludf.DUMMYFUNCTION("""COMPUTED_VALUE"""),"")</f>
        <v/>
      </c>
      <c r="H147" s="36"/>
      <c r="I147" s="36"/>
      <c r="J147" s="36" t="str">
        <f>IFERROR(__xludf.DUMMYFUNCTION("""COMPUTED_VALUE"""),"")</f>
        <v/>
      </c>
      <c r="K147" s="36"/>
      <c r="L147" s="36"/>
    </row>
    <row r="148">
      <c r="B148" s="36"/>
      <c r="C148" s="36"/>
      <c r="D148" s="39"/>
      <c r="E148" s="39"/>
      <c r="F148" s="39"/>
      <c r="G148" s="36" t="str">
        <f>IFERROR(__xludf.DUMMYFUNCTION("""COMPUTED_VALUE"""),"")</f>
        <v/>
      </c>
      <c r="H148" s="36"/>
      <c r="I148" s="36"/>
      <c r="J148" s="36" t="str">
        <f>IFERROR(__xludf.DUMMYFUNCTION("""COMPUTED_VALUE"""),"")</f>
        <v/>
      </c>
      <c r="K148" s="36"/>
      <c r="L148" s="36"/>
    </row>
    <row r="149">
      <c r="B149" s="36"/>
      <c r="C149" s="36"/>
      <c r="D149" s="39"/>
      <c r="E149" s="39"/>
      <c r="F149" s="39"/>
      <c r="G149" s="36" t="str">
        <f>IFERROR(__xludf.DUMMYFUNCTION("""COMPUTED_VALUE"""),"")</f>
        <v/>
      </c>
      <c r="H149" s="36"/>
      <c r="I149" s="36"/>
      <c r="J149" s="36" t="str">
        <f>IFERROR(__xludf.DUMMYFUNCTION("""COMPUTED_VALUE"""),"")</f>
        <v/>
      </c>
      <c r="K149" s="36"/>
      <c r="L149" s="36"/>
    </row>
    <row r="150">
      <c r="B150" s="36"/>
      <c r="C150" s="36"/>
      <c r="D150" s="39"/>
      <c r="E150" s="39"/>
      <c r="F150" s="39"/>
      <c r="G150" s="36" t="str">
        <f>IFERROR(__xludf.DUMMYFUNCTION("""COMPUTED_VALUE"""),"")</f>
        <v/>
      </c>
      <c r="H150" s="36"/>
      <c r="I150" s="36"/>
      <c r="J150" s="36" t="str">
        <f>IFERROR(__xludf.DUMMYFUNCTION("""COMPUTED_VALUE"""),"")</f>
        <v/>
      </c>
      <c r="K150" s="36"/>
      <c r="L150" s="36"/>
    </row>
    <row r="151">
      <c r="B151" s="36"/>
      <c r="C151" s="36"/>
      <c r="D151" s="39"/>
      <c r="E151" s="39"/>
      <c r="F151" s="39"/>
      <c r="G151" s="36" t="str">
        <f>IFERROR(__xludf.DUMMYFUNCTION("""COMPUTED_VALUE"""),"")</f>
        <v/>
      </c>
      <c r="H151" s="36"/>
      <c r="I151" s="36"/>
      <c r="J151" s="36" t="str">
        <f>IFERROR(__xludf.DUMMYFUNCTION("""COMPUTED_VALUE"""),"")</f>
        <v/>
      </c>
      <c r="K151" s="36"/>
      <c r="L151" s="36"/>
    </row>
    <row r="152">
      <c r="B152" s="36"/>
      <c r="C152" s="36"/>
      <c r="D152" s="39"/>
      <c r="E152" s="39"/>
      <c r="F152" s="39"/>
      <c r="G152" s="36" t="str">
        <f>IFERROR(__xludf.DUMMYFUNCTION("""COMPUTED_VALUE"""),"")</f>
        <v/>
      </c>
      <c r="H152" s="36"/>
      <c r="I152" s="36"/>
      <c r="J152" s="36" t="str">
        <f>IFERROR(__xludf.DUMMYFUNCTION("""COMPUTED_VALUE"""),"")</f>
        <v/>
      </c>
      <c r="K152" s="36"/>
      <c r="L152" s="36"/>
    </row>
    <row r="153">
      <c r="B153" s="36"/>
      <c r="C153" s="36"/>
      <c r="D153" s="39"/>
      <c r="E153" s="39"/>
      <c r="F153" s="39"/>
      <c r="G153" s="36" t="str">
        <f>IFERROR(__xludf.DUMMYFUNCTION("""COMPUTED_VALUE"""),"")</f>
        <v/>
      </c>
      <c r="H153" s="36"/>
      <c r="I153" s="36"/>
      <c r="J153" s="36" t="str">
        <f>IFERROR(__xludf.DUMMYFUNCTION("""COMPUTED_VALUE"""),"")</f>
        <v/>
      </c>
      <c r="K153" s="36"/>
      <c r="L153" s="36"/>
    </row>
    <row r="154">
      <c r="B154" s="36"/>
      <c r="C154" s="36"/>
      <c r="D154" s="39"/>
      <c r="E154" s="39"/>
      <c r="F154" s="39"/>
      <c r="G154" s="36" t="str">
        <f>IFERROR(__xludf.DUMMYFUNCTION("""COMPUTED_VALUE"""),"")</f>
        <v/>
      </c>
      <c r="H154" s="36"/>
      <c r="I154" s="36"/>
      <c r="J154" s="36" t="str">
        <f>IFERROR(__xludf.DUMMYFUNCTION("""COMPUTED_VALUE"""),"")</f>
        <v/>
      </c>
      <c r="K154" s="36"/>
      <c r="L154" s="36"/>
    </row>
    <row r="155">
      <c r="B155" s="36"/>
      <c r="C155" s="36"/>
      <c r="D155" s="39"/>
      <c r="E155" s="39"/>
      <c r="F155" s="39"/>
      <c r="G155" s="36" t="str">
        <f>IFERROR(__xludf.DUMMYFUNCTION("""COMPUTED_VALUE"""),"")</f>
        <v/>
      </c>
      <c r="H155" s="36"/>
      <c r="I155" s="36"/>
      <c r="J155" s="36" t="str">
        <f>IFERROR(__xludf.DUMMYFUNCTION("""COMPUTED_VALUE"""),"")</f>
        <v/>
      </c>
      <c r="K155" s="36"/>
      <c r="L155" s="36"/>
    </row>
    <row r="156">
      <c r="B156" s="36"/>
      <c r="C156" s="36"/>
      <c r="D156" s="39"/>
      <c r="E156" s="39"/>
      <c r="F156" s="39"/>
      <c r="G156" s="36" t="str">
        <f>IFERROR(__xludf.DUMMYFUNCTION("""COMPUTED_VALUE"""),"")</f>
        <v/>
      </c>
      <c r="H156" s="36"/>
      <c r="I156" s="36"/>
      <c r="J156" s="36" t="str">
        <f>IFERROR(__xludf.DUMMYFUNCTION("""COMPUTED_VALUE"""),"")</f>
        <v/>
      </c>
      <c r="K156" s="36"/>
      <c r="L156" s="36"/>
    </row>
    <row r="157">
      <c r="B157" s="36"/>
      <c r="C157" s="36"/>
      <c r="D157" s="39"/>
      <c r="E157" s="39"/>
      <c r="F157" s="39"/>
      <c r="G157" s="36" t="str">
        <f>IFERROR(__xludf.DUMMYFUNCTION("""COMPUTED_VALUE"""),"")</f>
        <v/>
      </c>
      <c r="H157" s="36"/>
      <c r="I157" s="36"/>
      <c r="J157" s="36" t="str">
        <f>IFERROR(__xludf.DUMMYFUNCTION("""COMPUTED_VALUE"""),"")</f>
        <v/>
      </c>
      <c r="K157" s="36"/>
      <c r="L157" s="36"/>
    </row>
    <row r="158">
      <c r="B158" s="36"/>
      <c r="C158" s="36"/>
      <c r="D158" s="39"/>
      <c r="E158" s="39"/>
      <c r="F158" s="39"/>
      <c r="G158" s="36" t="str">
        <f>IFERROR(__xludf.DUMMYFUNCTION("""COMPUTED_VALUE"""),"")</f>
        <v/>
      </c>
      <c r="H158" s="36"/>
      <c r="I158" s="36"/>
      <c r="J158" s="36" t="str">
        <f>IFERROR(__xludf.DUMMYFUNCTION("""COMPUTED_VALUE"""),"")</f>
        <v/>
      </c>
      <c r="K158" s="36"/>
      <c r="L158" s="36"/>
    </row>
    <row r="159">
      <c r="B159" s="36"/>
      <c r="C159" s="36"/>
      <c r="D159" s="39"/>
      <c r="E159" s="39"/>
      <c r="F159" s="39"/>
      <c r="G159" s="36" t="str">
        <f>IFERROR(__xludf.DUMMYFUNCTION("""COMPUTED_VALUE"""),"")</f>
        <v/>
      </c>
      <c r="H159" s="36"/>
      <c r="I159" s="36"/>
      <c r="J159" s="36" t="str">
        <f>IFERROR(__xludf.DUMMYFUNCTION("""COMPUTED_VALUE"""),"")</f>
        <v/>
      </c>
      <c r="K159" s="36"/>
      <c r="L159" s="36"/>
    </row>
    <row r="160">
      <c r="B160" s="36"/>
      <c r="C160" s="36"/>
      <c r="D160" s="39"/>
      <c r="E160" s="39"/>
      <c r="F160" s="39"/>
      <c r="G160" s="36" t="str">
        <f>IFERROR(__xludf.DUMMYFUNCTION("""COMPUTED_VALUE"""),"")</f>
        <v/>
      </c>
      <c r="H160" s="36"/>
      <c r="I160" s="36"/>
      <c r="J160" s="36" t="str">
        <f>IFERROR(__xludf.DUMMYFUNCTION("""COMPUTED_VALUE"""),"")</f>
        <v/>
      </c>
      <c r="K160" s="36"/>
      <c r="L160" s="36"/>
    </row>
    <row r="161">
      <c r="B161" s="36"/>
      <c r="C161" s="36"/>
      <c r="D161" s="39"/>
      <c r="E161" s="39"/>
      <c r="F161" s="39"/>
      <c r="G161" s="36" t="str">
        <f>IFERROR(__xludf.DUMMYFUNCTION("""COMPUTED_VALUE"""),"")</f>
        <v/>
      </c>
      <c r="H161" s="36"/>
      <c r="I161" s="36"/>
      <c r="J161" s="36" t="str">
        <f>IFERROR(__xludf.DUMMYFUNCTION("""COMPUTED_VALUE"""),"")</f>
        <v/>
      </c>
      <c r="K161" s="36"/>
      <c r="L161" s="36"/>
    </row>
    <row r="162">
      <c r="B162" s="36"/>
      <c r="C162" s="36"/>
      <c r="D162" s="39"/>
      <c r="E162" s="39"/>
      <c r="F162" s="39"/>
      <c r="G162" s="36" t="str">
        <f>IFERROR(__xludf.DUMMYFUNCTION("""COMPUTED_VALUE"""),"")</f>
        <v/>
      </c>
      <c r="H162" s="36"/>
      <c r="I162" s="36"/>
      <c r="J162" s="36" t="str">
        <f>IFERROR(__xludf.DUMMYFUNCTION("""COMPUTED_VALUE"""),"")</f>
        <v/>
      </c>
      <c r="K162" s="36"/>
      <c r="L162" s="36"/>
    </row>
    <row r="163">
      <c r="B163" s="36"/>
      <c r="C163" s="36"/>
      <c r="D163" s="39"/>
      <c r="E163" s="39"/>
      <c r="F163" s="39"/>
      <c r="G163" s="36" t="str">
        <f>IFERROR(__xludf.DUMMYFUNCTION("""COMPUTED_VALUE"""),"")</f>
        <v/>
      </c>
      <c r="H163" s="36"/>
      <c r="I163" s="36"/>
      <c r="J163" s="36" t="str">
        <f>IFERROR(__xludf.DUMMYFUNCTION("""COMPUTED_VALUE"""),"")</f>
        <v/>
      </c>
      <c r="K163" s="36"/>
      <c r="L163" s="36"/>
    </row>
    <row r="164">
      <c r="B164" s="36"/>
      <c r="C164" s="36"/>
      <c r="D164" s="39"/>
      <c r="E164" s="39"/>
      <c r="F164" s="39"/>
      <c r="G164" s="36" t="str">
        <f>IFERROR(__xludf.DUMMYFUNCTION("""COMPUTED_VALUE"""),"")</f>
        <v/>
      </c>
      <c r="H164" s="36"/>
      <c r="I164" s="36"/>
      <c r="J164" s="36" t="str">
        <f>IFERROR(__xludf.DUMMYFUNCTION("""COMPUTED_VALUE"""),"")</f>
        <v/>
      </c>
      <c r="K164" s="36"/>
      <c r="L164" s="36"/>
    </row>
    <row r="165">
      <c r="B165" s="36"/>
      <c r="C165" s="36"/>
      <c r="D165" s="39"/>
      <c r="E165" s="39"/>
      <c r="F165" s="39"/>
      <c r="G165" s="36" t="str">
        <f>IFERROR(__xludf.DUMMYFUNCTION("""COMPUTED_VALUE"""),"")</f>
        <v/>
      </c>
      <c r="H165" s="36"/>
      <c r="I165" s="36"/>
      <c r="J165" s="36" t="str">
        <f>IFERROR(__xludf.DUMMYFUNCTION("""COMPUTED_VALUE"""),"")</f>
        <v/>
      </c>
      <c r="K165" s="36"/>
      <c r="L165" s="36"/>
    </row>
    <row r="166">
      <c r="B166" s="36"/>
      <c r="C166" s="36"/>
      <c r="D166" s="39"/>
      <c r="E166" s="39"/>
      <c r="F166" s="39"/>
      <c r="G166" s="36" t="str">
        <f>IFERROR(__xludf.DUMMYFUNCTION("""COMPUTED_VALUE"""),"")</f>
        <v/>
      </c>
      <c r="H166" s="36"/>
      <c r="I166" s="36"/>
      <c r="J166" s="36" t="str">
        <f>IFERROR(__xludf.DUMMYFUNCTION("""COMPUTED_VALUE"""),"")</f>
        <v/>
      </c>
      <c r="K166" s="36"/>
      <c r="L166" s="36"/>
    </row>
    <row r="167">
      <c r="B167" s="36"/>
      <c r="C167" s="36"/>
      <c r="D167" s="39"/>
      <c r="E167" s="39"/>
      <c r="F167" s="39"/>
      <c r="G167" s="36" t="str">
        <f>IFERROR(__xludf.DUMMYFUNCTION("""COMPUTED_VALUE"""),"")</f>
        <v/>
      </c>
      <c r="H167" s="36"/>
      <c r="I167" s="36"/>
      <c r="J167" s="36" t="str">
        <f>IFERROR(__xludf.DUMMYFUNCTION("""COMPUTED_VALUE"""),"")</f>
        <v/>
      </c>
      <c r="K167" s="36"/>
      <c r="L167" s="36"/>
    </row>
    <row r="168">
      <c r="B168" s="36"/>
      <c r="C168" s="36"/>
      <c r="D168" s="39"/>
      <c r="E168" s="39"/>
      <c r="F168" s="39"/>
      <c r="G168" s="36" t="str">
        <f>IFERROR(__xludf.DUMMYFUNCTION("""COMPUTED_VALUE"""),"")</f>
        <v/>
      </c>
      <c r="H168" s="36"/>
      <c r="I168" s="36"/>
      <c r="J168" s="36" t="str">
        <f>IFERROR(__xludf.DUMMYFUNCTION("""COMPUTED_VALUE"""),"")</f>
        <v/>
      </c>
      <c r="K168" s="36"/>
      <c r="L168" s="36"/>
    </row>
    <row r="169">
      <c r="B169" s="36"/>
      <c r="C169" s="36"/>
      <c r="D169" s="39"/>
      <c r="E169" s="39"/>
      <c r="F169" s="39"/>
      <c r="G169" s="36" t="str">
        <f>IFERROR(__xludf.DUMMYFUNCTION("""COMPUTED_VALUE"""),"")</f>
        <v/>
      </c>
      <c r="H169" s="36"/>
      <c r="I169" s="36"/>
      <c r="J169" s="36" t="str">
        <f>IFERROR(__xludf.DUMMYFUNCTION("""COMPUTED_VALUE"""),"")</f>
        <v/>
      </c>
      <c r="K169" s="36"/>
      <c r="L169" s="36"/>
    </row>
    <row r="170">
      <c r="B170" s="36"/>
      <c r="C170" s="36"/>
      <c r="D170" s="39"/>
      <c r="E170" s="39"/>
      <c r="F170" s="39"/>
      <c r="G170" s="36" t="str">
        <f>IFERROR(__xludf.DUMMYFUNCTION("""COMPUTED_VALUE"""),"")</f>
        <v/>
      </c>
      <c r="H170" s="36"/>
      <c r="I170" s="36"/>
      <c r="J170" s="36" t="str">
        <f>IFERROR(__xludf.DUMMYFUNCTION("""COMPUTED_VALUE"""),"")</f>
        <v/>
      </c>
      <c r="K170" s="36"/>
      <c r="L170" s="36"/>
    </row>
    <row r="171">
      <c r="B171" s="36"/>
      <c r="C171" s="36"/>
      <c r="D171" s="39"/>
      <c r="E171" s="39"/>
      <c r="F171" s="39"/>
      <c r="G171" s="36" t="str">
        <f>IFERROR(__xludf.DUMMYFUNCTION("""COMPUTED_VALUE"""),"")</f>
        <v/>
      </c>
      <c r="H171" s="36"/>
      <c r="I171" s="36"/>
      <c r="J171" s="36" t="str">
        <f>IFERROR(__xludf.DUMMYFUNCTION("""COMPUTED_VALUE"""),"")</f>
        <v/>
      </c>
      <c r="K171" s="36"/>
      <c r="L171" s="36"/>
    </row>
    <row r="172">
      <c r="B172" s="36"/>
      <c r="C172" s="36"/>
      <c r="D172" s="39"/>
      <c r="E172" s="39"/>
      <c r="F172" s="39"/>
      <c r="G172" s="36" t="str">
        <f>IFERROR(__xludf.DUMMYFUNCTION("""COMPUTED_VALUE"""),"")</f>
        <v/>
      </c>
      <c r="H172" s="36"/>
      <c r="I172" s="36"/>
      <c r="J172" s="36" t="str">
        <f>IFERROR(__xludf.DUMMYFUNCTION("""COMPUTED_VALUE"""),"")</f>
        <v/>
      </c>
      <c r="K172" s="36"/>
      <c r="L172" s="36"/>
    </row>
    <row r="173">
      <c r="B173" s="36"/>
      <c r="C173" s="36"/>
      <c r="D173" s="39"/>
      <c r="E173" s="39"/>
      <c r="F173" s="39"/>
      <c r="G173" s="36" t="str">
        <f>IFERROR(__xludf.DUMMYFUNCTION("""COMPUTED_VALUE"""),"")</f>
        <v/>
      </c>
      <c r="H173" s="36"/>
      <c r="I173" s="36"/>
      <c r="J173" s="36" t="str">
        <f>IFERROR(__xludf.DUMMYFUNCTION("""COMPUTED_VALUE"""),"")</f>
        <v/>
      </c>
      <c r="K173" s="36"/>
      <c r="L173" s="36"/>
    </row>
    <row r="174">
      <c r="B174" s="36"/>
      <c r="C174" s="36"/>
      <c r="D174" s="39"/>
      <c r="E174" s="39"/>
      <c r="F174" s="39"/>
      <c r="G174" s="36" t="str">
        <f>IFERROR(__xludf.DUMMYFUNCTION("""COMPUTED_VALUE"""),"")</f>
        <v/>
      </c>
      <c r="H174" s="36"/>
      <c r="I174" s="36"/>
      <c r="J174" s="36" t="str">
        <f>IFERROR(__xludf.DUMMYFUNCTION("""COMPUTED_VALUE"""),"")</f>
        <v/>
      </c>
      <c r="K174" s="36"/>
      <c r="L174" s="36"/>
    </row>
    <row r="175">
      <c r="B175" s="36"/>
      <c r="C175" s="36"/>
      <c r="D175" s="39"/>
      <c r="E175" s="39"/>
      <c r="F175" s="39"/>
      <c r="G175" s="36" t="str">
        <f>IFERROR(__xludf.DUMMYFUNCTION("""COMPUTED_VALUE"""),"")</f>
        <v/>
      </c>
      <c r="H175" s="36"/>
      <c r="I175" s="36"/>
      <c r="J175" s="36" t="str">
        <f>IFERROR(__xludf.DUMMYFUNCTION("""COMPUTED_VALUE"""),"")</f>
        <v/>
      </c>
      <c r="K175" s="36"/>
      <c r="L175" s="36"/>
    </row>
    <row r="176">
      <c r="B176" s="36"/>
      <c r="C176" s="36"/>
      <c r="D176" s="39"/>
      <c r="E176" s="39"/>
      <c r="F176" s="39"/>
      <c r="G176" s="36" t="str">
        <f>IFERROR(__xludf.DUMMYFUNCTION("""COMPUTED_VALUE"""),"")</f>
        <v/>
      </c>
      <c r="H176" s="36"/>
      <c r="I176" s="36"/>
      <c r="J176" s="36" t="str">
        <f>IFERROR(__xludf.DUMMYFUNCTION("""COMPUTED_VALUE"""),"")</f>
        <v/>
      </c>
      <c r="K176" s="36"/>
      <c r="L176" s="36"/>
    </row>
    <row r="177">
      <c r="B177" s="36"/>
      <c r="C177" s="36"/>
      <c r="D177" s="39"/>
      <c r="E177" s="39"/>
      <c r="F177" s="39"/>
      <c r="G177" s="36" t="str">
        <f>IFERROR(__xludf.DUMMYFUNCTION("""COMPUTED_VALUE"""),"")</f>
        <v/>
      </c>
      <c r="H177" s="36"/>
      <c r="I177" s="36"/>
      <c r="J177" s="36" t="str">
        <f>IFERROR(__xludf.DUMMYFUNCTION("""COMPUTED_VALUE"""),"")</f>
        <v/>
      </c>
      <c r="K177" s="36"/>
      <c r="L177" s="36"/>
    </row>
    <row r="178">
      <c r="B178" s="36"/>
      <c r="C178" s="36"/>
      <c r="D178" s="39"/>
      <c r="E178" s="39"/>
      <c r="F178" s="39"/>
      <c r="G178" s="36" t="str">
        <f>IFERROR(__xludf.DUMMYFUNCTION("""COMPUTED_VALUE"""),"")</f>
        <v/>
      </c>
      <c r="H178" s="36"/>
      <c r="I178" s="36"/>
      <c r="J178" s="36" t="str">
        <f>IFERROR(__xludf.DUMMYFUNCTION("""COMPUTED_VALUE"""),"")</f>
        <v/>
      </c>
      <c r="K178" s="36"/>
      <c r="L178" s="36"/>
    </row>
    <row r="179">
      <c r="B179" s="36"/>
      <c r="C179" s="36"/>
      <c r="D179" s="39"/>
      <c r="E179" s="39"/>
      <c r="F179" s="39"/>
      <c r="G179" s="36" t="str">
        <f>IFERROR(__xludf.DUMMYFUNCTION("""COMPUTED_VALUE"""),"")</f>
        <v/>
      </c>
      <c r="H179" s="36"/>
      <c r="I179" s="36"/>
      <c r="J179" s="36" t="str">
        <f>IFERROR(__xludf.DUMMYFUNCTION("""COMPUTED_VALUE"""),"")</f>
        <v/>
      </c>
      <c r="K179" s="36"/>
      <c r="L179" s="36"/>
    </row>
    <row r="180">
      <c r="B180" s="36"/>
      <c r="C180" s="36"/>
      <c r="D180" s="39"/>
      <c r="E180" s="39"/>
      <c r="F180" s="39"/>
      <c r="G180" s="36" t="str">
        <f>IFERROR(__xludf.DUMMYFUNCTION("""COMPUTED_VALUE"""),"")</f>
        <v/>
      </c>
      <c r="H180" s="36"/>
      <c r="I180" s="36"/>
      <c r="J180" s="36" t="str">
        <f>IFERROR(__xludf.DUMMYFUNCTION("""COMPUTED_VALUE"""),"")</f>
        <v/>
      </c>
      <c r="K180" s="36"/>
      <c r="L180" s="36"/>
    </row>
    <row r="181">
      <c r="B181" s="36"/>
      <c r="C181" s="36"/>
      <c r="D181" s="39"/>
      <c r="E181" s="39"/>
      <c r="F181" s="39"/>
      <c r="G181" s="36" t="str">
        <f>IFERROR(__xludf.DUMMYFUNCTION("""COMPUTED_VALUE"""),"")</f>
        <v/>
      </c>
      <c r="H181" s="36"/>
      <c r="I181" s="36"/>
      <c r="J181" s="36" t="str">
        <f>IFERROR(__xludf.DUMMYFUNCTION("""COMPUTED_VALUE"""),"")</f>
        <v/>
      </c>
      <c r="K181" s="36"/>
      <c r="L181" s="36"/>
    </row>
    <row r="182">
      <c r="B182" s="36"/>
      <c r="C182" s="36"/>
      <c r="D182" s="39"/>
      <c r="E182" s="39"/>
      <c r="F182" s="39"/>
      <c r="G182" s="36" t="str">
        <f>IFERROR(__xludf.DUMMYFUNCTION("""COMPUTED_VALUE"""),"")</f>
        <v/>
      </c>
      <c r="H182" s="36"/>
      <c r="I182" s="36"/>
      <c r="J182" s="36" t="str">
        <f>IFERROR(__xludf.DUMMYFUNCTION("""COMPUTED_VALUE"""),"")</f>
        <v/>
      </c>
      <c r="K182" s="36"/>
      <c r="L182" s="36"/>
    </row>
    <row r="183">
      <c r="B183" s="36"/>
      <c r="C183" s="36"/>
      <c r="D183" s="39"/>
      <c r="E183" s="39"/>
      <c r="F183" s="39"/>
      <c r="G183" s="36" t="str">
        <f>IFERROR(__xludf.DUMMYFUNCTION("""COMPUTED_VALUE"""),"")</f>
        <v/>
      </c>
      <c r="H183" s="36"/>
      <c r="I183" s="36"/>
      <c r="J183" s="36" t="str">
        <f>IFERROR(__xludf.DUMMYFUNCTION("""COMPUTED_VALUE"""),"")</f>
        <v/>
      </c>
      <c r="K183" s="36"/>
      <c r="L183" s="36"/>
    </row>
    <row r="184">
      <c r="B184" s="36"/>
      <c r="C184" s="36"/>
      <c r="D184" s="39"/>
      <c r="E184" s="39"/>
      <c r="F184" s="39"/>
      <c r="G184" s="36" t="str">
        <f>IFERROR(__xludf.DUMMYFUNCTION("""COMPUTED_VALUE"""),"")</f>
        <v/>
      </c>
      <c r="H184" s="36"/>
      <c r="I184" s="36"/>
      <c r="J184" s="36" t="str">
        <f>IFERROR(__xludf.DUMMYFUNCTION("""COMPUTED_VALUE"""),"")</f>
        <v/>
      </c>
      <c r="K184" s="36"/>
      <c r="L184" s="36"/>
    </row>
    <row r="185">
      <c r="B185" s="36"/>
      <c r="C185" s="36"/>
      <c r="D185" s="39"/>
      <c r="E185" s="39"/>
      <c r="F185" s="39"/>
      <c r="G185" s="36" t="str">
        <f>IFERROR(__xludf.DUMMYFUNCTION("""COMPUTED_VALUE"""),"")</f>
        <v/>
      </c>
      <c r="H185" s="36"/>
      <c r="I185" s="36"/>
      <c r="J185" s="36" t="str">
        <f>IFERROR(__xludf.DUMMYFUNCTION("""COMPUTED_VALUE"""),"")</f>
        <v/>
      </c>
      <c r="K185" s="36"/>
      <c r="L185" s="36"/>
    </row>
    <row r="186">
      <c r="B186" s="36"/>
      <c r="C186" s="36"/>
      <c r="D186" s="39"/>
      <c r="E186" s="39"/>
      <c r="F186" s="39"/>
      <c r="G186" s="36" t="str">
        <f>IFERROR(__xludf.DUMMYFUNCTION("""COMPUTED_VALUE"""),"")</f>
        <v/>
      </c>
      <c r="H186" s="36"/>
      <c r="I186" s="36"/>
      <c r="J186" s="36" t="str">
        <f>IFERROR(__xludf.DUMMYFUNCTION("""COMPUTED_VALUE"""),"")</f>
        <v/>
      </c>
      <c r="K186" s="36"/>
      <c r="L186" s="36"/>
    </row>
    <row r="187">
      <c r="B187" s="36"/>
      <c r="C187" s="36"/>
      <c r="D187" s="39"/>
      <c r="E187" s="39"/>
      <c r="F187" s="39"/>
      <c r="G187" s="36" t="str">
        <f>IFERROR(__xludf.DUMMYFUNCTION("""COMPUTED_VALUE"""),"")</f>
        <v/>
      </c>
      <c r="H187" s="36"/>
      <c r="I187" s="36"/>
      <c r="J187" s="36" t="str">
        <f>IFERROR(__xludf.DUMMYFUNCTION("""COMPUTED_VALUE"""),"")</f>
        <v/>
      </c>
      <c r="K187" s="36"/>
      <c r="L187" s="36"/>
    </row>
    <row r="188">
      <c r="B188" s="36"/>
      <c r="C188" s="36"/>
      <c r="D188" s="39"/>
      <c r="E188" s="39"/>
      <c r="F188" s="39"/>
      <c r="G188" s="36" t="str">
        <f>IFERROR(__xludf.DUMMYFUNCTION("""COMPUTED_VALUE"""),"")</f>
        <v/>
      </c>
      <c r="H188" s="36"/>
      <c r="I188" s="36"/>
      <c r="J188" s="36" t="str">
        <f>IFERROR(__xludf.DUMMYFUNCTION("""COMPUTED_VALUE"""),"")</f>
        <v/>
      </c>
      <c r="K188" s="36"/>
      <c r="L188" s="36"/>
    </row>
    <row r="189">
      <c r="B189" s="36"/>
      <c r="C189" s="36"/>
      <c r="D189" s="39"/>
      <c r="E189" s="39"/>
      <c r="F189" s="39"/>
      <c r="G189" s="36" t="str">
        <f>IFERROR(__xludf.DUMMYFUNCTION("""COMPUTED_VALUE"""),"")</f>
        <v/>
      </c>
      <c r="H189" s="36"/>
      <c r="I189" s="36"/>
      <c r="J189" s="36" t="str">
        <f>IFERROR(__xludf.DUMMYFUNCTION("""COMPUTED_VALUE"""),"")</f>
        <v/>
      </c>
      <c r="K189" s="36"/>
      <c r="L189" s="36"/>
    </row>
    <row r="190">
      <c r="B190" s="36"/>
      <c r="C190" s="36"/>
      <c r="D190" s="39"/>
      <c r="E190" s="39"/>
      <c r="F190" s="39"/>
      <c r="G190" s="36" t="str">
        <f>IFERROR(__xludf.DUMMYFUNCTION("""COMPUTED_VALUE"""),"")</f>
        <v/>
      </c>
      <c r="H190" s="36"/>
      <c r="I190" s="36"/>
      <c r="J190" s="36" t="str">
        <f>IFERROR(__xludf.DUMMYFUNCTION("""COMPUTED_VALUE"""),"")</f>
        <v/>
      </c>
      <c r="K190" s="36"/>
      <c r="L190" s="36"/>
    </row>
    <row r="191">
      <c r="B191" s="36"/>
      <c r="C191" s="36"/>
      <c r="D191" s="39"/>
      <c r="E191" s="39"/>
      <c r="F191" s="39"/>
      <c r="G191" s="36" t="str">
        <f>IFERROR(__xludf.DUMMYFUNCTION("""COMPUTED_VALUE"""),"")</f>
        <v/>
      </c>
      <c r="H191" s="36"/>
      <c r="I191" s="36"/>
      <c r="J191" s="36" t="str">
        <f>IFERROR(__xludf.DUMMYFUNCTION("""COMPUTED_VALUE"""),"")</f>
        <v/>
      </c>
      <c r="K191" s="36"/>
      <c r="L191" s="36"/>
    </row>
    <row r="192">
      <c r="B192" s="36"/>
      <c r="C192" s="36"/>
      <c r="D192" s="39"/>
      <c r="E192" s="39"/>
      <c r="F192" s="39"/>
      <c r="G192" s="36" t="str">
        <f>IFERROR(__xludf.DUMMYFUNCTION("""COMPUTED_VALUE"""),"")</f>
        <v/>
      </c>
      <c r="H192" s="36"/>
      <c r="I192" s="36"/>
      <c r="J192" s="36" t="str">
        <f>IFERROR(__xludf.DUMMYFUNCTION("""COMPUTED_VALUE"""),"")</f>
        <v/>
      </c>
      <c r="K192" s="36"/>
      <c r="L192" s="36"/>
    </row>
    <row r="193">
      <c r="B193" s="36"/>
      <c r="C193" s="36"/>
      <c r="D193" s="39"/>
      <c r="E193" s="39"/>
      <c r="F193" s="39"/>
      <c r="G193" s="36" t="str">
        <f>IFERROR(__xludf.DUMMYFUNCTION("""COMPUTED_VALUE"""),"")</f>
        <v/>
      </c>
      <c r="H193" s="36"/>
      <c r="I193" s="36"/>
      <c r="J193" s="36" t="str">
        <f>IFERROR(__xludf.DUMMYFUNCTION("""COMPUTED_VALUE"""),"")</f>
        <v/>
      </c>
      <c r="K193" s="36"/>
      <c r="L193" s="36"/>
    </row>
    <row r="194">
      <c r="D194" s="39"/>
      <c r="E194" s="39"/>
      <c r="F194" s="39"/>
    </row>
    <row r="195">
      <c r="D195" s="39"/>
      <c r="E195" s="39"/>
      <c r="F195" s="39"/>
    </row>
    <row r="196">
      <c r="D196" s="39"/>
      <c r="E196" s="39"/>
      <c r="F196" s="39"/>
    </row>
    <row r="197">
      <c r="D197" s="39"/>
      <c r="E197" s="39"/>
      <c r="F197" s="39"/>
    </row>
    <row r="198">
      <c r="D198" s="39"/>
      <c r="E198" s="39"/>
      <c r="F198" s="39"/>
    </row>
    <row r="199">
      <c r="D199" s="39"/>
      <c r="E199" s="39"/>
      <c r="F199" s="39"/>
    </row>
    <row r="200">
      <c r="D200" s="39"/>
      <c r="E200" s="39"/>
      <c r="F200" s="39"/>
    </row>
    <row r="201">
      <c r="D201" s="39"/>
      <c r="E201" s="39"/>
      <c r="F201" s="39"/>
    </row>
    <row r="202">
      <c r="D202" s="39"/>
      <c r="E202" s="39"/>
      <c r="F202" s="39"/>
    </row>
    <row r="203">
      <c r="D203" s="39"/>
      <c r="E203" s="39"/>
      <c r="F203" s="39"/>
    </row>
    <row r="204">
      <c r="D204" s="39"/>
      <c r="E204" s="39"/>
      <c r="F204" s="39"/>
    </row>
    <row r="205">
      <c r="D205" s="39"/>
      <c r="E205" s="39"/>
      <c r="F205" s="39"/>
    </row>
    <row r="206">
      <c r="D206" s="39"/>
      <c r="E206" s="39"/>
      <c r="F206" s="39"/>
    </row>
    <row r="207">
      <c r="D207" s="39"/>
      <c r="E207" s="39"/>
      <c r="F207" s="39"/>
    </row>
    <row r="208">
      <c r="D208" s="39"/>
      <c r="E208" s="39"/>
      <c r="F208" s="39"/>
    </row>
    <row r="209">
      <c r="D209" s="39"/>
      <c r="E209" s="39"/>
      <c r="F209" s="39"/>
    </row>
    <row r="210">
      <c r="D210" s="39"/>
      <c r="E210" s="39"/>
      <c r="F210" s="39"/>
    </row>
    <row r="211">
      <c r="D211" s="39"/>
      <c r="E211" s="39"/>
      <c r="F211" s="39"/>
    </row>
    <row r="212">
      <c r="D212" s="39"/>
      <c r="E212" s="39"/>
      <c r="F212" s="39"/>
    </row>
    <row r="213">
      <c r="D213" s="39"/>
      <c r="E213" s="39"/>
      <c r="F213" s="39"/>
    </row>
    <row r="214">
      <c r="D214" s="39"/>
      <c r="E214" s="39"/>
      <c r="F214" s="39"/>
    </row>
    <row r="215">
      <c r="D215" s="39"/>
      <c r="E215" s="39"/>
      <c r="F215" s="39"/>
    </row>
    <row r="216">
      <c r="D216" s="39"/>
      <c r="E216" s="39"/>
      <c r="F216" s="39"/>
    </row>
    <row r="217">
      <c r="D217" s="39"/>
      <c r="E217" s="39"/>
      <c r="F217" s="39"/>
    </row>
    <row r="218">
      <c r="D218" s="39"/>
      <c r="E218" s="39"/>
      <c r="F218" s="39"/>
    </row>
    <row r="219">
      <c r="D219" s="39"/>
      <c r="E219" s="39"/>
      <c r="F219" s="39"/>
    </row>
    <row r="220">
      <c r="D220" s="39"/>
      <c r="E220" s="39"/>
      <c r="F220" s="39"/>
    </row>
    <row r="221">
      <c r="D221" s="39"/>
      <c r="E221" s="39"/>
      <c r="F221" s="39"/>
    </row>
    <row r="222">
      <c r="D222" s="39"/>
      <c r="E222" s="39"/>
      <c r="F222" s="39"/>
    </row>
    <row r="223">
      <c r="D223" s="39"/>
      <c r="E223" s="39"/>
      <c r="F223" s="39"/>
    </row>
    <row r="224">
      <c r="D224" s="39"/>
      <c r="E224" s="39"/>
      <c r="F224" s="39"/>
    </row>
    <row r="225">
      <c r="D225" s="39"/>
      <c r="E225" s="39"/>
      <c r="F225" s="39"/>
    </row>
    <row r="226">
      <c r="D226" s="39"/>
      <c r="E226" s="39"/>
      <c r="F226" s="39"/>
    </row>
    <row r="227">
      <c r="D227" s="39"/>
      <c r="E227" s="39"/>
      <c r="F227" s="39"/>
    </row>
    <row r="228">
      <c r="D228" s="39"/>
      <c r="E228" s="39"/>
      <c r="F228" s="39"/>
    </row>
    <row r="229">
      <c r="D229" s="39"/>
      <c r="E229" s="39"/>
      <c r="F229" s="39"/>
    </row>
    <row r="230">
      <c r="D230" s="39"/>
      <c r="E230" s="39"/>
      <c r="F230" s="39"/>
    </row>
    <row r="231">
      <c r="D231" s="39"/>
      <c r="E231" s="39"/>
      <c r="F231" s="39"/>
    </row>
    <row r="232">
      <c r="D232" s="39"/>
      <c r="E232" s="39"/>
      <c r="F232" s="39"/>
    </row>
    <row r="233">
      <c r="D233" s="39"/>
      <c r="E233" s="39"/>
      <c r="F233" s="39"/>
    </row>
    <row r="234">
      <c r="D234" s="39"/>
      <c r="E234" s="39"/>
      <c r="F234" s="39"/>
    </row>
    <row r="235">
      <c r="D235" s="39"/>
      <c r="E235" s="39"/>
      <c r="F235" s="39"/>
    </row>
    <row r="236">
      <c r="D236" s="39"/>
      <c r="E236" s="39"/>
      <c r="F236" s="39"/>
    </row>
    <row r="237">
      <c r="D237" s="39"/>
      <c r="E237" s="39"/>
      <c r="F237" s="39"/>
    </row>
    <row r="238">
      <c r="D238" s="39"/>
      <c r="E238" s="39"/>
      <c r="F238" s="39"/>
    </row>
    <row r="239">
      <c r="D239" s="39"/>
      <c r="E239" s="39"/>
      <c r="F239" s="39"/>
    </row>
    <row r="240">
      <c r="D240" s="39"/>
      <c r="E240" s="39"/>
      <c r="F240" s="39"/>
    </row>
    <row r="241">
      <c r="D241" s="39"/>
      <c r="E241" s="39"/>
      <c r="F241" s="39"/>
    </row>
    <row r="242">
      <c r="D242" s="39"/>
      <c r="E242" s="39"/>
      <c r="F242" s="39"/>
    </row>
    <row r="243">
      <c r="D243" s="39"/>
      <c r="E243" s="39"/>
      <c r="F243" s="39"/>
    </row>
    <row r="244">
      <c r="D244" s="39"/>
      <c r="E244" s="39"/>
      <c r="F244" s="39"/>
    </row>
    <row r="245">
      <c r="D245" s="39"/>
      <c r="E245" s="39"/>
      <c r="F245" s="39"/>
    </row>
    <row r="246">
      <c r="D246" s="39"/>
      <c r="E246" s="39"/>
      <c r="F246" s="39"/>
    </row>
    <row r="247">
      <c r="D247" s="39"/>
      <c r="E247" s="39"/>
      <c r="F247" s="39"/>
    </row>
    <row r="248">
      <c r="D248" s="39"/>
      <c r="E248" s="39"/>
      <c r="F248" s="39"/>
    </row>
    <row r="249">
      <c r="D249" s="39"/>
      <c r="E249" s="39"/>
      <c r="F249" s="39"/>
    </row>
    <row r="250">
      <c r="D250" s="39"/>
      <c r="E250" s="39"/>
      <c r="F250" s="39"/>
    </row>
    <row r="251">
      <c r="D251" s="39"/>
      <c r="E251" s="39"/>
      <c r="F251" s="39"/>
    </row>
    <row r="252">
      <c r="D252" s="39"/>
      <c r="E252" s="39"/>
      <c r="F252" s="39"/>
    </row>
    <row r="253">
      <c r="D253" s="39"/>
      <c r="E253" s="39"/>
      <c r="F253" s="39"/>
    </row>
    <row r="254">
      <c r="D254" s="39"/>
      <c r="E254" s="39"/>
      <c r="F254" s="39"/>
    </row>
    <row r="255">
      <c r="D255" s="39"/>
      <c r="E255" s="39"/>
      <c r="F255" s="39"/>
    </row>
    <row r="256">
      <c r="D256" s="39"/>
      <c r="E256" s="39"/>
      <c r="F256" s="39"/>
    </row>
    <row r="257">
      <c r="D257" s="39"/>
      <c r="E257" s="39"/>
      <c r="F257" s="39"/>
    </row>
    <row r="258">
      <c r="D258" s="39"/>
      <c r="E258" s="39"/>
      <c r="F258" s="39"/>
    </row>
    <row r="259">
      <c r="D259" s="39"/>
      <c r="E259" s="39"/>
      <c r="F259" s="39"/>
    </row>
    <row r="260">
      <c r="D260" s="39"/>
      <c r="E260" s="39"/>
      <c r="F260" s="39"/>
    </row>
    <row r="261">
      <c r="D261" s="39"/>
      <c r="E261" s="39"/>
      <c r="F261" s="39"/>
    </row>
    <row r="262">
      <c r="D262" s="39"/>
      <c r="E262" s="39"/>
      <c r="F262" s="39"/>
    </row>
    <row r="263">
      <c r="D263" s="39"/>
      <c r="E263" s="39"/>
      <c r="F263" s="39"/>
    </row>
    <row r="264">
      <c r="D264" s="39"/>
      <c r="E264" s="39"/>
      <c r="F264" s="39"/>
    </row>
    <row r="265">
      <c r="D265" s="39"/>
      <c r="E265" s="39"/>
      <c r="F265" s="39"/>
    </row>
    <row r="266">
      <c r="D266" s="39"/>
      <c r="E266" s="39"/>
      <c r="F266" s="39"/>
    </row>
    <row r="267">
      <c r="D267" s="39"/>
      <c r="E267" s="39"/>
      <c r="F267" s="39"/>
    </row>
    <row r="268">
      <c r="D268" s="39"/>
      <c r="E268" s="39"/>
      <c r="F268" s="39"/>
    </row>
    <row r="269">
      <c r="D269" s="39"/>
      <c r="E269" s="39"/>
      <c r="F269" s="39"/>
    </row>
    <row r="270">
      <c r="D270" s="39"/>
      <c r="E270" s="39"/>
      <c r="F270" s="39"/>
    </row>
    <row r="271">
      <c r="D271" s="39"/>
      <c r="E271" s="39"/>
      <c r="F271" s="39"/>
    </row>
    <row r="272">
      <c r="D272" s="39"/>
      <c r="E272" s="39"/>
      <c r="F272" s="39"/>
    </row>
    <row r="273">
      <c r="D273" s="39"/>
      <c r="E273" s="39"/>
      <c r="F273" s="39"/>
    </row>
    <row r="274">
      <c r="D274" s="39"/>
      <c r="E274" s="39"/>
      <c r="F274" s="39"/>
    </row>
    <row r="275">
      <c r="D275" s="39"/>
      <c r="E275" s="39"/>
      <c r="F275" s="39"/>
    </row>
    <row r="276">
      <c r="D276" s="39"/>
      <c r="E276" s="39"/>
      <c r="F276" s="39"/>
    </row>
    <row r="277">
      <c r="D277" s="39"/>
      <c r="E277" s="39"/>
      <c r="F277" s="39"/>
    </row>
    <row r="278">
      <c r="D278" s="39"/>
      <c r="E278" s="39"/>
      <c r="F278" s="39"/>
    </row>
    <row r="279">
      <c r="D279" s="39"/>
      <c r="E279" s="39"/>
      <c r="F279" s="39"/>
    </row>
    <row r="280">
      <c r="D280" s="39"/>
      <c r="E280" s="39"/>
      <c r="F280" s="39"/>
    </row>
    <row r="281">
      <c r="D281" s="39"/>
      <c r="E281" s="39"/>
      <c r="F281" s="39"/>
    </row>
    <row r="282">
      <c r="D282" s="39"/>
      <c r="E282" s="39"/>
      <c r="F282" s="39"/>
    </row>
    <row r="283">
      <c r="D283" s="39"/>
      <c r="E283" s="39"/>
      <c r="F283" s="39"/>
    </row>
    <row r="284">
      <c r="D284" s="39"/>
      <c r="E284" s="39"/>
      <c r="F284" s="39"/>
    </row>
    <row r="285">
      <c r="D285" s="39"/>
      <c r="E285" s="39"/>
      <c r="F285" s="39"/>
    </row>
    <row r="286">
      <c r="D286" s="39"/>
      <c r="E286" s="39"/>
      <c r="F286" s="39"/>
    </row>
    <row r="287">
      <c r="D287" s="39"/>
      <c r="E287" s="39"/>
      <c r="F287" s="39"/>
    </row>
    <row r="288">
      <c r="D288" s="39"/>
      <c r="E288" s="39"/>
      <c r="F288" s="39"/>
    </row>
    <row r="289">
      <c r="D289" s="39"/>
      <c r="E289" s="39"/>
      <c r="F289" s="39"/>
    </row>
    <row r="290">
      <c r="D290" s="39"/>
      <c r="E290" s="39"/>
      <c r="F290" s="39"/>
    </row>
    <row r="291">
      <c r="D291" s="39"/>
      <c r="E291" s="39"/>
      <c r="F291" s="39"/>
    </row>
    <row r="292">
      <c r="D292" s="39"/>
      <c r="E292" s="39"/>
      <c r="F292" s="39"/>
    </row>
    <row r="293">
      <c r="D293" s="39"/>
      <c r="E293" s="39"/>
      <c r="F293" s="39"/>
    </row>
    <row r="294">
      <c r="D294" s="39"/>
      <c r="E294" s="39"/>
      <c r="F294" s="39"/>
    </row>
    <row r="295">
      <c r="D295" s="39"/>
      <c r="E295" s="39"/>
      <c r="F295" s="39"/>
    </row>
    <row r="296">
      <c r="D296" s="39"/>
      <c r="E296" s="39"/>
      <c r="F296" s="39"/>
    </row>
    <row r="297">
      <c r="D297" s="39"/>
      <c r="E297" s="39"/>
      <c r="F297" s="39"/>
    </row>
    <row r="298">
      <c r="D298" s="39"/>
      <c r="E298" s="39"/>
      <c r="F298" s="39"/>
    </row>
    <row r="299">
      <c r="D299" s="39"/>
      <c r="E299" s="39"/>
      <c r="F299" s="39"/>
    </row>
    <row r="300">
      <c r="D300" s="39"/>
      <c r="E300" s="39"/>
      <c r="F300" s="39"/>
    </row>
    <row r="301">
      <c r="D301" s="39"/>
      <c r="E301" s="39"/>
      <c r="F301" s="39"/>
    </row>
    <row r="302">
      <c r="D302" s="39"/>
      <c r="E302" s="39"/>
      <c r="F302" s="39"/>
    </row>
    <row r="303">
      <c r="D303" s="39"/>
      <c r="E303" s="39"/>
      <c r="F303" s="39"/>
    </row>
    <row r="304">
      <c r="D304" s="39"/>
      <c r="E304" s="39"/>
      <c r="F304" s="39"/>
    </row>
    <row r="305">
      <c r="D305" s="39"/>
      <c r="E305" s="39"/>
      <c r="F305" s="39"/>
    </row>
    <row r="306">
      <c r="D306" s="39"/>
      <c r="E306" s="39"/>
      <c r="F306" s="39"/>
    </row>
    <row r="307">
      <c r="D307" s="39"/>
      <c r="E307" s="39"/>
      <c r="F307" s="39"/>
    </row>
    <row r="308">
      <c r="D308" s="39"/>
      <c r="E308" s="39"/>
      <c r="F308" s="39"/>
    </row>
    <row r="309">
      <c r="D309" s="39"/>
      <c r="E309" s="39"/>
      <c r="F309" s="39"/>
    </row>
    <row r="310">
      <c r="D310" s="39"/>
      <c r="E310" s="39"/>
      <c r="F310" s="39"/>
    </row>
    <row r="311">
      <c r="D311" s="39"/>
      <c r="E311" s="39"/>
      <c r="F311" s="39"/>
    </row>
    <row r="312">
      <c r="D312" s="39"/>
      <c r="E312" s="39"/>
      <c r="F312" s="39"/>
    </row>
    <row r="313">
      <c r="D313" s="39"/>
      <c r="E313" s="39"/>
      <c r="F313" s="39"/>
    </row>
    <row r="314">
      <c r="D314" s="39"/>
      <c r="E314" s="39"/>
      <c r="F314" s="39"/>
    </row>
    <row r="315">
      <c r="D315" s="39"/>
      <c r="E315" s="39"/>
      <c r="F315" s="39"/>
    </row>
    <row r="316">
      <c r="D316" s="39"/>
      <c r="E316" s="39"/>
      <c r="F316" s="39"/>
    </row>
    <row r="317">
      <c r="D317" s="39"/>
      <c r="E317" s="39"/>
      <c r="F317" s="39"/>
    </row>
    <row r="318">
      <c r="D318" s="39"/>
      <c r="E318" s="39"/>
      <c r="F318" s="39"/>
    </row>
    <row r="319">
      <c r="D319" s="39"/>
      <c r="E319" s="39"/>
      <c r="F319" s="39"/>
    </row>
    <row r="320">
      <c r="D320" s="39"/>
      <c r="E320" s="39"/>
      <c r="F320" s="39"/>
    </row>
    <row r="321">
      <c r="D321" s="39"/>
      <c r="E321" s="39"/>
      <c r="F321" s="39"/>
    </row>
    <row r="322">
      <c r="D322" s="39"/>
      <c r="E322" s="39"/>
      <c r="F322" s="39"/>
    </row>
    <row r="323">
      <c r="D323" s="39"/>
      <c r="E323" s="39"/>
      <c r="F323" s="39"/>
    </row>
    <row r="324">
      <c r="D324" s="39"/>
      <c r="E324" s="39"/>
      <c r="F324" s="39"/>
    </row>
    <row r="325">
      <c r="D325" s="39"/>
      <c r="E325" s="39"/>
      <c r="F325" s="39"/>
    </row>
    <row r="326">
      <c r="D326" s="39"/>
      <c r="E326" s="39"/>
      <c r="F326" s="39"/>
    </row>
    <row r="327">
      <c r="D327" s="39"/>
      <c r="E327" s="39"/>
      <c r="F327" s="39"/>
    </row>
    <row r="328">
      <c r="D328" s="39"/>
      <c r="E328" s="39"/>
      <c r="F328" s="39"/>
    </row>
    <row r="329">
      <c r="D329" s="39"/>
      <c r="E329" s="39"/>
      <c r="F329" s="39"/>
    </row>
    <row r="330">
      <c r="D330" s="39"/>
      <c r="E330" s="39"/>
      <c r="F330" s="39"/>
    </row>
    <row r="331">
      <c r="D331" s="39"/>
      <c r="E331" s="39"/>
      <c r="F331" s="39"/>
    </row>
    <row r="332">
      <c r="D332" s="39"/>
      <c r="E332" s="39"/>
      <c r="F332" s="39"/>
    </row>
    <row r="333">
      <c r="D333" s="39"/>
      <c r="E333" s="39"/>
      <c r="F333" s="39"/>
    </row>
    <row r="334">
      <c r="D334" s="39"/>
      <c r="E334" s="39"/>
      <c r="F334" s="39"/>
    </row>
    <row r="335">
      <c r="D335" s="39"/>
      <c r="E335" s="39"/>
      <c r="F335" s="39"/>
    </row>
    <row r="336">
      <c r="D336" s="39"/>
      <c r="E336" s="39"/>
      <c r="F336" s="39"/>
    </row>
    <row r="337">
      <c r="D337" s="39"/>
      <c r="E337" s="39"/>
      <c r="F337" s="39"/>
    </row>
    <row r="338">
      <c r="D338" s="39"/>
      <c r="E338" s="39"/>
      <c r="F338" s="39"/>
    </row>
    <row r="339">
      <c r="D339" s="39"/>
      <c r="E339" s="39"/>
      <c r="F339" s="39"/>
    </row>
    <row r="340">
      <c r="D340" s="39"/>
      <c r="E340" s="39"/>
      <c r="F340" s="39"/>
    </row>
    <row r="341">
      <c r="D341" s="39"/>
      <c r="E341" s="39"/>
      <c r="F341" s="39"/>
    </row>
    <row r="342">
      <c r="D342" s="39"/>
      <c r="E342" s="39"/>
      <c r="F342" s="39"/>
    </row>
    <row r="343">
      <c r="D343" s="39"/>
      <c r="E343" s="39"/>
      <c r="F343" s="39"/>
    </row>
    <row r="344">
      <c r="D344" s="39"/>
      <c r="E344" s="39"/>
      <c r="F344" s="39"/>
    </row>
    <row r="345">
      <c r="D345" s="39"/>
      <c r="E345" s="39"/>
      <c r="F345" s="39"/>
    </row>
    <row r="346">
      <c r="D346" s="39"/>
      <c r="E346" s="39"/>
      <c r="F346" s="39"/>
    </row>
    <row r="347">
      <c r="D347" s="39"/>
      <c r="E347" s="39"/>
      <c r="F347" s="39"/>
    </row>
    <row r="348">
      <c r="D348" s="39"/>
      <c r="E348" s="39"/>
      <c r="F348" s="39"/>
    </row>
    <row r="349">
      <c r="D349" s="39"/>
      <c r="E349" s="39"/>
      <c r="F349" s="39"/>
    </row>
    <row r="350">
      <c r="D350" s="39"/>
      <c r="E350" s="39"/>
      <c r="F350" s="39"/>
    </row>
    <row r="351">
      <c r="D351" s="39"/>
      <c r="E351" s="39"/>
      <c r="F351" s="39"/>
    </row>
    <row r="352">
      <c r="D352" s="39"/>
      <c r="E352" s="39"/>
      <c r="F352" s="39"/>
    </row>
    <row r="353">
      <c r="D353" s="39"/>
      <c r="E353" s="39"/>
      <c r="F353" s="39"/>
    </row>
    <row r="354">
      <c r="D354" s="39"/>
      <c r="E354" s="39"/>
      <c r="F354" s="39"/>
    </row>
    <row r="355">
      <c r="D355" s="39"/>
      <c r="E355" s="39"/>
      <c r="F355" s="39"/>
    </row>
    <row r="356">
      <c r="D356" s="39"/>
      <c r="E356" s="39"/>
      <c r="F356" s="39"/>
    </row>
    <row r="357">
      <c r="D357" s="39"/>
      <c r="E357" s="39"/>
      <c r="F357" s="39"/>
    </row>
    <row r="358">
      <c r="D358" s="39"/>
      <c r="E358" s="39"/>
      <c r="F358" s="39"/>
    </row>
    <row r="359">
      <c r="D359" s="39"/>
      <c r="E359" s="39"/>
      <c r="F359" s="39"/>
    </row>
    <row r="360">
      <c r="D360" s="39"/>
      <c r="E360" s="39"/>
      <c r="F360" s="39"/>
    </row>
    <row r="361">
      <c r="D361" s="39"/>
      <c r="E361" s="39"/>
      <c r="F361" s="39"/>
    </row>
    <row r="362">
      <c r="D362" s="39"/>
      <c r="E362" s="39"/>
      <c r="F362" s="39"/>
    </row>
    <row r="363">
      <c r="D363" s="39"/>
      <c r="E363" s="39"/>
      <c r="F363" s="39"/>
    </row>
    <row r="364">
      <c r="D364" s="39"/>
      <c r="E364" s="39"/>
      <c r="F364" s="39"/>
    </row>
    <row r="365">
      <c r="D365" s="39"/>
      <c r="E365" s="39"/>
      <c r="F365" s="39"/>
    </row>
    <row r="366">
      <c r="D366" s="39"/>
      <c r="E366" s="39"/>
      <c r="F366" s="39"/>
    </row>
    <row r="367">
      <c r="D367" s="39"/>
      <c r="E367" s="39"/>
      <c r="F367" s="39"/>
    </row>
    <row r="368">
      <c r="D368" s="39"/>
      <c r="E368" s="39"/>
      <c r="F368" s="39"/>
    </row>
    <row r="369">
      <c r="D369" s="39"/>
      <c r="E369" s="39"/>
      <c r="F369" s="39"/>
    </row>
    <row r="370">
      <c r="D370" s="39"/>
      <c r="E370" s="39"/>
      <c r="F370" s="39"/>
    </row>
    <row r="371">
      <c r="D371" s="39"/>
      <c r="E371" s="39"/>
      <c r="F371" s="39"/>
    </row>
    <row r="372">
      <c r="D372" s="39"/>
      <c r="E372" s="39"/>
      <c r="F372" s="39"/>
    </row>
    <row r="373">
      <c r="D373" s="39"/>
      <c r="E373" s="39"/>
      <c r="F373" s="39"/>
    </row>
    <row r="374">
      <c r="D374" s="39"/>
      <c r="E374" s="39"/>
      <c r="F374" s="39"/>
    </row>
    <row r="375">
      <c r="D375" s="39"/>
      <c r="E375" s="39"/>
      <c r="F375" s="39"/>
    </row>
    <row r="376">
      <c r="D376" s="39"/>
      <c r="E376" s="39"/>
      <c r="F376" s="39"/>
    </row>
    <row r="377">
      <c r="D377" s="39"/>
      <c r="E377" s="39"/>
      <c r="F377" s="39"/>
    </row>
    <row r="378">
      <c r="D378" s="39"/>
      <c r="E378" s="39"/>
      <c r="F378" s="39"/>
    </row>
    <row r="379">
      <c r="D379" s="39"/>
      <c r="E379" s="39"/>
      <c r="F379" s="39"/>
    </row>
    <row r="380">
      <c r="D380" s="39"/>
      <c r="E380" s="39"/>
      <c r="F380" s="39"/>
    </row>
    <row r="381">
      <c r="D381" s="39"/>
      <c r="E381" s="39"/>
      <c r="F381" s="39"/>
    </row>
    <row r="382">
      <c r="D382" s="39"/>
      <c r="E382" s="39"/>
      <c r="F382" s="39"/>
    </row>
    <row r="383">
      <c r="D383" s="39"/>
      <c r="E383" s="39"/>
      <c r="F383" s="39"/>
    </row>
    <row r="384">
      <c r="D384" s="39"/>
      <c r="E384" s="39"/>
      <c r="F384" s="39"/>
    </row>
    <row r="385">
      <c r="D385" s="39"/>
      <c r="E385" s="39"/>
      <c r="F385" s="39"/>
    </row>
    <row r="386">
      <c r="D386" s="39"/>
      <c r="E386" s="39"/>
      <c r="F386" s="39"/>
    </row>
    <row r="387">
      <c r="D387" s="39"/>
      <c r="E387" s="39"/>
      <c r="F387" s="39"/>
    </row>
    <row r="388">
      <c r="D388" s="39"/>
      <c r="E388" s="39"/>
      <c r="F388" s="39"/>
    </row>
    <row r="389">
      <c r="D389" s="39"/>
      <c r="E389" s="39"/>
      <c r="F389" s="39"/>
    </row>
    <row r="390">
      <c r="D390" s="39"/>
      <c r="E390" s="39"/>
      <c r="F390" s="39"/>
    </row>
    <row r="391">
      <c r="D391" s="39"/>
      <c r="E391" s="39"/>
      <c r="F391" s="39"/>
    </row>
    <row r="392">
      <c r="D392" s="39"/>
      <c r="E392" s="39"/>
      <c r="F392" s="39"/>
    </row>
    <row r="393">
      <c r="D393" s="39"/>
      <c r="E393" s="39"/>
      <c r="F393" s="39"/>
    </row>
    <row r="394">
      <c r="D394" s="39"/>
      <c r="E394" s="39"/>
      <c r="F394" s="39"/>
    </row>
    <row r="395">
      <c r="D395" s="39"/>
      <c r="E395" s="39"/>
      <c r="F395" s="39"/>
    </row>
    <row r="396">
      <c r="D396" s="39"/>
      <c r="E396" s="39"/>
      <c r="F396" s="39"/>
    </row>
    <row r="397">
      <c r="D397" s="39"/>
      <c r="E397" s="39"/>
      <c r="F397" s="39"/>
    </row>
    <row r="398">
      <c r="D398" s="39"/>
      <c r="E398" s="39"/>
      <c r="F398" s="39"/>
    </row>
    <row r="399">
      <c r="D399" s="39"/>
      <c r="E399" s="39"/>
      <c r="F399" s="39"/>
    </row>
    <row r="400">
      <c r="D400" s="39"/>
      <c r="E400" s="39"/>
      <c r="F400" s="39"/>
    </row>
    <row r="401">
      <c r="D401" s="39"/>
      <c r="E401" s="39"/>
      <c r="F401" s="39"/>
    </row>
    <row r="402">
      <c r="D402" s="39"/>
      <c r="E402" s="39"/>
      <c r="F402" s="39"/>
    </row>
    <row r="403">
      <c r="D403" s="39"/>
      <c r="E403" s="39"/>
      <c r="F403" s="39"/>
    </row>
    <row r="404">
      <c r="D404" s="39"/>
      <c r="E404" s="39"/>
      <c r="F404" s="39"/>
    </row>
    <row r="405">
      <c r="D405" s="39"/>
      <c r="E405" s="39"/>
      <c r="F405" s="39"/>
    </row>
    <row r="406">
      <c r="D406" s="39"/>
      <c r="E406" s="39"/>
      <c r="F406" s="39"/>
    </row>
    <row r="407">
      <c r="D407" s="39"/>
      <c r="E407" s="39"/>
      <c r="F407" s="39"/>
    </row>
    <row r="408">
      <c r="D408" s="39"/>
      <c r="E408" s="39"/>
      <c r="F408" s="39"/>
    </row>
    <row r="409">
      <c r="D409" s="39"/>
      <c r="E409" s="39"/>
      <c r="F409" s="39"/>
    </row>
    <row r="410">
      <c r="D410" s="39"/>
      <c r="E410" s="39"/>
      <c r="F410" s="39"/>
    </row>
    <row r="411">
      <c r="D411" s="39"/>
      <c r="E411" s="39"/>
      <c r="F411" s="39"/>
    </row>
    <row r="412">
      <c r="D412" s="39"/>
      <c r="E412" s="39"/>
      <c r="F412" s="39"/>
    </row>
    <row r="413">
      <c r="D413" s="39"/>
      <c r="E413" s="39"/>
      <c r="F413" s="39"/>
    </row>
    <row r="414">
      <c r="D414" s="39"/>
      <c r="E414" s="39"/>
      <c r="F414" s="39"/>
    </row>
    <row r="415">
      <c r="D415" s="39"/>
      <c r="E415" s="39"/>
      <c r="F415" s="39"/>
    </row>
    <row r="416">
      <c r="D416" s="39"/>
      <c r="E416" s="39"/>
      <c r="F416" s="39"/>
    </row>
    <row r="417">
      <c r="D417" s="39"/>
      <c r="E417" s="39"/>
      <c r="F417" s="39"/>
    </row>
    <row r="418">
      <c r="D418" s="39"/>
      <c r="E418" s="39"/>
      <c r="F418" s="39"/>
    </row>
    <row r="419">
      <c r="D419" s="39"/>
      <c r="E419" s="39"/>
      <c r="F419" s="39"/>
    </row>
    <row r="420">
      <c r="D420" s="39"/>
      <c r="E420" s="39"/>
      <c r="F420" s="39"/>
    </row>
    <row r="421">
      <c r="D421" s="39"/>
      <c r="E421" s="39"/>
      <c r="F421" s="39"/>
    </row>
    <row r="422">
      <c r="D422" s="39"/>
      <c r="E422" s="39"/>
      <c r="F422" s="39"/>
    </row>
    <row r="423">
      <c r="D423" s="39"/>
      <c r="E423" s="39"/>
      <c r="F423" s="39"/>
    </row>
    <row r="424">
      <c r="D424" s="39"/>
      <c r="E424" s="39"/>
      <c r="F424" s="39"/>
    </row>
    <row r="425">
      <c r="D425" s="39"/>
      <c r="E425" s="39"/>
      <c r="F425" s="39"/>
    </row>
    <row r="426">
      <c r="D426" s="39"/>
      <c r="E426" s="39"/>
      <c r="F426" s="39"/>
    </row>
    <row r="427">
      <c r="D427" s="39"/>
      <c r="E427" s="39"/>
      <c r="F427" s="39"/>
    </row>
    <row r="428">
      <c r="D428" s="39"/>
      <c r="E428" s="39"/>
      <c r="F428" s="39"/>
    </row>
    <row r="429">
      <c r="D429" s="39"/>
      <c r="E429" s="39"/>
      <c r="F429" s="39"/>
    </row>
    <row r="430">
      <c r="D430" s="39"/>
      <c r="E430" s="39"/>
      <c r="F430" s="39"/>
    </row>
    <row r="431">
      <c r="D431" s="39"/>
      <c r="E431" s="39"/>
      <c r="F431" s="39"/>
    </row>
    <row r="432">
      <c r="D432" s="39"/>
      <c r="E432" s="39"/>
      <c r="F432" s="39"/>
    </row>
    <row r="433">
      <c r="D433" s="39"/>
      <c r="E433" s="39"/>
      <c r="F433" s="39"/>
    </row>
    <row r="434">
      <c r="D434" s="39"/>
      <c r="E434" s="39"/>
      <c r="F434" s="39"/>
    </row>
    <row r="435">
      <c r="D435" s="39"/>
      <c r="E435" s="39"/>
      <c r="F435" s="39"/>
    </row>
    <row r="436">
      <c r="D436" s="39"/>
      <c r="E436" s="39"/>
      <c r="F436" s="39"/>
    </row>
    <row r="437">
      <c r="D437" s="39"/>
      <c r="E437" s="39"/>
      <c r="F437" s="39"/>
    </row>
    <row r="438">
      <c r="D438" s="39"/>
      <c r="E438" s="39"/>
      <c r="F438" s="39"/>
    </row>
    <row r="439">
      <c r="D439" s="39"/>
      <c r="E439" s="39"/>
      <c r="F439" s="39"/>
    </row>
    <row r="440">
      <c r="D440" s="39"/>
      <c r="E440" s="39"/>
      <c r="F440" s="39"/>
    </row>
    <row r="441">
      <c r="D441" s="39"/>
      <c r="E441" s="39"/>
      <c r="F441" s="39"/>
    </row>
    <row r="442">
      <c r="D442" s="39"/>
      <c r="E442" s="39"/>
      <c r="F442" s="39"/>
    </row>
    <row r="443">
      <c r="D443" s="39"/>
      <c r="E443" s="39"/>
      <c r="F443" s="39"/>
    </row>
    <row r="444">
      <c r="D444" s="39"/>
      <c r="E444" s="39"/>
      <c r="F444" s="39"/>
    </row>
    <row r="445">
      <c r="D445" s="39"/>
      <c r="E445" s="39"/>
      <c r="F445" s="39"/>
    </row>
    <row r="446">
      <c r="D446" s="39"/>
      <c r="E446" s="39"/>
      <c r="F446" s="39"/>
    </row>
    <row r="447">
      <c r="D447" s="39"/>
      <c r="E447" s="39"/>
      <c r="F447" s="39"/>
    </row>
    <row r="448">
      <c r="D448" s="39"/>
      <c r="E448" s="39"/>
      <c r="F448" s="39"/>
    </row>
    <row r="449">
      <c r="D449" s="39"/>
      <c r="E449" s="39"/>
      <c r="F449" s="39"/>
    </row>
    <row r="450">
      <c r="D450" s="39"/>
      <c r="E450" s="39"/>
      <c r="F450" s="39"/>
    </row>
    <row r="451">
      <c r="D451" s="39"/>
      <c r="E451" s="39"/>
      <c r="F451" s="39"/>
    </row>
    <row r="452">
      <c r="D452" s="39"/>
      <c r="E452" s="39"/>
      <c r="F452" s="39"/>
    </row>
    <row r="453">
      <c r="D453" s="39"/>
      <c r="E453" s="39"/>
      <c r="F453" s="39"/>
    </row>
    <row r="454">
      <c r="D454" s="39"/>
      <c r="E454" s="39"/>
      <c r="F454" s="39"/>
    </row>
    <row r="455">
      <c r="D455" s="39"/>
      <c r="E455" s="39"/>
      <c r="F455" s="39"/>
    </row>
    <row r="456">
      <c r="D456" s="39"/>
      <c r="E456" s="39"/>
      <c r="F456" s="39"/>
    </row>
    <row r="457">
      <c r="D457" s="39"/>
      <c r="E457" s="39"/>
      <c r="F457" s="39"/>
    </row>
    <row r="458">
      <c r="D458" s="39"/>
      <c r="E458" s="39"/>
      <c r="F458" s="39"/>
    </row>
    <row r="459">
      <c r="D459" s="39"/>
      <c r="E459" s="39"/>
      <c r="F459" s="39"/>
    </row>
    <row r="460">
      <c r="D460" s="39"/>
      <c r="E460" s="39"/>
      <c r="F460" s="39"/>
    </row>
    <row r="461">
      <c r="D461" s="39"/>
      <c r="E461" s="39"/>
      <c r="F461" s="39"/>
    </row>
    <row r="462">
      <c r="D462" s="39"/>
      <c r="E462" s="39"/>
      <c r="F462" s="39"/>
    </row>
    <row r="463">
      <c r="D463" s="39"/>
      <c r="E463" s="39"/>
      <c r="F463" s="39"/>
    </row>
    <row r="464">
      <c r="D464" s="39"/>
      <c r="E464" s="39"/>
      <c r="F464" s="39"/>
    </row>
    <row r="465">
      <c r="D465" s="39"/>
      <c r="E465" s="39"/>
      <c r="F465" s="39"/>
    </row>
    <row r="466">
      <c r="D466" s="39"/>
      <c r="E466" s="39"/>
      <c r="F466" s="39"/>
    </row>
    <row r="467">
      <c r="D467" s="39"/>
      <c r="E467" s="39"/>
      <c r="F467" s="39"/>
    </row>
    <row r="468">
      <c r="D468" s="39"/>
      <c r="E468" s="39"/>
      <c r="F468" s="39"/>
    </row>
    <row r="469">
      <c r="D469" s="39"/>
      <c r="E469" s="39"/>
      <c r="F469" s="39"/>
    </row>
    <row r="470">
      <c r="D470" s="39"/>
      <c r="E470" s="39"/>
      <c r="F470" s="39"/>
    </row>
    <row r="471">
      <c r="D471" s="39"/>
      <c r="E471" s="39"/>
      <c r="F471" s="39"/>
    </row>
    <row r="472">
      <c r="D472" s="39"/>
      <c r="E472" s="39"/>
      <c r="F472" s="39"/>
    </row>
    <row r="473">
      <c r="D473" s="39"/>
      <c r="E473" s="39"/>
      <c r="F473" s="39"/>
    </row>
    <row r="474">
      <c r="D474" s="39"/>
      <c r="E474" s="39"/>
      <c r="F474" s="39"/>
    </row>
    <row r="475">
      <c r="D475" s="39"/>
      <c r="E475" s="39"/>
      <c r="F475" s="39"/>
    </row>
    <row r="476">
      <c r="D476" s="39"/>
      <c r="E476" s="39"/>
      <c r="F476" s="39"/>
    </row>
    <row r="477">
      <c r="D477" s="39"/>
      <c r="E477" s="39"/>
      <c r="F477" s="39"/>
    </row>
    <row r="478">
      <c r="D478" s="39"/>
      <c r="E478" s="39"/>
      <c r="F478" s="39"/>
    </row>
    <row r="479">
      <c r="D479" s="39"/>
      <c r="E479" s="39"/>
      <c r="F479" s="39"/>
    </row>
    <row r="480">
      <c r="D480" s="39"/>
      <c r="E480" s="39"/>
      <c r="F480" s="39"/>
    </row>
    <row r="481">
      <c r="D481" s="39"/>
      <c r="E481" s="39"/>
      <c r="F481" s="39"/>
    </row>
    <row r="482">
      <c r="D482" s="39"/>
      <c r="E482" s="39"/>
      <c r="F482" s="39"/>
    </row>
    <row r="483">
      <c r="D483" s="39"/>
      <c r="E483" s="39"/>
      <c r="F483" s="39"/>
    </row>
    <row r="484">
      <c r="D484" s="39"/>
      <c r="E484" s="39"/>
      <c r="F484" s="39"/>
    </row>
    <row r="485">
      <c r="D485" s="39"/>
      <c r="E485" s="39"/>
      <c r="F485" s="39"/>
    </row>
    <row r="486">
      <c r="D486" s="39"/>
      <c r="E486" s="39"/>
      <c r="F486" s="39"/>
    </row>
    <row r="487">
      <c r="D487" s="39"/>
      <c r="E487" s="39"/>
      <c r="F487" s="39"/>
    </row>
    <row r="488">
      <c r="D488" s="39"/>
      <c r="E488" s="39"/>
      <c r="F488" s="39"/>
    </row>
    <row r="489">
      <c r="D489" s="39"/>
      <c r="E489" s="39"/>
      <c r="F489" s="39"/>
    </row>
    <row r="490">
      <c r="D490" s="39"/>
      <c r="E490" s="39"/>
      <c r="F490" s="39"/>
    </row>
    <row r="491">
      <c r="D491" s="39"/>
      <c r="E491" s="39"/>
      <c r="F491" s="39"/>
    </row>
    <row r="492">
      <c r="D492" s="39"/>
      <c r="E492" s="39"/>
      <c r="F492" s="39"/>
    </row>
    <row r="493">
      <c r="D493" s="39"/>
      <c r="E493" s="39"/>
      <c r="F493" s="39"/>
    </row>
    <row r="494">
      <c r="D494" s="39"/>
      <c r="E494" s="39"/>
      <c r="F494" s="39"/>
    </row>
    <row r="495">
      <c r="D495" s="39"/>
      <c r="E495" s="39"/>
      <c r="F495" s="39"/>
    </row>
    <row r="496">
      <c r="D496" s="39"/>
      <c r="E496" s="39"/>
      <c r="F496" s="39"/>
    </row>
    <row r="497">
      <c r="D497" s="39"/>
      <c r="E497" s="39"/>
      <c r="F497" s="39"/>
    </row>
    <row r="498">
      <c r="D498" s="39"/>
      <c r="E498" s="39"/>
      <c r="F498" s="39"/>
    </row>
    <row r="499">
      <c r="D499" s="39"/>
      <c r="E499" s="39"/>
      <c r="F499" s="39"/>
    </row>
    <row r="500">
      <c r="D500" s="39"/>
      <c r="E500" s="39"/>
      <c r="F500" s="39"/>
    </row>
    <row r="501">
      <c r="D501" s="39"/>
      <c r="E501" s="39"/>
      <c r="F501" s="39"/>
    </row>
    <row r="502">
      <c r="D502" s="39"/>
      <c r="E502" s="39"/>
      <c r="F502" s="39"/>
    </row>
    <row r="503">
      <c r="D503" s="39"/>
      <c r="E503" s="39"/>
      <c r="F503" s="39"/>
    </row>
    <row r="504">
      <c r="D504" s="39"/>
      <c r="E504" s="39"/>
      <c r="F504" s="39"/>
    </row>
    <row r="505">
      <c r="D505" s="39"/>
      <c r="E505" s="39"/>
      <c r="F505" s="39"/>
    </row>
    <row r="506">
      <c r="D506" s="39"/>
      <c r="E506" s="39"/>
      <c r="F506" s="39"/>
    </row>
    <row r="507">
      <c r="D507" s="39"/>
      <c r="E507" s="39"/>
      <c r="F507" s="39"/>
    </row>
    <row r="508">
      <c r="D508" s="39"/>
      <c r="E508" s="39"/>
      <c r="F508" s="39"/>
    </row>
    <row r="509">
      <c r="D509" s="39"/>
      <c r="E509" s="39"/>
      <c r="F509" s="39"/>
    </row>
    <row r="510">
      <c r="D510" s="39"/>
      <c r="E510" s="39"/>
      <c r="F510" s="39"/>
    </row>
    <row r="511">
      <c r="D511" s="39"/>
      <c r="E511" s="39"/>
      <c r="F511" s="39"/>
    </row>
    <row r="512">
      <c r="D512" s="39"/>
      <c r="E512" s="39"/>
      <c r="F512" s="39"/>
    </row>
    <row r="513">
      <c r="D513" s="39"/>
      <c r="E513" s="39"/>
      <c r="F513" s="39"/>
    </row>
    <row r="514">
      <c r="D514" s="39"/>
      <c r="E514" s="39"/>
      <c r="F514" s="39"/>
    </row>
    <row r="515">
      <c r="D515" s="39"/>
      <c r="E515" s="39"/>
      <c r="F515" s="39"/>
    </row>
    <row r="516">
      <c r="D516" s="39"/>
      <c r="E516" s="39"/>
      <c r="F516" s="39"/>
    </row>
    <row r="517">
      <c r="D517" s="39"/>
      <c r="E517" s="39"/>
      <c r="F517" s="39"/>
    </row>
    <row r="518">
      <c r="D518" s="39"/>
      <c r="E518" s="39"/>
      <c r="F518" s="39"/>
    </row>
    <row r="519">
      <c r="D519" s="39"/>
      <c r="E519" s="39"/>
      <c r="F519" s="39"/>
    </row>
    <row r="520">
      <c r="D520" s="39"/>
      <c r="E520" s="39"/>
      <c r="F520" s="39"/>
    </row>
    <row r="521">
      <c r="D521" s="39"/>
      <c r="E521" s="39"/>
      <c r="F521" s="39"/>
    </row>
    <row r="522">
      <c r="D522" s="39"/>
      <c r="E522" s="39"/>
      <c r="F522" s="39"/>
    </row>
    <row r="523">
      <c r="D523" s="39"/>
      <c r="E523" s="39"/>
      <c r="F523" s="39"/>
    </row>
    <row r="524">
      <c r="D524" s="39"/>
      <c r="E524" s="39"/>
      <c r="F524" s="39"/>
    </row>
    <row r="525">
      <c r="D525" s="39"/>
      <c r="E525" s="39"/>
      <c r="F525" s="39"/>
    </row>
    <row r="526">
      <c r="D526" s="39"/>
      <c r="E526" s="39"/>
      <c r="F526" s="39"/>
    </row>
    <row r="527">
      <c r="D527" s="39"/>
      <c r="E527" s="39"/>
      <c r="F527" s="39"/>
    </row>
    <row r="528">
      <c r="D528" s="39"/>
      <c r="E528" s="39"/>
      <c r="F528" s="39"/>
    </row>
    <row r="529">
      <c r="D529" s="39"/>
      <c r="E529" s="39"/>
      <c r="F529" s="39"/>
    </row>
    <row r="530">
      <c r="D530" s="39"/>
      <c r="E530" s="39"/>
      <c r="F530" s="39"/>
    </row>
    <row r="531">
      <c r="D531" s="39"/>
      <c r="E531" s="39"/>
      <c r="F531" s="39"/>
    </row>
    <row r="532">
      <c r="D532" s="39"/>
      <c r="E532" s="39"/>
      <c r="F532" s="39"/>
    </row>
    <row r="533">
      <c r="D533" s="39"/>
      <c r="E533" s="39"/>
      <c r="F533" s="39"/>
    </row>
    <row r="534">
      <c r="D534" s="39"/>
      <c r="E534" s="39"/>
      <c r="F534" s="39"/>
    </row>
    <row r="535">
      <c r="D535" s="39"/>
      <c r="E535" s="39"/>
      <c r="F535" s="39"/>
    </row>
    <row r="536">
      <c r="D536" s="39"/>
      <c r="E536" s="39"/>
      <c r="F536" s="39"/>
    </row>
    <row r="537">
      <c r="D537" s="39"/>
      <c r="E537" s="39"/>
      <c r="F537" s="39"/>
    </row>
    <row r="538">
      <c r="D538" s="39"/>
      <c r="E538" s="39"/>
      <c r="F538" s="39"/>
    </row>
    <row r="539">
      <c r="D539" s="39"/>
      <c r="E539" s="39"/>
      <c r="F539" s="39"/>
    </row>
    <row r="540">
      <c r="D540" s="39"/>
      <c r="E540" s="39"/>
      <c r="F540" s="39"/>
    </row>
    <row r="541">
      <c r="D541" s="39"/>
      <c r="E541" s="39"/>
      <c r="F541" s="39"/>
    </row>
    <row r="542">
      <c r="D542" s="39"/>
      <c r="E542" s="39"/>
      <c r="F542" s="39"/>
    </row>
    <row r="543">
      <c r="D543" s="39"/>
      <c r="E543" s="39"/>
      <c r="F543" s="39"/>
    </row>
    <row r="544">
      <c r="D544" s="39"/>
      <c r="E544" s="39"/>
      <c r="F544" s="39"/>
    </row>
    <row r="545">
      <c r="D545" s="39"/>
      <c r="E545" s="39"/>
      <c r="F545" s="39"/>
    </row>
    <row r="546">
      <c r="D546" s="39"/>
      <c r="E546" s="39"/>
      <c r="F546" s="39"/>
    </row>
    <row r="547">
      <c r="D547" s="39"/>
      <c r="E547" s="39"/>
      <c r="F547" s="39"/>
    </row>
    <row r="548">
      <c r="D548" s="39"/>
      <c r="E548" s="39"/>
      <c r="F548" s="39"/>
    </row>
    <row r="549">
      <c r="D549" s="39"/>
      <c r="E549" s="39"/>
      <c r="F549" s="39"/>
    </row>
    <row r="550">
      <c r="D550" s="39"/>
      <c r="E550" s="39"/>
      <c r="F550" s="39"/>
    </row>
    <row r="551">
      <c r="D551" s="39"/>
      <c r="E551" s="39"/>
      <c r="F551" s="39"/>
    </row>
    <row r="552">
      <c r="D552" s="39"/>
      <c r="E552" s="39"/>
      <c r="F552" s="39"/>
    </row>
    <row r="553">
      <c r="D553" s="39"/>
      <c r="E553" s="39"/>
      <c r="F553" s="39"/>
    </row>
    <row r="554">
      <c r="D554" s="39"/>
      <c r="E554" s="39"/>
      <c r="F554" s="39"/>
    </row>
    <row r="555">
      <c r="D555" s="39"/>
      <c r="E555" s="39"/>
      <c r="F555" s="39"/>
    </row>
    <row r="556">
      <c r="D556" s="39"/>
      <c r="E556" s="39"/>
      <c r="F556" s="39"/>
    </row>
    <row r="557">
      <c r="D557" s="39"/>
      <c r="E557" s="39"/>
      <c r="F557" s="39"/>
    </row>
    <row r="558">
      <c r="D558" s="39"/>
      <c r="E558" s="39"/>
      <c r="F558" s="39"/>
    </row>
    <row r="559">
      <c r="D559" s="39"/>
      <c r="E559" s="39"/>
      <c r="F559" s="39"/>
    </row>
    <row r="560">
      <c r="D560" s="39"/>
      <c r="E560" s="39"/>
      <c r="F560" s="39"/>
    </row>
    <row r="561">
      <c r="D561" s="39"/>
      <c r="E561" s="39"/>
      <c r="F561" s="39"/>
    </row>
    <row r="562">
      <c r="D562" s="39"/>
      <c r="E562" s="39"/>
      <c r="F562" s="39"/>
    </row>
    <row r="563">
      <c r="D563" s="39"/>
      <c r="E563" s="39"/>
      <c r="F563" s="39"/>
    </row>
    <row r="564">
      <c r="D564" s="39"/>
      <c r="E564" s="39"/>
      <c r="F564" s="39"/>
    </row>
    <row r="565">
      <c r="D565" s="39"/>
      <c r="E565" s="39"/>
      <c r="F565" s="39"/>
    </row>
    <row r="566">
      <c r="D566" s="39"/>
      <c r="E566" s="39"/>
      <c r="F566" s="39"/>
    </row>
    <row r="567">
      <c r="D567" s="39"/>
      <c r="E567" s="39"/>
      <c r="F567" s="39"/>
    </row>
    <row r="568">
      <c r="D568" s="39"/>
      <c r="E568" s="39"/>
      <c r="F568" s="39"/>
    </row>
    <row r="569">
      <c r="D569" s="39"/>
      <c r="E569" s="39"/>
      <c r="F569" s="39"/>
    </row>
    <row r="570">
      <c r="D570" s="39"/>
      <c r="E570" s="39"/>
      <c r="F570" s="39"/>
    </row>
    <row r="571">
      <c r="D571" s="39"/>
      <c r="E571" s="39"/>
      <c r="F571" s="39"/>
    </row>
    <row r="572">
      <c r="D572" s="39"/>
      <c r="E572" s="39"/>
      <c r="F572" s="39"/>
    </row>
    <row r="573">
      <c r="D573" s="39"/>
      <c r="E573" s="39"/>
      <c r="F573" s="39"/>
    </row>
    <row r="574">
      <c r="D574" s="39"/>
      <c r="E574" s="39"/>
      <c r="F574" s="39"/>
    </row>
    <row r="575">
      <c r="D575" s="39"/>
      <c r="E575" s="39"/>
      <c r="F575" s="39"/>
    </row>
    <row r="576">
      <c r="D576" s="39"/>
      <c r="E576" s="39"/>
      <c r="F576" s="39"/>
    </row>
    <row r="577">
      <c r="D577" s="39"/>
      <c r="E577" s="39"/>
      <c r="F577" s="39"/>
    </row>
    <row r="578">
      <c r="D578" s="39"/>
      <c r="E578" s="39"/>
      <c r="F578" s="39"/>
    </row>
    <row r="579">
      <c r="D579" s="39"/>
      <c r="E579" s="39"/>
      <c r="F579" s="39"/>
    </row>
    <row r="580">
      <c r="D580" s="39"/>
      <c r="E580" s="39"/>
      <c r="F580" s="39"/>
    </row>
    <row r="581">
      <c r="D581" s="39"/>
      <c r="E581" s="39"/>
      <c r="F581" s="39"/>
    </row>
    <row r="582">
      <c r="D582" s="39"/>
      <c r="E582" s="39"/>
      <c r="F582" s="39"/>
    </row>
    <row r="583">
      <c r="D583" s="39"/>
      <c r="E583" s="39"/>
      <c r="F583" s="39"/>
    </row>
    <row r="584">
      <c r="D584" s="39"/>
      <c r="E584" s="39"/>
      <c r="F584" s="39"/>
    </row>
    <row r="585">
      <c r="D585" s="39"/>
      <c r="E585" s="39"/>
      <c r="F585" s="39"/>
    </row>
    <row r="586">
      <c r="D586" s="39"/>
      <c r="E586" s="39"/>
      <c r="F586" s="39"/>
    </row>
    <row r="587">
      <c r="D587" s="39"/>
      <c r="E587" s="39"/>
      <c r="F587" s="39"/>
    </row>
    <row r="588">
      <c r="D588" s="39"/>
      <c r="E588" s="39"/>
      <c r="F588" s="39"/>
    </row>
    <row r="589">
      <c r="D589" s="39"/>
      <c r="E589" s="39"/>
      <c r="F589" s="39"/>
    </row>
    <row r="590">
      <c r="D590" s="39"/>
      <c r="E590" s="39"/>
      <c r="F590" s="39"/>
    </row>
    <row r="591">
      <c r="D591" s="39"/>
      <c r="E591" s="39"/>
      <c r="F591" s="39"/>
    </row>
    <row r="592">
      <c r="D592" s="39"/>
      <c r="E592" s="39"/>
      <c r="F592" s="39"/>
    </row>
    <row r="593">
      <c r="D593" s="39"/>
      <c r="E593" s="39"/>
      <c r="F593" s="39"/>
    </row>
    <row r="594">
      <c r="D594" s="39"/>
      <c r="E594" s="39"/>
      <c r="F594" s="39"/>
    </row>
    <row r="595">
      <c r="D595" s="39"/>
      <c r="E595" s="39"/>
      <c r="F595" s="39"/>
    </row>
    <row r="596">
      <c r="D596" s="39"/>
      <c r="E596" s="39"/>
      <c r="F596" s="39"/>
    </row>
    <row r="597">
      <c r="D597" s="39"/>
      <c r="E597" s="39"/>
      <c r="F597" s="39"/>
    </row>
    <row r="598">
      <c r="D598" s="39"/>
      <c r="E598" s="39"/>
      <c r="F598" s="39"/>
    </row>
    <row r="599">
      <c r="D599" s="39"/>
      <c r="E599" s="39"/>
      <c r="F599" s="39"/>
    </row>
    <row r="600">
      <c r="D600" s="39"/>
      <c r="E600" s="39"/>
      <c r="F600" s="39"/>
    </row>
    <row r="601">
      <c r="D601" s="39"/>
      <c r="E601" s="39"/>
      <c r="F601" s="39"/>
    </row>
    <row r="602">
      <c r="D602" s="39"/>
      <c r="E602" s="39"/>
      <c r="F602" s="39"/>
    </row>
    <row r="603">
      <c r="D603" s="39"/>
      <c r="E603" s="39"/>
      <c r="F603" s="39"/>
    </row>
    <row r="604">
      <c r="D604" s="39"/>
      <c r="E604" s="39"/>
      <c r="F604" s="39"/>
    </row>
    <row r="605">
      <c r="D605" s="39"/>
      <c r="E605" s="39"/>
      <c r="F605" s="39"/>
    </row>
    <row r="606">
      <c r="D606" s="39"/>
      <c r="E606" s="39"/>
      <c r="F606" s="39"/>
    </row>
    <row r="607">
      <c r="D607" s="39"/>
      <c r="E607" s="39"/>
      <c r="F607" s="39"/>
    </row>
    <row r="608">
      <c r="D608" s="39"/>
      <c r="E608" s="39"/>
      <c r="F608" s="39"/>
    </row>
    <row r="609">
      <c r="D609" s="39"/>
      <c r="E609" s="39"/>
      <c r="F609" s="39"/>
    </row>
    <row r="610">
      <c r="D610" s="39"/>
      <c r="E610" s="39"/>
      <c r="F610" s="39"/>
    </row>
    <row r="611">
      <c r="D611" s="39"/>
      <c r="E611" s="39"/>
      <c r="F611" s="39"/>
    </row>
    <row r="612">
      <c r="D612" s="39"/>
      <c r="E612" s="39"/>
      <c r="F612" s="39"/>
    </row>
    <row r="613">
      <c r="D613" s="39"/>
      <c r="E613" s="39"/>
      <c r="F613" s="39"/>
    </row>
    <row r="614">
      <c r="D614" s="39"/>
      <c r="E614" s="39"/>
      <c r="F614" s="39"/>
    </row>
    <row r="615">
      <c r="D615" s="39"/>
      <c r="E615" s="39"/>
      <c r="F615" s="39"/>
    </row>
    <row r="616">
      <c r="D616" s="39"/>
      <c r="E616" s="39"/>
      <c r="F616" s="39"/>
    </row>
    <row r="617">
      <c r="D617" s="39"/>
      <c r="E617" s="39"/>
      <c r="F617" s="39"/>
    </row>
    <row r="618">
      <c r="D618" s="39"/>
      <c r="E618" s="39"/>
      <c r="F618" s="39"/>
    </row>
    <row r="619">
      <c r="D619" s="39"/>
      <c r="E619" s="39"/>
      <c r="F619" s="39"/>
    </row>
    <row r="620">
      <c r="D620" s="39"/>
      <c r="E620" s="39"/>
      <c r="F620" s="39"/>
    </row>
    <row r="621">
      <c r="D621" s="39"/>
      <c r="E621" s="39"/>
      <c r="F621" s="39"/>
    </row>
    <row r="622">
      <c r="D622" s="39"/>
      <c r="E622" s="39"/>
      <c r="F622" s="39"/>
    </row>
    <row r="623">
      <c r="D623" s="39"/>
      <c r="E623" s="39"/>
      <c r="F623" s="39"/>
    </row>
    <row r="624">
      <c r="D624" s="39"/>
      <c r="E624" s="39"/>
      <c r="F624" s="39"/>
    </row>
    <row r="625">
      <c r="D625" s="39"/>
      <c r="E625" s="39"/>
      <c r="F625" s="39"/>
    </row>
    <row r="626">
      <c r="D626" s="39"/>
      <c r="E626" s="39"/>
      <c r="F626" s="39"/>
    </row>
    <row r="627">
      <c r="D627" s="39"/>
      <c r="E627" s="39"/>
      <c r="F627" s="39"/>
    </row>
    <row r="628">
      <c r="D628" s="39"/>
      <c r="E628" s="39"/>
      <c r="F628" s="39"/>
    </row>
    <row r="629">
      <c r="D629" s="39"/>
      <c r="E629" s="39"/>
      <c r="F629" s="39"/>
    </row>
    <row r="630">
      <c r="D630" s="39"/>
      <c r="E630" s="39"/>
      <c r="F630" s="39"/>
    </row>
    <row r="631">
      <c r="D631" s="39"/>
      <c r="E631" s="39"/>
      <c r="F631" s="39"/>
    </row>
    <row r="632">
      <c r="D632" s="39"/>
      <c r="E632" s="39"/>
      <c r="F632" s="39"/>
    </row>
    <row r="633">
      <c r="D633" s="39"/>
      <c r="E633" s="39"/>
      <c r="F633" s="39"/>
    </row>
    <row r="634">
      <c r="D634" s="39"/>
      <c r="E634" s="39"/>
      <c r="F634" s="39"/>
    </row>
    <row r="635">
      <c r="D635" s="39"/>
      <c r="E635" s="39"/>
      <c r="F635" s="39"/>
    </row>
    <row r="636">
      <c r="D636" s="39"/>
      <c r="E636" s="39"/>
      <c r="F636" s="39"/>
    </row>
    <row r="637">
      <c r="D637" s="39"/>
      <c r="E637" s="39"/>
      <c r="F637" s="39"/>
    </row>
    <row r="638">
      <c r="D638" s="39"/>
      <c r="E638" s="39"/>
      <c r="F638" s="39"/>
    </row>
    <row r="639">
      <c r="D639" s="39"/>
      <c r="E639" s="39"/>
      <c r="F639" s="39"/>
    </row>
    <row r="640">
      <c r="D640" s="39"/>
      <c r="E640" s="39"/>
      <c r="F640" s="39"/>
    </row>
    <row r="641">
      <c r="D641" s="39"/>
      <c r="E641" s="39"/>
      <c r="F641" s="39"/>
    </row>
    <row r="642">
      <c r="D642" s="39"/>
      <c r="E642" s="39"/>
      <c r="F642" s="39"/>
    </row>
    <row r="643">
      <c r="D643" s="39"/>
      <c r="E643" s="39"/>
      <c r="F643" s="39"/>
    </row>
    <row r="644">
      <c r="D644" s="39"/>
      <c r="E644" s="39"/>
      <c r="F644" s="39"/>
    </row>
    <row r="645">
      <c r="D645" s="39"/>
      <c r="E645" s="39"/>
      <c r="F645" s="39"/>
    </row>
    <row r="646">
      <c r="D646" s="39"/>
      <c r="E646" s="39"/>
      <c r="F646" s="39"/>
    </row>
    <row r="647">
      <c r="D647" s="39"/>
      <c r="E647" s="39"/>
      <c r="F647" s="39"/>
    </row>
    <row r="648">
      <c r="D648" s="39"/>
      <c r="E648" s="39"/>
      <c r="F648" s="39"/>
    </row>
    <row r="649">
      <c r="D649" s="39"/>
      <c r="E649" s="39"/>
      <c r="F649" s="39"/>
    </row>
    <row r="650">
      <c r="D650" s="39"/>
      <c r="E650" s="39"/>
      <c r="F650" s="39"/>
    </row>
    <row r="651">
      <c r="D651" s="39"/>
      <c r="E651" s="39"/>
      <c r="F651" s="39"/>
    </row>
    <row r="652">
      <c r="D652" s="39"/>
      <c r="E652" s="39"/>
      <c r="F652" s="39"/>
    </row>
    <row r="653">
      <c r="D653" s="39"/>
      <c r="E653" s="39"/>
      <c r="F653" s="39"/>
    </row>
    <row r="654">
      <c r="D654" s="39"/>
      <c r="E654" s="39"/>
      <c r="F654" s="39"/>
    </row>
    <row r="655">
      <c r="D655" s="39"/>
      <c r="E655" s="39"/>
      <c r="F655" s="39"/>
    </row>
    <row r="656">
      <c r="D656" s="39"/>
      <c r="E656" s="39"/>
      <c r="F656" s="39"/>
    </row>
    <row r="657">
      <c r="D657" s="39"/>
      <c r="E657" s="39"/>
      <c r="F657" s="39"/>
    </row>
    <row r="658">
      <c r="D658" s="39"/>
      <c r="E658" s="39"/>
      <c r="F658" s="39"/>
    </row>
    <row r="659">
      <c r="D659" s="39"/>
      <c r="E659" s="39"/>
      <c r="F659" s="39"/>
    </row>
    <row r="660">
      <c r="D660" s="39"/>
      <c r="E660" s="39"/>
      <c r="F660" s="39"/>
    </row>
    <row r="661">
      <c r="D661" s="39"/>
      <c r="E661" s="39"/>
      <c r="F661" s="39"/>
    </row>
    <row r="662">
      <c r="D662" s="39"/>
      <c r="E662" s="39"/>
      <c r="F662" s="39"/>
    </row>
    <row r="663">
      <c r="D663" s="39"/>
      <c r="E663" s="39"/>
      <c r="F663" s="39"/>
    </row>
    <row r="664">
      <c r="D664" s="39"/>
      <c r="E664" s="39"/>
      <c r="F664" s="39"/>
    </row>
    <row r="665">
      <c r="D665" s="39"/>
      <c r="E665" s="39"/>
      <c r="F665" s="39"/>
    </row>
    <row r="666">
      <c r="D666" s="39"/>
      <c r="E666" s="39"/>
      <c r="F666" s="39"/>
    </row>
    <row r="667">
      <c r="D667" s="39"/>
      <c r="E667" s="39"/>
      <c r="F667" s="39"/>
    </row>
    <row r="668">
      <c r="D668" s="39"/>
      <c r="E668" s="39"/>
      <c r="F668" s="39"/>
    </row>
    <row r="669">
      <c r="D669" s="39"/>
      <c r="E669" s="39"/>
      <c r="F669" s="39"/>
    </row>
    <row r="670">
      <c r="D670" s="39"/>
      <c r="E670" s="39"/>
      <c r="F670" s="39"/>
    </row>
    <row r="671">
      <c r="D671" s="39"/>
      <c r="E671" s="39"/>
      <c r="F671" s="39"/>
    </row>
    <row r="672">
      <c r="D672" s="39"/>
      <c r="E672" s="39"/>
      <c r="F672" s="39"/>
    </row>
    <row r="673">
      <c r="D673" s="39"/>
      <c r="E673" s="39"/>
      <c r="F673" s="39"/>
    </row>
    <row r="674">
      <c r="D674" s="39"/>
      <c r="E674" s="39"/>
      <c r="F674" s="39"/>
    </row>
    <row r="675">
      <c r="D675" s="39"/>
      <c r="E675" s="39"/>
      <c r="F675" s="39"/>
    </row>
    <row r="676">
      <c r="D676" s="39"/>
      <c r="E676" s="39"/>
      <c r="F676" s="39"/>
    </row>
    <row r="677">
      <c r="D677" s="39"/>
      <c r="E677" s="39"/>
      <c r="F677" s="39"/>
    </row>
    <row r="678">
      <c r="D678" s="39"/>
      <c r="E678" s="39"/>
      <c r="F678" s="39"/>
    </row>
    <row r="679">
      <c r="D679" s="39"/>
      <c r="E679" s="39"/>
      <c r="F679" s="39"/>
    </row>
    <row r="680">
      <c r="D680" s="39"/>
      <c r="E680" s="39"/>
      <c r="F680" s="39"/>
    </row>
    <row r="681">
      <c r="D681" s="39"/>
      <c r="E681" s="39"/>
      <c r="F681" s="39"/>
    </row>
    <row r="682">
      <c r="D682" s="39"/>
      <c r="E682" s="39"/>
      <c r="F682" s="39"/>
    </row>
    <row r="683">
      <c r="D683" s="39"/>
      <c r="E683" s="39"/>
      <c r="F683" s="39"/>
    </row>
    <row r="684">
      <c r="D684" s="39"/>
      <c r="E684" s="39"/>
      <c r="F684" s="39"/>
    </row>
    <row r="685">
      <c r="D685" s="39"/>
      <c r="E685" s="39"/>
      <c r="F685" s="39"/>
    </row>
    <row r="686">
      <c r="D686" s="39"/>
      <c r="E686" s="39"/>
      <c r="F686" s="39"/>
    </row>
    <row r="687">
      <c r="D687" s="39"/>
      <c r="E687" s="39"/>
      <c r="F687" s="39"/>
    </row>
    <row r="688">
      <c r="D688" s="39"/>
      <c r="E688" s="39"/>
      <c r="F688" s="39"/>
    </row>
    <row r="689">
      <c r="D689" s="39"/>
      <c r="E689" s="39"/>
      <c r="F689" s="39"/>
    </row>
    <row r="690">
      <c r="D690" s="39"/>
      <c r="E690" s="39"/>
      <c r="F690" s="39"/>
    </row>
    <row r="691">
      <c r="D691" s="39"/>
      <c r="E691" s="39"/>
      <c r="F691" s="39"/>
    </row>
    <row r="692">
      <c r="D692" s="39"/>
      <c r="E692" s="39"/>
      <c r="F692" s="39"/>
    </row>
    <row r="693">
      <c r="D693" s="39"/>
      <c r="E693" s="39"/>
      <c r="F693" s="39"/>
    </row>
    <row r="694">
      <c r="D694" s="39"/>
      <c r="E694" s="39"/>
      <c r="F694" s="39"/>
    </row>
    <row r="695">
      <c r="D695" s="39"/>
      <c r="E695" s="39"/>
      <c r="F695" s="39"/>
    </row>
    <row r="696">
      <c r="D696" s="39"/>
      <c r="E696" s="39"/>
      <c r="F696" s="39"/>
    </row>
    <row r="697">
      <c r="D697" s="39"/>
      <c r="E697" s="39"/>
      <c r="F697" s="39"/>
    </row>
    <row r="698">
      <c r="D698" s="39"/>
      <c r="E698" s="39"/>
      <c r="F698" s="39"/>
    </row>
    <row r="699">
      <c r="D699" s="39"/>
      <c r="E699" s="39"/>
      <c r="F699" s="39"/>
    </row>
    <row r="700">
      <c r="D700" s="39"/>
      <c r="E700" s="39"/>
      <c r="F700" s="39"/>
    </row>
    <row r="701">
      <c r="D701" s="39"/>
      <c r="E701" s="39"/>
      <c r="F701" s="39"/>
    </row>
    <row r="702">
      <c r="D702" s="39"/>
      <c r="E702" s="39"/>
      <c r="F702" s="39"/>
    </row>
    <row r="703">
      <c r="D703" s="39"/>
      <c r="E703" s="39"/>
      <c r="F703" s="39"/>
    </row>
    <row r="704">
      <c r="D704" s="39"/>
      <c r="E704" s="39"/>
      <c r="F704" s="39"/>
    </row>
    <row r="705">
      <c r="D705" s="39"/>
      <c r="E705" s="39"/>
      <c r="F705" s="39"/>
    </row>
    <row r="706">
      <c r="D706" s="39"/>
      <c r="E706" s="39"/>
      <c r="F706" s="39"/>
    </row>
    <row r="707">
      <c r="D707" s="39"/>
      <c r="E707" s="39"/>
      <c r="F707" s="39"/>
    </row>
    <row r="708">
      <c r="D708" s="39"/>
      <c r="E708" s="39"/>
      <c r="F708" s="39"/>
    </row>
    <row r="709">
      <c r="D709" s="39"/>
      <c r="E709" s="39"/>
      <c r="F709" s="39"/>
    </row>
    <row r="710">
      <c r="D710" s="39"/>
      <c r="E710" s="39"/>
      <c r="F710" s="39"/>
    </row>
    <row r="711">
      <c r="D711" s="39"/>
      <c r="E711" s="39"/>
      <c r="F711" s="39"/>
    </row>
    <row r="712">
      <c r="D712" s="39"/>
      <c r="E712" s="39"/>
      <c r="F712" s="39"/>
    </row>
    <row r="713">
      <c r="D713" s="39"/>
      <c r="E713" s="39"/>
      <c r="F713" s="39"/>
    </row>
    <row r="714">
      <c r="D714" s="39"/>
      <c r="E714" s="39"/>
      <c r="F714" s="39"/>
    </row>
    <row r="715">
      <c r="D715" s="39"/>
      <c r="E715" s="39"/>
      <c r="F715" s="39"/>
    </row>
    <row r="716">
      <c r="D716" s="39"/>
      <c r="E716" s="39"/>
      <c r="F716" s="39"/>
    </row>
    <row r="717">
      <c r="D717" s="39"/>
      <c r="E717" s="39"/>
      <c r="F717" s="39"/>
    </row>
    <row r="718">
      <c r="D718" s="39"/>
      <c r="E718" s="39"/>
      <c r="F718" s="39"/>
    </row>
    <row r="719">
      <c r="D719" s="39"/>
      <c r="E719" s="39"/>
      <c r="F719" s="39"/>
    </row>
    <row r="720">
      <c r="D720" s="39"/>
      <c r="E720" s="39"/>
      <c r="F720" s="39"/>
    </row>
    <row r="721">
      <c r="D721" s="39"/>
      <c r="E721" s="39"/>
      <c r="F721" s="39"/>
    </row>
    <row r="722">
      <c r="D722" s="39"/>
      <c r="E722" s="39"/>
      <c r="F722" s="39"/>
    </row>
    <row r="723">
      <c r="D723" s="39"/>
      <c r="E723" s="39"/>
      <c r="F723" s="39"/>
    </row>
    <row r="724">
      <c r="D724" s="39"/>
      <c r="E724" s="39"/>
      <c r="F724" s="39"/>
    </row>
    <row r="725">
      <c r="D725" s="39"/>
      <c r="E725" s="39"/>
      <c r="F725" s="39"/>
    </row>
    <row r="726">
      <c r="D726" s="39"/>
      <c r="E726" s="39"/>
      <c r="F726" s="39"/>
    </row>
    <row r="727">
      <c r="D727" s="39"/>
      <c r="E727" s="39"/>
      <c r="F727" s="39"/>
    </row>
    <row r="728">
      <c r="D728" s="39"/>
      <c r="E728" s="39"/>
      <c r="F728" s="39"/>
    </row>
    <row r="729">
      <c r="D729" s="39"/>
      <c r="E729" s="39"/>
      <c r="F729" s="39"/>
    </row>
    <row r="730">
      <c r="D730" s="39"/>
      <c r="E730" s="39"/>
      <c r="F730" s="39"/>
    </row>
    <row r="731">
      <c r="D731" s="39"/>
      <c r="E731" s="39"/>
      <c r="F731" s="39"/>
    </row>
    <row r="732">
      <c r="D732" s="39"/>
      <c r="E732" s="39"/>
      <c r="F732" s="39"/>
    </row>
    <row r="733">
      <c r="D733" s="39"/>
      <c r="E733" s="39"/>
      <c r="F733" s="39"/>
    </row>
    <row r="734">
      <c r="D734" s="39"/>
      <c r="E734" s="39"/>
      <c r="F734" s="39"/>
    </row>
    <row r="735">
      <c r="D735" s="39"/>
      <c r="E735" s="39"/>
      <c r="F735" s="39"/>
    </row>
    <row r="736">
      <c r="D736" s="39"/>
      <c r="E736" s="39"/>
      <c r="F736" s="39"/>
    </row>
    <row r="737">
      <c r="D737" s="39"/>
      <c r="E737" s="39"/>
      <c r="F737" s="39"/>
    </row>
    <row r="738">
      <c r="D738" s="39"/>
      <c r="E738" s="39"/>
      <c r="F738" s="39"/>
    </row>
    <row r="739">
      <c r="D739" s="39"/>
      <c r="E739" s="39"/>
      <c r="F739" s="39"/>
    </row>
    <row r="740">
      <c r="D740" s="39"/>
      <c r="E740" s="39"/>
      <c r="F740" s="39"/>
    </row>
    <row r="741">
      <c r="D741" s="39"/>
      <c r="E741" s="39"/>
      <c r="F741" s="39"/>
    </row>
    <row r="742">
      <c r="D742" s="39"/>
      <c r="E742" s="39"/>
      <c r="F742" s="39"/>
    </row>
    <row r="743">
      <c r="D743" s="39"/>
      <c r="E743" s="39"/>
      <c r="F743" s="39"/>
    </row>
    <row r="744">
      <c r="D744" s="39"/>
      <c r="E744" s="39"/>
      <c r="F744" s="39"/>
    </row>
    <row r="745">
      <c r="D745" s="39"/>
      <c r="E745" s="39"/>
      <c r="F745" s="39"/>
    </row>
    <row r="746">
      <c r="D746" s="39"/>
      <c r="E746" s="39"/>
      <c r="F746" s="39"/>
    </row>
    <row r="747">
      <c r="D747" s="39"/>
      <c r="E747" s="39"/>
      <c r="F747" s="39"/>
    </row>
    <row r="748">
      <c r="D748" s="39"/>
      <c r="E748" s="39"/>
      <c r="F748" s="39"/>
    </row>
    <row r="749">
      <c r="D749" s="39"/>
      <c r="E749" s="39"/>
      <c r="F749" s="39"/>
    </row>
    <row r="750">
      <c r="D750" s="39"/>
      <c r="E750" s="39"/>
      <c r="F750" s="39"/>
    </row>
    <row r="751">
      <c r="D751" s="39"/>
      <c r="E751" s="39"/>
      <c r="F751" s="39"/>
    </row>
    <row r="752">
      <c r="D752" s="39"/>
      <c r="E752" s="39"/>
      <c r="F752" s="39"/>
    </row>
    <row r="753">
      <c r="D753" s="39"/>
      <c r="E753" s="39"/>
      <c r="F753" s="39"/>
    </row>
    <row r="754">
      <c r="D754" s="39"/>
      <c r="E754" s="39"/>
      <c r="F754" s="39"/>
    </row>
    <row r="755">
      <c r="D755" s="39"/>
      <c r="E755" s="39"/>
      <c r="F755" s="39"/>
    </row>
    <row r="756">
      <c r="D756" s="39"/>
      <c r="E756" s="39"/>
      <c r="F756" s="39"/>
    </row>
    <row r="757">
      <c r="D757" s="39"/>
      <c r="E757" s="39"/>
      <c r="F757" s="39"/>
    </row>
    <row r="758">
      <c r="D758" s="39"/>
      <c r="E758" s="39"/>
      <c r="F758" s="39"/>
    </row>
    <row r="759">
      <c r="D759" s="39"/>
      <c r="E759" s="39"/>
      <c r="F759" s="39"/>
    </row>
    <row r="760">
      <c r="D760" s="39"/>
      <c r="E760" s="39"/>
      <c r="F760" s="39"/>
    </row>
    <row r="761">
      <c r="D761" s="39"/>
      <c r="E761" s="39"/>
      <c r="F761" s="39"/>
    </row>
    <row r="762">
      <c r="D762" s="39"/>
      <c r="E762" s="39"/>
      <c r="F762" s="39"/>
    </row>
    <row r="763">
      <c r="D763" s="39"/>
      <c r="E763" s="39"/>
      <c r="F763" s="39"/>
    </row>
    <row r="764">
      <c r="D764" s="39"/>
      <c r="E764" s="39"/>
      <c r="F764" s="39"/>
    </row>
    <row r="765">
      <c r="D765" s="39"/>
      <c r="E765" s="39"/>
      <c r="F765" s="39"/>
    </row>
    <row r="766">
      <c r="D766" s="39"/>
      <c r="E766" s="39"/>
      <c r="F766" s="39"/>
    </row>
    <row r="767">
      <c r="D767" s="39"/>
      <c r="E767" s="39"/>
      <c r="F767" s="39"/>
    </row>
    <row r="768">
      <c r="D768" s="39"/>
      <c r="E768" s="39"/>
      <c r="F768" s="39"/>
    </row>
    <row r="769">
      <c r="D769" s="39"/>
      <c r="E769" s="39"/>
      <c r="F769" s="39"/>
    </row>
    <row r="770">
      <c r="D770" s="39"/>
      <c r="E770" s="39"/>
      <c r="F770" s="39"/>
    </row>
    <row r="771">
      <c r="D771" s="39"/>
      <c r="E771" s="39"/>
      <c r="F771" s="39"/>
    </row>
    <row r="772">
      <c r="D772" s="39"/>
      <c r="E772" s="39"/>
      <c r="F772" s="39"/>
    </row>
    <row r="773">
      <c r="D773" s="39"/>
      <c r="E773" s="39"/>
      <c r="F773" s="39"/>
    </row>
    <row r="774">
      <c r="D774" s="39"/>
      <c r="E774" s="39"/>
      <c r="F774" s="39"/>
    </row>
    <row r="775">
      <c r="D775" s="39"/>
      <c r="E775" s="39"/>
      <c r="F775" s="39"/>
    </row>
    <row r="776">
      <c r="D776" s="39"/>
      <c r="E776" s="39"/>
      <c r="F776" s="39"/>
    </row>
    <row r="777">
      <c r="D777" s="39"/>
      <c r="E777" s="39"/>
      <c r="F777" s="39"/>
    </row>
    <row r="778">
      <c r="D778" s="39"/>
      <c r="E778" s="39"/>
      <c r="F778" s="39"/>
    </row>
    <row r="779">
      <c r="D779" s="39"/>
      <c r="E779" s="39"/>
      <c r="F779" s="39"/>
    </row>
    <row r="780">
      <c r="D780" s="39"/>
      <c r="E780" s="39"/>
      <c r="F780" s="39"/>
    </row>
    <row r="781">
      <c r="D781" s="39"/>
      <c r="E781" s="39"/>
      <c r="F781" s="39"/>
    </row>
    <row r="782">
      <c r="D782" s="39"/>
      <c r="E782" s="39"/>
      <c r="F782" s="39"/>
    </row>
    <row r="783">
      <c r="D783" s="39"/>
      <c r="E783" s="39"/>
      <c r="F783" s="39"/>
    </row>
    <row r="784">
      <c r="D784" s="39"/>
      <c r="E784" s="39"/>
      <c r="F784" s="39"/>
    </row>
    <row r="785">
      <c r="D785" s="39"/>
      <c r="E785" s="39"/>
      <c r="F785" s="39"/>
    </row>
    <row r="786">
      <c r="D786" s="39"/>
      <c r="E786" s="39"/>
      <c r="F786" s="39"/>
    </row>
    <row r="787">
      <c r="D787" s="39"/>
      <c r="E787" s="39"/>
      <c r="F787" s="39"/>
    </row>
    <row r="788">
      <c r="D788" s="39"/>
      <c r="E788" s="39"/>
      <c r="F788" s="39"/>
    </row>
    <row r="789">
      <c r="D789" s="39"/>
      <c r="E789" s="39"/>
      <c r="F789" s="39"/>
    </row>
    <row r="790">
      <c r="D790" s="39"/>
      <c r="E790" s="39"/>
      <c r="F790" s="39"/>
    </row>
    <row r="791">
      <c r="D791" s="39"/>
      <c r="E791" s="39"/>
      <c r="F791" s="39"/>
    </row>
    <row r="792">
      <c r="D792" s="39"/>
      <c r="E792" s="39"/>
      <c r="F792" s="39"/>
    </row>
    <row r="793">
      <c r="D793" s="39"/>
      <c r="E793" s="39"/>
      <c r="F793" s="39"/>
    </row>
    <row r="794">
      <c r="D794" s="39"/>
      <c r="E794" s="39"/>
      <c r="F794" s="39"/>
    </row>
    <row r="795">
      <c r="D795" s="39"/>
      <c r="E795" s="39"/>
      <c r="F795" s="39"/>
    </row>
    <row r="796">
      <c r="D796" s="39"/>
      <c r="E796" s="39"/>
      <c r="F796" s="39"/>
    </row>
    <row r="797">
      <c r="D797" s="39"/>
      <c r="E797" s="39"/>
      <c r="F797" s="39"/>
    </row>
    <row r="798">
      <c r="D798" s="39"/>
      <c r="E798" s="39"/>
      <c r="F798" s="39"/>
    </row>
    <row r="799">
      <c r="D799" s="39"/>
      <c r="E799" s="39"/>
      <c r="F799" s="39"/>
    </row>
    <row r="800">
      <c r="D800" s="39"/>
      <c r="E800" s="39"/>
      <c r="F800" s="39"/>
    </row>
    <row r="801">
      <c r="D801" s="39"/>
      <c r="E801" s="39"/>
      <c r="F801" s="39"/>
    </row>
    <row r="802">
      <c r="D802" s="39"/>
      <c r="E802" s="39"/>
      <c r="F802" s="39"/>
    </row>
    <row r="803">
      <c r="D803" s="39"/>
      <c r="E803" s="39"/>
      <c r="F803" s="39"/>
    </row>
    <row r="804">
      <c r="D804" s="39"/>
      <c r="E804" s="39"/>
      <c r="F804" s="39"/>
    </row>
    <row r="805">
      <c r="D805" s="39"/>
      <c r="E805" s="39"/>
      <c r="F805" s="39"/>
    </row>
    <row r="806">
      <c r="D806" s="39"/>
      <c r="E806" s="39"/>
      <c r="F806" s="39"/>
    </row>
    <row r="807">
      <c r="D807" s="39"/>
      <c r="E807" s="39"/>
      <c r="F807" s="39"/>
    </row>
    <row r="808">
      <c r="D808" s="39"/>
      <c r="E808" s="39"/>
      <c r="F808" s="39"/>
    </row>
    <row r="809">
      <c r="D809" s="39"/>
      <c r="E809" s="39"/>
      <c r="F809" s="39"/>
    </row>
    <row r="810">
      <c r="D810" s="39"/>
      <c r="E810" s="39"/>
      <c r="F810" s="39"/>
    </row>
    <row r="811">
      <c r="D811" s="39"/>
      <c r="E811" s="39"/>
      <c r="F811" s="39"/>
    </row>
    <row r="812">
      <c r="D812" s="39"/>
      <c r="E812" s="39"/>
      <c r="F812" s="39"/>
    </row>
    <row r="813">
      <c r="D813" s="39"/>
      <c r="E813" s="39"/>
      <c r="F813" s="39"/>
    </row>
    <row r="814">
      <c r="D814" s="39"/>
      <c r="E814" s="39"/>
      <c r="F814" s="39"/>
    </row>
    <row r="815">
      <c r="D815" s="39"/>
      <c r="E815" s="39"/>
      <c r="F815" s="39"/>
    </row>
    <row r="816">
      <c r="D816" s="39"/>
      <c r="E816" s="39"/>
      <c r="F816" s="39"/>
    </row>
    <row r="817">
      <c r="D817" s="39"/>
      <c r="E817" s="39"/>
      <c r="F817" s="39"/>
    </row>
    <row r="818">
      <c r="D818" s="39"/>
      <c r="E818" s="39"/>
      <c r="F818" s="39"/>
    </row>
    <row r="819">
      <c r="D819" s="39"/>
      <c r="E819" s="39"/>
      <c r="F819" s="39"/>
    </row>
    <row r="820">
      <c r="D820" s="39"/>
      <c r="E820" s="39"/>
      <c r="F820" s="39"/>
    </row>
    <row r="821">
      <c r="D821" s="39"/>
      <c r="E821" s="39"/>
      <c r="F821" s="39"/>
    </row>
    <row r="822">
      <c r="D822" s="39"/>
      <c r="E822" s="39"/>
      <c r="F822" s="39"/>
    </row>
    <row r="823">
      <c r="D823" s="39"/>
      <c r="E823" s="39"/>
      <c r="F823" s="39"/>
    </row>
    <row r="824">
      <c r="D824" s="39"/>
      <c r="E824" s="39"/>
      <c r="F824" s="39"/>
    </row>
    <row r="825">
      <c r="D825" s="39"/>
      <c r="E825" s="39"/>
      <c r="F825" s="39"/>
    </row>
    <row r="826">
      <c r="D826" s="39"/>
      <c r="E826" s="39"/>
      <c r="F826" s="39"/>
    </row>
    <row r="827">
      <c r="D827" s="39"/>
      <c r="E827" s="39"/>
      <c r="F827" s="39"/>
    </row>
    <row r="828">
      <c r="D828" s="39"/>
      <c r="E828" s="39"/>
      <c r="F828" s="39"/>
    </row>
    <row r="829">
      <c r="D829" s="39"/>
      <c r="E829" s="39"/>
      <c r="F829" s="39"/>
    </row>
    <row r="830">
      <c r="D830" s="39"/>
      <c r="E830" s="39"/>
      <c r="F830" s="39"/>
    </row>
    <row r="831">
      <c r="D831" s="39"/>
      <c r="E831" s="39"/>
      <c r="F831" s="39"/>
    </row>
    <row r="832">
      <c r="D832" s="39"/>
      <c r="E832" s="39"/>
      <c r="F832" s="39"/>
    </row>
    <row r="833">
      <c r="D833" s="39"/>
      <c r="E833" s="39"/>
      <c r="F833" s="39"/>
    </row>
    <row r="834">
      <c r="D834" s="39"/>
      <c r="E834" s="39"/>
      <c r="F834" s="39"/>
    </row>
    <row r="835">
      <c r="D835" s="39"/>
      <c r="E835" s="39"/>
      <c r="F835" s="39"/>
    </row>
    <row r="836">
      <c r="D836" s="39"/>
      <c r="E836" s="39"/>
      <c r="F836" s="39"/>
    </row>
    <row r="837">
      <c r="D837" s="39"/>
      <c r="E837" s="39"/>
      <c r="F837" s="39"/>
    </row>
    <row r="838">
      <c r="D838" s="39"/>
      <c r="E838" s="39"/>
      <c r="F838" s="39"/>
    </row>
    <row r="839">
      <c r="D839" s="39"/>
      <c r="E839" s="39"/>
      <c r="F839" s="39"/>
    </row>
    <row r="840">
      <c r="D840" s="39"/>
      <c r="E840" s="39"/>
      <c r="F840" s="39"/>
    </row>
    <row r="841">
      <c r="D841" s="39"/>
      <c r="E841" s="39"/>
      <c r="F841" s="39"/>
    </row>
    <row r="842">
      <c r="D842" s="39"/>
      <c r="E842" s="39"/>
      <c r="F842" s="39"/>
    </row>
    <row r="843">
      <c r="D843" s="39"/>
      <c r="E843" s="39"/>
      <c r="F843" s="39"/>
    </row>
    <row r="844">
      <c r="D844" s="39"/>
      <c r="E844" s="39"/>
      <c r="F844" s="39"/>
    </row>
    <row r="845">
      <c r="D845" s="39"/>
      <c r="E845" s="39"/>
      <c r="F845" s="39"/>
    </row>
    <row r="846">
      <c r="D846" s="39"/>
      <c r="E846" s="39"/>
      <c r="F846" s="39"/>
    </row>
    <row r="847">
      <c r="D847" s="39"/>
      <c r="E847" s="39"/>
      <c r="F847" s="39"/>
    </row>
    <row r="848">
      <c r="D848" s="39"/>
      <c r="E848" s="39"/>
      <c r="F848" s="39"/>
    </row>
    <row r="849">
      <c r="D849" s="39"/>
      <c r="E849" s="39"/>
      <c r="F849" s="39"/>
    </row>
    <row r="850">
      <c r="D850" s="39"/>
      <c r="E850" s="39"/>
      <c r="F850" s="39"/>
    </row>
    <row r="851">
      <c r="D851" s="39"/>
      <c r="E851" s="39"/>
      <c r="F851" s="39"/>
    </row>
    <row r="852">
      <c r="D852" s="39"/>
      <c r="E852" s="39"/>
      <c r="F852" s="39"/>
    </row>
    <row r="853">
      <c r="D853" s="39"/>
      <c r="E853" s="39"/>
      <c r="F853" s="39"/>
    </row>
    <row r="854">
      <c r="D854" s="39"/>
      <c r="E854" s="39"/>
      <c r="F854" s="39"/>
    </row>
    <row r="855">
      <c r="D855" s="39"/>
      <c r="E855" s="39"/>
      <c r="F855" s="39"/>
    </row>
    <row r="856">
      <c r="D856" s="39"/>
      <c r="E856" s="39"/>
      <c r="F856" s="39"/>
    </row>
    <row r="857">
      <c r="D857" s="39"/>
      <c r="E857" s="39"/>
      <c r="F857" s="39"/>
    </row>
    <row r="858">
      <c r="D858" s="39"/>
      <c r="E858" s="39"/>
      <c r="F858" s="39"/>
    </row>
    <row r="859">
      <c r="D859" s="39"/>
      <c r="E859" s="39"/>
      <c r="F859" s="39"/>
    </row>
    <row r="860">
      <c r="D860" s="39"/>
      <c r="E860" s="39"/>
      <c r="F860" s="39"/>
    </row>
    <row r="861">
      <c r="D861" s="39"/>
      <c r="E861" s="39"/>
      <c r="F861" s="39"/>
    </row>
    <row r="862">
      <c r="D862" s="39"/>
      <c r="E862" s="39"/>
      <c r="F862" s="39"/>
    </row>
    <row r="863">
      <c r="D863" s="39"/>
      <c r="E863" s="39"/>
      <c r="F863" s="39"/>
    </row>
    <row r="864">
      <c r="D864" s="39"/>
      <c r="E864" s="39"/>
      <c r="F864" s="39"/>
    </row>
    <row r="865">
      <c r="D865" s="39"/>
      <c r="E865" s="39"/>
      <c r="F865" s="39"/>
    </row>
    <row r="866">
      <c r="D866" s="39"/>
      <c r="E866" s="39"/>
      <c r="F866" s="39"/>
    </row>
    <row r="867">
      <c r="D867" s="39"/>
      <c r="E867" s="39"/>
      <c r="F867" s="39"/>
    </row>
    <row r="868">
      <c r="D868" s="39"/>
      <c r="E868" s="39"/>
      <c r="F868" s="39"/>
    </row>
    <row r="869">
      <c r="D869" s="39"/>
      <c r="E869" s="39"/>
      <c r="F869" s="39"/>
    </row>
    <row r="870">
      <c r="D870" s="39"/>
      <c r="E870" s="39"/>
      <c r="F870" s="39"/>
    </row>
    <row r="871">
      <c r="D871" s="39"/>
      <c r="E871" s="39"/>
      <c r="F871" s="39"/>
    </row>
    <row r="872">
      <c r="D872" s="39"/>
      <c r="E872" s="39"/>
      <c r="F872" s="39"/>
    </row>
    <row r="873">
      <c r="D873" s="39"/>
      <c r="E873" s="39"/>
      <c r="F873" s="39"/>
    </row>
    <row r="874">
      <c r="D874" s="39"/>
      <c r="E874" s="39"/>
      <c r="F874" s="39"/>
    </row>
    <row r="875">
      <c r="D875" s="39"/>
      <c r="E875" s="39"/>
      <c r="F875" s="39"/>
    </row>
    <row r="876">
      <c r="D876" s="39"/>
      <c r="E876" s="39"/>
      <c r="F876" s="39"/>
    </row>
    <row r="877">
      <c r="D877" s="39"/>
      <c r="E877" s="39"/>
      <c r="F877" s="39"/>
    </row>
    <row r="878">
      <c r="D878" s="39"/>
      <c r="E878" s="39"/>
      <c r="F878" s="39"/>
    </row>
    <row r="879">
      <c r="D879" s="39"/>
      <c r="E879" s="39"/>
      <c r="F879" s="39"/>
    </row>
    <row r="880">
      <c r="D880" s="39"/>
      <c r="E880" s="39"/>
      <c r="F880" s="39"/>
    </row>
    <row r="881">
      <c r="D881" s="39"/>
      <c r="E881" s="39"/>
      <c r="F881" s="39"/>
    </row>
    <row r="882">
      <c r="D882" s="39"/>
      <c r="E882" s="39"/>
      <c r="F882" s="39"/>
    </row>
    <row r="883">
      <c r="D883" s="39"/>
      <c r="E883" s="39"/>
      <c r="F883" s="39"/>
    </row>
    <row r="884">
      <c r="D884" s="39"/>
      <c r="E884" s="39"/>
      <c r="F884" s="39"/>
    </row>
    <row r="885">
      <c r="D885" s="39"/>
      <c r="E885" s="39"/>
      <c r="F885" s="39"/>
    </row>
    <row r="886">
      <c r="D886" s="39"/>
      <c r="E886" s="39"/>
      <c r="F886" s="39"/>
    </row>
    <row r="887">
      <c r="D887" s="39"/>
      <c r="E887" s="39"/>
      <c r="F887" s="39"/>
    </row>
    <row r="888">
      <c r="D888" s="39"/>
      <c r="E888" s="39"/>
      <c r="F888" s="39"/>
    </row>
    <row r="889">
      <c r="D889" s="39"/>
      <c r="E889" s="39"/>
      <c r="F889" s="39"/>
    </row>
    <row r="890">
      <c r="D890" s="39"/>
      <c r="E890" s="39"/>
      <c r="F890" s="39"/>
    </row>
    <row r="891">
      <c r="D891" s="39"/>
      <c r="E891" s="39"/>
      <c r="F891" s="39"/>
    </row>
    <row r="892">
      <c r="D892" s="39"/>
      <c r="E892" s="39"/>
      <c r="F892" s="39"/>
    </row>
    <row r="893">
      <c r="D893" s="39"/>
      <c r="E893" s="39"/>
      <c r="F893" s="39"/>
    </row>
    <row r="894">
      <c r="D894" s="39"/>
      <c r="E894" s="39"/>
      <c r="F894" s="39"/>
    </row>
    <row r="895">
      <c r="D895" s="39"/>
      <c r="E895" s="39"/>
      <c r="F895" s="39"/>
    </row>
    <row r="896">
      <c r="D896" s="39"/>
      <c r="E896" s="39"/>
      <c r="F896" s="39"/>
    </row>
    <row r="897">
      <c r="D897" s="39"/>
      <c r="E897" s="39"/>
      <c r="F897" s="39"/>
    </row>
    <row r="898">
      <c r="D898" s="39"/>
      <c r="E898" s="39"/>
      <c r="F898" s="39"/>
    </row>
    <row r="899">
      <c r="D899" s="39"/>
      <c r="E899" s="39"/>
      <c r="F899" s="39"/>
    </row>
    <row r="900">
      <c r="D900" s="39"/>
      <c r="E900" s="39"/>
      <c r="F900" s="39"/>
    </row>
    <row r="901">
      <c r="D901" s="39"/>
      <c r="E901" s="39"/>
      <c r="F901" s="39"/>
    </row>
    <row r="902">
      <c r="D902" s="39"/>
      <c r="E902" s="39"/>
      <c r="F902" s="39"/>
    </row>
    <row r="903">
      <c r="D903" s="39"/>
      <c r="E903" s="39"/>
      <c r="F903" s="39"/>
    </row>
    <row r="904">
      <c r="D904" s="39"/>
      <c r="E904" s="39"/>
      <c r="F904" s="39"/>
    </row>
    <row r="905">
      <c r="D905" s="39"/>
      <c r="E905" s="39"/>
      <c r="F905" s="39"/>
    </row>
    <row r="906">
      <c r="D906" s="39"/>
      <c r="E906" s="39"/>
      <c r="F906" s="39"/>
    </row>
    <row r="907">
      <c r="D907" s="39"/>
      <c r="E907" s="39"/>
      <c r="F907" s="39"/>
    </row>
    <row r="908">
      <c r="D908" s="39"/>
      <c r="E908" s="39"/>
      <c r="F908" s="39"/>
    </row>
    <row r="909">
      <c r="D909" s="39"/>
      <c r="E909" s="39"/>
      <c r="F909" s="39"/>
    </row>
    <row r="910">
      <c r="D910" s="39"/>
      <c r="E910" s="39"/>
      <c r="F910" s="39"/>
    </row>
    <row r="911">
      <c r="D911" s="39"/>
      <c r="E911" s="39"/>
      <c r="F911" s="39"/>
    </row>
    <row r="912">
      <c r="D912" s="39"/>
      <c r="E912" s="39"/>
      <c r="F912" s="39"/>
    </row>
    <row r="913">
      <c r="D913" s="39"/>
      <c r="E913" s="39"/>
      <c r="F913" s="39"/>
    </row>
    <row r="914">
      <c r="D914" s="39"/>
      <c r="E914" s="39"/>
      <c r="F914" s="39"/>
    </row>
    <row r="915">
      <c r="D915" s="39"/>
      <c r="E915" s="39"/>
      <c r="F915" s="39"/>
    </row>
    <row r="916">
      <c r="D916" s="39"/>
      <c r="E916" s="39"/>
      <c r="F916" s="39"/>
    </row>
    <row r="917">
      <c r="D917" s="39"/>
      <c r="E917" s="39"/>
      <c r="F917" s="39"/>
    </row>
    <row r="918">
      <c r="D918" s="39"/>
      <c r="E918" s="39"/>
      <c r="F918" s="39"/>
    </row>
    <row r="919">
      <c r="D919" s="39"/>
      <c r="E919" s="39"/>
      <c r="F919" s="39"/>
    </row>
    <row r="920">
      <c r="D920" s="39"/>
      <c r="E920" s="39"/>
      <c r="F920" s="39"/>
    </row>
    <row r="921">
      <c r="D921" s="39"/>
      <c r="E921" s="39"/>
      <c r="F921" s="39"/>
    </row>
    <row r="922">
      <c r="D922" s="39"/>
      <c r="E922" s="39"/>
      <c r="F922" s="39"/>
    </row>
    <row r="923">
      <c r="D923" s="39"/>
      <c r="E923" s="39"/>
      <c r="F923" s="39"/>
    </row>
    <row r="924">
      <c r="D924" s="39"/>
      <c r="E924" s="39"/>
      <c r="F924" s="39"/>
    </row>
    <row r="925">
      <c r="D925" s="39"/>
      <c r="E925" s="39"/>
      <c r="F925" s="39"/>
    </row>
    <row r="926">
      <c r="D926" s="39"/>
      <c r="E926" s="39"/>
      <c r="F926" s="39"/>
    </row>
    <row r="927">
      <c r="D927" s="39"/>
      <c r="E927" s="39"/>
      <c r="F927" s="39"/>
    </row>
    <row r="928">
      <c r="D928" s="39"/>
      <c r="E928" s="39"/>
      <c r="F928" s="39"/>
    </row>
    <row r="929">
      <c r="D929" s="39"/>
      <c r="E929" s="39"/>
      <c r="F929" s="39"/>
    </row>
    <row r="930">
      <c r="D930" s="39"/>
      <c r="E930" s="39"/>
      <c r="F930" s="39"/>
    </row>
    <row r="931">
      <c r="D931" s="39"/>
      <c r="E931" s="39"/>
      <c r="F931" s="39"/>
    </row>
    <row r="932">
      <c r="D932" s="39"/>
      <c r="E932" s="39"/>
      <c r="F932" s="39"/>
    </row>
    <row r="933">
      <c r="D933" s="39"/>
      <c r="E933" s="39"/>
      <c r="F933" s="39"/>
    </row>
    <row r="934">
      <c r="D934" s="39"/>
      <c r="E934" s="39"/>
      <c r="F934" s="39"/>
    </row>
    <row r="935">
      <c r="D935" s="39"/>
      <c r="E935" s="39"/>
      <c r="F935" s="39"/>
    </row>
    <row r="936">
      <c r="D936" s="39"/>
      <c r="E936" s="39"/>
      <c r="F936" s="39"/>
    </row>
    <row r="937">
      <c r="D937" s="39"/>
      <c r="E937" s="39"/>
      <c r="F937" s="39"/>
    </row>
    <row r="938">
      <c r="D938" s="39"/>
      <c r="E938" s="39"/>
      <c r="F938" s="39"/>
    </row>
    <row r="939">
      <c r="D939" s="39"/>
      <c r="E939" s="39"/>
      <c r="F939" s="39"/>
    </row>
    <row r="940">
      <c r="D940" s="39"/>
      <c r="E940" s="39"/>
      <c r="F940" s="39"/>
    </row>
    <row r="941">
      <c r="D941" s="39"/>
      <c r="E941" s="39"/>
      <c r="F941" s="39"/>
    </row>
    <row r="942">
      <c r="D942" s="39"/>
      <c r="E942" s="39"/>
      <c r="F942" s="39"/>
    </row>
    <row r="943">
      <c r="D943" s="39"/>
      <c r="E943" s="39"/>
      <c r="F943" s="39"/>
    </row>
    <row r="944">
      <c r="D944" s="39"/>
      <c r="E944" s="39"/>
      <c r="F944" s="39"/>
    </row>
    <row r="945">
      <c r="D945" s="39"/>
      <c r="E945" s="39"/>
      <c r="F945" s="39"/>
    </row>
    <row r="946">
      <c r="D946" s="39"/>
      <c r="E946" s="39"/>
      <c r="F946" s="39"/>
    </row>
    <row r="947">
      <c r="D947" s="39"/>
      <c r="E947" s="39"/>
      <c r="F947" s="39"/>
    </row>
    <row r="948">
      <c r="D948" s="39"/>
      <c r="E948" s="39"/>
      <c r="F948" s="39"/>
    </row>
    <row r="949">
      <c r="D949" s="39"/>
      <c r="E949" s="39"/>
      <c r="F949" s="39"/>
    </row>
    <row r="950">
      <c r="D950" s="39"/>
      <c r="E950" s="39"/>
      <c r="F950" s="39"/>
    </row>
    <row r="951">
      <c r="D951" s="39"/>
      <c r="E951" s="39"/>
      <c r="F951" s="39"/>
    </row>
    <row r="952">
      <c r="D952" s="39"/>
      <c r="E952" s="39"/>
      <c r="F952" s="39"/>
    </row>
    <row r="953">
      <c r="D953" s="39"/>
      <c r="E953" s="39"/>
      <c r="F953" s="39"/>
    </row>
    <row r="954">
      <c r="D954" s="39"/>
      <c r="E954" s="39"/>
      <c r="F954" s="39"/>
    </row>
    <row r="955">
      <c r="D955" s="39"/>
      <c r="E955" s="39"/>
      <c r="F955" s="39"/>
    </row>
    <row r="956">
      <c r="D956" s="39"/>
      <c r="E956" s="39"/>
      <c r="F956" s="39"/>
    </row>
    <row r="957">
      <c r="D957" s="39"/>
      <c r="E957" s="39"/>
      <c r="F957" s="39"/>
    </row>
    <row r="958">
      <c r="D958" s="39"/>
      <c r="E958" s="39"/>
      <c r="F958" s="39"/>
    </row>
    <row r="959">
      <c r="D959" s="39"/>
      <c r="E959" s="39"/>
      <c r="F959" s="39"/>
    </row>
    <row r="960">
      <c r="D960" s="39"/>
      <c r="E960" s="39"/>
      <c r="F960" s="39"/>
    </row>
    <row r="961">
      <c r="D961" s="39"/>
      <c r="E961" s="39"/>
      <c r="F961" s="39"/>
    </row>
    <row r="962">
      <c r="D962" s="39"/>
      <c r="E962" s="39"/>
      <c r="F962" s="39"/>
    </row>
    <row r="963">
      <c r="D963" s="39"/>
      <c r="E963" s="39"/>
      <c r="F963" s="39"/>
    </row>
    <row r="964">
      <c r="D964" s="39"/>
      <c r="E964" s="39"/>
      <c r="F964" s="39"/>
    </row>
    <row r="965">
      <c r="D965" s="39"/>
      <c r="E965" s="39"/>
      <c r="F965" s="39"/>
    </row>
    <row r="966">
      <c r="D966" s="39"/>
      <c r="E966" s="39"/>
      <c r="F966" s="39"/>
    </row>
    <row r="967">
      <c r="D967" s="39"/>
      <c r="E967" s="39"/>
      <c r="F967" s="39"/>
    </row>
    <row r="968">
      <c r="D968" s="39"/>
      <c r="E968" s="39"/>
      <c r="F968" s="39"/>
    </row>
    <row r="969">
      <c r="D969" s="39"/>
      <c r="E969" s="39"/>
      <c r="F969" s="39"/>
    </row>
    <row r="970">
      <c r="D970" s="39"/>
      <c r="E970" s="39"/>
      <c r="F970" s="39"/>
    </row>
    <row r="971">
      <c r="D971" s="39"/>
      <c r="E971" s="39"/>
      <c r="F971" s="39"/>
    </row>
    <row r="972">
      <c r="D972" s="39"/>
      <c r="E972" s="39"/>
      <c r="F972" s="39"/>
    </row>
    <row r="973">
      <c r="D973" s="39"/>
      <c r="E973" s="39"/>
      <c r="F973" s="39"/>
    </row>
    <row r="974">
      <c r="D974" s="39"/>
      <c r="E974" s="39"/>
      <c r="F974" s="39"/>
    </row>
    <row r="975">
      <c r="D975" s="39"/>
      <c r="E975" s="39"/>
      <c r="F975" s="39"/>
    </row>
    <row r="976">
      <c r="D976" s="39"/>
      <c r="E976" s="39"/>
      <c r="F976" s="39"/>
    </row>
    <row r="977">
      <c r="D977" s="39"/>
      <c r="E977" s="39"/>
      <c r="F977" s="39"/>
    </row>
    <row r="978">
      <c r="D978" s="39"/>
      <c r="E978" s="39"/>
      <c r="F978" s="39"/>
    </row>
    <row r="979">
      <c r="D979" s="39"/>
      <c r="E979" s="39"/>
      <c r="F979" s="39"/>
    </row>
    <row r="980">
      <c r="D980" s="39"/>
      <c r="E980" s="39"/>
      <c r="F980" s="39"/>
    </row>
    <row r="981">
      <c r="D981" s="39"/>
      <c r="E981" s="39"/>
      <c r="F981" s="39"/>
    </row>
    <row r="982">
      <c r="D982" s="39"/>
      <c r="E982" s="39"/>
      <c r="F982" s="39"/>
    </row>
    <row r="983">
      <c r="D983" s="39"/>
      <c r="E983" s="39"/>
      <c r="F983" s="39"/>
    </row>
    <row r="984">
      <c r="D984" s="39"/>
      <c r="E984" s="39"/>
      <c r="F984" s="39"/>
    </row>
    <row r="985">
      <c r="D985" s="39"/>
      <c r="E985" s="39"/>
      <c r="F985" s="39"/>
    </row>
    <row r="986">
      <c r="D986" s="39"/>
      <c r="E986" s="39"/>
      <c r="F986" s="39"/>
    </row>
    <row r="987">
      <c r="D987" s="39"/>
      <c r="E987" s="39"/>
      <c r="F987" s="39"/>
    </row>
    <row r="988">
      <c r="D988" s="39"/>
      <c r="E988" s="39"/>
      <c r="F988" s="39"/>
    </row>
    <row r="989">
      <c r="D989" s="39"/>
      <c r="E989" s="39"/>
      <c r="F989" s="39"/>
    </row>
    <row r="990">
      <c r="D990" s="39"/>
      <c r="E990" s="39"/>
      <c r="F990" s="39"/>
    </row>
    <row r="991">
      <c r="D991" s="39"/>
      <c r="E991" s="39"/>
      <c r="F991" s="39"/>
    </row>
    <row r="992">
      <c r="D992" s="39"/>
      <c r="E992" s="39"/>
      <c r="F992" s="39"/>
    </row>
    <row r="993">
      <c r="D993" s="39"/>
      <c r="E993" s="39"/>
      <c r="F993" s="39"/>
    </row>
    <row r="994">
      <c r="D994" s="39"/>
      <c r="E994" s="39"/>
      <c r="F994" s="39"/>
    </row>
    <row r="995">
      <c r="D995" s="39"/>
      <c r="E995" s="39"/>
      <c r="F995" s="39"/>
    </row>
    <row r="996">
      <c r="D996" s="39"/>
      <c r="E996" s="39"/>
      <c r="F996" s="39"/>
    </row>
    <row r="997">
      <c r="D997" s="39"/>
      <c r="E997" s="39"/>
      <c r="F997" s="39"/>
    </row>
    <row r="998">
      <c r="D998" s="39"/>
      <c r="E998" s="39"/>
      <c r="F998" s="39"/>
    </row>
    <row r="999">
      <c r="D999" s="39"/>
      <c r="E999" s="39"/>
      <c r="F999" s="39"/>
    </row>
    <row r="1000">
      <c r="D1000" s="39"/>
      <c r="E1000" s="39"/>
      <c r="F1000" s="39"/>
    </row>
    <row r="1001">
      <c r="D1001" s="39"/>
      <c r="E1001" s="39"/>
      <c r="F1001" s="39"/>
    </row>
    <row r="1002">
      <c r="D1002" s="39"/>
      <c r="E1002" s="39"/>
      <c r="F1002" s="39"/>
    </row>
    <row r="1003">
      <c r="D1003" s="39"/>
      <c r="E1003" s="39"/>
      <c r="F1003" s="39"/>
    </row>
    <row r="1004">
      <c r="D1004" s="39"/>
      <c r="E1004" s="39"/>
      <c r="F1004" s="39"/>
    </row>
    <row r="1005">
      <c r="D1005" s="39"/>
      <c r="E1005" s="39"/>
      <c r="F1005" s="39"/>
    </row>
    <row r="1006">
      <c r="D1006" s="39"/>
      <c r="E1006" s="39"/>
      <c r="F1006" s="39"/>
    </row>
    <row r="1007">
      <c r="D1007" s="39"/>
      <c r="E1007" s="39"/>
      <c r="F1007" s="39"/>
    </row>
    <row r="1008">
      <c r="D1008" s="39"/>
      <c r="E1008" s="39"/>
      <c r="F1008" s="39"/>
    </row>
    <row r="1009">
      <c r="D1009" s="39"/>
      <c r="E1009" s="39"/>
      <c r="F1009" s="39"/>
    </row>
    <row r="1010">
      <c r="D1010" s="39"/>
      <c r="E1010" s="39"/>
      <c r="F1010" s="39"/>
    </row>
    <row r="1011">
      <c r="D1011" s="39"/>
      <c r="E1011" s="39"/>
      <c r="F1011" s="39"/>
    </row>
    <row r="1012">
      <c r="D1012" s="39"/>
      <c r="E1012" s="39"/>
      <c r="F1012" s="39"/>
    </row>
    <row r="1013">
      <c r="D1013" s="39"/>
      <c r="E1013" s="39"/>
      <c r="F1013" s="39"/>
    </row>
    <row r="1014">
      <c r="D1014" s="39"/>
      <c r="E1014" s="39"/>
      <c r="F1014" s="39"/>
    </row>
    <row r="1015">
      <c r="D1015" s="39"/>
      <c r="E1015" s="39"/>
      <c r="F1015" s="39"/>
    </row>
    <row r="1016">
      <c r="D1016" s="39"/>
      <c r="E1016" s="39"/>
      <c r="F1016" s="39"/>
    </row>
    <row r="1017">
      <c r="D1017" s="39"/>
      <c r="E1017" s="39"/>
      <c r="F1017" s="39"/>
    </row>
    <row r="1018">
      <c r="D1018" s="39"/>
      <c r="E1018" s="39"/>
      <c r="F1018" s="39"/>
    </row>
    <row r="1019">
      <c r="D1019" s="39"/>
      <c r="E1019" s="39"/>
      <c r="F1019" s="39"/>
    </row>
    <row r="1020">
      <c r="D1020" s="39"/>
      <c r="E1020" s="39"/>
      <c r="F1020" s="39"/>
    </row>
    <row r="1021">
      <c r="D1021" s="39"/>
      <c r="E1021" s="39"/>
      <c r="F1021" s="39"/>
    </row>
    <row r="1022">
      <c r="D1022" s="39"/>
      <c r="E1022" s="39"/>
      <c r="F1022" s="39"/>
    </row>
    <row r="1023">
      <c r="D1023" s="39"/>
      <c r="E1023" s="39"/>
      <c r="F1023" s="39"/>
    </row>
    <row r="1024">
      <c r="D1024" s="39"/>
      <c r="E1024" s="39"/>
      <c r="F1024" s="39"/>
    </row>
    <row r="1025">
      <c r="D1025" s="39"/>
      <c r="E1025" s="39"/>
      <c r="F1025" s="39"/>
    </row>
    <row r="1026">
      <c r="D1026" s="39"/>
      <c r="E1026" s="39"/>
      <c r="F1026" s="39"/>
    </row>
    <row r="1027">
      <c r="D1027" s="39"/>
      <c r="E1027" s="39"/>
      <c r="F1027" s="39"/>
    </row>
    <row r="1028">
      <c r="D1028" s="39"/>
      <c r="E1028" s="39"/>
      <c r="F1028" s="39"/>
    </row>
    <row r="1029">
      <c r="D1029" s="39"/>
      <c r="E1029" s="39"/>
      <c r="F1029" s="39"/>
    </row>
    <row r="1030">
      <c r="D1030" s="39"/>
      <c r="E1030" s="39"/>
      <c r="F1030" s="39"/>
    </row>
    <row r="1031">
      <c r="D1031" s="39"/>
      <c r="E1031" s="39"/>
      <c r="F1031" s="39"/>
    </row>
    <row r="1032">
      <c r="D1032" s="39"/>
      <c r="E1032" s="39"/>
      <c r="F1032" s="39"/>
    </row>
    <row r="1033">
      <c r="D1033" s="39"/>
      <c r="E1033" s="39"/>
      <c r="F1033" s="39"/>
    </row>
    <row r="1034">
      <c r="D1034" s="39"/>
      <c r="E1034" s="39"/>
      <c r="F1034" s="39"/>
    </row>
    <row r="1035">
      <c r="D1035" s="39"/>
      <c r="E1035" s="39"/>
      <c r="F1035" s="39"/>
    </row>
    <row r="1036">
      <c r="D1036" s="39"/>
      <c r="E1036" s="39"/>
      <c r="F1036" s="39"/>
    </row>
    <row r="1037">
      <c r="D1037" s="39"/>
      <c r="E1037" s="39"/>
      <c r="F1037" s="39"/>
    </row>
    <row r="1038">
      <c r="D1038" s="39"/>
      <c r="E1038" s="39"/>
      <c r="F1038" s="39"/>
    </row>
    <row r="1039">
      <c r="D1039" s="39"/>
      <c r="E1039" s="39"/>
      <c r="F1039" s="39"/>
    </row>
    <row r="1040">
      <c r="D1040" s="39"/>
      <c r="E1040" s="39"/>
      <c r="F1040" s="39"/>
    </row>
    <row r="1041">
      <c r="D1041" s="39"/>
      <c r="E1041" s="39"/>
      <c r="F1041" s="39"/>
    </row>
    <row r="1042">
      <c r="D1042" s="39"/>
      <c r="E1042" s="39"/>
      <c r="F1042" s="39"/>
    </row>
    <row r="1043">
      <c r="D1043" s="39"/>
      <c r="E1043" s="39"/>
      <c r="F1043" s="39"/>
    </row>
    <row r="1044">
      <c r="D1044" s="39"/>
      <c r="E1044" s="39"/>
      <c r="F1044" s="39"/>
    </row>
    <row r="1045">
      <c r="D1045" s="39"/>
      <c r="E1045" s="39"/>
      <c r="F1045" s="39"/>
    </row>
    <row r="1046">
      <c r="D1046" s="39"/>
      <c r="E1046" s="39"/>
      <c r="F1046" s="39"/>
    </row>
    <row r="1047">
      <c r="D1047" s="39"/>
      <c r="E1047" s="39"/>
      <c r="F1047" s="39"/>
    </row>
    <row r="1048">
      <c r="D1048" s="39"/>
      <c r="E1048" s="39"/>
      <c r="F1048" s="39"/>
    </row>
    <row r="1049">
      <c r="D1049" s="39"/>
      <c r="E1049" s="39"/>
      <c r="F1049" s="39"/>
    </row>
    <row r="1050">
      <c r="D1050" s="39"/>
      <c r="E1050" s="39"/>
      <c r="F1050" s="39"/>
    </row>
    <row r="1051">
      <c r="D1051" s="39"/>
      <c r="E1051" s="39"/>
      <c r="F1051" s="39"/>
    </row>
    <row r="1052">
      <c r="D1052" s="39"/>
      <c r="E1052" s="39"/>
      <c r="F1052" s="39"/>
    </row>
    <row r="1053">
      <c r="D1053" s="39"/>
      <c r="E1053" s="39"/>
      <c r="F1053" s="39"/>
    </row>
    <row r="1054">
      <c r="D1054" s="39"/>
      <c r="E1054" s="39"/>
      <c r="F1054" s="39"/>
    </row>
    <row r="1055">
      <c r="D1055" s="39"/>
      <c r="E1055" s="39"/>
      <c r="F1055" s="39"/>
    </row>
    <row r="1056">
      <c r="D1056" s="39"/>
      <c r="E1056" s="39"/>
      <c r="F1056" s="39"/>
    </row>
    <row r="1057">
      <c r="D1057" s="39"/>
      <c r="E1057" s="39"/>
      <c r="F1057" s="39"/>
    </row>
    <row r="1058">
      <c r="D1058" s="39"/>
      <c r="E1058" s="39"/>
      <c r="F1058" s="39"/>
    </row>
    <row r="1059">
      <c r="D1059" s="39"/>
      <c r="E1059" s="39"/>
      <c r="F1059" s="39"/>
    </row>
    <row r="1060">
      <c r="D1060" s="39"/>
      <c r="E1060" s="39"/>
      <c r="F1060" s="39"/>
    </row>
    <row r="1061">
      <c r="D1061" s="39"/>
      <c r="E1061" s="39"/>
      <c r="F1061" s="39"/>
    </row>
    <row r="1062">
      <c r="D1062" s="39"/>
      <c r="E1062" s="39"/>
      <c r="F1062" s="39"/>
    </row>
    <row r="1063">
      <c r="D1063" s="39"/>
      <c r="E1063" s="39"/>
      <c r="F1063" s="39"/>
    </row>
    <row r="1064">
      <c r="D1064" s="39"/>
      <c r="E1064" s="39"/>
      <c r="F1064" s="39"/>
    </row>
    <row r="1065">
      <c r="D1065" s="39"/>
      <c r="E1065" s="39"/>
      <c r="F1065" s="39"/>
    </row>
    <row r="1066">
      <c r="D1066" s="39"/>
      <c r="E1066" s="39"/>
      <c r="F1066" s="39"/>
    </row>
    <row r="1067">
      <c r="D1067" s="39"/>
      <c r="E1067" s="39"/>
      <c r="F1067" s="39"/>
    </row>
    <row r="1068">
      <c r="D1068" s="39"/>
      <c r="E1068" s="39"/>
      <c r="F1068" s="39"/>
    </row>
    <row r="1069">
      <c r="D1069" s="39"/>
      <c r="E1069" s="39"/>
      <c r="F1069" s="39"/>
    </row>
    <row r="1070">
      <c r="D1070" s="39"/>
      <c r="E1070" s="39"/>
      <c r="F1070" s="39"/>
    </row>
    <row r="1071">
      <c r="D1071" s="39"/>
      <c r="E1071" s="39"/>
      <c r="F1071" s="39"/>
    </row>
    <row r="1072">
      <c r="D1072" s="39"/>
      <c r="E1072" s="39"/>
      <c r="F1072" s="39"/>
    </row>
    <row r="1073">
      <c r="D1073" s="39"/>
      <c r="E1073" s="39"/>
      <c r="F1073" s="39"/>
    </row>
    <row r="1074">
      <c r="D1074" s="39"/>
      <c r="E1074" s="39"/>
      <c r="F1074" s="39"/>
    </row>
    <row r="1075">
      <c r="D1075" s="39"/>
      <c r="E1075" s="39"/>
      <c r="F1075" s="39"/>
    </row>
    <row r="1076">
      <c r="D1076" s="39"/>
      <c r="E1076" s="39"/>
      <c r="F1076" s="39"/>
    </row>
    <row r="1077">
      <c r="D1077" s="39"/>
      <c r="E1077" s="39"/>
      <c r="F1077" s="39"/>
    </row>
    <row r="1078">
      <c r="D1078" s="39"/>
      <c r="E1078" s="39"/>
      <c r="F1078" s="39"/>
    </row>
    <row r="1079">
      <c r="D1079" s="39"/>
      <c r="E1079" s="39"/>
      <c r="F1079" s="39"/>
    </row>
    <row r="1080">
      <c r="D1080" s="39"/>
      <c r="E1080" s="39"/>
      <c r="F1080" s="39"/>
    </row>
    <row r="1081">
      <c r="D1081" s="39"/>
      <c r="E1081" s="39"/>
      <c r="F1081" s="39"/>
    </row>
    <row r="1082">
      <c r="D1082" s="39"/>
      <c r="E1082" s="39"/>
      <c r="F1082" s="39"/>
    </row>
    <row r="1083">
      <c r="D1083" s="39"/>
      <c r="E1083" s="39"/>
      <c r="F1083" s="39"/>
    </row>
    <row r="1084">
      <c r="D1084" s="39"/>
      <c r="E1084" s="39"/>
      <c r="F1084" s="39"/>
    </row>
    <row r="1085">
      <c r="D1085" s="39"/>
      <c r="E1085" s="39"/>
      <c r="F1085" s="39"/>
    </row>
    <row r="1086">
      <c r="D1086" s="39"/>
      <c r="E1086" s="39"/>
      <c r="F1086" s="39"/>
    </row>
    <row r="1087">
      <c r="D1087" s="39"/>
      <c r="E1087" s="39"/>
      <c r="F1087" s="39"/>
    </row>
    <row r="1088">
      <c r="D1088" s="39"/>
      <c r="E1088" s="39"/>
      <c r="F1088" s="39"/>
    </row>
    <row r="1089">
      <c r="D1089" s="39"/>
      <c r="E1089" s="39"/>
      <c r="F1089" s="39"/>
    </row>
    <row r="1090">
      <c r="D1090" s="39"/>
      <c r="E1090" s="39"/>
      <c r="F1090" s="39"/>
    </row>
    <row r="1091">
      <c r="D1091" s="39"/>
      <c r="E1091" s="39"/>
      <c r="F1091" s="39"/>
    </row>
    <row r="1092">
      <c r="D1092" s="39"/>
      <c r="E1092" s="39"/>
      <c r="F1092" s="39"/>
    </row>
    <row r="1093">
      <c r="D1093" s="39"/>
      <c r="E1093" s="39"/>
      <c r="F1093" s="39"/>
    </row>
    <row r="1094">
      <c r="D1094" s="39"/>
      <c r="E1094" s="39"/>
      <c r="F1094" s="39"/>
    </row>
    <row r="1095">
      <c r="D1095" s="39"/>
      <c r="E1095" s="39"/>
      <c r="F1095" s="39"/>
    </row>
    <row r="1096">
      <c r="D1096" s="39"/>
      <c r="E1096" s="39"/>
      <c r="F1096" s="39"/>
    </row>
    <row r="1097">
      <c r="D1097" s="39"/>
      <c r="E1097" s="39"/>
      <c r="F1097" s="39"/>
    </row>
    <row r="1098">
      <c r="D1098" s="39"/>
      <c r="E1098" s="39"/>
      <c r="F1098" s="39"/>
    </row>
    <row r="1099">
      <c r="D1099" s="39"/>
      <c r="E1099" s="39"/>
      <c r="F1099" s="39"/>
    </row>
    <row r="1100">
      <c r="D1100" s="39"/>
      <c r="E1100" s="39"/>
      <c r="F1100" s="39"/>
    </row>
    <row r="1101">
      <c r="D1101" s="39"/>
      <c r="E1101" s="39"/>
      <c r="F1101" s="39"/>
    </row>
    <row r="1102">
      <c r="D1102" s="39"/>
      <c r="E1102" s="39"/>
      <c r="F1102" s="39"/>
    </row>
    <row r="1103">
      <c r="D1103" s="39"/>
      <c r="E1103" s="39"/>
      <c r="F1103" s="39"/>
    </row>
    <row r="1104">
      <c r="D1104" s="39"/>
      <c r="E1104" s="39"/>
      <c r="F1104" s="39"/>
    </row>
    <row r="1105">
      <c r="D1105" s="39"/>
      <c r="E1105" s="39"/>
      <c r="F1105" s="39"/>
    </row>
    <row r="1106">
      <c r="D1106" s="39"/>
      <c r="E1106" s="39"/>
      <c r="F1106" s="39"/>
    </row>
    <row r="1107">
      <c r="D1107" s="39"/>
      <c r="E1107" s="39"/>
      <c r="F1107" s="39"/>
    </row>
    <row r="1108">
      <c r="D1108" s="39"/>
      <c r="E1108" s="39"/>
      <c r="F1108" s="39"/>
    </row>
    <row r="1109">
      <c r="D1109" s="39"/>
      <c r="E1109" s="39"/>
      <c r="F1109" s="39"/>
    </row>
    <row r="1110">
      <c r="D1110" s="39"/>
      <c r="E1110" s="39"/>
      <c r="F1110" s="39"/>
    </row>
    <row r="1111">
      <c r="D1111" s="39"/>
      <c r="E1111" s="39"/>
      <c r="F1111" s="39"/>
    </row>
    <row r="1112">
      <c r="D1112" s="39"/>
      <c r="E1112" s="39"/>
      <c r="F1112" s="39"/>
    </row>
    <row r="1113">
      <c r="D1113" s="39"/>
      <c r="E1113" s="39"/>
      <c r="F1113" s="39"/>
    </row>
    <row r="1114">
      <c r="D1114" s="39"/>
      <c r="E1114" s="39"/>
      <c r="F1114" s="39"/>
    </row>
    <row r="1115">
      <c r="D1115" s="39"/>
      <c r="E1115" s="39"/>
      <c r="F1115" s="39"/>
    </row>
    <row r="1116">
      <c r="D1116" s="39"/>
      <c r="E1116" s="39"/>
      <c r="F1116" s="39"/>
    </row>
    <row r="1117">
      <c r="D1117" s="39"/>
      <c r="E1117" s="39"/>
      <c r="F1117" s="39"/>
    </row>
    <row r="1118">
      <c r="D1118" s="39"/>
      <c r="E1118" s="39"/>
      <c r="F1118" s="39"/>
    </row>
    <row r="1119">
      <c r="D1119" s="39"/>
      <c r="E1119" s="39"/>
      <c r="F1119" s="39"/>
    </row>
    <row r="1120">
      <c r="D1120" s="39"/>
      <c r="E1120" s="39"/>
      <c r="F1120" s="39"/>
    </row>
    <row r="1121">
      <c r="D1121" s="39"/>
      <c r="E1121" s="39"/>
      <c r="F1121" s="39"/>
    </row>
    <row r="1122">
      <c r="D1122" s="39"/>
      <c r="E1122" s="39"/>
      <c r="F1122" s="39"/>
    </row>
    <row r="1123">
      <c r="D1123" s="39"/>
      <c r="E1123" s="39"/>
      <c r="F1123" s="39"/>
    </row>
    <row r="1124">
      <c r="D1124" s="39"/>
      <c r="E1124" s="39"/>
      <c r="F1124" s="39"/>
    </row>
    <row r="1125">
      <c r="D1125" s="39"/>
      <c r="E1125" s="39"/>
      <c r="F1125" s="39"/>
    </row>
    <row r="1126">
      <c r="D1126" s="39"/>
      <c r="E1126" s="39"/>
      <c r="F1126" s="39"/>
    </row>
    <row r="1127">
      <c r="D1127" s="39"/>
      <c r="E1127" s="39"/>
      <c r="F1127" s="39"/>
    </row>
    <row r="1128">
      <c r="D1128" s="39"/>
      <c r="E1128" s="39"/>
      <c r="F1128" s="39"/>
    </row>
    <row r="1129">
      <c r="D1129" s="39"/>
      <c r="E1129" s="39"/>
      <c r="F1129" s="39"/>
    </row>
    <row r="1130">
      <c r="D1130" s="39"/>
      <c r="E1130" s="39"/>
      <c r="F1130" s="39"/>
    </row>
    <row r="1131">
      <c r="D1131" s="39"/>
      <c r="E1131" s="39"/>
      <c r="F1131" s="39"/>
    </row>
    <row r="1132">
      <c r="D1132" s="39"/>
      <c r="E1132" s="39"/>
      <c r="F1132" s="39"/>
    </row>
    <row r="1133">
      <c r="D1133" s="39"/>
      <c r="E1133" s="39"/>
      <c r="F1133" s="39"/>
    </row>
    <row r="1134">
      <c r="D1134" s="39"/>
      <c r="E1134" s="39"/>
      <c r="F1134" s="39"/>
    </row>
    <row r="1135">
      <c r="D1135" s="39"/>
      <c r="E1135" s="39"/>
      <c r="F1135" s="39"/>
    </row>
    <row r="1136">
      <c r="D1136" s="39"/>
      <c r="E1136" s="39"/>
      <c r="F1136" s="39"/>
    </row>
    <row r="1137">
      <c r="D1137" s="39"/>
      <c r="E1137" s="39"/>
      <c r="F1137" s="39"/>
    </row>
    <row r="1138">
      <c r="D1138" s="39"/>
      <c r="E1138" s="39"/>
      <c r="F1138" s="39"/>
    </row>
    <row r="1139">
      <c r="D1139" s="39"/>
      <c r="E1139" s="39"/>
      <c r="F1139" s="39"/>
    </row>
    <row r="1140">
      <c r="D1140" s="39"/>
      <c r="E1140" s="39"/>
      <c r="F1140" s="39"/>
    </row>
    <row r="1141">
      <c r="D1141" s="39"/>
      <c r="E1141" s="39"/>
      <c r="F1141" s="39"/>
    </row>
    <row r="1142">
      <c r="D1142" s="39"/>
      <c r="E1142" s="39"/>
      <c r="F1142" s="39"/>
    </row>
    <row r="1143">
      <c r="D1143" s="39"/>
      <c r="E1143" s="39"/>
      <c r="F1143" s="39"/>
    </row>
    <row r="1144">
      <c r="D1144" s="39"/>
      <c r="E1144" s="39"/>
      <c r="F1144" s="39"/>
    </row>
    <row r="1145">
      <c r="D1145" s="39"/>
      <c r="E1145" s="39"/>
      <c r="F1145" s="39"/>
    </row>
    <row r="1146">
      <c r="D1146" s="39"/>
      <c r="E1146" s="39"/>
      <c r="F1146" s="39"/>
    </row>
    <row r="1147">
      <c r="D1147" s="39"/>
      <c r="E1147" s="39"/>
      <c r="F1147" s="39"/>
    </row>
    <row r="1148">
      <c r="D1148" s="39"/>
      <c r="E1148" s="39"/>
      <c r="F1148" s="39"/>
    </row>
    <row r="1149">
      <c r="D1149" s="39"/>
      <c r="E1149" s="39"/>
      <c r="F1149" s="39"/>
    </row>
    <row r="1150">
      <c r="D1150" s="39"/>
      <c r="E1150" s="39"/>
      <c r="F1150" s="39"/>
    </row>
    <row r="1151">
      <c r="D1151" s="39"/>
      <c r="E1151" s="39"/>
      <c r="F1151" s="39"/>
    </row>
    <row r="1152">
      <c r="D1152" s="39"/>
      <c r="E1152" s="39"/>
      <c r="F1152" s="39"/>
    </row>
    <row r="1153">
      <c r="D1153" s="39"/>
      <c r="E1153" s="39"/>
      <c r="F1153" s="39"/>
    </row>
    <row r="1154">
      <c r="D1154" s="39"/>
      <c r="E1154" s="39"/>
      <c r="F1154" s="39"/>
    </row>
    <row r="1155">
      <c r="D1155" s="39"/>
      <c r="E1155" s="39"/>
      <c r="F1155" s="39"/>
    </row>
    <row r="1156">
      <c r="D1156" s="39"/>
      <c r="E1156" s="39"/>
      <c r="F1156" s="39"/>
    </row>
    <row r="1157">
      <c r="D1157" s="39"/>
      <c r="E1157" s="39"/>
      <c r="F1157" s="39"/>
    </row>
    <row r="1158">
      <c r="D1158" s="39"/>
      <c r="E1158" s="39"/>
      <c r="F1158" s="39"/>
    </row>
    <row r="1159">
      <c r="D1159" s="39"/>
      <c r="E1159" s="39"/>
      <c r="F1159" s="39"/>
    </row>
    <row r="1160">
      <c r="D1160" s="39"/>
      <c r="E1160" s="39"/>
      <c r="F1160" s="39"/>
    </row>
    <row r="1161">
      <c r="D1161" s="39"/>
      <c r="E1161" s="39"/>
      <c r="F1161" s="39"/>
    </row>
    <row r="1162">
      <c r="D1162" s="39"/>
      <c r="E1162" s="39"/>
      <c r="F1162" s="39"/>
    </row>
    <row r="1163">
      <c r="D1163" s="39"/>
      <c r="E1163" s="39"/>
      <c r="F1163" s="39"/>
    </row>
    <row r="1164">
      <c r="D1164" s="39"/>
      <c r="E1164" s="39"/>
      <c r="F1164" s="39"/>
    </row>
    <row r="1165">
      <c r="D1165" s="39"/>
      <c r="E1165" s="39"/>
      <c r="F1165" s="39"/>
    </row>
    <row r="1166">
      <c r="D1166" s="39"/>
      <c r="E1166" s="39"/>
      <c r="F1166" s="39"/>
    </row>
    <row r="1167">
      <c r="D1167" s="39"/>
      <c r="E1167" s="39"/>
      <c r="F1167" s="39"/>
    </row>
    <row r="1168">
      <c r="D1168" s="39"/>
      <c r="E1168" s="39"/>
      <c r="F1168" s="39"/>
    </row>
    <row r="1169">
      <c r="D1169" s="39"/>
      <c r="E1169" s="39"/>
      <c r="F1169" s="39"/>
    </row>
    <row r="1170">
      <c r="D1170" s="39"/>
      <c r="E1170" s="39"/>
      <c r="F1170" s="39"/>
    </row>
    <row r="1171">
      <c r="D1171" s="39"/>
      <c r="E1171" s="39"/>
      <c r="F1171" s="39"/>
    </row>
    <row r="1172">
      <c r="D1172" s="39"/>
      <c r="E1172" s="39"/>
      <c r="F1172" s="39"/>
    </row>
    <row r="1173">
      <c r="D1173" s="39"/>
      <c r="E1173" s="39"/>
      <c r="F1173" s="39"/>
    </row>
    <row r="1174">
      <c r="D1174" s="39"/>
      <c r="E1174" s="39"/>
      <c r="F1174" s="39"/>
    </row>
    <row r="1175">
      <c r="D1175" s="39"/>
      <c r="E1175" s="39"/>
      <c r="F1175" s="39"/>
    </row>
    <row r="1176">
      <c r="D1176" s="39"/>
      <c r="E1176" s="39"/>
      <c r="F1176" s="39"/>
    </row>
    <row r="1177">
      <c r="D1177" s="39"/>
      <c r="E1177" s="39"/>
      <c r="F1177" s="39"/>
    </row>
    <row r="1178">
      <c r="D1178" s="39"/>
      <c r="E1178" s="39"/>
      <c r="F1178" s="39"/>
    </row>
    <row r="1179">
      <c r="D1179" s="39"/>
      <c r="E1179" s="39"/>
      <c r="F1179" s="39"/>
    </row>
    <row r="1180">
      <c r="D1180" s="39"/>
      <c r="E1180" s="39"/>
      <c r="F1180" s="39"/>
    </row>
    <row r="1181">
      <c r="D1181" s="39"/>
      <c r="E1181" s="39"/>
      <c r="F1181" s="39"/>
    </row>
    <row r="1182">
      <c r="D1182" s="39"/>
      <c r="E1182" s="39"/>
      <c r="F1182" s="39"/>
    </row>
    <row r="1183">
      <c r="D1183" s="39"/>
      <c r="E1183" s="39"/>
      <c r="F1183" s="39"/>
    </row>
    <row r="1184">
      <c r="D1184" s="39"/>
      <c r="E1184" s="39"/>
      <c r="F1184" s="39"/>
    </row>
    <row r="1185">
      <c r="D1185" s="39"/>
      <c r="E1185" s="39"/>
      <c r="F1185" s="39"/>
    </row>
    <row r="1186">
      <c r="D1186" s="39"/>
      <c r="E1186" s="39"/>
      <c r="F1186" s="39"/>
    </row>
    <row r="1187">
      <c r="D1187" s="39"/>
      <c r="E1187" s="39"/>
      <c r="F1187" s="39"/>
    </row>
    <row r="1188">
      <c r="D1188" s="39"/>
      <c r="E1188" s="39"/>
      <c r="F1188" s="39"/>
    </row>
    <row r="1189">
      <c r="D1189" s="39"/>
      <c r="E1189" s="39"/>
      <c r="F1189" s="39"/>
    </row>
    <row r="1190">
      <c r="D1190" s="39"/>
      <c r="E1190" s="39"/>
      <c r="F1190" s="39"/>
    </row>
    <row r="1191">
      <c r="D1191" s="39"/>
      <c r="E1191" s="39"/>
      <c r="F1191" s="39"/>
    </row>
    <row r="1192">
      <c r="D1192" s="39"/>
      <c r="E1192" s="39"/>
      <c r="F1192" s="39"/>
    </row>
    <row r="1193">
      <c r="D1193" s="39"/>
      <c r="E1193" s="39"/>
      <c r="F1193" s="39"/>
    </row>
    <row r="1194">
      <c r="D1194" s="39"/>
      <c r="E1194" s="39"/>
      <c r="F1194" s="39"/>
    </row>
    <row r="1195">
      <c r="D1195" s="39"/>
      <c r="E1195" s="39"/>
      <c r="F1195" s="39"/>
    </row>
    <row r="1196">
      <c r="D1196" s="39"/>
      <c r="E1196" s="39"/>
      <c r="F1196" s="39"/>
    </row>
    <row r="1197">
      <c r="D1197" s="39"/>
      <c r="E1197" s="39"/>
      <c r="F1197" s="39"/>
    </row>
    <row r="1198">
      <c r="D1198" s="39"/>
      <c r="E1198" s="39"/>
      <c r="F1198" s="39"/>
    </row>
    <row r="1199">
      <c r="D1199" s="39"/>
      <c r="E1199" s="39"/>
      <c r="F1199" s="39"/>
    </row>
    <row r="1200">
      <c r="D1200" s="39"/>
      <c r="E1200" s="39"/>
      <c r="F1200" s="39"/>
    </row>
    <row r="1201">
      <c r="D1201" s="39"/>
      <c r="E1201" s="39"/>
      <c r="F1201" s="39"/>
    </row>
    <row r="1202">
      <c r="D1202" s="39"/>
      <c r="E1202" s="39"/>
      <c r="F1202" s="39"/>
    </row>
    <row r="1203">
      <c r="D1203" s="39"/>
      <c r="E1203" s="39"/>
      <c r="F1203" s="39"/>
    </row>
    <row r="1204">
      <c r="D1204" s="39"/>
      <c r="E1204" s="39"/>
      <c r="F1204" s="39"/>
    </row>
    <row r="1205">
      <c r="D1205" s="39"/>
      <c r="E1205" s="39"/>
      <c r="F1205" s="39"/>
    </row>
    <row r="1206">
      <c r="D1206" s="39"/>
      <c r="E1206" s="39"/>
      <c r="F1206" s="39"/>
    </row>
    <row r="1207">
      <c r="D1207" s="39"/>
      <c r="E1207" s="39"/>
      <c r="F1207" s="39"/>
    </row>
    <row r="1208">
      <c r="D1208" s="39"/>
      <c r="E1208" s="39"/>
      <c r="F1208" s="39"/>
    </row>
    <row r="1209">
      <c r="D1209" s="39"/>
      <c r="E1209" s="39"/>
      <c r="F1209" s="39"/>
    </row>
    <row r="1210">
      <c r="D1210" s="39"/>
      <c r="E1210" s="39"/>
      <c r="F1210" s="39"/>
    </row>
    <row r="1211">
      <c r="D1211" s="39"/>
      <c r="E1211" s="39"/>
      <c r="F1211" s="39"/>
    </row>
    <row r="1212">
      <c r="D1212" s="39"/>
      <c r="E1212" s="39"/>
      <c r="F1212" s="39"/>
    </row>
    <row r="1213">
      <c r="D1213" s="39"/>
      <c r="E1213" s="39"/>
      <c r="F1213" s="39"/>
    </row>
    <row r="1214">
      <c r="D1214" s="39"/>
      <c r="E1214" s="39"/>
      <c r="F1214" s="39"/>
    </row>
    <row r="1215">
      <c r="D1215" s="39"/>
      <c r="E1215" s="39"/>
      <c r="F1215" s="39"/>
    </row>
    <row r="1216">
      <c r="D1216" s="39"/>
      <c r="E1216" s="39"/>
      <c r="F1216" s="39"/>
    </row>
    <row r="1217">
      <c r="D1217" s="39"/>
      <c r="E1217" s="39"/>
      <c r="F1217" s="39"/>
    </row>
    <row r="1218">
      <c r="D1218" s="39"/>
      <c r="E1218" s="39"/>
      <c r="F1218" s="39"/>
    </row>
    <row r="1219">
      <c r="D1219" s="39"/>
      <c r="E1219" s="39"/>
      <c r="F1219" s="39"/>
    </row>
    <row r="1220">
      <c r="D1220" s="39"/>
      <c r="E1220" s="39"/>
      <c r="F1220" s="39"/>
    </row>
    <row r="1221">
      <c r="D1221" s="39"/>
      <c r="E1221" s="39"/>
      <c r="F1221" s="39"/>
    </row>
    <row r="1222">
      <c r="D1222" s="39"/>
      <c r="E1222" s="39"/>
      <c r="F1222" s="39"/>
    </row>
    <row r="1223">
      <c r="D1223" s="39"/>
      <c r="E1223" s="39"/>
      <c r="F1223" s="39"/>
    </row>
    <row r="1224">
      <c r="D1224" s="39"/>
      <c r="E1224" s="39"/>
      <c r="F1224" s="39"/>
    </row>
    <row r="1225">
      <c r="D1225" s="39"/>
      <c r="E1225" s="39"/>
      <c r="F1225" s="39"/>
    </row>
    <row r="1226">
      <c r="D1226" s="39"/>
      <c r="E1226" s="39"/>
      <c r="F1226" s="39"/>
    </row>
    <row r="1227">
      <c r="D1227" s="39"/>
      <c r="E1227" s="39"/>
      <c r="F1227" s="39"/>
    </row>
    <row r="1228">
      <c r="D1228" s="39"/>
      <c r="E1228" s="39"/>
      <c r="F1228" s="39"/>
    </row>
    <row r="1229">
      <c r="D1229" s="39"/>
      <c r="E1229" s="39"/>
      <c r="F1229" s="39"/>
    </row>
    <row r="1230">
      <c r="D1230" s="39"/>
      <c r="E1230" s="39"/>
      <c r="F1230" s="39"/>
    </row>
    <row r="1231">
      <c r="D1231" s="39"/>
      <c r="E1231" s="39"/>
      <c r="F1231" s="39"/>
    </row>
    <row r="1232">
      <c r="D1232" s="39"/>
      <c r="E1232" s="39"/>
      <c r="F1232" s="39"/>
    </row>
    <row r="1233">
      <c r="D1233" s="39"/>
      <c r="E1233" s="39"/>
      <c r="F1233" s="39"/>
    </row>
    <row r="1234">
      <c r="D1234" s="39"/>
      <c r="E1234" s="39"/>
      <c r="F1234" s="39"/>
    </row>
    <row r="1235">
      <c r="D1235" s="39"/>
      <c r="E1235" s="39"/>
      <c r="F1235" s="39"/>
    </row>
    <row r="1236">
      <c r="D1236" s="39"/>
      <c r="E1236" s="39"/>
      <c r="F1236" s="39"/>
    </row>
    <row r="1237">
      <c r="D1237" s="39"/>
      <c r="E1237" s="39"/>
      <c r="F1237" s="39"/>
    </row>
    <row r="1238">
      <c r="D1238" s="39"/>
      <c r="E1238" s="39"/>
      <c r="F1238" s="39"/>
    </row>
    <row r="1239">
      <c r="D1239" s="39"/>
      <c r="E1239" s="39"/>
      <c r="F1239" s="39"/>
    </row>
    <row r="1240">
      <c r="D1240" s="39"/>
      <c r="E1240" s="39"/>
      <c r="F1240" s="39"/>
    </row>
    <row r="1241">
      <c r="D1241" s="39"/>
      <c r="E1241" s="39"/>
      <c r="F1241" s="39"/>
    </row>
    <row r="1242">
      <c r="D1242" s="39"/>
      <c r="E1242" s="39"/>
      <c r="F1242" s="39"/>
    </row>
    <row r="1243">
      <c r="D1243" s="39"/>
      <c r="E1243" s="39"/>
      <c r="F1243" s="39"/>
    </row>
    <row r="1244">
      <c r="D1244" s="39"/>
      <c r="E1244" s="39"/>
      <c r="F1244" s="39"/>
    </row>
    <row r="1245">
      <c r="D1245" s="39"/>
      <c r="E1245" s="39"/>
      <c r="F1245" s="39"/>
    </row>
    <row r="1246">
      <c r="D1246" s="39"/>
      <c r="E1246" s="39"/>
      <c r="F1246" s="39"/>
    </row>
    <row r="1247">
      <c r="D1247" s="39"/>
      <c r="E1247" s="39"/>
      <c r="F1247" s="39"/>
    </row>
    <row r="1248">
      <c r="D1248" s="39"/>
      <c r="E1248" s="39"/>
      <c r="F1248" s="39"/>
    </row>
    <row r="1249">
      <c r="D1249" s="39"/>
      <c r="E1249" s="39"/>
      <c r="F1249" s="39"/>
    </row>
    <row r="1250">
      <c r="D1250" s="39"/>
      <c r="E1250" s="39"/>
      <c r="F1250" s="39"/>
    </row>
    <row r="1251">
      <c r="D1251" s="39"/>
      <c r="E1251" s="39"/>
      <c r="F1251" s="39"/>
    </row>
    <row r="1252">
      <c r="D1252" s="39"/>
      <c r="E1252" s="39"/>
      <c r="F1252" s="39"/>
    </row>
    <row r="1253">
      <c r="D1253" s="39"/>
      <c r="E1253" s="39"/>
      <c r="F1253" s="39"/>
    </row>
    <row r="1254">
      <c r="D1254" s="39"/>
      <c r="E1254" s="39"/>
      <c r="F1254" s="39"/>
    </row>
    <row r="1255">
      <c r="D1255" s="39"/>
      <c r="E1255" s="39"/>
      <c r="F1255" s="39"/>
    </row>
    <row r="1256">
      <c r="D1256" s="39"/>
      <c r="E1256" s="39"/>
      <c r="F1256" s="39"/>
    </row>
    <row r="1257">
      <c r="D1257" s="39"/>
      <c r="E1257" s="39"/>
      <c r="F1257" s="39"/>
    </row>
    <row r="1258">
      <c r="D1258" s="39"/>
      <c r="E1258" s="39"/>
      <c r="F1258" s="39"/>
    </row>
    <row r="1259">
      <c r="D1259" s="39"/>
      <c r="E1259" s="39"/>
      <c r="F1259" s="39"/>
    </row>
    <row r="1260">
      <c r="D1260" s="39"/>
      <c r="E1260" s="39"/>
      <c r="F1260" s="39"/>
    </row>
    <row r="1261">
      <c r="D1261" s="39"/>
      <c r="E1261" s="39"/>
      <c r="F1261" s="39"/>
    </row>
    <row r="1262">
      <c r="D1262" s="39"/>
      <c r="E1262" s="39"/>
      <c r="F1262" s="39"/>
    </row>
    <row r="1263">
      <c r="D1263" s="39"/>
      <c r="E1263" s="39"/>
      <c r="F1263" s="39"/>
    </row>
    <row r="1264">
      <c r="D1264" s="39"/>
      <c r="E1264" s="39"/>
      <c r="F1264" s="39"/>
    </row>
    <row r="1265">
      <c r="D1265" s="39"/>
      <c r="E1265" s="39"/>
      <c r="F1265" s="39"/>
    </row>
    <row r="1266">
      <c r="D1266" s="39"/>
      <c r="E1266" s="39"/>
      <c r="F1266" s="39"/>
    </row>
    <row r="1267">
      <c r="D1267" s="39"/>
      <c r="E1267" s="39"/>
      <c r="F1267" s="39"/>
    </row>
    <row r="1268">
      <c r="D1268" s="39"/>
      <c r="E1268" s="39"/>
      <c r="F1268" s="39"/>
    </row>
    <row r="1269">
      <c r="D1269" s="39"/>
      <c r="E1269" s="39"/>
      <c r="F1269" s="39"/>
    </row>
    <row r="1270">
      <c r="D1270" s="39"/>
      <c r="E1270" s="39"/>
      <c r="F1270" s="39"/>
    </row>
    <row r="1271">
      <c r="D1271" s="39"/>
      <c r="E1271" s="39"/>
      <c r="F1271" s="39"/>
    </row>
    <row r="1272">
      <c r="D1272" s="39"/>
      <c r="E1272" s="39"/>
      <c r="F1272" s="39"/>
    </row>
    <row r="1273">
      <c r="D1273" s="39"/>
      <c r="E1273" s="39"/>
      <c r="F1273" s="39"/>
    </row>
    <row r="1274">
      <c r="D1274" s="39"/>
      <c r="E1274" s="39"/>
      <c r="F1274" s="39"/>
    </row>
    <row r="1275">
      <c r="D1275" s="39"/>
      <c r="E1275" s="39"/>
      <c r="F1275" s="39"/>
    </row>
    <row r="1276">
      <c r="D1276" s="39"/>
      <c r="E1276" s="39"/>
      <c r="F1276" s="39"/>
    </row>
    <row r="1277">
      <c r="D1277" s="39"/>
      <c r="E1277" s="39"/>
      <c r="F1277" s="39"/>
    </row>
    <row r="1278">
      <c r="D1278" s="39"/>
      <c r="E1278" s="39"/>
      <c r="F1278" s="39"/>
    </row>
    <row r="1279">
      <c r="D1279" s="39"/>
      <c r="E1279" s="39"/>
      <c r="F1279" s="39"/>
    </row>
    <row r="1280">
      <c r="D1280" s="39"/>
      <c r="E1280" s="39"/>
      <c r="F1280" s="39"/>
    </row>
    <row r="1281">
      <c r="D1281" s="39"/>
      <c r="E1281" s="39"/>
      <c r="F1281" s="39"/>
    </row>
    <row r="1282">
      <c r="D1282" s="39"/>
      <c r="E1282" s="39"/>
      <c r="F1282" s="39"/>
    </row>
    <row r="1283">
      <c r="D1283" s="39"/>
      <c r="E1283" s="39"/>
      <c r="F1283" s="39"/>
    </row>
    <row r="1284">
      <c r="D1284" s="39"/>
      <c r="E1284" s="39"/>
      <c r="F1284" s="39"/>
    </row>
    <row r="1285">
      <c r="D1285" s="39"/>
      <c r="E1285" s="39"/>
      <c r="F1285" s="39"/>
    </row>
    <row r="1286">
      <c r="D1286" s="39"/>
      <c r="E1286" s="39"/>
      <c r="F1286" s="39"/>
    </row>
    <row r="1287">
      <c r="D1287" s="39"/>
      <c r="E1287" s="39"/>
      <c r="F1287" s="39"/>
    </row>
    <row r="1288">
      <c r="D1288" s="39"/>
      <c r="E1288" s="39"/>
      <c r="F1288" s="39"/>
    </row>
    <row r="1289">
      <c r="D1289" s="39"/>
      <c r="E1289" s="39"/>
      <c r="F1289" s="39"/>
    </row>
    <row r="1290">
      <c r="D1290" s="39"/>
      <c r="E1290" s="39"/>
      <c r="F1290" s="39"/>
    </row>
    <row r="1291">
      <c r="D1291" s="39"/>
      <c r="E1291" s="39"/>
      <c r="F1291" s="39"/>
    </row>
    <row r="1292">
      <c r="D1292" s="39"/>
      <c r="E1292" s="39"/>
      <c r="F1292" s="39"/>
    </row>
    <row r="1293">
      <c r="D1293" s="39"/>
      <c r="E1293" s="39"/>
      <c r="F1293" s="39"/>
    </row>
    <row r="1294">
      <c r="D1294" s="39"/>
      <c r="E1294" s="39"/>
      <c r="F1294" s="39"/>
    </row>
    <row r="1295">
      <c r="D1295" s="39"/>
      <c r="E1295" s="39"/>
      <c r="F1295" s="39"/>
    </row>
    <row r="1296">
      <c r="D1296" s="39"/>
      <c r="E1296" s="39"/>
      <c r="F1296" s="39"/>
    </row>
    <row r="1297">
      <c r="D1297" s="39"/>
      <c r="E1297" s="39"/>
      <c r="F1297" s="39"/>
    </row>
    <row r="1298">
      <c r="D1298" s="39"/>
      <c r="E1298" s="39"/>
      <c r="F1298" s="39"/>
    </row>
    <row r="1299">
      <c r="D1299" s="39"/>
      <c r="E1299" s="39"/>
      <c r="F1299" s="39"/>
    </row>
    <row r="1300">
      <c r="D1300" s="39"/>
      <c r="E1300" s="39"/>
      <c r="F1300" s="39"/>
    </row>
    <row r="1301">
      <c r="D1301" s="39"/>
      <c r="E1301" s="39"/>
      <c r="F1301" s="39"/>
    </row>
    <row r="1302">
      <c r="D1302" s="39"/>
      <c r="E1302" s="39"/>
      <c r="F1302" s="39"/>
    </row>
    <row r="1303">
      <c r="D1303" s="39"/>
      <c r="E1303" s="39"/>
      <c r="F1303" s="39"/>
    </row>
    <row r="1304">
      <c r="D1304" s="39"/>
      <c r="E1304" s="39"/>
      <c r="F1304" s="39"/>
    </row>
    <row r="1305">
      <c r="D1305" s="39"/>
      <c r="E1305" s="39"/>
      <c r="F1305" s="39"/>
    </row>
    <row r="1306">
      <c r="D1306" s="39"/>
      <c r="E1306" s="39"/>
      <c r="F1306" s="39"/>
    </row>
    <row r="1307">
      <c r="D1307" s="39"/>
      <c r="E1307" s="39"/>
      <c r="F1307" s="39"/>
    </row>
    <row r="1308">
      <c r="D1308" s="39"/>
      <c r="E1308" s="39"/>
      <c r="F1308" s="39"/>
    </row>
    <row r="1309">
      <c r="D1309" s="39"/>
      <c r="E1309" s="39"/>
      <c r="F1309" s="39"/>
    </row>
    <row r="1310">
      <c r="D1310" s="39"/>
      <c r="E1310" s="39"/>
      <c r="F1310" s="39"/>
    </row>
    <row r="1311">
      <c r="D1311" s="39"/>
      <c r="E1311" s="39"/>
      <c r="F1311" s="39"/>
    </row>
    <row r="1312">
      <c r="D1312" s="39"/>
      <c r="E1312" s="39"/>
      <c r="F1312" s="39"/>
    </row>
    <row r="1313">
      <c r="D1313" s="39"/>
      <c r="E1313" s="39"/>
      <c r="F1313" s="39"/>
    </row>
    <row r="1314">
      <c r="D1314" s="39"/>
      <c r="E1314" s="39"/>
      <c r="F1314" s="39"/>
    </row>
    <row r="1315">
      <c r="D1315" s="39"/>
      <c r="E1315" s="39"/>
      <c r="F1315" s="39"/>
    </row>
    <row r="1316">
      <c r="D1316" s="39"/>
      <c r="E1316" s="39"/>
      <c r="F1316" s="39"/>
    </row>
    <row r="1317">
      <c r="D1317" s="39"/>
      <c r="E1317" s="39"/>
      <c r="F1317" s="39"/>
    </row>
    <row r="1318">
      <c r="D1318" s="39"/>
      <c r="E1318" s="39"/>
      <c r="F1318" s="39"/>
    </row>
    <row r="1319">
      <c r="D1319" s="39"/>
      <c r="E1319" s="39"/>
      <c r="F1319" s="39"/>
    </row>
    <row r="1320">
      <c r="D1320" s="39"/>
      <c r="E1320" s="39"/>
      <c r="F1320" s="39"/>
    </row>
    <row r="1321">
      <c r="D1321" s="39"/>
      <c r="E1321" s="39"/>
      <c r="F1321" s="39"/>
    </row>
    <row r="1322">
      <c r="D1322" s="39"/>
      <c r="E1322" s="39"/>
      <c r="F1322" s="39"/>
    </row>
    <row r="1323">
      <c r="D1323" s="39"/>
      <c r="E1323" s="39"/>
      <c r="F1323" s="39"/>
    </row>
    <row r="1324">
      <c r="D1324" s="39"/>
      <c r="E1324" s="39"/>
      <c r="F1324" s="39"/>
    </row>
    <row r="1325">
      <c r="D1325" s="39"/>
      <c r="E1325" s="39"/>
      <c r="F1325" s="39"/>
    </row>
    <row r="1326">
      <c r="D1326" s="39"/>
      <c r="E1326" s="39"/>
      <c r="F1326" s="39"/>
    </row>
    <row r="1327">
      <c r="D1327" s="39"/>
      <c r="E1327" s="39"/>
      <c r="F1327" s="39"/>
    </row>
    <row r="1328">
      <c r="D1328" s="39"/>
      <c r="E1328" s="39"/>
      <c r="F1328" s="39"/>
    </row>
    <row r="1329">
      <c r="D1329" s="39"/>
      <c r="E1329" s="39"/>
      <c r="F1329" s="39"/>
    </row>
    <row r="1330">
      <c r="D1330" s="39"/>
      <c r="E1330" s="39"/>
      <c r="F1330" s="39"/>
    </row>
    <row r="1331">
      <c r="D1331" s="39"/>
      <c r="E1331" s="39"/>
      <c r="F1331" s="39"/>
    </row>
    <row r="1332">
      <c r="D1332" s="39"/>
      <c r="E1332" s="39"/>
      <c r="F1332" s="39"/>
    </row>
    <row r="1333">
      <c r="D1333" s="39"/>
      <c r="E1333" s="39"/>
      <c r="F1333" s="39"/>
    </row>
    <row r="1334">
      <c r="D1334" s="39"/>
      <c r="E1334" s="39"/>
      <c r="F1334" s="39"/>
    </row>
    <row r="1335">
      <c r="D1335" s="39"/>
      <c r="E1335" s="39"/>
      <c r="F1335" s="39"/>
    </row>
    <row r="1336">
      <c r="D1336" s="39"/>
      <c r="E1336" s="39"/>
      <c r="F1336" s="39"/>
    </row>
    <row r="1337">
      <c r="D1337" s="39"/>
      <c r="E1337" s="39"/>
      <c r="F1337" s="39"/>
    </row>
    <row r="1338">
      <c r="D1338" s="39"/>
      <c r="E1338" s="39"/>
      <c r="F1338" s="39"/>
    </row>
    <row r="1339">
      <c r="D1339" s="39"/>
      <c r="E1339" s="39"/>
      <c r="F1339" s="39"/>
    </row>
    <row r="1340">
      <c r="D1340" s="39"/>
      <c r="E1340" s="39"/>
      <c r="F1340" s="39"/>
    </row>
    <row r="1341">
      <c r="D1341" s="39"/>
      <c r="E1341" s="39"/>
      <c r="F1341" s="39"/>
    </row>
    <row r="1342">
      <c r="D1342" s="39"/>
      <c r="E1342" s="39"/>
      <c r="F1342" s="39"/>
    </row>
    <row r="1343">
      <c r="D1343" s="39"/>
      <c r="E1343" s="39"/>
      <c r="F1343" s="39"/>
    </row>
    <row r="1344">
      <c r="D1344" s="39"/>
      <c r="E1344" s="39"/>
      <c r="F1344" s="39"/>
    </row>
    <row r="1345">
      <c r="D1345" s="39"/>
      <c r="E1345" s="39"/>
      <c r="F1345" s="39"/>
    </row>
    <row r="1346">
      <c r="D1346" s="39"/>
      <c r="E1346" s="39"/>
      <c r="F1346" s="39"/>
    </row>
    <row r="1347">
      <c r="D1347" s="39"/>
      <c r="E1347" s="39"/>
      <c r="F1347" s="39"/>
    </row>
    <row r="1348">
      <c r="D1348" s="39"/>
      <c r="E1348" s="39"/>
      <c r="F1348" s="39"/>
    </row>
    <row r="1349">
      <c r="D1349" s="39"/>
      <c r="E1349" s="39"/>
      <c r="F1349" s="39"/>
    </row>
    <row r="1350">
      <c r="D1350" s="39"/>
      <c r="E1350" s="39"/>
      <c r="F1350" s="39"/>
    </row>
    <row r="1351">
      <c r="D1351" s="39"/>
      <c r="E1351" s="39"/>
      <c r="F1351" s="39"/>
    </row>
    <row r="1352">
      <c r="D1352" s="39"/>
      <c r="E1352" s="39"/>
      <c r="F1352" s="39"/>
    </row>
    <row r="1353">
      <c r="D1353" s="39"/>
      <c r="E1353" s="39"/>
      <c r="F1353" s="39"/>
    </row>
    <row r="1354">
      <c r="D1354" s="39"/>
      <c r="E1354" s="39"/>
      <c r="F1354" s="39"/>
    </row>
    <row r="1355">
      <c r="D1355" s="39"/>
      <c r="E1355" s="39"/>
      <c r="F1355" s="39"/>
    </row>
    <row r="1356">
      <c r="D1356" s="39"/>
      <c r="E1356" s="39"/>
      <c r="F1356" s="39"/>
    </row>
    <row r="1357">
      <c r="D1357" s="39"/>
      <c r="E1357" s="39"/>
      <c r="F1357" s="39"/>
    </row>
    <row r="1358">
      <c r="D1358" s="39"/>
      <c r="E1358" s="39"/>
      <c r="F1358" s="39"/>
    </row>
    <row r="1359">
      <c r="D1359" s="39"/>
      <c r="E1359" s="39"/>
      <c r="F1359" s="39"/>
    </row>
    <row r="1360">
      <c r="D1360" s="39"/>
      <c r="E1360" s="39"/>
      <c r="F1360" s="39"/>
    </row>
    <row r="1361">
      <c r="D1361" s="39"/>
      <c r="E1361" s="39"/>
      <c r="F1361" s="39"/>
    </row>
    <row r="1362">
      <c r="D1362" s="39"/>
      <c r="E1362" s="39"/>
      <c r="F1362" s="39"/>
    </row>
    <row r="1363">
      <c r="D1363" s="39"/>
      <c r="E1363" s="39"/>
      <c r="F1363" s="39"/>
    </row>
    <row r="1364">
      <c r="D1364" s="39"/>
      <c r="E1364" s="39"/>
      <c r="F1364" s="39"/>
    </row>
    <row r="1365">
      <c r="D1365" s="39"/>
      <c r="E1365" s="39"/>
      <c r="F1365" s="39"/>
    </row>
    <row r="1366">
      <c r="D1366" s="39"/>
      <c r="E1366" s="39"/>
      <c r="F1366" s="39"/>
    </row>
    <row r="1367">
      <c r="D1367" s="39"/>
      <c r="E1367" s="39"/>
      <c r="F1367" s="39"/>
    </row>
    <row r="1368">
      <c r="D1368" s="39"/>
      <c r="E1368" s="39"/>
      <c r="F1368" s="39"/>
    </row>
    <row r="1369">
      <c r="D1369" s="39"/>
      <c r="E1369" s="39"/>
      <c r="F1369" s="39"/>
    </row>
    <row r="1370">
      <c r="D1370" s="39"/>
      <c r="E1370" s="39"/>
      <c r="F1370" s="39"/>
    </row>
    <row r="1371">
      <c r="D1371" s="39"/>
      <c r="E1371" s="39"/>
      <c r="F1371" s="39"/>
    </row>
    <row r="1372">
      <c r="D1372" s="39"/>
      <c r="E1372" s="39"/>
      <c r="F1372" s="39"/>
    </row>
    <row r="1373">
      <c r="D1373" s="39"/>
      <c r="E1373" s="39"/>
      <c r="F1373" s="39"/>
    </row>
    <row r="1374">
      <c r="D1374" s="39"/>
      <c r="E1374" s="39"/>
      <c r="F1374" s="39"/>
    </row>
    <row r="1375">
      <c r="D1375" s="39"/>
      <c r="E1375" s="39"/>
      <c r="F1375" s="39"/>
    </row>
    <row r="1376">
      <c r="D1376" s="39"/>
      <c r="E1376" s="39"/>
      <c r="F1376" s="39"/>
    </row>
    <row r="1377">
      <c r="D1377" s="39"/>
      <c r="E1377" s="39"/>
      <c r="F1377" s="39"/>
    </row>
    <row r="1378">
      <c r="D1378" s="39"/>
      <c r="E1378" s="39"/>
      <c r="F1378" s="39"/>
    </row>
    <row r="1379">
      <c r="D1379" s="39"/>
      <c r="E1379" s="39"/>
      <c r="F1379" s="39"/>
    </row>
    <row r="1380">
      <c r="D1380" s="39"/>
      <c r="E1380" s="39"/>
      <c r="F1380" s="39"/>
    </row>
    <row r="1381">
      <c r="D1381" s="39"/>
      <c r="E1381" s="39"/>
      <c r="F1381" s="39"/>
    </row>
    <row r="1382">
      <c r="D1382" s="39"/>
      <c r="E1382" s="39"/>
      <c r="F1382" s="39"/>
    </row>
    <row r="1383">
      <c r="D1383" s="39"/>
      <c r="E1383" s="39"/>
      <c r="F1383" s="39"/>
    </row>
    <row r="1384">
      <c r="D1384" s="39"/>
      <c r="E1384" s="39"/>
      <c r="F1384" s="39"/>
    </row>
    <row r="1385">
      <c r="D1385" s="39"/>
      <c r="E1385" s="39"/>
      <c r="F1385" s="39"/>
    </row>
    <row r="1386">
      <c r="D1386" s="39"/>
      <c r="E1386" s="39"/>
      <c r="F1386" s="39"/>
    </row>
    <row r="1387">
      <c r="D1387" s="39"/>
      <c r="E1387" s="39"/>
      <c r="F1387" s="39"/>
    </row>
    <row r="1388">
      <c r="D1388" s="39"/>
      <c r="E1388" s="39"/>
      <c r="F1388" s="39"/>
    </row>
    <row r="1389">
      <c r="D1389" s="39"/>
      <c r="E1389" s="39"/>
      <c r="F1389" s="39"/>
    </row>
    <row r="1390">
      <c r="D1390" s="39"/>
      <c r="E1390" s="39"/>
      <c r="F1390" s="39"/>
    </row>
    <row r="1391">
      <c r="D1391" s="39"/>
      <c r="E1391" s="39"/>
      <c r="F1391" s="39"/>
    </row>
    <row r="1392">
      <c r="D1392" s="39"/>
      <c r="E1392" s="39"/>
      <c r="F1392" s="39"/>
    </row>
    <row r="1393">
      <c r="D1393" s="39"/>
      <c r="E1393" s="39"/>
      <c r="F1393" s="39"/>
    </row>
    <row r="1394">
      <c r="D1394" s="39"/>
      <c r="E1394" s="39"/>
      <c r="F1394" s="39"/>
    </row>
    <row r="1395">
      <c r="D1395" s="39"/>
      <c r="E1395" s="39"/>
      <c r="F1395" s="39"/>
    </row>
    <row r="1396">
      <c r="D1396" s="39"/>
      <c r="E1396" s="39"/>
      <c r="F1396" s="39"/>
    </row>
    <row r="1397">
      <c r="D1397" s="39"/>
      <c r="E1397" s="39"/>
      <c r="F1397" s="39"/>
    </row>
    <row r="1398">
      <c r="D1398" s="39"/>
      <c r="E1398" s="39"/>
      <c r="F1398" s="39"/>
    </row>
    <row r="1399">
      <c r="D1399" s="39"/>
      <c r="E1399" s="39"/>
      <c r="F1399" s="39"/>
    </row>
    <row r="1400">
      <c r="D1400" s="39"/>
      <c r="E1400" s="39"/>
      <c r="F1400" s="39"/>
    </row>
    <row r="1401">
      <c r="D1401" s="39"/>
      <c r="E1401" s="39"/>
      <c r="F1401" s="39"/>
    </row>
    <row r="1402">
      <c r="D1402" s="39"/>
      <c r="E1402" s="39"/>
      <c r="F1402" s="39"/>
    </row>
    <row r="1403">
      <c r="D1403" s="39"/>
      <c r="E1403" s="39"/>
      <c r="F1403" s="39"/>
    </row>
    <row r="1404">
      <c r="D1404" s="39"/>
      <c r="E1404" s="39"/>
      <c r="F1404" s="39"/>
    </row>
    <row r="1405">
      <c r="D1405" s="39"/>
      <c r="E1405" s="39"/>
      <c r="F1405" s="39"/>
    </row>
    <row r="1406">
      <c r="D1406" s="39"/>
      <c r="E1406" s="39"/>
      <c r="F1406" s="39"/>
    </row>
    <row r="1407">
      <c r="D1407" s="39"/>
      <c r="E1407" s="39"/>
      <c r="F1407" s="39"/>
    </row>
    <row r="1408">
      <c r="D1408" s="39"/>
      <c r="E1408" s="39"/>
      <c r="F1408" s="39"/>
    </row>
    <row r="1409">
      <c r="D1409" s="39"/>
      <c r="E1409" s="39"/>
      <c r="F1409" s="39"/>
    </row>
    <row r="1410">
      <c r="D1410" s="39"/>
      <c r="E1410" s="39"/>
      <c r="F1410" s="39"/>
    </row>
    <row r="1411">
      <c r="D1411" s="39"/>
      <c r="E1411" s="39"/>
      <c r="F1411" s="39"/>
    </row>
    <row r="1412">
      <c r="D1412" s="39"/>
      <c r="E1412" s="39"/>
      <c r="F1412" s="39"/>
    </row>
    <row r="1413">
      <c r="D1413" s="39"/>
      <c r="E1413" s="39"/>
      <c r="F1413" s="39"/>
    </row>
    <row r="1414">
      <c r="D1414" s="39"/>
      <c r="E1414" s="39"/>
      <c r="F1414" s="39"/>
    </row>
    <row r="1415">
      <c r="D1415" s="39"/>
      <c r="E1415" s="39"/>
      <c r="F1415" s="39"/>
    </row>
    <row r="1416">
      <c r="D1416" s="39"/>
      <c r="E1416" s="39"/>
      <c r="F1416" s="39"/>
    </row>
    <row r="1417">
      <c r="D1417" s="39"/>
      <c r="E1417" s="39"/>
      <c r="F1417" s="39"/>
    </row>
    <row r="1418">
      <c r="D1418" s="39"/>
      <c r="E1418" s="39"/>
      <c r="F1418" s="39"/>
    </row>
    <row r="1419">
      <c r="D1419" s="39"/>
      <c r="E1419" s="39"/>
      <c r="F1419" s="39"/>
    </row>
    <row r="1420">
      <c r="D1420" s="39"/>
      <c r="E1420" s="39"/>
      <c r="F1420" s="39"/>
    </row>
    <row r="1421">
      <c r="D1421" s="39"/>
      <c r="E1421" s="39"/>
      <c r="F1421" s="39"/>
    </row>
    <row r="1422">
      <c r="D1422" s="39"/>
      <c r="E1422" s="39"/>
      <c r="F1422" s="39"/>
    </row>
    <row r="1423">
      <c r="D1423" s="39"/>
      <c r="E1423" s="39"/>
      <c r="F1423" s="39"/>
    </row>
    <row r="1424">
      <c r="D1424" s="39"/>
      <c r="E1424" s="39"/>
      <c r="F1424" s="39"/>
    </row>
    <row r="1425">
      <c r="D1425" s="39"/>
      <c r="E1425" s="39"/>
      <c r="F1425" s="39"/>
    </row>
    <row r="1426">
      <c r="D1426" s="39"/>
      <c r="E1426" s="39"/>
      <c r="F1426" s="39"/>
    </row>
    <row r="1427">
      <c r="D1427" s="39"/>
      <c r="E1427" s="39"/>
      <c r="F1427" s="39"/>
    </row>
    <row r="1428">
      <c r="D1428" s="39"/>
      <c r="E1428" s="39"/>
      <c r="F1428" s="39"/>
    </row>
    <row r="1429">
      <c r="D1429" s="39"/>
      <c r="E1429" s="39"/>
      <c r="F1429" s="39"/>
    </row>
    <row r="1430">
      <c r="D1430" s="39"/>
      <c r="E1430" s="39"/>
      <c r="F1430" s="39"/>
    </row>
    <row r="1431">
      <c r="D1431" s="39"/>
      <c r="E1431" s="39"/>
      <c r="F1431" s="39"/>
    </row>
    <row r="1432">
      <c r="D1432" s="39"/>
      <c r="E1432" s="39"/>
      <c r="F1432" s="39"/>
    </row>
    <row r="1433">
      <c r="D1433" s="39"/>
      <c r="E1433" s="39"/>
      <c r="F1433" s="39"/>
    </row>
    <row r="1434">
      <c r="D1434" s="39"/>
      <c r="E1434" s="39"/>
      <c r="F1434" s="39"/>
    </row>
    <row r="1435">
      <c r="D1435" s="39"/>
      <c r="E1435" s="39"/>
      <c r="F1435" s="39"/>
    </row>
    <row r="1436">
      <c r="D1436" s="39"/>
      <c r="E1436" s="39"/>
      <c r="F1436" s="39"/>
    </row>
    <row r="1437">
      <c r="D1437" s="39"/>
      <c r="E1437" s="39"/>
      <c r="F1437" s="39"/>
    </row>
    <row r="1438">
      <c r="D1438" s="39"/>
      <c r="E1438" s="39"/>
      <c r="F1438" s="39"/>
    </row>
    <row r="1439">
      <c r="D1439" s="39"/>
      <c r="E1439" s="39"/>
      <c r="F1439" s="39"/>
    </row>
    <row r="1440">
      <c r="D1440" s="39"/>
      <c r="E1440" s="39"/>
      <c r="F1440" s="39"/>
    </row>
    <row r="1441">
      <c r="D1441" s="39"/>
      <c r="E1441" s="39"/>
      <c r="F1441" s="39"/>
    </row>
    <row r="1442">
      <c r="D1442" s="39"/>
      <c r="E1442" s="39"/>
      <c r="F1442" s="39"/>
    </row>
    <row r="1443">
      <c r="D1443" s="39"/>
      <c r="E1443" s="39"/>
      <c r="F1443" s="39"/>
    </row>
    <row r="1444">
      <c r="D1444" s="39"/>
      <c r="E1444" s="39"/>
      <c r="F1444" s="39"/>
    </row>
    <row r="1445">
      <c r="D1445" s="39"/>
      <c r="E1445" s="39"/>
      <c r="F1445" s="39"/>
    </row>
    <row r="1446">
      <c r="D1446" s="39"/>
      <c r="E1446" s="39"/>
      <c r="F1446" s="39"/>
    </row>
    <row r="1447">
      <c r="D1447" s="39"/>
      <c r="E1447" s="39"/>
      <c r="F1447" s="39"/>
    </row>
    <row r="1448">
      <c r="D1448" s="39"/>
      <c r="E1448" s="39"/>
      <c r="F1448" s="39"/>
    </row>
    <row r="1449">
      <c r="D1449" s="39"/>
      <c r="E1449" s="39"/>
      <c r="F1449" s="39"/>
    </row>
    <row r="1450">
      <c r="D1450" s="39"/>
      <c r="E1450" s="39"/>
      <c r="F1450" s="39"/>
    </row>
    <row r="1451">
      <c r="D1451" s="39"/>
      <c r="E1451" s="39"/>
      <c r="F1451" s="39"/>
    </row>
    <row r="1452">
      <c r="D1452" s="39"/>
      <c r="E1452" s="39"/>
      <c r="F1452" s="39"/>
    </row>
    <row r="1453">
      <c r="D1453" s="39"/>
      <c r="E1453" s="39"/>
      <c r="F1453" s="39"/>
    </row>
    <row r="1454">
      <c r="D1454" s="39"/>
      <c r="E1454" s="39"/>
      <c r="F1454" s="39"/>
    </row>
    <row r="1455">
      <c r="D1455" s="39"/>
      <c r="E1455" s="39"/>
      <c r="F1455" s="39"/>
    </row>
    <row r="1456">
      <c r="D1456" s="39"/>
      <c r="E1456" s="39"/>
      <c r="F1456" s="39"/>
    </row>
    <row r="1457">
      <c r="D1457" s="39"/>
      <c r="E1457" s="39"/>
      <c r="F1457" s="39"/>
    </row>
    <row r="1458">
      <c r="D1458" s="39"/>
      <c r="E1458" s="39"/>
      <c r="F1458" s="39"/>
    </row>
    <row r="1459">
      <c r="D1459" s="39"/>
      <c r="E1459" s="39"/>
      <c r="F1459" s="39"/>
    </row>
    <row r="1460">
      <c r="D1460" s="39"/>
      <c r="E1460" s="39"/>
      <c r="F1460" s="39"/>
    </row>
    <row r="1461">
      <c r="D1461" s="39"/>
      <c r="E1461" s="39"/>
      <c r="F1461" s="39"/>
    </row>
    <row r="1462">
      <c r="D1462" s="39"/>
      <c r="E1462" s="39"/>
      <c r="F1462" s="39"/>
    </row>
    <row r="1463">
      <c r="D1463" s="39"/>
      <c r="E1463" s="39"/>
      <c r="F1463" s="39"/>
    </row>
    <row r="1464">
      <c r="D1464" s="39"/>
      <c r="E1464" s="39"/>
      <c r="F1464" s="39"/>
    </row>
    <row r="1465">
      <c r="D1465" s="39"/>
      <c r="E1465" s="39"/>
      <c r="F1465" s="39"/>
    </row>
    <row r="1466">
      <c r="D1466" s="39"/>
      <c r="E1466" s="39"/>
      <c r="F1466" s="39"/>
    </row>
    <row r="1467">
      <c r="D1467" s="39"/>
      <c r="E1467" s="39"/>
      <c r="F1467" s="39"/>
    </row>
    <row r="1468">
      <c r="D1468" s="39"/>
      <c r="E1468" s="39"/>
      <c r="F1468" s="39"/>
    </row>
    <row r="1469">
      <c r="D1469" s="39"/>
      <c r="E1469" s="39"/>
      <c r="F1469" s="39"/>
    </row>
    <row r="1470">
      <c r="D1470" s="39"/>
      <c r="E1470" s="39"/>
      <c r="F1470" s="39"/>
    </row>
    <row r="1471">
      <c r="D1471" s="39"/>
      <c r="E1471" s="39"/>
      <c r="F1471" s="39"/>
    </row>
    <row r="1472">
      <c r="D1472" s="39"/>
      <c r="E1472" s="39"/>
      <c r="F1472" s="39"/>
    </row>
    <row r="1473">
      <c r="D1473" s="39"/>
      <c r="E1473" s="39"/>
      <c r="F1473" s="39"/>
    </row>
    <row r="1474">
      <c r="D1474" s="39"/>
      <c r="E1474" s="39"/>
      <c r="F1474" s="39"/>
    </row>
    <row r="1475">
      <c r="D1475" s="39"/>
      <c r="E1475" s="39"/>
      <c r="F1475" s="39"/>
    </row>
    <row r="1476">
      <c r="D1476" s="39"/>
      <c r="E1476" s="39"/>
      <c r="F1476" s="39"/>
    </row>
    <row r="1477">
      <c r="D1477" s="39"/>
      <c r="E1477" s="39"/>
      <c r="F1477" s="39"/>
    </row>
    <row r="1478">
      <c r="D1478" s="39"/>
      <c r="E1478" s="39"/>
      <c r="F1478" s="39"/>
    </row>
    <row r="1479">
      <c r="D1479" s="39"/>
      <c r="E1479" s="39"/>
      <c r="F1479" s="39"/>
    </row>
    <row r="1480">
      <c r="D1480" s="39"/>
      <c r="E1480" s="39"/>
      <c r="F1480" s="39"/>
    </row>
    <row r="1481">
      <c r="D1481" s="39"/>
      <c r="E1481" s="39"/>
      <c r="F1481" s="39"/>
    </row>
    <row r="1482">
      <c r="D1482" s="39"/>
      <c r="E1482" s="39"/>
      <c r="F1482" s="39"/>
    </row>
    <row r="1483">
      <c r="D1483" s="39"/>
      <c r="E1483" s="39"/>
      <c r="F1483" s="39"/>
    </row>
    <row r="1484">
      <c r="D1484" s="39"/>
      <c r="E1484" s="39"/>
      <c r="F1484" s="39"/>
    </row>
    <row r="1485">
      <c r="D1485" s="39"/>
      <c r="E1485" s="39"/>
      <c r="F1485" s="39"/>
    </row>
    <row r="1486">
      <c r="D1486" s="39"/>
      <c r="E1486" s="39"/>
      <c r="F1486" s="39"/>
    </row>
    <row r="1487">
      <c r="D1487" s="39"/>
      <c r="E1487" s="39"/>
      <c r="F1487" s="39"/>
    </row>
    <row r="1488">
      <c r="D1488" s="39"/>
      <c r="E1488" s="39"/>
      <c r="F1488" s="39"/>
    </row>
    <row r="1489">
      <c r="D1489" s="39"/>
      <c r="E1489" s="39"/>
      <c r="F1489" s="39"/>
    </row>
    <row r="1490">
      <c r="D1490" s="39"/>
      <c r="E1490" s="39"/>
      <c r="F1490" s="39"/>
    </row>
    <row r="1491">
      <c r="D1491" s="39"/>
      <c r="E1491" s="39"/>
      <c r="F1491" s="39"/>
    </row>
    <row r="1492">
      <c r="D1492" s="39"/>
      <c r="E1492" s="39"/>
      <c r="F1492" s="39"/>
    </row>
    <row r="1493">
      <c r="D1493" s="39"/>
      <c r="E1493" s="39"/>
      <c r="F1493" s="39"/>
    </row>
    <row r="1494">
      <c r="D1494" s="39"/>
      <c r="E1494" s="39"/>
      <c r="F1494" s="39"/>
    </row>
    <row r="1495">
      <c r="D1495" s="39"/>
      <c r="E1495" s="39"/>
      <c r="F1495" s="39"/>
    </row>
    <row r="1496">
      <c r="D1496" s="39"/>
      <c r="E1496" s="39"/>
      <c r="F1496" s="39"/>
    </row>
    <row r="1497">
      <c r="D1497" s="39"/>
      <c r="E1497" s="39"/>
      <c r="F1497" s="39"/>
    </row>
    <row r="1498">
      <c r="D1498" s="39"/>
      <c r="E1498" s="39"/>
      <c r="F1498" s="39"/>
    </row>
    <row r="1499">
      <c r="D1499" s="39"/>
      <c r="E1499" s="39"/>
      <c r="F1499" s="39"/>
    </row>
    <row r="1500">
      <c r="D1500" s="39"/>
      <c r="E1500" s="39"/>
      <c r="F1500" s="39"/>
    </row>
    <row r="1501">
      <c r="D1501" s="39"/>
      <c r="E1501" s="39"/>
      <c r="F1501" s="39"/>
    </row>
    <row r="1502">
      <c r="D1502" s="39"/>
      <c r="E1502" s="39"/>
      <c r="F1502" s="39"/>
    </row>
    <row r="1503">
      <c r="D1503" s="39"/>
      <c r="E1503" s="39"/>
      <c r="F1503" s="39"/>
    </row>
    <row r="1504">
      <c r="D1504" s="39"/>
      <c r="E1504" s="39"/>
      <c r="F1504" s="39"/>
    </row>
    <row r="1505">
      <c r="D1505" s="39"/>
      <c r="E1505" s="39"/>
      <c r="F1505" s="39"/>
    </row>
    <row r="1506">
      <c r="D1506" s="39"/>
      <c r="E1506" s="39"/>
      <c r="F1506" s="39"/>
    </row>
    <row r="1507">
      <c r="D1507" s="39"/>
      <c r="E1507" s="39"/>
      <c r="F1507" s="39"/>
    </row>
    <row r="1508">
      <c r="D1508" s="39"/>
      <c r="E1508" s="39"/>
      <c r="F1508" s="39"/>
    </row>
    <row r="1509">
      <c r="D1509" s="39"/>
      <c r="E1509" s="39"/>
      <c r="F1509" s="39"/>
    </row>
    <row r="1510">
      <c r="D1510" s="39"/>
      <c r="E1510" s="39"/>
      <c r="F1510" s="39"/>
    </row>
    <row r="1511">
      <c r="D1511" s="39"/>
      <c r="E1511" s="39"/>
      <c r="F1511" s="39"/>
    </row>
    <row r="1512">
      <c r="D1512" s="39"/>
      <c r="E1512" s="39"/>
      <c r="F1512" s="39"/>
    </row>
    <row r="1513">
      <c r="D1513" s="39"/>
      <c r="E1513" s="39"/>
      <c r="F1513" s="39"/>
    </row>
    <row r="1514">
      <c r="D1514" s="39"/>
      <c r="E1514" s="39"/>
      <c r="F1514" s="39"/>
    </row>
    <row r="1515">
      <c r="D1515" s="39"/>
      <c r="E1515" s="39"/>
      <c r="F1515" s="39"/>
    </row>
    <row r="1516">
      <c r="D1516" s="39"/>
      <c r="E1516" s="39"/>
      <c r="F1516" s="39"/>
    </row>
    <row r="1517">
      <c r="D1517" s="39"/>
      <c r="E1517" s="39"/>
      <c r="F1517" s="39"/>
    </row>
    <row r="1518">
      <c r="D1518" s="39"/>
      <c r="E1518" s="39"/>
      <c r="F1518" s="39"/>
    </row>
    <row r="1519">
      <c r="D1519" s="39"/>
      <c r="E1519" s="39"/>
      <c r="F1519" s="39"/>
    </row>
    <row r="1520">
      <c r="D1520" s="39"/>
      <c r="E1520" s="39"/>
      <c r="F1520" s="39"/>
    </row>
    <row r="1521">
      <c r="D1521" s="39"/>
      <c r="E1521" s="39"/>
      <c r="F1521" s="39"/>
    </row>
    <row r="1522">
      <c r="D1522" s="39"/>
      <c r="E1522" s="39"/>
      <c r="F1522" s="39"/>
    </row>
    <row r="1523">
      <c r="D1523" s="39"/>
      <c r="E1523" s="39"/>
      <c r="F1523" s="39"/>
    </row>
    <row r="1524">
      <c r="D1524" s="39"/>
      <c r="E1524" s="39"/>
      <c r="F1524" s="39"/>
    </row>
    <row r="1525">
      <c r="D1525" s="39"/>
      <c r="E1525" s="39"/>
      <c r="F1525" s="39"/>
    </row>
    <row r="1526">
      <c r="D1526" s="39"/>
      <c r="E1526" s="39"/>
      <c r="F1526" s="39"/>
    </row>
    <row r="1527">
      <c r="D1527" s="39"/>
      <c r="E1527" s="39"/>
      <c r="F1527" s="39"/>
    </row>
    <row r="1528">
      <c r="D1528" s="39"/>
      <c r="E1528" s="39"/>
      <c r="F1528" s="39"/>
    </row>
    <row r="1529">
      <c r="D1529" s="39"/>
      <c r="E1529" s="39"/>
      <c r="F1529" s="39"/>
    </row>
    <row r="1530">
      <c r="D1530" s="39"/>
      <c r="E1530" s="39"/>
      <c r="F1530" s="39"/>
    </row>
    <row r="1531">
      <c r="D1531" s="39"/>
      <c r="E1531" s="39"/>
      <c r="F1531" s="39"/>
    </row>
    <row r="1532">
      <c r="D1532" s="39"/>
      <c r="E1532" s="39"/>
      <c r="F1532" s="39"/>
    </row>
    <row r="1533">
      <c r="D1533" s="39"/>
      <c r="E1533" s="39"/>
      <c r="F1533" s="39"/>
    </row>
    <row r="1534">
      <c r="D1534" s="39"/>
      <c r="E1534" s="39"/>
      <c r="F1534" s="39"/>
    </row>
    <row r="1535">
      <c r="D1535" s="39"/>
      <c r="E1535" s="39"/>
      <c r="F1535" s="39"/>
    </row>
    <row r="1536">
      <c r="D1536" s="39"/>
      <c r="E1536" s="39"/>
      <c r="F1536" s="39"/>
    </row>
    <row r="1537">
      <c r="D1537" s="39"/>
      <c r="E1537" s="39"/>
      <c r="F1537" s="39"/>
    </row>
    <row r="1538">
      <c r="D1538" s="39"/>
      <c r="E1538" s="39"/>
      <c r="F1538" s="39"/>
    </row>
    <row r="1539">
      <c r="D1539" s="39"/>
      <c r="E1539" s="39"/>
      <c r="F1539" s="39"/>
    </row>
    <row r="1540">
      <c r="D1540" s="39"/>
      <c r="E1540" s="39"/>
      <c r="F1540" s="39"/>
    </row>
    <row r="1541">
      <c r="D1541" s="39"/>
      <c r="E1541" s="39"/>
      <c r="F1541" s="39"/>
    </row>
    <row r="1542">
      <c r="D1542" s="39"/>
      <c r="E1542" s="39"/>
      <c r="F1542" s="39"/>
    </row>
    <row r="1543">
      <c r="D1543" s="39"/>
      <c r="E1543" s="39"/>
      <c r="F1543" s="39"/>
    </row>
    <row r="1544">
      <c r="D1544" s="39"/>
      <c r="E1544" s="39"/>
      <c r="F1544" s="39"/>
    </row>
    <row r="1545">
      <c r="D1545" s="39"/>
      <c r="E1545" s="39"/>
      <c r="F1545" s="39"/>
    </row>
    <row r="1546">
      <c r="D1546" s="39"/>
      <c r="E1546" s="39"/>
      <c r="F1546" s="39"/>
    </row>
    <row r="1547">
      <c r="D1547" s="39"/>
      <c r="E1547" s="39"/>
      <c r="F1547" s="39"/>
    </row>
    <row r="1548">
      <c r="D1548" s="39"/>
      <c r="E1548" s="39"/>
      <c r="F1548" s="39"/>
    </row>
    <row r="1549">
      <c r="D1549" s="39"/>
      <c r="E1549" s="39"/>
      <c r="F1549" s="39"/>
    </row>
    <row r="1550">
      <c r="D1550" s="39"/>
      <c r="E1550" s="39"/>
      <c r="F1550" s="39"/>
    </row>
    <row r="1551">
      <c r="D1551" s="39"/>
      <c r="E1551" s="39"/>
      <c r="F1551" s="39"/>
    </row>
    <row r="1552">
      <c r="D1552" s="39"/>
      <c r="E1552" s="39"/>
      <c r="F1552" s="39"/>
    </row>
    <row r="1553">
      <c r="D1553" s="39"/>
      <c r="E1553" s="39"/>
      <c r="F1553" s="39"/>
    </row>
    <row r="1554">
      <c r="D1554" s="39"/>
      <c r="E1554" s="39"/>
      <c r="F1554" s="39"/>
    </row>
    <row r="1555">
      <c r="D1555" s="39"/>
      <c r="E1555" s="39"/>
      <c r="F1555" s="39"/>
    </row>
    <row r="1556">
      <c r="D1556" s="39"/>
      <c r="E1556" s="39"/>
      <c r="F1556" s="39"/>
    </row>
    <row r="1557">
      <c r="D1557" s="39"/>
      <c r="E1557" s="39"/>
      <c r="F1557" s="39"/>
    </row>
    <row r="1558">
      <c r="D1558" s="39"/>
      <c r="E1558" s="39"/>
      <c r="F1558" s="39"/>
    </row>
    <row r="1559">
      <c r="D1559" s="39"/>
      <c r="E1559" s="39"/>
      <c r="F1559" s="39"/>
    </row>
    <row r="1560">
      <c r="D1560" s="39"/>
      <c r="E1560" s="39"/>
      <c r="F1560" s="39"/>
    </row>
    <row r="1561">
      <c r="D1561" s="39"/>
      <c r="E1561" s="39"/>
      <c r="F1561" s="39"/>
    </row>
    <row r="1562">
      <c r="D1562" s="39"/>
      <c r="E1562" s="39"/>
      <c r="F1562" s="39"/>
    </row>
    <row r="1563">
      <c r="D1563" s="39"/>
      <c r="E1563" s="39"/>
      <c r="F1563" s="39"/>
    </row>
    <row r="1564">
      <c r="D1564" s="39"/>
      <c r="E1564" s="39"/>
      <c r="F1564" s="39"/>
    </row>
    <row r="1565">
      <c r="D1565" s="39"/>
      <c r="E1565" s="39"/>
      <c r="F1565" s="39"/>
    </row>
    <row r="1566">
      <c r="D1566" s="39"/>
      <c r="E1566" s="39"/>
      <c r="F1566" s="39"/>
    </row>
    <row r="1567">
      <c r="D1567" s="39"/>
      <c r="E1567" s="39"/>
      <c r="F1567" s="39"/>
    </row>
    <row r="1568">
      <c r="D1568" s="39"/>
      <c r="E1568" s="39"/>
      <c r="F1568" s="39"/>
    </row>
    <row r="1569">
      <c r="D1569" s="39"/>
      <c r="E1569" s="39"/>
      <c r="F1569" s="39"/>
    </row>
    <row r="1570">
      <c r="D1570" s="39"/>
      <c r="E1570" s="39"/>
      <c r="F1570" s="39"/>
    </row>
    <row r="1571">
      <c r="D1571" s="39"/>
      <c r="E1571" s="39"/>
      <c r="F1571" s="39"/>
    </row>
    <row r="1572">
      <c r="D1572" s="39"/>
      <c r="E1572" s="39"/>
      <c r="F1572" s="39"/>
    </row>
    <row r="1573">
      <c r="D1573" s="39"/>
      <c r="E1573" s="39"/>
      <c r="F1573" s="39"/>
    </row>
    <row r="1574">
      <c r="D1574" s="39"/>
      <c r="E1574" s="39"/>
      <c r="F1574" s="39"/>
    </row>
    <row r="1575">
      <c r="D1575" s="39"/>
      <c r="E1575" s="39"/>
      <c r="F1575" s="39"/>
    </row>
    <row r="1576">
      <c r="D1576" s="39"/>
      <c r="E1576" s="39"/>
      <c r="F1576" s="39"/>
    </row>
    <row r="1577">
      <c r="D1577" s="39"/>
      <c r="E1577" s="39"/>
      <c r="F1577" s="39"/>
    </row>
    <row r="1578">
      <c r="D1578" s="39"/>
      <c r="E1578" s="39"/>
      <c r="F1578" s="39"/>
    </row>
    <row r="1579">
      <c r="D1579" s="39"/>
      <c r="E1579" s="39"/>
      <c r="F1579" s="39"/>
    </row>
    <row r="1580">
      <c r="D1580" s="39"/>
      <c r="E1580" s="39"/>
      <c r="F1580" s="39"/>
    </row>
    <row r="1581">
      <c r="D1581" s="39"/>
      <c r="E1581" s="39"/>
      <c r="F1581" s="39"/>
    </row>
    <row r="1582">
      <c r="D1582" s="39"/>
      <c r="E1582" s="39"/>
      <c r="F1582" s="39"/>
    </row>
    <row r="1583">
      <c r="D1583" s="39"/>
      <c r="E1583" s="39"/>
      <c r="F1583" s="39"/>
    </row>
    <row r="1584">
      <c r="D1584" s="39"/>
      <c r="E1584" s="39"/>
      <c r="F1584" s="39"/>
    </row>
    <row r="1585">
      <c r="D1585" s="39"/>
      <c r="E1585" s="39"/>
      <c r="F1585" s="39"/>
    </row>
    <row r="1586">
      <c r="D1586" s="39"/>
      <c r="E1586" s="39"/>
      <c r="F1586" s="39"/>
    </row>
    <row r="1587">
      <c r="D1587" s="39"/>
      <c r="E1587" s="39"/>
      <c r="F1587" s="39"/>
    </row>
    <row r="1588">
      <c r="D1588" s="39"/>
      <c r="E1588" s="39"/>
      <c r="F1588" s="39"/>
    </row>
    <row r="1589">
      <c r="D1589" s="39"/>
      <c r="E1589" s="39"/>
      <c r="F1589" s="39"/>
    </row>
    <row r="1590">
      <c r="D1590" s="39"/>
      <c r="E1590" s="39"/>
      <c r="F1590" s="39"/>
    </row>
    <row r="1591">
      <c r="D1591" s="39"/>
      <c r="E1591" s="39"/>
      <c r="F1591" s="39"/>
    </row>
    <row r="1592">
      <c r="D1592" s="39"/>
      <c r="E1592" s="39"/>
      <c r="F1592" s="39"/>
    </row>
    <row r="1593">
      <c r="D1593" s="39"/>
      <c r="E1593" s="39"/>
      <c r="F1593" s="39"/>
    </row>
    <row r="1594">
      <c r="D1594" s="39"/>
      <c r="E1594" s="39"/>
      <c r="F1594" s="39"/>
    </row>
    <row r="1595">
      <c r="D1595" s="39"/>
      <c r="E1595" s="39"/>
      <c r="F1595" s="39"/>
    </row>
    <row r="1596">
      <c r="D1596" s="39"/>
      <c r="E1596" s="39"/>
      <c r="F1596" s="39"/>
    </row>
    <row r="1597">
      <c r="D1597" s="39"/>
      <c r="E1597" s="39"/>
      <c r="F1597" s="39"/>
    </row>
    <row r="1598">
      <c r="D1598" s="39"/>
      <c r="E1598" s="39"/>
      <c r="F1598" s="39"/>
    </row>
    <row r="1599">
      <c r="D1599" s="39"/>
      <c r="E1599" s="39"/>
      <c r="F1599" s="39"/>
    </row>
    <row r="1600">
      <c r="D1600" s="39"/>
      <c r="E1600" s="39"/>
      <c r="F1600" s="39"/>
    </row>
    <row r="1601">
      <c r="D1601" s="39"/>
      <c r="E1601" s="39"/>
      <c r="F1601" s="39"/>
    </row>
    <row r="1602">
      <c r="D1602" s="39"/>
      <c r="E1602" s="39"/>
      <c r="F1602" s="39"/>
    </row>
    <row r="1603">
      <c r="D1603" s="39"/>
      <c r="E1603" s="39"/>
      <c r="F1603" s="39"/>
    </row>
    <row r="1604">
      <c r="D1604" s="39"/>
      <c r="E1604" s="39"/>
      <c r="F1604" s="39"/>
    </row>
    <row r="1605">
      <c r="D1605" s="39"/>
      <c r="E1605" s="39"/>
      <c r="F1605" s="39"/>
    </row>
    <row r="1606">
      <c r="D1606" s="39"/>
      <c r="E1606" s="39"/>
      <c r="F1606" s="39"/>
    </row>
    <row r="1607">
      <c r="D1607" s="39"/>
      <c r="E1607" s="39"/>
      <c r="F1607" s="39"/>
    </row>
    <row r="1608">
      <c r="D1608" s="39"/>
      <c r="E1608" s="39"/>
      <c r="F1608" s="39"/>
    </row>
    <row r="1609">
      <c r="D1609" s="39"/>
      <c r="E1609" s="39"/>
      <c r="F1609" s="39"/>
    </row>
    <row r="1610">
      <c r="D1610" s="39"/>
      <c r="E1610" s="39"/>
      <c r="F1610" s="39"/>
    </row>
    <row r="1611">
      <c r="D1611" s="39"/>
      <c r="E1611" s="39"/>
      <c r="F1611" s="39"/>
    </row>
    <row r="1612">
      <c r="D1612" s="39"/>
      <c r="E1612" s="39"/>
      <c r="F1612" s="39"/>
    </row>
    <row r="1613">
      <c r="D1613" s="39"/>
      <c r="E1613" s="39"/>
      <c r="F1613" s="39"/>
    </row>
    <row r="1614">
      <c r="D1614" s="39"/>
      <c r="E1614" s="39"/>
      <c r="F1614" s="39"/>
    </row>
    <row r="1615">
      <c r="D1615" s="39"/>
      <c r="E1615" s="39"/>
      <c r="F1615" s="39"/>
    </row>
    <row r="1616">
      <c r="D1616" s="39"/>
      <c r="E1616" s="39"/>
      <c r="F1616" s="39"/>
    </row>
    <row r="1617">
      <c r="D1617" s="39"/>
      <c r="E1617" s="39"/>
      <c r="F1617" s="39"/>
    </row>
    <row r="1618">
      <c r="D1618" s="39"/>
      <c r="E1618" s="39"/>
      <c r="F1618" s="39"/>
    </row>
    <row r="1619">
      <c r="D1619" s="39"/>
      <c r="E1619" s="39"/>
      <c r="F1619" s="39"/>
    </row>
    <row r="1620">
      <c r="D1620" s="39"/>
      <c r="E1620" s="39"/>
      <c r="F1620" s="39"/>
    </row>
    <row r="1621">
      <c r="D1621" s="39"/>
      <c r="E1621" s="39"/>
      <c r="F1621" s="39"/>
    </row>
    <row r="1622">
      <c r="D1622" s="39"/>
      <c r="E1622" s="39"/>
      <c r="F1622" s="39"/>
    </row>
    <row r="1623">
      <c r="D1623" s="39"/>
      <c r="E1623" s="39"/>
      <c r="F1623" s="39"/>
    </row>
    <row r="1624">
      <c r="D1624" s="39"/>
      <c r="E1624" s="39"/>
      <c r="F1624" s="39"/>
    </row>
    <row r="1625">
      <c r="D1625" s="39"/>
      <c r="E1625" s="39"/>
      <c r="F1625" s="39"/>
    </row>
    <row r="1626">
      <c r="D1626" s="39"/>
      <c r="E1626" s="39"/>
      <c r="F1626" s="39"/>
    </row>
    <row r="1627">
      <c r="D1627" s="39"/>
      <c r="E1627" s="39"/>
      <c r="F1627" s="39"/>
    </row>
    <row r="1628">
      <c r="D1628" s="39"/>
      <c r="E1628" s="39"/>
      <c r="F1628" s="39"/>
    </row>
    <row r="1629">
      <c r="D1629" s="39"/>
      <c r="E1629" s="39"/>
      <c r="F1629" s="39"/>
    </row>
    <row r="1630">
      <c r="D1630" s="39"/>
      <c r="E1630" s="39"/>
      <c r="F1630" s="39"/>
    </row>
    <row r="1631">
      <c r="D1631" s="39"/>
      <c r="E1631" s="39"/>
      <c r="F1631" s="39"/>
    </row>
    <row r="1632">
      <c r="D1632" s="39"/>
      <c r="E1632" s="39"/>
      <c r="F1632" s="39"/>
    </row>
    <row r="1633">
      <c r="D1633" s="39"/>
      <c r="E1633" s="39"/>
      <c r="F1633" s="39"/>
    </row>
    <row r="1634">
      <c r="D1634" s="39"/>
      <c r="E1634" s="39"/>
      <c r="F1634" s="39"/>
    </row>
    <row r="1635">
      <c r="D1635" s="39"/>
      <c r="E1635" s="39"/>
      <c r="F1635" s="39"/>
    </row>
    <row r="1636">
      <c r="D1636" s="39"/>
      <c r="E1636" s="39"/>
      <c r="F1636" s="39"/>
    </row>
    <row r="1637">
      <c r="D1637" s="39"/>
      <c r="E1637" s="39"/>
      <c r="F1637" s="39"/>
    </row>
    <row r="1638">
      <c r="D1638" s="39"/>
      <c r="E1638" s="39"/>
      <c r="F1638" s="39"/>
    </row>
    <row r="1639">
      <c r="D1639" s="39"/>
      <c r="E1639" s="39"/>
      <c r="F1639" s="39"/>
    </row>
    <row r="1640">
      <c r="D1640" s="39"/>
      <c r="E1640" s="39"/>
      <c r="F1640" s="39"/>
    </row>
    <row r="1641">
      <c r="D1641" s="39"/>
      <c r="E1641" s="39"/>
      <c r="F1641" s="39"/>
    </row>
    <row r="1642">
      <c r="D1642" s="39"/>
      <c r="E1642" s="39"/>
      <c r="F1642" s="39"/>
    </row>
    <row r="1643">
      <c r="D1643" s="39"/>
      <c r="E1643" s="39"/>
      <c r="F1643" s="39"/>
    </row>
    <row r="1644">
      <c r="D1644" s="39"/>
      <c r="E1644" s="39"/>
      <c r="F1644" s="39"/>
    </row>
    <row r="1645">
      <c r="D1645" s="39"/>
      <c r="E1645" s="39"/>
      <c r="F1645" s="39"/>
    </row>
    <row r="1646">
      <c r="D1646" s="39"/>
      <c r="E1646" s="39"/>
      <c r="F1646" s="39"/>
    </row>
    <row r="1647">
      <c r="D1647" s="39"/>
      <c r="E1647" s="39"/>
      <c r="F1647" s="39"/>
    </row>
    <row r="1648">
      <c r="D1648" s="39"/>
      <c r="E1648" s="39"/>
      <c r="F1648" s="39"/>
    </row>
    <row r="1649">
      <c r="D1649" s="39"/>
      <c r="E1649" s="39"/>
      <c r="F1649" s="39"/>
    </row>
    <row r="1650">
      <c r="D1650" s="39"/>
      <c r="E1650" s="39"/>
      <c r="F1650" s="39"/>
    </row>
    <row r="1651">
      <c r="D1651" s="39"/>
      <c r="E1651" s="39"/>
      <c r="F1651" s="39"/>
    </row>
    <row r="1652">
      <c r="D1652" s="39"/>
      <c r="E1652" s="39"/>
      <c r="F1652" s="39"/>
    </row>
    <row r="1653">
      <c r="D1653" s="39"/>
      <c r="E1653" s="39"/>
      <c r="F1653" s="39"/>
    </row>
    <row r="1654">
      <c r="D1654" s="39"/>
      <c r="E1654" s="39"/>
      <c r="F1654" s="39"/>
    </row>
    <row r="1655">
      <c r="D1655" s="39"/>
      <c r="E1655" s="39"/>
      <c r="F1655" s="39"/>
    </row>
    <row r="1656">
      <c r="D1656" s="39"/>
      <c r="E1656" s="39"/>
      <c r="F1656" s="39"/>
    </row>
    <row r="1657">
      <c r="D1657" s="39"/>
      <c r="E1657" s="39"/>
      <c r="F1657" s="39"/>
    </row>
    <row r="1658">
      <c r="D1658" s="39"/>
      <c r="E1658" s="39"/>
      <c r="F1658" s="39"/>
    </row>
    <row r="1659">
      <c r="D1659" s="39"/>
      <c r="E1659" s="39"/>
      <c r="F1659" s="39"/>
    </row>
    <row r="1660">
      <c r="D1660" s="39"/>
      <c r="E1660" s="39"/>
      <c r="F1660" s="39"/>
    </row>
    <row r="1661">
      <c r="D1661" s="39"/>
      <c r="E1661" s="39"/>
      <c r="F1661" s="39"/>
    </row>
    <row r="1662">
      <c r="D1662" s="39"/>
      <c r="E1662" s="39"/>
      <c r="F1662" s="39"/>
    </row>
    <row r="1663">
      <c r="D1663" s="39"/>
      <c r="E1663" s="39"/>
      <c r="F1663" s="39"/>
    </row>
    <row r="1664">
      <c r="D1664" s="39"/>
      <c r="E1664" s="39"/>
      <c r="F1664" s="39"/>
    </row>
    <row r="1665">
      <c r="D1665" s="39"/>
      <c r="E1665" s="39"/>
      <c r="F1665" s="39"/>
    </row>
    <row r="1666">
      <c r="D1666" s="39"/>
      <c r="E1666" s="39"/>
      <c r="F1666" s="39"/>
    </row>
    <row r="1667">
      <c r="D1667" s="39"/>
      <c r="E1667" s="39"/>
      <c r="F1667" s="39"/>
    </row>
    <row r="1668">
      <c r="D1668" s="39"/>
      <c r="E1668" s="39"/>
      <c r="F1668" s="39"/>
    </row>
    <row r="1669">
      <c r="D1669" s="39"/>
      <c r="E1669" s="39"/>
      <c r="F1669" s="39"/>
    </row>
    <row r="1670">
      <c r="D1670" s="39"/>
      <c r="E1670" s="39"/>
      <c r="F1670" s="39"/>
    </row>
    <row r="1671">
      <c r="D1671" s="39"/>
      <c r="E1671" s="39"/>
      <c r="F1671" s="39"/>
    </row>
    <row r="1672">
      <c r="D1672" s="39"/>
      <c r="E1672" s="39"/>
      <c r="F1672" s="39"/>
    </row>
    <row r="1673">
      <c r="D1673" s="39"/>
      <c r="E1673" s="39"/>
      <c r="F1673" s="39"/>
    </row>
    <row r="1674">
      <c r="D1674" s="39"/>
      <c r="E1674" s="39"/>
      <c r="F1674" s="39"/>
    </row>
    <row r="1675">
      <c r="D1675" s="39"/>
      <c r="E1675" s="39"/>
      <c r="F1675" s="39"/>
    </row>
    <row r="1676">
      <c r="D1676" s="39"/>
      <c r="E1676" s="39"/>
      <c r="F1676" s="39"/>
    </row>
    <row r="1677">
      <c r="D1677" s="39"/>
      <c r="E1677" s="39"/>
      <c r="F1677" s="39"/>
    </row>
    <row r="1678">
      <c r="D1678" s="39"/>
      <c r="E1678" s="39"/>
      <c r="F1678" s="39"/>
    </row>
    <row r="1679">
      <c r="D1679" s="39"/>
      <c r="E1679" s="39"/>
      <c r="F1679" s="39"/>
    </row>
    <row r="1680">
      <c r="D1680" s="39"/>
      <c r="E1680" s="39"/>
      <c r="F1680" s="39"/>
    </row>
    <row r="1681">
      <c r="D1681" s="39"/>
      <c r="E1681" s="39"/>
      <c r="F1681" s="39"/>
    </row>
    <row r="1682">
      <c r="D1682" s="39"/>
      <c r="E1682" s="39"/>
      <c r="F1682" s="39"/>
    </row>
    <row r="1683">
      <c r="D1683" s="39"/>
      <c r="E1683" s="39"/>
      <c r="F1683" s="39"/>
    </row>
    <row r="1684">
      <c r="D1684" s="39"/>
      <c r="E1684" s="39"/>
      <c r="F1684" s="39"/>
    </row>
    <row r="1685">
      <c r="D1685" s="39"/>
      <c r="E1685" s="39"/>
      <c r="F1685" s="39"/>
    </row>
    <row r="1686">
      <c r="D1686" s="39"/>
      <c r="E1686" s="39"/>
      <c r="F1686" s="39"/>
    </row>
    <row r="1687">
      <c r="D1687" s="39"/>
      <c r="E1687" s="39"/>
      <c r="F1687" s="39"/>
    </row>
    <row r="1688">
      <c r="D1688" s="39"/>
      <c r="E1688" s="39"/>
      <c r="F1688" s="39"/>
    </row>
    <row r="1689">
      <c r="D1689" s="39"/>
      <c r="E1689" s="39"/>
      <c r="F1689" s="39"/>
    </row>
    <row r="1690">
      <c r="D1690" s="39"/>
      <c r="E1690" s="39"/>
      <c r="F1690" s="39"/>
    </row>
    <row r="1691">
      <c r="D1691" s="39"/>
      <c r="E1691" s="39"/>
      <c r="F1691" s="39"/>
    </row>
    <row r="1692">
      <c r="D1692" s="39"/>
      <c r="E1692" s="39"/>
      <c r="F1692" s="39"/>
    </row>
    <row r="1693">
      <c r="D1693" s="39"/>
      <c r="E1693" s="39"/>
      <c r="F1693" s="39"/>
    </row>
    <row r="1694">
      <c r="D1694" s="39"/>
      <c r="E1694" s="39"/>
      <c r="F1694" s="39"/>
    </row>
    <row r="1695">
      <c r="D1695" s="39"/>
      <c r="E1695" s="39"/>
      <c r="F1695" s="39"/>
    </row>
    <row r="1696">
      <c r="D1696" s="39"/>
      <c r="E1696" s="39"/>
      <c r="F1696" s="39"/>
    </row>
    <row r="1697">
      <c r="D1697" s="39"/>
      <c r="E1697" s="39"/>
      <c r="F1697" s="39"/>
    </row>
    <row r="1698">
      <c r="D1698" s="39"/>
      <c r="E1698" s="39"/>
      <c r="F1698" s="39"/>
    </row>
    <row r="1699">
      <c r="D1699" s="39"/>
      <c r="E1699" s="39"/>
      <c r="F1699" s="39"/>
    </row>
    <row r="1700">
      <c r="D1700" s="39"/>
      <c r="E1700" s="39"/>
      <c r="F1700" s="39"/>
    </row>
    <row r="1701">
      <c r="D1701" s="39"/>
      <c r="E1701" s="39"/>
      <c r="F1701" s="39"/>
    </row>
    <row r="1702">
      <c r="D1702" s="39"/>
      <c r="E1702" s="39"/>
      <c r="F1702" s="39"/>
    </row>
    <row r="1703">
      <c r="D1703" s="39"/>
      <c r="E1703" s="39"/>
      <c r="F1703" s="39"/>
    </row>
    <row r="1704">
      <c r="D1704" s="39"/>
      <c r="E1704" s="39"/>
      <c r="F1704" s="39"/>
    </row>
    <row r="1705">
      <c r="D1705" s="39"/>
      <c r="E1705" s="39"/>
      <c r="F1705" s="39"/>
    </row>
    <row r="1706">
      <c r="D1706" s="39"/>
      <c r="E1706" s="39"/>
      <c r="F1706" s="39"/>
    </row>
    <row r="1707">
      <c r="D1707" s="39"/>
      <c r="E1707" s="39"/>
      <c r="F1707" s="39"/>
    </row>
    <row r="1708">
      <c r="D1708" s="39"/>
      <c r="E1708" s="39"/>
      <c r="F1708" s="39"/>
    </row>
    <row r="1709">
      <c r="D1709" s="39"/>
      <c r="E1709" s="39"/>
      <c r="F1709" s="39"/>
    </row>
    <row r="1710">
      <c r="D1710" s="39"/>
      <c r="E1710" s="39"/>
      <c r="F1710" s="39"/>
    </row>
    <row r="1711">
      <c r="D1711" s="39"/>
      <c r="E1711" s="39"/>
      <c r="F1711" s="39"/>
    </row>
    <row r="1712">
      <c r="D1712" s="39"/>
      <c r="E1712" s="39"/>
      <c r="F1712" s="39"/>
    </row>
    <row r="1713">
      <c r="D1713" s="39"/>
      <c r="E1713" s="39"/>
      <c r="F1713" s="39"/>
    </row>
    <row r="1714">
      <c r="D1714" s="39"/>
      <c r="E1714" s="39"/>
      <c r="F1714" s="39"/>
    </row>
    <row r="1715">
      <c r="D1715" s="39"/>
      <c r="E1715" s="39"/>
      <c r="F1715" s="39"/>
    </row>
    <row r="1716">
      <c r="D1716" s="39"/>
      <c r="E1716" s="39"/>
      <c r="F1716" s="39"/>
    </row>
    <row r="1717">
      <c r="D1717" s="39"/>
      <c r="E1717" s="39"/>
      <c r="F1717" s="39"/>
    </row>
    <row r="1718">
      <c r="D1718" s="39"/>
      <c r="E1718" s="39"/>
      <c r="F1718" s="39"/>
    </row>
    <row r="1719">
      <c r="D1719" s="39"/>
      <c r="E1719" s="39"/>
      <c r="F1719" s="39"/>
    </row>
    <row r="1720">
      <c r="D1720" s="39"/>
      <c r="E1720" s="39"/>
      <c r="F1720" s="39"/>
    </row>
    <row r="1721">
      <c r="D1721" s="39"/>
      <c r="E1721" s="39"/>
      <c r="F1721" s="39"/>
    </row>
    <row r="1722">
      <c r="D1722" s="39"/>
      <c r="E1722" s="39"/>
      <c r="F1722" s="39"/>
    </row>
    <row r="1723">
      <c r="D1723" s="39"/>
      <c r="E1723" s="39"/>
      <c r="F1723" s="39"/>
    </row>
    <row r="1724">
      <c r="D1724" s="39"/>
      <c r="E1724" s="39"/>
      <c r="F1724" s="39"/>
    </row>
    <row r="1725">
      <c r="D1725" s="39"/>
      <c r="E1725" s="39"/>
      <c r="F1725" s="39"/>
    </row>
    <row r="1726">
      <c r="D1726" s="39"/>
      <c r="E1726" s="39"/>
      <c r="F1726" s="39"/>
    </row>
    <row r="1727">
      <c r="D1727" s="39"/>
      <c r="E1727" s="39"/>
      <c r="F1727" s="39"/>
    </row>
    <row r="1728">
      <c r="D1728" s="39"/>
      <c r="E1728" s="39"/>
      <c r="F1728" s="39"/>
    </row>
    <row r="1729">
      <c r="D1729" s="39"/>
      <c r="E1729" s="39"/>
      <c r="F1729" s="39"/>
    </row>
    <row r="1730">
      <c r="D1730" s="39"/>
      <c r="E1730" s="39"/>
      <c r="F1730" s="39"/>
    </row>
    <row r="1731">
      <c r="D1731" s="39"/>
      <c r="E1731" s="39"/>
      <c r="F1731" s="39"/>
    </row>
    <row r="1732">
      <c r="D1732" s="39"/>
      <c r="E1732" s="39"/>
      <c r="F1732" s="39"/>
    </row>
    <row r="1733">
      <c r="D1733" s="39"/>
      <c r="E1733" s="39"/>
      <c r="F1733" s="39"/>
    </row>
    <row r="1734">
      <c r="D1734" s="39"/>
      <c r="E1734" s="39"/>
      <c r="F1734" s="39"/>
    </row>
    <row r="1735">
      <c r="D1735" s="39"/>
      <c r="E1735" s="39"/>
      <c r="F1735" s="39"/>
    </row>
    <row r="1736">
      <c r="D1736" s="39"/>
      <c r="E1736" s="39"/>
      <c r="F1736" s="39"/>
    </row>
    <row r="1737">
      <c r="D1737" s="39"/>
      <c r="E1737" s="39"/>
      <c r="F1737" s="39"/>
    </row>
    <row r="1738">
      <c r="D1738" s="39"/>
      <c r="E1738" s="39"/>
      <c r="F1738" s="39"/>
    </row>
    <row r="1739">
      <c r="D1739" s="39"/>
      <c r="E1739" s="39"/>
      <c r="F1739" s="39"/>
    </row>
    <row r="1740">
      <c r="D1740" s="39"/>
      <c r="E1740" s="39"/>
      <c r="F1740" s="39"/>
    </row>
    <row r="1741">
      <c r="D1741" s="39"/>
      <c r="E1741" s="39"/>
      <c r="F1741" s="39"/>
    </row>
    <row r="1742">
      <c r="D1742" s="39"/>
      <c r="E1742" s="39"/>
      <c r="F1742" s="39"/>
    </row>
    <row r="1743">
      <c r="D1743" s="39"/>
      <c r="E1743" s="39"/>
      <c r="F1743" s="39"/>
    </row>
    <row r="1744">
      <c r="D1744" s="39"/>
      <c r="E1744" s="39"/>
      <c r="F1744" s="39"/>
    </row>
    <row r="1745">
      <c r="D1745" s="39"/>
      <c r="E1745" s="39"/>
      <c r="F1745" s="39"/>
    </row>
    <row r="1746">
      <c r="D1746" s="39"/>
      <c r="E1746" s="39"/>
      <c r="F1746" s="39"/>
    </row>
    <row r="1747">
      <c r="D1747" s="39"/>
      <c r="E1747" s="39"/>
      <c r="F1747" s="39"/>
    </row>
    <row r="1748">
      <c r="D1748" s="39"/>
      <c r="E1748" s="39"/>
      <c r="F1748" s="39"/>
    </row>
    <row r="1749">
      <c r="D1749" s="39"/>
      <c r="E1749" s="39"/>
      <c r="F1749" s="39"/>
    </row>
    <row r="1750">
      <c r="D1750" s="39"/>
      <c r="E1750" s="39"/>
      <c r="F1750" s="39"/>
    </row>
    <row r="1751">
      <c r="D1751" s="39"/>
      <c r="E1751" s="39"/>
      <c r="F1751" s="39"/>
    </row>
    <row r="1752">
      <c r="D1752" s="39"/>
      <c r="E1752" s="39"/>
      <c r="F1752" s="39"/>
    </row>
    <row r="1753">
      <c r="D1753" s="39"/>
      <c r="E1753" s="39"/>
      <c r="F1753" s="39"/>
    </row>
    <row r="1754">
      <c r="D1754" s="39"/>
      <c r="E1754" s="39"/>
      <c r="F1754" s="39"/>
    </row>
    <row r="1755">
      <c r="D1755" s="39"/>
      <c r="E1755" s="39"/>
      <c r="F1755" s="39"/>
    </row>
    <row r="1756">
      <c r="D1756" s="39"/>
      <c r="E1756" s="39"/>
      <c r="F1756" s="39"/>
    </row>
    <row r="1757">
      <c r="D1757" s="39"/>
      <c r="E1757" s="39"/>
      <c r="F1757" s="39"/>
    </row>
    <row r="1758">
      <c r="D1758" s="39"/>
      <c r="E1758" s="39"/>
      <c r="F1758" s="39"/>
    </row>
    <row r="1759">
      <c r="D1759" s="39"/>
      <c r="E1759" s="39"/>
      <c r="F1759" s="39"/>
    </row>
    <row r="1760">
      <c r="D1760" s="39"/>
      <c r="E1760" s="39"/>
      <c r="F1760" s="39"/>
    </row>
    <row r="1761">
      <c r="D1761" s="39"/>
      <c r="E1761" s="39"/>
      <c r="F1761" s="39"/>
    </row>
    <row r="1762">
      <c r="D1762" s="39"/>
      <c r="E1762" s="39"/>
      <c r="F1762" s="39"/>
    </row>
    <row r="1763">
      <c r="D1763" s="39"/>
      <c r="E1763" s="39"/>
      <c r="F1763" s="39"/>
    </row>
    <row r="1764">
      <c r="D1764" s="39"/>
      <c r="E1764" s="39"/>
      <c r="F1764" s="39"/>
    </row>
    <row r="1765">
      <c r="D1765" s="39"/>
      <c r="E1765" s="39"/>
      <c r="F1765" s="39"/>
    </row>
    <row r="1766">
      <c r="D1766" s="39"/>
      <c r="E1766" s="39"/>
      <c r="F1766" s="39"/>
    </row>
    <row r="1767">
      <c r="D1767" s="39"/>
      <c r="E1767" s="39"/>
      <c r="F1767" s="39"/>
    </row>
    <row r="1768">
      <c r="D1768" s="39"/>
      <c r="E1768" s="39"/>
      <c r="F1768" s="39"/>
    </row>
    <row r="1769">
      <c r="D1769" s="39"/>
      <c r="E1769" s="39"/>
      <c r="F1769" s="39"/>
    </row>
    <row r="1770">
      <c r="D1770" s="39"/>
      <c r="E1770" s="39"/>
      <c r="F1770" s="39"/>
    </row>
    <row r="1771">
      <c r="D1771" s="39"/>
      <c r="E1771" s="39"/>
      <c r="F1771" s="39"/>
    </row>
    <row r="1772">
      <c r="D1772" s="39"/>
      <c r="E1772" s="39"/>
      <c r="F1772" s="39"/>
    </row>
    <row r="1773">
      <c r="D1773" s="39"/>
      <c r="E1773" s="39"/>
      <c r="F1773" s="39"/>
    </row>
    <row r="1774">
      <c r="D1774" s="39"/>
      <c r="E1774" s="39"/>
      <c r="F1774" s="39"/>
    </row>
    <row r="1775">
      <c r="D1775" s="39"/>
      <c r="E1775" s="39"/>
      <c r="F1775" s="39"/>
    </row>
    <row r="1776">
      <c r="D1776" s="39"/>
      <c r="E1776" s="39"/>
      <c r="F1776" s="39"/>
    </row>
    <row r="1777">
      <c r="D1777" s="39"/>
      <c r="E1777" s="39"/>
      <c r="F1777" s="39"/>
    </row>
    <row r="1778">
      <c r="D1778" s="39"/>
      <c r="E1778" s="39"/>
      <c r="F1778" s="39"/>
    </row>
    <row r="1779">
      <c r="D1779" s="39"/>
      <c r="E1779" s="39"/>
      <c r="F1779" s="39"/>
    </row>
    <row r="1780">
      <c r="D1780" s="39"/>
      <c r="E1780" s="39"/>
      <c r="F1780" s="39"/>
    </row>
    <row r="1781">
      <c r="D1781" s="39"/>
      <c r="E1781" s="39"/>
      <c r="F1781" s="39"/>
    </row>
    <row r="1782">
      <c r="D1782" s="39"/>
      <c r="E1782" s="39"/>
      <c r="F1782" s="39"/>
    </row>
    <row r="1783">
      <c r="D1783" s="39"/>
      <c r="E1783" s="39"/>
      <c r="F1783" s="39"/>
    </row>
    <row r="1784">
      <c r="D1784" s="39"/>
      <c r="E1784" s="39"/>
      <c r="F1784" s="39"/>
    </row>
    <row r="1785">
      <c r="D1785" s="39"/>
      <c r="E1785" s="39"/>
      <c r="F1785" s="39"/>
    </row>
    <row r="1786">
      <c r="D1786" s="39"/>
      <c r="E1786" s="39"/>
      <c r="F1786" s="39"/>
    </row>
    <row r="1787">
      <c r="D1787" s="39"/>
      <c r="E1787" s="39"/>
      <c r="F1787" s="39"/>
    </row>
    <row r="1788">
      <c r="D1788" s="39"/>
      <c r="E1788" s="39"/>
      <c r="F1788" s="39"/>
    </row>
    <row r="1789">
      <c r="D1789" s="39"/>
      <c r="E1789" s="39"/>
      <c r="F1789" s="39"/>
    </row>
    <row r="1790">
      <c r="D1790" s="39"/>
      <c r="E1790" s="39"/>
      <c r="F1790" s="39"/>
    </row>
    <row r="1791">
      <c r="D1791" s="39"/>
      <c r="E1791" s="39"/>
      <c r="F1791" s="39"/>
    </row>
    <row r="1792">
      <c r="D1792" s="39"/>
      <c r="E1792" s="39"/>
      <c r="F1792" s="39"/>
    </row>
    <row r="1793">
      <c r="D1793" s="39"/>
      <c r="E1793" s="39"/>
      <c r="F1793" s="39"/>
    </row>
    <row r="1794">
      <c r="D1794" s="39"/>
      <c r="E1794" s="39"/>
      <c r="F1794" s="39"/>
    </row>
    <row r="1795">
      <c r="D1795" s="39"/>
      <c r="E1795" s="39"/>
      <c r="F1795" s="39"/>
    </row>
    <row r="1796">
      <c r="D1796" s="39"/>
      <c r="E1796" s="39"/>
      <c r="F1796" s="39"/>
    </row>
    <row r="1797">
      <c r="D1797" s="39"/>
      <c r="E1797" s="39"/>
      <c r="F1797" s="39"/>
    </row>
    <row r="1798">
      <c r="D1798" s="39"/>
      <c r="E1798" s="39"/>
      <c r="F1798" s="39"/>
    </row>
    <row r="1799">
      <c r="D1799" s="39"/>
      <c r="E1799" s="39"/>
      <c r="F1799" s="39"/>
    </row>
    <row r="1800">
      <c r="D1800" s="39"/>
      <c r="E1800" s="39"/>
      <c r="F1800" s="39"/>
    </row>
    <row r="1801">
      <c r="D1801" s="39"/>
      <c r="E1801" s="39"/>
      <c r="F1801" s="39"/>
    </row>
    <row r="1802">
      <c r="D1802" s="39"/>
      <c r="E1802" s="39"/>
      <c r="F1802" s="39"/>
    </row>
    <row r="1803">
      <c r="D1803" s="39"/>
      <c r="E1803" s="39"/>
      <c r="F1803" s="39"/>
    </row>
    <row r="1804">
      <c r="D1804" s="39"/>
      <c r="E1804" s="39"/>
      <c r="F1804" s="39"/>
    </row>
    <row r="1805">
      <c r="D1805" s="39"/>
      <c r="E1805" s="39"/>
      <c r="F1805" s="39"/>
    </row>
    <row r="1806">
      <c r="D1806" s="39"/>
      <c r="E1806" s="39"/>
      <c r="F1806" s="39"/>
    </row>
    <row r="1807">
      <c r="D1807" s="39"/>
      <c r="E1807" s="39"/>
      <c r="F1807" s="39"/>
    </row>
    <row r="1808">
      <c r="D1808" s="39"/>
      <c r="E1808" s="39"/>
      <c r="F1808" s="39"/>
    </row>
    <row r="1809">
      <c r="D1809" s="39"/>
      <c r="E1809" s="39"/>
      <c r="F1809" s="39"/>
    </row>
    <row r="1810">
      <c r="D1810" s="39"/>
      <c r="E1810" s="39"/>
      <c r="F1810" s="39"/>
    </row>
    <row r="1811">
      <c r="D1811" s="39"/>
      <c r="E1811" s="39"/>
      <c r="F1811" s="39"/>
    </row>
    <row r="1812">
      <c r="D1812" s="39"/>
      <c r="E1812" s="39"/>
      <c r="F1812" s="39"/>
    </row>
    <row r="1813">
      <c r="D1813" s="39"/>
      <c r="E1813" s="39"/>
      <c r="F1813" s="39"/>
    </row>
    <row r="1814">
      <c r="D1814" s="39"/>
      <c r="E1814" s="39"/>
      <c r="F1814" s="39"/>
    </row>
    <row r="1815">
      <c r="D1815" s="39"/>
      <c r="E1815" s="39"/>
      <c r="F1815" s="39"/>
    </row>
    <row r="1816">
      <c r="D1816" s="39"/>
      <c r="E1816" s="39"/>
      <c r="F1816" s="39"/>
    </row>
    <row r="1817">
      <c r="D1817" s="39"/>
      <c r="E1817" s="39"/>
      <c r="F1817" s="39"/>
    </row>
    <row r="1818">
      <c r="D1818" s="39"/>
      <c r="E1818" s="39"/>
      <c r="F1818" s="39"/>
    </row>
    <row r="1819">
      <c r="D1819" s="39"/>
      <c r="E1819" s="39"/>
      <c r="F1819" s="39"/>
    </row>
    <row r="1820">
      <c r="D1820" s="39"/>
      <c r="E1820" s="39"/>
      <c r="F1820" s="39"/>
    </row>
    <row r="1821">
      <c r="D1821" s="39"/>
      <c r="E1821" s="39"/>
      <c r="F1821" s="39"/>
    </row>
    <row r="1822">
      <c r="D1822" s="39"/>
      <c r="E1822" s="39"/>
      <c r="F1822" s="39"/>
    </row>
    <row r="1823">
      <c r="D1823" s="39"/>
      <c r="E1823" s="39"/>
      <c r="F1823" s="39"/>
    </row>
    <row r="1824">
      <c r="D1824" s="39"/>
      <c r="E1824" s="39"/>
      <c r="F1824" s="39"/>
    </row>
    <row r="1825">
      <c r="D1825" s="39"/>
      <c r="E1825" s="39"/>
      <c r="F1825" s="39"/>
    </row>
    <row r="1826">
      <c r="D1826" s="39"/>
      <c r="E1826" s="39"/>
      <c r="F1826" s="39"/>
    </row>
    <row r="1827">
      <c r="D1827" s="39"/>
      <c r="E1827" s="39"/>
      <c r="F1827" s="39"/>
    </row>
    <row r="1828">
      <c r="D1828" s="39"/>
      <c r="E1828" s="39"/>
      <c r="F1828" s="39"/>
    </row>
    <row r="1829">
      <c r="D1829" s="39"/>
      <c r="E1829" s="39"/>
      <c r="F1829" s="39"/>
    </row>
    <row r="1830">
      <c r="D1830" s="39"/>
      <c r="E1830" s="39"/>
      <c r="F1830" s="39"/>
    </row>
    <row r="1831">
      <c r="D1831" s="39"/>
      <c r="E1831" s="39"/>
      <c r="F1831" s="39"/>
    </row>
    <row r="1832">
      <c r="D1832" s="39"/>
      <c r="E1832" s="39"/>
      <c r="F1832" s="39"/>
    </row>
    <row r="1833">
      <c r="D1833" s="39"/>
      <c r="E1833" s="39"/>
      <c r="F1833" s="39"/>
    </row>
    <row r="1834">
      <c r="D1834" s="39"/>
      <c r="E1834" s="39"/>
      <c r="F1834" s="39"/>
    </row>
    <row r="1835">
      <c r="D1835" s="39"/>
      <c r="E1835" s="39"/>
      <c r="F1835" s="39"/>
    </row>
    <row r="1836">
      <c r="D1836" s="39"/>
      <c r="E1836" s="39"/>
      <c r="F1836" s="39"/>
    </row>
    <row r="1837">
      <c r="D1837" s="39"/>
      <c r="E1837" s="39"/>
      <c r="F1837" s="39"/>
    </row>
    <row r="1838">
      <c r="D1838" s="39"/>
      <c r="E1838" s="39"/>
      <c r="F1838" s="39"/>
    </row>
    <row r="1839">
      <c r="D1839" s="39"/>
      <c r="E1839" s="39"/>
      <c r="F1839" s="39"/>
    </row>
    <row r="1840">
      <c r="D1840" s="39"/>
      <c r="E1840" s="39"/>
      <c r="F1840" s="39"/>
    </row>
    <row r="1841">
      <c r="D1841" s="39"/>
      <c r="E1841" s="39"/>
      <c r="F1841" s="39"/>
    </row>
    <row r="1842">
      <c r="D1842" s="39"/>
      <c r="E1842" s="39"/>
      <c r="F1842" s="39"/>
    </row>
    <row r="1843">
      <c r="D1843" s="39"/>
      <c r="E1843" s="39"/>
      <c r="F1843" s="39"/>
    </row>
    <row r="1844">
      <c r="D1844" s="39"/>
      <c r="E1844" s="39"/>
      <c r="F1844" s="39"/>
    </row>
    <row r="1845">
      <c r="D1845" s="39"/>
      <c r="E1845" s="39"/>
      <c r="F1845" s="39"/>
    </row>
    <row r="1846">
      <c r="D1846" s="39"/>
      <c r="E1846" s="39"/>
      <c r="F1846" s="39"/>
    </row>
    <row r="1847">
      <c r="D1847" s="39"/>
      <c r="E1847" s="39"/>
      <c r="F1847" s="39"/>
    </row>
    <row r="1848">
      <c r="D1848" s="39"/>
      <c r="E1848" s="39"/>
      <c r="F1848" s="39"/>
    </row>
    <row r="1849">
      <c r="D1849" s="39"/>
      <c r="E1849" s="39"/>
      <c r="F1849" s="39"/>
    </row>
    <row r="1850">
      <c r="D1850" s="39"/>
      <c r="E1850" s="39"/>
      <c r="F1850" s="39"/>
    </row>
    <row r="1851">
      <c r="D1851" s="39"/>
      <c r="E1851" s="39"/>
      <c r="F1851" s="39"/>
    </row>
    <row r="1852">
      <c r="D1852" s="39"/>
      <c r="E1852" s="39"/>
      <c r="F1852" s="39"/>
    </row>
    <row r="1853">
      <c r="D1853" s="39"/>
      <c r="E1853" s="39"/>
      <c r="F1853" s="39"/>
    </row>
    <row r="1854">
      <c r="D1854" s="39"/>
      <c r="E1854" s="39"/>
      <c r="F1854" s="39"/>
    </row>
    <row r="1855">
      <c r="D1855" s="39"/>
      <c r="E1855" s="39"/>
      <c r="F1855" s="39"/>
    </row>
    <row r="1856">
      <c r="D1856" s="39"/>
      <c r="E1856" s="39"/>
      <c r="F1856" s="39"/>
    </row>
    <row r="1857">
      <c r="D1857" s="39"/>
      <c r="E1857" s="39"/>
      <c r="F1857" s="39"/>
    </row>
    <row r="1858">
      <c r="D1858" s="39"/>
      <c r="E1858" s="39"/>
      <c r="F1858" s="39"/>
    </row>
    <row r="1859">
      <c r="D1859" s="39"/>
      <c r="E1859" s="39"/>
      <c r="F1859" s="39"/>
    </row>
    <row r="1860">
      <c r="D1860" s="39"/>
      <c r="E1860" s="39"/>
      <c r="F1860" s="39"/>
    </row>
    <row r="1861">
      <c r="D1861" s="39"/>
      <c r="E1861" s="39"/>
      <c r="F1861" s="39"/>
    </row>
    <row r="1862">
      <c r="D1862" s="39"/>
      <c r="E1862" s="39"/>
      <c r="F1862" s="39"/>
    </row>
    <row r="1863">
      <c r="D1863" s="39"/>
      <c r="E1863" s="39"/>
      <c r="F1863" s="39"/>
    </row>
    <row r="1864">
      <c r="D1864" s="39"/>
      <c r="E1864" s="39"/>
      <c r="F1864" s="39"/>
    </row>
    <row r="1865">
      <c r="D1865" s="39"/>
      <c r="E1865" s="39"/>
      <c r="F1865" s="39"/>
    </row>
    <row r="1866">
      <c r="D1866" s="39"/>
      <c r="E1866" s="39"/>
      <c r="F1866" s="39"/>
    </row>
    <row r="1867">
      <c r="D1867" s="39"/>
      <c r="E1867" s="39"/>
      <c r="F1867" s="39"/>
    </row>
    <row r="1868">
      <c r="D1868" s="39"/>
      <c r="E1868" s="39"/>
      <c r="F1868" s="39"/>
    </row>
    <row r="1869">
      <c r="D1869" s="39"/>
      <c r="E1869" s="39"/>
      <c r="F1869" s="39"/>
    </row>
    <row r="1870">
      <c r="D1870" s="39"/>
      <c r="E1870" s="39"/>
      <c r="F1870" s="39"/>
    </row>
    <row r="1871">
      <c r="D1871" s="39"/>
      <c r="E1871" s="39"/>
      <c r="F1871" s="39"/>
    </row>
    <row r="1872">
      <c r="D1872" s="39"/>
      <c r="E1872" s="39"/>
      <c r="F1872" s="39"/>
    </row>
    <row r="1873">
      <c r="D1873" s="39"/>
      <c r="E1873" s="39"/>
      <c r="F1873" s="39"/>
    </row>
    <row r="1874">
      <c r="D1874" s="39"/>
      <c r="E1874" s="39"/>
      <c r="F1874" s="39"/>
    </row>
    <row r="1875">
      <c r="D1875" s="39"/>
      <c r="E1875" s="39"/>
      <c r="F1875" s="39"/>
    </row>
    <row r="1876">
      <c r="D1876" s="39"/>
      <c r="E1876" s="39"/>
      <c r="F1876" s="39"/>
    </row>
    <row r="1877">
      <c r="D1877" s="39"/>
      <c r="E1877" s="39"/>
      <c r="F1877" s="39"/>
    </row>
    <row r="1878">
      <c r="D1878" s="39"/>
      <c r="E1878" s="39"/>
      <c r="F1878" s="39"/>
    </row>
    <row r="1879">
      <c r="D1879" s="39"/>
      <c r="E1879" s="39"/>
      <c r="F1879" s="39"/>
    </row>
    <row r="1880">
      <c r="D1880" s="39"/>
      <c r="E1880" s="39"/>
      <c r="F1880" s="39"/>
    </row>
    <row r="1881">
      <c r="D1881" s="39"/>
      <c r="E1881" s="39"/>
      <c r="F1881" s="39"/>
    </row>
    <row r="1882">
      <c r="D1882" s="39"/>
      <c r="E1882" s="39"/>
      <c r="F1882" s="39"/>
    </row>
    <row r="1883">
      <c r="D1883" s="39"/>
      <c r="E1883" s="39"/>
      <c r="F1883" s="39"/>
    </row>
    <row r="1884">
      <c r="D1884" s="39"/>
      <c r="E1884" s="39"/>
      <c r="F1884" s="39"/>
    </row>
    <row r="1885">
      <c r="D1885" s="39"/>
      <c r="E1885" s="39"/>
      <c r="F1885" s="39"/>
    </row>
    <row r="1886">
      <c r="D1886" s="39"/>
      <c r="E1886" s="39"/>
      <c r="F1886" s="39"/>
    </row>
    <row r="1887">
      <c r="D1887" s="39"/>
      <c r="E1887" s="39"/>
      <c r="F1887" s="39"/>
    </row>
    <row r="1888">
      <c r="D1888" s="39"/>
      <c r="E1888" s="39"/>
      <c r="F1888" s="39"/>
    </row>
    <row r="1889">
      <c r="D1889" s="39"/>
      <c r="E1889" s="39"/>
      <c r="F1889" s="39"/>
    </row>
    <row r="1890">
      <c r="D1890" s="39"/>
      <c r="E1890" s="39"/>
      <c r="F1890" s="39"/>
    </row>
    <row r="1891">
      <c r="D1891" s="39"/>
      <c r="E1891" s="39"/>
      <c r="F1891" s="39"/>
    </row>
    <row r="1892">
      <c r="D1892" s="39"/>
      <c r="E1892" s="39"/>
      <c r="F1892" s="39"/>
    </row>
    <row r="1893">
      <c r="D1893" s="39"/>
      <c r="E1893" s="39"/>
      <c r="F1893" s="39"/>
    </row>
    <row r="1894">
      <c r="D1894" s="39"/>
      <c r="E1894" s="39"/>
      <c r="F1894" s="39"/>
    </row>
    <row r="1895">
      <c r="D1895" s="39"/>
      <c r="E1895" s="39"/>
      <c r="F1895" s="39"/>
    </row>
    <row r="1896">
      <c r="D1896" s="39"/>
      <c r="E1896" s="39"/>
      <c r="F1896" s="39"/>
    </row>
    <row r="1897">
      <c r="D1897" s="39"/>
      <c r="E1897" s="39"/>
      <c r="F1897" s="39"/>
    </row>
    <row r="1898">
      <c r="D1898" s="39"/>
      <c r="E1898" s="39"/>
      <c r="F1898" s="39"/>
    </row>
    <row r="1899">
      <c r="D1899" s="39"/>
      <c r="E1899" s="39"/>
      <c r="F1899" s="39"/>
    </row>
    <row r="1900">
      <c r="D1900" s="39"/>
      <c r="E1900" s="39"/>
      <c r="F1900" s="39"/>
    </row>
    <row r="1901">
      <c r="D1901" s="39"/>
      <c r="E1901" s="39"/>
      <c r="F1901" s="39"/>
    </row>
    <row r="1902">
      <c r="D1902" s="39"/>
      <c r="E1902" s="39"/>
      <c r="F1902" s="39"/>
    </row>
    <row r="1903">
      <c r="D1903" s="39"/>
      <c r="E1903" s="39"/>
      <c r="F1903" s="39"/>
    </row>
    <row r="1904">
      <c r="D1904" s="39"/>
      <c r="E1904" s="39"/>
      <c r="F1904" s="39"/>
    </row>
    <row r="1905">
      <c r="D1905" s="39"/>
      <c r="E1905" s="39"/>
      <c r="F1905" s="39"/>
    </row>
    <row r="1906">
      <c r="D1906" s="39"/>
      <c r="E1906" s="39"/>
      <c r="F1906" s="39"/>
    </row>
    <row r="1907">
      <c r="D1907" s="39"/>
      <c r="E1907" s="39"/>
      <c r="F1907" s="39"/>
    </row>
    <row r="1908">
      <c r="D1908" s="39"/>
      <c r="E1908" s="39"/>
      <c r="F1908" s="39"/>
    </row>
    <row r="1909">
      <c r="D1909" s="39"/>
      <c r="E1909" s="39"/>
      <c r="F1909" s="39"/>
    </row>
    <row r="1910">
      <c r="D1910" s="39"/>
      <c r="E1910" s="39"/>
      <c r="F1910" s="39"/>
    </row>
    <row r="1911">
      <c r="D1911" s="39"/>
      <c r="E1911" s="39"/>
      <c r="F1911" s="39"/>
    </row>
    <row r="1912">
      <c r="D1912" s="39"/>
      <c r="E1912" s="39"/>
      <c r="F1912" s="39"/>
    </row>
    <row r="1913">
      <c r="D1913" s="39"/>
      <c r="E1913" s="39"/>
      <c r="F1913" s="39"/>
    </row>
    <row r="1914">
      <c r="D1914" s="39"/>
      <c r="E1914" s="39"/>
      <c r="F1914" s="39"/>
    </row>
    <row r="1915">
      <c r="D1915" s="39"/>
      <c r="E1915" s="39"/>
      <c r="F1915" s="39"/>
    </row>
    <row r="1916">
      <c r="D1916" s="39"/>
      <c r="E1916" s="39"/>
      <c r="F1916" s="39"/>
    </row>
    <row r="1917">
      <c r="D1917" s="39"/>
      <c r="E1917" s="39"/>
      <c r="F1917" s="39"/>
    </row>
    <row r="1918">
      <c r="D1918" s="39"/>
      <c r="E1918" s="39"/>
      <c r="F1918" s="39"/>
    </row>
    <row r="1919">
      <c r="D1919" s="39"/>
      <c r="E1919" s="39"/>
      <c r="F1919" s="39"/>
    </row>
    <row r="1920">
      <c r="D1920" s="39"/>
      <c r="E1920" s="39"/>
      <c r="F1920" s="39"/>
    </row>
    <row r="1921">
      <c r="D1921" s="39"/>
      <c r="E1921" s="39"/>
      <c r="F1921" s="39"/>
    </row>
    <row r="1922">
      <c r="D1922" s="39"/>
      <c r="E1922" s="39"/>
      <c r="F1922" s="39"/>
    </row>
    <row r="1923">
      <c r="D1923" s="39"/>
      <c r="E1923" s="39"/>
      <c r="F1923" s="39"/>
    </row>
    <row r="1924">
      <c r="D1924" s="39"/>
      <c r="E1924" s="39"/>
      <c r="F1924" s="39"/>
    </row>
    <row r="1925">
      <c r="D1925" s="39"/>
      <c r="E1925" s="39"/>
      <c r="F1925" s="39"/>
    </row>
    <row r="1926">
      <c r="D1926" s="39"/>
      <c r="E1926" s="39"/>
      <c r="F1926" s="39"/>
    </row>
    <row r="1927">
      <c r="D1927" s="39"/>
      <c r="E1927" s="39"/>
      <c r="F1927" s="39"/>
    </row>
    <row r="1928">
      <c r="D1928" s="39"/>
      <c r="E1928" s="39"/>
      <c r="F1928" s="39"/>
    </row>
    <row r="1929">
      <c r="D1929" s="39"/>
      <c r="E1929" s="39"/>
      <c r="F1929" s="39"/>
    </row>
    <row r="1930">
      <c r="D1930" s="39"/>
      <c r="E1930" s="39"/>
      <c r="F1930" s="39"/>
    </row>
    <row r="1931">
      <c r="D1931" s="39"/>
      <c r="E1931" s="39"/>
      <c r="F1931" s="39"/>
    </row>
    <row r="1932">
      <c r="D1932" s="39"/>
      <c r="E1932" s="39"/>
      <c r="F1932" s="39"/>
    </row>
    <row r="1933">
      <c r="D1933" s="39"/>
      <c r="E1933" s="39"/>
      <c r="F1933" s="39"/>
    </row>
    <row r="1934">
      <c r="D1934" s="39"/>
      <c r="E1934" s="39"/>
      <c r="F1934" s="39"/>
    </row>
    <row r="1935">
      <c r="D1935" s="39"/>
      <c r="E1935" s="39"/>
      <c r="F1935" s="39"/>
    </row>
    <row r="1936">
      <c r="D1936" s="39"/>
      <c r="E1936" s="39"/>
      <c r="F1936" s="39"/>
    </row>
    <row r="1937">
      <c r="D1937" s="39"/>
      <c r="E1937" s="39"/>
      <c r="F1937" s="39"/>
    </row>
    <row r="1938">
      <c r="D1938" s="39"/>
      <c r="E1938" s="39"/>
      <c r="F1938" s="39"/>
    </row>
    <row r="1939">
      <c r="D1939" s="39"/>
      <c r="E1939" s="39"/>
      <c r="F1939" s="39"/>
    </row>
    <row r="1940">
      <c r="D1940" s="39"/>
      <c r="E1940" s="39"/>
      <c r="F1940" s="39"/>
    </row>
    <row r="1941">
      <c r="D1941" s="39"/>
      <c r="E1941" s="39"/>
      <c r="F1941" s="39"/>
    </row>
    <row r="1942">
      <c r="D1942" s="39"/>
      <c r="E1942" s="39"/>
      <c r="F1942" s="39"/>
    </row>
    <row r="1943">
      <c r="D1943" s="39"/>
      <c r="E1943" s="39"/>
      <c r="F1943" s="39"/>
    </row>
    <row r="1944">
      <c r="D1944" s="39"/>
      <c r="E1944" s="39"/>
      <c r="F1944" s="39"/>
    </row>
    <row r="1945">
      <c r="D1945" s="39"/>
      <c r="E1945" s="39"/>
      <c r="F1945" s="39"/>
    </row>
    <row r="1946">
      <c r="D1946" s="39"/>
      <c r="E1946" s="39"/>
      <c r="F1946" s="39"/>
    </row>
    <row r="1947">
      <c r="D1947" s="39"/>
      <c r="E1947" s="39"/>
      <c r="F1947" s="39"/>
    </row>
    <row r="1948">
      <c r="D1948" s="39"/>
      <c r="E1948" s="39"/>
      <c r="F1948" s="39"/>
    </row>
    <row r="1949">
      <c r="D1949" s="39"/>
      <c r="E1949" s="39"/>
      <c r="F1949" s="39"/>
    </row>
    <row r="1950">
      <c r="D1950" s="39"/>
      <c r="E1950" s="39"/>
      <c r="F1950" s="39"/>
    </row>
    <row r="1951">
      <c r="D1951" s="39"/>
      <c r="E1951" s="39"/>
      <c r="F1951" s="39"/>
    </row>
    <row r="1952">
      <c r="D1952" s="39"/>
      <c r="E1952" s="39"/>
      <c r="F1952" s="39"/>
    </row>
    <row r="1953">
      <c r="D1953" s="39"/>
      <c r="E1953" s="39"/>
      <c r="F1953" s="39"/>
    </row>
    <row r="1954">
      <c r="D1954" s="39"/>
      <c r="E1954" s="39"/>
      <c r="F1954" s="39"/>
    </row>
    <row r="1955">
      <c r="D1955" s="39"/>
      <c r="E1955" s="39"/>
      <c r="F1955" s="39"/>
    </row>
    <row r="1956">
      <c r="D1956" s="39"/>
      <c r="E1956" s="39"/>
      <c r="F1956" s="39"/>
    </row>
    <row r="1957">
      <c r="D1957" s="39"/>
      <c r="E1957" s="39"/>
      <c r="F1957" s="39"/>
    </row>
    <row r="1958">
      <c r="D1958" s="39"/>
      <c r="E1958" s="39"/>
      <c r="F1958" s="39"/>
    </row>
    <row r="1959">
      <c r="D1959" s="39"/>
      <c r="E1959" s="39"/>
      <c r="F1959" s="39"/>
    </row>
    <row r="1960">
      <c r="D1960" s="39"/>
      <c r="E1960" s="39"/>
      <c r="F1960" s="39"/>
    </row>
    <row r="1961">
      <c r="D1961" s="39"/>
      <c r="E1961" s="39"/>
      <c r="F1961" s="39"/>
    </row>
    <row r="1962">
      <c r="D1962" s="39"/>
      <c r="E1962" s="39"/>
      <c r="F1962" s="39"/>
    </row>
    <row r="1963">
      <c r="D1963" s="39"/>
      <c r="E1963" s="39"/>
      <c r="F1963" s="39"/>
    </row>
    <row r="1964">
      <c r="D1964" s="39"/>
      <c r="E1964" s="39"/>
      <c r="F1964" s="39"/>
    </row>
    <row r="1965">
      <c r="D1965" s="39"/>
      <c r="E1965" s="39"/>
      <c r="F1965" s="39"/>
    </row>
    <row r="1966">
      <c r="D1966" s="39"/>
      <c r="E1966" s="39"/>
      <c r="F1966" s="39"/>
    </row>
    <row r="1967">
      <c r="D1967" s="39"/>
      <c r="E1967" s="39"/>
      <c r="F1967" s="39"/>
    </row>
    <row r="1968">
      <c r="D1968" s="39"/>
      <c r="E1968" s="39"/>
      <c r="F1968" s="39"/>
    </row>
    <row r="1969">
      <c r="D1969" s="39"/>
      <c r="E1969" s="39"/>
      <c r="F1969" s="39"/>
    </row>
    <row r="1970">
      <c r="D1970" s="39"/>
      <c r="E1970" s="39"/>
      <c r="F1970" s="39"/>
    </row>
    <row r="1971">
      <c r="D1971" s="39"/>
      <c r="E1971" s="39"/>
      <c r="F1971" s="39"/>
    </row>
    <row r="1972">
      <c r="D1972" s="39"/>
      <c r="E1972" s="39"/>
      <c r="F1972" s="39"/>
    </row>
    <row r="1973">
      <c r="D1973" s="39"/>
      <c r="E1973" s="39"/>
      <c r="F1973" s="39"/>
    </row>
    <row r="1974">
      <c r="D1974" s="39"/>
      <c r="E1974" s="39"/>
      <c r="F1974" s="39"/>
    </row>
    <row r="1975">
      <c r="D1975" s="39"/>
      <c r="E1975" s="39"/>
      <c r="F1975" s="39"/>
    </row>
    <row r="1976">
      <c r="D1976" s="39"/>
      <c r="E1976" s="39"/>
      <c r="F1976" s="39"/>
    </row>
    <row r="1977">
      <c r="D1977" s="39"/>
      <c r="E1977" s="39"/>
      <c r="F1977" s="39"/>
    </row>
    <row r="1978">
      <c r="D1978" s="39"/>
      <c r="E1978" s="39"/>
      <c r="F1978" s="39"/>
    </row>
    <row r="1979">
      <c r="D1979" s="39"/>
      <c r="E1979" s="39"/>
      <c r="F1979" s="39"/>
    </row>
    <row r="1980">
      <c r="D1980" s="39"/>
      <c r="E1980" s="39"/>
      <c r="F1980" s="39"/>
    </row>
    <row r="1981">
      <c r="D1981" s="39"/>
      <c r="E1981" s="39"/>
      <c r="F1981" s="39"/>
    </row>
    <row r="1982">
      <c r="D1982" s="39"/>
      <c r="E1982" s="39"/>
      <c r="F1982" s="39"/>
    </row>
    <row r="1983">
      <c r="D1983" s="39"/>
      <c r="E1983" s="39"/>
      <c r="F1983" s="39"/>
    </row>
    <row r="1984">
      <c r="D1984" s="39"/>
      <c r="E1984" s="39"/>
      <c r="F1984" s="39"/>
    </row>
    <row r="1985">
      <c r="D1985" s="39"/>
      <c r="E1985" s="39"/>
      <c r="F1985" s="39"/>
    </row>
    <row r="1986">
      <c r="D1986" s="39"/>
      <c r="E1986" s="39"/>
      <c r="F1986" s="39"/>
    </row>
    <row r="1987">
      <c r="D1987" s="39"/>
      <c r="E1987" s="39"/>
      <c r="F1987" s="39"/>
    </row>
    <row r="1988">
      <c r="D1988" s="39"/>
      <c r="E1988" s="39"/>
      <c r="F1988" s="39"/>
    </row>
    <row r="1989">
      <c r="D1989" s="39"/>
      <c r="E1989" s="39"/>
      <c r="F1989" s="39"/>
    </row>
    <row r="1990">
      <c r="D1990" s="39"/>
      <c r="E1990" s="39"/>
      <c r="F1990" s="39"/>
    </row>
    <row r="1991">
      <c r="D1991" s="39"/>
      <c r="E1991" s="39"/>
      <c r="F1991" s="39"/>
    </row>
    <row r="1992">
      <c r="D1992" s="39"/>
      <c r="E1992" s="39"/>
      <c r="F1992" s="39"/>
    </row>
    <row r="1993">
      <c r="D1993" s="39"/>
      <c r="E1993" s="39"/>
      <c r="F1993" s="39"/>
    </row>
    <row r="1994">
      <c r="D1994" s="39"/>
      <c r="E1994" s="39"/>
      <c r="F1994" s="39"/>
    </row>
    <row r="1995">
      <c r="D1995" s="39"/>
      <c r="E1995" s="39"/>
      <c r="F1995" s="39"/>
    </row>
    <row r="1996">
      <c r="D1996" s="39"/>
      <c r="E1996" s="39"/>
      <c r="F1996" s="39"/>
    </row>
    <row r="1997">
      <c r="D1997" s="39"/>
      <c r="E1997" s="39"/>
      <c r="F1997" s="39"/>
    </row>
    <row r="1998">
      <c r="D1998" s="39"/>
      <c r="E1998" s="39"/>
      <c r="F1998" s="39"/>
    </row>
    <row r="1999">
      <c r="D1999" s="39"/>
      <c r="E1999" s="39"/>
      <c r="F1999" s="39"/>
    </row>
    <row r="2000">
      <c r="D2000" s="39"/>
      <c r="E2000" s="39"/>
      <c r="F2000" s="39"/>
    </row>
    <row r="2001">
      <c r="D2001" s="39"/>
      <c r="E2001" s="39"/>
      <c r="F2001" s="39"/>
    </row>
    <row r="2002">
      <c r="D2002" s="39"/>
      <c r="E2002" s="39"/>
      <c r="F2002" s="39"/>
    </row>
    <row r="2003">
      <c r="D2003" s="39"/>
      <c r="E2003" s="39"/>
      <c r="F2003" s="39"/>
    </row>
    <row r="2004">
      <c r="D2004" s="39"/>
      <c r="E2004" s="39"/>
      <c r="F2004" s="39"/>
    </row>
    <row r="2005">
      <c r="D2005" s="39"/>
      <c r="E2005" s="39"/>
      <c r="F2005" s="39"/>
    </row>
    <row r="2006">
      <c r="D2006" s="39"/>
      <c r="E2006" s="39"/>
      <c r="F2006" s="39"/>
    </row>
    <row r="2007">
      <c r="D2007" s="39"/>
      <c r="E2007" s="39"/>
      <c r="F2007" s="39"/>
    </row>
    <row r="2008">
      <c r="D2008" s="39"/>
      <c r="E2008" s="39"/>
      <c r="F2008" s="39"/>
    </row>
    <row r="2009">
      <c r="D2009" s="39"/>
      <c r="E2009" s="39"/>
      <c r="F2009" s="39"/>
    </row>
    <row r="2010">
      <c r="D2010" s="39"/>
      <c r="E2010" s="39"/>
      <c r="F2010" s="39"/>
    </row>
    <row r="2011">
      <c r="D2011" s="39"/>
      <c r="E2011" s="39"/>
      <c r="F2011" s="39"/>
    </row>
    <row r="2012">
      <c r="D2012" s="39"/>
      <c r="E2012" s="39"/>
      <c r="F2012" s="39"/>
    </row>
    <row r="2013">
      <c r="D2013" s="39"/>
      <c r="E2013" s="39"/>
      <c r="F2013" s="39"/>
    </row>
    <row r="2014">
      <c r="D2014" s="39"/>
      <c r="E2014" s="39"/>
      <c r="F2014" s="39"/>
    </row>
    <row r="2015">
      <c r="D2015" s="39"/>
      <c r="E2015" s="39"/>
      <c r="F2015" s="39"/>
    </row>
    <row r="2016">
      <c r="D2016" s="39"/>
      <c r="E2016" s="39"/>
      <c r="F2016" s="39"/>
    </row>
    <row r="2017">
      <c r="D2017" s="39"/>
      <c r="E2017" s="39"/>
      <c r="F2017" s="39"/>
    </row>
    <row r="2018">
      <c r="D2018" s="39"/>
      <c r="E2018" s="39"/>
      <c r="F2018" s="39"/>
    </row>
    <row r="2019">
      <c r="D2019" s="39"/>
      <c r="E2019" s="39"/>
      <c r="F2019" s="39"/>
    </row>
    <row r="2020">
      <c r="D2020" s="39"/>
      <c r="E2020" s="39"/>
      <c r="F2020" s="39"/>
    </row>
    <row r="2021">
      <c r="D2021" s="39"/>
      <c r="E2021" s="39"/>
      <c r="F2021" s="39"/>
    </row>
    <row r="2022">
      <c r="D2022" s="39"/>
      <c r="E2022" s="39"/>
      <c r="F2022" s="39"/>
    </row>
    <row r="2023">
      <c r="D2023" s="39"/>
      <c r="E2023" s="39"/>
      <c r="F2023" s="39"/>
    </row>
    <row r="2024">
      <c r="D2024" s="39"/>
      <c r="E2024" s="39"/>
      <c r="F2024" s="39"/>
    </row>
    <row r="2025">
      <c r="D2025" s="39"/>
      <c r="E2025" s="39"/>
      <c r="F2025" s="39"/>
    </row>
    <row r="2026">
      <c r="D2026" s="39"/>
      <c r="E2026" s="39"/>
      <c r="F2026" s="39"/>
    </row>
    <row r="2027">
      <c r="D2027" s="39"/>
      <c r="E2027" s="39"/>
      <c r="F2027" s="39"/>
    </row>
    <row r="2028">
      <c r="D2028" s="39"/>
      <c r="E2028" s="39"/>
      <c r="F2028" s="39"/>
    </row>
    <row r="2029">
      <c r="D2029" s="39"/>
      <c r="E2029" s="39"/>
      <c r="F2029" s="39"/>
    </row>
    <row r="2030">
      <c r="D2030" s="39"/>
      <c r="E2030" s="39"/>
      <c r="F2030" s="39"/>
    </row>
    <row r="2031">
      <c r="D2031" s="39"/>
      <c r="E2031" s="39"/>
      <c r="F2031" s="39"/>
    </row>
    <row r="2032">
      <c r="D2032" s="39"/>
      <c r="E2032" s="39"/>
      <c r="F2032" s="39"/>
    </row>
    <row r="2033">
      <c r="D2033" s="39"/>
      <c r="E2033" s="39"/>
      <c r="F2033" s="39"/>
    </row>
    <row r="2034">
      <c r="D2034" s="39"/>
      <c r="E2034" s="39"/>
      <c r="F2034" s="39"/>
    </row>
    <row r="2035">
      <c r="D2035" s="39"/>
      <c r="E2035" s="39"/>
      <c r="F2035" s="39"/>
    </row>
    <row r="2036">
      <c r="D2036" s="39"/>
      <c r="E2036" s="39"/>
      <c r="F2036" s="39"/>
    </row>
    <row r="2037">
      <c r="D2037" s="39"/>
      <c r="E2037" s="39"/>
      <c r="F2037" s="39"/>
    </row>
    <row r="2038">
      <c r="D2038" s="39"/>
      <c r="E2038" s="39"/>
      <c r="F2038" s="39"/>
    </row>
    <row r="2039">
      <c r="D2039" s="39"/>
      <c r="E2039" s="39"/>
      <c r="F2039" s="39"/>
    </row>
    <row r="2040">
      <c r="D2040" s="39"/>
      <c r="E2040" s="39"/>
      <c r="F2040" s="39"/>
    </row>
    <row r="2041">
      <c r="D2041" s="39"/>
      <c r="E2041" s="39"/>
      <c r="F2041" s="39"/>
    </row>
    <row r="2042">
      <c r="D2042" s="39"/>
      <c r="E2042" s="39"/>
      <c r="F2042" s="39"/>
    </row>
    <row r="2043">
      <c r="D2043" s="39"/>
      <c r="E2043" s="39"/>
      <c r="F2043" s="39"/>
    </row>
    <row r="2044">
      <c r="D2044" s="39"/>
      <c r="E2044" s="39"/>
      <c r="F2044" s="39"/>
    </row>
    <row r="2045">
      <c r="D2045" s="39"/>
      <c r="E2045" s="39"/>
      <c r="F2045" s="39"/>
    </row>
    <row r="2046">
      <c r="D2046" s="39"/>
      <c r="E2046" s="39"/>
      <c r="F2046" s="39"/>
    </row>
    <row r="2047">
      <c r="D2047" s="39"/>
      <c r="E2047" s="39"/>
      <c r="F2047" s="39"/>
    </row>
    <row r="2048">
      <c r="D2048" s="39"/>
      <c r="E2048" s="39"/>
      <c r="F2048" s="39"/>
    </row>
    <row r="2049">
      <c r="D2049" s="39"/>
      <c r="E2049" s="39"/>
      <c r="F2049" s="39"/>
    </row>
    <row r="2050">
      <c r="D2050" s="39"/>
      <c r="E2050" s="39"/>
      <c r="F2050" s="39"/>
    </row>
    <row r="2051">
      <c r="D2051" s="39"/>
      <c r="E2051" s="39"/>
      <c r="F2051" s="39"/>
    </row>
    <row r="2052">
      <c r="D2052" s="39"/>
      <c r="E2052" s="39"/>
      <c r="F2052" s="39"/>
    </row>
    <row r="2053">
      <c r="D2053" s="39"/>
      <c r="E2053" s="39"/>
      <c r="F2053" s="39"/>
    </row>
    <row r="2054">
      <c r="D2054" s="39"/>
      <c r="E2054" s="39"/>
      <c r="F2054" s="39"/>
    </row>
    <row r="2055">
      <c r="D2055" s="39"/>
      <c r="E2055" s="39"/>
      <c r="F2055" s="39"/>
    </row>
    <row r="2056">
      <c r="D2056" s="39"/>
      <c r="E2056" s="39"/>
      <c r="F2056" s="39"/>
    </row>
    <row r="2057">
      <c r="D2057" s="39"/>
      <c r="E2057" s="39"/>
      <c r="F2057" s="39"/>
    </row>
    <row r="2058">
      <c r="D2058" s="39"/>
      <c r="E2058" s="39"/>
      <c r="F2058" s="39"/>
    </row>
    <row r="2059">
      <c r="D2059" s="39"/>
      <c r="E2059" s="39"/>
      <c r="F2059" s="39"/>
    </row>
    <row r="2060">
      <c r="D2060" s="39"/>
      <c r="E2060" s="39"/>
      <c r="F2060" s="39"/>
    </row>
    <row r="2061">
      <c r="D2061" s="39"/>
      <c r="E2061" s="39"/>
      <c r="F2061" s="39"/>
    </row>
    <row r="2062">
      <c r="D2062" s="39"/>
      <c r="E2062" s="39"/>
      <c r="F2062" s="39"/>
    </row>
    <row r="2063">
      <c r="D2063" s="39"/>
      <c r="E2063" s="39"/>
      <c r="F2063" s="39"/>
    </row>
    <row r="2064">
      <c r="D2064" s="39"/>
      <c r="E2064" s="39"/>
      <c r="F2064" s="39"/>
    </row>
    <row r="2065">
      <c r="D2065" s="39"/>
      <c r="E2065" s="39"/>
      <c r="F2065" s="39"/>
    </row>
    <row r="2066">
      <c r="D2066" s="39"/>
      <c r="E2066" s="39"/>
      <c r="F2066" s="39"/>
    </row>
    <row r="2067">
      <c r="D2067" s="39"/>
      <c r="E2067" s="39"/>
      <c r="F2067" s="39"/>
    </row>
    <row r="2068">
      <c r="D2068" s="39"/>
      <c r="E2068" s="39"/>
      <c r="F2068" s="39"/>
    </row>
    <row r="2069">
      <c r="D2069" s="39"/>
      <c r="E2069" s="39"/>
      <c r="F2069" s="39"/>
    </row>
    <row r="2070">
      <c r="D2070" s="39"/>
      <c r="E2070" s="39"/>
      <c r="F2070" s="39"/>
    </row>
    <row r="2071">
      <c r="D2071" s="39"/>
      <c r="E2071" s="39"/>
      <c r="F2071" s="39"/>
    </row>
    <row r="2072">
      <c r="D2072" s="39"/>
      <c r="E2072" s="39"/>
      <c r="F2072" s="39"/>
    </row>
    <row r="2073">
      <c r="D2073" s="39"/>
      <c r="E2073" s="39"/>
      <c r="F2073" s="39"/>
    </row>
    <row r="2074">
      <c r="D2074" s="39"/>
      <c r="E2074" s="39"/>
      <c r="F2074" s="39"/>
    </row>
    <row r="2075">
      <c r="D2075" s="39"/>
      <c r="E2075" s="39"/>
      <c r="F2075" s="39"/>
    </row>
    <row r="2076">
      <c r="D2076" s="39"/>
      <c r="E2076" s="39"/>
      <c r="F2076" s="39"/>
    </row>
    <row r="2077">
      <c r="D2077" s="39"/>
      <c r="E2077" s="39"/>
      <c r="F2077" s="39"/>
    </row>
    <row r="2078">
      <c r="D2078" s="39"/>
      <c r="E2078" s="39"/>
      <c r="F2078" s="39"/>
    </row>
    <row r="2079">
      <c r="D2079" s="39"/>
      <c r="E2079" s="39"/>
      <c r="F2079" s="39"/>
    </row>
    <row r="2080">
      <c r="D2080" s="39"/>
      <c r="E2080" s="39"/>
      <c r="F2080" s="39"/>
    </row>
    <row r="2081">
      <c r="D2081" s="39"/>
      <c r="E2081" s="39"/>
      <c r="F2081" s="39"/>
    </row>
    <row r="2082">
      <c r="D2082" s="39"/>
      <c r="E2082" s="39"/>
      <c r="F2082" s="39"/>
    </row>
    <row r="2083">
      <c r="D2083" s="39"/>
      <c r="E2083" s="39"/>
      <c r="F2083" s="39"/>
    </row>
    <row r="2084">
      <c r="D2084" s="39"/>
      <c r="E2084" s="39"/>
      <c r="F2084" s="39"/>
    </row>
    <row r="2085">
      <c r="D2085" s="39"/>
      <c r="E2085" s="39"/>
      <c r="F2085" s="39"/>
    </row>
    <row r="2086">
      <c r="D2086" s="39"/>
      <c r="E2086" s="39"/>
      <c r="F2086" s="39"/>
    </row>
    <row r="2087">
      <c r="D2087" s="39"/>
      <c r="E2087" s="39"/>
      <c r="F2087" s="39"/>
    </row>
    <row r="2088">
      <c r="D2088" s="39"/>
      <c r="E2088" s="39"/>
      <c r="F2088" s="39"/>
    </row>
    <row r="2089">
      <c r="D2089" s="39"/>
      <c r="E2089" s="39"/>
      <c r="F2089" s="39"/>
    </row>
    <row r="2090">
      <c r="D2090" s="39"/>
      <c r="E2090" s="39"/>
      <c r="F2090" s="39"/>
    </row>
    <row r="2091">
      <c r="D2091" s="39"/>
      <c r="E2091" s="39"/>
      <c r="F2091" s="39"/>
    </row>
    <row r="2092">
      <c r="D2092" s="39"/>
      <c r="E2092" s="39"/>
      <c r="F2092" s="39"/>
    </row>
    <row r="2093">
      <c r="D2093" s="39"/>
      <c r="E2093" s="39"/>
      <c r="F2093" s="39"/>
    </row>
    <row r="2094">
      <c r="D2094" s="39"/>
      <c r="E2094" s="39"/>
      <c r="F2094" s="39"/>
    </row>
    <row r="2095">
      <c r="D2095" s="39"/>
      <c r="E2095" s="39"/>
      <c r="F2095" s="39"/>
    </row>
    <row r="2096">
      <c r="D2096" s="39"/>
      <c r="E2096" s="39"/>
      <c r="F2096" s="39"/>
    </row>
    <row r="2097">
      <c r="D2097" s="39"/>
      <c r="E2097" s="39"/>
      <c r="F2097" s="39"/>
    </row>
    <row r="2098">
      <c r="D2098" s="39"/>
      <c r="E2098" s="39"/>
      <c r="F2098" s="39"/>
    </row>
    <row r="2099">
      <c r="D2099" s="39"/>
      <c r="E2099" s="39"/>
      <c r="F2099" s="39"/>
    </row>
    <row r="2100">
      <c r="D2100" s="39"/>
      <c r="E2100" s="39"/>
      <c r="F2100" s="39"/>
    </row>
    <row r="2101">
      <c r="D2101" s="39"/>
      <c r="E2101" s="39"/>
      <c r="F2101" s="39"/>
    </row>
    <row r="2102">
      <c r="D2102" s="39"/>
      <c r="E2102" s="39"/>
      <c r="F2102" s="39"/>
    </row>
    <row r="2103">
      <c r="D2103" s="39"/>
      <c r="E2103" s="39"/>
      <c r="F2103" s="39"/>
    </row>
    <row r="2104">
      <c r="D2104" s="39"/>
      <c r="E2104" s="39"/>
      <c r="F2104" s="39"/>
    </row>
    <row r="2105">
      <c r="D2105" s="39"/>
      <c r="E2105" s="39"/>
      <c r="F2105" s="39"/>
    </row>
    <row r="2106">
      <c r="D2106" s="39"/>
      <c r="E2106" s="39"/>
      <c r="F2106" s="39"/>
    </row>
    <row r="2107">
      <c r="D2107" s="39"/>
      <c r="E2107" s="39"/>
      <c r="F2107" s="39"/>
    </row>
    <row r="2108">
      <c r="D2108" s="39"/>
      <c r="E2108" s="39"/>
      <c r="F2108" s="39"/>
    </row>
    <row r="2109">
      <c r="D2109" s="39"/>
      <c r="E2109" s="39"/>
      <c r="F2109" s="39"/>
    </row>
    <row r="2110">
      <c r="D2110" s="39"/>
      <c r="E2110" s="39"/>
      <c r="F2110" s="39"/>
    </row>
    <row r="2111">
      <c r="D2111" s="39"/>
      <c r="E2111" s="39"/>
      <c r="F2111" s="39"/>
    </row>
    <row r="2112">
      <c r="D2112" s="39"/>
      <c r="E2112" s="39"/>
      <c r="F2112" s="39"/>
    </row>
    <row r="2113">
      <c r="D2113" s="39"/>
      <c r="E2113" s="39"/>
      <c r="F2113" s="39"/>
    </row>
    <row r="2114">
      <c r="D2114" s="39"/>
      <c r="E2114" s="39"/>
      <c r="F2114" s="39"/>
    </row>
    <row r="2115">
      <c r="D2115" s="39"/>
      <c r="E2115" s="39"/>
      <c r="F2115" s="39"/>
    </row>
    <row r="2116">
      <c r="D2116" s="39"/>
      <c r="E2116" s="39"/>
      <c r="F2116" s="39"/>
    </row>
    <row r="2117">
      <c r="D2117" s="39"/>
      <c r="E2117" s="39"/>
      <c r="F2117" s="39"/>
    </row>
    <row r="2118">
      <c r="D2118" s="39"/>
      <c r="E2118" s="39"/>
      <c r="F2118" s="39"/>
    </row>
    <row r="2119">
      <c r="D2119" s="39"/>
      <c r="E2119" s="39"/>
      <c r="F2119" s="39"/>
    </row>
    <row r="2120">
      <c r="D2120" s="39"/>
      <c r="E2120" s="39"/>
      <c r="F2120" s="39"/>
    </row>
    <row r="2121">
      <c r="D2121" s="39"/>
      <c r="E2121" s="39"/>
      <c r="F2121" s="39"/>
    </row>
    <row r="2122">
      <c r="D2122" s="39"/>
      <c r="E2122" s="39"/>
      <c r="F2122" s="39"/>
    </row>
    <row r="2123">
      <c r="D2123" s="39"/>
      <c r="E2123" s="39"/>
      <c r="F2123" s="39"/>
    </row>
    <row r="2124">
      <c r="D2124" s="39"/>
      <c r="E2124" s="39"/>
      <c r="F2124" s="39"/>
    </row>
    <row r="2125">
      <c r="D2125" s="39"/>
      <c r="E2125" s="39"/>
      <c r="F2125" s="39"/>
    </row>
    <row r="2126">
      <c r="D2126" s="39"/>
      <c r="E2126" s="39"/>
      <c r="F2126" s="39"/>
    </row>
    <row r="2127">
      <c r="D2127" s="39"/>
      <c r="E2127" s="39"/>
      <c r="F2127" s="39"/>
    </row>
    <row r="2128">
      <c r="D2128" s="39"/>
      <c r="E2128" s="39"/>
      <c r="F2128" s="39"/>
    </row>
    <row r="2129">
      <c r="D2129" s="39"/>
      <c r="E2129" s="39"/>
      <c r="F2129" s="39"/>
    </row>
    <row r="2130">
      <c r="D2130" s="39"/>
      <c r="E2130" s="39"/>
      <c r="F2130" s="39"/>
    </row>
    <row r="2131">
      <c r="D2131" s="39"/>
      <c r="E2131" s="39"/>
      <c r="F2131" s="39"/>
    </row>
    <row r="2132">
      <c r="D2132" s="39"/>
      <c r="E2132" s="39"/>
      <c r="F2132" s="39"/>
    </row>
    <row r="2133">
      <c r="D2133" s="39"/>
      <c r="E2133" s="39"/>
      <c r="F2133" s="39"/>
    </row>
    <row r="2134">
      <c r="D2134" s="39"/>
      <c r="E2134" s="39"/>
      <c r="F2134" s="39"/>
    </row>
    <row r="2135">
      <c r="D2135" s="39"/>
      <c r="E2135" s="39"/>
      <c r="F2135" s="39"/>
    </row>
    <row r="2136">
      <c r="D2136" s="39"/>
      <c r="E2136" s="39"/>
      <c r="F2136" s="39"/>
    </row>
    <row r="2137">
      <c r="D2137" s="39"/>
      <c r="E2137" s="39"/>
      <c r="F2137" s="39"/>
    </row>
    <row r="2138">
      <c r="D2138" s="39"/>
      <c r="E2138" s="39"/>
      <c r="F2138" s="39"/>
    </row>
    <row r="2139">
      <c r="D2139" s="39"/>
      <c r="E2139" s="39"/>
      <c r="F2139" s="39"/>
    </row>
    <row r="2140">
      <c r="D2140" s="39"/>
      <c r="E2140" s="39"/>
      <c r="F2140" s="39"/>
    </row>
    <row r="2141">
      <c r="D2141" s="39"/>
      <c r="E2141" s="39"/>
      <c r="F2141" s="39"/>
    </row>
    <row r="2142">
      <c r="D2142" s="39"/>
      <c r="E2142" s="39"/>
      <c r="F2142" s="39"/>
    </row>
    <row r="2143">
      <c r="D2143" s="39"/>
      <c r="E2143" s="39"/>
      <c r="F2143" s="39"/>
    </row>
    <row r="2144">
      <c r="D2144" s="39"/>
      <c r="E2144" s="39"/>
      <c r="F2144" s="39"/>
    </row>
    <row r="2145">
      <c r="D2145" s="39"/>
      <c r="E2145" s="39"/>
      <c r="F2145" s="39"/>
    </row>
    <row r="2146">
      <c r="D2146" s="39"/>
      <c r="E2146" s="39"/>
      <c r="F2146" s="39"/>
    </row>
    <row r="2147">
      <c r="D2147" s="39"/>
      <c r="E2147" s="39"/>
      <c r="F2147" s="39"/>
    </row>
    <row r="2148">
      <c r="D2148" s="39"/>
      <c r="E2148" s="39"/>
      <c r="F2148" s="39"/>
    </row>
    <row r="2149">
      <c r="D2149" s="39"/>
      <c r="E2149" s="39"/>
      <c r="F2149" s="39"/>
    </row>
    <row r="2150">
      <c r="D2150" s="39"/>
      <c r="E2150" s="39"/>
      <c r="F2150" s="39"/>
    </row>
    <row r="2151">
      <c r="D2151" s="39"/>
      <c r="E2151" s="39"/>
      <c r="F2151" s="39"/>
    </row>
    <row r="2152">
      <c r="D2152" s="39"/>
      <c r="E2152" s="39"/>
      <c r="F2152" s="39"/>
    </row>
    <row r="2153">
      <c r="D2153" s="39"/>
      <c r="E2153" s="39"/>
      <c r="F2153" s="39"/>
    </row>
    <row r="2154">
      <c r="D2154" s="39"/>
      <c r="E2154" s="39"/>
      <c r="F2154" s="39"/>
    </row>
    <row r="2155">
      <c r="D2155" s="39"/>
      <c r="E2155" s="39"/>
      <c r="F2155" s="39"/>
    </row>
    <row r="2156">
      <c r="D2156" s="39"/>
      <c r="E2156" s="39"/>
      <c r="F2156" s="39"/>
    </row>
    <row r="2157">
      <c r="D2157" s="39"/>
      <c r="E2157" s="39"/>
      <c r="F2157" s="39"/>
    </row>
    <row r="2158">
      <c r="D2158" s="39"/>
      <c r="E2158" s="39"/>
      <c r="F2158" s="39"/>
    </row>
    <row r="2159">
      <c r="D2159" s="39"/>
      <c r="E2159" s="39"/>
      <c r="F2159" s="39"/>
    </row>
    <row r="2160">
      <c r="D2160" s="39"/>
      <c r="E2160" s="39"/>
      <c r="F2160" s="39"/>
    </row>
    <row r="2161">
      <c r="D2161" s="39"/>
      <c r="E2161" s="39"/>
      <c r="F2161" s="39"/>
    </row>
    <row r="2162">
      <c r="D2162" s="39"/>
      <c r="E2162" s="39"/>
      <c r="F2162" s="39"/>
    </row>
    <row r="2163">
      <c r="D2163" s="39"/>
      <c r="E2163" s="39"/>
      <c r="F2163" s="39"/>
    </row>
    <row r="2164">
      <c r="D2164" s="39"/>
      <c r="E2164" s="39"/>
      <c r="F2164" s="39"/>
    </row>
    <row r="2165">
      <c r="D2165" s="39"/>
      <c r="E2165" s="39"/>
      <c r="F2165" s="39"/>
    </row>
    <row r="2166">
      <c r="D2166" s="39"/>
      <c r="E2166" s="39"/>
      <c r="F2166" s="39"/>
    </row>
    <row r="2167">
      <c r="D2167" s="39"/>
      <c r="E2167" s="39"/>
      <c r="F2167" s="39"/>
    </row>
    <row r="2168">
      <c r="D2168" s="39"/>
      <c r="E2168" s="39"/>
      <c r="F2168" s="39"/>
    </row>
    <row r="2169">
      <c r="D2169" s="39"/>
      <c r="E2169" s="39"/>
      <c r="F2169" s="39"/>
    </row>
    <row r="2170">
      <c r="D2170" s="39"/>
      <c r="E2170" s="39"/>
      <c r="F2170" s="39"/>
    </row>
    <row r="2171">
      <c r="D2171" s="39"/>
      <c r="E2171" s="39"/>
      <c r="F2171" s="39"/>
    </row>
    <row r="2172">
      <c r="D2172" s="39"/>
      <c r="E2172" s="39"/>
      <c r="F2172" s="39"/>
    </row>
    <row r="2173">
      <c r="D2173" s="39"/>
      <c r="E2173" s="39"/>
      <c r="F2173" s="39"/>
    </row>
    <row r="2174">
      <c r="D2174" s="39"/>
      <c r="E2174" s="39"/>
      <c r="F2174" s="39"/>
    </row>
    <row r="2175">
      <c r="D2175" s="39"/>
      <c r="E2175" s="39"/>
      <c r="F2175" s="39"/>
    </row>
    <row r="2176">
      <c r="D2176" s="39"/>
      <c r="E2176" s="39"/>
      <c r="F2176" s="39"/>
    </row>
    <row r="2177">
      <c r="D2177" s="39"/>
      <c r="E2177" s="39"/>
      <c r="F2177" s="39"/>
    </row>
    <row r="2178">
      <c r="D2178" s="39"/>
      <c r="E2178" s="39"/>
      <c r="F2178" s="39"/>
    </row>
    <row r="2179">
      <c r="D2179" s="39"/>
      <c r="E2179" s="39"/>
      <c r="F2179" s="39"/>
    </row>
    <row r="2180">
      <c r="D2180" s="39"/>
      <c r="E2180" s="39"/>
      <c r="F2180" s="39"/>
    </row>
    <row r="2181">
      <c r="D2181" s="39"/>
      <c r="E2181" s="39"/>
      <c r="F2181" s="39"/>
    </row>
    <row r="2182">
      <c r="D2182" s="39"/>
      <c r="E2182" s="39"/>
      <c r="F2182" s="39"/>
    </row>
    <row r="2183">
      <c r="D2183" s="39"/>
      <c r="E2183" s="39"/>
      <c r="F2183" s="39"/>
    </row>
    <row r="2184">
      <c r="D2184" s="39"/>
      <c r="E2184" s="39"/>
      <c r="F2184" s="39"/>
    </row>
    <row r="2185">
      <c r="D2185" s="39"/>
      <c r="E2185" s="39"/>
      <c r="F2185" s="39"/>
    </row>
    <row r="2186">
      <c r="D2186" s="39"/>
      <c r="E2186" s="39"/>
      <c r="F2186" s="39"/>
    </row>
    <row r="2187">
      <c r="D2187" s="39"/>
      <c r="E2187" s="39"/>
      <c r="F2187" s="39"/>
    </row>
    <row r="2188">
      <c r="D2188" s="39"/>
      <c r="E2188" s="39"/>
      <c r="F2188" s="39"/>
    </row>
    <row r="2189">
      <c r="D2189" s="39"/>
      <c r="E2189" s="39"/>
      <c r="F2189" s="39"/>
    </row>
    <row r="2190">
      <c r="D2190" s="39"/>
      <c r="E2190" s="39"/>
      <c r="F2190" s="39"/>
    </row>
    <row r="2191">
      <c r="D2191" s="39"/>
      <c r="E2191" s="39"/>
      <c r="F2191" s="39"/>
    </row>
    <row r="2192">
      <c r="D2192" s="39"/>
      <c r="E2192" s="39"/>
      <c r="F2192" s="39"/>
    </row>
    <row r="2193">
      <c r="D2193" s="39"/>
      <c r="E2193" s="39"/>
      <c r="F2193" s="39"/>
    </row>
    <row r="2194">
      <c r="D2194" s="39"/>
      <c r="E2194" s="39"/>
      <c r="F2194" s="39"/>
    </row>
    <row r="2195">
      <c r="D2195" s="39"/>
      <c r="E2195" s="39"/>
      <c r="F2195" s="39"/>
    </row>
    <row r="2196">
      <c r="D2196" s="39"/>
      <c r="E2196" s="39"/>
      <c r="F2196" s="39"/>
    </row>
    <row r="2197">
      <c r="D2197" s="39"/>
      <c r="E2197" s="39"/>
      <c r="F2197" s="39"/>
    </row>
    <row r="2198">
      <c r="D2198" s="39"/>
      <c r="E2198" s="39"/>
      <c r="F2198" s="39"/>
    </row>
    <row r="2199">
      <c r="D2199" s="39"/>
      <c r="E2199" s="39"/>
      <c r="F2199" s="39"/>
    </row>
    <row r="2200">
      <c r="D2200" s="39"/>
      <c r="E2200" s="39"/>
      <c r="F2200" s="39"/>
    </row>
    <row r="2201">
      <c r="D2201" s="39"/>
      <c r="E2201" s="39"/>
      <c r="F2201" s="39"/>
    </row>
    <row r="2202">
      <c r="D2202" s="39"/>
      <c r="E2202" s="39"/>
      <c r="F2202" s="39"/>
    </row>
    <row r="2203">
      <c r="D2203" s="39"/>
      <c r="E2203" s="39"/>
      <c r="F2203" s="39"/>
    </row>
    <row r="2204">
      <c r="D2204" s="39"/>
      <c r="E2204" s="39"/>
      <c r="F2204" s="39"/>
    </row>
    <row r="2205">
      <c r="D2205" s="39"/>
      <c r="E2205" s="39"/>
      <c r="F2205" s="39"/>
    </row>
    <row r="2206">
      <c r="D2206" s="39"/>
      <c r="E2206" s="39"/>
      <c r="F2206" s="39"/>
    </row>
    <row r="2207">
      <c r="D2207" s="39"/>
      <c r="E2207" s="39"/>
      <c r="F2207" s="39"/>
    </row>
    <row r="2208">
      <c r="D2208" s="39"/>
      <c r="E2208" s="39"/>
      <c r="F2208" s="39"/>
    </row>
    <row r="2209">
      <c r="D2209" s="39"/>
      <c r="E2209" s="39"/>
      <c r="F2209" s="39"/>
    </row>
    <row r="2210">
      <c r="D2210" s="39"/>
      <c r="E2210" s="39"/>
      <c r="F2210" s="39"/>
    </row>
    <row r="2211">
      <c r="D2211" s="39"/>
      <c r="E2211" s="39"/>
      <c r="F2211" s="39"/>
    </row>
    <row r="2212">
      <c r="D2212" s="39"/>
      <c r="E2212" s="39"/>
      <c r="F2212" s="39"/>
    </row>
    <row r="2213">
      <c r="D2213" s="39"/>
      <c r="E2213" s="39"/>
      <c r="F2213" s="39"/>
    </row>
    <row r="2214">
      <c r="D2214" s="39"/>
      <c r="E2214" s="39"/>
      <c r="F2214" s="39"/>
    </row>
    <row r="2215">
      <c r="D2215" s="39"/>
      <c r="E2215" s="39"/>
      <c r="F2215" s="39"/>
    </row>
    <row r="2216">
      <c r="D2216" s="39"/>
      <c r="E2216" s="39"/>
      <c r="F2216" s="39"/>
    </row>
    <row r="2217">
      <c r="D2217" s="39"/>
      <c r="E2217" s="39"/>
      <c r="F2217" s="39"/>
    </row>
    <row r="2218">
      <c r="D2218" s="39"/>
      <c r="E2218" s="39"/>
      <c r="F2218" s="39"/>
    </row>
    <row r="2219">
      <c r="D2219" s="39"/>
      <c r="E2219" s="39"/>
      <c r="F2219" s="39"/>
    </row>
    <row r="2220">
      <c r="D2220" s="39"/>
      <c r="E2220" s="39"/>
      <c r="F2220" s="39"/>
    </row>
    <row r="2221">
      <c r="D2221" s="39"/>
      <c r="E2221" s="39"/>
      <c r="F2221" s="39"/>
    </row>
    <row r="2222">
      <c r="D2222" s="39"/>
      <c r="E2222" s="39"/>
      <c r="F2222" s="39"/>
    </row>
    <row r="2223">
      <c r="D2223" s="39"/>
      <c r="E2223" s="39"/>
      <c r="F2223" s="39"/>
    </row>
    <row r="2224">
      <c r="D2224" s="39"/>
      <c r="E2224" s="39"/>
      <c r="F2224" s="39"/>
    </row>
    <row r="2225">
      <c r="D2225" s="39"/>
      <c r="E2225" s="39"/>
      <c r="F2225" s="39"/>
    </row>
    <row r="2226">
      <c r="D2226" s="39"/>
      <c r="E2226" s="39"/>
      <c r="F2226" s="39"/>
    </row>
    <row r="2227">
      <c r="D2227" s="39"/>
      <c r="E2227" s="39"/>
      <c r="F2227" s="39"/>
    </row>
    <row r="2228">
      <c r="D2228" s="39"/>
      <c r="E2228" s="39"/>
      <c r="F2228" s="39"/>
    </row>
    <row r="2229">
      <c r="D2229" s="39"/>
      <c r="E2229" s="39"/>
      <c r="F2229" s="39"/>
    </row>
    <row r="2230">
      <c r="D2230" s="39"/>
      <c r="E2230" s="39"/>
      <c r="F2230" s="39"/>
    </row>
    <row r="2231">
      <c r="D2231" s="39"/>
      <c r="E2231" s="39"/>
      <c r="F2231" s="39"/>
    </row>
    <row r="2232">
      <c r="D2232" s="39"/>
      <c r="E2232" s="39"/>
      <c r="F2232" s="39"/>
    </row>
    <row r="2233">
      <c r="D2233" s="39"/>
      <c r="E2233" s="39"/>
      <c r="F2233" s="39"/>
    </row>
    <row r="2234">
      <c r="D2234" s="39"/>
      <c r="E2234" s="39"/>
      <c r="F2234" s="39"/>
    </row>
    <row r="2235">
      <c r="D2235" s="39"/>
      <c r="E2235" s="39"/>
      <c r="F2235" s="39"/>
    </row>
    <row r="2236">
      <c r="D2236" s="39"/>
      <c r="E2236" s="39"/>
      <c r="F2236" s="39"/>
    </row>
    <row r="2237">
      <c r="D2237" s="39"/>
      <c r="E2237" s="39"/>
      <c r="F2237" s="39"/>
    </row>
    <row r="2238">
      <c r="D2238" s="39"/>
      <c r="E2238" s="39"/>
      <c r="F2238" s="39"/>
    </row>
    <row r="2239">
      <c r="D2239" s="39"/>
      <c r="E2239" s="39"/>
      <c r="F2239" s="39"/>
    </row>
    <row r="2240">
      <c r="D2240" s="39"/>
      <c r="E2240" s="39"/>
      <c r="F2240" s="39"/>
    </row>
    <row r="2241">
      <c r="D2241" s="39"/>
      <c r="E2241" s="39"/>
      <c r="F2241" s="39"/>
    </row>
    <row r="2242">
      <c r="D2242" s="39"/>
      <c r="E2242" s="39"/>
      <c r="F2242" s="39"/>
    </row>
    <row r="2243">
      <c r="D2243" s="39"/>
      <c r="E2243" s="39"/>
      <c r="F2243" s="39"/>
    </row>
    <row r="2244">
      <c r="D2244" s="39"/>
      <c r="E2244" s="39"/>
      <c r="F2244" s="39"/>
    </row>
    <row r="2245">
      <c r="D2245" s="39"/>
      <c r="E2245" s="39"/>
      <c r="F2245" s="39"/>
    </row>
    <row r="2246">
      <c r="D2246" s="39"/>
      <c r="E2246" s="39"/>
      <c r="F2246" s="39"/>
    </row>
    <row r="2247">
      <c r="D2247" s="39"/>
      <c r="E2247" s="39"/>
      <c r="F2247" s="39"/>
    </row>
    <row r="2248">
      <c r="D2248" s="39"/>
      <c r="E2248" s="39"/>
      <c r="F2248" s="39"/>
    </row>
    <row r="2249">
      <c r="D2249" s="39"/>
      <c r="E2249" s="39"/>
      <c r="F2249" s="39"/>
    </row>
    <row r="2250">
      <c r="D2250" s="39"/>
      <c r="E2250" s="39"/>
      <c r="F2250" s="39"/>
    </row>
    <row r="2251">
      <c r="D2251" s="39"/>
      <c r="E2251" s="39"/>
      <c r="F2251" s="39"/>
    </row>
    <row r="2252">
      <c r="D2252" s="39"/>
      <c r="E2252" s="39"/>
      <c r="F2252" s="39"/>
    </row>
    <row r="2253">
      <c r="D2253" s="39"/>
      <c r="E2253" s="39"/>
      <c r="F2253" s="39"/>
    </row>
    <row r="2254">
      <c r="D2254" s="39"/>
      <c r="E2254" s="39"/>
      <c r="F2254" s="39"/>
    </row>
    <row r="2255">
      <c r="D2255" s="39"/>
      <c r="E2255" s="39"/>
      <c r="F2255" s="39"/>
    </row>
    <row r="2256">
      <c r="D2256" s="39"/>
      <c r="E2256" s="39"/>
      <c r="F2256" s="39"/>
    </row>
    <row r="2257">
      <c r="D2257" s="39"/>
      <c r="E2257" s="39"/>
      <c r="F2257" s="39"/>
    </row>
    <row r="2258">
      <c r="D2258" s="39"/>
      <c r="E2258" s="39"/>
      <c r="F2258" s="39"/>
    </row>
    <row r="2259">
      <c r="D2259" s="39"/>
      <c r="E2259" s="39"/>
      <c r="F2259" s="39"/>
    </row>
    <row r="2260">
      <c r="D2260" s="39"/>
      <c r="E2260" s="39"/>
      <c r="F2260" s="39"/>
    </row>
    <row r="2261">
      <c r="D2261" s="39"/>
      <c r="E2261" s="39"/>
      <c r="F2261" s="39"/>
    </row>
    <row r="2262">
      <c r="D2262" s="39"/>
      <c r="E2262" s="39"/>
      <c r="F2262" s="39"/>
    </row>
    <row r="2263">
      <c r="D2263" s="39"/>
      <c r="E2263" s="39"/>
      <c r="F2263" s="39"/>
    </row>
    <row r="2264">
      <c r="D2264" s="39"/>
      <c r="E2264" s="39"/>
      <c r="F2264" s="39"/>
    </row>
    <row r="2265">
      <c r="D2265" s="39"/>
      <c r="E2265" s="39"/>
      <c r="F2265" s="39"/>
    </row>
    <row r="2266">
      <c r="D2266" s="39"/>
      <c r="E2266" s="39"/>
      <c r="F2266" s="39"/>
    </row>
    <row r="2267">
      <c r="D2267" s="39"/>
      <c r="E2267" s="39"/>
      <c r="F2267" s="39"/>
    </row>
    <row r="2268">
      <c r="D2268" s="39"/>
      <c r="E2268" s="39"/>
      <c r="F2268" s="39"/>
    </row>
    <row r="2269">
      <c r="D2269" s="39"/>
      <c r="E2269" s="39"/>
      <c r="F2269" s="39"/>
    </row>
    <row r="2270">
      <c r="D2270" s="39"/>
      <c r="E2270" s="39"/>
      <c r="F2270" s="39"/>
    </row>
    <row r="2271">
      <c r="D2271" s="39"/>
      <c r="E2271" s="39"/>
      <c r="F2271" s="39"/>
    </row>
    <row r="2272">
      <c r="D2272" s="39"/>
      <c r="E2272" s="39"/>
      <c r="F2272" s="39"/>
    </row>
    <row r="2273">
      <c r="D2273" s="39"/>
      <c r="E2273" s="39"/>
      <c r="F2273" s="39"/>
    </row>
    <row r="2274">
      <c r="D2274" s="39"/>
      <c r="E2274" s="39"/>
      <c r="F2274" s="39"/>
    </row>
    <row r="2275">
      <c r="D2275" s="39"/>
      <c r="E2275" s="39"/>
      <c r="F2275" s="39"/>
    </row>
    <row r="2276">
      <c r="D2276" s="39"/>
      <c r="E2276" s="39"/>
      <c r="F2276" s="39"/>
    </row>
    <row r="2277">
      <c r="D2277" s="39"/>
      <c r="E2277" s="39"/>
      <c r="F2277" s="39"/>
    </row>
    <row r="2278">
      <c r="D2278" s="39"/>
      <c r="E2278" s="39"/>
      <c r="F2278" s="39"/>
    </row>
    <row r="2279">
      <c r="D2279" s="39"/>
      <c r="E2279" s="39"/>
      <c r="F2279" s="39"/>
    </row>
    <row r="2280">
      <c r="D2280" s="39"/>
      <c r="E2280" s="39"/>
      <c r="F2280" s="39"/>
    </row>
    <row r="2281">
      <c r="D2281" s="39"/>
      <c r="E2281" s="39"/>
      <c r="F2281" s="39"/>
    </row>
    <row r="2282">
      <c r="D2282" s="39"/>
      <c r="E2282" s="39"/>
      <c r="F2282" s="39"/>
    </row>
    <row r="2283">
      <c r="D2283" s="39"/>
      <c r="E2283" s="39"/>
      <c r="F2283" s="39"/>
    </row>
    <row r="2284">
      <c r="D2284" s="39"/>
      <c r="E2284" s="39"/>
      <c r="F2284" s="39"/>
    </row>
    <row r="2285">
      <c r="D2285" s="39"/>
      <c r="E2285" s="39"/>
      <c r="F2285" s="39"/>
    </row>
    <row r="2286">
      <c r="D2286" s="39"/>
      <c r="E2286" s="39"/>
      <c r="F2286" s="39"/>
    </row>
    <row r="2287">
      <c r="D2287" s="39"/>
      <c r="E2287" s="39"/>
      <c r="F2287" s="39"/>
    </row>
    <row r="2288">
      <c r="D2288" s="39"/>
      <c r="E2288" s="39"/>
      <c r="F2288" s="39"/>
    </row>
    <row r="2289">
      <c r="D2289" s="39"/>
      <c r="E2289" s="39"/>
      <c r="F2289" s="39"/>
    </row>
    <row r="2290">
      <c r="D2290" s="39"/>
      <c r="E2290" s="39"/>
      <c r="F2290" s="39"/>
    </row>
    <row r="2291">
      <c r="D2291" s="39"/>
      <c r="E2291" s="39"/>
      <c r="F2291" s="39"/>
    </row>
    <row r="2292">
      <c r="D2292" s="39"/>
      <c r="E2292" s="39"/>
      <c r="F2292" s="39"/>
    </row>
    <row r="2293">
      <c r="D2293" s="39"/>
      <c r="E2293" s="39"/>
      <c r="F2293" s="39"/>
    </row>
    <row r="2294">
      <c r="D2294" s="39"/>
      <c r="E2294" s="39"/>
      <c r="F2294" s="39"/>
    </row>
    <row r="2295">
      <c r="D2295" s="39"/>
      <c r="E2295" s="39"/>
      <c r="F2295" s="39"/>
    </row>
    <row r="2296">
      <c r="D2296" s="39"/>
      <c r="E2296" s="39"/>
      <c r="F2296" s="39"/>
    </row>
    <row r="2297">
      <c r="D2297" s="39"/>
      <c r="E2297" s="39"/>
      <c r="F2297" s="39"/>
    </row>
    <row r="2298">
      <c r="D2298" s="39"/>
      <c r="E2298" s="39"/>
      <c r="F2298" s="39"/>
    </row>
    <row r="2299">
      <c r="D2299" s="39"/>
      <c r="E2299" s="39"/>
      <c r="F2299" s="39"/>
    </row>
    <row r="2300">
      <c r="D2300" s="39"/>
      <c r="E2300" s="39"/>
      <c r="F2300" s="39"/>
    </row>
    <row r="2301">
      <c r="D2301" s="39"/>
      <c r="E2301" s="39"/>
      <c r="F2301" s="39"/>
    </row>
    <row r="2302">
      <c r="D2302" s="39"/>
      <c r="E2302" s="39"/>
      <c r="F2302" s="39"/>
    </row>
    <row r="2303">
      <c r="D2303" s="39"/>
      <c r="E2303" s="39"/>
      <c r="F2303" s="39"/>
    </row>
    <row r="2304">
      <c r="D2304" s="39"/>
      <c r="E2304" s="39"/>
      <c r="F2304" s="39"/>
    </row>
    <row r="2305">
      <c r="D2305" s="39"/>
      <c r="E2305" s="39"/>
      <c r="F2305" s="39"/>
    </row>
    <row r="2306">
      <c r="D2306" s="39"/>
      <c r="E2306" s="39"/>
      <c r="F2306" s="39"/>
    </row>
    <row r="2307">
      <c r="D2307" s="39"/>
      <c r="E2307" s="39"/>
      <c r="F2307" s="39"/>
    </row>
    <row r="2308">
      <c r="D2308" s="39"/>
      <c r="E2308" s="39"/>
      <c r="F2308" s="39"/>
    </row>
    <row r="2309">
      <c r="D2309" s="39"/>
      <c r="E2309" s="39"/>
      <c r="F2309" s="39"/>
    </row>
    <row r="2310">
      <c r="D2310" s="39"/>
      <c r="E2310" s="39"/>
      <c r="F2310" s="39"/>
    </row>
    <row r="2311">
      <c r="D2311" s="39"/>
      <c r="E2311" s="39"/>
      <c r="F2311" s="39"/>
    </row>
    <row r="2312">
      <c r="D2312" s="39"/>
      <c r="E2312" s="39"/>
      <c r="F2312" s="39"/>
    </row>
    <row r="2313">
      <c r="D2313" s="39"/>
      <c r="E2313" s="39"/>
      <c r="F2313" s="39"/>
    </row>
    <row r="2314">
      <c r="D2314" s="39"/>
      <c r="E2314" s="39"/>
      <c r="F2314" s="39"/>
    </row>
    <row r="2315">
      <c r="D2315" s="39"/>
      <c r="E2315" s="39"/>
      <c r="F2315" s="39"/>
    </row>
    <row r="2316">
      <c r="D2316" s="39"/>
      <c r="E2316" s="39"/>
      <c r="F2316" s="39"/>
    </row>
    <row r="2317">
      <c r="D2317" s="39"/>
      <c r="E2317" s="39"/>
      <c r="F2317" s="39"/>
    </row>
    <row r="2318">
      <c r="D2318" s="39"/>
      <c r="E2318" s="39"/>
      <c r="F2318" s="39"/>
    </row>
    <row r="2319">
      <c r="D2319" s="39"/>
      <c r="E2319" s="39"/>
      <c r="F2319" s="39"/>
    </row>
    <row r="2320">
      <c r="D2320" s="39"/>
      <c r="E2320" s="39"/>
      <c r="F2320" s="39"/>
    </row>
    <row r="2321">
      <c r="D2321" s="39"/>
      <c r="E2321" s="39"/>
      <c r="F2321" s="39"/>
    </row>
    <row r="2322">
      <c r="D2322" s="39"/>
      <c r="E2322" s="39"/>
      <c r="F2322" s="39"/>
    </row>
    <row r="2323">
      <c r="D2323" s="39"/>
      <c r="E2323" s="39"/>
      <c r="F2323" s="39"/>
    </row>
    <row r="2324">
      <c r="D2324" s="39"/>
      <c r="E2324" s="39"/>
      <c r="F2324" s="39"/>
    </row>
    <row r="2325">
      <c r="D2325" s="39"/>
      <c r="E2325" s="39"/>
      <c r="F2325" s="39"/>
    </row>
    <row r="2326">
      <c r="D2326" s="39"/>
      <c r="E2326" s="39"/>
      <c r="F2326" s="39"/>
    </row>
    <row r="2327">
      <c r="D2327" s="39"/>
      <c r="E2327" s="39"/>
      <c r="F2327" s="39"/>
    </row>
    <row r="2328">
      <c r="D2328" s="39"/>
      <c r="E2328" s="39"/>
      <c r="F2328" s="39"/>
    </row>
    <row r="2329">
      <c r="D2329" s="39"/>
      <c r="E2329" s="39"/>
      <c r="F2329" s="39"/>
    </row>
    <row r="2330">
      <c r="D2330" s="39"/>
      <c r="E2330" s="39"/>
      <c r="F2330" s="39"/>
    </row>
    <row r="2331">
      <c r="D2331" s="39"/>
      <c r="E2331" s="39"/>
      <c r="F2331" s="39"/>
    </row>
    <row r="2332">
      <c r="D2332" s="39"/>
      <c r="E2332" s="39"/>
      <c r="F2332" s="39"/>
    </row>
    <row r="2333">
      <c r="D2333" s="39"/>
      <c r="E2333" s="39"/>
      <c r="F2333" s="39"/>
    </row>
    <row r="2334">
      <c r="D2334" s="39"/>
      <c r="E2334" s="39"/>
      <c r="F2334" s="39"/>
    </row>
    <row r="2335">
      <c r="D2335" s="39"/>
      <c r="E2335" s="39"/>
      <c r="F2335" s="39"/>
    </row>
    <row r="2336">
      <c r="D2336" s="39"/>
      <c r="E2336" s="39"/>
      <c r="F2336" s="39"/>
    </row>
    <row r="2337">
      <c r="D2337" s="39"/>
      <c r="E2337" s="39"/>
      <c r="F2337" s="39"/>
    </row>
    <row r="2338">
      <c r="D2338" s="39"/>
      <c r="E2338" s="39"/>
      <c r="F2338" s="39"/>
    </row>
    <row r="2339">
      <c r="D2339" s="39"/>
      <c r="E2339" s="39"/>
      <c r="F2339" s="39"/>
    </row>
    <row r="2340">
      <c r="D2340" s="39"/>
      <c r="E2340" s="39"/>
      <c r="F2340" s="39"/>
    </row>
    <row r="2341">
      <c r="D2341" s="39"/>
      <c r="E2341" s="39"/>
      <c r="F2341" s="39"/>
    </row>
    <row r="2342">
      <c r="D2342" s="39"/>
      <c r="E2342" s="39"/>
      <c r="F2342" s="39"/>
    </row>
    <row r="2343">
      <c r="D2343" s="39"/>
      <c r="E2343" s="39"/>
      <c r="F2343" s="39"/>
    </row>
    <row r="2344">
      <c r="D2344" s="39"/>
      <c r="E2344" s="39"/>
      <c r="F2344" s="39"/>
    </row>
    <row r="2345">
      <c r="D2345" s="39"/>
      <c r="E2345" s="39"/>
      <c r="F2345" s="39"/>
    </row>
    <row r="2346">
      <c r="D2346" s="39"/>
      <c r="E2346" s="39"/>
      <c r="F2346" s="39"/>
    </row>
    <row r="2347">
      <c r="D2347" s="39"/>
      <c r="E2347" s="39"/>
      <c r="F2347" s="39"/>
    </row>
    <row r="2348">
      <c r="D2348" s="39"/>
      <c r="E2348" s="39"/>
      <c r="F2348" s="39"/>
    </row>
    <row r="2349">
      <c r="D2349" s="39"/>
      <c r="E2349" s="39"/>
      <c r="F2349" s="39"/>
    </row>
    <row r="2350">
      <c r="D2350" s="39"/>
      <c r="E2350" s="39"/>
      <c r="F2350" s="39"/>
    </row>
    <row r="2351">
      <c r="D2351" s="39"/>
      <c r="E2351" s="39"/>
      <c r="F2351" s="39"/>
    </row>
    <row r="2352">
      <c r="D2352" s="39"/>
      <c r="E2352" s="39"/>
      <c r="F2352" s="39"/>
    </row>
    <row r="2353">
      <c r="D2353" s="39"/>
      <c r="E2353" s="39"/>
      <c r="F2353" s="39"/>
    </row>
    <row r="2354">
      <c r="D2354" s="39"/>
      <c r="E2354" s="39"/>
      <c r="F2354" s="39"/>
    </row>
    <row r="2355">
      <c r="D2355" s="39"/>
      <c r="E2355" s="39"/>
      <c r="F2355" s="39"/>
    </row>
    <row r="2356">
      <c r="D2356" s="39"/>
      <c r="E2356" s="39"/>
      <c r="F2356" s="39"/>
    </row>
    <row r="2357">
      <c r="D2357" s="39"/>
      <c r="E2357" s="39"/>
      <c r="F2357" s="39"/>
    </row>
    <row r="2358">
      <c r="D2358" s="39"/>
      <c r="E2358" s="39"/>
      <c r="F2358" s="39"/>
    </row>
    <row r="2359">
      <c r="D2359" s="39"/>
      <c r="E2359" s="39"/>
      <c r="F2359" s="39"/>
    </row>
    <row r="2360">
      <c r="D2360" s="39"/>
      <c r="E2360" s="39"/>
      <c r="F2360" s="39"/>
    </row>
    <row r="2361">
      <c r="D2361" s="39"/>
      <c r="E2361" s="39"/>
      <c r="F2361" s="39"/>
    </row>
    <row r="2362">
      <c r="D2362" s="39"/>
      <c r="E2362" s="39"/>
      <c r="F2362" s="39"/>
    </row>
    <row r="2363">
      <c r="D2363" s="39"/>
      <c r="E2363" s="39"/>
      <c r="F2363" s="39"/>
    </row>
    <row r="2364">
      <c r="D2364" s="39"/>
      <c r="E2364" s="39"/>
      <c r="F2364" s="39"/>
    </row>
    <row r="2365">
      <c r="D2365" s="39"/>
      <c r="E2365" s="39"/>
      <c r="F2365" s="39"/>
    </row>
    <row r="2366">
      <c r="D2366" s="39"/>
      <c r="E2366" s="39"/>
      <c r="F2366" s="39"/>
    </row>
    <row r="2367">
      <c r="D2367" s="39"/>
      <c r="E2367" s="39"/>
      <c r="F2367" s="39"/>
    </row>
    <row r="2368">
      <c r="D2368" s="39"/>
      <c r="E2368" s="39"/>
      <c r="F2368" s="39"/>
    </row>
    <row r="2369">
      <c r="D2369" s="39"/>
      <c r="E2369" s="39"/>
      <c r="F2369" s="39"/>
    </row>
    <row r="2370">
      <c r="D2370" s="39"/>
      <c r="E2370" s="39"/>
      <c r="F2370" s="39"/>
    </row>
    <row r="2371">
      <c r="D2371" s="39"/>
      <c r="E2371" s="39"/>
      <c r="F2371" s="39"/>
    </row>
    <row r="2372">
      <c r="D2372" s="39"/>
      <c r="E2372" s="39"/>
      <c r="F2372" s="39"/>
    </row>
    <row r="2373">
      <c r="D2373" s="39"/>
      <c r="E2373" s="39"/>
      <c r="F2373" s="39"/>
    </row>
    <row r="2374">
      <c r="D2374" s="39"/>
      <c r="E2374" s="39"/>
      <c r="F2374" s="39"/>
    </row>
    <row r="2375">
      <c r="D2375" s="39"/>
      <c r="E2375" s="39"/>
      <c r="F2375" s="39"/>
    </row>
    <row r="2376">
      <c r="D2376" s="39"/>
      <c r="E2376" s="39"/>
      <c r="F2376" s="39"/>
    </row>
    <row r="2377">
      <c r="D2377" s="39"/>
      <c r="E2377" s="39"/>
      <c r="F2377" s="39"/>
    </row>
    <row r="2378">
      <c r="D2378" s="39"/>
      <c r="E2378" s="39"/>
      <c r="F2378" s="39"/>
    </row>
    <row r="2379">
      <c r="D2379" s="39"/>
      <c r="E2379" s="39"/>
      <c r="F2379" s="39"/>
    </row>
    <row r="2380">
      <c r="D2380" s="39"/>
      <c r="E2380" s="39"/>
      <c r="F2380" s="39"/>
    </row>
    <row r="2381">
      <c r="D2381" s="39"/>
      <c r="E2381" s="39"/>
      <c r="F2381" s="39"/>
    </row>
    <row r="2382">
      <c r="D2382" s="39"/>
      <c r="E2382" s="39"/>
      <c r="F2382" s="39"/>
    </row>
    <row r="2383">
      <c r="D2383" s="39"/>
      <c r="E2383" s="39"/>
      <c r="F2383" s="39"/>
    </row>
    <row r="2384">
      <c r="D2384" s="39"/>
      <c r="E2384" s="39"/>
      <c r="F2384" s="39"/>
    </row>
    <row r="2385">
      <c r="D2385" s="39"/>
      <c r="E2385" s="39"/>
      <c r="F2385" s="39"/>
    </row>
    <row r="2386">
      <c r="D2386" s="39"/>
      <c r="E2386" s="39"/>
      <c r="F2386" s="39"/>
    </row>
    <row r="2387">
      <c r="D2387" s="39"/>
      <c r="E2387" s="39"/>
      <c r="F2387" s="39"/>
    </row>
    <row r="2388">
      <c r="D2388" s="39"/>
      <c r="E2388" s="39"/>
      <c r="F2388" s="39"/>
    </row>
    <row r="2389">
      <c r="D2389" s="39"/>
      <c r="E2389" s="39"/>
      <c r="F2389" s="39"/>
    </row>
    <row r="2390">
      <c r="D2390" s="39"/>
      <c r="E2390" s="39"/>
      <c r="F2390" s="39"/>
    </row>
    <row r="2391">
      <c r="D2391" s="39"/>
      <c r="E2391" s="39"/>
      <c r="F2391" s="39"/>
    </row>
    <row r="2392">
      <c r="D2392" s="39"/>
      <c r="E2392" s="39"/>
      <c r="F2392" s="39"/>
    </row>
    <row r="2393">
      <c r="D2393" s="39"/>
      <c r="E2393" s="39"/>
      <c r="F2393" s="39"/>
    </row>
    <row r="2394">
      <c r="D2394" s="39"/>
      <c r="E2394" s="39"/>
      <c r="F2394" s="39"/>
    </row>
    <row r="2395">
      <c r="D2395" s="39"/>
      <c r="E2395" s="39"/>
      <c r="F2395" s="39"/>
    </row>
    <row r="2396">
      <c r="D2396" s="39"/>
      <c r="E2396" s="39"/>
      <c r="F2396" s="39"/>
    </row>
    <row r="2397">
      <c r="D2397" s="39"/>
      <c r="E2397" s="39"/>
      <c r="F2397" s="39"/>
    </row>
    <row r="2398">
      <c r="D2398" s="39"/>
      <c r="E2398" s="39"/>
      <c r="F2398" s="39"/>
    </row>
    <row r="2399">
      <c r="D2399" s="39"/>
      <c r="E2399" s="39"/>
      <c r="F2399" s="39"/>
    </row>
    <row r="2400">
      <c r="D2400" s="39"/>
      <c r="E2400" s="39"/>
      <c r="F2400" s="39"/>
    </row>
    <row r="2401">
      <c r="D2401" s="39"/>
      <c r="E2401" s="39"/>
      <c r="F2401" s="39"/>
    </row>
    <row r="2402">
      <c r="D2402" s="39"/>
      <c r="E2402" s="39"/>
      <c r="F2402" s="39"/>
    </row>
    <row r="2403">
      <c r="D2403" s="39"/>
      <c r="E2403" s="39"/>
      <c r="F2403" s="39"/>
    </row>
    <row r="2404">
      <c r="D2404" s="39"/>
      <c r="E2404" s="39"/>
      <c r="F2404" s="39"/>
    </row>
    <row r="2405">
      <c r="D2405" s="39"/>
      <c r="E2405" s="39"/>
      <c r="F2405" s="39"/>
    </row>
    <row r="2406">
      <c r="D2406" s="39"/>
      <c r="E2406" s="39"/>
      <c r="F2406" s="39"/>
    </row>
    <row r="2407">
      <c r="D2407" s="39"/>
      <c r="E2407" s="39"/>
      <c r="F2407" s="39"/>
    </row>
    <row r="2408">
      <c r="D2408" s="39"/>
      <c r="E2408" s="39"/>
      <c r="F2408" s="39"/>
    </row>
    <row r="2409">
      <c r="D2409" s="39"/>
      <c r="E2409" s="39"/>
      <c r="F2409" s="39"/>
    </row>
    <row r="2410">
      <c r="D2410" s="39"/>
      <c r="E2410" s="39"/>
      <c r="F2410" s="39"/>
    </row>
    <row r="2411">
      <c r="D2411" s="39"/>
      <c r="E2411" s="39"/>
      <c r="F2411" s="39"/>
    </row>
    <row r="2412">
      <c r="D2412" s="39"/>
      <c r="E2412" s="39"/>
      <c r="F2412" s="39"/>
    </row>
    <row r="2413">
      <c r="D2413" s="39"/>
      <c r="E2413" s="39"/>
      <c r="F2413" s="39"/>
    </row>
    <row r="2414">
      <c r="D2414" s="39"/>
      <c r="E2414" s="39"/>
      <c r="F2414" s="39"/>
    </row>
    <row r="2415">
      <c r="D2415" s="39"/>
      <c r="E2415" s="39"/>
      <c r="F2415" s="39"/>
    </row>
    <row r="2416">
      <c r="D2416" s="39"/>
      <c r="E2416" s="39"/>
      <c r="F2416" s="39"/>
    </row>
    <row r="2417">
      <c r="D2417" s="39"/>
      <c r="E2417" s="39"/>
      <c r="F2417" s="39"/>
    </row>
    <row r="2418">
      <c r="D2418" s="39"/>
      <c r="E2418" s="39"/>
      <c r="F2418" s="39"/>
    </row>
    <row r="2419">
      <c r="D2419" s="39"/>
      <c r="E2419" s="39"/>
      <c r="F2419" s="39"/>
    </row>
    <row r="2420">
      <c r="D2420" s="39"/>
      <c r="E2420" s="39"/>
      <c r="F2420" s="39"/>
    </row>
    <row r="2421">
      <c r="D2421" s="39"/>
      <c r="E2421" s="39"/>
      <c r="F2421" s="39"/>
    </row>
    <row r="2422">
      <c r="D2422" s="39"/>
      <c r="E2422" s="39"/>
      <c r="F2422" s="39"/>
    </row>
    <row r="2423">
      <c r="D2423" s="39"/>
      <c r="E2423" s="39"/>
      <c r="F2423" s="39"/>
    </row>
    <row r="2424">
      <c r="D2424" s="39"/>
      <c r="E2424" s="39"/>
      <c r="F2424" s="39"/>
    </row>
    <row r="2425">
      <c r="D2425" s="39"/>
      <c r="E2425" s="39"/>
      <c r="F2425" s="39"/>
    </row>
    <row r="2426">
      <c r="D2426" s="39"/>
      <c r="E2426" s="39"/>
      <c r="F2426" s="39"/>
    </row>
    <row r="2427">
      <c r="D2427" s="39"/>
      <c r="E2427" s="39"/>
      <c r="F2427" s="39"/>
    </row>
    <row r="2428">
      <c r="D2428" s="39"/>
      <c r="E2428" s="39"/>
      <c r="F2428" s="39"/>
    </row>
    <row r="2429">
      <c r="D2429" s="39"/>
      <c r="E2429" s="39"/>
      <c r="F2429" s="39"/>
    </row>
    <row r="2430">
      <c r="D2430" s="39"/>
      <c r="E2430" s="39"/>
      <c r="F2430" s="39"/>
    </row>
    <row r="2431">
      <c r="D2431" s="39"/>
      <c r="E2431" s="39"/>
      <c r="F2431" s="39"/>
    </row>
    <row r="2432">
      <c r="D2432" s="39"/>
      <c r="E2432" s="39"/>
      <c r="F2432" s="39"/>
    </row>
    <row r="2433">
      <c r="D2433" s="39"/>
      <c r="E2433" s="39"/>
      <c r="F2433" s="39"/>
    </row>
    <row r="2434">
      <c r="D2434" s="39"/>
      <c r="E2434" s="39"/>
      <c r="F2434" s="39"/>
    </row>
    <row r="2435">
      <c r="D2435" s="39"/>
      <c r="E2435" s="39"/>
      <c r="F2435" s="39"/>
    </row>
    <row r="2436">
      <c r="D2436" s="39"/>
      <c r="E2436" s="39"/>
      <c r="F2436" s="39"/>
    </row>
    <row r="2437">
      <c r="D2437" s="39"/>
      <c r="E2437" s="39"/>
      <c r="F2437" s="39"/>
    </row>
    <row r="2438">
      <c r="D2438" s="39"/>
      <c r="E2438" s="39"/>
      <c r="F2438" s="39"/>
    </row>
    <row r="2439">
      <c r="D2439" s="39"/>
      <c r="E2439" s="39"/>
      <c r="F2439" s="39"/>
    </row>
    <row r="2440">
      <c r="D2440" s="39"/>
      <c r="E2440" s="39"/>
      <c r="F2440" s="39"/>
    </row>
    <row r="2441">
      <c r="D2441" s="39"/>
      <c r="E2441" s="39"/>
      <c r="F2441" s="39"/>
    </row>
    <row r="2442">
      <c r="D2442" s="39"/>
      <c r="E2442" s="39"/>
      <c r="F2442" s="39"/>
    </row>
    <row r="2443">
      <c r="D2443" s="39"/>
      <c r="E2443" s="39"/>
      <c r="F2443" s="39"/>
    </row>
    <row r="2444">
      <c r="D2444" s="39"/>
      <c r="E2444" s="39"/>
      <c r="F2444" s="39"/>
    </row>
    <row r="2445">
      <c r="D2445" s="39"/>
      <c r="E2445" s="39"/>
      <c r="F2445" s="39"/>
    </row>
    <row r="2446">
      <c r="D2446" s="39"/>
      <c r="E2446" s="39"/>
      <c r="F2446" s="39"/>
    </row>
    <row r="2447">
      <c r="D2447" s="39"/>
      <c r="E2447" s="39"/>
      <c r="F2447" s="39"/>
    </row>
    <row r="2448">
      <c r="D2448" s="39"/>
      <c r="E2448" s="39"/>
      <c r="F2448" s="39"/>
    </row>
    <row r="2449">
      <c r="D2449" s="39"/>
      <c r="E2449" s="39"/>
      <c r="F2449" s="39"/>
    </row>
    <row r="2450">
      <c r="D2450" s="39"/>
      <c r="E2450" s="39"/>
      <c r="F2450" s="39"/>
    </row>
    <row r="2451">
      <c r="D2451" s="39"/>
      <c r="E2451" s="39"/>
      <c r="F2451" s="39"/>
    </row>
    <row r="2452">
      <c r="D2452" s="39"/>
      <c r="E2452" s="39"/>
      <c r="F2452" s="39"/>
    </row>
    <row r="2453">
      <c r="D2453" s="39"/>
      <c r="E2453" s="39"/>
      <c r="F2453" s="39"/>
    </row>
    <row r="2454">
      <c r="D2454" s="39"/>
      <c r="E2454" s="39"/>
      <c r="F2454" s="39"/>
    </row>
    <row r="2455">
      <c r="D2455" s="39"/>
      <c r="E2455" s="39"/>
      <c r="F2455" s="39"/>
    </row>
    <row r="2456">
      <c r="D2456" s="39"/>
      <c r="E2456" s="39"/>
      <c r="F2456" s="39"/>
    </row>
    <row r="2457">
      <c r="D2457" s="39"/>
      <c r="E2457" s="39"/>
      <c r="F2457" s="39"/>
    </row>
    <row r="2458">
      <c r="D2458" s="39"/>
      <c r="E2458" s="39"/>
      <c r="F2458" s="39"/>
    </row>
    <row r="2459">
      <c r="D2459" s="39"/>
      <c r="E2459" s="39"/>
      <c r="F2459" s="39"/>
    </row>
    <row r="2460">
      <c r="D2460" s="39"/>
      <c r="E2460" s="39"/>
      <c r="F2460" s="39"/>
    </row>
    <row r="2461">
      <c r="D2461" s="39"/>
      <c r="E2461" s="39"/>
      <c r="F2461" s="39"/>
    </row>
    <row r="2462">
      <c r="D2462" s="39"/>
      <c r="E2462" s="39"/>
      <c r="F2462" s="39"/>
    </row>
    <row r="2463">
      <c r="D2463" s="39"/>
      <c r="E2463" s="39"/>
      <c r="F2463" s="39"/>
    </row>
    <row r="2464">
      <c r="D2464" s="39"/>
      <c r="E2464" s="39"/>
      <c r="F2464" s="39"/>
    </row>
    <row r="2465">
      <c r="D2465" s="39"/>
      <c r="E2465" s="39"/>
      <c r="F2465" s="39"/>
    </row>
    <row r="2466">
      <c r="D2466" s="39"/>
      <c r="E2466" s="39"/>
      <c r="F2466" s="39"/>
    </row>
    <row r="2467">
      <c r="D2467" s="39"/>
      <c r="E2467" s="39"/>
      <c r="F2467" s="39"/>
    </row>
    <row r="2468">
      <c r="D2468" s="39"/>
      <c r="E2468" s="39"/>
      <c r="F2468" s="39"/>
    </row>
    <row r="2469">
      <c r="D2469" s="39"/>
      <c r="E2469" s="39"/>
      <c r="F2469" s="39"/>
    </row>
    <row r="2470">
      <c r="D2470" s="39"/>
      <c r="E2470" s="39"/>
      <c r="F2470" s="39"/>
    </row>
    <row r="2471">
      <c r="D2471" s="39"/>
      <c r="E2471" s="39"/>
      <c r="F2471" s="39"/>
    </row>
    <row r="2472">
      <c r="D2472" s="39"/>
      <c r="E2472" s="39"/>
      <c r="F2472" s="39"/>
    </row>
    <row r="2473">
      <c r="D2473" s="39"/>
      <c r="E2473" s="39"/>
      <c r="F2473" s="39"/>
    </row>
    <row r="2474">
      <c r="D2474" s="39"/>
      <c r="E2474" s="39"/>
      <c r="F2474" s="39"/>
    </row>
    <row r="2475">
      <c r="D2475" s="39"/>
      <c r="E2475" s="39"/>
      <c r="F2475" s="39"/>
    </row>
    <row r="2476">
      <c r="D2476" s="39"/>
      <c r="E2476" s="39"/>
      <c r="F2476" s="39"/>
    </row>
    <row r="2477">
      <c r="D2477" s="39"/>
      <c r="E2477" s="39"/>
      <c r="F2477" s="39"/>
    </row>
    <row r="2478">
      <c r="D2478" s="39"/>
      <c r="E2478" s="39"/>
      <c r="F2478" s="39"/>
    </row>
    <row r="2479">
      <c r="D2479" s="39"/>
      <c r="E2479" s="39"/>
      <c r="F2479" s="39"/>
    </row>
    <row r="2480">
      <c r="D2480" s="39"/>
      <c r="E2480" s="39"/>
      <c r="F2480" s="39"/>
    </row>
    <row r="2481">
      <c r="D2481" s="39"/>
      <c r="E2481" s="39"/>
      <c r="F2481" s="39"/>
    </row>
    <row r="2482">
      <c r="D2482" s="39"/>
      <c r="E2482" s="39"/>
      <c r="F2482" s="39"/>
    </row>
    <row r="2483">
      <c r="D2483" s="39"/>
      <c r="E2483" s="39"/>
      <c r="F2483" s="39"/>
    </row>
    <row r="2484">
      <c r="D2484" s="39"/>
      <c r="E2484" s="39"/>
      <c r="F2484" s="39"/>
    </row>
    <row r="2485">
      <c r="D2485" s="39"/>
      <c r="E2485" s="39"/>
      <c r="F2485" s="39"/>
    </row>
    <row r="2486">
      <c r="D2486" s="39"/>
      <c r="E2486" s="39"/>
      <c r="F2486" s="39"/>
    </row>
    <row r="2487">
      <c r="D2487" s="39"/>
      <c r="E2487" s="39"/>
      <c r="F2487" s="39"/>
    </row>
    <row r="2488">
      <c r="D2488" s="39"/>
      <c r="E2488" s="39"/>
      <c r="F2488" s="39"/>
    </row>
    <row r="2489">
      <c r="D2489" s="39"/>
      <c r="E2489" s="39"/>
      <c r="F2489" s="39"/>
    </row>
    <row r="2490">
      <c r="D2490" s="39"/>
      <c r="E2490" s="39"/>
      <c r="F2490" s="39"/>
    </row>
    <row r="2491">
      <c r="D2491" s="39"/>
      <c r="E2491" s="39"/>
      <c r="F2491" s="39"/>
    </row>
    <row r="2492">
      <c r="D2492" s="39"/>
      <c r="E2492" s="39"/>
      <c r="F2492" s="39"/>
    </row>
    <row r="2493">
      <c r="D2493" s="39"/>
      <c r="E2493" s="39"/>
      <c r="F2493" s="39"/>
    </row>
    <row r="2494">
      <c r="D2494" s="39"/>
      <c r="E2494" s="39"/>
      <c r="F2494" s="39"/>
    </row>
    <row r="2495">
      <c r="D2495" s="39"/>
      <c r="E2495" s="39"/>
      <c r="F2495" s="39"/>
    </row>
    <row r="2496">
      <c r="D2496" s="39"/>
      <c r="E2496" s="39"/>
      <c r="F2496" s="39"/>
    </row>
    <row r="2497">
      <c r="D2497" s="39"/>
      <c r="E2497" s="39"/>
      <c r="F2497" s="39"/>
    </row>
    <row r="2498">
      <c r="D2498" s="39"/>
      <c r="E2498" s="39"/>
      <c r="F2498" s="39"/>
    </row>
    <row r="2499">
      <c r="D2499" s="39"/>
      <c r="E2499" s="39"/>
      <c r="F2499" s="39"/>
    </row>
    <row r="2500">
      <c r="D2500" s="39"/>
      <c r="E2500" s="39"/>
      <c r="F2500" s="39"/>
    </row>
    <row r="2501">
      <c r="D2501" s="39"/>
      <c r="E2501" s="39"/>
      <c r="F2501" s="39"/>
    </row>
    <row r="2502">
      <c r="D2502" s="39"/>
      <c r="E2502" s="39"/>
      <c r="F2502" s="39"/>
    </row>
    <row r="2503">
      <c r="D2503" s="39"/>
      <c r="E2503" s="39"/>
      <c r="F2503" s="39"/>
    </row>
    <row r="2504">
      <c r="D2504" s="39"/>
      <c r="E2504" s="39"/>
      <c r="F2504" s="39"/>
    </row>
    <row r="2505">
      <c r="D2505" s="39"/>
      <c r="E2505" s="39"/>
      <c r="F2505" s="39"/>
    </row>
    <row r="2506">
      <c r="D2506" s="39"/>
      <c r="E2506" s="39"/>
      <c r="F2506" s="39"/>
    </row>
    <row r="2507">
      <c r="D2507" s="39"/>
      <c r="E2507" s="39"/>
      <c r="F2507" s="39"/>
    </row>
    <row r="2508">
      <c r="D2508" s="39"/>
      <c r="E2508" s="39"/>
      <c r="F2508" s="39"/>
    </row>
    <row r="2509">
      <c r="D2509" s="39"/>
      <c r="E2509" s="39"/>
      <c r="F2509" s="39"/>
    </row>
    <row r="2510">
      <c r="D2510" s="39"/>
      <c r="E2510" s="39"/>
      <c r="F2510" s="39"/>
    </row>
    <row r="2511">
      <c r="D2511" s="39"/>
      <c r="E2511" s="39"/>
      <c r="F2511" s="39"/>
    </row>
    <row r="2512">
      <c r="D2512" s="39"/>
      <c r="E2512" s="39"/>
      <c r="F2512" s="39"/>
    </row>
    <row r="2513">
      <c r="D2513" s="39"/>
      <c r="E2513" s="39"/>
      <c r="F2513" s="39"/>
    </row>
    <row r="2514">
      <c r="D2514" s="39"/>
      <c r="E2514" s="39"/>
      <c r="F2514" s="39"/>
    </row>
    <row r="2515">
      <c r="D2515" s="39"/>
      <c r="E2515" s="39"/>
      <c r="F2515" s="39"/>
    </row>
    <row r="2516">
      <c r="D2516" s="39"/>
      <c r="E2516" s="39"/>
      <c r="F2516" s="39"/>
    </row>
    <row r="2517">
      <c r="D2517" s="39"/>
      <c r="E2517" s="39"/>
      <c r="F2517" s="39"/>
    </row>
    <row r="2518">
      <c r="D2518" s="39"/>
      <c r="E2518" s="39"/>
      <c r="F2518" s="39"/>
    </row>
    <row r="2519">
      <c r="D2519" s="39"/>
      <c r="E2519" s="39"/>
      <c r="F2519" s="39"/>
    </row>
    <row r="2520">
      <c r="D2520" s="39"/>
      <c r="E2520" s="39"/>
      <c r="F2520" s="39"/>
    </row>
    <row r="2521">
      <c r="D2521" s="39"/>
      <c r="E2521" s="39"/>
      <c r="F2521" s="39"/>
    </row>
    <row r="2522">
      <c r="D2522" s="39"/>
      <c r="E2522" s="39"/>
      <c r="F2522" s="39"/>
    </row>
    <row r="2523">
      <c r="D2523" s="39"/>
      <c r="E2523" s="39"/>
      <c r="F2523" s="39"/>
    </row>
    <row r="2524">
      <c r="D2524" s="39"/>
      <c r="E2524" s="39"/>
      <c r="F2524" s="39"/>
    </row>
    <row r="2525">
      <c r="D2525" s="39"/>
      <c r="E2525" s="39"/>
      <c r="F2525" s="39"/>
    </row>
    <row r="2526">
      <c r="D2526" s="39"/>
      <c r="E2526" s="39"/>
      <c r="F2526" s="39"/>
    </row>
    <row r="2527">
      <c r="D2527" s="39"/>
      <c r="E2527" s="39"/>
      <c r="F2527" s="39"/>
    </row>
    <row r="2528">
      <c r="D2528" s="39"/>
      <c r="E2528" s="39"/>
      <c r="F2528" s="39"/>
    </row>
    <row r="2529">
      <c r="D2529" s="39"/>
      <c r="E2529" s="39"/>
      <c r="F2529" s="39"/>
    </row>
    <row r="2530">
      <c r="D2530" s="39"/>
      <c r="E2530" s="39"/>
      <c r="F2530" s="39"/>
    </row>
    <row r="2531">
      <c r="D2531" s="39"/>
      <c r="E2531" s="39"/>
      <c r="F2531" s="39"/>
    </row>
    <row r="2532">
      <c r="D2532" s="39"/>
      <c r="E2532" s="39"/>
      <c r="F2532" s="39"/>
    </row>
    <row r="2533">
      <c r="D2533" s="39"/>
      <c r="E2533" s="39"/>
      <c r="F2533" s="39"/>
    </row>
    <row r="2534">
      <c r="D2534" s="39"/>
      <c r="E2534" s="39"/>
      <c r="F2534" s="39"/>
    </row>
    <row r="2535">
      <c r="D2535" s="39"/>
      <c r="E2535" s="39"/>
      <c r="F2535" s="39"/>
    </row>
    <row r="2536">
      <c r="D2536" s="39"/>
      <c r="E2536" s="39"/>
      <c r="F2536" s="39"/>
    </row>
    <row r="2537">
      <c r="D2537" s="39"/>
      <c r="E2537" s="39"/>
      <c r="F2537" s="39"/>
    </row>
    <row r="2538">
      <c r="D2538" s="39"/>
      <c r="E2538" s="39"/>
      <c r="F2538" s="39"/>
    </row>
    <row r="2539">
      <c r="D2539" s="39"/>
      <c r="E2539" s="39"/>
      <c r="F2539" s="39"/>
    </row>
    <row r="2540">
      <c r="D2540" s="39"/>
      <c r="E2540" s="39"/>
      <c r="F2540" s="39"/>
    </row>
    <row r="2541">
      <c r="D2541" s="39"/>
      <c r="E2541" s="39"/>
      <c r="F2541" s="39"/>
    </row>
    <row r="2542">
      <c r="D2542" s="39"/>
      <c r="E2542" s="39"/>
      <c r="F2542" s="39"/>
    </row>
    <row r="2543">
      <c r="D2543" s="39"/>
      <c r="E2543" s="39"/>
      <c r="F2543" s="39"/>
    </row>
    <row r="2544">
      <c r="D2544" s="39"/>
      <c r="E2544" s="39"/>
      <c r="F2544" s="39"/>
    </row>
    <row r="2545">
      <c r="D2545" s="39"/>
      <c r="E2545" s="39"/>
      <c r="F2545" s="39"/>
    </row>
    <row r="2546">
      <c r="D2546" s="39"/>
      <c r="E2546" s="39"/>
      <c r="F2546" s="39"/>
    </row>
    <row r="2547">
      <c r="D2547" s="39"/>
      <c r="E2547" s="39"/>
      <c r="F2547" s="39"/>
    </row>
    <row r="2548">
      <c r="D2548" s="39"/>
      <c r="E2548" s="39"/>
      <c r="F2548" s="39"/>
    </row>
    <row r="2549">
      <c r="D2549" s="39"/>
      <c r="E2549" s="39"/>
      <c r="F2549" s="39"/>
    </row>
    <row r="2550">
      <c r="D2550" s="39"/>
      <c r="E2550" s="39"/>
      <c r="F2550" s="39"/>
    </row>
    <row r="2551">
      <c r="D2551" s="39"/>
      <c r="E2551" s="39"/>
      <c r="F2551" s="39"/>
    </row>
    <row r="2552">
      <c r="D2552" s="39"/>
      <c r="E2552" s="39"/>
      <c r="F2552" s="39"/>
    </row>
    <row r="2553">
      <c r="D2553" s="39"/>
      <c r="E2553" s="39"/>
      <c r="F2553" s="39"/>
    </row>
    <row r="2554">
      <c r="D2554" s="39"/>
      <c r="E2554" s="39"/>
      <c r="F2554" s="39"/>
    </row>
    <row r="2555">
      <c r="D2555" s="39"/>
      <c r="E2555" s="39"/>
      <c r="F2555" s="39"/>
    </row>
    <row r="2556">
      <c r="D2556" s="39"/>
      <c r="E2556" s="39"/>
      <c r="F2556" s="39"/>
    </row>
    <row r="2557">
      <c r="D2557" s="39"/>
      <c r="E2557" s="39"/>
      <c r="F2557" s="39"/>
    </row>
    <row r="2558">
      <c r="D2558" s="39"/>
      <c r="E2558" s="39"/>
      <c r="F2558" s="39"/>
    </row>
    <row r="2559">
      <c r="D2559" s="39"/>
      <c r="E2559" s="39"/>
      <c r="F2559" s="39"/>
    </row>
    <row r="2560">
      <c r="D2560" s="39"/>
      <c r="E2560" s="39"/>
      <c r="F2560" s="39"/>
    </row>
    <row r="2561">
      <c r="D2561" s="39"/>
      <c r="E2561" s="39"/>
      <c r="F2561" s="39"/>
    </row>
    <row r="2562">
      <c r="D2562" s="39"/>
      <c r="E2562" s="39"/>
      <c r="F2562" s="39"/>
    </row>
    <row r="2563">
      <c r="D2563" s="39"/>
      <c r="E2563" s="39"/>
      <c r="F2563" s="39"/>
    </row>
    <row r="2564">
      <c r="D2564" s="39"/>
      <c r="E2564" s="39"/>
      <c r="F2564" s="39"/>
    </row>
    <row r="2565">
      <c r="D2565" s="39"/>
      <c r="E2565" s="39"/>
      <c r="F2565" s="39"/>
    </row>
    <row r="2566">
      <c r="D2566" s="39"/>
      <c r="E2566" s="39"/>
      <c r="F2566" s="39"/>
    </row>
    <row r="2567">
      <c r="D2567" s="39"/>
      <c r="E2567" s="39"/>
      <c r="F2567" s="39"/>
    </row>
    <row r="2568">
      <c r="D2568" s="39"/>
      <c r="E2568" s="39"/>
      <c r="F2568" s="39"/>
    </row>
    <row r="2569">
      <c r="D2569" s="39"/>
      <c r="E2569" s="39"/>
      <c r="F2569" s="39"/>
    </row>
    <row r="2570">
      <c r="D2570" s="39"/>
      <c r="E2570" s="39"/>
      <c r="F2570" s="39"/>
    </row>
    <row r="2571">
      <c r="D2571" s="39"/>
      <c r="E2571" s="39"/>
      <c r="F2571" s="39"/>
    </row>
    <row r="2572">
      <c r="D2572" s="39"/>
      <c r="E2572" s="39"/>
      <c r="F2572" s="39"/>
    </row>
    <row r="2573">
      <c r="D2573" s="39"/>
      <c r="E2573" s="39"/>
      <c r="F2573" s="39"/>
    </row>
    <row r="2574">
      <c r="D2574" s="39"/>
      <c r="E2574" s="39"/>
      <c r="F2574" s="39"/>
    </row>
    <row r="2575">
      <c r="D2575" s="39"/>
      <c r="E2575" s="39"/>
      <c r="F2575" s="39"/>
    </row>
    <row r="2576">
      <c r="D2576" s="39"/>
      <c r="E2576" s="39"/>
      <c r="F2576" s="39"/>
    </row>
    <row r="2577">
      <c r="D2577" s="39"/>
      <c r="E2577" s="39"/>
      <c r="F2577" s="39"/>
    </row>
    <row r="2578">
      <c r="D2578" s="39"/>
      <c r="E2578" s="39"/>
      <c r="F2578" s="39"/>
    </row>
    <row r="2579">
      <c r="D2579" s="39"/>
      <c r="E2579" s="39"/>
      <c r="F2579" s="39"/>
    </row>
    <row r="2580">
      <c r="D2580" s="39"/>
      <c r="E2580" s="39"/>
      <c r="F2580" s="39"/>
    </row>
    <row r="2581">
      <c r="D2581" s="39"/>
      <c r="E2581" s="39"/>
      <c r="F2581" s="39"/>
    </row>
    <row r="2582">
      <c r="D2582" s="39"/>
      <c r="E2582" s="39"/>
      <c r="F2582" s="39"/>
    </row>
    <row r="2583">
      <c r="D2583" s="39"/>
      <c r="E2583" s="39"/>
      <c r="F2583" s="39"/>
    </row>
    <row r="2584">
      <c r="D2584" s="39"/>
      <c r="E2584" s="39"/>
      <c r="F2584" s="39"/>
    </row>
    <row r="2585">
      <c r="D2585" s="39"/>
      <c r="E2585" s="39"/>
      <c r="F2585" s="39"/>
    </row>
    <row r="2586">
      <c r="D2586" s="39"/>
      <c r="E2586" s="39"/>
      <c r="F2586" s="39"/>
    </row>
    <row r="2587">
      <c r="D2587" s="39"/>
      <c r="E2587" s="39"/>
      <c r="F2587" s="39"/>
    </row>
    <row r="2588">
      <c r="D2588" s="39"/>
      <c r="E2588" s="39"/>
      <c r="F2588" s="39"/>
    </row>
    <row r="2589">
      <c r="D2589" s="39"/>
      <c r="E2589" s="39"/>
      <c r="F2589" s="39"/>
    </row>
    <row r="2590">
      <c r="D2590" s="39"/>
      <c r="E2590" s="39"/>
      <c r="F2590" s="39"/>
    </row>
    <row r="2591">
      <c r="D2591" s="39"/>
      <c r="E2591" s="39"/>
      <c r="F2591" s="39"/>
    </row>
    <row r="2592">
      <c r="D2592" s="39"/>
      <c r="E2592" s="39"/>
      <c r="F2592" s="39"/>
    </row>
    <row r="2593">
      <c r="D2593" s="39"/>
      <c r="E2593" s="39"/>
      <c r="F2593" s="39"/>
    </row>
    <row r="2594">
      <c r="D2594" s="39"/>
      <c r="E2594" s="39"/>
      <c r="F2594" s="39"/>
    </row>
    <row r="2595">
      <c r="D2595" s="39"/>
      <c r="E2595" s="39"/>
      <c r="F2595" s="39"/>
    </row>
    <row r="2596">
      <c r="D2596" s="39"/>
      <c r="E2596" s="39"/>
      <c r="F2596" s="39"/>
    </row>
    <row r="2597">
      <c r="D2597" s="39"/>
      <c r="E2597" s="39"/>
      <c r="F2597" s="39"/>
    </row>
    <row r="2598">
      <c r="D2598" s="39"/>
      <c r="E2598" s="39"/>
      <c r="F2598" s="39"/>
    </row>
    <row r="2599">
      <c r="D2599" s="39"/>
      <c r="E2599" s="39"/>
      <c r="F2599" s="39"/>
    </row>
    <row r="2600">
      <c r="D2600" s="39"/>
      <c r="E2600" s="39"/>
      <c r="F2600" s="39"/>
    </row>
    <row r="2601">
      <c r="D2601" s="39"/>
      <c r="E2601" s="39"/>
      <c r="F2601" s="39"/>
    </row>
    <row r="2602">
      <c r="D2602" s="39"/>
      <c r="E2602" s="39"/>
      <c r="F2602" s="39"/>
    </row>
    <row r="2603">
      <c r="D2603" s="39"/>
      <c r="E2603" s="39"/>
      <c r="F2603" s="39"/>
    </row>
    <row r="2604">
      <c r="D2604" s="39"/>
      <c r="E2604" s="39"/>
      <c r="F2604" s="39"/>
    </row>
    <row r="2605">
      <c r="D2605" s="39"/>
      <c r="E2605" s="39"/>
      <c r="F2605" s="39"/>
    </row>
    <row r="2606">
      <c r="D2606" s="39"/>
      <c r="E2606" s="39"/>
      <c r="F2606" s="39"/>
    </row>
    <row r="2607">
      <c r="D2607" s="39"/>
      <c r="E2607" s="39"/>
      <c r="F2607" s="39"/>
    </row>
    <row r="2608">
      <c r="D2608" s="39"/>
      <c r="E2608" s="39"/>
      <c r="F2608" s="39"/>
    </row>
    <row r="2609">
      <c r="D2609" s="39"/>
      <c r="E2609" s="39"/>
      <c r="F2609" s="39"/>
    </row>
    <row r="2610">
      <c r="D2610" s="39"/>
      <c r="E2610" s="39"/>
      <c r="F2610" s="39"/>
    </row>
    <row r="2611">
      <c r="D2611" s="39"/>
      <c r="E2611" s="39"/>
      <c r="F2611" s="39"/>
    </row>
    <row r="2612">
      <c r="D2612" s="39"/>
      <c r="E2612" s="39"/>
      <c r="F2612" s="39"/>
    </row>
    <row r="2613">
      <c r="D2613" s="39"/>
      <c r="E2613" s="39"/>
      <c r="F2613" s="39"/>
    </row>
    <row r="2614">
      <c r="D2614" s="39"/>
      <c r="E2614" s="39"/>
      <c r="F2614" s="39"/>
    </row>
    <row r="2615">
      <c r="D2615" s="39"/>
      <c r="E2615" s="39"/>
      <c r="F2615" s="39"/>
    </row>
    <row r="2616">
      <c r="D2616" s="39"/>
      <c r="E2616" s="39"/>
      <c r="F2616" s="39"/>
    </row>
    <row r="2617">
      <c r="D2617" s="39"/>
      <c r="E2617" s="39"/>
      <c r="F2617" s="39"/>
    </row>
    <row r="2618">
      <c r="D2618" s="39"/>
      <c r="E2618" s="39"/>
      <c r="F2618" s="39"/>
    </row>
    <row r="2619">
      <c r="D2619" s="39"/>
      <c r="E2619" s="39"/>
      <c r="F2619" s="39"/>
    </row>
    <row r="2620">
      <c r="D2620" s="39"/>
      <c r="E2620" s="39"/>
      <c r="F2620" s="39"/>
    </row>
    <row r="2621">
      <c r="D2621" s="39"/>
      <c r="E2621" s="39"/>
      <c r="F2621" s="39"/>
    </row>
    <row r="2622">
      <c r="D2622" s="39"/>
      <c r="E2622" s="39"/>
      <c r="F2622" s="39"/>
    </row>
    <row r="2623">
      <c r="D2623" s="39"/>
      <c r="E2623" s="39"/>
      <c r="F2623" s="39"/>
    </row>
    <row r="2624">
      <c r="D2624" s="39"/>
      <c r="E2624" s="39"/>
      <c r="F2624" s="39"/>
    </row>
    <row r="2625">
      <c r="D2625" s="39"/>
      <c r="E2625" s="39"/>
      <c r="F2625" s="39"/>
    </row>
    <row r="2626">
      <c r="D2626" s="39"/>
      <c r="E2626" s="39"/>
      <c r="F2626" s="39"/>
    </row>
    <row r="2627">
      <c r="D2627" s="39"/>
      <c r="E2627" s="39"/>
      <c r="F2627" s="39"/>
    </row>
    <row r="2628">
      <c r="D2628" s="39"/>
      <c r="E2628" s="39"/>
      <c r="F2628" s="39"/>
    </row>
    <row r="2629">
      <c r="D2629" s="39"/>
      <c r="E2629" s="39"/>
      <c r="F2629" s="39"/>
    </row>
    <row r="2630">
      <c r="D2630" s="39"/>
      <c r="E2630" s="39"/>
      <c r="F2630" s="39"/>
    </row>
    <row r="2631">
      <c r="D2631" s="39"/>
      <c r="E2631" s="39"/>
      <c r="F2631" s="39"/>
    </row>
    <row r="2632">
      <c r="D2632" s="39"/>
      <c r="E2632" s="39"/>
      <c r="F2632" s="39"/>
    </row>
    <row r="2633">
      <c r="D2633" s="39"/>
      <c r="E2633" s="39"/>
      <c r="F2633" s="39"/>
    </row>
    <row r="2634">
      <c r="D2634" s="39"/>
      <c r="E2634" s="39"/>
      <c r="F2634" s="39"/>
    </row>
    <row r="2635">
      <c r="D2635" s="39"/>
      <c r="E2635" s="39"/>
      <c r="F2635" s="39"/>
    </row>
    <row r="2636">
      <c r="D2636" s="39"/>
      <c r="E2636" s="39"/>
      <c r="F2636" s="39"/>
    </row>
    <row r="2637">
      <c r="D2637" s="39"/>
      <c r="E2637" s="39"/>
      <c r="F2637" s="39"/>
    </row>
    <row r="2638">
      <c r="D2638" s="39"/>
      <c r="E2638" s="39"/>
      <c r="F2638" s="39"/>
    </row>
    <row r="2639">
      <c r="D2639" s="39"/>
      <c r="E2639" s="39"/>
      <c r="F2639" s="39"/>
    </row>
    <row r="2640">
      <c r="D2640" s="39"/>
      <c r="E2640" s="39"/>
      <c r="F2640" s="39"/>
    </row>
    <row r="2641">
      <c r="D2641" s="39"/>
      <c r="E2641" s="39"/>
      <c r="F2641" s="39"/>
    </row>
    <row r="2642">
      <c r="D2642" s="39"/>
      <c r="E2642" s="39"/>
      <c r="F2642" s="39"/>
    </row>
    <row r="2643">
      <c r="D2643" s="39"/>
      <c r="E2643" s="39"/>
      <c r="F2643" s="39"/>
    </row>
    <row r="2644">
      <c r="D2644" s="39"/>
      <c r="E2644" s="39"/>
      <c r="F2644" s="39"/>
    </row>
    <row r="2645">
      <c r="D2645" s="39"/>
      <c r="E2645" s="39"/>
      <c r="F2645" s="39"/>
    </row>
    <row r="2646">
      <c r="D2646" s="39"/>
      <c r="E2646" s="39"/>
      <c r="F2646" s="39"/>
    </row>
    <row r="2647">
      <c r="D2647" s="39"/>
      <c r="E2647" s="39"/>
      <c r="F2647" s="39"/>
    </row>
    <row r="2648">
      <c r="D2648" s="39"/>
      <c r="E2648" s="39"/>
      <c r="F2648" s="39"/>
    </row>
    <row r="2649">
      <c r="D2649" s="39"/>
      <c r="E2649" s="39"/>
      <c r="F2649" s="39"/>
    </row>
    <row r="2650">
      <c r="D2650" s="39"/>
      <c r="E2650" s="39"/>
      <c r="F2650" s="39"/>
    </row>
    <row r="2651">
      <c r="D2651" s="39"/>
      <c r="E2651" s="39"/>
      <c r="F2651" s="39"/>
    </row>
    <row r="2652">
      <c r="D2652" s="39"/>
      <c r="E2652" s="39"/>
      <c r="F2652" s="39"/>
    </row>
    <row r="2653">
      <c r="D2653" s="39"/>
      <c r="E2653" s="39"/>
      <c r="F2653" s="39"/>
    </row>
    <row r="2654">
      <c r="D2654" s="39"/>
      <c r="E2654" s="39"/>
      <c r="F2654" s="39"/>
    </row>
    <row r="2655">
      <c r="D2655" s="39"/>
      <c r="E2655" s="39"/>
      <c r="F2655" s="39"/>
    </row>
    <row r="2656">
      <c r="D2656" s="39"/>
      <c r="E2656" s="39"/>
      <c r="F2656" s="39"/>
    </row>
    <row r="2657">
      <c r="D2657" s="39"/>
      <c r="E2657" s="39"/>
      <c r="F2657" s="39"/>
    </row>
    <row r="2658">
      <c r="D2658" s="39"/>
      <c r="E2658" s="39"/>
      <c r="F2658" s="39"/>
    </row>
    <row r="2659">
      <c r="D2659" s="39"/>
      <c r="E2659" s="39"/>
      <c r="F2659" s="39"/>
    </row>
    <row r="2660">
      <c r="D2660" s="39"/>
      <c r="E2660" s="39"/>
      <c r="F2660" s="39"/>
    </row>
    <row r="2661">
      <c r="D2661" s="39"/>
      <c r="E2661" s="39"/>
      <c r="F2661" s="39"/>
    </row>
    <row r="2662">
      <c r="D2662" s="39"/>
      <c r="E2662" s="39"/>
      <c r="F2662" s="39"/>
    </row>
    <row r="2663">
      <c r="D2663" s="39"/>
      <c r="E2663" s="39"/>
      <c r="F2663" s="39"/>
    </row>
    <row r="2664">
      <c r="D2664" s="39"/>
      <c r="E2664" s="39"/>
      <c r="F2664" s="39"/>
    </row>
    <row r="2665">
      <c r="D2665" s="39"/>
      <c r="E2665" s="39"/>
      <c r="F2665" s="39"/>
    </row>
    <row r="2666">
      <c r="D2666" s="39"/>
      <c r="E2666" s="39"/>
      <c r="F2666" s="39"/>
    </row>
    <row r="2667">
      <c r="D2667" s="39"/>
      <c r="E2667" s="39"/>
      <c r="F2667" s="39"/>
    </row>
    <row r="2668">
      <c r="D2668" s="39"/>
      <c r="E2668" s="39"/>
      <c r="F2668" s="39"/>
    </row>
    <row r="2669">
      <c r="D2669" s="39"/>
      <c r="E2669" s="39"/>
      <c r="F2669" s="39"/>
    </row>
    <row r="2670">
      <c r="D2670" s="39"/>
      <c r="E2670" s="39"/>
      <c r="F2670" s="39"/>
    </row>
    <row r="2671">
      <c r="D2671" s="39"/>
      <c r="E2671" s="39"/>
      <c r="F2671" s="39"/>
    </row>
    <row r="2672">
      <c r="D2672" s="39"/>
      <c r="E2672" s="39"/>
      <c r="F2672" s="39"/>
    </row>
    <row r="2673">
      <c r="D2673" s="39"/>
      <c r="E2673" s="39"/>
      <c r="F2673" s="39"/>
    </row>
    <row r="2674">
      <c r="D2674" s="39"/>
      <c r="E2674" s="39"/>
      <c r="F2674" s="39"/>
    </row>
    <row r="2675">
      <c r="D2675" s="39"/>
      <c r="E2675" s="39"/>
      <c r="F2675" s="39"/>
    </row>
    <row r="2676">
      <c r="D2676" s="39"/>
      <c r="E2676" s="39"/>
      <c r="F2676" s="39"/>
    </row>
    <row r="2677">
      <c r="D2677" s="39"/>
      <c r="E2677" s="39"/>
      <c r="F2677" s="39"/>
    </row>
    <row r="2678">
      <c r="D2678" s="39"/>
      <c r="E2678" s="39"/>
      <c r="F2678" s="39"/>
    </row>
    <row r="2679">
      <c r="D2679" s="39"/>
      <c r="E2679" s="39"/>
      <c r="F2679" s="39"/>
    </row>
    <row r="2680">
      <c r="D2680" s="39"/>
      <c r="E2680" s="39"/>
      <c r="F2680" s="39"/>
    </row>
    <row r="2681">
      <c r="D2681" s="39"/>
      <c r="E2681" s="39"/>
      <c r="F2681" s="39"/>
    </row>
    <row r="2682">
      <c r="D2682" s="39"/>
      <c r="E2682" s="39"/>
      <c r="F2682" s="39"/>
    </row>
    <row r="2683">
      <c r="D2683" s="39"/>
      <c r="E2683" s="39"/>
      <c r="F2683" s="39"/>
    </row>
    <row r="2684">
      <c r="D2684" s="39"/>
      <c r="E2684" s="39"/>
      <c r="F2684" s="39"/>
    </row>
    <row r="2685">
      <c r="D2685" s="39"/>
      <c r="E2685" s="39"/>
      <c r="F2685" s="39"/>
    </row>
    <row r="2686">
      <c r="D2686" s="39"/>
      <c r="E2686" s="39"/>
      <c r="F2686" s="39"/>
    </row>
    <row r="2687">
      <c r="D2687" s="39"/>
      <c r="E2687" s="39"/>
      <c r="F2687" s="39"/>
    </row>
    <row r="2688">
      <c r="D2688" s="39"/>
      <c r="E2688" s="39"/>
      <c r="F2688" s="39"/>
    </row>
    <row r="2689">
      <c r="D2689" s="39"/>
      <c r="E2689" s="39"/>
      <c r="F2689" s="39"/>
    </row>
    <row r="2690">
      <c r="D2690" s="39"/>
      <c r="E2690" s="39"/>
      <c r="F2690" s="39"/>
    </row>
    <row r="2691">
      <c r="D2691" s="39"/>
      <c r="E2691" s="39"/>
      <c r="F2691" s="39"/>
    </row>
    <row r="2692">
      <c r="D2692" s="39"/>
      <c r="E2692" s="39"/>
      <c r="F2692" s="39"/>
    </row>
    <row r="2693">
      <c r="D2693" s="39"/>
      <c r="E2693" s="39"/>
      <c r="F2693" s="39"/>
    </row>
    <row r="2694">
      <c r="D2694" s="39"/>
      <c r="E2694" s="39"/>
      <c r="F2694" s="39"/>
    </row>
    <row r="2695">
      <c r="D2695" s="39"/>
      <c r="E2695" s="39"/>
      <c r="F2695" s="39"/>
    </row>
    <row r="2696">
      <c r="D2696" s="39"/>
      <c r="E2696" s="39"/>
      <c r="F2696" s="39"/>
    </row>
    <row r="2697">
      <c r="D2697" s="39"/>
      <c r="E2697" s="39"/>
      <c r="F2697" s="39"/>
    </row>
    <row r="2698">
      <c r="D2698" s="39"/>
      <c r="E2698" s="39"/>
      <c r="F2698" s="39"/>
    </row>
    <row r="2699">
      <c r="D2699" s="39"/>
      <c r="E2699" s="39"/>
      <c r="F2699" s="39"/>
    </row>
    <row r="2700">
      <c r="D2700" s="39"/>
      <c r="E2700" s="39"/>
      <c r="F2700" s="39"/>
    </row>
    <row r="2701">
      <c r="D2701" s="39"/>
      <c r="E2701" s="39"/>
      <c r="F2701" s="39"/>
    </row>
    <row r="2702">
      <c r="D2702" s="39"/>
      <c r="E2702" s="39"/>
      <c r="F2702" s="39"/>
    </row>
    <row r="2703">
      <c r="D2703" s="39"/>
      <c r="E2703" s="39"/>
      <c r="F2703" s="39"/>
    </row>
    <row r="2704">
      <c r="D2704" s="39"/>
      <c r="E2704" s="39"/>
      <c r="F2704" s="39"/>
    </row>
    <row r="2705">
      <c r="D2705" s="39"/>
      <c r="E2705" s="39"/>
      <c r="F2705" s="39"/>
    </row>
    <row r="2706">
      <c r="D2706" s="39"/>
      <c r="E2706" s="39"/>
      <c r="F2706" s="39"/>
    </row>
    <row r="2707">
      <c r="D2707" s="39"/>
      <c r="E2707" s="39"/>
      <c r="F2707" s="39"/>
    </row>
    <row r="2708">
      <c r="D2708" s="39"/>
      <c r="E2708" s="39"/>
      <c r="F2708" s="39"/>
    </row>
    <row r="2709">
      <c r="D2709" s="39"/>
      <c r="E2709" s="39"/>
      <c r="F2709" s="39"/>
    </row>
    <row r="2710">
      <c r="D2710" s="39"/>
      <c r="E2710" s="39"/>
      <c r="F2710" s="39"/>
    </row>
    <row r="2711">
      <c r="D2711" s="39"/>
      <c r="E2711" s="39"/>
      <c r="F2711" s="39"/>
    </row>
    <row r="2712">
      <c r="D2712" s="39"/>
      <c r="E2712" s="39"/>
      <c r="F2712" s="39"/>
    </row>
    <row r="2713">
      <c r="D2713" s="39"/>
      <c r="E2713" s="39"/>
      <c r="F2713" s="39"/>
    </row>
    <row r="2714">
      <c r="D2714" s="39"/>
      <c r="E2714" s="39"/>
      <c r="F2714" s="39"/>
    </row>
    <row r="2715">
      <c r="D2715" s="39"/>
      <c r="E2715" s="39"/>
      <c r="F2715" s="39"/>
    </row>
    <row r="2716">
      <c r="D2716" s="39"/>
      <c r="E2716" s="39"/>
      <c r="F2716" s="39"/>
    </row>
    <row r="2717">
      <c r="D2717" s="39"/>
      <c r="E2717" s="39"/>
      <c r="F2717" s="39"/>
    </row>
    <row r="2718">
      <c r="D2718" s="39"/>
      <c r="E2718" s="39"/>
      <c r="F2718" s="39"/>
    </row>
    <row r="2719">
      <c r="D2719" s="39"/>
      <c r="E2719" s="39"/>
      <c r="F2719" s="39"/>
    </row>
    <row r="2720">
      <c r="D2720" s="39"/>
      <c r="E2720" s="39"/>
      <c r="F2720" s="39"/>
    </row>
    <row r="2721">
      <c r="D2721" s="39"/>
      <c r="E2721" s="39"/>
      <c r="F2721" s="39"/>
    </row>
    <row r="2722">
      <c r="D2722" s="39"/>
      <c r="E2722" s="39"/>
      <c r="F2722" s="39"/>
    </row>
    <row r="2723">
      <c r="D2723" s="39"/>
      <c r="E2723" s="39"/>
      <c r="F2723" s="39"/>
    </row>
    <row r="2724">
      <c r="D2724" s="39"/>
      <c r="E2724" s="39"/>
      <c r="F2724" s="39"/>
    </row>
    <row r="2725">
      <c r="D2725" s="39"/>
      <c r="E2725" s="39"/>
      <c r="F2725" s="39"/>
    </row>
    <row r="2726">
      <c r="D2726" s="39"/>
      <c r="E2726" s="39"/>
      <c r="F2726" s="39"/>
    </row>
    <row r="2727">
      <c r="D2727" s="39"/>
      <c r="E2727" s="39"/>
      <c r="F2727" s="39"/>
    </row>
    <row r="2728">
      <c r="D2728" s="39"/>
      <c r="E2728" s="39"/>
      <c r="F2728" s="39"/>
    </row>
    <row r="2729">
      <c r="D2729" s="39"/>
      <c r="E2729" s="39"/>
      <c r="F2729" s="39"/>
    </row>
    <row r="2730">
      <c r="D2730" s="39"/>
      <c r="E2730" s="39"/>
      <c r="F2730" s="39"/>
    </row>
    <row r="2731">
      <c r="D2731" s="39"/>
      <c r="E2731" s="39"/>
      <c r="F2731" s="39"/>
    </row>
    <row r="2732">
      <c r="D2732" s="39"/>
      <c r="E2732" s="39"/>
      <c r="F2732" s="39"/>
    </row>
    <row r="2733">
      <c r="D2733" s="39"/>
      <c r="E2733" s="39"/>
      <c r="F2733" s="39"/>
    </row>
    <row r="2734">
      <c r="D2734" s="39"/>
      <c r="E2734" s="39"/>
      <c r="F2734" s="39"/>
    </row>
    <row r="2735">
      <c r="D2735" s="39"/>
      <c r="E2735" s="39"/>
      <c r="F2735" s="39"/>
    </row>
    <row r="2736">
      <c r="D2736" s="39"/>
      <c r="E2736" s="39"/>
      <c r="F2736" s="39"/>
    </row>
    <row r="2737">
      <c r="D2737" s="39"/>
      <c r="E2737" s="39"/>
      <c r="F2737" s="39"/>
    </row>
    <row r="2738">
      <c r="D2738" s="39"/>
      <c r="E2738" s="39"/>
      <c r="F2738" s="39"/>
    </row>
    <row r="2739">
      <c r="D2739" s="39"/>
      <c r="E2739" s="39"/>
      <c r="F2739" s="39"/>
    </row>
    <row r="2740">
      <c r="D2740" s="39"/>
      <c r="E2740" s="39"/>
      <c r="F2740" s="39"/>
    </row>
    <row r="2741">
      <c r="D2741" s="39"/>
      <c r="E2741" s="39"/>
      <c r="F2741" s="39"/>
    </row>
    <row r="2742">
      <c r="D2742" s="39"/>
      <c r="E2742" s="39"/>
      <c r="F2742" s="39"/>
    </row>
    <row r="2743">
      <c r="D2743" s="39"/>
      <c r="E2743" s="39"/>
      <c r="F2743" s="39"/>
    </row>
    <row r="2744">
      <c r="D2744" s="39"/>
      <c r="E2744" s="39"/>
      <c r="F2744" s="39"/>
    </row>
    <row r="2745">
      <c r="D2745" s="39"/>
      <c r="E2745" s="39"/>
      <c r="F2745" s="39"/>
    </row>
    <row r="2746">
      <c r="D2746" s="39"/>
      <c r="E2746" s="39"/>
      <c r="F2746" s="39"/>
    </row>
    <row r="2747">
      <c r="D2747" s="39"/>
      <c r="E2747" s="39"/>
      <c r="F2747" s="39"/>
    </row>
    <row r="2748">
      <c r="D2748" s="39"/>
      <c r="E2748" s="39"/>
      <c r="F2748" s="39"/>
    </row>
    <row r="2749">
      <c r="D2749" s="39"/>
      <c r="E2749" s="39"/>
      <c r="F2749" s="39"/>
    </row>
    <row r="2750">
      <c r="D2750" s="39"/>
      <c r="E2750" s="39"/>
      <c r="F2750" s="39"/>
    </row>
    <row r="2751">
      <c r="D2751" s="39"/>
      <c r="E2751" s="39"/>
      <c r="F2751" s="39"/>
    </row>
    <row r="2752">
      <c r="D2752" s="39"/>
      <c r="E2752" s="39"/>
      <c r="F2752" s="39"/>
    </row>
    <row r="2753">
      <c r="D2753" s="39"/>
      <c r="E2753" s="39"/>
      <c r="F2753" s="39"/>
    </row>
    <row r="2754">
      <c r="D2754" s="39"/>
      <c r="E2754" s="39"/>
      <c r="F2754" s="39"/>
    </row>
    <row r="2755">
      <c r="D2755" s="39"/>
      <c r="E2755" s="39"/>
      <c r="F2755" s="39"/>
    </row>
    <row r="2756">
      <c r="D2756" s="39"/>
      <c r="E2756" s="39"/>
      <c r="F2756" s="39"/>
    </row>
    <row r="2757">
      <c r="D2757" s="39"/>
      <c r="E2757" s="39"/>
      <c r="F2757" s="39"/>
    </row>
    <row r="2758">
      <c r="D2758" s="39"/>
      <c r="E2758" s="39"/>
      <c r="F2758" s="39"/>
    </row>
    <row r="2759">
      <c r="D2759" s="39"/>
      <c r="E2759" s="39"/>
      <c r="F2759" s="39"/>
    </row>
    <row r="2760">
      <c r="D2760" s="39"/>
      <c r="E2760" s="39"/>
      <c r="F2760" s="39"/>
    </row>
    <row r="2761">
      <c r="D2761" s="39"/>
      <c r="E2761" s="39"/>
      <c r="F2761" s="39"/>
    </row>
    <row r="2762">
      <c r="D2762" s="39"/>
      <c r="E2762" s="39"/>
      <c r="F2762" s="39"/>
    </row>
    <row r="2763">
      <c r="D2763" s="39"/>
      <c r="E2763" s="39"/>
      <c r="F2763" s="39"/>
    </row>
    <row r="2764">
      <c r="D2764" s="39"/>
      <c r="E2764" s="39"/>
      <c r="F2764" s="39"/>
    </row>
    <row r="2765">
      <c r="D2765" s="39"/>
      <c r="E2765" s="39"/>
      <c r="F2765" s="39"/>
    </row>
    <row r="2766">
      <c r="D2766" s="39"/>
      <c r="E2766" s="39"/>
      <c r="F2766" s="39"/>
    </row>
    <row r="2767">
      <c r="D2767" s="39"/>
      <c r="E2767" s="39"/>
      <c r="F2767" s="39"/>
    </row>
    <row r="2768">
      <c r="D2768" s="39"/>
      <c r="E2768" s="39"/>
      <c r="F2768" s="39"/>
    </row>
    <row r="2769">
      <c r="D2769" s="39"/>
      <c r="E2769" s="39"/>
      <c r="F2769" s="39"/>
    </row>
    <row r="2770">
      <c r="D2770" s="39"/>
      <c r="E2770" s="39"/>
      <c r="F2770" s="39"/>
    </row>
    <row r="2771">
      <c r="D2771" s="39"/>
      <c r="E2771" s="39"/>
      <c r="F2771" s="39"/>
    </row>
    <row r="2772">
      <c r="D2772" s="39"/>
      <c r="E2772" s="39"/>
      <c r="F2772" s="39"/>
    </row>
    <row r="2773">
      <c r="D2773" s="39"/>
      <c r="E2773" s="39"/>
      <c r="F2773" s="39"/>
    </row>
    <row r="2774">
      <c r="D2774" s="39"/>
      <c r="E2774" s="39"/>
      <c r="F2774" s="39"/>
    </row>
    <row r="2775">
      <c r="D2775" s="39"/>
      <c r="E2775" s="39"/>
      <c r="F2775" s="39"/>
    </row>
    <row r="2776">
      <c r="D2776" s="39"/>
      <c r="E2776" s="39"/>
      <c r="F2776" s="39"/>
    </row>
    <row r="2777">
      <c r="D2777" s="39"/>
      <c r="E2777" s="39"/>
      <c r="F2777" s="39"/>
    </row>
    <row r="2778">
      <c r="D2778" s="39"/>
      <c r="E2778" s="39"/>
      <c r="F2778" s="39"/>
    </row>
    <row r="2779">
      <c r="D2779" s="39"/>
      <c r="E2779" s="39"/>
      <c r="F2779" s="39"/>
    </row>
    <row r="2780">
      <c r="D2780" s="39"/>
      <c r="E2780" s="39"/>
      <c r="F2780" s="39"/>
    </row>
    <row r="2781">
      <c r="D2781" s="39"/>
      <c r="E2781" s="39"/>
      <c r="F2781" s="39"/>
    </row>
    <row r="2782">
      <c r="D2782" s="39"/>
      <c r="E2782" s="39"/>
      <c r="F2782" s="39"/>
    </row>
    <row r="2783">
      <c r="D2783" s="39"/>
      <c r="E2783" s="39"/>
      <c r="F2783" s="39"/>
    </row>
    <row r="2784">
      <c r="D2784" s="39"/>
      <c r="E2784" s="39"/>
      <c r="F2784" s="39"/>
    </row>
    <row r="2785">
      <c r="D2785" s="39"/>
      <c r="E2785" s="39"/>
      <c r="F2785" s="39"/>
    </row>
    <row r="2786">
      <c r="D2786" s="39"/>
      <c r="E2786" s="39"/>
      <c r="F2786" s="39"/>
    </row>
    <row r="2787">
      <c r="D2787" s="39"/>
      <c r="E2787" s="39"/>
      <c r="F2787" s="39"/>
    </row>
    <row r="2788">
      <c r="D2788" s="39"/>
      <c r="E2788" s="39"/>
      <c r="F2788" s="39"/>
    </row>
    <row r="2789">
      <c r="D2789" s="39"/>
      <c r="E2789" s="39"/>
      <c r="F2789" s="39"/>
    </row>
    <row r="2790">
      <c r="D2790" s="39"/>
      <c r="E2790" s="39"/>
      <c r="F2790" s="39"/>
    </row>
    <row r="2791">
      <c r="D2791" s="39"/>
      <c r="E2791" s="39"/>
      <c r="F2791" s="39"/>
    </row>
    <row r="2792">
      <c r="D2792" s="39"/>
      <c r="E2792" s="39"/>
      <c r="F2792" s="39"/>
    </row>
    <row r="2793">
      <c r="D2793" s="39"/>
      <c r="E2793" s="39"/>
      <c r="F2793" s="39"/>
    </row>
    <row r="2794">
      <c r="D2794" s="39"/>
      <c r="E2794" s="39"/>
      <c r="F2794" s="39"/>
    </row>
    <row r="2795">
      <c r="D2795" s="39"/>
      <c r="E2795" s="39"/>
      <c r="F2795" s="39"/>
    </row>
    <row r="2796">
      <c r="D2796" s="39"/>
      <c r="E2796" s="39"/>
      <c r="F2796" s="39"/>
    </row>
    <row r="2797">
      <c r="D2797" s="39"/>
      <c r="E2797" s="39"/>
      <c r="F2797" s="39"/>
    </row>
    <row r="2798">
      <c r="D2798" s="39"/>
      <c r="E2798" s="39"/>
      <c r="F2798" s="39"/>
    </row>
    <row r="2799">
      <c r="D2799" s="39"/>
      <c r="E2799" s="39"/>
      <c r="F2799" s="39"/>
    </row>
    <row r="2800">
      <c r="D2800" s="39"/>
      <c r="E2800" s="39"/>
      <c r="F2800" s="39"/>
    </row>
    <row r="2801">
      <c r="D2801" s="39"/>
      <c r="E2801" s="39"/>
      <c r="F2801" s="39"/>
    </row>
    <row r="2802">
      <c r="D2802" s="39"/>
      <c r="E2802" s="39"/>
      <c r="F2802" s="39"/>
    </row>
    <row r="2803">
      <c r="D2803" s="39"/>
      <c r="E2803" s="39"/>
      <c r="F2803" s="39"/>
    </row>
    <row r="2804">
      <c r="D2804" s="39"/>
      <c r="E2804" s="39"/>
      <c r="F2804" s="39"/>
    </row>
    <row r="2805">
      <c r="D2805" s="39"/>
      <c r="E2805" s="39"/>
      <c r="F2805" s="39"/>
    </row>
    <row r="2806">
      <c r="D2806" s="39"/>
      <c r="E2806" s="39"/>
      <c r="F2806" s="39"/>
    </row>
    <row r="2807">
      <c r="D2807" s="39"/>
      <c r="E2807" s="39"/>
      <c r="F2807" s="39"/>
    </row>
    <row r="2808">
      <c r="D2808" s="39"/>
      <c r="E2808" s="39"/>
      <c r="F2808" s="39"/>
    </row>
    <row r="2809">
      <c r="D2809" s="39"/>
      <c r="E2809" s="39"/>
      <c r="F2809" s="39"/>
    </row>
    <row r="2810">
      <c r="D2810" s="39"/>
      <c r="E2810" s="39"/>
      <c r="F2810" s="39"/>
    </row>
    <row r="2811">
      <c r="D2811" s="39"/>
      <c r="E2811" s="39"/>
      <c r="F2811" s="39"/>
    </row>
    <row r="2812">
      <c r="D2812" s="39"/>
      <c r="E2812" s="39"/>
      <c r="F2812" s="39"/>
    </row>
    <row r="2813">
      <c r="D2813" s="39"/>
      <c r="E2813" s="39"/>
      <c r="F2813" s="39"/>
    </row>
    <row r="2814">
      <c r="D2814" s="39"/>
      <c r="E2814" s="39"/>
      <c r="F2814" s="39"/>
    </row>
    <row r="2815">
      <c r="D2815" s="39"/>
      <c r="E2815" s="39"/>
      <c r="F2815" s="39"/>
    </row>
    <row r="2816">
      <c r="D2816" s="39"/>
      <c r="E2816" s="39"/>
      <c r="F2816" s="39"/>
    </row>
    <row r="2817">
      <c r="D2817" s="39"/>
      <c r="E2817" s="39"/>
      <c r="F2817" s="39"/>
    </row>
    <row r="2818">
      <c r="D2818" s="39"/>
      <c r="E2818" s="39"/>
      <c r="F2818" s="39"/>
    </row>
    <row r="2819">
      <c r="D2819" s="39"/>
      <c r="E2819" s="39"/>
      <c r="F2819" s="39"/>
    </row>
    <row r="2820">
      <c r="D2820" s="39"/>
      <c r="E2820" s="39"/>
      <c r="F2820" s="39"/>
    </row>
    <row r="2821">
      <c r="D2821" s="39"/>
      <c r="E2821" s="39"/>
      <c r="F2821" s="39"/>
    </row>
    <row r="2822">
      <c r="D2822" s="39"/>
      <c r="E2822" s="39"/>
      <c r="F2822" s="39"/>
    </row>
    <row r="2823">
      <c r="D2823" s="39"/>
      <c r="E2823" s="39"/>
      <c r="F2823" s="39"/>
    </row>
    <row r="2824">
      <c r="D2824" s="39"/>
      <c r="E2824" s="39"/>
      <c r="F2824" s="39"/>
    </row>
    <row r="2825">
      <c r="D2825" s="39"/>
      <c r="E2825" s="39"/>
      <c r="F2825" s="39"/>
    </row>
    <row r="2826">
      <c r="D2826" s="39"/>
      <c r="E2826" s="39"/>
      <c r="F2826" s="39"/>
    </row>
    <row r="2827">
      <c r="D2827" s="39"/>
      <c r="E2827" s="39"/>
      <c r="F2827" s="39"/>
    </row>
    <row r="2828">
      <c r="D2828" s="39"/>
      <c r="E2828" s="39"/>
      <c r="F2828" s="39"/>
    </row>
    <row r="2829">
      <c r="D2829" s="39"/>
      <c r="E2829" s="39"/>
      <c r="F2829" s="39"/>
    </row>
    <row r="2830">
      <c r="D2830" s="39"/>
      <c r="E2830" s="39"/>
      <c r="F2830" s="39"/>
    </row>
    <row r="2831">
      <c r="D2831" s="39"/>
      <c r="E2831" s="39"/>
      <c r="F2831" s="39"/>
    </row>
    <row r="2832">
      <c r="D2832" s="39"/>
      <c r="E2832" s="39"/>
      <c r="F2832" s="39"/>
    </row>
    <row r="2833">
      <c r="D2833" s="39"/>
      <c r="E2833" s="39"/>
      <c r="F2833" s="39"/>
    </row>
    <row r="2834">
      <c r="D2834" s="39"/>
      <c r="E2834" s="39"/>
      <c r="F2834" s="39"/>
    </row>
    <row r="2835">
      <c r="D2835" s="39"/>
      <c r="E2835" s="39"/>
      <c r="F2835" s="39"/>
    </row>
    <row r="2836">
      <c r="D2836" s="39"/>
      <c r="E2836" s="39"/>
      <c r="F2836" s="39"/>
    </row>
    <row r="2837">
      <c r="D2837" s="39"/>
      <c r="E2837" s="39"/>
      <c r="F2837" s="39"/>
    </row>
    <row r="2838">
      <c r="D2838" s="39"/>
      <c r="E2838" s="39"/>
      <c r="F2838" s="39"/>
    </row>
    <row r="2839">
      <c r="D2839" s="39"/>
      <c r="E2839" s="39"/>
      <c r="F2839" s="39"/>
    </row>
    <row r="2840">
      <c r="D2840" s="39"/>
      <c r="E2840" s="39"/>
      <c r="F2840" s="39"/>
    </row>
    <row r="2841">
      <c r="D2841" s="39"/>
      <c r="E2841" s="39"/>
      <c r="F2841" s="39"/>
    </row>
    <row r="2842">
      <c r="D2842" s="39"/>
      <c r="E2842" s="39"/>
      <c r="F2842" s="39"/>
    </row>
    <row r="2843">
      <c r="D2843" s="39"/>
      <c r="E2843" s="39"/>
      <c r="F2843" s="39"/>
    </row>
    <row r="2844">
      <c r="D2844" s="39"/>
      <c r="E2844" s="39"/>
      <c r="F2844" s="39"/>
    </row>
    <row r="2845">
      <c r="D2845" s="39"/>
      <c r="E2845" s="39"/>
      <c r="F2845" s="39"/>
    </row>
    <row r="2846">
      <c r="D2846" s="39"/>
      <c r="E2846" s="39"/>
      <c r="F2846" s="39"/>
    </row>
    <row r="2847">
      <c r="D2847" s="39"/>
      <c r="E2847" s="39"/>
      <c r="F2847" s="39"/>
    </row>
    <row r="2848">
      <c r="D2848" s="39"/>
      <c r="E2848" s="39"/>
      <c r="F2848" s="39"/>
    </row>
    <row r="2849">
      <c r="D2849" s="39"/>
      <c r="E2849" s="39"/>
      <c r="F2849" s="39"/>
    </row>
    <row r="2850">
      <c r="D2850" s="39"/>
      <c r="E2850" s="39"/>
      <c r="F2850" s="39"/>
    </row>
    <row r="2851">
      <c r="D2851" s="39"/>
      <c r="E2851" s="39"/>
      <c r="F2851" s="39"/>
    </row>
    <row r="2852">
      <c r="D2852" s="39"/>
      <c r="E2852" s="39"/>
      <c r="F2852" s="39"/>
    </row>
    <row r="2853">
      <c r="D2853" s="39"/>
      <c r="E2853" s="39"/>
      <c r="F2853" s="39"/>
    </row>
    <row r="2854">
      <c r="D2854" s="39"/>
      <c r="E2854" s="39"/>
      <c r="F2854" s="39"/>
    </row>
    <row r="2855">
      <c r="D2855" s="39"/>
      <c r="E2855" s="39"/>
      <c r="F2855" s="39"/>
    </row>
    <row r="2856">
      <c r="D2856" s="39"/>
      <c r="E2856" s="39"/>
      <c r="F2856" s="39"/>
    </row>
    <row r="2857">
      <c r="D2857" s="39"/>
      <c r="E2857" s="39"/>
      <c r="F2857" s="39"/>
    </row>
    <row r="2858">
      <c r="D2858" s="39"/>
      <c r="E2858" s="39"/>
      <c r="F2858" s="39"/>
    </row>
    <row r="2859">
      <c r="D2859" s="39"/>
      <c r="E2859" s="39"/>
      <c r="F2859" s="39"/>
    </row>
    <row r="2860">
      <c r="D2860" s="39"/>
      <c r="E2860" s="39"/>
      <c r="F2860" s="39"/>
    </row>
    <row r="2861">
      <c r="D2861" s="39"/>
      <c r="E2861" s="39"/>
      <c r="F2861" s="39"/>
    </row>
    <row r="2862">
      <c r="D2862" s="39"/>
      <c r="E2862" s="39"/>
      <c r="F2862" s="39"/>
    </row>
    <row r="2863">
      <c r="D2863" s="39"/>
      <c r="E2863" s="39"/>
      <c r="F2863" s="39"/>
    </row>
    <row r="2864">
      <c r="D2864" s="39"/>
      <c r="E2864" s="39"/>
      <c r="F2864" s="39"/>
    </row>
    <row r="2865">
      <c r="D2865" s="39"/>
      <c r="E2865" s="39"/>
      <c r="F2865" s="39"/>
    </row>
    <row r="2866">
      <c r="D2866" s="39"/>
      <c r="E2866" s="39"/>
      <c r="F2866" s="39"/>
    </row>
    <row r="2867">
      <c r="D2867" s="39"/>
      <c r="E2867" s="39"/>
      <c r="F2867" s="39"/>
    </row>
    <row r="2868">
      <c r="D2868" s="39"/>
      <c r="E2868" s="39"/>
      <c r="F2868" s="39"/>
    </row>
    <row r="2869">
      <c r="D2869" s="39"/>
      <c r="E2869" s="39"/>
      <c r="F2869" s="39"/>
    </row>
    <row r="2870">
      <c r="D2870" s="39"/>
      <c r="E2870" s="39"/>
      <c r="F2870" s="39"/>
    </row>
    <row r="2871">
      <c r="D2871" s="39"/>
      <c r="E2871" s="39"/>
      <c r="F2871" s="39"/>
    </row>
    <row r="2872">
      <c r="D2872" s="39"/>
      <c r="E2872" s="39"/>
      <c r="F2872" s="39"/>
    </row>
    <row r="2873">
      <c r="D2873" s="39"/>
      <c r="E2873" s="39"/>
      <c r="F2873" s="39"/>
    </row>
    <row r="2874">
      <c r="D2874" s="39"/>
      <c r="E2874" s="39"/>
      <c r="F2874" s="39"/>
    </row>
    <row r="2875">
      <c r="D2875" s="39"/>
      <c r="E2875" s="39"/>
      <c r="F2875" s="39"/>
    </row>
    <row r="2876">
      <c r="D2876" s="39"/>
      <c r="E2876" s="39"/>
      <c r="F2876" s="39"/>
    </row>
    <row r="2877">
      <c r="D2877" s="39"/>
      <c r="E2877" s="39"/>
      <c r="F2877" s="39"/>
    </row>
    <row r="2878">
      <c r="D2878" s="39"/>
      <c r="E2878" s="39"/>
      <c r="F2878" s="39"/>
    </row>
    <row r="2879">
      <c r="D2879" s="39"/>
      <c r="E2879" s="39"/>
      <c r="F2879" s="39"/>
    </row>
    <row r="2880">
      <c r="D2880" s="39"/>
      <c r="E2880" s="39"/>
      <c r="F2880" s="39"/>
    </row>
    <row r="2881">
      <c r="D2881" s="39"/>
      <c r="E2881" s="39"/>
      <c r="F2881" s="39"/>
    </row>
    <row r="2882">
      <c r="D2882" s="39"/>
      <c r="E2882" s="39"/>
      <c r="F2882" s="39"/>
    </row>
    <row r="2883">
      <c r="D2883" s="39"/>
      <c r="E2883" s="39"/>
      <c r="F2883" s="39"/>
    </row>
    <row r="2884">
      <c r="D2884" s="39"/>
      <c r="E2884" s="39"/>
      <c r="F2884" s="39"/>
    </row>
    <row r="2885">
      <c r="D2885" s="39"/>
      <c r="E2885" s="39"/>
      <c r="F2885" s="39"/>
    </row>
    <row r="2886">
      <c r="D2886" s="39"/>
      <c r="E2886" s="39"/>
      <c r="F2886" s="39"/>
    </row>
    <row r="2887">
      <c r="D2887" s="39"/>
      <c r="E2887" s="39"/>
      <c r="F2887" s="39"/>
    </row>
    <row r="2888">
      <c r="D2888" s="39"/>
      <c r="E2888" s="39"/>
      <c r="F2888" s="39"/>
    </row>
    <row r="2889">
      <c r="D2889" s="39"/>
      <c r="E2889" s="39"/>
      <c r="F2889" s="39"/>
    </row>
    <row r="2890">
      <c r="D2890" s="39"/>
      <c r="E2890" s="39"/>
      <c r="F2890" s="39"/>
    </row>
    <row r="2891">
      <c r="D2891" s="39"/>
      <c r="E2891" s="39"/>
      <c r="F2891" s="39"/>
    </row>
    <row r="2892">
      <c r="D2892" s="39"/>
      <c r="E2892" s="39"/>
      <c r="F2892" s="39"/>
    </row>
    <row r="2893">
      <c r="D2893" s="39"/>
      <c r="E2893" s="39"/>
      <c r="F2893" s="39"/>
    </row>
    <row r="2894">
      <c r="D2894" s="39"/>
      <c r="E2894" s="39"/>
      <c r="F2894" s="39"/>
    </row>
    <row r="2895">
      <c r="D2895" s="39"/>
      <c r="E2895" s="39"/>
      <c r="F2895" s="39"/>
    </row>
    <row r="2896">
      <c r="D2896" s="39"/>
      <c r="E2896" s="39"/>
      <c r="F2896" s="39"/>
    </row>
    <row r="2897">
      <c r="D2897" s="39"/>
      <c r="E2897" s="39"/>
      <c r="F2897" s="39"/>
    </row>
    <row r="2898">
      <c r="D2898" s="39"/>
      <c r="E2898" s="39"/>
      <c r="F2898" s="39"/>
    </row>
    <row r="2899">
      <c r="D2899" s="39"/>
      <c r="E2899" s="39"/>
      <c r="F2899" s="39"/>
    </row>
    <row r="2900">
      <c r="D2900" s="39"/>
      <c r="E2900" s="39"/>
      <c r="F2900" s="39"/>
    </row>
    <row r="2901">
      <c r="D2901" s="39"/>
      <c r="E2901" s="39"/>
      <c r="F2901" s="39"/>
    </row>
    <row r="2902">
      <c r="D2902" s="39"/>
      <c r="E2902" s="39"/>
      <c r="F2902" s="39"/>
    </row>
    <row r="2903">
      <c r="D2903" s="39"/>
      <c r="E2903" s="39"/>
      <c r="F2903" s="39"/>
    </row>
    <row r="2904">
      <c r="D2904" s="39"/>
      <c r="E2904" s="39"/>
      <c r="F2904" s="39"/>
    </row>
    <row r="2905">
      <c r="D2905" s="39"/>
      <c r="E2905" s="39"/>
      <c r="F2905" s="39"/>
    </row>
    <row r="2906">
      <c r="D2906" s="39"/>
      <c r="E2906" s="39"/>
      <c r="F2906" s="39"/>
    </row>
    <row r="2907">
      <c r="D2907" s="39"/>
      <c r="E2907" s="39"/>
      <c r="F2907" s="39"/>
    </row>
    <row r="2908">
      <c r="D2908" s="39"/>
      <c r="E2908" s="39"/>
      <c r="F2908" s="39"/>
    </row>
    <row r="2909">
      <c r="D2909" s="39"/>
      <c r="E2909" s="39"/>
      <c r="F2909" s="39"/>
    </row>
    <row r="2910">
      <c r="D2910" s="39"/>
      <c r="E2910" s="39"/>
      <c r="F2910" s="39"/>
    </row>
    <row r="2911">
      <c r="D2911" s="39"/>
      <c r="E2911" s="39"/>
      <c r="F2911" s="39"/>
    </row>
    <row r="2912">
      <c r="D2912" s="39"/>
      <c r="E2912" s="39"/>
      <c r="F2912" s="39"/>
    </row>
    <row r="2913">
      <c r="D2913" s="39"/>
      <c r="E2913" s="39"/>
      <c r="F2913" s="39"/>
    </row>
    <row r="2914">
      <c r="D2914" s="39"/>
      <c r="E2914" s="39"/>
      <c r="F2914" s="39"/>
    </row>
    <row r="2915">
      <c r="D2915" s="39"/>
      <c r="E2915" s="39"/>
      <c r="F2915" s="39"/>
    </row>
    <row r="2916">
      <c r="D2916" s="39"/>
      <c r="E2916" s="39"/>
      <c r="F2916" s="39"/>
    </row>
    <row r="2917">
      <c r="D2917" s="39"/>
      <c r="E2917" s="39"/>
      <c r="F2917" s="39"/>
    </row>
    <row r="2918">
      <c r="D2918" s="39"/>
      <c r="E2918" s="39"/>
      <c r="F2918" s="39"/>
    </row>
    <row r="2919">
      <c r="D2919" s="39"/>
      <c r="E2919" s="39"/>
      <c r="F2919" s="39"/>
    </row>
    <row r="2920">
      <c r="D2920" s="39"/>
      <c r="E2920" s="39"/>
      <c r="F2920" s="39"/>
    </row>
    <row r="2921">
      <c r="D2921" s="39"/>
      <c r="E2921" s="39"/>
      <c r="F2921" s="39"/>
    </row>
    <row r="2922">
      <c r="D2922" s="39"/>
      <c r="E2922" s="39"/>
      <c r="F2922" s="39"/>
    </row>
    <row r="2923">
      <c r="D2923" s="39"/>
      <c r="E2923" s="39"/>
      <c r="F2923" s="39"/>
    </row>
    <row r="2924">
      <c r="D2924" s="39"/>
      <c r="E2924" s="39"/>
      <c r="F2924" s="39"/>
    </row>
    <row r="2925">
      <c r="D2925" s="39"/>
      <c r="E2925" s="39"/>
      <c r="F2925" s="39"/>
    </row>
    <row r="2926">
      <c r="D2926" s="39"/>
      <c r="E2926" s="39"/>
      <c r="F2926" s="39"/>
    </row>
    <row r="2927">
      <c r="D2927" s="39"/>
      <c r="E2927" s="39"/>
      <c r="F2927" s="39"/>
    </row>
    <row r="2928">
      <c r="D2928" s="39"/>
      <c r="E2928" s="39"/>
      <c r="F2928" s="39"/>
    </row>
    <row r="2929">
      <c r="D2929" s="39"/>
      <c r="E2929" s="39"/>
      <c r="F2929" s="39"/>
    </row>
    <row r="2930">
      <c r="D2930" s="39"/>
      <c r="E2930" s="39"/>
      <c r="F2930" s="39"/>
    </row>
    <row r="2931">
      <c r="D2931" s="39"/>
      <c r="E2931" s="39"/>
      <c r="F2931" s="39"/>
    </row>
    <row r="2932">
      <c r="D2932" s="39"/>
      <c r="E2932" s="39"/>
      <c r="F2932" s="39"/>
    </row>
    <row r="2933">
      <c r="D2933" s="39"/>
      <c r="E2933" s="39"/>
      <c r="F2933" s="39"/>
    </row>
    <row r="2934">
      <c r="D2934" s="39"/>
      <c r="E2934" s="39"/>
      <c r="F2934" s="39"/>
    </row>
    <row r="2935">
      <c r="D2935" s="39"/>
      <c r="E2935" s="39"/>
      <c r="F2935" s="39"/>
    </row>
    <row r="2936">
      <c r="D2936" s="39"/>
      <c r="E2936" s="39"/>
      <c r="F2936" s="39"/>
    </row>
    <row r="2937">
      <c r="D2937" s="39"/>
      <c r="E2937" s="39"/>
      <c r="F2937" s="39"/>
    </row>
    <row r="2938">
      <c r="D2938" s="39"/>
      <c r="E2938" s="39"/>
      <c r="F2938" s="39"/>
    </row>
    <row r="2939">
      <c r="D2939" s="39"/>
      <c r="E2939" s="39"/>
      <c r="F2939" s="39"/>
    </row>
    <row r="2940">
      <c r="D2940" s="39"/>
      <c r="E2940" s="39"/>
      <c r="F2940" s="39"/>
    </row>
    <row r="2941">
      <c r="D2941" s="39"/>
      <c r="E2941" s="39"/>
      <c r="F2941" s="39"/>
    </row>
    <row r="2942">
      <c r="D2942" s="39"/>
      <c r="E2942" s="39"/>
      <c r="F2942" s="39"/>
    </row>
    <row r="2943">
      <c r="D2943" s="39"/>
      <c r="E2943" s="39"/>
      <c r="F2943" s="39"/>
    </row>
    <row r="2944">
      <c r="D2944" s="39"/>
      <c r="E2944" s="39"/>
      <c r="F2944" s="39"/>
    </row>
    <row r="2945">
      <c r="D2945" s="39"/>
      <c r="E2945" s="39"/>
      <c r="F2945" s="39"/>
    </row>
    <row r="2946">
      <c r="D2946" s="39"/>
      <c r="E2946" s="39"/>
      <c r="F2946" s="39"/>
    </row>
    <row r="2947">
      <c r="D2947" s="39"/>
      <c r="E2947" s="39"/>
      <c r="F2947" s="39"/>
    </row>
    <row r="2948">
      <c r="D2948" s="39"/>
      <c r="E2948" s="39"/>
      <c r="F2948" s="39"/>
    </row>
    <row r="2949">
      <c r="D2949" s="39"/>
      <c r="E2949" s="39"/>
      <c r="F2949" s="39"/>
    </row>
    <row r="2950">
      <c r="D2950" s="39"/>
      <c r="E2950" s="39"/>
      <c r="F2950" s="39"/>
    </row>
    <row r="2951">
      <c r="D2951" s="39"/>
      <c r="E2951" s="39"/>
      <c r="F2951" s="39"/>
    </row>
    <row r="2952">
      <c r="D2952" s="39"/>
      <c r="E2952" s="39"/>
      <c r="F2952" s="39"/>
    </row>
    <row r="2953">
      <c r="D2953" s="39"/>
      <c r="E2953" s="39"/>
      <c r="F2953" s="39"/>
    </row>
    <row r="2954">
      <c r="D2954" s="39"/>
      <c r="E2954" s="39"/>
      <c r="F2954" s="39"/>
    </row>
    <row r="2955">
      <c r="D2955" s="39"/>
      <c r="E2955" s="39"/>
      <c r="F2955" s="39"/>
    </row>
    <row r="2956">
      <c r="D2956" s="39"/>
      <c r="E2956" s="39"/>
      <c r="F2956" s="39"/>
    </row>
    <row r="2957">
      <c r="D2957" s="39"/>
      <c r="E2957" s="39"/>
      <c r="F2957" s="39"/>
    </row>
    <row r="2958">
      <c r="D2958" s="39"/>
      <c r="E2958" s="39"/>
      <c r="F2958" s="39"/>
    </row>
    <row r="2959">
      <c r="D2959" s="39"/>
      <c r="E2959" s="39"/>
      <c r="F2959" s="39"/>
    </row>
    <row r="2960">
      <c r="D2960" s="39"/>
      <c r="E2960" s="39"/>
      <c r="F2960" s="39"/>
    </row>
    <row r="2961">
      <c r="D2961" s="39"/>
      <c r="E2961" s="39"/>
      <c r="F2961" s="39"/>
    </row>
    <row r="2962">
      <c r="D2962" s="39"/>
      <c r="E2962" s="39"/>
      <c r="F2962" s="39"/>
    </row>
    <row r="2963">
      <c r="D2963" s="39"/>
      <c r="E2963" s="39"/>
      <c r="F2963" s="39"/>
    </row>
    <row r="2964">
      <c r="D2964" s="39"/>
      <c r="E2964" s="39"/>
      <c r="F2964" s="39"/>
    </row>
    <row r="2965">
      <c r="D2965" s="39"/>
      <c r="E2965" s="39"/>
      <c r="F2965" s="39"/>
    </row>
    <row r="2966">
      <c r="D2966" s="39"/>
      <c r="E2966" s="39"/>
      <c r="F2966" s="39"/>
    </row>
    <row r="2967">
      <c r="D2967" s="39"/>
      <c r="E2967" s="39"/>
      <c r="F2967" s="39"/>
    </row>
    <row r="2968">
      <c r="D2968" s="39"/>
      <c r="E2968" s="39"/>
      <c r="F2968" s="39"/>
    </row>
    <row r="2969">
      <c r="D2969" s="39"/>
      <c r="E2969" s="39"/>
      <c r="F2969" s="39"/>
    </row>
    <row r="2970">
      <c r="D2970" s="39"/>
      <c r="E2970" s="39"/>
      <c r="F2970" s="39"/>
    </row>
    <row r="2971">
      <c r="D2971" s="39"/>
      <c r="E2971" s="39"/>
      <c r="F2971" s="39"/>
    </row>
    <row r="2972">
      <c r="D2972" s="39"/>
      <c r="E2972" s="39"/>
      <c r="F2972" s="39"/>
    </row>
    <row r="2973">
      <c r="D2973" s="39"/>
      <c r="E2973" s="39"/>
      <c r="F2973" s="39"/>
    </row>
    <row r="2974">
      <c r="D2974" s="39"/>
      <c r="E2974" s="39"/>
      <c r="F2974" s="39"/>
    </row>
    <row r="2975">
      <c r="D2975" s="39"/>
      <c r="E2975" s="39"/>
      <c r="F2975" s="39"/>
    </row>
    <row r="2976">
      <c r="D2976" s="39"/>
      <c r="E2976" s="39"/>
      <c r="F2976" s="39"/>
    </row>
    <row r="2977">
      <c r="D2977" s="39"/>
      <c r="E2977" s="39"/>
      <c r="F2977" s="39"/>
    </row>
    <row r="2978">
      <c r="D2978" s="39"/>
      <c r="E2978" s="39"/>
      <c r="F2978" s="39"/>
    </row>
    <row r="2979">
      <c r="D2979" s="39"/>
      <c r="E2979" s="39"/>
      <c r="F2979" s="39"/>
    </row>
    <row r="2980">
      <c r="D2980" s="39"/>
      <c r="E2980" s="39"/>
      <c r="F2980" s="39"/>
    </row>
    <row r="2981">
      <c r="D2981" s="39"/>
      <c r="E2981" s="39"/>
      <c r="F2981" s="39"/>
    </row>
    <row r="2982">
      <c r="D2982" s="39"/>
      <c r="E2982" s="39"/>
      <c r="F2982" s="39"/>
    </row>
    <row r="2983">
      <c r="D2983" s="39"/>
      <c r="E2983" s="39"/>
      <c r="F2983" s="39"/>
    </row>
    <row r="2984">
      <c r="D2984" s="39"/>
      <c r="E2984" s="39"/>
      <c r="F2984" s="39"/>
    </row>
    <row r="2985">
      <c r="D2985" s="39"/>
      <c r="E2985" s="39"/>
      <c r="F2985" s="39"/>
    </row>
    <row r="2986">
      <c r="D2986" s="39"/>
      <c r="E2986" s="39"/>
      <c r="F2986" s="39"/>
    </row>
    <row r="2987">
      <c r="D2987" s="39"/>
      <c r="E2987" s="39"/>
      <c r="F2987" s="39"/>
    </row>
    <row r="2988">
      <c r="D2988" s="39"/>
      <c r="E2988" s="39"/>
      <c r="F2988" s="39"/>
    </row>
    <row r="2989">
      <c r="D2989" s="39"/>
      <c r="E2989" s="39"/>
      <c r="F2989" s="39"/>
    </row>
    <row r="2990">
      <c r="D2990" s="39"/>
      <c r="E2990" s="39"/>
      <c r="F2990" s="39"/>
    </row>
    <row r="2991">
      <c r="D2991" s="39"/>
      <c r="E2991" s="39"/>
      <c r="F2991" s="39"/>
    </row>
    <row r="2992">
      <c r="D2992" s="39"/>
      <c r="E2992" s="39"/>
      <c r="F2992" s="39"/>
    </row>
    <row r="2993">
      <c r="D2993" s="39"/>
      <c r="E2993" s="39"/>
      <c r="F2993" s="39"/>
    </row>
    <row r="2994">
      <c r="D2994" s="39"/>
      <c r="E2994" s="39"/>
      <c r="F2994" s="39"/>
    </row>
    <row r="2995">
      <c r="D2995" s="39"/>
      <c r="E2995" s="39"/>
      <c r="F2995" s="39"/>
    </row>
    <row r="2996">
      <c r="D2996" s="39"/>
      <c r="E2996" s="39"/>
      <c r="F2996" s="39"/>
    </row>
    <row r="2997">
      <c r="D2997" s="39"/>
      <c r="E2997" s="39"/>
      <c r="F2997" s="39"/>
    </row>
    <row r="2998">
      <c r="D2998" s="39"/>
      <c r="E2998" s="39"/>
      <c r="F2998" s="39"/>
    </row>
    <row r="2999">
      <c r="D2999" s="39"/>
      <c r="E2999" s="39"/>
      <c r="F2999" s="39"/>
    </row>
    <row r="3000">
      <c r="D3000" s="39"/>
      <c r="E3000" s="39"/>
      <c r="F3000" s="39"/>
    </row>
    <row r="3001">
      <c r="D3001" s="39"/>
      <c r="E3001" s="39"/>
      <c r="F3001" s="39"/>
    </row>
    <row r="3002">
      <c r="D3002" s="39"/>
      <c r="E3002" s="39"/>
      <c r="F3002" s="39"/>
    </row>
    <row r="3003">
      <c r="D3003" s="39"/>
      <c r="E3003" s="39"/>
      <c r="F3003" s="39"/>
    </row>
    <row r="3004">
      <c r="D3004" s="39"/>
      <c r="E3004" s="39"/>
      <c r="F3004" s="39"/>
    </row>
    <row r="3005">
      <c r="D3005" s="39"/>
      <c r="E3005" s="39"/>
      <c r="F3005" s="39"/>
    </row>
    <row r="3006">
      <c r="D3006" s="39"/>
      <c r="E3006" s="39"/>
      <c r="F3006" s="39"/>
    </row>
    <row r="3007">
      <c r="D3007" s="39"/>
      <c r="E3007" s="39"/>
      <c r="F3007" s="39"/>
    </row>
    <row r="3008">
      <c r="D3008" s="39"/>
      <c r="E3008" s="39"/>
      <c r="F3008" s="39"/>
    </row>
    <row r="3009">
      <c r="D3009" s="39"/>
      <c r="E3009" s="39"/>
      <c r="F3009" s="39"/>
    </row>
    <row r="3010">
      <c r="D3010" s="39"/>
      <c r="E3010" s="39"/>
      <c r="F3010" s="39"/>
    </row>
    <row r="3011">
      <c r="D3011" s="39"/>
      <c r="E3011" s="39"/>
      <c r="F3011" s="39"/>
    </row>
    <row r="3012">
      <c r="D3012" s="39"/>
      <c r="E3012" s="39"/>
      <c r="F3012" s="39"/>
    </row>
    <row r="3013">
      <c r="D3013" s="39"/>
      <c r="E3013" s="39"/>
      <c r="F3013" s="39"/>
    </row>
    <row r="3014">
      <c r="D3014" s="39"/>
      <c r="E3014" s="39"/>
      <c r="F3014" s="39"/>
    </row>
    <row r="3015">
      <c r="D3015" s="39"/>
      <c r="E3015" s="39"/>
      <c r="F3015" s="39"/>
    </row>
    <row r="3016">
      <c r="D3016" s="39"/>
      <c r="E3016" s="39"/>
      <c r="F3016" s="39"/>
    </row>
    <row r="3017">
      <c r="D3017" s="39"/>
      <c r="E3017" s="39"/>
      <c r="F3017" s="39"/>
    </row>
    <row r="3018">
      <c r="D3018" s="39"/>
      <c r="E3018" s="39"/>
      <c r="F3018" s="39"/>
    </row>
    <row r="3019">
      <c r="D3019" s="39"/>
      <c r="E3019" s="39"/>
      <c r="F3019" s="39"/>
    </row>
    <row r="3020">
      <c r="D3020" s="39"/>
      <c r="E3020" s="39"/>
      <c r="F3020" s="39"/>
    </row>
    <row r="3021">
      <c r="D3021" s="39"/>
      <c r="E3021" s="39"/>
      <c r="F3021" s="39"/>
    </row>
    <row r="3022">
      <c r="D3022" s="39"/>
      <c r="E3022" s="39"/>
      <c r="F3022" s="39"/>
    </row>
    <row r="3023">
      <c r="D3023" s="39"/>
      <c r="E3023" s="39"/>
      <c r="F3023" s="39"/>
    </row>
    <row r="3024">
      <c r="D3024" s="39"/>
      <c r="E3024" s="39"/>
      <c r="F3024" s="39"/>
    </row>
    <row r="3025">
      <c r="D3025" s="39"/>
      <c r="E3025" s="39"/>
      <c r="F3025" s="39"/>
    </row>
    <row r="3026">
      <c r="D3026" s="39"/>
      <c r="E3026" s="39"/>
      <c r="F3026" s="39"/>
    </row>
    <row r="3027">
      <c r="D3027" s="39"/>
      <c r="E3027" s="39"/>
      <c r="F3027" s="39"/>
    </row>
    <row r="3028">
      <c r="D3028" s="39"/>
      <c r="E3028" s="39"/>
      <c r="F3028" s="39"/>
    </row>
    <row r="3029">
      <c r="D3029" s="39"/>
      <c r="E3029" s="39"/>
      <c r="F3029" s="39"/>
    </row>
    <row r="3030">
      <c r="D3030" s="39"/>
      <c r="E3030" s="39"/>
      <c r="F3030" s="39"/>
    </row>
    <row r="3031">
      <c r="D3031" s="39"/>
      <c r="E3031" s="39"/>
      <c r="F3031" s="39"/>
    </row>
    <row r="3032">
      <c r="D3032" s="39"/>
      <c r="E3032" s="39"/>
      <c r="F3032" s="39"/>
    </row>
    <row r="3033">
      <c r="D3033" s="39"/>
      <c r="E3033" s="39"/>
      <c r="F3033" s="39"/>
    </row>
    <row r="3034">
      <c r="D3034" s="39"/>
      <c r="E3034" s="39"/>
      <c r="F3034" s="39"/>
    </row>
    <row r="3035">
      <c r="D3035" s="39"/>
      <c r="E3035" s="39"/>
      <c r="F3035" s="39"/>
    </row>
    <row r="3036">
      <c r="D3036" s="39"/>
      <c r="E3036" s="39"/>
      <c r="F3036" s="39"/>
    </row>
    <row r="3037">
      <c r="D3037" s="39"/>
      <c r="E3037" s="39"/>
      <c r="F3037" s="39"/>
    </row>
    <row r="3038">
      <c r="D3038" s="39"/>
      <c r="E3038" s="39"/>
      <c r="F3038" s="39"/>
    </row>
    <row r="3039">
      <c r="D3039" s="39"/>
      <c r="E3039" s="39"/>
      <c r="F3039" s="39"/>
    </row>
    <row r="3040">
      <c r="D3040" s="39"/>
      <c r="E3040" s="39"/>
      <c r="F3040" s="39"/>
    </row>
    <row r="3041">
      <c r="D3041" s="39"/>
      <c r="E3041" s="39"/>
      <c r="F3041" s="39"/>
    </row>
    <row r="3042">
      <c r="D3042" s="39"/>
      <c r="E3042" s="39"/>
      <c r="F3042" s="39"/>
    </row>
    <row r="3043">
      <c r="D3043" s="39"/>
      <c r="E3043" s="39"/>
      <c r="F3043" s="39"/>
    </row>
    <row r="3044">
      <c r="D3044" s="39"/>
      <c r="E3044" s="39"/>
      <c r="F3044" s="39"/>
    </row>
    <row r="3045">
      <c r="D3045" s="39"/>
      <c r="E3045" s="39"/>
      <c r="F3045" s="39"/>
    </row>
    <row r="3046">
      <c r="D3046" s="39"/>
      <c r="E3046" s="39"/>
      <c r="F3046" s="39"/>
    </row>
    <row r="3047">
      <c r="D3047" s="39"/>
      <c r="E3047" s="39"/>
      <c r="F3047" s="39"/>
    </row>
    <row r="3048">
      <c r="D3048" s="39"/>
      <c r="E3048" s="39"/>
      <c r="F3048" s="39"/>
    </row>
    <row r="3049">
      <c r="D3049" s="39"/>
      <c r="E3049" s="39"/>
      <c r="F3049" s="39"/>
    </row>
    <row r="3050">
      <c r="D3050" s="39"/>
      <c r="E3050" s="39"/>
      <c r="F3050" s="39"/>
    </row>
    <row r="3051">
      <c r="D3051" s="39"/>
      <c r="E3051" s="39"/>
      <c r="F3051" s="39"/>
    </row>
    <row r="3052">
      <c r="D3052" s="39"/>
      <c r="E3052" s="39"/>
      <c r="F3052" s="39"/>
    </row>
    <row r="3053">
      <c r="D3053" s="39"/>
      <c r="E3053" s="39"/>
      <c r="F3053" s="39"/>
    </row>
    <row r="3054">
      <c r="D3054" s="39"/>
      <c r="E3054" s="39"/>
      <c r="F3054" s="39"/>
    </row>
    <row r="3055">
      <c r="D3055" s="39"/>
      <c r="E3055" s="39"/>
      <c r="F3055" s="39"/>
    </row>
    <row r="3056">
      <c r="D3056" s="39"/>
      <c r="E3056" s="39"/>
      <c r="F3056" s="39"/>
    </row>
    <row r="3057">
      <c r="D3057" s="39"/>
      <c r="E3057" s="39"/>
      <c r="F3057" s="39"/>
    </row>
    <row r="3058">
      <c r="D3058" s="39"/>
      <c r="E3058" s="39"/>
      <c r="F3058" s="39"/>
    </row>
    <row r="3059">
      <c r="D3059" s="39"/>
      <c r="E3059" s="39"/>
      <c r="F3059" s="39"/>
    </row>
    <row r="3060">
      <c r="D3060" s="39"/>
      <c r="E3060" s="39"/>
      <c r="F3060" s="39"/>
    </row>
    <row r="3061">
      <c r="D3061" s="39"/>
      <c r="E3061" s="39"/>
      <c r="F3061" s="39"/>
    </row>
    <row r="3062">
      <c r="D3062" s="39"/>
      <c r="E3062" s="39"/>
      <c r="F3062" s="39"/>
    </row>
    <row r="3063">
      <c r="D3063" s="39"/>
      <c r="E3063" s="39"/>
      <c r="F3063" s="39"/>
    </row>
    <row r="3064">
      <c r="D3064" s="39"/>
      <c r="E3064" s="39"/>
      <c r="F3064" s="39"/>
    </row>
    <row r="3065">
      <c r="D3065" s="39"/>
      <c r="E3065" s="39"/>
      <c r="F3065" s="39"/>
    </row>
    <row r="3066">
      <c r="D3066" s="39"/>
      <c r="E3066" s="39"/>
      <c r="F3066" s="39"/>
    </row>
    <row r="3067">
      <c r="D3067" s="39"/>
      <c r="E3067" s="39"/>
      <c r="F3067" s="39"/>
    </row>
    <row r="3068">
      <c r="D3068" s="39"/>
      <c r="E3068" s="39"/>
      <c r="F3068" s="39"/>
    </row>
    <row r="3069">
      <c r="D3069" s="39"/>
      <c r="E3069" s="39"/>
      <c r="F3069" s="39"/>
    </row>
    <row r="3070">
      <c r="D3070" s="39"/>
      <c r="E3070" s="39"/>
      <c r="F3070" s="39"/>
    </row>
    <row r="3071">
      <c r="D3071" s="39"/>
      <c r="E3071" s="39"/>
      <c r="F3071" s="39"/>
    </row>
    <row r="3072">
      <c r="D3072" s="39"/>
      <c r="E3072" s="39"/>
      <c r="F3072" s="39"/>
    </row>
    <row r="3073">
      <c r="D3073" s="39"/>
      <c r="E3073" s="39"/>
      <c r="F3073" s="39"/>
    </row>
    <row r="3074">
      <c r="D3074" s="39"/>
      <c r="E3074" s="39"/>
      <c r="F3074" s="39"/>
    </row>
    <row r="3075">
      <c r="D3075" s="39"/>
      <c r="E3075" s="39"/>
      <c r="F3075" s="39"/>
    </row>
    <row r="3076">
      <c r="D3076" s="39"/>
      <c r="E3076" s="39"/>
      <c r="F3076" s="39"/>
    </row>
    <row r="3077">
      <c r="D3077" s="39"/>
      <c r="E3077" s="39"/>
      <c r="F3077" s="39"/>
    </row>
    <row r="3078">
      <c r="D3078" s="39"/>
      <c r="E3078" s="39"/>
      <c r="F3078" s="39"/>
    </row>
    <row r="3079">
      <c r="D3079" s="39"/>
      <c r="E3079" s="39"/>
      <c r="F3079" s="39"/>
    </row>
    <row r="3080">
      <c r="D3080" s="39"/>
      <c r="E3080" s="39"/>
      <c r="F3080" s="39"/>
    </row>
    <row r="3081">
      <c r="D3081" s="39"/>
      <c r="E3081" s="39"/>
      <c r="F3081" s="39"/>
    </row>
    <row r="3082">
      <c r="D3082" s="39"/>
      <c r="E3082" s="39"/>
      <c r="F3082" s="39"/>
    </row>
    <row r="3083">
      <c r="D3083" s="39"/>
      <c r="E3083" s="39"/>
      <c r="F3083" s="39"/>
    </row>
    <row r="3084">
      <c r="D3084" s="39"/>
      <c r="E3084" s="39"/>
      <c r="F3084" s="39"/>
    </row>
    <row r="3085">
      <c r="D3085" s="39"/>
      <c r="E3085" s="39"/>
      <c r="F3085" s="39"/>
    </row>
    <row r="3086">
      <c r="D3086" s="39"/>
      <c r="E3086" s="39"/>
      <c r="F3086" s="39"/>
    </row>
    <row r="3087">
      <c r="D3087" s="39"/>
      <c r="E3087" s="39"/>
      <c r="F3087" s="39"/>
    </row>
    <row r="3088">
      <c r="D3088" s="39"/>
      <c r="E3088" s="39"/>
      <c r="F3088" s="39"/>
    </row>
    <row r="3089">
      <c r="D3089" s="39"/>
      <c r="E3089" s="39"/>
      <c r="F3089" s="39"/>
    </row>
    <row r="3090">
      <c r="D3090" s="39"/>
      <c r="E3090" s="39"/>
      <c r="F3090" s="39"/>
    </row>
    <row r="3091">
      <c r="D3091" s="39"/>
      <c r="E3091" s="39"/>
      <c r="F3091" s="39"/>
    </row>
    <row r="3092">
      <c r="D3092" s="39"/>
      <c r="E3092" s="39"/>
      <c r="F3092" s="39"/>
    </row>
    <row r="3093">
      <c r="D3093" s="39"/>
      <c r="E3093" s="39"/>
      <c r="F3093" s="39"/>
    </row>
    <row r="3094">
      <c r="D3094" s="39"/>
      <c r="E3094" s="39"/>
      <c r="F3094" s="39"/>
    </row>
    <row r="3095">
      <c r="D3095" s="39"/>
      <c r="E3095" s="39"/>
      <c r="F3095" s="39"/>
    </row>
    <row r="3096">
      <c r="D3096" s="39"/>
      <c r="E3096" s="39"/>
      <c r="F3096" s="39"/>
    </row>
    <row r="3097">
      <c r="D3097" s="39"/>
      <c r="E3097" s="39"/>
      <c r="F3097" s="39"/>
    </row>
    <row r="3098">
      <c r="D3098" s="39"/>
      <c r="E3098" s="39"/>
      <c r="F3098" s="39"/>
    </row>
    <row r="3099">
      <c r="D3099" s="39"/>
      <c r="E3099" s="39"/>
      <c r="F3099" s="39"/>
    </row>
    <row r="3100">
      <c r="D3100" s="39"/>
      <c r="E3100" s="39"/>
      <c r="F3100" s="39"/>
    </row>
    <row r="3101">
      <c r="D3101" s="39"/>
      <c r="E3101" s="39"/>
      <c r="F3101" s="39"/>
    </row>
    <row r="3102">
      <c r="D3102" s="39"/>
      <c r="E3102" s="39"/>
      <c r="F3102" s="39"/>
    </row>
    <row r="3103">
      <c r="D3103" s="39"/>
      <c r="E3103" s="39"/>
      <c r="F3103" s="39"/>
    </row>
    <row r="3104">
      <c r="D3104" s="39"/>
      <c r="E3104" s="39"/>
      <c r="F3104" s="39"/>
    </row>
    <row r="3105">
      <c r="D3105" s="39"/>
      <c r="E3105" s="39"/>
      <c r="F3105" s="39"/>
    </row>
    <row r="3106">
      <c r="D3106" s="39"/>
      <c r="E3106" s="39"/>
      <c r="F3106" s="39"/>
    </row>
    <row r="3107">
      <c r="D3107" s="39"/>
      <c r="E3107" s="39"/>
      <c r="F3107" s="39"/>
    </row>
    <row r="3108">
      <c r="D3108" s="39"/>
      <c r="E3108" s="39"/>
      <c r="F3108" s="39"/>
    </row>
    <row r="3109">
      <c r="D3109" s="39"/>
      <c r="E3109" s="39"/>
      <c r="F3109" s="39"/>
    </row>
    <row r="3110">
      <c r="D3110" s="39"/>
      <c r="E3110" s="39"/>
      <c r="F3110" s="39"/>
    </row>
    <row r="3111">
      <c r="D3111" s="39"/>
      <c r="E3111" s="39"/>
      <c r="F3111" s="39"/>
    </row>
    <row r="3112">
      <c r="D3112" s="39"/>
      <c r="E3112" s="39"/>
      <c r="F3112" s="39"/>
    </row>
    <row r="3113">
      <c r="D3113" s="39"/>
      <c r="E3113" s="39"/>
      <c r="F3113" s="39"/>
    </row>
    <row r="3114">
      <c r="D3114" s="39"/>
      <c r="E3114" s="39"/>
      <c r="F3114" s="39"/>
    </row>
    <row r="3115">
      <c r="D3115" s="39"/>
      <c r="E3115" s="39"/>
      <c r="F3115" s="39"/>
    </row>
    <row r="3116">
      <c r="D3116" s="39"/>
      <c r="E3116" s="39"/>
      <c r="F3116" s="39"/>
    </row>
    <row r="3117">
      <c r="D3117" s="39"/>
      <c r="E3117" s="39"/>
      <c r="F3117" s="39"/>
    </row>
    <row r="3118">
      <c r="D3118" s="39"/>
      <c r="E3118" s="39"/>
      <c r="F3118" s="39"/>
    </row>
    <row r="3119">
      <c r="D3119" s="39"/>
      <c r="E3119" s="39"/>
      <c r="F3119" s="39"/>
    </row>
    <row r="3120">
      <c r="D3120" s="39"/>
      <c r="E3120" s="39"/>
      <c r="F3120" s="39"/>
    </row>
    <row r="3121">
      <c r="D3121" s="39"/>
      <c r="E3121" s="39"/>
      <c r="F3121" s="39"/>
    </row>
    <row r="3122">
      <c r="D3122" s="39"/>
      <c r="E3122" s="39"/>
      <c r="F3122" s="39"/>
    </row>
    <row r="3123">
      <c r="D3123" s="39"/>
      <c r="E3123" s="39"/>
      <c r="F3123" s="39"/>
    </row>
    <row r="3124">
      <c r="D3124" s="39"/>
      <c r="E3124" s="39"/>
      <c r="F3124" s="39"/>
    </row>
    <row r="3125">
      <c r="D3125" s="39"/>
      <c r="E3125" s="39"/>
      <c r="F3125" s="39"/>
    </row>
    <row r="3126">
      <c r="D3126" s="39"/>
      <c r="E3126" s="39"/>
      <c r="F3126" s="39"/>
    </row>
    <row r="3127">
      <c r="D3127" s="39"/>
      <c r="E3127" s="39"/>
      <c r="F3127" s="39"/>
    </row>
    <row r="3128">
      <c r="D3128" s="39"/>
      <c r="E3128" s="39"/>
      <c r="F3128" s="39"/>
    </row>
    <row r="3129">
      <c r="D3129" s="39"/>
      <c r="E3129" s="39"/>
      <c r="F3129" s="39"/>
    </row>
    <row r="3130">
      <c r="D3130" s="39"/>
      <c r="E3130" s="39"/>
      <c r="F3130" s="39"/>
    </row>
    <row r="3131">
      <c r="D3131" s="39"/>
      <c r="E3131" s="39"/>
      <c r="F3131" s="39"/>
    </row>
    <row r="3132">
      <c r="D3132" s="39"/>
      <c r="E3132" s="39"/>
      <c r="F3132" s="39"/>
    </row>
    <row r="3133">
      <c r="D3133" s="39"/>
      <c r="E3133" s="39"/>
      <c r="F3133" s="39"/>
    </row>
    <row r="3134">
      <c r="D3134" s="39"/>
      <c r="E3134" s="39"/>
      <c r="F3134" s="39"/>
    </row>
    <row r="3135">
      <c r="D3135" s="39"/>
      <c r="E3135" s="39"/>
      <c r="F3135" s="39"/>
    </row>
    <row r="3136">
      <c r="D3136" s="39"/>
      <c r="E3136" s="39"/>
      <c r="F3136" s="39"/>
    </row>
    <row r="3137">
      <c r="D3137" s="39"/>
      <c r="E3137" s="39"/>
      <c r="F3137" s="39"/>
    </row>
    <row r="3138">
      <c r="D3138" s="39"/>
      <c r="E3138" s="39"/>
      <c r="F3138" s="39"/>
    </row>
    <row r="3139">
      <c r="D3139" s="39"/>
      <c r="E3139" s="39"/>
      <c r="F3139" s="39"/>
    </row>
    <row r="3140">
      <c r="D3140" s="39"/>
      <c r="E3140" s="39"/>
      <c r="F3140" s="39"/>
    </row>
    <row r="3141">
      <c r="D3141" s="39"/>
      <c r="E3141" s="39"/>
      <c r="F3141" s="39"/>
    </row>
    <row r="3142">
      <c r="D3142" s="39"/>
      <c r="E3142" s="39"/>
      <c r="F3142" s="39"/>
    </row>
    <row r="3143">
      <c r="D3143" s="39"/>
      <c r="E3143" s="39"/>
      <c r="F3143" s="39"/>
    </row>
    <row r="3144">
      <c r="D3144" s="39"/>
      <c r="E3144" s="39"/>
      <c r="F3144" s="39"/>
    </row>
    <row r="3145">
      <c r="D3145" s="39"/>
      <c r="E3145" s="39"/>
      <c r="F3145" s="39"/>
    </row>
    <row r="3146">
      <c r="D3146" s="39"/>
      <c r="E3146" s="39"/>
      <c r="F3146" s="39"/>
    </row>
    <row r="3147">
      <c r="D3147" s="39"/>
      <c r="E3147" s="39"/>
      <c r="F3147" s="39"/>
    </row>
    <row r="3148">
      <c r="D3148" s="39"/>
      <c r="E3148" s="39"/>
      <c r="F3148" s="39"/>
    </row>
    <row r="3149">
      <c r="D3149" s="39"/>
      <c r="E3149" s="39"/>
      <c r="F3149" s="39"/>
    </row>
    <row r="3150">
      <c r="D3150" s="39"/>
      <c r="E3150" s="39"/>
      <c r="F3150" s="39"/>
    </row>
    <row r="3151">
      <c r="D3151" s="39"/>
      <c r="E3151" s="39"/>
      <c r="F3151" s="39"/>
    </row>
    <row r="3152">
      <c r="D3152" s="39"/>
      <c r="E3152" s="39"/>
      <c r="F3152" s="39"/>
    </row>
    <row r="3153">
      <c r="D3153" s="39"/>
      <c r="E3153" s="39"/>
      <c r="F3153" s="39"/>
    </row>
    <row r="3154">
      <c r="D3154" s="39"/>
      <c r="E3154" s="39"/>
      <c r="F3154" s="39"/>
    </row>
    <row r="3155">
      <c r="D3155" s="39"/>
      <c r="E3155" s="39"/>
      <c r="F3155" s="39"/>
    </row>
    <row r="3156">
      <c r="D3156" s="39"/>
      <c r="E3156" s="39"/>
      <c r="F3156" s="39"/>
    </row>
    <row r="3157">
      <c r="D3157" s="39"/>
      <c r="E3157" s="39"/>
      <c r="F3157" s="39"/>
    </row>
    <row r="3158">
      <c r="D3158" s="39"/>
      <c r="E3158" s="39"/>
      <c r="F3158" s="39"/>
    </row>
    <row r="3159">
      <c r="D3159" s="39"/>
      <c r="E3159" s="39"/>
      <c r="F3159" s="39"/>
    </row>
    <row r="3160">
      <c r="D3160" s="39"/>
      <c r="E3160" s="39"/>
      <c r="F3160" s="39"/>
    </row>
    <row r="3161">
      <c r="D3161" s="39"/>
      <c r="E3161" s="39"/>
      <c r="F3161" s="39"/>
    </row>
    <row r="3162">
      <c r="D3162" s="39"/>
      <c r="E3162" s="39"/>
      <c r="F3162" s="39"/>
    </row>
    <row r="3163">
      <c r="D3163" s="39"/>
      <c r="E3163" s="39"/>
      <c r="F3163" s="39"/>
    </row>
    <row r="3164">
      <c r="D3164" s="39"/>
      <c r="E3164" s="39"/>
      <c r="F3164" s="39"/>
    </row>
    <row r="3165">
      <c r="D3165" s="39"/>
      <c r="E3165" s="39"/>
      <c r="F3165" s="39"/>
    </row>
    <row r="3166">
      <c r="D3166" s="39"/>
      <c r="E3166" s="39"/>
      <c r="F3166" s="39"/>
    </row>
    <row r="3167">
      <c r="D3167" s="39"/>
      <c r="E3167" s="39"/>
      <c r="F3167" s="39"/>
    </row>
    <row r="3168">
      <c r="D3168" s="39"/>
      <c r="E3168" s="39"/>
      <c r="F3168" s="39"/>
    </row>
    <row r="3169">
      <c r="D3169" s="39"/>
      <c r="E3169" s="39"/>
      <c r="F3169" s="39"/>
    </row>
    <row r="3170">
      <c r="D3170" s="39"/>
      <c r="E3170" s="39"/>
      <c r="F3170" s="39"/>
    </row>
    <row r="3171">
      <c r="D3171" s="39"/>
      <c r="E3171" s="39"/>
      <c r="F3171" s="39"/>
    </row>
    <row r="3172">
      <c r="D3172" s="39"/>
      <c r="E3172" s="39"/>
      <c r="F3172" s="39"/>
    </row>
    <row r="3173">
      <c r="D3173" s="39"/>
      <c r="E3173" s="39"/>
      <c r="F3173" s="39"/>
    </row>
    <row r="3174">
      <c r="D3174" s="39"/>
      <c r="E3174" s="39"/>
      <c r="F3174" s="39"/>
    </row>
    <row r="3175">
      <c r="D3175" s="39"/>
      <c r="E3175" s="39"/>
      <c r="F3175" s="39"/>
    </row>
    <row r="3176">
      <c r="D3176" s="39"/>
      <c r="E3176" s="39"/>
      <c r="F3176" s="39"/>
    </row>
    <row r="3177">
      <c r="D3177" s="39"/>
      <c r="E3177" s="39"/>
      <c r="F3177" s="39"/>
    </row>
    <row r="3178">
      <c r="D3178" s="39"/>
      <c r="E3178" s="39"/>
      <c r="F3178" s="39"/>
    </row>
    <row r="3179">
      <c r="D3179" s="39"/>
      <c r="E3179" s="39"/>
      <c r="F3179" s="39"/>
    </row>
    <row r="3180">
      <c r="D3180" s="39"/>
      <c r="E3180" s="39"/>
      <c r="F3180" s="39"/>
    </row>
    <row r="3181">
      <c r="D3181" s="39"/>
      <c r="E3181" s="39"/>
      <c r="F3181" s="39"/>
    </row>
    <row r="3182">
      <c r="D3182" s="39"/>
      <c r="E3182" s="39"/>
      <c r="F3182" s="39"/>
    </row>
    <row r="3183">
      <c r="D3183" s="39"/>
      <c r="E3183" s="39"/>
      <c r="F3183" s="39"/>
    </row>
    <row r="3184">
      <c r="D3184" s="39"/>
      <c r="E3184" s="39"/>
      <c r="F3184" s="39"/>
    </row>
    <row r="3185">
      <c r="D3185" s="39"/>
      <c r="E3185" s="39"/>
      <c r="F3185" s="39"/>
    </row>
    <row r="3186">
      <c r="D3186" s="39"/>
      <c r="E3186" s="39"/>
      <c r="F3186" s="39"/>
    </row>
    <row r="3187">
      <c r="D3187" s="39"/>
      <c r="E3187" s="39"/>
      <c r="F3187" s="39"/>
    </row>
    <row r="3188">
      <c r="D3188" s="39"/>
      <c r="E3188" s="39"/>
      <c r="F3188" s="39"/>
    </row>
    <row r="3189">
      <c r="D3189" s="39"/>
      <c r="E3189" s="39"/>
      <c r="F3189" s="39"/>
    </row>
    <row r="3190">
      <c r="D3190" s="39"/>
      <c r="E3190" s="39"/>
      <c r="F3190" s="39"/>
    </row>
    <row r="3191">
      <c r="D3191" s="39"/>
      <c r="E3191" s="39"/>
      <c r="F3191" s="39"/>
    </row>
    <row r="3192">
      <c r="D3192" s="39"/>
      <c r="E3192" s="39"/>
      <c r="F3192" s="39"/>
    </row>
    <row r="3193">
      <c r="D3193" s="39"/>
      <c r="E3193" s="39"/>
      <c r="F3193" s="39"/>
    </row>
    <row r="3194">
      <c r="D3194" s="39"/>
      <c r="E3194" s="39"/>
      <c r="F3194" s="39"/>
    </row>
    <row r="3195">
      <c r="D3195" s="39"/>
      <c r="E3195" s="39"/>
      <c r="F3195" s="39"/>
    </row>
    <row r="3196">
      <c r="D3196" s="39"/>
      <c r="E3196" s="39"/>
      <c r="F3196" s="39"/>
    </row>
    <row r="3197">
      <c r="D3197" s="39"/>
      <c r="E3197" s="39"/>
      <c r="F3197" s="39"/>
    </row>
    <row r="3198">
      <c r="D3198" s="39"/>
      <c r="E3198" s="39"/>
      <c r="F3198" s="39"/>
    </row>
    <row r="3199">
      <c r="D3199" s="39"/>
      <c r="E3199" s="39"/>
      <c r="F3199" s="39"/>
    </row>
    <row r="3200">
      <c r="D3200" s="39"/>
      <c r="E3200" s="39"/>
      <c r="F3200" s="39"/>
    </row>
    <row r="3201">
      <c r="D3201" s="39"/>
      <c r="E3201" s="39"/>
      <c r="F3201" s="39"/>
    </row>
    <row r="3202">
      <c r="D3202" s="39"/>
      <c r="E3202" s="39"/>
      <c r="F3202" s="39"/>
    </row>
    <row r="3203">
      <c r="D3203" s="39"/>
      <c r="E3203" s="39"/>
      <c r="F3203" s="39"/>
    </row>
    <row r="3204">
      <c r="D3204" s="39"/>
      <c r="E3204" s="39"/>
      <c r="F3204" s="39"/>
    </row>
    <row r="3205">
      <c r="D3205" s="39"/>
      <c r="E3205" s="39"/>
      <c r="F3205" s="39"/>
    </row>
    <row r="3206">
      <c r="D3206" s="39"/>
      <c r="E3206" s="39"/>
      <c r="F3206" s="39"/>
    </row>
    <row r="3207">
      <c r="D3207" s="39"/>
      <c r="E3207" s="39"/>
      <c r="F3207" s="39"/>
    </row>
    <row r="3208">
      <c r="D3208" s="39"/>
      <c r="E3208" s="39"/>
      <c r="F3208" s="39"/>
    </row>
    <row r="3209">
      <c r="D3209" s="39"/>
      <c r="E3209" s="39"/>
      <c r="F3209" s="39"/>
    </row>
    <row r="3210">
      <c r="D3210" s="39"/>
      <c r="E3210" s="39"/>
      <c r="F3210" s="39"/>
    </row>
    <row r="3211">
      <c r="D3211" s="39"/>
      <c r="E3211" s="39"/>
      <c r="F3211" s="39"/>
    </row>
    <row r="3212">
      <c r="D3212" s="39"/>
      <c r="E3212" s="39"/>
      <c r="F3212" s="39"/>
    </row>
    <row r="3213">
      <c r="D3213" s="39"/>
      <c r="E3213" s="39"/>
      <c r="F3213" s="39"/>
    </row>
    <row r="3214">
      <c r="D3214" s="39"/>
      <c r="E3214" s="39"/>
      <c r="F3214" s="39"/>
    </row>
    <row r="3215">
      <c r="D3215" s="39"/>
      <c r="E3215" s="39"/>
      <c r="F3215" s="39"/>
    </row>
    <row r="3216">
      <c r="D3216" s="39"/>
      <c r="E3216" s="39"/>
      <c r="F3216" s="39"/>
    </row>
    <row r="3217">
      <c r="D3217" s="39"/>
      <c r="E3217" s="39"/>
      <c r="F3217" s="39"/>
    </row>
    <row r="3218">
      <c r="D3218" s="39"/>
      <c r="E3218" s="39"/>
      <c r="F3218" s="39"/>
    </row>
    <row r="3219">
      <c r="D3219" s="39"/>
      <c r="E3219" s="39"/>
      <c r="F3219" s="39"/>
    </row>
    <row r="3220">
      <c r="D3220" s="39"/>
      <c r="E3220" s="39"/>
      <c r="F3220" s="39"/>
    </row>
    <row r="3221">
      <c r="D3221" s="39"/>
      <c r="E3221" s="39"/>
      <c r="F3221" s="39"/>
    </row>
    <row r="3222">
      <c r="D3222" s="39"/>
      <c r="E3222" s="39"/>
      <c r="F3222" s="39"/>
    </row>
    <row r="3223">
      <c r="D3223" s="39"/>
      <c r="E3223" s="39"/>
      <c r="F3223" s="39"/>
    </row>
    <row r="3224">
      <c r="D3224" s="39"/>
      <c r="E3224" s="39"/>
      <c r="F3224" s="39"/>
    </row>
    <row r="3225">
      <c r="D3225" s="39"/>
      <c r="E3225" s="39"/>
      <c r="F3225" s="39"/>
    </row>
    <row r="3226">
      <c r="D3226" s="39"/>
      <c r="E3226" s="39"/>
      <c r="F3226" s="39"/>
    </row>
    <row r="3227">
      <c r="D3227" s="39"/>
      <c r="E3227" s="39"/>
      <c r="F3227" s="39"/>
    </row>
    <row r="3228">
      <c r="D3228" s="39"/>
      <c r="E3228" s="39"/>
      <c r="F3228" s="39"/>
    </row>
    <row r="3229">
      <c r="D3229" s="39"/>
      <c r="E3229" s="39"/>
      <c r="F3229" s="39"/>
    </row>
    <row r="3230">
      <c r="D3230" s="39"/>
      <c r="E3230" s="39"/>
      <c r="F3230" s="39"/>
    </row>
    <row r="3231">
      <c r="D3231" s="39"/>
      <c r="E3231" s="39"/>
      <c r="F3231" s="39"/>
    </row>
    <row r="3232">
      <c r="D3232" s="39"/>
      <c r="E3232" s="39"/>
      <c r="F3232" s="39"/>
    </row>
    <row r="3233">
      <c r="D3233" s="39"/>
      <c r="E3233" s="39"/>
      <c r="F3233" s="39"/>
    </row>
    <row r="3234">
      <c r="D3234" s="39"/>
      <c r="E3234" s="39"/>
      <c r="F3234" s="39"/>
    </row>
    <row r="3235">
      <c r="D3235" s="39"/>
      <c r="E3235" s="39"/>
      <c r="F3235" s="39"/>
    </row>
    <row r="3236">
      <c r="D3236" s="39"/>
      <c r="E3236" s="39"/>
      <c r="F3236" s="39"/>
    </row>
    <row r="3237">
      <c r="D3237" s="39"/>
      <c r="E3237" s="39"/>
      <c r="F3237" s="39"/>
    </row>
    <row r="3238">
      <c r="D3238" s="39"/>
      <c r="E3238" s="39"/>
      <c r="F3238" s="39"/>
    </row>
    <row r="3239">
      <c r="D3239" s="39"/>
      <c r="E3239" s="39"/>
      <c r="F3239" s="39"/>
    </row>
    <row r="3240">
      <c r="D3240" s="39"/>
      <c r="E3240" s="39"/>
      <c r="F3240" s="39"/>
    </row>
    <row r="3241">
      <c r="D3241" s="39"/>
      <c r="E3241" s="39"/>
      <c r="F3241" s="39"/>
    </row>
    <row r="3242">
      <c r="D3242" s="39"/>
      <c r="E3242" s="39"/>
      <c r="F3242" s="39"/>
    </row>
    <row r="3243">
      <c r="D3243" s="39"/>
      <c r="E3243" s="39"/>
      <c r="F3243" s="39"/>
    </row>
    <row r="3244">
      <c r="D3244" s="39"/>
      <c r="E3244" s="39"/>
      <c r="F3244" s="39"/>
    </row>
    <row r="3245">
      <c r="D3245" s="39"/>
      <c r="E3245" s="39"/>
      <c r="F3245" s="39"/>
    </row>
    <row r="3246">
      <c r="D3246" s="39"/>
      <c r="E3246" s="39"/>
      <c r="F3246" s="39"/>
    </row>
    <row r="3247">
      <c r="D3247" s="39"/>
      <c r="E3247" s="39"/>
      <c r="F3247" s="39"/>
    </row>
    <row r="3248">
      <c r="D3248" s="39"/>
      <c r="E3248" s="39"/>
      <c r="F3248" s="39"/>
    </row>
    <row r="3249">
      <c r="D3249" s="39"/>
      <c r="E3249" s="39"/>
      <c r="F3249" s="39"/>
    </row>
    <row r="3250">
      <c r="D3250" s="39"/>
      <c r="E3250" s="39"/>
      <c r="F3250" s="39"/>
    </row>
    <row r="3251">
      <c r="D3251" s="39"/>
      <c r="E3251" s="39"/>
      <c r="F3251" s="39"/>
    </row>
    <row r="3252">
      <c r="D3252" s="39"/>
      <c r="E3252" s="39"/>
      <c r="F3252" s="39"/>
    </row>
    <row r="3253">
      <c r="D3253" s="39"/>
      <c r="E3253" s="39"/>
      <c r="F3253" s="39"/>
    </row>
    <row r="3254">
      <c r="D3254" s="39"/>
      <c r="E3254" s="39"/>
      <c r="F3254" s="39"/>
    </row>
    <row r="3255">
      <c r="D3255" s="39"/>
      <c r="E3255" s="39"/>
      <c r="F3255" s="39"/>
    </row>
    <row r="3256">
      <c r="D3256" s="39"/>
      <c r="E3256" s="39"/>
      <c r="F3256" s="39"/>
    </row>
    <row r="3257">
      <c r="D3257" s="39"/>
      <c r="E3257" s="39"/>
      <c r="F3257" s="39"/>
    </row>
    <row r="3258">
      <c r="D3258" s="39"/>
      <c r="E3258" s="39"/>
      <c r="F3258" s="39"/>
    </row>
    <row r="3259">
      <c r="D3259" s="39"/>
      <c r="E3259" s="39"/>
      <c r="F3259" s="39"/>
    </row>
    <row r="3260">
      <c r="D3260" s="39"/>
      <c r="E3260" s="39"/>
      <c r="F3260" s="39"/>
    </row>
    <row r="3261">
      <c r="D3261" s="39"/>
      <c r="E3261" s="39"/>
      <c r="F3261" s="39"/>
    </row>
    <row r="3262">
      <c r="D3262" s="39"/>
      <c r="E3262" s="39"/>
      <c r="F3262" s="39"/>
    </row>
    <row r="3263">
      <c r="D3263" s="39"/>
      <c r="E3263" s="39"/>
      <c r="F3263" s="39"/>
    </row>
    <row r="3264">
      <c r="D3264" s="39"/>
      <c r="E3264" s="39"/>
      <c r="F3264" s="39"/>
    </row>
    <row r="3265">
      <c r="D3265" s="39"/>
      <c r="E3265" s="39"/>
      <c r="F3265" s="39"/>
    </row>
    <row r="3266">
      <c r="D3266" s="39"/>
      <c r="E3266" s="39"/>
      <c r="F3266" s="39"/>
    </row>
    <row r="3267">
      <c r="D3267" s="39"/>
      <c r="E3267" s="39"/>
      <c r="F3267" s="39"/>
    </row>
    <row r="3268">
      <c r="D3268" s="39"/>
      <c r="E3268" s="39"/>
      <c r="F3268" s="39"/>
    </row>
    <row r="3269">
      <c r="D3269" s="39"/>
      <c r="E3269" s="39"/>
      <c r="F3269" s="39"/>
    </row>
    <row r="3270">
      <c r="D3270" s="39"/>
      <c r="E3270" s="39"/>
      <c r="F3270" s="39"/>
    </row>
    <row r="3271">
      <c r="D3271" s="39"/>
      <c r="E3271" s="39"/>
      <c r="F3271" s="39"/>
    </row>
    <row r="3272">
      <c r="D3272" s="39"/>
      <c r="E3272" s="39"/>
      <c r="F3272" s="39"/>
    </row>
    <row r="3273">
      <c r="D3273" s="39"/>
      <c r="E3273" s="39"/>
      <c r="F3273" s="39"/>
    </row>
    <row r="3274">
      <c r="D3274" s="39"/>
      <c r="E3274" s="39"/>
      <c r="F3274" s="39"/>
    </row>
    <row r="3275">
      <c r="D3275" s="39"/>
      <c r="E3275" s="39"/>
      <c r="F3275" s="39"/>
    </row>
    <row r="3276">
      <c r="D3276" s="39"/>
      <c r="E3276" s="39"/>
      <c r="F3276" s="39"/>
    </row>
    <row r="3277">
      <c r="D3277" s="39"/>
      <c r="E3277" s="39"/>
      <c r="F3277" s="39"/>
    </row>
    <row r="3278">
      <c r="D3278" s="39"/>
      <c r="E3278" s="39"/>
      <c r="F3278" s="39"/>
    </row>
    <row r="3279">
      <c r="D3279" s="39"/>
      <c r="E3279" s="39"/>
      <c r="F3279" s="39"/>
    </row>
    <row r="3280">
      <c r="D3280" s="39"/>
      <c r="E3280" s="39"/>
      <c r="F3280" s="39"/>
    </row>
    <row r="3281">
      <c r="D3281" s="39"/>
      <c r="E3281" s="39"/>
      <c r="F3281" s="39"/>
    </row>
    <row r="3282">
      <c r="D3282" s="39"/>
      <c r="E3282" s="39"/>
      <c r="F3282" s="39"/>
    </row>
    <row r="3283">
      <c r="D3283" s="39"/>
      <c r="E3283" s="39"/>
      <c r="F3283" s="39"/>
    </row>
    <row r="3284">
      <c r="D3284" s="39"/>
      <c r="E3284" s="39"/>
      <c r="F3284" s="39"/>
    </row>
    <row r="3285">
      <c r="D3285" s="39"/>
      <c r="E3285" s="39"/>
      <c r="F3285" s="39"/>
    </row>
    <row r="3286">
      <c r="D3286" s="39"/>
      <c r="E3286" s="39"/>
      <c r="F3286" s="39"/>
    </row>
    <row r="3287">
      <c r="D3287" s="39"/>
      <c r="E3287" s="39"/>
      <c r="F3287" s="39"/>
    </row>
    <row r="3288">
      <c r="D3288" s="39"/>
      <c r="E3288" s="39"/>
      <c r="F3288" s="39"/>
    </row>
    <row r="3289">
      <c r="D3289" s="39"/>
      <c r="E3289" s="39"/>
      <c r="F3289" s="39"/>
    </row>
    <row r="3290">
      <c r="D3290" s="39"/>
      <c r="E3290" s="39"/>
      <c r="F3290" s="39"/>
    </row>
    <row r="3291">
      <c r="D3291" s="39"/>
      <c r="E3291" s="39"/>
      <c r="F3291" s="39"/>
    </row>
    <row r="3292">
      <c r="D3292" s="39"/>
      <c r="E3292" s="39"/>
      <c r="F3292" s="39"/>
    </row>
    <row r="3293">
      <c r="D3293" s="39"/>
      <c r="E3293" s="39"/>
      <c r="F3293" s="39"/>
    </row>
    <row r="3294">
      <c r="D3294" s="39"/>
      <c r="E3294" s="39"/>
      <c r="F3294" s="39"/>
    </row>
    <row r="3295">
      <c r="D3295" s="39"/>
      <c r="E3295" s="39"/>
      <c r="F3295" s="39"/>
    </row>
    <row r="3296">
      <c r="D3296" s="39"/>
      <c r="E3296" s="39"/>
      <c r="F3296" s="39"/>
    </row>
    <row r="3297">
      <c r="D3297" s="39"/>
      <c r="E3297" s="39"/>
      <c r="F3297" s="39"/>
    </row>
    <row r="3298">
      <c r="D3298" s="39"/>
      <c r="E3298" s="39"/>
      <c r="F3298" s="39"/>
    </row>
    <row r="3299">
      <c r="D3299" s="39"/>
      <c r="E3299" s="39"/>
      <c r="F3299" s="39"/>
    </row>
    <row r="3300">
      <c r="D3300" s="39"/>
      <c r="E3300" s="39"/>
      <c r="F3300" s="39"/>
    </row>
    <row r="3301">
      <c r="D3301" s="39"/>
      <c r="E3301" s="39"/>
      <c r="F3301" s="39"/>
    </row>
    <row r="3302">
      <c r="D3302" s="39"/>
      <c r="E3302" s="39"/>
      <c r="F3302" s="39"/>
    </row>
    <row r="3303">
      <c r="D3303" s="39"/>
      <c r="E3303" s="39"/>
      <c r="F3303" s="39"/>
    </row>
    <row r="3304">
      <c r="D3304" s="39"/>
      <c r="E3304" s="39"/>
      <c r="F3304" s="39"/>
    </row>
    <row r="3305">
      <c r="D3305" s="39"/>
      <c r="E3305" s="39"/>
      <c r="F3305" s="39"/>
    </row>
    <row r="3306">
      <c r="D3306" s="39"/>
      <c r="E3306" s="39"/>
      <c r="F3306" s="39"/>
    </row>
    <row r="3307">
      <c r="D3307" s="39"/>
      <c r="E3307" s="39"/>
      <c r="F3307" s="39"/>
    </row>
    <row r="3308">
      <c r="D3308" s="39"/>
      <c r="E3308" s="39"/>
      <c r="F3308" s="39"/>
    </row>
    <row r="3309">
      <c r="D3309" s="39"/>
      <c r="E3309" s="39"/>
      <c r="F3309" s="39"/>
    </row>
    <row r="3310">
      <c r="D3310" s="39"/>
      <c r="E3310" s="39"/>
      <c r="F3310" s="39"/>
    </row>
    <row r="3311">
      <c r="D3311" s="39"/>
      <c r="E3311" s="39"/>
      <c r="F3311" s="39"/>
    </row>
    <row r="3312">
      <c r="D3312" s="39"/>
      <c r="E3312" s="39"/>
      <c r="F3312" s="39"/>
    </row>
    <row r="3313">
      <c r="D3313" s="39"/>
      <c r="E3313" s="39"/>
      <c r="F3313" s="39"/>
    </row>
    <row r="3314">
      <c r="D3314" s="39"/>
      <c r="E3314" s="39"/>
      <c r="F3314" s="39"/>
    </row>
    <row r="3315">
      <c r="D3315" s="39"/>
      <c r="E3315" s="39"/>
      <c r="F3315" s="39"/>
    </row>
    <row r="3316">
      <c r="D3316" s="39"/>
      <c r="E3316" s="39"/>
      <c r="F3316" s="39"/>
    </row>
    <row r="3317">
      <c r="D3317" s="39"/>
      <c r="E3317" s="39"/>
      <c r="F3317" s="39"/>
    </row>
    <row r="3318">
      <c r="D3318" s="39"/>
      <c r="E3318" s="39"/>
      <c r="F3318" s="39"/>
    </row>
    <row r="3319">
      <c r="D3319" s="39"/>
      <c r="E3319" s="39"/>
      <c r="F3319" s="39"/>
    </row>
    <row r="3320">
      <c r="D3320" s="39"/>
      <c r="E3320" s="39"/>
      <c r="F3320" s="39"/>
    </row>
    <row r="3321">
      <c r="D3321" s="39"/>
      <c r="E3321" s="39"/>
      <c r="F3321" s="39"/>
    </row>
    <row r="3322">
      <c r="D3322" s="39"/>
      <c r="E3322" s="39"/>
      <c r="F3322" s="39"/>
    </row>
    <row r="3323">
      <c r="D3323" s="39"/>
      <c r="E3323" s="39"/>
      <c r="F3323" s="39"/>
    </row>
    <row r="3324">
      <c r="D3324" s="39"/>
      <c r="E3324" s="39"/>
      <c r="F3324" s="39"/>
    </row>
    <row r="3325">
      <c r="D3325" s="39"/>
      <c r="E3325" s="39"/>
      <c r="F3325" s="39"/>
    </row>
    <row r="3326">
      <c r="D3326" s="39"/>
      <c r="E3326" s="39"/>
      <c r="F3326" s="39"/>
    </row>
    <row r="3327">
      <c r="D3327" s="39"/>
      <c r="E3327" s="39"/>
      <c r="F3327" s="39"/>
    </row>
    <row r="3328">
      <c r="D3328" s="39"/>
      <c r="E3328" s="39"/>
      <c r="F3328" s="39"/>
    </row>
    <row r="3329">
      <c r="D3329" s="39"/>
      <c r="E3329" s="39"/>
      <c r="F3329" s="39"/>
    </row>
    <row r="3330">
      <c r="D3330" s="39"/>
      <c r="E3330" s="39"/>
      <c r="F3330" s="39"/>
    </row>
    <row r="3331">
      <c r="D3331" s="39"/>
      <c r="E3331" s="39"/>
      <c r="F3331" s="39"/>
    </row>
    <row r="3332">
      <c r="D3332" s="39"/>
      <c r="E3332" s="39"/>
      <c r="F3332" s="39"/>
    </row>
    <row r="3333">
      <c r="D3333" s="39"/>
      <c r="E3333" s="39"/>
      <c r="F3333" s="39"/>
    </row>
    <row r="3334">
      <c r="D3334" s="39"/>
      <c r="E3334" s="39"/>
      <c r="F3334" s="39"/>
    </row>
    <row r="3335">
      <c r="D3335" s="39"/>
      <c r="E3335" s="39"/>
      <c r="F3335" s="39"/>
    </row>
    <row r="3336">
      <c r="D3336" s="39"/>
      <c r="E3336" s="39"/>
      <c r="F3336" s="39"/>
    </row>
    <row r="3337">
      <c r="D3337" s="39"/>
      <c r="E3337" s="39"/>
      <c r="F3337" s="39"/>
    </row>
    <row r="3338">
      <c r="D3338" s="39"/>
      <c r="E3338" s="39"/>
      <c r="F3338" s="39"/>
    </row>
    <row r="3339">
      <c r="D3339" s="39"/>
      <c r="E3339" s="39"/>
      <c r="F3339" s="39"/>
    </row>
    <row r="3340">
      <c r="D3340" s="39"/>
      <c r="E3340" s="39"/>
      <c r="F3340" s="39"/>
    </row>
    <row r="3341">
      <c r="D3341" s="39"/>
      <c r="E3341" s="39"/>
      <c r="F3341" s="39"/>
    </row>
    <row r="3342">
      <c r="D3342" s="39"/>
      <c r="E3342" s="39"/>
      <c r="F3342" s="39"/>
    </row>
    <row r="3343">
      <c r="D3343" s="39"/>
      <c r="E3343" s="39"/>
      <c r="F3343" s="39"/>
    </row>
    <row r="3344">
      <c r="D3344" s="39"/>
      <c r="E3344" s="39"/>
      <c r="F3344" s="39"/>
    </row>
    <row r="3345">
      <c r="D3345" s="39"/>
      <c r="E3345" s="39"/>
      <c r="F3345" s="39"/>
    </row>
    <row r="3346">
      <c r="D3346" s="39"/>
      <c r="E3346" s="39"/>
      <c r="F3346" s="39"/>
    </row>
    <row r="3347">
      <c r="D3347" s="39"/>
      <c r="E3347" s="39"/>
      <c r="F3347" s="39"/>
    </row>
    <row r="3348">
      <c r="D3348" s="39"/>
      <c r="E3348" s="39"/>
      <c r="F3348" s="39"/>
    </row>
    <row r="3349">
      <c r="D3349" s="39"/>
      <c r="E3349" s="39"/>
      <c r="F3349" s="39"/>
    </row>
    <row r="3350">
      <c r="D3350" s="39"/>
      <c r="E3350" s="39"/>
      <c r="F3350" s="39"/>
    </row>
    <row r="3351">
      <c r="D3351" s="39"/>
      <c r="E3351" s="39"/>
      <c r="F3351" s="39"/>
    </row>
    <row r="3352">
      <c r="D3352" s="39"/>
      <c r="E3352" s="39"/>
      <c r="F3352" s="39"/>
    </row>
    <row r="3353">
      <c r="D3353" s="39"/>
      <c r="E3353" s="39"/>
      <c r="F3353" s="39"/>
    </row>
    <row r="3354">
      <c r="D3354" s="39"/>
      <c r="E3354" s="39"/>
      <c r="F3354" s="39"/>
    </row>
    <row r="3355">
      <c r="D3355" s="39"/>
      <c r="E3355" s="39"/>
      <c r="F3355" s="39"/>
    </row>
    <row r="3356">
      <c r="D3356" s="39"/>
      <c r="E3356" s="39"/>
      <c r="F3356" s="39"/>
    </row>
    <row r="3357">
      <c r="D3357" s="39"/>
      <c r="E3357" s="39"/>
      <c r="F3357" s="39"/>
    </row>
    <row r="3358">
      <c r="D3358" s="39"/>
      <c r="E3358" s="39"/>
      <c r="F3358" s="39"/>
    </row>
    <row r="3359">
      <c r="D3359" s="39"/>
      <c r="E3359" s="39"/>
      <c r="F3359" s="39"/>
    </row>
    <row r="3360">
      <c r="D3360" s="39"/>
      <c r="E3360" s="39"/>
      <c r="F3360" s="39"/>
    </row>
    <row r="3361">
      <c r="D3361" s="39"/>
      <c r="E3361" s="39"/>
      <c r="F3361" s="39"/>
    </row>
    <row r="3362">
      <c r="D3362" s="39"/>
      <c r="E3362" s="39"/>
      <c r="F3362" s="39"/>
    </row>
    <row r="3363">
      <c r="D3363" s="39"/>
      <c r="E3363" s="39"/>
      <c r="F3363" s="39"/>
    </row>
    <row r="3364">
      <c r="D3364" s="39"/>
      <c r="E3364" s="39"/>
      <c r="F3364" s="39"/>
    </row>
    <row r="3365">
      <c r="D3365" s="39"/>
      <c r="E3365" s="39"/>
      <c r="F3365" s="39"/>
    </row>
    <row r="3366">
      <c r="D3366" s="39"/>
      <c r="E3366" s="39"/>
      <c r="F3366" s="39"/>
    </row>
    <row r="3367">
      <c r="D3367" s="39"/>
      <c r="E3367" s="39"/>
      <c r="F3367" s="39"/>
    </row>
    <row r="3368">
      <c r="D3368" s="39"/>
      <c r="E3368" s="39"/>
      <c r="F3368" s="39"/>
    </row>
    <row r="3369">
      <c r="D3369" s="39"/>
      <c r="E3369" s="39"/>
      <c r="F3369" s="39"/>
    </row>
    <row r="3370">
      <c r="D3370" s="39"/>
      <c r="E3370" s="39"/>
      <c r="F3370" s="39"/>
    </row>
    <row r="3371">
      <c r="D3371" s="39"/>
      <c r="E3371" s="39"/>
      <c r="F3371" s="39"/>
    </row>
    <row r="3372">
      <c r="D3372" s="39"/>
      <c r="E3372" s="39"/>
      <c r="F3372" s="39"/>
    </row>
    <row r="3373">
      <c r="D3373" s="39"/>
      <c r="E3373" s="39"/>
      <c r="F3373" s="39"/>
    </row>
    <row r="3374">
      <c r="D3374" s="39"/>
      <c r="E3374" s="39"/>
      <c r="F3374" s="39"/>
    </row>
    <row r="3375">
      <c r="D3375" s="39"/>
      <c r="E3375" s="39"/>
      <c r="F3375" s="39"/>
    </row>
    <row r="3376">
      <c r="D3376" s="39"/>
      <c r="E3376" s="39"/>
      <c r="F3376" s="39"/>
    </row>
    <row r="3377">
      <c r="D3377" s="39"/>
      <c r="E3377" s="39"/>
      <c r="F3377" s="39"/>
    </row>
    <row r="3378">
      <c r="D3378" s="39"/>
      <c r="E3378" s="39"/>
      <c r="F3378" s="39"/>
    </row>
    <row r="3379">
      <c r="D3379" s="39"/>
      <c r="E3379" s="39"/>
      <c r="F3379" s="39"/>
    </row>
    <row r="3380">
      <c r="D3380" s="39"/>
      <c r="E3380" s="39"/>
      <c r="F3380" s="39"/>
    </row>
    <row r="3381">
      <c r="D3381" s="39"/>
      <c r="E3381" s="39"/>
      <c r="F3381" s="39"/>
    </row>
    <row r="3382">
      <c r="D3382" s="39"/>
      <c r="E3382" s="39"/>
      <c r="F3382" s="39"/>
    </row>
    <row r="3383">
      <c r="D3383" s="39"/>
      <c r="E3383" s="39"/>
      <c r="F3383" s="39"/>
    </row>
    <row r="3384">
      <c r="D3384" s="39"/>
      <c r="E3384" s="39"/>
      <c r="F3384" s="39"/>
    </row>
    <row r="3385">
      <c r="D3385" s="39"/>
      <c r="E3385" s="39"/>
      <c r="F3385" s="39"/>
    </row>
    <row r="3386">
      <c r="D3386" s="39"/>
      <c r="E3386" s="39"/>
      <c r="F3386" s="39"/>
    </row>
    <row r="3387">
      <c r="D3387" s="39"/>
      <c r="E3387" s="39"/>
      <c r="F3387" s="39"/>
    </row>
    <row r="3388">
      <c r="D3388" s="39"/>
      <c r="E3388" s="39"/>
      <c r="F3388" s="39"/>
    </row>
    <row r="3389">
      <c r="D3389" s="39"/>
      <c r="E3389" s="39"/>
      <c r="F3389" s="39"/>
    </row>
    <row r="3390">
      <c r="D3390" s="39"/>
      <c r="E3390" s="39"/>
      <c r="F3390" s="39"/>
    </row>
    <row r="3391">
      <c r="D3391" s="39"/>
      <c r="E3391" s="39"/>
      <c r="F3391" s="39"/>
    </row>
    <row r="3392">
      <c r="D3392" s="39"/>
      <c r="E3392" s="39"/>
      <c r="F3392" s="39"/>
    </row>
    <row r="3393">
      <c r="D3393" s="39"/>
      <c r="E3393" s="39"/>
      <c r="F3393" s="39"/>
    </row>
    <row r="3394">
      <c r="D3394" s="39"/>
      <c r="E3394" s="39"/>
      <c r="F3394" s="39"/>
    </row>
    <row r="3395">
      <c r="D3395" s="39"/>
      <c r="E3395" s="39"/>
      <c r="F3395" s="39"/>
    </row>
    <row r="3396">
      <c r="D3396" s="39"/>
      <c r="E3396" s="39"/>
      <c r="F3396" s="39"/>
    </row>
    <row r="3397">
      <c r="D3397" s="39"/>
      <c r="E3397" s="39"/>
      <c r="F3397" s="39"/>
    </row>
    <row r="3398">
      <c r="D3398" s="39"/>
      <c r="E3398" s="39"/>
      <c r="F3398" s="39"/>
    </row>
    <row r="3399">
      <c r="D3399" s="39"/>
      <c r="E3399" s="39"/>
      <c r="F3399" s="39"/>
    </row>
    <row r="3400">
      <c r="D3400" s="39"/>
      <c r="E3400" s="39"/>
      <c r="F3400" s="39"/>
    </row>
    <row r="3401">
      <c r="D3401" s="39"/>
      <c r="E3401" s="39"/>
      <c r="F3401" s="39"/>
    </row>
    <row r="3402">
      <c r="D3402" s="39"/>
      <c r="E3402" s="39"/>
      <c r="F3402" s="39"/>
    </row>
    <row r="3403">
      <c r="D3403" s="39"/>
      <c r="E3403" s="39"/>
      <c r="F3403" s="39"/>
    </row>
    <row r="3404">
      <c r="D3404" s="39"/>
      <c r="E3404" s="39"/>
      <c r="F3404" s="39"/>
    </row>
    <row r="3405">
      <c r="D3405" s="39"/>
      <c r="E3405" s="39"/>
      <c r="F3405" s="39"/>
    </row>
    <row r="3406">
      <c r="D3406" s="39"/>
      <c r="E3406" s="39"/>
      <c r="F3406" s="39"/>
    </row>
    <row r="3407">
      <c r="D3407" s="39"/>
      <c r="E3407" s="39"/>
      <c r="F3407" s="39"/>
    </row>
    <row r="3408">
      <c r="D3408" s="39"/>
      <c r="E3408" s="39"/>
      <c r="F3408" s="39"/>
    </row>
    <row r="3409">
      <c r="D3409" s="39"/>
      <c r="E3409" s="39"/>
      <c r="F3409" s="39"/>
    </row>
    <row r="3410">
      <c r="D3410" s="39"/>
      <c r="E3410" s="39"/>
      <c r="F3410" s="39"/>
    </row>
    <row r="3411">
      <c r="D3411" s="39"/>
      <c r="E3411" s="39"/>
      <c r="F3411" s="39"/>
    </row>
    <row r="3412">
      <c r="D3412" s="39"/>
      <c r="E3412" s="39"/>
      <c r="F3412" s="39"/>
    </row>
    <row r="3413">
      <c r="D3413" s="39"/>
      <c r="E3413" s="39"/>
      <c r="F3413" s="39"/>
    </row>
    <row r="3414">
      <c r="D3414" s="39"/>
      <c r="E3414" s="39"/>
      <c r="F3414" s="39"/>
    </row>
    <row r="3415">
      <c r="D3415" s="39"/>
      <c r="E3415" s="39"/>
      <c r="F3415" s="39"/>
    </row>
    <row r="3416">
      <c r="D3416" s="39"/>
      <c r="E3416" s="39"/>
      <c r="F3416" s="39"/>
    </row>
    <row r="3417">
      <c r="D3417" s="39"/>
      <c r="E3417" s="39"/>
      <c r="F3417" s="39"/>
    </row>
    <row r="3418">
      <c r="D3418" s="39"/>
      <c r="E3418" s="39"/>
      <c r="F3418" s="39"/>
    </row>
    <row r="3419">
      <c r="D3419" s="39"/>
      <c r="E3419" s="39"/>
      <c r="F3419" s="39"/>
    </row>
    <row r="3420">
      <c r="D3420" s="39"/>
      <c r="E3420" s="39"/>
      <c r="F3420" s="39"/>
    </row>
    <row r="3421">
      <c r="D3421" s="39"/>
      <c r="E3421" s="39"/>
      <c r="F3421" s="39"/>
    </row>
    <row r="3422">
      <c r="D3422" s="39"/>
      <c r="E3422" s="39"/>
      <c r="F3422" s="39"/>
    </row>
    <row r="3423">
      <c r="D3423" s="39"/>
      <c r="E3423" s="39"/>
      <c r="F3423" s="39"/>
    </row>
    <row r="3424">
      <c r="D3424" s="39"/>
      <c r="E3424" s="39"/>
      <c r="F3424" s="39"/>
    </row>
    <row r="3425">
      <c r="D3425" s="39"/>
      <c r="E3425" s="39"/>
      <c r="F3425" s="39"/>
    </row>
    <row r="3426">
      <c r="D3426" s="39"/>
      <c r="E3426" s="39"/>
      <c r="F3426" s="39"/>
    </row>
    <row r="3427">
      <c r="D3427" s="39"/>
      <c r="E3427" s="39"/>
      <c r="F3427" s="39"/>
    </row>
    <row r="3428">
      <c r="D3428" s="39"/>
      <c r="E3428" s="39"/>
      <c r="F3428" s="39"/>
    </row>
    <row r="3429">
      <c r="D3429" s="39"/>
      <c r="E3429" s="39"/>
      <c r="F3429" s="39"/>
    </row>
    <row r="3430">
      <c r="D3430" s="39"/>
      <c r="E3430" s="39"/>
      <c r="F3430" s="39"/>
    </row>
    <row r="3431">
      <c r="D3431" s="39"/>
      <c r="E3431" s="39"/>
      <c r="F3431" s="39"/>
    </row>
    <row r="3432">
      <c r="D3432" s="39"/>
      <c r="E3432" s="39"/>
      <c r="F3432" s="39"/>
    </row>
    <row r="3433">
      <c r="D3433" s="39"/>
      <c r="E3433" s="39"/>
      <c r="F3433" s="39"/>
    </row>
    <row r="3434">
      <c r="D3434" s="39"/>
      <c r="E3434" s="39"/>
      <c r="F3434" s="39"/>
    </row>
    <row r="3435">
      <c r="D3435" s="39"/>
      <c r="E3435" s="39"/>
      <c r="F3435" s="39"/>
    </row>
    <row r="3436">
      <c r="D3436" s="39"/>
      <c r="E3436" s="39"/>
      <c r="F3436" s="39"/>
    </row>
    <row r="3437">
      <c r="D3437" s="39"/>
      <c r="E3437" s="39"/>
      <c r="F3437" s="39"/>
    </row>
    <row r="3438">
      <c r="D3438" s="39"/>
      <c r="E3438" s="39"/>
      <c r="F3438" s="39"/>
    </row>
    <row r="3439">
      <c r="D3439" s="39"/>
      <c r="E3439" s="39"/>
      <c r="F3439" s="39"/>
    </row>
    <row r="3440">
      <c r="D3440" s="39"/>
      <c r="E3440" s="39"/>
      <c r="F3440" s="39"/>
    </row>
    <row r="3441">
      <c r="D3441" s="39"/>
      <c r="E3441" s="39"/>
      <c r="F3441" s="39"/>
    </row>
    <row r="3442">
      <c r="D3442" s="39"/>
      <c r="E3442" s="39"/>
      <c r="F3442" s="39"/>
    </row>
    <row r="3443">
      <c r="D3443" s="39"/>
      <c r="E3443" s="39"/>
      <c r="F3443" s="39"/>
    </row>
    <row r="3444">
      <c r="D3444" s="39"/>
      <c r="E3444" s="39"/>
      <c r="F3444" s="39"/>
    </row>
    <row r="3445">
      <c r="D3445" s="39"/>
      <c r="E3445" s="39"/>
      <c r="F3445" s="39"/>
    </row>
    <row r="3446">
      <c r="D3446" s="39"/>
      <c r="E3446" s="39"/>
      <c r="F3446" s="39"/>
    </row>
    <row r="3447">
      <c r="D3447" s="39"/>
      <c r="E3447" s="39"/>
      <c r="F3447" s="39"/>
    </row>
    <row r="3448">
      <c r="D3448" s="39"/>
      <c r="E3448" s="39"/>
      <c r="F3448" s="39"/>
    </row>
    <row r="3449">
      <c r="D3449" s="39"/>
      <c r="E3449" s="39"/>
      <c r="F3449" s="39"/>
    </row>
    <row r="3450">
      <c r="D3450" s="39"/>
      <c r="E3450" s="39"/>
      <c r="F3450" s="39"/>
    </row>
    <row r="3451">
      <c r="D3451" s="39"/>
      <c r="E3451" s="39"/>
      <c r="F3451" s="39"/>
    </row>
    <row r="3452">
      <c r="D3452" s="39"/>
      <c r="E3452" s="39"/>
      <c r="F3452" s="39"/>
    </row>
    <row r="3453">
      <c r="D3453" s="39"/>
      <c r="E3453" s="39"/>
      <c r="F3453" s="39"/>
    </row>
    <row r="3454">
      <c r="D3454" s="39"/>
      <c r="E3454" s="39"/>
      <c r="F3454" s="39"/>
    </row>
    <row r="3455">
      <c r="D3455" s="39"/>
      <c r="E3455" s="39"/>
      <c r="F3455" s="39"/>
    </row>
    <row r="3456">
      <c r="D3456" s="39"/>
      <c r="E3456" s="39"/>
      <c r="F3456" s="39"/>
    </row>
    <row r="3457">
      <c r="D3457" s="39"/>
      <c r="E3457" s="39"/>
      <c r="F3457" s="39"/>
    </row>
    <row r="3458">
      <c r="D3458" s="39"/>
      <c r="E3458" s="39"/>
      <c r="F3458" s="39"/>
    </row>
    <row r="3459">
      <c r="D3459" s="39"/>
      <c r="E3459" s="39"/>
      <c r="F3459" s="39"/>
    </row>
    <row r="3460">
      <c r="D3460" s="39"/>
      <c r="E3460" s="39"/>
      <c r="F3460" s="39"/>
    </row>
    <row r="3461">
      <c r="D3461" s="39"/>
      <c r="E3461" s="39"/>
      <c r="F3461" s="39"/>
    </row>
    <row r="3462">
      <c r="D3462" s="39"/>
      <c r="E3462" s="39"/>
      <c r="F3462" s="39"/>
    </row>
    <row r="3463">
      <c r="D3463" s="39"/>
      <c r="E3463" s="39"/>
      <c r="F3463" s="39"/>
    </row>
    <row r="3464">
      <c r="D3464" s="39"/>
      <c r="E3464" s="39"/>
      <c r="F3464" s="39"/>
    </row>
    <row r="3465">
      <c r="D3465" s="39"/>
      <c r="E3465" s="39"/>
      <c r="F3465" s="39"/>
    </row>
    <row r="3466">
      <c r="D3466" s="39"/>
      <c r="E3466" s="39"/>
      <c r="F3466" s="39"/>
    </row>
    <row r="3467">
      <c r="D3467" s="39"/>
      <c r="E3467" s="39"/>
      <c r="F3467" s="39"/>
    </row>
    <row r="3468">
      <c r="D3468" s="39"/>
      <c r="E3468" s="39"/>
      <c r="F3468" s="39"/>
    </row>
    <row r="3469">
      <c r="D3469" s="39"/>
      <c r="E3469" s="39"/>
      <c r="F3469" s="39"/>
    </row>
    <row r="3470">
      <c r="D3470" s="39"/>
      <c r="E3470" s="39"/>
      <c r="F3470" s="39"/>
    </row>
    <row r="3471">
      <c r="D3471" s="39"/>
      <c r="E3471" s="39"/>
      <c r="F3471" s="39"/>
    </row>
    <row r="3472">
      <c r="D3472" s="39"/>
      <c r="E3472" s="39"/>
      <c r="F3472" s="39"/>
    </row>
    <row r="3473">
      <c r="D3473" s="39"/>
      <c r="E3473" s="39"/>
      <c r="F3473" s="39"/>
    </row>
    <row r="3474">
      <c r="D3474" s="39"/>
      <c r="E3474" s="39"/>
      <c r="F3474" s="39"/>
    </row>
    <row r="3475">
      <c r="D3475" s="39"/>
      <c r="E3475" s="39"/>
      <c r="F3475" s="39"/>
    </row>
    <row r="3476">
      <c r="D3476" s="39"/>
      <c r="E3476" s="39"/>
      <c r="F3476" s="39"/>
    </row>
    <row r="3477">
      <c r="D3477" s="39"/>
      <c r="E3477" s="39"/>
      <c r="F3477" s="39"/>
    </row>
    <row r="3478">
      <c r="D3478" s="39"/>
      <c r="E3478" s="39"/>
      <c r="F3478" s="39"/>
    </row>
    <row r="3479">
      <c r="D3479" s="39"/>
      <c r="E3479" s="39"/>
      <c r="F3479" s="39"/>
    </row>
    <row r="3480">
      <c r="D3480" s="39"/>
      <c r="E3480" s="39"/>
      <c r="F3480" s="39"/>
    </row>
    <row r="3481">
      <c r="D3481" s="39"/>
      <c r="E3481" s="39"/>
      <c r="F3481" s="39"/>
    </row>
    <row r="3482">
      <c r="D3482" s="39"/>
      <c r="E3482" s="39"/>
      <c r="F3482" s="39"/>
    </row>
    <row r="3483">
      <c r="D3483" s="39"/>
      <c r="E3483" s="39"/>
      <c r="F3483" s="39"/>
    </row>
    <row r="3484">
      <c r="D3484" s="39"/>
      <c r="E3484" s="39"/>
      <c r="F3484" s="39"/>
    </row>
    <row r="3485">
      <c r="D3485" s="39"/>
      <c r="E3485" s="39"/>
      <c r="F3485" s="39"/>
    </row>
    <row r="3486">
      <c r="D3486" s="39"/>
      <c r="E3486" s="39"/>
      <c r="F3486" s="39"/>
    </row>
    <row r="3487">
      <c r="D3487" s="39"/>
      <c r="E3487" s="39"/>
      <c r="F3487" s="39"/>
    </row>
    <row r="3488">
      <c r="D3488" s="39"/>
      <c r="E3488" s="39"/>
      <c r="F3488" s="39"/>
    </row>
    <row r="3489">
      <c r="D3489" s="39"/>
      <c r="E3489" s="39"/>
      <c r="F3489" s="39"/>
    </row>
    <row r="3490">
      <c r="D3490" s="39"/>
      <c r="E3490" s="39"/>
      <c r="F3490" s="39"/>
    </row>
    <row r="3491">
      <c r="D3491" s="39"/>
      <c r="E3491" s="39"/>
      <c r="F3491" s="39"/>
    </row>
    <row r="3492">
      <c r="D3492" s="39"/>
      <c r="E3492" s="39"/>
      <c r="F3492" s="39"/>
    </row>
    <row r="3493">
      <c r="D3493" s="39"/>
      <c r="E3493" s="39"/>
      <c r="F3493" s="39"/>
    </row>
    <row r="3494">
      <c r="D3494" s="39"/>
      <c r="E3494" s="39"/>
      <c r="F3494" s="39"/>
    </row>
    <row r="3495">
      <c r="D3495" s="39"/>
      <c r="E3495" s="39"/>
      <c r="F3495" s="39"/>
    </row>
    <row r="3496">
      <c r="D3496" s="39"/>
      <c r="E3496" s="39"/>
      <c r="F3496" s="39"/>
    </row>
    <row r="3497">
      <c r="D3497" s="39"/>
      <c r="E3497" s="39"/>
      <c r="F3497" s="39"/>
    </row>
    <row r="3498">
      <c r="D3498" s="39"/>
      <c r="E3498" s="39"/>
      <c r="F3498" s="39"/>
    </row>
    <row r="3499">
      <c r="D3499" s="39"/>
      <c r="E3499" s="39"/>
      <c r="F3499" s="39"/>
    </row>
    <row r="3500">
      <c r="D3500" s="39"/>
      <c r="E3500" s="39"/>
      <c r="F3500" s="39"/>
    </row>
    <row r="3501">
      <c r="D3501" s="39"/>
      <c r="E3501" s="39"/>
      <c r="F3501" s="39"/>
    </row>
    <row r="3502">
      <c r="D3502" s="39"/>
      <c r="E3502" s="39"/>
      <c r="F3502" s="39"/>
    </row>
    <row r="3503">
      <c r="D3503" s="39"/>
      <c r="E3503" s="39"/>
      <c r="F3503" s="39"/>
    </row>
    <row r="3504">
      <c r="D3504" s="39"/>
      <c r="E3504" s="39"/>
      <c r="F3504" s="39"/>
    </row>
    <row r="3505">
      <c r="D3505" s="39"/>
      <c r="E3505" s="39"/>
      <c r="F3505" s="39"/>
    </row>
    <row r="3506">
      <c r="D3506" s="39"/>
      <c r="E3506" s="39"/>
      <c r="F3506" s="39"/>
    </row>
    <row r="3507">
      <c r="D3507" s="39"/>
      <c r="E3507" s="39"/>
      <c r="F3507" s="39"/>
    </row>
    <row r="3508">
      <c r="D3508" s="39"/>
      <c r="E3508" s="39"/>
      <c r="F3508" s="39"/>
    </row>
    <row r="3509">
      <c r="D3509" s="39"/>
      <c r="E3509" s="39"/>
      <c r="F3509" s="39"/>
    </row>
    <row r="3510">
      <c r="D3510" s="39"/>
      <c r="E3510" s="39"/>
      <c r="F3510" s="39"/>
    </row>
    <row r="3511">
      <c r="D3511" s="39"/>
      <c r="E3511" s="39"/>
      <c r="F3511" s="39"/>
    </row>
    <row r="3512">
      <c r="D3512" s="39"/>
      <c r="E3512" s="39"/>
      <c r="F3512" s="39"/>
    </row>
    <row r="3513">
      <c r="D3513" s="39"/>
      <c r="E3513" s="39"/>
      <c r="F3513" s="39"/>
    </row>
    <row r="3514">
      <c r="D3514" s="39"/>
      <c r="E3514" s="39"/>
      <c r="F3514" s="39"/>
    </row>
    <row r="3515">
      <c r="D3515" s="39"/>
      <c r="E3515" s="39"/>
      <c r="F3515" s="39"/>
    </row>
    <row r="3516">
      <c r="D3516" s="39"/>
      <c r="E3516" s="39"/>
      <c r="F3516" s="39"/>
    </row>
    <row r="3517">
      <c r="D3517" s="39"/>
      <c r="E3517" s="39"/>
      <c r="F3517" s="39"/>
    </row>
    <row r="3518">
      <c r="D3518" s="39"/>
      <c r="E3518" s="39"/>
      <c r="F3518" s="39"/>
    </row>
    <row r="3519">
      <c r="D3519" s="39"/>
      <c r="E3519" s="39"/>
      <c r="F3519" s="39"/>
    </row>
    <row r="3520">
      <c r="D3520" s="39"/>
      <c r="E3520" s="39"/>
      <c r="F3520" s="39"/>
    </row>
    <row r="3521">
      <c r="D3521" s="39"/>
      <c r="E3521" s="39"/>
      <c r="F3521" s="39"/>
    </row>
    <row r="3522">
      <c r="D3522" s="39"/>
      <c r="E3522" s="39"/>
      <c r="F3522" s="39"/>
    </row>
    <row r="3523">
      <c r="D3523" s="39"/>
      <c r="E3523" s="39"/>
      <c r="F3523" s="39"/>
    </row>
    <row r="3524">
      <c r="D3524" s="39"/>
      <c r="E3524" s="39"/>
      <c r="F3524" s="39"/>
    </row>
    <row r="3525">
      <c r="D3525" s="39"/>
      <c r="E3525" s="39"/>
      <c r="F3525" s="39"/>
    </row>
    <row r="3526">
      <c r="D3526" s="39"/>
      <c r="E3526" s="39"/>
      <c r="F3526" s="39"/>
    </row>
    <row r="3527">
      <c r="D3527" s="39"/>
      <c r="E3527" s="39"/>
      <c r="F3527" s="39"/>
    </row>
    <row r="3528">
      <c r="D3528" s="39"/>
      <c r="E3528" s="39"/>
      <c r="F3528" s="39"/>
    </row>
    <row r="3529">
      <c r="D3529" s="39"/>
      <c r="E3529" s="39"/>
      <c r="F3529" s="39"/>
    </row>
    <row r="3530">
      <c r="D3530" s="39"/>
      <c r="E3530" s="39"/>
      <c r="F3530" s="39"/>
    </row>
    <row r="3531">
      <c r="D3531" s="39"/>
      <c r="E3531" s="39"/>
      <c r="F3531" s="39"/>
    </row>
    <row r="3532">
      <c r="D3532" s="39"/>
      <c r="E3532" s="39"/>
      <c r="F3532" s="39"/>
    </row>
    <row r="3533">
      <c r="D3533" s="39"/>
      <c r="E3533" s="39"/>
      <c r="F3533" s="39"/>
    </row>
    <row r="3534">
      <c r="D3534" s="39"/>
      <c r="E3534" s="39"/>
      <c r="F3534" s="39"/>
    </row>
    <row r="3535">
      <c r="D3535" s="39"/>
      <c r="E3535" s="39"/>
      <c r="F3535" s="39"/>
    </row>
    <row r="3536">
      <c r="D3536" s="39"/>
      <c r="E3536" s="39"/>
      <c r="F3536" s="39"/>
    </row>
    <row r="3537">
      <c r="D3537" s="39"/>
      <c r="E3537" s="39"/>
      <c r="F3537" s="39"/>
    </row>
    <row r="3538">
      <c r="D3538" s="39"/>
      <c r="E3538" s="39"/>
      <c r="F3538" s="39"/>
    </row>
    <row r="3539">
      <c r="D3539" s="39"/>
      <c r="E3539" s="39"/>
      <c r="F3539" s="39"/>
    </row>
    <row r="3540">
      <c r="D3540" s="39"/>
      <c r="E3540" s="39"/>
      <c r="F3540" s="39"/>
    </row>
    <row r="3541">
      <c r="D3541" s="39"/>
      <c r="E3541" s="39"/>
      <c r="F3541" s="39"/>
    </row>
    <row r="3542">
      <c r="D3542" s="39"/>
      <c r="E3542" s="39"/>
      <c r="F3542" s="39"/>
    </row>
    <row r="3543">
      <c r="D3543" s="39"/>
      <c r="E3543" s="39"/>
      <c r="F3543" s="39"/>
    </row>
    <row r="3544">
      <c r="D3544" s="39"/>
      <c r="E3544" s="39"/>
      <c r="F3544" s="39"/>
    </row>
    <row r="3545">
      <c r="D3545" s="39"/>
      <c r="E3545" s="39"/>
      <c r="F3545" s="39"/>
    </row>
    <row r="3546">
      <c r="D3546" s="39"/>
      <c r="E3546" s="39"/>
      <c r="F3546" s="39"/>
    </row>
    <row r="3547">
      <c r="D3547" s="39"/>
      <c r="E3547" s="39"/>
      <c r="F3547" s="39"/>
    </row>
    <row r="3548">
      <c r="D3548" s="39"/>
      <c r="E3548" s="39"/>
      <c r="F3548" s="39"/>
    </row>
    <row r="3549">
      <c r="D3549" s="39"/>
      <c r="E3549" s="39"/>
      <c r="F3549" s="39"/>
    </row>
    <row r="3550">
      <c r="D3550" s="39"/>
      <c r="E3550" s="39"/>
      <c r="F3550" s="39"/>
    </row>
    <row r="3551">
      <c r="D3551" s="39"/>
      <c r="E3551" s="39"/>
      <c r="F3551" s="39"/>
    </row>
    <row r="3552">
      <c r="D3552" s="39"/>
      <c r="E3552" s="39"/>
      <c r="F3552" s="39"/>
    </row>
    <row r="3553">
      <c r="D3553" s="39"/>
      <c r="E3553" s="39"/>
      <c r="F3553" s="39"/>
    </row>
    <row r="3554">
      <c r="D3554" s="39"/>
      <c r="E3554" s="39"/>
      <c r="F3554" s="39"/>
    </row>
    <row r="3555">
      <c r="D3555" s="39"/>
      <c r="E3555" s="39"/>
      <c r="F3555" s="39"/>
    </row>
    <row r="3556">
      <c r="D3556" s="39"/>
      <c r="E3556" s="39"/>
      <c r="F3556" s="39"/>
    </row>
    <row r="3557">
      <c r="D3557" s="39"/>
      <c r="E3557" s="39"/>
      <c r="F3557" s="39"/>
    </row>
    <row r="3558">
      <c r="D3558" s="39"/>
      <c r="E3558" s="39"/>
      <c r="F3558" s="39"/>
    </row>
    <row r="3559">
      <c r="D3559" s="39"/>
      <c r="E3559" s="39"/>
      <c r="F3559" s="39"/>
    </row>
    <row r="3560">
      <c r="D3560" s="39"/>
      <c r="E3560" s="39"/>
      <c r="F3560" s="39"/>
    </row>
    <row r="3561">
      <c r="D3561" s="39"/>
      <c r="E3561" s="39"/>
      <c r="F3561" s="39"/>
    </row>
    <row r="3562">
      <c r="D3562" s="39"/>
      <c r="E3562" s="39"/>
      <c r="F3562" s="39"/>
    </row>
    <row r="3563">
      <c r="D3563" s="39"/>
      <c r="E3563" s="39"/>
      <c r="F3563" s="39"/>
    </row>
    <row r="3564">
      <c r="D3564" s="39"/>
      <c r="E3564" s="39"/>
      <c r="F3564" s="39"/>
    </row>
    <row r="3565">
      <c r="D3565" s="39"/>
      <c r="E3565" s="39"/>
      <c r="F3565" s="39"/>
    </row>
    <row r="3566">
      <c r="D3566" s="39"/>
      <c r="E3566" s="39"/>
      <c r="F3566" s="39"/>
    </row>
    <row r="3567">
      <c r="D3567" s="39"/>
      <c r="E3567" s="39"/>
      <c r="F3567" s="39"/>
    </row>
    <row r="3568">
      <c r="D3568" s="39"/>
      <c r="E3568" s="39"/>
      <c r="F3568" s="39"/>
    </row>
    <row r="3569">
      <c r="D3569" s="39"/>
      <c r="E3569" s="39"/>
      <c r="F3569" s="39"/>
    </row>
    <row r="3570">
      <c r="D3570" s="39"/>
      <c r="E3570" s="39"/>
      <c r="F3570" s="39"/>
    </row>
    <row r="3571">
      <c r="D3571" s="39"/>
      <c r="E3571" s="39"/>
      <c r="F3571" s="39"/>
    </row>
    <row r="3572">
      <c r="D3572" s="39"/>
      <c r="E3572" s="39"/>
      <c r="F3572" s="39"/>
    </row>
    <row r="3573">
      <c r="D3573" s="39"/>
      <c r="E3573" s="39"/>
      <c r="F3573" s="39"/>
    </row>
    <row r="3574">
      <c r="D3574" s="39"/>
      <c r="E3574" s="39"/>
      <c r="F3574" s="39"/>
    </row>
    <row r="3575">
      <c r="D3575" s="39"/>
      <c r="E3575" s="39"/>
      <c r="F3575" s="39"/>
    </row>
    <row r="3576">
      <c r="D3576" s="39"/>
      <c r="E3576" s="39"/>
      <c r="F3576" s="39"/>
    </row>
    <row r="3577">
      <c r="D3577" s="39"/>
      <c r="E3577" s="39"/>
      <c r="F3577" s="39"/>
    </row>
    <row r="3578">
      <c r="D3578" s="39"/>
      <c r="E3578" s="39"/>
      <c r="F3578" s="39"/>
    </row>
    <row r="3579">
      <c r="D3579" s="39"/>
      <c r="E3579" s="39"/>
      <c r="F3579" s="39"/>
    </row>
    <row r="3580">
      <c r="D3580" s="39"/>
      <c r="E3580" s="39"/>
      <c r="F3580" s="39"/>
    </row>
    <row r="3581">
      <c r="D3581" s="39"/>
      <c r="E3581" s="39"/>
      <c r="F3581" s="39"/>
    </row>
    <row r="3582">
      <c r="D3582" s="39"/>
      <c r="E3582" s="39"/>
      <c r="F3582" s="39"/>
    </row>
    <row r="3583">
      <c r="D3583" s="39"/>
      <c r="E3583" s="39"/>
      <c r="F3583" s="39"/>
    </row>
    <row r="3584">
      <c r="D3584" s="39"/>
      <c r="E3584" s="39"/>
      <c r="F3584" s="39"/>
    </row>
    <row r="3585">
      <c r="D3585" s="39"/>
      <c r="E3585" s="39"/>
      <c r="F3585" s="39"/>
    </row>
    <row r="3586">
      <c r="D3586" s="39"/>
      <c r="E3586" s="39"/>
      <c r="F3586" s="39"/>
    </row>
    <row r="3587">
      <c r="D3587" s="39"/>
      <c r="E3587" s="39"/>
      <c r="F3587" s="39"/>
    </row>
    <row r="3588">
      <c r="D3588" s="39"/>
      <c r="E3588" s="39"/>
      <c r="F3588" s="39"/>
    </row>
    <row r="3589">
      <c r="D3589" s="39"/>
      <c r="E3589" s="39"/>
      <c r="F3589" s="39"/>
    </row>
    <row r="3590">
      <c r="D3590" s="39"/>
      <c r="E3590" s="39"/>
      <c r="F3590" s="39"/>
    </row>
    <row r="3591">
      <c r="D3591" s="39"/>
      <c r="E3591" s="39"/>
      <c r="F3591" s="39"/>
    </row>
    <row r="3592">
      <c r="D3592" s="39"/>
      <c r="E3592" s="39"/>
      <c r="F3592" s="39"/>
    </row>
    <row r="3593">
      <c r="D3593" s="39"/>
      <c r="E3593" s="39"/>
      <c r="F3593" s="39"/>
    </row>
    <row r="3594">
      <c r="D3594" s="39"/>
      <c r="E3594" s="39"/>
      <c r="F3594" s="39"/>
    </row>
    <row r="3595">
      <c r="D3595" s="39"/>
      <c r="E3595" s="39"/>
      <c r="F3595" s="39"/>
    </row>
    <row r="3596">
      <c r="D3596" s="39"/>
      <c r="E3596" s="39"/>
      <c r="F3596" s="39"/>
    </row>
    <row r="3597">
      <c r="D3597" s="39"/>
      <c r="E3597" s="39"/>
      <c r="F3597" s="39"/>
    </row>
    <row r="3598">
      <c r="D3598" s="39"/>
      <c r="E3598" s="39"/>
      <c r="F3598" s="39"/>
    </row>
    <row r="3599">
      <c r="D3599" s="39"/>
      <c r="E3599" s="39"/>
      <c r="F3599" s="39"/>
    </row>
    <row r="3600">
      <c r="D3600" s="39"/>
      <c r="E3600" s="39"/>
      <c r="F3600" s="39"/>
    </row>
    <row r="3601">
      <c r="D3601" s="39"/>
      <c r="E3601" s="39"/>
      <c r="F3601" s="39"/>
    </row>
    <row r="3602">
      <c r="D3602" s="39"/>
      <c r="E3602" s="39"/>
      <c r="F3602" s="39"/>
    </row>
    <row r="3603">
      <c r="D3603" s="39"/>
      <c r="E3603" s="39"/>
      <c r="F3603" s="39"/>
    </row>
    <row r="3604">
      <c r="D3604" s="39"/>
      <c r="E3604" s="39"/>
      <c r="F3604" s="39"/>
    </row>
    <row r="3605">
      <c r="D3605" s="39"/>
      <c r="E3605" s="39"/>
      <c r="F3605" s="39"/>
    </row>
    <row r="3606">
      <c r="D3606" s="39"/>
      <c r="E3606" s="39"/>
      <c r="F3606" s="39"/>
    </row>
    <row r="3607">
      <c r="D3607" s="39"/>
      <c r="E3607" s="39"/>
      <c r="F3607" s="39"/>
    </row>
    <row r="3608">
      <c r="D3608" s="39"/>
      <c r="E3608" s="39"/>
      <c r="F3608" s="39"/>
    </row>
    <row r="3609">
      <c r="D3609" s="39"/>
      <c r="E3609" s="39"/>
      <c r="F3609" s="39"/>
    </row>
    <row r="3610">
      <c r="D3610" s="39"/>
      <c r="E3610" s="39"/>
      <c r="F3610" s="39"/>
    </row>
    <row r="3611">
      <c r="D3611" s="39"/>
      <c r="E3611" s="39"/>
      <c r="F3611" s="39"/>
    </row>
    <row r="3612">
      <c r="D3612" s="39"/>
      <c r="E3612" s="39"/>
      <c r="F3612" s="39"/>
    </row>
    <row r="3613">
      <c r="D3613" s="39"/>
      <c r="E3613" s="39"/>
      <c r="F3613" s="39"/>
    </row>
    <row r="3614">
      <c r="D3614" s="39"/>
      <c r="E3614" s="39"/>
      <c r="F3614" s="39"/>
    </row>
    <row r="3615">
      <c r="D3615" s="39"/>
      <c r="E3615" s="39"/>
      <c r="F3615" s="39"/>
    </row>
    <row r="3616">
      <c r="D3616" s="39"/>
      <c r="E3616" s="39"/>
      <c r="F3616" s="39"/>
    </row>
    <row r="3617">
      <c r="D3617" s="39"/>
      <c r="E3617" s="39"/>
      <c r="F3617" s="39"/>
    </row>
    <row r="3618">
      <c r="D3618" s="39"/>
      <c r="E3618" s="39"/>
      <c r="F3618" s="39"/>
    </row>
    <row r="3619">
      <c r="D3619" s="39"/>
      <c r="E3619" s="39"/>
      <c r="F3619" s="39"/>
    </row>
    <row r="3620">
      <c r="D3620" s="39"/>
      <c r="E3620" s="39"/>
      <c r="F3620" s="39"/>
    </row>
    <row r="3621">
      <c r="D3621" s="39"/>
      <c r="E3621" s="39"/>
      <c r="F3621" s="39"/>
    </row>
    <row r="3622">
      <c r="D3622" s="39"/>
      <c r="E3622" s="39"/>
      <c r="F3622" s="39"/>
    </row>
    <row r="3623">
      <c r="D3623" s="39"/>
      <c r="E3623" s="39"/>
      <c r="F3623" s="39"/>
    </row>
    <row r="3624">
      <c r="D3624" s="39"/>
      <c r="E3624" s="39"/>
      <c r="F3624" s="39"/>
    </row>
    <row r="3625">
      <c r="D3625" s="39"/>
      <c r="E3625" s="39"/>
      <c r="F3625" s="39"/>
    </row>
    <row r="3626">
      <c r="D3626" s="39"/>
      <c r="E3626" s="39"/>
      <c r="F3626" s="39"/>
    </row>
    <row r="3627">
      <c r="D3627" s="39"/>
      <c r="E3627" s="39"/>
      <c r="F3627" s="39"/>
    </row>
    <row r="3628">
      <c r="D3628" s="39"/>
      <c r="E3628" s="39"/>
      <c r="F3628" s="39"/>
    </row>
    <row r="3629">
      <c r="D3629" s="39"/>
      <c r="E3629" s="39"/>
      <c r="F3629" s="39"/>
    </row>
    <row r="3630">
      <c r="D3630" s="39"/>
      <c r="E3630" s="39"/>
      <c r="F3630" s="39"/>
    </row>
    <row r="3631">
      <c r="D3631" s="39"/>
      <c r="E3631" s="39"/>
      <c r="F3631" s="39"/>
    </row>
    <row r="3632">
      <c r="D3632" s="39"/>
      <c r="E3632" s="39"/>
      <c r="F3632" s="39"/>
    </row>
    <row r="3633">
      <c r="D3633" s="39"/>
      <c r="E3633" s="39"/>
      <c r="F3633" s="39"/>
    </row>
    <row r="3634">
      <c r="D3634" s="39"/>
      <c r="E3634" s="39"/>
      <c r="F3634" s="39"/>
    </row>
    <row r="3635">
      <c r="D3635" s="39"/>
      <c r="E3635" s="39"/>
      <c r="F3635" s="39"/>
    </row>
    <row r="3636">
      <c r="D3636" s="39"/>
      <c r="E3636" s="39"/>
      <c r="F3636" s="39"/>
    </row>
    <row r="3637">
      <c r="D3637" s="39"/>
      <c r="E3637" s="39"/>
      <c r="F3637" s="39"/>
    </row>
    <row r="3638">
      <c r="D3638" s="39"/>
      <c r="E3638" s="39"/>
      <c r="F3638" s="39"/>
    </row>
    <row r="3639">
      <c r="D3639" s="39"/>
      <c r="E3639" s="39"/>
      <c r="F3639" s="39"/>
    </row>
    <row r="3640">
      <c r="D3640" s="39"/>
      <c r="E3640" s="39"/>
      <c r="F3640" s="39"/>
    </row>
    <row r="3641">
      <c r="D3641" s="39"/>
      <c r="E3641" s="39"/>
      <c r="F3641" s="39"/>
    </row>
    <row r="3642">
      <c r="D3642" s="39"/>
      <c r="E3642" s="39"/>
      <c r="F3642" s="39"/>
    </row>
    <row r="3643">
      <c r="D3643" s="39"/>
      <c r="E3643" s="39"/>
      <c r="F3643" s="39"/>
    </row>
    <row r="3644">
      <c r="D3644" s="39"/>
      <c r="E3644" s="39"/>
      <c r="F3644" s="39"/>
    </row>
    <row r="3645">
      <c r="D3645" s="39"/>
      <c r="E3645" s="39"/>
      <c r="F3645" s="39"/>
    </row>
    <row r="3646">
      <c r="D3646" s="39"/>
      <c r="E3646" s="39"/>
      <c r="F3646" s="39"/>
    </row>
    <row r="3647">
      <c r="D3647" s="39"/>
      <c r="E3647" s="39"/>
      <c r="F3647" s="39"/>
    </row>
    <row r="3648">
      <c r="D3648" s="39"/>
      <c r="E3648" s="39"/>
      <c r="F3648" s="39"/>
    </row>
    <row r="3649">
      <c r="D3649" s="39"/>
      <c r="E3649" s="39"/>
      <c r="F3649" s="39"/>
    </row>
    <row r="3650">
      <c r="D3650" s="39"/>
      <c r="E3650" s="39"/>
      <c r="F3650" s="39"/>
    </row>
    <row r="3651">
      <c r="D3651" s="39"/>
      <c r="E3651" s="39"/>
      <c r="F3651" s="39"/>
    </row>
    <row r="3652">
      <c r="D3652" s="39"/>
      <c r="E3652" s="39"/>
      <c r="F3652" s="39"/>
    </row>
    <row r="3653">
      <c r="D3653" s="39"/>
      <c r="E3653" s="39"/>
      <c r="F3653" s="39"/>
    </row>
    <row r="3654">
      <c r="D3654" s="39"/>
      <c r="E3654" s="39"/>
      <c r="F3654" s="39"/>
    </row>
    <row r="3655">
      <c r="D3655" s="39"/>
      <c r="E3655" s="39"/>
      <c r="F3655" s="39"/>
    </row>
    <row r="3656">
      <c r="D3656" s="39"/>
      <c r="E3656" s="39"/>
      <c r="F3656" s="39"/>
    </row>
    <row r="3657">
      <c r="D3657" s="39"/>
      <c r="E3657" s="39"/>
      <c r="F3657" s="39"/>
    </row>
    <row r="3658">
      <c r="D3658" s="39"/>
      <c r="E3658" s="39"/>
      <c r="F3658" s="39"/>
    </row>
    <row r="3659">
      <c r="D3659" s="39"/>
      <c r="E3659" s="39"/>
      <c r="F3659" s="39"/>
    </row>
    <row r="3660">
      <c r="D3660" s="39"/>
      <c r="E3660" s="39"/>
      <c r="F3660" s="39"/>
    </row>
    <row r="3661">
      <c r="D3661" s="39"/>
      <c r="E3661" s="39"/>
      <c r="F3661" s="39"/>
    </row>
    <row r="3662">
      <c r="D3662" s="39"/>
      <c r="E3662" s="39"/>
      <c r="F3662" s="39"/>
    </row>
    <row r="3663">
      <c r="D3663" s="39"/>
      <c r="E3663" s="39"/>
      <c r="F3663" s="39"/>
    </row>
    <row r="3664">
      <c r="D3664" s="39"/>
      <c r="E3664" s="39"/>
      <c r="F3664" s="39"/>
    </row>
    <row r="3665">
      <c r="D3665" s="39"/>
      <c r="E3665" s="39"/>
      <c r="F3665" s="39"/>
    </row>
    <row r="3666">
      <c r="D3666" s="39"/>
      <c r="E3666" s="39"/>
      <c r="F3666" s="39"/>
    </row>
    <row r="3667">
      <c r="D3667" s="39"/>
      <c r="E3667" s="39"/>
      <c r="F3667" s="39"/>
    </row>
    <row r="3668">
      <c r="D3668" s="39"/>
      <c r="E3668" s="39"/>
      <c r="F3668" s="39"/>
    </row>
    <row r="3669">
      <c r="D3669" s="39"/>
      <c r="E3669" s="39"/>
      <c r="F3669" s="39"/>
    </row>
    <row r="3670">
      <c r="D3670" s="39"/>
      <c r="E3670" s="39"/>
      <c r="F3670" s="39"/>
    </row>
    <row r="3671">
      <c r="D3671" s="39"/>
      <c r="E3671" s="39"/>
      <c r="F3671" s="39"/>
    </row>
    <row r="3672">
      <c r="D3672" s="39"/>
      <c r="E3672" s="39"/>
      <c r="F3672" s="39"/>
    </row>
    <row r="3673">
      <c r="D3673" s="39"/>
      <c r="E3673" s="39"/>
      <c r="F3673" s="39"/>
    </row>
    <row r="3674">
      <c r="D3674" s="39"/>
      <c r="E3674" s="39"/>
      <c r="F3674" s="39"/>
    </row>
    <row r="3675">
      <c r="D3675" s="39"/>
      <c r="E3675" s="39"/>
      <c r="F3675" s="39"/>
    </row>
    <row r="3676">
      <c r="D3676" s="39"/>
      <c r="E3676" s="39"/>
      <c r="F3676" s="39"/>
    </row>
    <row r="3677">
      <c r="D3677" s="39"/>
      <c r="E3677" s="39"/>
      <c r="F3677" s="39"/>
    </row>
    <row r="3678">
      <c r="D3678" s="39"/>
      <c r="E3678" s="39"/>
      <c r="F3678" s="39"/>
    </row>
    <row r="3679">
      <c r="D3679" s="39"/>
      <c r="E3679" s="39"/>
      <c r="F3679" s="39"/>
    </row>
    <row r="3680">
      <c r="D3680" s="39"/>
      <c r="E3680" s="39"/>
      <c r="F3680" s="39"/>
    </row>
    <row r="3681">
      <c r="D3681" s="39"/>
      <c r="E3681" s="39"/>
      <c r="F3681" s="39"/>
    </row>
    <row r="3682">
      <c r="D3682" s="39"/>
      <c r="E3682" s="39"/>
      <c r="F3682" s="39"/>
    </row>
    <row r="3683">
      <c r="D3683" s="39"/>
      <c r="E3683" s="39"/>
      <c r="F3683" s="39"/>
    </row>
    <row r="3684">
      <c r="D3684" s="39"/>
      <c r="E3684" s="39"/>
      <c r="F3684" s="39"/>
    </row>
    <row r="3685">
      <c r="D3685" s="39"/>
      <c r="E3685" s="39"/>
      <c r="F3685" s="39"/>
    </row>
    <row r="3686">
      <c r="D3686" s="39"/>
      <c r="E3686" s="39"/>
      <c r="F3686" s="39"/>
    </row>
    <row r="3687">
      <c r="D3687" s="39"/>
      <c r="E3687" s="39"/>
      <c r="F3687" s="39"/>
    </row>
    <row r="3688">
      <c r="D3688" s="39"/>
      <c r="E3688" s="39"/>
      <c r="F3688" s="39"/>
    </row>
    <row r="3689">
      <c r="D3689" s="39"/>
      <c r="E3689" s="39"/>
      <c r="F3689" s="39"/>
    </row>
    <row r="3690">
      <c r="D3690" s="39"/>
      <c r="E3690" s="39"/>
      <c r="F3690" s="39"/>
    </row>
    <row r="3691">
      <c r="D3691" s="39"/>
      <c r="E3691" s="39"/>
      <c r="F3691" s="39"/>
    </row>
    <row r="3692">
      <c r="D3692" s="39"/>
      <c r="E3692" s="39"/>
      <c r="F3692" s="39"/>
    </row>
    <row r="3693">
      <c r="D3693" s="39"/>
      <c r="E3693" s="39"/>
      <c r="F3693" s="39"/>
    </row>
    <row r="3694">
      <c r="D3694" s="39"/>
      <c r="E3694" s="39"/>
      <c r="F3694" s="39"/>
    </row>
    <row r="3695">
      <c r="D3695" s="39"/>
      <c r="E3695" s="39"/>
      <c r="F3695" s="39"/>
    </row>
    <row r="3696">
      <c r="D3696" s="39"/>
      <c r="E3696" s="39"/>
      <c r="F3696" s="39"/>
    </row>
    <row r="3697">
      <c r="D3697" s="39"/>
      <c r="E3697" s="39"/>
      <c r="F3697" s="39"/>
    </row>
    <row r="3698">
      <c r="D3698" s="39"/>
      <c r="E3698" s="39"/>
      <c r="F3698" s="39"/>
    </row>
    <row r="3699">
      <c r="D3699" s="39"/>
      <c r="E3699" s="39"/>
      <c r="F3699" s="39"/>
    </row>
    <row r="3700">
      <c r="D3700" s="39"/>
      <c r="E3700" s="39"/>
      <c r="F3700" s="39"/>
    </row>
    <row r="3701">
      <c r="D3701" s="39"/>
      <c r="E3701" s="39"/>
      <c r="F3701" s="39"/>
    </row>
    <row r="3702">
      <c r="D3702" s="39"/>
      <c r="E3702" s="39"/>
      <c r="F3702" s="39"/>
    </row>
    <row r="3703">
      <c r="D3703" s="39"/>
      <c r="E3703" s="39"/>
      <c r="F3703" s="39"/>
    </row>
    <row r="3704">
      <c r="D3704" s="39"/>
      <c r="E3704" s="39"/>
      <c r="F3704" s="39"/>
    </row>
    <row r="3705">
      <c r="D3705" s="39"/>
      <c r="E3705" s="39"/>
      <c r="F3705" s="39"/>
    </row>
    <row r="3706">
      <c r="D3706" s="39"/>
      <c r="E3706" s="39"/>
      <c r="F3706" s="39"/>
    </row>
    <row r="3707">
      <c r="D3707" s="39"/>
      <c r="E3707" s="39"/>
      <c r="F3707" s="39"/>
    </row>
    <row r="3708">
      <c r="D3708" s="39"/>
      <c r="E3708" s="39"/>
      <c r="F3708" s="39"/>
    </row>
    <row r="3709">
      <c r="D3709" s="39"/>
      <c r="E3709" s="39"/>
      <c r="F3709" s="39"/>
    </row>
    <row r="3710">
      <c r="D3710" s="39"/>
      <c r="E3710" s="39"/>
      <c r="F3710" s="39"/>
    </row>
    <row r="3711">
      <c r="D3711" s="39"/>
      <c r="E3711" s="39"/>
      <c r="F3711" s="39"/>
    </row>
    <row r="3712">
      <c r="D3712" s="39"/>
      <c r="E3712" s="39"/>
      <c r="F3712" s="39"/>
    </row>
    <row r="3713">
      <c r="D3713" s="39"/>
      <c r="E3713" s="39"/>
      <c r="F3713" s="39"/>
    </row>
    <row r="3714">
      <c r="D3714" s="39"/>
      <c r="E3714" s="39"/>
      <c r="F3714" s="39"/>
    </row>
    <row r="3715">
      <c r="D3715" s="39"/>
      <c r="E3715" s="39"/>
      <c r="F3715" s="39"/>
    </row>
    <row r="3716">
      <c r="D3716" s="39"/>
      <c r="E3716" s="39"/>
      <c r="F3716" s="39"/>
    </row>
    <row r="3717">
      <c r="D3717" s="39"/>
      <c r="E3717" s="39"/>
      <c r="F3717" s="39"/>
    </row>
    <row r="3718">
      <c r="D3718" s="39"/>
      <c r="E3718" s="39"/>
      <c r="F3718" s="39"/>
    </row>
    <row r="3719">
      <c r="D3719" s="39"/>
      <c r="E3719" s="39"/>
      <c r="F3719" s="39"/>
    </row>
    <row r="3720">
      <c r="D3720" s="39"/>
      <c r="E3720" s="39"/>
      <c r="F3720" s="39"/>
    </row>
    <row r="3721">
      <c r="D3721" s="39"/>
      <c r="E3721" s="39"/>
      <c r="F3721" s="39"/>
    </row>
    <row r="3722">
      <c r="D3722" s="39"/>
      <c r="E3722" s="39"/>
      <c r="F3722" s="39"/>
    </row>
    <row r="3723">
      <c r="D3723" s="39"/>
      <c r="E3723" s="39"/>
      <c r="F3723" s="39"/>
    </row>
    <row r="3724">
      <c r="D3724" s="39"/>
      <c r="E3724" s="39"/>
      <c r="F3724" s="39"/>
    </row>
    <row r="3725">
      <c r="D3725" s="39"/>
      <c r="E3725" s="39"/>
      <c r="F3725" s="39"/>
    </row>
    <row r="3726">
      <c r="D3726" s="39"/>
      <c r="E3726" s="39"/>
      <c r="F3726" s="39"/>
    </row>
    <row r="3727">
      <c r="D3727" s="39"/>
      <c r="E3727" s="39"/>
      <c r="F3727" s="39"/>
    </row>
    <row r="3728">
      <c r="D3728" s="39"/>
      <c r="E3728" s="39"/>
      <c r="F3728" s="39"/>
    </row>
    <row r="3729">
      <c r="D3729" s="39"/>
      <c r="E3729" s="39"/>
      <c r="F3729" s="39"/>
    </row>
    <row r="3730">
      <c r="D3730" s="39"/>
      <c r="E3730" s="39"/>
      <c r="F3730" s="39"/>
    </row>
    <row r="3731">
      <c r="D3731" s="39"/>
      <c r="E3731" s="39"/>
      <c r="F3731" s="39"/>
    </row>
    <row r="3732">
      <c r="D3732" s="39"/>
      <c r="E3732" s="39"/>
      <c r="F3732" s="39"/>
    </row>
    <row r="3733">
      <c r="D3733" s="39"/>
      <c r="E3733" s="39"/>
      <c r="F3733" s="39"/>
    </row>
    <row r="3734">
      <c r="D3734" s="39"/>
      <c r="E3734" s="39"/>
      <c r="F3734" s="39"/>
    </row>
    <row r="3735">
      <c r="D3735" s="39"/>
      <c r="E3735" s="39"/>
      <c r="F3735" s="39"/>
    </row>
    <row r="3736">
      <c r="D3736" s="39"/>
      <c r="E3736" s="39"/>
      <c r="F3736" s="39"/>
    </row>
    <row r="3737">
      <c r="D3737" s="39"/>
      <c r="E3737" s="39"/>
      <c r="F3737" s="39"/>
    </row>
    <row r="3738">
      <c r="D3738" s="39"/>
      <c r="E3738" s="39"/>
      <c r="F3738" s="39"/>
    </row>
    <row r="3739">
      <c r="D3739" s="39"/>
      <c r="E3739" s="39"/>
      <c r="F3739" s="39"/>
    </row>
    <row r="3740">
      <c r="D3740" s="39"/>
      <c r="E3740" s="39"/>
      <c r="F3740" s="39"/>
    </row>
    <row r="3741">
      <c r="D3741" s="39"/>
      <c r="E3741" s="39"/>
      <c r="F3741" s="39"/>
    </row>
    <row r="3742">
      <c r="D3742" s="39"/>
      <c r="E3742" s="39"/>
      <c r="F3742" s="39"/>
    </row>
    <row r="3743">
      <c r="D3743" s="39"/>
      <c r="E3743" s="39"/>
      <c r="F3743" s="39"/>
    </row>
    <row r="3744">
      <c r="D3744" s="39"/>
      <c r="E3744" s="39"/>
      <c r="F3744" s="39"/>
    </row>
    <row r="3745">
      <c r="D3745" s="39"/>
      <c r="E3745" s="39"/>
      <c r="F3745" s="39"/>
    </row>
    <row r="3746">
      <c r="D3746" s="39"/>
      <c r="E3746" s="39"/>
      <c r="F3746" s="39"/>
    </row>
    <row r="3747">
      <c r="D3747" s="39"/>
      <c r="E3747" s="39"/>
      <c r="F3747" s="39"/>
    </row>
    <row r="3748">
      <c r="D3748" s="39"/>
      <c r="E3748" s="39"/>
      <c r="F3748" s="39"/>
    </row>
    <row r="3749">
      <c r="D3749" s="39"/>
      <c r="E3749" s="39"/>
      <c r="F3749" s="39"/>
    </row>
    <row r="3750">
      <c r="D3750" s="39"/>
      <c r="E3750" s="39"/>
      <c r="F3750" s="39"/>
    </row>
    <row r="3751">
      <c r="D3751" s="39"/>
      <c r="E3751" s="39"/>
      <c r="F3751" s="39"/>
    </row>
    <row r="3752">
      <c r="D3752" s="39"/>
      <c r="E3752" s="39"/>
      <c r="F3752" s="39"/>
    </row>
    <row r="3753">
      <c r="D3753" s="39"/>
      <c r="E3753" s="39"/>
      <c r="F3753" s="39"/>
    </row>
    <row r="3754">
      <c r="D3754" s="39"/>
      <c r="E3754" s="39"/>
      <c r="F3754" s="39"/>
    </row>
    <row r="3755">
      <c r="D3755" s="39"/>
      <c r="E3755" s="39"/>
      <c r="F3755" s="39"/>
    </row>
    <row r="3756">
      <c r="D3756" s="39"/>
      <c r="E3756" s="39"/>
      <c r="F3756" s="39"/>
    </row>
    <row r="3757">
      <c r="D3757" s="39"/>
      <c r="E3757" s="39"/>
      <c r="F3757" s="39"/>
    </row>
    <row r="3758">
      <c r="D3758" s="39"/>
      <c r="E3758" s="39"/>
      <c r="F3758" s="39"/>
    </row>
    <row r="3759">
      <c r="D3759" s="39"/>
      <c r="E3759" s="39"/>
      <c r="F3759" s="39"/>
    </row>
    <row r="3760">
      <c r="D3760" s="39"/>
      <c r="E3760" s="39"/>
      <c r="F3760" s="39"/>
    </row>
    <row r="3761">
      <c r="D3761" s="39"/>
      <c r="E3761" s="39"/>
      <c r="F3761" s="39"/>
    </row>
    <row r="3762">
      <c r="D3762" s="39"/>
      <c r="E3762" s="39"/>
      <c r="F3762" s="39"/>
    </row>
    <row r="3763">
      <c r="D3763" s="39"/>
      <c r="E3763" s="39"/>
      <c r="F3763" s="39"/>
    </row>
    <row r="3764">
      <c r="D3764" s="39"/>
      <c r="E3764" s="39"/>
      <c r="F3764" s="39"/>
    </row>
    <row r="3765">
      <c r="D3765" s="39"/>
      <c r="E3765" s="39"/>
      <c r="F3765" s="39"/>
    </row>
    <row r="3766">
      <c r="D3766" s="39"/>
      <c r="E3766" s="39"/>
      <c r="F3766" s="39"/>
    </row>
    <row r="3767">
      <c r="D3767" s="39"/>
      <c r="E3767" s="39"/>
      <c r="F3767" s="39"/>
    </row>
    <row r="3768">
      <c r="D3768" s="39"/>
      <c r="E3768" s="39"/>
      <c r="F3768" s="39"/>
    </row>
    <row r="3769">
      <c r="D3769" s="39"/>
      <c r="E3769" s="39"/>
      <c r="F3769" s="39"/>
    </row>
    <row r="3770">
      <c r="D3770" s="39"/>
      <c r="E3770" s="39"/>
      <c r="F3770" s="39"/>
    </row>
    <row r="3771">
      <c r="D3771" s="39"/>
      <c r="E3771" s="39"/>
      <c r="F3771" s="39"/>
    </row>
    <row r="3772">
      <c r="D3772" s="39"/>
      <c r="E3772" s="39"/>
      <c r="F3772" s="39"/>
    </row>
    <row r="3773">
      <c r="D3773" s="39"/>
      <c r="E3773" s="39"/>
      <c r="F3773" s="39"/>
    </row>
    <row r="3774">
      <c r="D3774" s="39"/>
      <c r="E3774" s="39"/>
      <c r="F3774" s="39"/>
    </row>
    <row r="3775">
      <c r="D3775" s="39"/>
      <c r="E3775" s="39"/>
      <c r="F3775" s="39"/>
    </row>
    <row r="3776">
      <c r="D3776" s="39"/>
      <c r="E3776" s="39"/>
      <c r="F3776" s="39"/>
    </row>
    <row r="3777">
      <c r="D3777" s="39"/>
      <c r="E3777" s="39"/>
      <c r="F3777" s="39"/>
    </row>
    <row r="3778">
      <c r="D3778" s="39"/>
      <c r="E3778" s="39"/>
      <c r="F3778" s="39"/>
    </row>
    <row r="3779">
      <c r="D3779" s="39"/>
      <c r="E3779" s="39"/>
      <c r="F3779" s="39"/>
    </row>
    <row r="3780">
      <c r="D3780" s="39"/>
      <c r="E3780" s="39"/>
      <c r="F3780" s="39"/>
    </row>
    <row r="3781">
      <c r="D3781" s="39"/>
      <c r="E3781" s="39"/>
      <c r="F3781" s="39"/>
    </row>
    <row r="3782">
      <c r="D3782" s="39"/>
      <c r="E3782" s="39"/>
      <c r="F3782" s="39"/>
    </row>
    <row r="3783">
      <c r="D3783" s="39"/>
      <c r="E3783" s="39"/>
      <c r="F3783" s="39"/>
    </row>
    <row r="3784">
      <c r="D3784" s="39"/>
      <c r="E3784" s="39"/>
      <c r="F3784" s="39"/>
    </row>
    <row r="3785">
      <c r="D3785" s="39"/>
      <c r="E3785" s="39"/>
      <c r="F3785" s="39"/>
    </row>
    <row r="3786">
      <c r="D3786" s="39"/>
      <c r="E3786" s="39"/>
      <c r="F3786" s="39"/>
    </row>
    <row r="3787">
      <c r="D3787" s="39"/>
      <c r="E3787" s="39"/>
      <c r="F3787" s="39"/>
    </row>
    <row r="3788">
      <c r="D3788" s="39"/>
      <c r="E3788" s="39"/>
      <c r="F3788" s="39"/>
    </row>
    <row r="3789">
      <c r="D3789" s="39"/>
      <c r="E3789" s="39"/>
      <c r="F3789" s="39"/>
    </row>
    <row r="3790">
      <c r="D3790" s="39"/>
      <c r="E3790" s="39"/>
      <c r="F3790" s="39"/>
    </row>
    <row r="3791">
      <c r="D3791" s="39"/>
      <c r="E3791" s="39"/>
      <c r="F3791" s="39"/>
    </row>
    <row r="3792">
      <c r="D3792" s="39"/>
      <c r="E3792" s="39"/>
      <c r="F3792" s="39"/>
    </row>
    <row r="3793">
      <c r="D3793" s="39"/>
      <c r="E3793" s="39"/>
      <c r="F3793" s="39"/>
    </row>
    <row r="3794">
      <c r="D3794" s="39"/>
      <c r="E3794" s="39"/>
      <c r="F3794" s="39"/>
    </row>
    <row r="3795">
      <c r="D3795" s="39"/>
      <c r="E3795" s="39"/>
      <c r="F3795" s="39"/>
    </row>
    <row r="3796">
      <c r="D3796" s="39"/>
      <c r="E3796" s="39"/>
      <c r="F3796" s="39"/>
    </row>
    <row r="3797">
      <c r="D3797" s="39"/>
      <c r="E3797" s="39"/>
      <c r="F3797" s="39"/>
    </row>
    <row r="3798">
      <c r="D3798" s="39"/>
      <c r="E3798" s="39"/>
      <c r="F3798" s="39"/>
    </row>
    <row r="3799">
      <c r="D3799" s="39"/>
      <c r="E3799" s="39"/>
      <c r="F3799" s="39"/>
    </row>
    <row r="3800">
      <c r="D3800" s="39"/>
      <c r="E3800" s="39"/>
      <c r="F3800" s="39"/>
    </row>
    <row r="3801">
      <c r="D3801" s="39"/>
      <c r="E3801" s="39"/>
      <c r="F3801" s="39"/>
    </row>
    <row r="3802">
      <c r="D3802" s="39"/>
      <c r="E3802" s="39"/>
      <c r="F3802" s="39"/>
    </row>
    <row r="3803">
      <c r="D3803" s="39"/>
      <c r="E3803" s="39"/>
      <c r="F3803" s="39"/>
    </row>
    <row r="3804">
      <c r="D3804" s="39"/>
      <c r="E3804" s="39"/>
      <c r="F3804" s="39"/>
    </row>
    <row r="3805">
      <c r="D3805" s="39"/>
      <c r="E3805" s="39"/>
      <c r="F3805" s="39"/>
    </row>
    <row r="3806">
      <c r="D3806" s="39"/>
      <c r="E3806" s="39"/>
      <c r="F3806" s="39"/>
    </row>
    <row r="3807">
      <c r="D3807" s="39"/>
      <c r="E3807" s="39"/>
      <c r="F3807" s="39"/>
    </row>
    <row r="3808">
      <c r="D3808" s="39"/>
      <c r="E3808" s="39"/>
      <c r="F3808" s="39"/>
    </row>
    <row r="3809">
      <c r="D3809" s="39"/>
      <c r="E3809" s="39"/>
      <c r="F3809" s="39"/>
    </row>
    <row r="3810">
      <c r="D3810" s="39"/>
      <c r="E3810" s="39"/>
      <c r="F3810" s="39"/>
    </row>
    <row r="3811">
      <c r="D3811" s="39"/>
      <c r="E3811" s="39"/>
      <c r="F3811" s="39"/>
    </row>
    <row r="3812">
      <c r="D3812" s="39"/>
      <c r="E3812" s="39"/>
      <c r="F3812" s="39"/>
    </row>
    <row r="3813">
      <c r="D3813" s="39"/>
      <c r="E3813" s="39"/>
      <c r="F3813" s="39"/>
    </row>
    <row r="3814">
      <c r="D3814" s="39"/>
      <c r="E3814" s="39"/>
      <c r="F3814" s="39"/>
    </row>
    <row r="3815">
      <c r="D3815" s="39"/>
      <c r="E3815" s="39"/>
      <c r="F3815" s="39"/>
    </row>
    <row r="3816">
      <c r="D3816" s="39"/>
      <c r="E3816" s="39"/>
      <c r="F3816" s="39"/>
    </row>
    <row r="3817">
      <c r="D3817" s="39"/>
      <c r="E3817" s="39"/>
      <c r="F3817" s="39"/>
    </row>
    <row r="3818">
      <c r="D3818" s="39"/>
      <c r="E3818" s="39"/>
      <c r="F3818" s="39"/>
    </row>
    <row r="3819">
      <c r="D3819" s="39"/>
      <c r="E3819" s="39"/>
      <c r="F3819" s="39"/>
    </row>
    <row r="3820">
      <c r="D3820" s="39"/>
      <c r="E3820" s="39"/>
      <c r="F3820" s="39"/>
    </row>
    <row r="3821">
      <c r="D3821" s="39"/>
      <c r="E3821" s="39"/>
      <c r="F3821" s="39"/>
    </row>
    <row r="3822">
      <c r="D3822" s="39"/>
      <c r="E3822" s="39"/>
      <c r="F3822" s="39"/>
    </row>
    <row r="3823">
      <c r="D3823" s="39"/>
      <c r="E3823" s="39"/>
      <c r="F3823" s="39"/>
    </row>
    <row r="3824">
      <c r="D3824" s="39"/>
      <c r="E3824" s="39"/>
      <c r="F3824" s="39"/>
    </row>
    <row r="3825">
      <c r="D3825" s="39"/>
      <c r="E3825" s="39"/>
      <c r="F3825" s="39"/>
    </row>
    <row r="3826">
      <c r="D3826" s="39"/>
      <c r="E3826" s="39"/>
      <c r="F3826" s="39"/>
    </row>
    <row r="3827">
      <c r="D3827" s="39"/>
      <c r="E3827" s="39"/>
      <c r="F3827" s="39"/>
    </row>
    <row r="3828">
      <c r="D3828" s="39"/>
      <c r="E3828" s="39"/>
      <c r="F3828" s="39"/>
    </row>
    <row r="3829">
      <c r="D3829" s="39"/>
      <c r="E3829" s="39"/>
      <c r="F3829" s="39"/>
    </row>
    <row r="3830">
      <c r="D3830" s="39"/>
      <c r="E3830" s="39"/>
      <c r="F3830" s="39"/>
    </row>
    <row r="3831">
      <c r="D3831" s="39"/>
      <c r="E3831" s="39"/>
      <c r="F3831" s="39"/>
    </row>
    <row r="3832">
      <c r="D3832" s="39"/>
      <c r="E3832" s="39"/>
      <c r="F3832" s="39"/>
    </row>
    <row r="3833">
      <c r="D3833" s="39"/>
      <c r="E3833" s="39"/>
      <c r="F3833" s="39"/>
    </row>
    <row r="3834">
      <c r="D3834" s="39"/>
      <c r="E3834" s="39"/>
      <c r="F3834" s="39"/>
    </row>
    <row r="3835">
      <c r="D3835" s="39"/>
      <c r="E3835" s="39"/>
      <c r="F3835" s="39"/>
    </row>
    <row r="3836">
      <c r="D3836" s="39"/>
      <c r="E3836" s="39"/>
      <c r="F3836" s="39"/>
    </row>
    <row r="3837">
      <c r="D3837" s="39"/>
      <c r="E3837" s="39"/>
      <c r="F3837" s="39"/>
    </row>
    <row r="3838">
      <c r="D3838" s="39"/>
      <c r="E3838" s="39"/>
      <c r="F3838" s="39"/>
    </row>
    <row r="3839">
      <c r="D3839" s="39"/>
      <c r="E3839" s="39"/>
      <c r="F3839" s="39"/>
    </row>
    <row r="3840">
      <c r="D3840" s="39"/>
      <c r="E3840" s="39"/>
      <c r="F3840" s="39"/>
    </row>
    <row r="3841">
      <c r="D3841" s="39"/>
      <c r="E3841" s="39"/>
      <c r="F3841" s="39"/>
    </row>
    <row r="3842">
      <c r="D3842" s="39"/>
      <c r="E3842" s="39"/>
      <c r="F3842" s="39"/>
    </row>
    <row r="3843">
      <c r="D3843" s="39"/>
      <c r="E3843" s="39"/>
      <c r="F3843" s="39"/>
    </row>
    <row r="3844">
      <c r="D3844" s="39"/>
      <c r="E3844" s="39"/>
      <c r="F3844" s="39"/>
    </row>
    <row r="3845">
      <c r="D3845" s="39"/>
      <c r="E3845" s="39"/>
      <c r="F3845" s="39"/>
    </row>
    <row r="3846">
      <c r="D3846" s="39"/>
      <c r="E3846" s="39"/>
      <c r="F3846" s="39"/>
    </row>
    <row r="3847">
      <c r="D3847" s="39"/>
      <c r="E3847" s="39"/>
      <c r="F3847" s="39"/>
    </row>
    <row r="3848">
      <c r="D3848" s="39"/>
      <c r="E3848" s="39"/>
      <c r="F3848" s="39"/>
    </row>
    <row r="3849">
      <c r="D3849" s="39"/>
      <c r="E3849" s="39"/>
      <c r="F3849" s="39"/>
    </row>
    <row r="3850">
      <c r="D3850" s="39"/>
      <c r="E3850" s="39"/>
      <c r="F3850" s="39"/>
    </row>
    <row r="3851">
      <c r="D3851" s="39"/>
      <c r="E3851" s="39"/>
      <c r="F3851" s="39"/>
    </row>
    <row r="3852">
      <c r="D3852" s="39"/>
      <c r="E3852" s="39"/>
      <c r="F3852" s="39"/>
    </row>
    <row r="3853">
      <c r="D3853" s="39"/>
      <c r="E3853" s="39"/>
      <c r="F3853" s="39"/>
    </row>
    <row r="3854">
      <c r="D3854" s="39"/>
      <c r="E3854" s="39"/>
      <c r="F3854" s="39"/>
    </row>
    <row r="3855">
      <c r="D3855" s="39"/>
      <c r="E3855" s="39"/>
      <c r="F3855" s="39"/>
    </row>
    <row r="3856">
      <c r="D3856" s="39"/>
      <c r="E3856" s="39"/>
      <c r="F3856" s="39"/>
    </row>
    <row r="3857">
      <c r="D3857" s="39"/>
      <c r="E3857" s="39"/>
      <c r="F3857" s="39"/>
    </row>
    <row r="3858">
      <c r="D3858" s="39"/>
      <c r="E3858" s="39"/>
      <c r="F3858" s="39"/>
    </row>
    <row r="3859">
      <c r="D3859" s="39"/>
      <c r="E3859" s="39"/>
      <c r="F3859" s="39"/>
    </row>
    <row r="3860">
      <c r="D3860" s="39"/>
      <c r="E3860" s="39"/>
      <c r="F3860" s="39"/>
    </row>
    <row r="3861">
      <c r="D3861" s="39"/>
      <c r="E3861" s="39"/>
      <c r="F3861" s="39"/>
    </row>
    <row r="3862">
      <c r="D3862" s="39"/>
      <c r="E3862" s="39"/>
      <c r="F3862" s="39"/>
    </row>
    <row r="3863">
      <c r="D3863" s="39"/>
      <c r="E3863" s="39"/>
      <c r="F3863" s="39"/>
    </row>
    <row r="3864">
      <c r="D3864" s="39"/>
      <c r="E3864" s="39"/>
      <c r="F3864" s="39"/>
    </row>
    <row r="3865">
      <c r="D3865" s="39"/>
      <c r="E3865" s="39"/>
      <c r="F3865" s="39"/>
    </row>
    <row r="3866">
      <c r="D3866" s="39"/>
      <c r="E3866" s="39"/>
      <c r="F3866" s="39"/>
    </row>
    <row r="3867">
      <c r="D3867" s="39"/>
      <c r="E3867" s="39"/>
      <c r="F3867" s="39"/>
    </row>
    <row r="3868">
      <c r="D3868" s="39"/>
      <c r="E3868" s="39"/>
      <c r="F3868" s="39"/>
    </row>
    <row r="3869">
      <c r="D3869" s="39"/>
      <c r="E3869" s="39"/>
      <c r="F3869" s="39"/>
    </row>
    <row r="3870">
      <c r="D3870" s="39"/>
      <c r="E3870" s="39"/>
      <c r="F3870" s="39"/>
    </row>
    <row r="3871">
      <c r="D3871" s="39"/>
      <c r="E3871" s="39"/>
      <c r="F3871" s="39"/>
    </row>
    <row r="3872">
      <c r="D3872" s="39"/>
      <c r="E3872" s="39"/>
      <c r="F3872" s="39"/>
    </row>
    <row r="3873">
      <c r="D3873" s="39"/>
      <c r="E3873" s="39"/>
      <c r="F3873" s="39"/>
    </row>
    <row r="3874">
      <c r="D3874" s="39"/>
      <c r="E3874" s="39"/>
      <c r="F3874" s="39"/>
    </row>
    <row r="3875">
      <c r="D3875" s="39"/>
      <c r="E3875" s="39"/>
      <c r="F3875" s="39"/>
    </row>
    <row r="3876">
      <c r="D3876" s="39"/>
      <c r="E3876" s="39"/>
      <c r="F3876" s="39"/>
    </row>
    <row r="3877">
      <c r="D3877" s="39"/>
      <c r="E3877" s="39"/>
      <c r="F3877" s="39"/>
    </row>
    <row r="3878">
      <c r="D3878" s="39"/>
      <c r="E3878" s="39"/>
      <c r="F3878" s="39"/>
    </row>
    <row r="3879">
      <c r="D3879" s="39"/>
      <c r="E3879" s="39"/>
      <c r="F3879" s="39"/>
    </row>
    <row r="3880">
      <c r="D3880" s="39"/>
      <c r="E3880" s="39"/>
      <c r="F3880" s="39"/>
    </row>
    <row r="3881">
      <c r="D3881" s="39"/>
      <c r="E3881" s="39"/>
      <c r="F3881" s="39"/>
    </row>
    <row r="3882">
      <c r="D3882" s="39"/>
      <c r="E3882" s="39"/>
      <c r="F3882" s="39"/>
    </row>
    <row r="3883">
      <c r="D3883" s="39"/>
      <c r="E3883" s="39"/>
      <c r="F3883" s="39"/>
    </row>
    <row r="3884">
      <c r="D3884" s="39"/>
      <c r="E3884" s="39"/>
      <c r="F3884" s="39"/>
    </row>
    <row r="3885">
      <c r="D3885" s="39"/>
      <c r="E3885" s="39"/>
      <c r="F3885" s="39"/>
    </row>
    <row r="3886">
      <c r="D3886" s="39"/>
      <c r="E3886" s="39"/>
      <c r="F3886" s="39"/>
    </row>
    <row r="3887">
      <c r="D3887" s="39"/>
      <c r="E3887" s="39"/>
      <c r="F3887" s="39"/>
    </row>
    <row r="3888">
      <c r="D3888" s="39"/>
      <c r="E3888" s="39"/>
      <c r="F3888" s="39"/>
    </row>
    <row r="3889">
      <c r="D3889" s="39"/>
      <c r="E3889" s="39"/>
      <c r="F3889" s="39"/>
    </row>
    <row r="3890">
      <c r="D3890" s="39"/>
      <c r="E3890" s="39"/>
      <c r="F3890" s="39"/>
    </row>
    <row r="3891">
      <c r="D3891" s="39"/>
      <c r="E3891" s="39"/>
      <c r="F3891" s="39"/>
    </row>
    <row r="3892">
      <c r="D3892" s="39"/>
      <c r="E3892" s="39"/>
      <c r="F3892" s="39"/>
    </row>
    <row r="3893">
      <c r="D3893" s="39"/>
      <c r="E3893" s="39"/>
      <c r="F3893" s="39"/>
    </row>
    <row r="3894">
      <c r="D3894" s="39"/>
      <c r="E3894" s="39"/>
      <c r="F3894" s="39"/>
    </row>
    <row r="3895">
      <c r="D3895" s="39"/>
      <c r="E3895" s="39"/>
      <c r="F3895" s="39"/>
    </row>
    <row r="3896">
      <c r="D3896" s="39"/>
      <c r="E3896" s="39"/>
      <c r="F3896" s="39"/>
    </row>
    <row r="3897">
      <c r="D3897" s="39"/>
      <c r="E3897" s="39"/>
      <c r="F3897" s="39"/>
    </row>
    <row r="3898">
      <c r="D3898" s="39"/>
      <c r="E3898" s="39"/>
      <c r="F3898" s="39"/>
    </row>
    <row r="3899">
      <c r="D3899" s="39"/>
      <c r="E3899" s="39"/>
      <c r="F3899" s="39"/>
    </row>
    <row r="3900">
      <c r="D3900" s="39"/>
      <c r="E3900" s="39"/>
      <c r="F3900" s="39"/>
    </row>
    <row r="3901">
      <c r="D3901" s="39"/>
      <c r="E3901" s="39"/>
      <c r="F3901" s="39"/>
    </row>
    <row r="3902">
      <c r="D3902" s="39"/>
      <c r="E3902" s="39"/>
      <c r="F3902" s="39"/>
    </row>
    <row r="3903">
      <c r="D3903" s="39"/>
      <c r="E3903" s="39"/>
      <c r="F3903" s="39"/>
    </row>
    <row r="3904">
      <c r="D3904" s="39"/>
      <c r="E3904" s="39"/>
      <c r="F3904" s="39"/>
    </row>
    <row r="3905">
      <c r="D3905" s="39"/>
      <c r="E3905" s="39"/>
      <c r="F3905" s="39"/>
    </row>
    <row r="3906">
      <c r="D3906" s="39"/>
      <c r="E3906" s="39"/>
      <c r="F3906" s="39"/>
    </row>
    <row r="3907">
      <c r="D3907" s="39"/>
      <c r="E3907" s="39"/>
      <c r="F3907" s="39"/>
    </row>
    <row r="3908">
      <c r="D3908" s="39"/>
      <c r="E3908" s="39"/>
      <c r="F3908" s="39"/>
    </row>
    <row r="3909">
      <c r="D3909" s="39"/>
      <c r="E3909" s="39"/>
      <c r="F3909" s="39"/>
    </row>
    <row r="3910">
      <c r="D3910" s="39"/>
      <c r="E3910" s="39"/>
      <c r="F3910" s="39"/>
    </row>
    <row r="3911">
      <c r="D3911" s="39"/>
      <c r="E3911" s="39"/>
      <c r="F3911" s="39"/>
    </row>
    <row r="3912">
      <c r="D3912" s="39"/>
      <c r="E3912" s="39"/>
      <c r="F3912" s="39"/>
    </row>
    <row r="3913">
      <c r="D3913" s="39"/>
      <c r="E3913" s="39"/>
      <c r="F3913" s="39"/>
    </row>
    <row r="3914">
      <c r="D3914" s="39"/>
      <c r="E3914" s="39"/>
      <c r="F3914" s="39"/>
    </row>
    <row r="3915">
      <c r="D3915" s="39"/>
      <c r="E3915" s="39"/>
      <c r="F3915" s="39"/>
    </row>
    <row r="3916">
      <c r="D3916" s="39"/>
      <c r="E3916" s="39"/>
      <c r="F3916" s="39"/>
    </row>
    <row r="3917">
      <c r="D3917" s="39"/>
      <c r="E3917" s="39"/>
      <c r="F3917" s="39"/>
    </row>
    <row r="3918">
      <c r="D3918" s="39"/>
      <c r="E3918" s="39"/>
      <c r="F3918" s="39"/>
    </row>
    <row r="3919">
      <c r="D3919" s="39"/>
      <c r="E3919" s="39"/>
      <c r="F3919" s="39"/>
    </row>
    <row r="3920">
      <c r="D3920" s="39"/>
      <c r="E3920" s="39"/>
      <c r="F3920" s="39"/>
    </row>
    <row r="3921">
      <c r="D3921" s="39"/>
      <c r="E3921" s="39"/>
      <c r="F3921" s="39"/>
    </row>
    <row r="3922">
      <c r="D3922" s="39"/>
      <c r="E3922" s="39"/>
      <c r="F3922" s="39"/>
    </row>
    <row r="3923">
      <c r="D3923" s="39"/>
      <c r="E3923" s="39"/>
      <c r="F3923" s="39"/>
    </row>
    <row r="3924">
      <c r="D3924" s="39"/>
      <c r="E3924" s="39"/>
      <c r="F3924" s="39"/>
    </row>
    <row r="3925">
      <c r="D3925" s="39"/>
      <c r="E3925" s="39"/>
      <c r="F3925" s="39"/>
    </row>
    <row r="3926">
      <c r="D3926" s="39"/>
      <c r="E3926" s="39"/>
      <c r="F3926" s="39"/>
    </row>
    <row r="3927">
      <c r="D3927" s="39"/>
      <c r="E3927" s="39"/>
      <c r="F3927" s="39"/>
    </row>
    <row r="3928">
      <c r="D3928" s="39"/>
      <c r="E3928" s="39"/>
      <c r="F3928" s="39"/>
    </row>
    <row r="3929">
      <c r="D3929" s="39"/>
      <c r="E3929" s="39"/>
      <c r="F3929" s="39"/>
    </row>
    <row r="3930">
      <c r="D3930" s="39"/>
      <c r="E3930" s="39"/>
      <c r="F3930" s="39"/>
    </row>
    <row r="3931">
      <c r="D3931" s="39"/>
      <c r="E3931" s="39"/>
      <c r="F3931" s="39"/>
    </row>
    <row r="3932">
      <c r="D3932" s="39"/>
      <c r="E3932" s="39"/>
      <c r="F3932" s="39"/>
    </row>
    <row r="3933">
      <c r="D3933" s="39"/>
      <c r="E3933" s="39"/>
      <c r="F3933" s="39"/>
    </row>
    <row r="3934">
      <c r="D3934" s="39"/>
      <c r="E3934" s="39"/>
      <c r="F3934" s="39"/>
    </row>
    <row r="3935">
      <c r="D3935" s="39"/>
      <c r="E3935" s="39"/>
      <c r="F3935" s="39"/>
    </row>
    <row r="3936">
      <c r="D3936" s="39"/>
      <c r="E3936" s="39"/>
      <c r="F3936" s="39"/>
    </row>
    <row r="3937">
      <c r="D3937" s="39"/>
      <c r="E3937" s="39"/>
      <c r="F3937" s="39"/>
    </row>
    <row r="3938">
      <c r="D3938" s="39"/>
      <c r="E3938" s="39"/>
      <c r="F3938" s="39"/>
    </row>
    <row r="3939">
      <c r="D3939" s="39"/>
      <c r="E3939" s="39"/>
      <c r="F3939" s="39"/>
    </row>
    <row r="3940">
      <c r="D3940" s="39"/>
      <c r="E3940" s="39"/>
      <c r="F3940" s="39"/>
    </row>
    <row r="3941">
      <c r="D3941" s="39"/>
      <c r="E3941" s="39"/>
      <c r="F3941" s="39"/>
    </row>
    <row r="3942">
      <c r="D3942" s="39"/>
      <c r="E3942" s="39"/>
      <c r="F3942" s="39"/>
    </row>
    <row r="3943">
      <c r="D3943" s="39"/>
      <c r="E3943" s="39"/>
      <c r="F3943" s="39"/>
    </row>
    <row r="3944">
      <c r="D3944" s="39"/>
      <c r="E3944" s="39"/>
      <c r="F3944" s="39"/>
    </row>
    <row r="3945">
      <c r="D3945" s="39"/>
      <c r="E3945" s="39"/>
      <c r="F3945" s="39"/>
    </row>
    <row r="3946">
      <c r="D3946" s="39"/>
      <c r="E3946" s="39"/>
      <c r="F3946" s="39"/>
    </row>
    <row r="3947">
      <c r="D3947" s="39"/>
      <c r="E3947" s="39"/>
      <c r="F3947" s="39"/>
    </row>
    <row r="3948">
      <c r="D3948" s="39"/>
      <c r="E3948" s="39"/>
      <c r="F3948" s="39"/>
    </row>
    <row r="3949">
      <c r="D3949" s="39"/>
      <c r="E3949" s="39"/>
      <c r="F3949" s="39"/>
    </row>
    <row r="3950">
      <c r="D3950" s="39"/>
      <c r="E3950" s="39"/>
      <c r="F3950" s="39"/>
    </row>
    <row r="3951">
      <c r="D3951" s="39"/>
      <c r="E3951" s="39"/>
      <c r="F3951" s="39"/>
    </row>
    <row r="3952">
      <c r="D3952" s="39"/>
      <c r="E3952" s="39"/>
      <c r="F3952" s="39"/>
    </row>
    <row r="3953">
      <c r="D3953" s="39"/>
      <c r="E3953" s="39"/>
      <c r="F3953" s="39"/>
    </row>
    <row r="3954">
      <c r="D3954" s="39"/>
      <c r="E3954" s="39"/>
      <c r="F3954" s="39"/>
    </row>
    <row r="3955">
      <c r="D3955" s="39"/>
      <c r="E3955" s="39"/>
      <c r="F3955" s="39"/>
    </row>
    <row r="3956">
      <c r="D3956" s="39"/>
      <c r="E3956" s="39"/>
      <c r="F3956" s="39"/>
    </row>
    <row r="3957">
      <c r="D3957" s="39"/>
      <c r="E3957" s="39"/>
      <c r="F3957" s="39"/>
    </row>
    <row r="3958">
      <c r="D3958" s="39"/>
      <c r="E3958" s="39"/>
      <c r="F3958" s="39"/>
    </row>
    <row r="3959">
      <c r="D3959" s="39"/>
      <c r="E3959" s="39"/>
      <c r="F3959" s="39"/>
    </row>
    <row r="3960">
      <c r="D3960" s="39"/>
      <c r="E3960" s="39"/>
      <c r="F3960" s="39"/>
    </row>
    <row r="3961">
      <c r="D3961" s="39"/>
      <c r="E3961" s="39"/>
      <c r="F3961" s="39"/>
    </row>
    <row r="3962">
      <c r="D3962" s="39"/>
      <c r="E3962" s="39"/>
      <c r="F3962" s="39"/>
    </row>
    <row r="3963">
      <c r="D3963" s="39"/>
      <c r="E3963" s="39"/>
      <c r="F3963" s="39"/>
    </row>
    <row r="3964">
      <c r="D3964" s="39"/>
      <c r="E3964" s="39"/>
      <c r="F3964" s="39"/>
    </row>
    <row r="3965">
      <c r="D3965" s="39"/>
      <c r="E3965" s="39"/>
      <c r="F3965" s="39"/>
    </row>
    <row r="3966">
      <c r="D3966" s="39"/>
      <c r="E3966" s="39"/>
      <c r="F3966" s="39"/>
    </row>
    <row r="3967">
      <c r="D3967" s="39"/>
      <c r="E3967" s="39"/>
      <c r="F3967" s="39"/>
    </row>
    <row r="3968">
      <c r="D3968" s="39"/>
      <c r="E3968" s="39"/>
      <c r="F3968" s="39"/>
    </row>
    <row r="3969">
      <c r="D3969" s="39"/>
      <c r="E3969" s="39"/>
      <c r="F3969" s="39"/>
    </row>
    <row r="3970">
      <c r="D3970" s="39"/>
      <c r="E3970" s="39"/>
      <c r="F3970" s="39"/>
    </row>
    <row r="3971">
      <c r="D3971" s="39"/>
      <c r="E3971" s="39"/>
      <c r="F3971" s="39"/>
    </row>
    <row r="3972">
      <c r="D3972" s="39"/>
      <c r="E3972" s="39"/>
      <c r="F3972" s="39"/>
    </row>
    <row r="3973">
      <c r="D3973" s="39"/>
      <c r="E3973" s="39"/>
      <c r="F3973" s="39"/>
    </row>
    <row r="3974">
      <c r="D3974" s="39"/>
      <c r="E3974" s="39"/>
      <c r="F3974" s="39"/>
    </row>
    <row r="3975">
      <c r="D3975" s="39"/>
      <c r="E3975" s="39"/>
      <c r="F3975" s="39"/>
    </row>
    <row r="3976">
      <c r="D3976" s="39"/>
      <c r="E3976" s="39"/>
      <c r="F3976" s="39"/>
    </row>
    <row r="3977">
      <c r="D3977" s="39"/>
      <c r="E3977" s="39"/>
      <c r="F3977" s="39"/>
    </row>
    <row r="3978">
      <c r="D3978" s="39"/>
      <c r="E3978" s="39"/>
      <c r="F3978" s="39"/>
    </row>
    <row r="3979">
      <c r="D3979" s="39"/>
      <c r="E3979" s="39"/>
      <c r="F3979" s="39"/>
    </row>
    <row r="3980">
      <c r="D3980" s="39"/>
      <c r="E3980" s="39"/>
      <c r="F3980" s="39"/>
    </row>
    <row r="3981">
      <c r="D3981" s="39"/>
      <c r="E3981" s="39"/>
      <c r="F3981" s="39"/>
    </row>
    <row r="3982">
      <c r="D3982" s="39"/>
      <c r="E3982" s="39"/>
      <c r="F3982" s="39"/>
    </row>
    <row r="3983">
      <c r="D3983" s="39"/>
      <c r="E3983" s="39"/>
      <c r="F3983" s="39"/>
    </row>
    <row r="3984">
      <c r="D3984" s="39"/>
      <c r="E3984" s="39"/>
      <c r="F3984" s="39"/>
    </row>
    <row r="3985">
      <c r="D3985" s="39"/>
      <c r="E3985" s="39"/>
      <c r="F3985" s="39"/>
    </row>
    <row r="3986">
      <c r="D3986" s="39"/>
      <c r="E3986" s="39"/>
      <c r="F3986" s="39"/>
    </row>
    <row r="3987">
      <c r="D3987" s="39"/>
      <c r="E3987" s="39"/>
      <c r="F3987" s="39"/>
    </row>
    <row r="3988">
      <c r="D3988" s="39"/>
      <c r="E3988" s="39"/>
      <c r="F3988" s="39"/>
    </row>
    <row r="3989">
      <c r="D3989" s="39"/>
      <c r="E3989" s="39"/>
      <c r="F3989" s="39"/>
    </row>
    <row r="3990">
      <c r="D3990" s="39"/>
      <c r="E3990" s="39"/>
      <c r="F3990" s="39"/>
    </row>
    <row r="3991">
      <c r="D3991" s="39"/>
      <c r="E3991" s="39"/>
      <c r="F3991" s="39"/>
    </row>
    <row r="3992">
      <c r="D3992" s="39"/>
      <c r="E3992" s="39"/>
      <c r="F3992" s="39"/>
    </row>
    <row r="3993">
      <c r="D3993" s="39"/>
      <c r="E3993" s="39"/>
      <c r="F3993" s="39"/>
    </row>
    <row r="3994">
      <c r="D3994" s="39"/>
      <c r="E3994" s="39"/>
      <c r="F3994" s="39"/>
    </row>
    <row r="3995">
      <c r="D3995" s="39"/>
      <c r="E3995" s="39"/>
      <c r="F3995" s="39"/>
    </row>
    <row r="3996">
      <c r="D3996" s="39"/>
      <c r="E3996" s="39"/>
      <c r="F3996" s="39"/>
    </row>
    <row r="3997">
      <c r="D3997" s="39"/>
      <c r="E3997" s="39"/>
      <c r="F3997" s="39"/>
    </row>
    <row r="3998">
      <c r="D3998" s="39"/>
      <c r="E3998" s="39"/>
      <c r="F3998" s="39"/>
    </row>
    <row r="3999">
      <c r="D3999" s="39"/>
      <c r="E3999" s="39"/>
      <c r="F3999" s="39"/>
    </row>
    <row r="4000">
      <c r="D4000" s="39"/>
      <c r="E4000" s="39"/>
      <c r="F4000" s="39"/>
    </row>
    <row r="4001">
      <c r="D4001" s="39"/>
      <c r="E4001" s="39"/>
      <c r="F4001" s="39"/>
    </row>
    <row r="4002">
      <c r="D4002" s="39"/>
      <c r="E4002" s="39"/>
      <c r="F4002" s="39"/>
    </row>
    <row r="4003">
      <c r="D4003" s="39"/>
      <c r="E4003" s="39"/>
      <c r="F4003" s="39"/>
    </row>
    <row r="4004">
      <c r="D4004" s="39"/>
      <c r="E4004" s="39"/>
      <c r="F4004" s="39"/>
    </row>
    <row r="4005">
      <c r="D4005" s="39"/>
      <c r="E4005" s="39"/>
      <c r="F4005" s="39"/>
    </row>
    <row r="4006">
      <c r="D4006" s="39"/>
      <c r="E4006" s="39"/>
      <c r="F4006" s="39"/>
    </row>
    <row r="4007">
      <c r="D4007" s="39"/>
      <c r="E4007" s="39"/>
      <c r="F4007" s="39"/>
    </row>
    <row r="4008">
      <c r="D4008" s="39"/>
      <c r="E4008" s="39"/>
      <c r="F4008" s="39"/>
    </row>
    <row r="4009">
      <c r="D4009" s="39"/>
      <c r="E4009" s="39"/>
      <c r="F4009" s="39"/>
    </row>
    <row r="4010">
      <c r="D4010" s="39"/>
      <c r="E4010" s="39"/>
      <c r="F4010" s="39"/>
    </row>
    <row r="4011">
      <c r="D4011" s="39"/>
      <c r="E4011" s="39"/>
      <c r="F4011" s="39"/>
    </row>
    <row r="4012">
      <c r="D4012" s="39"/>
      <c r="E4012" s="39"/>
      <c r="F4012" s="39"/>
    </row>
    <row r="4013">
      <c r="D4013" s="39"/>
      <c r="E4013" s="39"/>
      <c r="F4013" s="39"/>
    </row>
    <row r="4014">
      <c r="D4014" s="39"/>
      <c r="E4014" s="39"/>
      <c r="F4014" s="39"/>
    </row>
    <row r="4015">
      <c r="D4015" s="39"/>
      <c r="E4015" s="39"/>
      <c r="F4015" s="39"/>
    </row>
    <row r="4016">
      <c r="D4016" s="39"/>
      <c r="E4016" s="39"/>
      <c r="F4016" s="39"/>
    </row>
    <row r="4017">
      <c r="D4017" s="39"/>
      <c r="E4017" s="39"/>
      <c r="F4017" s="39"/>
    </row>
    <row r="4018">
      <c r="D4018" s="39"/>
      <c r="E4018" s="39"/>
      <c r="F4018" s="39"/>
    </row>
    <row r="4019">
      <c r="D4019" s="39"/>
      <c r="E4019" s="39"/>
      <c r="F4019" s="39"/>
    </row>
    <row r="4020">
      <c r="D4020" s="39"/>
      <c r="E4020" s="39"/>
      <c r="F4020" s="39"/>
    </row>
    <row r="4021">
      <c r="D4021" s="39"/>
      <c r="E4021" s="39"/>
      <c r="F4021" s="39"/>
    </row>
    <row r="4022">
      <c r="D4022" s="39"/>
      <c r="E4022" s="39"/>
      <c r="F4022" s="39"/>
    </row>
    <row r="4023">
      <c r="D4023" s="39"/>
      <c r="E4023" s="39"/>
      <c r="F4023" s="39"/>
    </row>
    <row r="4024">
      <c r="D4024" s="39"/>
      <c r="E4024" s="39"/>
      <c r="F4024" s="39"/>
    </row>
    <row r="4025">
      <c r="D4025" s="39"/>
      <c r="E4025" s="39"/>
      <c r="F4025" s="39"/>
    </row>
    <row r="4026">
      <c r="D4026" s="39"/>
      <c r="E4026" s="39"/>
      <c r="F4026" s="39"/>
    </row>
    <row r="4027">
      <c r="D4027" s="39"/>
      <c r="E4027" s="39"/>
      <c r="F4027" s="39"/>
    </row>
    <row r="4028">
      <c r="D4028" s="39"/>
      <c r="E4028" s="39"/>
      <c r="F4028" s="39"/>
    </row>
    <row r="4029">
      <c r="D4029" s="39"/>
      <c r="E4029" s="39"/>
      <c r="F4029" s="39"/>
    </row>
    <row r="4030">
      <c r="D4030" s="39"/>
      <c r="E4030" s="39"/>
      <c r="F4030" s="39"/>
    </row>
    <row r="4031">
      <c r="D4031" s="39"/>
      <c r="E4031" s="39"/>
      <c r="F4031" s="39"/>
    </row>
    <row r="4032">
      <c r="D4032" s="39"/>
      <c r="E4032" s="39"/>
      <c r="F4032" s="39"/>
    </row>
    <row r="4033">
      <c r="D4033" s="39"/>
      <c r="E4033" s="39"/>
      <c r="F4033" s="39"/>
    </row>
    <row r="4034">
      <c r="D4034" s="39"/>
      <c r="E4034" s="39"/>
      <c r="F4034" s="39"/>
    </row>
    <row r="4035">
      <c r="D4035" s="39"/>
      <c r="E4035" s="39"/>
      <c r="F4035" s="39"/>
    </row>
    <row r="4036">
      <c r="D4036" s="39"/>
      <c r="E4036" s="39"/>
      <c r="F4036" s="39"/>
    </row>
    <row r="4037">
      <c r="D4037" s="39"/>
      <c r="E4037" s="39"/>
      <c r="F4037" s="39"/>
    </row>
    <row r="4038">
      <c r="D4038" s="39"/>
      <c r="E4038" s="39"/>
      <c r="F4038" s="39"/>
    </row>
    <row r="4039">
      <c r="D4039" s="39"/>
      <c r="E4039" s="39"/>
      <c r="F4039" s="39"/>
    </row>
    <row r="4040">
      <c r="D4040" s="39"/>
      <c r="E4040" s="39"/>
      <c r="F4040" s="39"/>
    </row>
    <row r="4041">
      <c r="D4041" s="39"/>
      <c r="E4041" s="39"/>
      <c r="F4041" s="39"/>
    </row>
    <row r="4042">
      <c r="D4042" s="39"/>
      <c r="E4042" s="39"/>
      <c r="F4042" s="39"/>
    </row>
    <row r="4043">
      <c r="D4043" s="39"/>
      <c r="E4043" s="39"/>
      <c r="F4043" s="39"/>
    </row>
    <row r="4044">
      <c r="D4044" s="39"/>
      <c r="E4044" s="39"/>
      <c r="F4044" s="39"/>
    </row>
    <row r="4045">
      <c r="D4045" s="39"/>
      <c r="E4045" s="39"/>
      <c r="F4045" s="39"/>
    </row>
    <row r="4046">
      <c r="D4046" s="39"/>
      <c r="E4046" s="39"/>
      <c r="F4046" s="39"/>
    </row>
    <row r="4047">
      <c r="D4047" s="39"/>
      <c r="E4047" s="39"/>
      <c r="F4047" s="39"/>
    </row>
    <row r="4048">
      <c r="D4048" s="39"/>
      <c r="E4048" s="39"/>
      <c r="F4048" s="39"/>
    </row>
    <row r="4049">
      <c r="D4049" s="39"/>
      <c r="E4049" s="39"/>
      <c r="F4049" s="39"/>
    </row>
    <row r="4050">
      <c r="D4050" s="39"/>
      <c r="E4050" s="39"/>
      <c r="F4050" s="39"/>
    </row>
    <row r="4051">
      <c r="D4051" s="39"/>
      <c r="E4051" s="39"/>
      <c r="F4051" s="39"/>
    </row>
    <row r="4052">
      <c r="D4052" s="39"/>
      <c r="E4052" s="39"/>
      <c r="F4052" s="39"/>
    </row>
    <row r="4053">
      <c r="D4053" s="39"/>
      <c r="E4053" s="39"/>
      <c r="F4053" s="39"/>
    </row>
    <row r="4054">
      <c r="D4054" s="39"/>
      <c r="E4054" s="39"/>
      <c r="F4054" s="39"/>
    </row>
    <row r="4055">
      <c r="D4055" s="39"/>
      <c r="E4055" s="39"/>
      <c r="F4055" s="39"/>
    </row>
    <row r="4056">
      <c r="D4056" s="39"/>
      <c r="E4056" s="39"/>
      <c r="F4056" s="39"/>
    </row>
    <row r="4057">
      <c r="D4057" s="39"/>
      <c r="E4057" s="39"/>
      <c r="F4057" s="39"/>
    </row>
    <row r="4058">
      <c r="D4058" s="39"/>
      <c r="E4058" s="39"/>
      <c r="F4058" s="39"/>
    </row>
    <row r="4059">
      <c r="D4059" s="39"/>
      <c r="E4059" s="39"/>
      <c r="F4059" s="39"/>
    </row>
    <row r="4060">
      <c r="D4060" s="39"/>
      <c r="E4060" s="39"/>
      <c r="F4060" s="39"/>
    </row>
    <row r="4061">
      <c r="D4061" s="39"/>
      <c r="E4061" s="39"/>
      <c r="F4061" s="39"/>
    </row>
    <row r="4062">
      <c r="D4062" s="39"/>
      <c r="E4062" s="39"/>
      <c r="F4062" s="39"/>
    </row>
    <row r="4063">
      <c r="D4063" s="39"/>
      <c r="E4063" s="39"/>
      <c r="F4063" s="39"/>
    </row>
    <row r="4064">
      <c r="D4064" s="39"/>
      <c r="E4064" s="39"/>
      <c r="F4064" s="39"/>
    </row>
    <row r="4065">
      <c r="D4065" s="39"/>
      <c r="E4065" s="39"/>
      <c r="F4065" s="39"/>
    </row>
    <row r="4066">
      <c r="D4066" s="39"/>
      <c r="E4066" s="39"/>
      <c r="F4066" s="39"/>
    </row>
    <row r="4067">
      <c r="D4067" s="39"/>
      <c r="E4067" s="39"/>
      <c r="F4067" s="39"/>
    </row>
    <row r="4068">
      <c r="D4068" s="39"/>
      <c r="E4068" s="39"/>
      <c r="F4068" s="39"/>
    </row>
    <row r="4069">
      <c r="D4069" s="39"/>
      <c r="E4069" s="39"/>
      <c r="F4069" s="39"/>
    </row>
    <row r="4070">
      <c r="D4070" s="39"/>
      <c r="E4070" s="39"/>
      <c r="F4070" s="39"/>
    </row>
    <row r="4071">
      <c r="D4071" s="39"/>
      <c r="E4071" s="39"/>
      <c r="F4071" s="39"/>
    </row>
    <row r="4072">
      <c r="D4072" s="39"/>
      <c r="E4072" s="39"/>
      <c r="F4072" s="39"/>
    </row>
    <row r="4073">
      <c r="D4073" s="39"/>
      <c r="E4073" s="39"/>
      <c r="F4073" s="39"/>
    </row>
    <row r="4074">
      <c r="D4074" s="39"/>
      <c r="E4074" s="39"/>
      <c r="F4074" s="39"/>
    </row>
    <row r="4075">
      <c r="D4075" s="39"/>
      <c r="E4075" s="39"/>
      <c r="F4075" s="39"/>
    </row>
    <row r="4076">
      <c r="D4076" s="39"/>
      <c r="E4076" s="39"/>
      <c r="F4076" s="39"/>
    </row>
    <row r="4077">
      <c r="D4077" s="39"/>
      <c r="E4077" s="39"/>
      <c r="F4077" s="39"/>
    </row>
    <row r="4078">
      <c r="D4078" s="39"/>
      <c r="E4078" s="39"/>
      <c r="F4078" s="39"/>
    </row>
    <row r="4079">
      <c r="D4079" s="39"/>
      <c r="E4079" s="39"/>
      <c r="F4079" s="39"/>
    </row>
    <row r="4080">
      <c r="D4080" s="39"/>
      <c r="E4080" s="39"/>
      <c r="F4080" s="39"/>
    </row>
    <row r="4081">
      <c r="D4081" s="39"/>
      <c r="E4081" s="39"/>
      <c r="F4081" s="39"/>
    </row>
    <row r="4082">
      <c r="D4082" s="39"/>
      <c r="E4082" s="39"/>
      <c r="F4082" s="39"/>
    </row>
    <row r="4083">
      <c r="D4083" s="39"/>
      <c r="E4083" s="39"/>
      <c r="F4083" s="39"/>
    </row>
    <row r="4084">
      <c r="D4084" s="39"/>
      <c r="E4084" s="39"/>
      <c r="F4084" s="39"/>
    </row>
    <row r="4085">
      <c r="D4085" s="39"/>
      <c r="E4085" s="39"/>
      <c r="F4085" s="39"/>
    </row>
    <row r="4086">
      <c r="D4086" s="39"/>
      <c r="E4086" s="39"/>
      <c r="F4086" s="39"/>
    </row>
    <row r="4087">
      <c r="D4087" s="39"/>
      <c r="E4087" s="39"/>
      <c r="F4087" s="39"/>
    </row>
    <row r="4088">
      <c r="D4088" s="39"/>
      <c r="E4088" s="39"/>
      <c r="F4088" s="39"/>
    </row>
    <row r="4089">
      <c r="D4089" s="39"/>
      <c r="E4089" s="39"/>
      <c r="F4089" s="39"/>
    </row>
    <row r="4090">
      <c r="D4090" s="39"/>
      <c r="E4090" s="39"/>
      <c r="F4090" s="39"/>
    </row>
    <row r="4091">
      <c r="D4091" s="39"/>
      <c r="E4091" s="39"/>
      <c r="F4091" s="39"/>
    </row>
    <row r="4092">
      <c r="D4092" s="39"/>
      <c r="E4092" s="39"/>
      <c r="F4092" s="39"/>
    </row>
    <row r="4093">
      <c r="D4093" s="39"/>
      <c r="E4093" s="39"/>
      <c r="F4093" s="39"/>
    </row>
    <row r="4094">
      <c r="D4094" s="39"/>
      <c r="E4094" s="39"/>
      <c r="F4094" s="39"/>
    </row>
    <row r="4095">
      <c r="D4095" s="39"/>
      <c r="E4095" s="39"/>
      <c r="F4095" s="39"/>
    </row>
    <row r="4096">
      <c r="D4096" s="39"/>
      <c r="E4096" s="39"/>
      <c r="F4096" s="39"/>
    </row>
    <row r="4097">
      <c r="D4097" s="39"/>
      <c r="E4097" s="39"/>
      <c r="F4097" s="39"/>
    </row>
    <row r="4098">
      <c r="D4098" s="39"/>
      <c r="E4098" s="39"/>
      <c r="F4098" s="39"/>
    </row>
    <row r="4099">
      <c r="D4099" s="39"/>
      <c r="E4099" s="39"/>
      <c r="F4099" s="39"/>
    </row>
    <row r="4100">
      <c r="D4100" s="39"/>
      <c r="E4100" s="39"/>
      <c r="F4100" s="39"/>
    </row>
    <row r="4101">
      <c r="D4101" s="39"/>
      <c r="E4101" s="39"/>
      <c r="F4101" s="39"/>
    </row>
    <row r="4102">
      <c r="D4102" s="39"/>
      <c r="E4102" s="39"/>
      <c r="F4102" s="39"/>
    </row>
    <row r="4103">
      <c r="D4103" s="39"/>
      <c r="E4103" s="39"/>
      <c r="F4103" s="39"/>
    </row>
    <row r="4104">
      <c r="D4104" s="39"/>
      <c r="E4104" s="39"/>
      <c r="F4104" s="39"/>
    </row>
    <row r="4105">
      <c r="D4105" s="39"/>
      <c r="E4105" s="39"/>
      <c r="F4105" s="39"/>
    </row>
    <row r="4106">
      <c r="D4106" s="39"/>
      <c r="E4106" s="39"/>
      <c r="F4106" s="39"/>
    </row>
    <row r="4107">
      <c r="D4107" s="39"/>
      <c r="E4107" s="39"/>
      <c r="F4107" s="39"/>
    </row>
    <row r="4108">
      <c r="D4108" s="39"/>
      <c r="E4108" s="39"/>
      <c r="F4108" s="39"/>
    </row>
    <row r="4109">
      <c r="D4109" s="39"/>
      <c r="E4109" s="39"/>
      <c r="F4109" s="39"/>
    </row>
    <row r="4110">
      <c r="D4110" s="39"/>
      <c r="E4110" s="39"/>
      <c r="F4110" s="39"/>
    </row>
    <row r="4111">
      <c r="D4111" s="39"/>
      <c r="E4111" s="39"/>
      <c r="F4111" s="39"/>
    </row>
    <row r="4112">
      <c r="D4112" s="39"/>
      <c r="E4112" s="39"/>
      <c r="F4112" s="39"/>
    </row>
    <row r="4113">
      <c r="D4113" s="39"/>
      <c r="E4113" s="39"/>
      <c r="F4113" s="39"/>
    </row>
    <row r="4114">
      <c r="D4114" s="39"/>
      <c r="E4114" s="39"/>
      <c r="F4114" s="39"/>
    </row>
    <row r="4115">
      <c r="D4115" s="39"/>
      <c r="E4115" s="39"/>
      <c r="F4115" s="39"/>
    </row>
    <row r="4116">
      <c r="D4116" s="39"/>
      <c r="E4116" s="39"/>
      <c r="F4116" s="39"/>
    </row>
    <row r="4117">
      <c r="D4117" s="39"/>
      <c r="E4117" s="39"/>
      <c r="F4117" s="39"/>
    </row>
    <row r="4118">
      <c r="D4118" s="39"/>
      <c r="E4118" s="39"/>
      <c r="F4118" s="39"/>
    </row>
    <row r="4119">
      <c r="D4119" s="39"/>
      <c r="E4119" s="39"/>
      <c r="F4119" s="39"/>
    </row>
    <row r="4120">
      <c r="D4120" s="39"/>
      <c r="E4120" s="39"/>
      <c r="F4120" s="39"/>
    </row>
    <row r="4121">
      <c r="D4121" s="39"/>
      <c r="E4121" s="39"/>
      <c r="F4121" s="39"/>
    </row>
    <row r="4122">
      <c r="D4122" s="39"/>
      <c r="E4122" s="39"/>
      <c r="F4122" s="39"/>
    </row>
    <row r="4123">
      <c r="D4123" s="39"/>
      <c r="E4123" s="39"/>
      <c r="F4123" s="39"/>
    </row>
    <row r="4124">
      <c r="D4124" s="39"/>
      <c r="E4124" s="39"/>
      <c r="F4124" s="39"/>
    </row>
    <row r="4125">
      <c r="D4125" s="39"/>
      <c r="E4125" s="39"/>
      <c r="F4125" s="39"/>
    </row>
    <row r="4126">
      <c r="D4126" s="39"/>
      <c r="E4126" s="39"/>
      <c r="F4126" s="39"/>
    </row>
    <row r="4127">
      <c r="D4127" s="39"/>
      <c r="E4127" s="39"/>
      <c r="F4127" s="39"/>
    </row>
    <row r="4128">
      <c r="D4128" s="39"/>
      <c r="E4128" s="39"/>
      <c r="F4128" s="39"/>
    </row>
    <row r="4129">
      <c r="D4129" s="39"/>
      <c r="E4129" s="39"/>
      <c r="F4129" s="39"/>
    </row>
    <row r="4130">
      <c r="D4130" s="39"/>
      <c r="E4130" s="39"/>
      <c r="F4130" s="39"/>
    </row>
    <row r="4131">
      <c r="D4131" s="39"/>
      <c r="E4131" s="39"/>
      <c r="F4131" s="39"/>
    </row>
    <row r="4132">
      <c r="D4132" s="39"/>
      <c r="E4132" s="39"/>
      <c r="F4132" s="39"/>
    </row>
    <row r="4133">
      <c r="D4133" s="39"/>
      <c r="E4133" s="39"/>
      <c r="F4133" s="39"/>
    </row>
    <row r="4134">
      <c r="D4134" s="39"/>
      <c r="E4134" s="39"/>
      <c r="F4134" s="39"/>
    </row>
    <row r="4135">
      <c r="D4135" s="39"/>
      <c r="E4135" s="39"/>
      <c r="F4135" s="39"/>
    </row>
    <row r="4136">
      <c r="D4136" s="39"/>
      <c r="E4136" s="39"/>
      <c r="F4136" s="39"/>
    </row>
    <row r="4137">
      <c r="D4137" s="39"/>
      <c r="E4137" s="39"/>
      <c r="F4137" s="39"/>
    </row>
    <row r="4138">
      <c r="D4138" s="39"/>
      <c r="E4138" s="39"/>
      <c r="F4138" s="39"/>
    </row>
    <row r="4139">
      <c r="D4139" s="39"/>
      <c r="E4139" s="39"/>
      <c r="F4139" s="39"/>
    </row>
    <row r="4140">
      <c r="D4140" s="39"/>
      <c r="E4140" s="39"/>
      <c r="F4140" s="39"/>
    </row>
    <row r="4141">
      <c r="D4141" s="39"/>
      <c r="E4141" s="39"/>
      <c r="F4141" s="39"/>
    </row>
    <row r="4142">
      <c r="D4142" s="39"/>
      <c r="E4142" s="39"/>
      <c r="F4142" s="39"/>
    </row>
    <row r="4143">
      <c r="D4143" s="39"/>
      <c r="E4143" s="39"/>
      <c r="F4143" s="39"/>
    </row>
    <row r="4144">
      <c r="D4144" s="39"/>
      <c r="E4144" s="39"/>
      <c r="F4144" s="39"/>
    </row>
    <row r="4145">
      <c r="D4145" s="39"/>
      <c r="E4145" s="39"/>
      <c r="F4145" s="39"/>
    </row>
    <row r="4146">
      <c r="D4146" s="39"/>
      <c r="E4146" s="39"/>
      <c r="F4146" s="39"/>
    </row>
    <row r="4147">
      <c r="D4147" s="39"/>
      <c r="E4147" s="39"/>
      <c r="F4147" s="39"/>
    </row>
    <row r="4148">
      <c r="D4148" s="39"/>
      <c r="E4148" s="39"/>
      <c r="F4148" s="39"/>
    </row>
    <row r="4149">
      <c r="D4149" s="39"/>
      <c r="E4149" s="39"/>
      <c r="F4149" s="39"/>
    </row>
    <row r="4150">
      <c r="D4150" s="39"/>
      <c r="E4150" s="39"/>
      <c r="F4150" s="39"/>
    </row>
    <row r="4151">
      <c r="D4151" s="39"/>
      <c r="E4151" s="39"/>
      <c r="F4151" s="39"/>
    </row>
    <row r="4152">
      <c r="D4152" s="39"/>
      <c r="E4152" s="39"/>
      <c r="F4152" s="39"/>
    </row>
    <row r="4153">
      <c r="D4153" s="39"/>
      <c r="E4153" s="39"/>
      <c r="F4153" s="39"/>
    </row>
    <row r="4154">
      <c r="D4154" s="39"/>
      <c r="E4154" s="39"/>
      <c r="F4154" s="39"/>
    </row>
    <row r="4155">
      <c r="D4155" s="39"/>
      <c r="E4155" s="39"/>
      <c r="F4155" s="39"/>
    </row>
    <row r="4156">
      <c r="D4156" s="39"/>
      <c r="E4156" s="39"/>
      <c r="F4156" s="39"/>
    </row>
    <row r="4157">
      <c r="D4157" s="39"/>
      <c r="E4157" s="39"/>
      <c r="F4157" s="39"/>
    </row>
    <row r="4158">
      <c r="D4158" s="39"/>
      <c r="E4158" s="39"/>
      <c r="F4158" s="39"/>
    </row>
    <row r="4159">
      <c r="D4159" s="39"/>
      <c r="E4159" s="39"/>
      <c r="F4159" s="39"/>
    </row>
    <row r="4160">
      <c r="D4160" s="39"/>
      <c r="E4160" s="39"/>
      <c r="F4160" s="39"/>
    </row>
    <row r="4161">
      <c r="D4161" s="39"/>
      <c r="E4161" s="39"/>
      <c r="F4161" s="39"/>
    </row>
    <row r="4162">
      <c r="D4162" s="39"/>
      <c r="E4162" s="39"/>
      <c r="F4162" s="39"/>
    </row>
    <row r="4163">
      <c r="D4163" s="39"/>
      <c r="E4163" s="39"/>
      <c r="F4163" s="39"/>
    </row>
    <row r="4164">
      <c r="D4164" s="39"/>
      <c r="E4164" s="39"/>
      <c r="F4164" s="39"/>
    </row>
    <row r="4165">
      <c r="D4165" s="39"/>
      <c r="E4165" s="39"/>
      <c r="F4165" s="39"/>
    </row>
    <row r="4166">
      <c r="D4166" s="39"/>
      <c r="E4166" s="39"/>
      <c r="F4166" s="39"/>
    </row>
    <row r="4167">
      <c r="D4167" s="39"/>
      <c r="E4167" s="39"/>
      <c r="F4167" s="39"/>
    </row>
    <row r="4168">
      <c r="D4168" s="39"/>
      <c r="E4168" s="39"/>
      <c r="F4168" s="39"/>
    </row>
    <row r="4169">
      <c r="D4169" s="39"/>
      <c r="E4169" s="39"/>
      <c r="F4169" s="39"/>
    </row>
    <row r="4170">
      <c r="D4170" s="39"/>
      <c r="E4170" s="39"/>
      <c r="F4170" s="39"/>
    </row>
    <row r="4171">
      <c r="D4171" s="39"/>
      <c r="E4171" s="39"/>
      <c r="F4171" s="39"/>
    </row>
    <row r="4172">
      <c r="D4172" s="39"/>
      <c r="E4172" s="39"/>
      <c r="F4172" s="39"/>
    </row>
    <row r="4173">
      <c r="D4173" s="39"/>
      <c r="E4173" s="39"/>
      <c r="F4173" s="39"/>
    </row>
    <row r="4174">
      <c r="D4174" s="39"/>
      <c r="E4174" s="39"/>
      <c r="F4174" s="39"/>
    </row>
    <row r="4175">
      <c r="D4175" s="39"/>
      <c r="E4175" s="39"/>
      <c r="F4175" s="39"/>
    </row>
    <row r="4176">
      <c r="D4176" s="39"/>
      <c r="E4176" s="39"/>
      <c r="F4176" s="39"/>
    </row>
    <row r="4177">
      <c r="D4177" s="39"/>
      <c r="E4177" s="39"/>
      <c r="F4177" s="39"/>
    </row>
    <row r="4178">
      <c r="D4178" s="39"/>
      <c r="E4178" s="39"/>
      <c r="F4178" s="39"/>
    </row>
    <row r="4179">
      <c r="D4179" s="39"/>
      <c r="E4179" s="39"/>
      <c r="F4179" s="39"/>
    </row>
    <row r="4180">
      <c r="D4180" s="39"/>
      <c r="E4180" s="39"/>
      <c r="F4180" s="39"/>
    </row>
    <row r="4181">
      <c r="D4181" s="39"/>
      <c r="E4181" s="39"/>
      <c r="F4181" s="39"/>
    </row>
    <row r="4182">
      <c r="D4182" s="39"/>
      <c r="E4182" s="39"/>
      <c r="F4182" s="39"/>
    </row>
    <row r="4183">
      <c r="D4183" s="39"/>
      <c r="E4183" s="39"/>
      <c r="F4183" s="39"/>
    </row>
    <row r="4184">
      <c r="D4184" s="39"/>
      <c r="E4184" s="39"/>
      <c r="F4184" s="39"/>
    </row>
    <row r="4185">
      <c r="D4185" s="39"/>
      <c r="E4185" s="39"/>
      <c r="F4185" s="39"/>
    </row>
    <row r="4186">
      <c r="D4186" s="39"/>
      <c r="E4186" s="39"/>
      <c r="F4186" s="39"/>
    </row>
    <row r="4187">
      <c r="D4187" s="39"/>
      <c r="E4187" s="39"/>
      <c r="F4187" s="39"/>
    </row>
    <row r="4188">
      <c r="D4188" s="39"/>
      <c r="E4188" s="39"/>
      <c r="F4188" s="39"/>
    </row>
    <row r="4189">
      <c r="D4189" s="39"/>
      <c r="E4189" s="39"/>
      <c r="F4189" s="39"/>
    </row>
    <row r="4190">
      <c r="D4190" s="39"/>
      <c r="E4190" s="39"/>
      <c r="F4190" s="39"/>
    </row>
    <row r="4191">
      <c r="D4191" s="39"/>
      <c r="E4191" s="39"/>
      <c r="F4191" s="39"/>
    </row>
    <row r="4192">
      <c r="D4192" s="39"/>
      <c r="E4192" s="39"/>
      <c r="F4192" s="39"/>
    </row>
    <row r="4193">
      <c r="D4193" s="39"/>
      <c r="E4193" s="39"/>
      <c r="F4193" s="39"/>
    </row>
    <row r="4194">
      <c r="D4194" s="39"/>
      <c r="E4194" s="39"/>
      <c r="F4194" s="39"/>
    </row>
    <row r="4195">
      <c r="D4195" s="39"/>
      <c r="E4195" s="39"/>
      <c r="F4195" s="39"/>
    </row>
    <row r="4196">
      <c r="D4196" s="39"/>
      <c r="E4196" s="39"/>
      <c r="F4196" s="39"/>
    </row>
    <row r="4197">
      <c r="D4197" s="39"/>
      <c r="E4197" s="39"/>
      <c r="F4197" s="39"/>
    </row>
    <row r="4198">
      <c r="D4198" s="39"/>
      <c r="E4198" s="39"/>
      <c r="F4198" s="39"/>
    </row>
    <row r="4199">
      <c r="D4199" s="39"/>
      <c r="E4199" s="39"/>
      <c r="F4199" s="39"/>
    </row>
    <row r="4200">
      <c r="D4200" s="39"/>
      <c r="E4200" s="39"/>
      <c r="F4200" s="39"/>
    </row>
    <row r="4201">
      <c r="D4201" s="39"/>
      <c r="E4201" s="39"/>
      <c r="F4201" s="39"/>
    </row>
    <row r="4202">
      <c r="D4202" s="39"/>
      <c r="E4202" s="39"/>
      <c r="F4202" s="39"/>
    </row>
    <row r="4203">
      <c r="D4203" s="39"/>
      <c r="E4203" s="39"/>
      <c r="F4203" s="39"/>
    </row>
    <row r="4204">
      <c r="D4204" s="39"/>
      <c r="E4204" s="39"/>
      <c r="F4204" s="39"/>
    </row>
    <row r="4205">
      <c r="D4205" s="39"/>
      <c r="E4205" s="39"/>
      <c r="F4205" s="39"/>
    </row>
    <row r="4206">
      <c r="D4206" s="39"/>
      <c r="E4206" s="39"/>
      <c r="F4206" s="39"/>
    </row>
    <row r="4207">
      <c r="D4207" s="39"/>
      <c r="E4207" s="39"/>
      <c r="F4207" s="39"/>
    </row>
    <row r="4208">
      <c r="D4208" s="39"/>
      <c r="E4208" s="39"/>
      <c r="F4208" s="39"/>
    </row>
    <row r="4209">
      <c r="D4209" s="39"/>
      <c r="E4209" s="39"/>
      <c r="F4209" s="39"/>
    </row>
    <row r="4210">
      <c r="D4210" s="39"/>
      <c r="E4210" s="39"/>
      <c r="F4210" s="39"/>
    </row>
    <row r="4211">
      <c r="D4211" s="39"/>
      <c r="E4211" s="39"/>
      <c r="F4211" s="39"/>
    </row>
    <row r="4212">
      <c r="D4212" s="39"/>
      <c r="E4212" s="39"/>
      <c r="F4212" s="39"/>
    </row>
    <row r="4213">
      <c r="D4213" s="39"/>
      <c r="E4213" s="39"/>
      <c r="F4213" s="39"/>
    </row>
    <row r="4214">
      <c r="D4214" s="39"/>
      <c r="E4214" s="39"/>
      <c r="F4214" s="39"/>
    </row>
    <row r="4215">
      <c r="D4215" s="39"/>
      <c r="E4215" s="39"/>
      <c r="F4215" s="39"/>
    </row>
    <row r="4216">
      <c r="D4216" s="39"/>
      <c r="E4216" s="39"/>
      <c r="F4216" s="39"/>
    </row>
    <row r="4217">
      <c r="D4217" s="39"/>
      <c r="E4217" s="39"/>
      <c r="F4217" s="39"/>
    </row>
    <row r="4218">
      <c r="D4218" s="39"/>
      <c r="E4218" s="39"/>
      <c r="F4218" s="39"/>
    </row>
    <row r="4219">
      <c r="D4219" s="39"/>
      <c r="E4219" s="39"/>
      <c r="F4219" s="39"/>
    </row>
    <row r="4220">
      <c r="D4220" s="39"/>
      <c r="E4220" s="39"/>
      <c r="F4220" s="39"/>
    </row>
    <row r="4221">
      <c r="D4221" s="39"/>
      <c r="E4221" s="39"/>
      <c r="F4221" s="39"/>
    </row>
    <row r="4222">
      <c r="D4222" s="39"/>
      <c r="E4222" s="39"/>
      <c r="F4222" s="39"/>
    </row>
    <row r="4223">
      <c r="D4223" s="39"/>
      <c r="E4223" s="39"/>
      <c r="F4223" s="39"/>
    </row>
    <row r="4224">
      <c r="D4224" s="39"/>
      <c r="E4224" s="39"/>
      <c r="F4224" s="39"/>
    </row>
    <row r="4225">
      <c r="D4225" s="39"/>
      <c r="E4225" s="39"/>
      <c r="F4225" s="39"/>
    </row>
    <row r="4226">
      <c r="D4226" s="39"/>
      <c r="E4226" s="39"/>
      <c r="F4226" s="39"/>
    </row>
    <row r="4227">
      <c r="D4227" s="39"/>
      <c r="E4227" s="39"/>
      <c r="F4227" s="39"/>
    </row>
    <row r="4228">
      <c r="D4228" s="39"/>
      <c r="E4228" s="39"/>
      <c r="F4228" s="39"/>
    </row>
    <row r="4229">
      <c r="D4229" s="39"/>
      <c r="E4229" s="39"/>
      <c r="F4229" s="39"/>
    </row>
    <row r="4230">
      <c r="D4230" s="39"/>
      <c r="E4230" s="39"/>
      <c r="F4230" s="39"/>
    </row>
    <row r="4231">
      <c r="D4231" s="39"/>
      <c r="E4231" s="39"/>
      <c r="F4231" s="39"/>
    </row>
    <row r="4232">
      <c r="D4232" s="39"/>
      <c r="E4232" s="39"/>
      <c r="F4232" s="39"/>
    </row>
    <row r="4233">
      <c r="D4233" s="39"/>
      <c r="E4233" s="39"/>
      <c r="F4233" s="39"/>
    </row>
    <row r="4234">
      <c r="D4234" s="39"/>
      <c r="E4234" s="39"/>
      <c r="F4234" s="39"/>
    </row>
    <row r="4235">
      <c r="D4235" s="39"/>
      <c r="E4235" s="39"/>
      <c r="F4235" s="39"/>
    </row>
    <row r="4236">
      <c r="D4236" s="39"/>
      <c r="E4236" s="39"/>
      <c r="F4236" s="39"/>
    </row>
    <row r="4237">
      <c r="D4237" s="39"/>
      <c r="E4237" s="39"/>
      <c r="F4237" s="39"/>
    </row>
    <row r="4238">
      <c r="D4238" s="39"/>
      <c r="E4238" s="39"/>
      <c r="F4238" s="39"/>
    </row>
    <row r="4239">
      <c r="D4239" s="39"/>
      <c r="E4239" s="39"/>
      <c r="F4239" s="39"/>
    </row>
    <row r="4240">
      <c r="D4240" s="39"/>
      <c r="E4240" s="39"/>
      <c r="F4240" s="39"/>
    </row>
    <row r="4241">
      <c r="D4241" s="39"/>
      <c r="E4241" s="39"/>
      <c r="F4241" s="39"/>
    </row>
    <row r="4242">
      <c r="D4242" s="39"/>
      <c r="E4242" s="39"/>
      <c r="F4242" s="39"/>
    </row>
    <row r="4243">
      <c r="D4243" s="39"/>
      <c r="E4243" s="39"/>
      <c r="F4243" s="39"/>
    </row>
    <row r="4244">
      <c r="D4244" s="39"/>
      <c r="E4244" s="39"/>
      <c r="F4244" s="39"/>
    </row>
    <row r="4245">
      <c r="D4245" s="39"/>
      <c r="E4245" s="39"/>
      <c r="F4245" s="39"/>
    </row>
    <row r="4246">
      <c r="D4246" s="39"/>
      <c r="E4246" s="39"/>
      <c r="F4246" s="39"/>
    </row>
    <row r="4247">
      <c r="D4247" s="39"/>
      <c r="E4247" s="39"/>
      <c r="F4247" s="39"/>
    </row>
    <row r="4248">
      <c r="D4248" s="39"/>
      <c r="E4248" s="39"/>
      <c r="F4248" s="39"/>
    </row>
    <row r="4249">
      <c r="D4249" s="39"/>
      <c r="E4249" s="39"/>
      <c r="F4249" s="39"/>
    </row>
    <row r="4250">
      <c r="D4250" s="39"/>
      <c r="E4250" s="39"/>
      <c r="F4250" s="39"/>
    </row>
    <row r="4251">
      <c r="D4251" s="39"/>
      <c r="E4251" s="39"/>
      <c r="F4251" s="39"/>
    </row>
    <row r="4252">
      <c r="D4252" s="39"/>
      <c r="E4252" s="39"/>
      <c r="F4252" s="39"/>
    </row>
    <row r="4253">
      <c r="D4253" s="39"/>
      <c r="E4253" s="39"/>
      <c r="F4253" s="39"/>
    </row>
    <row r="4254">
      <c r="D4254" s="39"/>
      <c r="E4254" s="39"/>
      <c r="F4254" s="39"/>
    </row>
    <row r="4255">
      <c r="D4255" s="39"/>
      <c r="E4255" s="39"/>
      <c r="F4255" s="39"/>
    </row>
    <row r="4256">
      <c r="D4256" s="39"/>
      <c r="E4256" s="39"/>
      <c r="F4256" s="39"/>
    </row>
    <row r="4257">
      <c r="D4257" s="39"/>
      <c r="E4257" s="39"/>
      <c r="F4257" s="39"/>
    </row>
    <row r="4258">
      <c r="D4258" s="39"/>
      <c r="E4258" s="39"/>
      <c r="F4258" s="39"/>
    </row>
    <row r="4259">
      <c r="D4259" s="39"/>
      <c r="E4259" s="39"/>
      <c r="F4259" s="39"/>
    </row>
    <row r="4260">
      <c r="D4260" s="39"/>
      <c r="E4260" s="39"/>
      <c r="F4260" s="39"/>
    </row>
    <row r="4261">
      <c r="D4261" s="39"/>
      <c r="E4261" s="39"/>
      <c r="F4261" s="39"/>
    </row>
    <row r="4262">
      <c r="D4262" s="39"/>
      <c r="E4262" s="39"/>
      <c r="F4262" s="39"/>
    </row>
    <row r="4263">
      <c r="D4263" s="39"/>
      <c r="E4263" s="39"/>
      <c r="F4263" s="39"/>
    </row>
    <row r="4264">
      <c r="D4264" s="39"/>
      <c r="E4264" s="39"/>
      <c r="F4264" s="39"/>
    </row>
    <row r="4265">
      <c r="D4265" s="39"/>
      <c r="E4265" s="39"/>
      <c r="F4265" s="39"/>
    </row>
    <row r="4266">
      <c r="D4266" s="39"/>
      <c r="E4266" s="39"/>
      <c r="F4266" s="39"/>
    </row>
    <row r="4267">
      <c r="D4267" s="39"/>
      <c r="E4267" s="39"/>
      <c r="F4267" s="39"/>
    </row>
    <row r="4268">
      <c r="D4268" s="39"/>
      <c r="E4268" s="39"/>
      <c r="F4268" s="39"/>
    </row>
    <row r="4269">
      <c r="D4269" s="39"/>
      <c r="E4269" s="39"/>
      <c r="F4269" s="39"/>
    </row>
    <row r="4270">
      <c r="D4270" s="39"/>
      <c r="E4270" s="39"/>
      <c r="F4270" s="39"/>
    </row>
    <row r="4271">
      <c r="D4271" s="39"/>
      <c r="E4271" s="39"/>
      <c r="F4271" s="39"/>
    </row>
    <row r="4272">
      <c r="D4272" s="39"/>
      <c r="E4272" s="39"/>
      <c r="F4272" s="39"/>
    </row>
    <row r="4273">
      <c r="D4273" s="39"/>
      <c r="E4273" s="39"/>
      <c r="F4273" s="39"/>
    </row>
    <row r="4274">
      <c r="D4274" s="39"/>
      <c r="E4274" s="39"/>
      <c r="F4274" s="39"/>
    </row>
    <row r="4275">
      <c r="D4275" s="39"/>
      <c r="E4275" s="39"/>
      <c r="F4275" s="39"/>
    </row>
    <row r="4276">
      <c r="D4276" s="39"/>
      <c r="E4276" s="39"/>
      <c r="F4276" s="39"/>
    </row>
    <row r="4277">
      <c r="D4277" s="39"/>
      <c r="E4277" s="39"/>
      <c r="F4277" s="39"/>
    </row>
    <row r="4278">
      <c r="D4278" s="39"/>
      <c r="E4278" s="39"/>
      <c r="F4278" s="39"/>
    </row>
    <row r="4279">
      <c r="D4279" s="39"/>
      <c r="E4279" s="39"/>
      <c r="F4279" s="39"/>
    </row>
    <row r="4280">
      <c r="D4280" s="39"/>
      <c r="E4280" s="39"/>
      <c r="F4280" s="39"/>
    </row>
    <row r="4281">
      <c r="D4281" s="39"/>
      <c r="E4281" s="39"/>
      <c r="F4281" s="39"/>
    </row>
    <row r="4282">
      <c r="D4282" s="39"/>
      <c r="E4282" s="39"/>
      <c r="F4282" s="39"/>
    </row>
    <row r="4283">
      <c r="D4283" s="39"/>
      <c r="E4283" s="39"/>
      <c r="F4283" s="39"/>
    </row>
    <row r="4284">
      <c r="D4284" s="39"/>
      <c r="E4284" s="39"/>
      <c r="F4284" s="39"/>
    </row>
    <row r="4285">
      <c r="D4285" s="39"/>
      <c r="E4285" s="39"/>
      <c r="F4285" s="39"/>
    </row>
    <row r="4286">
      <c r="D4286" s="39"/>
      <c r="E4286" s="39"/>
      <c r="F4286" s="39"/>
    </row>
    <row r="4287">
      <c r="D4287" s="39"/>
      <c r="E4287" s="39"/>
      <c r="F4287" s="39"/>
    </row>
    <row r="4288">
      <c r="D4288" s="39"/>
      <c r="E4288" s="39"/>
      <c r="F4288" s="39"/>
    </row>
    <row r="4289">
      <c r="D4289" s="39"/>
      <c r="E4289" s="39"/>
      <c r="F4289" s="39"/>
    </row>
    <row r="4290">
      <c r="D4290" s="39"/>
      <c r="E4290" s="39"/>
      <c r="F4290" s="39"/>
    </row>
    <row r="4291">
      <c r="D4291" s="39"/>
      <c r="E4291" s="39"/>
      <c r="F4291" s="39"/>
    </row>
    <row r="4292">
      <c r="D4292" s="39"/>
      <c r="E4292" s="39"/>
      <c r="F4292" s="39"/>
    </row>
    <row r="4293">
      <c r="D4293" s="39"/>
      <c r="E4293" s="39"/>
      <c r="F4293" s="39"/>
    </row>
    <row r="4294">
      <c r="D4294" s="39"/>
      <c r="E4294" s="39"/>
      <c r="F4294" s="39"/>
    </row>
    <row r="4295">
      <c r="D4295" s="39"/>
      <c r="E4295" s="39"/>
      <c r="F4295" s="39"/>
    </row>
    <row r="4296">
      <c r="D4296" s="39"/>
      <c r="E4296" s="39"/>
      <c r="F4296" s="39"/>
    </row>
    <row r="4297">
      <c r="D4297" s="39"/>
      <c r="E4297" s="39"/>
      <c r="F4297" s="39"/>
    </row>
    <row r="4298">
      <c r="D4298" s="39"/>
      <c r="E4298" s="39"/>
      <c r="F4298" s="39"/>
    </row>
    <row r="4299">
      <c r="D4299" s="39"/>
      <c r="E4299" s="39"/>
      <c r="F4299" s="39"/>
    </row>
    <row r="4300">
      <c r="D4300" s="39"/>
      <c r="E4300" s="39"/>
      <c r="F4300" s="39"/>
    </row>
    <row r="4301">
      <c r="D4301" s="39"/>
      <c r="E4301" s="39"/>
      <c r="F4301" s="39"/>
    </row>
    <row r="4302">
      <c r="D4302" s="39"/>
      <c r="E4302" s="39"/>
      <c r="F4302" s="39"/>
    </row>
    <row r="4303">
      <c r="D4303" s="39"/>
      <c r="E4303" s="39"/>
      <c r="F4303" s="39"/>
    </row>
    <row r="4304">
      <c r="D4304" s="39"/>
      <c r="E4304" s="39"/>
      <c r="F4304" s="39"/>
    </row>
    <row r="4305">
      <c r="D4305" s="39"/>
      <c r="E4305" s="39"/>
      <c r="F4305" s="39"/>
    </row>
    <row r="4306">
      <c r="D4306" s="39"/>
      <c r="E4306" s="39"/>
      <c r="F4306" s="39"/>
    </row>
    <row r="4307">
      <c r="D4307" s="39"/>
      <c r="E4307" s="39"/>
      <c r="F4307" s="39"/>
    </row>
    <row r="4308">
      <c r="D4308" s="39"/>
      <c r="E4308" s="39"/>
      <c r="F4308" s="39"/>
    </row>
    <row r="4309">
      <c r="D4309" s="39"/>
      <c r="E4309" s="39"/>
      <c r="F4309" s="39"/>
    </row>
    <row r="4310">
      <c r="D4310" s="39"/>
      <c r="E4310" s="39"/>
      <c r="F4310" s="39"/>
    </row>
    <row r="4311">
      <c r="D4311" s="39"/>
      <c r="E4311" s="39"/>
      <c r="F4311" s="39"/>
    </row>
    <row r="4312">
      <c r="D4312" s="39"/>
      <c r="E4312" s="39"/>
      <c r="F4312" s="39"/>
    </row>
    <row r="4313">
      <c r="D4313" s="39"/>
      <c r="E4313" s="39"/>
      <c r="F4313" s="39"/>
    </row>
    <row r="4314">
      <c r="D4314" s="39"/>
      <c r="E4314" s="39"/>
      <c r="F4314" s="39"/>
    </row>
    <row r="4315">
      <c r="D4315" s="39"/>
      <c r="E4315" s="39"/>
      <c r="F4315" s="39"/>
    </row>
    <row r="4316">
      <c r="D4316" s="39"/>
      <c r="E4316" s="39"/>
      <c r="F4316" s="39"/>
    </row>
    <row r="4317">
      <c r="D4317" s="39"/>
      <c r="E4317" s="39"/>
      <c r="F4317" s="39"/>
    </row>
    <row r="4318">
      <c r="D4318" s="39"/>
      <c r="E4318" s="39"/>
      <c r="F4318" s="39"/>
    </row>
    <row r="4319">
      <c r="D4319" s="39"/>
      <c r="E4319" s="39"/>
      <c r="F4319" s="39"/>
    </row>
    <row r="4320">
      <c r="D4320" s="39"/>
      <c r="E4320" s="39"/>
      <c r="F4320" s="39"/>
    </row>
    <row r="4321">
      <c r="D4321" s="39"/>
      <c r="E4321" s="39"/>
      <c r="F4321" s="39"/>
    </row>
    <row r="4322">
      <c r="D4322" s="39"/>
      <c r="E4322" s="39"/>
      <c r="F4322" s="39"/>
    </row>
    <row r="4323">
      <c r="D4323" s="39"/>
      <c r="E4323" s="39"/>
      <c r="F4323" s="39"/>
    </row>
    <row r="4324">
      <c r="D4324" s="39"/>
      <c r="E4324" s="39"/>
      <c r="F4324" s="39"/>
    </row>
    <row r="4325">
      <c r="D4325" s="39"/>
      <c r="E4325" s="39"/>
      <c r="F4325" s="39"/>
    </row>
    <row r="4326">
      <c r="D4326" s="39"/>
      <c r="E4326" s="39"/>
      <c r="F4326" s="39"/>
    </row>
    <row r="4327">
      <c r="D4327" s="39"/>
      <c r="E4327" s="39"/>
      <c r="F4327" s="39"/>
    </row>
    <row r="4328">
      <c r="D4328" s="39"/>
      <c r="E4328" s="39"/>
      <c r="F4328" s="39"/>
    </row>
    <row r="4329">
      <c r="D4329" s="39"/>
      <c r="E4329" s="39"/>
      <c r="F4329" s="39"/>
    </row>
    <row r="4330">
      <c r="D4330" s="39"/>
      <c r="E4330" s="39"/>
      <c r="F4330" s="39"/>
    </row>
    <row r="4331">
      <c r="D4331" s="39"/>
      <c r="E4331" s="39"/>
      <c r="F4331" s="39"/>
    </row>
    <row r="4332">
      <c r="D4332" s="39"/>
      <c r="E4332" s="39"/>
      <c r="F4332" s="39"/>
    </row>
    <row r="4333">
      <c r="D4333" s="39"/>
      <c r="E4333" s="39"/>
      <c r="F4333" s="39"/>
    </row>
    <row r="4334">
      <c r="D4334" s="39"/>
      <c r="E4334" s="39"/>
      <c r="F4334" s="39"/>
    </row>
    <row r="4335">
      <c r="D4335" s="39"/>
      <c r="E4335" s="39"/>
      <c r="F4335" s="39"/>
    </row>
    <row r="4336">
      <c r="D4336" s="39"/>
      <c r="E4336" s="39"/>
      <c r="F4336" s="39"/>
    </row>
    <row r="4337">
      <c r="D4337" s="39"/>
      <c r="E4337" s="39"/>
      <c r="F4337" s="39"/>
    </row>
    <row r="4338">
      <c r="D4338" s="39"/>
      <c r="E4338" s="39"/>
      <c r="F4338" s="39"/>
    </row>
    <row r="4339">
      <c r="D4339" s="39"/>
      <c r="E4339" s="39"/>
      <c r="F4339" s="39"/>
    </row>
    <row r="4340">
      <c r="D4340" s="39"/>
      <c r="E4340" s="39"/>
      <c r="F4340" s="39"/>
    </row>
    <row r="4341">
      <c r="D4341" s="39"/>
      <c r="E4341" s="39"/>
      <c r="F4341" s="39"/>
    </row>
    <row r="4342">
      <c r="D4342" s="39"/>
      <c r="E4342" s="39"/>
      <c r="F4342" s="39"/>
    </row>
    <row r="4343">
      <c r="D4343" s="39"/>
      <c r="E4343" s="39"/>
      <c r="F4343" s="39"/>
    </row>
    <row r="4344">
      <c r="D4344" s="39"/>
      <c r="E4344" s="39"/>
      <c r="F4344" s="39"/>
    </row>
    <row r="4345">
      <c r="D4345" s="39"/>
      <c r="E4345" s="39"/>
      <c r="F4345" s="39"/>
    </row>
    <row r="4346">
      <c r="D4346" s="39"/>
      <c r="E4346" s="39"/>
      <c r="F4346" s="39"/>
    </row>
    <row r="4347">
      <c r="D4347" s="39"/>
      <c r="E4347" s="39"/>
      <c r="F4347" s="39"/>
    </row>
    <row r="4348">
      <c r="D4348" s="39"/>
      <c r="E4348" s="39"/>
      <c r="F4348" s="39"/>
    </row>
    <row r="4349">
      <c r="D4349" s="39"/>
      <c r="E4349" s="39"/>
      <c r="F4349" s="39"/>
    </row>
    <row r="4350">
      <c r="D4350" s="39"/>
      <c r="E4350" s="39"/>
      <c r="F4350" s="39"/>
    </row>
    <row r="4351">
      <c r="D4351" s="39"/>
      <c r="E4351" s="39"/>
      <c r="F4351" s="39"/>
    </row>
    <row r="4352">
      <c r="D4352" s="39"/>
      <c r="E4352" s="39"/>
      <c r="F4352" s="39"/>
    </row>
    <row r="4353">
      <c r="D4353" s="39"/>
      <c r="E4353" s="39"/>
      <c r="F4353" s="39"/>
    </row>
    <row r="4354">
      <c r="D4354" s="39"/>
      <c r="E4354" s="39"/>
      <c r="F4354" s="39"/>
    </row>
    <row r="4355">
      <c r="D4355" s="39"/>
      <c r="E4355" s="39"/>
      <c r="F4355" s="39"/>
    </row>
    <row r="4356">
      <c r="D4356" s="39"/>
      <c r="E4356" s="39"/>
      <c r="F4356" s="39"/>
    </row>
    <row r="4357">
      <c r="D4357" s="39"/>
      <c r="E4357" s="39"/>
      <c r="F4357" s="39"/>
    </row>
    <row r="4358">
      <c r="D4358" s="39"/>
      <c r="E4358" s="39"/>
      <c r="F4358" s="39"/>
    </row>
    <row r="4359">
      <c r="D4359" s="39"/>
      <c r="E4359" s="39"/>
      <c r="F4359" s="39"/>
    </row>
    <row r="4360">
      <c r="D4360" s="39"/>
      <c r="E4360" s="39"/>
      <c r="F4360" s="39"/>
    </row>
    <row r="4361">
      <c r="D4361" s="39"/>
      <c r="E4361" s="39"/>
      <c r="F4361" s="39"/>
    </row>
    <row r="4362">
      <c r="D4362" s="39"/>
      <c r="E4362" s="39"/>
      <c r="F4362" s="39"/>
    </row>
    <row r="4363">
      <c r="D4363" s="39"/>
      <c r="E4363" s="39"/>
      <c r="F4363" s="39"/>
    </row>
    <row r="4364">
      <c r="D4364" s="39"/>
      <c r="E4364" s="39"/>
      <c r="F4364" s="39"/>
    </row>
    <row r="4365">
      <c r="D4365" s="39"/>
      <c r="E4365" s="39"/>
      <c r="F4365" s="39"/>
    </row>
    <row r="4366">
      <c r="D4366" s="39"/>
      <c r="E4366" s="39"/>
      <c r="F4366" s="39"/>
    </row>
    <row r="4367">
      <c r="D4367" s="39"/>
      <c r="E4367" s="39"/>
      <c r="F4367" s="39"/>
    </row>
    <row r="4368">
      <c r="D4368" s="39"/>
      <c r="E4368" s="39"/>
      <c r="F4368" s="39"/>
    </row>
    <row r="4369">
      <c r="D4369" s="39"/>
      <c r="E4369" s="39"/>
      <c r="F4369" s="39"/>
    </row>
    <row r="4370">
      <c r="D4370" s="39"/>
      <c r="E4370" s="39"/>
      <c r="F4370" s="39"/>
    </row>
    <row r="4371">
      <c r="D4371" s="39"/>
      <c r="E4371" s="39"/>
      <c r="F4371" s="39"/>
    </row>
    <row r="4372">
      <c r="D4372" s="39"/>
      <c r="E4372" s="39"/>
      <c r="F4372" s="39"/>
    </row>
    <row r="4373">
      <c r="D4373" s="39"/>
      <c r="E4373" s="39"/>
      <c r="F4373" s="39"/>
    </row>
    <row r="4374">
      <c r="D4374" s="39"/>
      <c r="E4374" s="39"/>
      <c r="F4374" s="39"/>
    </row>
    <row r="4375">
      <c r="D4375" s="39"/>
      <c r="E4375" s="39"/>
      <c r="F4375" s="39"/>
    </row>
    <row r="4376">
      <c r="D4376" s="39"/>
      <c r="E4376" s="39"/>
      <c r="F4376" s="39"/>
    </row>
    <row r="4377">
      <c r="D4377" s="39"/>
      <c r="E4377" s="39"/>
      <c r="F4377" s="39"/>
    </row>
    <row r="4378">
      <c r="D4378" s="39"/>
      <c r="E4378" s="39"/>
      <c r="F4378" s="39"/>
    </row>
    <row r="4379">
      <c r="D4379" s="39"/>
      <c r="E4379" s="39"/>
      <c r="F4379" s="39"/>
    </row>
    <row r="4380">
      <c r="D4380" s="39"/>
      <c r="E4380" s="39"/>
      <c r="F4380" s="39"/>
    </row>
    <row r="4381">
      <c r="D4381" s="39"/>
      <c r="E4381" s="39"/>
      <c r="F4381" s="39"/>
    </row>
    <row r="4382">
      <c r="D4382" s="39"/>
      <c r="E4382" s="39"/>
      <c r="F4382" s="39"/>
    </row>
    <row r="4383">
      <c r="D4383" s="39"/>
      <c r="E4383" s="39"/>
      <c r="F4383" s="39"/>
    </row>
    <row r="4384">
      <c r="D4384" s="39"/>
      <c r="E4384" s="39"/>
      <c r="F4384" s="39"/>
    </row>
    <row r="4385">
      <c r="D4385" s="39"/>
      <c r="E4385" s="39"/>
      <c r="F4385" s="39"/>
    </row>
    <row r="4386">
      <c r="D4386" s="39"/>
      <c r="E4386" s="39"/>
      <c r="F4386" s="39"/>
    </row>
    <row r="4387">
      <c r="D4387" s="39"/>
      <c r="E4387" s="39"/>
      <c r="F4387" s="39"/>
    </row>
    <row r="4388">
      <c r="D4388" s="39"/>
      <c r="E4388" s="39"/>
      <c r="F4388" s="39"/>
    </row>
    <row r="4389">
      <c r="D4389" s="39"/>
      <c r="E4389" s="39"/>
      <c r="F4389" s="39"/>
    </row>
    <row r="4390">
      <c r="D4390" s="39"/>
      <c r="E4390" s="39"/>
      <c r="F4390" s="39"/>
    </row>
    <row r="4391">
      <c r="D4391" s="39"/>
      <c r="E4391" s="39"/>
      <c r="F4391" s="39"/>
    </row>
    <row r="4392">
      <c r="D4392" s="39"/>
      <c r="E4392" s="39"/>
      <c r="F4392" s="39"/>
    </row>
    <row r="4393">
      <c r="D4393" s="39"/>
      <c r="E4393" s="39"/>
      <c r="F4393" s="39"/>
    </row>
    <row r="4394">
      <c r="D4394" s="39"/>
      <c r="E4394" s="39"/>
      <c r="F4394" s="39"/>
    </row>
    <row r="4395">
      <c r="D4395" s="39"/>
      <c r="E4395" s="39"/>
      <c r="F4395" s="39"/>
    </row>
    <row r="4396">
      <c r="D4396" s="39"/>
      <c r="E4396" s="39"/>
      <c r="F4396" s="39"/>
    </row>
    <row r="4397">
      <c r="D4397" s="39"/>
      <c r="E4397" s="39"/>
      <c r="F4397" s="39"/>
    </row>
    <row r="4398">
      <c r="D4398" s="39"/>
      <c r="E4398" s="39"/>
      <c r="F4398" s="39"/>
    </row>
    <row r="4399">
      <c r="D4399" s="39"/>
      <c r="E4399" s="39"/>
      <c r="F4399" s="39"/>
    </row>
    <row r="4400">
      <c r="D4400" s="39"/>
      <c r="E4400" s="39"/>
      <c r="F4400" s="39"/>
    </row>
    <row r="4401">
      <c r="D4401" s="39"/>
      <c r="E4401" s="39"/>
      <c r="F4401" s="39"/>
    </row>
    <row r="4402">
      <c r="D4402" s="39"/>
      <c r="E4402" s="39"/>
      <c r="F4402" s="39"/>
    </row>
    <row r="4403">
      <c r="D4403" s="39"/>
      <c r="E4403" s="39"/>
      <c r="F4403" s="39"/>
    </row>
    <row r="4404">
      <c r="D4404" s="39"/>
      <c r="E4404" s="39"/>
      <c r="F4404" s="39"/>
    </row>
    <row r="4405">
      <c r="D4405" s="39"/>
      <c r="E4405" s="39"/>
      <c r="F4405" s="39"/>
    </row>
    <row r="4406">
      <c r="D4406" s="39"/>
      <c r="E4406" s="39"/>
      <c r="F4406" s="39"/>
    </row>
    <row r="4407">
      <c r="D4407" s="39"/>
      <c r="E4407" s="39"/>
      <c r="F4407" s="39"/>
    </row>
    <row r="4408">
      <c r="D4408" s="39"/>
      <c r="E4408" s="39"/>
      <c r="F4408" s="39"/>
    </row>
    <row r="4409">
      <c r="D4409" s="39"/>
      <c r="E4409" s="39"/>
      <c r="F4409" s="39"/>
    </row>
    <row r="4410">
      <c r="D4410" s="39"/>
      <c r="E4410" s="39"/>
      <c r="F4410" s="39"/>
    </row>
    <row r="4411">
      <c r="D4411" s="39"/>
      <c r="E4411" s="39"/>
      <c r="F4411" s="39"/>
    </row>
    <row r="4412">
      <c r="D4412" s="39"/>
      <c r="E4412" s="39"/>
      <c r="F4412" s="39"/>
    </row>
    <row r="4413">
      <c r="D4413" s="39"/>
      <c r="E4413" s="39"/>
      <c r="F4413" s="39"/>
    </row>
    <row r="4414">
      <c r="D4414" s="39"/>
      <c r="E4414" s="39"/>
      <c r="F4414" s="39"/>
    </row>
    <row r="4415">
      <c r="D4415" s="39"/>
      <c r="E4415" s="39"/>
      <c r="F4415" s="39"/>
    </row>
    <row r="4416">
      <c r="D4416" s="39"/>
      <c r="E4416" s="39"/>
      <c r="F4416" s="39"/>
    </row>
    <row r="4417">
      <c r="D4417" s="39"/>
      <c r="E4417" s="39"/>
      <c r="F4417" s="39"/>
    </row>
    <row r="4418">
      <c r="D4418" s="39"/>
      <c r="E4418" s="39"/>
      <c r="F4418" s="39"/>
    </row>
    <row r="4419">
      <c r="D4419" s="39"/>
      <c r="E4419" s="39"/>
      <c r="F4419" s="39"/>
    </row>
    <row r="4420">
      <c r="D4420" s="39"/>
      <c r="E4420" s="39"/>
      <c r="F4420" s="39"/>
    </row>
    <row r="4421">
      <c r="D4421" s="39"/>
      <c r="E4421" s="39"/>
      <c r="F4421" s="39"/>
    </row>
    <row r="4422">
      <c r="D4422" s="39"/>
      <c r="E4422" s="39"/>
      <c r="F4422" s="39"/>
    </row>
    <row r="4423">
      <c r="D4423" s="39"/>
      <c r="E4423" s="39"/>
      <c r="F4423" s="39"/>
    </row>
    <row r="4424">
      <c r="D4424" s="39"/>
      <c r="E4424" s="39"/>
      <c r="F4424" s="39"/>
    </row>
    <row r="4425">
      <c r="D4425" s="39"/>
      <c r="E4425" s="39"/>
      <c r="F4425" s="39"/>
    </row>
    <row r="4426">
      <c r="D4426" s="39"/>
      <c r="E4426" s="39"/>
      <c r="F4426" s="39"/>
    </row>
    <row r="4427">
      <c r="D4427" s="39"/>
      <c r="E4427" s="39"/>
      <c r="F4427" s="39"/>
    </row>
    <row r="4428">
      <c r="D4428" s="39"/>
      <c r="E4428" s="39"/>
      <c r="F4428" s="39"/>
    </row>
    <row r="4429">
      <c r="D4429" s="39"/>
      <c r="E4429" s="39"/>
      <c r="F4429" s="39"/>
    </row>
    <row r="4430">
      <c r="D4430" s="39"/>
      <c r="E4430" s="39"/>
      <c r="F4430" s="39"/>
    </row>
    <row r="4431">
      <c r="D4431" s="39"/>
      <c r="E4431" s="39"/>
      <c r="F4431" s="39"/>
    </row>
    <row r="4432">
      <c r="D4432" s="39"/>
      <c r="E4432" s="39"/>
      <c r="F4432" s="39"/>
    </row>
    <row r="4433">
      <c r="D4433" s="39"/>
      <c r="E4433" s="39"/>
      <c r="F4433" s="39"/>
    </row>
    <row r="4434">
      <c r="D4434" s="39"/>
      <c r="E4434" s="39"/>
      <c r="F4434" s="39"/>
    </row>
    <row r="4435">
      <c r="D4435" s="39"/>
      <c r="E4435" s="39"/>
      <c r="F4435" s="39"/>
    </row>
    <row r="4436">
      <c r="D4436" s="39"/>
      <c r="E4436" s="39"/>
      <c r="F4436" s="39"/>
    </row>
    <row r="4437">
      <c r="D4437" s="39"/>
      <c r="E4437" s="39"/>
      <c r="F4437" s="39"/>
    </row>
    <row r="4438">
      <c r="D4438" s="39"/>
      <c r="E4438" s="39"/>
      <c r="F4438" s="39"/>
    </row>
    <row r="4439">
      <c r="D4439" s="39"/>
      <c r="E4439" s="39"/>
      <c r="F4439" s="39"/>
    </row>
    <row r="4440">
      <c r="D4440" s="39"/>
      <c r="E4440" s="39"/>
      <c r="F4440" s="39"/>
    </row>
    <row r="4441">
      <c r="D4441" s="39"/>
      <c r="E4441" s="39"/>
      <c r="F4441" s="39"/>
    </row>
    <row r="4442">
      <c r="D4442" s="39"/>
      <c r="E4442" s="39"/>
      <c r="F4442" s="39"/>
    </row>
    <row r="4443">
      <c r="D4443" s="39"/>
      <c r="E4443" s="39"/>
      <c r="F4443" s="39"/>
    </row>
    <row r="4444">
      <c r="D4444" s="39"/>
      <c r="E4444" s="39"/>
      <c r="F4444" s="39"/>
    </row>
    <row r="4445">
      <c r="D4445" s="39"/>
      <c r="E4445" s="39"/>
      <c r="F4445" s="39"/>
    </row>
    <row r="4446">
      <c r="D4446" s="39"/>
      <c r="E4446" s="39"/>
      <c r="F4446" s="39"/>
    </row>
    <row r="4447">
      <c r="D4447" s="39"/>
      <c r="E4447" s="39"/>
      <c r="F4447" s="39"/>
    </row>
    <row r="4448">
      <c r="D4448" s="39"/>
      <c r="E4448" s="39"/>
      <c r="F4448" s="39"/>
    </row>
    <row r="4449">
      <c r="D4449" s="39"/>
      <c r="E4449" s="39"/>
      <c r="F4449" s="39"/>
    </row>
    <row r="4450">
      <c r="D4450" s="39"/>
      <c r="E4450" s="39"/>
      <c r="F4450" s="39"/>
    </row>
    <row r="4451">
      <c r="D4451" s="39"/>
      <c r="E4451" s="39"/>
      <c r="F4451" s="39"/>
    </row>
    <row r="4452">
      <c r="D4452" s="39"/>
      <c r="E4452" s="39"/>
      <c r="F4452" s="39"/>
    </row>
    <row r="4453">
      <c r="D4453" s="39"/>
      <c r="E4453" s="39"/>
      <c r="F4453" s="39"/>
    </row>
    <row r="4454">
      <c r="D4454" s="39"/>
      <c r="E4454" s="39"/>
      <c r="F4454" s="39"/>
    </row>
    <row r="4455">
      <c r="D4455" s="39"/>
      <c r="E4455" s="39"/>
      <c r="F4455" s="39"/>
    </row>
    <row r="4456">
      <c r="D4456" s="39"/>
      <c r="E4456" s="39"/>
      <c r="F4456" s="39"/>
    </row>
    <row r="4457">
      <c r="D4457" s="39"/>
      <c r="E4457" s="39"/>
      <c r="F4457" s="39"/>
    </row>
    <row r="4458">
      <c r="D4458" s="39"/>
      <c r="E4458" s="39"/>
      <c r="F4458" s="39"/>
    </row>
    <row r="4459">
      <c r="D4459" s="39"/>
      <c r="E4459" s="39"/>
      <c r="F4459" s="39"/>
    </row>
    <row r="4460">
      <c r="D4460" s="39"/>
      <c r="E4460" s="39"/>
      <c r="F4460" s="39"/>
    </row>
    <row r="4461">
      <c r="D4461" s="39"/>
      <c r="E4461" s="39"/>
      <c r="F4461" s="39"/>
    </row>
    <row r="4462">
      <c r="D4462" s="39"/>
      <c r="E4462" s="39"/>
      <c r="F4462" s="39"/>
    </row>
    <row r="4463">
      <c r="D4463" s="39"/>
      <c r="E4463" s="39"/>
      <c r="F4463" s="39"/>
    </row>
    <row r="4464">
      <c r="D4464" s="39"/>
      <c r="E4464" s="39"/>
      <c r="F4464" s="39"/>
    </row>
    <row r="4465">
      <c r="D4465" s="39"/>
      <c r="E4465" s="39"/>
      <c r="F4465" s="39"/>
    </row>
    <row r="4466">
      <c r="D4466" s="39"/>
      <c r="E4466" s="39"/>
      <c r="F4466" s="39"/>
    </row>
    <row r="4467">
      <c r="D4467" s="39"/>
      <c r="E4467" s="39"/>
      <c r="F4467" s="39"/>
    </row>
    <row r="4468">
      <c r="D4468" s="39"/>
      <c r="E4468" s="39"/>
      <c r="F4468" s="39"/>
    </row>
    <row r="4469">
      <c r="D4469" s="39"/>
      <c r="E4469" s="39"/>
      <c r="F4469" s="39"/>
    </row>
    <row r="4470">
      <c r="D4470" s="39"/>
      <c r="E4470" s="39"/>
      <c r="F4470" s="39"/>
    </row>
    <row r="4471">
      <c r="D4471" s="39"/>
      <c r="E4471" s="39"/>
      <c r="F4471" s="39"/>
    </row>
    <row r="4472">
      <c r="D4472" s="39"/>
      <c r="E4472" s="39"/>
      <c r="F4472" s="39"/>
    </row>
    <row r="4473">
      <c r="D4473" s="39"/>
      <c r="E4473" s="39"/>
      <c r="F4473" s="39"/>
    </row>
    <row r="4474">
      <c r="D4474" s="39"/>
      <c r="E4474" s="39"/>
      <c r="F4474" s="39"/>
    </row>
    <row r="4475">
      <c r="D4475" s="39"/>
      <c r="E4475" s="39"/>
      <c r="F4475" s="39"/>
    </row>
    <row r="4476">
      <c r="D4476" s="39"/>
      <c r="E4476" s="39"/>
      <c r="F4476" s="39"/>
    </row>
    <row r="4477">
      <c r="D4477" s="39"/>
      <c r="E4477" s="39"/>
      <c r="F4477" s="39"/>
    </row>
    <row r="4478">
      <c r="D4478" s="39"/>
      <c r="E4478" s="39"/>
      <c r="F4478" s="39"/>
    </row>
    <row r="4479">
      <c r="D4479" s="39"/>
      <c r="E4479" s="39"/>
      <c r="F4479" s="39"/>
    </row>
    <row r="4480">
      <c r="D4480" s="39"/>
      <c r="E4480" s="39"/>
      <c r="F4480" s="39"/>
    </row>
    <row r="4481">
      <c r="D4481" s="39"/>
      <c r="E4481" s="39"/>
      <c r="F4481" s="39"/>
    </row>
    <row r="4482">
      <c r="D4482" s="39"/>
      <c r="E4482" s="39"/>
      <c r="F4482" s="39"/>
    </row>
    <row r="4483">
      <c r="D4483" s="39"/>
      <c r="E4483" s="39"/>
      <c r="F4483" s="39"/>
    </row>
    <row r="4484">
      <c r="D4484" s="39"/>
      <c r="E4484" s="39"/>
      <c r="F4484" s="39"/>
    </row>
    <row r="4485">
      <c r="D4485" s="39"/>
      <c r="E4485" s="39"/>
      <c r="F4485" s="39"/>
    </row>
    <row r="4486">
      <c r="D4486" s="39"/>
      <c r="E4486" s="39"/>
      <c r="F4486" s="39"/>
    </row>
    <row r="4487">
      <c r="D4487" s="39"/>
      <c r="E4487" s="39"/>
      <c r="F4487" s="39"/>
    </row>
    <row r="4488">
      <c r="D4488" s="39"/>
      <c r="E4488" s="39"/>
      <c r="F4488" s="39"/>
    </row>
    <row r="4489">
      <c r="D4489" s="39"/>
      <c r="E4489" s="39"/>
      <c r="F4489" s="39"/>
    </row>
    <row r="4490">
      <c r="D4490" s="39"/>
      <c r="E4490" s="39"/>
      <c r="F4490" s="39"/>
    </row>
    <row r="4491">
      <c r="D4491" s="39"/>
      <c r="E4491" s="39"/>
      <c r="F4491" s="39"/>
    </row>
    <row r="4492">
      <c r="D4492" s="39"/>
      <c r="E4492" s="39"/>
      <c r="F4492" s="39"/>
    </row>
    <row r="4493">
      <c r="D4493" s="39"/>
      <c r="E4493" s="39"/>
      <c r="F4493" s="39"/>
    </row>
    <row r="4494">
      <c r="D4494" s="39"/>
      <c r="E4494" s="39"/>
      <c r="F4494" s="39"/>
    </row>
    <row r="4495">
      <c r="D4495" s="39"/>
      <c r="E4495" s="39"/>
      <c r="F4495" s="39"/>
    </row>
    <row r="4496">
      <c r="D4496" s="39"/>
      <c r="E4496" s="39"/>
      <c r="F4496" s="39"/>
    </row>
    <row r="4497">
      <c r="D4497" s="39"/>
      <c r="E4497" s="39"/>
      <c r="F4497" s="39"/>
    </row>
    <row r="4498">
      <c r="D4498" s="39"/>
      <c r="E4498" s="39"/>
      <c r="F4498" s="39"/>
    </row>
    <row r="4499">
      <c r="D4499" s="39"/>
      <c r="E4499" s="39"/>
      <c r="F4499" s="39"/>
    </row>
    <row r="4500">
      <c r="D4500" s="39"/>
      <c r="E4500" s="39"/>
      <c r="F4500" s="39"/>
    </row>
    <row r="4501">
      <c r="D4501" s="39"/>
      <c r="E4501" s="39"/>
      <c r="F4501" s="39"/>
    </row>
    <row r="4502">
      <c r="D4502" s="39"/>
      <c r="E4502" s="39"/>
      <c r="F4502" s="39"/>
    </row>
    <row r="4503">
      <c r="D4503" s="39"/>
      <c r="E4503" s="39"/>
      <c r="F4503" s="39"/>
    </row>
    <row r="4504">
      <c r="D4504" s="39"/>
      <c r="E4504" s="39"/>
      <c r="F4504" s="39"/>
    </row>
    <row r="4505">
      <c r="D4505" s="39"/>
      <c r="E4505" s="39"/>
      <c r="F4505" s="39"/>
    </row>
    <row r="4506">
      <c r="D4506" s="39"/>
      <c r="E4506" s="39"/>
      <c r="F4506" s="39"/>
    </row>
    <row r="4507">
      <c r="D4507" s="39"/>
      <c r="E4507" s="39"/>
      <c r="F4507" s="39"/>
    </row>
    <row r="4508">
      <c r="D4508" s="39"/>
      <c r="E4508" s="39"/>
      <c r="F4508" s="39"/>
    </row>
    <row r="4509">
      <c r="D4509" s="39"/>
      <c r="E4509" s="39"/>
      <c r="F4509" s="39"/>
    </row>
    <row r="4510">
      <c r="D4510" s="39"/>
      <c r="E4510" s="39"/>
      <c r="F4510" s="39"/>
    </row>
    <row r="4511">
      <c r="D4511" s="39"/>
      <c r="E4511" s="39"/>
      <c r="F4511" s="39"/>
    </row>
    <row r="4512">
      <c r="D4512" s="39"/>
      <c r="E4512" s="39"/>
      <c r="F4512" s="39"/>
    </row>
    <row r="4513">
      <c r="D4513" s="39"/>
      <c r="E4513" s="39"/>
      <c r="F4513" s="39"/>
    </row>
    <row r="4514">
      <c r="D4514" s="39"/>
      <c r="E4514" s="39"/>
      <c r="F4514" s="39"/>
    </row>
    <row r="4515">
      <c r="D4515" s="39"/>
      <c r="E4515" s="39"/>
      <c r="F4515" s="39"/>
    </row>
    <row r="4516">
      <c r="D4516" s="39"/>
      <c r="E4516" s="39"/>
      <c r="F4516" s="39"/>
    </row>
    <row r="4517">
      <c r="D4517" s="39"/>
      <c r="E4517" s="39"/>
      <c r="F4517" s="39"/>
    </row>
    <row r="4518">
      <c r="D4518" s="39"/>
      <c r="E4518" s="39"/>
      <c r="F4518" s="39"/>
    </row>
    <row r="4519">
      <c r="D4519" s="39"/>
      <c r="E4519" s="39"/>
      <c r="F4519" s="39"/>
    </row>
    <row r="4520">
      <c r="D4520" s="39"/>
      <c r="E4520" s="39"/>
      <c r="F4520" s="39"/>
    </row>
    <row r="4521">
      <c r="D4521" s="39"/>
      <c r="E4521" s="39"/>
      <c r="F4521" s="39"/>
    </row>
    <row r="4522">
      <c r="D4522" s="39"/>
      <c r="E4522" s="39"/>
      <c r="F4522" s="39"/>
    </row>
    <row r="4523">
      <c r="D4523" s="39"/>
      <c r="E4523" s="39"/>
      <c r="F4523" s="39"/>
    </row>
    <row r="4524">
      <c r="D4524" s="39"/>
      <c r="E4524" s="39"/>
      <c r="F4524" s="39"/>
    </row>
    <row r="4525">
      <c r="D4525" s="39"/>
      <c r="E4525" s="39"/>
      <c r="F4525" s="39"/>
    </row>
    <row r="4526">
      <c r="D4526" s="39"/>
      <c r="E4526" s="39"/>
      <c r="F4526" s="39"/>
    </row>
    <row r="4527">
      <c r="D4527" s="39"/>
      <c r="E4527" s="39"/>
      <c r="F4527" s="39"/>
    </row>
    <row r="4528">
      <c r="D4528" s="39"/>
      <c r="E4528" s="39"/>
      <c r="F4528" s="39"/>
    </row>
    <row r="4529">
      <c r="D4529" s="39"/>
      <c r="E4529" s="39"/>
      <c r="F4529" s="39"/>
    </row>
    <row r="4530">
      <c r="D4530" s="39"/>
      <c r="E4530" s="39"/>
      <c r="F4530" s="39"/>
    </row>
    <row r="4531">
      <c r="D4531" s="39"/>
      <c r="E4531" s="39"/>
      <c r="F4531" s="39"/>
    </row>
    <row r="4532">
      <c r="D4532" s="39"/>
      <c r="E4532" s="39"/>
      <c r="F4532" s="39"/>
    </row>
    <row r="4533">
      <c r="D4533" s="39"/>
      <c r="E4533" s="39"/>
      <c r="F4533" s="39"/>
    </row>
    <row r="4534">
      <c r="D4534" s="39"/>
      <c r="E4534" s="39"/>
      <c r="F4534" s="39"/>
    </row>
    <row r="4535">
      <c r="D4535" s="39"/>
      <c r="E4535" s="39"/>
      <c r="F4535" s="39"/>
    </row>
    <row r="4536">
      <c r="D4536" s="39"/>
      <c r="E4536" s="39"/>
      <c r="F4536" s="39"/>
    </row>
    <row r="4537">
      <c r="D4537" s="39"/>
      <c r="E4537" s="39"/>
      <c r="F4537" s="39"/>
    </row>
    <row r="4538">
      <c r="D4538" s="39"/>
      <c r="E4538" s="39"/>
      <c r="F4538" s="39"/>
    </row>
    <row r="4539">
      <c r="D4539" s="39"/>
      <c r="E4539" s="39"/>
      <c r="F4539" s="39"/>
    </row>
    <row r="4540">
      <c r="D4540" s="39"/>
      <c r="E4540" s="39"/>
      <c r="F4540" s="39"/>
    </row>
    <row r="4541">
      <c r="D4541" s="39"/>
      <c r="E4541" s="39"/>
      <c r="F4541" s="39"/>
    </row>
    <row r="4542">
      <c r="D4542" s="39"/>
      <c r="E4542" s="39"/>
      <c r="F4542" s="39"/>
    </row>
    <row r="4543">
      <c r="D4543" s="39"/>
      <c r="E4543" s="39"/>
      <c r="F4543" s="39"/>
    </row>
    <row r="4544">
      <c r="D4544" s="39"/>
      <c r="E4544" s="39"/>
      <c r="F4544" s="39"/>
    </row>
    <row r="4545">
      <c r="D4545" s="39"/>
      <c r="E4545" s="39"/>
      <c r="F4545" s="39"/>
    </row>
    <row r="4546">
      <c r="D4546" s="39"/>
      <c r="E4546" s="39"/>
      <c r="F4546" s="39"/>
    </row>
    <row r="4547">
      <c r="D4547" s="39"/>
      <c r="E4547" s="39"/>
      <c r="F4547" s="39"/>
    </row>
    <row r="4548">
      <c r="D4548" s="39"/>
      <c r="E4548" s="39"/>
      <c r="F4548" s="39"/>
    </row>
    <row r="4549">
      <c r="D4549" s="39"/>
      <c r="E4549" s="39"/>
      <c r="F4549" s="39"/>
    </row>
    <row r="4550">
      <c r="D4550" s="39"/>
      <c r="E4550" s="39"/>
      <c r="F4550" s="39"/>
    </row>
    <row r="4551">
      <c r="D4551" s="39"/>
      <c r="E4551" s="39"/>
      <c r="F4551" s="39"/>
    </row>
    <row r="4552">
      <c r="D4552" s="39"/>
      <c r="E4552" s="39"/>
      <c r="F4552" s="39"/>
    </row>
    <row r="4553">
      <c r="D4553" s="39"/>
      <c r="E4553" s="39"/>
      <c r="F4553" s="39"/>
    </row>
    <row r="4554">
      <c r="D4554" s="39"/>
      <c r="E4554" s="39"/>
      <c r="F4554" s="39"/>
    </row>
    <row r="4555">
      <c r="D4555" s="39"/>
      <c r="E4555" s="39"/>
      <c r="F4555" s="39"/>
    </row>
    <row r="4556">
      <c r="D4556" s="39"/>
      <c r="E4556" s="39"/>
      <c r="F4556" s="39"/>
    </row>
    <row r="4557">
      <c r="D4557" s="39"/>
      <c r="E4557" s="39"/>
      <c r="F4557" s="39"/>
    </row>
    <row r="4558">
      <c r="D4558" s="39"/>
      <c r="E4558" s="39"/>
      <c r="F4558" s="39"/>
    </row>
    <row r="4559">
      <c r="D4559" s="39"/>
      <c r="E4559" s="39"/>
      <c r="F4559" s="39"/>
    </row>
    <row r="4560">
      <c r="D4560" s="39"/>
      <c r="E4560" s="39"/>
      <c r="F4560" s="39"/>
    </row>
    <row r="4561">
      <c r="D4561" s="39"/>
      <c r="E4561" s="39"/>
      <c r="F4561" s="39"/>
    </row>
    <row r="4562">
      <c r="D4562" s="39"/>
      <c r="E4562" s="39"/>
      <c r="F4562" s="39"/>
    </row>
    <row r="4563">
      <c r="D4563" s="39"/>
      <c r="E4563" s="39"/>
      <c r="F4563" s="39"/>
    </row>
    <row r="4564">
      <c r="D4564" s="39"/>
      <c r="E4564" s="39"/>
      <c r="F4564" s="39"/>
    </row>
    <row r="4565">
      <c r="D4565" s="39"/>
      <c r="E4565" s="39"/>
      <c r="F4565" s="39"/>
    </row>
    <row r="4566">
      <c r="D4566" s="39"/>
      <c r="E4566" s="39"/>
      <c r="F4566" s="39"/>
    </row>
    <row r="4567">
      <c r="D4567" s="39"/>
      <c r="E4567" s="39"/>
      <c r="F4567" s="39"/>
    </row>
    <row r="4568">
      <c r="D4568" s="39"/>
      <c r="E4568" s="39"/>
      <c r="F4568" s="39"/>
    </row>
    <row r="4569">
      <c r="D4569" s="39"/>
      <c r="E4569" s="39"/>
      <c r="F4569" s="39"/>
    </row>
    <row r="4570">
      <c r="D4570" s="39"/>
      <c r="E4570" s="39"/>
      <c r="F4570" s="39"/>
    </row>
    <row r="4571">
      <c r="D4571" s="39"/>
      <c r="E4571" s="39"/>
      <c r="F4571" s="39"/>
    </row>
    <row r="4572">
      <c r="D4572" s="39"/>
      <c r="E4572" s="39"/>
      <c r="F4572" s="39"/>
    </row>
    <row r="4573">
      <c r="D4573" s="39"/>
      <c r="E4573" s="39"/>
      <c r="F4573" s="39"/>
    </row>
    <row r="4574">
      <c r="D4574" s="39"/>
      <c r="E4574" s="39"/>
      <c r="F4574" s="39"/>
    </row>
    <row r="4575">
      <c r="D4575" s="39"/>
      <c r="E4575" s="39"/>
      <c r="F4575" s="39"/>
    </row>
    <row r="4576">
      <c r="D4576" s="39"/>
      <c r="E4576" s="39"/>
      <c r="F4576" s="39"/>
    </row>
    <row r="4577">
      <c r="D4577" s="39"/>
      <c r="E4577" s="39"/>
      <c r="F4577" s="39"/>
    </row>
    <row r="4578">
      <c r="D4578" s="39"/>
      <c r="E4578" s="39"/>
      <c r="F4578" s="39"/>
    </row>
    <row r="4579">
      <c r="D4579" s="39"/>
      <c r="E4579" s="39"/>
      <c r="F4579" s="39"/>
    </row>
    <row r="4580">
      <c r="D4580" s="39"/>
      <c r="E4580" s="39"/>
      <c r="F4580" s="39"/>
    </row>
    <row r="4581">
      <c r="D4581" s="39"/>
      <c r="E4581" s="39"/>
      <c r="F4581" s="39"/>
    </row>
    <row r="4582">
      <c r="D4582" s="39"/>
      <c r="E4582" s="39"/>
      <c r="F4582" s="39"/>
    </row>
    <row r="4583">
      <c r="D4583" s="39"/>
      <c r="E4583" s="39"/>
      <c r="F4583" s="39"/>
    </row>
    <row r="4584">
      <c r="D4584" s="39"/>
      <c r="E4584" s="39"/>
      <c r="F4584" s="39"/>
    </row>
    <row r="4585">
      <c r="D4585" s="39"/>
      <c r="E4585" s="39"/>
      <c r="F4585" s="39"/>
    </row>
    <row r="4586">
      <c r="D4586" s="39"/>
      <c r="E4586" s="39"/>
      <c r="F4586" s="39"/>
    </row>
    <row r="4587">
      <c r="D4587" s="39"/>
      <c r="E4587" s="39"/>
      <c r="F4587" s="39"/>
    </row>
    <row r="4588">
      <c r="D4588" s="39"/>
      <c r="E4588" s="39"/>
      <c r="F4588" s="39"/>
    </row>
    <row r="4589">
      <c r="D4589" s="39"/>
      <c r="E4589" s="39"/>
      <c r="F4589" s="39"/>
    </row>
    <row r="4590">
      <c r="D4590" s="39"/>
      <c r="E4590" s="39"/>
      <c r="F4590" s="39"/>
    </row>
    <row r="4591">
      <c r="D4591" s="39"/>
      <c r="E4591" s="39"/>
      <c r="F4591" s="39"/>
    </row>
    <row r="4592">
      <c r="D4592" s="39"/>
      <c r="E4592" s="39"/>
      <c r="F4592" s="39"/>
    </row>
    <row r="4593">
      <c r="D4593" s="39"/>
      <c r="E4593" s="39"/>
      <c r="F4593" s="39"/>
    </row>
    <row r="4594">
      <c r="D4594" s="39"/>
      <c r="E4594" s="39"/>
      <c r="F4594" s="39"/>
    </row>
    <row r="4595">
      <c r="D4595" s="39"/>
      <c r="E4595" s="39"/>
      <c r="F4595" s="39"/>
    </row>
    <row r="4596">
      <c r="D4596" s="39"/>
      <c r="E4596" s="39"/>
      <c r="F4596" s="39"/>
    </row>
    <row r="4597">
      <c r="D4597" s="39"/>
      <c r="E4597" s="39"/>
      <c r="F4597" s="39"/>
    </row>
    <row r="4598">
      <c r="D4598" s="39"/>
      <c r="E4598" s="39"/>
      <c r="F4598" s="39"/>
    </row>
    <row r="4599">
      <c r="D4599" s="39"/>
      <c r="E4599" s="39"/>
      <c r="F4599" s="39"/>
    </row>
    <row r="4600">
      <c r="D4600" s="39"/>
      <c r="E4600" s="39"/>
      <c r="F4600" s="39"/>
    </row>
    <row r="4601">
      <c r="D4601" s="39"/>
      <c r="E4601" s="39"/>
      <c r="F4601" s="39"/>
    </row>
    <row r="4602">
      <c r="D4602" s="39"/>
      <c r="E4602" s="39"/>
      <c r="F4602" s="39"/>
    </row>
    <row r="4603">
      <c r="D4603" s="39"/>
      <c r="E4603" s="39"/>
      <c r="F4603" s="39"/>
    </row>
    <row r="4604">
      <c r="D4604" s="39"/>
      <c r="E4604" s="39"/>
      <c r="F4604" s="39"/>
    </row>
    <row r="4605">
      <c r="D4605" s="39"/>
      <c r="E4605" s="39"/>
      <c r="F4605" s="39"/>
    </row>
    <row r="4606">
      <c r="D4606" s="39"/>
      <c r="E4606" s="39"/>
      <c r="F4606" s="39"/>
    </row>
    <row r="4607">
      <c r="D4607" s="39"/>
      <c r="E4607" s="39"/>
      <c r="F4607" s="39"/>
    </row>
    <row r="4608">
      <c r="D4608" s="39"/>
      <c r="E4608" s="39"/>
      <c r="F4608" s="39"/>
    </row>
    <row r="4609">
      <c r="D4609" s="39"/>
      <c r="E4609" s="39"/>
      <c r="F4609" s="39"/>
    </row>
    <row r="4610">
      <c r="D4610" s="39"/>
      <c r="E4610" s="39"/>
      <c r="F4610" s="39"/>
    </row>
    <row r="4611">
      <c r="D4611" s="39"/>
      <c r="E4611" s="39"/>
      <c r="F4611" s="39"/>
    </row>
    <row r="4612">
      <c r="D4612" s="39"/>
      <c r="E4612" s="39"/>
      <c r="F4612" s="39"/>
    </row>
    <row r="4613">
      <c r="D4613" s="39"/>
      <c r="E4613" s="39"/>
      <c r="F4613" s="39"/>
    </row>
    <row r="4614">
      <c r="D4614" s="39"/>
      <c r="E4614" s="39"/>
      <c r="F4614" s="39"/>
    </row>
    <row r="4615">
      <c r="D4615" s="39"/>
      <c r="E4615" s="39"/>
      <c r="F4615" s="39"/>
    </row>
    <row r="4616">
      <c r="D4616" s="39"/>
      <c r="E4616" s="39"/>
      <c r="F4616" s="39"/>
    </row>
    <row r="4617">
      <c r="D4617" s="39"/>
      <c r="E4617" s="39"/>
      <c r="F4617" s="39"/>
    </row>
    <row r="4618">
      <c r="D4618" s="39"/>
      <c r="E4618" s="39"/>
      <c r="F4618" s="39"/>
    </row>
    <row r="4619">
      <c r="D4619" s="39"/>
      <c r="E4619" s="39"/>
      <c r="F4619" s="39"/>
    </row>
    <row r="4620">
      <c r="D4620" s="39"/>
      <c r="E4620" s="39"/>
      <c r="F4620" s="39"/>
    </row>
    <row r="4621">
      <c r="D4621" s="39"/>
      <c r="E4621" s="39"/>
      <c r="F4621" s="39"/>
    </row>
    <row r="4622">
      <c r="D4622" s="39"/>
      <c r="E4622" s="39"/>
      <c r="F4622" s="39"/>
    </row>
    <row r="4623">
      <c r="D4623" s="39"/>
      <c r="E4623" s="39"/>
      <c r="F4623" s="39"/>
    </row>
    <row r="4624">
      <c r="D4624" s="39"/>
      <c r="E4624" s="39"/>
      <c r="F4624" s="39"/>
    </row>
    <row r="4625">
      <c r="D4625" s="39"/>
      <c r="E4625" s="39"/>
      <c r="F4625" s="39"/>
    </row>
    <row r="4626">
      <c r="D4626" s="39"/>
      <c r="E4626" s="39"/>
      <c r="F4626" s="39"/>
    </row>
    <row r="4627">
      <c r="D4627" s="39"/>
      <c r="E4627" s="39"/>
      <c r="F4627" s="39"/>
    </row>
    <row r="4628">
      <c r="D4628" s="39"/>
      <c r="E4628" s="39"/>
      <c r="F4628" s="39"/>
    </row>
    <row r="4629">
      <c r="D4629" s="39"/>
      <c r="E4629" s="39"/>
      <c r="F4629" s="39"/>
    </row>
    <row r="4630">
      <c r="D4630" s="39"/>
      <c r="E4630" s="39"/>
      <c r="F4630" s="39"/>
    </row>
    <row r="4631">
      <c r="D4631" s="39"/>
      <c r="E4631" s="39"/>
      <c r="F4631" s="39"/>
    </row>
    <row r="4632">
      <c r="D4632" s="39"/>
      <c r="E4632" s="39"/>
      <c r="F4632" s="39"/>
    </row>
    <row r="4633">
      <c r="D4633" s="39"/>
      <c r="E4633" s="39"/>
      <c r="F4633" s="39"/>
    </row>
    <row r="4634">
      <c r="D4634" s="39"/>
      <c r="E4634" s="39"/>
      <c r="F4634" s="39"/>
    </row>
    <row r="4635">
      <c r="D4635" s="39"/>
      <c r="E4635" s="39"/>
      <c r="F4635" s="39"/>
    </row>
    <row r="4636">
      <c r="D4636" s="39"/>
      <c r="E4636" s="39"/>
      <c r="F4636" s="39"/>
    </row>
    <row r="4637">
      <c r="D4637" s="39"/>
      <c r="E4637" s="39"/>
      <c r="F4637" s="39"/>
    </row>
    <row r="4638">
      <c r="D4638" s="39"/>
      <c r="E4638" s="39"/>
      <c r="F4638" s="39"/>
    </row>
    <row r="4639">
      <c r="D4639" s="39"/>
      <c r="E4639" s="39"/>
      <c r="F4639" s="39"/>
    </row>
    <row r="4640">
      <c r="D4640" s="39"/>
      <c r="E4640" s="39"/>
      <c r="F4640" s="39"/>
    </row>
    <row r="4641">
      <c r="D4641" s="39"/>
      <c r="E4641" s="39"/>
      <c r="F4641" s="39"/>
    </row>
    <row r="4642">
      <c r="D4642" s="39"/>
      <c r="E4642" s="39"/>
      <c r="F4642" s="39"/>
    </row>
    <row r="4643">
      <c r="D4643" s="39"/>
      <c r="E4643" s="39"/>
      <c r="F4643" s="39"/>
    </row>
    <row r="4644">
      <c r="D4644" s="39"/>
      <c r="E4644" s="39"/>
      <c r="F4644" s="39"/>
    </row>
    <row r="4645">
      <c r="D4645" s="39"/>
      <c r="E4645" s="39"/>
      <c r="F4645" s="39"/>
    </row>
    <row r="4646">
      <c r="D4646" s="39"/>
      <c r="E4646" s="39"/>
      <c r="F4646" s="39"/>
    </row>
    <row r="4647">
      <c r="D4647" s="39"/>
      <c r="E4647" s="39"/>
      <c r="F4647" s="39"/>
    </row>
    <row r="4648">
      <c r="D4648" s="39"/>
      <c r="E4648" s="39"/>
      <c r="F4648" s="39"/>
    </row>
    <row r="4649">
      <c r="D4649" s="39"/>
      <c r="E4649" s="39"/>
      <c r="F4649" s="39"/>
    </row>
    <row r="4650">
      <c r="D4650" s="39"/>
      <c r="E4650" s="39"/>
      <c r="F4650" s="39"/>
    </row>
    <row r="4651">
      <c r="D4651" s="39"/>
      <c r="E4651" s="39"/>
      <c r="F4651" s="39"/>
    </row>
    <row r="4652">
      <c r="D4652" s="39"/>
      <c r="E4652" s="39"/>
      <c r="F4652" s="39"/>
    </row>
    <row r="4653">
      <c r="D4653" s="39"/>
      <c r="E4653" s="39"/>
      <c r="F4653" s="39"/>
    </row>
    <row r="4654">
      <c r="D4654" s="39"/>
      <c r="E4654" s="39"/>
      <c r="F4654" s="39"/>
    </row>
    <row r="4655">
      <c r="D4655" s="39"/>
      <c r="E4655" s="39"/>
      <c r="F4655" s="39"/>
    </row>
    <row r="4656">
      <c r="D4656" s="39"/>
      <c r="E4656" s="39"/>
      <c r="F4656" s="39"/>
    </row>
    <row r="4657">
      <c r="D4657" s="39"/>
      <c r="E4657" s="39"/>
      <c r="F4657" s="39"/>
    </row>
    <row r="4658">
      <c r="D4658" s="39"/>
      <c r="E4658" s="39"/>
      <c r="F4658" s="39"/>
    </row>
    <row r="4659">
      <c r="D4659" s="39"/>
      <c r="E4659" s="39"/>
      <c r="F4659" s="39"/>
    </row>
    <row r="4660">
      <c r="D4660" s="39"/>
      <c r="E4660" s="39"/>
      <c r="F4660" s="39"/>
    </row>
    <row r="4661">
      <c r="D4661" s="39"/>
      <c r="E4661" s="39"/>
      <c r="F4661" s="39"/>
    </row>
    <row r="4662">
      <c r="D4662" s="39"/>
      <c r="E4662" s="39"/>
      <c r="F4662" s="39"/>
    </row>
    <row r="4663">
      <c r="D4663" s="39"/>
      <c r="E4663" s="39"/>
      <c r="F4663" s="39"/>
    </row>
    <row r="4664">
      <c r="D4664" s="39"/>
      <c r="E4664" s="39"/>
      <c r="F4664" s="39"/>
    </row>
    <row r="4665">
      <c r="D4665" s="39"/>
      <c r="E4665" s="39"/>
      <c r="F4665" s="39"/>
    </row>
    <row r="4666">
      <c r="D4666" s="39"/>
      <c r="E4666" s="39"/>
      <c r="F4666" s="39"/>
    </row>
    <row r="4667">
      <c r="D4667" s="39"/>
      <c r="E4667" s="39"/>
      <c r="F4667" s="39"/>
    </row>
    <row r="4668">
      <c r="D4668" s="39"/>
      <c r="E4668" s="39"/>
      <c r="F4668" s="39"/>
    </row>
    <row r="4669">
      <c r="D4669" s="39"/>
      <c r="E4669" s="39"/>
      <c r="F4669" s="39"/>
    </row>
    <row r="4670">
      <c r="D4670" s="39"/>
      <c r="E4670" s="39"/>
      <c r="F4670" s="39"/>
    </row>
    <row r="4671">
      <c r="D4671" s="39"/>
      <c r="E4671" s="39"/>
      <c r="F4671" s="39"/>
    </row>
    <row r="4672">
      <c r="D4672" s="39"/>
      <c r="E4672" s="39"/>
      <c r="F4672" s="39"/>
    </row>
    <row r="4673">
      <c r="D4673" s="39"/>
      <c r="E4673" s="39"/>
      <c r="F4673" s="39"/>
    </row>
    <row r="4674">
      <c r="D4674" s="39"/>
      <c r="E4674" s="39"/>
      <c r="F4674" s="39"/>
    </row>
    <row r="4675">
      <c r="D4675" s="39"/>
      <c r="E4675" s="39"/>
      <c r="F4675" s="39"/>
    </row>
    <row r="4676">
      <c r="D4676" s="39"/>
      <c r="E4676" s="39"/>
      <c r="F4676" s="39"/>
    </row>
    <row r="4677">
      <c r="D4677" s="39"/>
      <c r="E4677" s="39"/>
      <c r="F4677" s="39"/>
    </row>
    <row r="4678">
      <c r="D4678" s="39"/>
      <c r="E4678" s="39"/>
      <c r="F4678" s="39"/>
    </row>
    <row r="4679">
      <c r="D4679" s="39"/>
      <c r="E4679" s="39"/>
      <c r="F4679" s="39"/>
    </row>
    <row r="4680">
      <c r="D4680" s="39"/>
      <c r="E4680" s="39"/>
      <c r="F4680" s="39"/>
    </row>
    <row r="4681">
      <c r="D4681" s="39"/>
      <c r="E4681" s="39"/>
      <c r="F4681" s="39"/>
    </row>
    <row r="4682">
      <c r="D4682" s="39"/>
      <c r="E4682" s="39"/>
      <c r="F4682" s="39"/>
    </row>
    <row r="4683">
      <c r="D4683" s="39"/>
      <c r="E4683" s="39"/>
      <c r="F4683" s="39"/>
    </row>
    <row r="4684">
      <c r="D4684" s="39"/>
      <c r="E4684" s="39"/>
      <c r="F4684" s="39"/>
    </row>
    <row r="4685">
      <c r="D4685" s="39"/>
      <c r="E4685" s="39"/>
      <c r="F4685" s="39"/>
    </row>
    <row r="4686">
      <c r="D4686" s="39"/>
      <c r="E4686" s="39"/>
      <c r="F4686" s="39"/>
    </row>
    <row r="4687">
      <c r="D4687" s="39"/>
      <c r="E4687" s="39"/>
      <c r="F4687" s="39"/>
    </row>
    <row r="4688">
      <c r="D4688" s="39"/>
      <c r="E4688" s="39"/>
      <c r="F4688" s="39"/>
    </row>
    <row r="4689">
      <c r="D4689" s="39"/>
      <c r="E4689" s="39"/>
      <c r="F4689" s="39"/>
    </row>
    <row r="4690">
      <c r="D4690" s="39"/>
      <c r="E4690" s="39"/>
      <c r="F4690" s="39"/>
    </row>
    <row r="4691">
      <c r="D4691" s="39"/>
      <c r="E4691" s="39"/>
      <c r="F4691" s="39"/>
    </row>
    <row r="4692">
      <c r="D4692" s="39"/>
      <c r="E4692" s="39"/>
      <c r="F4692" s="39"/>
    </row>
    <row r="4693">
      <c r="D4693" s="39"/>
      <c r="E4693" s="39"/>
      <c r="F4693" s="39"/>
    </row>
    <row r="4694">
      <c r="D4694" s="39"/>
      <c r="E4694" s="39"/>
      <c r="F4694" s="39"/>
    </row>
    <row r="4695">
      <c r="D4695" s="39"/>
      <c r="E4695" s="39"/>
      <c r="F4695" s="39"/>
    </row>
    <row r="4696">
      <c r="D4696" s="39"/>
      <c r="E4696" s="39"/>
      <c r="F4696" s="39"/>
    </row>
    <row r="4697">
      <c r="D4697" s="39"/>
      <c r="E4697" s="39"/>
      <c r="F4697" s="39"/>
    </row>
    <row r="4698">
      <c r="D4698" s="39"/>
      <c r="E4698" s="39"/>
      <c r="F4698" s="39"/>
    </row>
    <row r="4699">
      <c r="D4699" s="39"/>
      <c r="E4699" s="39"/>
      <c r="F4699" s="39"/>
    </row>
    <row r="4700">
      <c r="D4700" s="39"/>
      <c r="E4700" s="39"/>
      <c r="F4700" s="39"/>
    </row>
    <row r="4701">
      <c r="D4701" s="39"/>
      <c r="E4701" s="39"/>
      <c r="F4701" s="39"/>
    </row>
    <row r="4702">
      <c r="D4702" s="39"/>
      <c r="E4702" s="39"/>
      <c r="F4702" s="39"/>
    </row>
    <row r="4703">
      <c r="D4703" s="39"/>
      <c r="E4703" s="39"/>
      <c r="F4703" s="39"/>
    </row>
    <row r="4704">
      <c r="D4704" s="39"/>
      <c r="E4704" s="39"/>
      <c r="F4704" s="39"/>
    </row>
    <row r="4705">
      <c r="D4705" s="39"/>
      <c r="E4705" s="39"/>
      <c r="F4705" s="39"/>
    </row>
    <row r="4706">
      <c r="D4706" s="39"/>
      <c r="E4706" s="39"/>
      <c r="F4706" s="39"/>
    </row>
    <row r="4707">
      <c r="D4707" s="39"/>
      <c r="E4707" s="39"/>
      <c r="F4707" s="39"/>
    </row>
    <row r="4708">
      <c r="D4708" s="39"/>
      <c r="E4708" s="39"/>
      <c r="F4708" s="39"/>
    </row>
    <row r="4709">
      <c r="D4709" s="39"/>
      <c r="E4709" s="39"/>
      <c r="F4709" s="39"/>
    </row>
    <row r="4710">
      <c r="D4710" s="39"/>
      <c r="E4710" s="39"/>
      <c r="F4710" s="39"/>
    </row>
    <row r="4711">
      <c r="D4711" s="39"/>
      <c r="E4711" s="39"/>
      <c r="F4711" s="39"/>
    </row>
    <row r="4712">
      <c r="D4712" s="39"/>
      <c r="E4712" s="39"/>
      <c r="F4712" s="39"/>
    </row>
    <row r="4713">
      <c r="D4713" s="39"/>
      <c r="E4713" s="39"/>
      <c r="F4713" s="39"/>
    </row>
    <row r="4714">
      <c r="D4714" s="39"/>
      <c r="E4714" s="39"/>
      <c r="F4714" s="39"/>
    </row>
    <row r="4715">
      <c r="D4715" s="39"/>
      <c r="E4715" s="39"/>
      <c r="F4715" s="39"/>
    </row>
    <row r="4716">
      <c r="D4716" s="39"/>
      <c r="E4716" s="39"/>
      <c r="F4716" s="39"/>
    </row>
    <row r="4717">
      <c r="D4717" s="39"/>
      <c r="E4717" s="39"/>
      <c r="F4717" s="39"/>
    </row>
    <row r="4718">
      <c r="D4718" s="39"/>
      <c r="E4718" s="39"/>
      <c r="F4718" s="39"/>
    </row>
    <row r="4719">
      <c r="D4719" s="39"/>
      <c r="E4719" s="39"/>
      <c r="F4719" s="39"/>
    </row>
    <row r="4720">
      <c r="D4720" s="39"/>
      <c r="E4720" s="39"/>
      <c r="F4720" s="39"/>
    </row>
    <row r="4721">
      <c r="D4721" s="39"/>
      <c r="E4721" s="39"/>
      <c r="F4721" s="39"/>
    </row>
    <row r="4722">
      <c r="D4722" s="39"/>
      <c r="E4722" s="39"/>
      <c r="F4722" s="39"/>
    </row>
    <row r="4723">
      <c r="D4723" s="39"/>
      <c r="E4723" s="39"/>
      <c r="F4723" s="39"/>
    </row>
    <row r="4724">
      <c r="D4724" s="39"/>
      <c r="E4724" s="39"/>
      <c r="F4724" s="39"/>
    </row>
    <row r="4725">
      <c r="D4725" s="39"/>
      <c r="E4725" s="39"/>
      <c r="F4725" s="39"/>
    </row>
    <row r="4726">
      <c r="D4726" s="39"/>
      <c r="E4726" s="39"/>
      <c r="F4726" s="39"/>
    </row>
    <row r="4727">
      <c r="D4727" s="39"/>
      <c r="E4727" s="39"/>
      <c r="F4727" s="39"/>
    </row>
    <row r="4728">
      <c r="D4728" s="39"/>
      <c r="E4728" s="39"/>
      <c r="F4728" s="39"/>
    </row>
    <row r="4729">
      <c r="D4729" s="39"/>
      <c r="E4729" s="39"/>
      <c r="F4729" s="39"/>
    </row>
    <row r="4730">
      <c r="D4730" s="39"/>
      <c r="E4730" s="39"/>
      <c r="F4730" s="39"/>
    </row>
    <row r="4731">
      <c r="D4731" s="39"/>
      <c r="E4731" s="39"/>
      <c r="F4731" s="39"/>
    </row>
    <row r="4732">
      <c r="D4732" s="39"/>
      <c r="E4732" s="39"/>
      <c r="F4732" s="39"/>
    </row>
    <row r="4733">
      <c r="D4733" s="39"/>
      <c r="E4733" s="39"/>
      <c r="F4733" s="39"/>
    </row>
    <row r="4734">
      <c r="D4734" s="39"/>
      <c r="E4734" s="39"/>
      <c r="F4734" s="39"/>
    </row>
    <row r="4735">
      <c r="D4735" s="39"/>
      <c r="E4735" s="39"/>
      <c r="F4735" s="39"/>
    </row>
    <row r="4736">
      <c r="D4736" s="39"/>
      <c r="E4736" s="39"/>
      <c r="F4736" s="39"/>
    </row>
    <row r="4737">
      <c r="D4737" s="39"/>
      <c r="E4737" s="39"/>
      <c r="F4737" s="39"/>
    </row>
    <row r="4738">
      <c r="D4738" s="39"/>
      <c r="E4738" s="39"/>
      <c r="F4738" s="39"/>
    </row>
    <row r="4739">
      <c r="D4739" s="39"/>
      <c r="E4739" s="39"/>
      <c r="F4739" s="39"/>
    </row>
    <row r="4740">
      <c r="D4740" s="39"/>
      <c r="E4740" s="39"/>
      <c r="F4740" s="39"/>
    </row>
    <row r="4741">
      <c r="D4741" s="39"/>
      <c r="E4741" s="39"/>
      <c r="F4741" s="39"/>
    </row>
    <row r="4742">
      <c r="D4742" s="39"/>
      <c r="E4742" s="39"/>
      <c r="F4742" s="39"/>
    </row>
    <row r="4743">
      <c r="D4743" s="39"/>
      <c r="E4743" s="39"/>
      <c r="F4743" s="39"/>
    </row>
    <row r="4744">
      <c r="D4744" s="39"/>
      <c r="E4744" s="39"/>
      <c r="F4744" s="39"/>
    </row>
    <row r="4745">
      <c r="D4745" s="39"/>
      <c r="E4745" s="39"/>
      <c r="F4745" s="39"/>
    </row>
    <row r="4746">
      <c r="D4746" s="39"/>
      <c r="E4746" s="39"/>
      <c r="F4746" s="39"/>
    </row>
    <row r="4747">
      <c r="D4747" s="39"/>
      <c r="E4747" s="39"/>
      <c r="F4747" s="39"/>
    </row>
    <row r="4748">
      <c r="D4748" s="39"/>
      <c r="E4748" s="39"/>
      <c r="F4748" s="39"/>
    </row>
    <row r="4749">
      <c r="D4749" s="39"/>
      <c r="E4749" s="39"/>
      <c r="F4749" s="39"/>
    </row>
    <row r="4750">
      <c r="D4750" s="39"/>
      <c r="E4750" s="39"/>
      <c r="F4750" s="39"/>
    </row>
    <row r="4751">
      <c r="D4751" s="39"/>
      <c r="E4751" s="39"/>
      <c r="F4751" s="39"/>
    </row>
    <row r="4752">
      <c r="D4752" s="39"/>
      <c r="E4752" s="39"/>
      <c r="F4752" s="39"/>
    </row>
    <row r="4753">
      <c r="D4753" s="39"/>
      <c r="E4753" s="39"/>
      <c r="F4753" s="39"/>
    </row>
    <row r="4754">
      <c r="D4754" s="39"/>
      <c r="E4754" s="39"/>
      <c r="F4754" s="39"/>
    </row>
    <row r="4755">
      <c r="D4755" s="39"/>
      <c r="E4755" s="39"/>
      <c r="F4755" s="39"/>
    </row>
    <row r="4756">
      <c r="D4756" s="39"/>
      <c r="E4756" s="39"/>
      <c r="F4756" s="39"/>
    </row>
    <row r="4757">
      <c r="D4757" s="39"/>
      <c r="E4757" s="39"/>
      <c r="F4757" s="39"/>
    </row>
    <row r="4758">
      <c r="D4758" s="39"/>
      <c r="E4758" s="39"/>
      <c r="F4758" s="39"/>
    </row>
    <row r="4759">
      <c r="D4759" s="39"/>
      <c r="E4759" s="39"/>
      <c r="F4759" s="39"/>
    </row>
    <row r="4760">
      <c r="D4760" s="39"/>
      <c r="E4760" s="39"/>
      <c r="F4760" s="39"/>
    </row>
    <row r="4761">
      <c r="D4761" s="39"/>
      <c r="E4761" s="39"/>
      <c r="F4761" s="39"/>
    </row>
    <row r="4762">
      <c r="D4762" s="39"/>
      <c r="E4762" s="39"/>
      <c r="F4762" s="39"/>
    </row>
    <row r="4763">
      <c r="D4763" s="39"/>
      <c r="E4763" s="39"/>
      <c r="F4763" s="39"/>
    </row>
    <row r="4764">
      <c r="D4764" s="39"/>
      <c r="E4764" s="39"/>
      <c r="F4764" s="39"/>
    </row>
    <row r="4765">
      <c r="D4765" s="39"/>
      <c r="E4765" s="39"/>
      <c r="F4765" s="39"/>
    </row>
    <row r="4766">
      <c r="D4766" s="39"/>
      <c r="E4766" s="39"/>
      <c r="F4766" s="39"/>
    </row>
    <row r="4767">
      <c r="D4767" s="39"/>
      <c r="E4767" s="39"/>
      <c r="F4767" s="39"/>
    </row>
    <row r="4768">
      <c r="D4768" s="39"/>
      <c r="E4768" s="39"/>
      <c r="F4768" s="39"/>
    </row>
    <row r="4769">
      <c r="D4769" s="39"/>
      <c r="E4769" s="39"/>
      <c r="F4769" s="39"/>
    </row>
    <row r="4770">
      <c r="D4770" s="39"/>
      <c r="E4770" s="39"/>
      <c r="F4770" s="39"/>
    </row>
    <row r="4771">
      <c r="D4771" s="39"/>
      <c r="E4771" s="39"/>
      <c r="F4771" s="39"/>
    </row>
    <row r="4772">
      <c r="D4772" s="39"/>
      <c r="E4772" s="39"/>
      <c r="F4772" s="39"/>
    </row>
    <row r="4773">
      <c r="D4773" s="39"/>
      <c r="E4773" s="39"/>
      <c r="F4773" s="39"/>
    </row>
    <row r="4774">
      <c r="D4774" s="39"/>
      <c r="E4774" s="39"/>
      <c r="F4774" s="39"/>
    </row>
    <row r="4775">
      <c r="D4775" s="39"/>
      <c r="E4775" s="39"/>
      <c r="F4775" s="39"/>
    </row>
    <row r="4776">
      <c r="D4776" s="39"/>
      <c r="E4776" s="39"/>
      <c r="F4776" s="39"/>
    </row>
    <row r="4777">
      <c r="D4777" s="39"/>
      <c r="E4777" s="39"/>
      <c r="F4777" s="39"/>
    </row>
    <row r="4778">
      <c r="D4778" s="39"/>
      <c r="E4778" s="39"/>
      <c r="F4778" s="39"/>
    </row>
    <row r="4779">
      <c r="D4779" s="39"/>
      <c r="E4779" s="39"/>
      <c r="F4779" s="39"/>
    </row>
    <row r="4780">
      <c r="D4780" s="39"/>
      <c r="E4780" s="39"/>
      <c r="F4780" s="39"/>
    </row>
    <row r="4781">
      <c r="D4781" s="39"/>
      <c r="E4781" s="39"/>
      <c r="F4781" s="39"/>
    </row>
    <row r="4782">
      <c r="D4782" s="39"/>
      <c r="E4782" s="39"/>
      <c r="F4782" s="39"/>
    </row>
    <row r="4783">
      <c r="D4783" s="39"/>
      <c r="E4783" s="39"/>
      <c r="F4783" s="39"/>
    </row>
    <row r="4784">
      <c r="D4784" s="39"/>
      <c r="E4784" s="39"/>
      <c r="F4784" s="39"/>
    </row>
    <row r="4785">
      <c r="D4785" s="39"/>
      <c r="E4785" s="39"/>
      <c r="F4785" s="39"/>
    </row>
    <row r="4786">
      <c r="D4786" s="39"/>
      <c r="E4786" s="39"/>
      <c r="F4786" s="39"/>
    </row>
    <row r="4787">
      <c r="D4787" s="39"/>
      <c r="E4787" s="39"/>
      <c r="F4787" s="39"/>
    </row>
    <row r="4788">
      <c r="D4788" s="39"/>
      <c r="E4788" s="39"/>
      <c r="F4788" s="39"/>
    </row>
    <row r="4789">
      <c r="D4789" s="39"/>
      <c r="E4789" s="39"/>
      <c r="F4789" s="39"/>
    </row>
    <row r="4790">
      <c r="D4790" s="39"/>
      <c r="E4790" s="39"/>
      <c r="F4790" s="39"/>
    </row>
    <row r="4791">
      <c r="D4791" s="39"/>
      <c r="E4791" s="39"/>
      <c r="F4791" s="39"/>
    </row>
    <row r="4792">
      <c r="D4792" s="39"/>
      <c r="E4792" s="39"/>
      <c r="F4792" s="39"/>
    </row>
    <row r="4793">
      <c r="D4793" s="39"/>
      <c r="E4793" s="39"/>
      <c r="F4793" s="39"/>
    </row>
    <row r="4794">
      <c r="D4794" s="39"/>
      <c r="E4794" s="39"/>
      <c r="F4794" s="39"/>
    </row>
    <row r="4795">
      <c r="D4795" s="39"/>
      <c r="E4795" s="39"/>
      <c r="F4795" s="39"/>
    </row>
    <row r="4796">
      <c r="D4796" s="39"/>
      <c r="E4796" s="39"/>
      <c r="F4796" s="39"/>
    </row>
    <row r="4797">
      <c r="D4797" s="39"/>
      <c r="E4797" s="39"/>
      <c r="F4797" s="39"/>
    </row>
    <row r="4798">
      <c r="D4798" s="39"/>
      <c r="E4798" s="39"/>
      <c r="F4798" s="39"/>
    </row>
    <row r="4799">
      <c r="D4799" s="39"/>
      <c r="E4799" s="39"/>
      <c r="F4799" s="39"/>
    </row>
    <row r="4800">
      <c r="D4800" s="39"/>
      <c r="E4800" s="39"/>
      <c r="F4800" s="39"/>
    </row>
    <row r="4801">
      <c r="D4801" s="39"/>
      <c r="E4801" s="39"/>
      <c r="F4801" s="39"/>
    </row>
    <row r="4802">
      <c r="D4802" s="39"/>
      <c r="E4802" s="39"/>
      <c r="F4802" s="39"/>
    </row>
    <row r="4803">
      <c r="D4803" s="39"/>
      <c r="E4803" s="39"/>
      <c r="F4803" s="39"/>
    </row>
    <row r="4804">
      <c r="D4804" s="39"/>
      <c r="E4804" s="39"/>
      <c r="F4804" s="39"/>
    </row>
    <row r="4805">
      <c r="D4805" s="39"/>
      <c r="E4805" s="39"/>
      <c r="F4805" s="39"/>
    </row>
    <row r="4806">
      <c r="D4806" s="39"/>
      <c r="E4806" s="39"/>
      <c r="F4806" s="39"/>
    </row>
    <row r="4807">
      <c r="D4807" s="39"/>
      <c r="E4807" s="39"/>
      <c r="F4807" s="39"/>
    </row>
    <row r="4808">
      <c r="D4808" s="39"/>
      <c r="E4808" s="39"/>
      <c r="F4808" s="39"/>
    </row>
    <row r="4809">
      <c r="D4809" s="39"/>
      <c r="E4809" s="39"/>
      <c r="F4809" s="39"/>
    </row>
    <row r="4810">
      <c r="D4810" s="39"/>
      <c r="E4810" s="39"/>
      <c r="F4810" s="39"/>
    </row>
    <row r="4811">
      <c r="D4811" s="39"/>
      <c r="E4811" s="39"/>
      <c r="F4811" s="39"/>
    </row>
    <row r="4812">
      <c r="D4812" s="39"/>
      <c r="E4812" s="39"/>
      <c r="F4812" s="39"/>
    </row>
    <row r="4813">
      <c r="D4813" s="39"/>
      <c r="E4813" s="39"/>
      <c r="F4813" s="39"/>
    </row>
    <row r="4814">
      <c r="D4814" s="39"/>
      <c r="E4814" s="39"/>
      <c r="F4814" s="39"/>
    </row>
    <row r="4815">
      <c r="D4815" s="39"/>
      <c r="E4815" s="39"/>
      <c r="F4815" s="39"/>
    </row>
    <row r="4816">
      <c r="D4816" s="39"/>
      <c r="E4816" s="39"/>
      <c r="F4816" s="39"/>
    </row>
    <row r="4817">
      <c r="D4817" s="39"/>
      <c r="E4817" s="39"/>
      <c r="F4817" s="39"/>
    </row>
    <row r="4818">
      <c r="D4818" s="39"/>
      <c r="E4818" s="39"/>
      <c r="F4818" s="39"/>
    </row>
    <row r="4819">
      <c r="D4819" s="39"/>
      <c r="E4819" s="39"/>
      <c r="F4819" s="39"/>
    </row>
    <row r="4820">
      <c r="D4820" s="39"/>
      <c r="E4820" s="39"/>
      <c r="F4820" s="39"/>
    </row>
    <row r="4821">
      <c r="D4821" s="39"/>
      <c r="E4821" s="39"/>
      <c r="F4821" s="39"/>
    </row>
    <row r="4822">
      <c r="D4822" s="39"/>
      <c r="E4822" s="39"/>
      <c r="F4822" s="39"/>
    </row>
    <row r="4823">
      <c r="D4823" s="39"/>
      <c r="E4823" s="39"/>
      <c r="F4823" s="39"/>
    </row>
    <row r="4824">
      <c r="D4824" s="39"/>
      <c r="E4824" s="39"/>
      <c r="F4824" s="39"/>
    </row>
    <row r="4825">
      <c r="D4825" s="39"/>
      <c r="E4825" s="39"/>
      <c r="F4825" s="39"/>
    </row>
    <row r="4826">
      <c r="D4826" s="39"/>
      <c r="E4826" s="39"/>
      <c r="F4826" s="39"/>
    </row>
    <row r="4827">
      <c r="D4827" s="39"/>
      <c r="E4827" s="39"/>
      <c r="F4827" s="39"/>
    </row>
    <row r="4828">
      <c r="D4828" s="39"/>
      <c r="E4828" s="39"/>
      <c r="F4828" s="39"/>
    </row>
    <row r="4829">
      <c r="D4829" s="39"/>
      <c r="E4829" s="39"/>
      <c r="F4829" s="39"/>
    </row>
    <row r="4830">
      <c r="D4830" s="39"/>
      <c r="E4830" s="39"/>
      <c r="F4830" s="39"/>
    </row>
    <row r="4831">
      <c r="D4831" s="39"/>
      <c r="E4831" s="39"/>
      <c r="F4831" s="39"/>
    </row>
    <row r="4832">
      <c r="D4832" s="39"/>
      <c r="E4832" s="39"/>
      <c r="F4832" s="39"/>
    </row>
    <row r="4833">
      <c r="D4833" s="39"/>
      <c r="E4833" s="39"/>
      <c r="F4833" s="39"/>
    </row>
    <row r="4834">
      <c r="D4834" s="39"/>
      <c r="E4834" s="39"/>
      <c r="F4834" s="39"/>
    </row>
    <row r="4835">
      <c r="D4835" s="39"/>
      <c r="E4835" s="39"/>
      <c r="F4835" s="39"/>
    </row>
    <row r="4836">
      <c r="D4836" s="39"/>
      <c r="E4836" s="39"/>
      <c r="F4836" s="39"/>
    </row>
    <row r="4837">
      <c r="D4837" s="39"/>
      <c r="E4837" s="39"/>
      <c r="F4837" s="39"/>
    </row>
    <row r="4838">
      <c r="D4838" s="39"/>
      <c r="E4838" s="39"/>
      <c r="F4838" s="39"/>
    </row>
    <row r="4839">
      <c r="D4839" s="39"/>
      <c r="E4839" s="39"/>
      <c r="F4839" s="39"/>
    </row>
    <row r="4840">
      <c r="D4840" s="39"/>
      <c r="E4840" s="39"/>
      <c r="F4840" s="39"/>
    </row>
    <row r="4841">
      <c r="D4841" s="39"/>
      <c r="E4841" s="39"/>
      <c r="F4841" s="39"/>
    </row>
    <row r="4842">
      <c r="D4842" s="39"/>
      <c r="E4842" s="39"/>
      <c r="F4842" s="39"/>
    </row>
    <row r="4843">
      <c r="D4843" s="39"/>
      <c r="E4843" s="39"/>
      <c r="F4843" s="39"/>
    </row>
    <row r="4844">
      <c r="D4844" s="39"/>
      <c r="E4844" s="39"/>
      <c r="F4844" s="39"/>
    </row>
    <row r="4845">
      <c r="D4845" s="39"/>
      <c r="E4845" s="39"/>
      <c r="F4845" s="39"/>
    </row>
    <row r="4846">
      <c r="D4846" s="39"/>
      <c r="E4846" s="39"/>
      <c r="F4846" s="39"/>
    </row>
    <row r="4847">
      <c r="D4847" s="39"/>
      <c r="E4847" s="39"/>
      <c r="F4847" s="39"/>
    </row>
    <row r="4848">
      <c r="D4848" s="39"/>
      <c r="E4848" s="39"/>
      <c r="F4848" s="39"/>
    </row>
    <row r="4849">
      <c r="D4849" s="39"/>
      <c r="E4849" s="39"/>
      <c r="F4849" s="39"/>
    </row>
    <row r="4850">
      <c r="D4850" s="39"/>
      <c r="E4850" s="39"/>
      <c r="F4850" s="39"/>
    </row>
    <row r="4851">
      <c r="D4851" s="39"/>
      <c r="E4851" s="39"/>
      <c r="F4851" s="39"/>
    </row>
    <row r="4852">
      <c r="D4852" s="39"/>
      <c r="E4852" s="39"/>
      <c r="F4852" s="39"/>
    </row>
    <row r="4853">
      <c r="D4853" s="39"/>
      <c r="E4853" s="39"/>
      <c r="F4853" s="39"/>
    </row>
    <row r="4854">
      <c r="D4854" s="39"/>
      <c r="E4854" s="39"/>
      <c r="F4854" s="39"/>
    </row>
    <row r="4855">
      <c r="D4855" s="39"/>
      <c r="E4855" s="39"/>
      <c r="F4855" s="39"/>
    </row>
    <row r="4856">
      <c r="D4856" s="39"/>
      <c r="E4856" s="39"/>
      <c r="F4856" s="39"/>
    </row>
    <row r="4857">
      <c r="D4857" s="39"/>
      <c r="E4857" s="39"/>
      <c r="F4857" s="39"/>
    </row>
    <row r="4858">
      <c r="D4858" s="39"/>
      <c r="E4858" s="39"/>
      <c r="F4858" s="39"/>
    </row>
    <row r="4859">
      <c r="D4859" s="39"/>
      <c r="E4859" s="39"/>
      <c r="F4859" s="39"/>
    </row>
    <row r="4860">
      <c r="D4860" s="39"/>
      <c r="E4860" s="39"/>
      <c r="F4860" s="39"/>
    </row>
    <row r="4861">
      <c r="D4861" s="39"/>
      <c r="E4861" s="39"/>
      <c r="F4861" s="39"/>
    </row>
    <row r="4862">
      <c r="D4862" s="39"/>
      <c r="E4862" s="39"/>
      <c r="F4862" s="39"/>
    </row>
    <row r="4863">
      <c r="D4863" s="39"/>
      <c r="E4863" s="39"/>
      <c r="F4863" s="39"/>
    </row>
    <row r="4864">
      <c r="D4864" s="39"/>
      <c r="E4864" s="39"/>
      <c r="F4864" s="39"/>
    </row>
    <row r="4865">
      <c r="D4865" s="39"/>
      <c r="E4865" s="39"/>
      <c r="F4865" s="39"/>
    </row>
    <row r="4866">
      <c r="D4866" s="39"/>
      <c r="E4866" s="39"/>
      <c r="F4866" s="39"/>
    </row>
    <row r="4867">
      <c r="D4867" s="39"/>
      <c r="E4867" s="39"/>
      <c r="F4867" s="39"/>
    </row>
    <row r="4868">
      <c r="D4868" s="39"/>
      <c r="E4868" s="39"/>
      <c r="F4868" s="39"/>
    </row>
    <row r="4869">
      <c r="D4869" s="39"/>
      <c r="E4869" s="39"/>
      <c r="F4869" s="39"/>
    </row>
    <row r="4870">
      <c r="D4870" s="39"/>
      <c r="E4870" s="39"/>
      <c r="F4870" s="39"/>
    </row>
    <row r="4871">
      <c r="D4871" s="39"/>
      <c r="E4871" s="39"/>
      <c r="F4871" s="39"/>
    </row>
    <row r="4872">
      <c r="D4872" s="39"/>
      <c r="E4872" s="39"/>
      <c r="F4872" s="39"/>
    </row>
    <row r="4873">
      <c r="D4873" s="39"/>
      <c r="E4873" s="39"/>
      <c r="F4873" s="39"/>
    </row>
    <row r="4874">
      <c r="D4874" s="39"/>
      <c r="E4874" s="39"/>
      <c r="F4874" s="39"/>
    </row>
    <row r="4875">
      <c r="D4875" s="39"/>
      <c r="E4875" s="39"/>
      <c r="F4875" s="39"/>
    </row>
    <row r="4876">
      <c r="D4876" s="39"/>
      <c r="E4876" s="39"/>
      <c r="F4876" s="39"/>
    </row>
    <row r="4877">
      <c r="D4877" s="39"/>
      <c r="E4877" s="39"/>
      <c r="F4877" s="39"/>
    </row>
    <row r="4878">
      <c r="D4878" s="39"/>
      <c r="E4878" s="39"/>
      <c r="F4878" s="39"/>
    </row>
    <row r="4879">
      <c r="D4879" s="39"/>
      <c r="E4879" s="39"/>
      <c r="F4879" s="39"/>
    </row>
    <row r="4880">
      <c r="D4880" s="39"/>
      <c r="E4880" s="39"/>
      <c r="F4880" s="39"/>
    </row>
    <row r="4881">
      <c r="D4881" s="39"/>
      <c r="E4881" s="39"/>
      <c r="F4881" s="39"/>
    </row>
    <row r="4882">
      <c r="D4882" s="39"/>
      <c r="E4882" s="39"/>
      <c r="F4882" s="39"/>
    </row>
    <row r="4883">
      <c r="D4883" s="39"/>
      <c r="E4883" s="39"/>
      <c r="F4883" s="39"/>
    </row>
    <row r="4884">
      <c r="D4884" s="39"/>
      <c r="E4884" s="39"/>
      <c r="F4884" s="39"/>
    </row>
    <row r="4885">
      <c r="D4885" s="39"/>
      <c r="E4885" s="39"/>
      <c r="F4885" s="39"/>
    </row>
    <row r="4886">
      <c r="D4886" s="39"/>
      <c r="E4886" s="39"/>
      <c r="F4886" s="39"/>
    </row>
    <row r="4887">
      <c r="D4887" s="39"/>
      <c r="E4887" s="39"/>
      <c r="F4887" s="39"/>
    </row>
    <row r="4888">
      <c r="D4888" s="39"/>
      <c r="E4888" s="39"/>
      <c r="F4888" s="39"/>
    </row>
    <row r="4889">
      <c r="D4889" s="39"/>
      <c r="E4889" s="39"/>
      <c r="F4889" s="39"/>
    </row>
    <row r="4890">
      <c r="D4890" s="39"/>
      <c r="E4890" s="39"/>
      <c r="F4890" s="39"/>
    </row>
    <row r="4891">
      <c r="D4891" s="39"/>
      <c r="E4891" s="39"/>
      <c r="F4891" s="39"/>
    </row>
    <row r="4892">
      <c r="D4892" s="39"/>
      <c r="E4892" s="39"/>
      <c r="F4892" s="39"/>
    </row>
    <row r="4893">
      <c r="D4893" s="39"/>
      <c r="E4893" s="39"/>
      <c r="F4893" s="39"/>
    </row>
    <row r="4894">
      <c r="D4894" s="39"/>
      <c r="E4894" s="39"/>
      <c r="F4894" s="39"/>
    </row>
    <row r="4895">
      <c r="D4895" s="39"/>
      <c r="E4895" s="39"/>
      <c r="F4895" s="39"/>
    </row>
    <row r="4896">
      <c r="D4896" s="39"/>
      <c r="E4896" s="39"/>
      <c r="F4896" s="39"/>
    </row>
    <row r="4897">
      <c r="D4897" s="39"/>
      <c r="E4897" s="39"/>
      <c r="F4897" s="39"/>
    </row>
    <row r="4898">
      <c r="D4898" s="39"/>
      <c r="E4898" s="39"/>
      <c r="F4898" s="39"/>
    </row>
    <row r="4899">
      <c r="D4899" s="39"/>
      <c r="E4899" s="39"/>
      <c r="F4899" s="39"/>
    </row>
    <row r="4900">
      <c r="D4900" s="39"/>
      <c r="E4900" s="39"/>
      <c r="F4900" s="39"/>
    </row>
    <row r="4901">
      <c r="D4901" s="39"/>
      <c r="E4901" s="39"/>
      <c r="F4901" s="39"/>
    </row>
    <row r="4902">
      <c r="D4902" s="39"/>
      <c r="E4902" s="39"/>
      <c r="F4902" s="39"/>
    </row>
    <row r="4903">
      <c r="D4903" s="39"/>
      <c r="E4903" s="39"/>
      <c r="F4903" s="39"/>
    </row>
    <row r="4904">
      <c r="D4904" s="39"/>
      <c r="E4904" s="39"/>
      <c r="F4904" s="39"/>
    </row>
    <row r="4905">
      <c r="D4905" s="39"/>
      <c r="E4905" s="39"/>
      <c r="F4905" s="39"/>
    </row>
    <row r="4906">
      <c r="D4906" s="39"/>
      <c r="E4906" s="39"/>
      <c r="F4906" s="39"/>
    </row>
    <row r="4907">
      <c r="D4907" s="39"/>
      <c r="E4907" s="39"/>
      <c r="F4907" s="39"/>
    </row>
    <row r="4908">
      <c r="D4908" s="39"/>
      <c r="E4908" s="39"/>
      <c r="F4908" s="39"/>
    </row>
    <row r="4909">
      <c r="D4909" s="39"/>
      <c r="E4909" s="39"/>
      <c r="F4909" s="39"/>
    </row>
    <row r="4910">
      <c r="D4910" s="39"/>
      <c r="E4910" s="39"/>
      <c r="F4910" s="39"/>
    </row>
    <row r="4911">
      <c r="D4911" s="39"/>
      <c r="E4911" s="39"/>
      <c r="F4911" s="39"/>
    </row>
    <row r="4912">
      <c r="D4912" s="39"/>
      <c r="E4912" s="39"/>
      <c r="F4912" s="39"/>
    </row>
    <row r="4913">
      <c r="D4913" s="39"/>
      <c r="E4913" s="39"/>
      <c r="F4913" s="39"/>
    </row>
    <row r="4914">
      <c r="D4914" s="39"/>
      <c r="E4914" s="39"/>
      <c r="F4914" s="39"/>
    </row>
    <row r="4915">
      <c r="D4915" s="39"/>
      <c r="E4915" s="39"/>
      <c r="F4915" s="39"/>
    </row>
    <row r="4916">
      <c r="D4916" s="39"/>
      <c r="E4916" s="39"/>
      <c r="F4916" s="39"/>
    </row>
    <row r="4917">
      <c r="D4917" s="39"/>
      <c r="E4917" s="39"/>
      <c r="F4917" s="39"/>
    </row>
    <row r="4918">
      <c r="D4918" s="39"/>
      <c r="E4918" s="39"/>
      <c r="F4918" s="39"/>
    </row>
    <row r="4919">
      <c r="D4919" s="39"/>
      <c r="E4919" s="39"/>
      <c r="F4919" s="39"/>
    </row>
    <row r="4920">
      <c r="D4920" s="39"/>
      <c r="E4920" s="39"/>
      <c r="F4920" s="39"/>
    </row>
    <row r="4921">
      <c r="D4921" s="39"/>
      <c r="E4921" s="39"/>
      <c r="F4921" s="39"/>
    </row>
    <row r="4922">
      <c r="D4922" s="39"/>
      <c r="E4922" s="39"/>
      <c r="F4922" s="39"/>
    </row>
    <row r="4923">
      <c r="D4923" s="39"/>
      <c r="E4923" s="39"/>
      <c r="F4923" s="39"/>
    </row>
    <row r="4924">
      <c r="D4924" s="39"/>
      <c r="E4924" s="39"/>
      <c r="F4924" s="39"/>
    </row>
    <row r="4925">
      <c r="D4925" s="39"/>
      <c r="E4925" s="39"/>
      <c r="F4925" s="39"/>
    </row>
    <row r="4926">
      <c r="D4926" s="39"/>
      <c r="E4926" s="39"/>
      <c r="F4926" s="39"/>
    </row>
    <row r="4927">
      <c r="D4927" s="39"/>
      <c r="E4927" s="39"/>
      <c r="F4927" s="39"/>
    </row>
    <row r="4928">
      <c r="D4928" s="39"/>
      <c r="E4928" s="39"/>
      <c r="F4928" s="39"/>
    </row>
    <row r="4929">
      <c r="D4929" s="39"/>
      <c r="E4929" s="39"/>
      <c r="F4929" s="39"/>
    </row>
    <row r="4930">
      <c r="D4930" s="39"/>
      <c r="E4930" s="39"/>
      <c r="F4930" s="39"/>
    </row>
    <row r="4931">
      <c r="D4931" s="39"/>
      <c r="E4931" s="39"/>
      <c r="F4931" s="39"/>
    </row>
    <row r="4932">
      <c r="D4932" s="39"/>
      <c r="E4932" s="39"/>
      <c r="F4932" s="39"/>
    </row>
    <row r="4933">
      <c r="D4933" s="39"/>
      <c r="E4933" s="39"/>
      <c r="F4933" s="39"/>
    </row>
    <row r="4934">
      <c r="D4934" s="39"/>
      <c r="E4934" s="39"/>
      <c r="F4934" s="39"/>
    </row>
    <row r="4935">
      <c r="D4935" s="39"/>
      <c r="E4935" s="39"/>
      <c r="F4935" s="39"/>
    </row>
    <row r="4936">
      <c r="D4936" s="39"/>
      <c r="E4936" s="39"/>
      <c r="F4936" s="39"/>
    </row>
    <row r="4937">
      <c r="D4937" s="39"/>
      <c r="E4937" s="39"/>
      <c r="F4937" s="39"/>
    </row>
    <row r="4938">
      <c r="D4938" s="39"/>
      <c r="E4938" s="39"/>
      <c r="F4938" s="39"/>
    </row>
    <row r="4939">
      <c r="D4939" s="39"/>
      <c r="E4939" s="39"/>
      <c r="F4939" s="39"/>
    </row>
    <row r="4940">
      <c r="D4940" s="39"/>
      <c r="E4940" s="39"/>
      <c r="F4940" s="39"/>
    </row>
    <row r="4941">
      <c r="D4941" s="39"/>
      <c r="E4941" s="39"/>
      <c r="F4941" s="39"/>
    </row>
    <row r="4942">
      <c r="D4942" s="39"/>
      <c r="E4942" s="39"/>
      <c r="F4942" s="39"/>
    </row>
    <row r="4943">
      <c r="D4943" s="39"/>
      <c r="E4943" s="39"/>
      <c r="F4943" s="39"/>
    </row>
    <row r="4944">
      <c r="D4944" s="39"/>
      <c r="E4944" s="39"/>
      <c r="F4944" s="39"/>
    </row>
    <row r="4945">
      <c r="D4945" s="39"/>
      <c r="E4945" s="39"/>
      <c r="F4945" s="39"/>
    </row>
    <row r="4946">
      <c r="D4946" s="39"/>
      <c r="E4946" s="39"/>
      <c r="F4946" s="39"/>
    </row>
    <row r="4947">
      <c r="D4947" s="39"/>
      <c r="E4947" s="39"/>
      <c r="F4947" s="39"/>
    </row>
    <row r="4948">
      <c r="D4948" s="39"/>
      <c r="E4948" s="39"/>
      <c r="F4948" s="39"/>
    </row>
    <row r="4949">
      <c r="D4949" s="39"/>
      <c r="E4949" s="39"/>
      <c r="F4949" s="39"/>
    </row>
    <row r="4950">
      <c r="D4950" s="39"/>
      <c r="E4950" s="39"/>
      <c r="F4950" s="39"/>
    </row>
    <row r="4951">
      <c r="D4951" s="39"/>
      <c r="E4951" s="39"/>
      <c r="F4951" s="39"/>
    </row>
    <row r="4952">
      <c r="D4952" s="39"/>
      <c r="E4952" s="39"/>
      <c r="F4952" s="39"/>
    </row>
    <row r="4953">
      <c r="D4953" s="39"/>
      <c r="E4953" s="39"/>
      <c r="F4953" s="39"/>
    </row>
    <row r="4954">
      <c r="D4954" s="39"/>
      <c r="E4954" s="39"/>
      <c r="F4954" s="39"/>
    </row>
    <row r="4955">
      <c r="D4955" s="39"/>
      <c r="E4955" s="39"/>
      <c r="F4955" s="39"/>
    </row>
    <row r="4956">
      <c r="D4956" s="39"/>
      <c r="E4956" s="39"/>
      <c r="F4956" s="39"/>
    </row>
    <row r="4957">
      <c r="D4957" s="39"/>
      <c r="E4957" s="39"/>
      <c r="F4957" s="39"/>
    </row>
    <row r="4958">
      <c r="D4958" s="39"/>
      <c r="E4958" s="39"/>
      <c r="F4958" s="39"/>
    </row>
    <row r="4959">
      <c r="D4959" s="39"/>
      <c r="E4959" s="39"/>
      <c r="F4959" s="39"/>
    </row>
    <row r="4960">
      <c r="D4960" s="39"/>
      <c r="E4960" s="39"/>
      <c r="F4960" s="39"/>
    </row>
    <row r="4961">
      <c r="D4961" s="39"/>
      <c r="E4961" s="39"/>
      <c r="F4961" s="39"/>
    </row>
    <row r="4962">
      <c r="D4962" s="39"/>
      <c r="E4962" s="39"/>
      <c r="F4962" s="39"/>
    </row>
    <row r="4963">
      <c r="D4963" s="39"/>
      <c r="E4963" s="39"/>
      <c r="F4963" s="39"/>
    </row>
    <row r="4964">
      <c r="D4964" s="39"/>
      <c r="E4964" s="39"/>
      <c r="F4964" s="39"/>
    </row>
    <row r="4965">
      <c r="D4965" s="39"/>
      <c r="E4965" s="39"/>
      <c r="F4965" s="39"/>
    </row>
    <row r="4966">
      <c r="D4966" s="39"/>
      <c r="E4966" s="39"/>
      <c r="F4966" s="39"/>
    </row>
    <row r="4967">
      <c r="D4967" s="39"/>
      <c r="E4967" s="39"/>
      <c r="F4967" s="39"/>
    </row>
    <row r="4968">
      <c r="D4968" s="39"/>
      <c r="E4968" s="39"/>
      <c r="F4968" s="39"/>
    </row>
    <row r="4969">
      <c r="D4969" s="39"/>
      <c r="E4969" s="39"/>
      <c r="F4969" s="39"/>
    </row>
    <row r="4970">
      <c r="D4970" s="39"/>
      <c r="E4970" s="39"/>
      <c r="F4970" s="39"/>
    </row>
    <row r="4971">
      <c r="D4971" s="39"/>
      <c r="E4971" s="39"/>
      <c r="F4971" s="39"/>
    </row>
    <row r="4972">
      <c r="D4972" s="39"/>
      <c r="E4972" s="39"/>
      <c r="F4972" s="39"/>
    </row>
    <row r="4973">
      <c r="D4973" s="39"/>
      <c r="E4973" s="39"/>
      <c r="F4973" s="39"/>
    </row>
    <row r="4974">
      <c r="D4974" s="39"/>
      <c r="E4974" s="39"/>
      <c r="F4974" s="39"/>
    </row>
    <row r="4975">
      <c r="D4975" s="39"/>
      <c r="E4975" s="39"/>
      <c r="F4975" s="39"/>
    </row>
    <row r="4976">
      <c r="D4976" s="39"/>
      <c r="E4976" s="39"/>
      <c r="F4976" s="39"/>
    </row>
    <row r="4977">
      <c r="D4977" s="39"/>
      <c r="E4977" s="39"/>
      <c r="F4977" s="39"/>
    </row>
    <row r="4978">
      <c r="D4978" s="39"/>
      <c r="E4978" s="39"/>
      <c r="F4978" s="39"/>
    </row>
    <row r="4979">
      <c r="D4979" s="39"/>
      <c r="E4979" s="39"/>
      <c r="F4979" s="39"/>
    </row>
    <row r="4980">
      <c r="D4980" s="39"/>
      <c r="E4980" s="39"/>
      <c r="F4980" s="39"/>
    </row>
    <row r="4981">
      <c r="D4981" s="39"/>
      <c r="E4981" s="39"/>
      <c r="F4981" s="39"/>
    </row>
    <row r="4982">
      <c r="D4982" s="39"/>
      <c r="E4982" s="39"/>
      <c r="F4982" s="39"/>
    </row>
    <row r="4983">
      <c r="D4983" s="39"/>
      <c r="E4983" s="39"/>
      <c r="F4983" s="39"/>
    </row>
    <row r="4984">
      <c r="D4984" s="39"/>
      <c r="E4984" s="39"/>
      <c r="F4984" s="39"/>
    </row>
    <row r="4985">
      <c r="D4985" s="39"/>
      <c r="E4985" s="39"/>
      <c r="F4985" s="39"/>
    </row>
    <row r="4986">
      <c r="D4986" s="39"/>
      <c r="E4986" s="39"/>
      <c r="F4986" s="39"/>
    </row>
    <row r="4987">
      <c r="D4987" s="39"/>
      <c r="E4987" s="39"/>
      <c r="F4987" s="39"/>
    </row>
    <row r="4988">
      <c r="D4988" s="39"/>
      <c r="E4988" s="39"/>
      <c r="F4988" s="39"/>
    </row>
    <row r="4989">
      <c r="D4989" s="39"/>
      <c r="E4989" s="39"/>
      <c r="F4989" s="39"/>
    </row>
    <row r="4990">
      <c r="D4990" s="39"/>
      <c r="E4990" s="39"/>
      <c r="F4990" s="39"/>
    </row>
    <row r="4991">
      <c r="D4991" s="39"/>
      <c r="E4991" s="39"/>
      <c r="F4991" s="39"/>
    </row>
    <row r="4992">
      <c r="D4992" s="39"/>
      <c r="E4992" s="39"/>
      <c r="F4992" s="39"/>
    </row>
    <row r="4993">
      <c r="D4993" s="39"/>
      <c r="E4993" s="39"/>
      <c r="F4993" s="39"/>
    </row>
    <row r="4994">
      <c r="D4994" s="39"/>
      <c r="E4994" s="39"/>
      <c r="F4994" s="39"/>
    </row>
    <row r="4995">
      <c r="D4995" s="39"/>
      <c r="E4995" s="39"/>
      <c r="F4995" s="39"/>
    </row>
    <row r="4996">
      <c r="D4996" s="39"/>
      <c r="E4996" s="39"/>
      <c r="F4996" s="39"/>
    </row>
    <row r="4997">
      <c r="D4997" s="39"/>
      <c r="E4997" s="39"/>
      <c r="F4997" s="39"/>
    </row>
    <row r="4998">
      <c r="D4998" s="39"/>
      <c r="E4998" s="39"/>
      <c r="F4998" s="39"/>
    </row>
    <row r="4999">
      <c r="D4999" s="39"/>
      <c r="E4999" s="39"/>
      <c r="F4999" s="39"/>
    </row>
    <row r="5000">
      <c r="D5000" s="39"/>
      <c r="E5000" s="39"/>
      <c r="F5000" s="39"/>
    </row>
    <row r="5001">
      <c r="D5001" s="39"/>
      <c r="E5001" s="39"/>
      <c r="F5001" s="39"/>
    </row>
    <row r="5002">
      <c r="D5002" s="39"/>
      <c r="E5002" s="39"/>
      <c r="F5002" s="39"/>
    </row>
    <row r="5003">
      <c r="D5003" s="39"/>
      <c r="E5003" s="39"/>
      <c r="F5003" s="39"/>
    </row>
    <row r="5004">
      <c r="D5004" s="39"/>
      <c r="E5004" s="39"/>
      <c r="F5004" s="39"/>
    </row>
    <row r="5005">
      <c r="D5005" s="39"/>
      <c r="E5005" s="39"/>
      <c r="F5005" s="39"/>
    </row>
    <row r="5006">
      <c r="D5006" s="39"/>
      <c r="E5006" s="39"/>
      <c r="F5006" s="39"/>
    </row>
    <row r="5007">
      <c r="D5007" s="39"/>
      <c r="E5007" s="39"/>
      <c r="F5007" s="39"/>
    </row>
    <row r="5008">
      <c r="D5008" s="39"/>
      <c r="E5008" s="39"/>
      <c r="F5008" s="39"/>
    </row>
    <row r="5009">
      <c r="D5009" s="39"/>
      <c r="E5009" s="39"/>
      <c r="F5009" s="39"/>
    </row>
    <row r="5010">
      <c r="D5010" s="39"/>
      <c r="E5010" s="39"/>
      <c r="F5010" s="39"/>
    </row>
    <row r="5011">
      <c r="D5011" s="39"/>
      <c r="E5011" s="39"/>
      <c r="F5011" s="39"/>
    </row>
    <row r="5012">
      <c r="D5012" s="39"/>
      <c r="E5012" s="39"/>
      <c r="F5012" s="39"/>
    </row>
    <row r="5013">
      <c r="D5013" s="39"/>
      <c r="E5013" s="39"/>
      <c r="F5013" s="39"/>
    </row>
    <row r="5014">
      <c r="D5014" s="39"/>
      <c r="E5014" s="39"/>
      <c r="F5014" s="39"/>
    </row>
    <row r="5015">
      <c r="D5015" s="39"/>
      <c r="E5015" s="39"/>
      <c r="F5015" s="39"/>
    </row>
    <row r="5016">
      <c r="D5016" s="39"/>
      <c r="E5016" s="39"/>
      <c r="F5016" s="39"/>
    </row>
    <row r="5017">
      <c r="D5017" s="39"/>
      <c r="E5017" s="39"/>
      <c r="F5017" s="39"/>
    </row>
    <row r="5018">
      <c r="D5018" s="39"/>
      <c r="E5018" s="39"/>
      <c r="F5018" s="39"/>
    </row>
    <row r="5019">
      <c r="D5019" s="39"/>
      <c r="E5019" s="39"/>
      <c r="F5019" s="39"/>
    </row>
    <row r="5020">
      <c r="D5020" s="39"/>
      <c r="E5020" s="39"/>
      <c r="F5020" s="39"/>
    </row>
    <row r="5021">
      <c r="D5021" s="39"/>
      <c r="E5021" s="39"/>
      <c r="F5021" s="39"/>
    </row>
    <row r="5022">
      <c r="D5022" s="39"/>
      <c r="E5022" s="39"/>
      <c r="F5022" s="39"/>
    </row>
    <row r="5023">
      <c r="D5023" s="39"/>
      <c r="E5023" s="39"/>
      <c r="F5023" s="39"/>
    </row>
    <row r="5024">
      <c r="D5024" s="39"/>
      <c r="E5024" s="39"/>
      <c r="F5024" s="39"/>
    </row>
    <row r="5025">
      <c r="D5025" s="39"/>
      <c r="E5025" s="39"/>
      <c r="F5025" s="39"/>
    </row>
    <row r="5026">
      <c r="D5026" s="39"/>
      <c r="E5026" s="39"/>
      <c r="F5026" s="39"/>
    </row>
    <row r="5027">
      <c r="D5027" s="39"/>
      <c r="E5027" s="39"/>
      <c r="F5027" s="39"/>
    </row>
    <row r="5028">
      <c r="D5028" s="39"/>
      <c r="E5028" s="39"/>
      <c r="F5028" s="39"/>
    </row>
    <row r="5029">
      <c r="D5029" s="39"/>
      <c r="E5029" s="39"/>
      <c r="F5029" s="39"/>
    </row>
    <row r="5030">
      <c r="D5030" s="39"/>
      <c r="E5030" s="39"/>
      <c r="F5030" s="39"/>
    </row>
    <row r="5031">
      <c r="D5031" s="39"/>
      <c r="E5031" s="39"/>
      <c r="F5031" s="39"/>
    </row>
    <row r="5032">
      <c r="D5032" s="39"/>
      <c r="E5032" s="39"/>
      <c r="F5032" s="39"/>
    </row>
    <row r="5033">
      <c r="D5033" s="39"/>
      <c r="E5033" s="39"/>
      <c r="F5033" s="39"/>
    </row>
    <row r="5034">
      <c r="D5034" s="39"/>
      <c r="E5034" s="39"/>
      <c r="F5034" s="39"/>
    </row>
    <row r="5035">
      <c r="D5035" s="39"/>
      <c r="E5035" s="39"/>
      <c r="F5035" s="39"/>
    </row>
    <row r="5036">
      <c r="D5036" s="39"/>
      <c r="E5036" s="39"/>
      <c r="F5036" s="39"/>
    </row>
    <row r="5037">
      <c r="D5037" s="39"/>
      <c r="E5037" s="39"/>
      <c r="F5037" s="39"/>
    </row>
    <row r="5038">
      <c r="D5038" s="39"/>
      <c r="E5038" s="39"/>
      <c r="F5038" s="39"/>
    </row>
    <row r="5039">
      <c r="D5039" s="39"/>
      <c r="E5039" s="39"/>
      <c r="F5039" s="39"/>
    </row>
    <row r="5040">
      <c r="D5040" s="39"/>
      <c r="E5040" s="39"/>
      <c r="F5040" s="39"/>
    </row>
    <row r="5041">
      <c r="D5041" s="39"/>
      <c r="E5041" s="39"/>
      <c r="F5041" s="39"/>
    </row>
    <row r="5042">
      <c r="D5042" s="39"/>
      <c r="E5042" s="39"/>
      <c r="F5042" s="39"/>
    </row>
    <row r="5043">
      <c r="D5043" s="39"/>
      <c r="E5043" s="39"/>
      <c r="F5043" s="39"/>
    </row>
    <row r="5044">
      <c r="D5044" s="39"/>
      <c r="E5044" s="39"/>
      <c r="F5044" s="39"/>
    </row>
    <row r="5045">
      <c r="D5045" s="39"/>
      <c r="E5045" s="39"/>
      <c r="F5045" s="39"/>
    </row>
    <row r="5046">
      <c r="D5046" s="39"/>
      <c r="E5046" s="39"/>
      <c r="F5046" s="39"/>
    </row>
    <row r="5047">
      <c r="D5047" s="39"/>
      <c r="E5047" s="39"/>
      <c r="F5047" s="39"/>
    </row>
    <row r="5048">
      <c r="D5048" s="39"/>
      <c r="E5048" s="39"/>
      <c r="F5048" s="39"/>
    </row>
    <row r="5049">
      <c r="D5049" s="39"/>
      <c r="E5049" s="39"/>
      <c r="F5049" s="39"/>
    </row>
    <row r="5050">
      <c r="D5050" s="39"/>
      <c r="E5050" s="39"/>
      <c r="F5050" s="39"/>
    </row>
    <row r="5051">
      <c r="D5051" s="39"/>
      <c r="E5051" s="39"/>
      <c r="F5051" s="39"/>
    </row>
    <row r="5052">
      <c r="D5052" s="39"/>
      <c r="E5052" s="39"/>
      <c r="F5052" s="39"/>
    </row>
    <row r="5053">
      <c r="D5053" s="39"/>
      <c r="E5053" s="39"/>
      <c r="F5053" s="39"/>
    </row>
    <row r="5054">
      <c r="D5054" s="39"/>
      <c r="E5054" s="39"/>
      <c r="F5054" s="39"/>
    </row>
    <row r="5055">
      <c r="D5055" s="39"/>
      <c r="E5055" s="39"/>
      <c r="F5055" s="39"/>
    </row>
    <row r="5056">
      <c r="D5056" s="39"/>
      <c r="E5056" s="39"/>
      <c r="F5056" s="39"/>
    </row>
    <row r="5057">
      <c r="D5057" s="39"/>
      <c r="E5057" s="39"/>
      <c r="F5057" s="39"/>
    </row>
    <row r="5058">
      <c r="D5058" s="39"/>
      <c r="E5058" s="39"/>
      <c r="F5058" s="39"/>
    </row>
    <row r="5059">
      <c r="D5059" s="39"/>
      <c r="E5059" s="39"/>
      <c r="F5059" s="39"/>
    </row>
    <row r="5060">
      <c r="D5060" s="39"/>
      <c r="E5060" s="39"/>
      <c r="F5060" s="39"/>
    </row>
    <row r="5061">
      <c r="D5061" s="39"/>
      <c r="E5061" s="39"/>
      <c r="F5061" s="39"/>
    </row>
    <row r="5062">
      <c r="D5062" s="39"/>
      <c r="E5062" s="39"/>
      <c r="F5062" s="39"/>
    </row>
    <row r="5063">
      <c r="D5063" s="39"/>
      <c r="E5063" s="39"/>
      <c r="F5063" s="39"/>
    </row>
    <row r="5064">
      <c r="D5064" s="39"/>
      <c r="E5064" s="39"/>
      <c r="F5064" s="39"/>
    </row>
    <row r="5065">
      <c r="D5065" s="39"/>
      <c r="E5065" s="39"/>
      <c r="F5065" s="39"/>
    </row>
    <row r="5066">
      <c r="D5066" s="39"/>
      <c r="E5066" s="39"/>
      <c r="F5066" s="39"/>
    </row>
    <row r="5067">
      <c r="D5067" s="39"/>
      <c r="E5067" s="39"/>
      <c r="F5067" s="39"/>
    </row>
    <row r="5068">
      <c r="D5068" s="39"/>
      <c r="E5068" s="39"/>
      <c r="F5068" s="39"/>
    </row>
    <row r="5069">
      <c r="D5069" s="39"/>
      <c r="E5069" s="39"/>
      <c r="F5069" s="39"/>
    </row>
    <row r="5070">
      <c r="D5070" s="39"/>
      <c r="E5070" s="39"/>
      <c r="F5070" s="39"/>
    </row>
    <row r="5071">
      <c r="D5071" s="39"/>
      <c r="E5071" s="39"/>
      <c r="F5071" s="39"/>
    </row>
    <row r="5072">
      <c r="D5072" s="39"/>
      <c r="E5072" s="39"/>
      <c r="F5072" s="39"/>
    </row>
    <row r="5073">
      <c r="D5073" s="39"/>
      <c r="E5073" s="39"/>
      <c r="F5073" s="39"/>
    </row>
    <row r="5074">
      <c r="D5074" s="39"/>
      <c r="E5074" s="39"/>
      <c r="F5074" s="39"/>
    </row>
    <row r="5075">
      <c r="D5075" s="39"/>
      <c r="E5075" s="39"/>
      <c r="F5075" s="39"/>
    </row>
    <row r="5076">
      <c r="D5076" s="39"/>
      <c r="E5076" s="39"/>
      <c r="F5076" s="39"/>
    </row>
    <row r="5077">
      <c r="D5077" s="39"/>
      <c r="E5077" s="39"/>
      <c r="F5077" s="39"/>
    </row>
    <row r="5078">
      <c r="D5078" s="39"/>
      <c r="E5078" s="39"/>
      <c r="F5078" s="39"/>
    </row>
    <row r="5079">
      <c r="D5079" s="39"/>
      <c r="E5079" s="39"/>
      <c r="F5079" s="39"/>
    </row>
    <row r="5080">
      <c r="D5080" s="39"/>
      <c r="E5080" s="39"/>
      <c r="F5080" s="39"/>
    </row>
    <row r="5081">
      <c r="D5081" s="39"/>
      <c r="E5081" s="39"/>
      <c r="F5081" s="39"/>
    </row>
    <row r="5082">
      <c r="D5082" s="39"/>
      <c r="E5082" s="39"/>
      <c r="F5082" s="39"/>
    </row>
    <row r="5083">
      <c r="D5083" s="39"/>
      <c r="E5083" s="39"/>
      <c r="F5083" s="39"/>
    </row>
    <row r="5084">
      <c r="D5084" s="39"/>
      <c r="E5084" s="39"/>
      <c r="F5084" s="39"/>
    </row>
    <row r="5085">
      <c r="D5085" s="39"/>
      <c r="E5085" s="39"/>
      <c r="F5085" s="39"/>
    </row>
    <row r="5086">
      <c r="D5086" s="39"/>
      <c r="E5086" s="39"/>
      <c r="F5086" s="39"/>
    </row>
    <row r="5087">
      <c r="D5087" s="39"/>
      <c r="E5087" s="39"/>
      <c r="F5087" s="39"/>
    </row>
    <row r="5088">
      <c r="D5088" s="39"/>
      <c r="E5088" s="39"/>
      <c r="F5088" s="39"/>
    </row>
    <row r="5089">
      <c r="D5089" s="39"/>
      <c r="E5089" s="39"/>
      <c r="F5089" s="39"/>
    </row>
    <row r="5090">
      <c r="D5090" s="39"/>
      <c r="E5090" s="39"/>
      <c r="F5090" s="39"/>
    </row>
    <row r="5091">
      <c r="D5091" s="39"/>
      <c r="E5091" s="39"/>
      <c r="F5091" s="39"/>
    </row>
    <row r="5092">
      <c r="D5092" s="39"/>
      <c r="E5092" s="39"/>
      <c r="F5092" s="39"/>
    </row>
    <row r="5093">
      <c r="D5093" s="39"/>
      <c r="E5093" s="39"/>
      <c r="F5093" s="39"/>
    </row>
    <row r="5094">
      <c r="D5094" s="39"/>
      <c r="E5094" s="39"/>
      <c r="F5094" s="39"/>
    </row>
    <row r="5095">
      <c r="D5095" s="39"/>
      <c r="E5095" s="39"/>
      <c r="F5095" s="39"/>
    </row>
    <row r="5096">
      <c r="D5096" s="39"/>
      <c r="E5096" s="39"/>
      <c r="F5096" s="39"/>
    </row>
    <row r="5097">
      <c r="D5097" s="39"/>
      <c r="E5097" s="39"/>
      <c r="F5097" s="39"/>
    </row>
    <row r="5098">
      <c r="D5098" s="39"/>
      <c r="E5098" s="39"/>
      <c r="F5098" s="39"/>
    </row>
    <row r="5099">
      <c r="D5099" s="39"/>
      <c r="E5099" s="39"/>
      <c r="F5099" s="39"/>
    </row>
    <row r="5100">
      <c r="D5100" s="39"/>
      <c r="E5100" s="39"/>
      <c r="F5100" s="39"/>
    </row>
    <row r="5101">
      <c r="D5101" s="39"/>
      <c r="E5101" s="39"/>
      <c r="F5101" s="39"/>
    </row>
    <row r="5102">
      <c r="D5102" s="39"/>
      <c r="E5102" s="39"/>
      <c r="F5102" s="39"/>
    </row>
    <row r="5103">
      <c r="D5103" s="39"/>
      <c r="E5103" s="39"/>
      <c r="F5103" s="39"/>
    </row>
    <row r="5104">
      <c r="D5104" s="39"/>
      <c r="E5104" s="39"/>
      <c r="F5104" s="39"/>
    </row>
    <row r="5105">
      <c r="D5105" s="39"/>
      <c r="E5105" s="39"/>
      <c r="F5105" s="39"/>
    </row>
    <row r="5106">
      <c r="D5106" s="39"/>
      <c r="E5106" s="39"/>
      <c r="F5106" s="39"/>
    </row>
    <row r="5107">
      <c r="D5107" s="39"/>
      <c r="E5107" s="39"/>
      <c r="F5107" s="39"/>
    </row>
    <row r="5108">
      <c r="D5108" s="39"/>
      <c r="E5108" s="39"/>
      <c r="F5108" s="39"/>
    </row>
    <row r="5109">
      <c r="D5109" s="39"/>
      <c r="E5109" s="39"/>
      <c r="F5109" s="39"/>
    </row>
    <row r="5110">
      <c r="D5110" s="39"/>
      <c r="E5110" s="39"/>
      <c r="F5110" s="39"/>
    </row>
    <row r="5111">
      <c r="D5111" s="39"/>
      <c r="E5111" s="39"/>
      <c r="F5111" s="39"/>
    </row>
    <row r="5112">
      <c r="D5112" s="39"/>
      <c r="E5112" s="39"/>
      <c r="F5112" s="39"/>
    </row>
    <row r="5113">
      <c r="D5113" s="39"/>
      <c r="E5113" s="39"/>
      <c r="F5113" s="39"/>
    </row>
    <row r="5114">
      <c r="D5114" s="39"/>
      <c r="E5114" s="39"/>
      <c r="F5114" s="39"/>
    </row>
    <row r="5115">
      <c r="D5115" s="39"/>
      <c r="E5115" s="39"/>
      <c r="F5115" s="39"/>
    </row>
    <row r="5116">
      <c r="D5116" s="39"/>
      <c r="E5116" s="39"/>
      <c r="F5116" s="39"/>
    </row>
    <row r="5117">
      <c r="D5117" s="39"/>
      <c r="E5117" s="39"/>
      <c r="F5117" s="39"/>
    </row>
    <row r="5118">
      <c r="D5118" s="39"/>
      <c r="E5118" s="39"/>
      <c r="F5118" s="39"/>
    </row>
    <row r="5119">
      <c r="D5119" s="39"/>
      <c r="E5119" s="39"/>
      <c r="F5119" s="39"/>
    </row>
    <row r="5120">
      <c r="D5120" s="39"/>
      <c r="E5120" s="39"/>
      <c r="F5120" s="39"/>
    </row>
    <row r="5121">
      <c r="D5121" s="39"/>
      <c r="E5121" s="39"/>
      <c r="F5121" s="39"/>
    </row>
    <row r="5122">
      <c r="D5122" s="39"/>
      <c r="E5122" s="39"/>
      <c r="F5122" s="39"/>
    </row>
    <row r="5123">
      <c r="D5123" s="39"/>
      <c r="E5123" s="39"/>
      <c r="F5123" s="39"/>
    </row>
    <row r="5124">
      <c r="D5124" s="39"/>
      <c r="E5124" s="39"/>
      <c r="F5124" s="39"/>
    </row>
    <row r="5125">
      <c r="D5125" s="39"/>
      <c r="E5125" s="39"/>
      <c r="F5125" s="39"/>
    </row>
    <row r="5126">
      <c r="D5126" s="39"/>
      <c r="E5126" s="39"/>
      <c r="F5126" s="39"/>
    </row>
    <row r="5127">
      <c r="D5127" s="39"/>
      <c r="E5127" s="39"/>
      <c r="F5127" s="39"/>
    </row>
    <row r="5128">
      <c r="D5128" s="39"/>
      <c r="E5128" s="39"/>
      <c r="F5128" s="39"/>
    </row>
    <row r="5129">
      <c r="D5129" s="39"/>
      <c r="E5129" s="39"/>
      <c r="F5129" s="39"/>
    </row>
    <row r="5130">
      <c r="D5130" s="39"/>
      <c r="E5130" s="39"/>
      <c r="F5130" s="39"/>
    </row>
    <row r="5131">
      <c r="D5131" s="39"/>
      <c r="E5131" s="39"/>
      <c r="F5131" s="39"/>
    </row>
    <row r="5132">
      <c r="D5132" s="39"/>
      <c r="E5132" s="39"/>
      <c r="F5132" s="39"/>
    </row>
    <row r="5133">
      <c r="D5133" s="39"/>
      <c r="E5133" s="39"/>
      <c r="F5133" s="39"/>
    </row>
    <row r="5134">
      <c r="D5134" s="39"/>
      <c r="E5134" s="39"/>
      <c r="F5134" s="39"/>
    </row>
    <row r="5135">
      <c r="D5135" s="39"/>
      <c r="E5135" s="39"/>
      <c r="F5135" s="39"/>
    </row>
    <row r="5136">
      <c r="D5136" s="39"/>
      <c r="E5136" s="39"/>
      <c r="F5136" s="39"/>
    </row>
    <row r="5137">
      <c r="D5137" s="39"/>
      <c r="E5137" s="39"/>
      <c r="F5137" s="39"/>
    </row>
    <row r="5138">
      <c r="D5138" s="39"/>
      <c r="E5138" s="39"/>
      <c r="F5138" s="39"/>
    </row>
    <row r="5139">
      <c r="D5139" s="39"/>
      <c r="E5139" s="39"/>
      <c r="F5139" s="39"/>
    </row>
    <row r="5140">
      <c r="D5140" s="39"/>
      <c r="E5140" s="39"/>
      <c r="F5140" s="39"/>
    </row>
    <row r="5141">
      <c r="D5141" s="39"/>
      <c r="E5141" s="39"/>
      <c r="F5141" s="39"/>
    </row>
    <row r="5142">
      <c r="D5142" s="39"/>
      <c r="E5142" s="39"/>
      <c r="F5142" s="39"/>
    </row>
    <row r="5143">
      <c r="D5143" s="39"/>
      <c r="E5143" s="39"/>
      <c r="F5143" s="39"/>
    </row>
    <row r="5144">
      <c r="D5144" s="39"/>
      <c r="E5144" s="39"/>
      <c r="F5144" s="39"/>
    </row>
    <row r="5145">
      <c r="D5145" s="39"/>
      <c r="E5145" s="39"/>
      <c r="F5145" s="39"/>
    </row>
    <row r="5146">
      <c r="D5146" s="39"/>
      <c r="E5146" s="39"/>
      <c r="F5146" s="39"/>
    </row>
    <row r="5147">
      <c r="D5147" s="39"/>
      <c r="E5147" s="39"/>
      <c r="F5147" s="39"/>
    </row>
    <row r="5148">
      <c r="D5148" s="39"/>
      <c r="E5148" s="39"/>
      <c r="F5148" s="39"/>
    </row>
    <row r="5149">
      <c r="D5149" s="39"/>
      <c r="E5149" s="39"/>
      <c r="F5149" s="39"/>
    </row>
    <row r="5150">
      <c r="D5150" s="39"/>
      <c r="E5150" s="39"/>
      <c r="F5150" s="39"/>
    </row>
    <row r="5151">
      <c r="D5151" s="39"/>
      <c r="E5151" s="39"/>
      <c r="F5151" s="39"/>
    </row>
    <row r="5152">
      <c r="D5152" s="39"/>
      <c r="E5152" s="39"/>
      <c r="F5152" s="39"/>
    </row>
    <row r="5153">
      <c r="D5153" s="39"/>
      <c r="E5153" s="39"/>
      <c r="F5153" s="39"/>
    </row>
    <row r="5154">
      <c r="D5154" s="39"/>
      <c r="E5154" s="39"/>
      <c r="F5154" s="39"/>
    </row>
    <row r="5155">
      <c r="D5155" s="39"/>
      <c r="E5155" s="39"/>
      <c r="F5155" s="39"/>
    </row>
    <row r="5156">
      <c r="D5156" s="39"/>
      <c r="E5156" s="39"/>
      <c r="F5156" s="39"/>
    </row>
    <row r="5157">
      <c r="D5157" s="39"/>
      <c r="E5157" s="39"/>
      <c r="F5157" s="39"/>
    </row>
    <row r="5158">
      <c r="D5158" s="39"/>
      <c r="E5158" s="39"/>
      <c r="F5158" s="39"/>
    </row>
    <row r="5159">
      <c r="D5159" s="39"/>
      <c r="E5159" s="39"/>
      <c r="F5159" s="39"/>
    </row>
    <row r="5160">
      <c r="D5160" s="39"/>
      <c r="E5160" s="39"/>
      <c r="F5160" s="39"/>
    </row>
    <row r="5161">
      <c r="D5161" s="39"/>
      <c r="E5161" s="39"/>
      <c r="F5161" s="39"/>
    </row>
    <row r="5162">
      <c r="D5162" s="39"/>
      <c r="E5162" s="39"/>
      <c r="F5162" s="39"/>
    </row>
    <row r="5163">
      <c r="D5163" s="39"/>
      <c r="E5163" s="39"/>
      <c r="F5163" s="39"/>
    </row>
    <row r="5164">
      <c r="D5164" s="39"/>
      <c r="E5164" s="39"/>
      <c r="F5164" s="39"/>
    </row>
    <row r="5165">
      <c r="D5165" s="39"/>
      <c r="E5165" s="39"/>
      <c r="F5165" s="39"/>
    </row>
    <row r="5166">
      <c r="D5166" s="39"/>
      <c r="E5166" s="39"/>
      <c r="F5166" s="39"/>
    </row>
    <row r="5167">
      <c r="D5167" s="39"/>
      <c r="E5167" s="39"/>
      <c r="F5167" s="39"/>
    </row>
    <row r="5168">
      <c r="D5168" s="39"/>
      <c r="E5168" s="39"/>
      <c r="F5168" s="39"/>
    </row>
    <row r="5169">
      <c r="D5169" s="39"/>
      <c r="E5169" s="39"/>
      <c r="F5169" s="39"/>
    </row>
    <row r="5170">
      <c r="D5170" s="39"/>
      <c r="E5170" s="39"/>
      <c r="F5170" s="39"/>
    </row>
    <row r="5171">
      <c r="D5171" s="39"/>
      <c r="E5171" s="39"/>
      <c r="F5171" s="39"/>
    </row>
    <row r="5172">
      <c r="D5172" s="39"/>
      <c r="E5172" s="39"/>
      <c r="F5172" s="39"/>
    </row>
    <row r="5173">
      <c r="D5173" s="39"/>
      <c r="E5173" s="39"/>
      <c r="F5173" s="39"/>
    </row>
    <row r="5174">
      <c r="D5174" s="39"/>
      <c r="E5174" s="39"/>
      <c r="F5174" s="39"/>
    </row>
    <row r="5175">
      <c r="D5175" s="39"/>
      <c r="E5175" s="39"/>
      <c r="F5175" s="39"/>
    </row>
    <row r="5176">
      <c r="D5176" s="39"/>
      <c r="E5176" s="39"/>
      <c r="F5176" s="39"/>
    </row>
    <row r="5177">
      <c r="D5177" s="39"/>
      <c r="E5177" s="39"/>
      <c r="F5177" s="39"/>
    </row>
    <row r="5178">
      <c r="D5178" s="39"/>
      <c r="E5178" s="39"/>
      <c r="F5178" s="39"/>
    </row>
    <row r="5179">
      <c r="D5179" s="39"/>
      <c r="E5179" s="39"/>
      <c r="F5179" s="39"/>
    </row>
    <row r="5180">
      <c r="D5180" s="39"/>
      <c r="E5180" s="39"/>
      <c r="F5180" s="39"/>
    </row>
    <row r="5181">
      <c r="D5181" s="39"/>
      <c r="E5181" s="39"/>
      <c r="F5181" s="39"/>
    </row>
    <row r="5182">
      <c r="D5182" s="39"/>
      <c r="E5182" s="39"/>
      <c r="F5182" s="39"/>
    </row>
    <row r="5183">
      <c r="D5183" s="39"/>
      <c r="E5183" s="39"/>
      <c r="F5183" s="39"/>
    </row>
    <row r="5184">
      <c r="D5184" s="39"/>
      <c r="E5184" s="39"/>
      <c r="F5184" s="39"/>
    </row>
    <row r="5185">
      <c r="D5185" s="39"/>
      <c r="E5185" s="39"/>
      <c r="F5185" s="39"/>
    </row>
    <row r="5186">
      <c r="D5186" s="39"/>
      <c r="E5186" s="39"/>
      <c r="F5186" s="39"/>
    </row>
    <row r="5187">
      <c r="D5187" s="39"/>
      <c r="E5187" s="39"/>
      <c r="F5187" s="39"/>
    </row>
    <row r="5188">
      <c r="D5188" s="39"/>
      <c r="E5188" s="39"/>
      <c r="F5188" s="39"/>
    </row>
    <row r="5189">
      <c r="D5189" s="39"/>
      <c r="E5189" s="39"/>
      <c r="F5189" s="39"/>
    </row>
    <row r="5190">
      <c r="D5190" s="39"/>
      <c r="E5190" s="39"/>
      <c r="F5190" s="39"/>
    </row>
    <row r="5191">
      <c r="D5191" s="39"/>
      <c r="E5191" s="39"/>
      <c r="F5191" s="39"/>
    </row>
    <row r="5192">
      <c r="D5192" s="39"/>
      <c r="E5192" s="39"/>
      <c r="F5192" s="39"/>
    </row>
    <row r="5193">
      <c r="D5193" s="39"/>
      <c r="E5193" s="39"/>
      <c r="F5193" s="39"/>
    </row>
    <row r="5194">
      <c r="D5194" s="39"/>
      <c r="E5194" s="39"/>
      <c r="F5194" s="39"/>
    </row>
    <row r="5195">
      <c r="D5195" s="39"/>
      <c r="E5195" s="39"/>
      <c r="F5195" s="39"/>
    </row>
    <row r="5196">
      <c r="D5196" s="39"/>
      <c r="E5196" s="39"/>
      <c r="F5196" s="39"/>
    </row>
    <row r="5197">
      <c r="D5197" s="39"/>
      <c r="E5197" s="39"/>
      <c r="F5197" s="39"/>
    </row>
    <row r="5198">
      <c r="D5198" s="39"/>
      <c r="E5198" s="39"/>
      <c r="F5198" s="39"/>
    </row>
    <row r="5199">
      <c r="D5199" s="39"/>
      <c r="E5199" s="39"/>
      <c r="F5199" s="39"/>
    </row>
    <row r="5200">
      <c r="D5200" s="39"/>
      <c r="E5200" s="39"/>
      <c r="F5200" s="39"/>
    </row>
    <row r="5201">
      <c r="D5201" s="39"/>
      <c r="E5201" s="39"/>
      <c r="F5201" s="39"/>
    </row>
    <row r="5202">
      <c r="D5202" s="39"/>
      <c r="E5202" s="39"/>
      <c r="F5202" s="39"/>
    </row>
    <row r="5203">
      <c r="D5203" s="39"/>
      <c r="E5203" s="39"/>
      <c r="F5203" s="39"/>
    </row>
    <row r="5204">
      <c r="D5204" s="39"/>
      <c r="E5204" s="39"/>
      <c r="F5204" s="39"/>
    </row>
    <row r="5205">
      <c r="D5205" s="39"/>
      <c r="E5205" s="39"/>
      <c r="F5205" s="39"/>
    </row>
    <row r="5206">
      <c r="D5206" s="39"/>
      <c r="E5206" s="39"/>
      <c r="F5206" s="39"/>
    </row>
    <row r="5207">
      <c r="D5207" s="39"/>
      <c r="E5207" s="39"/>
      <c r="F5207" s="39"/>
    </row>
    <row r="5208">
      <c r="D5208" s="39"/>
      <c r="E5208" s="39"/>
      <c r="F5208" s="39"/>
    </row>
    <row r="5209">
      <c r="D5209" s="39"/>
      <c r="E5209" s="39"/>
      <c r="F5209" s="39"/>
    </row>
    <row r="5210">
      <c r="D5210" s="39"/>
      <c r="E5210" s="39"/>
      <c r="F5210" s="39"/>
    </row>
    <row r="5211">
      <c r="D5211" s="39"/>
      <c r="E5211" s="39"/>
      <c r="F5211" s="39"/>
    </row>
    <row r="5212">
      <c r="D5212" s="39"/>
      <c r="E5212" s="39"/>
      <c r="F5212" s="39"/>
    </row>
    <row r="5213">
      <c r="D5213" s="39"/>
      <c r="E5213" s="39"/>
      <c r="F5213" s="39"/>
    </row>
    <row r="5214">
      <c r="D5214" s="39"/>
      <c r="E5214" s="39"/>
      <c r="F5214" s="39"/>
    </row>
    <row r="5215">
      <c r="D5215" s="39"/>
      <c r="E5215" s="39"/>
      <c r="F5215" s="39"/>
    </row>
    <row r="5216">
      <c r="D5216" s="39"/>
      <c r="E5216" s="39"/>
      <c r="F5216" s="39"/>
    </row>
    <row r="5217">
      <c r="D5217" s="39"/>
      <c r="E5217" s="39"/>
      <c r="F5217" s="39"/>
    </row>
    <row r="5218">
      <c r="D5218" s="39"/>
      <c r="E5218" s="39"/>
      <c r="F5218" s="39"/>
    </row>
    <row r="5219">
      <c r="D5219" s="39"/>
      <c r="E5219" s="39"/>
      <c r="F5219" s="39"/>
    </row>
    <row r="5220">
      <c r="D5220" s="39"/>
      <c r="E5220" s="39"/>
      <c r="F5220" s="39"/>
    </row>
    <row r="5221">
      <c r="D5221" s="39"/>
      <c r="E5221" s="39"/>
      <c r="F5221" s="39"/>
    </row>
    <row r="5222">
      <c r="D5222" s="39"/>
      <c r="E5222" s="39"/>
      <c r="F5222" s="39"/>
    </row>
    <row r="5223">
      <c r="D5223" s="39"/>
      <c r="E5223" s="39"/>
      <c r="F5223" s="39"/>
    </row>
    <row r="5224">
      <c r="D5224" s="39"/>
      <c r="E5224" s="39"/>
      <c r="F5224" s="39"/>
    </row>
    <row r="5225">
      <c r="D5225" s="39"/>
      <c r="E5225" s="39"/>
      <c r="F5225" s="39"/>
    </row>
    <row r="5226">
      <c r="D5226" s="39"/>
      <c r="E5226" s="39"/>
      <c r="F5226" s="39"/>
    </row>
    <row r="5227">
      <c r="D5227" s="39"/>
      <c r="E5227" s="39"/>
      <c r="F5227" s="39"/>
    </row>
    <row r="5228">
      <c r="D5228" s="39"/>
      <c r="E5228" s="39"/>
      <c r="F5228" s="39"/>
    </row>
    <row r="5229">
      <c r="D5229" s="39"/>
      <c r="E5229" s="39"/>
      <c r="F5229" s="39"/>
    </row>
    <row r="5230">
      <c r="D5230" s="39"/>
      <c r="E5230" s="39"/>
      <c r="F5230" s="39"/>
    </row>
    <row r="5231">
      <c r="D5231" s="39"/>
      <c r="E5231" s="39"/>
      <c r="F5231" s="39"/>
    </row>
    <row r="5232">
      <c r="D5232" s="39"/>
      <c r="E5232" s="39"/>
      <c r="F5232" s="39"/>
    </row>
    <row r="5233">
      <c r="D5233" s="39"/>
      <c r="E5233" s="39"/>
      <c r="F5233" s="39"/>
    </row>
    <row r="5234">
      <c r="D5234" s="39"/>
      <c r="E5234" s="39"/>
      <c r="F5234" s="39"/>
    </row>
    <row r="5235">
      <c r="D5235" s="39"/>
      <c r="E5235" s="39"/>
      <c r="F5235" s="39"/>
    </row>
    <row r="5236">
      <c r="D5236" s="39"/>
      <c r="E5236" s="39"/>
      <c r="F5236" s="39"/>
    </row>
    <row r="5237">
      <c r="D5237" s="39"/>
      <c r="E5237" s="39"/>
      <c r="F5237" s="39"/>
    </row>
    <row r="5238">
      <c r="D5238" s="39"/>
      <c r="E5238" s="39"/>
      <c r="F5238" s="39"/>
    </row>
    <row r="5239">
      <c r="D5239" s="39"/>
      <c r="E5239" s="39"/>
      <c r="F5239" s="39"/>
    </row>
    <row r="5240">
      <c r="D5240" s="39"/>
      <c r="E5240" s="39"/>
      <c r="F5240" s="39"/>
    </row>
    <row r="5241">
      <c r="D5241" s="39"/>
      <c r="E5241" s="39"/>
      <c r="F5241" s="39"/>
    </row>
    <row r="5242">
      <c r="D5242" s="39"/>
      <c r="E5242" s="39"/>
      <c r="F5242" s="39"/>
    </row>
    <row r="5243">
      <c r="D5243" s="39"/>
      <c r="E5243" s="39"/>
      <c r="F5243" s="39"/>
    </row>
    <row r="5244">
      <c r="D5244" s="39"/>
      <c r="E5244" s="39"/>
      <c r="F5244" s="39"/>
    </row>
    <row r="5245">
      <c r="D5245" s="39"/>
      <c r="E5245" s="39"/>
      <c r="F5245" s="39"/>
    </row>
    <row r="5246">
      <c r="D5246" s="39"/>
      <c r="E5246" s="39"/>
      <c r="F5246" s="39"/>
    </row>
    <row r="5247">
      <c r="D5247" s="39"/>
      <c r="E5247" s="39"/>
      <c r="F5247" s="39"/>
    </row>
    <row r="5248">
      <c r="D5248" s="39"/>
      <c r="E5248" s="39"/>
      <c r="F5248" s="39"/>
    </row>
    <row r="5249">
      <c r="D5249" s="39"/>
      <c r="E5249" s="39"/>
      <c r="F5249" s="39"/>
    </row>
    <row r="5250">
      <c r="D5250" s="39"/>
      <c r="E5250" s="39"/>
      <c r="F5250" s="39"/>
    </row>
    <row r="5251">
      <c r="D5251" s="39"/>
      <c r="E5251" s="39"/>
      <c r="F5251" s="39"/>
    </row>
    <row r="5252">
      <c r="D5252" s="39"/>
      <c r="E5252" s="39"/>
      <c r="F5252" s="39"/>
    </row>
    <row r="5253">
      <c r="D5253" s="39"/>
      <c r="E5253" s="39"/>
      <c r="F5253" s="39"/>
    </row>
    <row r="5254">
      <c r="D5254" s="39"/>
      <c r="E5254" s="39"/>
      <c r="F5254" s="39"/>
    </row>
    <row r="5255">
      <c r="D5255" s="39"/>
      <c r="E5255" s="39"/>
      <c r="F5255" s="39"/>
    </row>
    <row r="5256">
      <c r="D5256" s="39"/>
      <c r="E5256" s="39"/>
      <c r="F5256" s="39"/>
    </row>
    <row r="5257">
      <c r="D5257" s="39"/>
      <c r="E5257" s="39"/>
      <c r="F5257" s="39"/>
    </row>
    <row r="5258">
      <c r="D5258" s="39"/>
      <c r="E5258" s="39"/>
      <c r="F5258" s="39"/>
    </row>
    <row r="5259">
      <c r="D5259" s="39"/>
      <c r="E5259" s="39"/>
      <c r="F5259" s="39"/>
    </row>
    <row r="5260">
      <c r="D5260" s="39"/>
      <c r="E5260" s="39"/>
      <c r="F5260" s="39"/>
    </row>
    <row r="5261">
      <c r="D5261" s="39"/>
      <c r="E5261" s="39"/>
      <c r="F5261" s="39"/>
    </row>
    <row r="5262">
      <c r="D5262" s="39"/>
      <c r="E5262" s="39"/>
      <c r="F5262" s="39"/>
    </row>
    <row r="5263">
      <c r="D5263" s="39"/>
      <c r="E5263" s="39"/>
      <c r="F5263" s="39"/>
    </row>
    <row r="5264">
      <c r="D5264" s="39"/>
      <c r="E5264" s="39"/>
      <c r="F5264" s="39"/>
    </row>
    <row r="5265">
      <c r="D5265" s="39"/>
      <c r="E5265" s="39"/>
      <c r="F5265" s="39"/>
    </row>
    <row r="5266">
      <c r="D5266" s="39"/>
      <c r="E5266" s="39"/>
      <c r="F5266" s="39"/>
    </row>
    <row r="5267">
      <c r="D5267" s="39"/>
      <c r="E5267" s="39"/>
      <c r="F5267" s="39"/>
    </row>
    <row r="5268">
      <c r="D5268" s="39"/>
      <c r="E5268" s="39"/>
      <c r="F5268" s="39"/>
    </row>
    <row r="5269">
      <c r="D5269" s="39"/>
      <c r="E5269" s="39"/>
      <c r="F5269" s="39"/>
    </row>
    <row r="5270">
      <c r="D5270" s="39"/>
      <c r="E5270" s="39"/>
      <c r="F5270" s="39"/>
    </row>
    <row r="5271">
      <c r="D5271" s="39"/>
      <c r="E5271" s="39"/>
      <c r="F5271" s="39"/>
    </row>
    <row r="5272">
      <c r="D5272" s="39"/>
      <c r="E5272" s="39"/>
      <c r="F5272" s="39"/>
    </row>
    <row r="5273">
      <c r="D5273" s="39"/>
      <c r="E5273" s="39"/>
      <c r="F5273" s="39"/>
    </row>
    <row r="5274">
      <c r="D5274" s="39"/>
      <c r="E5274" s="39"/>
      <c r="F5274" s="39"/>
    </row>
    <row r="5275">
      <c r="D5275" s="39"/>
      <c r="E5275" s="39"/>
      <c r="F5275" s="39"/>
    </row>
    <row r="5276">
      <c r="D5276" s="39"/>
      <c r="E5276" s="39"/>
      <c r="F5276" s="39"/>
    </row>
    <row r="5277">
      <c r="D5277" s="39"/>
      <c r="E5277" s="39"/>
      <c r="F5277" s="39"/>
    </row>
    <row r="5278">
      <c r="D5278" s="39"/>
      <c r="E5278" s="39"/>
      <c r="F5278" s="39"/>
    </row>
    <row r="5279">
      <c r="D5279" s="39"/>
      <c r="E5279" s="39"/>
      <c r="F5279" s="39"/>
    </row>
    <row r="5280">
      <c r="D5280" s="39"/>
      <c r="E5280" s="39"/>
      <c r="F5280" s="39"/>
    </row>
    <row r="5281">
      <c r="D5281" s="39"/>
      <c r="E5281" s="39"/>
      <c r="F5281" s="39"/>
    </row>
    <row r="5282">
      <c r="D5282" s="39"/>
      <c r="E5282" s="39"/>
      <c r="F5282" s="39"/>
    </row>
    <row r="5283">
      <c r="D5283" s="39"/>
      <c r="E5283" s="39"/>
      <c r="F5283" s="39"/>
    </row>
    <row r="5284">
      <c r="D5284" s="39"/>
      <c r="E5284" s="39"/>
      <c r="F5284" s="39"/>
    </row>
    <row r="5285">
      <c r="D5285" s="39"/>
      <c r="E5285" s="39"/>
      <c r="F5285" s="39"/>
    </row>
    <row r="5286">
      <c r="D5286" s="39"/>
      <c r="E5286" s="39"/>
      <c r="F5286" s="39"/>
    </row>
    <row r="5287">
      <c r="D5287" s="39"/>
      <c r="E5287" s="39"/>
      <c r="F5287" s="39"/>
    </row>
    <row r="5288">
      <c r="D5288" s="39"/>
      <c r="E5288" s="39"/>
      <c r="F5288" s="39"/>
    </row>
    <row r="5289">
      <c r="D5289" s="39"/>
      <c r="E5289" s="39"/>
      <c r="F5289" s="39"/>
    </row>
    <row r="5290">
      <c r="D5290" s="39"/>
      <c r="E5290" s="39"/>
      <c r="F5290" s="39"/>
    </row>
    <row r="5291">
      <c r="D5291" s="39"/>
      <c r="E5291" s="39"/>
      <c r="F5291" s="39"/>
    </row>
    <row r="5292">
      <c r="D5292" s="39"/>
      <c r="E5292" s="39"/>
      <c r="F5292" s="39"/>
    </row>
    <row r="5293">
      <c r="D5293" s="39"/>
      <c r="E5293" s="39"/>
      <c r="F5293" s="39"/>
    </row>
    <row r="5294">
      <c r="D5294" s="39"/>
      <c r="E5294" s="39"/>
      <c r="F5294" s="39"/>
    </row>
    <row r="5295">
      <c r="D5295" s="39"/>
      <c r="E5295" s="39"/>
      <c r="F5295" s="39"/>
    </row>
    <row r="5296">
      <c r="D5296" s="39"/>
      <c r="E5296" s="39"/>
      <c r="F5296" s="39"/>
    </row>
    <row r="5297">
      <c r="D5297" s="39"/>
      <c r="E5297" s="39"/>
      <c r="F5297" s="39"/>
    </row>
    <row r="5298">
      <c r="D5298" s="39"/>
      <c r="E5298" s="39"/>
      <c r="F5298" s="39"/>
    </row>
    <row r="5299">
      <c r="D5299" s="39"/>
      <c r="E5299" s="39"/>
      <c r="F5299" s="39"/>
    </row>
    <row r="5300">
      <c r="D5300" s="39"/>
      <c r="E5300" s="39"/>
      <c r="F5300" s="39"/>
    </row>
    <row r="5301">
      <c r="D5301" s="39"/>
      <c r="E5301" s="39"/>
      <c r="F5301" s="39"/>
    </row>
    <row r="5302">
      <c r="D5302" s="39"/>
      <c r="E5302" s="39"/>
      <c r="F5302" s="39"/>
    </row>
    <row r="5303">
      <c r="D5303" s="39"/>
      <c r="E5303" s="39"/>
      <c r="F5303" s="39"/>
    </row>
    <row r="5304">
      <c r="D5304" s="39"/>
      <c r="E5304" s="39"/>
      <c r="F5304" s="39"/>
    </row>
    <row r="5305">
      <c r="D5305" s="39"/>
      <c r="E5305" s="39"/>
      <c r="F5305" s="39"/>
    </row>
    <row r="5306">
      <c r="D5306" s="39"/>
      <c r="E5306" s="39"/>
      <c r="F5306" s="39"/>
    </row>
    <row r="5307">
      <c r="D5307" s="39"/>
      <c r="E5307" s="39"/>
      <c r="F5307" s="39"/>
    </row>
    <row r="5308">
      <c r="D5308" s="39"/>
      <c r="E5308" s="39"/>
      <c r="F5308" s="39"/>
    </row>
    <row r="5309">
      <c r="D5309" s="39"/>
      <c r="E5309" s="39"/>
      <c r="F5309" s="39"/>
    </row>
    <row r="5310">
      <c r="D5310" s="39"/>
      <c r="E5310" s="39"/>
      <c r="F5310" s="39"/>
    </row>
    <row r="5311">
      <c r="D5311" s="39"/>
      <c r="E5311" s="39"/>
      <c r="F5311" s="39"/>
    </row>
    <row r="5312">
      <c r="D5312" s="39"/>
      <c r="E5312" s="39"/>
      <c r="F5312" s="39"/>
    </row>
    <row r="5313">
      <c r="D5313" s="39"/>
      <c r="E5313" s="39"/>
      <c r="F5313" s="39"/>
    </row>
    <row r="5314">
      <c r="D5314" s="39"/>
      <c r="E5314" s="39"/>
      <c r="F5314" s="39"/>
    </row>
    <row r="5315">
      <c r="D5315" s="39"/>
      <c r="E5315" s="39"/>
      <c r="F5315" s="39"/>
    </row>
    <row r="5316">
      <c r="D5316" s="39"/>
      <c r="E5316" s="39"/>
      <c r="F5316" s="39"/>
    </row>
    <row r="5317">
      <c r="D5317" s="39"/>
      <c r="E5317" s="39"/>
      <c r="F5317" s="39"/>
    </row>
    <row r="5318">
      <c r="D5318" s="39"/>
      <c r="E5318" s="39"/>
      <c r="F5318" s="39"/>
    </row>
    <row r="5319">
      <c r="D5319" s="39"/>
      <c r="E5319" s="39"/>
      <c r="F5319" s="39"/>
    </row>
    <row r="5320">
      <c r="D5320" s="39"/>
      <c r="E5320" s="39"/>
      <c r="F5320" s="39"/>
    </row>
    <row r="5321">
      <c r="D5321" s="39"/>
      <c r="E5321" s="39"/>
      <c r="F5321" s="39"/>
    </row>
    <row r="5322">
      <c r="D5322" s="39"/>
      <c r="E5322" s="39"/>
      <c r="F5322" s="39"/>
    </row>
    <row r="5323">
      <c r="D5323" s="39"/>
      <c r="E5323" s="39"/>
      <c r="F5323" s="39"/>
    </row>
    <row r="5324">
      <c r="D5324" s="39"/>
      <c r="E5324" s="39"/>
      <c r="F5324" s="39"/>
    </row>
    <row r="5325">
      <c r="D5325" s="39"/>
      <c r="E5325" s="39"/>
      <c r="F5325" s="39"/>
    </row>
    <row r="5326">
      <c r="D5326" s="39"/>
      <c r="E5326" s="39"/>
      <c r="F5326" s="39"/>
    </row>
    <row r="5327">
      <c r="D5327" s="39"/>
      <c r="E5327" s="39"/>
      <c r="F5327" s="39"/>
    </row>
    <row r="5328">
      <c r="D5328" s="39"/>
      <c r="E5328" s="39"/>
      <c r="F5328" s="39"/>
    </row>
    <row r="5329">
      <c r="D5329" s="39"/>
      <c r="E5329" s="39"/>
      <c r="F5329" s="39"/>
    </row>
    <row r="5330">
      <c r="D5330" s="39"/>
      <c r="E5330" s="39"/>
      <c r="F5330" s="39"/>
    </row>
    <row r="5331">
      <c r="D5331" s="39"/>
      <c r="E5331" s="39"/>
      <c r="F5331" s="39"/>
    </row>
    <row r="5332">
      <c r="D5332" s="39"/>
      <c r="E5332" s="39"/>
      <c r="F5332" s="39"/>
    </row>
    <row r="5333">
      <c r="D5333" s="39"/>
      <c r="E5333" s="39"/>
      <c r="F5333" s="39"/>
    </row>
    <row r="5334">
      <c r="D5334" s="39"/>
      <c r="E5334" s="39"/>
      <c r="F5334" s="39"/>
    </row>
    <row r="5335">
      <c r="D5335" s="39"/>
      <c r="E5335" s="39"/>
      <c r="F5335" s="39"/>
    </row>
    <row r="5336">
      <c r="D5336" s="39"/>
      <c r="E5336" s="39"/>
      <c r="F5336" s="39"/>
    </row>
    <row r="5337">
      <c r="D5337" s="39"/>
      <c r="E5337" s="39"/>
      <c r="F5337" s="39"/>
    </row>
    <row r="5338">
      <c r="D5338" s="39"/>
      <c r="E5338" s="39"/>
      <c r="F5338" s="39"/>
    </row>
    <row r="5339">
      <c r="D5339" s="39"/>
      <c r="E5339" s="39"/>
      <c r="F5339" s="39"/>
    </row>
    <row r="5340">
      <c r="D5340" s="39"/>
      <c r="E5340" s="39"/>
      <c r="F5340" s="39"/>
    </row>
    <row r="5341">
      <c r="D5341" s="39"/>
      <c r="E5341" s="39"/>
      <c r="F5341" s="39"/>
    </row>
    <row r="5342">
      <c r="D5342" s="39"/>
      <c r="E5342" s="39"/>
      <c r="F5342" s="39"/>
    </row>
    <row r="5343">
      <c r="D5343" s="39"/>
      <c r="E5343" s="39"/>
      <c r="F5343" s="39"/>
    </row>
    <row r="5344">
      <c r="D5344" s="39"/>
      <c r="E5344" s="39"/>
      <c r="F5344" s="39"/>
    </row>
    <row r="5345">
      <c r="D5345" s="39"/>
      <c r="E5345" s="39"/>
      <c r="F5345" s="39"/>
    </row>
    <row r="5346">
      <c r="D5346" s="39"/>
      <c r="E5346" s="39"/>
      <c r="F5346" s="39"/>
    </row>
    <row r="5347">
      <c r="D5347" s="39"/>
      <c r="E5347" s="39"/>
      <c r="F5347" s="39"/>
    </row>
    <row r="5348">
      <c r="D5348" s="39"/>
      <c r="E5348" s="39"/>
      <c r="F5348" s="39"/>
    </row>
    <row r="5349">
      <c r="D5349" s="39"/>
      <c r="E5349" s="39"/>
      <c r="F5349" s="39"/>
    </row>
    <row r="5350">
      <c r="D5350" s="39"/>
      <c r="E5350" s="39"/>
      <c r="F5350" s="39"/>
    </row>
    <row r="5351">
      <c r="D5351" s="39"/>
      <c r="E5351" s="39"/>
      <c r="F5351" s="39"/>
    </row>
    <row r="5352">
      <c r="D5352" s="39"/>
      <c r="E5352" s="39"/>
      <c r="F5352" s="39"/>
    </row>
    <row r="5353">
      <c r="D5353" s="39"/>
      <c r="E5353" s="39"/>
      <c r="F5353" s="39"/>
    </row>
    <row r="5354">
      <c r="D5354" s="39"/>
      <c r="E5354" s="39"/>
      <c r="F5354" s="39"/>
    </row>
    <row r="5355">
      <c r="D5355" s="39"/>
      <c r="E5355" s="39"/>
      <c r="F5355" s="39"/>
    </row>
    <row r="5356">
      <c r="D5356" s="39"/>
      <c r="E5356" s="39"/>
      <c r="F5356" s="39"/>
    </row>
    <row r="5357">
      <c r="D5357" s="39"/>
      <c r="E5357" s="39"/>
      <c r="F5357" s="39"/>
    </row>
    <row r="5358">
      <c r="D5358" s="39"/>
      <c r="E5358" s="39"/>
      <c r="F5358" s="39"/>
    </row>
    <row r="5359">
      <c r="D5359" s="39"/>
      <c r="E5359" s="39"/>
      <c r="F5359" s="39"/>
    </row>
    <row r="5360">
      <c r="D5360" s="39"/>
      <c r="E5360" s="39"/>
      <c r="F5360" s="39"/>
    </row>
    <row r="5361">
      <c r="D5361" s="39"/>
      <c r="E5361" s="39"/>
      <c r="F5361" s="39"/>
    </row>
    <row r="5362">
      <c r="D5362" s="39"/>
      <c r="E5362" s="39"/>
      <c r="F5362" s="39"/>
    </row>
    <row r="5363">
      <c r="D5363" s="39"/>
      <c r="E5363" s="39"/>
      <c r="F5363" s="39"/>
    </row>
    <row r="5364">
      <c r="D5364" s="39"/>
      <c r="E5364" s="39"/>
      <c r="F5364" s="39"/>
    </row>
    <row r="5365">
      <c r="D5365" s="39"/>
      <c r="E5365" s="39"/>
      <c r="F5365" s="39"/>
    </row>
    <row r="5366">
      <c r="D5366" s="39"/>
      <c r="E5366" s="39"/>
      <c r="F5366" s="39"/>
    </row>
    <row r="5367">
      <c r="D5367" s="39"/>
      <c r="E5367" s="39"/>
      <c r="F5367" s="39"/>
    </row>
    <row r="5368">
      <c r="D5368" s="39"/>
      <c r="E5368" s="39"/>
      <c r="F5368" s="39"/>
    </row>
    <row r="5369">
      <c r="D5369" s="39"/>
      <c r="E5369" s="39"/>
      <c r="F5369" s="39"/>
    </row>
    <row r="5370">
      <c r="D5370" s="39"/>
      <c r="E5370" s="39"/>
      <c r="F5370" s="39"/>
    </row>
    <row r="5371">
      <c r="D5371" s="39"/>
      <c r="E5371" s="39"/>
      <c r="F5371" s="39"/>
    </row>
    <row r="5372">
      <c r="D5372" s="39"/>
      <c r="E5372" s="39"/>
      <c r="F5372" s="39"/>
    </row>
    <row r="5373">
      <c r="D5373" s="39"/>
      <c r="E5373" s="39"/>
      <c r="F5373" s="39"/>
    </row>
    <row r="5374">
      <c r="D5374" s="39"/>
      <c r="E5374" s="39"/>
      <c r="F5374" s="39"/>
    </row>
    <row r="5375">
      <c r="D5375" s="39"/>
      <c r="E5375" s="39"/>
      <c r="F5375" s="39"/>
    </row>
    <row r="5376">
      <c r="D5376" s="39"/>
      <c r="E5376" s="39"/>
      <c r="F5376" s="39"/>
    </row>
    <row r="5377">
      <c r="D5377" s="39"/>
      <c r="E5377" s="39"/>
      <c r="F5377" s="39"/>
    </row>
    <row r="5378">
      <c r="D5378" s="39"/>
      <c r="E5378" s="39"/>
      <c r="F5378" s="39"/>
    </row>
    <row r="5379">
      <c r="D5379" s="39"/>
      <c r="E5379" s="39"/>
      <c r="F5379" s="39"/>
    </row>
    <row r="5380">
      <c r="D5380" s="39"/>
      <c r="E5380" s="39"/>
      <c r="F5380" s="39"/>
    </row>
    <row r="5381">
      <c r="D5381" s="39"/>
      <c r="E5381" s="39"/>
      <c r="F5381" s="39"/>
    </row>
    <row r="5382">
      <c r="D5382" s="39"/>
      <c r="E5382" s="39"/>
      <c r="F5382" s="39"/>
    </row>
    <row r="5383">
      <c r="D5383" s="39"/>
      <c r="E5383" s="39"/>
      <c r="F5383" s="39"/>
    </row>
    <row r="5384">
      <c r="D5384" s="39"/>
      <c r="E5384" s="39"/>
      <c r="F5384" s="39"/>
    </row>
    <row r="5385">
      <c r="D5385" s="39"/>
      <c r="E5385" s="39"/>
      <c r="F5385" s="39"/>
    </row>
    <row r="5386">
      <c r="D5386" s="39"/>
      <c r="E5386" s="39"/>
      <c r="F5386" s="39"/>
    </row>
    <row r="5387">
      <c r="D5387" s="39"/>
      <c r="E5387" s="39"/>
      <c r="F5387" s="39"/>
    </row>
    <row r="5388">
      <c r="D5388" s="39"/>
      <c r="E5388" s="39"/>
      <c r="F5388" s="39"/>
    </row>
    <row r="5389">
      <c r="D5389" s="39"/>
      <c r="E5389" s="39"/>
      <c r="F5389" s="39"/>
    </row>
    <row r="5390">
      <c r="D5390" s="39"/>
      <c r="E5390" s="39"/>
      <c r="F5390" s="39"/>
    </row>
    <row r="5391">
      <c r="D5391" s="39"/>
      <c r="E5391" s="39"/>
      <c r="F5391" s="39"/>
    </row>
    <row r="5392">
      <c r="D5392" s="39"/>
      <c r="E5392" s="39"/>
      <c r="F5392" s="39"/>
    </row>
    <row r="5393">
      <c r="D5393" s="39"/>
      <c r="E5393" s="39"/>
      <c r="F5393" s="39"/>
    </row>
    <row r="5394">
      <c r="D5394" s="39"/>
      <c r="E5394" s="39"/>
      <c r="F5394" s="39"/>
    </row>
    <row r="5395">
      <c r="D5395" s="39"/>
      <c r="E5395" s="39"/>
      <c r="F5395" s="39"/>
    </row>
    <row r="5396">
      <c r="D5396" s="39"/>
      <c r="E5396" s="39"/>
      <c r="F5396" s="39"/>
    </row>
    <row r="5397">
      <c r="D5397" s="39"/>
      <c r="E5397" s="39"/>
      <c r="F5397" s="39"/>
    </row>
    <row r="5398">
      <c r="D5398" s="39"/>
      <c r="E5398" s="39"/>
      <c r="F5398" s="39"/>
    </row>
    <row r="5399">
      <c r="D5399" s="39"/>
      <c r="E5399" s="39"/>
      <c r="F5399" s="39"/>
    </row>
    <row r="5400">
      <c r="D5400" s="39"/>
      <c r="E5400" s="39"/>
      <c r="F5400" s="39"/>
    </row>
    <row r="5401">
      <c r="D5401" s="39"/>
      <c r="E5401" s="39"/>
      <c r="F5401" s="39"/>
    </row>
    <row r="5402">
      <c r="D5402" s="39"/>
      <c r="E5402" s="39"/>
      <c r="F5402" s="39"/>
    </row>
    <row r="5403">
      <c r="D5403" s="39"/>
      <c r="E5403" s="39"/>
      <c r="F5403" s="39"/>
    </row>
    <row r="5404">
      <c r="D5404" s="39"/>
      <c r="E5404" s="39"/>
      <c r="F5404" s="39"/>
    </row>
    <row r="5405">
      <c r="D5405" s="39"/>
      <c r="E5405" s="39"/>
      <c r="F5405" s="39"/>
    </row>
    <row r="5406">
      <c r="D5406" s="39"/>
      <c r="E5406" s="39"/>
      <c r="F5406" s="39"/>
    </row>
    <row r="5407">
      <c r="D5407" s="39"/>
      <c r="E5407" s="39"/>
      <c r="F5407" s="39"/>
    </row>
    <row r="5408">
      <c r="D5408" s="39"/>
      <c r="E5408" s="39"/>
      <c r="F5408" s="39"/>
    </row>
    <row r="5409">
      <c r="D5409" s="39"/>
      <c r="E5409" s="39"/>
      <c r="F5409" s="39"/>
    </row>
    <row r="5410">
      <c r="D5410" s="39"/>
      <c r="E5410" s="39"/>
      <c r="F5410" s="39"/>
    </row>
    <row r="5411">
      <c r="D5411" s="39"/>
      <c r="E5411" s="39"/>
      <c r="F5411" s="39"/>
    </row>
    <row r="5412">
      <c r="D5412" s="39"/>
      <c r="E5412" s="39"/>
      <c r="F5412" s="39"/>
    </row>
    <row r="5413">
      <c r="D5413" s="39"/>
      <c r="E5413" s="39"/>
      <c r="F5413" s="39"/>
    </row>
    <row r="5414">
      <c r="D5414" s="39"/>
      <c r="E5414" s="39"/>
      <c r="F5414" s="39"/>
    </row>
    <row r="5415">
      <c r="D5415" s="39"/>
      <c r="E5415" s="39"/>
      <c r="F5415" s="39"/>
    </row>
    <row r="5416">
      <c r="D5416" s="39"/>
      <c r="E5416" s="39"/>
      <c r="F5416" s="39"/>
    </row>
    <row r="5417">
      <c r="D5417" s="39"/>
      <c r="E5417" s="39"/>
      <c r="F5417" s="39"/>
    </row>
    <row r="5418">
      <c r="D5418" s="39"/>
      <c r="E5418" s="39"/>
      <c r="F5418" s="39"/>
    </row>
    <row r="5419">
      <c r="D5419" s="39"/>
      <c r="E5419" s="39"/>
      <c r="F5419" s="39"/>
    </row>
    <row r="5420">
      <c r="D5420" s="39"/>
      <c r="E5420" s="39"/>
      <c r="F5420" s="39"/>
    </row>
    <row r="5421">
      <c r="D5421" s="39"/>
      <c r="E5421" s="39"/>
      <c r="F5421" s="39"/>
    </row>
    <row r="5422">
      <c r="D5422" s="39"/>
      <c r="E5422" s="39"/>
      <c r="F5422" s="39"/>
    </row>
    <row r="5423">
      <c r="D5423" s="39"/>
      <c r="E5423" s="39"/>
      <c r="F5423" s="39"/>
    </row>
    <row r="5424">
      <c r="D5424" s="39"/>
      <c r="E5424" s="39"/>
      <c r="F5424" s="39"/>
    </row>
    <row r="5425">
      <c r="D5425" s="39"/>
      <c r="E5425" s="39"/>
      <c r="F5425" s="39"/>
    </row>
    <row r="5426">
      <c r="D5426" s="39"/>
      <c r="E5426" s="39"/>
      <c r="F5426" s="39"/>
    </row>
    <row r="5427">
      <c r="D5427" s="39"/>
      <c r="E5427" s="39"/>
      <c r="F5427" s="39"/>
    </row>
    <row r="5428">
      <c r="D5428" s="39"/>
      <c r="E5428" s="39"/>
      <c r="F5428" s="39"/>
    </row>
    <row r="5429">
      <c r="D5429" s="39"/>
      <c r="E5429" s="39"/>
      <c r="F5429" s="39"/>
    </row>
    <row r="5430">
      <c r="D5430" s="39"/>
      <c r="E5430" s="39"/>
      <c r="F5430" s="39"/>
    </row>
    <row r="5431">
      <c r="D5431" s="39"/>
      <c r="E5431" s="39"/>
      <c r="F5431" s="39"/>
    </row>
    <row r="5432">
      <c r="D5432" s="39"/>
      <c r="E5432" s="39"/>
      <c r="F5432" s="39"/>
    </row>
    <row r="5433">
      <c r="D5433" s="39"/>
      <c r="E5433" s="39"/>
      <c r="F5433" s="39"/>
    </row>
    <row r="5434">
      <c r="D5434" s="39"/>
      <c r="E5434" s="39"/>
      <c r="F5434" s="39"/>
    </row>
    <row r="5435">
      <c r="D5435" s="39"/>
      <c r="E5435" s="39"/>
      <c r="F5435" s="39"/>
    </row>
    <row r="5436">
      <c r="D5436" s="39"/>
      <c r="E5436" s="39"/>
      <c r="F5436" s="39"/>
    </row>
    <row r="5437">
      <c r="D5437" s="39"/>
      <c r="E5437" s="39"/>
      <c r="F5437" s="39"/>
    </row>
    <row r="5438">
      <c r="D5438" s="39"/>
      <c r="E5438" s="39"/>
      <c r="F5438" s="39"/>
    </row>
    <row r="5439">
      <c r="D5439" s="39"/>
      <c r="E5439" s="39"/>
      <c r="F5439" s="39"/>
    </row>
    <row r="5440">
      <c r="D5440" s="39"/>
      <c r="E5440" s="39"/>
      <c r="F5440" s="39"/>
    </row>
    <row r="5441">
      <c r="D5441" s="39"/>
      <c r="E5441" s="39"/>
      <c r="F5441" s="39"/>
    </row>
    <row r="5442">
      <c r="D5442" s="39"/>
      <c r="E5442" s="39"/>
      <c r="F5442" s="39"/>
    </row>
    <row r="5443">
      <c r="D5443" s="39"/>
      <c r="E5443" s="39"/>
      <c r="F5443" s="39"/>
    </row>
    <row r="5444">
      <c r="D5444" s="39"/>
      <c r="E5444" s="39"/>
      <c r="F5444" s="39"/>
    </row>
    <row r="5445">
      <c r="D5445" s="39"/>
      <c r="E5445" s="39"/>
      <c r="F5445" s="39"/>
    </row>
    <row r="5446">
      <c r="D5446" s="39"/>
      <c r="E5446" s="39"/>
      <c r="F5446" s="39"/>
    </row>
    <row r="5447">
      <c r="D5447" s="39"/>
      <c r="E5447" s="39"/>
      <c r="F5447" s="39"/>
    </row>
    <row r="5448">
      <c r="D5448" s="39"/>
      <c r="E5448" s="39"/>
      <c r="F5448" s="39"/>
    </row>
    <row r="5449">
      <c r="D5449" s="39"/>
      <c r="E5449" s="39"/>
      <c r="F5449" s="39"/>
    </row>
    <row r="5450">
      <c r="D5450" s="39"/>
      <c r="E5450" s="39"/>
      <c r="F5450" s="39"/>
    </row>
    <row r="5451">
      <c r="D5451" s="39"/>
      <c r="E5451" s="39"/>
      <c r="F5451" s="39"/>
    </row>
    <row r="5452">
      <c r="D5452" s="39"/>
      <c r="E5452" s="39"/>
      <c r="F5452" s="39"/>
    </row>
    <row r="5453">
      <c r="D5453" s="39"/>
      <c r="E5453" s="39"/>
      <c r="F5453" s="39"/>
    </row>
    <row r="5454">
      <c r="D5454" s="39"/>
      <c r="E5454" s="39"/>
      <c r="F5454" s="39"/>
    </row>
    <row r="5455">
      <c r="D5455" s="39"/>
      <c r="E5455" s="39"/>
      <c r="F5455" s="39"/>
    </row>
    <row r="5456">
      <c r="D5456" s="39"/>
      <c r="E5456" s="39"/>
      <c r="F5456" s="39"/>
    </row>
    <row r="5457">
      <c r="D5457" s="39"/>
      <c r="E5457" s="39"/>
      <c r="F5457" s="39"/>
    </row>
    <row r="5458">
      <c r="D5458" s="39"/>
      <c r="E5458" s="39"/>
      <c r="F5458" s="39"/>
    </row>
    <row r="5459">
      <c r="D5459" s="39"/>
      <c r="E5459" s="39"/>
      <c r="F5459" s="39"/>
    </row>
    <row r="5460">
      <c r="D5460" s="39"/>
      <c r="E5460" s="39"/>
      <c r="F5460" s="39"/>
    </row>
    <row r="5461">
      <c r="D5461" s="39"/>
      <c r="E5461" s="39"/>
      <c r="F5461" s="39"/>
    </row>
    <row r="5462">
      <c r="D5462" s="39"/>
      <c r="E5462" s="39"/>
      <c r="F5462" s="39"/>
    </row>
    <row r="5463">
      <c r="D5463" s="39"/>
      <c r="E5463" s="39"/>
      <c r="F5463" s="39"/>
    </row>
    <row r="5464">
      <c r="D5464" s="39"/>
      <c r="E5464" s="39"/>
      <c r="F5464" s="39"/>
    </row>
    <row r="5465">
      <c r="D5465" s="39"/>
      <c r="E5465" s="39"/>
      <c r="F5465" s="39"/>
    </row>
    <row r="5466">
      <c r="D5466" s="39"/>
      <c r="E5466" s="39"/>
      <c r="F5466" s="39"/>
    </row>
    <row r="5467">
      <c r="D5467" s="39"/>
      <c r="E5467" s="39"/>
      <c r="F5467" s="39"/>
    </row>
    <row r="5468">
      <c r="D5468" s="39"/>
      <c r="E5468" s="39"/>
      <c r="F5468" s="39"/>
    </row>
    <row r="5469">
      <c r="D5469" s="39"/>
      <c r="E5469" s="39"/>
      <c r="F5469" s="39"/>
    </row>
    <row r="5470">
      <c r="D5470" s="39"/>
      <c r="E5470" s="39"/>
      <c r="F5470" s="39"/>
    </row>
    <row r="5471">
      <c r="D5471" s="39"/>
      <c r="E5471" s="39"/>
      <c r="F5471" s="39"/>
    </row>
    <row r="5472">
      <c r="D5472" s="39"/>
      <c r="E5472" s="39"/>
      <c r="F5472" s="39"/>
    </row>
    <row r="5473">
      <c r="D5473" s="39"/>
      <c r="E5473" s="39"/>
      <c r="F5473" s="39"/>
    </row>
    <row r="5474">
      <c r="D5474" s="39"/>
      <c r="E5474" s="39"/>
      <c r="F5474" s="39"/>
    </row>
    <row r="5475">
      <c r="D5475" s="39"/>
      <c r="E5475" s="39"/>
      <c r="F5475" s="39"/>
    </row>
    <row r="5476">
      <c r="D5476" s="39"/>
      <c r="E5476" s="39"/>
      <c r="F5476" s="39"/>
    </row>
    <row r="5477">
      <c r="D5477" s="39"/>
      <c r="E5477" s="39"/>
      <c r="F5477" s="39"/>
    </row>
    <row r="5478">
      <c r="D5478" s="39"/>
      <c r="E5478" s="39"/>
      <c r="F5478" s="39"/>
    </row>
    <row r="5479">
      <c r="D5479" s="39"/>
      <c r="E5479" s="39"/>
      <c r="F5479" s="39"/>
    </row>
    <row r="5480">
      <c r="D5480" s="39"/>
      <c r="E5480" s="39"/>
      <c r="F5480" s="39"/>
    </row>
    <row r="5481">
      <c r="D5481" s="39"/>
      <c r="E5481" s="39"/>
      <c r="F5481" s="39"/>
    </row>
    <row r="5482">
      <c r="D5482" s="39"/>
      <c r="E5482" s="39"/>
      <c r="F5482" s="39"/>
    </row>
    <row r="5483">
      <c r="D5483" s="39"/>
      <c r="E5483" s="39"/>
      <c r="F5483" s="39"/>
    </row>
    <row r="5484">
      <c r="D5484" s="39"/>
      <c r="E5484" s="39"/>
      <c r="F5484" s="39"/>
    </row>
    <row r="5485">
      <c r="D5485" s="39"/>
      <c r="E5485" s="39"/>
      <c r="F5485" s="39"/>
    </row>
    <row r="5486">
      <c r="D5486" s="39"/>
      <c r="E5486" s="39"/>
      <c r="F5486" s="39"/>
    </row>
    <row r="5487">
      <c r="D5487" s="39"/>
      <c r="E5487" s="39"/>
      <c r="F5487" s="39"/>
    </row>
    <row r="5488">
      <c r="D5488" s="39"/>
      <c r="E5488" s="39"/>
      <c r="F5488" s="39"/>
    </row>
    <row r="5489">
      <c r="D5489" s="39"/>
      <c r="E5489" s="39"/>
      <c r="F5489" s="39"/>
    </row>
    <row r="5490">
      <c r="D5490" s="39"/>
      <c r="E5490" s="39"/>
      <c r="F5490" s="39"/>
    </row>
    <row r="5491">
      <c r="D5491" s="39"/>
      <c r="E5491" s="39"/>
      <c r="F5491" s="39"/>
    </row>
    <row r="5492">
      <c r="D5492" s="39"/>
      <c r="E5492" s="39"/>
      <c r="F5492" s="39"/>
    </row>
    <row r="5493">
      <c r="D5493" s="39"/>
      <c r="E5493" s="39"/>
      <c r="F5493" s="39"/>
    </row>
    <row r="5494">
      <c r="D5494" s="39"/>
      <c r="E5494" s="39"/>
      <c r="F5494" s="39"/>
    </row>
    <row r="5495">
      <c r="D5495" s="39"/>
      <c r="E5495" s="39"/>
      <c r="F5495" s="39"/>
    </row>
    <row r="5496">
      <c r="D5496" s="39"/>
      <c r="E5496" s="39"/>
      <c r="F5496" s="39"/>
    </row>
    <row r="5497">
      <c r="D5497" s="39"/>
      <c r="E5497" s="39"/>
      <c r="F5497" s="39"/>
    </row>
    <row r="5498">
      <c r="D5498" s="39"/>
      <c r="E5498" s="39"/>
      <c r="F5498" s="39"/>
    </row>
    <row r="5499">
      <c r="D5499" s="39"/>
      <c r="E5499" s="39"/>
      <c r="F5499" s="39"/>
    </row>
    <row r="5500">
      <c r="D5500" s="39"/>
      <c r="E5500" s="39"/>
      <c r="F5500" s="39"/>
    </row>
    <row r="5501">
      <c r="D5501" s="39"/>
      <c r="E5501" s="39"/>
      <c r="F5501" s="39"/>
    </row>
    <row r="5502">
      <c r="D5502" s="39"/>
      <c r="E5502" s="39"/>
      <c r="F5502" s="39"/>
    </row>
    <row r="5503">
      <c r="D5503" s="39"/>
      <c r="E5503" s="39"/>
      <c r="F5503" s="39"/>
    </row>
    <row r="5504">
      <c r="D5504" s="39"/>
      <c r="E5504" s="39"/>
      <c r="F5504" s="39"/>
    </row>
    <row r="5505">
      <c r="D5505" s="39"/>
      <c r="E5505" s="39"/>
      <c r="F5505" s="39"/>
    </row>
    <row r="5506">
      <c r="D5506" s="39"/>
      <c r="E5506" s="39"/>
      <c r="F5506" s="39"/>
    </row>
    <row r="5507">
      <c r="D5507" s="39"/>
      <c r="E5507" s="39"/>
      <c r="F5507" s="39"/>
    </row>
    <row r="5508">
      <c r="D5508" s="39"/>
      <c r="E5508" s="39"/>
      <c r="F5508" s="39"/>
    </row>
    <row r="5509">
      <c r="D5509" s="39"/>
      <c r="E5509" s="39"/>
      <c r="F5509" s="39"/>
    </row>
    <row r="5510">
      <c r="D5510" s="39"/>
      <c r="E5510" s="39"/>
      <c r="F5510" s="39"/>
    </row>
    <row r="5511">
      <c r="D5511" s="39"/>
      <c r="E5511" s="39"/>
      <c r="F5511" s="39"/>
    </row>
    <row r="5512">
      <c r="D5512" s="39"/>
      <c r="E5512" s="39"/>
      <c r="F5512" s="39"/>
    </row>
    <row r="5513">
      <c r="D5513" s="39"/>
      <c r="E5513" s="39"/>
      <c r="F5513" s="39"/>
    </row>
    <row r="5514">
      <c r="D5514" s="39"/>
      <c r="E5514" s="39"/>
      <c r="F5514" s="39"/>
    </row>
    <row r="5515">
      <c r="D5515" s="39"/>
      <c r="E5515" s="39"/>
      <c r="F5515" s="39"/>
    </row>
    <row r="5516">
      <c r="D5516" s="39"/>
      <c r="E5516" s="39"/>
      <c r="F5516" s="39"/>
    </row>
    <row r="5517">
      <c r="D5517" s="39"/>
      <c r="E5517" s="39"/>
      <c r="F5517" s="39"/>
    </row>
    <row r="5518">
      <c r="D5518" s="39"/>
      <c r="E5518" s="39"/>
      <c r="F5518" s="39"/>
    </row>
    <row r="5519">
      <c r="D5519" s="39"/>
      <c r="E5519" s="39"/>
      <c r="F5519" s="39"/>
    </row>
    <row r="5520">
      <c r="D5520" s="39"/>
      <c r="E5520" s="39"/>
      <c r="F5520" s="39"/>
    </row>
    <row r="5521">
      <c r="D5521" s="39"/>
      <c r="E5521" s="39"/>
      <c r="F5521" s="39"/>
    </row>
    <row r="5522">
      <c r="D5522" s="39"/>
      <c r="E5522" s="39"/>
      <c r="F5522" s="39"/>
    </row>
    <row r="5523">
      <c r="D5523" s="39"/>
      <c r="E5523" s="39"/>
      <c r="F5523" s="39"/>
    </row>
    <row r="5524">
      <c r="D5524" s="39"/>
      <c r="E5524" s="39"/>
      <c r="F5524" s="39"/>
    </row>
    <row r="5525">
      <c r="D5525" s="39"/>
      <c r="E5525" s="39"/>
      <c r="F5525" s="39"/>
    </row>
    <row r="5526">
      <c r="D5526" s="39"/>
      <c r="E5526" s="39"/>
      <c r="F5526" s="39"/>
    </row>
    <row r="5527">
      <c r="D5527" s="39"/>
      <c r="E5527" s="39"/>
      <c r="F5527" s="39"/>
    </row>
    <row r="5528">
      <c r="D5528" s="39"/>
      <c r="E5528" s="39"/>
      <c r="F5528" s="39"/>
    </row>
    <row r="5529">
      <c r="D5529" s="39"/>
      <c r="E5529" s="39"/>
      <c r="F5529" s="39"/>
    </row>
    <row r="5530">
      <c r="D5530" s="39"/>
      <c r="E5530" s="39"/>
      <c r="F5530" s="39"/>
    </row>
    <row r="5531">
      <c r="D5531" s="39"/>
      <c r="E5531" s="39"/>
      <c r="F5531" s="39"/>
    </row>
    <row r="5532">
      <c r="D5532" s="39"/>
      <c r="E5532" s="39"/>
      <c r="F5532" s="39"/>
    </row>
    <row r="5533">
      <c r="D5533" s="39"/>
      <c r="E5533" s="39"/>
      <c r="F5533" s="39"/>
    </row>
    <row r="5534">
      <c r="D5534" s="39"/>
      <c r="E5534" s="39"/>
      <c r="F5534" s="39"/>
    </row>
    <row r="5535">
      <c r="D5535" s="39"/>
      <c r="E5535" s="39"/>
      <c r="F5535" s="39"/>
    </row>
    <row r="5536">
      <c r="D5536" s="39"/>
      <c r="E5536" s="39"/>
      <c r="F5536" s="39"/>
    </row>
    <row r="5537">
      <c r="D5537" s="39"/>
      <c r="E5537" s="39"/>
      <c r="F5537" s="39"/>
    </row>
    <row r="5538">
      <c r="D5538" s="39"/>
      <c r="E5538" s="39"/>
      <c r="F5538" s="39"/>
    </row>
    <row r="5539">
      <c r="D5539" s="39"/>
      <c r="E5539" s="39"/>
      <c r="F5539" s="39"/>
    </row>
    <row r="5540">
      <c r="D5540" s="39"/>
      <c r="E5540" s="39"/>
      <c r="F5540" s="39"/>
    </row>
    <row r="5541">
      <c r="D5541" s="39"/>
      <c r="E5541" s="39"/>
      <c r="F5541" s="39"/>
    </row>
    <row r="5542">
      <c r="D5542" s="39"/>
      <c r="E5542" s="39"/>
      <c r="F5542" s="39"/>
    </row>
    <row r="5543">
      <c r="D5543" s="39"/>
      <c r="E5543" s="39"/>
      <c r="F5543" s="39"/>
    </row>
    <row r="5544">
      <c r="D5544" s="39"/>
      <c r="E5544" s="39"/>
      <c r="F5544" s="39"/>
    </row>
    <row r="5545">
      <c r="D5545" s="39"/>
      <c r="E5545" s="39"/>
      <c r="F5545" s="39"/>
    </row>
    <row r="5546">
      <c r="D5546" s="39"/>
      <c r="E5546" s="39"/>
      <c r="F5546" s="39"/>
    </row>
    <row r="5547">
      <c r="D5547" s="39"/>
      <c r="E5547" s="39"/>
      <c r="F5547" s="39"/>
    </row>
    <row r="5548">
      <c r="D5548" s="39"/>
      <c r="E5548" s="39"/>
      <c r="F5548" s="39"/>
    </row>
    <row r="5549">
      <c r="D5549" s="39"/>
      <c r="E5549" s="39"/>
      <c r="F5549" s="39"/>
    </row>
    <row r="5550">
      <c r="D5550" s="39"/>
      <c r="E5550" s="39"/>
      <c r="F5550" s="39"/>
    </row>
    <row r="5551">
      <c r="D5551" s="39"/>
      <c r="E5551" s="39"/>
      <c r="F5551" s="39"/>
    </row>
    <row r="5552">
      <c r="D5552" s="39"/>
      <c r="E5552" s="39"/>
      <c r="F5552" s="39"/>
    </row>
    <row r="5553">
      <c r="D5553" s="39"/>
      <c r="E5553" s="39"/>
      <c r="F5553" s="39"/>
    </row>
    <row r="5554">
      <c r="D5554" s="39"/>
      <c r="E5554" s="39"/>
      <c r="F5554" s="39"/>
    </row>
    <row r="5555">
      <c r="D5555" s="39"/>
      <c r="E5555" s="39"/>
      <c r="F5555" s="39"/>
    </row>
    <row r="5556">
      <c r="D5556" s="39"/>
      <c r="E5556" s="39"/>
      <c r="F5556" s="39"/>
    </row>
    <row r="5557">
      <c r="D5557" s="39"/>
      <c r="E5557" s="39"/>
      <c r="F5557" s="39"/>
    </row>
    <row r="5558">
      <c r="D5558" s="39"/>
      <c r="E5558" s="39"/>
      <c r="F5558" s="39"/>
    </row>
    <row r="5559">
      <c r="D5559" s="39"/>
      <c r="E5559" s="39"/>
      <c r="F5559" s="39"/>
    </row>
    <row r="5560">
      <c r="D5560" s="39"/>
      <c r="E5560" s="39"/>
      <c r="F5560" s="39"/>
    </row>
    <row r="5561">
      <c r="D5561" s="39"/>
      <c r="E5561" s="39"/>
      <c r="F5561" s="39"/>
    </row>
    <row r="5562">
      <c r="D5562" s="39"/>
      <c r="E5562" s="39"/>
      <c r="F5562" s="39"/>
    </row>
    <row r="5563">
      <c r="D5563" s="39"/>
      <c r="E5563" s="39"/>
      <c r="F5563" s="39"/>
    </row>
    <row r="5564">
      <c r="D5564" s="39"/>
      <c r="E5564" s="39"/>
      <c r="F5564" s="39"/>
    </row>
    <row r="5565">
      <c r="D5565" s="39"/>
      <c r="E5565" s="39"/>
      <c r="F5565" s="39"/>
    </row>
    <row r="5566">
      <c r="D5566" s="39"/>
      <c r="E5566" s="39"/>
      <c r="F5566" s="39"/>
    </row>
    <row r="5567">
      <c r="D5567" s="39"/>
      <c r="E5567" s="39"/>
      <c r="F5567" s="39"/>
    </row>
    <row r="5568">
      <c r="D5568" s="39"/>
      <c r="E5568" s="39"/>
      <c r="F5568" s="39"/>
    </row>
    <row r="5569">
      <c r="D5569" s="39"/>
      <c r="E5569" s="39"/>
      <c r="F5569" s="39"/>
    </row>
    <row r="5570">
      <c r="D5570" s="39"/>
      <c r="E5570" s="39"/>
      <c r="F5570" s="39"/>
    </row>
    <row r="5571">
      <c r="D5571" s="39"/>
      <c r="E5571" s="39"/>
      <c r="F5571" s="39"/>
    </row>
    <row r="5572">
      <c r="D5572" s="39"/>
      <c r="E5572" s="39"/>
      <c r="F5572" s="39"/>
    </row>
    <row r="5573">
      <c r="D5573" s="39"/>
      <c r="E5573" s="39"/>
      <c r="F5573" s="39"/>
    </row>
    <row r="5574">
      <c r="D5574" s="39"/>
      <c r="E5574" s="39"/>
      <c r="F5574" s="39"/>
    </row>
    <row r="5575">
      <c r="D5575" s="39"/>
      <c r="E5575" s="39"/>
      <c r="F5575" s="39"/>
    </row>
    <row r="5576">
      <c r="D5576" s="39"/>
      <c r="E5576" s="39"/>
      <c r="F5576" s="39"/>
    </row>
    <row r="5577">
      <c r="D5577" s="39"/>
      <c r="E5577" s="39"/>
      <c r="F5577" s="39"/>
    </row>
    <row r="5578">
      <c r="D5578" s="39"/>
      <c r="E5578" s="39"/>
      <c r="F5578" s="39"/>
    </row>
    <row r="5579">
      <c r="D5579" s="39"/>
      <c r="E5579" s="39"/>
      <c r="F5579" s="39"/>
    </row>
    <row r="5580">
      <c r="D5580" s="39"/>
      <c r="E5580" s="39"/>
      <c r="F5580" s="39"/>
    </row>
    <row r="5581">
      <c r="D5581" s="39"/>
      <c r="E5581" s="39"/>
      <c r="F5581" s="39"/>
    </row>
    <row r="5582">
      <c r="D5582" s="39"/>
      <c r="E5582" s="39"/>
      <c r="F5582" s="39"/>
    </row>
    <row r="5583">
      <c r="D5583" s="39"/>
      <c r="E5583" s="39"/>
      <c r="F5583" s="39"/>
    </row>
    <row r="5584">
      <c r="D5584" s="39"/>
      <c r="E5584" s="39"/>
      <c r="F5584" s="39"/>
    </row>
    <row r="5585">
      <c r="D5585" s="39"/>
      <c r="E5585" s="39"/>
      <c r="F5585" s="39"/>
    </row>
    <row r="5586">
      <c r="D5586" s="39"/>
      <c r="E5586" s="39"/>
      <c r="F5586" s="39"/>
    </row>
    <row r="5587">
      <c r="D5587" s="39"/>
      <c r="E5587" s="39"/>
      <c r="F5587" s="39"/>
    </row>
    <row r="5588">
      <c r="D5588" s="39"/>
      <c r="E5588" s="39"/>
      <c r="F5588" s="39"/>
    </row>
    <row r="5589">
      <c r="D5589" s="39"/>
      <c r="E5589" s="39"/>
      <c r="F5589" s="39"/>
    </row>
    <row r="5590">
      <c r="D5590" s="39"/>
      <c r="E5590" s="39"/>
      <c r="F5590" s="39"/>
    </row>
    <row r="5591">
      <c r="D5591" s="39"/>
      <c r="E5591" s="39"/>
      <c r="F5591" s="39"/>
    </row>
    <row r="5592">
      <c r="D5592" s="39"/>
      <c r="E5592" s="39"/>
      <c r="F5592" s="39"/>
    </row>
    <row r="5593">
      <c r="D5593" s="39"/>
      <c r="E5593" s="39"/>
      <c r="F5593" s="39"/>
    </row>
    <row r="5594">
      <c r="D5594" s="39"/>
      <c r="E5594" s="39"/>
      <c r="F5594" s="39"/>
    </row>
    <row r="5595">
      <c r="D5595" s="39"/>
      <c r="E5595" s="39"/>
      <c r="F5595" s="39"/>
    </row>
    <row r="5596">
      <c r="D5596" s="39"/>
      <c r="E5596" s="39"/>
      <c r="F5596" s="39"/>
    </row>
    <row r="5597">
      <c r="D5597" s="39"/>
      <c r="E5597" s="39"/>
      <c r="F5597" s="39"/>
    </row>
    <row r="5598">
      <c r="D5598" s="39"/>
      <c r="E5598" s="39"/>
      <c r="F5598" s="39"/>
    </row>
    <row r="5599">
      <c r="D5599" s="39"/>
      <c r="E5599" s="39"/>
      <c r="F5599" s="39"/>
    </row>
    <row r="5600">
      <c r="D5600" s="39"/>
      <c r="E5600" s="39"/>
      <c r="F5600" s="39"/>
    </row>
    <row r="5601">
      <c r="D5601" s="39"/>
      <c r="E5601" s="39"/>
      <c r="F5601" s="39"/>
    </row>
    <row r="5602">
      <c r="D5602" s="39"/>
      <c r="E5602" s="39"/>
      <c r="F5602" s="39"/>
    </row>
    <row r="5603">
      <c r="D5603" s="39"/>
      <c r="E5603" s="39"/>
      <c r="F5603" s="39"/>
    </row>
    <row r="5604">
      <c r="D5604" s="39"/>
      <c r="E5604" s="39"/>
      <c r="F5604" s="39"/>
    </row>
    <row r="5605">
      <c r="D5605" s="39"/>
      <c r="E5605" s="39"/>
      <c r="F5605" s="39"/>
    </row>
    <row r="5606">
      <c r="D5606" s="39"/>
      <c r="E5606" s="39"/>
      <c r="F5606" s="39"/>
    </row>
    <row r="5607">
      <c r="D5607" s="39"/>
      <c r="E5607" s="39"/>
      <c r="F5607" s="39"/>
    </row>
    <row r="5608">
      <c r="D5608" s="39"/>
      <c r="E5608" s="39"/>
      <c r="F5608" s="39"/>
    </row>
    <row r="5609">
      <c r="D5609" s="39"/>
      <c r="E5609" s="39"/>
      <c r="F5609" s="39"/>
    </row>
    <row r="5610">
      <c r="D5610" s="39"/>
      <c r="E5610" s="39"/>
      <c r="F5610" s="39"/>
    </row>
    <row r="5611">
      <c r="D5611" s="39"/>
      <c r="E5611" s="39"/>
      <c r="F5611" s="39"/>
    </row>
    <row r="5612">
      <c r="D5612" s="39"/>
      <c r="E5612" s="39"/>
      <c r="F5612" s="39"/>
    </row>
    <row r="5613">
      <c r="D5613" s="39"/>
      <c r="E5613" s="39"/>
      <c r="F5613" s="39"/>
    </row>
    <row r="5614">
      <c r="D5614" s="39"/>
      <c r="E5614" s="39"/>
      <c r="F5614" s="39"/>
    </row>
    <row r="5615">
      <c r="D5615" s="39"/>
      <c r="E5615" s="39"/>
      <c r="F5615" s="39"/>
    </row>
    <row r="5616">
      <c r="D5616" s="39"/>
      <c r="E5616" s="39"/>
      <c r="F5616" s="39"/>
    </row>
    <row r="5617">
      <c r="D5617" s="39"/>
      <c r="E5617" s="39"/>
      <c r="F5617" s="39"/>
    </row>
    <row r="5618">
      <c r="D5618" s="39"/>
      <c r="E5618" s="39"/>
      <c r="F5618" s="39"/>
    </row>
    <row r="5619">
      <c r="D5619" s="39"/>
      <c r="E5619" s="39"/>
      <c r="F5619" s="39"/>
    </row>
    <row r="5620">
      <c r="D5620" s="39"/>
      <c r="E5620" s="39"/>
      <c r="F5620" s="39"/>
    </row>
    <row r="5621">
      <c r="D5621" s="39"/>
      <c r="E5621" s="39"/>
      <c r="F5621" s="39"/>
    </row>
    <row r="5622">
      <c r="D5622" s="39"/>
      <c r="E5622" s="39"/>
      <c r="F5622" s="39"/>
    </row>
    <row r="5623">
      <c r="D5623" s="39"/>
      <c r="E5623" s="39"/>
      <c r="F5623" s="39"/>
    </row>
    <row r="5624">
      <c r="D5624" s="39"/>
      <c r="E5624" s="39"/>
      <c r="F5624" s="39"/>
    </row>
    <row r="5625">
      <c r="D5625" s="39"/>
      <c r="E5625" s="39"/>
      <c r="F5625" s="39"/>
    </row>
    <row r="5626">
      <c r="D5626" s="39"/>
      <c r="E5626" s="39"/>
      <c r="F5626" s="39"/>
    </row>
    <row r="5627">
      <c r="D5627" s="39"/>
      <c r="E5627" s="39"/>
      <c r="F5627" s="39"/>
    </row>
    <row r="5628">
      <c r="D5628" s="39"/>
      <c r="E5628" s="39"/>
      <c r="F5628" s="39"/>
    </row>
    <row r="5629">
      <c r="D5629" s="39"/>
      <c r="E5629" s="39"/>
      <c r="F5629" s="39"/>
    </row>
    <row r="5630">
      <c r="D5630" s="39"/>
      <c r="E5630" s="39"/>
      <c r="F5630" s="39"/>
    </row>
    <row r="5631">
      <c r="D5631" s="39"/>
      <c r="E5631" s="39"/>
      <c r="F5631" s="39"/>
    </row>
    <row r="5632">
      <c r="D5632" s="39"/>
      <c r="E5632" s="39"/>
      <c r="F5632" s="39"/>
    </row>
    <row r="5633">
      <c r="D5633" s="39"/>
      <c r="E5633" s="39"/>
      <c r="F5633" s="39"/>
    </row>
    <row r="5634">
      <c r="D5634" s="39"/>
      <c r="E5634" s="39"/>
      <c r="F5634" s="39"/>
    </row>
    <row r="5635">
      <c r="D5635" s="39"/>
      <c r="E5635" s="39"/>
      <c r="F5635" s="39"/>
    </row>
    <row r="5636">
      <c r="D5636" s="39"/>
      <c r="E5636" s="39"/>
      <c r="F5636" s="39"/>
    </row>
    <row r="5637">
      <c r="D5637" s="39"/>
      <c r="E5637" s="39"/>
      <c r="F5637" s="39"/>
    </row>
    <row r="5638">
      <c r="D5638" s="39"/>
      <c r="E5638" s="39"/>
      <c r="F5638" s="39"/>
    </row>
    <row r="5639">
      <c r="D5639" s="39"/>
      <c r="E5639" s="39"/>
      <c r="F5639" s="39"/>
    </row>
    <row r="5640">
      <c r="D5640" s="39"/>
      <c r="E5640" s="39"/>
      <c r="F5640" s="39"/>
    </row>
    <row r="5641">
      <c r="D5641" s="39"/>
      <c r="E5641" s="39"/>
      <c r="F5641" s="39"/>
    </row>
    <row r="5642">
      <c r="D5642" s="39"/>
      <c r="E5642" s="39"/>
      <c r="F5642" s="39"/>
    </row>
    <row r="5643">
      <c r="D5643" s="39"/>
      <c r="E5643" s="39"/>
      <c r="F5643" s="39"/>
    </row>
    <row r="5644">
      <c r="D5644" s="39"/>
      <c r="E5644" s="39"/>
      <c r="F5644" s="39"/>
    </row>
    <row r="5645">
      <c r="D5645" s="39"/>
      <c r="E5645" s="39"/>
      <c r="F5645" s="39"/>
    </row>
    <row r="5646">
      <c r="D5646" s="39"/>
      <c r="E5646" s="39"/>
      <c r="F5646" s="39"/>
    </row>
    <row r="5647">
      <c r="D5647" s="39"/>
      <c r="E5647" s="39"/>
      <c r="F5647" s="39"/>
    </row>
    <row r="5648">
      <c r="D5648" s="39"/>
      <c r="E5648" s="39"/>
      <c r="F5648" s="39"/>
    </row>
    <row r="5649">
      <c r="D5649" s="39"/>
      <c r="E5649" s="39"/>
      <c r="F5649" s="39"/>
    </row>
    <row r="5650">
      <c r="D5650" s="39"/>
      <c r="E5650" s="39"/>
      <c r="F5650" s="39"/>
    </row>
    <row r="5651">
      <c r="D5651" s="39"/>
      <c r="E5651" s="39"/>
      <c r="F5651" s="39"/>
    </row>
    <row r="5652">
      <c r="D5652" s="39"/>
      <c r="E5652" s="39"/>
      <c r="F5652" s="39"/>
    </row>
    <row r="5653">
      <c r="D5653" s="39"/>
      <c r="E5653" s="39"/>
      <c r="F5653" s="39"/>
    </row>
    <row r="5654">
      <c r="D5654" s="39"/>
      <c r="E5654" s="39"/>
      <c r="F5654" s="39"/>
    </row>
    <row r="5655">
      <c r="D5655" s="39"/>
      <c r="E5655" s="39"/>
      <c r="F5655" s="39"/>
    </row>
    <row r="5656">
      <c r="D5656" s="39"/>
      <c r="E5656" s="39"/>
      <c r="F5656" s="39"/>
    </row>
    <row r="5657">
      <c r="D5657" s="39"/>
      <c r="E5657" s="39"/>
      <c r="F5657" s="39"/>
    </row>
    <row r="5658">
      <c r="D5658" s="39"/>
      <c r="E5658" s="39"/>
      <c r="F5658" s="39"/>
    </row>
    <row r="5659">
      <c r="D5659" s="39"/>
      <c r="E5659" s="39"/>
      <c r="F5659" s="39"/>
    </row>
    <row r="5660">
      <c r="D5660" s="39"/>
      <c r="E5660" s="39"/>
      <c r="F5660" s="39"/>
    </row>
    <row r="5661">
      <c r="D5661" s="39"/>
      <c r="E5661" s="39"/>
      <c r="F5661" s="39"/>
    </row>
    <row r="5662">
      <c r="D5662" s="39"/>
      <c r="E5662" s="39"/>
      <c r="F5662" s="39"/>
    </row>
    <row r="5663">
      <c r="D5663" s="39"/>
      <c r="E5663" s="39"/>
      <c r="F5663" s="39"/>
    </row>
    <row r="5664">
      <c r="D5664" s="39"/>
      <c r="E5664" s="39"/>
      <c r="F5664" s="39"/>
    </row>
    <row r="5665">
      <c r="D5665" s="39"/>
      <c r="E5665" s="39"/>
      <c r="F5665" s="39"/>
    </row>
    <row r="5666">
      <c r="D5666" s="39"/>
      <c r="E5666" s="39"/>
      <c r="F5666" s="39"/>
    </row>
    <row r="5667">
      <c r="D5667" s="39"/>
      <c r="E5667" s="39"/>
      <c r="F5667" s="39"/>
    </row>
    <row r="5668">
      <c r="D5668" s="39"/>
      <c r="E5668" s="39"/>
      <c r="F5668" s="39"/>
    </row>
    <row r="5669">
      <c r="D5669" s="39"/>
      <c r="E5669" s="39"/>
      <c r="F5669" s="39"/>
    </row>
    <row r="5670">
      <c r="D5670" s="39"/>
      <c r="E5670" s="39"/>
      <c r="F5670" s="39"/>
    </row>
    <row r="5671">
      <c r="D5671" s="39"/>
      <c r="E5671" s="39"/>
      <c r="F5671" s="39"/>
    </row>
    <row r="5672">
      <c r="D5672" s="39"/>
      <c r="E5672" s="39"/>
      <c r="F5672" s="39"/>
    </row>
    <row r="5673">
      <c r="D5673" s="39"/>
      <c r="E5673" s="39"/>
      <c r="F5673" s="39"/>
    </row>
    <row r="5674">
      <c r="D5674" s="39"/>
      <c r="E5674" s="39"/>
      <c r="F5674" s="39"/>
    </row>
    <row r="5675">
      <c r="D5675" s="39"/>
      <c r="E5675" s="39"/>
      <c r="F5675" s="39"/>
    </row>
    <row r="5676">
      <c r="D5676" s="39"/>
      <c r="E5676" s="39"/>
      <c r="F5676" s="39"/>
    </row>
    <row r="5677">
      <c r="D5677" s="39"/>
      <c r="E5677" s="39"/>
      <c r="F5677" s="39"/>
    </row>
    <row r="5678">
      <c r="D5678" s="39"/>
      <c r="E5678" s="39"/>
      <c r="F5678" s="39"/>
    </row>
    <row r="5679">
      <c r="D5679" s="39"/>
      <c r="E5679" s="39"/>
      <c r="F5679" s="39"/>
    </row>
    <row r="5680">
      <c r="D5680" s="39"/>
      <c r="E5680" s="39"/>
      <c r="F5680" s="39"/>
    </row>
    <row r="5681">
      <c r="D5681" s="39"/>
      <c r="E5681" s="39"/>
      <c r="F5681" s="39"/>
    </row>
    <row r="5682">
      <c r="D5682" s="39"/>
      <c r="E5682" s="39"/>
      <c r="F5682" s="39"/>
    </row>
    <row r="5683">
      <c r="D5683" s="39"/>
      <c r="E5683" s="39"/>
      <c r="F5683" s="39"/>
    </row>
    <row r="5684">
      <c r="D5684" s="39"/>
      <c r="E5684" s="39"/>
      <c r="F5684" s="39"/>
    </row>
    <row r="5685">
      <c r="D5685" s="39"/>
      <c r="E5685" s="39"/>
      <c r="F5685" s="39"/>
    </row>
    <row r="5686">
      <c r="D5686" s="39"/>
      <c r="E5686" s="39"/>
      <c r="F5686" s="39"/>
    </row>
    <row r="5687">
      <c r="D5687" s="39"/>
      <c r="E5687" s="39"/>
      <c r="F5687" s="39"/>
    </row>
    <row r="5688">
      <c r="D5688" s="39"/>
      <c r="E5688" s="39"/>
      <c r="F5688" s="39"/>
    </row>
    <row r="5689">
      <c r="D5689" s="39"/>
      <c r="E5689" s="39"/>
      <c r="F5689" s="39"/>
    </row>
    <row r="5690">
      <c r="D5690" s="39"/>
      <c r="E5690" s="39"/>
      <c r="F5690" s="39"/>
    </row>
    <row r="5691">
      <c r="D5691" s="39"/>
      <c r="E5691" s="39"/>
      <c r="F5691" s="39"/>
    </row>
    <row r="5692">
      <c r="D5692" s="39"/>
      <c r="E5692" s="39"/>
      <c r="F5692" s="39"/>
    </row>
    <row r="5693">
      <c r="D5693" s="39"/>
      <c r="E5693" s="39"/>
      <c r="F5693" s="39"/>
    </row>
    <row r="5694">
      <c r="D5694" s="39"/>
      <c r="E5694" s="39"/>
      <c r="F5694" s="39"/>
    </row>
    <row r="5695">
      <c r="D5695" s="39"/>
      <c r="E5695" s="39"/>
      <c r="F5695" s="39"/>
    </row>
    <row r="5696">
      <c r="D5696" s="39"/>
      <c r="E5696" s="39"/>
      <c r="F5696" s="39"/>
    </row>
    <row r="5697">
      <c r="D5697" s="39"/>
      <c r="E5697" s="39"/>
      <c r="F5697" s="39"/>
    </row>
    <row r="5698">
      <c r="D5698" s="39"/>
      <c r="E5698" s="39"/>
      <c r="F5698" s="39"/>
    </row>
    <row r="5699">
      <c r="D5699" s="39"/>
      <c r="E5699" s="39"/>
      <c r="F5699" s="39"/>
    </row>
    <row r="5700">
      <c r="D5700" s="39"/>
      <c r="E5700" s="39"/>
      <c r="F5700" s="39"/>
    </row>
    <row r="5701">
      <c r="D5701" s="39"/>
      <c r="E5701" s="39"/>
      <c r="F5701" s="39"/>
    </row>
    <row r="5702">
      <c r="D5702" s="39"/>
      <c r="E5702" s="39"/>
      <c r="F5702" s="39"/>
    </row>
    <row r="5703">
      <c r="D5703" s="39"/>
      <c r="E5703" s="39"/>
      <c r="F5703" s="39"/>
    </row>
    <row r="5704">
      <c r="D5704" s="39"/>
      <c r="E5704" s="39"/>
      <c r="F5704" s="39"/>
    </row>
    <row r="5705">
      <c r="D5705" s="39"/>
      <c r="E5705" s="39"/>
      <c r="F5705" s="39"/>
    </row>
    <row r="5706">
      <c r="D5706" s="39"/>
      <c r="E5706" s="39"/>
      <c r="F5706" s="39"/>
    </row>
    <row r="5707">
      <c r="D5707" s="39"/>
      <c r="E5707" s="39"/>
      <c r="F5707" s="39"/>
    </row>
    <row r="5708">
      <c r="D5708" s="39"/>
      <c r="E5708" s="39"/>
      <c r="F5708" s="39"/>
    </row>
    <row r="5709">
      <c r="D5709" s="39"/>
      <c r="E5709" s="39"/>
      <c r="F5709" s="39"/>
    </row>
    <row r="5710">
      <c r="D5710" s="39"/>
      <c r="E5710" s="39"/>
      <c r="F5710" s="39"/>
    </row>
    <row r="5711">
      <c r="D5711" s="39"/>
      <c r="E5711" s="39"/>
      <c r="F5711" s="39"/>
    </row>
    <row r="5712">
      <c r="D5712" s="39"/>
      <c r="E5712" s="39"/>
      <c r="F5712" s="39"/>
    </row>
    <row r="5713">
      <c r="D5713" s="39"/>
      <c r="E5713" s="39"/>
      <c r="F5713" s="39"/>
    </row>
    <row r="5714">
      <c r="D5714" s="39"/>
      <c r="E5714" s="39"/>
      <c r="F5714" s="39"/>
    </row>
    <row r="5715">
      <c r="D5715" s="39"/>
      <c r="E5715" s="39"/>
      <c r="F5715" s="39"/>
    </row>
    <row r="5716">
      <c r="D5716" s="39"/>
      <c r="E5716" s="39"/>
      <c r="F5716" s="39"/>
    </row>
    <row r="5717">
      <c r="D5717" s="39"/>
      <c r="E5717" s="39"/>
      <c r="F5717" s="39"/>
    </row>
    <row r="5718">
      <c r="D5718" s="39"/>
      <c r="E5718" s="39"/>
      <c r="F5718" s="39"/>
    </row>
    <row r="5719">
      <c r="D5719" s="39"/>
      <c r="E5719" s="39"/>
      <c r="F5719" s="39"/>
    </row>
    <row r="5720">
      <c r="D5720" s="39"/>
      <c r="E5720" s="39"/>
      <c r="F5720" s="39"/>
    </row>
    <row r="5721">
      <c r="D5721" s="39"/>
      <c r="E5721" s="39"/>
      <c r="F5721" s="39"/>
    </row>
    <row r="5722">
      <c r="D5722" s="39"/>
      <c r="E5722" s="39"/>
      <c r="F5722" s="39"/>
    </row>
    <row r="5723">
      <c r="D5723" s="39"/>
      <c r="E5723" s="39"/>
      <c r="F5723" s="39"/>
    </row>
    <row r="5724">
      <c r="D5724" s="39"/>
      <c r="E5724" s="39"/>
      <c r="F5724" s="39"/>
    </row>
    <row r="5725">
      <c r="D5725" s="39"/>
      <c r="E5725" s="39"/>
      <c r="F5725" s="39"/>
    </row>
    <row r="5726">
      <c r="D5726" s="39"/>
      <c r="E5726" s="39"/>
      <c r="F5726" s="39"/>
    </row>
    <row r="5727">
      <c r="D5727" s="39"/>
      <c r="E5727" s="39"/>
      <c r="F5727" s="39"/>
    </row>
    <row r="5728">
      <c r="D5728" s="39"/>
      <c r="E5728" s="39"/>
      <c r="F5728" s="39"/>
    </row>
    <row r="5729">
      <c r="D5729" s="39"/>
      <c r="E5729" s="39"/>
      <c r="F5729" s="39"/>
    </row>
    <row r="5730">
      <c r="D5730" s="39"/>
      <c r="E5730" s="39"/>
      <c r="F5730" s="39"/>
    </row>
    <row r="5731">
      <c r="D5731" s="39"/>
      <c r="E5731" s="39"/>
      <c r="F5731" s="39"/>
    </row>
    <row r="5732">
      <c r="D5732" s="39"/>
      <c r="E5732" s="39"/>
      <c r="F5732" s="39"/>
    </row>
    <row r="5733">
      <c r="D5733" s="39"/>
      <c r="E5733" s="39"/>
      <c r="F5733" s="39"/>
    </row>
    <row r="5734">
      <c r="D5734" s="39"/>
      <c r="E5734" s="39"/>
      <c r="F5734" s="39"/>
    </row>
    <row r="5735">
      <c r="D5735" s="39"/>
      <c r="E5735" s="39"/>
      <c r="F5735" s="39"/>
    </row>
    <row r="5736">
      <c r="D5736" s="39"/>
      <c r="E5736" s="39"/>
      <c r="F5736" s="39"/>
    </row>
    <row r="5737">
      <c r="D5737" s="39"/>
      <c r="E5737" s="39"/>
      <c r="F5737" s="39"/>
    </row>
    <row r="5738">
      <c r="D5738" s="39"/>
      <c r="E5738" s="39"/>
      <c r="F5738" s="39"/>
    </row>
    <row r="5739">
      <c r="D5739" s="39"/>
      <c r="E5739" s="39"/>
      <c r="F5739" s="39"/>
    </row>
    <row r="5740">
      <c r="D5740" s="39"/>
      <c r="E5740" s="39"/>
      <c r="F5740" s="39"/>
    </row>
    <row r="5741">
      <c r="D5741" s="39"/>
      <c r="E5741" s="39"/>
      <c r="F5741" s="39"/>
    </row>
    <row r="5742">
      <c r="D5742" s="39"/>
      <c r="E5742" s="39"/>
      <c r="F5742" s="39"/>
    </row>
    <row r="5743">
      <c r="D5743" s="39"/>
      <c r="E5743" s="39"/>
      <c r="F5743" s="39"/>
    </row>
    <row r="5744">
      <c r="D5744" s="39"/>
      <c r="E5744" s="39"/>
      <c r="F5744" s="39"/>
    </row>
    <row r="5745">
      <c r="D5745" s="39"/>
      <c r="E5745" s="39"/>
      <c r="F5745" s="39"/>
    </row>
    <row r="5746">
      <c r="D5746" s="39"/>
      <c r="E5746" s="39"/>
      <c r="F5746" s="39"/>
    </row>
    <row r="5747">
      <c r="D5747" s="39"/>
      <c r="E5747" s="39"/>
      <c r="F5747" s="39"/>
    </row>
    <row r="5748">
      <c r="D5748" s="39"/>
      <c r="E5748" s="39"/>
      <c r="F5748" s="39"/>
    </row>
    <row r="5749">
      <c r="D5749" s="39"/>
      <c r="E5749" s="39"/>
      <c r="F5749" s="39"/>
    </row>
    <row r="5750">
      <c r="D5750" s="39"/>
      <c r="E5750" s="39"/>
      <c r="F5750" s="39"/>
    </row>
    <row r="5751">
      <c r="D5751" s="39"/>
      <c r="E5751" s="39"/>
      <c r="F5751" s="39"/>
    </row>
    <row r="5752">
      <c r="D5752" s="39"/>
      <c r="E5752" s="39"/>
      <c r="F5752" s="39"/>
    </row>
    <row r="5753">
      <c r="D5753" s="39"/>
      <c r="E5753" s="39"/>
      <c r="F5753" s="39"/>
    </row>
    <row r="5754">
      <c r="D5754" s="39"/>
      <c r="E5754" s="39"/>
      <c r="F5754" s="39"/>
    </row>
    <row r="5755">
      <c r="D5755" s="39"/>
      <c r="E5755" s="39"/>
      <c r="F5755" s="39"/>
    </row>
    <row r="5756">
      <c r="D5756" s="39"/>
      <c r="E5756" s="39"/>
      <c r="F5756" s="39"/>
    </row>
    <row r="5757">
      <c r="D5757" s="39"/>
      <c r="E5757" s="39"/>
      <c r="F5757" s="39"/>
    </row>
    <row r="5758">
      <c r="D5758" s="39"/>
      <c r="E5758" s="39"/>
      <c r="F5758" s="39"/>
    </row>
    <row r="5759">
      <c r="D5759" s="39"/>
      <c r="E5759" s="39"/>
      <c r="F5759" s="39"/>
    </row>
    <row r="5760">
      <c r="D5760" s="39"/>
      <c r="E5760" s="39"/>
      <c r="F5760" s="39"/>
    </row>
    <row r="5761">
      <c r="D5761" s="39"/>
      <c r="E5761" s="39"/>
      <c r="F5761" s="39"/>
    </row>
    <row r="5762">
      <c r="D5762" s="39"/>
      <c r="E5762" s="39"/>
      <c r="F5762" s="39"/>
    </row>
    <row r="5763">
      <c r="D5763" s="39"/>
      <c r="E5763" s="39"/>
      <c r="F5763" s="39"/>
    </row>
    <row r="5764">
      <c r="D5764" s="39"/>
      <c r="E5764" s="39"/>
      <c r="F5764" s="39"/>
    </row>
    <row r="5765">
      <c r="D5765" s="39"/>
      <c r="E5765" s="39"/>
      <c r="F5765" s="39"/>
    </row>
    <row r="5766">
      <c r="D5766" s="39"/>
      <c r="E5766" s="39"/>
      <c r="F5766" s="39"/>
    </row>
    <row r="5767">
      <c r="D5767" s="39"/>
      <c r="E5767" s="39"/>
      <c r="F5767" s="39"/>
    </row>
    <row r="5768">
      <c r="D5768" s="39"/>
      <c r="E5768" s="39"/>
      <c r="F5768" s="39"/>
    </row>
    <row r="5769">
      <c r="D5769" s="39"/>
      <c r="E5769" s="39"/>
      <c r="F5769" s="39"/>
    </row>
    <row r="5770">
      <c r="D5770" s="39"/>
      <c r="E5770" s="39"/>
      <c r="F5770" s="39"/>
    </row>
    <row r="5771">
      <c r="D5771" s="39"/>
      <c r="E5771" s="39"/>
      <c r="F5771" s="39"/>
    </row>
    <row r="5772">
      <c r="D5772" s="39"/>
      <c r="E5772" s="39"/>
      <c r="F5772" s="39"/>
    </row>
    <row r="5773">
      <c r="D5773" s="39"/>
      <c r="E5773" s="39"/>
      <c r="F5773" s="39"/>
    </row>
    <row r="5774">
      <c r="D5774" s="39"/>
      <c r="E5774" s="39"/>
      <c r="F5774" s="39"/>
    </row>
    <row r="5775">
      <c r="D5775" s="39"/>
      <c r="E5775" s="39"/>
      <c r="F5775" s="39"/>
    </row>
    <row r="5776">
      <c r="D5776" s="39"/>
      <c r="E5776" s="39"/>
      <c r="F5776" s="39"/>
    </row>
    <row r="5777">
      <c r="D5777" s="39"/>
      <c r="E5777" s="39"/>
      <c r="F5777" s="39"/>
    </row>
    <row r="5778">
      <c r="D5778" s="39"/>
      <c r="E5778" s="39"/>
      <c r="F5778" s="39"/>
    </row>
    <row r="5779">
      <c r="D5779" s="39"/>
      <c r="E5779" s="39"/>
      <c r="F5779" s="39"/>
    </row>
    <row r="5780">
      <c r="D5780" s="39"/>
      <c r="E5780" s="39"/>
      <c r="F5780" s="39"/>
    </row>
    <row r="5781">
      <c r="D5781" s="39"/>
      <c r="E5781" s="39"/>
      <c r="F5781" s="39"/>
    </row>
    <row r="5782">
      <c r="D5782" s="39"/>
      <c r="E5782" s="39"/>
      <c r="F5782" s="39"/>
    </row>
    <row r="5783">
      <c r="D5783" s="39"/>
      <c r="E5783" s="39"/>
      <c r="F5783" s="39"/>
    </row>
    <row r="5784">
      <c r="D5784" s="39"/>
      <c r="E5784" s="39"/>
      <c r="F5784" s="39"/>
    </row>
    <row r="5785">
      <c r="D5785" s="39"/>
      <c r="E5785" s="39"/>
      <c r="F5785" s="39"/>
    </row>
    <row r="5786">
      <c r="D5786" s="39"/>
      <c r="E5786" s="39"/>
      <c r="F5786" s="39"/>
    </row>
    <row r="5787">
      <c r="D5787" s="39"/>
      <c r="E5787" s="39"/>
      <c r="F5787" s="39"/>
    </row>
    <row r="5788">
      <c r="D5788" s="39"/>
      <c r="E5788" s="39"/>
      <c r="F5788" s="39"/>
    </row>
    <row r="5789">
      <c r="D5789" s="39"/>
      <c r="E5789" s="39"/>
      <c r="F5789" s="39"/>
    </row>
    <row r="5790">
      <c r="D5790" s="39"/>
      <c r="E5790" s="39"/>
      <c r="F5790" s="39"/>
    </row>
    <row r="5791">
      <c r="D5791" s="39"/>
      <c r="E5791" s="39"/>
      <c r="F5791" s="39"/>
    </row>
    <row r="5792">
      <c r="D5792" s="39"/>
      <c r="E5792" s="39"/>
      <c r="F5792" s="39"/>
    </row>
    <row r="5793">
      <c r="D5793" s="39"/>
      <c r="E5793" s="39"/>
      <c r="F5793" s="39"/>
    </row>
    <row r="5794">
      <c r="D5794" s="39"/>
      <c r="E5794" s="39"/>
      <c r="F5794" s="39"/>
    </row>
    <row r="5795">
      <c r="D5795" s="39"/>
      <c r="E5795" s="39"/>
      <c r="F5795" s="39"/>
    </row>
    <row r="5796">
      <c r="D5796" s="39"/>
      <c r="E5796" s="39"/>
      <c r="F5796" s="39"/>
    </row>
    <row r="5797">
      <c r="D5797" s="39"/>
      <c r="E5797" s="39"/>
      <c r="F5797" s="39"/>
    </row>
    <row r="5798">
      <c r="D5798" s="39"/>
      <c r="E5798" s="39"/>
      <c r="F5798" s="39"/>
    </row>
    <row r="5799">
      <c r="D5799" s="39"/>
      <c r="E5799" s="39"/>
      <c r="F5799" s="39"/>
    </row>
    <row r="5800">
      <c r="D5800" s="39"/>
      <c r="E5800" s="39"/>
      <c r="F5800" s="39"/>
    </row>
    <row r="5801">
      <c r="D5801" s="39"/>
      <c r="E5801" s="39"/>
      <c r="F5801" s="39"/>
    </row>
    <row r="5802">
      <c r="D5802" s="39"/>
      <c r="E5802" s="39"/>
      <c r="F5802" s="39"/>
    </row>
    <row r="5803">
      <c r="D5803" s="39"/>
      <c r="E5803" s="39"/>
      <c r="F5803" s="39"/>
    </row>
    <row r="5804">
      <c r="D5804" s="39"/>
      <c r="E5804" s="39"/>
      <c r="F5804" s="39"/>
    </row>
    <row r="5805">
      <c r="D5805" s="39"/>
      <c r="E5805" s="39"/>
      <c r="F5805" s="39"/>
    </row>
    <row r="5806">
      <c r="D5806" s="39"/>
      <c r="E5806" s="39"/>
      <c r="F5806" s="39"/>
    </row>
    <row r="5807">
      <c r="D5807" s="39"/>
      <c r="E5807" s="39"/>
      <c r="F5807" s="39"/>
    </row>
    <row r="5808">
      <c r="D5808" s="39"/>
      <c r="E5808" s="39"/>
      <c r="F5808" s="39"/>
    </row>
    <row r="5809">
      <c r="D5809" s="39"/>
      <c r="E5809" s="39"/>
      <c r="F5809" s="39"/>
    </row>
    <row r="5810">
      <c r="D5810" s="39"/>
      <c r="E5810" s="39"/>
      <c r="F5810" s="39"/>
    </row>
    <row r="5811">
      <c r="D5811" s="39"/>
      <c r="E5811" s="39"/>
      <c r="F5811" s="39"/>
    </row>
    <row r="5812">
      <c r="D5812" s="39"/>
      <c r="E5812" s="39"/>
      <c r="F5812" s="39"/>
    </row>
    <row r="5813">
      <c r="D5813" s="39"/>
      <c r="E5813" s="39"/>
      <c r="F5813" s="39"/>
    </row>
    <row r="5814">
      <c r="D5814" s="39"/>
      <c r="E5814" s="39"/>
      <c r="F5814" s="39"/>
    </row>
    <row r="5815">
      <c r="D5815" s="39"/>
      <c r="E5815" s="39"/>
      <c r="F5815" s="39"/>
    </row>
    <row r="5816">
      <c r="D5816" s="39"/>
      <c r="E5816" s="39"/>
      <c r="F5816" s="39"/>
    </row>
    <row r="5817">
      <c r="D5817" s="39"/>
      <c r="E5817" s="39"/>
      <c r="F5817" s="39"/>
    </row>
    <row r="5818">
      <c r="D5818" s="39"/>
      <c r="E5818" s="39"/>
      <c r="F5818" s="39"/>
    </row>
    <row r="5819">
      <c r="D5819" s="39"/>
      <c r="E5819" s="39"/>
      <c r="F5819" s="39"/>
    </row>
    <row r="5820">
      <c r="D5820" s="39"/>
      <c r="E5820" s="39"/>
      <c r="F5820" s="39"/>
    </row>
    <row r="5821">
      <c r="D5821" s="39"/>
      <c r="E5821" s="39"/>
      <c r="F5821" s="39"/>
    </row>
    <row r="5822">
      <c r="D5822" s="39"/>
      <c r="E5822" s="39"/>
      <c r="F5822" s="39"/>
    </row>
    <row r="5823">
      <c r="D5823" s="39"/>
      <c r="E5823" s="39"/>
      <c r="F5823" s="39"/>
    </row>
    <row r="5824">
      <c r="D5824" s="39"/>
      <c r="E5824" s="39"/>
      <c r="F5824" s="39"/>
    </row>
    <row r="5825">
      <c r="D5825" s="39"/>
      <c r="E5825" s="39"/>
      <c r="F5825" s="39"/>
    </row>
    <row r="5826">
      <c r="D5826" s="39"/>
      <c r="E5826" s="39"/>
      <c r="F5826" s="39"/>
    </row>
    <row r="5827">
      <c r="D5827" s="39"/>
      <c r="E5827" s="39"/>
      <c r="F5827" s="39"/>
    </row>
    <row r="5828">
      <c r="D5828" s="39"/>
      <c r="E5828" s="39"/>
      <c r="F5828" s="39"/>
    </row>
    <row r="5829">
      <c r="D5829" s="39"/>
      <c r="E5829" s="39"/>
      <c r="F5829" s="39"/>
    </row>
    <row r="5830">
      <c r="D5830" s="39"/>
      <c r="E5830" s="39"/>
      <c r="F5830" s="39"/>
    </row>
    <row r="5831">
      <c r="D5831" s="39"/>
      <c r="E5831" s="39"/>
      <c r="F5831" s="39"/>
    </row>
    <row r="5832">
      <c r="D5832" s="39"/>
      <c r="E5832" s="39"/>
      <c r="F5832" s="39"/>
    </row>
    <row r="5833">
      <c r="D5833" s="39"/>
      <c r="E5833" s="39"/>
      <c r="F5833" s="39"/>
    </row>
    <row r="5834">
      <c r="D5834" s="39"/>
      <c r="E5834" s="39"/>
      <c r="F5834" s="39"/>
    </row>
    <row r="5835">
      <c r="D5835" s="39"/>
      <c r="E5835" s="39"/>
      <c r="F5835" s="39"/>
    </row>
    <row r="5836">
      <c r="D5836" s="39"/>
      <c r="E5836" s="39"/>
      <c r="F5836" s="39"/>
    </row>
    <row r="5837">
      <c r="D5837" s="39"/>
      <c r="E5837" s="39"/>
      <c r="F5837" s="39"/>
    </row>
    <row r="5838">
      <c r="D5838" s="39"/>
      <c r="E5838" s="39"/>
      <c r="F5838" s="39"/>
    </row>
    <row r="5839">
      <c r="D5839" s="39"/>
      <c r="E5839" s="39"/>
      <c r="F5839" s="39"/>
    </row>
    <row r="5840">
      <c r="D5840" s="39"/>
      <c r="E5840" s="39"/>
      <c r="F5840" s="39"/>
    </row>
    <row r="5841">
      <c r="D5841" s="39"/>
      <c r="E5841" s="39"/>
      <c r="F5841" s="39"/>
    </row>
    <row r="5842">
      <c r="D5842" s="39"/>
      <c r="E5842" s="39"/>
      <c r="F5842" s="39"/>
    </row>
    <row r="5843">
      <c r="D5843" s="39"/>
      <c r="E5843" s="39"/>
      <c r="F5843" s="39"/>
    </row>
    <row r="5844">
      <c r="D5844" s="39"/>
      <c r="E5844" s="39"/>
      <c r="F5844" s="39"/>
    </row>
    <row r="5845">
      <c r="D5845" s="39"/>
      <c r="E5845" s="39"/>
      <c r="F5845" s="39"/>
    </row>
    <row r="5846">
      <c r="D5846" s="39"/>
      <c r="E5846" s="39"/>
      <c r="F5846" s="39"/>
    </row>
    <row r="5847">
      <c r="D5847" s="39"/>
      <c r="E5847" s="39"/>
      <c r="F5847" s="39"/>
    </row>
    <row r="5848">
      <c r="D5848" s="39"/>
      <c r="E5848" s="39"/>
      <c r="F5848" s="39"/>
    </row>
    <row r="5849">
      <c r="D5849" s="39"/>
      <c r="E5849" s="39"/>
      <c r="F5849" s="39"/>
    </row>
    <row r="5850">
      <c r="D5850" s="39"/>
      <c r="E5850" s="39"/>
      <c r="F5850" s="39"/>
    </row>
    <row r="5851">
      <c r="D5851" s="39"/>
      <c r="E5851" s="39"/>
      <c r="F5851" s="39"/>
    </row>
    <row r="5852">
      <c r="D5852" s="39"/>
      <c r="E5852" s="39"/>
      <c r="F5852" s="39"/>
    </row>
    <row r="5853">
      <c r="D5853" s="39"/>
      <c r="E5853" s="39"/>
      <c r="F5853" s="39"/>
    </row>
    <row r="5854">
      <c r="D5854" s="39"/>
      <c r="E5854" s="39"/>
      <c r="F5854" s="39"/>
    </row>
    <row r="5855">
      <c r="D5855" s="39"/>
      <c r="E5855" s="39"/>
      <c r="F5855" s="39"/>
    </row>
    <row r="5856">
      <c r="D5856" s="39"/>
      <c r="E5856" s="39"/>
      <c r="F5856" s="39"/>
    </row>
    <row r="5857">
      <c r="D5857" s="39"/>
      <c r="E5857" s="39"/>
      <c r="F5857" s="39"/>
    </row>
    <row r="5858">
      <c r="D5858" s="39"/>
      <c r="E5858" s="39"/>
      <c r="F5858" s="39"/>
    </row>
    <row r="5859">
      <c r="D5859" s="39"/>
      <c r="E5859" s="39"/>
      <c r="F5859" s="39"/>
    </row>
    <row r="5860">
      <c r="D5860" s="39"/>
      <c r="E5860" s="39"/>
      <c r="F5860" s="39"/>
    </row>
    <row r="5861">
      <c r="D5861" s="39"/>
      <c r="E5861" s="39"/>
      <c r="F5861" s="39"/>
    </row>
    <row r="5862">
      <c r="D5862" s="39"/>
      <c r="E5862" s="39"/>
      <c r="F5862" s="39"/>
    </row>
    <row r="5863">
      <c r="D5863" s="39"/>
      <c r="E5863" s="39"/>
      <c r="F5863" s="39"/>
    </row>
    <row r="5864">
      <c r="D5864" s="39"/>
      <c r="E5864" s="39"/>
      <c r="F5864" s="39"/>
    </row>
    <row r="5865">
      <c r="D5865" s="39"/>
      <c r="E5865" s="39"/>
      <c r="F5865" s="39"/>
    </row>
    <row r="5866">
      <c r="D5866" s="39"/>
      <c r="E5866" s="39"/>
      <c r="F5866" s="39"/>
    </row>
    <row r="5867">
      <c r="D5867" s="39"/>
      <c r="E5867" s="39"/>
      <c r="F5867" s="39"/>
    </row>
    <row r="5868">
      <c r="D5868" s="39"/>
      <c r="E5868" s="39"/>
      <c r="F5868" s="39"/>
    </row>
    <row r="5869">
      <c r="D5869" s="39"/>
      <c r="E5869" s="39"/>
      <c r="F5869" s="39"/>
    </row>
    <row r="5870">
      <c r="D5870" s="39"/>
      <c r="E5870" s="39"/>
      <c r="F5870" s="39"/>
    </row>
    <row r="5871">
      <c r="D5871" s="39"/>
      <c r="E5871" s="39"/>
      <c r="F5871" s="39"/>
    </row>
    <row r="5872">
      <c r="D5872" s="39"/>
      <c r="E5872" s="39"/>
      <c r="F5872" s="39"/>
    </row>
    <row r="5873">
      <c r="D5873" s="39"/>
      <c r="E5873" s="39"/>
      <c r="F5873" s="39"/>
    </row>
    <row r="5874">
      <c r="D5874" s="39"/>
      <c r="E5874" s="39"/>
      <c r="F5874" s="39"/>
    </row>
    <row r="5875">
      <c r="D5875" s="39"/>
      <c r="E5875" s="39"/>
      <c r="F5875" s="39"/>
    </row>
    <row r="5876">
      <c r="D5876" s="39"/>
      <c r="E5876" s="39"/>
      <c r="F5876" s="39"/>
    </row>
    <row r="5877">
      <c r="D5877" s="39"/>
      <c r="E5877" s="39"/>
      <c r="F5877" s="39"/>
    </row>
    <row r="5878">
      <c r="D5878" s="39"/>
      <c r="E5878" s="39"/>
      <c r="F5878" s="39"/>
    </row>
    <row r="5879">
      <c r="D5879" s="39"/>
      <c r="E5879" s="39"/>
      <c r="F5879" s="39"/>
    </row>
    <row r="5880">
      <c r="D5880" s="39"/>
      <c r="E5880" s="39"/>
      <c r="F5880" s="39"/>
    </row>
    <row r="5881">
      <c r="D5881" s="39"/>
      <c r="E5881" s="39"/>
      <c r="F5881" s="39"/>
    </row>
    <row r="5882">
      <c r="D5882" s="39"/>
      <c r="E5882" s="39"/>
      <c r="F5882" s="39"/>
    </row>
    <row r="5883">
      <c r="D5883" s="39"/>
      <c r="E5883" s="39"/>
      <c r="F5883" s="39"/>
    </row>
    <row r="5884">
      <c r="D5884" s="39"/>
      <c r="E5884" s="39"/>
      <c r="F5884" s="39"/>
    </row>
    <row r="5885">
      <c r="D5885" s="39"/>
      <c r="E5885" s="39"/>
      <c r="F5885" s="39"/>
    </row>
    <row r="5886">
      <c r="D5886" s="39"/>
      <c r="E5886" s="39"/>
      <c r="F5886" s="39"/>
    </row>
    <row r="5887">
      <c r="D5887" s="39"/>
      <c r="E5887" s="39"/>
      <c r="F5887" s="39"/>
    </row>
    <row r="5888">
      <c r="D5888" s="39"/>
      <c r="E5888" s="39"/>
      <c r="F5888" s="39"/>
    </row>
    <row r="5889">
      <c r="D5889" s="39"/>
      <c r="E5889" s="39"/>
      <c r="F5889" s="39"/>
    </row>
    <row r="5890">
      <c r="D5890" s="39"/>
      <c r="E5890" s="39"/>
      <c r="F5890" s="39"/>
    </row>
    <row r="5891">
      <c r="D5891" s="39"/>
      <c r="E5891" s="39"/>
      <c r="F5891" s="39"/>
    </row>
    <row r="5892">
      <c r="D5892" s="39"/>
      <c r="E5892" s="39"/>
      <c r="F5892" s="39"/>
    </row>
    <row r="5893">
      <c r="D5893" s="39"/>
      <c r="E5893" s="39"/>
      <c r="F5893" s="39"/>
    </row>
    <row r="5894">
      <c r="D5894" s="39"/>
      <c r="E5894" s="39"/>
      <c r="F5894" s="39"/>
    </row>
    <row r="5895">
      <c r="D5895" s="39"/>
      <c r="E5895" s="39"/>
      <c r="F5895" s="39"/>
    </row>
    <row r="5896">
      <c r="D5896" s="39"/>
      <c r="E5896" s="39"/>
      <c r="F5896" s="39"/>
    </row>
    <row r="5897">
      <c r="D5897" s="39"/>
      <c r="E5897" s="39"/>
      <c r="F5897" s="39"/>
    </row>
    <row r="5898">
      <c r="D5898" s="39"/>
      <c r="E5898" s="39"/>
      <c r="F5898" s="39"/>
    </row>
    <row r="5899">
      <c r="D5899" s="39"/>
      <c r="E5899" s="39"/>
      <c r="F5899" s="39"/>
    </row>
    <row r="5900">
      <c r="D5900" s="39"/>
      <c r="E5900" s="39"/>
      <c r="F5900" s="39"/>
    </row>
    <row r="5901">
      <c r="D5901" s="39"/>
      <c r="E5901" s="39"/>
      <c r="F5901" s="39"/>
    </row>
    <row r="5902">
      <c r="D5902" s="39"/>
      <c r="E5902" s="39"/>
      <c r="F5902" s="39"/>
    </row>
    <row r="5903">
      <c r="D5903" s="39"/>
      <c r="E5903" s="39"/>
      <c r="F5903" s="39"/>
    </row>
    <row r="5904">
      <c r="D5904" s="39"/>
      <c r="E5904" s="39"/>
      <c r="F5904" s="39"/>
    </row>
    <row r="5905">
      <c r="D5905" s="39"/>
      <c r="E5905" s="39"/>
      <c r="F5905" s="39"/>
    </row>
    <row r="5906">
      <c r="D5906" s="39"/>
      <c r="E5906" s="39"/>
      <c r="F5906" s="39"/>
    </row>
    <row r="5907">
      <c r="D5907" s="39"/>
      <c r="E5907" s="39"/>
      <c r="F5907" s="39"/>
    </row>
    <row r="5908">
      <c r="D5908" s="39"/>
      <c r="E5908" s="39"/>
      <c r="F5908" s="39"/>
    </row>
    <row r="5909">
      <c r="D5909" s="39"/>
      <c r="E5909" s="39"/>
      <c r="F5909" s="39"/>
    </row>
    <row r="5910">
      <c r="D5910" s="39"/>
      <c r="E5910" s="39"/>
      <c r="F5910" s="39"/>
    </row>
    <row r="5911">
      <c r="D5911" s="39"/>
      <c r="E5911" s="39"/>
      <c r="F5911" s="39"/>
    </row>
    <row r="5912">
      <c r="D5912" s="39"/>
      <c r="E5912" s="39"/>
      <c r="F5912" s="39"/>
    </row>
    <row r="5913">
      <c r="D5913" s="39"/>
      <c r="E5913" s="39"/>
      <c r="F5913" s="39"/>
    </row>
    <row r="5914">
      <c r="D5914" s="39"/>
      <c r="E5914" s="39"/>
      <c r="F5914" s="39"/>
    </row>
    <row r="5915">
      <c r="D5915" s="39"/>
      <c r="E5915" s="39"/>
      <c r="F5915" s="39"/>
    </row>
    <row r="5916">
      <c r="D5916" s="39"/>
      <c r="E5916" s="39"/>
      <c r="F5916" s="39"/>
    </row>
    <row r="5917">
      <c r="D5917" s="39"/>
      <c r="E5917" s="39"/>
      <c r="F5917" s="39"/>
    </row>
    <row r="5918">
      <c r="D5918" s="39"/>
      <c r="E5918" s="39"/>
      <c r="F5918" s="39"/>
    </row>
    <row r="5919">
      <c r="D5919" s="39"/>
      <c r="E5919" s="39"/>
      <c r="F5919" s="39"/>
    </row>
    <row r="5920">
      <c r="D5920" s="39"/>
      <c r="E5920" s="39"/>
      <c r="F5920" s="39"/>
    </row>
    <row r="5921">
      <c r="D5921" s="39"/>
      <c r="E5921" s="39"/>
      <c r="F5921" s="39"/>
    </row>
    <row r="5922">
      <c r="D5922" s="39"/>
      <c r="E5922" s="39"/>
      <c r="F5922" s="39"/>
    </row>
    <row r="5923">
      <c r="D5923" s="39"/>
      <c r="E5923" s="39"/>
      <c r="F5923" s="39"/>
    </row>
    <row r="5924">
      <c r="D5924" s="39"/>
      <c r="E5924" s="39"/>
      <c r="F5924" s="39"/>
    </row>
    <row r="5925">
      <c r="D5925" s="39"/>
      <c r="E5925" s="39"/>
      <c r="F5925" s="39"/>
    </row>
    <row r="5926">
      <c r="D5926" s="39"/>
      <c r="E5926" s="39"/>
      <c r="F5926" s="39"/>
    </row>
    <row r="5927">
      <c r="D5927" s="39"/>
      <c r="E5927" s="39"/>
      <c r="F5927" s="39"/>
    </row>
    <row r="5928">
      <c r="D5928" s="39"/>
      <c r="E5928" s="39"/>
      <c r="F5928" s="39"/>
    </row>
    <row r="5929">
      <c r="D5929" s="39"/>
      <c r="E5929" s="39"/>
      <c r="F5929" s="39"/>
    </row>
    <row r="5930">
      <c r="D5930" s="39"/>
      <c r="E5930" s="39"/>
      <c r="F5930" s="39"/>
    </row>
    <row r="5931">
      <c r="D5931" s="39"/>
      <c r="E5931" s="39"/>
      <c r="F5931" s="39"/>
    </row>
    <row r="5932">
      <c r="D5932" s="39"/>
      <c r="E5932" s="39"/>
      <c r="F5932" s="39"/>
    </row>
    <row r="5933">
      <c r="D5933" s="39"/>
      <c r="E5933" s="39"/>
      <c r="F5933" s="39"/>
    </row>
    <row r="5934">
      <c r="D5934" s="39"/>
      <c r="E5934" s="39"/>
      <c r="F5934" s="39"/>
    </row>
    <row r="5935">
      <c r="D5935" s="39"/>
      <c r="E5935" s="39"/>
      <c r="F5935" s="39"/>
    </row>
    <row r="5936">
      <c r="D5936" s="39"/>
      <c r="E5936" s="39"/>
      <c r="F5936" s="39"/>
    </row>
    <row r="5937">
      <c r="D5937" s="39"/>
      <c r="E5937" s="39"/>
      <c r="F5937" s="39"/>
    </row>
    <row r="5938">
      <c r="D5938" s="39"/>
      <c r="E5938" s="39"/>
      <c r="F5938" s="39"/>
    </row>
    <row r="5939">
      <c r="D5939" s="39"/>
      <c r="E5939" s="39"/>
      <c r="F5939" s="39"/>
    </row>
    <row r="5940">
      <c r="D5940" s="39"/>
      <c r="E5940" s="39"/>
      <c r="F5940" s="39"/>
    </row>
    <row r="5941">
      <c r="D5941" s="39"/>
      <c r="E5941" s="39"/>
      <c r="F5941" s="39"/>
    </row>
    <row r="5942">
      <c r="D5942" s="39"/>
      <c r="E5942" s="39"/>
      <c r="F5942" s="39"/>
    </row>
    <row r="5943">
      <c r="D5943" s="39"/>
      <c r="E5943" s="39"/>
      <c r="F5943" s="39"/>
    </row>
    <row r="5944">
      <c r="D5944" s="39"/>
      <c r="E5944" s="39"/>
      <c r="F5944" s="39"/>
    </row>
    <row r="5945">
      <c r="D5945" s="39"/>
      <c r="E5945" s="39"/>
      <c r="F5945" s="39"/>
    </row>
    <row r="5946">
      <c r="D5946" s="39"/>
      <c r="E5946" s="39"/>
      <c r="F5946" s="39"/>
    </row>
    <row r="5947">
      <c r="D5947" s="39"/>
      <c r="E5947" s="39"/>
      <c r="F5947" s="39"/>
    </row>
    <row r="5948">
      <c r="D5948" s="39"/>
      <c r="E5948" s="39"/>
      <c r="F5948" s="39"/>
    </row>
    <row r="5949">
      <c r="D5949" s="39"/>
      <c r="E5949" s="39"/>
      <c r="F5949" s="39"/>
    </row>
    <row r="5950">
      <c r="D5950" s="39"/>
      <c r="E5950" s="39"/>
      <c r="F5950" s="39"/>
    </row>
    <row r="5951">
      <c r="D5951" s="39"/>
      <c r="E5951" s="39"/>
      <c r="F5951" s="39"/>
    </row>
    <row r="5952">
      <c r="D5952" s="39"/>
      <c r="E5952" s="39"/>
      <c r="F5952" s="39"/>
    </row>
    <row r="5953">
      <c r="D5953" s="39"/>
      <c r="E5953" s="39"/>
      <c r="F5953" s="39"/>
    </row>
    <row r="5954">
      <c r="D5954" s="39"/>
      <c r="E5954" s="39"/>
      <c r="F5954" s="39"/>
    </row>
    <row r="5955">
      <c r="D5955" s="39"/>
      <c r="E5955" s="39"/>
      <c r="F5955" s="39"/>
    </row>
    <row r="5956">
      <c r="D5956" s="39"/>
      <c r="E5956" s="39"/>
      <c r="F5956" s="39"/>
    </row>
    <row r="5957">
      <c r="D5957" s="39"/>
      <c r="E5957" s="39"/>
      <c r="F5957" s="39"/>
    </row>
    <row r="5958">
      <c r="D5958" s="39"/>
      <c r="E5958" s="39"/>
      <c r="F5958" s="39"/>
    </row>
    <row r="5959">
      <c r="D5959" s="39"/>
      <c r="E5959" s="39"/>
      <c r="F5959" s="39"/>
    </row>
    <row r="5960">
      <c r="D5960" s="39"/>
      <c r="E5960" s="39"/>
      <c r="F5960" s="39"/>
    </row>
    <row r="5961">
      <c r="D5961" s="39"/>
      <c r="E5961" s="39"/>
      <c r="F5961" s="39"/>
    </row>
    <row r="5962">
      <c r="D5962" s="39"/>
      <c r="E5962" s="39"/>
      <c r="F5962" s="39"/>
    </row>
    <row r="5963">
      <c r="D5963" s="39"/>
      <c r="E5963" s="39"/>
      <c r="F5963" s="39"/>
    </row>
    <row r="5964">
      <c r="D5964" s="39"/>
      <c r="E5964" s="39"/>
      <c r="F5964" s="39"/>
    </row>
    <row r="5965">
      <c r="D5965" s="39"/>
      <c r="E5965" s="39"/>
      <c r="F5965" s="39"/>
    </row>
    <row r="5966">
      <c r="D5966" s="39"/>
      <c r="E5966" s="39"/>
      <c r="F5966" s="39"/>
    </row>
    <row r="5967">
      <c r="D5967" s="39"/>
      <c r="E5967" s="39"/>
      <c r="F5967" s="39"/>
    </row>
    <row r="5968">
      <c r="D5968" s="39"/>
      <c r="E5968" s="39"/>
      <c r="F5968" s="39"/>
    </row>
    <row r="5969">
      <c r="D5969" s="39"/>
      <c r="E5969" s="39"/>
      <c r="F5969" s="39"/>
    </row>
    <row r="5970">
      <c r="D5970" s="39"/>
      <c r="E5970" s="39"/>
      <c r="F5970" s="39"/>
    </row>
    <row r="5971">
      <c r="D5971" s="39"/>
      <c r="E5971" s="39"/>
      <c r="F5971" s="39"/>
    </row>
    <row r="5972">
      <c r="D5972" s="39"/>
      <c r="E5972" s="39"/>
      <c r="F5972" s="39"/>
    </row>
    <row r="5973">
      <c r="D5973" s="39"/>
      <c r="E5973" s="39"/>
      <c r="F5973" s="39"/>
    </row>
    <row r="5974">
      <c r="D5974" s="39"/>
      <c r="E5974" s="39"/>
      <c r="F5974" s="39"/>
    </row>
    <row r="5975">
      <c r="D5975" s="39"/>
      <c r="E5975" s="39"/>
      <c r="F5975" s="39"/>
    </row>
    <row r="5976">
      <c r="D5976" s="39"/>
      <c r="E5976" s="39"/>
      <c r="F5976" s="39"/>
    </row>
    <row r="5977">
      <c r="D5977" s="39"/>
      <c r="E5977" s="39"/>
      <c r="F5977" s="39"/>
    </row>
    <row r="5978">
      <c r="D5978" s="39"/>
      <c r="E5978" s="39"/>
      <c r="F5978" s="39"/>
    </row>
    <row r="5979">
      <c r="D5979" s="39"/>
      <c r="E5979" s="39"/>
      <c r="F5979" s="39"/>
    </row>
    <row r="5980">
      <c r="D5980" s="39"/>
      <c r="E5980" s="39"/>
      <c r="F5980" s="39"/>
    </row>
    <row r="5981">
      <c r="D5981" s="39"/>
      <c r="E5981" s="39"/>
      <c r="F5981" s="39"/>
    </row>
    <row r="5982">
      <c r="D5982" s="39"/>
      <c r="E5982" s="39"/>
      <c r="F5982" s="39"/>
    </row>
    <row r="5983">
      <c r="D5983" s="39"/>
      <c r="E5983" s="39"/>
      <c r="F5983" s="39"/>
    </row>
    <row r="5984">
      <c r="D5984" s="39"/>
      <c r="E5984" s="39"/>
      <c r="F5984" s="39"/>
    </row>
    <row r="5985">
      <c r="D5985" s="39"/>
      <c r="E5985" s="39"/>
      <c r="F5985" s="39"/>
    </row>
    <row r="5986">
      <c r="D5986" s="39"/>
      <c r="E5986" s="39"/>
      <c r="F5986" s="39"/>
    </row>
    <row r="5987">
      <c r="D5987" s="39"/>
      <c r="E5987" s="39"/>
      <c r="F5987" s="39"/>
    </row>
    <row r="5988">
      <c r="D5988" s="39"/>
      <c r="E5988" s="39"/>
      <c r="F5988" s="39"/>
    </row>
    <row r="5989">
      <c r="D5989" s="39"/>
      <c r="E5989" s="39"/>
      <c r="F5989" s="39"/>
    </row>
    <row r="5990">
      <c r="D5990" s="39"/>
      <c r="E5990" s="39"/>
      <c r="F5990" s="39"/>
    </row>
    <row r="5991">
      <c r="D5991" s="39"/>
      <c r="E5991" s="39"/>
      <c r="F5991" s="39"/>
    </row>
    <row r="5992">
      <c r="D5992" s="39"/>
      <c r="E5992" s="39"/>
      <c r="F5992" s="39"/>
    </row>
    <row r="5993">
      <c r="D5993" s="39"/>
      <c r="E5993" s="39"/>
      <c r="F5993" s="39"/>
    </row>
    <row r="5994">
      <c r="D5994" s="39"/>
      <c r="E5994" s="39"/>
      <c r="F5994" s="39"/>
    </row>
    <row r="5995">
      <c r="D5995" s="39"/>
      <c r="E5995" s="39"/>
      <c r="F5995" s="39"/>
    </row>
    <row r="5996">
      <c r="D5996" s="39"/>
      <c r="E5996" s="39"/>
      <c r="F5996" s="39"/>
    </row>
    <row r="5997">
      <c r="D5997" s="39"/>
      <c r="E5997" s="39"/>
      <c r="F5997" s="39"/>
    </row>
    <row r="5998">
      <c r="D5998" s="39"/>
      <c r="E5998" s="39"/>
      <c r="F5998" s="39"/>
    </row>
    <row r="5999">
      <c r="D5999" s="39"/>
      <c r="E5999" s="39"/>
      <c r="F5999" s="39"/>
    </row>
    <row r="6000">
      <c r="D6000" s="39"/>
      <c r="E6000" s="39"/>
      <c r="F6000" s="39"/>
    </row>
    <row r="6001">
      <c r="D6001" s="39"/>
      <c r="E6001" s="39"/>
      <c r="F6001" s="39"/>
    </row>
    <row r="6002">
      <c r="D6002" s="39"/>
      <c r="E6002" s="39"/>
      <c r="F6002" s="39"/>
    </row>
    <row r="6003">
      <c r="D6003" s="39"/>
      <c r="E6003" s="39"/>
      <c r="F6003" s="39"/>
    </row>
    <row r="6004">
      <c r="D6004" s="39"/>
      <c r="E6004" s="39"/>
      <c r="F6004" s="39"/>
    </row>
    <row r="6005">
      <c r="D6005" s="39"/>
      <c r="E6005" s="39"/>
      <c r="F6005" s="39"/>
    </row>
    <row r="6006">
      <c r="D6006" s="39"/>
      <c r="E6006" s="39"/>
      <c r="F6006" s="39"/>
    </row>
    <row r="6007">
      <c r="D6007" s="39"/>
      <c r="E6007" s="39"/>
      <c r="F6007" s="39"/>
    </row>
    <row r="6008">
      <c r="D6008" s="39"/>
      <c r="E6008" s="39"/>
      <c r="F6008" s="39"/>
    </row>
    <row r="6009">
      <c r="D6009" s="39"/>
      <c r="E6009" s="39"/>
      <c r="F6009" s="39"/>
    </row>
    <row r="6010">
      <c r="D6010" s="39"/>
      <c r="E6010" s="39"/>
      <c r="F6010" s="39"/>
    </row>
    <row r="6011">
      <c r="D6011" s="39"/>
      <c r="E6011" s="39"/>
      <c r="F6011" s="39"/>
    </row>
    <row r="6012">
      <c r="D6012" s="39"/>
      <c r="E6012" s="39"/>
      <c r="F6012" s="39"/>
    </row>
    <row r="6013">
      <c r="D6013" s="39"/>
      <c r="E6013" s="39"/>
      <c r="F6013" s="39"/>
    </row>
    <row r="6014">
      <c r="D6014" s="39"/>
      <c r="E6014" s="39"/>
      <c r="F6014" s="39"/>
    </row>
    <row r="6015">
      <c r="D6015" s="39"/>
      <c r="E6015" s="39"/>
      <c r="F6015" s="39"/>
    </row>
    <row r="6016">
      <c r="D6016" s="39"/>
      <c r="E6016" s="39"/>
      <c r="F6016" s="39"/>
    </row>
    <row r="6017">
      <c r="D6017" s="39"/>
      <c r="E6017" s="39"/>
      <c r="F6017" s="39"/>
    </row>
    <row r="6018">
      <c r="D6018" s="39"/>
      <c r="E6018" s="39"/>
      <c r="F6018" s="39"/>
    </row>
    <row r="6019">
      <c r="D6019" s="39"/>
      <c r="E6019" s="39"/>
      <c r="F6019" s="39"/>
    </row>
    <row r="6020">
      <c r="D6020" s="39"/>
      <c r="E6020" s="39"/>
      <c r="F6020" s="39"/>
    </row>
    <row r="6021">
      <c r="D6021" s="39"/>
      <c r="E6021" s="39"/>
      <c r="F6021" s="39"/>
    </row>
    <row r="6022">
      <c r="D6022" s="39"/>
      <c r="E6022" s="39"/>
      <c r="F6022" s="39"/>
    </row>
    <row r="6023">
      <c r="D6023" s="39"/>
      <c r="E6023" s="39"/>
      <c r="F6023" s="39"/>
    </row>
    <row r="6024">
      <c r="D6024" s="39"/>
      <c r="E6024" s="39"/>
      <c r="F6024" s="39"/>
    </row>
    <row r="6025">
      <c r="D6025" s="39"/>
      <c r="E6025" s="39"/>
      <c r="F6025" s="39"/>
    </row>
    <row r="6026">
      <c r="D6026" s="39"/>
      <c r="E6026" s="39"/>
      <c r="F6026" s="39"/>
    </row>
    <row r="6027">
      <c r="D6027" s="39"/>
      <c r="E6027" s="39"/>
      <c r="F6027" s="39"/>
    </row>
    <row r="6028">
      <c r="D6028" s="39"/>
      <c r="E6028" s="39"/>
      <c r="F6028" s="39"/>
    </row>
    <row r="6029">
      <c r="D6029" s="39"/>
      <c r="E6029" s="39"/>
      <c r="F6029" s="39"/>
    </row>
    <row r="6030">
      <c r="D6030" s="39"/>
      <c r="E6030" s="39"/>
      <c r="F6030" s="39"/>
    </row>
    <row r="6031">
      <c r="D6031" s="39"/>
      <c r="E6031" s="39"/>
      <c r="F6031" s="39"/>
    </row>
    <row r="6032">
      <c r="D6032" s="39"/>
      <c r="E6032" s="39"/>
      <c r="F6032" s="39"/>
    </row>
    <row r="6033">
      <c r="D6033" s="39"/>
      <c r="E6033" s="39"/>
      <c r="F6033" s="39"/>
    </row>
    <row r="6034">
      <c r="D6034" s="39"/>
      <c r="E6034" s="39"/>
      <c r="F6034" s="39"/>
    </row>
    <row r="6035">
      <c r="D6035" s="39"/>
      <c r="E6035" s="39"/>
      <c r="F6035" s="39"/>
    </row>
    <row r="6036">
      <c r="D6036" s="39"/>
      <c r="E6036" s="39"/>
      <c r="F6036" s="39"/>
    </row>
    <row r="6037">
      <c r="D6037" s="39"/>
      <c r="E6037" s="39"/>
      <c r="F6037" s="39"/>
    </row>
    <row r="6038">
      <c r="D6038" s="39"/>
      <c r="E6038" s="39"/>
      <c r="F6038" s="39"/>
    </row>
    <row r="6039">
      <c r="D6039" s="39"/>
      <c r="E6039" s="39"/>
      <c r="F6039" s="39"/>
    </row>
    <row r="6040">
      <c r="D6040" s="39"/>
      <c r="E6040" s="39"/>
      <c r="F6040" s="39"/>
    </row>
    <row r="6041">
      <c r="D6041" s="39"/>
      <c r="E6041" s="39"/>
      <c r="F6041" s="39"/>
    </row>
    <row r="6042">
      <c r="D6042" s="39"/>
      <c r="E6042" s="39"/>
      <c r="F6042" s="39"/>
    </row>
    <row r="6043">
      <c r="D6043" s="39"/>
      <c r="E6043" s="39"/>
      <c r="F6043" s="39"/>
    </row>
    <row r="6044">
      <c r="D6044" s="39"/>
      <c r="E6044" s="39"/>
      <c r="F6044" s="39"/>
    </row>
    <row r="6045">
      <c r="D6045" s="39"/>
      <c r="E6045" s="39"/>
      <c r="F6045" s="39"/>
    </row>
    <row r="6046">
      <c r="D6046" s="39"/>
      <c r="E6046" s="39"/>
      <c r="F6046" s="39"/>
    </row>
    <row r="6047">
      <c r="D6047" s="39"/>
      <c r="E6047" s="39"/>
      <c r="F6047" s="39"/>
    </row>
    <row r="6048">
      <c r="D6048" s="39"/>
      <c r="E6048" s="39"/>
      <c r="F6048" s="39"/>
    </row>
    <row r="6049">
      <c r="D6049" s="39"/>
      <c r="E6049" s="39"/>
      <c r="F6049" s="39"/>
    </row>
    <row r="6050">
      <c r="D6050" s="39"/>
      <c r="E6050" s="39"/>
      <c r="F6050" s="39"/>
    </row>
    <row r="6051">
      <c r="D6051" s="39"/>
      <c r="E6051" s="39"/>
      <c r="F6051" s="39"/>
    </row>
    <row r="6052">
      <c r="D6052" s="39"/>
      <c r="E6052" s="39"/>
      <c r="F6052" s="39"/>
    </row>
    <row r="6053">
      <c r="D6053" s="39"/>
      <c r="E6053" s="39"/>
      <c r="F6053" s="39"/>
    </row>
    <row r="6054">
      <c r="D6054" s="39"/>
      <c r="E6054" s="39"/>
      <c r="F6054" s="39"/>
    </row>
    <row r="6055">
      <c r="D6055" s="39"/>
      <c r="E6055" s="39"/>
      <c r="F6055" s="39"/>
    </row>
    <row r="6056">
      <c r="D6056" s="39"/>
      <c r="E6056" s="39"/>
      <c r="F6056" s="39"/>
    </row>
    <row r="6057">
      <c r="D6057" s="39"/>
      <c r="E6057" s="39"/>
      <c r="F6057" s="39"/>
    </row>
    <row r="6058">
      <c r="D6058" s="39"/>
      <c r="E6058" s="39"/>
      <c r="F6058" s="39"/>
    </row>
    <row r="6059">
      <c r="D6059" s="39"/>
      <c r="E6059" s="39"/>
      <c r="F6059" s="39"/>
    </row>
    <row r="6060">
      <c r="D6060" s="39"/>
      <c r="E6060" s="39"/>
      <c r="F6060" s="39"/>
    </row>
    <row r="6061">
      <c r="D6061" s="39"/>
      <c r="E6061" s="39"/>
      <c r="F6061" s="39"/>
    </row>
    <row r="6062">
      <c r="D6062" s="39"/>
      <c r="E6062" s="39"/>
      <c r="F6062" s="39"/>
    </row>
    <row r="6063">
      <c r="D6063" s="39"/>
      <c r="E6063" s="39"/>
      <c r="F6063" s="39"/>
    </row>
    <row r="6064">
      <c r="D6064" s="39"/>
      <c r="E6064" s="39"/>
      <c r="F6064" s="39"/>
    </row>
    <row r="6065">
      <c r="D6065" s="39"/>
      <c r="E6065" s="39"/>
      <c r="F6065" s="39"/>
    </row>
    <row r="6066">
      <c r="D6066" s="39"/>
      <c r="E6066" s="39"/>
      <c r="F6066" s="39"/>
    </row>
    <row r="6067">
      <c r="D6067" s="39"/>
      <c r="E6067" s="39"/>
      <c r="F6067" s="39"/>
    </row>
    <row r="6068">
      <c r="D6068" s="39"/>
      <c r="E6068" s="39"/>
      <c r="F6068" s="39"/>
    </row>
    <row r="6069">
      <c r="D6069" s="39"/>
      <c r="E6069" s="39"/>
      <c r="F6069" s="39"/>
    </row>
    <row r="6070">
      <c r="D6070" s="39"/>
      <c r="E6070" s="39"/>
      <c r="F6070" s="39"/>
    </row>
    <row r="6071">
      <c r="D6071" s="39"/>
      <c r="E6071" s="39"/>
      <c r="F6071" s="39"/>
    </row>
    <row r="6072">
      <c r="D6072" s="39"/>
      <c r="E6072" s="39"/>
      <c r="F6072" s="39"/>
    </row>
    <row r="6073">
      <c r="D6073" s="39"/>
      <c r="E6073" s="39"/>
      <c r="F6073" s="39"/>
    </row>
    <row r="6074">
      <c r="D6074" s="39"/>
      <c r="E6074" s="39"/>
      <c r="F6074" s="39"/>
    </row>
    <row r="6075">
      <c r="D6075" s="39"/>
      <c r="E6075" s="39"/>
      <c r="F6075" s="39"/>
    </row>
    <row r="6076">
      <c r="D6076" s="39"/>
      <c r="E6076" s="39"/>
      <c r="F6076" s="39"/>
    </row>
    <row r="6077">
      <c r="D6077" s="39"/>
      <c r="E6077" s="39"/>
      <c r="F6077" s="39"/>
    </row>
    <row r="6078">
      <c r="D6078" s="39"/>
      <c r="E6078" s="39"/>
      <c r="F6078" s="39"/>
    </row>
    <row r="6079">
      <c r="D6079" s="39"/>
      <c r="E6079" s="39"/>
      <c r="F6079" s="39"/>
    </row>
    <row r="6080">
      <c r="D6080" s="39"/>
      <c r="E6080" s="39"/>
      <c r="F6080" s="39"/>
    </row>
    <row r="6081">
      <c r="D6081" s="39"/>
      <c r="E6081" s="39"/>
      <c r="F6081" s="39"/>
    </row>
    <row r="6082">
      <c r="D6082" s="39"/>
      <c r="E6082" s="39"/>
      <c r="F6082" s="39"/>
    </row>
    <row r="6083">
      <c r="D6083" s="39"/>
      <c r="E6083" s="39"/>
      <c r="F6083" s="39"/>
    </row>
    <row r="6084">
      <c r="D6084" s="39"/>
      <c r="E6084" s="39"/>
      <c r="F6084" s="39"/>
    </row>
    <row r="6085">
      <c r="D6085" s="39"/>
      <c r="E6085" s="39"/>
      <c r="F6085" s="39"/>
    </row>
    <row r="6086">
      <c r="D6086" s="39"/>
      <c r="E6086" s="39"/>
      <c r="F6086" s="39"/>
    </row>
    <row r="6087">
      <c r="D6087" s="39"/>
      <c r="E6087" s="39"/>
      <c r="F6087" s="39"/>
    </row>
    <row r="6088">
      <c r="D6088" s="39"/>
      <c r="E6088" s="39"/>
      <c r="F6088" s="39"/>
    </row>
    <row r="6089">
      <c r="D6089" s="39"/>
      <c r="E6089" s="39"/>
      <c r="F6089" s="39"/>
    </row>
    <row r="6090">
      <c r="D6090" s="39"/>
      <c r="E6090" s="39"/>
      <c r="F6090" s="39"/>
    </row>
    <row r="6091">
      <c r="D6091" s="39"/>
      <c r="E6091" s="39"/>
      <c r="F6091" s="39"/>
    </row>
    <row r="6092">
      <c r="D6092" s="39"/>
      <c r="E6092" s="39"/>
      <c r="F6092" s="39"/>
    </row>
    <row r="6093">
      <c r="D6093" s="39"/>
      <c r="E6093" s="39"/>
      <c r="F6093" s="39"/>
    </row>
    <row r="6094">
      <c r="D6094" s="39"/>
      <c r="E6094" s="39"/>
      <c r="F6094" s="39"/>
    </row>
    <row r="6095">
      <c r="D6095" s="39"/>
      <c r="E6095" s="39"/>
      <c r="F6095" s="39"/>
    </row>
    <row r="6096">
      <c r="D6096" s="39"/>
      <c r="E6096" s="39"/>
      <c r="F6096" s="39"/>
    </row>
    <row r="6097">
      <c r="D6097" s="39"/>
      <c r="E6097" s="39"/>
      <c r="F6097" s="39"/>
    </row>
    <row r="6098">
      <c r="D6098" s="39"/>
      <c r="E6098" s="39"/>
      <c r="F6098" s="39"/>
    </row>
    <row r="6099">
      <c r="D6099" s="39"/>
      <c r="E6099" s="39"/>
      <c r="F6099" s="39"/>
    </row>
    <row r="6100">
      <c r="D6100" s="39"/>
      <c r="E6100" s="39"/>
      <c r="F6100" s="39"/>
    </row>
    <row r="6101">
      <c r="D6101" s="39"/>
      <c r="E6101" s="39"/>
      <c r="F6101" s="39"/>
    </row>
    <row r="6102">
      <c r="D6102" s="39"/>
      <c r="E6102" s="39"/>
      <c r="F6102" s="39"/>
    </row>
    <row r="6103">
      <c r="D6103" s="39"/>
      <c r="E6103" s="39"/>
      <c r="F6103" s="39"/>
    </row>
    <row r="6104">
      <c r="D6104" s="39"/>
      <c r="E6104" s="39"/>
      <c r="F6104" s="39"/>
    </row>
    <row r="6105">
      <c r="D6105" s="39"/>
      <c r="E6105" s="39"/>
      <c r="F6105" s="39"/>
    </row>
    <row r="6106">
      <c r="D6106" s="39"/>
      <c r="E6106" s="39"/>
      <c r="F6106" s="39"/>
    </row>
    <row r="6107">
      <c r="D6107" s="39"/>
      <c r="E6107" s="39"/>
      <c r="F6107" s="39"/>
    </row>
    <row r="6108">
      <c r="D6108" s="39"/>
      <c r="E6108" s="39"/>
      <c r="F6108" s="39"/>
    </row>
    <row r="6109">
      <c r="D6109" s="39"/>
      <c r="E6109" s="39"/>
      <c r="F6109" s="39"/>
    </row>
    <row r="6110">
      <c r="D6110" s="39"/>
      <c r="E6110" s="39"/>
      <c r="F6110" s="39"/>
    </row>
    <row r="6111">
      <c r="D6111" s="39"/>
      <c r="E6111" s="39"/>
      <c r="F6111" s="39"/>
    </row>
    <row r="6112">
      <c r="D6112" s="39"/>
      <c r="E6112" s="39"/>
      <c r="F6112" s="39"/>
    </row>
    <row r="6113">
      <c r="D6113" s="39"/>
      <c r="E6113" s="39"/>
      <c r="F6113" s="39"/>
    </row>
    <row r="6114">
      <c r="D6114" s="39"/>
      <c r="E6114" s="39"/>
      <c r="F6114" s="39"/>
    </row>
    <row r="6115">
      <c r="D6115" s="39"/>
      <c r="E6115" s="39"/>
      <c r="F6115" s="39"/>
    </row>
    <row r="6116">
      <c r="D6116" s="39"/>
      <c r="E6116" s="39"/>
      <c r="F6116" s="39"/>
    </row>
    <row r="6117">
      <c r="D6117" s="39"/>
      <c r="E6117" s="39"/>
      <c r="F6117" s="39"/>
    </row>
    <row r="6118">
      <c r="D6118" s="39"/>
      <c r="E6118" s="39"/>
      <c r="F6118" s="39"/>
    </row>
    <row r="6119">
      <c r="D6119" s="39"/>
      <c r="E6119" s="39"/>
      <c r="F6119" s="39"/>
    </row>
    <row r="6120">
      <c r="D6120" s="39"/>
      <c r="E6120" s="39"/>
      <c r="F6120" s="39"/>
    </row>
    <row r="6121">
      <c r="D6121" s="39"/>
      <c r="E6121" s="39"/>
      <c r="F6121" s="39"/>
    </row>
    <row r="6122">
      <c r="D6122" s="39"/>
      <c r="E6122" s="39"/>
      <c r="F6122" s="39"/>
    </row>
    <row r="6123">
      <c r="D6123" s="39"/>
      <c r="E6123" s="39"/>
      <c r="F6123" s="39"/>
    </row>
    <row r="6124">
      <c r="D6124" s="39"/>
      <c r="E6124" s="39"/>
      <c r="F6124" s="39"/>
    </row>
    <row r="6125">
      <c r="D6125" s="39"/>
      <c r="E6125" s="39"/>
      <c r="F6125" s="39"/>
    </row>
    <row r="6126">
      <c r="D6126" s="39"/>
      <c r="E6126" s="39"/>
      <c r="F6126" s="39"/>
    </row>
    <row r="6127">
      <c r="D6127" s="39"/>
      <c r="E6127" s="39"/>
      <c r="F6127" s="39"/>
    </row>
    <row r="6128">
      <c r="D6128" s="39"/>
      <c r="E6128" s="39"/>
      <c r="F6128" s="39"/>
    </row>
    <row r="6129">
      <c r="D6129" s="39"/>
      <c r="E6129" s="39"/>
      <c r="F6129" s="39"/>
    </row>
    <row r="6130">
      <c r="D6130" s="39"/>
      <c r="E6130" s="39"/>
      <c r="F6130" s="39"/>
    </row>
    <row r="6131">
      <c r="D6131" s="39"/>
      <c r="E6131" s="39"/>
      <c r="F6131" s="39"/>
    </row>
    <row r="6132">
      <c r="D6132" s="39"/>
      <c r="E6132" s="39"/>
      <c r="F6132" s="39"/>
    </row>
    <row r="6133">
      <c r="D6133" s="39"/>
      <c r="E6133" s="39"/>
      <c r="F6133" s="39"/>
    </row>
    <row r="6134">
      <c r="D6134" s="39"/>
      <c r="E6134" s="39"/>
      <c r="F6134" s="39"/>
    </row>
    <row r="6135">
      <c r="D6135" s="39"/>
      <c r="E6135" s="39"/>
      <c r="F6135" s="39"/>
    </row>
    <row r="6136">
      <c r="D6136" s="39"/>
      <c r="E6136" s="39"/>
      <c r="F6136" s="39"/>
    </row>
    <row r="6137">
      <c r="D6137" s="39"/>
      <c r="E6137" s="39"/>
      <c r="F6137" s="39"/>
    </row>
    <row r="6138">
      <c r="D6138" s="39"/>
      <c r="E6138" s="39"/>
      <c r="F6138" s="39"/>
    </row>
    <row r="6139">
      <c r="D6139" s="39"/>
      <c r="E6139" s="39"/>
      <c r="F6139" s="39"/>
    </row>
    <row r="6140">
      <c r="D6140" s="39"/>
      <c r="E6140" s="39"/>
      <c r="F6140" s="39"/>
    </row>
    <row r="6141">
      <c r="D6141" s="39"/>
      <c r="E6141" s="39"/>
      <c r="F6141" s="39"/>
    </row>
    <row r="6142">
      <c r="D6142" s="39"/>
      <c r="E6142" s="39"/>
      <c r="F6142" s="39"/>
    </row>
    <row r="6143">
      <c r="D6143" s="39"/>
      <c r="E6143" s="39"/>
      <c r="F6143" s="39"/>
    </row>
    <row r="6144">
      <c r="D6144" s="39"/>
      <c r="E6144" s="39"/>
      <c r="F6144" s="39"/>
    </row>
    <row r="6145">
      <c r="D6145" s="39"/>
      <c r="E6145" s="39"/>
      <c r="F6145" s="39"/>
    </row>
    <row r="6146">
      <c r="D6146" s="39"/>
      <c r="E6146" s="39"/>
      <c r="F6146" s="39"/>
    </row>
    <row r="6147">
      <c r="D6147" s="39"/>
      <c r="E6147" s="39"/>
      <c r="F6147" s="39"/>
    </row>
    <row r="6148">
      <c r="D6148" s="39"/>
      <c r="E6148" s="39"/>
      <c r="F6148" s="39"/>
    </row>
    <row r="6149">
      <c r="D6149" s="39"/>
      <c r="E6149" s="39"/>
      <c r="F6149" s="39"/>
    </row>
    <row r="6150">
      <c r="D6150" s="39"/>
      <c r="E6150" s="39"/>
      <c r="F6150" s="39"/>
    </row>
    <row r="6151">
      <c r="D6151" s="39"/>
      <c r="E6151" s="39"/>
      <c r="F6151" s="39"/>
    </row>
    <row r="6152">
      <c r="D6152" s="39"/>
      <c r="E6152" s="39"/>
      <c r="F6152" s="39"/>
    </row>
    <row r="6153">
      <c r="D6153" s="39"/>
      <c r="E6153" s="39"/>
      <c r="F6153" s="39"/>
    </row>
    <row r="6154">
      <c r="D6154" s="39"/>
      <c r="E6154" s="39"/>
      <c r="F6154" s="39"/>
    </row>
    <row r="6155">
      <c r="D6155" s="39"/>
      <c r="E6155" s="39"/>
      <c r="F6155" s="39"/>
    </row>
    <row r="6156">
      <c r="D6156" s="39"/>
      <c r="E6156" s="39"/>
      <c r="F6156" s="39"/>
    </row>
    <row r="6157">
      <c r="D6157" s="39"/>
      <c r="E6157" s="39"/>
      <c r="F6157" s="39"/>
    </row>
    <row r="6158">
      <c r="D6158" s="39"/>
      <c r="E6158" s="39"/>
      <c r="F6158" s="39"/>
    </row>
    <row r="6159">
      <c r="D6159" s="39"/>
      <c r="E6159" s="39"/>
      <c r="F6159" s="39"/>
    </row>
    <row r="6160">
      <c r="D6160" s="39"/>
      <c r="E6160" s="39"/>
      <c r="F6160" s="39"/>
    </row>
    <row r="6161">
      <c r="D6161" s="39"/>
      <c r="E6161" s="39"/>
      <c r="F6161" s="39"/>
    </row>
    <row r="6162">
      <c r="D6162" s="39"/>
      <c r="E6162" s="39"/>
      <c r="F6162" s="39"/>
    </row>
    <row r="6163">
      <c r="D6163" s="39"/>
      <c r="E6163" s="39"/>
      <c r="F6163" s="39"/>
    </row>
    <row r="6164">
      <c r="D6164" s="39"/>
      <c r="E6164" s="39"/>
      <c r="F6164" s="39"/>
    </row>
    <row r="6165">
      <c r="D6165" s="39"/>
      <c r="E6165" s="39"/>
      <c r="F6165" s="39"/>
    </row>
    <row r="6166">
      <c r="D6166" s="39"/>
      <c r="E6166" s="39"/>
      <c r="F6166" s="39"/>
    </row>
    <row r="6167">
      <c r="D6167" s="39"/>
      <c r="E6167" s="39"/>
      <c r="F6167" s="39"/>
    </row>
    <row r="6168">
      <c r="D6168" s="39"/>
      <c r="E6168" s="39"/>
      <c r="F6168" s="39"/>
    </row>
    <row r="6169">
      <c r="D6169" s="39"/>
      <c r="E6169" s="39"/>
      <c r="F6169" s="39"/>
    </row>
    <row r="6170">
      <c r="D6170" s="39"/>
      <c r="E6170" s="39"/>
      <c r="F6170" s="39"/>
    </row>
    <row r="6171">
      <c r="D6171" s="39"/>
      <c r="E6171" s="39"/>
      <c r="F6171" s="39"/>
    </row>
    <row r="6172">
      <c r="D6172" s="39"/>
      <c r="E6172" s="39"/>
      <c r="F6172" s="39"/>
    </row>
    <row r="6173">
      <c r="D6173" s="39"/>
      <c r="E6173" s="39"/>
      <c r="F6173" s="39"/>
    </row>
    <row r="6174">
      <c r="D6174" s="39"/>
      <c r="E6174" s="39"/>
      <c r="F6174" s="39"/>
    </row>
    <row r="6175">
      <c r="D6175" s="39"/>
      <c r="E6175" s="39"/>
      <c r="F6175" s="39"/>
    </row>
    <row r="6176">
      <c r="D6176" s="39"/>
      <c r="E6176" s="39"/>
      <c r="F6176" s="39"/>
    </row>
    <row r="6177">
      <c r="D6177" s="39"/>
      <c r="E6177" s="39"/>
      <c r="F6177" s="39"/>
    </row>
    <row r="6178">
      <c r="D6178" s="39"/>
      <c r="E6178" s="39"/>
      <c r="F6178" s="39"/>
    </row>
    <row r="6179">
      <c r="D6179" s="39"/>
      <c r="E6179" s="39"/>
      <c r="F6179" s="39"/>
    </row>
    <row r="6180">
      <c r="D6180" s="39"/>
      <c r="E6180" s="39"/>
      <c r="F6180" s="39"/>
    </row>
    <row r="6181">
      <c r="D6181" s="39"/>
      <c r="E6181" s="39"/>
      <c r="F6181" s="39"/>
    </row>
    <row r="6182">
      <c r="D6182" s="39"/>
      <c r="E6182" s="39"/>
      <c r="F6182" s="39"/>
    </row>
    <row r="6183">
      <c r="D6183" s="39"/>
      <c r="E6183" s="39"/>
      <c r="F6183" s="39"/>
    </row>
    <row r="6184">
      <c r="D6184" s="39"/>
      <c r="E6184" s="39"/>
      <c r="F6184" s="39"/>
    </row>
    <row r="6185">
      <c r="D6185" s="39"/>
      <c r="E6185" s="39"/>
      <c r="F6185" s="39"/>
    </row>
    <row r="6186">
      <c r="D6186" s="39"/>
      <c r="E6186" s="39"/>
      <c r="F6186" s="39"/>
    </row>
    <row r="6187">
      <c r="D6187" s="39"/>
      <c r="E6187" s="39"/>
      <c r="F6187" s="39"/>
    </row>
    <row r="6188">
      <c r="D6188" s="39"/>
      <c r="E6188" s="39"/>
      <c r="F6188" s="39"/>
    </row>
    <row r="6189">
      <c r="D6189" s="39"/>
      <c r="E6189" s="39"/>
      <c r="F6189" s="39"/>
    </row>
    <row r="6190">
      <c r="D6190" s="39"/>
      <c r="E6190" s="39"/>
      <c r="F6190" s="39"/>
    </row>
    <row r="6191">
      <c r="D6191" s="39"/>
      <c r="E6191" s="39"/>
      <c r="F6191" s="39"/>
    </row>
    <row r="6192">
      <c r="D6192" s="39"/>
      <c r="E6192" s="39"/>
      <c r="F6192" s="39"/>
    </row>
    <row r="6193">
      <c r="D6193" s="39"/>
      <c r="E6193" s="39"/>
      <c r="F6193" s="39"/>
    </row>
    <row r="6194">
      <c r="D6194" s="39"/>
      <c r="E6194" s="39"/>
      <c r="F6194" s="39"/>
    </row>
    <row r="6195">
      <c r="D6195" s="39"/>
      <c r="E6195" s="39"/>
      <c r="F6195" s="39"/>
    </row>
    <row r="6196">
      <c r="D6196" s="39"/>
      <c r="E6196" s="39"/>
      <c r="F6196" s="39"/>
    </row>
    <row r="6197">
      <c r="D6197" s="39"/>
      <c r="E6197" s="39"/>
      <c r="F6197" s="39"/>
    </row>
    <row r="6198">
      <c r="D6198" s="39"/>
      <c r="E6198" s="39"/>
      <c r="F6198" s="39"/>
    </row>
    <row r="6199">
      <c r="D6199" s="39"/>
      <c r="E6199" s="39"/>
      <c r="F6199" s="39"/>
    </row>
    <row r="6200">
      <c r="D6200" s="39"/>
      <c r="E6200" s="39"/>
      <c r="F6200" s="39"/>
    </row>
    <row r="6201">
      <c r="D6201" s="39"/>
      <c r="E6201" s="39"/>
      <c r="F6201" s="39"/>
    </row>
    <row r="6202">
      <c r="D6202" s="39"/>
      <c r="E6202" s="39"/>
      <c r="F6202" s="39"/>
    </row>
    <row r="6203">
      <c r="D6203" s="39"/>
      <c r="E6203" s="39"/>
      <c r="F6203" s="39"/>
    </row>
    <row r="6204">
      <c r="D6204" s="39"/>
      <c r="E6204" s="39"/>
      <c r="F6204" s="39"/>
    </row>
    <row r="6205">
      <c r="D6205" s="39"/>
      <c r="E6205" s="39"/>
      <c r="F6205" s="39"/>
    </row>
    <row r="6206">
      <c r="D6206" s="39"/>
      <c r="E6206" s="39"/>
      <c r="F6206" s="39"/>
    </row>
    <row r="6207">
      <c r="D6207" s="39"/>
      <c r="E6207" s="39"/>
      <c r="F6207" s="39"/>
    </row>
    <row r="6208">
      <c r="D6208" s="39"/>
      <c r="E6208" s="39"/>
      <c r="F6208" s="39"/>
    </row>
    <row r="6209">
      <c r="D6209" s="39"/>
      <c r="E6209" s="39"/>
      <c r="F6209" s="39"/>
    </row>
    <row r="6210">
      <c r="D6210" s="39"/>
      <c r="E6210" s="39"/>
      <c r="F6210" s="39"/>
    </row>
    <row r="6211">
      <c r="D6211" s="39"/>
      <c r="E6211" s="39"/>
      <c r="F6211" s="39"/>
    </row>
    <row r="6212">
      <c r="D6212" s="39"/>
      <c r="E6212" s="39"/>
      <c r="F6212" s="39"/>
    </row>
    <row r="6213">
      <c r="D6213" s="39"/>
      <c r="E6213" s="39"/>
      <c r="F6213" s="39"/>
    </row>
    <row r="6214">
      <c r="D6214" s="39"/>
      <c r="E6214" s="39"/>
      <c r="F6214" s="39"/>
    </row>
    <row r="6215">
      <c r="D6215" s="39"/>
      <c r="E6215" s="39"/>
      <c r="F6215" s="39"/>
    </row>
    <row r="6216">
      <c r="D6216" s="39"/>
      <c r="E6216" s="39"/>
      <c r="F6216" s="39"/>
    </row>
    <row r="6217">
      <c r="D6217" s="39"/>
      <c r="E6217" s="39"/>
      <c r="F6217" s="39"/>
    </row>
    <row r="6218">
      <c r="D6218" s="39"/>
      <c r="E6218" s="39"/>
      <c r="F6218" s="39"/>
    </row>
    <row r="6219">
      <c r="D6219" s="39"/>
      <c r="E6219" s="39"/>
      <c r="F6219" s="39"/>
    </row>
    <row r="6220">
      <c r="D6220" s="39"/>
      <c r="E6220" s="39"/>
      <c r="F6220" s="39"/>
    </row>
    <row r="6221">
      <c r="D6221" s="39"/>
      <c r="E6221" s="39"/>
      <c r="F6221" s="39"/>
    </row>
    <row r="6222">
      <c r="D6222" s="39"/>
      <c r="E6222" s="39"/>
      <c r="F6222" s="39"/>
    </row>
    <row r="6223">
      <c r="D6223" s="39"/>
      <c r="E6223" s="39"/>
      <c r="F6223" s="39"/>
    </row>
    <row r="6224">
      <c r="D6224" s="39"/>
      <c r="E6224" s="39"/>
      <c r="F6224" s="39"/>
    </row>
    <row r="6225">
      <c r="D6225" s="39"/>
      <c r="E6225" s="39"/>
      <c r="F6225" s="39"/>
    </row>
    <row r="6226">
      <c r="D6226" s="39"/>
      <c r="E6226" s="39"/>
      <c r="F6226" s="39"/>
    </row>
    <row r="6227">
      <c r="D6227" s="39"/>
      <c r="E6227" s="39"/>
      <c r="F6227" s="39"/>
    </row>
    <row r="6228">
      <c r="D6228" s="39"/>
      <c r="E6228" s="39"/>
      <c r="F6228" s="39"/>
    </row>
    <row r="6229">
      <c r="D6229" s="39"/>
      <c r="E6229" s="39"/>
      <c r="F6229" s="39"/>
    </row>
    <row r="6230">
      <c r="D6230" s="39"/>
      <c r="E6230" s="39"/>
      <c r="F6230" s="39"/>
    </row>
    <row r="6231">
      <c r="D6231" s="39"/>
      <c r="E6231" s="39"/>
      <c r="F6231" s="39"/>
    </row>
    <row r="6232">
      <c r="D6232" s="39"/>
      <c r="E6232" s="39"/>
      <c r="F6232" s="39"/>
    </row>
    <row r="6233">
      <c r="D6233" s="39"/>
      <c r="E6233" s="39"/>
      <c r="F6233" s="39"/>
    </row>
    <row r="6234">
      <c r="D6234" s="39"/>
      <c r="E6234" s="39"/>
      <c r="F6234" s="39"/>
    </row>
    <row r="6235">
      <c r="D6235" s="39"/>
      <c r="E6235" s="39"/>
      <c r="F6235" s="39"/>
    </row>
    <row r="6236">
      <c r="D6236" s="39"/>
      <c r="E6236" s="39"/>
      <c r="F6236" s="39"/>
    </row>
    <row r="6237">
      <c r="D6237" s="39"/>
      <c r="E6237" s="39"/>
      <c r="F6237" s="39"/>
    </row>
    <row r="6238">
      <c r="D6238" s="39"/>
      <c r="E6238" s="39"/>
      <c r="F6238" s="39"/>
    </row>
    <row r="6239">
      <c r="D6239" s="39"/>
      <c r="E6239" s="39"/>
      <c r="F6239" s="39"/>
    </row>
    <row r="6240">
      <c r="D6240" s="39"/>
      <c r="E6240" s="39"/>
      <c r="F6240" s="39"/>
    </row>
    <row r="6241">
      <c r="D6241" s="39"/>
      <c r="E6241" s="39"/>
      <c r="F6241" s="39"/>
    </row>
    <row r="6242">
      <c r="D6242" s="39"/>
      <c r="E6242" s="39"/>
      <c r="F6242" s="39"/>
    </row>
    <row r="6243">
      <c r="D6243" s="39"/>
      <c r="E6243" s="39"/>
      <c r="F6243" s="39"/>
    </row>
    <row r="6244">
      <c r="D6244" s="39"/>
      <c r="E6244" s="39"/>
      <c r="F6244" s="39"/>
    </row>
    <row r="6245">
      <c r="D6245" s="39"/>
      <c r="E6245" s="39"/>
      <c r="F6245" s="39"/>
    </row>
    <row r="6246">
      <c r="D6246" s="39"/>
      <c r="E6246" s="39"/>
      <c r="F6246" s="39"/>
    </row>
    <row r="6247">
      <c r="D6247" s="39"/>
      <c r="E6247" s="39"/>
      <c r="F6247" s="39"/>
    </row>
    <row r="6248">
      <c r="D6248" s="39"/>
      <c r="E6248" s="39"/>
      <c r="F6248" s="39"/>
    </row>
    <row r="6249">
      <c r="D6249" s="39"/>
      <c r="E6249" s="39"/>
      <c r="F6249" s="39"/>
    </row>
    <row r="6250">
      <c r="D6250" s="39"/>
      <c r="E6250" s="39"/>
      <c r="F6250" s="39"/>
    </row>
    <row r="6251">
      <c r="D6251" s="39"/>
      <c r="E6251" s="39"/>
      <c r="F6251" s="39"/>
    </row>
    <row r="6252">
      <c r="D6252" s="39"/>
      <c r="E6252" s="39"/>
      <c r="F6252" s="39"/>
    </row>
    <row r="6253">
      <c r="D6253" s="39"/>
      <c r="E6253" s="39"/>
      <c r="F6253" s="39"/>
    </row>
    <row r="6254">
      <c r="D6254" s="39"/>
      <c r="E6254" s="39"/>
      <c r="F6254" s="39"/>
    </row>
    <row r="6255">
      <c r="D6255" s="39"/>
      <c r="E6255" s="39"/>
      <c r="F6255" s="39"/>
    </row>
    <row r="6256">
      <c r="D6256" s="39"/>
      <c r="E6256" s="39"/>
      <c r="F6256" s="39"/>
    </row>
    <row r="6257">
      <c r="D6257" s="39"/>
      <c r="E6257" s="39"/>
      <c r="F6257" s="39"/>
    </row>
    <row r="6258">
      <c r="D6258" s="39"/>
      <c r="E6258" s="39"/>
      <c r="F6258" s="39"/>
    </row>
    <row r="6259">
      <c r="D6259" s="39"/>
      <c r="E6259" s="39"/>
      <c r="F6259" s="39"/>
    </row>
    <row r="6260">
      <c r="D6260" s="39"/>
      <c r="E6260" s="39"/>
      <c r="F6260" s="39"/>
    </row>
    <row r="6261">
      <c r="D6261" s="39"/>
      <c r="E6261" s="39"/>
      <c r="F6261" s="39"/>
    </row>
    <row r="6262">
      <c r="D6262" s="39"/>
      <c r="E6262" s="39"/>
      <c r="F6262" s="39"/>
    </row>
    <row r="6263">
      <c r="D6263" s="39"/>
      <c r="E6263" s="39"/>
      <c r="F6263" s="39"/>
    </row>
    <row r="6264">
      <c r="D6264" s="39"/>
      <c r="E6264" s="39"/>
      <c r="F6264" s="39"/>
    </row>
    <row r="6265">
      <c r="D6265" s="39"/>
      <c r="E6265" s="39"/>
      <c r="F6265" s="39"/>
    </row>
    <row r="6266">
      <c r="D6266" s="39"/>
      <c r="E6266" s="39"/>
      <c r="F6266" s="39"/>
    </row>
    <row r="6267">
      <c r="D6267" s="39"/>
      <c r="E6267" s="39"/>
      <c r="F6267" s="39"/>
    </row>
    <row r="6268">
      <c r="D6268" s="39"/>
      <c r="E6268" s="39"/>
      <c r="F6268" s="39"/>
    </row>
    <row r="6269">
      <c r="D6269" s="39"/>
      <c r="E6269" s="39"/>
      <c r="F6269" s="39"/>
    </row>
    <row r="6270">
      <c r="D6270" s="39"/>
      <c r="E6270" s="39"/>
      <c r="F6270" s="39"/>
    </row>
    <row r="6271">
      <c r="D6271" s="39"/>
      <c r="E6271" s="39"/>
      <c r="F6271" s="39"/>
    </row>
    <row r="6272">
      <c r="D6272" s="39"/>
      <c r="E6272" s="39"/>
      <c r="F6272" s="39"/>
    </row>
    <row r="6273">
      <c r="D6273" s="39"/>
      <c r="E6273" s="39"/>
      <c r="F6273" s="39"/>
    </row>
    <row r="6274">
      <c r="D6274" s="39"/>
      <c r="E6274" s="39"/>
      <c r="F6274" s="39"/>
    </row>
    <row r="6275">
      <c r="D6275" s="39"/>
      <c r="E6275" s="39"/>
      <c r="F6275" s="39"/>
    </row>
    <row r="6276">
      <c r="D6276" s="39"/>
      <c r="E6276" s="39"/>
      <c r="F6276" s="39"/>
    </row>
    <row r="6277">
      <c r="D6277" s="39"/>
      <c r="E6277" s="39"/>
      <c r="F6277" s="39"/>
    </row>
    <row r="6278">
      <c r="D6278" s="39"/>
      <c r="E6278" s="39"/>
      <c r="F6278" s="39"/>
    </row>
    <row r="6279">
      <c r="D6279" s="39"/>
      <c r="E6279" s="39"/>
      <c r="F6279" s="39"/>
    </row>
    <row r="6280">
      <c r="D6280" s="39"/>
      <c r="E6280" s="39"/>
      <c r="F6280" s="39"/>
    </row>
    <row r="6281">
      <c r="D6281" s="39"/>
      <c r="E6281" s="39"/>
      <c r="F6281" s="39"/>
    </row>
    <row r="6282">
      <c r="D6282" s="39"/>
      <c r="E6282" s="39"/>
      <c r="F6282" s="39"/>
    </row>
    <row r="6283">
      <c r="D6283" s="39"/>
      <c r="E6283" s="39"/>
      <c r="F6283" s="39"/>
    </row>
    <row r="6284">
      <c r="D6284" s="39"/>
      <c r="E6284" s="39"/>
      <c r="F6284" s="39"/>
    </row>
    <row r="6285">
      <c r="D6285" s="39"/>
      <c r="E6285" s="39"/>
      <c r="F6285" s="39"/>
    </row>
    <row r="6286">
      <c r="D6286" s="39"/>
      <c r="E6286" s="39"/>
      <c r="F6286" s="39"/>
    </row>
    <row r="6287">
      <c r="D6287" s="39"/>
      <c r="E6287" s="39"/>
      <c r="F6287" s="39"/>
    </row>
    <row r="6288">
      <c r="D6288" s="39"/>
      <c r="E6288" s="39"/>
      <c r="F6288" s="39"/>
    </row>
    <row r="6289">
      <c r="D6289" s="39"/>
      <c r="E6289" s="39"/>
      <c r="F6289" s="39"/>
    </row>
    <row r="6290">
      <c r="D6290" s="39"/>
      <c r="E6290" s="39"/>
      <c r="F6290" s="39"/>
    </row>
    <row r="6291">
      <c r="D6291" s="39"/>
      <c r="E6291" s="39"/>
      <c r="F6291" s="39"/>
    </row>
    <row r="6292">
      <c r="D6292" s="39"/>
      <c r="E6292" s="39"/>
      <c r="F6292" s="39"/>
    </row>
    <row r="6293">
      <c r="D6293" s="39"/>
      <c r="E6293" s="39"/>
      <c r="F6293" s="39"/>
    </row>
    <row r="6294">
      <c r="D6294" s="39"/>
      <c r="E6294" s="39"/>
      <c r="F6294" s="39"/>
    </row>
    <row r="6295">
      <c r="D6295" s="39"/>
      <c r="E6295" s="39"/>
      <c r="F6295" s="39"/>
    </row>
    <row r="6296">
      <c r="D6296" s="39"/>
      <c r="E6296" s="39"/>
      <c r="F6296" s="39"/>
    </row>
    <row r="6297">
      <c r="D6297" s="39"/>
      <c r="E6297" s="39"/>
      <c r="F6297" s="39"/>
    </row>
    <row r="6298">
      <c r="D6298" s="39"/>
      <c r="E6298" s="39"/>
      <c r="F6298" s="39"/>
    </row>
    <row r="6299">
      <c r="D6299" s="39"/>
      <c r="E6299" s="39"/>
      <c r="F6299" s="39"/>
    </row>
    <row r="6300">
      <c r="D6300" s="39"/>
      <c r="E6300" s="39"/>
      <c r="F6300" s="39"/>
    </row>
    <row r="6301">
      <c r="D6301" s="39"/>
      <c r="E6301" s="39"/>
      <c r="F6301" s="39"/>
    </row>
    <row r="6302">
      <c r="D6302" s="39"/>
      <c r="E6302" s="39"/>
      <c r="F6302" s="39"/>
    </row>
    <row r="6303">
      <c r="D6303" s="39"/>
      <c r="E6303" s="39"/>
      <c r="F6303" s="39"/>
    </row>
    <row r="6304">
      <c r="D6304" s="39"/>
      <c r="E6304" s="39"/>
      <c r="F6304" s="39"/>
    </row>
    <row r="6305">
      <c r="D6305" s="39"/>
      <c r="E6305" s="39"/>
      <c r="F6305" s="39"/>
    </row>
    <row r="6306">
      <c r="D6306" s="39"/>
      <c r="E6306" s="39"/>
      <c r="F6306" s="39"/>
    </row>
    <row r="6307">
      <c r="D6307" s="39"/>
      <c r="E6307" s="39"/>
      <c r="F6307" s="39"/>
    </row>
    <row r="6308">
      <c r="D6308" s="39"/>
      <c r="E6308" s="39"/>
      <c r="F6308" s="39"/>
    </row>
    <row r="6309">
      <c r="D6309" s="39"/>
      <c r="E6309" s="39"/>
      <c r="F6309" s="39"/>
    </row>
    <row r="6310">
      <c r="D6310" s="39"/>
      <c r="E6310" s="39"/>
      <c r="F6310" s="39"/>
    </row>
    <row r="6311">
      <c r="D6311" s="39"/>
      <c r="E6311" s="39"/>
      <c r="F6311" s="39"/>
    </row>
    <row r="6312">
      <c r="D6312" s="39"/>
      <c r="E6312" s="39"/>
      <c r="F6312" s="39"/>
    </row>
    <row r="6313">
      <c r="D6313" s="39"/>
      <c r="E6313" s="39"/>
      <c r="F6313" s="39"/>
    </row>
    <row r="6314">
      <c r="D6314" s="39"/>
      <c r="E6314" s="39"/>
      <c r="F6314" s="39"/>
    </row>
    <row r="6315">
      <c r="D6315" s="39"/>
      <c r="E6315" s="39"/>
      <c r="F6315" s="39"/>
    </row>
    <row r="6316">
      <c r="D6316" s="39"/>
      <c r="E6316" s="39"/>
      <c r="F6316" s="39"/>
    </row>
    <row r="6317">
      <c r="D6317" s="39"/>
      <c r="E6317" s="39"/>
      <c r="F6317" s="39"/>
    </row>
    <row r="6318">
      <c r="D6318" s="39"/>
      <c r="E6318" s="39"/>
      <c r="F6318" s="39"/>
    </row>
    <row r="6319">
      <c r="D6319" s="39"/>
      <c r="E6319" s="39"/>
      <c r="F6319" s="39"/>
    </row>
    <row r="6320">
      <c r="D6320" s="39"/>
      <c r="E6320" s="39"/>
      <c r="F6320" s="39"/>
    </row>
    <row r="6321">
      <c r="D6321" s="39"/>
      <c r="E6321" s="39"/>
      <c r="F6321" s="39"/>
    </row>
    <row r="6322">
      <c r="D6322" s="39"/>
      <c r="E6322" s="39"/>
      <c r="F6322" s="39"/>
    </row>
    <row r="6323">
      <c r="D6323" s="39"/>
      <c r="E6323" s="39"/>
      <c r="F6323" s="39"/>
    </row>
    <row r="6324">
      <c r="D6324" s="39"/>
      <c r="E6324" s="39"/>
      <c r="F6324" s="39"/>
    </row>
    <row r="6325">
      <c r="D6325" s="39"/>
      <c r="E6325" s="39"/>
      <c r="F6325" s="39"/>
    </row>
    <row r="6326">
      <c r="D6326" s="39"/>
      <c r="E6326" s="39"/>
      <c r="F6326" s="39"/>
    </row>
    <row r="6327">
      <c r="D6327" s="39"/>
      <c r="E6327" s="39"/>
      <c r="F6327" s="39"/>
    </row>
    <row r="6328">
      <c r="D6328" s="39"/>
      <c r="E6328" s="39"/>
      <c r="F6328" s="39"/>
    </row>
    <row r="6329">
      <c r="D6329" s="39"/>
      <c r="E6329" s="39"/>
      <c r="F6329" s="39"/>
    </row>
    <row r="6330">
      <c r="D6330" s="39"/>
      <c r="E6330" s="39"/>
      <c r="F6330" s="39"/>
    </row>
    <row r="6331">
      <c r="D6331" s="39"/>
      <c r="E6331" s="39"/>
      <c r="F6331" s="39"/>
    </row>
    <row r="6332">
      <c r="D6332" s="39"/>
      <c r="E6332" s="39"/>
      <c r="F6332" s="39"/>
    </row>
    <row r="6333">
      <c r="D6333" s="39"/>
      <c r="E6333" s="39"/>
      <c r="F6333" s="39"/>
    </row>
    <row r="6334">
      <c r="D6334" s="39"/>
      <c r="E6334" s="39"/>
      <c r="F6334" s="39"/>
    </row>
    <row r="6335">
      <c r="D6335" s="39"/>
      <c r="E6335" s="39"/>
      <c r="F6335" s="39"/>
    </row>
    <row r="6336">
      <c r="D6336" s="39"/>
      <c r="E6336" s="39"/>
      <c r="F6336" s="39"/>
    </row>
    <row r="6337">
      <c r="D6337" s="39"/>
      <c r="E6337" s="39"/>
      <c r="F6337" s="39"/>
    </row>
    <row r="6338">
      <c r="D6338" s="39"/>
      <c r="E6338" s="39"/>
      <c r="F6338" s="39"/>
    </row>
    <row r="6339">
      <c r="D6339" s="39"/>
      <c r="E6339" s="39"/>
      <c r="F6339" s="39"/>
    </row>
    <row r="6340">
      <c r="D6340" s="39"/>
      <c r="E6340" s="39"/>
      <c r="F6340" s="39"/>
    </row>
    <row r="6341">
      <c r="D6341" s="39"/>
      <c r="E6341" s="39"/>
      <c r="F6341" s="39"/>
    </row>
    <row r="6342">
      <c r="D6342" s="39"/>
      <c r="E6342" s="39"/>
      <c r="F6342" s="39"/>
    </row>
    <row r="6343">
      <c r="D6343" s="39"/>
      <c r="E6343" s="39"/>
      <c r="F6343" s="39"/>
    </row>
    <row r="6344">
      <c r="D6344" s="39"/>
      <c r="E6344" s="39"/>
      <c r="F6344" s="39"/>
    </row>
    <row r="6345">
      <c r="D6345" s="39"/>
      <c r="E6345" s="39"/>
      <c r="F6345" s="39"/>
    </row>
    <row r="6346">
      <c r="D6346" s="39"/>
      <c r="E6346" s="39"/>
      <c r="F6346" s="39"/>
    </row>
    <row r="6347">
      <c r="D6347" s="39"/>
      <c r="E6347" s="39"/>
      <c r="F6347" s="39"/>
    </row>
    <row r="6348">
      <c r="D6348" s="39"/>
      <c r="E6348" s="39"/>
      <c r="F6348" s="39"/>
    </row>
    <row r="6349">
      <c r="D6349" s="39"/>
      <c r="E6349" s="39"/>
      <c r="F6349" s="39"/>
    </row>
    <row r="6350">
      <c r="D6350" s="39"/>
      <c r="E6350" s="39"/>
      <c r="F6350" s="39"/>
    </row>
    <row r="6351">
      <c r="D6351" s="39"/>
      <c r="E6351" s="39"/>
      <c r="F6351" s="39"/>
    </row>
    <row r="6352">
      <c r="D6352" s="39"/>
      <c r="E6352" s="39"/>
      <c r="F6352" s="39"/>
    </row>
    <row r="6353">
      <c r="D6353" s="39"/>
      <c r="E6353" s="39"/>
      <c r="F6353" s="39"/>
    </row>
    <row r="6354">
      <c r="D6354" s="39"/>
      <c r="E6354" s="39"/>
      <c r="F6354" s="39"/>
    </row>
    <row r="6355">
      <c r="D6355" s="39"/>
      <c r="E6355" s="39"/>
      <c r="F6355" s="39"/>
    </row>
    <row r="6356">
      <c r="D6356" s="39"/>
      <c r="E6356" s="39"/>
      <c r="F6356" s="39"/>
    </row>
    <row r="6357">
      <c r="D6357" s="39"/>
      <c r="E6357" s="39"/>
      <c r="F6357" s="39"/>
    </row>
    <row r="6358">
      <c r="D6358" s="39"/>
      <c r="E6358" s="39"/>
      <c r="F6358" s="39"/>
    </row>
    <row r="6359">
      <c r="D6359" s="39"/>
      <c r="E6359" s="39"/>
      <c r="F6359" s="39"/>
    </row>
    <row r="6360">
      <c r="D6360" s="39"/>
      <c r="E6360" s="39"/>
      <c r="F6360" s="39"/>
    </row>
    <row r="6361">
      <c r="D6361" s="39"/>
      <c r="E6361" s="39"/>
      <c r="F6361" s="39"/>
    </row>
    <row r="6362">
      <c r="D6362" s="39"/>
      <c r="E6362" s="39"/>
      <c r="F6362" s="39"/>
    </row>
    <row r="6363">
      <c r="D6363" s="39"/>
      <c r="E6363" s="39"/>
      <c r="F6363" s="39"/>
    </row>
    <row r="6364">
      <c r="D6364" s="39"/>
      <c r="E6364" s="39"/>
      <c r="F6364" s="39"/>
    </row>
    <row r="6365">
      <c r="D6365" s="39"/>
      <c r="E6365" s="39"/>
      <c r="F6365" s="39"/>
    </row>
    <row r="6366">
      <c r="D6366" s="39"/>
      <c r="E6366" s="39"/>
      <c r="F6366" s="39"/>
    </row>
    <row r="6367">
      <c r="D6367" s="39"/>
      <c r="E6367" s="39"/>
      <c r="F6367" s="39"/>
    </row>
    <row r="6368">
      <c r="D6368" s="39"/>
      <c r="E6368" s="39"/>
      <c r="F6368" s="39"/>
    </row>
    <row r="6369">
      <c r="D6369" s="39"/>
      <c r="E6369" s="39"/>
      <c r="F6369" s="39"/>
    </row>
    <row r="6370">
      <c r="D6370" s="39"/>
      <c r="E6370" s="39"/>
      <c r="F6370" s="39"/>
    </row>
    <row r="6371">
      <c r="D6371" s="39"/>
      <c r="E6371" s="39"/>
      <c r="F6371" s="39"/>
    </row>
    <row r="6372">
      <c r="D6372" s="39"/>
      <c r="E6372" s="39"/>
      <c r="F6372" s="39"/>
    </row>
    <row r="6373">
      <c r="D6373" s="39"/>
      <c r="E6373" s="39"/>
      <c r="F6373" s="39"/>
    </row>
    <row r="6374">
      <c r="D6374" s="39"/>
      <c r="E6374" s="39"/>
      <c r="F6374" s="39"/>
    </row>
    <row r="6375">
      <c r="D6375" s="39"/>
      <c r="E6375" s="39"/>
      <c r="F6375" s="39"/>
    </row>
    <row r="6376">
      <c r="D6376" s="39"/>
      <c r="E6376" s="39"/>
      <c r="F6376" s="39"/>
    </row>
    <row r="6377">
      <c r="D6377" s="39"/>
      <c r="E6377" s="39"/>
      <c r="F6377" s="39"/>
    </row>
    <row r="6378">
      <c r="D6378" s="39"/>
      <c r="E6378" s="39"/>
      <c r="F6378" s="39"/>
    </row>
    <row r="6379">
      <c r="D6379" s="39"/>
      <c r="E6379" s="39"/>
      <c r="F6379" s="39"/>
    </row>
    <row r="6380">
      <c r="D6380" s="39"/>
      <c r="E6380" s="39"/>
      <c r="F6380" s="39"/>
    </row>
    <row r="6381">
      <c r="D6381" s="39"/>
      <c r="E6381" s="39"/>
      <c r="F6381" s="39"/>
    </row>
    <row r="6382">
      <c r="D6382" s="39"/>
      <c r="E6382" s="39"/>
      <c r="F6382" s="39"/>
    </row>
    <row r="6383">
      <c r="D6383" s="39"/>
      <c r="E6383" s="39"/>
      <c r="F6383" s="39"/>
    </row>
    <row r="6384">
      <c r="D6384" s="39"/>
      <c r="E6384" s="39"/>
      <c r="F6384" s="39"/>
    </row>
    <row r="6385">
      <c r="D6385" s="39"/>
      <c r="E6385" s="39"/>
      <c r="F6385" s="39"/>
    </row>
    <row r="6386">
      <c r="D6386" s="39"/>
      <c r="E6386" s="39"/>
      <c r="F6386" s="39"/>
    </row>
    <row r="6387">
      <c r="D6387" s="39"/>
      <c r="E6387" s="39"/>
      <c r="F6387" s="39"/>
    </row>
    <row r="6388">
      <c r="D6388" s="39"/>
      <c r="E6388" s="39"/>
      <c r="F6388" s="39"/>
    </row>
    <row r="6389">
      <c r="D6389" s="39"/>
      <c r="E6389" s="39"/>
      <c r="F6389" s="39"/>
    </row>
    <row r="6390">
      <c r="D6390" s="39"/>
      <c r="E6390" s="39"/>
      <c r="F6390" s="39"/>
    </row>
    <row r="6391">
      <c r="D6391" s="39"/>
      <c r="E6391" s="39"/>
      <c r="F6391" s="39"/>
    </row>
    <row r="6392">
      <c r="D6392" s="39"/>
      <c r="E6392" s="39"/>
      <c r="F6392" s="39"/>
    </row>
    <row r="6393">
      <c r="D6393" s="39"/>
      <c r="E6393" s="39"/>
      <c r="F6393" s="39"/>
    </row>
    <row r="6394">
      <c r="D6394" s="39"/>
      <c r="E6394" s="39"/>
      <c r="F6394" s="39"/>
    </row>
    <row r="6395">
      <c r="D6395" s="39"/>
      <c r="E6395" s="39"/>
      <c r="F6395" s="39"/>
    </row>
    <row r="6396">
      <c r="D6396" s="39"/>
      <c r="E6396" s="39"/>
      <c r="F6396" s="39"/>
    </row>
    <row r="6397">
      <c r="D6397" s="39"/>
      <c r="E6397" s="39"/>
      <c r="F6397" s="39"/>
    </row>
    <row r="6398">
      <c r="D6398" s="39"/>
      <c r="E6398" s="39"/>
      <c r="F6398" s="39"/>
    </row>
    <row r="6399">
      <c r="D6399" s="39"/>
      <c r="E6399" s="39"/>
      <c r="F6399" s="39"/>
    </row>
    <row r="6400">
      <c r="D6400" s="39"/>
      <c r="E6400" s="39"/>
      <c r="F6400" s="39"/>
    </row>
    <row r="6401">
      <c r="D6401" s="39"/>
      <c r="E6401" s="39"/>
      <c r="F6401" s="39"/>
    </row>
    <row r="6402">
      <c r="D6402" s="39"/>
      <c r="E6402" s="39"/>
      <c r="F6402" s="39"/>
    </row>
    <row r="6403">
      <c r="D6403" s="39"/>
      <c r="E6403" s="39"/>
      <c r="F6403" s="39"/>
    </row>
    <row r="6404">
      <c r="D6404" s="39"/>
      <c r="E6404" s="39"/>
      <c r="F6404" s="39"/>
    </row>
    <row r="6405">
      <c r="D6405" s="39"/>
      <c r="E6405" s="39"/>
      <c r="F6405" s="39"/>
    </row>
    <row r="6406">
      <c r="D6406" s="39"/>
      <c r="E6406" s="39"/>
      <c r="F6406" s="39"/>
    </row>
    <row r="6407">
      <c r="D6407" s="39"/>
      <c r="E6407" s="39"/>
      <c r="F6407" s="39"/>
    </row>
    <row r="6408">
      <c r="D6408" s="39"/>
      <c r="E6408" s="39"/>
      <c r="F6408" s="39"/>
    </row>
    <row r="6409">
      <c r="D6409" s="39"/>
      <c r="E6409" s="39"/>
      <c r="F6409" s="39"/>
    </row>
    <row r="6410">
      <c r="D6410" s="39"/>
      <c r="E6410" s="39"/>
      <c r="F6410" s="39"/>
    </row>
    <row r="6411">
      <c r="D6411" s="39"/>
      <c r="E6411" s="39"/>
      <c r="F6411" s="39"/>
    </row>
    <row r="6412">
      <c r="D6412" s="39"/>
      <c r="E6412" s="39"/>
      <c r="F6412" s="39"/>
    </row>
    <row r="6413">
      <c r="D6413" s="39"/>
      <c r="E6413" s="39"/>
      <c r="F6413" s="39"/>
    </row>
    <row r="6414">
      <c r="D6414" s="39"/>
      <c r="E6414" s="39"/>
      <c r="F6414" s="39"/>
    </row>
    <row r="6415">
      <c r="D6415" s="39"/>
      <c r="E6415" s="39"/>
      <c r="F6415" s="39"/>
    </row>
    <row r="6416">
      <c r="D6416" s="39"/>
      <c r="E6416" s="39"/>
      <c r="F6416" s="39"/>
    </row>
    <row r="6417">
      <c r="D6417" s="39"/>
      <c r="E6417" s="39"/>
      <c r="F6417" s="39"/>
    </row>
    <row r="6418">
      <c r="D6418" s="39"/>
      <c r="E6418" s="39"/>
      <c r="F6418" s="39"/>
    </row>
    <row r="6419">
      <c r="D6419" s="39"/>
      <c r="E6419" s="39"/>
      <c r="F6419" s="39"/>
    </row>
    <row r="6420">
      <c r="D6420" s="39"/>
      <c r="E6420" s="39"/>
      <c r="F6420" s="39"/>
    </row>
    <row r="6421">
      <c r="D6421" s="39"/>
      <c r="E6421" s="39"/>
      <c r="F6421" s="39"/>
    </row>
    <row r="6422">
      <c r="D6422" s="39"/>
      <c r="E6422" s="39"/>
      <c r="F6422" s="39"/>
    </row>
    <row r="6423">
      <c r="D6423" s="39"/>
      <c r="E6423" s="39"/>
      <c r="F6423" s="39"/>
    </row>
    <row r="6424">
      <c r="D6424" s="39"/>
      <c r="E6424" s="39"/>
      <c r="F6424" s="39"/>
    </row>
    <row r="6425">
      <c r="D6425" s="39"/>
      <c r="E6425" s="39"/>
      <c r="F6425" s="39"/>
    </row>
    <row r="6426">
      <c r="D6426" s="39"/>
      <c r="E6426" s="39"/>
      <c r="F6426" s="39"/>
    </row>
    <row r="6427">
      <c r="D6427" s="39"/>
      <c r="E6427" s="39"/>
      <c r="F6427" s="39"/>
    </row>
    <row r="6428">
      <c r="D6428" s="39"/>
      <c r="E6428" s="39"/>
      <c r="F6428" s="39"/>
    </row>
    <row r="6429">
      <c r="D6429" s="39"/>
      <c r="E6429" s="39"/>
      <c r="F6429" s="39"/>
    </row>
    <row r="6430">
      <c r="D6430" s="39"/>
      <c r="E6430" s="39"/>
      <c r="F6430" s="39"/>
    </row>
    <row r="6431">
      <c r="D6431" s="39"/>
      <c r="E6431" s="39"/>
      <c r="F6431" s="39"/>
    </row>
    <row r="6432">
      <c r="D6432" s="39"/>
      <c r="E6432" s="39"/>
      <c r="F6432" s="39"/>
    </row>
    <row r="6433">
      <c r="D6433" s="39"/>
      <c r="E6433" s="39"/>
      <c r="F6433" s="39"/>
    </row>
    <row r="6434">
      <c r="D6434" s="39"/>
      <c r="E6434" s="39"/>
      <c r="F6434" s="39"/>
    </row>
    <row r="6435">
      <c r="D6435" s="39"/>
      <c r="E6435" s="39"/>
      <c r="F6435" s="39"/>
    </row>
    <row r="6436">
      <c r="D6436" s="39"/>
      <c r="E6436" s="39"/>
      <c r="F6436" s="39"/>
    </row>
    <row r="6437">
      <c r="D6437" s="39"/>
      <c r="E6437" s="39"/>
      <c r="F6437" s="39"/>
    </row>
    <row r="6438">
      <c r="D6438" s="39"/>
      <c r="E6438" s="39"/>
      <c r="F6438" s="39"/>
    </row>
    <row r="6439">
      <c r="D6439" s="39"/>
      <c r="E6439" s="39"/>
      <c r="F6439" s="39"/>
    </row>
    <row r="6440">
      <c r="D6440" s="39"/>
      <c r="E6440" s="39"/>
      <c r="F6440" s="39"/>
    </row>
    <row r="6441">
      <c r="D6441" s="39"/>
      <c r="E6441" s="39"/>
      <c r="F6441" s="39"/>
    </row>
    <row r="6442">
      <c r="D6442" s="39"/>
      <c r="E6442" s="39"/>
      <c r="F6442" s="39"/>
    </row>
    <row r="6443">
      <c r="D6443" s="39"/>
      <c r="E6443" s="39"/>
      <c r="F6443" s="39"/>
    </row>
    <row r="6444">
      <c r="D6444" s="39"/>
      <c r="E6444" s="39"/>
      <c r="F6444" s="39"/>
    </row>
    <row r="6445">
      <c r="D6445" s="39"/>
      <c r="E6445" s="39"/>
      <c r="F6445" s="39"/>
    </row>
    <row r="6446">
      <c r="D6446" s="39"/>
      <c r="E6446" s="39"/>
      <c r="F6446" s="39"/>
    </row>
    <row r="6447">
      <c r="D6447" s="39"/>
      <c r="E6447" s="39"/>
      <c r="F6447" s="39"/>
    </row>
    <row r="6448">
      <c r="D6448" s="39"/>
      <c r="E6448" s="39"/>
      <c r="F6448" s="39"/>
    </row>
    <row r="6449">
      <c r="D6449" s="39"/>
      <c r="E6449" s="39"/>
      <c r="F6449" s="39"/>
    </row>
    <row r="6450">
      <c r="D6450" s="39"/>
      <c r="E6450" s="39"/>
      <c r="F6450" s="39"/>
    </row>
    <row r="6451">
      <c r="D6451" s="39"/>
      <c r="E6451" s="39"/>
      <c r="F6451" s="39"/>
    </row>
    <row r="6452">
      <c r="D6452" s="39"/>
      <c r="E6452" s="39"/>
      <c r="F6452" s="39"/>
    </row>
    <row r="6453">
      <c r="D6453" s="39"/>
      <c r="E6453" s="39"/>
      <c r="F6453" s="39"/>
    </row>
    <row r="6454">
      <c r="D6454" s="39"/>
      <c r="E6454" s="39"/>
      <c r="F6454" s="39"/>
    </row>
    <row r="6455">
      <c r="D6455" s="39"/>
      <c r="E6455" s="39"/>
      <c r="F6455" s="39"/>
    </row>
    <row r="6456">
      <c r="D6456" s="39"/>
      <c r="E6456" s="39"/>
      <c r="F6456" s="39"/>
    </row>
    <row r="6457">
      <c r="D6457" s="39"/>
      <c r="E6457" s="39"/>
      <c r="F6457" s="39"/>
    </row>
    <row r="6458">
      <c r="D6458" s="39"/>
      <c r="E6458" s="39"/>
      <c r="F6458" s="39"/>
    </row>
    <row r="6459">
      <c r="D6459" s="39"/>
      <c r="E6459" s="39"/>
      <c r="F6459" s="39"/>
    </row>
    <row r="6460">
      <c r="D6460" s="39"/>
      <c r="E6460" s="39"/>
      <c r="F6460" s="39"/>
    </row>
    <row r="6461">
      <c r="D6461" s="39"/>
      <c r="E6461" s="39"/>
      <c r="F6461" s="39"/>
    </row>
    <row r="6462">
      <c r="D6462" s="39"/>
      <c r="E6462" s="39"/>
      <c r="F6462" s="39"/>
    </row>
    <row r="6463">
      <c r="D6463" s="39"/>
      <c r="E6463" s="39"/>
      <c r="F6463" s="39"/>
    </row>
    <row r="6464">
      <c r="D6464" s="39"/>
      <c r="E6464" s="39"/>
      <c r="F6464" s="39"/>
    </row>
    <row r="6465">
      <c r="D6465" s="39"/>
      <c r="E6465" s="39"/>
      <c r="F6465" s="39"/>
    </row>
    <row r="6466">
      <c r="D6466" s="39"/>
      <c r="E6466" s="39"/>
      <c r="F6466" s="39"/>
    </row>
    <row r="6467">
      <c r="D6467" s="39"/>
      <c r="E6467" s="39"/>
      <c r="F6467" s="39"/>
    </row>
    <row r="6468">
      <c r="D6468" s="39"/>
      <c r="E6468" s="39"/>
      <c r="F6468" s="39"/>
    </row>
    <row r="6469">
      <c r="D6469" s="39"/>
      <c r="E6469" s="39"/>
      <c r="F6469" s="39"/>
    </row>
    <row r="6470">
      <c r="D6470" s="39"/>
      <c r="E6470" s="39"/>
      <c r="F6470" s="39"/>
    </row>
    <row r="6471">
      <c r="D6471" s="39"/>
      <c r="E6471" s="39"/>
      <c r="F6471" s="39"/>
    </row>
    <row r="6472">
      <c r="D6472" s="39"/>
      <c r="E6472" s="39"/>
      <c r="F6472" s="39"/>
    </row>
    <row r="6473">
      <c r="D6473" s="39"/>
      <c r="E6473" s="39"/>
      <c r="F6473" s="39"/>
    </row>
    <row r="6474">
      <c r="D6474" s="39"/>
      <c r="E6474" s="39"/>
      <c r="F6474" s="39"/>
    </row>
    <row r="6475">
      <c r="D6475" s="39"/>
      <c r="E6475" s="39"/>
      <c r="F6475" s="39"/>
    </row>
    <row r="6476">
      <c r="D6476" s="39"/>
      <c r="E6476" s="39"/>
      <c r="F6476" s="39"/>
    </row>
    <row r="6477">
      <c r="D6477" s="39"/>
      <c r="E6477" s="39"/>
      <c r="F6477" s="39"/>
    </row>
    <row r="6478">
      <c r="D6478" s="39"/>
      <c r="E6478" s="39"/>
      <c r="F6478" s="39"/>
    </row>
    <row r="6479">
      <c r="D6479" s="39"/>
      <c r="E6479" s="39"/>
      <c r="F6479" s="39"/>
    </row>
    <row r="6480">
      <c r="D6480" s="39"/>
      <c r="E6480" s="39"/>
      <c r="F6480" s="39"/>
    </row>
    <row r="6481">
      <c r="D6481" s="39"/>
      <c r="E6481" s="39"/>
      <c r="F6481" s="39"/>
    </row>
    <row r="6482">
      <c r="D6482" s="39"/>
      <c r="E6482" s="39"/>
      <c r="F6482" s="39"/>
    </row>
    <row r="6483">
      <c r="D6483" s="39"/>
      <c r="E6483" s="39"/>
      <c r="F6483" s="39"/>
    </row>
    <row r="6484">
      <c r="D6484" s="39"/>
      <c r="E6484" s="39"/>
      <c r="F6484" s="39"/>
    </row>
    <row r="6485">
      <c r="D6485" s="39"/>
      <c r="E6485" s="39"/>
      <c r="F6485" s="39"/>
    </row>
    <row r="6486">
      <c r="D6486" s="39"/>
      <c r="E6486" s="39"/>
      <c r="F6486" s="39"/>
    </row>
    <row r="6487">
      <c r="D6487" s="39"/>
      <c r="E6487" s="39"/>
      <c r="F6487" s="39"/>
    </row>
    <row r="6488">
      <c r="D6488" s="39"/>
      <c r="E6488" s="39"/>
      <c r="F6488" s="39"/>
    </row>
    <row r="6489">
      <c r="D6489" s="39"/>
      <c r="E6489" s="39"/>
      <c r="F6489" s="39"/>
    </row>
    <row r="6490">
      <c r="D6490" s="39"/>
      <c r="E6490" s="39"/>
      <c r="F6490" s="39"/>
    </row>
    <row r="6491">
      <c r="D6491" s="39"/>
      <c r="E6491" s="39"/>
      <c r="F6491" s="39"/>
    </row>
    <row r="6492">
      <c r="D6492" s="39"/>
      <c r="E6492" s="39"/>
      <c r="F6492" s="39"/>
    </row>
    <row r="6493">
      <c r="D6493" s="39"/>
      <c r="E6493" s="39"/>
      <c r="F6493" s="39"/>
    </row>
    <row r="6494">
      <c r="D6494" s="39"/>
      <c r="E6494" s="39"/>
      <c r="F6494" s="39"/>
    </row>
    <row r="6495">
      <c r="D6495" s="39"/>
      <c r="E6495" s="39"/>
      <c r="F6495" s="39"/>
    </row>
    <row r="6496">
      <c r="D6496" s="39"/>
      <c r="E6496" s="39"/>
      <c r="F6496" s="39"/>
    </row>
    <row r="6497">
      <c r="D6497" s="39"/>
      <c r="E6497" s="39"/>
      <c r="F6497" s="39"/>
    </row>
    <row r="6498">
      <c r="D6498" s="39"/>
      <c r="E6498" s="39"/>
      <c r="F6498" s="39"/>
    </row>
    <row r="6499">
      <c r="D6499" s="39"/>
      <c r="E6499" s="39"/>
      <c r="F6499" s="39"/>
    </row>
    <row r="6500">
      <c r="D6500" s="39"/>
      <c r="E6500" s="39"/>
      <c r="F6500" s="39"/>
    </row>
    <row r="6501">
      <c r="D6501" s="39"/>
      <c r="E6501" s="39"/>
      <c r="F6501" s="39"/>
    </row>
    <row r="6502">
      <c r="D6502" s="39"/>
      <c r="E6502" s="39"/>
      <c r="F6502" s="39"/>
    </row>
    <row r="6503">
      <c r="D6503" s="39"/>
      <c r="E6503" s="39"/>
      <c r="F6503" s="39"/>
    </row>
    <row r="6504">
      <c r="D6504" s="39"/>
      <c r="E6504" s="39"/>
      <c r="F6504" s="39"/>
    </row>
    <row r="6505">
      <c r="D6505" s="39"/>
      <c r="E6505" s="39"/>
      <c r="F6505" s="39"/>
    </row>
    <row r="6506">
      <c r="D6506" s="39"/>
      <c r="E6506" s="39"/>
      <c r="F6506" s="39"/>
    </row>
    <row r="6507">
      <c r="D6507" s="39"/>
      <c r="E6507" s="39"/>
      <c r="F6507" s="39"/>
    </row>
    <row r="6508">
      <c r="D6508" s="39"/>
      <c r="E6508" s="39"/>
      <c r="F6508" s="39"/>
    </row>
    <row r="6509">
      <c r="D6509" s="39"/>
      <c r="E6509" s="39"/>
      <c r="F6509" s="39"/>
    </row>
    <row r="6510">
      <c r="D6510" s="39"/>
      <c r="E6510" s="39"/>
      <c r="F6510" s="39"/>
    </row>
    <row r="6511">
      <c r="D6511" s="39"/>
      <c r="E6511" s="39"/>
      <c r="F6511" s="39"/>
    </row>
    <row r="6512">
      <c r="D6512" s="39"/>
      <c r="E6512" s="39"/>
      <c r="F6512" s="39"/>
    </row>
    <row r="6513">
      <c r="D6513" s="39"/>
      <c r="E6513" s="39"/>
      <c r="F6513" s="39"/>
    </row>
    <row r="6514">
      <c r="D6514" s="39"/>
      <c r="E6514" s="39"/>
      <c r="F6514" s="39"/>
    </row>
    <row r="6515">
      <c r="D6515" s="39"/>
      <c r="E6515" s="39"/>
      <c r="F6515" s="39"/>
    </row>
    <row r="6516">
      <c r="D6516" s="39"/>
      <c r="E6516" s="39"/>
      <c r="F6516" s="39"/>
    </row>
    <row r="6517">
      <c r="D6517" s="39"/>
      <c r="E6517" s="39"/>
      <c r="F6517" s="39"/>
    </row>
    <row r="6518">
      <c r="D6518" s="39"/>
      <c r="E6518" s="39"/>
      <c r="F6518" s="39"/>
    </row>
    <row r="6519">
      <c r="D6519" s="39"/>
      <c r="E6519" s="39"/>
      <c r="F6519" s="39"/>
    </row>
    <row r="6520">
      <c r="D6520" s="39"/>
      <c r="E6520" s="39"/>
      <c r="F6520" s="39"/>
    </row>
    <row r="6521">
      <c r="D6521" s="39"/>
      <c r="E6521" s="39"/>
      <c r="F6521" s="39"/>
    </row>
    <row r="6522">
      <c r="D6522" s="39"/>
      <c r="E6522" s="39"/>
      <c r="F6522" s="39"/>
    </row>
    <row r="6523">
      <c r="D6523" s="39"/>
      <c r="E6523" s="39"/>
      <c r="F6523" s="39"/>
    </row>
    <row r="6524">
      <c r="D6524" s="39"/>
      <c r="E6524" s="39"/>
      <c r="F6524" s="39"/>
    </row>
    <row r="6525">
      <c r="D6525" s="39"/>
      <c r="E6525" s="39"/>
      <c r="F6525" s="39"/>
    </row>
    <row r="6526">
      <c r="D6526" s="39"/>
      <c r="E6526" s="39"/>
      <c r="F6526" s="39"/>
    </row>
    <row r="6527">
      <c r="D6527" s="39"/>
      <c r="E6527" s="39"/>
      <c r="F6527" s="39"/>
    </row>
    <row r="6528">
      <c r="D6528" s="39"/>
      <c r="E6528" s="39"/>
      <c r="F6528" s="39"/>
    </row>
    <row r="6529">
      <c r="D6529" s="39"/>
      <c r="E6529" s="39"/>
      <c r="F6529" s="39"/>
    </row>
    <row r="6530">
      <c r="D6530" s="39"/>
      <c r="E6530" s="39"/>
      <c r="F6530" s="39"/>
    </row>
    <row r="6531">
      <c r="D6531" s="39"/>
      <c r="E6531" s="39"/>
      <c r="F6531" s="39"/>
    </row>
    <row r="6532">
      <c r="D6532" s="39"/>
      <c r="E6532" s="39"/>
      <c r="F6532" s="39"/>
    </row>
    <row r="6533">
      <c r="D6533" s="39"/>
      <c r="E6533" s="39"/>
      <c r="F6533" s="39"/>
    </row>
    <row r="6534">
      <c r="D6534" s="39"/>
      <c r="E6534" s="39"/>
      <c r="F6534" s="39"/>
    </row>
    <row r="6535">
      <c r="D6535" s="39"/>
      <c r="E6535" s="39"/>
      <c r="F6535" s="39"/>
    </row>
    <row r="6536">
      <c r="D6536" s="39"/>
      <c r="E6536" s="39"/>
      <c r="F6536" s="39"/>
    </row>
    <row r="6537">
      <c r="D6537" s="39"/>
      <c r="E6537" s="39"/>
      <c r="F6537" s="39"/>
    </row>
    <row r="6538">
      <c r="D6538" s="39"/>
      <c r="E6538" s="39"/>
      <c r="F6538" s="39"/>
    </row>
    <row r="6539">
      <c r="D6539" s="39"/>
      <c r="E6539" s="39"/>
      <c r="F6539" s="39"/>
    </row>
    <row r="6540">
      <c r="D6540" s="39"/>
      <c r="E6540" s="39"/>
      <c r="F6540" s="39"/>
    </row>
    <row r="6541">
      <c r="D6541" s="39"/>
      <c r="E6541" s="39"/>
      <c r="F6541" s="39"/>
    </row>
    <row r="6542">
      <c r="D6542" s="39"/>
      <c r="E6542" s="39"/>
      <c r="F6542" s="39"/>
    </row>
    <row r="6543">
      <c r="D6543" s="39"/>
      <c r="E6543" s="39"/>
      <c r="F6543" s="39"/>
    </row>
    <row r="6544">
      <c r="D6544" s="39"/>
      <c r="E6544" s="39"/>
      <c r="F6544" s="39"/>
    </row>
    <row r="6545">
      <c r="D6545" s="39"/>
      <c r="E6545" s="39"/>
      <c r="F6545" s="39"/>
    </row>
    <row r="6546">
      <c r="D6546" s="39"/>
      <c r="E6546" s="39"/>
      <c r="F6546" s="39"/>
    </row>
    <row r="6547">
      <c r="D6547" s="39"/>
      <c r="E6547" s="39"/>
      <c r="F6547" s="39"/>
    </row>
    <row r="6548">
      <c r="D6548" s="39"/>
      <c r="E6548" s="39"/>
      <c r="F6548" s="39"/>
    </row>
    <row r="6549">
      <c r="D6549" s="39"/>
      <c r="E6549" s="39"/>
      <c r="F6549" s="39"/>
    </row>
    <row r="6550">
      <c r="D6550" s="39"/>
      <c r="E6550" s="39"/>
      <c r="F6550" s="39"/>
    </row>
    <row r="6551">
      <c r="D6551" s="39"/>
      <c r="E6551" s="39"/>
      <c r="F6551" s="39"/>
    </row>
    <row r="6552">
      <c r="D6552" s="39"/>
      <c r="E6552" s="39"/>
      <c r="F6552" s="39"/>
    </row>
    <row r="6553">
      <c r="D6553" s="39"/>
      <c r="E6553" s="39"/>
      <c r="F6553" s="39"/>
    </row>
    <row r="6554">
      <c r="D6554" s="39"/>
      <c r="E6554" s="39"/>
      <c r="F6554" s="39"/>
    </row>
    <row r="6555">
      <c r="D6555" s="39"/>
      <c r="E6555" s="39"/>
      <c r="F6555" s="39"/>
    </row>
    <row r="6556">
      <c r="D6556" s="39"/>
      <c r="E6556" s="39"/>
      <c r="F6556" s="39"/>
    </row>
    <row r="6557">
      <c r="D6557" s="39"/>
      <c r="E6557" s="39"/>
      <c r="F6557" s="39"/>
    </row>
    <row r="6558">
      <c r="D6558" s="39"/>
      <c r="E6558" s="39"/>
      <c r="F6558" s="39"/>
    </row>
    <row r="6559">
      <c r="D6559" s="39"/>
      <c r="E6559" s="39"/>
      <c r="F6559" s="39"/>
    </row>
    <row r="6560">
      <c r="D6560" s="39"/>
      <c r="E6560" s="39"/>
      <c r="F6560" s="39"/>
    </row>
    <row r="6561">
      <c r="D6561" s="39"/>
      <c r="E6561" s="39"/>
      <c r="F6561" s="39"/>
    </row>
    <row r="6562">
      <c r="D6562" s="39"/>
      <c r="E6562" s="39"/>
      <c r="F6562" s="39"/>
    </row>
    <row r="6563">
      <c r="D6563" s="39"/>
      <c r="E6563" s="39"/>
      <c r="F6563" s="39"/>
    </row>
    <row r="6564">
      <c r="D6564" s="39"/>
      <c r="E6564" s="39"/>
      <c r="F6564" s="39"/>
    </row>
    <row r="6565">
      <c r="D6565" s="39"/>
      <c r="E6565" s="39"/>
      <c r="F6565" s="39"/>
    </row>
    <row r="6566">
      <c r="D6566" s="39"/>
      <c r="E6566" s="39"/>
      <c r="F6566" s="39"/>
    </row>
    <row r="6567">
      <c r="D6567" s="39"/>
      <c r="E6567" s="39"/>
      <c r="F6567" s="39"/>
    </row>
    <row r="6568">
      <c r="D6568" s="39"/>
      <c r="E6568" s="39"/>
      <c r="F6568" s="39"/>
    </row>
    <row r="6569">
      <c r="D6569" s="39"/>
      <c r="E6569" s="39"/>
      <c r="F6569" s="39"/>
    </row>
    <row r="6570">
      <c r="D6570" s="39"/>
      <c r="E6570" s="39"/>
      <c r="F6570" s="39"/>
    </row>
    <row r="6571">
      <c r="D6571" s="39"/>
      <c r="E6571" s="39"/>
      <c r="F6571" s="39"/>
    </row>
    <row r="6572">
      <c r="D6572" s="39"/>
      <c r="E6572" s="39"/>
      <c r="F6572" s="39"/>
    </row>
    <row r="6573">
      <c r="D6573" s="39"/>
      <c r="E6573" s="39"/>
      <c r="F6573" s="39"/>
    </row>
    <row r="6574">
      <c r="D6574" s="39"/>
      <c r="E6574" s="39"/>
      <c r="F6574" s="39"/>
    </row>
    <row r="6575">
      <c r="D6575" s="39"/>
      <c r="E6575" s="39"/>
      <c r="F6575" s="39"/>
    </row>
    <row r="6576">
      <c r="D6576" s="39"/>
      <c r="E6576" s="39"/>
      <c r="F6576" s="39"/>
    </row>
    <row r="6577">
      <c r="D6577" s="39"/>
      <c r="E6577" s="39"/>
      <c r="F6577" s="39"/>
    </row>
    <row r="6578">
      <c r="D6578" s="39"/>
      <c r="E6578" s="39"/>
      <c r="F6578" s="39"/>
    </row>
    <row r="6579">
      <c r="D6579" s="39"/>
      <c r="E6579" s="39"/>
      <c r="F6579" s="39"/>
    </row>
    <row r="6580">
      <c r="D6580" s="39"/>
      <c r="E6580" s="39"/>
      <c r="F6580" s="39"/>
    </row>
    <row r="6581">
      <c r="D6581" s="39"/>
      <c r="E6581" s="39"/>
      <c r="F6581" s="39"/>
    </row>
    <row r="6582">
      <c r="D6582" s="39"/>
      <c r="E6582" s="39"/>
      <c r="F6582" s="39"/>
    </row>
    <row r="6583">
      <c r="D6583" s="39"/>
      <c r="E6583" s="39"/>
      <c r="F6583" s="39"/>
    </row>
    <row r="6584">
      <c r="D6584" s="39"/>
      <c r="E6584" s="39"/>
      <c r="F6584" s="39"/>
    </row>
    <row r="6585">
      <c r="D6585" s="39"/>
      <c r="E6585" s="39"/>
      <c r="F6585" s="39"/>
    </row>
    <row r="6586">
      <c r="D6586" s="39"/>
      <c r="E6586" s="39"/>
      <c r="F6586" s="39"/>
    </row>
    <row r="6587">
      <c r="D6587" s="39"/>
      <c r="E6587" s="39"/>
      <c r="F6587" s="39"/>
    </row>
    <row r="6588">
      <c r="D6588" s="39"/>
      <c r="E6588" s="39"/>
      <c r="F6588" s="39"/>
    </row>
    <row r="6589">
      <c r="D6589" s="39"/>
      <c r="E6589" s="39"/>
      <c r="F6589" s="39"/>
    </row>
    <row r="6590">
      <c r="D6590" s="39"/>
      <c r="E6590" s="39"/>
      <c r="F6590" s="39"/>
    </row>
    <row r="6591">
      <c r="D6591" s="39"/>
      <c r="E6591" s="39"/>
      <c r="F6591" s="39"/>
    </row>
    <row r="6592">
      <c r="D6592" s="39"/>
      <c r="E6592" s="39"/>
      <c r="F6592" s="39"/>
    </row>
    <row r="6593">
      <c r="D6593" s="39"/>
      <c r="E6593" s="39"/>
      <c r="F6593" s="39"/>
    </row>
    <row r="6594">
      <c r="D6594" s="39"/>
      <c r="E6594" s="39"/>
      <c r="F6594" s="39"/>
    </row>
    <row r="6595">
      <c r="D6595" s="39"/>
      <c r="E6595" s="39"/>
      <c r="F6595" s="39"/>
    </row>
    <row r="6596">
      <c r="D6596" s="39"/>
      <c r="E6596" s="39"/>
      <c r="F6596" s="39"/>
    </row>
    <row r="6597">
      <c r="D6597" s="39"/>
      <c r="E6597" s="39"/>
      <c r="F6597" s="39"/>
    </row>
    <row r="6598">
      <c r="D6598" s="39"/>
      <c r="E6598" s="39"/>
      <c r="F6598" s="39"/>
    </row>
    <row r="6599">
      <c r="D6599" s="39"/>
      <c r="E6599" s="39"/>
      <c r="F6599" s="39"/>
    </row>
    <row r="6600">
      <c r="D6600" s="39"/>
      <c r="E6600" s="39"/>
      <c r="F6600" s="39"/>
    </row>
    <row r="6601">
      <c r="D6601" s="39"/>
      <c r="E6601" s="39"/>
      <c r="F6601" s="39"/>
    </row>
    <row r="6602">
      <c r="D6602" s="39"/>
      <c r="E6602" s="39"/>
      <c r="F6602" s="39"/>
    </row>
    <row r="6603">
      <c r="D6603" s="39"/>
      <c r="E6603" s="39"/>
      <c r="F6603" s="39"/>
    </row>
    <row r="6604">
      <c r="D6604" s="39"/>
      <c r="E6604" s="39"/>
      <c r="F6604" s="39"/>
    </row>
    <row r="6605">
      <c r="D6605" s="39"/>
      <c r="E6605" s="39"/>
      <c r="F6605" s="39"/>
    </row>
    <row r="6606">
      <c r="D6606" s="39"/>
      <c r="E6606" s="39"/>
      <c r="F6606" s="39"/>
    </row>
    <row r="6607">
      <c r="D6607" s="39"/>
      <c r="E6607" s="39"/>
      <c r="F6607" s="39"/>
    </row>
    <row r="6608">
      <c r="D6608" s="39"/>
      <c r="E6608" s="39"/>
      <c r="F6608" s="39"/>
    </row>
    <row r="6609">
      <c r="D6609" s="39"/>
      <c r="E6609" s="39"/>
      <c r="F6609" s="39"/>
    </row>
    <row r="6610">
      <c r="D6610" s="39"/>
      <c r="E6610" s="39"/>
      <c r="F6610" s="39"/>
    </row>
    <row r="6611">
      <c r="D6611" s="39"/>
      <c r="E6611" s="39"/>
      <c r="F6611" s="39"/>
    </row>
    <row r="6612">
      <c r="D6612" s="39"/>
      <c r="E6612" s="39"/>
      <c r="F6612" s="39"/>
    </row>
    <row r="6613">
      <c r="D6613" s="39"/>
      <c r="E6613" s="39"/>
      <c r="F6613" s="39"/>
    </row>
    <row r="6614">
      <c r="D6614" s="39"/>
      <c r="E6614" s="39"/>
      <c r="F6614" s="39"/>
    </row>
    <row r="6615">
      <c r="D6615" s="39"/>
      <c r="E6615" s="39"/>
      <c r="F6615" s="39"/>
    </row>
    <row r="6616">
      <c r="D6616" s="39"/>
      <c r="E6616" s="39"/>
      <c r="F6616" s="39"/>
    </row>
    <row r="6617">
      <c r="D6617" s="39"/>
      <c r="E6617" s="39"/>
      <c r="F6617" s="39"/>
    </row>
    <row r="6618">
      <c r="D6618" s="39"/>
      <c r="E6618" s="39"/>
      <c r="F6618" s="39"/>
    </row>
    <row r="6619">
      <c r="D6619" s="39"/>
      <c r="E6619" s="39"/>
      <c r="F6619" s="39"/>
    </row>
    <row r="6620">
      <c r="D6620" s="39"/>
      <c r="E6620" s="39"/>
      <c r="F6620" s="39"/>
    </row>
    <row r="6621">
      <c r="D6621" s="39"/>
      <c r="E6621" s="39"/>
      <c r="F6621" s="39"/>
    </row>
    <row r="6622">
      <c r="D6622" s="39"/>
      <c r="E6622" s="39"/>
      <c r="F6622" s="39"/>
    </row>
    <row r="6623">
      <c r="D6623" s="39"/>
      <c r="E6623" s="39"/>
      <c r="F6623" s="39"/>
    </row>
    <row r="6624">
      <c r="D6624" s="39"/>
      <c r="E6624" s="39"/>
      <c r="F6624" s="39"/>
    </row>
    <row r="6625">
      <c r="D6625" s="39"/>
      <c r="E6625" s="39"/>
      <c r="F6625" s="39"/>
    </row>
    <row r="6626">
      <c r="D6626" s="39"/>
      <c r="E6626" s="39"/>
      <c r="F6626" s="39"/>
    </row>
    <row r="6627">
      <c r="D6627" s="39"/>
      <c r="E6627" s="39"/>
      <c r="F6627" s="39"/>
    </row>
    <row r="6628">
      <c r="D6628" s="39"/>
      <c r="E6628" s="39"/>
      <c r="F6628" s="39"/>
    </row>
    <row r="6629">
      <c r="D6629" s="39"/>
      <c r="E6629" s="39"/>
      <c r="F6629" s="39"/>
    </row>
    <row r="6630">
      <c r="D6630" s="39"/>
      <c r="E6630" s="39"/>
      <c r="F6630" s="39"/>
    </row>
    <row r="6631">
      <c r="D6631" s="39"/>
      <c r="E6631" s="39"/>
      <c r="F6631" s="39"/>
    </row>
    <row r="6632">
      <c r="D6632" s="39"/>
      <c r="E6632" s="39"/>
      <c r="F6632" s="39"/>
    </row>
    <row r="6633">
      <c r="D6633" s="39"/>
      <c r="E6633" s="39"/>
      <c r="F6633" s="39"/>
    </row>
    <row r="6634">
      <c r="D6634" s="39"/>
      <c r="E6634" s="39"/>
      <c r="F6634" s="39"/>
    </row>
    <row r="6635">
      <c r="D6635" s="39"/>
      <c r="E6635" s="39"/>
      <c r="F6635" s="39"/>
    </row>
    <row r="6636">
      <c r="D6636" s="39"/>
      <c r="E6636" s="39"/>
      <c r="F6636" s="39"/>
    </row>
    <row r="6637">
      <c r="D6637" s="39"/>
      <c r="E6637" s="39"/>
      <c r="F6637" s="39"/>
    </row>
    <row r="6638">
      <c r="D6638" s="39"/>
      <c r="E6638" s="39"/>
      <c r="F6638" s="39"/>
    </row>
    <row r="6639">
      <c r="D6639" s="39"/>
      <c r="E6639" s="39"/>
      <c r="F6639" s="39"/>
    </row>
    <row r="6640">
      <c r="D6640" s="39"/>
      <c r="E6640" s="39"/>
      <c r="F6640" s="39"/>
    </row>
    <row r="6641">
      <c r="D6641" s="39"/>
      <c r="E6641" s="39"/>
      <c r="F6641" s="39"/>
    </row>
    <row r="6642">
      <c r="D6642" s="39"/>
      <c r="E6642" s="39"/>
      <c r="F6642" s="39"/>
    </row>
    <row r="6643">
      <c r="D6643" s="39"/>
      <c r="E6643" s="39"/>
      <c r="F6643" s="39"/>
    </row>
    <row r="6644">
      <c r="D6644" s="39"/>
      <c r="E6644" s="39"/>
      <c r="F6644" s="39"/>
    </row>
    <row r="6645">
      <c r="D6645" s="39"/>
      <c r="E6645" s="39"/>
      <c r="F6645" s="39"/>
    </row>
    <row r="6646">
      <c r="D6646" s="39"/>
      <c r="E6646" s="39"/>
      <c r="F6646" s="39"/>
    </row>
    <row r="6647">
      <c r="D6647" s="39"/>
      <c r="E6647" s="39"/>
      <c r="F6647" s="39"/>
    </row>
    <row r="6648">
      <c r="D6648" s="39"/>
      <c r="E6648" s="39"/>
      <c r="F6648" s="39"/>
    </row>
    <row r="6649">
      <c r="D6649" s="39"/>
      <c r="E6649" s="39"/>
      <c r="F6649" s="39"/>
    </row>
    <row r="6650">
      <c r="D6650" s="39"/>
      <c r="E6650" s="39"/>
      <c r="F6650" s="39"/>
    </row>
    <row r="6651">
      <c r="D6651" s="39"/>
      <c r="E6651" s="39"/>
      <c r="F6651" s="39"/>
    </row>
    <row r="6652">
      <c r="D6652" s="39"/>
      <c r="E6652" s="39"/>
      <c r="F6652" s="39"/>
    </row>
    <row r="6653">
      <c r="D6653" s="39"/>
      <c r="E6653" s="39"/>
      <c r="F6653" s="39"/>
    </row>
    <row r="6654">
      <c r="D6654" s="39"/>
      <c r="E6654" s="39"/>
      <c r="F6654" s="39"/>
    </row>
    <row r="6655">
      <c r="D6655" s="39"/>
      <c r="E6655" s="39"/>
      <c r="F6655" s="39"/>
    </row>
    <row r="6656">
      <c r="D6656" s="39"/>
      <c r="E6656" s="39"/>
      <c r="F6656" s="39"/>
    </row>
    <row r="6657">
      <c r="D6657" s="39"/>
      <c r="E6657" s="39"/>
      <c r="F6657" s="39"/>
    </row>
    <row r="6658">
      <c r="D6658" s="39"/>
      <c r="E6658" s="39"/>
      <c r="F6658" s="39"/>
    </row>
    <row r="6659">
      <c r="D6659" s="39"/>
      <c r="E6659" s="39"/>
      <c r="F6659" s="39"/>
    </row>
    <row r="6660">
      <c r="D6660" s="39"/>
      <c r="E6660" s="39"/>
      <c r="F6660" s="39"/>
    </row>
    <row r="6661">
      <c r="D6661" s="39"/>
      <c r="E6661" s="39"/>
      <c r="F6661" s="39"/>
    </row>
    <row r="6662">
      <c r="D6662" s="39"/>
      <c r="E6662" s="39"/>
      <c r="F6662" s="39"/>
    </row>
    <row r="6663">
      <c r="D6663" s="39"/>
      <c r="E6663" s="39"/>
      <c r="F6663" s="39"/>
    </row>
    <row r="6664">
      <c r="D6664" s="39"/>
      <c r="E6664" s="39"/>
      <c r="F6664" s="39"/>
    </row>
    <row r="6665">
      <c r="D6665" s="39"/>
      <c r="E6665" s="39"/>
      <c r="F6665" s="39"/>
    </row>
    <row r="6666">
      <c r="D6666" s="39"/>
      <c r="E6666" s="39"/>
      <c r="F6666" s="39"/>
    </row>
    <row r="6667">
      <c r="D6667" s="39"/>
      <c r="E6667" s="39"/>
      <c r="F6667" s="39"/>
    </row>
    <row r="6668">
      <c r="D6668" s="39"/>
      <c r="E6668" s="39"/>
      <c r="F6668" s="39"/>
    </row>
    <row r="6669">
      <c r="D6669" s="39"/>
      <c r="E6669" s="39"/>
      <c r="F6669" s="39"/>
    </row>
    <row r="6670">
      <c r="D6670" s="39"/>
      <c r="E6670" s="39"/>
      <c r="F6670" s="39"/>
    </row>
    <row r="6671">
      <c r="D6671" s="39"/>
      <c r="E6671" s="39"/>
      <c r="F6671" s="39"/>
    </row>
    <row r="6672">
      <c r="D6672" s="39"/>
      <c r="E6672" s="39"/>
      <c r="F6672" s="39"/>
    </row>
    <row r="6673">
      <c r="D6673" s="39"/>
      <c r="E6673" s="39"/>
      <c r="F6673" s="39"/>
    </row>
    <row r="6674">
      <c r="D6674" s="39"/>
      <c r="E6674" s="39"/>
      <c r="F6674" s="39"/>
    </row>
    <row r="6675">
      <c r="D6675" s="39"/>
      <c r="E6675" s="39"/>
      <c r="F6675" s="39"/>
    </row>
    <row r="6676">
      <c r="D6676" s="39"/>
      <c r="E6676" s="39"/>
      <c r="F6676" s="39"/>
    </row>
    <row r="6677">
      <c r="D6677" s="39"/>
      <c r="E6677" s="39"/>
      <c r="F6677" s="39"/>
    </row>
    <row r="6678">
      <c r="D6678" s="39"/>
      <c r="E6678" s="39"/>
      <c r="F6678" s="39"/>
    </row>
    <row r="6679">
      <c r="D6679" s="39"/>
      <c r="E6679" s="39"/>
      <c r="F6679" s="39"/>
    </row>
    <row r="6680">
      <c r="D6680" s="39"/>
      <c r="E6680" s="39"/>
      <c r="F6680" s="39"/>
    </row>
    <row r="6681">
      <c r="D6681" s="39"/>
      <c r="E6681" s="39"/>
      <c r="F6681" s="39"/>
    </row>
    <row r="6682">
      <c r="D6682" s="39"/>
      <c r="E6682" s="39"/>
      <c r="F6682" s="39"/>
    </row>
    <row r="6683">
      <c r="D6683" s="39"/>
      <c r="E6683" s="39"/>
      <c r="F6683" s="39"/>
    </row>
    <row r="6684">
      <c r="D6684" s="39"/>
      <c r="E6684" s="39"/>
      <c r="F6684" s="39"/>
    </row>
    <row r="6685">
      <c r="D6685" s="39"/>
      <c r="E6685" s="39"/>
      <c r="F6685" s="39"/>
    </row>
    <row r="6686">
      <c r="D6686" s="39"/>
      <c r="E6686" s="39"/>
      <c r="F6686" s="39"/>
    </row>
    <row r="6687">
      <c r="D6687" s="39"/>
      <c r="E6687" s="39"/>
      <c r="F6687" s="39"/>
    </row>
    <row r="6688">
      <c r="D6688" s="39"/>
      <c r="E6688" s="39"/>
      <c r="F6688" s="39"/>
    </row>
    <row r="6689">
      <c r="D6689" s="39"/>
      <c r="E6689" s="39"/>
      <c r="F6689" s="39"/>
    </row>
    <row r="6690">
      <c r="D6690" s="39"/>
      <c r="E6690" s="39"/>
      <c r="F6690" s="39"/>
    </row>
    <row r="6691">
      <c r="D6691" s="39"/>
      <c r="E6691" s="39"/>
      <c r="F6691" s="39"/>
    </row>
    <row r="6692">
      <c r="D6692" s="39"/>
      <c r="E6692" s="39"/>
      <c r="F6692" s="39"/>
    </row>
    <row r="6693">
      <c r="D6693" s="39"/>
      <c r="E6693" s="39"/>
      <c r="F6693" s="39"/>
    </row>
    <row r="6694">
      <c r="D6694" s="39"/>
      <c r="E6694" s="39"/>
      <c r="F6694" s="39"/>
    </row>
    <row r="6695">
      <c r="D6695" s="39"/>
      <c r="E6695" s="39"/>
      <c r="F6695" s="39"/>
    </row>
    <row r="6696">
      <c r="D6696" s="39"/>
      <c r="E6696" s="39"/>
      <c r="F6696" s="39"/>
    </row>
    <row r="6697">
      <c r="D6697" s="39"/>
      <c r="E6697" s="39"/>
      <c r="F6697" s="39"/>
    </row>
    <row r="6698">
      <c r="D6698" s="39"/>
      <c r="E6698" s="39"/>
      <c r="F6698" s="39"/>
    </row>
    <row r="6699">
      <c r="D6699" s="39"/>
      <c r="E6699" s="39"/>
      <c r="F6699" s="39"/>
    </row>
    <row r="6700">
      <c r="D6700" s="39"/>
      <c r="E6700" s="39"/>
      <c r="F6700" s="39"/>
    </row>
    <row r="6701">
      <c r="D6701" s="39"/>
      <c r="E6701" s="39"/>
      <c r="F6701" s="39"/>
    </row>
    <row r="6702">
      <c r="D6702" s="39"/>
      <c r="E6702" s="39"/>
      <c r="F6702" s="39"/>
    </row>
    <row r="6703">
      <c r="D6703" s="39"/>
      <c r="E6703" s="39"/>
      <c r="F6703" s="39"/>
    </row>
    <row r="6704">
      <c r="D6704" s="39"/>
      <c r="E6704" s="39"/>
      <c r="F6704" s="39"/>
    </row>
    <row r="6705">
      <c r="D6705" s="39"/>
      <c r="E6705" s="39"/>
      <c r="F6705" s="39"/>
    </row>
    <row r="6706">
      <c r="D6706" s="39"/>
      <c r="E6706" s="39"/>
      <c r="F6706" s="39"/>
    </row>
    <row r="6707">
      <c r="D6707" s="39"/>
      <c r="E6707" s="39"/>
      <c r="F6707" s="39"/>
    </row>
    <row r="6708">
      <c r="D6708" s="39"/>
      <c r="E6708" s="39"/>
      <c r="F6708" s="39"/>
    </row>
    <row r="6709">
      <c r="D6709" s="39"/>
      <c r="E6709" s="39"/>
      <c r="F6709" s="39"/>
    </row>
    <row r="6710">
      <c r="D6710" s="39"/>
      <c r="E6710" s="39"/>
      <c r="F6710" s="39"/>
    </row>
    <row r="6711">
      <c r="D6711" s="39"/>
      <c r="E6711" s="39"/>
      <c r="F6711" s="39"/>
    </row>
    <row r="6712">
      <c r="D6712" s="39"/>
      <c r="E6712" s="39"/>
      <c r="F6712" s="39"/>
    </row>
    <row r="6713">
      <c r="D6713" s="39"/>
      <c r="E6713" s="39"/>
      <c r="F6713" s="39"/>
    </row>
    <row r="6714">
      <c r="D6714" s="39"/>
      <c r="E6714" s="39"/>
      <c r="F6714" s="39"/>
    </row>
    <row r="6715">
      <c r="D6715" s="39"/>
      <c r="E6715" s="39"/>
      <c r="F6715" s="39"/>
    </row>
    <row r="6716">
      <c r="D6716" s="39"/>
      <c r="E6716" s="39"/>
      <c r="F6716" s="39"/>
    </row>
    <row r="6717">
      <c r="D6717" s="39"/>
      <c r="E6717" s="39"/>
      <c r="F6717" s="39"/>
    </row>
    <row r="6718">
      <c r="D6718" s="39"/>
      <c r="E6718" s="39"/>
      <c r="F6718" s="39"/>
    </row>
    <row r="6719">
      <c r="D6719" s="39"/>
      <c r="E6719" s="39"/>
      <c r="F6719" s="39"/>
    </row>
    <row r="6720">
      <c r="D6720" s="39"/>
      <c r="E6720" s="39"/>
      <c r="F6720" s="39"/>
    </row>
    <row r="6721">
      <c r="D6721" s="39"/>
      <c r="E6721" s="39"/>
      <c r="F6721" s="39"/>
    </row>
    <row r="6722">
      <c r="D6722" s="39"/>
      <c r="E6722" s="39"/>
      <c r="F6722" s="39"/>
    </row>
    <row r="6723">
      <c r="D6723" s="39"/>
      <c r="E6723" s="39"/>
      <c r="F6723" s="39"/>
    </row>
    <row r="6724">
      <c r="D6724" s="39"/>
      <c r="E6724" s="39"/>
      <c r="F6724" s="39"/>
    </row>
    <row r="6725">
      <c r="D6725" s="39"/>
      <c r="E6725" s="39"/>
      <c r="F6725" s="39"/>
    </row>
    <row r="6726">
      <c r="D6726" s="39"/>
      <c r="E6726" s="39"/>
      <c r="F6726" s="39"/>
    </row>
    <row r="6727">
      <c r="D6727" s="39"/>
      <c r="E6727" s="39"/>
      <c r="F6727" s="39"/>
    </row>
    <row r="6728">
      <c r="D6728" s="39"/>
      <c r="E6728" s="39"/>
      <c r="F6728" s="39"/>
    </row>
    <row r="6729">
      <c r="D6729" s="39"/>
      <c r="E6729" s="39"/>
      <c r="F6729" s="39"/>
    </row>
    <row r="6730">
      <c r="D6730" s="39"/>
      <c r="E6730" s="39"/>
      <c r="F6730" s="39"/>
    </row>
    <row r="6731">
      <c r="D6731" s="39"/>
      <c r="E6731" s="39"/>
      <c r="F6731" s="39"/>
    </row>
    <row r="6732">
      <c r="D6732" s="39"/>
      <c r="E6732" s="39"/>
      <c r="F6732" s="39"/>
    </row>
    <row r="6733">
      <c r="D6733" s="39"/>
      <c r="E6733" s="39"/>
      <c r="F6733" s="39"/>
    </row>
    <row r="6734">
      <c r="D6734" s="39"/>
      <c r="E6734" s="39"/>
      <c r="F6734" s="39"/>
    </row>
    <row r="6735">
      <c r="D6735" s="39"/>
      <c r="E6735" s="39"/>
      <c r="F6735" s="39"/>
    </row>
    <row r="6736">
      <c r="D6736" s="39"/>
      <c r="E6736" s="39"/>
      <c r="F6736" s="39"/>
    </row>
    <row r="6737">
      <c r="D6737" s="39"/>
      <c r="E6737" s="39"/>
      <c r="F6737" s="39"/>
    </row>
    <row r="6738">
      <c r="D6738" s="39"/>
      <c r="E6738" s="39"/>
      <c r="F6738" s="39"/>
    </row>
    <row r="6739">
      <c r="D6739" s="39"/>
      <c r="E6739" s="39"/>
      <c r="F6739" s="39"/>
    </row>
    <row r="6740">
      <c r="D6740" s="39"/>
      <c r="E6740" s="39"/>
      <c r="F6740" s="39"/>
    </row>
    <row r="6741">
      <c r="D6741" s="39"/>
      <c r="E6741" s="39"/>
      <c r="F6741" s="39"/>
    </row>
    <row r="6742">
      <c r="D6742" s="39"/>
      <c r="E6742" s="39"/>
      <c r="F6742" s="39"/>
    </row>
    <row r="6743">
      <c r="D6743" s="39"/>
      <c r="E6743" s="39"/>
      <c r="F6743" s="39"/>
    </row>
    <row r="6744">
      <c r="D6744" s="39"/>
      <c r="E6744" s="39"/>
      <c r="F6744" s="39"/>
    </row>
    <row r="6745">
      <c r="D6745" s="39"/>
      <c r="E6745" s="39"/>
      <c r="F6745" s="39"/>
    </row>
    <row r="6746">
      <c r="D6746" s="39"/>
      <c r="E6746" s="39"/>
      <c r="F6746" s="39"/>
    </row>
    <row r="6747">
      <c r="D6747" s="39"/>
      <c r="E6747" s="39"/>
      <c r="F6747" s="39"/>
    </row>
    <row r="6748">
      <c r="D6748" s="39"/>
      <c r="E6748" s="39"/>
      <c r="F6748" s="39"/>
    </row>
    <row r="6749">
      <c r="D6749" s="39"/>
      <c r="E6749" s="39"/>
      <c r="F6749" s="39"/>
    </row>
    <row r="6750">
      <c r="D6750" s="39"/>
      <c r="E6750" s="39"/>
      <c r="F6750" s="39"/>
    </row>
    <row r="6751">
      <c r="D6751" s="39"/>
      <c r="E6751" s="39"/>
      <c r="F6751" s="39"/>
    </row>
    <row r="6752">
      <c r="D6752" s="39"/>
      <c r="E6752" s="39"/>
      <c r="F6752" s="39"/>
    </row>
    <row r="6753">
      <c r="D6753" s="39"/>
      <c r="E6753" s="39"/>
      <c r="F6753" s="39"/>
    </row>
    <row r="6754">
      <c r="D6754" s="39"/>
      <c r="E6754" s="39"/>
      <c r="F6754" s="39"/>
    </row>
    <row r="6755">
      <c r="D6755" s="39"/>
      <c r="E6755" s="39"/>
      <c r="F6755" s="39"/>
    </row>
    <row r="6756">
      <c r="D6756" s="39"/>
      <c r="E6756" s="39"/>
      <c r="F6756" s="39"/>
    </row>
    <row r="6757">
      <c r="D6757" s="39"/>
      <c r="E6757" s="39"/>
      <c r="F6757" s="39"/>
    </row>
    <row r="6758">
      <c r="D6758" s="39"/>
      <c r="E6758" s="39"/>
      <c r="F6758" s="39"/>
    </row>
    <row r="6759">
      <c r="D6759" s="39"/>
      <c r="E6759" s="39"/>
      <c r="F6759" s="39"/>
    </row>
    <row r="6760">
      <c r="D6760" s="39"/>
      <c r="E6760" s="39"/>
      <c r="F6760" s="39"/>
    </row>
    <row r="6761">
      <c r="D6761" s="39"/>
      <c r="E6761" s="39"/>
      <c r="F6761" s="39"/>
    </row>
    <row r="6762">
      <c r="D6762" s="39"/>
      <c r="E6762" s="39"/>
      <c r="F6762" s="39"/>
    </row>
    <row r="6763">
      <c r="D6763" s="39"/>
      <c r="E6763" s="39"/>
      <c r="F6763" s="39"/>
    </row>
    <row r="6764">
      <c r="D6764" s="39"/>
      <c r="E6764" s="39"/>
      <c r="F6764" s="39"/>
    </row>
    <row r="6765">
      <c r="D6765" s="39"/>
      <c r="E6765" s="39"/>
      <c r="F6765" s="39"/>
    </row>
    <row r="6766">
      <c r="D6766" s="39"/>
      <c r="E6766" s="39"/>
      <c r="F6766" s="39"/>
    </row>
    <row r="6767">
      <c r="D6767" s="39"/>
      <c r="E6767" s="39"/>
      <c r="F6767" s="39"/>
    </row>
    <row r="6768">
      <c r="D6768" s="39"/>
      <c r="E6768" s="39"/>
      <c r="F6768" s="39"/>
    </row>
    <row r="6769">
      <c r="D6769" s="39"/>
      <c r="E6769" s="39"/>
      <c r="F6769" s="39"/>
    </row>
    <row r="6770">
      <c r="D6770" s="39"/>
      <c r="E6770" s="39"/>
      <c r="F6770" s="39"/>
    </row>
    <row r="6771">
      <c r="D6771" s="39"/>
      <c r="E6771" s="39"/>
      <c r="F6771" s="39"/>
    </row>
    <row r="6772">
      <c r="D6772" s="39"/>
      <c r="E6772" s="39"/>
      <c r="F6772" s="39"/>
    </row>
    <row r="6773">
      <c r="D6773" s="39"/>
      <c r="E6773" s="39"/>
      <c r="F6773" s="39"/>
    </row>
    <row r="6774">
      <c r="D6774" s="39"/>
      <c r="E6774" s="39"/>
      <c r="F6774" s="39"/>
    </row>
    <row r="6775">
      <c r="D6775" s="39"/>
      <c r="E6775" s="39"/>
      <c r="F6775" s="39"/>
    </row>
    <row r="6776">
      <c r="D6776" s="39"/>
      <c r="E6776" s="39"/>
      <c r="F6776" s="39"/>
    </row>
    <row r="6777">
      <c r="D6777" s="39"/>
      <c r="E6777" s="39"/>
      <c r="F6777" s="39"/>
    </row>
    <row r="6778">
      <c r="D6778" s="39"/>
      <c r="E6778" s="39"/>
      <c r="F6778" s="39"/>
    </row>
    <row r="6779">
      <c r="D6779" s="39"/>
      <c r="E6779" s="39"/>
      <c r="F6779" s="39"/>
    </row>
    <row r="6780">
      <c r="D6780" s="39"/>
      <c r="E6780" s="39"/>
      <c r="F6780" s="39"/>
    </row>
    <row r="6781">
      <c r="D6781" s="39"/>
      <c r="E6781" s="39"/>
      <c r="F6781" s="39"/>
    </row>
    <row r="6782">
      <c r="D6782" s="39"/>
      <c r="E6782" s="39"/>
      <c r="F6782" s="39"/>
    </row>
    <row r="6783">
      <c r="D6783" s="39"/>
      <c r="E6783" s="39"/>
      <c r="F6783" s="39"/>
    </row>
    <row r="6784">
      <c r="D6784" s="39"/>
      <c r="E6784" s="39"/>
      <c r="F6784" s="39"/>
    </row>
    <row r="6785">
      <c r="D6785" s="39"/>
      <c r="E6785" s="39"/>
      <c r="F6785" s="39"/>
    </row>
    <row r="6786">
      <c r="D6786" s="39"/>
      <c r="E6786" s="39"/>
      <c r="F6786" s="39"/>
    </row>
    <row r="6787">
      <c r="D6787" s="39"/>
      <c r="E6787" s="39"/>
      <c r="F6787" s="39"/>
    </row>
    <row r="6788">
      <c r="D6788" s="39"/>
      <c r="E6788" s="39"/>
      <c r="F6788" s="39"/>
    </row>
    <row r="6789">
      <c r="D6789" s="39"/>
      <c r="E6789" s="39"/>
      <c r="F6789" s="39"/>
    </row>
    <row r="6790">
      <c r="D6790" s="39"/>
      <c r="E6790" s="39"/>
      <c r="F6790" s="39"/>
    </row>
    <row r="6791">
      <c r="D6791" s="39"/>
      <c r="E6791" s="39"/>
      <c r="F6791" s="39"/>
    </row>
    <row r="6792">
      <c r="D6792" s="39"/>
      <c r="E6792" s="39"/>
      <c r="F6792" s="39"/>
    </row>
    <row r="6793">
      <c r="D6793" s="39"/>
      <c r="E6793" s="39"/>
      <c r="F6793" s="39"/>
    </row>
    <row r="6794">
      <c r="D6794" s="39"/>
      <c r="E6794" s="39"/>
      <c r="F6794" s="39"/>
    </row>
    <row r="6795">
      <c r="D6795" s="39"/>
      <c r="E6795" s="39"/>
      <c r="F6795" s="39"/>
    </row>
    <row r="6796">
      <c r="D6796" s="39"/>
      <c r="E6796" s="39"/>
      <c r="F6796" s="39"/>
    </row>
    <row r="6797">
      <c r="D6797" s="39"/>
      <c r="E6797" s="39"/>
      <c r="F6797" s="39"/>
    </row>
    <row r="6798">
      <c r="D6798" s="39"/>
      <c r="E6798" s="39"/>
      <c r="F6798" s="39"/>
    </row>
    <row r="6799">
      <c r="D6799" s="39"/>
      <c r="E6799" s="39"/>
      <c r="F6799" s="39"/>
    </row>
    <row r="6800">
      <c r="D6800" s="39"/>
      <c r="E6800" s="39"/>
      <c r="F6800" s="39"/>
    </row>
    <row r="6801">
      <c r="D6801" s="39"/>
      <c r="E6801" s="39"/>
      <c r="F6801" s="39"/>
    </row>
    <row r="6802">
      <c r="D6802" s="39"/>
      <c r="E6802" s="39"/>
      <c r="F6802" s="39"/>
    </row>
    <row r="6803">
      <c r="D6803" s="39"/>
      <c r="E6803" s="39"/>
      <c r="F6803" s="39"/>
    </row>
    <row r="6804">
      <c r="D6804" s="39"/>
      <c r="E6804" s="39"/>
      <c r="F6804" s="39"/>
    </row>
    <row r="6805">
      <c r="D6805" s="39"/>
      <c r="E6805" s="39"/>
      <c r="F6805" s="39"/>
    </row>
    <row r="6806">
      <c r="D6806" s="39"/>
      <c r="E6806" s="39"/>
      <c r="F6806" s="39"/>
    </row>
    <row r="6807">
      <c r="D6807" s="39"/>
      <c r="E6807" s="39"/>
      <c r="F6807" s="39"/>
    </row>
    <row r="6808">
      <c r="D6808" s="39"/>
      <c r="E6808" s="39"/>
      <c r="F6808" s="39"/>
    </row>
    <row r="6809">
      <c r="D6809" s="39"/>
      <c r="E6809" s="39"/>
      <c r="F6809" s="39"/>
    </row>
    <row r="6810">
      <c r="D6810" s="39"/>
      <c r="E6810" s="39"/>
      <c r="F6810" s="39"/>
    </row>
    <row r="6811">
      <c r="D6811" s="39"/>
      <c r="E6811" s="39"/>
      <c r="F6811" s="39"/>
    </row>
    <row r="6812">
      <c r="D6812" s="39"/>
      <c r="E6812" s="39"/>
      <c r="F6812" s="39"/>
    </row>
    <row r="6813">
      <c r="D6813" s="39"/>
      <c r="E6813" s="39"/>
      <c r="F6813" s="39"/>
    </row>
    <row r="6814">
      <c r="D6814" s="39"/>
      <c r="E6814" s="39"/>
      <c r="F6814" s="39"/>
    </row>
    <row r="6815">
      <c r="D6815" s="39"/>
      <c r="E6815" s="39"/>
      <c r="F6815" s="39"/>
    </row>
    <row r="6816">
      <c r="D6816" s="39"/>
      <c r="E6816" s="39"/>
      <c r="F6816" s="39"/>
    </row>
    <row r="6817">
      <c r="D6817" s="39"/>
      <c r="E6817" s="39"/>
      <c r="F6817" s="39"/>
    </row>
    <row r="6818">
      <c r="D6818" s="39"/>
      <c r="E6818" s="39"/>
      <c r="F6818" s="39"/>
    </row>
    <row r="6819">
      <c r="D6819" s="39"/>
      <c r="E6819" s="39"/>
      <c r="F6819" s="39"/>
    </row>
    <row r="6820">
      <c r="D6820" s="39"/>
      <c r="E6820" s="39"/>
      <c r="F6820" s="39"/>
    </row>
    <row r="6821">
      <c r="D6821" s="39"/>
      <c r="E6821" s="39"/>
      <c r="F6821" s="39"/>
    </row>
    <row r="6822">
      <c r="D6822" s="39"/>
      <c r="E6822" s="39"/>
      <c r="F6822" s="39"/>
    </row>
    <row r="6823">
      <c r="D6823" s="39"/>
      <c r="E6823" s="39"/>
      <c r="F6823" s="39"/>
    </row>
    <row r="6824">
      <c r="D6824" s="39"/>
      <c r="E6824" s="39"/>
      <c r="F6824" s="39"/>
    </row>
    <row r="6825">
      <c r="D6825" s="39"/>
      <c r="E6825" s="39"/>
      <c r="F6825" s="39"/>
    </row>
    <row r="6826">
      <c r="D6826" s="39"/>
      <c r="E6826" s="39"/>
      <c r="F6826" s="39"/>
    </row>
    <row r="6827">
      <c r="D6827" s="39"/>
      <c r="E6827" s="39"/>
      <c r="F6827" s="39"/>
    </row>
    <row r="6828">
      <c r="D6828" s="39"/>
      <c r="E6828" s="39"/>
      <c r="F6828" s="39"/>
    </row>
    <row r="6829">
      <c r="D6829" s="39"/>
      <c r="E6829" s="39"/>
      <c r="F6829" s="39"/>
    </row>
    <row r="6830">
      <c r="D6830" s="39"/>
      <c r="E6830" s="39"/>
      <c r="F6830" s="39"/>
    </row>
    <row r="6831">
      <c r="D6831" s="39"/>
      <c r="E6831" s="39"/>
      <c r="F6831" s="39"/>
    </row>
    <row r="6832">
      <c r="D6832" s="39"/>
      <c r="E6832" s="39"/>
      <c r="F6832" s="39"/>
    </row>
    <row r="6833">
      <c r="D6833" s="39"/>
      <c r="E6833" s="39"/>
      <c r="F6833" s="39"/>
    </row>
    <row r="6834">
      <c r="D6834" s="39"/>
      <c r="E6834" s="39"/>
      <c r="F6834" s="39"/>
    </row>
    <row r="6835">
      <c r="D6835" s="39"/>
      <c r="E6835" s="39"/>
      <c r="F6835" s="39"/>
    </row>
    <row r="6836">
      <c r="D6836" s="39"/>
      <c r="E6836" s="39"/>
      <c r="F6836" s="39"/>
    </row>
    <row r="6837">
      <c r="D6837" s="39"/>
      <c r="E6837" s="39"/>
      <c r="F6837" s="39"/>
    </row>
    <row r="6838">
      <c r="D6838" s="39"/>
      <c r="E6838" s="39"/>
      <c r="F6838" s="39"/>
    </row>
    <row r="6839">
      <c r="D6839" s="39"/>
      <c r="E6839" s="39"/>
      <c r="F6839" s="39"/>
    </row>
    <row r="6840">
      <c r="D6840" s="39"/>
      <c r="E6840" s="39"/>
      <c r="F6840" s="39"/>
    </row>
    <row r="6841">
      <c r="D6841" s="39"/>
      <c r="E6841" s="39"/>
      <c r="F6841" s="39"/>
    </row>
    <row r="6842">
      <c r="D6842" s="39"/>
      <c r="E6842" s="39"/>
      <c r="F6842" s="39"/>
    </row>
    <row r="6843">
      <c r="D6843" s="39"/>
      <c r="E6843" s="39"/>
      <c r="F6843" s="39"/>
    </row>
    <row r="6844">
      <c r="D6844" s="39"/>
      <c r="E6844" s="39"/>
      <c r="F6844" s="39"/>
    </row>
    <row r="6845">
      <c r="D6845" s="39"/>
      <c r="E6845" s="39"/>
      <c r="F6845" s="39"/>
    </row>
    <row r="6846">
      <c r="D6846" s="39"/>
      <c r="E6846" s="39"/>
      <c r="F6846" s="39"/>
    </row>
    <row r="6847">
      <c r="D6847" s="39"/>
      <c r="E6847" s="39"/>
      <c r="F6847" s="39"/>
    </row>
    <row r="6848">
      <c r="D6848" s="39"/>
      <c r="E6848" s="39"/>
      <c r="F6848" s="39"/>
    </row>
    <row r="6849">
      <c r="D6849" s="39"/>
      <c r="E6849" s="39"/>
      <c r="F6849" s="39"/>
    </row>
    <row r="6850">
      <c r="D6850" s="39"/>
      <c r="E6850" s="39"/>
      <c r="F6850" s="39"/>
    </row>
    <row r="6851">
      <c r="D6851" s="39"/>
      <c r="E6851" s="39"/>
      <c r="F6851" s="39"/>
    </row>
    <row r="6852">
      <c r="D6852" s="39"/>
      <c r="E6852" s="39"/>
      <c r="F6852" s="39"/>
    </row>
    <row r="6853">
      <c r="D6853" s="39"/>
      <c r="E6853" s="39"/>
      <c r="F6853" s="39"/>
    </row>
    <row r="6854">
      <c r="D6854" s="39"/>
      <c r="E6854" s="39"/>
      <c r="F6854" s="39"/>
    </row>
    <row r="6855">
      <c r="D6855" s="39"/>
      <c r="E6855" s="39"/>
      <c r="F6855" s="39"/>
    </row>
    <row r="6856">
      <c r="D6856" s="39"/>
      <c r="E6856" s="39"/>
      <c r="F6856" s="39"/>
    </row>
    <row r="6857">
      <c r="D6857" s="39"/>
      <c r="E6857" s="39"/>
      <c r="F6857" s="39"/>
    </row>
    <row r="6858">
      <c r="D6858" s="39"/>
      <c r="E6858" s="39"/>
      <c r="F6858" s="39"/>
    </row>
    <row r="6859">
      <c r="D6859" s="39"/>
      <c r="E6859" s="39"/>
      <c r="F6859" s="39"/>
    </row>
    <row r="6860">
      <c r="D6860" s="39"/>
      <c r="E6860" s="39"/>
      <c r="F6860" s="39"/>
    </row>
    <row r="6861">
      <c r="D6861" s="39"/>
      <c r="E6861" s="39"/>
      <c r="F6861" s="39"/>
    </row>
    <row r="6862">
      <c r="D6862" s="39"/>
      <c r="E6862" s="39"/>
      <c r="F6862" s="39"/>
    </row>
    <row r="6863">
      <c r="D6863" s="39"/>
      <c r="E6863" s="39"/>
      <c r="F6863" s="39"/>
    </row>
    <row r="6864">
      <c r="D6864" s="39"/>
      <c r="E6864" s="39"/>
      <c r="F6864" s="39"/>
    </row>
    <row r="6865">
      <c r="D6865" s="39"/>
      <c r="E6865" s="39"/>
      <c r="F6865" s="39"/>
    </row>
    <row r="6866">
      <c r="D6866" s="39"/>
      <c r="E6866" s="39"/>
      <c r="F6866" s="39"/>
    </row>
    <row r="6867">
      <c r="D6867" s="39"/>
      <c r="E6867" s="39"/>
      <c r="F6867" s="39"/>
    </row>
    <row r="6868">
      <c r="D6868" s="39"/>
      <c r="E6868" s="39"/>
      <c r="F6868" s="39"/>
    </row>
    <row r="6869">
      <c r="D6869" s="39"/>
      <c r="E6869" s="39"/>
      <c r="F6869" s="39"/>
    </row>
    <row r="6870">
      <c r="D6870" s="39"/>
      <c r="E6870" s="39"/>
      <c r="F6870" s="39"/>
    </row>
    <row r="6871">
      <c r="D6871" s="39"/>
      <c r="E6871" s="39"/>
      <c r="F6871" s="39"/>
    </row>
    <row r="6872">
      <c r="D6872" s="39"/>
      <c r="E6872" s="39"/>
      <c r="F6872" s="39"/>
    </row>
    <row r="6873">
      <c r="D6873" s="39"/>
      <c r="E6873" s="39"/>
      <c r="F6873" s="39"/>
    </row>
    <row r="6874">
      <c r="D6874" s="39"/>
      <c r="E6874" s="39"/>
      <c r="F6874" s="39"/>
    </row>
    <row r="6875">
      <c r="D6875" s="39"/>
      <c r="E6875" s="39"/>
      <c r="F6875" s="39"/>
    </row>
    <row r="6876">
      <c r="D6876" s="39"/>
      <c r="E6876" s="39"/>
      <c r="F6876" s="39"/>
    </row>
    <row r="6877">
      <c r="D6877" s="39"/>
      <c r="E6877" s="39"/>
      <c r="F6877" s="39"/>
    </row>
    <row r="6878">
      <c r="D6878" s="39"/>
      <c r="E6878" s="39"/>
      <c r="F6878" s="39"/>
    </row>
    <row r="6879">
      <c r="D6879" s="39"/>
      <c r="E6879" s="39"/>
      <c r="F6879" s="39"/>
    </row>
    <row r="6880">
      <c r="D6880" s="39"/>
      <c r="E6880" s="39"/>
      <c r="F6880" s="39"/>
    </row>
    <row r="6881">
      <c r="D6881" s="39"/>
      <c r="E6881" s="39"/>
      <c r="F6881" s="39"/>
    </row>
    <row r="6882">
      <c r="D6882" s="39"/>
      <c r="E6882" s="39"/>
      <c r="F6882" s="39"/>
    </row>
    <row r="6883">
      <c r="D6883" s="39"/>
      <c r="E6883" s="39"/>
      <c r="F6883" s="39"/>
    </row>
    <row r="6884">
      <c r="D6884" s="39"/>
      <c r="E6884" s="39"/>
      <c r="F6884" s="39"/>
    </row>
    <row r="6885">
      <c r="D6885" s="39"/>
      <c r="E6885" s="39"/>
      <c r="F6885" s="39"/>
    </row>
    <row r="6886">
      <c r="D6886" s="39"/>
      <c r="E6886" s="39"/>
      <c r="F6886" s="39"/>
    </row>
    <row r="6887">
      <c r="D6887" s="39"/>
      <c r="E6887" s="39"/>
      <c r="F6887" s="39"/>
    </row>
    <row r="6888">
      <c r="D6888" s="39"/>
      <c r="E6888" s="39"/>
      <c r="F6888" s="39"/>
    </row>
    <row r="6889">
      <c r="D6889" s="39"/>
      <c r="E6889" s="39"/>
      <c r="F6889" s="39"/>
    </row>
    <row r="6890">
      <c r="D6890" s="39"/>
      <c r="E6890" s="39"/>
      <c r="F6890" s="39"/>
    </row>
    <row r="6891">
      <c r="D6891" s="39"/>
      <c r="E6891" s="39"/>
      <c r="F6891" s="39"/>
    </row>
    <row r="6892">
      <c r="D6892" s="39"/>
      <c r="E6892" s="39"/>
      <c r="F6892" s="39"/>
    </row>
    <row r="6893">
      <c r="D6893" s="39"/>
      <c r="E6893" s="39"/>
      <c r="F6893" s="39"/>
    </row>
    <row r="6894">
      <c r="D6894" s="39"/>
      <c r="E6894" s="39"/>
      <c r="F6894" s="39"/>
    </row>
    <row r="6895">
      <c r="D6895" s="39"/>
      <c r="E6895" s="39"/>
      <c r="F6895" s="39"/>
    </row>
    <row r="6896">
      <c r="D6896" s="39"/>
      <c r="E6896" s="39"/>
      <c r="F6896" s="39"/>
    </row>
    <row r="6897">
      <c r="D6897" s="39"/>
      <c r="E6897" s="39"/>
      <c r="F6897" s="39"/>
    </row>
    <row r="6898">
      <c r="D6898" s="39"/>
      <c r="E6898" s="39"/>
      <c r="F6898" s="39"/>
    </row>
    <row r="6899">
      <c r="D6899" s="39"/>
      <c r="E6899" s="39"/>
      <c r="F6899" s="39"/>
    </row>
    <row r="6900">
      <c r="D6900" s="39"/>
      <c r="E6900" s="39"/>
      <c r="F6900" s="39"/>
    </row>
    <row r="6901">
      <c r="D6901" s="39"/>
      <c r="E6901" s="39"/>
      <c r="F6901" s="39"/>
    </row>
    <row r="6902">
      <c r="D6902" s="39"/>
      <c r="E6902" s="39"/>
      <c r="F6902" s="39"/>
    </row>
    <row r="6903">
      <c r="D6903" s="39"/>
      <c r="E6903" s="39"/>
      <c r="F6903" s="39"/>
    </row>
    <row r="6904">
      <c r="D6904" s="39"/>
      <c r="E6904" s="39"/>
      <c r="F6904" s="39"/>
    </row>
    <row r="6905">
      <c r="D6905" s="39"/>
      <c r="E6905" s="39"/>
      <c r="F6905" s="39"/>
    </row>
    <row r="6906">
      <c r="D6906" s="39"/>
      <c r="E6906" s="39"/>
      <c r="F6906" s="39"/>
    </row>
    <row r="6907">
      <c r="D6907" s="39"/>
      <c r="E6907" s="39"/>
      <c r="F6907" s="39"/>
    </row>
    <row r="6908">
      <c r="D6908" s="39"/>
      <c r="E6908" s="39"/>
      <c r="F6908" s="39"/>
    </row>
    <row r="6909">
      <c r="D6909" s="39"/>
      <c r="E6909" s="39"/>
      <c r="F6909" s="39"/>
    </row>
    <row r="6910">
      <c r="D6910" s="39"/>
      <c r="E6910" s="39"/>
      <c r="F6910" s="39"/>
    </row>
    <row r="6911">
      <c r="D6911" s="39"/>
      <c r="E6911" s="39"/>
      <c r="F6911" s="39"/>
    </row>
    <row r="6912">
      <c r="D6912" s="39"/>
      <c r="E6912" s="39"/>
      <c r="F6912" s="39"/>
    </row>
    <row r="6913">
      <c r="D6913" s="39"/>
      <c r="E6913" s="39"/>
      <c r="F6913" s="39"/>
    </row>
    <row r="6914">
      <c r="D6914" s="39"/>
      <c r="E6914" s="39"/>
      <c r="F6914" s="39"/>
    </row>
    <row r="6915">
      <c r="D6915" s="39"/>
      <c r="E6915" s="39"/>
      <c r="F6915" s="39"/>
    </row>
    <row r="6916">
      <c r="D6916" s="39"/>
      <c r="E6916" s="39"/>
      <c r="F6916" s="39"/>
    </row>
    <row r="6917">
      <c r="D6917" s="39"/>
      <c r="E6917" s="39"/>
      <c r="F6917" s="39"/>
    </row>
    <row r="6918">
      <c r="D6918" s="39"/>
      <c r="E6918" s="39"/>
      <c r="F6918" s="39"/>
    </row>
    <row r="6919">
      <c r="D6919" s="39"/>
      <c r="E6919" s="39"/>
      <c r="F6919" s="39"/>
    </row>
    <row r="6920">
      <c r="D6920" s="39"/>
      <c r="E6920" s="39"/>
      <c r="F6920" s="39"/>
    </row>
    <row r="6921">
      <c r="D6921" s="39"/>
      <c r="E6921" s="39"/>
      <c r="F6921" s="39"/>
    </row>
    <row r="6922">
      <c r="D6922" s="39"/>
      <c r="E6922" s="39"/>
      <c r="F6922" s="39"/>
    </row>
    <row r="6923">
      <c r="D6923" s="39"/>
      <c r="E6923" s="39"/>
      <c r="F6923" s="39"/>
    </row>
    <row r="6924">
      <c r="D6924" s="39"/>
      <c r="E6924" s="39"/>
      <c r="F6924" s="39"/>
    </row>
    <row r="6925">
      <c r="D6925" s="39"/>
      <c r="E6925" s="39"/>
      <c r="F6925" s="39"/>
    </row>
    <row r="6926">
      <c r="D6926" s="39"/>
      <c r="E6926" s="39"/>
      <c r="F6926" s="39"/>
    </row>
    <row r="6927">
      <c r="D6927" s="39"/>
      <c r="E6927" s="39"/>
      <c r="F6927" s="39"/>
    </row>
    <row r="6928">
      <c r="D6928" s="39"/>
      <c r="E6928" s="39"/>
      <c r="F6928" s="39"/>
    </row>
    <row r="6929">
      <c r="D6929" s="39"/>
      <c r="E6929" s="39"/>
      <c r="F6929" s="39"/>
    </row>
    <row r="6930">
      <c r="D6930" s="39"/>
      <c r="E6930" s="39"/>
      <c r="F6930" s="39"/>
    </row>
    <row r="6931">
      <c r="D6931" s="39"/>
      <c r="E6931" s="39"/>
      <c r="F6931" s="39"/>
    </row>
    <row r="6932">
      <c r="D6932" s="39"/>
      <c r="E6932" s="39"/>
      <c r="F6932" s="39"/>
    </row>
    <row r="6933">
      <c r="D6933" s="39"/>
      <c r="E6933" s="39"/>
      <c r="F6933" s="39"/>
    </row>
    <row r="6934">
      <c r="D6934" s="39"/>
      <c r="E6934" s="39"/>
      <c r="F6934" s="39"/>
    </row>
    <row r="6935">
      <c r="D6935" s="39"/>
      <c r="E6935" s="39"/>
      <c r="F6935" s="39"/>
    </row>
    <row r="6936">
      <c r="D6936" s="39"/>
      <c r="E6936" s="39"/>
      <c r="F6936" s="39"/>
    </row>
    <row r="6937">
      <c r="D6937" s="39"/>
      <c r="E6937" s="39"/>
      <c r="F6937" s="39"/>
    </row>
    <row r="6938">
      <c r="D6938" s="39"/>
      <c r="E6938" s="39"/>
      <c r="F6938" s="39"/>
    </row>
    <row r="6939">
      <c r="D6939" s="39"/>
      <c r="E6939" s="39"/>
      <c r="F6939" s="39"/>
    </row>
    <row r="6940">
      <c r="D6940" s="39"/>
      <c r="E6940" s="39"/>
      <c r="F6940" s="39"/>
    </row>
    <row r="6941">
      <c r="D6941" s="39"/>
      <c r="E6941" s="39"/>
      <c r="F6941" s="39"/>
    </row>
    <row r="6942">
      <c r="D6942" s="39"/>
      <c r="E6942" s="39"/>
      <c r="F6942" s="39"/>
    </row>
    <row r="6943">
      <c r="D6943" s="39"/>
      <c r="E6943" s="39"/>
      <c r="F6943" s="39"/>
    </row>
    <row r="6944">
      <c r="D6944" s="39"/>
      <c r="E6944" s="39"/>
      <c r="F6944" s="39"/>
    </row>
    <row r="6945">
      <c r="D6945" s="39"/>
      <c r="E6945" s="39"/>
      <c r="F6945" s="39"/>
    </row>
    <row r="6946">
      <c r="D6946" s="39"/>
      <c r="E6946" s="39"/>
      <c r="F6946" s="39"/>
    </row>
    <row r="6947">
      <c r="D6947" s="39"/>
      <c r="E6947" s="39"/>
      <c r="F6947" s="39"/>
    </row>
    <row r="6948">
      <c r="D6948" s="39"/>
      <c r="E6948" s="39"/>
      <c r="F6948" s="39"/>
    </row>
    <row r="6949">
      <c r="D6949" s="39"/>
      <c r="E6949" s="39"/>
      <c r="F6949" s="39"/>
    </row>
    <row r="6950">
      <c r="D6950" s="39"/>
      <c r="E6950" s="39"/>
      <c r="F6950" s="39"/>
    </row>
    <row r="6951">
      <c r="D6951" s="39"/>
      <c r="E6951" s="39"/>
      <c r="F6951" s="39"/>
    </row>
    <row r="6952">
      <c r="D6952" s="39"/>
      <c r="E6952" s="39"/>
      <c r="F6952" s="39"/>
    </row>
    <row r="6953">
      <c r="D6953" s="39"/>
      <c r="E6953" s="39"/>
      <c r="F6953" s="39"/>
    </row>
    <row r="6954">
      <c r="D6954" s="39"/>
      <c r="E6954" s="39"/>
      <c r="F6954" s="39"/>
    </row>
    <row r="6955">
      <c r="D6955" s="39"/>
      <c r="E6955" s="39"/>
      <c r="F6955" s="39"/>
    </row>
    <row r="6956">
      <c r="D6956" s="39"/>
      <c r="E6956" s="39"/>
      <c r="F6956" s="39"/>
    </row>
    <row r="6957">
      <c r="D6957" s="39"/>
      <c r="E6957" s="39"/>
      <c r="F6957" s="39"/>
    </row>
    <row r="6958">
      <c r="D6958" s="39"/>
      <c r="E6958" s="39"/>
      <c r="F6958" s="39"/>
    </row>
    <row r="6959">
      <c r="D6959" s="39"/>
      <c r="E6959" s="39"/>
      <c r="F6959" s="39"/>
    </row>
    <row r="6960">
      <c r="D6960" s="39"/>
      <c r="E6960" s="39"/>
      <c r="F6960" s="39"/>
    </row>
    <row r="6961">
      <c r="D6961" s="39"/>
      <c r="E6961" s="39"/>
      <c r="F6961" s="39"/>
    </row>
    <row r="6962">
      <c r="D6962" s="39"/>
      <c r="E6962" s="39"/>
      <c r="F6962" s="39"/>
    </row>
    <row r="6963">
      <c r="D6963" s="39"/>
      <c r="E6963" s="39"/>
      <c r="F6963" s="39"/>
    </row>
    <row r="6964">
      <c r="D6964" s="39"/>
      <c r="E6964" s="39"/>
      <c r="F6964" s="39"/>
    </row>
    <row r="6965">
      <c r="D6965" s="39"/>
      <c r="E6965" s="39"/>
      <c r="F6965" s="39"/>
    </row>
    <row r="6966">
      <c r="D6966" s="39"/>
      <c r="E6966" s="39"/>
      <c r="F6966" s="39"/>
    </row>
    <row r="6967">
      <c r="D6967" s="39"/>
      <c r="E6967" s="39"/>
      <c r="F6967" s="39"/>
    </row>
    <row r="6968">
      <c r="D6968" s="39"/>
      <c r="E6968" s="39"/>
      <c r="F6968" s="39"/>
    </row>
    <row r="6969">
      <c r="D6969" s="39"/>
      <c r="E6969" s="39"/>
      <c r="F6969" s="39"/>
    </row>
    <row r="6970">
      <c r="D6970" s="39"/>
      <c r="E6970" s="39"/>
      <c r="F6970" s="39"/>
    </row>
    <row r="6971">
      <c r="D6971" s="39"/>
      <c r="E6971" s="39"/>
      <c r="F6971" s="39"/>
    </row>
    <row r="6972">
      <c r="D6972" s="39"/>
      <c r="E6972" s="39"/>
      <c r="F6972" s="39"/>
    </row>
    <row r="6973">
      <c r="D6973" s="39"/>
      <c r="E6973" s="39"/>
      <c r="F6973" s="39"/>
    </row>
    <row r="6974">
      <c r="D6974" s="39"/>
      <c r="E6974" s="39"/>
      <c r="F6974" s="39"/>
    </row>
    <row r="6975">
      <c r="D6975" s="39"/>
      <c r="E6975" s="39"/>
      <c r="F6975" s="39"/>
    </row>
    <row r="6976">
      <c r="D6976" s="39"/>
      <c r="E6976" s="39"/>
      <c r="F6976" s="39"/>
    </row>
    <row r="6977">
      <c r="D6977" s="39"/>
      <c r="E6977" s="39"/>
      <c r="F6977" s="39"/>
    </row>
    <row r="6978">
      <c r="D6978" s="39"/>
      <c r="E6978" s="39"/>
      <c r="F6978" s="39"/>
    </row>
    <row r="6979">
      <c r="D6979" s="39"/>
      <c r="E6979" s="39"/>
      <c r="F6979" s="39"/>
    </row>
    <row r="6980">
      <c r="D6980" s="39"/>
      <c r="E6980" s="39"/>
      <c r="F6980" s="39"/>
    </row>
    <row r="6981">
      <c r="D6981" s="39"/>
      <c r="E6981" s="39"/>
      <c r="F6981" s="39"/>
    </row>
    <row r="6982">
      <c r="D6982" s="39"/>
      <c r="E6982" s="39"/>
      <c r="F6982" s="39"/>
    </row>
    <row r="6983">
      <c r="D6983" s="39"/>
      <c r="E6983" s="39"/>
      <c r="F6983" s="39"/>
    </row>
    <row r="6984">
      <c r="D6984" s="39"/>
      <c r="E6984" s="39"/>
      <c r="F6984" s="39"/>
    </row>
    <row r="6985">
      <c r="D6985" s="39"/>
      <c r="E6985" s="39"/>
      <c r="F6985" s="39"/>
    </row>
    <row r="6986">
      <c r="D6986" s="39"/>
      <c r="E6986" s="39"/>
      <c r="F6986" s="39"/>
    </row>
    <row r="6987">
      <c r="D6987" s="39"/>
      <c r="E6987" s="39"/>
      <c r="F6987" s="39"/>
    </row>
    <row r="6988">
      <c r="D6988" s="39"/>
      <c r="E6988" s="39"/>
      <c r="F6988" s="39"/>
    </row>
    <row r="6989">
      <c r="D6989" s="39"/>
      <c r="E6989" s="39"/>
      <c r="F6989" s="39"/>
    </row>
    <row r="6990">
      <c r="D6990" s="39"/>
      <c r="E6990" s="39"/>
      <c r="F6990" s="39"/>
    </row>
    <row r="6991">
      <c r="D6991" s="39"/>
      <c r="E6991" s="39"/>
      <c r="F6991" s="39"/>
    </row>
    <row r="6992">
      <c r="D6992" s="39"/>
      <c r="E6992" s="39"/>
      <c r="F6992" s="39"/>
    </row>
    <row r="6993">
      <c r="D6993" s="39"/>
      <c r="E6993" s="39"/>
      <c r="F6993" s="39"/>
    </row>
    <row r="6994">
      <c r="D6994" s="39"/>
      <c r="E6994" s="39"/>
      <c r="F6994" s="39"/>
    </row>
    <row r="6995">
      <c r="D6995" s="39"/>
      <c r="E6995" s="39"/>
      <c r="F6995" s="39"/>
    </row>
    <row r="6996">
      <c r="D6996" s="39"/>
      <c r="E6996" s="39"/>
      <c r="F6996" s="39"/>
    </row>
    <row r="6997">
      <c r="D6997" s="39"/>
      <c r="E6997" s="39"/>
      <c r="F6997" s="39"/>
    </row>
    <row r="6998">
      <c r="D6998" s="39"/>
      <c r="E6998" s="39"/>
      <c r="F6998" s="39"/>
    </row>
    <row r="6999">
      <c r="D6999" s="39"/>
      <c r="E6999" s="39"/>
      <c r="F6999" s="39"/>
    </row>
    <row r="7000">
      <c r="D7000" s="39"/>
      <c r="E7000" s="39"/>
      <c r="F7000" s="39"/>
    </row>
    <row r="7001">
      <c r="D7001" s="39"/>
      <c r="E7001" s="39"/>
      <c r="F7001" s="39"/>
    </row>
    <row r="7002">
      <c r="D7002" s="39"/>
      <c r="E7002" s="39"/>
      <c r="F7002" s="39"/>
    </row>
    <row r="7003">
      <c r="D7003" s="39"/>
      <c r="E7003" s="39"/>
      <c r="F7003" s="39"/>
    </row>
    <row r="7004">
      <c r="D7004" s="39"/>
      <c r="E7004" s="39"/>
      <c r="F7004" s="39"/>
    </row>
    <row r="7005">
      <c r="D7005" s="39"/>
      <c r="E7005" s="39"/>
      <c r="F7005" s="39"/>
    </row>
    <row r="7006">
      <c r="D7006" s="39"/>
      <c r="E7006" s="39"/>
      <c r="F7006" s="39"/>
    </row>
    <row r="7007">
      <c r="D7007" s="39"/>
      <c r="E7007" s="39"/>
      <c r="F7007" s="39"/>
    </row>
    <row r="7008">
      <c r="D7008" s="39"/>
      <c r="E7008" s="39"/>
      <c r="F7008" s="39"/>
    </row>
    <row r="7009">
      <c r="D7009" s="39"/>
      <c r="E7009" s="39"/>
      <c r="F7009" s="39"/>
    </row>
    <row r="7010">
      <c r="D7010" s="39"/>
      <c r="E7010" s="39"/>
      <c r="F7010" s="39"/>
    </row>
    <row r="7011">
      <c r="D7011" s="39"/>
      <c r="E7011" s="39"/>
      <c r="F7011" s="39"/>
    </row>
    <row r="7012">
      <c r="D7012" s="39"/>
      <c r="E7012" s="39"/>
      <c r="F7012" s="39"/>
    </row>
    <row r="7013">
      <c r="D7013" s="39"/>
      <c r="E7013" s="39"/>
      <c r="F7013" s="39"/>
    </row>
    <row r="7014">
      <c r="D7014" s="39"/>
      <c r="E7014" s="39"/>
      <c r="F7014" s="39"/>
    </row>
    <row r="7015">
      <c r="D7015" s="39"/>
      <c r="E7015" s="39"/>
      <c r="F7015" s="39"/>
    </row>
    <row r="7016">
      <c r="D7016" s="39"/>
      <c r="E7016" s="39"/>
      <c r="F7016" s="39"/>
    </row>
    <row r="7017">
      <c r="D7017" s="39"/>
      <c r="E7017" s="39"/>
      <c r="F7017" s="39"/>
    </row>
    <row r="7018">
      <c r="D7018" s="39"/>
      <c r="E7018" s="39"/>
      <c r="F7018" s="39"/>
    </row>
    <row r="7019">
      <c r="D7019" s="39"/>
      <c r="E7019" s="39"/>
      <c r="F7019" s="39"/>
    </row>
    <row r="7020">
      <c r="D7020" s="39"/>
      <c r="E7020" s="39"/>
      <c r="F7020" s="39"/>
    </row>
    <row r="7021">
      <c r="D7021" s="39"/>
      <c r="E7021" s="39"/>
      <c r="F7021" s="39"/>
    </row>
    <row r="7022">
      <c r="D7022" s="39"/>
      <c r="E7022" s="39"/>
      <c r="F7022" s="39"/>
    </row>
    <row r="7023">
      <c r="D7023" s="39"/>
      <c r="E7023" s="39"/>
      <c r="F7023" s="39"/>
    </row>
    <row r="7024">
      <c r="D7024" s="39"/>
      <c r="E7024" s="39"/>
      <c r="F7024" s="39"/>
    </row>
    <row r="7025">
      <c r="D7025" s="39"/>
      <c r="E7025" s="39"/>
      <c r="F7025" s="39"/>
    </row>
    <row r="7026">
      <c r="D7026" s="39"/>
      <c r="E7026" s="39"/>
      <c r="F7026" s="39"/>
    </row>
    <row r="7027">
      <c r="D7027" s="39"/>
      <c r="E7027" s="39"/>
      <c r="F7027" s="39"/>
    </row>
    <row r="7028">
      <c r="D7028" s="39"/>
      <c r="E7028" s="39"/>
      <c r="F7028" s="39"/>
    </row>
    <row r="7029">
      <c r="D7029" s="39"/>
      <c r="E7029" s="39"/>
      <c r="F7029" s="39"/>
    </row>
    <row r="7030">
      <c r="D7030" s="39"/>
      <c r="E7030" s="39"/>
      <c r="F7030" s="39"/>
    </row>
    <row r="7031">
      <c r="D7031" s="39"/>
      <c r="E7031" s="39"/>
      <c r="F7031" s="39"/>
    </row>
    <row r="7032">
      <c r="D7032" s="39"/>
      <c r="E7032" s="39"/>
      <c r="F7032" s="39"/>
    </row>
    <row r="7033">
      <c r="D7033" s="39"/>
      <c r="E7033" s="39"/>
      <c r="F7033" s="39"/>
    </row>
    <row r="7034">
      <c r="D7034" s="39"/>
      <c r="E7034" s="39"/>
      <c r="F7034" s="39"/>
    </row>
    <row r="7035">
      <c r="D7035" s="39"/>
      <c r="E7035" s="39"/>
      <c r="F7035" s="39"/>
    </row>
    <row r="7036">
      <c r="D7036" s="39"/>
      <c r="E7036" s="39"/>
      <c r="F7036" s="39"/>
    </row>
    <row r="7037">
      <c r="D7037" s="39"/>
      <c r="E7037" s="39"/>
      <c r="F7037" s="39"/>
    </row>
    <row r="7038">
      <c r="D7038" s="39"/>
      <c r="E7038" s="39"/>
      <c r="F7038" s="39"/>
    </row>
    <row r="7039">
      <c r="D7039" s="39"/>
      <c r="E7039" s="39"/>
      <c r="F7039" s="39"/>
    </row>
    <row r="7040">
      <c r="D7040" s="39"/>
      <c r="E7040" s="39"/>
      <c r="F7040" s="39"/>
    </row>
    <row r="7041">
      <c r="D7041" s="39"/>
      <c r="E7041" s="39"/>
      <c r="F7041" s="39"/>
    </row>
    <row r="7042">
      <c r="D7042" s="39"/>
      <c r="E7042" s="39"/>
      <c r="F7042" s="39"/>
    </row>
    <row r="7043">
      <c r="D7043" s="39"/>
      <c r="E7043" s="39"/>
      <c r="F7043" s="39"/>
    </row>
    <row r="7044">
      <c r="D7044" s="39"/>
      <c r="E7044" s="39"/>
      <c r="F7044" s="39"/>
    </row>
    <row r="7045">
      <c r="D7045" s="39"/>
      <c r="E7045" s="39"/>
      <c r="F7045" s="39"/>
    </row>
    <row r="7046">
      <c r="D7046" s="39"/>
      <c r="E7046" s="39"/>
      <c r="F7046" s="39"/>
    </row>
    <row r="7047">
      <c r="D7047" s="39"/>
      <c r="E7047" s="39"/>
      <c r="F7047" s="39"/>
    </row>
    <row r="7048">
      <c r="D7048" s="39"/>
      <c r="E7048" s="39"/>
      <c r="F7048" s="39"/>
    </row>
    <row r="7049">
      <c r="D7049" s="39"/>
      <c r="E7049" s="39"/>
      <c r="F7049" s="39"/>
    </row>
    <row r="7050">
      <c r="D7050" s="39"/>
      <c r="E7050" s="39"/>
      <c r="F7050" s="39"/>
    </row>
    <row r="7051">
      <c r="D7051" s="39"/>
      <c r="E7051" s="39"/>
      <c r="F7051" s="39"/>
    </row>
    <row r="7052">
      <c r="D7052" s="39"/>
      <c r="E7052" s="39"/>
      <c r="F7052" s="39"/>
    </row>
    <row r="7053">
      <c r="D7053" s="39"/>
      <c r="E7053" s="39"/>
      <c r="F7053" s="39"/>
    </row>
    <row r="7054">
      <c r="D7054" s="39"/>
      <c r="E7054" s="39"/>
      <c r="F7054" s="39"/>
    </row>
    <row r="7055">
      <c r="D7055" s="39"/>
      <c r="E7055" s="39"/>
      <c r="F7055" s="39"/>
    </row>
    <row r="7056">
      <c r="D7056" s="39"/>
      <c r="E7056" s="39"/>
      <c r="F7056" s="39"/>
    </row>
    <row r="7057">
      <c r="D7057" s="39"/>
      <c r="E7057" s="39"/>
      <c r="F7057" s="39"/>
    </row>
    <row r="7058">
      <c r="D7058" s="39"/>
      <c r="E7058" s="39"/>
      <c r="F7058" s="39"/>
    </row>
    <row r="7059">
      <c r="D7059" s="39"/>
      <c r="E7059" s="39"/>
      <c r="F7059" s="39"/>
    </row>
    <row r="7060">
      <c r="D7060" s="39"/>
      <c r="E7060" s="39"/>
      <c r="F7060" s="39"/>
    </row>
    <row r="7061">
      <c r="D7061" s="39"/>
      <c r="E7061" s="39"/>
      <c r="F7061" s="39"/>
    </row>
    <row r="7062">
      <c r="D7062" s="39"/>
      <c r="E7062" s="39"/>
      <c r="F7062" s="39"/>
    </row>
    <row r="7063">
      <c r="D7063" s="39"/>
      <c r="E7063" s="39"/>
      <c r="F7063" s="39"/>
    </row>
    <row r="7064">
      <c r="D7064" s="39"/>
      <c r="E7064" s="39"/>
      <c r="F7064" s="39"/>
    </row>
    <row r="7065">
      <c r="D7065" s="39"/>
      <c r="E7065" s="39"/>
      <c r="F7065" s="39"/>
    </row>
    <row r="7066">
      <c r="D7066" s="39"/>
      <c r="E7066" s="39"/>
      <c r="F7066" s="39"/>
    </row>
    <row r="7067">
      <c r="D7067" s="39"/>
      <c r="E7067" s="39"/>
      <c r="F7067" s="39"/>
    </row>
    <row r="7068">
      <c r="D7068" s="39"/>
      <c r="E7068" s="39"/>
      <c r="F7068" s="39"/>
    </row>
    <row r="7069">
      <c r="D7069" s="39"/>
      <c r="E7069" s="39"/>
      <c r="F7069" s="39"/>
    </row>
    <row r="7070">
      <c r="D7070" s="39"/>
      <c r="E7070" s="39"/>
      <c r="F7070" s="39"/>
    </row>
    <row r="7071">
      <c r="D7071" s="39"/>
      <c r="E7071" s="39"/>
      <c r="F7071" s="39"/>
    </row>
    <row r="7072">
      <c r="D7072" s="39"/>
      <c r="E7072" s="39"/>
      <c r="F7072" s="39"/>
    </row>
    <row r="7073">
      <c r="D7073" s="39"/>
      <c r="E7073" s="39"/>
      <c r="F7073" s="39"/>
    </row>
    <row r="7074">
      <c r="D7074" s="39"/>
      <c r="E7074" s="39"/>
      <c r="F7074" s="39"/>
    </row>
    <row r="7075">
      <c r="D7075" s="39"/>
      <c r="E7075" s="39"/>
      <c r="F7075" s="39"/>
    </row>
    <row r="7076">
      <c r="D7076" s="39"/>
      <c r="E7076" s="39"/>
      <c r="F7076" s="39"/>
    </row>
    <row r="7077">
      <c r="D7077" s="39"/>
      <c r="E7077" s="39"/>
      <c r="F7077" s="39"/>
    </row>
    <row r="7078">
      <c r="D7078" s="39"/>
      <c r="E7078" s="39"/>
      <c r="F7078" s="39"/>
    </row>
    <row r="7079">
      <c r="D7079" s="39"/>
      <c r="E7079" s="39"/>
      <c r="F7079" s="39"/>
    </row>
    <row r="7080">
      <c r="D7080" s="39"/>
      <c r="E7080" s="39"/>
      <c r="F7080" s="39"/>
    </row>
    <row r="7081">
      <c r="D7081" s="39"/>
      <c r="E7081" s="39"/>
      <c r="F7081" s="39"/>
    </row>
    <row r="7082">
      <c r="D7082" s="39"/>
      <c r="E7082" s="39"/>
      <c r="F7082" s="39"/>
    </row>
    <row r="7083">
      <c r="D7083" s="39"/>
      <c r="E7083" s="39"/>
      <c r="F7083" s="39"/>
    </row>
    <row r="7084">
      <c r="D7084" s="39"/>
      <c r="E7084" s="39"/>
      <c r="F7084" s="39"/>
    </row>
    <row r="7085">
      <c r="D7085" s="39"/>
      <c r="E7085" s="39"/>
      <c r="F7085" s="39"/>
    </row>
    <row r="7086">
      <c r="D7086" s="39"/>
      <c r="E7086" s="39"/>
      <c r="F7086" s="39"/>
    </row>
    <row r="7087">
      <c r="D7087" s="39"/>
      <c r="E7087" s="39"/>
      <c r="F7087" s="39"/>
    </row>
    <row r="7088">
      <c r="D7088" s="39"/>
      <c r="E7088" s="39"/>
      <c r="F7088" s="39"/>
    </row>
    <row r="7089">
      <c r="D7089" s="39"/>
      <c r="E7089" s="39"/>
      <c r="F7089" s="39"/>
    </row>
    <row r="7090">
      <c r="D7090" s="39"/>
      <c r="E7090" s="39"/>
      <c r="F7090" s="39"/>
    </row>
    <row r="7091">
      <c r="D7091" s="39"/>
      <c r="E7091" s="39"/>
      <c r="F7091" s="39"/>
    </row>
    <row r="7092">
      <c r="D7092" s="39"/>
      <c r="E7092" s="39"/>
      <c r="F7092" s="39"/>
    </row>
    <row r="7093">
      <c r="D7093" s="39"/>
      <c r="E7093" s="39"/>
      <c r="F7093" s="39"/>
    </row>
    <row r="7094">
      <c r="D7094" s="39"/>
      <c r="E7094" s="39"/>
      <c r="F7094" s="39"/>
    </row>
    <row r="7095">
      <c r="D7095" s="39"/>
      <c r="E7095" s="39"/>
      <c r="F7095" s="39"/>
    </row>
    <row r="7096">
      <c r="D7096" s="39"/>
      <c r="E7096" s="39"/>
      <c r="F7096" s="39"/>
    </row>
    <row r="7097">
      <c r="D7097" s="39"/>
      <c r="E7097" s="39"/>
      <c r="F7097" s="39"/>
    </row>
    <row r="7098">
      <c r="D7098" s="39"/>
      <c r="E7098" s="39"/>
      <c r="F7098" s="39"/>
    </row>
    <row r="7099">
      <c r="D7099" s="39"/>
      <c r="E7099" s="39"/>
      <c r="F7099" s="39"/>
    </row>
    <row r="7100">
      <c r="D7100" s="39"/>
      <c r="E7100" s="39"/>
      <c r="F7100" s="39"/>
    </row>
    <row r="7101">
      <c r="D7101" s="39"/>
      <c r="E7101" s="39"/>
      <c r="F7101" s="39"/>
    </row>
    <row r="7102">
      <c r="D7102" s="39"/>
      <c r="E7102" s="39"/>
      <c r="F7102" s="39"/>
    </row>
    <row r="7103">
      <c r="D7103" s="39"/>
      <c r="E7103" s="39"/>
      <c r="F7103" s="39"/>
    </row>
    <row r="7104">
      <c r="D7104" s="39"/>
      <c r="E7104" s="39"/>
      <c r="F7104" s="39"/>
    </row>
    <row r="7105">
      <c r="D7105" s="39"/>
      <c r="E7105" s="39"/>
      <c r="F7105" s="39"/>
    </row>
    <row r="7106">
      <c r="D7106" s="39"/>
      <c r="E7106" s="39"/>
      <c r="F7106" s="39"/>
    </row>
    <row r="7107">
      <c r="D7107" s="39"/>
      <c r="E7107" s="39"/>
      <c r="F7107" s="39"/>
    </row>
    <row r="7108">
      <c r="D7108" s="39"/>
      <c r="E7108" s="39"/>
      <c r="F7108" s="39"/>
    </row>
    <row r="7109">
      <c r="D7109" s="39"/>
      <c r="E7109" s="39"/>
      <c r="F7109" s="39"/>
    </row>
    <row r="7110">
      <c r="D7110" s="39"/>
      <c r="E7110" s="39"/>
      <c r="F7110" s="39"/>
    </row>
    <row r="7111">
      <c r="D7111" s="39"/>
      <c r="E7111" s="39"/>
      <c r="F7111" s="39"/>
    </row>
    <row r="7112">
      <c r="D7112" s="39"/>
      <c r="E7112" s="39"/>
      <c r="F7112" s="39"/>
    </row>
    <row r="7113">
      <c r="D7113" s="39"/>
      <c r="E7113" s="39"/>
      <c r="F7113" s="39"/>
    </row>
    <row r="7114">
      <c r="D7114" s="39"/>
      <c r="E7114" s="39"/>
      <c r="F7114" s="39"/>
    </row>
    <row r="7115">
      <c r="D7115" s="39"/>
      <c r="E7115" s="39"/>
      <c r="F7115" s="39"/>
    </row>
    <row r="7116">
      <c r="D7116" s="39"/>
      <c r="E7116" s="39"/>
      <c r="F7116" s="39"/>
    </row>
    <row r="7117">
      <c r="D7117" s="39"/>
      <c r="E7117" s="39"/>
      <c r="F7117" s="39"/>
    </row>
    <row r="7118">
      <c r="D7118" s="39"/>
      <c r="E7118" s="39"/>
      <c r="F7118" s="39"/>
    </row>
    <row r="7119">
      <c r="D7119" s="39"/>
      <c r="E7119" s="39"/>
      <c r="F7119" s="39"/>
    </row>
    <row r="7120">
      <c r="D7120" s="39"/>
      <c r="E7120" s="39"/>
      <c r="F7120" s="39"/>
    </row>
    <row r="7121">
      <c r="D7121" s="39"/>
      <c r="E7121" s="39"/>
      <c r="F7121" s="39"/>
    </row>
    <row r="7122">
      <c r="D7122" s="39"/>
      <c r="E7122" s="39"/>
      <c r="F7122" s="39"/>
    </row>
    <row r="7123">
      <c r="D7123" s="39"/>
      <c r="E7123" s="39"/>
      <c r="F7123" s="39"/>
    </row>
    <row r="7124">
      <c r="D7124" s="39"/>
      <c r="E7124" s="39"/>
      <c r="F7124" s="39"/>
    </row>
    <row r="7125">
      <c r="D7125" s="39"/>
      <c r="E7125" s="39"/>
      <c r="F7125" s="39"/>
    </row>
    <row r="7126">
      <c r="D7126" s="39"/>
      <c r="E7126" s="39"/>
      <c r="F7126" s="39"/>
    </row>
    <row r="7127">
      <c r="D7127" s="39"/>
      <c r="E7127" s="39"/>
      <c r="F7127" s="39"/>
    </row>
    <row r="7128">
      <c r="D7128" s="39"/>
      <c r="E7128" s="39"/>
      <c r="F7128" s="39"/>
    </row>
    <row r="7129">
      <c r="D7129" s="39"/>
      <c r="E7129" s="39"/>
      <c r="F7129" s="39"/>
    </row>
    <row r="7130">
      <c r="D7130" s="39"/>
      <c r="E7130" s="39"/>
      <c r="F7130" s="39"/>
    </row>
    <row r="7131">
      <c r="D7131" s="39"/>
      <c r="E7131" s="39"/>
      <c r="F7131" s="39"/>
    </row>
    <row r="7132">
      <c r="D7132" s="39"/>
      <c r="E7132" s="39"/>
      <c r="F7132" s="39"/>
    </row>
    <row r="7133">
      <c r="D7133" s="39"/>
      <c r="E7133" s="39"/>
      <c r="F7133" s="39"/>
    </row>
    <row r="7134">
      <c r="D7134" s="39"/>
      <c r="E7134" s="39"/>
      <c r="F7134" s="39"/>
    </row>
    <row r="7135">
      <c r="D7135" s="39"/>
      <c r="E7135" s="39"/>
      <c r="F7135" s="39"/>
    </row>
    <row r="7136">
      <c r="D7136" s="39"/>
      <c r="E7136" s="39"/>
      <c r="F7136" s="39"/>
    </row>
    <row r="7137">
      <c r="D7137" s="39"/>
      <c r="E7137" s="39"/>
      <c r="F7137" s="39"/>
    </row>
    <row r="7138">
      <c r="D7138" s="39"/>
      <c r="E7138" s="39"/>
      <c r="F7138" s="39"/>
    </row>
    <row r="7139">
      <c r="D7139" s="39"/>
      <c r="E7139" s="39"/>
      <c r="F7139" s="39"/>
    </row>
    <row r="7140">
      <c r="D7140" s="39"/>
      <c r="E7140" s="39"/>
      <c r="F7140" s="39"/>
    </row>
    <row r="7141">
      <c r="D7141" s="39"/>
      <c r="E7141" s="39"/>
      <c r="F7141" s="39"/>
    </row>
    <row r="7142">
      <c r="D7142" s="39"/>
      <c r="E7142" s="39"/>
      <c r="F7142" s="39"/>
    </row>
    <row r="7143">
      <c r="D7143" s="39"/>
      <c r="E7143" s="39"/>
      <c r="F7143" s="39"/>
    </row>
    <row r="7144">
      <c r="D7144" s="39"/>
      <c r="E7144" s="39"/>
      <c r="F7144" s="39"/>
    </row>
    <row r="7145">
      <c r="D7145" s="39"/>
      <c r="E7145" s="39"/>
      <c r="F7145" s="39"/>
    </row>
    <row r="7146">
      <c r="D7146" s="39"/>
      <c r="E7146" s="39"/>
      <c r="F7146" s="39"/>
    </row>
    <row r="7147">
      <c r="D7147" s="39"/>
      <c r="E7147" s="39"/>
      <c r="F7147" s="39"/>
    </row>
    <row r="7148">
      <c r="D7148" s="39"/>
      <c r="E7148" s="39"/>
      <c r="F7148" s="39"/>
    </row>
    <row r="7149">
      <c r="D7149" s="39"/>
      <c r="E7149" s="39"/>
      <c r="F7149" s="39"/>
    </row>
    <row r="7150">
      <c r="D7150" s="39"/>
      <c r="E7150" s="39"/>
      <c r="F7150" s="39"/>
    </row>
    <row r="7151">
      <c r="D7151" s="39"/>
      <c r="E7151" s="39"/>
      <c r="F7151" s="39"/>
    </row>
    <row r="7152">
      <c r="D7152" s="39"/>
      <c r="E7152" s="39"/>
      <c r="F7152" s="39"/>
    </row>
    <row r="7153">
      <c r="D7153" s="39"/>
      <c r="E7153" s="39"/>
      <c r="F7153" s="39"/>
    </row>
    <row r="7154">
      <c r="D7154" s="39"/>
      <c r="E7154" s="39"/>
      <c r="F7154" s="39"/>
    </row>
    <row r="7155">
      <c r="D7155" s="39"/>
      <c r="E7155" s="39"/>
      <c r="F7155" s="39"/>
    </row>
    <row r="7156">
      <c r="D7156" s="39"/>
      <c r="E7156" s="39"/>
      <c r="F7156" s="39"/>
    </row>
    <row r="7157">
      <c r="D7157" s="39"/>
      <c r="E7157" s="39"/>
      <c r="F7157" s="39"/>
    </row>
    <row r="7158">
      <c r="D7158" s="39"/>
      <c r="E7158" s="39"/>
      <c r="F7158" s="39"/>
    </row>
    <row r="7159">
      <c r="D7159" s="39"/>
      <c r="E7159" s="39"/>
      <c r="F7159" s="39"/>
    </row>
    <row r="7160">
      <c r="D7160" s="39"/>
      <c r="E7160" s="39"/>
      <c r="F7160" s="39"/>
    </row>
    <row r="7161">
      <c r="D7161" s="39"/>
      <c r="E7161" s="39"/>
      <c r="F7161" s="39"/>
    </row>
    <row r="7162">
      <c r="D7162" s="39"/>
      <c r="E7162" s="39"/>
      <c r="F7162" s="39"/>
    </row>
    <row r="7163">
      <c r="D7163" s="39"/>
      <c r="E7163" s="39"/>
      <c r="F7163" s="39"/>
    </row>
    <row r="7164">
      <c r="D7164" s="39"/>
      <c r="E7164" s="39"/>
      <c r="F7164" s="39"/>
    </row>
    <row r="7165">
      <c r="D7165" s="39"/>
      <c r="E7165" s="39"/>
      <c r="F7165" s="39"/>
    </row>
    <row r="7166">
      <c r="D7166" s="39"/>
      <c r="E7166" s="39"/>
      <c r="F7166" s="39"/>
    </row>
    <row r="7167">
      <c r="D7167" s="39"/>
      <c r="E7167" s="39"/>
      <c r="F7167" s="39"/>
    </row>
    <row r="7168">
      <c r="D7168" s="39"/>
      <c r="E7168" s="39"/>
      <c r="F7168" s="39"/>
    </row>
    <row r="7169">
      <c r="D7169" s="39"/>
      <c r="E7169" s="39"/>
      <c r="F7169" s="39"/>
    </row>
    <row r="7170">
      <c r="D7170" s="39"/>
      <c r="E7170" s="39"/>
      <c r="F7170" s="39"/>
    </row>
    <row r="7171">
      <c r="D7171" s="39"/>
      <c r="E7171" s="39"/>
      <c r="F7171" s="39"/>
    </row>
    <row r="7172">
      <c r="D7172" s="39"/>
      <c r="E7172" s="39"/>
      <c r="F7172" s="39"/>
    </row>
    <row r="7173">
      <c r="D7173" s="39"/>
      <c r="E7173" s="39"/>
      <c r="F7173" s="39"/>
    </row>
    <row r="7174">
      <c r="D7174" s="39"/>
      <c r="E7174" s="39"/>
      <c r="F7174" s="39"/>
    </row>
    <row r="7175">
      <c r="D7175" s="39"/>
      <c r="E7175" s="39"/>
      <c r="F7175" s="39"/>
    </row>
    <row r="7176">
      <c r="D7176" s="39"/>
      <c r="E7176" s="39"/>
      <c r="F7176" s="39"/>
    </row>
    <row r="7177">
      <c r="D7177" s="39"/>
      <c r="E7177" s="39"/>
      <c r="F7177" s="39"/>
    </row>
    <row r="7178">
      <c r="D7178" s="39"/>
      <c r="E7178" s="39"/>
      <c r="F7178" s="39"/>
    </row>
    <row r="7179">
      <c r="D7179" s="39"/>
      <c r="E7179" s="39"/>
      <c r="F7179" s="39"/>
    </row>
    <row r="7180">
      <c r="D7180" s="39"/>
      <c r="E7180" s="39"/>
      <c r="F7180" s="39"/>
    </row>
    <row r="7181">
      <c r="D7181" s="39"/>
      <c r="E7181" s="39"/>
      <c r="F7181" s="39"/>
    </row>
    <row r="7182">
      <c r="D7182" s="39"/>
      <c r="E7182" s="39"/>
      <c r="F7182" s="39"/>
    </row>
    <row r="7183">
      <c r="D7183" s="39"/>
      <c r="E7183" s="39"/>
      <c r="F7183" s="39"/>
    </row>
    <row r="7184">
      <c r="D7184" s="39"/>
      <c r="E7184" s="39"/>
      <c r="F7184" s="39"/>
    </row>
    <row r="7185">
      <c r="D7185" s="39"/>
      <c r="E7185" s="39"/>
      <c r="F7185" s="39"/>
    </row>
    <row r="7186">
      <c r="D7186" s="39"/>
      <c r="E7186" s="39"/>
      <c r="F7186" s="39"/>
    </row>
    <row r="7187">
      <c r="D7187" s="39"/>
      <c r="E7187" s="39"/>
      <c r="F7187" s="39"/>
    </row>
    <row r="7188">
      <c r="D7188" s="39"/>
      <c r="E7188" s="39"/>
      <c r="F7188" s="39"/>
    </row>
    <row r="7189">
      <c r="D7189" s="39"/>
      <c r="E7189" s="39"/>
      <c r="F7189" s="39"/>
    </row>
    <row r="7190">
      <c r="D7190" s="39"/>
      <c r="E7190" s="39"/>
      <c r="F7190" s="39"/>
    </row>
    <row r="7191">
      <c r="D7191" s="39"/>
      <c r="E7191" s="39"/>
      <c r="F7191" s="39"/>
    </row>
    <row r="7192">
      <c r="D7192" s="39"/>
      <c r="E7192" s="39"/>
      <c r="F7192" s="39"/>
    </row>
    <row r="7193">
      <c r="D7193" s="39"/>
      <c r="E7193" s="39"/>
      <c r="F7193" s="39"/>
    </row>
    <row r="7194">
      <c r="D7194" s="39"/>
      <c r="E7194" s="39"/>
      <c r="F7194" s="39"/>
    </row>
    <row r="7195">
      <c r="D7195" s="39"/>
      <c r="E7195" s="39"/>
      <c r="F7195" s="39"/>
    </row>
    <row r="7196">
      <c r="D7196" s="39"/>
      <c r="E7196" s="39"/>
      <c r="F7196" s="39"/>
    </row>
    <row r="7197">
      <c r="D7197" s="39"/>
      <c r="E7197" s="39"/>
      <c r="F7197" s="39"/>
    </row>
    <row r="7198">
      <c r="D7198" s="39"/>
      <c r="E7198" s="39"/>
      <c r="F7198" s="39"/>
    </row>
    <row r="7199">
      <c r="D7199" s="39"/>
      <c r="E7199" s="39"/>
      <c r="F7199" s="39"/>
    </row>
    <row r="7200">
      <c r="D7200" s="39"/>
      <c r="E7200" s="39"/>
      <c r="F7200" s="39"/>
    </row>
    <row r="7201">
      <c r="D7201" s="39"/>
      <c r="E7201" s="39"/>
      <c r="F7201" s="39"/>
    </row>
    <row r="7202">
      <c r="D7202" s="39"/>
      <c r="E7202" s="39"/>
      <c r="F7202" s="39"/>
    </row>
    <row r="7203">
      <c r="D7203" s="39"/>
      <c r="E7203" s="39"/>
      <c r="F7203" s="39"/>
    </row>
    <row r="7204">
      <c r="D7204" s="39"/>
      <c r="E7204" s="39"/>
      <c r="F7204" s="39"/>
    </row>
    <row r="7205">
      <c r="D7205" s="39"/>
      <c r="E7205" s="39"/>
      <c r="F7205" s="39"/>
    </row>
    <row r="7206">
      <c r="D7206" s="39"/>
      <c r="E7206" s="39"/>
      <c r="F7206" s="39"/>
    </row>
    <row r="7207">
      <c r="D7207" s="39"/>
      <c r="E7207" s="39"/>
      <c r="F7207" s="39"/>
    </row>
    <row r="7208">
      <c r="D7208" s="39"/>
      <c r="E7208" s="39"/>
      <c r="F7208" s="39"/>
    </row>
    <row r="7209">
      <c r="D7209" s="39"/>
      <c r="E7209" s="39"/>
      <c r="F7209" s="39"/>
    </row>
    <row r="7210">
      <c r="D7210" s="39"/>
      <c r="E7210" s="39"/>
      <c r="F7210" s="39"/>
    </row>
    <row r="7211">
      <c r="D7211" s="39"/>
      <c r="E7211" s="39"/>
      <c r="F7211" s="39"/>
    </row>
    <row r="7212">
      <c r="D7212" s="39"/>
      <c r="E7212" s="39"/>
      <c r="F7212" s="39"/>
    </row>
    <row r="7213">
      <c r="D7213" s="39"/>
      <c r="E7213" s="39"/>
      <c r="F7213" s="39"/>
    </row>
    <row r="7214">
      <c r="D7214" s="39"/>
      <c r="E7214" s="39"/>
      <c r="F7214" s="39"/>
    </row>
    <row r="7215">
      <c r="D7215" s="39"/>
      <c r="E7215" s="39"/>
      <c r="F7215" s="39"/>
    </row>
    <row r="7216">
      <c r="D7216" s="39"/>
      <c r="E7216" s="39"/>
      <c r="F7216" s="39"/>
    </row>
    <row r="7217">
      <c r="D7217" s="39"/>
      <c r="E7217" s="39"/>
      <c r="F7217" s="39"/>
    </row>
    <row r="7218">
      <c r="D7218" s="39"/>
      <c r="E7218" s="39"/>
      <c r="F7218" s="39"/>
    </row>
    <row r="7219">
      <c r="D7219" s="39"/>
      <c r="E7219" s="39"/>
      <c r="F7219" s="39"/>
    </row>
    <row r="7220">
      <c r="D7220" s="39"/>
      <c r="E7220" s="39"/>
      <c r="F7220" s="39"/>
    </row>
    <row r="7221">
      <c r="D7221" s="39"/>
      <c r="E7221" s="39"/>
      <c r="F7221" s="39"/>
    </row>
    <row r="7222">
      <c r="D7222" s="39"/>
      <c r="E7222" s="39"/>
      <c r="F7222" s="39"/>
    </row>
    <row r="7223">
      <c r="D7223" s="39"/>
      <c r="E7223" s="39"/>
      <c r="F7223" s="39"/>
    </row>
    <row r="7224">
      <c r="D7224" s="39"/>
      <c r="E7224" s="39"/>
      <c r="F7224" s="39"/>
    </row>
    <row r="7225">
      <c r="D7225" s="39"/>
      <c r="E7225" s="39"/>
      <c r="F7225" s="39"/>
    </row>
    <row r="7226">
      <c r="D7226" s="39"/>
      <c r="E7226" s="39"/>
      <c r="F7226" s="39"/>
    </row>
    <row r="7227">
      <c r="D7227" s="39"/>
      <c r="E7227" s="39"/>
      <c r="F7227" s="39"/>
    </row>
    <row r="7228">
      <c r="D7228" s="39"/>
      <c r="E7228" s="39"/>
      <c r="F7228" s="39"/>
    </row>
    <row r="7229">
      <c r="D7229" s="39"/>
      <c r="E7229" s="39"/>
      <c r="F7229" s="39"/>
    </row>
    <row r="7230">
      <c r="D7230" s="39"/>
      <c r="E7230" s="39"/>
      <c r="F7230" s="39"/>
    </row>
    <row r="7231">
      <c r="D7231" s="39"/>
      <c r="E7231" s="39"/>
      <c r="F7231" s="39"/>
    </row>
    <row r="7232">
      <c r="D7232" s="39"/>
      <c r="E7232" s="39"/>
      <c r="F7232" s="39"/>
    </row>
    <row r="7233">
      <c r="D7233" s="39"/>
      <c r="E7233" s="39"/>
      <c r="F7233" s="39"/>
    </row>
    <row r="7234">
      <c r="D7234" s="39"/>
      <c r="E7234" s="39"/>
      <c r="F7234" s="39"/>
    </row>
    <row r="7235">
      <c r="D7235" s="39"/>
      <c r="E7235" s="39"/>
      <c r="F7235" s="39"/>
    </row>
    <row r="7236">
      <c r="D7236" s="39"/>
      <c r="E7236" s="39"/>
      <c r="F7236" s="39"/>
    </row>
    <row r="7237">
      <c r="D7237" s="39"/>
      <c r="E7237" s="39"/>
      <c r="F7237" s="39"/>
    </row>
    <row r="7238">
      <c r="D7238" s="39"/>
      <c r="E7238" s="39"/>
      <c r="F7238" s="39"/>
    </row>
    <row r="7239">
      <c r="D7239" s="39"/>
      <c r="E7239" s="39"/>
      <c r="F7239" s="39"/>
    </row>
    <row r="7240">
      <c r="D7240" s="39"/>
      <c r="E7240" s="39"/>
      <c r="F7240" s="39"/>
    </row>
    <row r="7241">
      <c r="D7241" s="39"/>
      <c r="E7241" s="39"/>
      <c r="F7241" s="39"/>
    </row>
    <row r="7242">
      <c r="D7242" s="39"/>
      <c r="E7242" s="39"/>
      <c r="F7242" s="39"/>
    </row>
    <row r="7243">
      <c r="D7243" s="39"/>
      <c r="E7243" s="39"/>
      <c r="F7243" s="39"/>
    </row>
    <row r="7244">
      <c r="D7244" s="39"/>
      <c r="E7244" s="39"/>
      <c r="F7244" s="39"/>
    </row>
    <row r="7245">
      <c r="D7245" s="39"/>
      <c r="E7245" s="39"/>
      <c r="F7245" s="39"/>
    </row>
    <row r="7246">
      <c r="D7246" s="39"/>
      <c r="E7246" s="39"/>
      <c r="F7246" s="39"/>
    </row>
    <row r="7247">
      <c r="D7247" s="39"/>
      <c r="E7247" s="39"/>
      <c r="F7247" s="39"/>
    </row>
    <row r="7248">
      <c r="D7248" s="39"/>
      <c r="E7248" s="39"/>
      <c r="F7248" s="39"/>
    </row>
    <row r="7249">
      <c r="D7249" s="39"/>
      <c r="E7249" s="39"/>
      <c r="F7249" s="39"/>
    </row>
    <row r="7250">
      <c r="D7250" s="39"/>
      <c r="E7250" s="39"/>
      <c r="F7250" s="39"/>
    </row>
    <row r="7251">
      <c r="D7251" s="39"/>
      <c r="E7251" s="39"/>
      <c r="F7251" s="39"/>
    </row>
    <row r="7252">
      <c r="D7252" s="39"/>
      <c r="E7252" s="39"/>
      <c r="F7252" s="39"/>
    </row>
    <row r="7253">
      <c r="D7253" s="39"/>
      <c r="E7253" s="39"/>
      <c r="F7253" s="39"/>
    </row>
    <row r="7254">
      <c r="D7254" s="39"/>
      <c r="E7254" s="39"/>
      <c r="F7254" s="39"/>
    </row>
    <row r="7255">
      <c r="D7255" s="39"/>
      <c r="E7255" s="39"/>
      <c r="F7255" s="39"/>
    </row>
    <row r="7256">
      <c r="D7256" s="39"/>
      <c r="E7256" s="39"/>
      <c r="F7256" s="39"/>
    </row>
    <row r="7257">
      <c r="D7257" s="39"/>
      <c r="E7257" s="39"/>
      <c r="F7257" s="39"/>
    </row>
    <row r="7258">
      <c r="D7258" s="39"/>
      <c r="E7258" s="39"/>
      <c r="F7258" s="39"/>
    </row>
    <row r="7259">
      <c r="D7259" s="39"/>
      <c r="E7259" s="39"/>
      <c r="F7259" s="39"/>
    </row>
    <row r="7260">
      <c r="D7260" s="39"/>
      <c r="E7260" s="39"/>
      <c r="F7260" s="39"/>
    </row>
    <row r="7261">
      <c r="D7261" s="39"/>
      <c r="E7261" s="39"/>
      <c r="F7261" s="39"/>
    </row>
    <row r="7262">
      <c r="D7262" s="39"/>
      <c r="E7262" s="39"/>
      <c r="F7262" s="39"/>
    </row>
    <row r="7263">
      <c r="D7263" s="39"/>
      <c r="E7263" s="39"/>
      <c r="F7263" s="39"/>
    </row>
    <row r="7264">
      <c r="D7264" s="39"/>
      <c r="E7264" s="39"/>
      <c r="F7264" s="39"/>
    </row>
    <row r="7265">
      <c r="D7265" s="39"/>
      <c r="E7265" s="39"/>
      <c r="F7265" s="39"/>
    </row>
    <row r="7266">
      <c r="D7266" s="39"/>
      <c r="E7266" s="39"/>
      <c r="F7266" s="39"/>
    </row>
    <row r="7267">
      <c r="D7267" s="39"/>
      <c r="E7267" s="39"/>
      <c r="F7267" s="39"/>
    </row>
    <row r="7268">
      <c r="D7268" s="39"/>
      <c r="E7268" s="39"/>
      <c r="F7268" s="39"/>
    </row>
    <row r="7269">
      <c r="D7269" s="39"/>
      <c r="E7269" s="39"/>
      <c r="F7269" s="39"/>
    </row>
    <row r="7270">
      <c r="D7270" s="39"/>
      <c r="E7270" s="39"/>
      <c r="F7270" s="39"/>
    </row>
    <row r="7271">
      <c r="D7271" s="39"/>
      <c r="E7271" s="39"/>
      <c r="F7271" s="39"/>
    </row>
    <row r="7272">
      <c r="D7272" s="39"/>
      <c r="E7272" s="39"/>
      <c r="F7272" s="39"/>
    </row>
    <row r="7273">
      <c r="D7273" s="39"/>
      <c r="E7273" s="39"/>
      <c r="F7273" s="39"/>
    </row>
    <row r="7274">
      <c r="D7274" s="39"/>
      <c r="E7274" s="39"/>
      <c r="F7274" s="39"/>
    </row>
    <row r="7275">
      <c r="D7275" s="39"/>
      <c r="E7275" s="39"/>
      <c r="F7275" s="39"/>
    </row>
    <row r="7276">
      <c r="D7276" s="39"/>
      <c r="E7276" s="39"/>
      <c r="F7276" s="39"/>
    </row>
    <row r="7277">
      <c r="D7277" s="39"/>
      <c r="E7277" s="39"/>
      <c r="F7277" s="39"/>
    </row>
    <row r="7278">
      <c r="D7278" s="39"/>
      <c r="E7278" s="39"/>
      <c r="F7278" s="39"/>
    </row>
    <row r="7279">
      <c r="D7279" s="39"/>
      <c r="E7279" s="39"/>
      <c r="F7279" s="39"/>
    </row>
    <row r="7280">
      <c r="D7280" s="39"/>
      <c r="E7280" s="39"/>
      <c r="F7280" s="39"/>
    </row>
    <row r="7281">
      <c r="D7281" s="39"/>
      <c r="E7281" s="39"/>
      <c r="F7281" s="39"/>
    </row>
    <row r="7282">
      <c r="D7282" s="39"/>
      <c r="E7282" s="39"/>
      <c r="F7282" s="39"/>
    </row>
    <row r="7283">
      <c r="D7283" s="39"/>
      <c r="E7283" s="39"/>
      <c r="F7283" s="39"/>
    </row>
    <row r="7284">
      <c r="D7284" s="39"/>
      <c r="E7284" s="39"/>
      <c r="F7284" s="39"/>
    </row>
    <row r="7285">
      <c r="D7285" s="39"/>
      <c r="E7285" s="39"/>
      <c r="F7285" s="39"/>
    </row>
    <row r="7286">
      <c r="D7286" s="39"/>
      <c r="E7286" s="39"/>
      <c r="F7286" s="39"/>
    </row>
    <row r="7287">
      <c r="D7287" s="39"/>
      <c r="E7287" s="39"/>
      <c r="F7287" s="39"/>
    </row>
    <row r="7288">
      <c r="D7288" s="39"/>
      <c r="E7288" s="39"/>
      <c r="F7288" s="39"/>
    </row>
    <row r="7289">
      <c r="D7289" s="39"/>
      <c r="E7289" s="39"/>
      <c r="F7289" s="39"/>
    </row>
    <row r="7290">
      <c r="D7290" s="39"/>
      <c r="E7290" s="39"/>
      <c r="F7290" s="39"/>
    </row>
    <row r="7291">
      <c r="D7291" s="39"/>
      <c r="E7291" s="39"/>
      <c r="F7291" s="39"/>
    </row>
    <row r="7292">
      <c r="D7292" s="39"/>
      <c r="E7292" s="39"/>
      <c r="F7292" s="39"/>
    </row>
    <row r="7293">
      <c r="D7293" s="39"/>
      <c r="E7293" s="39"/>
      <c r="F7293" s="39"/>
    </row>
    <row r="7294">
      <c r="D7294" s="39"/>
      <c r="E7294" s="39"/>
      <c r="F7294" s="39"/>
    </row>
    <row r="7295">
      <c r="D7295" s="39"/>
      <c r="E7295" s="39"/>
      <c r="F7295" s="39"/>
    </row>
    <row r="7296">
      <c r="D7296" s="39"/>
      <c r="E7296" s="39"/>
      <c r="F7296" s="39"/>
    </row>
    <row r="7297">
      <c r="D7297" s="39"/>
      <c r="E7297" s="39"/>
      <c r="F7297" s="39"/>
    </row>
    <row r="7298">
      <c r="D7298" s="39"/>
      <c r="E7298" s="39"/>
      <c r="F7298" s="39"/>
    </row>
    <row r="7299">
      <c r="D7299" s="39"/>
      <c r="E7299" s="39"/>
      <c r="F7299" s="39"/>
    </row>
    <row r="7300">
      <c r="D7300" s="39"/>
      <c r="E7300" s="39"/>
      <c r="F7300" s="39"/>
    </row>
    <row r="7301">
      <c r="D7301" s="39"/>
      <c r="E7301" s="39"/>
      <c r="F7301" s="39"/>
    </row>
    <row r="7302">
      <c r="D7302" s="39"/>
      <c r="E7302" s="39"/>
      <c r="F7302" s="39"/>
    </row>
    <row r="7303">
      <c r="D7303" s="39"/>
      <c r="E7303" s="39"/>
      <c r="F7303" s="39"/>
    </row>
    <row r="7304">
      <c r="D7304" s="39"/>
      <c r="E7304" s="39"/>
      <c r="F7304" s="39"/>
    </row>
    <row r="7305">
      <c r="D7305" s="39"/>
      <c r="E7305" s="39"/>
      <c r="F7305" s="39"/>
    </row>
    <row r="7306">
      <c r="D7306" s="39"/>
      <c r="E7306" s="39"/>
      <c r="F7306" s="39"/>
    </row>
    <row r="7307">
      <c r="D7307" s="39"/>
      <c r="E7307" s="39"/>
      <c r="F7307" s="39"/>
    </row>
    <row r="7308">
      <c r="D7308" s="39"/>
      <c r="E7308" s="39"/>
      <c r="F7308" s="39"/>
    </row>
    <row r="7309">
      <c r="D7309" s="39"/>
      <c r="E7309" s="39"/>
      <c r="F7309" s="39"/>
    </row>
    <row r="7310">
      <c r="D7310" s="39"/>
      <c r="E7310" s="39"/>
      <c r="F7310" s="39"/>
    </row>
    <row r="7311">
      <c r="D7311" s="39"/>
      <c r="E7311" s="39"/>
      <c r="F7311" s="39"/>
    </row>
    <row r="7312">
      <c r="D7312" s="39"/>
      <c r="E7312" s="39"/>
      <c r="F7312" s="39"/>
    </row>
    <row r="7313">
      <c r="D7313" s="39"/>
      <c r="E7313" s="39"/>
      <c r="F7313" s="39"/>
    </row>
    <row r="7314">
      <c r="D7314" s="39"/>
      <c r="E7314" s="39"/>
      <c r="F7314" s="39"/>
    </row>
    <row r="7315">
      <c r="D7315" s="39"/>
      <c r="E7315" s="39"/>
      <c r="F7315" s="39"/>
    </row>
    <row r="7316">
      <c r="D7316" s="39"/>
      <c r="E7316" s="39"/>
      <c r="F7316" s="39"/>
    </row>
    <row r="7317">
      <c r="D7317" s="39"/>
      <c r="E7317" s="39"/>
      <c r="F7317" s="39"/>
    </row>
    <row r="7318">
      <c r="D7318" s="39"/>
      <c r="E7318" s="39"/>
      <c r="F7318" s="39"/>
    </row>
    <row r="7319">
      <c r="D7319" s="39"/>
      <c r="E7319" s="39"/>
      <c r="F7319" s="39"/>
    </row>
    <row r="7320">
      <c r="D7320" s="39"/>
      <c r="E7320" s="39"/>
      <c r="F7320" s="39"/>
    </row>
    <row r="7321">
      <c r="D7321" s="39"/>
      <c r="E7321" s="39"/>
      <c r="F7321" s="39"/>
    </row>
    <row r="7322">
      <c r="D7322" s="39"/>
      <c r="E7322" s="39"/>
      <c r="F7322" s="39"/>
    </row>
    <row r="7323">
      <c r="D7323" s="39"/>
      <c r="E7323" s="39"/>
      <c r="F7323" s="39"/>
    </row>
    <row r="7324">
      <c r="D7324" s="39"/>
      <c r="E7324" s="39"/>
      <c r="F7324" s="39"/>
    </row>
    <row r="7325">
      <c r="D7325" s="39"/>
      <c r="E7325" s="39"/>
      <c r="F7325" s="39"/>
    </row>
    <row r="7326">
      <c r="D7326" s="39"/>
      <c r="E7326" s="39"/>
      <c r="F7326" s="39"/>
    </row>
    <row r="7327">
      <c r="D7327" s="39"/>
      <c r="E7327" s="39"/>
      <c r="F7327" s="39"/>
    </row>
    <row r="7328">
      <c r="D7328" s="39"/>
      <c r="E7328" s="39"/>
      <c r="F7328" s="39"/>
    </row>
    <row r="7329">
      <c r="D7329" s="39"/>
      <c r="E7329" s="39"/>
      <c r="F7329" s="39"/>
    </row>
    <row r="7330">
      <c r="D7330" s="39"/>
      <c r="E7330" s="39"/>
      <c r="F7330" s="39"/>
    </row>
    <row r="7331">
      <c r="D7331" s="39"/>
      <c r="E7331" s="39"/>
      <c r="F7331" s="39"/>
    </row>
    <row r="7332">
      <c r="D7332" s="39"/>
      <c r="E7332" s="39"/>
      <c r="F7332" s="39"/>
    </row>
    <row r="7333">
      <c r="D7333" s="39"/>
      <c r="E7333" s="39"/>
      <c r="F7333" s="39"/>
    </row>
    <row r="7334">
      <c r="D7334" s="39"/>
      <c r="E7334" s="39"/>
      <c r="F7334" s="39"/>
    </row>
    <row r="7335">
      <c r="D7335" s="39"/>
      <c r="E7335" s="39"/>
      <c r="F7335" s="39"/>
    </row>
    <row r="7336">
      <c r="D7336" s="39"/>
      <c r="E7336" s="39"/>
      <c r="F7336" s="39"/>
    </row>
    <row r="7337">
      <c r="D7337" s="39"/>
      <c r="E7337" s="39"/>
      <c r="F7337" s="39"/>
    </row>
    <row r="7338">
      <c r="D7338" s="39"/>
      <c r="E7338" s="39"/>
      <c r="F7338" s="39"/>
    </row>
    <row r="7339">
      <c r="D7339" s="39"/>
      <c r="E7339" s="39"/>
      <c r="F7339" s="39"/>
    </row>
    <row r="7340">
      <c r="D7340" s="39"/>
      <c r="E7340" s="39"/>
      <c r="F7340" s="39"/>
    </row>
    <row r="7341">
      <c r="D7341" s="39"/>
      <c r="E7341" s="39"/>
      <c r="F7341" s="39"/>
    </row>
    <row r="7342">
      <c r="D7342" s="39"/>
      <c r="E7342" s="39"/>
      <c r="F7342" s="39"/>
    </row>
    <row r="7343">
      <c r="D7343" s="39"/>
      <c r="E7343" s="39"/>
      <c r="F7343" s="39"/>
    </row>
    <row r="7344">
      <c r="D7344" s="39"/>
      <c r="E7344" s="39"/>
      <c r="F7344" s="39"/>
    </row>
    <row r="7345">
      <c r="D7345" s="39"/>
      <c r="E7345" s="39"/>
      <c r="F7345" s="39"/>
    </row>
    <row r="7346">
      <c r="D7346" s="39"/>
      <c r="E7346" s="39"/>
      <c r="F7346" s="39"/>
    </row>
    <row r="7347">
      <c r="D7347" s="39"/>
      <c r="E7347" s="39"/>
      <c r="F7347" s="39"/>
    </row>
    <row r="7348">
      <c r="D7348" s="39"/>
      <c r="E7348" s="39"/>
      <c r="F7348" s="39"/>
    </row>
    <row r="7349">
      <c r="D7349" s="39"/>
      <c r="E7349" s="39"/>
      <c r="F7349" s="39"/>
    </row>
    <row r="7350">
      <c r="D7350" s="39"/>
      <c r="E7350" s="39"/>
      <c r="F7350" s="39"/>
    </row>
    <row r="7351">
      <c r="D7351" s="39"/>
      <c r="E7351" s="39"/>
      <c r="F7351" s="39"/>
    </row>
    <row r="7352">
      <c r="D7352" s="39"/>
      <c r="E7352" s="39"/>
      <c r="F7352" s="39"/>
    </row>
    <row r="7353">
      <c r="D7353" s="39"/>
      <c r="E7353" s="39"/>
      <c r="F7353" s="39"/>
    </row>
    <row r="7354">
      <c r="D7354" s="39"/>
      <c r="E7354" s="39"/>
      <c r="F7354" s="39"/>
    </row>
    <row r="7355">
      <c r="D7355" s="39"/>
      <c r="E7355" s="39"/>
      <c r="F7355" s="39"/>
    </row>
    <row r="7356">
      <c r="D7356" s="39"/>
      <c r="E7356" s="39"/>
      <c r="F7356" s="39"/>
    </row>
    <row r="7357">
      <c r="D7357" s="39"/>
      <c r="E7357" s="39"/>
      <c r="F7357" s="39"/>
    </row>
    <row r="7358">
      <c r="D7358" s="39"/>
      <c r="E7358" s="39"/>
      <c r="F7358" s="39"/>
    </row>
    <row r="7359">
      <c r="D7359" s="39"/>
      <c r="E7359" s="39"/>
      <c r="F7359" s="39"/>
    </row>
    <row r="7360">
      <c r="D7360" s="39"/>
      <c r="E7360" s="39"/>
      <c r="F7360" s="39"/>
    </row>
    <row r="7361">
      <c r="D7361" s="39"/>
      <c r="E7361" s="39"/>
      <c r="F7361" s="39"/>
    </row>
    <row r="7362">
      <c r="D7362" s="39"/>
      <c r="E7362" s="39"/>
      <c r="F7362" s="39"/>
    </row>
    <row r="7363">
      <c r="D7363" s="39"/>
      <c r="E7363" s="39"/>
      <c r="F7363" s="39"/>
    </row>
    <row r="7364">
      <c r="D7364" s="39"/>
      <c r="E7364" s="39"/>
      <c r="F7364" s="39"/>
    </row>
    <row r="7365">
      <c r="D7365" s="39"/>
      <c r="E7365" s="39"/>
      <c r="F7365" s="39"/>
    </row>
    <row r="7366">
      <c r="D7366" s="39"/>
      <c r="E7366" s="39"/>
      <c r="F7366" s="39"/>
    </row>
    <row r="7367">
      <c r="D7367" s="39"/>
      <c r="E7367" s="39"/>
      <c r="F7367" s="39"/>
    </row>
    <row r="7368">
      <c r="D7368" s="39"/>
      <c r="E7368" s="39"/>
      <c r="F7368" s="39"/>
    </row>
    <row r="7369">
      <c r="D7369" s="39"/>
      <c r="E7369" s="39"/>
      <c r="F7369" s="39"/>
    </row>
    <row r="7370">
      <c r="D7370" s="39"/>
      <c r="E7370" s="39"/>
      <c r="F7370" s="39"/>
    </row>
    <row r="7371">
      <c r="D7371" s="39"/>
      <c r="E7371" s="39"/>
      <c r="F7371" s="39"/>
    </row>
    <row r="7372">
      <c r="D7372" s="39"/>
      <c r="E7372" s="39"/>
      <c r="F7372" s="39"/>
    </row>
    <row r="7373">
      <c r="D7373" s="39"/>
      <c r="E7373" s="39"/>
      <c r="F7373" s="39"/>
    </row>
    <row r="7374">
      <c r="D7374" s="39"/>
      <c r="E7374" s="39"/>
      <c r="F7374" s="39"/>
    </row>
    <row r="7375">
      <c r="D7375" s="39"/>
      <c r="E7375" s="39"/>
      <c r="F7375" s="39"/>
    </row>
    <row r="7376">
      <c r="D7376" s="39"/>
      <c r="E7376" s="39"/>
      <c r="F7376" s="39"/>
    </row>
    <row r="7377">
      <c r="D7377" s="39"/>
      <c r="E7377" s="39"/>
      <c r="F7377" s="39"/>
    </row>
    <row r="7378">
      <c r="D7378" s="39"/>
      <c r="E7378" s="39"/>
      <c r="F7378" s="39"/>
    </row>
    <row r="7379">
      <c r="D7379" s="39"/>
      <c r="E7379" s="39"/>
      <c r="F7379" s="39"/>
    </row>
    <row r="7380">
      <c r="D7380" s="39"/>
      <c r="E7380" s="39"/>
      <c r="F7380" s="39"/>
    </row>
    <row r="7381">
      <c r="D7381" s="39"/>
      <c r="E7381" s="39"/>
      <c r="F7381" s="39"/>
    </row>
    <row r="7382">
      <c r="D7382" s="39"/>
      <c r="E7382" s="39"/>
      <c r="F7382" s="39"/>
    </row>
    <row r="7383">
      <c r="D7383" s="39"/>
      <c r="E7383" s="39"/>
      <c r="F7383" s="39"/>
    </row>
    <row r="7384">
      <c r="D7384" s="39"/>
      <c r="E7384" s="39"/>
      <c r="F7384" s="39"/>
    </row>
    <row r="7385">
      <c r="D7385" s="39"/>
      <c r="E7385" s="39"/>
      <c r="F7385" s="39"/>
    </row>
    <row r="7386">
      <c r="D7386" s="39"/>
      <c r="E7386" s="39"/>
      <c r="F7386" s="39"/>
    </row>
    <row r="7387">
      <c r="D7387" s="39"/>
      <c r="E7387" s="39"/>
      <c r="F7387" s="39"/>
    </row>
    <row r="7388">
      <c r="D7388" s="39"/>
      <c r="E7388" s="39"/>
      <c r="F7388" s="39"/>
    </row>
    <row r="7389">
      <c r="D7389" s="39"/>
      <c r="E7389" s="39"/>
      <c r="F7389" s="39"/>
    </row>
    <row r="7390">
      <c r="D7390" s="39"/>
      <c r="E7390" s="39"/>
      <c r="F7390" s="39"/>
    </row>
    <row r="7391">
      <c r="D7391" s="39"/>
      <c r="E7391" s="39"/>
      <c r="F7391" s="39"/>
    </row>
    <row r="7392">
      <c r="D7392" s="39"/>
      <c r="E7392" s="39"/>
      <c r="F7392" s="39"/>
    </row>
    <row r="7393">
      <c r="D7393" s="39"/>
      <c r="E7393" s="39"/>
      <c r="F7393" s="39"/>
    </row>
    <row r="7394">
      <c r="D7394" s="39"/>
      <c r="E7394" s="39"/>
      <c r="F7394" s="39"/>
    </row>
    <row r="7395">
      <c r="D7395" s="39"/>
      <c r="E7395" s="39"/>
      <c r="F7395" s="39"/>
    </row>
    <row r="7396">
      <c r="D7396" s="39"/>
      <c r="E7396" s="39"/>
      <c r="F7396" s="39"/>
    </row>
    <row r="7397">
      <c r="D7397" s="39"/>
      <c r="E7397" s="39"/>
      <c r="F7397" s="39"/>
    </row>
    <row r="7398">
      <c r="D7398" s="39"/>
      <c r="E7398" s="39"/>
      <c r="F7398" s="39"/>
    </row>
    <row r="7399">
      <c r="D7399" s="39"/>
      <c r="E7399" s="39"/>
      <c r="F7399" s="39"/>
    </row>
    <row r="7400">
      <c r="D7400" s="39"/>
      <c r="E7400" s="39"/>
      <c r="F7400" s="39"/>
    </row>
    <row r="7401">
      <c r="D7401" s="39"/>
      <c r="E7401" s="39"/>
      <c r="F7401" s="39"/>
    </row>
    <row r="7402">
      <c r="D7402" s="39"/>
      <c r="E7402" s="39"/>
      <c r="F7402" s="39"/>
    </row>
    <row r="7403">
      <c r="D7403" s="39"/>
      <c r="E7403" s="39"/>
      <c r="F7403" s="39"/>
    </row>
    <row r="7404">
      <c r="D7404" s="39"/>
      <c r="E7404" s="39"/>
      <c r="F7404" s="39"/>
    </row>
    <row r="7405">
      <c r="D7405" s="39"/>
      <c r="E7405" s="39"/>
      <c r="F7405" s="39"/>
    </row>
    <row r="7406">
      <c r="D7406" s="39"/>
      <c r="E7406" s="39"/>
      <c r="F7406" s="39"/>
    </row>
    <row r="7407">
      <c r="D7407" s="39"/>
      <c r="E7407" s="39"/>
      <c r="F7407" s="39"/>
    </row>
    <row r="7408">
      <c r="D7408" s="39"/>
      <c r="E7408" s="39"/>
      <c r="F7408" s="39"/>
    </row>
    <row r="7409">
      <c r="D7409" s="39"/>
      <c r="E7409" s="39"/>
      <c r="F7409" s="39"/>
    </row>
    <row r="7410">
      <c r="D7410" s="39"/>
      <c r="E7410" s="39"/>
      <c r="F7410" s="39"/>
    </row>
    <row r="7411">
      <c r="D7411" s="39"/>
      <c r="E7411" s="39"/>
      <c r="F7411" s="39"/>
    </row>
    <row r="7412">
      <c r="D7412" s="39"/>
      <c r="E7412" s="39"/>
      <c r="F7412" s="39"/>
    </row>
    <row r="7413">
      <c r="D7413" s="39"/>
      <c r="E7413" s="39"/>
      <c r="F7413" s="39"/>
    </row>
    <row r="7414">
      <c r="D7414" s="39"/>
      <c r="E7414" s="39"/>
      <c r="F7414" s="39"/>
    </row>
    <row r="7415">
      <c r="D7415" s="39"/>
      <c r="E7415" s="39"/>
      <c r="F7415" s="39"/>
    </row>
    <row r="7416">
      <c r="D7416" s="39"/>
      <c r="E7416" s="39"/>
      <c r="F7416" s="39"/>
    </row>
    <row r="7417">
      <c r="D7417" s="39"/>
      <c r="E7417" s="39"/>
      <c r="F7417" s="39"/>
    </row>
    <row r="7418">
      <c r="D7418" s="39"/>
      <c r="E7418" s="39"/>
      <c r="F7418" s="39"/>
    </row>
    <row r="7419">
      <c r="D7419" s="39"/>
      <c r="E7419" s="39"/>
      <c r="F7419" s="39"/>
    </row>
    <row r="7420">
      <c r="D7420" s="39"/>
      <c r="E7420" s="39"/>
      <c r="F7420" s="39"/>
    </row>
    <row r="7421">
      <c r="D7421" s="39"/>
      <c r="E7421" s="39"/>
      <c r="F7421" s="39"/>
    </row>
    <row r="7422">
      <c r="D7422" s="39"/>
      <c r="E7422" s="39"/>
      <c r="F7422" s="39"/>
    </row>
    <row r="7423">
      <c r="D7423" s="39"/>
      <c r="E7423" s="39"/>
      <c r="F7423" s="39"/>
    </row>
    <row r="7424">
      <c r="D7424" s="39"/>
      <c r="E7424" s="39"/>
      <c r="F7424" s="39"/>
    </row>
    <row r="7425">
      <c r="D7425" s="39"/>
      <c r="E7425" s="39"/>
      <c r="F7425" s="39"/>
    </row>
    <row r="7426">
      <c r="D7426" s="39"/>
      <c r="E7426" s="39"/>
      <c r="F7426" s="39"/>
    </row>
    <row r="7427">
      <c r="D7427" s="39"/>
      <c r="E7427" s="39"/>
      <c r="F7427" s="39"/>
    </row>
    <row r="7428">
      <c r="D7428" s="39"/>
      <c r="E7428" s="39"/>
      <c r="F7428" s="39"/>
    </row>
    <row r="7429">
      <c r="D7429" s="39"/>
      <c r="E7429" s="39"/>
      <c r="F7429" s="39"/>
    </row>
    <row r="7430">
      <c r="D7430" s="39"/>
      <c r="E7430" s="39"/>
      <c r="F7430" s="39"/>
    </row>
    <row r="7431">
      <c r="D7431" s="39"/>
      <c r="E7431" s="39"/>
      <c r="F7431" s="39"/>
    </row>
    <row r="7432">
      <c r="D7432" s="39"/>
      <c r="E7432" s="39"/>
      <c r="F7432" s="39"/>
    </row>
    <row r="7433">
      <c r="D7433" s="39"/>
      <c r="E7433" s="39"/>
      <c r="F7433" s="39"/>
    </row>
    <row r="7434">
      <c r="D7434" s="39"/>
      <c r="E7434" s="39"/>
      <c r="F7434" s="39"/>
    </row>
    <row r="7435">
      <c r="D7435" s="39"/>
      <c r="E7435" s="39"/>
      <c r="F7435" s="39"/>
    </row>
    <row r="7436">
      <c r="D7436" s="39"/>
      <c r="E7436" s="39"/>
      <c r="F7436" s="39"/>
    </row>
    <row r="7437">
      <c r="D7437" s="39"/>
      <c r="E7437" s="39"/>
      <c r="F7437" s="39"/>
    </row>
    <row r="7438">
      <c r="D7438" s="39"/>
      <c r="E7438" s="39"/>
      <c r="F7438" s="39"/>
    </row>
    <row r="7439">
      <c r="D7439" s="39"/>
      <c r="E7439" s="39"/>
      <c r="F7439" s="39"/>
    </row>
    <row r="7440">
      <c r="D7440" s="39"/>
      <c r="E7440" s="39"/>
      <c r="F7440" s="39"/>
    </row>
    <row r="7441">
      <c r="D7441" s="39"/>
      <c r="E7441" s="39"/>
      <c r="F7441" s="39"/>
    </row>
    <row r="7442">
      <c r="D7442" s="39"/>
      <c r="E7442" s="39"/>
      <c r="F7442" s="39"/>
    </row>
    <row r="7443">
      <c r="D7443" s="39"/>
      <c r="E7443" s="39"/>
      <c r="F7443" s="39"/>
    </row>
    <row r="7444">
      <c r="D7444" s="39"/>
      <c r="E7444" s="39"/>
      <c r="F7444" s="39"/>
    </row>
    <row r="7445">
      <c r="D7445" s="39"/>
      <c r="E7445" s="39"/>
      <c r="F7445" s="39"/>
    </row>
    <row r="7446">
      <c r="D7446" s="39"/>
      <c r="E7446" s="39"/>
      <c r="F7446" s="39"/>
    </row>
    <row r="7447">
      <c r="D7447" s="39"/>
      <c r="E7447" s="39"/>
      <c r="F7447" s="39"/>
    </row>
    <row r="7448">
      <c r="D7448" s="39"/>
      <c r="E7448" s="39"/>
      <c r="F7448" s="39"/>
    </row>
    <row r="7449">
      <c r="D7449" s="39"/>
      <c r="E7449" s="39"/>
      <c r="F7449" s="39"/>
    </row>
    <row r="7450">
      <c r="D7450" s="39"/>
      <c r="E7450" s="39"/>
      <c r="F7450" s="39"/>
    </row>
    <row r="7451">
      <c r="D7451" s="39"/>
      <c r="E7451" s="39"/>
      <c r="F7451" s="39"/>
    </row>
    <row r="7452">
      <c r="D7452" s="39"/>
      <c r="E7452" s="39"/>
      <c r="F7452" s="39"/>
    </row>
    <row r="7453">
      <c r="D7453" s="39"/>
      <c r="E7453" s="39"/>
      <c r="F7453" s="39"/>
    </row>
    <row r="7454">
      <c r="D7454" s="39"/>
      <c r="E7454" s="39"/>
      <c r="F7454" s="39"/>
    </row>
    <row r="7455">
      <c r="D7455" s="39"/>
      <c r="E7455" s="39"/>
      <c r="F7455" s="39"/>
    </row>
    <row r="7456">
      <c r="D7456" s="39"/>
      <c r="E7456" s="39"/>
      <c r="F7456" s="39"/>
    </row>
    <row r="7457">
      <c r="D7457" s="39"/>
      <c r="E7457" s="39"/>
      <c r="F7457" s="39"/>
    </row>
    <row r="7458">
      <c r="D7458" s="39"/>
      <c r="E7458" s="39"/>
      <c r="F7458" s="39"/>
    </row>
    <row r="7459">
      <c r="D7459" s="39"/>
      <c r="E7459" s="39"/>
      <c r="F7459" s="39"/>
    </row>
    <row r="7460">
      <c r="D7460" s="39"/>
      <c r="E7460" s="39"/>
      <c r="F7460" s="39"/>
    </row>
    <row r="7461">
      <c r="D7461" s="39"/>
      <c r="E7461" s="39"/>
      <c r="F7461" s="39"/>
    </row>
    <row r="7462">
      <c r="D7462" s="39"/>
      <c r="E7462" s="39"/>
      <c r="F7462" s="39"/>
    </row>
    <row r="7463">
      <c r="D7463" s="39"/>
      <c r="E7463" s="39"/>
      <c r="F7463" s="39"/>
    </row>
    <row r="7464">
      <c r="D7464" s="39"/>
      <c r="E7464" s="39"/>
      <c r="F7464" s="39"/>
    </row>
    <row r="7465">
      <c r="D7465" s="39"/>
      <c r="E7465" s="39"/>
      <c r="F7465" s="39"/>
    </row>
    <row r="7466">
      <c r="D7466" s="39"/>
      <c r="E7466" s="39"/>
      <c r="F7466" s="39"/>
    </row>
    <row r="7467">
      <c r="D7467" s="39"/>
      <c r="E7467" s="39"/>
      <c r="F7467" s="39"/>
    </row>
    <row r="7468">
      <c r="D7468" s="39"/>
      <c r="E7468" s="39"/>
      <c r="F7468" s="39"/>
    </row>
    <row r="7469">
      <c r="D7469" s="39"/>
      <c r="E7469" s="39"/>
      <c r="F7469" s="39"/>
    </row>
    <row r="7470">
      <c r="D7470" s="39"/>
      <c r="E7470" s="39"/>
      <c r="F7470" s="39"/>
    </row>
    <row r="7471">
      <c r="D7471" s="39"/>
      <c r="E7471" s="39"/>
      <c r="F7471" s="39"/>
    </row>
    <row r="7472">
      <c r="D7472" s="39"/>
      <c r="E7472" s="39"/>
      <c r="F7472" s="39"/>
    </row>
    <row r="7473">
      <c r="D7473" s="39"/>
      <c r="E7473" s="39"/>
      <c r="F7473" s="39"/>
    </row>
    <row r="7474">
      <c r="D7474" s="39"/>
      <c r="E7474" s="39"/>
      <c r="F7474" s="39"/>
    </row>
    <row r="7475">
      <c r="D7475" s="39"/>
      <c r="E7475" s="39"/>
      <c r="F7475" s="39"/>
    </row>
    <row r="7476">
      <c r="D7476" s="39"/>
      <c r="E7476" s="39"/>
      <c r="F7476" s="39"/>
    </row>
    <row r="7477">
      <c r="D7477" s="39"/>
      <c r="E7477" s="39"/>
      <c r="F7477" s="39"/>
    </row>
    <row r="7478">
      <c r="D7478" s="39"/>
      <c r="E7478" s="39"/>
      <c r="F7478" s="39"/>
    </row>
    <row r="7479">
      <c r="D7479" s="39"/>
      <c r="E7479" s="39"/>
      <c r="F7479" s="39"/>
    </row>
    <row r="7480">
      <c r="D7480" s="39"/>
      <c r="E7480" s="39"/>
      <c r="F7480" s="39"/>
    </row>
    <row r="7481">
      <c r="D7481" s="39"/>
      <c r="E7481" s="39"/>
      <c r="F7481" s="39"/>
    </row>
    <row r="7482">
      <c r="D7482" s="39"/>
      <c r="E7482" s="39"/>
      <c r="F7482" s="39"/>
    </row>
    <row r="7483">
      <c r="D7483" s="39"/>
      <c r="E7483" s="39"/>
      <c r="F7483" s="39"/>
    </row>
    <row r="7484">
      <c r="D7484" s="39"/>
      <c r="E7484" s="39"/>
      <c r="F7484" s="39"/>
    </row>
    <row r="7485">
      <c r="D7485" s="39"/>
      <c r="E7485" s="39"/>
      <c r="F7485" s="39"/>
    </row>
    <row r="7486">
      <c r="D7486" s="39"/>
      <c r="E7486" s="39"/>
      <c r="F7486" s="39"/>
    </row>
    <row r="7487">
      <c r="D7487" s="39"/>
      <c r="E7487" s="39"/>
      <c r="F7487" s="39"/>
    </row>
    <row r="7488">
      <c r="D7488" s="39"/>
      <c r="E7488" s="39"/>
      <c r="F7488" s="39"/>
    </row>
    <row r="7489">
      <c r="D7489" s="39"/>
      <c r="E7489" s="39"/>
      <c r="F7489" s="39"/>
    </row>
    <row r="7490">
      <c r="D7490" s="39"/>
      <c r="E7490" s="39"/>
      <c r="F7490" s="39"/>
    </row>
    <row r="7491">
      <c r="D7491" s="39"/>
      <c r="E7491" s="39"/>
      <c r="F7491" s="39"/>
    </row>
    <row r="7492">
      <c r="D7492" s="39"/>
      <c r="E7492" s="39"/>
      <c r="F7492" s="39"/>
    </row>
    <row r="7493">
      <c r="D7493" s="39"/>
      <c r="E7493" s="39"/>
      <c r="F7493" s="39"/>
    </row>
    <row r="7494">
      <c r="D7494" s="39"/>
      <c r="E7494" s="39"/>
      <c r="F7494" s="39"/>
    </row>
    <row r="7495">
      <c r="D7495" s="39"/>
      <c r="E7495" s="39"/>
      <c r="F7495" s="39"/>
    </row>
    <row r="7496">
      <c r="D7496" s="39"/>
      <c r="E7496" s="39"/>
      <c r="F7496" s="39"/>
    </row>
    <row r="7497">
      <c r="D7497" s="39"/>
      <c r="E7497" s="39"/>
      <c r="F7497" s="39"/>
    </row>
    <row r="7498">
      <c r="D7498" s="39"/>
      <c r="E7498" s="39"/>
      <c r="F7498" s="39"/>
    </row>
    <row r="7499">
      <c r="D7499" s="39"/>
      <c r="E7499" s="39"/>
      <c r="F7499" s="39"/>
    </row>
    <row r="7500">
      <c r="D7500" s="39"/>
      <c r="E7500" s="39"/>
      <c r="F7500" s="39"/>
    </row>
    <row r="7501">
      <c r="D7501" s="39"/>
      <c r="E7501" s="39"/>
      <c r="F7501" s="39"/>
    </row>
    <row r="7502">
      <c r="D7502" s="39"/>
      <c r="E7502" s="39"/>
      <c r="F7502" s="39"/>
    </row>
    <row r="7503">
      <c r="D7503" s="39"/>
      <c r="E7503" s="39"/>
      <c r="F7503" s="39"/>
    </row>
    <row r="7504">
      <c r="D7504" s="39"/>
      <c r="E7504" s="39"/>
      <c r="F7504" s="39"/>
    </row>
    <row r="7505">
      <c r="D7505" s="39"/>
      <c r="E7505" s="39"/>
      <c r="F7505" s="39"/>
    </row>
    <row r="7506">
      <c r="D7506" s="39"/>
      <c r="E7506" s="39"/>
      <c r="F7506" s="39"/>
    </row>
    <row r="7507">
      <c r="D7507" s="39"/>
      <c r="E7507" s="39"/>
      <c r="F7507" s="39"/>
    </row>
    <row r="7508">
      <c r="D7508" s="39"/>
      <c r="E7508" s="39"/>
      <c r="F7508" s="39"/>
    </row>
    <row r="7509">
      <c r="D7509" s="39"/>
      <c r="E7509" s="39"/>
      <c r="F7509" s="39"/>
    </row>
    <row r="7510">
      <c r="D7510" s="39"/>
      <c r="E7510" s="39"/>
      <c r="F7510" s="39"/>
    </row>
    <row r="7511">
      <c r="D7511" s="39"/>
      <c r="E7511" s="39"/>
      <c r="F7511" s="39"/>
    </row>
    <row r="7512">
      <c r="D7512" s="39"/>
      <c r="E7512" s="39"/>
      <c r="F7512" s="39"/>
    </row>
    <row r="7513">
      <c r="D7513" s="39"/>
      <c r="E7513" s="39"/>
      <c r="F7513" s="39"/>
    </row>
    <row r="7514">
      <c r="D7514" s="39"/>
      <c r="E7514" s="39"/>
      <c r="F7514" s="39"/>
    </row>
    <row r="7515">
      <c r="D7515" s="39"/>
      <c r="E7515" s="39"/>
      <c r="F7515" s="39"/>
    </row>
    <row r="7516">
      <c r="D7516" s="39"/>
      <c r="E7516" s="39"/>
      <c r="F7516" s="39"/>
    </row>
    <row r="7517">
      <c r="D7517" s="39"/>
      <c r="E7517" s="39"/>
      <c r="F7517" s="39"/>
    </row>
    <row r="7518">
      <c r="D7518" s="39"/>
      <c r="E7518" s="39"/>
      <c r="F7518" s="39"/>
    </row>
    <row r="7519">
      <c r="D7519" s="39"/>
      <c r="E7519" s="39"/>
      <c r="F7519" s="39"/>
    </row>
    <row r="7520">
      <c r="D7520" s="39"/>
      <c r="E7520" s="39"/>
      <c r="F7520" s="39"/>
    </row>
    <row r="7521">
      <c r="D7521" s="39"/>
      <c r="E7521" s="39"/>
      <c r="F7521" s="39"/>
    </row>
    <row r="7522">
      <c r="D7522" s="39"/>
      <c r="E7522" s="39"/>
      <c r="F7522" s="39"/>
    </row>
    <row r="7523">
      <c r="D7523" s="39"/>
      <c r="E7523" s="39"/>
      <c r="F7523" s="39"/>
    </row>
    <row r="7524">
      <c r="D7524" s="39"/>
      <c r="E7524" s="39"/>
      <c r="F7524" s="39"/>
    </row>
    <row r="7525">
      <c r="D7525" s="39"/>
      <c r="E7525" s="39"/>
      <c r="F7525" s="39"/>
    </row>
    <row r="7526">
      <c r="D7526" s="39"/>
      <c r="E7526" s="39"/>
      <c r="F7526" s="39"/>
    </row>
    <row r="7527">
      <c r="D7527" s="39"/>
      <c r="E7527" s="39"/>
      <c r="F7527" s="39"/>
    </row>
    <row r="7528">
      <c r="D7528" s="39"/>
      <c r="E7528" s="39"/>
      <c r="F7528" s="39"/>
    </row>
    <row r="7529">
      <c r="D7529" s="39"/>
      <c r="E7529" s="39"/>
      <c r="F7529" s="39"/>
    </row>
    <row r="7530">
      <c r="D7530" s="39"/>
      <c r="E7530" s="39"/>
      <c r="F7530" s="39"/>
    </row>
    <row r="7531">
      <c r="D7531" s="39"/>
      <c r="E7531" s="39"/>
      <c r="F7531" s="39"/>
    </row>
    <row r="7532">
      <c r="D7532" s="39"/>
      <c r="E7532" s="39"/>
      <c r="F7532" s="39"/>
    </row>
    <row r="7533">
      <c r="D7533" s="39"/>
      <c r="E7533" s="39"/>
      <c r="F7533" s="39"/>
    </row>
    <row r="7534">
      <c r="D7534" s="39"/>
      <c r="E7534" s="39"/>
      <c r="F7534" s="39"/>
    </row>
    <row r="7535">
      <c r="D7535" s="39"/>
      <c r="E7535" s="39"/>
      <c r="F7535" s="39"/>
    </row>
    <row r="7536">
      <c r="D7536" s="39"/>
      <c r="E7536" s="39"/>
      <c r="F7536" s="39"/>
    </row>
    <row r="7537">
      <c r="D7537" s="39"/>
      <c r="E7537" s="39"/>
      <c r="F7537" s="39"/>
    </row>
    <row r="7538">
      <c r="D7538" s="39"/>
      <c r="E7538" s="39"/>
      <c r="F7538" s="39"/>
    </row>
    <row r="7539">
      <c r="D7539" s="39"/>
      <c r="E7539" s="39"/>
      <c r="F7539" s="39"/>
    </row>
    <row r="7540">
      <c r="D7540" s="39"/>
      <c r="E7540" s="39"/>
      <c r="F7540" s="39"/>
    </row>
    <row r="7541">
      <c r="D7541" s="39"/>
      <c r="E7541" s="39"/>
      <c r="F7541" s="39"/>
    </row>
    <row r="7542">
      <c r="D7542" s="39"/>
      <c r="E7542" s="39"/>
      <c r="F7542" s="39"/>
    </row>
    <row r="7543">
      <c r="D7543" s="39"/>
      <c r="E7543" s="39"/>
      <c r="F7543" s="39"/>
    </row>
    <row r="7544">
      <c r="D7544" s="39"/>
      <c r="E7544" s="39"/>
      <c r="F7544" s="39"/>
    </row>
    <row r="7545">
      <c r="D7545" s="39"/>
      <c r="E7545" s="39"/>
      <c r="F7545" s="39"/>
    </row>
    <row r="7546">
      <c r="D7546" s="39"/>
      <c r="E7546" s="39"/>
      <c r="F7546" s="39"/>
    </row>
    <row r="7547">
      <c r="D7547" s="39"/>
      <c r="E7547" s="39"/>
      <c r="F7547" s="39"/>
    </row>
    <row r="7548">
      <c r="D7548" s="39"/>
      <c r="E7548" s="39"/>
      <c r="F7548" s="39"/>
    </row>
    <row r="7549">
      <c r="D7549" s="39"/>
      <c r="E7549" s="39"/>
      <c r="F7549" s="39"/>
    </row>
    <row r="7550">
      <c r="D7550" s="39"/>
      <c r="E7550" s="39"/>
      <c r="F7550" s="39"/>
    </row>
    <row r="7551">
      <c r="D7551" s="39"/>
      <c r="E7551" s="39"/>
      <c r="F7551" s="39"/>
    </row>
    <row r="7552">
      <c r="D7552" s="39"/>
      <c r="E7552" s="39"/>
      <c r="F7552" s="39"/>
    </row>
    <row r="7553">
      <c r="D7553" s="39"/>
      <c r="E7553" s="39"/>
      <c r="F7553" s="39"/>
    </row>
    <row r="7554">
      <c r="D7554" s="39"/>
      <c r="E7554" s="39"/>
      <c r="F7554" s="39"/>
    </row>
    <row r="7555">
      <c r="D7555" s="39"/>
      <c r="E7555" s="39"/>
      <c r="F7555" s="39"/>
    </row>
    <row r="7556">
      <c r="D7556" s="39"/>
      <c r="E7556" s="39"/>
      <c r="F7556" s="39"/>
    </row>
    <row r="7557">
      <c r="D7557" s="39"/>
      <c r="E7557" s="39"/>
      <c r="F7557" s="39"/>
    </row>
    <row r="7558">
      <c r="D7558" s="39"/>
      <c r="E7558" s="39"/>
      <c r="F7558" s="39"/>
    </row>
    <row r="7559">
      <c r="D7559" s="39"/>
      <c r="E7559" s="39"/>
      <c r="F7559" s="39"/>
    </row>
    <row r="7560">
      <c r="D7560" s="39"/>
      <c r="E7560" s="39"/>
      <c r="F7560" s="39"/>
    </row>
    <row r="7561">
      <c r="D7561" s="39"/>
      <c r="E7561" s="39"/>
      <c r="F7561" s="39"/>
    </row>
    <row r="7562">
      <c r="D7562" s="39"/>
      <c r="E7562" s="39"/>
      <c r="F7562" s="39"/>
    </row>
    <row r="7563">
      <c r="D7563" s="39"/>
      <c r="E7563" s="39"/>
      <c r="F7563" s="39"/>
    </row>
    <row r="7564">
      <c r="D7564" s="39"/>
      <c r="E7564" s="39"/>
      <c r="F7564" s="39"/>
    </row>
    <row r="7565">
      <c r="D7565" s="39"/>
      <c r="E7565" s="39"/>
      <c r="F7565" s="39"/>
    </row>
    <row r="7566">
      <c r="D7566" s="39"/>
      <c r="E7566" s="39"/>
      <c r="F7566" s="39"/>
    </row>
    <row r="7567">
      <c r="D7567" s="39"/>
      <c r="E7567" s="39"/>
      <c r="F7567" s="39"/>
    </row>
    <row r="7568">
      <c r="D7568" s="39"/>
      <c r="E7568" s="39"/>
      <c r="F7568" s="39"/>
    </row>
    <row r="7569">
      <c r="D7569" s="39"/>
      <c r="E7569" s="39"/>
      <c r="F7569" s="39"/>
    </row>
    <row r="7570">
      <c r="D7570" s="39"/>
      <c r="E7570" s="39"/>
      <c r="F7570" s="39"/>
    </row>
    <row r="7571">
      <c r="D7571" s="39"/>
      <c r="E7571" s="39"/>
      <c r="F7571" s="39"/>
    </row>
    <row r="7572">
      <c r="D7572" s="39"/>
      <c r="E7572" s="39"/>
      <c r="F7572" s="39"/>
    </row>
    <row r="7573">
      <c r="D7573" s="39"/>
      <c r="E7573" s="39"/>
      <c r="F7573" s="39"/>
    </row>
    <row r="7574">
      <c r="D7574" s="39"/>
      <c r="E7574" s="39"/>
      <c r="F7574" s="39"/>
    </row>
    <row r="7575">
      <c r="D7575" s="39"/>
      <c r="E7575" s="39"/>
      <c r="F7575" s="39"/>
    </row>
    <row r="7576">
      <c r="D7576" s="39"/>
      <c r="E7576" s="39"/>
      <c r="F7576" s="39"/>
    </row>
    <row r="7577">
      <c r="D7577" s="39"/>
      <c r="E7577" s="39"/>
      <c r="F7577" s="39"/>
    </row>
    <row r="7578">
      <c r="D7578" s="39"/>
      <c r="E7578" s="39"/>
      <c r="F7578" s="39"/>
    </row>
    <row r="7579">
      <c r="D7579" s="39"/>
      <c r="E7579" s="39"/>
      <c r="F7579" s="39"/>
    </row>
    <row r="7580">
      <c r="D7580" s="39"/>
      <c r="E7580" s="39"/>
      <c r="F7580" s="39"/>
    </row>
    <row r="7581">
      <c r="D7581" s="39"/>
      <c r="E7581" s="39"/>
      <c r="F7581" s="39"/>
    </row>
    <row r="7582">
      <c r="D7582" s="39"/>
      <c r="E7582" s="39"/>
      <c r="F7582" s="39"/>
    </row>
    <row r="7583">
      <c r="D7583" s="39"/>
      <c r="E7583" s="39"/>
      <c r="F7583" s="39"/>
    </row>
    <row r="7584">
      <c r="D7584" s="39"/>
      <c r="E7584" s="39"/>
      <c r="F7584" s="39"/>
    </row>
    <row r="7585">
      <c r="D7585" s="39"/>
      <c r="E7585" s="39"/>
      <c r="F7585" s="39"/>
    </row>
    <row r="7586">
      <c r="D7586" s="39"/>
      <c r="E7586" s="39"/>
      <c r="F7586" s="39"/>
    </row>
    <row r="7587">
      <c r="D7587" s="39"/>
      <c r="E7587" s="39"/>
      <c r="F7587" s="39"/>
    </row>
    <row r="7588">
      <c r="D7588" s="39"/>
      <c r="E7588" s="39"/>
      <c r="F7588" s="39"/>
    </row>
    <row r="7589">
      <c r="D7589" s="39"/>
      <c r="E7589" s="39"/>
      <c r="F7589" s="39"/>
    </row>
    <row r="7590">
      <c r="D7590" s="39"/>
      <c r="E7590" s="39"/>
      <c r="F7590" s="39"/>
    </row>
    <row r="7591">
      <c r="D7591" s="39"/>
      <c r="E7591" s="39"/>
      <c r="F7591" s="39"/>
    </row>
    <row r="7592">
      <c r="D7592" s="39"/>
      <c r="E7592" s="39"/>
      <c r="F7592" s="39"/>
    </row>
    <row r="7593">
      <c r="D7593" s="39"/>
      <c r="E7593" s="39"/>
      <c r="F7593" s="39"/>
    </row>
    <row r="7594">
      <c r="D7594" s="39"/>
      <c r="E7594" s="39"/>
      <c r="F7594" s="39"/>
    </row>
    <row r="7595">
      <c r="D7595" s="39"/>
      <c r="E7595" s="39"/>
      <c r="F7595" s="39"/>
    </row>
    <row r="7596">
      <c r="D7596" s="39"/>
      <c r="E7596" s="39"/>
      <c r="F7596" s="39"/>
    </row>
    <row r="7597">
      <c r="D7597" s="39"/>
      <c r="E7597" s="39"/>
      <c r="F7597" s="39"/>
    </row>
    <row r="7598">
      <c r="D7598" s="39"/>
      <c r="E7598" s="39"/>
      <c r="F7598" s="39"/>
    </row>
    <row r="7599">
      <c r="D7599" s="39"/>
      <c r="E7599" s="39"/>
      <c r="F7599" s="39"/>
    </row>
    <row r="7600">
      <c r="D7600" s="39"/>
      <c r="E7600" s="39"/>
      <c r="F7600" s="39"/>
    </row>
    <row r="7601">
      <c r="D7601" s="39"/>
      <c r="E7601" s="39"/>
      <c r="F7601" s="39"/>
    </row>
    <row r="7602">
      <c r="D7602" s="39"/>
      <c r="E7602" s="39"/>
      <c r="F7602" s="39"/>
    </row>
    <row r="7603">
      <c r="D7603" s="39"/>
      <c r="E7603" s="39"/>
      <c r="F7603" s="39"/>
    </row>
    <row r="7604">
      <c r="D7604" s="39"/>
      <c r="E7604" s="39"/>
      <c r="F7604" s="39"/>
    </row>
    <row r="7605">
      <c r="D7605" s="39"/>
      <c r="E7605" s="39"/>
      <c r="F7605" s="39"/>
    </row>
    <row r="7606">
      <c r="D7606" s="39"/>
      <c r="E7606" s="39"/>
      <c r="F7606" s="39"/>
    </row>
    <row r="7607">
      <c r="D7607" s="39"/>
      <c r="E7607" s="39"/>
      <c r="F7607" s="39"/>
    </row>
    <row r="7608">
      <c r="D7608" s="39"/>
      <c r="E7608" s="39"/>
      <c r="F7608" s="39"/>
    </row>
    <row r="7609">
      <c r="D7609" s="39"/>
      <c r="E7609" s="39"/>
      <c r="F7609" s="39"/>
    </row>
    <row r="7610">
      <c r="D7610" s="39"/>
      <c r="E7610" s="39"/>
      <c r="F7610" s="39"/>
    </row>
    <row r="7611">
      <c r="D7611" s="39"/>
      <c r="E7611" s="39"/>
      <c r="F7611" s="39"/>
    </row>
    <row r="7612">
      <c r="D7612" s="39"/>
      <c r="E7612" s="39"/>
      <c r="F7612" s="39"/>
    </row>
    <row r="7613">
      <c r="D7613" s="39"/>
      <c r="E7613" s="39"/>
      <c r="F7613" s="39"/>
    </row>
    <row r="7614">
      <c r="D7614" s="39"/>
      <c r="E7614" s="39"/>
      <c r="F7614" s="39"/>
    </row>
    <row r="7615">
      <c r="D7615" s="39"/>
      <c r="E7615" s="39"/>
      <c r="F7615" s="39"/>
    </row>
    <row r="7616">
      <c r="D7616" s="39"/>
      <c r="E7616" s="39"/>
      <c r="F7616" s="39"/>
    </row>
    <row r="7617">
      <c r="D7617" s="39"/>
      <c r="E7617" s="39"/>
      <c r="F7617" s="39"/>
    </row>
    <row r="7618">
      <c r="D7618" s="39"/>
      <c r="E7618" s="39"/>
      <c r="F7618" s="39"/>
    </row>
    <row r="7619">
      <c r="D7619" s="39"/>
      <c r="E7619" s="39"/>
      <c r="F7619" s="39"/>
    </row>
    <row r="7620">
      <c r="D7620" s="39"/>
      <c r="E7620" s="39"/>
      <c r="F7620" s="39"/>
    </row>
    <row r="7621">
      <c r="D7621" s="39"/>
      <c r="E7621" s="39"/>
      <c r="F7621" s="39"/>
    </row>
    <row r="7622">
      <c r="D7622" s="39"/>
      <c r="E7622" s="39"/>
      <c r="F7622" s="39"/>
    </row>
    <row r="7623">
      <c r="D7623" s="39"/>
      <c r="E7623" s="39"/>
      <c r="F7623" s="39"/>
    </row>
    <row r="7624">
      <c r="D7624" s="39"/>
      <c r="E7624" s="39"/>
      <c r="F7624" s="39"/>
    </row>
    <row r="7625">
      <c r="D7625" s="39"/>
      <c r="E7625" s="39"/>
      <c r="F7625" s="39"/>
    </row>
    <row r="7626">
      <c r="D7626" s="39"/>
      <c r="E7626" s="39"/>
      <c r="F7626" s="39"/>
    </row>
    <row r="7627">
      <c r="D7627" s="39"/>
      <c r="E7627" s="39"/>
      <c r="F7627" s="39"/>
    </row>
    <row r="7628">
      <c r="D7628" s="39"/>
      <c r="E7628" s="39"/>
      <c r="F7628" s="39"/>
    </row>
    <row r="7629">
      <c r="D7629" s="39"/>
      <c r="E7629" s="39"/>
      <c r="F7629" s="39"/>
    </row>
    <row r="7630">
      <c r="D7630" s="39"/>
      <c r="E7630" s="39"/>
      <c r="F7630" s="39"/>
    </row>
    <row r="7631">
      <c r="D7631" s="39"/>
      <c r="E7631" s="39"/>
      <c r="F7631" s="39"/>
    </row>
    <row r="7632">
      <c r="D7632" s="39"/>
      <c r="E7632" s="39"/>
      <c r="F7632" s="39"/>
    </row>
    <row r="7633">
      <c r="D7633" s="39"/>
      <c r="E7633" s="39"/>
      <c r="F7633" s="39"/>
    </row>
    <row r="7634">
      <c r="D7634" s="39"/>
      <c r="E7634" s="39"/>
      <c r="F7634" s="39"/>
    </row>
    <row r="7635">
      <c r="D7635" s="39"/>
      <c r="E7635" s="39"/>
      <c r="F7635" s="39"/>
    </row>
    <row r="7636">
      <c r="D7636" s="39"/>
      <c r="E7636" s="39"/>
      <c r="F7636" s="39"/>
    </row>
    <row r="7637">
      <c r="D7637" s="39"/>
      <c r="E7637" s="39"/>
      <c r="F7637" s="39"/>
    </row>
    <row r="7638">
      <c r="D7638" s="39"/>
      <c r="E7638" s="39"/>
      <c r="F7638" s="39"/>
    </row>
    <row r="7639">
      <c r="D7639" s="39"/>
      <c r="E7639" s="39"/>
      <c r="F7639" s="39"/>
    </row>
    <row r="7640">
      <c r="D7640" s="39"/>
      <c r="E7640" s="39"/>
      <c r="F7640" s="39"/>
    </row>
    <row r="7641">
      <c r="D7641" s="39"/>
      <c r="E7641" s="39"/>
      <c r="F7641" s="39"/>
    </row>
    <row r="7642">
      <c r="D7642" s="39"/>
      <c r="E7642" s="39"/>
      <c r="F7642" s="39"/>
    </row>
    <row r="7643">
      <c r="D7643" s="39"/>
      <c r="E7643" s="39"/>
      <c r="F7643" s="39"/>
    </row>
    <row r="7644">
      <c r="D7644" s="39"/>
      <c r="E7644" s="39"/>
      <c r="F7644" s="39"/>
    </row>
    <row r="7645">
      <c r="D7645" s="39"/>
      <c r="E7645" s="39"/>
      <c r="F7645" s="39"/>
    </row>
    <row r="7646">
      <c r="D7646" s="39"/>
      <c r="E7646" s="39"/>
      <c r="F7646" s="39"/>
    </row>
    <row r="7647">
      <c r="D7647" s="39"/>
      <c r="E7647" s="39"/>
      <c r="F7647" s="39"/>
    </row>
    <row r="7648">
      <c r="D7648" s="39"/>
      <c r="E7648" s="39"/>
      <c r="F7648" s="39"/>
    </row>
    <row r="7649">
      <c r="D7649" s="39"/>
      <c r="E7649" s="39"/>
      <c r="F7649" s="39"/>
    </row>
    <row r="7650">
      <c r="D7650" s="39"/>
      <c r="E7650" s="39"/>
      <c r="F7650" s="39"/>
    </row>
    <row r="7651">
      <c r="D7651" s="39"/>
      <c r="E7651" s="39"/>
      <c r="F7651" s="39"/>
    </row>
    <row r="7652">
      <c r="D7652" s="39"/>
      <c r="E7652" s="39"/>
      <c r="F7652" s="39"/>
    </row>
    <row r="7653">
      <c r="D7653" s="39"/>
      <c r="E7653" s="39"/>
      <c r="F7653" s="39"/>
    </row>
    <row r="7654">
      <c r="D7654" s="39"/>
      <c r="E7654" s="39"/>
      <c r="F7654" s="39"/>
    </row>
    <row r="7655">
      <c r="D7655" s="39"/>
      <c r="E7655" s="39"/>
      <c r="F7655" s="39"/>
    </row>
    <row r="7656">
      <c r="D7656" s="39"/>
      <c r="E7656" s="39"/>
      <c r="F7656" s="39"/>
    </row>
    <row r="7657">
      <c r="D7657" s="39"/>
      <c r="E7657" s="39"/>
      <c r="F7657" s="39"/>
    </row>
    <row r="7658">
      <c r="D7658" s="39"/>
      <c r="E7658" s="39"/>
      <c r="F7658" s="39"/>
    </row>
    <row r="7659">
      <c r="D7659" s="39"/>
      <c r="E7659" s="39"/>
      <c r="F7659" s="39"/>
    </row>
    <row r="7660">
      <c r="D7660" s="39"/>
      <c r="E7660" s="39"/>
      <c r="F7660" s="39"/>
    </row>
    <row r="7661">
      <c r="D7661" s="39"/>
      <c r="E7661" s="39"/>
      <c r="F7661" s="39"/>
    </row>
    <row r="7662">
      <c r="D7662" s="39"/>
      <c r="E7662" s="39"/>
      <c r="F7662" s="39"/>
    </row>
    <row r="7663">
      <c r="D7663" s="39"/>
      <c r="E7663" s="39"/>
      <c r="F7663" s="39"/>
    </row>
    <row r="7664">
      <c r="D7664" s="39"/>
      <c r="E7664" s="39"/>
      <c r="F7664" s="39"/>
    </row>
    <row r="7665">
      <c r="D7665" s="39"/>
      <c r="E7665" s="39"/>
      <c r="F7665" s="39"/>
    </row>
    <row r="7666">
      <c r="D7666" s="39"/>
      <c r="E7666" s="39"/>
      <c r="F7666" s="39"/>
    </row>
    <row r="7667">
      <c r="D7667" s="39"/>
      <c r="E7667" s="39"/>
      <c r="F7667" s="39"/>
    </row>
    <row r="7668">
      <c r="D7668" s="39"/>
      <c r="E7668" s="39"/>
      <c r="F7668" s="39"/>
    </row>
    <row r="7669">
      <c r="D7669" s="39"/>
      <c r="E7669" s="39"/>
      <c r="F7669" s="39"/>
    </row>
    <row r="7670">
      <c r="D7670" s="39"/>
      <c r="E7670" s="39"/>
      <c r="F7670" s="39"/>
    </row>
    <row r="7671">
      <c r="D7671" s="39"/>
      <c r="E7671" s="39"/>
      <c r="F7671" s="39"/>
    </row>
    <row r="7672">
      <c r="D7672" s="39"/>
      <c r="E7672" s="39"/>
      <c r="F7672" s="39"/>
    </row>
    <row r="7673">
      <c r="D7673" s="39"/>
      <c r="E7673" s="39"/>
      <c r="F7673" s="39"/>
    </row>
    <row r="7674">
      <c r="D7674" s="39"/>
      <c r="E7674" s="39"/>
      <c r="F7674" s="39"/>
    </row>
    <row r="7675">
      <c r="D7675" s="39"/>
      <c r="E7675" s="39"/>
      <c r="F7675" s="39"/>
    </row>
    <row r="7676">
      <c r="D7676" s="39"/>
      <c r="E7676" s="39"/>
      <c r="F7676" s="39"/>
    </row>
    <row r="7677">
      <c r="D7677" s="39"/>
      <c r="E7677" s="39"/>
      <c r="F7677" s="39"/>
    </row>
    <row r="7678">
      <c r="D7678" s="39"/>
      <c r="E7678" s="39"/>
      <c r="F7678" s="39"/>
    </row>
    <row r="7679">
      <c r="D7679" s="39"/>
      <c r="E7679" s="39"/>
      <c r="F7679" s="39"/>
    </row>
    <row r="7680">
      <c r="D7680" s="39"/>
      <c r="E7680" s="39"/>
      <c r="F7680" s="39"/>
    </row>
    <row r="7681">
      <c r="D7681" s="39"/>
      <c r="E7681" s="39"/>
      <c r="F7681" s="39"/>
    </row>
    <row r="7682">
      <c r="D7682" s="39"/>
      <c r="E7682" s="39"/>
      <c r="F7682" s="39"/>
    </row>
    <row r="7683">
      <c r="D7683" s="39"/>
      <c r="E7683" s="39"/>
      <c r="F7683" s="39"/>
    </row>
    <row r="7684">
      <c r="D7684" s="39"/>
      <c r="E7684" s="39"/>
      <c r="F7684" s="39"/>
    </row>
    <row r="7685">
      <c r="D7685" s="39"/>
      <c r="E7685" s="39"/>
      <c r="F7685" s="39"/>
    </row>
    <row r="7686">
      <c r="D7686" s="39"/>
      <c r="E7686" s="39"/>
      <c r="F7686" s="39"/>
    </row>
    <row r="7687">
      <c r="D7687" s="39"/>
      <c r="E7687" s="39"/>
      <c r="F7687" s="39"/>
    </row>
    <row r="7688">
      <c r="D7688" s="39"/>
      <c r="E7688" s="39"/>
      <c r="F7688" s="39"/>
    </row>
    <row r="7689">
      <c r="D7689" s="39"/>
      <c r="E7689" s="39"/>
      <c r="F7689" s="39"/>
    </row>
    <row r="7690">
      <c r="D7690" s="39"/>
      <c r="E7690" s="39"/>
      <c r="F7690" s="39"/>
    </row>
    <row r="7691">
      <c r="D7691" s="39"/>
      <c r="E7691" s="39"/>
      <c r="F7691" s="39"/>
    </row>
    <row r="7692">
      <c r="D7692" s="39"/>
      <c r="E7692" s="39"/>
      <c r="F7692" s="39"/>
    </row>
    <row r="7693">
      <c r="D7693" s="39"/>
      <c r="E7693" s="39"/>
      <c r="F7693" s="39"/>
    </row>
    <row r="7694">
      <c r="D7694" s="39"/>
      <c r="E7694" s="39"/>
      <c r="F7694" s="39"/>
    </row>
    <row r="7695">
      <c r="D7695" s="39"/>
      <c r="E7695" s="39"/>
      <c r="F7695" s="39"/>
    </row>
    <row r="7696">
      <c r="D7696" s="39"/>
      <c r="E7696" s="39"/>
      <c r="F7696" s="39"/>
    </row>
    <row r="7697">
      <c r="D7697" s="39"/>
      <c r="E7697" s="39"/>
      <c r="F7697" s="39"/>
    </row>
    <row r="7698">
      <c r="D7698" s="39"/>
      <c r="E7698" s="39"/>
      <c r="F7698" s="39"/>
    </row>
    <row r="7699">
      <c r="D7699" s="39"/>
      <c r="E7699" s="39"/>
      <c r="F7699" s="39"/>
    </row>
    <row r="7700">
      <c r="D7700" s="39"/>
      <c r="E7700" s="39"/>
      <c r="F7700" s="39"/>
    </row>
    <row r="7701">
      <c r="D7701" s="39"/>
      <c r="E7701" s="39"/>
      <c r="F7701" s="39"/>
    </row>
    <row r="7702">
      <c r="D7702" s="39"/>
      <c r="E7702" s="39"/>
      <c r="F7702" s="39"/>
    </row>
    <row r="7703">
      <c r="D7703" s="39"/>
      <c r="E7703" s="39"/>
      <c r="F7703" s="39"/>
    </row>
    <row r="7704">
      <c r="D7704" s="39"/>
      <c r="E7704" s="39"/>
      <c r="F7704" s="39"/>
    </row>
    <row r="7705">
      <c r="D7705" s="39"/>
      <c r="E7705" s="39"/>
      <c r="F7705" s="39"/>
    </row>
    <row r="7706">
      <c r="D7706" s="39"/>
      <c r="E7706" s="39"/>
      <c r="F7706" s="39"/>
    </row>
    <row r="7707">
      <c r="D7707" s="39"/>
      <c r="E7707" s="39"/>
      <c r="F7707" s="39"/>
    </row>
    <row r="7708">
      <c r="D7708" s="39"/>
      <c r="E7708" s="39"/>
      <c r="F7708" s="39"/>
    </row>
    <row r="7709">
      <c r="D7709" s="39"/>
      <c r="E7709" s="39"/>
      <c r="F7709" s="39"/>
    </row>
    <row r="7710">
      <c r="D7710" s="39"/>
      <c r="E7710" s="39"/>
      <c r="F7710" s="39"/>
    </row>
    <row r="7711">
      <c r="D7711" s="39"/>
      <c r="E7711" s="39"/>
      <c r="F7711" s="39"/>
    </row>
    <row r="7712">
      <c r="D7712" s="39"/>
      <c r="E7712" s="39"/>
      <c r="F7712" s="39"/>
    </row>
    <row r="7713">
      <c r="D7713" s="39"/>
      <c r="E7713" s="39"/>
      <c r="F7713" s="39"/>
    </row>
    <row r="7714">
      <c r="D7714" s="39"/>
      <c r="E7714" s="39"/>
      <c r="F7714" s="39"/>
    </row>
    <row r="7715">
      <c r="D7715" s="39"/>
      <c r="E7715" s="39"/>
      <c r="F7715" s="39"/>
    </row>
    <row r="7716">
      <c r="D7716" s="39"/>
      <c r="E7716" s="39"/>
      <c r="F7716" s="39"/>
    </row>
    <row r="7717">
      <c r="D7717" s="39"/>
      <c r="E7717" s="39"/>
      <c r="F7717" s="39"/>
    </row>
    <row r="7718">
      <c r="D7718" s="39"/>
      <c r="E7718" s="39"/>
      <c r="F7718" s="39"/>
    </row>
    <row r="7719">
      <c r="D7719" s="39"/>
      <c r="E7719" s="39"/>
      <c r="F7719" s="39"/>
    </row>
    <row r="7720">
      <c r="D7720" s="39"/>
      <c r="E7720" s="39"/>
      <c r="F7720" s="39"/>
    </row>
    <row r="7721">
      <c r="D7721" s="39"/>
      <c r="E7721" s="39"/>
      <c r="F7721" s="39"/>
    </row>
    <row r="7722">
      <c r="D7722" s="39"/>
      <c r="E7722" s="39"/>
      <c r="F7722" s="39"/>
    </row>
    <row r="7723">
      <c r="D7723" s="39"/>
      <c r="E7723" s="39"/>
      <c r="F7723" s="39"/>
    </row>
    <row r="7724">
      <c r="D7724" s="39"/>
      <c r="E7724" s="39"/>
      <c r="F7724" s="39"/>
    </row>
    <row r="7725">
      <c r="D7725" s="39"/>
      <c r="E7725" s="39"/>
      <c r="F7725" s="39"/>
    </row>
    <row r="7726">
      <c r="D7726" s="39"/>
      <c r="E7726" s="39"/>
      <c r="F7726" s="39"/>
    </row>
    <row r="7727">
      <c r="D7727" s="39"/>
      <c r="E7727" s="39"/>
      <c r="F7727" s="39"/>
    </row>
    <row r="7728">
      <c r="D7728" s="39"/>
      <c r="E7728" s="39"/>
      <c r="F7728" s="39"/>
    </row>
    <row r="7729">
      <c r="D7729" s="39"/>
      <c r="E7729" s="39"/>
      <c r="F7729" s="39"/>
    </row>
    <row r="7730">
      <c r="D7730" s="39"/>
      <c r="E7730" s="39"/>
      <c r="F7730" s="39"/>
    </row>
    <row r="7731">
      <c r="D7731" s="39"/>
      <c r="E7731" s="39"/>
      <c r="F7731" s="39"/>
    </row>
    <row r="7732">
      <c r="D7732" s="39"/>
      <c r="E7732" s="39"/>
      <c r="F7732" s="39"/>
    </row>
    <row r="7733">
      <c r="D7733" s="39"/>
      <c r="E7733" s="39"/>
      <c r="F7733" s="39"/>
    </row>
    <row r="7734">
      <c r="D7734" s="39"/>
      <c r="E7734" s="39"/>
      <c r="F7734" s="39"/>
    </row>
    <row r="7735">
      <c r="D7735" s="39"/>
      <c r="E7735" s="39"/>
      <c r="F7735" s="39"/>
    </row>
    <row r="7736">
      <c r="D7736" s="39"/>
      <c r="E7736" s="39"/>
      <c r="F7736" s="39"/>
    </row>
    <row r="7737">
      <c r="D7737" s="39"/>
      <c r="E7737" s="39"/>
      <c r="F7737" s="39"/>
    </row>
    <row r="7738">
      <c r="D7738" s="39"/>
      <c r="E7738" s="39"/>
      <c r="F7738" s="39"/>
    </row>
    <row r="7739">
      <c r="D7739" s="39"/>
      <c r="E7739" s="39"/>
      <c r="F7739" s="39"/>
    </row>
    <row r="7740">
      <c r="D7740" s="39"/>
      <c r="E7740" s="39"/>
      <c r="F7740" s="39"/>
    </row>
    <row r="7741">
      <c r="D7741" s="39"/>
      <c r="E7741" s="39"/>
      <c r="F7741" s="39"/>
    </row>
    <row r="7742">
      <c r="D7742" s="39"/>
      <c r="E7742" s="39"/>
      <c r="F7742" s="39"/>
    </row>
    <row r="7743">
      <c r="D7743" s="39"/>
      <c r="E7743" s="39"/>
      <c r="F7743" s="39"/>
    </row>
    <row r="7744">
      <c r="D7744" s="39"/>
      <c r="E7744" s="39"/>
      <c r="F7744" s="39"/>
    </row>
    <row r="7745">
      <c r="D7745" s="39"/>
      <c r="E7745" s="39"/>
      <c r="F7745" s="39"/>
    </row>
    <row r="7746">
      <c r="D7746" s="39"/>
      <c r="E7746" s="39"/>
      <c r="F7746" s="39"/>
    </row>
    <row r="7747">
      <c r="D7747" s="39"/>
      <c r="E7747" s="39"/>
      <c r="F7747" s="39"/>
    </row>
    <row r="7748">
      <c r="D7748" s="39"/>
      <c r="E7748" s="39"/>
      <c r="F7748" s="39"/>
    </row>
    <row r="7749">
      <c r="D7749" s="39"/>
      <c r="E7749" s="39"/>
      <c r="F7749" s="39"/>
    </row>
    <row r="7750">
      <c r="D7750" s="39"/>
      <c r="E7750" s="39"/>
      <c r="F7750" s="39"/>
    </row>
    <row r="7751">
      <c r="D7751" s="39"/>
      <c r="E7751" s="39"/>
      <c r="F7751" s="39"/>
    </row>
    <row r="7752">
      <c r="D7752" s="39"/>
      <c r="E7752" s="39"/>
      <c r="F7752" s="39"/>
    </row>
    <row r="7753">
      <c r="D7753" s="39"/>
      <c r="E7753" s="39"/>
      <c r="F7753" s="39"/>
    </row>
    <row r="7754">
      <c r="D7754" s="39"/>
      <c r="E7754" s="39"/>
      <c r="F7754" s="39"/>
    </row>
    <row r="7755">
      <c r="D7755" s="39"/>
      <c r="E7755" s="39"/>
      <c r="F7755" s="39"/>
    </row>
    <row r="7756">
      <c r="D7756" s="39"/>
      <c r="E7756" s="39"/>
      <c r="F7756" s="39"/>
    </row>
    <row r="7757">
      <c r="D7757" s="39"/>
      <c r="E7757" s="39"/>
      <c r="F7757" s="39"/>
    </row>
    <row r="7758">
      <c r="D7758" s="39"/>
      <c r="E7758" s="39"/>
      <c r="F7758" s="39"/>
    </row>
    <row r="7759">
      <c r="D7759" s="39"/>
      <c r="E7759" s="39"/>
      <c r="F7759" s="39"/>
    </row>
    <row r="7760">
      <c r="D7760" s="39"/>
      <c r="E7760" s="39"/>
      <c r="F7760" s="39"/>
    </row>
    <row r="7761">
      <c r="D7761" s="39"/>
      <c r="E7761" s="39"/>
      <c r="F7761" s="39"/>
    </row>
    <row r="7762">
      <c r="D7762" s="39"/>
      <c r="E7762" s="39"/>
      <c r="F7762" s="39"/>
    </row>
    <row r="7763">
      <c r="D7763" s="39"/>
      <c r="E7763" s="39"/>
      <c r="F7763" s="39"/>
    </row>
    <row r="7764">
      <c r="D7764" s="39"/>
      <c r="E7764" s="39"/>
      <c r="F7764" s="39"/>
    </row>
    <row r="7765">
      <c r="D7765" s="39"/>
      <c r="E7765" s="39"/>
      <c r="F7765" s="39"/>
    </row>
    <row r="7766">
      <c r="D7766" s="39"/>
      <c r="E7766" s="39"/>
      <c r="F7766" s="39"/>
    </row>
    <row r="7767">
      <c r="D7767" s="39"/>
      <c r="E7767" s="39"/>
      <c r="F7767" s="39"/>
    </row>
    <row r="7768">
      <c r="D7768" s="39"/>
      <c r="E7768" s="39"/>
      <c r="F7768" s="39"/>
    </row>
    <row r="7769">
      <c r="D7769" s="39"/>
      <c r="E7769" s="39"/>
      <c r="F7769" s="39"/>
    </row>
    <row r="7770">
      <c r="D7770" s="39"/>
      <c r="E7770" s="39"/>
      <c r="F7770" s="39"/>
    </row>
    <row r="7771">
      <c r="D7771" s="39"/>
      <c r="E7771" s="39"/>
      <c r="F7771" s="39"/>
    </row>
    <row r="7772">
      <c r="D7772" s="39"/>
      <c r="E7772" s="39"/>
      <c r="F7772" s="39"/>
    </row>
    <row r="7773">
      <c r="D7773" s="39"/>
      <c r="E7773" s="39"/>
      <c r="F7773" s="39"/>
    </row>
    <row r="7774">
      <c r="D7774" s="39"/>
      <c r="E7774" s="39"/>
      <c r="F7774" s="39"/>
    </row>
    <row r="7775">
      <c r="D7775" s="39"/>
      <c r="E7775" s="39"/>
      <c r="F7775" s="39"/>
    </row>
    <row r="7776">
      <c r="D7776" s="39"/>
      <c r="E7776" s="39"/>
      <c r="F7776" s="39"/>
    </row>
    <row r="7777">
      <c r="D7777" s="39"/>
      <c r="E7777" s="39"/>
      <c r="F7777" s="39"/>
    </row>
    <row r="7778">
      <c r="D7778" s="39"/>
      <c r="E7778" s="39"/>
      <c r="F7778" s="39"/>
    </row>
    <row r="7779">
      <c r="D7779" s="39"/>
      <c r="E7779" s="39"/>
      <c r="F7779" s="39"/>
    </row>
    <row r="7780">
      <c r="D7780" s="39"/>
      <c r="E7780" s="39"/>
      <c r="F7780" s="39"/>
    </row>
    <row r="7781">
      <c r="D7781" s="39"/>
      <c r="E7781" s="39"/>
      <c r="F7781" s="39"/>
    </row>
    <row r="7782">
      <c r="D7782" s="39"/>
      <c r="E7782" s="39"/>
      <c r="F7782" s="39"/>
    </row>
    <row r="7783">
      <c r="D7783" s="39"/>
      <c r="E7783" s="39"/>
      <c r="F7783" s="39"/>
    </row>
    <row r="7784">
      <c r="D7784" s="39"/>
      <c r="E7784" s="39"/>
      <c r="F7784" s="39"/>
    </row>
    <row r="7785">
      <c r="D7785" s="39"/>
      <c r="E7785" s="39"/>
      <c r="F7785" s="39"/>
    </row>
    <row r="7786">
      <c r="D7786" s="39"/>
      <c r="E7786" s="39"/>
      <c r="F7786" s="39"/>
    </row>
    <row r="7787">
      <c r="D7787" s="39"/>
      <c r="E7787" s="39"/>
      <c r="F7787" s="39"/>
    </row>
    <row r="7788">
      <c r="D7788" s="39"/>
      <c r="E7788" s="39"/>
      <c r="F7788" s="39"/>
    </row>
    <row r="7789">
      <c r="D7789" s="39"/>
      <c r="E7789" s="39"/>
      <c r="F7789" s="39"/>
    </row>
    <row r="7790">
      <c r="D7790" s="39"/>
      <c r="E7790" s="39"/>
      <c r="F7790" s="39"/>
    </row>
    <row r="7791">
      <c r="D7791" s="39"/>
      <c r="E7791" s="39"/>
      <c r="F7791" s="39"/>
    </row>
    <row r="7792">
      <c r="D7792" s="39"/>
      <c r="E7792" s="39"/>
      <c r="F7792" s="39"/>
    </row>
    <row r="7793">
      <c r="D7793" s="39"/>
      <c r="E7793" s="39"/>
      <c r="F7793" s="39"/>
    </row>
    <row r="7794">
      <c r="D7794" s="39"/>
      <c r="E7794" s="39"/>
      <c r="F7794" s="39"/>
    </row>
    <row r="7795">
      <c r="D7795" s="39"/>
      <c r="E7795" s="39"/>
      <c r="F7795" s="39"/>
    </row>
    <row r="7796">
      <c r="D7796" s="39"/>
      <c r="E7796" s="39"/>
      <c r="F7796" s="39"/>
    </row>
    <row r="7797">
      <c r="D7797" s="39"/>
      <c r="E7797" s="39"/>
      <c r="F7797" s="39"/>
    </row>
    <row r="7798">
      <c r="D7798" s="39"/>
      <c r="E7798" s="39"/>
      <c r="F7798" s="39"/>
    </row>
    <row r="7799">
      <c r="D7799" s="39"/>
      <c r="E7799" s="39"/>
      <c r="F7799" s="39"/>
    </row>
    <row r="7800">
      <c r="D7800" s="39"/>
      <c r="E7800" s="39"/>
      <c r="F7800" s="39"/>
    </row>
    <row r="7801">
      <c r="D7801" s="39"/>
      <c r="E7801" s="39"/>
      <c r="F7801" s="39"/>
    </row>
    <row r="7802">
      <c r="D7802" s="39"/>
      <c r="E7802" s="39"/>
      <c r="F7802" s="39"/>
    </row>
    <row r="7803">
      <c r="D7803" s="39"/>
      <c r="E7803" s="39"/>
      <c r="F7803" s="39"/>
    </row>
    <row r="7804">
      <c r="D7804" s="39"/>
      <c r="E7804" s="39"/>
      <c r="F7804" s="39"/>
    </row>
    <row r="7805">
      <c r="D7805" s="39"/>
      <c r="E7805" s="39"/>
      <c r="F7805" s="39"/>
    </row>
    <row r="7806">
      <c r="D7806" s="39"/>
      <c r="E7806" s="39"/>
      <c r="F7806" s="39"/>
    </row>
    <row r="7807">
      <c r="D7807" s="39"/>
      <c r="E7807" s="39"/>
      <c r="F7807" s="39"/>
    </row>
    <row r="7808">
      <c r="D7808" s="39"/>
      <c r="E7808" s="39"/>
      <c r="F7808" s="39"/>
    </row>
    <row r="7809">
      <c r="D7809" s="39"/>
      <c r="E7809" s="39"/>
      <c r="F7809" s="39"/>
    </row>
    <row r="7810">
      <c r="D7810" s="39"/>
      <c r="E7810" s="39"/>
      <c r="F7810" s="39"/>
    </row>
    <row r="7811">
      <c r="D7811" s="39"/>
      <c r="E7811" s="39"/>
      <c r="F7811" s="39"/>
    </row>
    <row r="7812">
      <c r="D7812" s="39"/>
      <c r="E7812" s="39"/>
      <c r="F7812" s="39"/>
    </row>
    <row r="7813">
      <c r="D7813" s="39"/>
      <c r="E7813" s="39"/>
      <c r="F7813" s="39"/>
    </row>
    <row r="7814">
      <c r="D7814" s="39"/>
      <c r="E7814" s="39"/>
      <c r="F7814" s="39"/>
    </row>
    <row r="7815">
      <c r="D7815" s="39"/>
      <c r="E7815" s="39"/>
      <c r="F7815" s="39"/>
    </row>
    <row r="7816">
      <c r="D7816" s="39"/>
      <c r="E7816" s="39"/>
      <c r="F7816" s="39"/>
    </row>
    <row r="7817">
      <c r="D7817" s="39"/>
      <c r="E7817" s="39"/>
      <c r="F7817" s="39"/>
    </row>
    <row r="7818">
      <c r="D7818" s="39"/>
      <c r="E7818" s="39"/>
      <c r="F7818" s="39"/>
    </row>
    <row r="7819">
      <c r="D7819" s="39"/>
      <c r="E7819" s="39"/>
      <c r="F7819" s="39"/>
    </row>
    <row r="7820">
      <c r="D7820" s="39"/>
      <c r="E7820" s="39"/>
      <c r="F7820" s="39"/>
    </row>
    <row r="7821">
      <c r="D7821" s="39"/>
      <c r="E7821" s="39"/>
      <c r="F7821" s="39"/>
    </row>
    <row r="7822">
      <c r="D7822" s="39"/>
      <c r="E7822" s="39"/>
      <c r="F7822" s="39"/>
    </row>
    <row r="7823">
      <c r="D7823" s="39"/>
      <c r="E7823" s="39"/>
      <c r="F7823" s="39"/>
    </row>
    <row r="7824">
      <c r="D7824" s="39"/>
      <c r="E7824" s="39"/>
      <c r="F7824" s="39"/>
    </row>
    <row r="7825">
      <c r="D7825" s="39"/>
      <c r="E7825" s="39"/>
      <c r="F7825" s="39"/>
    </row>
    <row r="7826">
      <c r="D7826" s="39"/>
      <c r="E7826" s="39"/>
      <c r="F7826" s="39"/>
    </row>
    <row r="7827">
      <c r="D7827" s="39"/>
      <c r="E7827" s="39"/>
      <c r="F7827" s="39"/>
    </row>
    <row r="7828">
      <c r="D7828" s="39"/>
      <c r="E7828" s="39"/>
      <c r="F7828" s="39"/>
    </row>
    <row r="7829">
      <c r="D7829" s="39"/>
      <c r="E7829" s="39"/>
      <c r="F7829" s="39"/>
    </row>
    <row r="7830">
      <c r="D7830" s="39"/>
      <c r="E7830" s="39"/>
      <c r="F7830" s="39"/>
    </row>
    <row r="7831">
      <c r="D7831" s="39"/>
      <c r="E7831" s="39"/>
      <c r="F7831" s="39"/>
    </row>
    <row r="7832">
      <c r="D7832" s="39"/>
      <c r="E7832" s="39"/>
      <c r="F7832" s="39"/>
    </row>
    <row r="7833">
      <c r="D7833" s="39"/>
      <c r="E7833" s="39"/>
      <c r="F7833" s="39"/>
    </row>
    <row r="7834">
      <c r="D7834" s="39"/>
      <c r="E7834" s="39"/>
      <c r="F7834" s="39"/>
    </row>
    <row r="7835">
      <c r="D7835" s="39"/>
      <c r="E7835" s="39"/>
      <c r="F7835" s="39"/>
    </row>
    <row r="7836">
      <c r="D7836" s="39"/>
      <c r="E7836" s="39"/>
      <c r="F7836" s="39"/>
    </row>
    <row r="7837">
      <c r="D7837" s="39"/>
      <c r="E7837" s="39"/>
      <c r="F7837" s="39"/>
    </row>
    <row r="7838">
      <c r="D7838" s="39"/>
      <c r="E7838" s="39"/>
      <c r="F7838" s="39"/>
    </row>
    <row r="7839">
      <c r="D7839" s="39"/>
      <c r="E7839" s="39"/>
      <c r="F7839" s="39"/>
    </row>
    <row r="7840">
      <c r="D7840" s="39"/>
      <c r="E7840" s="39"/>
      <c r="F7840" s="39"/>
    </row>
    <row r="7841">
      <c r="D7841" s="39"/>
      <c r="E7841" s="39"/>
      <c r="F7841" s="39"/>
    </row>
    <row r="7842">
      <c r="D7842" s="39"/>
      <c r="E7842" s="39"/>
      <c r="F7842" s="39"/>
    </row>
    <row r="7843">
      <c r="D7843" s="39"/>
      <c r="E7843" s="39"/>
      <c r="F7843" s="39"/>
    </row>
    <row r="7844">
      <c r="D7844" s="39"/>
      <c r="E7844" s="39"/>
      <c r="F7844" s="39"/>
    </row>
    <row r="7845">
      <c r="D7845" s="39"/>
      <c r="E7845" s="39"/>
      <c r="F7845" s="39"/>
    </row>
    <row r="7846">
      <c r="D7846" s="39"/>
      <c r="E7846" s="39"/>
      <c r="F7846" s="39"/>
    </row>
    <row r="7847">
      <c r="D7847" s="39"/>
      <c r="E7847" s="39"/>
      <c r="F7847" s="39"/>
    </row>
    <row r="7848">
      <c r="D7848" s="39"/>
      <c r="E7848" s="39"/>
      <c r="F7848" s="39"/>
    </row>
    <row r="7849">
      <c r="D7849" s="39"/>
      <c r="E7849" s="39"/>
      <c r="F7849" s="39"/>
    </row>
    <row r="7850">
      <c r="D7850" s="39"/>
      <c r="E7850" s="39"/>
      <c r="F7850" s="39"/>
    </row>
    <row r="7851">
      <c r="D7851" s="39"/>
      <c r="E7851" s="39"/>
      <c r="F7851" s="39"/>
    </row>
    <row r="7852">
      <c r="D7852" s="39"/>
      <c r="E7852" s="39"/>
      <c r="F7852" s="39"/>
    </row>
    <row r="7853">
      <c r="D7853" s="39"/>
      <c r="E7853" s="39"/>
      <c r="F7853" s="39"/>
    </row>
    <row r="7854">
      <c r="D7854" s="39"/>
      <c r="E7854" s="39"/>
      <c r="F7854" s="39"/>
    </row>
    <row r="7855">
      <c r="D7855" s="39"/>
      <c r="E7855" s="39"/>
      <c r="F7855" s="39"/>
    </row>
    <row r="7856">
      <c r="D7856" s="39"/>
      <c r="E7856" s="39"/>
      <c r="F7856" s="39"/>
    </row>
    <row r="7857">
      <c r="D7857" s="39"/>
      <c r="E7857" s="39"/>
      <c r="F7857" s="39"/>
    </row>
    <row r="7858">
      <c r="D7858" s="39"/>
      <c r="E7858" s="39"/>
      <c r="F7858" s="39"/>
    </row>
    <row r="7859">
      <c r="D7859" s="39"/>
      <c r="E7859" s="39"/>
      <c r="F7859" s="39"/>
    </row>
    <row r="7860">
      <c r="D7860" s="39"/>
      <c r="E7860" s="39"/>
      <c r="F7860" s="39"/>
    </row>
    <row r="7861">
      <c r="D7861" s="39"/>
      <c r="E7861" s="39"/>
      <c r="F7861" s="39"/>
    </row>
    <row r="7862">
      <c r="D7862" s="39"/>
      <c r="E7862" s="39"/>
      <c r="F7862" s="39"/>
    </row>
    <row r="7863">
      <c r="D7863" s="39"/>
      <c r="E7863" s="39"/>
      <c r="F7863" s="39"/>
    </row>
    <row r="7864">
      <c r="D7864" s="39"/>
      <c r="E7864" s="39"/>
      <c r="F7864" s="39"/>
    </row>
    <row r="7865">
      <c r="D7865" s="39"/>
      <c r="E7865" s="39"/>
      <c r="F7865" s="39"/>
    </row>
    <row r="7866">
      <c r="D7866" s="39"/>
      <c r="E7866" s="39"/>
      <c r="F7866" s="39"/>
    </row>
    <row r="7867">
      <c r="D7867" s="39"/>
      <c r="E7867" s="39"/>
      <c r="F7867" s="39"/>
    </row>
    <row r="7868">
      <c r="D7868" s="39"/>
      <c r="E7868" s="39"/>
      <c r="F7868" s="39"/>
    </row>
    <row r="7869">
      <c r="D7869" s="39"/>
      <c r="E7869" s="39"/>
      <c r="F7869" s="39"/>
    </row>
    <row r="7870">
      <c r="D7870" s="39"/>
      <c r="E7870" s="39"/>
      <c r="F7870" s="39"/>
    </row>
    <row r="7871">
      <c r="D7871" s="39"/>
      <c r="E7871" s="39"/>
      <c r="F7871" s="39"/>
    </row>
    <row r="7872">
      <c r="D7872" s="39"/>
      <c r="E7872" s="39"/>
      <c r="F7872" s="39"/>
    </row>
    <row r="7873">
      <c r="D7873" s="39"/>
      <c r="E7873" s="39"/>
      <c r="F7873" s="39"/>
    </row>
    <row r="7874">
      <c r="D7874" s="39"/>
      <c r="E7874" s="39"/>
      <c r="F7874" s="39"/>
    </row>
    <row r="7875">
      <c r="D7875" s="39"/>
      <c r="E7875" s="39"/>
      <c r="F7875" s="39"/>
    </row>
    <row r="7876">
      <c r="D7876" s="39"/>
      <c r="E7876" s="39"/>
      <c r="F7876" s="39"/>
    </row>
    <row r="7877">
      <c r="D7877" s="39"/>
      <c r="E7877" s="39"/>
      <c r="F7877" s="39"/>
    </row>
    <row r="7878">
      <c r="D7878" s="39"/>
      <c r="E7878" s="39"/>
      <c r="F7878" s="39"/>
    </row>
    <row r="7879">
      <c r="D7879" s="39"/>
      <c r="E7879" s="39"/>
      <c r="F7879" s="39"/>
    </row>
    <row r="7880">
      <c r="D7880" s="39"/>
      <c r="E7880" s="39"/>
      <c r="F7880" s="39"/>
    </row>
    <row r="7881">
      <c r="D7881" s="39"/>
      <c r="E7881" s="39"/>
      <c r="F7881" s="39"/>
    </row>
    <row r="7882">
      <c r="D7882" s="39"/>
      <c r="E7882" s="39"/>
      <c r="F7882" s="39"/>
    </row>
    <row r="7883">
      <c r="D7883" s="39"/>
      <c r="E7883" s="39"/>
      <c r="F7883" s="39"/>
    </row>
    <row r="7884">
      <c r="D7884" s="39"/>
      <c r="E7884" s="39"/>
      <c r="F7884" s="39"/>
    </row>
    <row r="7885">
      <c r="D7885" s="39"/>
      <c r="E7885" s="39"/>
      <c r="F7885" s="39"/>
    </row>
    <row r="7886">
      <c r="D7886" s="39"/>
      <c r="E7886" s="39"/>
      <c r="F7886" s="39"/>
    </row>
    <row r="7887">
      <c r="D7887" s="39"/>
      <c r="E7887" s="39"/>
      <c r="F7887" s="39"/>
    </row>
    <row r="7888">
      <c r="D7888" s="39"/>
      <c r="E7888" s="39"/>
      <c r="F7888" s="39"/>
    </row>
    <row r="7889">
      <c r="D7889" s="39"/>
      <c r="E7889" s="39"/>
      <c r="F7889" s="39"/>
    </row>
    <row r="7890">
      <c r="D7890" s="39"/>
      <c r="E7890" s="39"/>
      <c r="F7890" s="39"/>
    </row>
    <row r="7891">
      <c r="D7891" s="39"/>
      <c r="E7891" s="39"/>
      <c r="F7891" s="39"/>
    </row>
    <row r="7892">
      <c r="D7892" s="39"/>
      <c r="E7892" s="39"/>
      <c r="F7892" s="39"/>
    </row>
    <row r="7893">
      <c r="D7893" s="39"/>
      <c r="E7893" s="39"/>
      <c r="F7893" s="39"/>
    </row>
    <row r="7894">
      <c r="D7894" s="39"/>
      <c r="E7894" s="39"/>
      <c r="F7894" s="39"/>
    </row>
    <row r="7895">
      <c r="D7895" s="39"/>
      <c r="E7895" s="39"/>
      <c r="F7895" s="39"/>
    </row>
    <row r="7896">
      <c r="D7896" s="39"/>
      <c r="E7896" s="39"/>
      <c r="F7896" s="39"/>
    </row>
    <row r="7897">
      <c r="D7897" s="39"/>
      <c r="E7897" s="39"/>
      <c r="F7897" s="39"/>
    </row>
    <row r="7898">
      <c r="D7898" s="39"/>
      <c r="E7898" s="39"/>
      <c r="F7898" s="39"/>
    </row>
    <row r="7899">
      <c r="D7899" s="39"/>
      <c r="E7899" s="39"/>
      <c r="F7899" s="39"/>
    </row>
    <row r="7900">
      <c r="D7900" s="39"/>
      <c r="E7900" s="39"/>
      <c r="F7900" s="39"/>
    </row>
    <row r="7901">
      <c r="D7901" s="39"/>
      <c r="E7901" s="39"/>
      <c r="F7901" s="39"/>
    </row>
    <row r="7902">
      <c r="D7902" s="39"/>
      <c r="E7902" s="39"/>
      <c r="F7902" s="39"/>
    </row>
    <row r="7903">
      <c r="D7903" s="39"/>
      <c r="E7903" s="39"/>
      <c r="F7903" s="39"/>
    </row>
    <row r="7904">
      <c r="D7904" s="39"/>
      <c r="E7904" s="39"/>
      <c r="F7904" s="39"/>
    </row>
    <row r="7905">
      <c r="D7905" s="39"/>
      <c r="E7905" s="39"/>
      <c r="F7905" s="39"/>
    </row>
    <row r="7906">
      <c r="D7906" s="39"/>
      <c r="E7906" s="39"/>
      <c r="F7906" s="39"/>
    </row>
    <row r="7907">
      <c r="D7907" s="39"/>
      <c r="E7907" s="39"/>
      <c r="F7907" s="39"/>
    </row>
    <row r="7908">
      <c r="D7908" s="39"/>
      <c r="E7908" s="39"/>
      <c r="F7908" s="39"/>
    </row>
    <row r="7909">
      <c r="D7909" s="39"/>
      <c r="E7909" s="39"/>
      <c r="F7909" s="39"/>
    </row>
    <row r="7910">
      <c r="D7910" s="39"/>
      <c r="E7910" s="39"/>
      <c r="F7910" s="39"/>
    </row>
    <row r="7911">
      <c r="D7911" s="39"/>
      <c r="E7911" s="39"/>
      <c r="F7911" s="39"/>
    </row>
    <row r="7912">
      <c r="D7912" s="39"/>
      <c r="E7912" s="39"/>
      <c r="F7912" s="39"/>
    </row>
    <row r="7913">
      <c r="D7913" s="39"/>
      <c r="E7913" s="39"/>
      <c r="F7913" s="39"/>
    </row>
    <row r="7914">
      <c r="D7914" s="39"/>
      <c r="E7914" s="39"/>
      <c r="F7914" s="39"/>
    </row>
    <row r="7915">
      <c r="D7915" s="39"/>
      <c r="E7915" s="39"/>
      <c r="F7915" s="39"/>
    </row>
    <row r="7916">
      <c r="D7916" s="39"/>
      <c r="E7916" s="39"/>
      <c r="F7916" s="39"/>
    </row>
    <row r="7917">
      <c r="D7917" s="39"/>
      <c r="E7917" s="39"/>
      <c r="F7917" s="39"/>
    </row>
    <row r="7918">
      <c r="D7918" s="39"/>
      <c r="E7918" s="39"/>
      <c r="F7918" s="39"/>
    </row>
    <row r="7919">
      <c r="D7919" s="39"/>
      <c r="E7919" s="39"/>
      <c r="F7919" s="39"/>
    </row>
    <row r="7920">
      <c r="D7920" s="39"/>
      <c r="E7920" s="39"/>
      <c r="F7920" s="39"/>
    </row>
    <row r="7921">
      <c r="D7921" s="39"/>
      <c r="E7921" s="39"/>
      <c r="F7921" s="39"/>
    </row>
    <row r="7922">
      <c r="D7922" s="39"/>
      <c r="E7922" s="39"/>
      <c r="F7922" s="39"/>
    </row>
    <row r="7923">
      <c r="D7923" s="39"/>
      <c r="E7923" s="39"/>
      <c r="F7923" s="39"/>
    </row>
    <row r="7924">
      <c r="D7924" s="39"/>
      <c r="E7924" s="39"/>
      <c r="F7924" s="39"/>
    </row>
    <row r="7925">
      <c r="D7925" s="39"/>
      <c r="E7925" s="39"/>
      <c r="F7925" s="39"/>
    </row>
    <row r="7926">
      <c r="D7926" s="39"/>
      <c r="E7926" s="39"/>
      <c r="F7926" s="39"/>
    </row>
    <row r="7927">
      <c r="D7927" s="39"/>
      <c r="E7927" s="39"/>
      <c r="F7927" s="39"/>
    </row>
    <row r="7928">
      <c r="D7928" s="39"/>
      <c r="E7928" s="39"/>
      <c r="F7928" s="39"/>
    </row>
    <row r="7929">
      <c r="D7929" s="39"/>
      <c r="E7929" s="39"/>
      <c r="F7929" s="39"/>
    </row>
    <row r="7930">
      <c r="D7930" s="39"/>
      <c r="E7930" s="39"/>
      <c r="F7930" s="39"/>
    </row>
    <row r="7931">
      <c r="D7931" s="39"/>
      <c r="E7931" s="39"/>
      <c r="F7931" s="39"/>
    </row>
    <row r="7932">
      <c r="D7932" s="39"/>
      <c r="E7932" s="39"/>
      <c r="F7932" s="39"/>
    </row>
    <row r="7933">
      <c r="D7933" s="39"/>
      <c r="E7933" s="39"/>
      <c r="F7933" s="39"/>
    </row>
    <row r="7934">
      <c r="D7934" s="39"/>
      <c r="E7934" s="39"/>
      <c r="F7934" s="39"/>
    </row>
    <row r="7935">
      <c r="D7935" s="39"/>
      <c r="E7935" s="39"/>
      <c r="F7935" s="39"/>
    </row>
    <row r="7936">
      <c r="D7936" s="39"/>
      <c r="E7936" s="39"/>
      <c r="F7936" s="39"/>
    </row>
    <row r="7937">
      <c r="D7937" s="39"/>
      <c r="E7937" s="39"/>
      <c r="F7937" s="39"/>
    </row>
    <row r="7938">
      <c r="D7938" s="39"/>
      <c r="E7938" s="39"/>
      <c r="F7938" s="39"/>
    </row>
    <row r="7939">
      <c r="D7939" s="39"/>
      <c r="E7939" s="39"/>
      <c r="F7939" s="39"/>
    </row>
    <row r="7940">
      <c r="D7940" s="39"/>
      <c r="E7940" s="39"/>
      <c r="F7940" s="39"/>
    </row>
    <row r="7941">
      <c r="D7941" s="39"/>
      <c r="E7941" s="39"/>
      <c r="F7941" s="39"/>
    </row>
    <row r="7942">
      <c r="D7942" s="39"/>
      <c r="E7942" s="39"/>
      <c r="F7942" s="39"/>
    </row>
    <row r="7943">
      <c r="D7943" s="39"/>
      <c r="E7943" s="39"/>
      <c r="F7943" s="39"/>
    </row>
    <row r="7944">
      <c r="D7944" s="39"/>
      <c r="E7944" s="39"/>
      <c r="F7944" s="39"/>
    </row>
    <row r="7945">
      <c r="D7945" s="39"/>
      <c r="E7945" s="39"/>
      <c r="F7945" s="39"/>
    </row>
    <row r="7946">
      <c r="D7946" s="39"/>
      <c r="E7946" s="39"/>
      <c r="F7946" s="39"/>
    </row>
    <row r="7947">
      <c r="D7947" s="39"/>
      <c r="E7947" s="39"/>
      <c r="F7947" s="39"/>
    </row>
    <row r="7948">
      <c r="D7948" s="39"/>
      <c r="E7948" s="39"/>
      <c r="F7948" s="39"/>
    </row>
    <row r="7949">
      <c r="D7949" s="39"/>
      <c r="E7949" s="39"/>
      <c r="F7949" s="39"/>
    </row>
    <row r="7950">
      <c r="D7950" s="39"/>
      <c r="E7950" s="39"/>
      <c r="F7950" s="39"/>
    </row>
    <row r="7951">
      <c r="D7951" s="39"/>
      <c r="E7951" s="39"/>
      <c r="F7951" s="39"/>
    </row>
    <row r="7952">
      <c r="D7952" s="39"/>
      <c r="E7952" s="39"/>
      <c r="F7952" s="39"/>
    </row>
    <row r="7953">
      <c r="D7953" s="39"/>
      <c r="E7953" s="39"/>
      <c r="F7953" s="39"/>
    </row>
    <row r="7954">
      <c r="D7954" s="39"/>
      <c r="E7954" s="39"/>
      <c r="F7954" s="39"/>
    </row>
    <row r="7955">
      <c r="D7955" s="39"/>
      <c r="E7955" s="39"/>
      <c r="F7955" s="39"/>
    </row>
    <row r="7956">
      <c r="D7956" s="39"/>
      <c r="E7956" s="39"/>
      <c r="F7956" s="39"/>
    </row>
    <row r="7957">
      <c r="D7957" s="39"/>
      <c r="E7957" s="39"/>
      <c r="F7957" s="39"/>
    </row>
    <row r="7958">
      <c r="D7958" s="39"/>
      <c r="E7958" s="39"/>
      <c r="F7958" s="39"/>
    </row>
    <row r="7959">
      <c r="D7959" s="39"/>
      <c r="E7959" s="39"/>
      <c r="F7959" s="39"/>
    </row>
    <row r="7960">
      <c r="D7960" s="39"/>
      <c r="E7960" s="39"/>
      <c r="F7960" s="39"/>
    </row>
    <row r="7961">
      <c r="D7961" s="39"/>
      <c r="E7961" s="39"/>
      <c r="F7961" s="39"/>
    </row>
    <row r="7962">
      <c r="D7962" s="39"/>
      <c r="E7962" s="39"/>
      <c r="F7962" s="39"/>
    </row>
    <row r="7963">
      <c r="D7963" s="39"/>
      <c r="E7963" s="39"/>
      <c r="F7963" s="39"/>
    </row>
    <row r="7964">
      <c r="D7964" s="39"/>
      <c r="E7964" s="39"/>
      <c r="F7964" s="39"/>
    </row>
    <row r="7965">
      <c r="D7965" s="39"/>
      <c r="E7965" s="39"/>
      <c r="F7965" s="39"/>
    </row>
    <row r="7966">
      <c r="D7966" s="39"/>
      <c r="E7966" s="39"/>
      <c r="F7966" s="39"/>
    </row>
    <row r="7967">
      <c r="D7967" s="39"/>
      <c r="E7967" s="39"/>
      <c r="F7967" s="39"/>
    </row>
    <row r="7968">
      <c r="D7968" s="39"/>
      <c r="E7968" s="39"/>
      <c r="F7968" s="39"/>
    </row>
    <row r="7969">
      <c r="D7969" s="39"/>
      <c r="E7969" s="39"/>
      <c r="F7969" s="39"/>
    </row>
    <row r="7970">
      <c r="D7970" s="39"/>
      <c r="E7970" s="39"/>
      <c r="F7970" s="39"/>
    </row>
    <row r="7971">
      <c r="D7971" s="39"/>
      <c r="E7971" s="39"/>
      <c r="F7971" s="39"/>
    </row>
    <row r="7972">
      <c r="D7972" s="39"/>
      <c r="E7972" s="39"/>
      <c r="F7972" s="39"/>
    </row>
    <row r="7973">
      <c r="D7973" s="39"/>
      <c r="E7973" s="39"/>
      <c r="F7973" s="39"/>
    </row>
    <row r="7974">
      <c r="D7974" s="39"/>
      <c r="E7974" s="39"/>
      <c r="F7974" s="39"/>
    </row>
    <row r="7975">
      <c r="D7975" s="39"/>
      <c r="E7975" s="39"/>
      <c r="F7975" s="39"/>
    </row>
    <row r="7976">
      <c r="D7976" s="39"/>
      <c r="E7976" s="39"/>
      <c r="F7976" s="39"/>
    </row>
    <row r="7977">
      <c r="D7977" s="39"/>
      <c r="E7977" s="39"/>
      <c r="F7977" s="39"/>
    </row>
    <row r="7978">
      <c r="D7978" s="39"/>
      <c r="E7978" s="39"/>
      <c r="F7978" s="39"/>
    </row>
    <row r="7979">
      <c r="D7979" s="39"/>
      <c r="E7979" s="39"/>
      <c r="F7979" s="39"/>
    </row>
    <row r="7980">
      <c r="D7980" s="39"/>
      <c r="E7980" s="39"/>
      <c r="F7980" s="39"/>
    </row>
    <row r="7981">
      <c r="D7981" s="39"/>
      <c r="E7981" s="39"/>
      <c r="F7981" s="39"/>
    </row>
    <row r="7982">
      <c r="D7982" s="39"/>
      <c r="E7982" s="39"/>
      <c r="F7982" s="39"/>
    </row>
    <row r="7983">
      <c r="D7983" s="39"/>
      <c r="E7983" s="39"/>
      <c r="F7983" s="39"/>
    </row>
    <row r="7984">
      <c r="D7984" s="39"/>
      <c r="E7984" s="39"/>
      <c r="F7984" s="39"/>
    </row>
    <row r="7985">
      <c r="D7985" s="39"/>
      <c r="E7985" s="39"/>
      <c r="F7985" s="39"/>
    </row>
    <row r="7986">
      <c r="D7986" s="39"/>
      <c r="E7986" s="39"/>
      <c r="F7986" s="39"/>
    </row>
    <row r="7987">
      <c r="D7987" s="39"/>
      <c r="E7987" s="39"/>
      <c r="F7987" s="39"/>
    </row>
    <row r="7988">
      <c r="D7988" s="39"/>
      <c r="E7988" s="39"/>
      <c r="F7988" s="39"/>
    </row>
    <row r="7989">
      <c r="D7989" s="39"/>
      <c r="E7989" s="39"/>
      <c r="F7989" s="39"/>
    </row>
    <row r="7990">
      <c r="D7990" s="39"/>
      <c r="E7990" s="39"/>
      <c r="F7990" s="39"/>
    </row>
    <row r="7991">
      <c r="D7991" s="39"/>
      <c r="E7991" s="39"/>
      <c r="F7991" s="39"/>
    </row>
    <row r="7992">
      <c r="D7992" s="39"/>
      <c r="E7992" s="39"/>
      <c r="F7992" s="39"/>
    </row>
    <row r="7993">
      <c r="D7993" s="39"/>
      <c r="E7993" s="39"/>
      <c r="F7993" s="39"/>
    </row>
    <row r="7994">
      <c r="D7994" s="39"/>
      <c r="E7994" s="39"/>
      <c r="F7994" s="39"/>
    </row>
    <row r="7995">
      <c r="D7995" s="39"/>
      <c r="E7995" s="39"/>
      <c r="F7995" s="39"/>
    </row>
    <row r="7996">
      <c r="D7996" s="39"/>
      <c r="E7996" s="39"/>
      <c r="F7996" s="39"/>
    </row>
    <row r="7997">
      <c r="D7997" s="39"/>
      <c r="E7997" s="39"/>
      <c r="F7997" s="39"/>
    </row>
    <row r="7998">
      <c r="D7998" s="39"/>
      <c r="E7998" s="39"/>
      <c r="F7998" s="39"/>
    </row>
    <row r="7999">
      <c r="D7999" s="39"/>
      <c r="E7999" s="39"/>
      <c r="F7999" s="39"/>
    </row>
    <row r="8000">
      <c r="D8000" s="39"/>
      <c r="E8000" s="39"/>
      <c r="F8000" s="39"/>
    </row>
    <row r="8001">
      <c r="D8001" s="39"/>
      <c r="E8001" s="39"/>
      <c r="F8001" s="39"/>
    </row>
    <row r="8002">
      <c r="D8002" s="39"/>
      <c r="E8002" s="39"/>
      <c r="F8002" s="39"/>
    </row>
    <row r="8003">
      <c r="D8003" s="39"/>
      <c r="E8003" s="39"/>
      <c r="F8003" s="39"/>
    </row>
    <row r="8004">
      <c r="D8004" s="39"/>
      <c r="E8004" s="39"/>
      <c r="F8004" s="39"/>
    </row>
    <row r="8005">
      <c r="D8005" s="39"/>
      <c r="E8005" s="39"/>
      <c r="F8005" s="39"/>
    </row>
    <row r="8006">
      <c r="D8006" s="39"/>
      <c r="E8006" s="39"/>
      <c r="F8006" s="39"/>
    </row>
    <row r="8007">
      <c r="D8007" s="39"/>
      <c r="E8007" s="39"/>
      <c r="F8007" s="39"/>
    </row>
    <row r="8008">
      <c r="D8008" s="39"/>
      <c r="E8008" s="39"/>
      <c r="F8008" s="39"/>
    </row>
    <row r="8009">
      <c r="D8009" s="39"/>
      <c r="E8009" s="39"/>
      <c r="F8009" s="39"/>
    </row>
    <row r="8010">
      <c r="D8010" s="39"/>
      <c r="E8010" s="39"/>
      <c r="F8010" s="39"/>
    </row>
    <row r="8011">
      <c r="D8011" s="39"/>
      <c r="E8011" s="39"/>
      <c r="F8011" s="39"/>
    </row>
    <row r="8012">
      <c r="D8012" s="39"/>
      <c r="E8012" s="39"/>
      <c r="F8012" s="39"/>
    </row>
    <row r="8013">
      <c r="D8013" s="39"/>
      <c r="E8013" s="39"/>
      <c r="F8013" s="39"/>
    </row>
    <row r="8014">
      <c r="D8014" s="39"/>
      <c r="E8014" s="39"/>
      <c r="F8014" s="39"/>
    </row>
    <row r="8015">
      <c r="D8015" s="39"/>
      <c r="E8015" s="39"/>
      <c r="F8015" s="39"/>
    </row>
    <row r="8016">
      <c r="D8016" s="39"/>
      <c r="E8016" s="39"/>
      <c r="F8016" s="39"/>
    </row>
    <row r="8017">
      <c r="D8017" s="39"/>
      <c r="E8017" s="39"/>
      <c r="F8017" s="39"/>
    </row>
    <row r="8018">
      <c r="D8018" s="39"/>
      <c r="E8018" s="39"/>
      <c r="F8018" s="39"/>
    </row>
    <row r="8019">
      <c r="D8019" s="39"/>
      <c r="E8019" s="39"/>
      <c r="F8019" s="39"/>
    </row>
    <row r="8020">
      <c r="D8020" s="39"/>
      <c r="E8020" s="39"/>
      <c r="F8020" s="39"/>
    </row>
    <row r="8021">
      <c r="D8021" s="39"/>
      <c r="E8021" s="39"/>
      <c r="F8021" s="39"/>
    </row>
    <row r="8022">
      <c r="D8022" s="39"/>
      <c r="E8022" s="39"/>
      <c r="F8022" s="39"/>
    </row>
    <row r="8023">
      <c r="D8023" s="39"/>
      <c r="E8023" s="39"/>
      <c r="F8023" s="39"/>
    </row>
    <row r="8024">
      <c r="D8024" s="39"/>
      <c r="E8024" s="39"/>
      <c r="F8024" s="39"/>
    </row>
    <row r="8025">
      <c r="D8025" s="39"/>
      <c r="E8025" s="39"/>
      <c r="F8025" s="39"/>
    </row>
    <row r="8026">
      <c r="D8026" s="39"/>
      <c r="E8026" s="39"/>
      <c r="F8026" s="39"/>
    </row>
    <row r="8027">
      <c r="D8027" s="39"/>
      <c r="E8027" s="39"/>
      <c r="F8027" s="39"/>
    </row>
    <row r="8028">
      <c r="D8028" s="39"/>
      <c r="E8028" s="39"/>
      <c r="F8028" s="39"/>
    </row>
    <row r="8029">
      <c r="D8029" s="39"/>
      <c r="E8029" s="39"/>
      <c r="F8029" s="39"/>
    </row>
    <row r="8030">
      <c r="D8030" s="39"/>
      <c r="E8030" s="39"/>
      <c r="F8030" s="39"/>
    </row>
    <row r="8031">
      <c r="D8031" s="39"/>
      <c r="E8031" s="39"/>
      <c r="F8031" s="39"/>
    </row>
    <row r="8032">
      <c r="D8032" s="39"/>
      <c r="E8032" s="39"/>
      <c r="F8032" s="39"/>
    </row>
    <row r="8033">
      <c r="D8033" s="39"/>
      <c r="E8033" s="39"/>
      <c r="F8033" s="39"/>
    </row>
    <row r="8034">
      <c r="D8034" s="39"/>
      <c r="E8034" s="39"/>
      <c r="F8034" s="39"/>
    </row>
    <row r="8035">
      <c r="D8035" s="39"/>
      <c r="E8035" s="39"/>
      <c r="F8035" s="39"/>
    </row>
    <row r="8036">
      <c r="D8036" s="39"/>
      <c r="E8036" s="39"/>
      <c r="F8036" s="39"/>
    </row>
    <row r="8037">
      <c r="D8037" s="39"/>
      <c r="E8037" s="39"/>
      <c r="F8037" s="39"/>
    </row>
    <row r="8038">
      <c r="D8038" s="39"/>
      <c r="E8038" s="39"/>
      <c r="F8038" s="39"/>
    </row>
    <row r="8039">
      <c r="D8039" s="39"/>
      <c r="E8039" s="39"/>
      <c r="F8039" s="39"/>
    </row>
    <row r="8040">
      <c r="D8040" s="39"/>
      <c r="E8040" s="39"/>
      <c r="F8040" s="39"/>
    </row>
    <row r="8041">
      <c r="D8041" s="39"/>
      <c r="E8041" s="39"/>
      <c r="F8041" s="39"/>
    </row>
    <row r="8042">
      <c r="D8042" s="39"/>
      <c r="E8042" s="39"/>
      <c r="F8042" s="39"/>
    </row>
    <row r="8043">
      <c r="D8043" s="39"/>
      <c r="E8043" s="39"/>
      <c r="F8043" s="39"/>
    </row>
    <row r="8044">
      <c r="D8044" s="39"/>
      <c r="E8044" s="39"/>
      <c r="F8044" s="39"/>
    </row>
    <row r="8045">
      <c r="D8045" s="39"/>
      <c r="E8045" s="39"/>
      <c r="F8045" s="39"/>
    </row>
    <row r="8046">
      <c r="D8046" s="39"/>
      <c r="E8046" s="39"/>
      <c r="F8046" s="39"/>
    </row>
    <row r="8047">
      <c r="D8047" s="39"/>
      <c r="E8047" s="39"/>
      <c r="F8047" s="39"/>
    </row>
    <row r="8048">
      <c r="D8048" s="39"/>
      <c r="E8048" s="39"/>
      <c r="F8048" s="39"/>
    </row>
    <row r="8049">
      <c r="D8049" s="39"/>
      <c r="E8049" s="39"/>
      <c r="F8049" s="39"/>
    </row>
    <row r="8050">
      <c r="D8050" s="39"/>
      <c r="E8050" s="39"/>
      <c r="F8050" s="39"/>
    </row>
    <row r="8051">
      <c r="D8051" s="39"/>
      <c r="E8051" s="39"/>
      <c r="F8051" s="39"/>
    </row>
    <row r="8052">
      <c r="D8052" s="39"/>
      <c r="E8052" s="39"/>
      <c r="F8052" s="39"/>
    </row>
    <row r="8053">
      <c r="D8053" s="39"/>
      <c r="E8053" s="39"/>
      <c r="F8053" s="39"/>
    </row>
    <row r="8054">
      <c r="D8054" s="39"/>
      <c r="E8054" s="39"/>
      <c r="F8054" s="39"/>
    </row>
    <row r="8055">
      <c r="D8055" s="39"/>
      <c r="E8055" s="39"/>
      <c r="F8055" s="39"/>
    </row>
    <row r="8056">
      <c r="D8056" s="39"/>
      <c r="E8056" s="39"/>
      <c r="F8056" s="39"/>
    </row>
    <row r="8057">
      <c r="D8057" s="39"/>
      <c r="E8057" s="39"/>
      <c r="F8057" s="39"/>
    </row>
    <row r="8058">
      <c r="D8058" s="39"/>
      <c r="E8058" s="39"/>
      <c r="F8058" s="39"/>
    </row>
    <row r="8059">
      <c r="D8059" s="39"/>
      <c r="E8059" s="39"/>
      <c r="F8059" s="39"/>
    </row>
    <row r="8060">
      <c r="D8060" s="39"/>
      <c r="E8060" s="39"/>
      <c r="F8060" s="39"/>
    </row>
    <row r="8061">
      <c r="D8061" s="39"/>
      <c r="E8061" s="39"/>
      <c r="F8061" s="39"/>
    </row>
    <row r="8062">
      <c r="D8062" s="39"/>
      <c r="E8062" s="39"/>
      <c r="F8062" s="39"/>
    </row>
    <row r="8063">
      <c r="D8063" s="39"/>
      <c r="E8063" s="39"/>
      <c r="F8063" s="39"/>
    </row>
    <row r="8064">
      <c r="D8064" s="39"/>
      <c r="E8064" s="39"/>
      <c r="F8064" s="39"/>
    </row>
    <row r="8065">
      <c r="D8065" s="39"/>
      <c r="E8065" s="39"/>
      <c r="F8065" s="39"/>
    </row>
    <row r="8066">
      <c r="D8066" s="39"/>
      <c r="E8066" s="39"/>
      <c r="F8066" s="39"/>
    </row>
    <row r="8067">
      <c r="D8067" s="39"/>
      <c r="E8067" s="39"/>
      <c r="F8067" s="39"/>
    </row>
    <row r="8068">
      <c r="D8068" s="39"/>
      <c r="E8068" s="39"/>
      <c r="F8068" s="39"/>
    </row>
    <row r="8069">
      <c r="D8069" s="39"/>
      <c r="E8069" s="39"/>
      <c r="F8069" s="39"/>
    </row>
    <row r="8070">
      <c r="D8070" s="39"/>
      <c r="E8070" s="39"/>
      <c r="F8070" s="39"/>
    </row>
    <row r="8071">
      <c r="D8071" s="39"/>
      <c r="E8071" s="39"/>
      <c r="F8071" s="39"/>
    </row>
    <row r="8072">
      <c r="D8072" s="39"/>
      <c r="E8072" s="39"/>
      <c r="F8072" s="39"/>
    </row>
    <row r="8073">
      <c r="D8073" s="39"/>
      <c r="E8073" s="39"/>
      <c r="F8073" s="39"/>
    </row>
    <row r="8074">
      <c r="D8074" s="39"/>
      <c r="E8074" s="39"/>
      <c r="F8074" s="39"/>
    </row>
    <row r="8075">
      <c r="D8075" s="39"/>
      <c r="E8075" s="39"/>
      <c r="F8075" s="39"/>
    </row>
    <row r="8076">
      <c r="D8076" s="39"/>
      <c r="E8076" s="39"/>
      <c r="F8076" s="39"/>
    </row>
    <row r="8077">
      <c r="D8077" s="39"/>
      <c r="E8077" s="39"/>
      <c r="F8077" s="39"/>
    </row>
    <row r="8078">
      <c r="D8078" s="39"/>
      <c r="E8078" s="39"/>
      <c r="F8078" s="39"/>
    </row>
    <row r="8079">
      <c r="D8079" s="39"/>
      <c r="E8079" s="39"/>
      <c r="F8079" s="39"/>
    </row>
    <row r="8080">
      <c r="D8080" s="39"/>
      <c r="E8080" s="39"/>
      <c r="F8080" s="39"/>
    </row>
    <row r="8081">
      <c r="D8081" s="39"/>
      <c r="E8081" s="39"/>
      <c r="F8081" s="39"/>
    </row>
    <row r="8082">
      <c r="D8082" s="39"/>
      <c r="E8082" s="39"/>
      <c r="F8082" s="39"/>
    </row>
    <row r="8083">
      <c r="D8083" s="39"/>
      <c r="E8083" s="39"/>
      <c r="F8083" s="39"/>
    </row>
    <row r="8084">
      <c r="D8084" s="39"/>
      <c r="E8084" s="39"/>
      <c r="F8084" s="39"/>
    </row>
    <row r="8085">
      <c r="D8085" s="39"/>
      <c r="E8085" s="39"/>
      <c r="F8085" s="39"/>
    </row>
    <row r="8086">
      <c r="D8086" s="39"/>
      <c r="E8086" s="39"/>
      <c r="F8086" s="39"/>
    </row>
    <row r="8087">
      <c r="D8087" s="39"/>
      <c r="E8087" s="39"/>
      <c r="F8087" s="39"/>
    </row>
    <row r="8088">
      <c r="D8088" s="39"/>
      <c r="E8088" s="39"/>
      <c r="F8088" s="39"/>
    </row>
    <row r="8089">
      <c r="D8089" s="39"/>
      <c r="E8089" s="39"/>
      <c r="F8089" s="39"/>
    </row>
    <row r="8090">
      <c r="D8090" s="39"/>
      <c r="E8090" s="39"/>
      <c r="F8090" s="39"/>
    </row>
    <row r="8091">
      <c r="D8091" s="39"/>
      <c r="E8091" s="39"/>
      <c r="F8091" s="39"/>
    </row>
    <row r="8092">
      <c r="D8092" s="39"/>
      <c r="E8092" s="39"/>
      <c r="F8092" s="39"/>
    </row>
    <row r="8093">
      <c r="D8093" s="39"/>
      <c r="E8093" s="39"/>
      <c r="F8093" s="39"/>
    </row>
    <row r="8094">
      <c r="D8094" s="39"/>
      <c r="E8094" s="39"/>
      <c r="F8094" s="39"/>
    </row>
    <row r="8095">
      <c r="D8095" s="39"/>
      <c r="E8095" s="39"/>
      <c r="F8095" s="39"/>
    </row>
    <row r="8096">
      <c r="D8096" s="39"/>
      <c r="E8096" s="39"/>
      <c r="F8096" s="39"/>
    </row>
    <row r="8097">
      <c r="D8097" s="39"/>
      <c r="E8097" s="39"/>
      <c r="F8097" s="39"/>
    </row>
    <row r="8098">
      <c r="D8098" s="39"/>
      <c r="E8098" s="39"/>
      <c r="F8098" s="39"/>
    </row>
    <row r="8099">
      <c r="D8099" s="39"/>
      <c r="E8099" s="39"/>
      <c r="F8099" s="39"/>
    </row>
    <row r="8100">
      <c r="D8100" s="39"/>
      <c r="E8100" s="39"/>
      <c r="F8100" s="39"/>
    </row>
    <row r="8101">
      <c r="D8101" s="39"/>
      <c r="E8101" s="39"/>
      <c r="F8101" s="39"/>
    </row>
    <row r="8102">
      <c r="D8102" s="39"/>
      <c r="E8102" s="39"/>
      <c r="F8102" s="39"/>
    </row>
    <row r="8103">
      <c r="D8103" s="39"/>
      <c r="E8103" s="39"/>
      <c r="F8103" s="39"/>
    </row>
    <row r="8104">
      <c r="D8104" s="39"/>
      <c r="E8104" s="39"/>
      <c r="F8104" s="39"/>
    </row>
    <row r="8105">
      <c r="D8105" s="39"/>
      <c r="E8105" s="39"/>
      <c r="F8105" s="39"/>
    </row>
    <row r="8106">
      <c r="D8106" s="39"/>
      <c r="E8106" s="39"/>
      <c r="F8106" s="39"/>
    </row>
    <row r="8107">
      <c r="D8107" s="39"/>
      <c r="E8107" s="39"/>
      <c r="F8107" s="39"/>
    </row>
    <row r="8108">
      <c r="D8108" s="39"/>
      <c r="E8108" s="39"/>
      <c r="F8108" s="39"/>
    </row>
    <row r="8109">
      <c r="D8109" s="39"/>
      <c r="E8109" s="39"/>
      <c r="F8109" s="39"/>
    </row>
    <row r="8110">
      <c r="D8110" s="39"/>
      <c r="E8110" s="39"/>
      <c r="F8110" s="39"/>
    </row>
    <row r="8111">
      <c r="D8111" s="39"/>
      <c r="E8111" s="39"/>
      <c r="F8111" s="39"/>
    </row>
    <row r="8112">
      <c r="D8112" s="39"/>
      <c r="E8112" s="39"/>
      <c r="F8112" s="39"/>
    </row>
    <row r="8113">
      <c r="D8113" s="39"/>
      <c r="E8113" s="39"/>
      <c r="F8113" s="39"/>
    </row>
    <row r="8114">
      <c r="D8114" s="39"/>
      <c r="E8114" s="39"/>
      <c r="F8114" s="39"/>
    </row>
    <row r="8115">
      <c r="D8115" s="39"/>
      <c r="E8115" s="39"/>
      <c r="F8115" s="39"/>
    </row>
    <row r="8116">
      <c r="D8116" s="39"/>
      <c r="E8116" s="39"/>
      <c r="F8116" s="39"/>
    </row>
    <row r="8117">
      <c r="D8117" s="39"/>
      <c r="E8117" s="39"/>
      <c r="F8117" s="39"/>
    </row>
    <row r="8118">
      <c r="D8118" s="39"/>
      <c r="E8118" s="39"/>
      <c r="F8118" s="39"/>
    </row>
    <row r="8119">
      <c r="D8119" s="39"/>
      <c r="E8119" s="39"/>
      <c r="F8119" s="39"/>
    </row>
    <row r="8120">
      <c r="D8120" s="39"/>
      <c r="E8120" s="39"/>
      <c r="F8120" s="39"/>
    </row>
    <row r="8121">
      <c r="D8121" s="39"/>
      <c r="E8121" s="39"/>
      <c r="F8121" s="39"/>
    </row>
    <row r="8122">
      <c r="D8122" s="39"/>
      <c r="E8122" s="39"/>
      <c r="F8122" s="39"/>
    </row>
    <row r="8123">
      <c r="D8123" s="39"/>
      <c r="E8123" s="39"/>
      <c r="F8123" s="39"/>
    </row>
    <row r="8124">
      <c r="D8124" s="39"/>
      <c r="E8124" s="39"/>
      <c r="F8124" s="39"/>
    </row>
    <row r="8125">
      <c r="D8125" s="39"/>
      <c r="E8125" s="39"/>
      <c r="F8125" s="39"/>
    </row>
    <row r="8126">
      <c r="D8126" s="39"/>
      <c r="E8126" s="39"/>
      <c r="F8126" s="39"/>
    </row>
    <row r="8127">
      <c r="D8127" s="39"/>
      <c r="E8127" s="39"/>
      <c r="F8127" s="39"/>
    </row>
    <row r="8128">
      <c r="D8128" s="39"/>
      <c r="E8128" s="39"/>
      <c r="F8128" s="39"/>
    </row>
    <row r="8129">
      <c r="D8129" s="39"/>
      <c r="E8129" s="39"/>
      <c r="F8129" s="39"/>
    </row>
    <row r="8130">
      <c r="D8130" s="39"/>
      <c r="E8130" s="39"/>
      <c r="F8130" s="39"/>
    </row>
    <row r="8131">
      <c r="D8131" s="39"/>
      <c r="E8131" s="39"/>
      <c r="F8131" s="39"/>
    </row>
    <row r="8132">
      <c r="D8132" s="39"/>
      <c r="E8132" s="39"/>
      <c r="F8132" s="39"/>
    </row>
    <row r="8133">
      <c r="D8133" s="39"/>
      <c r="E8133" s="39"/>
      <c r="F8133" s="39"/>
    </row>
    <row r="8134">
      <c r="D8134" s="39"/>
      <c r="E8134" s="39"/>
      <c r="F8134" s="39"/>
    </row>
    <row r="8135">
      <c r="D8135" s="39"/>
      <c r="E8135" s="39"/>
      <c r="F8135" s="39"/>
    </row>
    <row r="8136">
      <c r="D8136" s="39"/>
      <c r="E8136" s="39"/>
      <c r="F8136" s="39"/>
    </row>
    <row r="8137">
      <c r="D8137" s="39"/>
      <c r="E8137" s="39"/>
      <c r="F8137" s="39"/>
    </row>
    <row r="8138">
      <c r="D8138" s="39"/>
      <c r="E8138" s="39"/>
      <c r="F8138" s="39"/>
    </row>
    <row r="8139">
      <c r="D8139" s="39"/>
      <c r="E8139" s="39"/>
      <c r="F8139" s="39"/>
    </row>
    <row r="8140">
      <c r="D8140" s="39"/>
      <c r="E8140" s="39"/>
      <c r="F8140" s="39"/>
    </row>
    <row r="8141">
      <c r="D8141" s="39"/>
      <c r="E8141" s="39"/>
      <c r="F8141" s="39"/>
    </row>
    <row r="8142">
      <c r="D8142" s="39"/>
      <c r="E8142" s="39"/>
      <c r="F8142" s="39"/>
    </row>
    <row r="8143">
      <c r="D8143" s="39"/>
      <c r="E8143" s="39"/>
      <c r="F8143" s="39"/>
    </row>
    <row r="8144">
      <c r="D8144" s="39"/>
      <c r="E8144" s="39"/>
      <c r="F8144" s="39"/>
    </row>
    <row r="8145">
      <c r="D8145" s="39"/>
      <c r="E8145" s="39"/>
      <c r="F8145" s="39"/>
    </row>
    <row r="8146">
      <c r="D8146" s="39"/>
      <c r="E8146" s="39"/>
      <c r="F8146" s="39"/>
    </row>
    <row r="8147">
      <c r="D8147" s="39"/>
      <c r="E8147" s="39"/>
      <c r="F8147" s="39"/>
    </row>
    <row r="8148">
      <c r="D8148" s="39"/>
      <c r="E8148" s="39"/>
      <c r="F8148" s="39"/>
    </row>
    <row r="8149">
      <c r="D8149" s="39"/>
      <c r="E8149" s="39"/>
      <c r="F8149" s="39"/>
    </row>
    <row r="8150">
      <c r="D8150" s="39"/>
      <c r="E8150" s="39"/>
      <c r="F8150" s="39"/>
    </row>
    <row r="8151">
      <c r="D8151" s="39"/>
      <c r="E8151" s="39"/>
      <c r="F8151" s="39"/>
    </row>
    <row r="8152">
      <c r="D8152" s="39"/>
      <c r="E8152" s="39"/>
      <c r="F8152" s="39"/>
    </row>
    <row r="8153">
      <c r="D8153" s="39"/>
      <c r="E8153" s="39"/>
      <c r="F8153" s="39"/>
    </row>
    <row r="8154">
      <c r="D8154" s="39"/>
      <c r="E8154" s="39"/>
      <c r="F8154" s="39"/>
    </row>
    <row r="8155">
      <c r="D8155" s="39"/>
      <c r="E8155" s="39"/>
      <c r="F8155" s="39"/>
    </row>
    <row r="8156">
      <c r="D8156" s="39"/>
      <c r="E8156" s="39"/>
      <c r="F8156" s="39"/>
    </row>
    <row r="8157">
      <c r="D8157" s="39"/>
      <c r="E8157" s="39"/>
      <c r="F8157" s="39"/>
    </row>
    <row r="8158">
      <c r="D8158" s="39"/>
      <c r="E8158" s="39"/>
      <c r="F8158" s="39"/>
    </row>
    <row r="8159">
      <c r="D8159" s="39"/>
      <c r="E8159" s="39"/>
      <c r="F8159" s="39"/>
    </row>
    <row r="8160">
      <c r="D8160" s="39"/>
      <c r="E8160" s="39"/>
      <c r="F8160" s="39"/>
    </row>
    <row r="8161">
      <c r="D8161" s="39"/>
      <c r="E8161" s="39"/>
      <c r="F8161" s="39"/>
    </row>
    <row r="8162">
      <c r="D8162" s="39"/>
      <c r="E8162" s="39"/>
      <c r="F8162" s="39"/>
    </row>
    <row r="8163">
      <c r="D8163" s="39"/>
      <c r="E8163" s="39"/>
      <c r="F8163" s="39"/>
    </row>
    <row r="8164">
      <c r="D8164" s="39"/>
      <c r="E8164" s="39"/>
      <c r="F8164" s="39"/>
    </row>
    <row r="8165">
      <c r="D8165" s="39"/>
      <c r="E8165" s="39"/>
      <c r="F8165" s="39"/>
    </row>
    <row r="8166">
      <c r="D8166" s="39"/>
      <c r="E8166" s="39"/>
      <c r="F8166" s="39"/>
    </row>
    <row r="8167">
      <c r="D8167" s="39"/>
      <c r="E8167" s="39"/>
      <c r="F8167" s="39"/>
    </row>
    <row r="8168">
      <c r="D8168" s="39"/>
      <c r="E8168" s="39"/>
      <c r="F8168" s="39"/>
    </row>
    <row r="8169">
      <c r="D8169" s="39"/>
      <c r="E8169" s="39"/>
      <c r="F8169" s="39"/>
    </row>
    <row r="8170">
      <c r="D8170" s="39"/>
      <c r="E8170" s="39"/>
      <c r="F8170" s="39"/>
    </row>
    <row r="8171">
      <c r="D8171" s="39"/>
      <c r="E8171" s="39"/>
      <c r="F8171" s="39"/>
    </row>
    <row r="8172">
      <c r="D8172" s="39"/>
      <c r="E8172" s="39"/>
      <c r="F8172" s="39"/>
    </row>
    <row r="8173">
      <c r="D8173" s="39"/>
      <c r="E8173" s="39"/>
      <c r="F8173" s="39"/>
    </row>
    <row r="8174">
      <c r="D8174" s="39"/>
      <c r="E8174" s="39"/>
      <c r="F8174" s="39"/>
    </row>
    <row r="8175">
      <c r="D8175" s="39"/>
      <c r="E8175" s="39"/>
      <c r="F8175" s="39"/>
    </row>
    <row r="8176">
      <c r="D8176" s="39"/>
      <c r="E8176" s="39"/>
      <c r="F8176" s="39"/>
    </row>
    <row r="8177">
      <c r="D8177" s="39"/>
      <c r="E8177" s="39"/>
      <c r="F8177" s="39"/>
    </row>
    <row r="8178">
      <c r="D8178" s="39"/>
      <c r="E8178" s="39"/>
      <c r="F8178" s="39"/>
    </row>
    <row r="8179">
      <c r="D8179" s="39"/>
      <c r="E8179" s="39"/>
      <c r="F8179" s="39"/>
    </row>
    <row r="8180">
      <c r="D8180" s="39"/>
      <c r="E8180" s="39"/>
      <c r="F8180" s="39"/>
    </row>
    <row r="8181">
      <c r="D8181" s="39"/>
      <c r="E8181" s="39"/>
      <c r="F8181" s="39"/>
    </row>
    <row r="8182">
      <c r="D8182" s="39"/>
      <c r="E8182" s="39"/>
      <c r="F8182" s="39"/>
    </row>
    <row r="8183">
      <c r="D8183" s="39"/>
      <c r="E8183" s="39"/>
      <c r="F8183" s="39"/>
    </row>
    <row r="8184">
      <c r="D8184" s="39"/>
      <c r="E8184" s="39"/>
      <c r="F8184" s="39"/>
    </row>
    <row r="8185">
      <c r="D8185" s="39"/>
      <c r="E8185" s="39"/>
      <c r="F8185" s="39"/>
    </row>
    <row r="8186">
      <c r="D8186" s="39"/>
      <c r="E8186" s="39"/>
      <c r="F8186" s="39"/>
    </row>
    <row r="8187">
      <c r="D8187" s="39"/>
      <c r="E8187" s="39"/>
      <c r="F8187" s="39"/>
    </row>
    <row r="8188">
      <c r="D8188" s="39"/>
      <c r="E8188" s="39"/>
      <c r="F8188" s="39"/>
    </row>
    <row r="8189">
      <c r="D8189" s="39"/>
      <c r="E8189" s="39"/>
      <c r="F8189" s="39"/>
    </row>
    <row r="8190">
      <c r="D8190" s="39"/>
      <c r="E8190" s="39"/>
      <c r="F8190" s="39"/>
    </row>
    <row r="8191">
      <c r="D8191" s="39"/>
      <c r="E8191" s="39"/>
      <c r="F8191" s="39"/>
    </row>
    <row r="8192">
      <c r="D8192" s="39"/>
      <c r="E8192" s="39"/>
      <c r="F8192" s="39"/>
    </row>
    <row r="8193">
      <c r="D8193" s="39"/>
      <c r="E8193" s="39"/>
      <c r="F8193" s="39"/>
    </row>
    <row r="8194">
      <c r="D8194" s="39"/>
      <c r="E8194" s="39"/>
      <c r="F8194" s="39"/>
    </row>
    <row r="8195">
      <c r="D8195" s="39"/>
      <c r="E8195" s="39"/>
      <c r="F8195" s="39"/>
    </row>
    <row r="8196">
      <c r="D8196" s="39"/>
      <c r="E8196" s="39"/>
      <c r="F8196" s="39"/>
    </row>
    <row r="8197">
      <c r="D8197" s="39"/>
      <c r="E8197" s="39"/>
      <c r="F8197" s="39"/>
    </row>
    <row r="8198">
      <c r="D8198" s="39"/>
      <c r="E8198" s="39"/>
      <c r="F8198" s="39"/>
    </row>
    <row r="8199">
      <c r="D8199" s="39"/>
      <c r="E8199" s="39"/>
      <c r="F8199" s="39"/>
    </row>
    <row r="8200">
      <c r="D8200" s="39"/>
      <c r="E8200" s="39"/>
      <c r="F8200" s="39"/>
    </row>
    <row r="8201">
      <c r="D8201" s="39"/>
      <c r="E8201" s="39"/>
      <c r="F8201" s="39"/>
    </row>
    <row r="8202">
      <c r="D8202" s="39"/>
      <c r="E8202" s="39"/>
      <c r="F8202" s="39"/>
    </row>
    <row r="8203">
      <c r="D8203" s="39"/>
      <c r="E8203" s="39"/>
      <c r="F8203" s="39"/>
    </row>
    <row r="8204">
      <c r="D8204" s="39"/>
      <c r="E8204" s="39"/>
      <c r="F8204" s="39"/>
    </row>
    <row r="8205">
      <c r="D8205" s="39"/>
      <c r="E8205" s="39"/>
      <c r="F8205" s="39"/>
    </row>
    <row r="8206">
      <c r="D8206" s="39"/>
      <c r="E8206" s="39"/>
      <c r="F8206" s="39"/>
    </row>
    <row r="8207">
      <c r="D8207" s="39"/>
      <c r="E8207" s="39"/>
      <c r="F8207" s="39"/>
    </row>
    <row r="8208">
      <c r="D8208" s="39"/>
      <c r="E8208" s="39"/>
      <c r="F8208" s="39"/>
    </row>
    <row r="8209">
      <c r="D8209" s="39"/>
      <c r="E8209" s="39"/>
      <c r="F8209" s="39"/>
    </row>
    <row r="8210">
      <c r="D8210" s="39"/>
      <c r="E8210" s="39"/>
      <c r="F8210" s="39"/>
    </row>
    <row r="8211">
      <c r="D8211" s="39"/>
      <c r="E8211" s="39"/>
      <c r="F8211" s="39"/>
    </row>
    <row r="8212">
      <c r="D8212" s="39"/>
      <c r="E8212" s="39"/>
      <c r="F8212" s="39"/>
    </row>
    <row r="8213">
      <c r="D8213" s="39"/>
      <c r="E8213" s="39"/>
      <c r="F8213" s="39"/>
    </row>
    <row r="8214">
      <c r="D8214" s="39"/>
      <c r="E8214" s="39"/>
      <c r="F8214" s="39"/>
    </row>
    <row r="8215">
      <c r="D8215" s="39"/>
      <c r="E8215" s="39"/>
      <c r="F8215" s="39"/>
    </row>
    <row r="8216">
      <c r="D8216" s="39"/>
      <c r="E8216" s="39"/>
      <c r="F8216" s="39"/>
    </row>
    <row r="8217">
      <c r="D8217" s="39"/>
      <c r="E8217" s="39"/>
      <c r="F8217" s="39"/>
    </row>
    <row r="8218">
      <c r="D8218" s="39"/>
      <c r="E8218" s="39"/>
      <c r="F8218" s="39"/>
    </row>
    <row r="8219">
      <c r="D8219" s="39"/>
      <c r="E8219" s="39"/>
      <c r="F8219" s="39"/>
    </row>
    <row r="8220">
      <c r="D8220" s="39"/>
      <c r="E8220" s="39"/>
      <c r="F8220" s="39"/>
    </row>
    <row r="8221">
      <c r="D8221" s="39"/>
      <c r="E8221" s="39"/>
      <c r="F8221" s="39"/>
    </row>
    <row r="8222">
      <c r="D8222" s="39"/>
      <c r="E8222" s="39"/>
      <c r="F8222" s="39"/>
    </row>
    <row r="8223">
      <c r="D8223" s="39"/>
      <c r="E8223" s="39"/>
      <c r="F8223" s="39"/>
    </row>
    <row r="8224">
      <c r="D8224" s="39"/>
      <c r="E8224" s="39"/>
      <c r="F8224" s="39"/>
    </row>
    <row r="8225">
      <c r="D8225" s="39"/>
      <c r="E8225" s="39"/>
      <c r="F8225" s="39"/>
    </row>
    <row r="8226">
      <c r="D8226" s="39"/>
      <c r="E8226" s="39"/>
      <c r="F8226" s="39"/>
    </row>
    <row r="8227">
      <c r="D8227" s="39"/>
      <c r="E8227" s="39"/>
      <c r="F8227" s="39"/>
    </row>
    <row r="8228">
      <c r="D8228" s="39"/>
      <c r="E8228" s="39"/>
      <c r="F8228" s="39"/>
    </row>
    <row r="8229">
      <c r="D8229" s="39"/>
      <c r="E8229" s="39"/>
      <c r="F8229" s="39"/>
    </row>
    <row r="8230">
      <c r="D8230" s="39"/>
      <c r="E8230" s="39"/>
      <c r="F8230" s="39"/>
    </row>
    <row r="8231">
      <c r="D8231" s="39"/>
      <c r="E8231" s="39"/>
      <c r="F8231" s="39"/>
    </row>
    <row r="8232">
      <c r="D8232" s="39"/>
      <c r="E8232" s="39"/>
      <c r="F8232" s="39"/>
    </row>
    <row r="8233">
      <c r="D8233" s="39"/>
      <c r="E8233" s="39"/>
      <c r="F8233" s="39"/>
    </row>
    <row r="8234">
      <c r="D8234" s="39"/>
      <c r="E8234" s="39"/>
      <c r="F8234" s="39"/>
    </row>
    <row r="8235">
      <c r="D8235" s="39"/>
      <c r="E8235" s="39"/>
      <c r="F8235" s="39"/>
    </row>
    <row r="8236">
      <c r="D8236" s="39"/>
      <c r="E8236" s="39"/>
      <c r="F8236" s="39"/>
    </row>
    <row r="8237">
      <c r="D8237" s="39"/>
      <c r="E8237" s="39"/>
      <c r="F8237" s="39"/>
    </row>
    <row r="8238">
      <c r="D8238" s="39"/>
      <c r="E8238" s="39"/>
      <c r="F8238" s="39"/>
    </row>
    <row r="8239">
      <c r="D8239" s="39"/>
      <c r="E8239" s="39"/>
      <c r="F8239" s="39"/>
    </row>
    <row r="8240">
      <c r="D8240" s="39"/>
      <c r="E8240" s="39"/>
      <c r="F8240" s="39"/>
    </row>
    <row r="8241">
      <c r="D8241" s="39"/>
      <c r="E8241" s="39"/>
      <c r="F8241" s="39"/>
    </row>
    <row r="8242">
      <c r="D8242" s="39"/>
      <c r="E8242" s="39"/>
      <c r="F8242" s="39"/>
    </row>
    <row r="8243">
      <c r="D8243" s="39"/>
      <c r="E8243" s="39"/>
      <c r="F8243" s="39"/>
    </row>
    <row r="8244">
      <c r="D8244" s="39"/>
      <c r="E8244" s="39"/>
      <c r="F8244" s="39"/>
    </row>
    <row r="8245">
      <c r="D8245" s="39"/>
      <c r="E8245" s="39"/>
      <c r="F8245" s="39"/>
    </row>
    <row r="8246">
      <c r="D8246" s="39"/>
      <c r="E8246" s="39"/>
      <c r="F8246" s="39"/>
    </row>
    <row r="8247">
      <c r="D8247" s="39"/>
      <c r="E8247" s="39"/>
      <c r="F8247" s="39"/>
    </row>
    <row r="8248">
      <c r="D8248" s="39"/>
      <c r="E8248" s="39"/>
      <c r="F8248" s="39"/>
    </row>
    <row r="8249">
      <c r="D8249" s="39"/>
      <c r="E8249" s="39"/>
      <c r="F8249" s="39"/>
    </row>
    <row r="8250">
      <c r="D8250" s="39"/>
      <c r="E8250" s="39"/>
      <c r="F8250" s="39"/>
    </row>
    <row r="8251">
      <c r="D8251" s="39"/>
      <c r="E8251" s="39"/>
      <c r="F8251" s="39"/>
    </row>
    <row r="8252">
      <c r="D8252" s="39"/>
      <c r="E8252" s="39"/>
      <c r="F8252" s="39"/>
    </row>
    <row r="8253">
      <c r="D8253" s="39"/>
      <c r="E8253" s="39"/>
      <c r="F8253" s="39"/>
    </row>
    <row r="8254">
      <c r="D8254" s="39"/>
      <c r="E8254" s="39"/>
      <c r="F8254" s="39"/>
    </row>
    <row r="8255">
      <c r="D8255" s="39"/>
      <c r="E8255" s="39"/>
      <c r="F8255" s="39"/>
    </row>
    <row r="8256">
      <c r="D8256" s="39"/>
      <c r="E8256" s="39"/>
      <c r="F8256" s="39"/>
    </row>
    <row r="8257">
      <c r="D8257" s="39"/>
      <c r="E8257" s="39"/>
      <c r="F8257" s="39"/>
    </row>
    <row r="8258">
      <c r="D8258" s="39"/>
      <c r="E8258" s="39"/>
      <c r="F8258" s="39"/>
    </row>
    <row r="8259">
      <c r="D8259" s="39"/>
      <c r="E8259" s="39"/>
      <c r="F8259" s="39"/>
    </row>
    <row r="8260">
      <c r="D8260" s="39"/>
      <c r="E8260" s="39"/>
      <c r="F8260" s="39"/>
    </row>
    <row r="8261">
      <c r="D8261" s="39"/>
      <c r="E8261" s="39"/>
      <c r="F8261" s="39"/>
    </row>
    <row r="8262">
      <c r="D8262" s="39"/>
      <c r="E8262" s="39"/>
      <c r="F8262" s="39"/>
    </row>
    <row r="8263">
      <c r="D8263" s="39"/>
      <c r="E8263" s="39"/>
      <c r="F8263" s="39"/>
    </row>
    <row r="8264">
      <c r="D8264" s="39"/>
      <c r="E8264" s="39"/>
      <c r="F8264" s="39"/>
    </row>
    <row r="8265">
      <c r="D8265" s="39"/>
      <c r="E8265" s="39"/>
      <c r="F8265" s="39"/>
    </row>
    <row r="8266">
      <c r="D8266" s="39"/>
      <c r="E8266" s="39"/>
      <c r="F8266" s="39"/>
    </row>
    <row r="8267">
      <c r="D8267" s="39"/>
      <c r="E8267" s="39"/>
      <c r="F8267" s="39"/>
    </row>
    <row r="8268">
      <c r="D8268" s="39"/>
      <c r="E8268" s="39"/>
      <c r="F8268" s="39"/>
    </row>
    <row r="8269">
      <c r="D8269" s="39"/>
      <c r="E8269" s="39"/>
      <c r="F8269" s="39"/>
    </row>
    <row r="8270">
      <c r="D8270" s="39"/>
      <c r="E8270" s="39"/>
      <c r="F8270" s="39"/>
    </row>
    <row r="8271">
      <c r="D8271" s="39"/>
      <c r="E8271" s="39"/>
      <c r="F8271" s="39"/>
    </row>
    <row r="8272">
      <c r="D8272" s="39"/>
      <c r="E8272" s="39"/>
      <c r="F8272" s="39"/>
    </row>
    <row r="8273">
      <c r="D8273" s="39"/>
      <c r="E8273" s="39"/>
      <c r="F8273" s="39"/>
    </row>
    <row r="8274">
      <c r="D8274" s="39"/>
      <c r="E8274" s="39"/>
      <c r="F8274" s="39"/>
    </row>
    <row r="8275">
      <c r="D8275" s="39"/>
      <c r="E8275" s="39"/>
      <c r="F8275" s="39"/>
    </row>
    <row r="8276">
      <c r="D8276" s="39"/>
      <c r="E8276" s="39"/>
      <c r="F8276" s="39"/>
    </row>
    <row r="8277">
      <c r="D8277" s="39"/>
      <c r="E8277" s="39"/>
      <c r="F8277" s="39"/>
    </row>
    <row r="8278">
      <c r="D8278" s="39"/>
      <c r="E8278" s="39"/>
      <c r="F8278" s="39"/>
    </row>
    <row r="8279">
      <c r="D8279" s="39"/>
      <c r="E8279" s="39"/>
      <c r="F8279" s="39"/>
    </row>
    <row r="8280">
      <c r="D8280" s="39"/>
      <c r="E8280" s="39"/>
      <c r="F8280" s="39"/>
    </row>
    <row r="8281">
      <c r="D8281" s="39"/>
      <c r="E8281" s="39"/>
      <c r="F8281" s="39"/>
    </row>
    <row r="8282">
      <c r="D8282" s="39"/>
      <c r="E8282" s="39"/>
      <c r="F8282" s="39"/>
    </row>
    <row r="8283">
      <c r="D8283" s="39"/>
      <c r="E8283" s="39"/>
      <c r="F8283" s="39"/>
    </row>
    <row r="8284">
      <c r="D8284" s="39"/>
      <c r="E8284" s="39"/>
      <c r="F8284" s="39"/>
    </row>
    <row r="8285">
      <c r="D8285" s="39"/>
      <c r="E8285" s="39"/>
      <c r="F8285" s="39"/>
    </row>
    <row r="8286">
      <c r="D8286" s="39"/>
      <c r="E8286" s="39"/>
      <c r="F8286" s="39"/>
    </row>
    <row r="8287">
      <c r="D8287" s="39"/>
      <c r="E8287" s="39"/>
      <c r="F8287" s="39"/>
    </row>
    <row r="8288">
      <c r="D8288" s="39"/>
      <c r="E8288" s="39"/>
      <c r="F8288" s="39"/>
    </row>
    <row r="8289">
      <c r="D8289" s="39"/>
      <c r="E8289" s="39"/>
      <c r="F8289" s="39"/>
    </row>
    <row r="8290">
      <c r="D8290" s="39"/>
      <c r="E8290" s="39"/>
      <c r="F8290" s="39"/>
    </row>
    <row r="8291">
      <c r="D8291" s="39"/>
      <c r="E8291" s="39"/>
      <c r="F8291" s="39"/>
    </row>
    <row r="8292">
      <c r="D8292" s="39"/>
      <c r="E8292" s="39"/>
      <c r="F8292" s="39"/>
    </row>
    <row r="8293">
      <c r="D8293" s="39"/>
      <c r="E8293" s="39"/>
      <c r="F8293" s="39"/>
    </row>
    <row r="8294">
      <c r="D8294" s="39"/>
      <c r="E8294" s="39"/>
      <c r="F8294" s="39"/>
    </row>
    <row r="8295">
      <c r="D8295" s="39"/>
      <c r="E8295" s="39"/>
      <c r="F8295" s="39"/>
    </row>
    <row r="8296">
      <c r="D8296" s="39"/>
      <c r="E8296" s="39"/>
      <c r="F8296" s="39"/>
    </row>
    <row r="8297">
      <c r="D8297" s="39"/>
      <c r="E8297" s="39"/>
      <c r="F8297" s="39"/>
    </row>
    <row r="8298">
      <c r="D8298" s="39"/>
      <c r="E8298" s="39"/>
      <c r="F8298" s="39"/>
    </row>
    <row r="8299">
      <c r="D8299" s="39"/>
      <c r="E8299" s="39"/>
      <c r="F8299" s="39"/>
    </row>
    <row r="8300">
      <c r="D8300" s="39"/>
      <c r="E8300" s="39"/>
      <c r="F8300" s="39"/>
    </row>
    <row r="8301">
      <c r="D8301" s="39"/>
      <c r="E8301" s="39"/>
      <c r="F8301" s="39"/>
    </row>
    <row r="8302">
      <c r="D8302" s="39"/>
      <c r="E8302" s="39"/>
      <c r="F8302" s="39"/>
    </row>
    <row r="8303">
      <c r="D8303" s="39"/>
      <c r="E8303" s="39"/>
      <c r="F8303" s="39"/>
    </row>
    <row r="8304">
      <c r="D8304" s="39"/>
      <c r="E8304" s="39"/>
      <c r="F8304" s="39"/>
    </row>
    <row r="8305">
      <c r="D8305" s="39"/>
      <c r="E8305" s="39"/>
      <c r="F8305" s="39"/>
    </row>
    <row r="8306">
      <c r="D8306" s="39"/>
      <c r="E8306" s="39"/>
      <c r="F8306" s="39"/>
    </row>
    <row r="8307">
      <c r="D8307" s="39"/>
      <c r="E8307" s="39"/>
      <c r="F8307" s="39"/>
    </row>
    <row r="8308">
      <c r="D8308" s="39"/>
      <c r="E8308" s="39"/>
      <c r="F8308" s="39"/>
    </row>
    <row r="8309">
      <c r="D8309" s="39"/>
      <c r="E8309" s="39"/>
      <c r="F8309" s="39"/>
    </row>
    <row r="8310">
      <c r="D8310" s="39"/>
      <c r="E8310" s="39"/>
      <c r="F8310" s="39"/>
    </row>
    <row r="8311">
      <c r="D8311" s="39"/>
      <c r="E8311" s="39"/>
      <c r="F8311" s="39"/>
    </row>
    <row r="8312">
      <c r="D8312" s="39"/>
      <c r="E8312" s="39"/>
      <c r="F8312" s="39"/>
    </row>
    <row r="8313">
      <c r="D8313" s="39"/>
      <c r="E8313" s="39"/>
      <c r="F8313" s="39"/>
    </row>
    <row r="8314">
      <c r="D8314" s="39"/>
      <c r="E8314" s="39"/>
      <c r="F8314" s="39"/>
    </row>
    <row r="8315">
      <c r="D8315" s="39"/>
      <c r="E8315" s="39"/>
      <c r="F8315" s="39"/>
    </row>
    <row r="8316">
      <c r="D8316" s="39"/>
      <c r="E8316" s="39"/>
      <c r="F8316" s="39"/>
    </row>
    <row r="8317">
      <c r="D8317" s="39"/>
      <c r="E8317" s="39"/>
      <c r="F8317" s="39"/>
    </row>
    <row r="8318">
      <c r="D8318" s="39"/>
      <c r="E8318" s="39"/>
      <c r="F8318" s="39"/>
    </row>
    <row r="8319">
      <c r="D8319" s="39"/>
      <c r="E8319" s="39"/>
      <c r="F8319" s="39"/>
    </row>
    <row r="8320">
      <c r="D8320" s="39"/>
      <c r="E8320" s="39"/>
      <c r="F8320" s="39"/>
    </row>
    <row r="8321">
      <c r="D8321" s="39"/>
      <c r="E8321" s="39"/>
      <c r="F8321" s="39"/>
    </row>
    <row r="8322">
      <c r="D8322" s="39"/>
      <c r="E8322" s="39"/>
      <c r="F8322" s="39"/>
    </row>
    <row r="8323">
      <c r="D8323" s="39"/>
      <c r="E8323" s="39"/>
      <c r="F8323" s="39"/>
    </row>
    <row r="8324">
      <c r="D8324" s="39"/>
      <c r="E8324" s="39"/>
      <c r="F8324" s="39"/>
    </row>
    <row r="8325">
      <c r="D8325" s="39"/>
      <c r="E8325" s="39"/>
      <c r="F8325" s="39"/>
    </row>
    <row r="8326">
      <c r="D8326" s="39"/>
      <c r="E8326" s="39"/>
      <c r="F8326" s="39"/>
    </row>
    <row r="8327">
      <c r="D8327" s="39"/>
      <c r="E8327" s="39"/>
      <c r="F8327" s="39"/>
    </row>
    <row r="8328">
      <c r="D8328" s="39"/>
      <c r="E8328" s="39"/>
      <c r="F8328" s="39"/>
    </row>
    <row r="8329">
      <c r="D8329" s="39"/>
      <c r="E8329" s="39"/>
      <c r="F8329" s="39"/>
    </row>
    <row r="8330">
      <c r="D8330" s="39"/>
      <c r="E8330" s="39"/>
      <c r="F8330" s="39"/>
    </row>
    <row r="8331">
      <c r="D8331" s="39"/>
      <c r="E8331" s="39"/>
      <c r="F8331" s="39"/>
    </row>
    <row r="8332">
      <c r="D8332" s="39"/>
      <c r="E8332" s="39"/>
      <c r="F8332" s="39"/>
    </row>
    <row r="8333">
      <c r="D8333" s="39"/>
      <c r="E8333" s="39"/>
      <c r="F8333" s="39"/>
    </row>
    <row r="8334">
      <c r="D8334" s="39"/>
      <c r="E8334" s="39"/>
      <c r="F8334" s="39"/>
    </row>
    <row r="8335">
      <c r="D8335" s="39"/>
      <c r="E8335" s="39"/>
      <c r="F8335" s="39"/>
    </row>
    <row r="8336">
      <c r="D8336" s="39"/>
      <c r="E8336" s="39"/>
      <c r="F8336" s="39"/>
    </row>
    <row r="8337">
      <c r="D8337" s="39"/>
      <c r="E8337" s="39"/>
      <c r="F8337" s="39"/>
    </row>
    <row r="8338">
      <c r="D8338" s="39"/>
      <c r="E8338" s="39"/>
      <c r="F8338" s="39"/>
    </row>
    <row r="8339">
      <c r="D8339" s="39"/>
      <c r="E8339" s="39"/>
      <c r="F8339" s="39"/>
    </row>
    <row r="8340">
      <c r="D8340" s="39"/>
      <c r="E8340" s="39"/>
      <c r="F8340" s="39"/>
    </row>
    <row r="8341">
      <c r="D8341" s="39"/>
      <c r="E8341" s="39"/>
      <c r="F8341" s="39"/>
    </row>
    <row r="8342">
      <c r="D8342" s="39"/>
      <c r="E8342" s="39"/>
      <c r="F8342" s="39"/>
    </row>
    <row r="8343">
      <c r="D8343" s="39"/>
      <c r="E8343" s="39"/>
      <c r="F8343" s="39"/>
    </row>
    <row r="8344">
      <c r="D8344" s="39"/>
      <c r="E8344" s="39"/>
      <c r="F8344" s="39"/>
    </row>
    <row r="8345">
      <c r="D8345" s="39"/>
      <c r="E8345" s="39"/>
      <c r="F8345" s="39"/>
    </row>
    <row r="8346">
      <c r="D8346" s="39"/>
      <c r="E8346" s="39"/>
      <c r="F8346" s="39"/>
    </row>
    <row r="8347">
      <c r="D8347" s="39"/>
      <c r="E8347" s="39"/>
      <c r="F8347" s="39"/>
    </row>
    <row r="8348">
      <c r="D8348" s="39"/>
      <c r="E8348" s="39"/>
      <c r="F8348" s="39"/>
    </row>
    <row r="8349">
      <c r="D8349" s="39"/>
      <c r="E8349" s="39"/>
      <c r="F8349" s="39"/>
    </row>
    <row r="8350">
      <c r="D8350" s="39"/>
      <c r="E8350" s="39"/>
      <c r="F8350" s="39"/>
    </row>
    <row r="8351">
      <c r="D8351" s="39"/>
      <c r="E8351" s="39"/>
      <c r="F8351" s="39"/>
    </row>
    <row r="8352">
      <c r="D8352" s="39"/>
      <c r="E8352" s="39"/>
      <c r="F8352" s="39"/>
    </row>
    <row r="8353">
      <c r="D8353" s="39"/>
      <c r="E8353" s="39"/>
      <c r="F8353" s="39"/>
    </row>
    <row r="8354">
      <c r="D8354" s="39"/>
      <c r="E8354" s="39"/>
      <c r="F8354" s="39"/>
    </row>
    <row r="8355">
      <c r="D8355" s="39"/>
      <c r="E8355" s="39"/>
      <c r="F8355" s="39"/>
    </row>
    <row r="8356">
      <c r="D8356" s="39"/>
      <c r="E8356" s="39"/>
      <c r="F8356" s="39"/>
    </row>
    <row r="8357">
      <c r="D8357" s="39"/>
      <c r="E8357" s="39"/>
      <c r="F8357" s="39"/>
    </row>
    <row r="8358">
      <c r="D8358" s="39"/>
      <c r="E8358" s="39"/>
      <c r="F8358" s="39"/>
    </row>
    <row r="8359">
      <c r="D8359" s="39"/>
      <c r="E8359" s="39"/>
      <c r="F8359" s="39"/>
    </row>
    <row r="8360">
      <c r="D8360" s="39"/>
      <c r="E8360" s="39"/>
      <c r="F8360" s="39"/>
    </row>
    <row r="8361">
      <c r="D8361" s="39"/>
      <c r="E8361" s="39"/>
      <c r="F8361" s="39"/>
    </row>
    <row r="8362">
      <c r="D8362" s="39"/>
      <c r="E8362" s="39"/>
      <c r="F8362" s="39"/>
    </row>
    <row r="8363">
      <c r="D8363" s="39"/>
      <c r="E8363" s="39"/>
      <c r="F8363" s="39"/>
    </row>
    <row r="8364">
      <c r="D8364" s="39"/>
      <c r="E8364" s="39"/>
      <c r="F8364" s="39"/>
    </row>
    <row r="8365">
      <c r="D8365" s="39"/>
      <c r="E8365" s="39"/>
      <c r="F8365" s="39"/>
    </row>
    <row r="8366">
      <c r="D8366" s="39"/>
      <c r="E8366" s="39"/>
      <c r="F8366" s="39"/>
    </row>
    <row r="8367">
      <c r="D8367" s="39"/>
      <c r="E8367" s="39"/>
      <c r="F8367" s="39"/>
    </row>
    <row r="8368">
      <c r="D8368" s="39"/>
      <c r="E8368" s="39"/>
      <c r="F8368" s="39"/>
    </row>
    <row r="8369">
      <c r="D8369" s="39"/>
      <c r="E8369" s="39"/>
      <c r="F8369" s="39"/>
    </row>
    <row r="8370">
      <c r="D8370" s="39"/>
      <c r="E8370" s="39"/>
      <c r="F8370" s="39"/>
    </row>
    <row r="8371">
      <c r="D8371" s="39"/>
      <c r="E8371" s="39"/>
      <c r="F8371" s="39"/>
    </row>
    <row r="8372">
      <c r="D8372" s="39"/>
      <c r="E8372" s="39"/>
      <c r="F8372" s="39"/>
    </row>
    <row r="8373">
      <c r="D8373" s="39"/>
      <c r="E8373" s="39"/>
      <c r="F8373" s="39"/>
    </row>
    <row r="8374">
      <c r="D8374" s="39"/>
      <c r="E8374" s="39"/>
      <c r="F8374" s="39"/>
    </row>
    <row r="8375">
      <c r="D8375" s="39"/>
      <c r="E8375" s="39"/>
      <c r="F8375" s="39"/>
    </row>
    <row r="8376">
      <c r="D8376" s="39"/>
      <c r="E8376" s="39"/>
      <c r="F8376" s="39"/>
    </row>
    <row r="8377">
      <c r="D8377" s="39"/>
      <c r="E8377" s="39"/>
      <c r="F8377" s="39"/>
    </row>
    <row r="8378">
      <c r="D8378" s="39"/>
      <c r="E8378" s="39"/>
      <c r="F8378" s="39"/>
    </row>
    <row r="8379">
      <c r="D8379" s="39"/>
      <c r="E8379" s="39"/>
      <c r="F8379" s="39"/>
    </row>
    <row r="8380">
      <c r="D8380" s="39"/>
      <c r="E8380" s="39"/>
      <c r="F8380" s="39"/>
    </row>
    <row r="8381">
      <c r="D8381" s="39"/>
      <c r="E8381" s="39"/>
      <c r="F8381" s="39"/>
    </row>
    <row r="8382">
      <c r="D8382" s="39"/>
      <c r="E8382" s="39"/>
      <c r="F8382" s="39"/>
    </row>
    <row r="8383">
      <c r="D8383" s="39"/>
      <c r="E8383" s="39"/>
      <c r="F8383" s="39"/>
    </row>
    <row r="8384">
      <c r="D8384" s="39"/>
      <c r="E8384" s="39"/>
      <c r="F8384" s="39"/>
    </row>
    <row r="8385">
      <c r="D8385" s="39"/>
      <c r="E8385" s="39"/>
      <c r="F8385" s="39"/>
    </row>
    <row r="8386">
      <c r="D8386" s="39"/>
      <c r="E8386" s="39"/>
      <c r="F8386" s="39"/>
    </row>
    <row r="8387">
      <c r="D8387" s="39"/>
      <c r="E8387" s="39"/>
      <c r="F8387" s="39"/>
    </row>
    <row r="8388">
      <c r="D8388" s="39"/>
      <c r="E8388" s="39"/>
      <c r="F8388" s="39"/>
    </row>
    <row r="8389">
      <c r="D8389" s="39"/>
      <c r="E8389" s="39"/>
      <c r="F8389" s="39"/>
    </row>
    <row r="8390">
      <c r="D8390" s="39"/>
      <c r="E8390" s="39"/>
      <c r="F8390" s="39"/>
    </row>
    <row r="8391">
      <c r="D8391" s="39"/>
      <c r="E8391" s="39"/>
      <c r="F8391" s="39"/>
    </row>
    <row r="8392">
      <c r="D8392" s="39"/>
      <c r="E8392" s="39"/>
      <c r="F8392" s="39"/>
    </row>
    <row r="8393">
      <c r="D8393" s="39"/>
      <c r="E8393" s="39"/>
      <c r="F8393" s="39"/>
    </row>
    <row r="8394">
      <c r="D8394" s="39"/>
      <c r="E8394" s="39"/>
      <c r="F8394" s="39"/>
    </row>
    <row r="8395">
      <c r="D8395" s="39"/>
      <c r="E8395" s="39"/>
      <c r="F8395" s="39"/>
    </row>
    <row r="8396">
      <c r="D8396" s="39"/>
      <c r="E8396" s="39"/>
      <c r="F8396" s="39"/>
    </row>
    <row r="8397">
      <c r="D8397" s="39"/>
      <c r="E8397" s="39"/>
      <c r="F8397" s="39"/>
    </row>
    <row r="8398">
      <c r="D8398" s="39"/>
      <c r="E8398" s="39"/>
      <c r="F8398" s="39"/>
    </row>
    <row r="8399">
      <c r="D8399" s="39"/>
      <c r="E8399" s="39"/>
      <c r="F8399" s="39"/>
    </row>
    <row r="8400">
      <c r="D8400" s="39"/>
      <c r="E8400" s="39"/>
      <c r="F8400" s="39"/>
    </row>
    <row r="8401">
      <c r="D8401" s="39"/>
      <c r="E8401" s="39"/>
      <c r="F8401" s="39"/>
    </row>
    <row r="8402">
      <c r="D8402" s="39"/>
      <c r="E8402" s="39"/>
      <c r="F8402" s="39"/>
    </row>
    <row r="8403">
      <c r="D8403" s="39"/>
      <c r="E8403" s="39"/>
      <c r="F8403" s="39"/>
    </row>
    <row r="8404">
      <c r="D8404" s="39"/>
      <c r="E8404" s="39"/>
      <c r="F8404" s="39"/>
    </row>
    <row r="8405">
      <c r="D8405" s="39"/>
      <c r="E8405" s="39"/>
      <c r="F8405" s="39"/>
    </row>
    <row r="8406">
      <c r="D8406" s="39"/>
      <c r="E8406" s="39"/>
      <c r="F8406" s="39"/>
    </row>
    <row r="8407">
      <c r="D8407" s="39"/>
      <c r="E8407" s="39"/>
      <c r="F8407" s="39"/>
    </row>
    <row r="8408">
      <c r="D8408" s="39"/>
      <c r="E8408" s="39"/>
      <c r="F8408" s="39"/>
    </row>
    <row r="8409">
      <c r="D8409" s="39"/>
      <c r="E8409" s="39"/>
      <c r="F8409" s="39"/>
    </row>
    <row r="8410">
      <c r="D8410" s="39"/>
      <c r="E8410" s="39"/>
      <c r="F8410" s="39"/>
    </row>
    <row r="8411">
      <c r="D8411" s="39"/>
      <c r="E8411" s="39"/>
      <c r="F8411" s="39"/>
    </row>
    <row r="8412">
      <c r="D8412" s="39"/>
      <c r="E8412" s="39"/>
      <c r="F8412" s="39"/>
    </row>
    <row r="8413">
      <c r="D8413" s="39"/>
      <c r="E8413" s="39"/>
      <c r="F8413" s="39"/>
    </row>
    <row r="8414">
      <c r="D8414" s="39"/>
      <c r="E8414" s="39"/>
      <c r="F8414" s="39"/>
    </row>
    <row r="8415">
      <c r="D8415" s="39"/>
      <c r="E8415" s="39"/>
      <c r="F8415" s="39"/>
    </row>
    <row r="8416">
      <c r="D8416" s="39"/>
      <c r="E8416" s="39"/>
      <c r="F8416" s="39"/>
    </row>
    <row r="8417">
      <c r="D8417" s="39"/>
      <c r="E8417" s="39"/>
      <c r="F8417" s="39"/>
    </row>
    <row r="8418">
      <c r="D8418" s="39"/>
      <c r="E8418" s="39"/>
      <c r="F8418" s="39"/>
    </row>
    <row r="8419">
      <c r="D8419" s="39"/>
      <c r="E8419" s="39"/>
      <c r="F8419" s="39"/>
    </row>
    <row r="8420">
      <c r="D8420" s="39"/>
      <c r="E8420" s="39"/>
      <c r="F8420" s="39"/>
    </row>
    <row r="8421">
      <c r="D8421" s="39"/>
      <c r="E8421" s="39"/>
      <c r="F8421" s="39"/>
    </row>
    <row r="8422">
      <c r="D8422" s="39"/>
      <c r="E8422" s="39"/>
      <c r="F8422" s="39"/>
    </row>
    <row r="8423">
      <c r="D8423" s="39"/>
      <c r="E8423" s="39"/>
      <c r="F8423" s="39"/>
    </row>
    <row r="8424">
      <c r="D8424" s="39"/>
      <c r="E8424" s="39"/>
      <c r="F8424" s="39"/>
    </row>
    <row r="8425">
      <c r="D8425" s="39"/>
      <c r="E8425" s="39"/>
      <c r="F8425" s="39"/>
    </row>
    <row r="8426">
      <c r="D8426" s="39"/>
      <c r="E8426" s="39"/>
      <c r="F8426" s="39"/>
    </row>
    <row r="8427">
      <c r="D8427" s="39"/>
      <c r="E8427" s="39"/>
      <c r="F8427" s="39"/>
    </row>
    <row r="8428">
      <c r="D8428" s="39"/>
      <c r="E8428" s="39"/>
      <c r="F8428" s="39"/>
    </row>
    <row r="8429">
      <c r="D8429" s="39"/>
      <c r="E8429" s="39"/>
      <c r="F8429" s="39"/>
    </row>
    <row r="8430">
      <c r="D8430" s="39"/>
      <c r="E8430" s="39"/>
      <c r="F8430" s="39"/>
    </row>
    <row r="8431">
      <c r="D8431" s="39"/>
      <c r="E8431" s="39"/>
      <c r="F8431" s="39"/>
    </row>
    <row r="8432">
      <c r="D8432" s="39"/>
      <c r="E8432" s="39"/>
      <c r="F8432" s="39"/>
    </row>
    <row r="8433">
      <c r="D8433" s="39"/>
      <c r="E8433" s="39"/>
      <c r="F8433" s="39"/>
    </row>
    <row r="8434">
      <c r="D8434" s="39"/>
      <c r="E8434" s="39"/>
      <c r="F8434" s="39"/>
    </row>
    <row r="8435">
      <c r="D8435" s="39"/>
      <c r="E8435" s="39"/>
      <c r="F8435" s="39"/>
    </row>
    <row r="8436">
      <c r="D8436" s="39"/>
      <c r="E8436" s="39"/>
      <c r="F8436" s="39"/>
    </row>
    <row r="8437">
      <c r="D8437" s="39"/>
      <c r="E8437" s="39"/>
      <c r="F8437" s="39"/>
    </row>
    <row r="8438">
      <c r="D8438" s="39"/>
      <c r="E8438" s="39"/>
      <c r="F8438" s="39"/>
    </row>
    <row r="8439">
      <c r="D8439" s="39"/>
      <c r="E8439" s="39"/>
      <c r="F8439" s="39"/>
    </row>
    <row r="8440">
      <c r="D8440" s="39"/>
      <c r="E8440" s="39"/>
      <c r="F8440" s="39"/>
    </row>
    <row r="8441">
      <c r="D8441" s="39"/>
      <c r="E8441" s="39"/>
      <c r="F8441" s="39"/>
    </row>
    <row r="8442">
      <c r="D8442" s="39"/>
      <c r="E8442" s="39"/>
      <c r="F8442" s="39"/>
    </row>
    <row r="8443">
      <c r="D8443" s="39"/>
      <c r="E8443" s="39"/>
      <c r="F8443" s="39"/>
    </row>
    <row r="8444">
      <c r="D8444" s="39"/>
      <c r="E8444" s="39"/>
      <c r="F8444" s="39"/>
    </row>
    <row r="8445">
      <c r="D8445" s="39"/>
      <c r="E8445" s="39"/>
      <c r="F8445" s="39"/>
    </row>
    <row r="8446">
      <c r="D8446" s="39"/>
      <c r="E8446" s="39"/>
      <c r="F8446" s="39"/>
    </row>
    <row r="8447">
      <c r="D8447" s="39"/>
      <c r="E8447" s="39"/>
      <c r="F8447" s="39"/>
    </row>
    <row r="8448">
      <c r="D8448" s="39"/>
      <c r="E8448" s="39"/>
      <c r="F8448" s="39"/>
    </row>
    <row r="8449">
      <c r="D8449" s="39"/>
      <c r="E8449" s="39"/>
      <c r="F8449" s="39"/>
    </row>
    <row r="8450">
      <c r="D8450" s="39"/>
      <c r="E8450" s="39"/>
      <c r="F8450" s="39"/>
    </row>
    <row r="8451">
      <c r="D8451" s="39"/>
      <c r="E8451" s="39"/>
      <c r="F8451" s="39"/>
    </row>
    <row r="8452">
      <c r="D8452" s="39"/>
      <c r="E8452" s="39"/>
      <c r="F8452" s="39"/>
    </row>
    <row r="8453">
      <c r="D8453" s="39"/>
      <c r="E8453" s="39"/>
      <c r="F8453" s="39"/>
    </row>
    <row r="8454">
      <c r="D8454" s="39"/>
      <c r="E8454" s="39"/>
      <c r="F8454" s="39"/>
    </row>
    <row r="8455">
      <c r="D8455" s="39"/>
      <c r="E8455" s="39"/>
      <c r="F8455" s="39"/>
    </row>
    <row r="8456">
      <c r="D8456" s="39"/>
      <c r="E8456" s="39"/>
      <c r="F8456" s="39"/>
    </row>
    <row r="8457">
      <c r="D8457" s="39"/>
      <c r="E8457" s="39"/>
      <c r="F8457" s="39"/>
    </row>
    <row r="8458">
      <c r="D8458" s="39"/>
      <c r="E8458" s="39"/>
      <c r="F8458" s="39"/>
    </row>
    <row r="8459">
      <c r="D8459" s="39"/>
      <c r="E8459" s="39"/>
      <c r="F8459" s="39"/>
    </row>
    <row r="8460">
      <c r="D8460" s="39"/>
      <c r="E8460" s="39"/>
      <c r="F8460" s="39"/>
    </row>
    <row r="8461">
      <c r="D8461" s="39"/>
      <c r="E8461" s="39"/>
      <c r="F8461" s="39"/>
    </row>
    <row r="8462">
      <c r="D8462" s="39"/>
      <c r="E8462" s="39"/>
      <c r="F8462" s="39"/>
    </row>
    <row r="8463">
      <c r="D8463" s="39"/>
      <c r="E8463" s="39"/>
      <c r="F8463" s="39"/>
    </row>
    <row r="8464">
      <c r="D8464" s="39"/>
      <c r="E8464" s="39"/>
      <c r="F8464" s="39"/>
    </row>
    <row r="8465">
      <c r="D8465" s="39"/>
      <c r="E8465" s="39"/>
      <c r="F8465" s="39"/>
    </row>
    <row r="8466">
      <c r="D8466" s="39"/>
      <c r="E8466" s="39"/>
      <c r="F8466" s="39"/>
    </row>
    <row r="8467">
      <c r="D8467" s="39"/>
      <c r="E8467" s="39"/>
      <c r="F8467" s="39"/>
    </row>
    <row r="8468">
      <c r="D8468" s="39"/>
      <c r="E8468" s="39"/>
      <c r="F8468" s="39"/>
    </row>
    <row r="8469">
      <c r="D8469" s="39"/>
      <c r="E8469" s="39"/>
      <c r="F8469" s="39"/>
    </row>
    <row r="8470">
      <c r="D8470" s="39"/>
      <c r="E8470" s="39"/>
      <c r="F8470" s="39"/>
    </row>
    <row r="8471">
      <c r="D8471" s="39"/>
      <c r="E8471" s="39"/>
      <c r="F8471" s="39"/>
    </row>
    <row r="8472">
      <c r="D8472" s="39"/>
      <c r="E8472" s="39"/>
      <c r="F8472" s="39"/>
    </row>
    <row r="8473">
      <c r="D8473" s="39"/>
      <c r="E8473" s="39"/>
      <c r="F8473" s="39"/>
    </row>
    <row r="8474">
      <c r="D8474" s="39"/>
      <c r="E8474" s="39"/>
      <c r="F8474" s="39"/>
    </row>
    <row r="8475">
      <c r="D8475" s="39"/>
      <c r="E8475" s="39"/>
      <c r="F8475" s="39"/>
    </row>
    <row r="8476">
      <c r="D8476" s="39"/>
      <c r="E8476" s="39"/>
      <c r="F8476" s="39"/>
    </row>
    <row r="8477">
      <c r="D8477" s="39"/>
      <c r="E8477" s="39"/>
      <c r="F8477" s="39"/>
    </row>
    <row r="8478">
      <c r="D8478" s="39"/>
      <c r="E8478" s="39"/>
      <c r="F8478" s="39"/>
    </row>
    <row r="8479">
      <c r="D8479" s="39"/>
      <c r="E8479" s="39"/>
      <c r="F8479" s="39"/>
    </row>
    <row r="8480">
      <c r="D8480" s="39"/>
      <c r="E8480" s="39"/>
      <c r="F8480" s="39"/>
    </row>
    <row r="8481">
      <c r="D8481" s="39"/>
      <c r="E8481" s="39"/>
      <c r="F8481" s="39"/>
    </row>
    <row r="8482">
      <c r="D8482" s="39"/>
      <c r="E8482" s="39"/>
      <c r="F8482" s="39"/>
    </row>
    <row r="8483">
      <c r="D8483" s="39"/>
      <c r="E8483" s="39"/>
      <c r="F8483" s="39"/>
    </row>
    <row r="8484">
      <c r="D8484" s="39"/>
      <c r="E8484" s="39"/>
      <c r="F8484" s="39"/>
    </row>
    <row r="8485">
      <c r="D8485" s="39"/>
      <c r="E8485" s="39"/>
      <c r="F8485" s="39"/>
    </row>
    <row r="8486">
      <c r="D8486" s="39"/>
      <c r="E8486" s="39"/>
      <c r="F8486" s="39"/>
    </row>
    <row r="8487">
      <c r="D8487" s="39"/>
      <c r="E8487" s="39"/>
      <c r="F8487" s="39"/>
    </row>
    <row r="8488">
      <c r="D8488" s="39"/>
      <c r="E8488" s="39"/>
      <c r="F8488" s="39"/>
    </row>
    <row r="8489">
      <c r="D8489" s="39"/>
      <c r="E8489" s="39"/>
      <c r="F8489" s="39"/>
    </row>
    <row r="8490">
      <c r="D8490" s="39"/>
      <c r="E8490" s="39"/>
      <c r="F8490" s="39"/>
    </row>
    <row r="8491">
      <c r="D8491" s="39"/>
      <c r="E8491" s="39"/>
      <c r="F8491" s="39"/>
    </row>
    <row r="8492">
      <c r="D8492" s="39"/>
      <c r="E8492" s="39"/>
      <c r="F8492" s="39"/>
    </row>
    <row r="8493">
      <c r="D8493" s="39"/>
      <c r="E8493" s="39"/>
      <c r="F8493" s="39"/>
    </row>
    <row r="8494">
      <c r="D8494" s="39"/>
      <c r="E8494" s="39"/>
      <c r="F8494" s="39"/>
    </row>
    <row r="8495">
      <c r="D8495" s="39"/>
      <c r="E8495" s="39"/>
      <c r="F8495" s="39"/>
    </row>
    <row r="8496">
      <c r="D8496" s="39"/>
      <c r="E8496" s="39"/>
      <c r="F8496" s="39"/>
    </row>
    <row r="8497">
      <c r="D8497" s="39"/>
      <c r="E8497" s="39"/>
      <c r="F8497" s="39"/>
    </row>
    <row r="8498">
      <c r="D8498" s="39"/>
      <c r="E8498" s="39"/>
      <c r="F8498" s="39"/>
    </row>
    <row r="8499">
      <c r="D8499" s="39"/>
      <c r="E8499" s="39"/>
      <c r="F8499" s="39"/>
    </row>
    <row r="8500">
      <c r="D8500" s="39"/>
      <c r="E8500" s="39"/>
      <c r="F8500" s="39"/>
    </row>
    <row r="8501">
      <c r="D8501" s="39"/>
      <c r="E8501" s="39"/>
      <c r="F8501" s="39"/>
    </row>
    <row r="8502">
      <c r="D8502" s="39"/>
      <c r="E8502" s="39"/>
      <c r="F8502" s="39"/>
    </row>
    <row r="8503">
      <c r="D8503" s="39"/>
      <c r="E8503" s="39"/>
      <c r="F8503" s="39"/>
    </row>
    <row r="8504">
      <c r="D8504" s="39"/>
      <c r="E8504" s="39"/>
      <c r="F8504" s="39"/>
    </row>
    <row r="8505">
      <c r="D8505" s="39"/>
      <c r="E8505" s="39"/>
      <c r="F8505" s="39"/>
    </row>
    <row r="8506">
      <c r="D8506" s="39"/>
      <c r="E8506" s="39"/>
      <c r="F8506" s="39"/>
    </row>
    <row r="8507">
      <c r="D8507" s="39"/>
      <c r="E8507" s="39"/>
      <c r="F8507" s="39"/>
    </row>
    <row r="8508">
      <c r="D8508" s="39"/>
      <c r="E8508" s="39"/>
      <c r="F8508" s="39"/>
    </row>
    <row r="8509">
      <c r="D8509" s="39"/>
      <c r="E8509" s="39"/>
      <c r="F8509" s="39"/>
    </row>
    <row r="8510">
      <c r="D8510" s="39"/>
      <c r="E8510" s="39"/>
      <c r="F8510" s="39"/>
    </row>
    <row r="8511">
      <c r="D8511" s="39"/>
      <c r="E8511" s="39"/>
      <c r="F8511" s="39"/>
    </row>
    <row r="8512">
      <c r="D8512" s="39"/>
      <c r="E8512" s="39"/>
      <c r="F8512" s="39"/>
    </row>
    <row r="8513">
      <c r="D8513" s="39"/>
      <c r="E8513" s="39"/>
      <c r="F8513" s="39"/>
    </row>
    <row r="8514">
      <c r="D8514" s="39"/>
      <c r="E8514" s="39"/>
      <c r="F8514" s="39"/>
    </row>
    <row r="8515">
      <c r="D8515" s="39"/>
      <c r="E8515" s="39"/>
      <c r="F8515" s="39"/>
    </row>
    <row r="8516">
      <c r="D8516" s="39"/>
      <c r="E8516" s="39"/>
      <c r="F8516" s="39"/>
    </row>
    <row r="8517">
      <c r="D8517" s="39"/>
      <c r="E8517" s="39"/>
      <c r="F8517" s="39"/>
    </row>
    <row r="8518">
      <c r="D8518" s="39"/>
      <c r="E8518" s="39"/>
      <c r="F8518" s="39"/>
    </row>
    <row r="8519">
      <c r="D8519" s="39"/>
      <c r="E8519" s="39"/>
      <c r="F8519" s="39"/>
    </row>
    <row r="8520">
      <c r="D8520" s="39"/>
      <c r="E8520" s="39"/>
      <c r="F8520" s="39"/>
    </row>
    <row r="8521">
      <c r="D8521" s="39"/>
      <c r="E8521" s="39"/>
      <c r="F8521" s="39"/>
    </row>
    <row r="8522">
      <c r="D8522" s="39"/>
      <c r="E8522" s="39"/>
      <c r="F8522" s="39"/>
    </row>
    <row r="8523">
      <c r="D8523" s="39"/>
      <c r="E8523" s="39"/>
      <c r="F8523" s="39"/>
    </row>
    <row r="8524">
      <c r="D8524" s="39"/>
      <c r="E8524" s="39"/>
      <c r="F8524" s="39"/>
    </row>
    <row r="8525">
      <c r="D8525" s="39"/>
      <c r="E8525" s="39"/>
      <c r="F8525" s="39"/>
    </row>
    <row r="8526">
      <c r="D8526" s="39"/>
      <c r="E8526" s="39"/>
      <c r="F8526" s="39"/>
    </row>
    <row r="8527">
      <c r="D8527" s="39"/>
      <c r="E8527" s="39"/>
      <c r="F8527" s="39"/>
    </row>
    <row r="8528">
      <c r="D8528" s="39"/>
      <c r="E8528" s="39"/>
      <c r="F8528" s="39"/>
    </row>
    <row r="8529">
      <c r="D8529" s="39"/>
      <c r="E8529" s="39"/>
      <c r="F8529" s="39"/>
    </row>
    <row r="8530">
      <c r="D8530" s="39"/>
      <c r="E8530" s="39"/>
      <c r="F8530" s="39"/>
    </row>
    <row r="8531">
      <c r="D8531" s="39"/>
      <c r="E8531" s="39"/>
      <c r="F8531" s="39"/>
    </row>
    <row r="8532">
      <c r="D8532" s="39"/>
      <c r="E8532" s="39"/>
      <c r="F8532" s="39"/>
    </row>
    <row r="8533">
      <c r="D8533" s="39"/>
      <c r="E8533" s="39"/>
      <c r="F8533" s="39"/>
    </row>
    <row r="8534">
      <c r="D8534" s="39"/>
      <c r="E8534" s="39"/>
      <c r="F8534" s="39"/>
    </row>
    <row r="8535">
      <c r="D8535" s="39"/>
      <c r="E8535" s="39"/>
      <c r="F8535" s="39"/>
    </row>
    <row r="8536">
      <c r="D8536" s="39"/>
      <c r="E8536" s="39"/>
      <c r="F8536" s="39"/>
    </row>
    <row r="8537">
      <c r="D8537" s="39"/>
      <c r="E8537" s="39"/>
      <c r="F8537" s="39"/>
    </row>
    <row r="8538">
      <c r="D8538" s="39"/>
      <c r="E8538" s="39"/>
      <c r="F8538" s="39"/>
    </row>
    <row r="8539">
      <c r="D8539" s="39"/>
      <c r="E8539" s="39"/>
      <c r="F8539" s="39"/>
    </row>
    <row r="8540">
      <c r="D8540" s="39"/>
      <c r="E8540" s="39"/>
      <c r="F8540" s="39"/>
    </row>
    <row r="8541">
      <c r="D8541" s="39"/>
      <c r="E8541" s="39"/>
      <c r="F8541" s="39"/>
    </row>
    <row r="8542">
      <c r="D8542" s="39"/>
      <c r="E8542" s="39"/>
      <c r="F8542" s="39"/>
    </row>
    <row r="8543">
      <c r="D8543" s="39"/>
      <c r="E8543" s="39"/>
      <c r="F8543" s="39"/>
    </row>
    <row r="8544">
      <c r="D8544" s="39"/>
      <c r="E8544" s="39"/>
      <c r="F8544" s="39"/>
    </row>
    <row r="8545">
      <c r="D8545" s="39"/>
      <c r="E8545" s="39"/>
      <c r="F8545" s="39"/>
    </row>
    <row r="8546">
      <c r="D8546" s="39"/>
      <c r="E8546" s="39"/>
      <c r="F8546" s="39"/>
    </row>
    <row r="8547">
      <c r="D8547" s="39"/>
      <c r="E8547" s="39"/>
      <c r="F8547" s="39"/>
    </row>
    <row r="8548">
      <c r="D8548" s="39"/>
      <c r="E8548" s="39"/>
      <c r="F8548" s="39"/>
    </row>
    <row r="8549">
      <c r="D8549" s="39"/>
      <c r="E8549" s="39"/>
      <c r="F8549" s="39"/>
    </row>
    <row r="8550">
      <c r="D8550" s="39"/>
      <c r="E8550" s="39"/>
      <c r="F8550" s="39"/>
    </row>
    <row r="8551">
      <c r="D8551" s="39"/>
      <c r="E8551" s="39"/>
      <c r="F8551" s="39"/>
    </row>
    <row r="8552">
      <c r="D8552" s="39"/>
      <c r="E8552" s="39"/>
      <c r="F8552" s="39"/>
    </row>
    <row r="8553">
      <c r="D8553" s="39"/>
      <c r="E8553" s="39"/>
      <c r="F8553" s="39"/>
    </row>
    <row r="8554">
      <c r="D8554" s="39"/>
      <c r="E8554" s="39"/>
      <c r="F8554" s="39"/>
    </row>
    <row r="8555">
      <c r="D8555" s="39"/>
      <c r="E8555" s="39"/>
      <c r="F8555" s="39"/>
    </row>
    <row r="8556">
      <c r="D8556" s="39"/>
      <c r="E8556" s="39"/>
      <c r="F8556" s="39"/>
    </row>
    <row r="8557">
      <c r="D8557" s="39"/>
      <c r="E8557" s="39"/>
      <c r="F8557" s="39"/>
    </row>
    <row r="8558">
      <c r="D8558" s="39"/>
      <c r="E8558" s="39"/>
      <c r="F8558" s="39"/>
    </row>
    <row r="8559">
      <c r="D8559" s="39"/>
      <c r="E8559" s="39"/>
      <c r="F8559" s="39"/>
    </row>
    <row r="8560">
      <c r="D8560" s="39"/>
      <c r="E8560" s="39"/>
      <c r="F8560" s="39"/>
    </row>
    <row r="8561">
      <c r="D8561" s="39"/>
      <c r="E8561" s="39"/>
      <c r="F8561" s="39"/>
    </row>
    <row r="8562">
      <c r="D8562" s="39"/>
      <c r="E8562" s="39"/>
      <c r="F8562" s="39"/>
    </row>
    <row r="8563">
      <c r="D8563" s="39"/>
      <c r="E8563" s="39"/>
      <c r="F8563" s="39"/>
    </row>
    <row r="8564">
      <c r="D8564" s="39"/>
      <c r="E8564" s="39"/>
      <c r="F8564" s="39"/>
    </row>
    <row r="8565">
      <c r="D8565" s="39"/>
      <c r="E8565" s="39"/>
      <c r="F8565" s="39"/>
    </row>
    <row r="8566">
      <c r="D8566" s="39"/>
      <c r="E8566" s="39"/>
      <c r="F8566" s="39"/>
    </row>
    <row r="8567">
      <c r="D8567" s="39"/>
      <c r="E8567" s="39"/>
      <c r="F8567" s="39"/>
    </row>
    <row r="8568">
      <c r="D8568" s="39"/>
      <c r="E8568" s="39"/>
      <c r="F8568" s="39"/>
    </row>
    <row r="8569">
      <c r="D8569" s="39"/>
      <c r="E8569" s="39"/>
      <c r="F8569" s="39"/>
    </row>
    <row r="8570">
      <c r="D8570" s="39"/>
      <c r="E8570" s="39"/>
      <c r="F8570" s="39"/>
    </row>
    <row r="8571">
      <c r="D8571" s="39"/>
      <c r="E8571" s="39"/>
      <c r="F8571" s="39"/>
    </row>
    <row r="8572">
      <c r="D8572" s="39"/>
      <c r="E8572" s="39"/>
      <c r="F8572" s="39"/>
    </row>
    <row r="8573">
      <c r="D8573" s="39"/>
      <c r="E8573" s="39"/>
      <c r="F8573" s="39"/>
    </row>
    <row r="8574">
      <c r="D8574" s="39"/>
      <c r="E8574" s="39"/>
      <c r="F8574" s="39"/>
    </row>
    <row r="8575">
      <c r="D8575" s="39"/>
      <c r="E8575" s="39"/>
      <c r="F8575" s="39"/>
    </row>
    <row r="8576">
      <c r="D8576" s="39"/>
      <c r="E8576" s="39"/>
      <c r="F8576" s="39"/>
    </row>
    <row r="8577">
      <c r="D8577" s="39"/>
      <c r="E8577" s="39"/>
      <c r="F8577" s="39"/>
    </row>
    <row r="8578">
      <c r="D8578" s="39"/>
      <c r="E8578" s="39"/>
      <c r="F8578" s="39"/>
    </row>
    <row r="8579">
      <c r="D8579" s="39"/>
      <c r="E8579" s="39"/>
      <c r="F8579" s="39"/>
    </row>
    <row r="8580">
      <c r="D8580" s="39"/>
      <c r="E8580" s="39"/>
      <c r="F8580" s="39"/>
    </row>
    <row r="8581">
      <c r="D8581" s="39"/>
      <c r="E8581" s="39"/>
      <c r="F8581" s="39"/>
    </row>
    <row r="8582">
      <c r="D8582" s="39"/>
      <c r="E8582" s="39"/>
      <c r="F8582" s="39"/>
    </row>
    <row r="8583">
      <c r="D8583" s="39"/>
      <c r="E8583" s="39"/>
      <c r="F8583" s="39"/>
    </row>
    <row r="8584">
      <c r="D8584" s="39"/>
      <c r="E8584" s="39"/>
      <c r="F8584" s="39"/>
    </row>
    <row r="8585">
      <c r="D8585" s="39"/>
      <c r="E8585" s="39"/>
      <c r="F8585" s="39"/>
    </row>
    <row r="8586">
      <c r="D8586" s="39"/>
      <c r="E8586" s="39"/>
      <c r="F8586" s="39"/>
    </row>
    <row r="8587">
      <c r="D8587" s="39"/>
      <c r="E8587" s="39"/>
      <c r="F8587" s="39"/>
    </row>
    <row r="8588">
      <c r="D8588" s="39"/>
      <c r="E8588" s="39"/>
      <c r="F8588" s="39"/>
    </row>
    <row r="8589">
      <c r="D8589" s="39"/>
      <c r="E8589" s="39"/>
      <c r="F8589" s="39"/>
    </row>
    <row r="8590">
      <c r="D8590" s="39"/>
      <c r="E8590" s="39"/>
      <c r="F8590" s="39"/>
    </row>
    <row r="8591">
      <c r="D8591" s="39"/>
      <c r="E8591" s="39"/>
      <c r="F8591" s="39"/>
    </row>
    <row r="8592">
      <c r="D8592" s="39"/>
      <c r="E8592" s="39"/>
      <c r="F8592" s="39"/>
    </row>
    <row r="8593">
      <c r="D8593" s="39"/>
      <c r="E8593" s="39"/>
      <c r="F8593" s="39"/>
    </row>
    <row r="8594">
      <c r="D8594" s="39"/>
      <c r="E8594" s="39"/>
      <c r="F8594" s="39"/>
    </row>
    <row r="8595">
      <c r="D8595" s="39"/>
      <c r="E8595" s="39"/>
      <c r="F8595" s="39"/>
    </row>
    <row r="8596">
      <c r="D8596" s="39"/>
      <c r="E8596" s="39"/>
      <c r="F8596" s="39"/>
    </row>
    <row r="8597">
      <c r="D8597" s="39"/>
      <c r="E8597" s="39"/>
      <c r="F8597" s="39"/>
    </row>
    <row r="8598">
      <c r="D8598" s="39"/>
      <c r="E8598" s="39"/>
      <c r="F8598" s="39"/>
    </row>
    <row r="8599">
      <c r="D8599" s="39"/>
      <c r="E8599" s="39"/>
      <c r="F8599" s="39"/>
    </row>
    <row r="8600">
      <c r="D8600" s="39"/>
      <c r="E8600" s="39"/>
      <c r="F8600" s="39"/>
    </row>
    <row r="8601">
      <c r="D8601" s="39"/>
      <c r="E8601" s="39"/>
      <c r="F8601" s="39"/>
    </row>
    <row r="8602">
      <c r="D8602" s="39"/>
      <c r="E8602" s="39"/>
      <c r="F8602" s="39"/>
    </row>
    <row r="8603">
      <c r="D8603" s="39"/>
      <c r="E8603" s="39"/>
      <c r="F8603" s="39"/>
    </row>
    <row r="8604">
      <c r="D8604" s="39"/>
      <c r="E8604" s="39"/>
      <c r="F8604" s="39"/>
    </row>
    <row r="8605">
      <c r="D8605" s="39"/>
      <c r="E8605" s="39"/>
      <c r="F8605" s="39"/>
    </row>
    <row r="8606">
      <c r="D8606" s="39"/>
      <c r="E8606" s="39"/>
      <c r="F8606" s="39"/>
    </row>
    <row r="8607">
      <c r="D8607" s="39"/>
      <c r="E8607" s="39"/>
      <c r="F8607" s="39"/>
    </row>
    <row r="8608">
      <c r="D8608" s="39"/>
      <c r="E8608" s="39"/>
      <c r="F8608" s="39"/>
    </row>
    <row r="8609">
      <c r="D8609" s="39"/>
      <c r="E8609" s="39"/>
      <c r="F8609" s="39"/>
    </row>
    <row r="8610">
      <c r="D8610" s="39"/>
      <c r="E8610" s="39"/>
      <c r="F8610" s="39"/>
    </row>
    <row r="8611">
      <c r="D8611" s="39"/>
      <c r="E8611" s="39"/>
      <c r="F8611" s="39"/>
    </row>
    <row r="8612">
      <c r="D8612" s="39"/>
      <c r="E8612" s="39"/>
      <c r="F8612" s="39"/>
    </row>
    <row r="8613">
      <c r="D8613" s="39"/>
      <c r="E8613" s="39"/>
      <c r="F8613" s="39"/>
    </row>
    <row r="8614">
      <c r="D8614" s="39"/>
      <c r="E8614" s="39"/>
      <c r="F8614" s="39"/>
    </row>
    <row r="8615">
      <c r="D8615" s="39"/>
      <c r="E8615" s="39"/>
      <c r="F8615" s="39"/>
    </row>
    <row r="8616">
      <c r="D8616" s="39"/>
      <c r="E8616" s="39"/>
      <c r="F8616" s="39"/>
    </row>
    <row r="8617">
      <c r="D8617" s="39"/>
      <c r="E8617" s="39"/>
      <c r="F8617" s="39"/>
    </row>
    <row r="8618">
      <c r="D8618" s="39"/>
      <c r="E8618" s="39"/>
      <c r="F8618" s="39"/>
    </row>
    <row r="8619">
      <c r="D8619" s="39"/>
      <c r="E8619" s="39"/>
      <c r="F8619" s="39"/>
    </row>
    <row r="8620">
      <c r="D8620" s="39"/>
      <c r="E8620" s="39"/>
      <c r="F8620" s="39"/>
    </row>
    <row r="8621">
      <c r="D8621" s="39"/>
      <c r="E8621" s="39"/>
      <c r="F8621" s="39"/>
    </row>
    <row r="8622">
      <c r="D8622" s="39"/>
      <c r="E8622" s="39"/>
      <c r="F8622" s="39"/>
    </row>
    <row r="8623">
      <c r="D8623" s="39"/>
      <c r="E8623" s="39"/>
      <c r="F8623" s="39"/>
    </row>
    <row r="8624">
      <c r="D8624" s="39"/>
      <c r="E8624" s="39"/>
      <c r="F8624" s="39"/>
    </row>
    <row r="8625">
      <c r="D8625" s="39"/>
      <c r="E8625" s="39"/>
      <c r="F8625" s="39"/>
    </row>
    <row r="8626">
      <c r="D8626" s="39"/>
      <c r="E8626" s="39"/>
      <c r="F8626" s="39"/>
    </row>
    <row r="8627">
      <c r="D8627" s="39"/>
      <c r="E8627" s="39"/>
      <c r="F8627" s="39"/>
    </row>
    <row r="8628">
      <c r="D8628" s="39"/>
      <c r="E8628" s="39"/>
      <c r="F8628" s="39"/>
    </row>
    <row r="8629">
      <c r="D8629" s="39"/>
      <c r="E8629" s="39"/>
      <c r="F8629" s="39"/>
    </row>
    <row r="8630">
      <c r="D8630" s="39"/>
      <c r="E8630" s="39"/>
      <c r="F8630" s="39"/>
    </row>
    <row r="8631">
      <c r="D8631" s="39"/>
      <c r="E8631" s="39"/>
      <c r="F8631" s="39"/>
    </row>
    <row r="8632">
      <c r="D8632" s="39"/>
      <c r="E8632" s="39"/>
      <c r="F8632" s="39"/>
    </row>
    <row r="8633">
      <c r="D8633" s="39"/>
      <c r="E8633" s="39"/>
      <c r="F8633" s="39"/>
    </row>
    <row r="8634">
      <c r="D8634" s="39"/>
      <c r="E8634" s="39"/>
      <c r="F8634" s="39"/>
    </row>
    <row r="8635">
      <c r="D8635" s="39"/>
      <c r="E8635" s="39"/>
      <c r="F8635" s="39"/>
    </row>
    <row r="8636">
      <c r="D8636" s="39"/>
      <c r="E8636" s="39"/>
      <c r="F8636" s="39"/>
    </row>
    <row r="8637">
      <c r="D8637" s="39"/>
      <c r="E8637" s="39"/>
      <c r="F8637" s="39"/>
    </row>
    <row r="8638">
      <c r="D8638" s="39"/>
      <c r="E8638" s="39"/>
      <c r="F8638" s="39"/>
    </row>
    <row r="8639">
      <c r="D8639" s="39"/>
      <c r="E8639" s="39"/>
      <c r="F8639" s="39"/>
    </row>
    <row r="8640">
      <c r="D8640" s="39"/>
      <c r="E8640" s="39"/>
      <c r="F8640" s="39"/>
    </row>
    <row r="8641">
      <c r="D8641" s="39"/>
      <c r="E8641" s="39"/>
      <c r="F8641" s="39"/>
    </row>
    <row r="8642">
      <c r="D8642" s="39"/>
      <c r="E8642" s="39"/>
      <c r="F8642" s="39"/>
    </row>
    <row r="8643">
      <c r="D8643" s="39"/>
      <c r="E8643" s="39"/>
      <c r="F8643" s="39"/>
    </row>
    <row r="8644">
      <c r="D8644" s="39"/>
      <c r="E8644" s="39"/>
      <c r="F8644" s="39"/>
    </row>
    <row r="8645">
      <c r="D8645" s="39"/>
      <c r="E8645" s="39"/>
      <c r="F8645" s="39"/>
    </row>
    <row r="8646">
      <c r="D8646" s="39"/>
      <c r="E8646" s="39"/>
      <c r="F8646" s="39"/>
    </row>
    <row r="8647">
      <c r="D8647" s="39"/>
      <c r="E8647" s="39"/>
      <c r="F8647" s="39"/>
    </row>
    <row r="8648">
      <c r="D8648" s="39"/>
      <c r="E8648" s="39"/>
      <c r="F8648" s="39"/>
    </row>
    <row r="8649">
      <c r="D8649" s="39"/>
      <c r="E8649" s="39"/>
      <c r="F8649" s="39"/>
    </row>
    <row r="8650">
      <c r="D8650" s="39"/>
      <c r="E8650" s="39"/>
      <c r="F8650" s="39"/>
    </row>
    <row r="8651">
      <c r="D8651" s="39"/>
      <c r="E8651" s="39"/>
      <c r="F8651" s="39"/>
    </row>
    <row r="8652">
      <c r="D8652" s="39"/>
      <c r="E8652" s="39"/>
      <c r="F8652" s="39"/>
    </row>
    <row r="8653">
      <c r="D8653" s="39"/>
      <c r="E8653" s="39"/>
      <c r="F8653" s="39"/>
    </row>
    <row r="8654">
      <c r="D8654" s="39"/>
      <c r="E8654" s="39"/>
      <c r="F8654" s="39"/>
    </row>
    <row r="8655">
      <c r="D8655" s="39"/>
      <c r="E8655" s="39"/>
      <c r="F8655" s="39"/>
    </row>
    <row r="8656">
      <c r="D8656" s="39"/>
      <c r="E8656" s="39"/>
      <c r="F8656" s="39"/>
    </row>
    <row r="8657">
      <c r="D8657" s="39"/>
      <c r="E8657" s="39"/>
      <c r="F8657" s="39"/>
    </row>
    <row r="8658">
      <c r="D8658" s="39"/>
      <c r="E8658" s="39"/>
      <c r="F8658" s="39"/>
    </row>
    <row r="8659">
      <c r="D8659" s="39"/>
      <c r="E8659" s="39"/>
      <c r="F8659" s="39"/>
    </row>
    <row r="8660">
      <c r="D8660" s="39"/>
      <c r="E8660" s="39"/>
      <c r="F8660" s="39"/>
    </row>
    <row r="8661">
      <c r="D8661" s="39"/>
      <c r="E8661" s="39"/>
      <c r="F8661" s="39"/>
    </row>
    <row r="8662">
      <c r="D8662" s="39"/>
      <c r="E8662" s="39"/>
      <c r="F8662" s="39"/>
    </row>
    <row r="8663">
      <c r="D8663" s="39"/>
      <c r="E8663" s="39"/>
      <c r="F8663" s="39"/>
    </row>
    <row r="8664">
      <c r="D8664" s="39"/>
      <c r="E8664" s="39"/>
      <c r="F8664" s="39"/>
    </row>
    <row r="8665">
      <c r="D8665" s="39"/>
      <c r="E8665" s="39"/>
      <c r="F8665" s="39"/>
    </row>
    <row r="8666">
      <c r="D8666" s="39"/>
      <c r="E8666" s="39"/>
      <c r="F8666" s="39"/>
    </row>
    <row r="8667">
      <c r="D8667" s="39"/>
      <c r="E8667" s="39"/>
      <c r="F8667" s="39"/>
    </row>
    <row r="8668">
      <c r="D8668" s="39"/>
      <c r="E8668" s="39"/>
      <c r="F8668" s="39"/>
    </row>
    <row r="8669">
      <c r="D8669" s="39"/>
      <c r="E8669" s="39"/>
      <c r="F8669" s="39"/>
    </row>
    <row r="8670">
      <c r="D8670" s="39"/>
      <c r="E8670" s="39"/>
      <c r="F8670" s="39"/>
    </row>
    <row r="8671">
      <c r="D8671" s="39"/>
      <c r="E8671" s="39"/>
      <c r="F8671" s="39"/>
    </row>
    <row r="8672">
      <c r="D8672" s="39"/>
      <c r="E8672" s="39"/>
      <c r="F8672" s="39"/>
    </row>
    <row r="8673">
      <c r="D8673" s="39"/>
      <c r="E8673" s="39"/>
      <c r="F8673" s="39"/>
    </row>
    <row r="8674">
      <c r="D8674" s="39"/>
      <c r="E8674" s="39"/>
      <c r="F8674" s="39"/>
    </row>
    <row r="8675">
      <c r="D8675" s="39"/>
      <c r="E8675" s="39"/>
      <c r="F8675" s="39"/>
    </row>
    <row r="8676">
      <c r="D8676" s="39"/>
      <c r="E8676" s="39"/>
      <c r="F8676" s="39"/>
    </row>
    <row r="8677">
      <c r="D8677" s="39"/>
      <c r="E8677" s="39"/>
      <c r="F8677" s="39"/>
    </row>
    <row r="8678">
      <c r="D8678" s="39"/>
      <c r="E8678" s="39"/>
      <c r="F8678" s="39"/>
    </row>
    <row r="8679">
      <c r="D8679" s="39"/>
      <c r="E8679" s="39"/>
      <c r="F8679" s="39"/>
    </row>
    <row r="8680">
      <c r="D8680" s="39"/>
      <c r="E8680" s="39"/>
      <c r="F8680" s="39"/>
    </row>
    <row r="8681">
      <c r="D8681" s="39"/>
      <c r="E8681" s="39"/>
      <c r="F8681" s="39"/>
    </row>
    <row r="8682">
      <c r="D8682" s="39"/>
      <c r="E8682" s="39"/>
      <c r="F8682" s="39"/>
    </row>
    <row r="8683">
      <c r="D8683" s="39"/>
      <c r="E8683" s="39"/>
      <c r="F8683" s="39"/>
    </row>
    <row r="8684">
      <c r="D8684" s="39"/>
      <c r="E8684" s="39"/>
      <c r="F8684" s="39"/>
    </row>
    <row r="8685">
      <c r="D8685" s="39"/>
      <c r="E8685" s="39"/>
      <c r="F8685" s="39"/>
    </row>
    <row r="8686">
      <c r="D8686" s="39"/>
      <c r="E8686" s="39"/>
      <c r="F8686" s="39"/>
    </row>
    <row r="8687">
      <c r="D8687" s="39"/>
      <c r="E8687" s="39"/>
      <c r="F8687" s="39"/>
    </row>
    <row r="8688">
      <c r="D8688" s="39"/>
      <c r="E8688" s="39"/>
      <c r="F8688" s="39"/>
    </row>
    <row r="8689">
      <c r="D8689" s="39"/>
      <c r="E8689" s="39"/>
      <c r="F8689" s="39"/>
    </row>
    <row r="8690">
      <c r="D8690" s="39"/>
      <c r="E8690" s="39"/>
      <c r="F8690" s="39"/>
    </row>
    <row r="8691">
      <c r="D8691" s="39"/>
      <c r="E8691" s="39"/>
      <c r="F8691" s="39"/>
    </row>
    <row r="8692">
      <c r="D8692" s="39"/>
      <c r="E8692" s="39"/>
      <c r="F8692" s="39"/>
    </row>
    <row r="8693">
      <c r="D8693" s="39"/>
      <c r="E8693" s="39"/>
      <c r="F8693" s="39"/>
    </row>
    <row r="8694">
      <c r="D8694" s="39"/>
      <c r="E8694" s="39"/>
      <c r="F8694" s="39"/>
    </row>
    <row r="8695">
      <c r="D8695" s="39"/>
      <c r="E8695" s="39"/>
      <c r="F8695" s="39"/>
    </row>
    <row r="8696">
      <c r="D8696" s="39"/>
      <c r="E8696" s="39"/>
      <c r="F8696" s="39"/>
    </row>
    <row r="8697">
      <c r="D8697" s="39"/>
      <c r="E8697" s="39"/>
      <c r="F8697" s="39"/>
    </row>
    <row r="8698">
      <c r="D8698" s="39"/>
      <c r="E8698" s="39"/>
      <c r="F8698" s="39"/>
    </row>
    <row r="8699">
      <c r="D8699" s="39"/>
      <c r="E8699" s="39"/>
      <c r="F8699" s="39"/>
    </row>
    <row r="8700">
      <c r="D8700" s="39"/>
      <c r="E8700" s="39"/>
      <c r="F8700" s="39"/>
    </row>
    <row r="8701">
      <c r="D8701" s="39"/>
      <c r="E8701" s="39"/>
      <c r="F8701" s="39"/>
    </row>
    <row r="8702">
      <c r="D8702" s="39"/>
      <c r="E8702" s="39"/>
      <c r="F8702" s="39"/>
    </row>
    <row r="8703">
      <c r="D8703" s="39"/>
      <c r="E8703" s="39"/>
      <c r="F8703" s="39"/>
    </row>
    <row r="8704">
      <c r="D8704" s="39"/>
      <c r="E8704" s="39"/>
      <c r="F8704" s="39"/>
    </row>
    <row r="8705">
      <c r="D8705" s="39"/>
      <c r="E8705" s="39"/>
      <c r="F8705" s="39"/>
    </row>
    <row r="8706">
      <c r="D8706" s="39"/>
      <c r="E8706" s="39"/>
      <c r="F8706" s="39"/>
    </row>
    <row r="8707">
      <c r="D8707" s="39"/>
      <c r="E8707" s="39"/>
      <c r="F8707" s="39"/>
    </row>
    <row r="8708">
      <c r="D8708" s="39"/>
      <c r="E8708" s="39"/>
      <c r="F8708" s="39"/>
    </row>
    <row r="8709">
      <c r="D8709" s="39"/>
      <c r="E8709" s="39"/>
      <c r="F8709" s="39"/>
    </row>
    <row r="8710">
      <c r="D8710" s="39"/>
      <c r="E8710" s="39"/>
      <c r="F8710" s="39"/>
    </row>
    <row r="8711">
      <c r="D8711" s="39"/>
      <c r="E8711" s="39"/>
      <c r="F8711" s="39"/>
    </row>
    <row r="8712">
      <c r="D8712" s="39"/>
      <c r="E8712" s="39"/>
      <c r="F8712" s="39"/>
    </row>
    <row r="8713">
      <c r="D8713" s="39"/>
      <c r="E8713" s="39"/>
      <c r="F8713" s="39"/>
    </row>
    <row r="8714">
      <c r="D8714" s="39"/>
      <c r="E8714" s="39"/>
      <c r="F8714" s="39"/>
    </row>
    <row r="8715">
      <c r="D8715" s="39"/>
      <c r="E8715" s="39"/>
      <c r="F8715" s="39"/>
    </row>
    <row r="8716">
      <c r="D8716" s="39"/>
      <c r="E8716" s="39"/>
      <c r="F8716" s="39"/>
    </row>
    <row r="8717">
      <c r="D8717" s="39"/>
      <c r="E8717" s="39"/>
      <c r="F8717" s="39"/>
    </row>
    <row r="8718">
      <c r="D8718" s="39"/>
      <c r="E8718" s="39"/>
      <c r="F8718" s="39"/>
    </row>
    <row r="8719">
      <c r="D8719" s="39"/>
      <c r="E8719" s="39"/>
      <c r="F8719" s="39"/>
    </row>
    <row r="8720">
      <c r="D8720" s="39"/>
      <c r="E8720" s="39"/>
      <c r="F8720" s="39"/>
    </row>
    <row r="8721">
      <c r="D8721" s="39"/>
      <c r="E8721" s="39"/>
      <c r="F8721" s="39"/>
    </row>
    <row r="8722">
      <c r="D8722" s="39"/>
      <c r="E8722" s="39"/>
      <c r="F8722" s="39"/>
    </row>
    <row r="8723">
      <c r="D8723" s="39"/>
      <c r="E8723" s="39"/>
      <c r="F8723" s="39"/>
    </row>
    <row r="8724">
      <c r="D8724" s="39"/>
      <c r="E8724" s="39"/>
      <c r="F8724" s="39"/>
    </row>
    <row r="8725">
      <c r="D8725" s="39"/>
      <c r="E8725" s="39"/>
      <c r="F8725" s="39"/>
    </row>
    <row r="8726">
      <c r="D8726" s="39"/>
      <c r="E8726" s="39"/>
      <c r="F8726" s="39"/>
    </row>
    <row r="8727">
      <c r="D8727" s="39"/>
      <c r="E8727" s="39"/>
      <c r="F8727" s="39"/>
    </row>
    <row r="8728">
      <c r="D8728" s="39"/>
      <c r="E8728" s="39"/>
      <c r="F8728" s="39"/>
    </row>
    <row r="8729">
      <c r="D8729" s="39"/>
      <c r="E8729" s="39"/>
      <c r="F8729" s="39"/>
    </row>
    <row r="8730">
      <c r="D8730" s="39"/>
      <c r="E8730" s="39"/>
      <c r="F8730" s="39"/>
    </row>
    <row r="8731">
      <c r="D8731" s="39"/>
      <c r="E8731" s="39"/>
      <c r="F8731" s="39"/>
    </row>
    <row r="8732">
      <c r="D8732" s="39"/>
      <c r="E8732" s="39"/>
      <c r="F8732" s="39"/>
    </row>
    <row r="8733">
      <c r="D8733" s="39"/>
      <c r="E8733" s="39"/>
      <c r="F8733" s="39"/>
    </row>
    <row r="8734">
      <c r="D8734" s="39"/>
      <c r="E8734" s="39"/>
      <c r="F8734" s="39"/>
    </row>
    <row r="8735">
      <c r="D8735" s="39"/>
      <c r="E8735" s="39"/>
      <c r="F8735" s="39"/>
    </row>
    <row r="8736">
      <c r="D8736" s="39"/>
      <c r="E8736" s="39"/>
      <c r="F8736" s="39"/>
    </row>
    <row r="8737">
      <c r="D8737" s="39"/>
      <c r="E8737" s="39"/>
      <c r="F8737" s="39"/>
    </row>
    <row r="8738">
      <c r="D8738" s="39"/>
      <c r="E8738" s="39"/>
      <c r="F8738" s="39"/>
    </row>
    <row r="8739">
      <c r="D8739" s="39"/>
      <c r="E8739" s="39"/>
      <c r="F8739" s="39"/>
    </row>
    <row r="8740">
      <c r="D8740" s="39"/>
      <c r="E8740" s="39"/>
      <c r="F8740" s="39"/>
    </row>
    <row r="8741">
      <c r="D8741" s="39"/>
      <c r="E8741" s="39"/>
      <c r="F8741" s="39"/>
    </row>
    <row r="8742">
      <c r="D8742" s="39"/>
      <c r="E8742" s="39"/>
      <c r="F8742" s="39"/>
    </row>
    <row r="8743">
      <c r="D8743" s="39"/>
      <c r="E8743" s="39"/>
      <c r="F8743" s="39"/>
    </row>
    <row r="8744">
      <c r="D8744" s="39"/>
      <c r="E8744" s="39"/>
      <c r="F8744" s="39"/>
    </row>
    <row r="8745">
      <c r="D8745" s="39"/>
      <c r="E8745" s="39"/>
      <c r="F8745" s="39"/>
    </row>
    <row r="8746">
      <c r="D8746" s="39"/>
      <c r="E8746" s="39"/>
      <c r="F8746" s="39"/>
    </row>
    <row r="8747">
      <c r="D8747" s="39"/>
      <c r="E8747" s="39"/>
      <c r="F8747" s="39"/>
    </row>
    <row r="8748">
      <c r="D8748" s="39"/>
      <c r="E8748" s="39"/>
      <c r="F8748" s="39"/>
    </row>
    <row r="8749">
      <c r="D8749" s="39"/>
      <c r="E8749" s="39"/>
      <c r="F8749" s="39"/>
    </row>
    <row r="8750">
      <c r="D8750" s="39"/>
      <c r="E8750" s="39"/>
      <c r="F8750" s="39"/>
    </row>
    <row r="8751">
      <c r="D8751" s="39"/>
      <c r="E8751" s="39"/>
      <c r="F8751" s="39"/>
    </row>
    <row r="8752">
      <c r="D8752" s="39"/>
      <c r="E8752" s="39"/>
      <c r="F8752" s="39"/>
    </row>
    <row r="8753">
      <c r="D8753" s="39"/>
      <c r="E8753" s="39"/>
      <c r="F8753" s="39"/>
    </row>
    <row r="8754">
      <c r="D8754" s="39"/>
      <c r="E8754" s="39"/>
      <c r="F8754" s="39"/>
    </row>
    <row r="8755">
      <c r="D8755" s="39"/>
      <c r="E8755" s="39"/>
      <c r="F8755" s="39"/>
    </row>
    <row r="8756">
      <c r="D8756" s="39"/>
      <c r="E8756" s="39"/>
      <c r="F8756" s="39"/>
    </row>
    <row r="8757">
      <c r="D8757" s="39"/>
      <c r="E8757" s="39"/>
      <c r="F8757" s="39"/>
    </row>
    <row r="8758">
      <c r="D8758" s="39"/>
      <c r="E8758" s="39"/>
      <c r="F8758" s="39"/>
    </row>
    <row r="8759">
      <c r="D8759" s="39"/>
      <c r="E8759" s="39"/>
      <c r="F8759" s="39"/>
    </row>
    <row r="8760">
      <c r="D8760" s="39"/>
      <c r="E8760" s="39"/>
      <c r="F8760" s="39"/>
    </row>
    <row r="8761">
      <c r="D8761" s="39"/>
      <c r="E8761" s="39"/>
      <c r="F8761" s="39"/>
    </row>
    <row r="8762">
      <c r="D8762" s="39"/>
      <c r="E8762" s="39"/>
      <c r="F8762" s="39"/>
    </row>
    <row r="8763">
      <c r="D8763" s="39"/>
      <c r="E8763" s="39"/>
      <c r="F8763" s="39"/>
    </row>
    <row r="8764">
      <c r="D8764" s="39"/>
      <c r="E8764" s="39"/>
      <c r="F8764" s="39"/>
    </row>
    <row r="8765">
      <c r="D8765" s="39"/>
      <c r="E8765" s="39"/>
      <c r="F8765" s="39"/>
    </row>
    <row r="8766">
      <c r="D8766" s="39"/>
      <c r="E8766" s="39"/>
      <c r="F8766" s="39"/>
    </row>
    <row r="8767">
      <c r="D8767" s="39"/>
      <c r="E8767" s="39"/>
      <c r="F8767" s="39"/>
    </row>
    <row r="8768">
      <c r="D8768" s="39"/>
      <c r="E8768" s="39"/>
      <c r="F8768" s="39"/>
    </row>
    <row r="8769">
      <c r="D8769" s="39"/>
      <c r="E8769" s="39"/>
      <c r="F8769" s="39"/>
    </row>
    <row r="8770">
      <c r="D8770" s="39"/>
      <c r="E8770" s="39"/>
      <c r="F8770" s="39"/>
    </row>
    <row r="8771">
      <c r="D8771" s="39"/>
      <c r="E8771" s="39"/>
      <c r="F8771" s="39"/>
    </row>
    <row r="8772">
      <c r="D8772" s="39"/>
      <c r="E8772" s="39"/>
      <c r="F8772" s="39"/>
    </row>
    <row r="8773">
      <c r="D8773" s="39"/>
      <c r="E8773" s="39"/>
      <c r="F8773" s="39"/>
    </row>
    <row r="8774">
      <c r="D8774" s="39"/>
      <c r="E8774" s="39"/>
      <c r="F8774" s="39"/>
    </row>
    <row r="8775">
      <c r="D8775" s="39"/>
      <c r="E8775" s="39"/>
      <c r="F8775" s="39"/>
    </row>
    <row r="8776">
      <c r="D8776" s="39"/>
      <c r="E8776" s="39"/>
      <c r="F8776" s="39"/>
    </row>
    <row r="8777">
      <c r="D8777" s="39"/>
      <c r="E8777" s="39"/>
      <c r="F8777" s="39"/>
    </row>
    <row r="8778">
      <c r="D8778" s="39"/>
      <c r="E8778" s="39"/>
      <c r="F8778" s="39"/>
    </row>
    <row r="8779">
      <c r="D8779" s="39"/>
      <c r="E8779" s="39"/>
      <c r="F8779" s="39"/>
    </row>
    <row r="8780">
      <c r="D8780" s="39"/>
      <c r="E8780" s="39"/>
      <c r="F8780" s="39"/>
    </row>
    <row r="8781">
      <c r="D8781" s="39"/>
      <c r="E8781" s="39"/>
      <c r="F8781" s="39"/>
    </row>
    <row r="8782">
      <c r="D8782" s="39"/>
      <c r="E8782" s="39"/>
      <c r="F8782" s="39"/>
    </row>
    <row r="8783">
      <c r="D8783" s="39"/>
      <c r="E8783" s="39"/>
      <c r="F8783" s="39"/>
    </row>
    <row r="8784">
      <c r="D8784" s="39"/>
      <c r="E8784" s="39"/>
      <c r="F8784" s="39"/>
    </row>
    <row r="8785">
      <c r="D8785" s="39"/>
      <c r="E8785" s="39"/>
      <c r="F8785" s="39"/>
    </row>
    <row r="8786">
      <c r="D8786" s="39"/>
      <c r="E8786" s="39"/>
      <c r="F8786" s="39"/>
    </row>
    <row r="8787">
      <c r="D8787" s="39"/>
      <c r="E8787" s="39"/>
      <c r="F8787" s="39"/>
    </row>
    <row r="8788">
      <c r="D8788" s="39"/>
      <c r="E8788" s="39"/>
      <c r="F8788" s="39"/>
    </row>
    <row r="8789">
      <c r="D8789" s="39"/>
      <c r="E8789" s="39"/>
      <c r="F8789" s="39"/>
    </row>
    <row r="8790">
      <c r="D8790" s="39"/>
      <c r="E8790" s="39"/>
      <c r="F8790" s="39"/>
    </row>
    <row r="8791">
      <c r="D8791" s="39"/>
      <c r="E8791" s="39"/>
      <c r="F8791" s="39"/>
    </row>
    <row r="8792">
      <c r="D8792" s="39"/>
      <c r="E8792" s="39"/>
      <c r="F8792" s="39"/>
    </row>
    <row r="8793">
      <c r="D8793" s="39"/>
      <c r="E8793" s="39"/>
      <c r="F8793" s="39"/>
    </row>
    <row r="8794">
      <c r="D8794" s="39"/>
      <c r="E8794" s="39"/>
      <c r="F8794" s="39"/>
    </row>
    <row r="8795">
      <c r="D8795" s="39"/>
      <c r="E8795" s="39"/>
      <c r="F8795" s="39"/>
    </row>
    <row r="8796">
      <c r="D8796" s="39"/>
      <c r="E8796" s="39"/>
      <c r="F8796" s="39"/>
    </row>
    <row r="8797">
      <c r="D8797" s="39"/>
      <c r="E8797" s="39"/>
      <c r="F8797" s="39"/>
    </row>
    <row r="8798">
      <c r="D8798" s="39"/>
      <c r="E8798" s="39"/>
      <c r="F8798" s="39"/>
    </row>
    <row r="8799">
      <c r="D8799" s="39"/>
      <c r="E8799" s="39"/>
      <c r="F8799" s="39"/>
    </row>
    <row r="8800">
      <c r="D8800" s="39"/>
      <c r="E8800" s="39"/>
      <c r="F8800" s="39"/>
    </row>
    <row r="8801">
      <c r="D8801" s="39"/>
      <c r="E8801" s="39"/>
      <c r="F8801" s="39"/>
    </row>
    <row r="8802">
      <c r="D8802" s="39"/>
      <c r="E8802" s="39"/>
      <c r="F8802" s="39"/>
    </row>
    <row r="8803">
      <c r="D8803" s="39"/>
      <c r="E8803" s="39"/>
      <c r="F8803" s="39"/>
    </row>
    <row r="8804">
      <c r="D8804" s="39"/>
      <c r="E8804" s="39"/>
      <c r="F8804" s="39"/>
    </row>
    <row r="8805">
      <c r="D8805" s="39"/>
      <c r="E8805" s="39"/>
      <c r="F8805" s="39"/>
    </row>
    <row r="8806">
      <c r="D8806" s="39"/>
      <c r="E8806" s="39"/>
      <c r="F8806" s="39"/>
    </row>
    <row r="8807">
      <c r="D8807" s="39"/>
      <c r="E8807" s="39"/>
      <c r="F8807" s="39"/>
    </row>
    <row r="8808">
      <c r="D8808" s="39"/>
      <c r="E8808" s="39"/>
      <c r="F8808" s="39"/>
    </row>
    <row r="8809">
      <c r="D8809" s="39"/>
      <c r="E8809" s="39"/>
      <c r="F8809" s="39"/>
    </row>
    <row r="8810">
      <c r="D8810" s="39"/>
      <c r="E8810" s="39"/>
      <c r="F8810" s="39"/>
    </row>
    <row r="8811">
      <c r="D8811" s="39"/>
      <c r="E8811" s="39"/>
      <c r="F8811" s="39"/>
    </row>
    <row r="8812">
      <c r="D8812" s="39"/>
      <c r="E8812" s="39"/>
      <c r="F8812" s="39"/>
    </row>
    <row r="8813">
      <c r="D8813" s="39"/>
      <c r="E8813" s="39"/>
      <c r="F8813" s="39"/>
    </row>
    <row r="8814">
      <c r="D8814" s="39"/>
      <c r="E8814" s="39"/>
      <c r="F8814" s="39"/>
    </row>
    <row r="8815">
      <c r="D8815" s="39"/>
      <c r="E8815" s="39"/>
      <c r="F8815" s="39"/>
    </row>
    <row r="8816">
      <c r="D8816" s="39"/>
      <c r="E8816" s="39"/>
      <c r="F8816" s="39"/>
    </row>
    <row r="8817">
      <c r="D8817" s="39"/>
      <c r="E8817" s="39"/>
      <c r="F8817" s="39"/>
    </row>
    <row r="8818">
      <c r="D8818" s="39"/>
      <c r="E8818" s="39"/>
      <c r="F8818" s="39"/>
    </row>
    <row r="8819">
      <c r="D8819" s="39"/>
      <c r="E8819" s="39"/>
      <c r="F8819" s="39"/>
    </row>
    <row r="8820">
      <c r="D8820" s="39"/>
      <c r="E8820" s="39"/>
      <c r="F8820" s="39"/>
    </row>
    <row r="8821">
      <c r="D8821" s="39"/>
      <c r="E8821" s="39"/>
      <c r="F8821" s="39"/>
    </row>
    <row r="8822">
      <c r="D8822" s="39"/>
      <c r="E8822" s="39"/>
      <c r="F8822" s="39"/>
    </row>
    <row r="8823">
      <c r="D8823" s="39"/>
      <c r="E8823" s="39"/>
      <c r="F8823" s="39"/>
    </row>
    <row r="8824">
      <c r="D8824" s="39"/>
      <c r="E8824" s="39"/>
      <c r="F8824" s="39"/>
    </row>
    <row r="8825">
      <c r="D8825" s="39"/>
      <c r="E8825" s="39"/>
      <c r="F8825" s="39"/>
    </row>
    <row r="8826">
      <c r="D8826" s="39"/>
      <c r="E8826" s="39"/>
      <c r="F8826" s="39"/>
    </row>
    <row r="8827">
      <c r="D8827" s="39"/>
      <c r="E8827" s="39"/>
      <c r="F8827" s="39"/>
    </row>
    <row r="8828">
      <c r="D8828" s="39"/>
      <c r="E8828" s="39"/>
      <c r="F8828" s="39"/>
    </row>
    <row r="8829">
      <c r="D8829" s="39"/>
      <c r="E8829" s="39"/>
      <c r="F8829" s="39"/>
    </row>
    <row r="8830">
      <c r="D8830" s="39"/>
      <c r="E8830" s="39"/>
      <c r="F8830" s="39"/>
    </row>
    <row r="8831">
      <c r="D8831" s="39"/>
      <c r="E8831" s="39"/>
      <c r="F8831" s="39"/>
    </row>
    <row r="8832">
      <c r="D8832" s="39"/>
      <c r="E8832" s="39"/>
      <c r="F8832" s="39"/>
    </row>
    <row r="8833">
      <c r="D8833" s="39"/>
      <c r="E8833" s="39"/>
      <c r="F8833" s="39"/>
    </row>
    <row r="8834">
      <c r="D8834" s="39"/>
      <c r="E8834" s="39"/>
      <c r="F8834" s="39"/>
    </row>
    <row r="8835">
      <c r="D8835" s="39"/>
      <c r="E8835" s="39"/>
      <c r="F8835" s="39"/>
    </row>
    <row r="8836">
      <c r="D8836" s="39"/>
      <c r="E8836" s="39"/>
      <c r="F8836" s="39"/>
    </row>
    <row r="8837">
      <c r="D8837" s="39"/>
      <c r="E8837" s="39"/>
      <c r="F8837" s="39"/>
    </row>
    <row r="8838">
      <c r="D8838" s="39"/>
      <c r="E8838" s="39"/>
      <c r="F8838" s="39"/>
    </row>
    <row r="8839">
      <c r="D8839" s="39"/>
      <c r="E8839" s="39"/>
      <c r="F8839" s="39"/>
    </row>
    <row r="8840">
      <c r="D8840" s="39"/>
      <c r="E8840" s="39"/>
      <c r="F8840" s="39"/>
    </row>
    <row r="8841">
      <c r="D8841" s="39"/>
      <c r="E8841" s="39"/>
      <c r="F8841" s="39"/>
    </row>
    <row r="8842">
      <c r="D8842" s="39"/>
      <c r="E8842" s="39"/>
      <c r="F8842" s="39"/>
    </row>
    <row r="8843">
      <c r="D8843" s="39"/>
      <c r="E8843" s="39"/>
      <c r="F8843" s="39"/>
    </row>
    <row r="8844">
      <c r="D8844" s="39"/>
      <c r="E8844" s="39"/>
      <c r="F8844" s="39"/>
    </row>
    <row r="8845">
      <c r="D8845" s="39"/>
      <c r="E8845" s="39"/>
      <c r="F8845" s="39"/>
    </row>
    <row r="8846">
      <c r="D8846" s="39"/>
      <c r="E8846" s="39"/>
      <c r="F8846" s="39"/>
    </row>
    <row r="8847">
      <c r="D8847" s="39"/>
      <c r="E8847" s="39"/>
      <c r="F8847" s="39"/>
    </row>
    <row r="8848">
      <c r="D8848" s="39"/>
      <c r="E8848" s="39"/>
      <c r="F8848" s="39"/>
    </row>
    <row r="8849">
      <c r="D8849" s="39"/>
      <c r="E8849" s="39"/>
      <c r="F8849" s="39"/>
    </row>
    <row r="8850">
      <c r="D8850" s="39"/>
      <c r="E8850" s="39"/>
      <c r="F8850" s="39"/>
    </row>
    <row r="8851">
      <c r="D8851" s="39"/>
      <c r="E8851" s="39"/>
      <c r="F8851" s="39"/>
    </row>
    <row r="8852">
      <c r="D8852" s="39"/>
      <c r="E8852" s="39"/>
      <c r="F8852" s="39"/>
    </row>
    <row r="8853">
      <c r="D8853" s="39"/>
      <c r="E8853" s="39"/>
      <c r="F8853" s="39"/>
    </row>
    <row r="8854">
      <c r="D8854" s="39"/>
      <c r="E8854" s="39"/>
      <c r="F8854" s="39"/>
    </row>
    <row r="8855">
      <c r="D8855" s="39"/>
      <c r="E8855" s="39"/>
      <c r="F8855" s="39"/>
    </row>
    <row r="8856">
      <c r="D8856" s="39"/>
      <c r="E8856" s="39"/>
      <c r="F8856" s="39"/>
    </row>
    <row r="8857">
      <c r="D8857" s="39"/>
      <c r="E8857" s="39"/>
      <c r="F8857" s="39"/>
    </row>
    <row r="8858">
      <c r="D8858" s="39"/>
      <c r="E8858" s="39"/>
      <c r="F8858" s="39"/>
    </row>
    <row r="8859">
      <c r="D8859" s="39"/>
      <c r="E8859" s="39"/>
      <c r="F8859" s="39"/>
    </row>
    <row r="8860">
      <c r="D8860" s="39"/>
      <c r="E8860" s="39"/>
      <c r="F8860" s="39"/>
    </row>
    <row r="8861">
      <c r="D8861" s="39"/>
      <c r="E8861" s="39"/>
      <c r="F8861" s="39"/>
    </row>
    <row r="8862">
      <c r="D8862" s="39"/>
      <c r="E8862" s="39"/>
      <c r="F8862" s="39"/>
    </row>
    <row r="8863">
      <c r="D8863" s="39"/>
      <c r="E8863" s="39"/>
      <c r="F8863" s="39"/>
    </row>
    <row r="8864">
      <c r="D8864" s="39"/>
      <c r="E8864" s="39"/>
      <c r="F8864" s="39"/>
    </row>
    <row r="8865">
      <c r="D8865" s="39"/>
      <c r="E8865" s="39"/>
      <c r="F8865" s="39"/>
    </row>
    <row r="8866">
      <c r="D8866" s="39"/>
      <c r="E8866" s="39"/>
      <c r="F8866" s="39"/>
    </row>
    <row r="8867">
      <c r="D8867" s="39"/>
      <c r="E8867" s="39"/>
      <c r="F8867" s="39"/>
    </row>
    <row r="8868">
      <c r="D8868" s="39"/>
      <c r="E8868" s="39"/>
      <c r="F8868" s="39"/>
    </row>
    <row r="8869">
      <c r="D8869" s="39"/>
      <c r="E8869" s="39"/>
      <c r="F8869" s="39"/>
    </row>
    <row r="8870">
      <c r="D8870" s="39"/>
      <c r="E8870" s="39"/>
      <c r="F8870" s="39"/>
    </row>
    <row r="8871">
      <c r="D8871" s="39"/>
      <c r="E8871" s="39"/>
      <c r="F8871" s="39"/>
    </row>
    <row r="8872">
      <c r="D8872" s="39"/>
      <c r="E8872" s="39"/>
      <c r="F8872" s="39"/>
    </row>
    <row r="8873">
      <c r="D8873" s="39"/>
      <c r="E8873" s="39"/>
      <c r="F8873" s="39"/>
    </row>
    <row r="8874">
      <c r="D8874" s="39"/>
      <c r="E8874" s="39"/>
      <c r="F8874" s="39"/>
    </row>
    <row r="8875">
      <c r="D8875" s="39"/>
      <c r="E8875" s="39"/>
      <c r="F8875" s="39"/>
    </row>
    <row r="8876">
      <c r="D8876" s="39"/>
      <c r="E8876" s="39"/>
      <c r="F8876" s="39"/>
    </row>
    <row r="8877">
      <c r="D8877" s="39"/>
      <c r="E8877" s="39"/>
      <c r="F8877" s="39"/>
    </row>
    <row r="8878">
      <c r="D8878" s="39"/>
      <c r="E8878" s="39"/>
      <c r="F8878" s="39"/>
    </row>
    <row r="8879">
      <c r="D8879" s="39"/>
      <c r="E8879" s="39"/>
      <c r="F8879" s="39"/>
    </row>
    <row r="8880">
      <c r="D8880" s="39"/>
      <c r="E8880" s="39"/>
      <c r="F8880" s="39"/>
    </row>
    <row r="8881">
      <c r="D8881" s="39"/>
      <c r="E8881" s="39"/>
      <c r="F8881" s="39"/>
    </row>
    <row r="8882">
      <c r="D8882" s="39"/>
      <c r="E8882" s="39"/>
      <c r="F8882" s="39"/>
    </row>
    <row r="8883">
      <c r="D8883" s="39"/>
      <c r="E8883" s="39"/>
      <c r="F8883" s="39"/>
    </row>
    <row r="8884">
      <c r="D8884" s="39"/>
      <c r="E8884" s="39"/>
      <c r="F8884" s="39"/>
    </row>
    <row r="8885">
      <c r="D8885" s="39"/>
      <c r="E8885" s="39"/>
      <c r="F8885" s="39"/>
    </row>
    <row r="8886">
      <c r="D8886" s="39"/>
      <c r="E8886" s="39"/>
      <c r="F8886" s="39"/>
    </row>
    <row r="8887">
      <c r="D8887" s="39"/>
      <c r="E8887" s="39"/>
      <c r="F8887" s="39"/>
    </row>
    <row r="8888">
      <c r="D8888" s="39"/>
      <c r="E8888" s="39"/>
      <c r="F8888" s="39"/>
    </row>
    <row r="8889">
      <c r="D8889" s="39"/>
      <c r="E8889" s="39"/>
      <c r="F8889" s="39"/>
    </row>
    <row r="8890">
      <c r="D8890" s="39"/>
      <c r="E8890" s="39"/>
      <c r="F8890" s="39"/>
    </row>
    <row r="8891">
      <c r="D8891" s="39"/>
      <c r="E8891" s="39"/>
      <c r="F8891" s="39"/>
    </row>
    <row r="8892">
      <c r="D8892" s="39"/>
      <c r="E8892" s="39"/>
      <c r="F8892" s="39"/>
    </row>
    <row r="8893">
      <c r="D8893" s="39"/>
      <c r="E8893" s="39"/>
      <c r="F8893" s="39"/>
    </row>
    <row r="8894">
      <c r="D8894" s="39"/>
      <c r="E8894" s="39"/>
      <c r="F8894" s="39"/>
    </row>
    <row r="8895">
      <c r="D8895" s="39"/>
      <c r="E8895" s="39"/>
      <c r="F8895" s="39"/>
    </row>
    <row r="8896">
      <c r="D8896" s="39"/>
      <c r="E8896" s="39"/>
      <c r="F8896" s="39"/>
    </row>
    <row r="8897">
      <c r="D8897" s="39"/>
      <c r="E8897" s="39"/>
      <c r="F8897" s="39"/>
    </row>
    <row r="8898">
      <c r="D8898" s="39"/>
      <c r="E8898" s="39"/>
      <c r="F8898" s="39"/>
    </row>
    <row r="8899">
      <c r="D8899" s="39"/>
      <c r="E8899" s="39"/>
      <c r="F8899" s="39"/>
    </row>
    <row r="8900">
      <c r="D8900" s="39"/>
      <c r="E8900" s="39"/>
      <c r="F8900" s="39"/>
    </row>
    <row r="8901">
      <c r="D8901" s="39"/>
      <c r="E8901" s="39"/>
      <c r="F8901" s="39"/>
    </row>
    <row r="8902">
      <c r="D8902" s="39"/>
      <c r="E8902" s="39"/>
      <c r="F8902" s="39"/>
    </row>
    <row r="8903">
      <c r="D8903" s="39"/>
      <c r="E8903" s="39"/>
      <c r="F8903" s="39"/>
    </row>
    <row r="8904">
      <c r="D8904" s="39"/>
      <c r="E8904" s="39"/>
      <c r="F8904" s="39"/>
    </row>
    <row r="8905">
      <c r="D8905" s="39"/>
      <c r="E8905" s="39"/>
      <c r="F8905" s="39"/>
    </row>
    <row r="8906">
      <c r="D8906" s="39"/>
      <c r="E8906" s="39"/>
      <c r="F8906" s="39"/>
    </row>
    <row r="8907">
      <c r="D8907" s="39"/>
      <c r="E8907" s="39"/>
      <c r="F8907" s="39"/>
    </row>
    <row r="8908">
      <c r="D8908" s="39"/>
      <c r="E8908" s="39"/>
      <c r="F8908" s="39"/>
    </row>
    <row r="8909">
      <c r="D8909" s="39"/>
      <c r="E8909" s="39"/>
      <c r="F8909" s="39"/>
    </row>
    <row r="8910">
      <c r="D8910" s="39"/>
      <c r="E8910" s="39"/>
      <c r="F8910" s="39"/>
    </row>
    <row r="8911">
      <c r="D8911" s="39"/>
      <c r="E8911" s="39"/>
      <c r="F8911" s="39"/>
    </row>
    <row r="8912">
      <c r="D8912" s="39"/>
      <c r="E8912" s="39"/>
      <c r="F8912" s="39"/>
    </row>
    <row r="8913">
      <c r="D8913" s="39"/>
      <c r="E8913" s="39"/>
      <c r="F8913" s="39"/>
    </row>
    <row r="8914">
      <c r="D8914" s="39"/>
      <c r="E8914" s="39"/>
      <c r="F8914" s="39"/>
    </row>
    <row r="8915">
      <c r="D8915" s="39"/>
      <c r="E8915" s="39"/>
      <c r="F8915" s="39"/>
    </row>
    <row r="8916">
      <c r="D8916" s="39"/>
      <c r="E8916" s="39"/>
      <c r="F8916" s="39"/>
    </row>
    <row r="8917">
      <c r="D8917" s="39"/>
      <c r="E8917" s="39"/>
      <c r="F8917" s="39"/>
    </row>
    <row r="8918">
      <c r="D8918" s="39"/>
      <c r="E8918" s="39"/>
      <c r="F8918" s="39"/>
    </row>
    <row r="8919">
      <c r="D8919" s="39"/>
      <c r="E8919" s="39"/>
      <c r="F8919" s="39"/>
    </row>
    <row r="8920">
      <c r="D8920" s="39"/>
      <c r="E8920" s="39"/>
      <c r="F8920" s="39"/>
    </row>
    <row r="8921">
      <c r="D8921" s="39"/>
      <c r="E8921" s="39"/>
      <c r="F8921" s="39"/>
    </row>
    <row r="8922">
      <c r="D8922" s="39"/>
      <c r="E8922" s="39"/>
      <c r="F8922" s="39"/>
    </row>
    <row r="8923">
      <c r="D8923" s="39"/>
      <c r="E8923" s="39"/>
      <c r="F8923" s="39"/>
    </row>
    <row r="8924">
      <c r="D8924" s="39"/>
      <c r="E8924" s="39"/>
      <c r="F8924" s="39"/>
    </row>
    <row r="8925">
      <c r="D8925" s="39"/>
      <c r="E8925" s="39"/>
      <c r="F8925" s="39"/>
    </row>
    <row r="8926">
      <c r="D8926" s="39"/>
      <c r="E8926" s="39"/>
      <c r="F8926" s="39"/>
    </row>
    <row r="8927">
      <c r="D8927" s="39"/>
      <c r="E8927" s="39"/>
      <c r="F8927" s="39"/>
    </row>
    <row r="8928">
      <c r="D8928" s="39"/>
      <c r="E8928" s="39"/>
      <c r="F8928" s="39"/>
    </row>
    <row r="8929">
      <c r="D8929" s="39"/>
      <c r="E8929" s="39"/>
      <c r="F8929" s="39"/>
    </row>
    <row r="8930">
      <c r="D8930" s="39"/>
      <c r="E8930" s="39"/>
      <c r="F8930" s="39"/>
    </row>
    <row r="8931">
      <c r="D8931" s="39"/>
      <c r="E8931" s="39"/>
      <c r="F8931" s="39"/>
    </row>
    <row r="8932">
      <c r="D8932" s="39"/>
      <c r="E8932" s="39"/>
      <c r="F8932" s="39"/>
    </row>
    <row r="8933">
      <c r="D8933" s="39"/>
      <c r="E8933" s="39"/>
      <c r="F8933" s="39"/>
    </row>
    <row r="8934">
      <c r="D8934" s="39"/>
      <c r="E8934" s="39"/>
      <c r="F8934" s="39"/>
    </row>
    <row r="8935">
      <c r="D8935" s="39"/>
      <c r="E8935" s="39"/>
      <c r="F8935" s="39"/>
    </row>
    <row r="8936">
      <c r="D8936" s="39"/>
      <c r="E8936" s="39"/>
      <c r="F8936" s="39"/>
    </row>
    <row r="8937">
      <c r="D8937" s="39"/>
      <c r="E8937" s="39"/>
      <c r="F8937" s="39"/>
    </row>
    <row r="8938">
      <c r="D8938" s="39"/>
      <c r="E8938" s="39"/>
      <c r="F8938" s="39"/>
    </row>
    <row r="8939">
      <c r="D8939" s="39"/>
      <c r="E8939" s="39"/>
      <c r="F8939" s="39"/>
    </row>
    <row r="8940">
      <c r="D8940" s="39"/>
      <c r="E8940" s="39"/>
      <c r="F8940" s="39"/>
    </row>
    <row r="8941">
      <c r="D8941" s="39"/>
      <c r="E8941" s="39"/>
      <c r="F8941" s="39"/>
    </row>
    <row r="8942">
      <c r="D8942" s="39"/>
      <c r="E8942" s="39"/>
      <c r="F8942" s="39"/>
    </row>
    <row r="8943">
      <c r="D8943" s="39"/>
      <c r="E8943" s="39"/>
      <c r="F8943" s="39"/>
    </row>
    <row r="8944">
      <c r="D8944" s="39"/>
      <c r="E8944" s="39"/>
      <c r="F8944" s="39"/>
    </row>
    <row r="8945">
      <c r="D8945" s="39"/>
      <c r="E8945" s="39"/>
      <c r="F8945" s="39"/>
    </row>
    <row r="8946">
      <c r="D8946" s="39"/>
      <c r="E8946" s="39"/>
      <c r="F8946" s="39"/>
    </row>
    <row r="8947">
      <c r="D8947" s="39"/>
      <c r="E8947" s="39"/>
      <c r="F8947" s="39"/>
    </row>
    <row r="8948">
      <c r="D8948" s="39"/>
      <c r="E8948" s="39"/>
      <c r="F8948" s="39"/>
    </row>
    <row r="8949">
      <c r="D8949" s="39"/>
      <c r="E8949" s="39"/>
      <c r="F8949" s="39"/>
    </row>
    <row r="8950">
      <c r="D8950" s="39"/>
      <c r="E8950" s="39"/>
      <c r="F8950" s="39"/>
    </row>
    <row r="8951">
      <c r="D8951" s="39"/>
      <c r="E8951" s="39"/>
      <c r="F8951" s="39"/>
    </row>
    <row r="8952">
      <c r="D8952" s="39"/>
      <c r="E8952" s="39"/>
      <c r="F8952" s="39"/>
    </row>
    <row r="8953">
      <c r="D8953" s="39"/>
      <c r="E8953" s="39"/>
      <c r="F8953" s="39"/>
    </row>
    <row r="8954">
      <c r="D8954" s="39"/>
      <c r="E8954" s="39"/>
      <c r="F8954" s="39"/>
    </row>
    <row r="8955">
      <c r="D8955" s="39"/>
      <c r="E8955" s="39"/>
      <c r="F8955" s="39"/>
    </row>
    <row r="8956">
      <c r="D8956" s="39"/>
      <c r="E8956" s="39"/>
      <c r="F8956" s="39"/>
    </row>
    <row r="8957">
      <c r="D8957" s="39"/>
      <c r="E8957" s="39"/>
      <c r="F8957" s="39"/>
    </row>
    <row r="8958">
      <c r="D8958" s="39"/>
      <c r="E8958" s="39"/>
      <c r="F8958" s="39"/>
    </row>
    <row r="8959">
      <c r="D8959" s="39"/>
      <c r="E8959" s="39"/>
      <c r="F8959" s="39"/>
    </row>
    <row r="8960">
      <c r="D8960" s="39"/>
      <c r="E8960" s="39"/>
      <c r="F8960" s="39"/>
    </row>
    <row r="8961">
      <c r="D8961" s="39"/>
      <c r="E8961" s="39"/>
      <c r="F8961" s="39"/>
    </row>
    <row r="8962">
      <c r="D8962" s="39"/>
      <c r="E8962" s="39"/>
      <c r="F8962" s="39"/>
    </row>
    <row r="8963">
      <c r="D8963" s="39"/>
      <c r="E8963" s="39"/>
      <c r="F8963" s="39"/>
    </row>
    <row r="8964">
      <c r="D8964" s="39"/>
      <c r="E8964" s="39"/>
      <c r="F8964" s="39"/>
    </row>
    <row r="8965">
      <c r="D8965" s="39"/>
      <c r="E8965" s="39"/>
      <c r="F8965" s="39"/>
    </row>
    <row r="8966">
      <c r="D8966" s="39"/>
      <c r="E8966" s="39"/>
      <c r="F8966" s="39"/>
    </row>
    <row r="8967">
      <c r="D8967" s="39"/>
      <c r="E8967" s="39"/>
      <c r="F8967" s="39"/>
    </row>
    <row r="8968">
      <c r="D8968" s="39"/>
      <c r="E8968" s="39"/>
      <c r="F8968" s="39"/>
    </row>
    <row r="8969">
      <c r="D8969" s="39"/>
      <c r="E8969" s="39"/>
      <c r="F8969" s="39"/>
    </row>
    <row r="8970">
      <c r="D8970" s="39"/>
      <c r="E8970" s="39"/>
      <c r="F8970" s="39"/>
    </row>
    <row r="8971">
      <c r="D8971" s="39"/>
      <c r="E8971" s="39"/>
      <c r="F8971" s="39"/>
    </row>
    <row r="8972">
      <c r="D8972" s="39"/>
      <c r="E8972" s="39"/>
      <c r="F8972" s="39"/>
    </row>
    <row r="8973">
      <c r="D8973" s="39"/>
      <c r="E8973" s="39"/>
      <c r="F8973" s="39"/>
    </row>
    <row r="8974">
      <c r="D8974" s="39"/>
      <c r="E8974" s="39"/>
      <c r="F8974" s="39"/>
    </row>
    <row r="8975">
      <c r="D8975" s="39"/>
      <c r="E8975" s="39"/>
      <c r="F8975" s="39"/>
    </row>
    <row r="8976">
      <c r="D8976" s="39"/>
      <c r="E8976" s="39"/>
      <c r="F8976" s="39"/>
    </row>
    <row r="8977">
      <c r="D8977" s="39"/>
      <c r="E8977" s="39"/>
      <c r="F8977" s="39"/>
    </row>
    <row r="8978">
      <c r="D8978" s="39"/>
      <c r="E8978" s="39"/>
      <c r="F8978" s="39"/>
    </row>
    <row r="8979">
      <c r="D8979" s="39"/>
      <c r="E8979" s="39"/>
      <c r="F8979" s="39"/>
    </row>
    <row r="8980">
      <c r="D8980" s="39"/>
      <c r="E8980" s="39"/>
      <c r="F8980" s="39"/>
    </row>
    <row r="8981">
      <c r="D8981" s="39"/>
      <c r="E8981" s="39"/>
      <c r="F8981" s="39"/>
    </row>
    <row r="8982">
      <c r="D8982" s="39"/>
      <c r="E8982" s="39"/>
      <c r="F8982" s="39"/>
    </row>
    <row r="8983">
      <c r="D8983" s="39"/>
      <c r="E8983" s="39"/>
      <c r="F8983" s="39"/>
    </row>
    <row r="8984">
      <c r="D8984" s="39"/>
      <c r="E8984" s="39"/>
      <c r="F8984" s="39"/>
    </row>
    <row r="8985">
      <c r="D8985" s="39"/>
      <c r="E8985" s="39"/>
      <c r="F8985" s="39"/>
    </row>
    <row r="8986">
      <c r="D8986" s="39"/>
      <c r="E8986" s="39"/>
      <c r="F8986" s="39"/>
    </row>
    <row r="8987">
      <c r="D8987" s="39"/>
      <c r="E8987" s="39"/>
      <c r="F8987" s="39"/>
    </row>
    <row r="8988">
      <c r="D8988" s="39"/>
      <c r="E8988" s="39"/>
      <c r="F8988" s="39"/>
    </row>
    <row r="8989">
      <c r="D8989" s="39"/>
      <c r="E8989" s="39"/>
      <c r="F8989" s="39"/>
    </row>
    <row r="8990">
      <c r="D8990" s="39"/>
      <c r="E8990" s="39"/>
      <c r="F8990" s="39"/>
    </row>
    <row r="8991">
      <c r="D8991" s="39"/>
      <c r="E8991" s="39"/>
      <c r="F8991" s="39"/>
    </row>
    <row r="8992">
      <c r="D8992" s="39"/>
      <c r="E8992" s="39"/>
      <c r="F8992" s="39"/>
    </row>
    <row r="8993">
      <c r="D8993" s="39"/>
      <c r="E8993" s="39"/>
      <c r="F8993" s="39"/>
    </row>
    <row r="8994">
      <c r="D8994" s="39"/>
      <c r="E8994" s="39"/>
      <c r="F8994" s="39"/>
    </row>
    <row r="8995">
      <c r="D8995" s="39"/>
      <c r="E8995" s="39"/>
      <c r="F8995" s="39"/>
    </row>
    <row r="8996">
      <c r="D8996" s="39"/>
      <c r="E8996" s="39"/>
      <c r="F8996" s="39"/>
    </row>
    <row r="8997">
      <c r="D8997" s="39"/>
      <c r="E8997" s="39"/>
      <c r="F8997" s="39"/>
    </row>
    <row r="8998">
      <c r="D8998" s="39"/>
      <c r="E8998" s="39"/>
      <c r="F8998" s="39"/>
    </row>
    <row r="8999">
      <c r="D8999" s="39"/>
      <c r="E8999" s="39"/>
      <c r="F8999" s="39"/>
    </row>
    <row r="9000">
      <c r="D9000" s="39"/>
      <c r="E9000" s="39"/>
      <c r="F9000" s="39"/>
    </row>
    <row r="9001">
      <c r="D9001" s="39"/>
      <c r="E9001" s="39"/>
      <c r="F9001" s="39"/>
    </row>
    <row r="9002">
      <c r="D9002" s="39"/>
      <c r="E9002" s="39"/>
      <c r="F9002" s="39"/>
    </row>
    <row r="9003">
      <c r="D9003" s="39"/>
      <c r="E9003" s="39"/>
      <c r="F9003" s="39"/>
    </row>
    <row r="9004">
      <c r="D9004" s="39"/>
      <c r="E9004" s="39"/>
      <c r="F9004" s="39"/>
    </row>
    <row r="9005">
      <c r="D9005" s="39"/>
      <c r="E9005" s="39"/>
      <c r="F9005" s="39"/>
    </row>
    <row r="9006">
      <c r="D9006" s="39"/>
      <c r="E9006" s="39"/>
      <c r="F9006" s="39"/>
    </row>
    <row r="9007">
      <c r="D9007" s="39"/>
      <c r="E9007" s="39"/>
      <c r="F9007" s="39"/>
    </row>
    <row r="9008">
      <c r="D9008" s="39"/>
      <c r="E9008" s="39"/>
      <c r="F9008" s="39"/>
    </row>
    <row r="9009">
      <c r="D9009" s="39"/>
      <c r="E9009" s="39"/>
      <c r="F9009" s="39"/>
    </row>
    <row r="9010">
      <c r="D9010" s="39"/>
      <c r="E9010" s="39"/>
      <c r="F9010" s="39"/>
    </row>
    <row r="9011">
      <c r="D9011" s="39"/>
      <c r="E9011" s="39"/>
      <c r="F9011" s="39"/>
    </row>
    <row r="9012">
      <c r="D9012" s="39"/>
      <c r="E9012" s="39"/>
      <c r="F9012" s="39"/>
    </row>
    <row r="9013">
      <c r="D9013" s="39"/>
      <c r="E9013" s="39"/>
      <c r="F9013" s="39"/>
    </row>
    <row r="9014">
      <c r="D9014" s="39"/>
      <c r="E9014" s="39"/>
      <c r="F9014" s="39"/>
    </row>
    <row r="9015">
      <c r="D9015" s="39"/>
      <c r="E9015" s="39"/>
      <c r="F9015" s="39"/>
    </row>
    <row r="9016">
      <c r="D9016" s="39"/>
      <c r="E9016" s="39"/>
      <c r="F9016" s="39"/>
    </row>
    <row r="9017">
      <c r="D9017" s="39"/>
      <c r="E9017" s="39"/>
      <c r="F9017" s="39"/>
    </row>
    <row r="9018">
      <c r="D9018" s="39"/>
      <c r="E9018" s="39"/>
      <c r="F9018" s="39"/>
    </row>
    <row r="9019">
      <c r="D9019" s="39"/>
      <c r="E9019" s="39"/>
      <c r="F9019" s="39"/>
    </row>
    <row r="9020">
      <c r="D9020" s="39"/>
      <c r="E9020" s="39"/>
      <c r="F9020" s="39"/>
    </row>
    <row r="9021">
      <c r="D9021" s="39"/>
      <c r="E9021" s="39"/>
      <c r="F9021" s="39"/>
    </row>
    <row r="9022">
      <c r="D9022" s="39"/>
      <c r="E9022" s="39"/>
      <c r="F9022" s="39"/>
    </row>
    <row r="9023">
      <c r="D9023" s="39"/>
      <c r="E9023" s="39"/>
      <c r="F9023" s="39"/>
    </row>
    <row r="9024">
      <c r="D9024" s="39"/>
      <c r="E9024" s="39"/>
      <c r="F9024" s="39"/>
    </row>
    <row r="9025">
      <c r="D9025" s="39"/>
      <c r="E9025" s="39"/>
      <c r="F9025" s="39"/>
    </row>
    <row r="9026">
      <c r="D9026" s="39"/>
      <c r="E9026" s="39"/>
      <c r="F9026" s="39"/>
    </row>
    <row r="9027">
      <c r="D9027" s="39"/>
      <c r="E9027" s="39"/>
      <c r="F9027" s="39"/>
    </row>
    <row r="9028">
      <c r="D9028" s="39"/>
      <c r="E9028" s="39"/>
      <c r="F9028" s="39"/>
    </row>
    <row r="9029">
      <c r="D9029" s="39"/>
      <c r="E9029" s="39"/>
      <c r="F9029" s="39"/>
    </row>
    <row r="9030">
      <c r="D9030" s="39"/>
      <c r="E9030" s="39"/>
      <c r="F9030" s="39"/>
    </row>
    <row r="9031">
      <c r="D9031" s="39"/>
      <c r="E9031" s="39"/>
      <c r="F9031" s="39"/>
    </row>
    <row r="9032">
      <c r="D9032" s="39"/>
      <c r="E9032" s="39"/>
      <c r="F9032" s="39"/>
    </row>
    <row r="9033">
      <c r="D9033" s="39"/>
      <c r="E9033" s="39"/>
      <c r="F9033" s="39"/>
    </row>
    <row r="9034">
      <c r="D9034" s="39"/>
      <c r="E9034" s="39"/>
      <c r="F9034" s="39"/>
    </row>
    <row r="9035">
      <c r="D9035" s="39"/>
      <c r="E9035" s="39"/>
      <c r="F9035" s="39"/>
    </row>
    <row r="9036">
      <c r="D9036" s="39"/>
      <c r="E9036" s="39"/>
      <c r="F9036" s="39"/>
    </row>
    <row r="9037">
      <c r="D9037" s="39"/>
      <c r="E9037" s="39"/>
      <c r="F9037" s="39"/>
    </row>
    <row r="9038">
      <c r="D9038" s="39"/>
      <c r="E9038" s="39"/>
      <c r="F9038" s="39"/>
    </row>
    <row r="9039">
      <c r="D9039" s="39"/>
      <c r="E9039" s="39"/>
      <c r="F9039" s="39"/>
    </row>
    <row r="9040">
      <c r="D9040" s="39"/>
      <c r="E9040" s="39"/>
      <c r="F9040" s="39"/>
    </row>
    <row r="9041">
      <c r="D9041" s="39"/>
      <c r="E9041" s="39"/>
      <c r="F9041" s="39"/>
    </row>
    <row r="9042">
      <c r="D9042" s="39"/>
      <c r="E9042" s="39"/>
      <c r="F9042" s="39"/>
    </row>
    <row r="9043">
      <c r="D9043" s="39"/>
      <c r="E9043" s="39"/>
      <c r="F9043" s="39"/>
    </row>
    <row r="9044">
      <c r="D9044" s="39"/>
      <c r="E9044" s="39"/>
      <c r="F9044" s="39"/>
    </row>
    <row r="9045">
      <c r="D9045" s="39"/>
      <c r="E9045" s="39"/>
      <c r="F9045" s="39"/>
    </row>
    <row r="9046">
      <c r="D9046" s="39"/>
      <c r="E9046" s="39"/>
      <c r="F9046" s="39"/>
    </row>
    <row r="9047">
      <c r="D9047" s="39"/>
      <c r="E9047" s="39"/>
      <c r="F9047" s="39"/>
    </row>
    <row r="9048">
      <c r="D9048" s="39"/>
      <c r="E9048" s="39"/>
      <c r="F9048" s="39"/>
    </row>
    <row r="9049">
      <c r="D9049" s="39"/>
      <c r="E9049" s="39"/>
      <c r="F9049" s="39"/>
    </row>
    <row r="9050">
      <c r="D9050" s="39"/>
      <c r="E9050" s="39"/>
      <c r="F9050" s="39"/>
    </row>
    <row r="9051">
      <c r="D9051" s="39"/>
      <c r="E9051" s="39"/>
      <c r="F9051" s="39"/>
    </row>
    <row r="9052">
      <c r="D9052" s="39"/>
      <c r="E9052" s="39"/>
      <c r="F9052" s="39"/>
    </row>
    <row r="9053">
      <c r="D9053" s="39"/>
      <c r="E9053" s="39"/>
      <c r="F9053" s="39"/>
    </row>
    <row r="9054">
      <c r="D9054" s="39"/>
      <c r="E9054" s="39"/>
      <c r="F9054" s="39"/>
    </row>
    <row r="9055">
      <c r="D9055" s="39"/>
      <c r="E9055" s="39"/>
      <c r="F9055" s="39"/>
    </row>
    <row r="9056">
      <c r="D9056" s="39"/>
      <c r="E9056" s="39"/>
      <c r="F9056" s="39"/>
    </row>
    <row r="9057">
      <c r="D9057" s="39"/>
      <c r="E9057" s="39"/>
      <c r="F9057" s="39"/>
    </row>
    <row r="9058">
      <c r="D9058" s="39"/>
      <c r="E9058" s="39"/>
      <c r="F9058" s="39"/>
    </row>
    <row r="9059">
      <c r="D9059" s="39"/>
      <c r="E9059" s="39"/>
      <c r="F9059" s="39"/>
    </row>
    <row r="9060">
      <c r="D9060" s="39"/>
      <c r="E9060" s="39"/>
      <c r="F9060" s="39"/>
    </row>
    <row r="9061">
      <c r="D9061" s="39"/>
      <c r="E9061" s="39"/>
      <c r="F9061" s="39"/>
    </row>
    <row r="9062">
      <c r="D9062" s="39"/>
      <c r="E9062" s="39"/>
      <c r="F9062" s="39"/>
    </row>
    <row r="9063">
      <c r="D9063" s="39"/>
      <c r="E9063" s="39"/>
      <c r="F9063" s="39"/>
    </row>
    <row r="9064">
      <c r="D9064" s="39"/>
      <c r="E9064" s="39"/>
      <c r="F9064" s="39"/>
    </row>
    <row r="9065">
      <c r="D9065" s="39"/>
      <c r="E9065" s="39"/>
      <c r="F9065" s="39"/>
    </row>
    <row r="9066">
      <c r="D9066" s="39"/>
      <c r="E9066" s="39"/>
      <c r="F9066" s="39"/>
    </row>
    <row r="9067">
      <c r="D9067" s="39"/>
      <c r="E9067" s="39"/>
      <c r="F9067" s="39"/>
    </row>
    <row r="9068">
      <c r="D9068" s="39"/>
      <c r="E9068" s="39"/>
      <c r="F9068" s="39"/>
    </row>
    <row r="9069">
      <c r="D9069" s="39"/>
      <c r="E9069" s="39"/>
      <c r="F9069" s="39"/>
    </row>
    <row r="9070">
      <c r="D9070" s="39"/>
      <c r="E9070" s="39"/>
      <c r="F9070" s="39"/>
    </row>
    <row r="9071">
      <c r="D9071" s="39"/>
      <c r="E9071" s="39"/>
      <c r="F9071" s="39"/>
    </row>
    <row r="9072">
      <c r="D9072" s="39"/>
      <c r="E9072" s="39"/>
      <c r="F9072" s="39"/>
    </row>
    <row r="9073">
      <c r="D9073" s="39"/>
      <c r="E9073" s="39"/>
      <c r="F9073" s="39"/>
    </row>
    <row r="9074">
      <c r="D9074" s="39"/>
      <c r="E9074" s="39"/>
      <c r="F9074" s="39"/>
    </row>
    <row r="9075">
      <c r="D9075" s="39"/>
      <c r="E9075" s="39"/>
      <c r="F9075" s="39"/>
    </row>
    <row r="9076">
      <c r="D9076" s="39"/>
      <c r="E9076" s="39"/>
      <c r="F9076" s="39"/>
    </row>
    <row r="9077">
      <c r="D9077" s="39"/>
      <c r="E9077" s="39"/>
      <c r="F9077" s="39"/>
    </row>
    <row r="9078">
      <c r="D9078" s="39"/>
      <c r="E9078" s="39"/>
      <c r="F9078" s="39"/>
    </row>
    <row r="9079">
      <c r="D9079" s="39"/>
      <c r="E9079" s="39"/>
      <c r="F9079" s="39"/>
    </row>
    <row r="9080">
      <c r="D9080" s="39"/>
      <c r="E9080" s="39"/>
      <c r="F9080" s="39"/>
    </row>
    <row r="9081">
      <c r="D9081" s="39"/>
      <c r="E9081" s="39"/>
      <c r="F9081" s="39"/>
    </row>
    <row r="9082">
      <c r="D9082" s="39"/>
      <c r="E9082" s="39"/>
      <c r="F9082" s="39"/>
    </row>
    <row r="9083">
      <c r="D9083" s="39"/>
      <c r="E9083" s="39"/>
      <c r="F9083" s="39"/>
    </row>
    <row r="9084">
      <c r="D9084" s="39"/>
      <c r="E9084" s="39"/>
      <c r="F9084" s="39"/>
    </row>
    <row r="9085">
      <c r="D9085" s="39"/>
      <c r="E9085" s="39"/>
      <c r="F9085" s="39"/>
    </row>
    <row r="9086">
      <c r="D9086" s="39"/>
      <c r="E9086" s="39"/>
      <c r="F9086" s="39"/>
    </row>
    <row r="9087">
      <c r="D9087" s="39"/>
      <c r="E9087" s="39"/>
      <c r="F9087" s="39"/>
    </row>
    <row r="9088">
      <c r="D9088" s="39"/>
      <c r="E9088" s="39"/>
      <c r="F9088" s="39"/>
    </row>
    <row r="9089">
      <c r="D9089" s="39"/>
      <c r="E9089" s="39"/>
      <c r="F9089" s="39"/>
    </row>
    <row r="9090">
      <c r="D9090" s="39"/>
      <c r="E9090" s="39"/>
      <c r="F9090" s="39"/>
    </row>
    <row r="9091">
      <c r="D9091" s="39"/>
      <c r="E9091" s="39"/>
      <c r="F9091" s="39"/>
    </row>
    <row r="9092">
      <c r="D9092" s="39"/>
      <c r="E9092" s="39"/>
      <c r="F9092" s="39"/>
    </row>
    <row r="9093">
      <c r="D9093" s="39"/>
      <c r="E9093" s="39"/>
      <c r="F9093" s="39"/>
    </row>
    <row r="9094">
      <c r="D9094" s="39"/>
      <c r="E9094" s="39"/>
      <c r="F9094" s="39"/>
    </row>
    <row r="9095">
      <c r="D9095" s="39"/>
      <c r="E9095" s="39"/>
      <c r="F9095" s="39"/>
    </row>
    <row r="9096">
      <c r="D9096" s="39"/>
      <c r="E9096" s="39"/>
      <c r="F9096" s="39"/>
    </row>
    <row r="9097">
      <c r="D9097" s="39"/>
      <c r="E9097" s="39"/>
      <c r="F9097" s="39"/>
    </row>
    <row r="9098">
      <c r="D9098" s="39"/>
      <c r="E9098" s="39"/>
      <c r="F9098" s="39"/>
    </row>
    <row r="9099">
      <c r="D9099" s="39"/>
      <c r="E9099" s="39"/>
      <c r="F9099" s="39"/>
    </row>
    <row r="9100">
      <c r="D9100" s="39"/>
      <c r="E9100" s="39"/>
      <c r="F9100" s="39"/>
    </row>
    <row r="9101">
      <c r="D9101" s="39"/>
      <c r="E9101" s="39"/>
      <c r="F9101" s="39"/>
    </row>
    <row r="9102">
      <c r="D9102" s="39"/>
      <c r="E9102" s="39"/>
      <c r="F9102" s="39"/>
    </row>
    <row r="9103">
      <c r="D9103" s="39"/>
      <c r="E9103" s="39"/>
      <c r="F9103" s="39"/>
    </row>
    <row r="9104">
      <c r="D9104" s="39"/>
      <c r="E9104" s="39"/>
      <c r="F9104" s="39"/>
    </row>
    <row r="9105">
      <c r="D9105" s="39"/>
      <c r="E9105" s="39"/>
      <c r="F9105" s="39"/>
    </row>
    <row r="9106">
      <c r="D9106" s="39"/>
      <c r="E9106" s="39"/>
      <c r="F9106" s="39"/>
    </row>
    <row r="9107">
      <c r="D9107" s="39"/>
      <c r="E9107" s="39"/>
      <c r="F9107" s="39"/>
    </row>
    <row r="9108">
      <c r="D9108" s="39"/>
      <c r="E9108" s="39"/>
      <c r="F9108" s="39"/>
    </row>
    <row r="9109">
      <c r="D9109" s="39"/>
      <c r="E9109" s="39"/>
      <c r="F9109" s="39"/>
    </row>
    <row r="9110">
      <c r="D9110" s="39"/>
      <c r="E9110" s="39"/>
      <c r="F9110" s="39"/>
    </row>
    <row r="9111">
      <c r="D9111" s="39"/>
      <c r="E9111" s="39"/>
      <c r="F9111" s="39"/>
    </row>
    <row r="9112">
      <c r="D9112" s="39"/>
      <c r="E9112" s="39"/>
      <c r="F9112" s="39"/>
    </row>
    <row r="9113">
      <c r="D9113" s="39"/>
      <c r="E9113" s="39"/>
      <c r="F9113" s="39"/>
    </row>
    <row r="9114">
      <c r="D9114" s="39"/>
      <c r="E9114" s="39"/>
      <c r="F9114" s="39"/>
    </row>
    <row r="9115">
      <c r="D9115" s="39"/>
      <c r="E9115" s="39"/>
      <c r="F9115" s="39"/>
    </row>
    <row r="9116">
      <c r="D9116" s="39"/>
      <c r="E9116" s="39"/>
      <c r="F9116" s="39"/>
    </row>
    <row r="9117">
      <c r="D9117" s="39"/>
      <c r="E9117" s="39"/>
      <c r="F9117" s="39"/>
    </row>
    <row r="9118">
      <c r="D9118" s="39"/>
      <c r="E9118" s="39"/>
      <c r="F9118" s="39"/>
    </row>
    <row r="9119">
      <c r="D9119" s="39"/>
      <c r="E9119" s="39"/>
      <c r="F9119" s="39"/>
    </row>
    <row r="9120">
      <c r="D9120" s="39"/>
      <c r="E9120" s="39"/>
      <c r="F9120" s="39"/>
    </row>
    <row r="9121">
      <c r="D9121" s="39"/>
      <c r="E9121" s="39"/>
      <c r="F9121" s="39"/>
    </row>
    <row r="9122">
      <c r="D9122" s="39"/>
      <c r="E9122" s="39"/>
      <c r="F9122" s="39"/>
    </row>
    <row r="9123">
      <c r="D9123" s="39"/>
      <c r="E9123" s="39"/>
      <c r="F9123" s="39"/>
    </row>
    <row r="9124">
      <c r="D9124" s="39"/>
      <c r="E9124" s="39"/>
      <c r="F9124" s="39"/>
    </row>
    <row r="9125">
      <c r="D9125" s="39"/>
      <c r="E9125" s="39"/>
      <c r="F9125" s="39"/>
    </row>
    <row r="9126">
      <c r="D9126" s="39"/>
      <c r="E9126" s="39"/>
      <c r="F9126" s="39"/>
    </row>
    <row r="9127">
      <c r="D9127" s="39"/>
      <c r="E9127" s="39"/>
      <c r="F9127" s="39"/>
    </row>
    <row r="9128">
      <c r="D9128" s="39"/>
      <c r="E9128" s="39"/>
      <c r="F9128" s="39"/>
    </row>
    <row r="9129">
      <c r="D9129" s="39"/>
      <c r="E9129" s="39"/>
      <c r="F9129" s="39"/>
    </row>
    <row r="9130">
      <c r="D9130" s="39"/>
      <c r="E9130" s="39"/>
      <c r="F9130" s="39"/>
    </row>
    <row r="9131">
      <c r="D9131" s="39"/>
      <c r="E9131" s="39"/>
      <c r="F9131" s="39"/>
    </row>
    <row r="9132">
      <c r="D9132" s="39"/>
      <c r="E9132" s="39"/>
      <c r="F9132" s="39"/>
    </row>
    <row r="9133">
      <c r="D9133" s="39"/>
      <c r="E9133" s="39"/>
      <c r="F9133" s="39"/>
    </row>
    <row r="9134">
      <c r="D9134" s="39"/>
      <c r="E9134" s="39"/>
      <c r="F9134" s="39"/>
    </row>
    <row r="9135">
      <c r="D9135" s="39"/>
      <c r="E9135" s="39"/>
      <c r="F9135" s="39"/>
    </row>
    <row r="9136">
      <c r="D9136" s="39"/>
      <c r="E9136" s="39"/>
      <c r="F9136" s="39"/>
    </row>
    <row r="9137">
      <c r="D9137" s="39"/>
      <c r="E9137" s="39"/>
      <c r="F9137" s="39"/>
    </row>
    <row r="9138">
      <c r="D9138" s="39"/>
      <c r="E9138" s="39"/>
      <c r="F9138" s="39"/>
    </row>
    <row r="9139">
      <c r="D9139" s="39"/>
      <c r="E9139" s="39"/>
      <c r="F9139" s="39"/>
    </row>
    <row r="9140">
      <c r="D9140" s="39"/>
      <c r="E9140" s="39"/>
      <c r="F9140" s="39"/>
    </row>
    <row r="9141">
      <c r="D9141" s="39"/>
      <c r="E9141" s="39"/>
      <c r="F9141" s="39"/>
    </row>
    <row r="9142">
      <c r="D9142" s="39"/>
      <c r="E9142" s="39"/>
      <c r="F9142" s="39"/>
    </row>
    <row r="9143">
      <c r="D9143" s="39"/>
      <c r="E9143" s="39"/>
      <c r="F9143" s="39"/>
    </row>
    <row r="9144">
      <c r="D9144" s="39"/>
      <c r="E9144" s="39"/>
      <c r="F9144" s="39"/>
    </row>
    <row r="9145">
      <c r="D9145" s="39"/>
      <c r="E9145" s="39"/>
      <c r="F9145" s="39"/>
    </row>
    <row r="9146">
      <c r="D9146" s="39"/>
      <c r="E9146" s="39"/>
      <c r="F9146" s="39"/>
    </row>
    <row r="9147">
      <c r="D9147" s="39"/>
      <c r="E9147" s="39"/>
      <c r="F9147" s="39"/>
    </row>
    <row r="9148">
      <c r="D9148" s="39"/>
      <c r="E9148" s="39"/>
      <c r="F9148" s="39"/>
    </row>
    <row r="9149">
      <c r="D9149" s="39"/>
      <c r="E9149" s="39"/>
      <c r="F9149" s="39"/>
    </row>
    <row r="9150">
      <c r="D9150" s="39"/>
      <c r="E9150" s="39"/>
      <c r="F9150" s="39"/>
    </row>
    <row r="9151">
      <c r="D9151" s="39"/>
      <c r="E9151" s="39"/>
      <c r="F9151" s="39"/>
    </row>
    <row r="9152">
      <c r="D9152" s="39"/>
      <c r="E9152" s="39"/>
      <c r="F9152" s="39"/>
    </row>
    <row r="9153">
      <c r="D9153" s="39"/>
      <c r="E9153" s="39"/>
      <c r="F9153" s="39"/>
    </row>
    <row r="9154">
      <c r="D9154" s="39"/>
      <c r="E9154" s="39"/>
      <c r="F9154" s="39"/>
    </row>
    <row r="9155">
      <c r="D9155" s="39"/>
      <c r="E9155" s="39"/>
      <c r="F9155" s="39"/>
    </row>
    <row r="9156">
      <c r="D9156" s="39"/>
      <c r="E9156" s="39"/>
      <c r="F9156" s="39"/>
    </row>
    <row r="9157">
      <c r="D9157" s="39"/>
      <c r="E9157" s="39"/>
      <c r="F9157" s="39"/>
    </row>
    <row r="9158">
      <c r="D9158" s="39"/>
      <c r="E9158" s="39"/>
      <c r="F9158" s="39"/>
    </row>
    <row r="9159">
      <c r="D9159" s="39"/>
      <c r="E9159" s="39"/>
      <c r="F9159" s="39"/>
    </row>
    <row r="9160">
      <c r="D9160" s="39"/>
      <c r="E9160" s="39"/>
      <c r="F9160" s="39"/>
    </row>
    <row r="9161">
      <c r="D9161" s="39"/>
      <c r="E9161" s="39"/>
      <c r="F9161" s="39"/>
    </row>
    <row r="9162">
      <c r="D9162" s="39"/>
      <c r="E9162" s="39"/>
      <c r="F9162" s="39"/>
    </row>
    <row r="9163">
      <c r="D9163" s="39"/>
      <c r="E9163" s="39"/>
      <c r="F9163" s="39"/>
    </row>
    <row r="9164">
      <c r="D9164" s="39"/>
      <c r="E9164" s="39"/>
      <c r="F9164" s="39"/>
    </row>
    <row r="9165">
      <c r="D9165" s="39"/>
      <c r="E9165" s="39"/>
      <c r="F9165" s="39"/>
    </row>
    <row r="9166">
      <c r="D9166" s="39"/>
      <c r="E9166" s="39"/>
      <c r="F9166" s="39"/>
    </row>
    <row r="9167">
      <c r="D9167" s="39"/>
      <c r="E9167" s="39"/>
      <c r="F9167" s="39"/>
    </row>
    <row r="9168">
      <c r="D9168" s="39"/>
      <c r="E9168" s="39"/>
      <c r="F9168" s="39"/>
    </row>
    <row r="9169">
      <c r="D9169" s="39"/>
      <c r="E9169" s="39"/>
      <c r="F9169" s="39"/>
    </row>
    <row r="9170">
      <c r="D9170" s="39"/>
      <c r="E9170" s="39"/>
      <c r="F9170" s="39"/>
    </row>
    <row r="9171">
      <c r="D9171" s="39"/>
      <c r="E9171" s="39"/>
      <c r="F9171" s="39"/>
    </row>
    <row r="9172">
      <c r="D9172" s="39"/>
      <c r="E9172" s="39"/>
      <c r="F9172" s="39"/>
    </row>
    <row r="9173">
      <c r="D9173" s="39"/>
      <c r="E9173" s="39"/>
      <c r="F9173" s="39"/>
    </row>
    <row r="9174">
      <c r="D9174" s="39"/>
      <c r="E9174" s="39"/>
      <c r="F9174" s="39"/>
    </row>
    <row r="9175">
      <c r="D9175" s="39"/>
      <c r="E9175" s="39"/>
      <c r="F9175" s="39"/>
    </row>
    <row r="9176">
      <c r="D9176" s="39"/>
      <c r="E9176" s="39"/>
      <c r="F9176" s="39"/>
    </row>
    <row r="9177">
      <c r="D9177" s="39"/>
      <c r="E9177" s="39"/>
      <c r="F9177" s="39"/>
    </row>
    <row r="9178">
      <c r="D9178" s="39"/>
      <c r="E9178" s="39"/>
      <c r="F9178" s="39"/>
    </row>
    <row r="9179">
      <c r="D9179" s="39"/>
      <c r="E9179" s="39"/>
      <c r="F9179" s="39"/>
    </row>
    <row r="9180">
      <c r="D9180" s="39"/>
      <c r="E9180" s="39"/>
      <c r="F9180" s="39"/>
    </row>
    <row r="9181">
      <c r="D9181" s="39"/>
      <c r="E9181" s="39"/>
      <c r="F9181" s="39"/>
    </row>
    <row r="9182">
      <c r="D9182" s="39"/>
      <c r="E9182" s="39"/>
      <c r="F9182" s="39"/>
    </row>
    <row r="9183">
      <c r="D9183" s="39"/>
      <c r="E9183" s="39"/>
      <c r="F9183" s="39"/>
    </row>
    <row r="9184">
      <c r="D9184" s="39"/>
      <c r="E9184" s="39"/>
      <c r="F9184" s="39"/>
    </row>
    <row r="9185">
      <c r="D9185" s="39"/>
      <c r="E9185" s="39"/>
      <c r="F9185" s="39"/>
    </row>
    <row r="9186">
      <c r="D9186" s="39"/>
      <c r="E9186" s="39"/>
      <c r="F9186" s="39"/>
    </row>
    <row r="9187">
      <c r="D9187" s="39"/>
      <c r="E9187" s="39"/>
      <c r="F9187" s="39"/>
    </row>
    <row r="9188">
      <c r="D9188" s="39"/>
      <c r="E9188" s="39"/>
      <c r="F9188" s="39"/>
    </row>
    <row r="9189">
      <c r="D9189" s="39"/>
      <c r="E9189" s="39"/>
      <c r="F9189" s="39"/>
    </row>
    <row r="9190">
      <c r="D9190" s="39"/>
      <c r="E9190" s="39"/>
      <c r="F9190" s="39"/>
    </row>
    <row r="9191">
      <c r="D9191" s="39"/>
      <c r="E9191" s="39"/>
      <c r="F9191" s="39"/>
    </row>
    <row r="9192">
      <c r="D9192" s="39"/>
      <c r="E9192" s="39"/>
      <c r="F9192" s="39"/>
    </row>
    <row r="9193">
      <c r="D9193" s="39"/>
      <c r="E9193" s="39"/>
      <c r="F9193" s="39"/>
    </row>
    <row r="9194">
      <c r="D9194" s="39"/>
      <c r="E9194" s="39"/>
      <c r="F9194" s="39"/>
    </row>
    <row r="9195">
      <c r="D9195" s="39"/>
      <c r="E9195" s="39"/>
      <c r="F9195" s="39"/>
    </row>
    <row r="9196">
      <c r="D9196" s="39"/>
      <c r="E9196" s="39"/>
      <c r="F9196" s="39"/>
    </row>
    <row r="9197">
      <c r="D9197" s="39"/>
      <c r="E9197" s="39"/>
      <c r="F9197" s="39"/>
    </row>
    <row r="9198">
      <c r="D9198" s="39"/>
      <c r="E9198" s="39"/>
      <c r="F9198" s="39"/>
    </row>
    <row r="9199">
      <c r="D9199" s="39"/>
      <c r="E9199" s="39"/>
      <c r="F9199" s="39"/>
    </row>
    <row r="9200">
      <c r="D9200" s="39"/>
      <c r="E9200" s="39"/>
      <c r="F9200" s="39"/>
    </row>
    <row r="9201">
      <c r="D9201" s="39"/>
      <c r="E9201" s="39"/>
      <c r="F9201" s="39"/>
    </row>
    <row r="9202">
      <c r="D9202" s="39"/>
      <c r="E9202" s="39"/>
      <c r="F9202" s="39"/>
    </row>
    <row r="9203">
      <c r="D9203" s="39"/>
      <c r="E9203" s="39"/>
      <c r="F9203" s="39"/>
    </row>
    <row r="9204">
      <c r="D9204" s="39"/>
      <c r="E9204" s="39"/>
      <c r="F9204" s="39"/>
    </row>
    <row r="9205">
      <c r="D9205" s="39"/>
      <c r="E9205" s="39"/>
      <c r="F9205" s="39"/>
    </row>
    <row r="9206">
      <c r="D9206" s="39"/>
      <c r="E9206" s="39"/>
      <c r="F9206" s="39"/>
    </row>
    <row r="9207">
      <c r="D9207" s="39"/>
      <c r="E9207" s="39"/>
      <c r="F9207" s="39"/>
    </row>
    <row r="9208">
      <c r="D9208" s="39"/>
      <c r="E9208" s="39"/>
      <c r="F9208" s="39"/>
    </row>
    <row r="9209">
      <c r="D9209" s="39"/>
      <c r="E9209" s="39"/>
      <c r="F9209" s="39"/>
    </row>
    <row r="9210">
      <c r="D9210" s="39"/>
      <c r="E9210" s="39"/>
      <c r="F9210" s="39"/>
    </row>
    <row r="9211">
      <c r="D9211" s="39"/>
      <c r="E9211" s="39"/>
      <c r="F9211" s="39"/>
    </row>
    <row r="9212">
      <c r="D9212" s="39"/>
      <c r="E9212" s="39"/>
      <c r="F9212" s="39"/>
    </row>
    <row r="9213">
      <c r="D9213" s="39"/>
      <c r="E9213" s="39"/>
      <c r="F9213" s="39"/>
    </row>
    <row r="9214">
      <c r="D9214" s="39"/>
      <c r="E9214" s="39"/>
      <c r="F9214" s="39"/>
    </row>
    <row r="9215">
      <c r="D9215" s="39"/>
      <c r="E9215" s="39"/>
      <c r="F9215" s="39"/>
    </row>
    <row r="9216">
      <c r="D9216" s="39"/>
      <c r="E9216" s="39"/>
      <c r="F9216" s="39"/>
    </row>
    <row r="9217">
      <c r="D9217" s="39"/>
      <c r="E9217" s="39"/>
      <c r="F9217" s="39"/>
    </row>
    <row r="9218">
      <c r="D9218" s="39"/>
      <c r="E9218" s="39"/>
      <c r="F9218" s="39"/>
    </row>
    <row r="9219">
      <c r="D9219" s="39"/>
      <c r="E9219" s="39"/>
      <c r="F9219" s="39"/>
    </row>
    <row r="9220">
      <c r="D9220" s="39"/>
      <c r="E9220" s="39"/>
      <c r="F9220" s="39"/>
    </row>
    <row r="9221">
      <c r="D9221" s="39"/>
      <c r="E9221" s="39"/>
      <c r="F9221" s="39"/>
    </row>
    <row r="9222">
      <c r="D9222" s="39"/>
      <c r="E9222" s="39"/>
      <c r="F9222" s="39"/>
    </row>
    <row r="9223">
      <c r="D9223" s="39"/>
      <c r="E9223" s="39"/>
      <c r="F9223" s="39"/>
    </row>
    <row r="9224">
      <c r="D9224" s="39"/>
      <c r="E9224" s="39"/>
      <c r="F9224" s="39"/>
    </row>
    <row r="9225">
      <c r="D9225" s="39"/>
      <c r="E9225" s="39"/>
      <c r="F9225" s="39"/>
    </row>
    <row r="9226">
      <c r="D9226" s="39"/>
      <c r="E9226" s="39"/>
      <c r="F9226" s="39"/>
    </row>
    <row r="9227">
      <c r="D9227" s="39"/>
      <c r="E9227" s="39"/>
      <c r="F9227" s="39"/>
    </row>
    <row r="9228">
      <c r="D9228" s="39"/>
      <c r="E9228" s="39"/>
      <c r="F9228" s="39"/>
    </row>
    <row r="9229">
      <c r="D9229" s="39"/>
      <c r="E9229" s="39"/>
      <c r="F9229" s="39"/>
    </row>
    <row r="9230">
      <c r="D9230" s="39"/>
      <c r="E9230" s="39"/>
      <c r="F9230" s="39"/>
    </row>
    <row r="9231">
      <c r="D9231" s="39"/>
      <c r="E9231" s="39"/>
      <c r="F9231" s="39"/>
    </row>
    <row r="9232">
      <c r="D9232" s="39"/>
      <c r="E9232" s="39"/>
      <c r="F9232" s="39"/>
    </row>
    <row r="9233">
      <c r="D9233" s="39"/>
      <c r="E9233" s="39"/>
      <c r="F9233" s="39"/>
    </row>
    <row r="9234">
      <c r="D9234" s="39"/>
      <c r="E9234" s="39"/>
      <c r="F9234" s="39"/>
    </row>
    <row r="9235">
      <c r="D9235" s="39"/>
      <c r="E9235" s="39"/>
      <c r="F9235" s="39"/>
    </row>
    <row r="9236">
      <c r="D9236" s="39"/>
      <c r="E9236" s="39"/>
      <c r="F9236" s="39"/>
    </row>
    <row r="9237">
      <c r="D9237" s="39"/>
      <c r="E9237" s="39"/>
      <c r="F9237" s="39"/>
    </row>
    <row r="9238">
      <c r="D9238" s="39"/>
      <c r="E9238" s="39"/>
      <c r="F9238" s="39"/>
    </row>
    <row r="9239">
      <c r="D9239" s="39"/>
      <c r="E9239" s="39"/>
      <c r="F9239" s="39"/>
    </row>
    <row r="9240">
      <c r="D9240" s="39"/>
      <c r="E9240" s="39"/>
      <c r="F9240" s="39"/>
    </row>
    <row r="9241">
      <c r="D9241" s="39"/>
      <c r="E9241" s="39"/>
      <c r="F9241" s="39"/>
    </row>
    <row r="9242">
      <c r="D9242" s="39"/>
      <c r="E9242" s="39"/>
      <c r="F9242" s="39"/>
    </row>
    <row r="9243">
      <c r="D9243" s="39"/>
      <c r="E9243" s="39"/>
      <c r="F9243" s="39"/>
    </row>
    <row r="9244">
      <c r="D9244" s="39"/>
      <c r="E9244" s="39"/>
      <c r="F9244" s="39"/>
    </row>
    <row r="9245">
      <c r="D9245" s="39"/>
      <c r="E9245" s="39"/>
      <c r="F9245" s="39"/>
    </row>
    <row r="9246">
      <c r="D9246" s="39"/>
      <c r="E9246" s="39"/>
      <c r="F9246" s="39"/>
    </row>
    <row r="9247">
      <c r="D9247" s="39"/>
      <c r="E9247" s="39"/>
      <c r="F9247" s="39"/>
    </row>
    <row r="9248">
      <c r="D9248" s="39"/>
      <c r="E9248" s="39"/>
      <c r="F9248" s="39"/>
    </row>
    <row r="9249">
      <c r="D9249" s="39"/>
      <c r="E9249" s="39"/>
      <c r="F9249" s="39"/>
    </row>
    <row r="9250">
      <c r="D9250" s="39"/>
      <c r="E9250" s="39"/>
      <c r="F9250" s="39"/>
    </row>
    <row r="9251">
      <c r="D9251" s="39"/>
      <c r="E9251" s="39"/>
      <c r="F9251" s="39"/>
    </row>
    <row r="9252">
      <c r="D9252" s="39"/>
      <c r="E9252" s="39"/>
      <c r="F9252" s="39"/>
    </row>
    <row r="9253">
      <c r="D9253" s="39"/>
      <c r="E9253" s="39"/>
      <c r="F9253" s="39"/>
    </row>
    <row r="9254">
      <c r="D9254" s="39"/>
      <c r="E9254" s="39"/>
      <c r="F9254" s="39"/>
    </row>
    <row r="9255">
      <c r="D9255" s="39"/>
      <c r="E9255" s="39"/>
      <c r="F9255" s="39"/>
    </row>
    <row r="9256">
      <c r="D9256" s="39"/>
      <c r="E9256" s="39"/>
      <c r="F9256" s="39"/>
    </row>
    <row r="9257">
      <c r="D9257" s="39"/>
      <c r="E9257" s="39"/>
      <c r="F9257" s="39"/>
    </row>
    <row r="9258">
      <c r="D9258" s="39"/>
      <c r="E9258" s="39"/>
      <c r="F9258" s="39"/>
    </row>
    <row r="9259">
      <c r="D9259" s="39"/>
      <c r="E9259" s="39"/>
      <c r="F9259" s="39"/>
    </row>
    <row r="9260">
      <c r="D9260" s="39"/>
      <c r="E9260" s="39"/>
      <c r="F9260" s="39"/>
    </row>
    <row r="9261">
      <c r="D9261" s="39"/>
      <c r="E9261" s="39"/>
      <c r="F9261" s="39"/>
    </row>
    <row r="9262">
      <c r="D9262" s="39"/>
      <c r="E9262" s="39"/>
      <c r="F9262" s="39"/>
    </row>
    <row r="9263">
      <c r="D9263" s="39"/>
      <c r="E9263" s="39"/>
      <c r="F9263" s="39"/>
    </row>
    <row r="9264">
      <c r="D9264" s="39"/>
      <c r="E9264" s="39"/>
      <c r="F9264" s="39"/>
    </row>
    <row r="9265">
      <c r="D9265" s="39"/>
      <c r="E9265" s="39"/>
      <c r="F9265" s="39"/>
    </row>
    <row r="9266">
      <c r="D9266" s="39"/>
      <c r="E9266" s="39"/>
      <c r="F9266" s="39"/>
    </row>
    <row r="9267">
      <c r="D9267" s="39"/>
      <c r="E9267" s="39"/>
      <c r="F9267" s="39"/>
    </row>
    <row r="9268">
      <c r="D9268" s="39"/>
      <c r="E9268" s="39"/>
      <c r="F9268" s="39"/>
    </row>
    <row r="9269">
      <c r="D9269" s="39"/>
      <c r="E9269" s="39"/>
      <c r="F9269" s="39"/>
    </row>
    <row r="9270">
      <c r="D9270" s="39"/>
      <c r="E9270" s="39"/>
      <c r="F9270" s="39"/>
    </row>
    <row r="9271">
      <c r="D9271" s="39"/>
      <c r="E9271" s="39"/>
      <c r="F9271" s="39"/>
    </row>
    <row r="9272">
      <c r="D9272" s="39"/>
      <c r="E9272" s="39"/>
      <c r="F9272" s="39"/>
    </row>
    <row r="9273">
      <c r="D9273" s="39"/>
      <c r="E9273" s="39"/>
      <c r="F9273" s="39"/>
    </row>
    <row r="9274">
      <c r="D9274" s="39"/>
      <c r="E9274" s="39"/>
      <c r="F9274" s="39"/>
    </row>
    <row r="9275">
      <c r="D9275" s="39"/>
      <c r="E9275" s="39"/>
      <c r="F9275" s="39"/>
    </row>
    <row r="9276">
      <c r="D9276" s="39"/>
      <c r="E9276" s="39"/>
      <c r="F9276" s="39"/>
    </row>
    <row r="9277">
      <c r="D9277" s="39"/>
      <c r="E9277" s="39"/>
      <c r="F9277" s="39"/>
    </row>
    <row r="9278">
      <c r="D9278" s="39"/>
      <c r="E9278" s="39"/>
      <c r="F9278" s="39"/>
    </row>
    <row r="9279">
      <c r="D9279" s="39"/>
      <c r="E9279" s="39"/>
      <c r="F9279" s="39"/>
    </row>
    <row r="9280">
      <c r="D9280" s="39"/>
      <c r="E9280" s="39"/>
      <c r="F9280" s="39"/>
    </row>
    <row r="9281">
      <c r="D9281" s="39"/>
      <c r="E9281" s="39"/>
      <c r="F9281" s="39"/>
    </row>
    <row r="9282">
      <c r="D9282" s="39"/>
      <c r="E9282" s="39"/>
      <c r="F9282" s="39"/>
    </row>
    <row r="9283">
      <c r="D9283" s="39"/>
      <c r="E9283" s="39"/>
      <c r="F9283" s="39"/>
    </row>
    <row r="9284">
      <c r="D9284" s="39"/>
      <c r="E9284" s="39"/>
      <c r="F9284" s="39"/>
    </row>
    <row r="9285">
      <c r="D9285" s="39"/>
      <c r="E9285" s="39"/>
      <c r="F9285" s="39"/>
    </row>
    <row r="9286">
      <c r="D9286" s="39"/>
      <c r="E9286" s="39"/>
      <c r="F9286" s="39"/>
    </row>
    <row r="9287">
      <c r="D9287" s="39"/>
      <c r="E9287" s="39"/>
      <c r="F9287" s="39"/>
    </row>
    <row r="9288">
      <c r="D9288" s="39"/>
      <c r="E9288" s="39"/>
      <c r="F9288" s="39"/>
    </row>
    <row r="9289">
      <c r="D9289" s="39"/>
      <c r="E9289" s="39"/>
      <c r="F9289" s="39"/>
    </row>
    <row r="9290">
      <c r="D9290" s="39"/>
      <c r="E9290" s="39"/>
      <c r="F9290" s="39"/>
    </row>
    <row r="9291">
      <c r="D9291" s="39"/>
      <c r="E9291" s="39"/>
      <c r="F9291" s="39"/>
    </row>
    <row r="9292">
      <c r="D9292" s="39"/>
      <c r="E9292" s="39"/>
      <c r="F9292" s="39"/>
    </row>
    <row r="9293">
      <c r="D9293" s="39"/>
      <c r="E9293" s="39"/>
      <c r="F9293" s="39"/>
    </row>
    <row r="9294">
      <c r="D9294" s="39"/>
      <c r="E9294" s="39"/>
      <c r="F9294" s="39"/>
    </row>
    <row r="9295">
      <c r="D9295" s="39"/>
      <c r="E9295" s="39"/>
      <c r="F9295" s="39"/>
    </row>
    <row r="9296">
      <c r="D9296" s="39"/>
      <c r="E9296" s="39"/>
      <c r="F9296" s="39"/>
    </row>
    <row r="9297">
      <c r="D9297" s="39"/>
      <c r="E9297" s="39"/>
      <c r="F9297" s="39"/>
    </row>
    <row r="9298">
      <c r="D9298" s="39"/>
      <c r="E9298" s="39"/>
      <c r="F9298" s="39"/>
    </row>
    <row r="9299">
      <c r="D9299" s="39"/>
      <c r="E9299" s="39"/>
      <c r="F9299" s="39"/>
    </row>
    <row r="9300">
      <c r="D9300" s="39"/>
      <c r="E9300" s="39"/>
      <c r="F9300" s="39"/>
    </row>
    <row r="9301">
      <c r="D9301" s="39"/>
      <c r="E9301" s="39"/>
      <c r="F9301" s="39"/>
    </row>
    <row r="9302">
      <c r="D9302" s="39"/>
      <c r="E9302" s="39"/>
      <c r="F9302" s="39"/>
    </row>
    <row r="9303">
      <c r="D9303" s="39"/>
      <c r="E9303" s="39"/>
      <c r="F9303" s="39"/>
    </row>
    <row r="9304">
      <c r="D9304" s="39"/>
      <c r="E9304" s="39"/>
      <c r="F9304" s="39"/>
    </row>
    <row r="9305">
      <c r="D9305" s="39"/>
      <c r="E9305" s="39"/>
      <c r="F9305" s="39"/>
    </row>
    <row r="9306">
      <c r="D9306" s="39"/>
      <c r="E9306" s="39"/>
      <c r="F9306" s="39"/>
    </row>
    <row r="9307">
      <c r="D9307" s="39"/>
      <c r="E9307" s="39"/>
      <c r="F9307" s="39"/>
    </row>
    <row r="9308">
      <c r="D9308" s="39"/>
      <c r="E9308" s="39"/>
      <c r="F9308" s="39"/>
    </row>
    <row r="9309">
      <c r="D9309" s="39"/>
      <c r="E9309" s="39"/>
      <c r="F9309" s="39"/>
    </row>
    <row r="9310">
      <c r="D9310" s="39"/>
      <c r="E9310" s="39"/>
      <c r="F9310" s="39"/>
    </row>
    <row r="9311">
      <c r="D9311" s="39"/>
      <c r="E9311" s="39"/>
      <c r="F9311" s="39"/>
    </row>
    <row r="9312">
      <c r="D9312" s="39"/>
      <c r="E9312" s="39"/>
      <c r="F9312" s="39"/>
    </row>
    <row r="9313">
      <c r="D9313" s="39"/>
      <c r="E9313" s="39"/>
      <c r="F9313" s="39"/>
    </row>
    <row r="9314">
      <c r="D9314" s="39"/>
      <c r="E9314" s="39"/>
      <c r="F9314" s="39"/>
    </row>
    <row r="9315">
      <c r="D9315" s="39"/>
      <c r="E9315" s="39"/>
      <c r="F9315" s="39"/>
    </row>
    <row r="9316">
      <c r="D9316" s="39"/>
      <c r="E9316" s="39"/>
      <c r="F9316" s="39"/>
    </row>
    <row r="9317">
      <c r="D9317" s="39"/>
      <c r="E9317" s="39"/>
      <c r="F9317" s="39"/>
    </row>
    <row r="9318">
      <c r="D9318" s="39"/>
      <c r="E9318" s="39"/>
      <c r="F9318" s="39"/>
    </row>
    <row r="9319">
      <c r="D9319" s="39"/>
      <c r="E9319" s="39"/>
      <c r="F9319" s="39"/>
    </row>
    <row r="9320">
      <c r="D9320" s="39"/>
      <c r="E9320" s="39"/>
      <c r="F9320" s="39"/>
    </row>
    <row r="9321">
      <c r="D9321" s="39"/>
      <c r="E9321" s="39"/>
      <c r="F9321" s="39"/>
    </row>
    <row r="9322">
      <c r="D9322" s="39"/>
      <c r="E9322" s="39"/>
      <c r="F9322" s="39"/>
    </row>
    <row r="9323">
      <c r="D9323" s="39"/>
      <c r="E9323" s="39"/>
      <c r="F9323" s="39"/>
    </row>
    <row r="9324">
      <c r="D9324" s="39"/>
      <c r="E9324" s="39"/>
      <c r="F9324" s="39"/>
    </row>
    <row r="9325">
      <c r="D9325" s="39"/>
      <c r="E9325" s="39"/>
      <c r="F9325" s="39"/>
    </row>
    <row r="9326">
      <c r="D9326" s="39"/>
      <c r="E9326" s="39"/>
      <c r="F9326" s="39"/>
    </row>
    <row r="9327">
      <c r="D9327" s="39"/>
      <c r="E9327" s="39"/>
      <c r="F9327" s="39"/>
    </row>
    <row r="9328">
      <c r="D9328" s="39"/>
      <c r="E9328" s="39"/>
      <c r="F9328" s="39"/>
    </row>
    <row r="9329">
      <c r="D9329" s="39"/>
      <c r="E9329" s="39"/>
      <c r="F9329" s="39"/>
    </row>
    <row r="9330">
      <c r="D9330" s="39"/>
      <c r="E9330" s="39"/>
      <c r="F9330" s="39"/>
    </row>
    <row r="9331">
      <c r="D9331" s="39"/>
      <c r="E9331" s="39"/>
      <c r="F9331" s="39"/>
    </row>
    <row r="9332">
      <c r="D9332" s="39"/>
      <c r="E9332" s="39"/>
      <c r="F9332" s="39"/>
    </row>
    <row r="9333">
      <c r="D9333" s="39"/>
      <c r="E9333" s="39"/>
      <c r="F9333" s="39"/>
    </row>
    <row r="9334">
      <c r="D9334" s="39"/>
      <c r="E9334" s="39"/>
      <c r="F9334" s="39"/>
    </row>
    <row r="9335">
      <c r="D9335" s="39"/>
      <c r="E9335" s="39"/>
      <c r="F9335" s="39"/>
    </row>
    <row r="9336">
      <c r="D9336" s="39"/>
      <c r="E9336" s="39"/>
      <c r="F9336" s="39"/>
    </row>
    <row r="9337">
      <c r="D9337" s="39"/>
      <c r="E9337" s="39"/>
      <c r="F9337" s="39"/>
    </row>
    <row r="9338">
      <c r="D9338" s="39"/>
      <c r="E9338" s="39"/>
      <c r="F9338" s="39"/>
    </row>
    <row r="9339">
      <c r="D9339" s="39"/>
      <c r="E9339" s="39"/>
      <c r="F9339" s="39"/>
    </row>
    <row r="9340">
      <c r="D9340" s="39"/>
      <c r="E9340" s="39"/>
      <c r="F9340" s="39"/>
    </row>
    <row r="9341">
      <c r="D9341" s="39"/>
      <c r="E9341" s="39"/>
      <c r="F9341" s="39"/>
    </row>
    <row r="9342">
      <c r="D9342" s="39"/>
      <c r="E9342" s="39"/>
      <c r="F9342" s="39"/>
    </row>
    <row r="9343">
      <c r="D9343" s="39"/>
      <c r="E9343" s="39"/>
      <c r="F9343" s="39"/>
    </row>
    <row r="9344">
      <c r="D9344" s="39"/>
      <c r="E9344" s="39"/>
      <c r="F9344" s="39"/>
    </row>
    <row r="9345">
      <c r="D9345" s="39"/>
      <c r="E9345" s="39"/>
      <c r="F9345" s="39"/>
    </row>
    <row r="9346">
      <c r="D9346" s="39"/>
      <c r="E9346" s="39"/>
      <c r="F9346" s="39"/>
    </row>
    <row r="9347">
      <c r="D9347" s="39"/>
      <c r="E9347" s="39"/>
      <c r="F9347" s="39"/>
    </row>
    <row r="9348">
      <c r="D9348" s="39"/>
      <c r="E9348" s="39"/>
      <c r="F9348" s="39"/>
    </row>
    <row r="9349">
      <c r="D9349" s="39"/>
      <c r="E9349" s="39"/>
      <c r="F9349" s="39"/>
    </row>
    <row r="9350">
      <c r="D9350" s="39"/>
      <c r="E9350" s="39"/>
      <c r="F9350" s="39"/>
    </row>
    <row r="9351">
      <c r="D9351" s="39"/>
      <c r="E9351" s="39"/>
      <c r="F9351" s="39"/>
    </row>
    <row r="9352">
      <c r="D9352" s="39"/>
      <c r="E9352" s="39"/>
      <c r="F9352" s="39"/>
    </row>
    <row r="9353">
      <c r="D9353" s="39"/>
      <c r="E9353" s="39"/>
      <c r="F9353" s="39"/>
    </row>
    <row r="9354">
      <c r="D9354" s="39"/>
      <c r="E9354" s="39"/>
      <c r="F9354" s="39"/>
    </row>
    <row r="9355">
      <c r="D9355" s="39"/>
      <c r="E9355" s="39"/>
      <c r="F9355" s="39"/>
    </row>
    <row r="9356">
      <c r="D9356" s="39"/>
      <c r="E9356" s="39"/>
      <c r="F9356" s="39"/>
    </row>
    <row r="9357">
      <c r="D9357" s="39"/>
      <c r="E9357" s="39"/>
      <c r="F9357" s="39"/>
    </row>
    <row r="9358">
      <c r="D9358" s="39"/>
      <c r="E9358" s="39"/>
      <c r="F9358" s="39"/>
    </row>
    <row r="9359">
      <c r="D9359" s="39"/>
      <c r="E9359" s="39"/>
      <c r="F9359" s="39"/>
    </row>
    <row r="9360">
      <c r="D9360" s="39"/>
      <c r="E9360" s="39"/>
      <c r="F9360" s="39"/>
    </row>
    <row r="9361">
      <c r="D9361" s="39"/>
      <c r="E9361" s="39"/>
      <c r="F9361" s="39"/>
    </row>
    <row r="9362">
      <c r="D9362" s="39"/>
      <c r="E9362" s="39"/>
      <c r="F9362" s="39"/>
    </row>
    <row r="9363">
      <c r="D9363" s="39"/>
      <c r="E9363" s="39"/>
      <c r="F9363" s="39"/>
    </row>
    <row r="9364">
      <c r="D9364" s="39"/>
      <c r="E9364" s="39"/>
      <c r="F9364" s="39"/>
    </row>
    <row r="9365">
      <c r="D9365" s="39"/>
      <c r="E9365" s="39"/>
      <c r="F9365" s="39"/>
    </row>
    <row r="9366">
      <c r="D9366" s="39"/>
      <c r="E9366" s="39"/>
      <c r="F9366" s="39"/>
    </row>
    <row r="9367">
      <c r="D9367" s="39"/>
      <c r="E9367" s="39"/>
      <c r="F9367" s="39"/>
    </row>
    <row r="9368">
      <c r="D9368" s="39"/>
      <c r="E9368" s="39"/>
      <c r="F9368" s="39"/>
    </row>
    <row r="9369">
      <c r="D9369" s="39"/>
      <c r="E9369" s="39"/>
      <c r="F9369" s="39"/>
    </row>
    <row r="9370">
      <c r="D9370" s="39"/>
      <c r="E9370" s="39"/>
      <c r="F9370" s="39"/>
    </row>
    <row r="9371">
      <c r="D9371" s="39"/>
      <c r="E9371" s="39"/>
      <c r="F9371" s="39"/>
    </row>
    <row r="9372">
      <c r="D9372" s="39"/>
      <c r="E9372" s="39"/>
      <c r="F9372" s="39"/>
    </row>
    <row r="9373">
      <c r="D9373" s="39"/>
      <c r="E9373" s="39"/>
      <c r="F9373" s="39"/>
    </row>
    <row r="9374">
      <c r="D9374" s="39"/>
      <c r="E9374" s="39"/>
      <c r="F9374" s="39"/>
    </row>
    <row r="9375">
      <c r="D9375" s="39"/>
      <c r="E9375" s="39"/>
      <c r="F9375" s="39"/>
    </row>
    <row r="9376">
      <c r="D9376" s="39"/>
      <c r="E9376" s="39"/>
      <c r="F9376" s="39"/>
    </row>
    <row r="9377">
      <c r="D9377" s="39"/>
      <c r="E9377" s="39"/>
      <c r="F9377" s="39"/>
    </row>
    <row r="9378">
      <c r="D9378" s="39"/>
      <c r="E9378" s="39"/>
      <c r="F9378" s="39"/>
    </row>
    <row r="9379">
      <c r="D9379" s="39"/>
      <c r="E9379" s="39"/>
      <c r="F9379" s="39"/>
    </row>
    <row r="9380">
      <c r="D9380" s="39"/>
      <c r="E9380" s="39"/>
      <c r="F9380" s="39"/>
    </row>
    <row r="9381">
      <c r="D9381" s="39"/>
      <c r="E9381" s="39"/>
      <c r="F9381" s="39"/>
    </row>
    <row r="9382">
      <c r="D9382" s="39"/>
      <c r="E9382" s="39"/>
      <c r="F9382" s="39"/>
    </row>
    <row r="9383">
      <c r="D9383" s="39"/>
      <c r="E9383" s="39"/>
      <c r="F9383" s="39"/>
    </row>
    <row r="9384">
      <c r="D9384" s="39"/>
      <c r="E9384" s="39"/>
      <c r="F9384" s="39"/>
    </row>
    <row r="9385">
      <c r="D9385" s="39"/>
      <c r="E9385" s="39"/>
      <c r="F9385" s="39"/>
    </row>
    <row r="9386">
      <c r="D9386" s="39"/>
      <c r="E9386" s="39"/>
      <c r="F9386" s="39"/>
    </row>
    <row r="9387">
      <c r="D9387" s="39"/>
      <c r="E9387" s="39"/>
      <c r="F9387" s="39"/>
    </row>
    <row r="9388">
      <c r="D9388" s="39"/>
      <c r="E9388" s="39"/>
      <c r="F9388" s="39"/>
    </row>
    <row r="9389">
      <c r="D9389" s="39"/>
      <c r="E9389" s="39"/>
      <c r="F9389" s="39"/>
    </row>
    <row r="9390">
      <c r="D9390" s="39"/>
      <c r="E9390" s="39"/>
      <c r="F9390" s="39"/>
    </row>
    <row r="9391">
      <c r="D9391" s="39"/>
      <c r="E9391" s="39"/>
      <c r="F9391" s="39"/>
    </row>
    <row r="9392">
      <c r="D9392" s="39"/>
      <c r="E9392" s="39"/>
      <c r="F9392" s="39"/>
    </row>
    <row r="9393">
      <c r="D9393" s="39"/>
      <c r="E9393" s="39"/>
      <c r="F9393" s="39"/>
    </row>
    <row r="9394">
      <c r="D9394" s="39"/>
      <c r="E9394" s="39"/>
      <c r="F9394" s="39"/>
    </row>
    <row r="9395">
      <c r="D9395" s="39"/>
      <c r="E9395" s="39"/>
      <c r="F9395" s="39"/>
    </row>
    <row r="9396">
      <c r="D9396" s="39"/>
      <c r="E9396" s="39"/>
      <c r="F9396" s="39"/>
    </row>
    <row r="9397">
      <c r="D9397" s="39"/>
      <c r="E9397" s="39"/>
      <c r="F9397" s="39"/>
    </row>
    <row r="9398">
      <c r="D9398" s="39"/>
      <c r="E9398" s="39"/>
      <c r="F9398" s="39"/>
    </row>
    <row r="9399">
      <c r="D9399" s="39"/>
      <c r="E9399" s="39"/>
      <c r="F9399" s="39"/>
    </row>
    <row r="9400">
      <c r="D9400" s="39"/>
      <c r="E9400" s="39"/>
      <c r="F9400" s="39"/>
    </row>
    <row r="9401">
      <c r="D9401" s="39"/>
      <c r="E9401" s="39"/>
      <c r="F9401" s="39"/>
    </row>
    <row r="9402">
      <c r="D9402" s="39"/>
      <c r="E9402" s="39"/>
      <c r="F9402" s="39"/>
    </row>
    <row r="9403">
      <c r="D9403" s="39"/>
      <c r="E9403" s="39"/>
      <c r="F9403" s="39"/>
    </row>
    <row r="9404">
      <c r="D9404" s="39"/>
      <c r="E9404" s="39"/>
      <c r="F9404" s="39"/>
    </row>
    <row r="9405">
      <c r="D9405" s="39"/>
      <c r="E9405" s="39"/>
      <c r="F9405" s="39"/>
    </row>
    <row r="9406">
      <c r="D9406" s="39"/>
      <c r="E9406" s="39"/>
      <c r="F9406" s="39"/>
    </row>
    <row r="9407">
      <c r="D9407" s="39"/>
      <c r="E9407" s="39"/>
      <c r="F9407" s="39"/>
    </row>
    <row r="9408">
      <c r="D9408" s="39"/>
      <c r="E9408" s="39"/>
      <c r="F9408" s="39"/>
    </row>
    <row r="9409">
      <c r="D9409" s="39"/>
      <c r="E9409" s="39"/>
      <c r="F9409" s="39"/>
    </row>
    <row r="9410">
      <c r="D9410" s="39"/>
      <c r="E9410" s="39"/>
      <c r="F9410" s="39"/>
    </row>
    <row r="9411">
      <c r="D9411" s="39"/>
      <c r="E9411" s="39"/>
      <c r="F9411" s="39"/>
    </row>
    <row r="9412">
      <c r="D9412" s="39"/>
      <c r="E9412" s="39"/>
      <c r="F9412" s="39"/>
    </row>
    <row r="9413">
      <c r="D9413" s="39"/>
      <c r="E9413" s="39"/>
      <c r="F9413" s="39"/>
    </row>
    <row r="9414">
      <c r="D9414" s="39"/>
      <c r="E9414" s="39"/>
      <c r="F9414" s="39"/>
    </row>
    <row r="9415">
      <c r="D9415" s="39"/>
      <c r="E9415" s="39"/>
      <c r="F9415" s="39"/>
    </row>
    <row r="9416">
      <c r="D9416" s="39"/>
      <c r="E9416" s="39"/>
      <c r="F9416" s="39"/>
    </row>
    <row r="9417">
      <c r="D9417" s="39"/>
      <c r="E9417" s="39"/>
      <c r="F9417" s="39"/>
    </row>
    <row r="9418">
      <c r="D9418" s="39"/>
      <c r="E9418" s="39"/>
      <c r="F9418" s="39"/>
    </row>
    <row r="9419">
      <c r="D9419" s="39"/>
      <c r="E9419" s="39"/>
      <c r="F9419" s="39"/>
    </row>
    <row r="9420">
      <c r="D9420" s="39"/>
      <c r="E9420" s="39"/>
      <c r="F9420" s="39"/>
    </row>
    <row r="9421">
      <c r="D9421" s="39"/>
      <c r="E9421" s="39"/>
      <c r="F9421" s="39"/>
    </row>
    <row r="9422">
      <c r="D9422" s="39"/>
      <c r="E9422" s="39"/>
      <c r="F9422" s="39"/>
    </row>
    <row r="9423">
      <c r="D9423" s="39"/>
      <c r="E9423" s="39"/>
      <c r="F9423" s="39"/>
    </row>
    <row r="9424">
      <c r="D9424" s="39"/>
      <c r="E9424" s="39"/>
      <c r="F9424" s="39"/>
    </row>
    <row r="9425">
      <c r="D9425" s="39"/>
      <c r="E9425" s="39"/>
      <c r="F9425" s="39"/>
    </row>
    <row r="9426">
      <c r="D9426" s="39"/>
      <c r="E9426" s="39"/>
      <c r="F9426" s="39"/>
    </row>
    <row r="9427">
      <c r="D9427" s="39"/>
      <c r="E9427" s="39"/>
      <c r="F9427" s="39"/>
    </row>
    <row r="9428">
      <c r="D9428" s="39"/>
      <c r="E9428" s="39"/>
      <c r="F9428" s="39"/>
    </row>
    <row r="9429">
      <c r="D9429" s="39"/>
      <c r="E9429" s="39"/>
      <c r="F9429" s="39"/>
    </row>
    <row r="9430">
      <c r="D9430" s="39"/>
      <c r="E9430" s="39"/>
      <c r="F9430" s="39"/>
    </row>
    <row r="9431">
      <c r="D9431" s="39"/>
      <c r="E9431" s="39"/>
      <c r="F9431" s="39"/>
    </row>
    <row r="9432">
      <c r="D9432" s="39"/>
      <c r="E9432" s="39"/>
      <c r="F9432" s="39"/>
    </row>
    <row r="9433">
      <c r="D9433" s="39"/>
      <c r="E9433" s="39"/>
      <c r="F9433" s="39"/>
    </row>
    <row r="9434">
      <c r="D9434" s="39"/>
      <c r="E9434" s="39"/>
      <c r="F9434" s="39"/>
    </row>
    <row r="9435">
      <c r="D9435" s="39"/>
      <c r="E9435" s="39"/>
      <c r="F9435" s="39"/>
    </row>
    <row r="9436">
      <c r="D9436" s="39"/>
      <c r="E9436" s="39"/>
      <c r="F9436" s="39"/>
    </row>
    <row r="9437">
      <c r="D9437" s="39"/>
      <c r="E9437" s="39"/>
      <c r="F9437" s="39"/>
    </row>
    <row r="9438">
      <c r="D9438" s="39"/>
      <c r="E9438" s="39"/>
      <c r="F9438" s="39"/>
    </row>
    <row r="9439">
      <c r="D9439" s="39"/>
      <c r="E9439" s="39"/>
      <c r="F9439" s="39"/>
    </row>
    <row r="9440">
      <c r="D9440" s="39"/>
      <c r="E9440" s="39"/>
      <c r="F9440" s="39"/>
    </row>
    <row r="9441">
      <c r="D9441" s="39"/>
      <c r="E9441" s="39"/>
      <c r="F9441" s="39"/>
    </row>
    <row r="9442">
      <c r="D9442" s="39"/>
      <c r="E9442" s="39"/>
      <c r="F9442" s="39"/>
    </row>
    <row r="9443">
      <c r="D9443" s="39"/>
      <c r="E9443" s="39"/>
      <c r="F9443" s="39"/>
    </row>
    <row r="9444">
      <c r="D9444" s="39"/>
      <c r="E9444" s="39"/>
      <c r="F9444" s="39"/>
    </row>
    <row r="9445">
      <c r="D9445" s="39"/>
      <c r="E9445" s="39"/>
      <c r="F9445" s="39"/>
    </row>
    <row r="9446">
      <c r="D9446" s="39"/>
      <c r="E9446" s="39"/>
      <c r="F9446" s="39"/>
    </row>
    <row r="9447">
      <c r="D9447" s="39"/>
      <c r="E9447" s="39"/>
      <c r="F9447" s="39"/>
    </row>
    <row r="9448">
      <c r="D9448" s="39"/>
      <c r="E9448" s="39"/>
      <c r="F9448" s="39"/>
    </row>
    <row r="9449">
      <c r="D9449" s="39"/>
      <c r="E9449" s="39"/>
      <c r="F9449" s="39"/>
    </row>
    <row r="9450">
      <c r="D9450" s="39"/>
      <c r="E9450" s="39"/>
      <c r="F9450" s="39"/>
    </row>
    <row r="9451">
      <c r="D9451" s="39"/>
      <c r="E9451" s="39"/>
      <c r="F9451" s="39"/>
    </row>
    <row r="9452">
      <c r="D9452" s="39"/>
      <c r="E9452" s="39"/>
      <c r="F9452" s="39"/>
    </row>
    <row r="9453">
      <c r="D9453" s="39"/>
      <c r="E9453" s="39"/>
      <c r="F9453" s="39"/>
    </row>
    <row r="9454">
      <c r="D9454" s="39"/>
      <c r="E9454" s="39"/>
      <c r="F9454" s="39"/>
    </row>
    <row r="9455">
      <c r="D9455" s="39"/>
      <c r="E9455" s="39"/>
      <c r="F9455" s="39"/>
    </row>
    <row r="9456">
      <c r="D9456" s="39"/>
      <c r="E9456" s="39"/>
      <c r="F9456" s="39"/>
    </row>
    <row r="9457">
      <c r="D9457" s="39"/>
      <c r="E9457" s="39"/>
      <c r="F9457" s="39"/>
    </row>
    <row r="9458">
      <c r="D9458" s="39"/>
      <c r="E9458" s="39"/>
      <c r="F9458" s="39"/>
    </row>
    <row r="9459">
      <c r="D9459" s="39"/>
      <c r="E9459" s="39"/>
      <c r="F9459" s="39"/>
    </row>
    <row r="9460">
      <c r="D9460" s="39"/>
      <c r="E9460" s="39"/>
      <c r="F9460" s="39"/>
    </row>
    <row r="9461">
      <c r="D9461" s="39"/>
      <c r="E9461" s="39"/>
      <c r="F9461" s="39"/>
    </row>
    <row r="9462">
      <c r="D9462" s="39"/>
      <c r="E9462" s="39"/>
      <c r="F9462" s="39"/>
    </row>
    <row r="9463">
      <c r="D9463" s="39"/>
      <c r="E9463" s="39"/>
      <c r="F9463" s="39"/>
    </row>
    <row r="9464">
      <c r="D9464" s="39"/>
      <c r="E9464" s="39"/>
      <c r="F9464" s="39"/>
    </row>
    <row r="9465">
      <c r="D9465" s="39"/>
      <c r="E9465" s="39"/>
      <c r="F9465" s="39"/>
    </row>
    <row r="9466">
      <c r="D9466" s="39"/>
      <c r="E9466" s="39"/>
      <c r="F9466" s="39"/>
    </row>
    <row r="9467">
      <c r="D9467" s="39"/>
      <c r="E9467" s="39"/>
      <c r="F9467" s="39"/>
    </row>
    <row r="9468">
      <c r="D9468" s="39"/>
      <c r="E9468" s="39"/>
      <c r="F9468" s="39"/>
    </row>
    <row r="9469">
      <c r="D9469" s="39"/>
      <c r="E9469" s="39"/>
      <c r="F9469" s="39"/>
    </row>
    <row r="9470">
      <c r="D9470" s="39"/>
      <c r="E9470" s="39"/>
      <c r="F9470" s="39"/>
    </row>
    <row r="9471">
      <c r="D9471" s="39"/>
      <c r="E9471" s="39"/>
      <c r="F9471" s="39"/>
    </row>
    <row r="9472">
      <c r="D9472" s="39"/>
      <c r="E9472" s="39"/>
      <c r="F9472" s="39"/>
    </row>
    <row r="9473">
      <c r="D9473" s="39"/>
      <c r="E9473" s="39"/>
      <c r="F9473" s="39"/>
    </row>
    <row r="9474">
      <c r="D9474" s="39"/>
      <c r="E9474" s="39"/>
      <c r="F9474" s="39"/>
    </row>
    <row r="9475">
      <c r="D9475" s="39"/>
      <c r="E9475" s="39"/>
      <c r="F9475" s="39"/>
    </row>
    <row r="9476">
      <c r="D9476" s="39"/>
      <c r="E9476" s="39"/>
      <c r="F9476" s="39"/>
    </row>
    <row r="9477">
      <c r="D9477" s="39"/>
      <c r="E9477" s="39"/>
      <c r="F9477" s="39"/>
    </row>
    <row r="9478">
      <c r="D9478" s="39"/>
      <c r="E9478" s="39"/>
      <c r="F9478" s="39"/>
    </row>
    <row r="9479">
      <c r="D9479" s="39"/>
      <c r="E9479" s="39"/>
      <c r="F9479" s="39"/>
    </row>
    <row r="9480">
      <c r="D9480" s="39"/>
      <c r="E9480" s="39"/>
      <c r="F9480" s="39"/>
    </row>
    <row r="9481">
      <c r="D9481" s="39"/>
      <c r="E9481" s="39"/>
      <c r="F9481" s="39"/>
    </row>
    <row r="9482">
      <c r="D9482" s="39"/>
      <c r="E9482" s="39"/>
      <c r="F9482" s="39"/>
    </row>
    <row r="9483">
      <c r="D9483" s="39"/>
      <c r="E9483" s="39"/>
      <c r="F9483" s="39"/>
    </row>
    <row r="9484">
      <c r="D9484" s="39"/>
      <c r="E9484" s="39"/>
      <c r="F9484" s="39"/>
    </row>
    <row r="9485">
      <c r="D9485" s="39"/>
      <c r="E9485" s="39"/>
      <c r="F9485" s="39"/>
    </row>
    <row r="9486">
      <c r="D9486" s="39"/>
      <c r="E9486" s="39"/>
      <c r="F9486" s="39"/>
    </row>
    <row r="9487">
      <c r="D9487" s="39"/>
      <c r="E9487" s="39"/>
      <c r="F9487" s="39"/>
    </row>
    <row r="9488">
      <c r="D9488" s="39"/>
      <c r="E9488" s="39"/>
      <c r="F9488" s="39"/>
    </row>
    <row r="9489">
      <c r="D9489" s="39"/>
      <c r="E9489" s="39"/>
      <c r="F9489" s="39"/>
    </row>
    <row r="9490">
      <c r="D9490" s="39"/>
      <c r="E9490" s="39"/>
      <c r="F9490" s="39"/>
    </row>
    <row r="9491">
      <c r="D9491" s="39"/>
      <c r="E9491" s="39"/>
      <c r="F9491" s="39"/>
    </row>
    <row r="9492">
      <c r="D9492" s="39"/>
      <c r="E9492" s="39"/>
      <c r="F9492" s="39"/>
    </row>
    <row r="9493">
      <c r="D9493" s="39"/>
      <c r="E9493" s="39"/>
      <c r="F9493" s="39"/>
    </row>
    <row r="9494">
      <c r="D9494" s="39"/>
      <c r="E9494" s="39"/>
      <c r="F9494" s="39"/>
    </row>
    <row r="9495">
      <c r="D9495" s="39"/>
      <c r="E9495" s="39"/>
      <c r="F9495" s="39"/>
    </row>
    <row r="9496">
      <c r="D9496" s="39"/>
      <c r="E9496" s="39"/>
      <c r="F9496" s="39"/>
    </row>
    <row r="9497">
      <c r="D9497" s="39"/>
      <c r="E9497" s="39"/>
      <c r="F9497" s="39"/>
    </row>
    <row r="9498">
      <c r="D9498" s="39"/>
      <c r="E9498" s="39"/>
      <c r="F9498" s="39"/>
    </row>
    <row r="9499">
      <c r="D9499" s="39"/>
      <c r="E9499" s="39"/>
      <c r="F9499" s="39"/>
    </row>
    <row r="9500">
      <c r="D9500" s="39"/>
      <c r="E9500" s="39"/>
      <c r="F9500" s="39"/>
    </row>
    <row r="9501">
      <c r="D9501" s="39"/>
      <c r="E9501" s="39"/>
      <c r="F9501" s="39"/>
    </row>
    <row r="9502">
      <c r="D9502" s="39"/>
      <c r="E9502" s="39"/>
      <c r="F9502" s="39"/>
    </row>
    <row r="9503">
      <c r="D9503" s="39"/>
      <c r="E9503" s="39"/>
      <c r="F9503" s="39"/>
    </row>
    <row r="9504">
      <c r="D9504" s="39"/>
      <c r="E9504" s="39"/>
      <c r="F9504" s="39"/>
    </row>
    <row r="9505">
      <c r="D9505" s="39"/>
      <c r="E9505" s="39"/>
      <c r="F9505" s="39"/>
    </row>
    <row r="9506">
      <c r="D9506" s="39"/>
      <c r="E9506" s="39"/>
      <c r="F9506" s="39"/>
    </row>
    <row r="9507">
      <c r="D9507" s="39"/>
      <c r="E9507" s="39"/>
      <c r="F9507" s="39"/>
    </row>
    <row r="9508">
      <c r="D9508" s="39"/>
      <c r="E9508" s="39"/>
      <c r="F9508" s="39"/>
    </row>
    <row r="9509">
      <c r="D9509" s="39"/>
      <c r="E9509" s="39"/>
      <c r="F9509" s="39"/>
    </row>
    <row r="9510">
      <c r="D9510" s="39"/>
      <c r="E9510" s="39"/>
      <c r="F9510" s="39"/>
    </row>
    <row r="9511">
      <c r="D9511" s="39"/>
      <c r="E9511" s="39"/>
      <c r="F9511" s="39"/>
    </row>
    <row r="9512">
      <c r="D9512" s="39"/>
      <c r="E9512" s="39"/>
      <c r="F9512" s="39"/>
    </row>
    <row r="9513">
      <c r="D9513" s="39"/>
      <c r="E9513" s="39"/>
      <c r="F9513" s="39"/>
    </row>
    <row r="9514">
      <c r="D9514" s="39"/>
      <c r="E9514" s="39"/>
      <c r="F9514" s="39"/>
    </row>
    <row r="9515">
      <c r="D9515" s="39"/>
      <c r="E9515" s="39"/>
      <c r="F9515" s="39"/>
    </row>
    <row r="9516">
      <c r="D9516" s="39"/>
      <c r="E9516" s="39"/>
      <c r="F9516" s="39"/>
    </row>
    <row r="9517">
      <c r="D9517" s="39"/>
      <c r="E9517" s="39"/>
      <c r="F9517" s="39"/>
    </row>
    <row r="9518">
      <c r="D9518" s="39"/>
      <c r="E9518" s="39"/>
      <c r="F9518" s="39"/>
    </row>
    <row r="9519">
      <c r="D9519" s="39"/>
      <c r="E9519" s="39"/>
      <c r="F9519" s="39"/>
    </row>
    <row r="9520">
      <c r="D9520" s="39"/>
      <c r="E9520" s="39"/>
      <c r="F9520" s="39"/>
    </row>
    <row r="9521">
      <c r="D9521" s="39"/>
      <c r="E9521" s="39"/>
      <c r="F9521" s="39"/>
    </row>
    <row r="9522">
      <c r="D9522" s="39"/>
      <c r="E9522" s="39"/>
      <c r="F9522" s="39"/>
    </row>
    <row r="9523">
      <c r="D9523" s="39"/>
      <c r="E9523" s="39"/>
      <c r="F9523" s="39"/>
    </row>
    <row r="9524">
      <c r="D9524" s="39"/>
      <c r="E9524" s="39"/>
      <c r="F9524" s="39"/>
    </row>
    <row r="9525">
      <c r="D9525" s="39"/>
      <c r="E9525" s="39"/>
      <c r="F9525" s="39"/>
    </row>
    <row r="9526">
      <c r="D9526" s="39"/>
      <c r="E9526" s="39"/>
      <c r="F9526" s="39"/>
    </row>
    <row r="9527">
      <c r="D9527" s="39"/>
      <c r="E9527" s="39"/>
      <c r="F9527" s="39"/>
    </row>
    <row r="9528">
      <c r="D9528" s="39"/>
      <c r="E9528" s="39"/>
      <c r="F9528" s="39"/>
    </row>
    <row r="9529">
      <c r="D9529" s="39"/>
      <c r="E9529" s="39"/>
      <c r="F9529" s="39"/>
    </row>
    <row r="9530">
      <c r="D9530" s="39"/>
      <c r="E9530" s="39"/>
      <c r="F9530" s="39"/>
    </row>
    <row r="9531">
      <c r="D9531" s="39"/>
      <c r="E9531" s="39"/>
      <c r="F9531" s="39"/>
    </row>
    <row r="9532">
      <c r="D9532" s="39"/>
      <c r="E9532" s="39"/>
      <c r="F9532" s="39"/>
    </row>
    <row r="9533">
      <c r="D9533" s="39"/>
      <c r="E9533" s="39"/>
      <c r="F9533" s="39"/>
    </row>
    <row r="9534">
      <c r="D9534" s="39"/>
      <c r="E9534" s="39"/>
      <c r="F9534" s="39"/>
    </row>
    <row r="9535">
      <c r="D9535" s="39"/>
      <c r="E9535" s="39"/>
      <c r="F9535" s="39"/>
    </row>
    <row r="9536">
      <c r="D9536" s="39"/>
      <c r="E9536" s="39"/>
      <c r="F9536" s="39"/>
    </row>
    <row r="9537">
      <c r="D9537" s="39"/>
      <c r="E9537" s="39"/>
      <c r="F9537" s="39"/>
    </row>
    <row r="9538">
      <c r="D9538" s="39"/>
      <c r="E9538" s="39"/>
      <c r="F9538" s="39"/>
    </row>
    <row r="9539">
      <c r="D9539" s="39"/>
      <c r="E9539" s="39"/>
      <c r="F9539" s="39"/>
    </row>
    <row r="9540">
      <c r="D9540" s="39"/>
      <c r="E9540" s="39"/>
      <c r="F9540" s="39"/>
    </row>
    <row r="9541">
      <c r="D9541" s="39"/>
      <c r="E9541" s="39"/>
      <c r="F9541" s="39"/>
    </row>
    <row r="9542">
      <c r="D9542" s="39"/>
      <c r="E9542" s="39"/>
      <c r="F9542" s="39"/>
    </row>
    <row r="9543">
      <c r="D9543" s="39"/>
      <c r="E9543" s="39"/>
      <c r="F9543" s="39"/>
    </row>
    <row r="9544">
      <c r="D9544" s="39"/>
      <c r="E9544" s="39"/>
      <c r="F9544" s="39"/>
    </row>
    <row r="9545">
      <c r="D9545" s="39"/>
      <c r="E9545" s="39"/>
      <c r="F9545" s="39"/>
    </row>
    <row r="9546">
      <c r="D9546" s="39"/>
      <c r="E9546" s="39"/>
      <c r="F9546" s="39"/>
    </row>
    <row r="9547">
      <c r="D9547" s="39"/>
      <c r="E9547" s="39"/>
      <c r="F9547" s="39"/>
    </row>
    <row r="9548">
      <c r="D9548" s="39"/>
      <c r="E9548" s="39"/>
      <c r="F9548" s="39"/>
    </row>
    <row r="9549">
      <c r="D9549" s="39"/>
      <c r="E9549" s="39"/>
      <c r="F9549" s="39"/>
    </row>
    <row r="9550">
      <c r="D9550" s="39"/>
      <c r="E9550" s="39"/>
      <c r="F9550" s="39"/>
    </row>
    <row r="9551">
      <c r="D9551" s="39"/>
      <c r="E9551" s="39"/>
      <c r="F9551" s="39"/>
    </row>
    <row r="9552">
      <c r="D9552" s="39"/>
      <c r="E9552" s="39"/>
      <c r="F9552" s="39"/>
    </row>
    <row r="9553">
      <c r="D9553" s="39"/>
      <c r="E9553" s="39"/>
      <c r="F9553" s="39"/>
    </row>
    <row r="9554">
      <c r="D9554" s="39"/>
      <c r="E9554" s="39"/>
      <c r="F9554" s="39"/>
    </row>
    <row r="9555">
      <c r="D9555" s="39"/>
      <c r="E9555" s="39"/>
      <c r="F9555" s="39"/>
    </row>
    <row r="9556">
      <c r="D9556" s="39"/>
      <c r="E9556" s="39"/>
      <c r="F9556" s="39"/>
    </row>
    <row r="9557">
      <c r="D9557" s="39"/>
      <c r="E9557" s="39"/>
      <c r="F9557" s="39"/>
    </row>
    <row r="9558">
      <c r="D9558" s="39"/>
      <c r="E9558" s="39"/>
      <c r="F9558" s="39"/>
    </row>
    <row r="9559">
      <c r="D9559" s="39"/>
      <c r="E9559" s="39"/>
      <c r="F9559" s="39"/>
    </row>
    <row r="9560">
      <c r="D9560" s="39"/>
      <c r="E9560" s="39"/>
      <c r="F9560" s="39"/>
    </row>
    <row r="9561">
      <c r="D9561" s="39"/>
      <c r="E9561" s="39"/>
      <c r="F9561" s="39"/>
    </row>
    <row r="9562">
      <c r="D9562" s="39"/>
      <c r="E9562" s="39"/>
      <c r="F9562" s="39"/>
    </row>
    <row r="9563">
      <c r="D9563" s="39"/>
      <c r="E9563" s="39"/>
      <c r="F9563" s="39"/>
    </row>
    <row r="9564">
      <c r="D9564" s="39"/>
      <c r="E9564" s="39"/>
      <c r="F9564" s="39"/>
    </row>
    <row r="9565">
      <c r="D9565" s="39"/>
      <c r="E9565" s="39"/>
      <c r="F9565" s="39"/>
    </row>
    <row r="9566">
      <c r="D9566" s="39"/>
      <c r="E9566" s="39"/>
      <c r="F9566" s="39"/>
    </row>
    <row r="9567">
      <c r="D9567" s="39"/>
      <c r="E9567" s="39"/>
      <c r="F9567" s="39"/>
    </row>
    <row r="9568">
      <c r="D9568" s="39"/>
      <c r="E9568" s="39"/>
      <c r="F9568" s="39"/>
    </row>
    <row r="9569">
      <c r="D9569" s="39"/>
      <c r="E9569" s="39"/>
      <c r="F9569" s="39"/>
    </row>
    <row r="9570">
      <c r="D9570" s="39"/>
      <c r="E9570" s="39"/>
      <c r="F9570" s="39"/>
    </row>
    <row r="9571">
      <c r="D9571" s="39"/>
      <c r="E9571" s="39"/>
      <c r="F9571" s="39"/>
    </row>
    <row r="9572">
      <c r="D9572" s="39"/>
      <c r="E9572" s="39"/>
      <c r="F9572" s="39"/>
    </row>
    <row r="9573">
      <c r="D9573" s="39"/>
      <c r="E9573" s="39"/>
      <c r="F9573" s="39"/>
    </row>
    <row r="9574">
      <c r="D9574" s="39"/>
      <c r="E9574" s="39"/>
      <c r="F9574" s="39"/>
    </row>
    <row r="9575">
      <c r="D9575" s="39"/>
      <c r="E9575" s="39"/>
      <c r="F9575" s="39"/>
    </row>
    <row r="9576">
      <c r="D9576" s="39"/>
      <c r="E9576" s="39"/>
      <c r="F9576" s="39"/>
    </row>
    <row r="9577">
      <c r="D9577" s="39"/>
      <c r="E9577" s="39"/>
      <c r="F9577" s="39"/>
    </row>
    <row r="9578">
      <c r="D9578" s="39"/>
      <c r="E9578" s="39"/>
      <c r="F9578" s="39"/>
    </row>
    <row r="9579">
      <c r="D9579" s="39"/>
      <c r="E9579" s="39"/>
      <c r="F9579" s="39"/>
    </row>
    <row r="9580">
      <c r="D9580" s="39"/>
      <c r="E9580" s="39"/>
      <c r="F9580" s="39"/>
    </row>
    <row r="9581">
      <c r="D9581" s="39"/>
      <c r="E9581" s="39"/>
      <c r="F9581" s="39"/>
    </row>
    <row r="9582">
      <c r="D9582" s="39"/>
      <c r="E9582" s="39"/>
      <c r="F9582" s="39"/>
    </row>
    <row r="9583">
      <c r="D9583" s="39"/>
      <c r="E9583" s="39"/>
      <c r="F9583" s="39"/>
    </row>
    <row r="9584">
      <c r="D9584" s="39"/>
      <c r="E9584" s="39"/>
      <c r="F9584" s="39"/>
    </row>
    <row r="9585">
      <c r="D9585" s="39"/>
      <c r="E9585" s="39"/>
      <c r="F9585" s="39"/>
    </row>
    <row r="9586">
      <c r="D9586" s="39"/>
      <c r="E9586" s="39"/>
      <c r="F9586" s="39"/>
    </row>
    <row r="9587">
      <c r="D9587" s="39"/>
      <c r="E9587" s="39"/>
      <c r="F9587" s="39"/>
    </row>
    <row r="9588">
      <c r="D9588" s="39"/>
      <c r="E9588" s="39"/>
      <c r="F9588" s="39"/>
    </row>
    <row r="9589">
      <c r="D9589" s="39"/>
      <c r="E9589" s="39"/>
      <c r="F9589" s="39"/>
    </row>
    <row r="9590">
      <c r="D9590" s="39"/>
      <c r="E9590" s="39"/>
      <c r="F9590" s="39"/>
    </row>
    <row r="9591">
      <c r="D9591" s="39"/>
      <c r="E9591" s="39"/>
      <c r="F9591" s="39"/>
    </row>
    <row r="9592">
      <c r="D9592" s="39"/>
      <c r="E9592" s="39"/>
      <c r="F9592" s="39"/>
    </row>
    <row r="9593">
      <c r="D9593" s="39"/>
      <c r="E9593" s="39"/>
      <c r="F9593" s="39"/>
    </row>
    <row r="9594">
      <c r="D9594" s="39"/>
      <c r="E9594" s="39"/>
      <c r="F9594" s="39"/>
    </row>
    <row r="9595">
      <c r="D9595" s="39"/>
      <c r="E9595" s="39"/>
      <c r="F9595" s="39"/>
    </row>
    <row r="9596">
      <c r="D9596" s="39"/>
      <c r="E9596" s="39"/>
      <c r="F9596" s="39"/>
    </row>
    <row r="9597">
      <c r="D9597" s="39"/>
      <c r="E9597" s="39"/>
      <c r="F9597" s="39"/>
    </row>
    <row r="9598">
      <c r="D9598" s="39"/>
      <c r="E9598" s="39"/>
      <c r="F9598" s="39"/>
    </row>
    <row r="9599">
      <c r="D9599" s="39"/>
      <c r="E9599" s="39"/>
      <c r="F9599" s="39"/>
    </row>
    <row r="9600">
      <c r="D9600" s="39"/>
      <c r="E9600" s="39"/>
      <c r="F9600" s="39"/>
    </row>
    <row r="9601">
      <c r="D9601" s="39"/>
      <c r="E9601" s="39"/>
      <c r="F9601" s="39"/>
    </row>
    <row r="9602">
      <c r="D9602" s="39"/>
      <c r="E9602" s="39"/>
      <c r="F9602" s="39"/>
    </row>
    <row r="9603">
      <c r="D9603" s="39"/>
      <c r="E9603" s="39"/>
      <c r="F9603" s="39"/>
    </row>
    <row r="9604">
      <c r="D9604" s="39"/>
      <c r="E9604" s="39"/>
      <c r="F9604" s="39"/>
    </row>
    <row r="9605">
      <c r="D9605" s="39"/>
      <c r="E9605" s="39"/>
      <c r="F9605" s="39"/>
    </row>
    <row r="9606">
      <c r="D9606" s="39"/>
      <c r="E9606" s="39"/>
      <c r="F9606" s="39"/>
    </row>
    <row r="9607">
      <c r="D9607" s="39"/>
      <c r="E9607" s="39"/>
      <c r="F9607" s="39"/>
    </row>
    <row r="9608">
      <c r="D9608" s="39"/>
      <c r="E9608" s="39"/>
      <c r="F9608" s="39"/>
    </row>
    <row r="9609">
      <c r="D9609" s="39"/>
      <c r="E9609" s="39"/>
      <c r="F9609" s="39"/>
    </row>
    <row r="9610">
      <c r="D9610" s="39"/>
      <c r="E9610" s="39"/>
      <c r="F9610" s="39"/>
    </row>
    <row r="9611">
      <c r="D9611" s="39"/>
      <c r="E9611" s="39"/>
      <c r="F9611" s="39"/>
    </row>
    <row r="9612">
      <c r="D9612" s="39"/>
      <c r="E9612" s="39"/>
      <c r="F9612" s="39"/>
    </row>
    <row r="9613">
      <c r="D9613" s="39"/>
      <c r="E9613" s="39"/>
      <c r="F9613" s="39"/>
    </row>
    <row r="9614">
      <c r="D9614" s="39"/>
      <c r="E9614" s="39"/>
      <c r="F9614" s="39"/>
    </row>
    <row r="9615">
      <c r="D9615" s="39"/>
      <c r="E9615" s="39"/>
      <c r="F9615" s="39"/>
    </row>
    <row r="9616">
      <c r="D9616" s="39"/>
      <c r="E9616" s="39"/>
      <c r="F9616" s="39"/>
    </row>
    <row r="9617">
      <c r="D9617" s="39"/>
      <c r="E9617" s="39"/>
      <c r="F9617" s="39"/>
    </row>
    <row r="9618">
      <c r="D9618" s="39"/>
      <c r="E9618" s="39"/>
      <c r="F9618" s="39"/>
    </row>
    <row r="9619">
      <c r="D9619" s="39"/>
      <c r="E9619" s="39"/>
      <c r="F9619" s="39"/>
    </row>
    <row r="9620">
      <c r="D9620" s="39"/>
      <c r="E9620" s="39"/>
      <c r="F9620" s="39"/>
    </row>
    <row r="9621">
      <c r="D9621" s="39"/>
      <c r="E9621" s="39"/>
      <c r="F9621" s="39"/>
    </row>
    <row r="9622">
      <c r="D9622" s="39"/>
      <c r="E9622" s="39"/>
      <c r="F9622" s="39"/>
    </row>
    <row r="9623">
      <c r="D9623" s="39"/>
      <c r="E9623" s="39"/>
      <c r="F9623" s="39"/>
    </row>
    <row r="9624">
      <c r="D9624" s="39"/>
      <c r="E9624" s="39"/>
      <c r="F9624" s="39"/>
    </row>
    <row r="9625">
      <c r="D9625" s="39"/>
      <c r="E9625" s="39"/>
      <c r="F9625" s="39"/>
    </row>
    <row r="9626">
      <c r="D9626" s="39"/>
      <c r="E9626" s="39"/>
      <c r="F9626" s="39"/>
    </row>
    <row r="9627">
      <c r="D9627" s="39"/>
      <c r="E9627" s="39"/>
      <c r="F9627" s="39"/>
    </row>
    <row r="9628">
      <c r="D9628" s="39"/>
      <c r="E9628" s="39"/>
      <c r="F9628" s="39"/>
    </row>
    <row r="9629">
      <c r="D9629" s="39"/>
      <c r="E9629" s="39"/>
      <c r="F9629" s="39"/>
    </row>
    <row r="9630">
      <c r="D9630" s="39"/>
      <c r="E9630" s="39"/>
      <c r="F9630" s="39"/>
    </row>
    <row r="9631">
      <c r="D9631" s="39"/>
      <c r="E9631" s="39"/>
      <c r="F9631" s="39"/>
    </row>
    <row r="9632">
      <c r="D9632" s="39"/>
      <c r="E9632" s="39"/>
      <c r="F9632" s="39"/>
    </row>
    <row r="9633">
      <c r="D9633" s="39"/>
      <c r="E9633" s="39"/>
      <c r="F9633" s="39"/>
    </row>
    <row r="9634">
      <c r="D9634" s="39"/>
      <c r="E9634" s="39"/>
      <c r="F9634" s="39"/>
    </row>
    <row r="9635">
      <c r="D9635" s="39"/>
      <c r="E9635" s="39"/>
      <c r="F9635" s="39"/>
    </row>
    <row r="9636">
      <c r="D9636" s="39"/>
      <c r="E9636" s="39"/>
      <c r="F9636" s="39"/>
    </row>
    <row r="9637">
      <c r="D9637" s="39"/>
      <c r="E9637" s="39"/>
      <c r="F9637" s="39"/>
    </row>
    <row r="9638">
      <c r="D9638" s="39"/>
      <c r="E9638" s="39"/>
      <c r="F9638" s="39"/>
    </row>
    <row r="9639">
      <c r="D9639" s="39"/>
      <c r="E9639" s="39"/>
      <c r="F9639" s="39"/>
    </row>
    <row r="9640">
      <c r="D9640" s="39"/>
      <c r="E9640" s="39"/>
      <c r="F9640" s="39"/>
    </row>
    <row r="9641">
      <c r="D9641" s="39"/>
      <c r="E9641" s="39"/>
      <c r="F9641" s="39"/>
    </row>
    <row r="9642">
      <c r="D9642" s="39"/>
      <c r="E9642" s="39"/>
      <c r="F9642" s="39"/>
    </row>
    <row r="9643">
      <c r="D9643" s="39"/>
      <c r="E9643" s="39"/>
      <c r="F9643" s="39"/>
    </row>
    <row r="9644">
      <c r="D9644" s="39"/>
      <c r="E9644" s="39"/>
      <c r="F9644" s="39"/>
    </row>
    <row r="9645">
      <c r="D9645" s="39"/>
      <c r="E9645" s="39"/>
      <c r="F9645" s="39"/>
    </row>
    <row r="9646">
      <c r="D9646" s="39"/>
      <c r="E9646" s="39"/>
      <c r="F9646" s="39"/>
    </row>
    <row r="9647">
      <c r="D9647" s="39"/>
      <c r="E9647" s="39"/>
      <c r="F9647" s="39"/>
    </row>
    <row r="9648">
      <c r="D9648" s="39"/>
      <c r="E9648" s="39"/>
      <c r="F9648" s="39"/>
    </row>
    <row r="9649">
      <c r="D9649" s="39"/>
      <c r="E9649" s="39"/>
      <c r="F9649" s="39"/>
    </row>
    <row r="9650">
      <c r="D9650" s="39"/>
      <c r="E9650" s="39"/>
      <c r="F9650" s="39"/>
    </row>
    <row r="9651">
      <c r="D9651" s="39"/>
      <c r="E9651" s="39"/>
      <c r="F9651" s="39"/>
    </row>
    <row r="9652">
      <c r="D9652" s="39"/>
      <c r="E9652" s="39"/>
      <c r="F9652" s="39"/>
    </row>
    <row r="9653">
      <c r="D9653" s="39"/>
      <c r="E9653" s="39"/>
      <c r="F9653" s="39"/>
    </row>
    <row r="9654">
      <c r="D9654" s="39"/>
      <c r="E9654" s="39"/>
      <c r="F9654" s="39"/>
    </row>
    <row r="9655">
      <c r="D9655" s="39"/>
      <c r="E9655" s="39"/>
      <c r="F9655" s="39"/>
    </row>
    <row r="9656">
      <c r="D9656" s="39"/>
      <c r="E9656" s="39"/>
      <c r="F9656" s="39"/>
    </row>
    <row r="9657">
      <c r="D9657" s="39"/>
      <c r="E9657" s="39"/>
      <c r="F9657" s="39"/>
    </row>
    <row r="9658">
      <c r="D9658" s="39"/>
      <c r="E9658" s="39"/>
      <c r="F9658" s="39"/>
    </row>
    <row r="9659">
      <c r="D9659" s="39"/>
      <c r="E9659" s="39"/>
      <c r="F9659" s="39"/>
    </row>
    <row r="9660">
      <c r="D9660" s="39"/>
      <c r="E9660" s="39"/>
      <c r="F9660" s="39"/>
    </row>
    <row r="9661">
      <c r="D9661" s="39"/>
      <c r="E9661" s="39"/>
      <c r="F9661" s="39"/>
    </row>
    <row r="9662">
      <c r="D9662" s="39"/>
      <c r="E9662" s="39"/>
      <c r="F9662" s="39"/>
    </row>
    <row r="9663">
      <c r="D9663" s="39"/>
      <c r="E9663" s="39"/>
      <c r="F9663" s="39"/>
    </row>
    <row r="9664">
      <c r="D9664" s="39"/>
      <c r="E9664" s="39"/>
      <c r="F9664" s="39"/>
    </row>
    <row r="9665">
      <c r="D9665" s="39"/>
      <c r="E9665" s="39"/>
      <c r="F9665" s="39"/>
    </row>
    <row r="9666">
      <c r="D9666" s="39"/>
      <c r="E9666" s="39"/>
      <c r="F9666" s="39"/>
    </row>
    <row r="9667">
      <c r="D9667" s="39"/>
      <c r="E9667" s="39"/>
      <c r="F9667" s="39"/>
    </row>
    <row r="9668">
      <c r="D9668" s="39"/>
      <c r="E9668" s="39"/>
      <c r="F9668" s="39"/>
    </row>
    <row r="9669">
      <c r="D9669" s="39"/>
      <c r="E9669" s="39"/>
      <c r="F9669" s="39"/>
    </row>
    <row r="9670">
      <c r="D9670" s="39"/>
      <c r="E9670" s="39"/>
      <c r="F9670" s="39"/>
    </row>
    <row r="9671">
      <c r="D9671" s="39"/>
      <c r="E9671" s="39"/>
      <c r="F9671" s="39"/>
    </row>
    <row r="9672">
      <c r="D9672" s="39"/>
      <c r="E9672" s="39"/>
      <c r="F9672" s="39"/>
    </row>
    <row r="9673">
      <c r="D9673" s="39"/>
      <c r="E9673" s="39"/>
      <c r="F9673" s="39"/>
    </row>
    <row r="9674">
      <c r="D9674" s="39"/>
      <c r="E9674" s="39"/>
      <c r="F9674" s="39"/>
    </row>
    <row r="9675">
      <c r="D9675" s="39"/>
      <c r="E9675" s="39"/>
      <c r="F9675" s="39"/>
    </row>
    <row r="9676">
      <c r="D9676" s="39"/>
      <c r="E9676" s="39"/>
      <c r="F9676" s="39"/>
    </row>
    <row r="9677">
      <c r="D9677" s="39"/>
      <c r="E9677" s="39"/>
      <c r="F9677" s="39"/>
    </row>
    <row r="9678">
      <c r="D9678" s="39"/>
      <c r="E9678" s="39"/>
      <c r="F9678" s="39"/>
    </row>
    <row r="9679">
      <c r="D9679" s="39"/>
      <c r="E9679" s="39"/>
      <c r="F9679" s="39"/>
    </row>
    <row r="9680">
      <c r="D9680" s="39"/>
      <c r="E9680" s="39"/>
      <c r="F9680" s="39"/>
    </row>
    <row r="9681">
      <c r="D9681" s="39"/>
      <c r="E9681" s="39"/>
      <c r="F9681" s="39"/>
    </row>
    <row r="9682">
      <c r="D9682" s="39"/>
      <c r="E9682" s="39"/>
      <c r="F9682" s="39"/>
    </row>
    <row r="9683">
      <c r="D9683" s="39"/>
      <c r="E9683" s="39"/>
      <c r="F9683" s="39"/>
    </row>
    <row r="9684">
      <c r="D9684" s="39"/>
      <c r="E9684" s="39"/>
      <c r="F9684" s="39"/>
    </row>
    <row r="9685">
      <c r="D9685" s="39"/>
      <c r="E9685" s="39"/>
      <c r="F9685" s="39"/>
    </row>
    <row r="9686">
      <c r="D9686" s="39"/>
      <c r="E9686" s="39"/>
      <c r="F9686" s="39"/>
    </row>
    <row r="9687">
      <c r="D9687" s="39"/>
      <c r="E9687" s="39"/>
      <c r="F9687" s="39"/>
    </row>
    <row r="9688">
      <c r="D9688" s="39"/>
      <c r="E9688" s="39"/>
      <c r="F9688" s="39"/>
    </row>
    <row r="9689">
      <c r="D9689" s="39"/>
      <c r="E9689" s="39"/>
      <c r="F9689" s="39"/>
    </row>
    <row r="9690">
      <c r="D9690" s="39"/>
      <c r="E9690" s="39"/>
      <c r="F9690" s="39"/>
    </row>
    <row r="9691">
      <c r="D9691" s="39"/>
      <c r="E9691" s="39"/>
      <c r="F9691" s="39"/>
    </row>
    <row r="9692">
      <c r="D9692" s="39"/>
      <c r="E9692" s="39"/>
      <c r="F9692" s="39"/>
    </row>
    <row r="9693">
      <c r="D9693" s="39"/>
      <c r="E9693" s="39"/>
      <c r="F9693" s="39"/>
    </row>
    <row r="9694">
      <c r="D9694" s="39"/>
      <c r="E9694" s="39"/>
      <c r="F9694" s="39"/>
    </row>
    <row r="9695">
      <c r="D9695" s="39"/>
      <c r="E9695" s="39"/>
      <c r="F9695" s="39"/>
    </row>
    <row r="9696">
      <c r="D9696" s="39"/>
      <c r="E9696" s="39"/>
      <c r="F9696" s="39"/>
    </row>
    <row r="9697">
      <c r="D9697" s="39"/>
      <c r="E9697" s="39"/>
      <c r="F9697" s="39"/>
    </row>
    <row r="9698">
      <c r="D9698" s="39"/>
      <c r="E9698" s="39"/>
      <c r="F9698" s="39"/>
    </row>
    <row r="9699">
      <c r="D9699" s="39"/>
      <c r="E9699" s="39"/>
      <c r="F9699" s="39"/>
    </row>
    <row r="9700">
      <c r="D9700" s="39"/>
      <c r="E9700" s="39"/>
      <c r="F9700" s="39"/>
    </row>
    <row r="9701">
      <c r="D9701" s="39"/>
      <c r="E9701" s="39"/>
      <c r="F9701" s="39"/>
    </row>
    <row r="9702">
      <c r="D9702" s="39"/>
      <c r="E9702" s="39"/>
      <c r="F9702" s="39"/>
    </row>
    <row r="9703">
      <c r="D9703" s="39"/>
      <c r="E9703" s="39"/>
      <c r="F9703" s="39"/>
    </row>
    <row r="9704">
      <c r="D9704" s="39"/>
      <c r="E9704" s="39"/>
      <c r="F9704" s="39"/>
    </row>
    <row r="9705">
      <c r="D9705" s="39"/>
      <c r="E9705" s="39"/>
      <c r="F9705" s="39"/>
    </row>
    <row r="9706">
      <c r="D9706" s="39"/>
      <c r="E9706" s="39"/>
      <c r="F9706" s="39"/>
    </row>
    <row r="9707">
      <c r="D9707" s="39"/>
      <c r="E9707" s="39"/>
      <c r="F9707" s="39"/>
    </row>
    <row r="9708">
      <c r="D9708" s="39"/>
      <c r="E9708" s="39"/>
      <c r="F9708" s="39"/>
    </row>
    <row r="9709">
      <c r="D9709" s="39"/>
      <c r="E9709" s="39"/>
      <c r="F9709" s="39"/>
    </row>
    <row r="9710">
      <c r="D9710" s="39"/>
      <c r="E9710" s="39"/>
      <c r="F9710" s="39"/>
    </row>
    <row r="9711">
      <c r="D9711" s="39"/>
      <c r="E9711" s="39"/>
      <c r="F9711" s="39"/>
    </row>
    <row r="9712">
      <c r="D9712" s="39"/>
      <c r="E9712" s="39"/>
      <c r="F9712" s="39"/>
    </row>
    <row r="9713">
      <c r="D9713" s="39"/>
      <c r="E9713" s="39"/>
      <c r="F9713" s="39"/>
    </row>
    <row r="9714">
      <c r="D9714" s="39"/>
      <c r="E9714" s="39"/>
      <c r="F9714" s="39"/>
    </row>
    <row r="9715">
      <c r="D9715" s="39"/>
      <c r="E9715" s="39"/>
      <c r="F9715" s="39"/>
    </row>
    <row r="9716">
      <c r="D9716" s="39"/>
      <c r="E9716" s="39"/>
      <c r="F9716" s="39"/>
    </row>
    <row r="9717">
      <c r="D9717" s="39"/>
      <c r="E9717" s="39"/>
      <c r="F9717" s="39"/>
    </row>
    <row r="9718">
      <c r="D9718" s="39"/>
      <c r="E9718" s="39"/>
      <c r="F9718" s="39"/>
    </row>
    <row r="9719">
      <c r="D9719" s="39"/>
      <c r="E9719" s="39"/>
      <c r="F9719" s="39"/>
    </row>
    <row r="9720">
      <c r="D9720" s="39"/>
      <c r="E9720" s="39"/>
      <c r="F9720" s="39"/>
    </row>
    <row r="9721">
      <c r="D9721" s="39"/>
      <c r="E9721" s="39"/>
      <c r="F9721" s="39"/>
    </row>
    <row r="9722">
      <c r="D9722" s="39"/>
      <c r="E9722" s="39"/>
      <c r="F9722" s="39"/>
    </row>
    <row r="9723">
      <c r="D9723" s="39"/>
      <c r="E9723" s="39"/>
      <c r="F9723" s="39"/>
    </row>
    <row r="9724">
      <c r="D9724" s="39"/>
      <c r="E9724" s="39"/>
      <c r="F9724" s="39"/>
    </row>
    <row r="9725">
      <c r="D9725" s="39"/>
      <c r="E9725" s="39"/>
      <c r="F9725" s="39"/>
    </row>
    <row r="9726">
      <c r="D9726" s="39"/>
      <c r="E9726" s="39"/>
      <c r="F9726" s="39"/>
    </row>
    <row r="9727">
      <c r="D9727" s="39"/>
      <c r="E9727" s="39"/>
      <c r="F9727" s="39"/>
    </row>
    <row r="9728">
      <c r="D9728" s="39"/>
      <c r="E9728" s="39"/>
      <c r="F9728" s="39"/>
    </row>
    <row r="9729">
      <c r="D9729" s="39"/>
      <c r="E9729" s="39"/>
      <c r="F9729" s="39"/>
    </row>
    <row r="9730">
      <c r="D9730" s="39"/>
      <c r="E9730" s="39"/>
      <c r="F9730" s="39"/>
    </row>
    <row r="9731">
      <c r="D9731" s="39"/>
      <c r="E9731" s="39"/>
      <c r="F9731" s="39"/>
    </row>
    <row r="9732">
      <c r="D9732" s="39"/>
      <c r="E9732" s="39"/>
      <c r="F9732" s="39"/>
    </row>
    <row r="9733">
      <c r="D9733" s="39"/>
      <c r="E9733" s="39"/>
      <c r="F9733" s="39"/>
    </row>
    <row r="9734">
      <c r="D9734" s="39"/>
      <c r="E9734" s="39"/>
      <c r="F9734" s="39"/>
    </row>
    <row r="9735">
      <c r="D9735" s="39"/>
      <c r="E9735" s="39"/>
      <c r="F9735" s="39"/>
    </row>
    <row r="9736">
      <c r="D9736" s="39"/>
      <c r="E9736" s="39"/>
      <c r="F9736" s="39"/>
    </row>
    <row r="9737">
      <c r="D9737" s="39"/>
      <c r="E9737" s="39"/>
      <c r="F9737" s="39"/>
    </row>
    <row r="9738">
      <c r="D9738" s="39"/>
      <c r="E9738" s="39"/>
      <c r="F9738" s="39"/>
    </row>
    <row r="9739">
      <c r="D9739" s="39"/>
      <c r="E9739" s="39"/>
      <c r="F9739" s="39"/>
    </row>
    <row r="9740">
      <c r="D9740" s="39"/>
      <c r="E9740" s="39"/>
      <c r="F9740" s="39"/>
    </row>
    <row r="9741">
      <c r="D9741" s="39"/>
      <c r="E9741" s="39"/>
      <c r="F9741" s="39"/>
    </row>
    <row r="9742">
      <c r="D9742" s="39"/>
      <c r="E9742" s="39"/>
      <c r="F9742" s="39"/>
    </row>
    <row r="9743">
      <c r="D9743" s="39"/>
      <c r="E9743" s="39"/>
      <c r="F9743" s="39"/>
    </row>
    <row r="9744">
      <c r="D9744" s="39"/>
      <c r="E9744" s="39"/>
      <c r="F9744" s="39"/>
    </row>
    <row r="9745">
      <c r="D9745" s="39"/>
      <c r="E9745" s="39"/>
      <c r="F9745" s="39"/>
    </row>
    <row r="9746">
      <c r="D9746" s="39"/>
      <c r="E9746" s="39"/>
      <c r="F9746" s="39"/>
    </row>
    <row r="9747">
      <c r="D9747" s="39"/>
      <c r="E9747" s="39"/>
      <c r="F9747" s="39"/>
    </row>
    <row r="9748">
      <c r="D9748" s="39"/>
      <c r="E9748" s="39"/>
      <c r="F9748" s="39"/>
    </row>
    <row r="9749">
      <c r="D9749" s="39"/>
      <c r="E9749" s="39"/>
      <c r="F9749" s="39"/>
    </row>
    <row r="9750">
      <c r="D9750" s="39"/>
      <c r="E9750" s="39"/>
      <c r="F9750" s="39"/>
    </row>
    <row r="9751">
      <c r="D9751" s="39"/>
      <c r="E9751" s="39"/>
      <c r="F9751" s="39"/>
    </row>
    <row r="9752">
      <c r="D9752" s="39"/>
      <c r="E9752" s="39"/>
      <c r="F9752" s="39"/>
    </row>
    <row r="9753">
      <c r="D9753" s="39"/>
      <c r="E9753" s="39"/>
      <c r="F9753" s="39"/>
    </row>
    <row r="9754">
      <c r="D9754" s="39"/>
      <c r="E9754" s="39"/>
      <c r="F9754" s="39"/>
    </row>
    <row r="9755">
      <c r="D9755" s="39"/>
      <c r="E9755" s="39"/>
      <c r="F9755" s="39"/>
    </row>
    <row r="9756">
      <c r="D9756" s="39"/>
      <c r="E9756" s="39"/>
      <c r="F9756" s="39"/>
    </row>
    <row r="9757">
      <c r="D9757" s="39"/>
      <c r="E9757" s="39"/>
      <c r="F9757" s="39"/>
    </row>
    <row r="9758">
      <c r="D9758" s="39"/>
      <c r="E9758" s="39"/>
      <c r="F9758" s="39"/>
    </row>
    <row r="9759">
      <c r="D9759" s="39"/>
      <c r="E9759" s="39"/>
      <c r="F9759" s="39"/>
    </row>
    <row r="9760">
      <c r="D9760" s="39"/>
      <c r="E9760" s="39"/>
      <c r="F9760" s="39"/>
    </row>
    <row r="9761">
      <c r="D9761" s="39"/>
      <c r="E9761" s="39"/>
      <c r="F9761" s="39"/>
    </row>
    <row r="9762">
      <c r="D9762" s="39"/>
      <c r="E9762" s="39"/>
      <c r="F9762" s="39"/>
    </row>
    <row r="9763">
      <c r="D9763" s="39"/>
      <c r="E9763" s="39"/>
      <c r="F9763" s="39"/>
    </row>
    <row r="9764">
      <c r="D9764" s="39"/>
      <c r="E9764" s="39"/>
      <c r="F9764" s="39"/>
    </row>
    <row r="9765">
      <c r="D9765" s="39"/>
      <c r="E9765" s="39"/>
      <c r="F9765" s="39"/>
    </row>
    <row r="9766">
      <c r="D9766" s="39"/>
      <c r="E9766" s="39"/>
      <c r="F9766" s="39"/>
    </row>
    <row r="9767">
      <c r="D9767" s="39"/>
      <c r="E9767" s="39"/>
      <c r="F9767" s="39"/>
    </row>
    <row r="9768">
      <c r="D9768" s="39"/>
      <c r="E9768" s="39"/>
      <c r="F9768" s="39"/>
    </row>
    <row r="9769">
      <c r="D9769" s="39"/>
      <c r="E9769" s="39"/>
      <c r="F9769" s="39"/>
    </row>
    <row r="9770">
      <c r="D9770" s="39"/>
      <c r="E9770" s="39"/>
      <c r="F9770" s="39"/>
    </row>
    <row r="9771">
      <c r="D9771" s="39"/>
      <c r="E9771" s="39"/>
      <c r="F9771" s="39"/>
    </row>
    <row r="9772">
      <c r="D9772" s="39"/>
      <c r="E9772" s="39"/>
      <c r="F9772" s="39"/>
    </row>
    <row r="9773">
      <c r="D9773" s="39"/>
      <c r="E9773" s="39"/>
      <c r="F9773" s="39"/>
    </row>
    <row r="9774">
      <c r="D9774" s="39"/>
      <c r="E9774" s="39"/>
      <c r="F9774" s="39"/>
    </row>
    <row r="9775">
      <c r="D9775" s="39"/>
      <c r="E9775" s="39"/>
      <c r="F9775" s="39"/>
    </row>
    <row r="9776">
      <c r="D9776" s="39"/>
      <c r="E9776" s="39"/>
      <c r="F9776" s="39"/>
    </row>
    <row r="9777">
      <c r="D9777" s="39"/>
      <c r="E9777" s="39"/>
      <c r="F9777" s="39"/>
    </row>
    <row r="9778">
      <c r="D9778" s="39"/>
      <c r="E9778" s="39"/>
      <c r="F9778" s="39"/>
    </row>
    <row r="9779">
      <c r="D9779" s="39"/>
      <c r="E9779" s="39"/>
      <c r="F9779" s="39"/>
    </row>
    <row r="9780">
      <c r="D9780" s="39"/>
      <c r="E9780" s="39"/>
      <c r="F9780" s="39"/>
    </row>
    <row r="9781">
      <c r="D9781" s="39"/>
      <c r="E9781" s="39"/>
      <c r="F9781" s="39"/>
    </row>
    <row r="9782">
      <c r="D9782" s="39"/>
      <c r="E9782" s="39"/>
      <c r="F9782" s="39"/>
    </row>
    <row r="9783">
      <c r="D9783" s="39"/>
      <c r="E9783" s="39"/>
      <c r="F9783" s="39"/>
    </row>
    <row r="9784">
      <c r="D9784" s="39"/>
      <c r="E9784" s="39"/>
      <c r="F9784" s="39"/>
    </row>
    <row r="9785">
      <c r="D9785" s="39"/>
      <c r="E9785" s="39"/>
      <c r="F9785" s="39"/>
    </row>
    <row r="9786">
      <c r="D9786" s="39"/>
      <c r="E9786" s="39"/>
      <c r="F9786" s="39"/>
    </row>
    <row r="9787">
      <c r="D9787" s="39"/>
      <c r="E9787" s="39"/>
      <c r="F9787" s="39"/>
    </row>
    <row r="9788">
      <c r="D9788" s="39"/>
      <c r="E9788" s="39"/>
      <c r="F9788" s="39"/>
    </row>
    <row r="9789">
      <c r="D9789" s="39"/>
      <c r="E9789" s="39"/>
      <c r="F9789" s="39"/>
    </row>
    <row r="9790">
      <c r="D9790" s="39"/>
      <c r="E9790" s="39"/>
      <c r="F9790" s="39"/>
    </row>
    <row r="9791">
      <c r="D9791" s="39"/>
      <c r="E9791" s="39"/>
      <c r="F9791" s="39"/>
    </row>
    <row r="9792">
      <c r="D9792" s="39"/>
      <c r="E9792" s="39"/>
      <c r="F9792" s="39"/>
    </row>
    <row r="9793">
      <c r="D9793" s="39"/>
      <c r="E9793" s="39"/>
      <c r="F9793" s="39"/>
    </row>
    <row r="9794">
      <c r="D9794" s="39"/>
      <c r="E9794" s="39"/>
      <c r="F9794" s="39"/>
    </row>
    <row r="9795">
      <c r="D9795" s="39"/>
      <c r="E9795" s="39"/>
      <c r="F9795" s="39"/>
    </row>
    <row r="9796">
      <c r="D9796" s="39"/>
      <c r="E9796" s="39"/>
      <c r="F9796" s="39"/>
    </row>
    <row r="9797">
      <c r="D9797" s="39"/>
      <c r="E9797" s="39"/>
      <c r="F9797" s="39"/>
    </row>
    <row r="9798">
      <c r="D9798" s="39"/>
      <c r="E9798" s="39"/>
      <c r="F9798" s="39"/>
    </row>
    <row r="9799">
      <c r="D9799" s="39"/>
      <c r="E9799" s="39"/>
      <c r="F9799" s="39"/>
    </row>
    <row r="9800">
      <c r="D9800" s="39"/>
      <c r="E9800" s="39"/>
      <c r="F9800" s="39"/>
    </row>
    <row r="9801">
      <c r="D9801" s="39"/>
      <c r="E9801" s="39"/>
      <c r="F9801" s="39"/>
    </row>
    <row r="9802">
      <c r="D9802" s="39"/>
      <c r="E9802" s="39"/>
      <c r="F9802" s="39"/>
    </row>
    <row r="9803">
      <c r="D9803" s="39"/>
      <c r="E9803" s="39"/>
      <c r="F9803" s="39"/>
    </row>
    <row r="9804">
      <c r="D9804" s="39"/>
      <c r="E9804" s="39"/>
      <c r="F9804" s="39"/>
    </row>
    <row r="9805">
      <c r="D9805" s="39"/>
      <c r="E9805" s="39"/>
      <c r="F9805" s="39"/>
    </row>
    <row r="9806">
      <c r="D9806" s="39"/>
      <c r="E9806" s="39"/>
      <c r="F9806" s="39"/>
    </row>
    <row r="9807">
      <c r="D9807" s="39"/>
      <c r="E9807" s="39"/>
      <c r="F9807" s="39"/>
    </row>
    <row r="9808">
      <c r="D9808" s="39"/>
      <c r="E9808" s="39"/>
      <c r="F9808" s="39"/>
    </row>
    <row r="9809">
      <c r="D9809" s="39"/>
      <c r="E9809" s="39"/>
      <c r="F9809" s="39"/>
    </row>
    <row r="9810">
      <c r="D9810" s="39"/>
      <c r="E9810" s="39"/>
      <c r="F9810" s="39"/>
    </row>
    <row r="9811">
      <c r="D9811" s="39"/>
      <c r="E9811" s="39"/>
      <c r="F9811" s="39"/>
    </row>
    <row r="9812">
      <c r="D9812" s="39"/>
      <c r="E9812" s="39"/>
      <c r="F9812" s="39"/>
    </row>
    <row r="9813">
      <c r="D9813" s="39"/>
      <c r="E9813" s="39"/>
      <c r="F9813" s="39"/>
    </row>
    <row r="9814">
      <c r="D9814" s="39"/>
      <c r="E9814" s="39"/>
      <c r="F9814" s="39"/>
    </row>
    <row r="9815">
      <c r="D9815" s="39"/>
      <c r="E9815" s="39"/>
      <c r="F9815" s="39"/>
    </row>
    <row r="9816">
      <c r="D9816" s="39"/>
      <c r="E9816" s="39"/>
      <c r="F9816" s="39"/>
    </row>
    <row r="9817">
      <c r="D9817" s="39"/>
      <c r="E9817" s="39"/>
      <c r="F9817" s="39"/>
    </row>
    <row r="9818">
      <c r="D9818" s="39"/>
      <c r="E9818" s="39"/>
      <c r="F9818" s="39"/>
    </row>
    <row r="9819">
      <c r="D9819" s="39"/>
      <c r="E9819" s="39"/>
      <c r="F9819" s="39"/>
    </row>
    <row r="9820">
      <c r="D9820" s="39"/>
      <c r="E9820" s="39"/>
      <c r="F9820" s="39"/>
    </row>
    <row r="9821">
      <c r="D9821" s="39"/>
      <c r="E9821" s="39"/>
      <c r="F9821" s="39"/>
    </row>
    <row r="9822">
      <c r="D9822" s="39"/>
      <c r="E9822" s="39"/>
      <c r="F9822" s="39"/>
    </row>
    <row r="9823">
      <c r="D9823" s="39"/>
      <c r="E9823" s="39"/>
      <c r="F9823" s="39"/>
    </row>
    <row r="9824">
      <c r="D9824" s="39"/>
      <c r="E9824" s="39"/>
      <c r="F9824" s="39"/>
    </row>
    <row r="9825">
      <c r="D9825" s="39"/>
      <c r="E9825" s="39"/>
      <c r="F9825" s="39"/>
    </row>
    <row r="9826">
      <c r="D9826" s="39"/>
      <c r="E9826" s="39"/>
      <c r="F9826" s="39"/>
    </row>
    <row r="9827">
      <c r="D9827" s="39"/>
      <c r="E9827" s="39"/>
      <c r="F9827" s="39"/>
    </row>
    <row r="9828">
      <c r="D9828" s="39"/>
      <c r="E9828" s="39"/>
      <c r="F9828" s="39"/>
    </row>
    <row r="9829">
      <c r="D9829" s="39"/>
      <c r="E9829" s="39"/>
      <c r="F9829" s="39"/>
    </row>
    <row r="9830">
      <c r="D9830" s="39"/>
      <c r="E9830" s="39"/>
      <c r="F9830" s="39"/>
    </row>
    <row r="9831">
      <c r="D9831" s="39"/>
      <c r="E9831" s="39"/>
      <c r="F9831" s="39"/>
    </row>
    <row r="9832">
      <c r="D9832" s="39"/>
      <c r="E9832" s="39"/>
      <c r="F9832" s="39"/>
    </row>
    <row r="9833">
      <c r="D9833" s="39"/>
      <c r="E9833" s="39"/>
      <c r="F9833" s="39"/>
    </row>
    <row r="9834">
      <c r="D9834" s="39"/>
      <c r="E9834" s="39"/>
      <c r="F9834" s="39"/>
    </row>
    <row r="9835">
      <c r="D9835" s="39"/>
      <c r="E9835" s="39"/>
      <c r="F9835" s="39"/>
    </row>
    <row r="9836">
      <c r="D9836" s="39"/>
      <c r="E9836" s="39"/>
      <c r="F9836" s="39"/>
    </row>
    <row r="9837">
      <c r="D9837" s="39"/>
      <c r="E9837" s="39"/>
      <c r="F9837" s="39"/>
    </row>
    <row r="9838">
      <c r="D9838" s="39"/>
      <c r="E9838" s="39"/>
      <c r="F9838" s="39"/>
    </row>
    <row r="9839">
      <c r="D9839" s="39"/>
      <c r="E9839" s="39"/>
      <c r="F9839" s="39"/>
    </row>
    <row r="9840">
      <c r="D9840" s="39"/>
      <c r="E9840" s="39"/>
      <c r="F9840" s="39"/>
    </row>
    <row r="9841">
      <c r="D9841" s="39"/>
      <c r="E9841" s="39"/>
      <c r="F9841" s="39"/>
    </row>
    <row r="9842">
      <c r="D9842" s="39"/>
      <c r="E9842" s="39"/>
      <c r="F9842" s="39"/>
    </row>
    <row r="9843">
      <c r="D9843" s="39"/>
      <c r="E9843" s="39"/>
      <c r="F9843" s="39"/>
    </row>
    <row r="9844">
      <c r="D9844" s="39"/>
      <c r="E9844" s="39"/>
      <c r="F9844" s="39"/>
    </row>
    <row r="9845">
      <c r="D9845" s="39"/>
      <c r="E9845" s="39"/>
      <c r="F9845" s="39"/>
    </row>
    <row r="9846">
      <c r="D9846" s="39"/>
      <c r="E9846" s="39"/>
      <c r="F9846" s="39"/>
    </row>
    <row r="9847">
      <c r="D9847" s="39"/>
      <c r="E9847" s="39"/>
      <c r="F9847" s="39"/>
    </row>
    <row r="9848">
      <c r="D9848" s="39"/>
      <c r="E9848" s="39"/>
      <c r="F9848" s="39"/>
    </row>
    <row r="9849">
      <c r="D9849" s="39"/>
      <c r="E9849" s="39"/>
      <c r="F9849" s="39"/>
    </row>
    <row r="9850">
      <c r="D9850" s="39"/>
      <c r="E9850" s="39"/>
      <c r="F9850" s="39"/>
    </row>
    <row r="9851">
      <c r="D9851" s="39"/>
      <c r="E9851" s="39"/>
      <c r="F9851" s="39"/>
    </row>
    <row r="9852">
      <c r="D9852" s="39"/>
      <c r="E9852" s="39"/>
      <c r="F9852" s="39"/>
    </row>
    <row r="9853">
      <c r="D9853" s="39"/>
      <c r="E9853" s="39"/>
      <c r="F9853" s="39"/>
    </row>
    <row r="9854">
      <c r="D9854" s="39"/>
      <c r="E9854" s="39"/>
      <c r="F9854" s="39"/>
    </row>
    <row r="9855">
      <c r="D9855" s="39"/>
      <c r="E9855" s="39"/>
      <c r="F9855" s="39"/>
    </row>
    <row r="9856">
      <c r="D9856" s="39"/>
      <c r="E9856" s="39"/>
      <c r="F9856" s="39"/>
    </row>
    <row r="9857">
      <c r="D9857" s="39"/>
      <c r="E9857" s="39"/>
      <c r="F9857" s="39"/>
    </row>
    <row r="9858">
      <c r="D9858" s="39"/>
      <c r="E9858" s="39"/>
      <c r="F9858" s="39"/>
    </row>
    <row r="9859">
      <c r="D9859" s="39"/>
      <c r="E9859" s="39"/>
      <c r="F9859" s="39"/>
    </row>
    <row r="9860">
      <c r="D9860" s="39"/>
      <c r="E9860" s="39"/>
      <c r="F9860" s="39"/>
    </row>
    <row r="9861">
      <c r="D9861" s="39"/>
      <c r="E9861" s="39"/>
      <c r="F9861" s="39"/>
    </row>
    <row r="9862">
      <c r="D9862" s="39"/>
      <c r="E9862" s="39"/>
      <c r="F9862" s="39"/>
    </row>
    <row r="9863">
      <c r="D9863" s="39"/>
      <c r="E9863" s="39"/>
      <c r="F9863" s="39"/>
    </row>
    <row r="9864">
      <c r="D9864" s="39"/>
      <c r="E9864" s="39"/>
      <c r="F9864" s="39"/>
    </row>
    <row r="9865">
      <c r="D9865" s="39"/>
      <c r="E9865" s="39"/>
      <c r="F9865" s="39"/>
    </row>
    <row r="9866">
      <c r="D9866" s="39"/>
      <c r="E9866" s="39"/>
      <c r="F9866" s="39"/>
    </row>
    <row r="9867">
      <c r="D9867" s="39"/>
      <c r="E9867" s="39"/>
      <c r="F9867" s="39"/>
    </row>
    <row r="9868">
      <c r="D9868" s="39"/>
      <c r="E9868" s="39"/>
      <c r="F9868" s="39"/>
    </row>
    <row r="9869">
      <c r="D9869" s="39"/>
      <c r="E9869" s="39"/>
      <c r="F9869" s="39"/>
    </row>
    <row r="9870">
      <c r="D9870" s="39"/>
      <c r="E9870" s="39"/>
      <c r="F9870" s="39"/>
    </row>
    <row r="9871">
      <c r="D9871" s="39"/>
      <c r="E9871" s="39"/>
      <c r="F9871" s="39"/>
    </row>
    <row r="9872">
      <c r="D9872" s="39"/>
      <c r="E9872" s="39"/>
      <c r="F9872" s="39"/>
    </row>
    <row r="9873">
      <c r="D9873" s="39"/>
      <c r="E9873" s="39"/>
      <c r="F9873" s="39"/>
    </row>
    <row r="9874">
      <c r="D9874" s="39"/>
      <c r="E9874" s="39"/>
      <c r="F9874" s="39"/>
    </row>
    <row r="9875">
      <c r="D9875" s="39"/>
      <c r="E9875" s="39"/>
      <c r="F9875" s="39"/>
    </row>
    <row r="9876">
      <c r="D9876" s="39"/>
      <c r="E9876" s="39"/>
      <c r="F9876" s="39"/>
    </row>
    <row r="9877">
      <c r="D9877" s="39"/>
      <c r="E9877" s="39"/>
      <c r="F9877" s="39"/>
    </row>
    <row r="9878">
      <c r="D9878" s="39"/>
      <c r="E9878" s="39"/>
      <c r="F9878" s="39"/>
    </row>
    <row r="9879">
      <c r="D9879" s="39"/>
      <c r="E9879" s="39"/>
      <c r="F9879" s="39"/>
    </row>
    <row r="9880">
      <c r="D9880" s="39"/>
      <c r="E9880" s="39"/>
      <c r="F9880" s="39"/>
    </row>
    <row r="9881">
      <c r="D9881" s="39"/>
      <c r="E9881" s="39"/>
      <c r="F9881" s="39"/>
    </row>
    <row r="9882">
      <c r="D9882" s="39"/>
      <c r="E9882" s="39"/>
      <c r="F9882" s="39"/>
    </row>
    <row r="9883">
      <c r="D9883" s="39"/>
      <c r="E9883" s="39"/>
      <c r="F9883" s="39"/>
    </row>
    <row r="9884">
      <c r="D9884" s="39"/>
      <c r="E9884" s="39"/>
      <c r="F9884" s="39"/>
    </row>
    <row r="9885">
      <c r="D9885" s="39"/>
      <c r="E9885" s="39"/>
      <c r="F9885" s="39"/>
    </row>
    <row r="9886">
      <c r="D9886" s="39"/>
      <c r="E9886" s="39"/>
      <c r="F9886" s="39"/>
    </row>
    <row r="9887">
      <c r="D9887" s="39"/>
      <c r="E9887" s="39"/>
      <c r="F9887" s="39"/>
    </row>
    <row r="9888">
      <c r="D9888" s="39"/>
      <c r="E9888" s="39"/>
      <c r="F9888" s="39"/>
    </row>
    <row r="9889">
      <c r="D9889" s="39"/>
      <c r="E9889" s="39"/>
      <c r="F9889" s="39"/>
    </row>
    <row r="9890">
      <c r="D9890" s="39"/>
      <c r="E9890" s="39"/>
      <c r="F9890" s="39"/>
    </row>
    <row r="9891">
      <c r="D9891" s="39"/>
      <c r="E9891" s="39"/>
      <c r="F9891" s="39"/>
    </row>
    <row r="9892">
      <c r="D9892" s="39"/>
      <c r="E9892" s="39"/>
      <c r="F9892" s="39"/>
    </row>
    <row r="9893">
      <c r="D9893" s="39"/>
      <c r="E9893" s="39"/>
      <c r="F9893" s="39"/>
    </row>
    <row r="9894">
      <c r="D9894" s="39"/>
      <c r="E9894" s="39"/>
      <c r="F9894" s="39"/>
    </row>
    <row r="9895">
      <c r="D9895" s="39"/>
      <c r="E9895" s="39"/>
      <c r="F9895" s="39"/>
    </row>
    <row r="9896">
      <c r="D9896" s="39"/>
      <c r="E9896" s="39"/>
      <c r="F9896" s="39"/>
    </row>
    <row r="9897">
      <c r="D9897" s="39"/>
      <c r="E9897" s="39"/>
      <c r="F9897" s="39"/>
    </row>
    <row r="9898">
      <c r="D9898" s="39"/>
      <c r="E9898" s="39"/>
      <c r="F9898" s="39"/>
    </row>
    <row r="9899">
      <c r="D9899" s="39"/>
      <c r="E9899" s="39"/>
      <c r="F9899" s="39"/>
    </row>
    <row r="9900">
      <c r="D9900" s="39"/>
      <c r="E9900" s="39"/>
      <c r="F9900" s="39"/>
    </row>
    <row r="9901">
      <c r="D9901" s="39"/>
      <c r="E9901" s="39"/>
      <c r="F9901" s="39"/>
    </row>
    <row r="9902">
      <c r="D9902" s="39"/>
      <c r="E9902" s="39"/>
      <c r="F9902" s="39"/>
    </row>
    <row r="9903">
      <c r="D9903" s="39"/>
      <c r="E9903" s="39"/>
      <c r="F9903" s="39"/>
    </row>
    <row r="9904">
      <c r="D9904" s="39"/>
      <c r="E9904" s="39"/>
      <c r="F9904" s="39"/>
    </row>
    <row r="9905">
      <c r="D9905" s="39"/>
      <c r="E9905" s="39"/>
      <c r="F9905" s="39"/>
    </row>
    <row r="9906">
      <c r="D9906" s="39"/>
      <c r="E9906" s="39"/>
      <c r="F9906" s="39"/>
    </row>
    <row r="9907">
      <c r="D9907" s="39"/>
      <c r="E9907" s="39"/>
      <c r="F9907" s="39"/>
    </row>
    <row r="9908">
      <c r="D9908" s="39"/>
      <c r="E9908" s="39"/>
      <c r="F9908" s="39"/>
    </row>
    <row r="9909">
      <c r="D9909" s="39"/>
      <c r="E9909" s="39"/>
      <c r="F9909" s="39"/>
    </row>
    <row r="9910">
      <c r="D9910" s="39"/>
      <c r="E9910" s="39"/>
      <c r="F9910" s="39"/>
    </row>
    <row r="9911">
      <c r="D9911" s="39"/>
      <c r="E9911" s="39"/>
      <c r="F9911" s="39"/>
    </row>
    <row r="9912">
      <c r="D9912" s="39"/>
      <c r="E9912" s="39"/>
      <c r="F9912" s="39"/>
    </row>
    <row r="9913">
      <c r="D9913" s="39"/>
      <c r="E9913" s="39"/>
      <c r="F9913" s="39"/>
    </row>
    <row r="9914">
      <c r="D9914" s="39"/>
      <c r="E9914" s="39"/>
      <c r="F9914" s="39"/>
    </row>
    <row r="9915">
      <c r="D9915" s="39"/>
      <c r="E9915" s="39"/>
      <c r="F9915" s="39"/>
    </row>
    <row r="9916">
      <c r="D9916" s="39"/>
      <c r="E9916" s="39"/>
      <c r="F9916" s="39"/>
    </row>
    <row r="9917">
      <c r="D9917" s="39"/>
      <c r="E9917" s="39"/>
      <c r="F9917" s="39"/>
    </row>
    <row r="9918">
      <c r="D9918" s="39"/>
      <c r="E9918" s="39"/>
      <c r="F9918" s="39"/>
    </row>
    <row r="9919">
      <c r="D9919" s="39"/>
      <c r="E9919" s="39"/>
      <c r="F9919" s="39"/>
    </row>
    <row r="9920">
      <c r="D9920" s="39"/>
      <c r="E9920" s="39"/>
      <c r="F9920" s="39"/>
    </row>
    <row r="9921">
      <c r="D9921" s="39"/>
      <c r="E9921" s="39"/>
      <c r="F9921" s="39"/>
    </row>
    <row r="9922">
      <c r="D9922" s="39"/>
      <c r="E9922" s="39"/>
      <c r="F9922" s="39"/>
    </row>
    <row r="9923">
      <c r="D9923" s="39"/>
      <c r="E9923" s="39"/>
      <c r="F9923" s="39"/>
    </row>
    <row r="9924">
      <c r="D9924" s="39"/>
      <c r="E9924" s="39"/>
      <c r="F9924" s="39"/>
    </row>
    <row r="9925">
      <c r="D9925" s="39"/>
      <c r="E9925" s="39"/>
      <c r="F9925" s="39"/>
    </row>
    <row r="9926">
      <c r="D9926" s="39"/>
      <c r="E9926" s="39"/>
      <c r="F9926" s="39"/>
    </row>
    <row r="9927">
      <c r="D9927" s="39"/>
      <c r="E9927" s="39"/>
      <c r="F9927" s="39"/>
    </row>
    <row r="9928">
      <c r="D9928" s="39"/>
      <c r="E9928" s="39"/>
      <c r="F9928" s="39"/>
    </row>
    <row r="9929">
      <c r="D9929" s="39"/>
      <c r="E9929" s="39"/>
      <c r="F9929" s="39"/>
    </row>
    <row r="9930">
      <c r="D9930" s="39"/>
      <c r="E9930" s="39"/>
      <c r="F9930" s="39"/>
    </row>
    <row r="9931">
      <c r="D9931" s="39"/>
      <c r="E9931" s="39"/>
      <c r="F9931" s="39"/>
    </row>
    <row r="9932">
      <c r="D9932" s="39"/>
      <c r="E9932" s="39"/>
      <c r="F9932" s="39"/>
    </row>
    <row r="9933">
      <c r="D9933" s="39"/>
      <c r="E9933" s="39"/>
      <c r="F9933" s="39"/>
    </row>
    <row r="9934">
      <c r="D9934" s="39"/>
      <c r="E9934" s="39"/>
      <c r="F9934" s="39"/>
    </row>
    <row r="9935">
      <c r="D9935" s="39"/>
      <c r="E9935" s="39"/>
      <c r="F9935" s="39"/>
    </row>
    <row r="9936">
      <c r="D9936" s="39"/>
      <c r="E9936" s="39"/>
      <c r="F9936" s="39"/>
    </row>
    <row r="9937">
      <c r="D9937" s="39"/>
      <c r="E9937" s="39"/>
      <c r="F9937" s="39"/>
    </row>
    <row r="9938">
      <c r="D9938" s="39"/>
      <c r="E9938" s="39"/>
      <c r="F9938" s="39"/>
    </row>
    <row r="9939">
      <c r="D9939" s="39"/>
      <c r="E9939" s="39"/>
      <c r="F9939" s="39"/>
    </row>
    <row r="9940">
      <c r="D9940" s="39"/>
      <c r="E9940" s="39"/>
      <c r="F9940" s="39"/>
    </row>
    <row r="9941">
      <c r="D9941" s="39"/>
      <c r="E9941" s="39"/>
      <c r="F9941" s="39"/>
    </row>
    <row r="9942">
      <c r="D9942" s="39"/>
      <c r="E9942" s="39"/>
      <c r="F9942" s="39"/>
    </row>
    <row r="9943">
      <c r="D9943" s="39"/>
      <c r="E9943" s="39"/>
      <c r="F9943" s="39"/>
    </row>
    <row r="9944">
      <c r="D9944" s="39"/>
      <c r="E9944" s="39"/>
      <c r="F9944" s="39"/>
    </row>
    <row r="9945">
      <c r="D9945" s="39"/>
      <c r="E9945" s="39"/>
      <c r="F9945" s="39"/>
    </row>
    <row r="9946">
      <c r="D9946" s="39"/>
      <c r="E9946" s="39"/>
      <c r="F9946" s="39"/>
    </row>
    <row r="9947">
      <c r="D9947" s="39"/>
      <c r="E9947" s="39"/>
      <c r="F9947" s="39"/>
    </row>
    <row r="9948">
      <c r="D9948" s="39"/>
      <c r="E9948" s="39"/>
      <c r="F9948" s="39"/>
    </row>
    <row r="9949">
      <c r="D9949" s="39"/>
      <c r="E9949" s="39"/>
      <c r="F9949" s="39"/>
    </row>
    <row r="9950">
      <c r="D9950" s="39"/>
      <c r="E9950" s="39"/>
      <c r="F9950" s="39"/>
    </row>
    <row r="9951">
      <c r="D9951" s="39"/>
      <c r="E9951" s="39"/>
      <c r="F9951" s="39"/>
    </row>
    <row r="9952">
      <c r="D9952" s="39"/>
      <c r="E9952" s="39"/>
      <c r="F9952" s="39"/>
    </row>
    <row r="9953">
      <c r="D9953" s="39"/>
      <c r="E9953" s="39"/>
      <c r="F9953" s="39"/>
    </row>
    <row r="9954">
      <c r="D9954" s="39"/>
      <c r="E9954" s="39"/>
      <c r="F9954" s="39"/>
    </row>
    <row r="9955">
      <c r="D9955" s="39"/>
      <c r="E9955" s="39"/>
      <c r="F9955" s="39"/>
    </row>
    <row r="9956">
      <c r="D9956" s="39"/>
      <c r="E9956" s="39"/>
      <c r="F9956" s="39"/>
    </row>
    <row r="9957">
      <c r="D9957" s="39"/>
      <c r="E9957" s="39"/>
      <c r="F9957" s="39"/>
    </row>
    <row r="9958">
      <c r="D9958" s="39"/>
      <c r="E9958" s="39"/>
      <c r="F9958" s="39"/>
    </row>
    <row r="9959">
      <c r="D9959" s="39"/>
      <c r="E9959" s="39"/>
      <c r="F9959" s="39"/>
    </row>
    <row r="9960">
      <c r="D9960" s="39"/>
      <c r="E9960" s="39"/>
      <c r="F9960" s="39"/>
    </row>
    <row r="9961">
      <c r="D9961" s="39"/>
      <c r="E9961" s="39"/>
      <c r="F9961" s="39"/>
    </row>
    <row r="9962">
      <c r="D9962" s="39"/>
      <c r="E9962" s="39"/>
      <c r="F9962" s="39"/>
    </row>
    <row r="9963">
      <c r="D9963" s="39"/>
      <c r="E9963" s="39"/>
      <c r="F9963" s="39"/>
    </row>
    <row r="9964">
      <c r="D9964" s="39"/>
      <c r="E9964" s="39"/>
      <c r="F9964" s="39"/>
    </row>
    <row r="9965">
      <c r="D9965" s="39"/>
      <c r="E9965" s="39"/>
      <c r="F9965" s="39"/>
    </row>
    <row r="9966">
      <c r="D9966" s="39"/>
      <c r="E9966" s="39"/>
      <c r="F9966" s="39"/>
    </row>
    <row r="9967">
      <c r="D9967" s="39"/>
      <c r="E9967" s="39"/>
      <c r="F9967" s="39"/>
    </row>
    <row r="9968">
      <c r="D9968" s="39"/>
      <c r="E9968" s="39"/>
      <c r="F9968" s="39"/>
    </row>
    <row r="9969">
      <c r="D9969" s="39"/>
      <c r="E9969" s="39"/>
      <c r="F9969" s="39"/>
    </row>
    <row r="9970">
      <c r="D9970" s="39"/>
      <c r="E9970" s="39"/>
      <c r="F9970" s="39"/>
    </row>
    <row r="9971">
      <c r="D9971" s="39"/>
      <c r="E9971" s="39"/>
      <c r="F9971" s="39"/>
    </row>
    <row r="9972">
      <c r="D9972" s="39"/>
      <c r="E9972" s="39"/>
      <c r="F9972" s="39"/>
    </row>
    <row r="9973">
      <c r="D9973" s="39"/>
      <c r="E9973" s="39"/>
      <c r="F9973" s="39"/>
    </row>
    <row r="9974">
      <c r="D9974" s="39"/>
      <c r="E9974" s="39"/>
      <c r="F9974" s="39"/>
    </row>
    <row r="9975">
      <c r="D9975" s="39"/>
      <c r="E9975" s="39"/>
      <c r="F9975" s="39"/>
    </row>
    <row r="9976">
      <c r="D9976" s="39"/>
      <c r="E9976" s="39"/>
      <c r="F9976" s="39"/>
    </row>
    <row r="9977">
      <c r="D9977" s="39"/>
      <c r="E9977" s="39"/>
      <c r="F9977" s="39"/>
    </row>
    <row r="9978">
      <c r="D9978" s="39"/>
      <c r="E9978" s="39"/>
      <c r="F9978" s="39"/>
    </row>
    <row r="9979">
      <c r="D9979" s="39"/>
      <c r="E9979" s="39"/>
      <c r="F9979" s="39"/>
    </row>
    <row r="9980">
      <c r="D9980" s="39"/>
      <c r="E9980" s="39"/>
      <c r="F9980" s="39"/>
    </row>
    <row r="9981">
      <c r="D9981" s="39"/>
      <c r="E9981" s="39"/>
      <c r="F9981" s="39"/>
    </row>
    <row r="9982">
      <c r="D9982" s="39"/>
      <c r="E9982" s="39"/>
      <c r="F9982" s="39"/>
    </row>
    <row r="9983">
      <c r="D9983" s="39"/>
      <c r="E9983" s="39"/>
      <c r="F9983" s="39"/>
    </row>
    <row r="9984">
      <c r="D9984" s="39"/>
      <c r="E9984" s="39"/>
      <c r="F9984" s="39"/>
    </row>
    <row r="9985">
      <c r="D9985" s="39"/>
      <c r="E9985" s="39"/>
      <c r="F9985" s="39"/>
    </row>
    <row r="9986">
      <c r="D9986" s="39"/>
      <c r="E9986" s="39"/>
      <c r="F9986" s="39"/>
    </row>
    <row r="9987">
      <c r="D9987" s="39"/>
      <c r="E9987" s="39"/>
      <c r="F9987" s="39"/>
    </row>
    <row r="9988">
      <c r="D9988" s="39"/>
      <c r="E9988" s="39"/>
      <c r="F9988" s="39"/>
    </row>
    <row r="9989">
      <c r="D9989" s="39"/>
      <c r="E9989" s="39"/>
      <c r="F9989" s="39"/>
    </row>
    <row r="9990">
      <c r="D9990" s="39"/>
      <c r="E9990" s="39"/>
      <c r="F9990" s="39"/>
    </row>
    <row r="9991">
      <c r="D9991" s="39"/>
      <c r="E9991" s="39"/>
      <c r="F9991" s="39"/>
    </row>
    <row r="9992">
      <c r="D9992" s="39"/>
      <c r="E9992" s="39"/>
      <c r="F9992" s="39"/>
    </row>
    <row r="9993">
      <c r="D9993" s="39"/>
      <c r="E9993" s="39"/>
      <c r="F9993" s="39"/>
    </row>
    <row r="9994">
      <c r="D9994" s="39"/>
      <c r="E9994" s="39"/>
      <c r="F9994" s="39"/>
    </row>
    <row r="9995">
      <c r="D9995" s="39"/>
      <c r="E9995" s="39"/>
      <c r="F9995" s="39"/>
    </row>
    <row r="9996">
      <c r="D9996" s="39"/>
      <c r="E9996" s="39"/>
      <c r="F9996" s="39"/>
    </row>
    <row r="9997">
      <c r="D9997" s="39"/>
      <c r="E9997" s="39"/>
      <c r="F9997" s="39"/>
    </row>
    <row r="9998">
      <c r="D9998" s="39"/>
      <c r="E9998" s="39"/>
      <c r="F9998" s="39"/>
    </row>
    <row r="9999">
      <c r="D9999" s="39"/>
      <c r="E9999" s="39"/>
      <c r="F9999" s="39"/>
    </row>
    <row r="10000">
      <c r="D10000" s="39"/>
      <c r="E10000" s="39"/>
      <c r="F10000" s="39"/>
    </row>
    <row r="10001">
      <c r="D10001" s="39"/>
      <c r="E10001" s="39"/>
      <c r="F10001" s="39"/>
    </row>
    <row r="10002">
      <c r="D10002" s="39"/>
      <c r="E10002" s="39"/>
      <c r="F10002" s="39"/>
    </row>
    <row r="10003">
      <c r="D10003" s="39"/>
      <c r="E10003" s="39"/>
      <c r="F10003" s="39"/>
    </row>
    <row r="10004">
      <c r="D10004" s="39"/>
      <c r="E10004" s="39"/>
      <c r="F10004" s="39"/>
    </row>
    <row r="10005">
      <c r="D10005" s="39"/>
      <c r="E10005" s="39"/>
      <c r="F10005" s="39"/>
    </row>
    <row r="10006">
      <c r="D10006" s="39"/>
      <c r="E10006" s="39"/>
      <c r="F10006" s="39"/>
    </row>
    <row r="10007">
      <c r="D10007" s="39"/>
      <c r="E10007" s="39"/>
      <c r="F10007" s="39"/>
    </row>
    <row r="10008">
      <c r="D10008" s="39"/>
      <c r="E10008" s="39"/>
      <c r="F10008" s="39"/>
    </row>
    <row r="10009">
      <c r="D10009" s="39"/>
      <c r="E10009" s="39"/>
      <c r="F10009" s="39"/>
    </row>
    <row r="10010">
      <c r="D10010" s="39"/>
      <c r="E10010" s="39"/>
      <c r="F10010" s="39"/>
    </row>
    <row r="10011">
      <c r="D10011" s="39"/>
      <c r="E10011" s="39"/>
      <c r="F10011" s="39"/>
    </row>
    <row r="10012">
      <c r="D10012" s="39"/>
      <c r="E10012" s="39"/>
      <c r="F10012" s="39"/>
    </row>
    <row r="10013">
      <c r="D10013" s="39"/>
      <c r="E10013" s="39"/>
      <c r="F10013" s="39"/>
    </row>
    <row r="10014">
      <c r="D10014" s="39"/>
      <c r="E10014" s="39"/>
      <c r="F10014" s="39"/>
    </row>
    <row r="10015">
      <c r="D10015" s="39"/>
      <c r="E10015" s="39"/>
      <c r="F10015" s="39"/>
    </row>
    <row r="10016">
      <c r="D10016" s="39"/>
      <c r="E10016" s="39"/>
      <c r="F10016" s="39"/>
    </row>
    <row r="10017">
      <c r="D10017" s="39"/>
      <c r="E10017" s="39"/>
      <c r="F10017" s="39"/>
    </row>
    <row r="10018">
      <c r="D10018" s="39"/>
      <c r="E10018" s="39"/>
      <c r="F10018" s="39"/>
    </row>
    <row r="10019">
      <c r="D10019" s="39"/>
      <c r="E10019" s="39"/>
      <c r="F10019" s="39"/>
    </row>
    <row r="10020">
      <c r="D10020" s="39"/>
      <c r="E10020" s="39"/>
      <c r="F10020" s="39"/>
    </row>
    <row r="10021">
      <c r="D10021" s="39"/>
      <c r="E10021" s="39"/>
      <c r="F10021" s="39"/>
    </row>
    <row r="10022">
      <c r="D10022" s="39"/>
      <c r="E10022" s="39"/>
      <c r="F10022" s="39"/>
    </row>
    <row r="10023">
      <c r="D10023" s="39"/>
      <c r="E10023" s="39"/>
      <c r="F10023" s="39"/>
    </row>
    <row r="10024">
      <c r="D10024" s="39"/>
      <c r="E10024" s="39"/>
      <c r="F10024" s="39"/>
    </row>
    <row r="10025">
      <c r="D10025" s="39"/>
      <c r="E10025" s="39"/>
      <c r="F10025" s="39"/>
    </row>
    <row r="10026">
      <c r="D10026" s="39"/>
      <c r="E10026" s="39"/>
      <c r="F10026" s="39"/>
    </row>
    <row r="10027">
      <c r="D10027" s="39"/>
      <c r="E10027" s="39"/>
      <c r="F10027" s="39"/>
    </row>
    <row r="10028">
      <c r="D10028" s="39"/>
      <c r="E10028" s="39"/>
      <c r="F10028" s="39"/>
    </row>
    <row r="10029">
      <c r="D10029" s="39"/>
      <c r="E10029" s="39"/>
      <c r="F10029" s="39"/>
    </row>
    <row r="10030">
      <c r="D10030" s="39"/>
      <c r="E10030" s="39"/>
      <c r="F10030" s="39"/>
    </row>
    <row r="10031">
      <c r="D10031" s="39"/>
      <c r="E10031" s="39"/>
      <c r="F10031" s="39"/>
    </row>
    <row r="10032">
      <c r="D10032" s="39"/>
      <c r="E10032" s="39"/>
      <c r="F10032" s="39"/>
    </row>
    <row r="10033">
      <c r="D10033" s="39"/>
      <c r="E10033" s="39"/>
      <c r="F10033" s="39"/>
    </row>
    <row r="10034">
      <c r="D10034" s="39"/>
      <c r="E10034" s="39"/>
      <c r="F10034" s="39"/>
    </row>
    <row r="10035">
      <c r="D10035" s="39"/>
      <c r="E10035" s="39"/>
      <c r="F10035" s="39"/>
    </row>
    <row r="10036">
      <c r="D10036" s="39"/>
      <c r="E10036" s="39"/>
      <c r="F10036" s="39"/>
    </row>
    <row r="10037">
      <c r="D10037" s="39"/>
      <c r="E10037" s="39"/>
      <c r="F10037" s="39"/>
    </row>
    <row r="10038">
      <c r="D10038" s="39"/>
      <c r="E10038" s="39"/>
      <c r="F10038" s="39"/>
    </row>
    <row r="10039">
      <c r="D10039" s="39"/>
      <c r="E10039" s="39"/>
      <c r="F10039" s="39"/>
    </row>
    <row r="10040">
      <c r="D10040" s="39"/>
      <c r="E10040" s="39"/>
      <c r="F10040" s="39"/>
    </row>
    <row r="10041">
      <c r="D10041" s="39"/>
      <c r="E10041" s="39"/>
      <c r="F10041" s="39"/>
    </row>
    <row r="10042">
      <c r="D10042" s="39"/>
      <c r="E10042" s="39"/>
      <c r="F10042" s="39"/>
    </row>
    <row r="10043">
      <c r="D10043" s="39"/>
      <c r="E10043" s="39"/>
      <c r="F10043" s="39"/>
    </row>
    <row r="10044">
      <c r="D10044" s="39"/>
      <c r="E10044" s="39"/>
      <c r="F10044" s="39"/>
    </row>
    <row r="10045">
      <c r="D10045" s="39"/>
      <c r="E10045" s="39"/>
      <c r="F10045" s="39"/>
    </row>
    <row r="10046">
      <c r="D10046" s="39"/>
      <c r="E10046" s="39"/>
      <c r="F10046" s="39"/>
    </row>
    <row r="10047">
      <c r="D10047" s="39"/>
      <c r="E10047" s="39"/>
      <c r="F10047" s="39"/>
    </row>
    <row r="10048">
      <c r="D10048" s="39"/>
      <c r="E10048" s="39"/>
      <c r="F10048" s="39"/>
    </row>
    <row r="10049">
      <c r="D10049" s="39"/>
      <c r="E10049" s="39"/>
      <c r="F10049" s="39"/>
    </row>
    <row r="10050">
      <c r="D10050" s="39"/>
      <c r="E10050" s="39"/>
      <c r="F10050" s="39"/>
    </row>
    <row r="10051">
      <c r="D10051" s="39"/>
      <c r="E10051" s="39"/>
      <c r="F10051" s="39"/>
    </row>
    <row r="10052">
      <c r="D10052" s="39"/>
      <c r="E10052" s="39"/>
      <c r="F10052" s="39"/>
    </row>
    <row r="10053">
      <c r="D10053" s="39"/>
      <c r="E10053" s="39"/>
      <c r="F10053" s="39"/>
    </row>
    <row r="10054">
      <c r="D10054" s="39"/>
      <c r="E10054" s="39"/>
      <c r="F10054" s="39"/>
    </row>
    <row r="10055">
      <c r="D10055" s="39"/>
      <c r="E10055" s="39"/>
      <c r="F10055" s="39"/>
    </row>
    <row r="10056">
      <c r="D10056" s="39"/>
      <c r="E10056" s="39"/>
      <c r="F10056" s="39"/>
    </row>
    <row r="10057">
      <c r="D10057" s="39"/>
      <c r="E10057" s="39"/>
      <c r="F10057" s="39"/>
    </row>
    <row r="10058">
      <c r="D10058" s="39"/>
      <c r="E10058" s="39"/>
      <c r="F10058" s="39"/>
    </row>
    <row r="10059">
      <c r="D10059" s="39"/>
      <c r="E10059" s="39"/>
      <c r="F10059" s="39"/>
    </row>
    <row r="10060">
      <c r="D10060" s="39"/>
      <c r="E10060" s="39"/>
      <c r="F10060" s="39"/>
    </row>
    <row r="10061">
      <c r="D10061" s="39"/>
      <c r="E10061" s="39"/>
      <c r="F10061" s="39"/>
    </row>
    <row r="10062">
      <c r="D10062" s="39"/>
      <c r="E10062" s="39"/>
      <c r="F10062" s="39"/>
    </row>
    <row r="10063">
      <c r="D10063" s="39"/>
      <c r="E10063" s="39"/>
      <c r="F10063" s="39"/>
    </row>
    <row r="10064">
      <c r="D10064" s="39"/>
      <c r="E10064" s="39"/>
      <c r="F10064" s="39"/>
    </row>
    <row r="10065">
      <c r="D10065" s="39"/>
      <c r="E10065" s="39"/>
      <c r="F10065" s="39"/>
    </row>
    <row r="10066">
      <c r="D10066" s="39"/>
      <c r="E10066" s="39"/>
      <c r="F10066" s="39"/>
    </row>
    <row r="10067">
      <c r="D10067" s="39"/>
      <c r="E10067" s="39"/>
      <c r="F10067" s="39"/>
    </row>
    <row r="10068">
      <c r="D10068" s="39"/>
      <c r="E10068" s="39"/>
      <c r="F10068" s="39"/>
    </row>
    <row r="10069">
      <c r="D10069" s="39"/>
      <c r="E10069" s="39"/>
      <c r="F10069" s="39"/>
    </row>
    <row r="10070">
      <c r="D10070" s="39"/>
      <c r="E10070" s="39"/>
      <c r="F10070" s="39"/>
    </row>
    <row r="10071">
      <c r="D10071" s="39"/>
      <c r="E10071" s="39"/>
      <c r="F10071" s="39"/>
    </row>
    <row r="10072">
      <c r="D10072" s="39"/>
      <c r="E10072" s="39"/>
      <c r="F10072" s="39"/>
    </row>
    <row r="10073">
      <c r="D10073" s="39"/>
      <c r="E10073" s="39"/>
      <c r="F10073" s="39"/>
    </row>
    <row r="10074">
      <c r="D10074" s="39"/>
      <c r="E10074" s="39"/>
      <c r="F10074" s="39"/>
    </row>
    <row r="10075">
      <c r="D10075" s="39"/>
      <c r="E10075" s="39"/>
      <c r="F10075" s="39"/>
    </row>
    <row r="10076">
      <c r="D10076" s="39"/>
      <c r="E10076" s="39"/>
      <c r="F10076" s="39"/>
    </row>
    <row r="10077">
      <c r="D10077" s="39"/>
      <c r="E10077" s="39"/>
      <c r="F10077" s="39"/>
    </row>
    <row r="10078">
      <c r="D10078" s="39"/>
      <c r="E10078" s="39"/>
      <c r="F10078" s="39"/>
    </row>
    <row r="10079">
      <c r="D10079" s="39"/>
      <c r="E10079" s="39"/>
      <c r="F10079" s="39"/>
    </row>
    <row r="10080">
      <c r="D10080" s="39"/>
      <c r="E10080" s="39"/>
      <c r="F10080" s="39"/>
    </row>
    <row r="10081">
      <c r="D10081" s="39"/>
      <c r="E10081" s="39"/>
      <c r="F10081" s="39"/>
    </row>
    <row r="10082">
      <c r="D10082" s="39"/>
      <c r="E10082" s="39"/>
      <c r="F10082" s="39"/>
    </row>
    <row r="10083">
      <c r="D10083" s="39"/>
      <c r="E10083" s="39"/>
      <c r="F10083" s="39"/>
    </row>
    <row r="10084">
      <c r="D10084" s="39"/>
      <c r="E10084" s="39"/>
      <c r="F10084" s="39"/>
    </row>
    <row r="10085">
      <c r="D10085" s="39"/>
      <c r="E10085" s="39"/>
      <c r="F10085" s="39"/>
    </row>
    <row r="10086">
      <c r="D10086" s="39"/>
      <c r="E10086" s="39"/>
      <c r="F10086" s="39"/>
    </row>
    <row r="10087">
      <c r="D10087" s="39"/>
      <c r="E10087" s="39"/>
      <c r="F10087" s="39"/>
    </row>
    <row r="10088">
      <c r="D10088" s="39"/>
      <c r="E10088" s="39"/>
      <c r="F10088" s="39"/>
    </row>
    <row r="10089">
      <c r="D10089" s="39"/>
      <c r="E10089" s="39"/>
      <c r="F10089" s="39"/>
    </row>
    <row r="10090">
      <c r="D10090" s="39"/>
      <c r="E10090" s="39"/>
      <c r="F10090" s="39"/>
    </row>
    <row r="10091">
      <c r="D10091" s="39"/>
      <c r="E10091" s="39"/>
      <c r="F10091" s="39"/>
    </row>
    <row r="10092">
      <c r="D10092" s="39"/>
      <c r="E10092" s="39"/>
      <c r="F10092" s="39"/>
    </row>
    <row r="10093">
      <c r="D10093" s="39"/>
      <c r="E10093" s="39"/>
      <c r="F10093" s="39"/>
    </row>
    <row r="10094">
      <c r="D10094" s="39"/>
      <c r="E10094" s="39"/>
      <c r="F10094" s="39"/>
    </row>
    <row r="10095">
      <c r="D10095" s="39"/>
      <c r="E10095" s="39"/>
      <c r="F10095" s="39"/>
    </row>
    <row r="10096">
      <c r="D10096" s="39"/>
      <c r="E10096" s="39"/>
      <c r="F10096" s="39"/>
    </row>
    <row r="10097">
      <c r="D10097" s="39"/>
      <c r="E10097" s="39"/>
      <c r="F10097" s="39"/>
    </row>
    <row r="10098">
      <c r="D10098" s="39"/>
      <c r="E10098" s="39"/>
      <c r="F10098" s="39"/>
    </row>
    <row r="10099">
      <c r="D10099" s="39"/>
      <c r="E10099" s="39"/>
      <c r="F10099" s="39"/>
    </row>
    <row r="10100">
      <c r="D10100" s="39"/>
      <c r="E10100" s="39"/>
      <c r="F10100" s="39"/>
    </row>
    <row r="10101">
      <c r="D10101" s="39"/>
      <c r="E10101" s="39"/>
      <c r="F10101" s="39"/>
    </row>
    <row r="10102">
      <c r="D10102" s="39"/>
      <c r="E10102" s="39"/>
      <c r="F10102" s="39"/>
    </row>
    <row r="10103">
      <c r="D10103" s="39"/>
      <c r="E10103" s="39"/>
      <c r="F10103" s="39"/>
    </row>
    <row r="10104">
      <c r="D10104" s="39"/>
      <c r="E10104" s="39"/>
      <c r="F10104" s="39"/>
    </row>
    <row r="10105">
      <c r="D10105" s="39"/>
      <c r="E10105" s="39"/>
      <c r="F10105" s="39"/>
    </row>
    <row r="10106">
      <c r="D10106" s="39"/>
      <c r="E10106" s="39"/>
      <c r="F10106" s="39"/>
    </row>
    <row r="10107">
      <c r="D10107" s="39"/>
      <c r="E10107" s="39"/>
      <c r="F10107" s="39"/>
    </row>
    <row r="10108">
      <c r="D10108" s="39"/>
      <c r="E10108" s="39"/>
      <c r="F10108" s="39"/>
    </row>
    <row r="10109">
      <c r="D10109" s="39"/>
      <c r="E10109" s="39"/>
      <c r="F10109" s="39"/>
    </row>
    <row r="10110">
      <c r="D10110" s="39"/>
      <c r="E10110" s="39"/>
      <c r="F10110" s="39"/>
    </row>
    <row r="10111">
      <c r="D10111" s="39"/>
      <c r="E10111" s="39"/>
      <c r="F10111" s="39"/>
    </row>
    <row r="10112">
      <c r="D10112" s="39"/>
      <c r="E10112" s="39"/>
      <c r="F10112" s="39"/>
    </row>
    <row r="10113">
      <c r="D10113" s="39"/>
      <c r="E10113" s="39"/>
      <c r="F10113" s="39"/>
    </row>
    <row r="10114">
      <c r="D10114" s="39"/>
      <c r="E10114" s="39"/>
      <c r="F10114" s="39"/>
    </row>
    <row r="10115">
      <c r="D10115" s="39"/>
      <c r="E10115" s="39"/>
      <c r="F10115" s="39"/>
    </row>
    <row r="10116">
      <c r="D10116" s="39"/>
      <c r="E10116" s="39"/>
      <c r="F10116" s="39"/>
    </row>
    <row r="10117">
      <c r="D10117" s="39"/>
      <c r="E10117" s="39"/>
      <c r="F10117" s="39"/>
    </row>
    <row r="10118">
      <c r="D10118" s="39"/>
      <c r="E10118" s="39"/>
      <c r="F10118" s="39"/>
    </row>
    <row r="10119">
      <c r="D10119" s="39"/>
      <c r="E10119" s="39"/>
      <c r="F10119" s="39"/>
    </row>
    <row r="10120">
      <c r="D10120" s="39"/>
      <c r="E10120" s="39"/>
      <c r="F10120" s="39"/>
    </row>
    <row r="10121">
      <c r="D10121" s="39"/>
      <c r="E10121" s="39"/>
      <c r="F10121" s="39"/>
    </row>
    <row r="10122">
      <c r="D10122" s="39"/>
      <c r="E10122" s="39"/>
      <c r="F10122" s="39"/>
    </row>
    <row r="10123">
      <c r="D10123" s="39"/>
      <c r="E10123" s="39"/>
      <c r="F10123" s="39"/>
    </row>
    <row r="10124">
      <c r="D10124" s="39"/>
      <c r="E10124" s="39"/>
      <c r="F10124" s="39"/>
    </row>
    <row r="10125">
      <c r="D10125" s="39"/>
      <c r="E10125" s="39"/>
      <c r="F10125" s="39"/>
    </row>
    <row r="10126">
      <c r="D10126" s="39"/>
      <c r="E10126" s="39"/>
      <c r="F10126" s="39"/>
    </row>
    <row r="10127">
      <c r="D10127" s="39"/>
      <c r="E10127" s="39"/>
      <c r="F10127" s="39"/>
    </row>
    <row r="10128">
      <c r="D10128" s="39"/>
      <c r="E10128" s="39"/>
      <c r="F10128" s="39"/>
    </row>
    <row r="10129">
      <c r="D10129" s="39"/>
      <c r="E10129" s="39"/>
      <c r="F10129" s="39"/>
    </row>
    <row r="10130">
      <c r="D10130" s="39"/>
      <c r="E10130" s="39"/>
      <c r="F10130" s="39"/>
    </row>
    <row r="10131">
      <c r="D10131" s="39"/>
      <c r="E10131" s="39"/>
      <c r="F10131" s="39"/>
    </row>
    <row r="10132">
      <c r="D10132" s="39"/>
      <c r="E10132" s="39"/>
      <c r="F10132" s="39"/>
    </row>
    <row r="10133">
      <c r="D10133" s="39"/>
      <c r="E10133" s="39"/>
      <c r="F10133" s="39"/>
    </row>
    <row r="10134">
      <c r="D10134" s="39"/>
      <c r="E10134" s="39"/>
      <c r="F10134" s="39"/>
    </row>
    <row r="10135">
      <c r="D10135" s="39"/>
      <c r="E10135" s="39"/>
      <c r="F10135" s="39"/>
    </row>
    <row r="10136">
      <c r="D10136" s="39"/>
      <c r="E10136" s="39"/>
      <c r="F10136" s="39"/>
    </row>
    <row r="10137">
      <c r="D10137" s="39"/>
      <c r="E10137" s="39"/>
      <c r="F10137" s="39"/>
    </row>
    <row r="10138">
      <c r="D10138" s="39"/>
      <c r="E10138" s="39"/>
      <c r="F10138" s="39"/>
    </row>
    <row r="10139">
      <c r="D10139" s="39"/>
      <c r="E10139" s="39"/>
      <c r="F10139" s="39"/>
    </row>
    <row r="10140">
      <c r="D10140" s="39"/>
      <c r="E10140" s="39"/>
      <c r="F10140" s="39"/>
    </row>
    <row r="10141">
      <c r="D10141" s="39"/>
      <c r="E10141" s="39"/>
      <c r="F10141" s="39"/>
    </row>
    <row r="10142">
      <c r="D10142" s="39"/>
      <c r="E10142" s="39"/>
      <c r="F10142" s="39"/>
    </row>
    <row r="10143">
      <c r="D10143" s="39"/>
      <c r="E10143" s="39"/>
      <c r="F10143" s="39"/>
    </row>
    <row r="10144">
      <c r="D10144" s="39"/>
      <c r="E10144" s="39"/>
      <c r="F10144" s="39"/>
    </row>
    <row r="10145">
      <c r="D10145" s="39"/>
      <c r="E10145" s="39"/>
      <c r="F10145" s="39"/>
    </row>
    <row r="10146">
      <c r="D10146" s="39"/>
      <c r="E10146" s="39"/>
      <c r="F10146" s="39"/>
    </row>
    <row r="10147">
      <c r="D10147" s="39"/>
      <c r="E10147" s="39"/>
      <c r="F10147" s="39"/>
    </row>
    <row r="10148">
      <c r="D10148" s="39"/>
      <c r="E10148" s="39"/>
      <c r="F10148" s="39"/>
    </row>
    <row r="10149">
      <c r="D10149" s="39"/>
      <c r="E10149" s="39"/>
      <c r="F10149" s="39"/>
    </row>
    <row r="10150">
      <c r="D10150" s="39"/>
      <c r="E10150" s="39"/>
      <c r="F10150" s="39"/>
    </row>
    <row r="10151">
      <c r="D10151" s="39"/>
      <c r="E10151" s="39"/>
      <c r="F10151" s="39"/>
    </row>
    <row r="10152">
      <c r="D10152" s="39"/>
      <c r="E10152" s="39"/>
      <c r="F10152" s="39"/>
    </row>
    <row r="10153">
      <c r="D10153" s="39"/>
      <c r="E10153" s="39"/>
      <c r="F10153" s="39"/>
    </row>
    <row r="10154">
      <c r="D10154" s="39"/>
      <c r="E10154" s="39"/>
      <c r="F10154" s="39"/>
    </row>
    <row r="10155">
      <c r="D10155" s="39"/>
      <c r="E10155" s="39"/>
      <c r="F10155" s="39"/>
    </row>
    <row r="10156">
      <c r="D10156" s="39"/>
      <c r="E10156" s="39"/>
      <c r="F10156" s="39"/>
    </row>
    <row r="10157">
      <c r="D10157" s="39"/>
      <c r="E10157" s="39"/>
      <c r="F10157" s="39"/>
    </row>
    <row r="10158">
      <c r="D10158" s="39"/>
      <c r="E10158" s="39"/>
      <c r="F10158" s="39"/>
    </row>
    <row r="10159">
      <c r="D10159" s="39"/>
      <c r="E10159" s="39"/>
      <c r="F10159" s="39"/>
    </row>
    <row r="10160">
      <c r="D10160" s="39"/>
      <c r="E10160" s="39"/>
      <c r="F10160" s="39"/>
    </row>
    <row r="10161">
      <c r="D10161" s="39"/>
      <c r="E10161" s="39"/>
      <c r="F10161" s="39"/>
    </row>
    <row r="10162">
      <c r="D10162" s="39"/>
      <c r="E10162" s="39"/>
      <c r="F10162" s="39"/>
    </row>
    <row r="10163">
      <c r="D10163" s="39"/>
      <c r="E10163" s="39"/>
      <c r="F10163" s="39"/>
    </row>
    <row r="10164">
      <c r="D10164" s="39"/>
      <c r="E10164" s="39"/>
      <c r="F10164" s="39"/>
    </row>
    <row r="10165">
      <c r="D10165" s="39"/>
      <c r="E10165" s="39"/>
      <c r="F10165" s="39"/>
    </row>
    <row r="10166">
      <c r="D10166" s="39"/>
      <c r="E10166" s="39"/>
      <c r="F10166" s="39"/>
    </row>
    <row r="10167">
      <c r="D10167" s="39"/>
      <c r="E10167" s="39"/>
      <c r="F10167" s="39"/>
    </row>
    <row r="10168">
      <c r="D10168" s="39"/>
      <c r="E10168" s="39"/>
      <c r="F10168" s="39"/>
    </row>
    <row r="10169">
      <c r="D10169" s="39"/>
      <c r="E10169" s="39"/>
      <c r="F10169" s="39"/>
    </row>
    <row r="10170">
      <c r="D10170" s="39"/>
      <c r="E10170" s="39"/>
      <c r="F10170" s="39"/>
    </row>
    <row r="10171">
      <c r="D10171" s="39"/>
      <c r="E10171" s="39"/>
      <c r="F10171" s="39"/>
    </row>
    <row r="10172">
      <c r="D10172" s="39"/>
      <c r="E10172" s="39"/>
      <c r="F10172" s="39"/>
    </row>
    <row r="10173">
      <c r="D10173" s="39"/>
      <c r="E10173" s="39"/>
      <c r="F10173" s="39"/>
    </row>
    <row r="10174">
      <c r="D10174" s="39"/>
      <c r="E10174" s="39"/>
      <c r="F10174" s="39"/>
    </row>
    <row r="10175">
      <c r="D10175" s="39"/>
      <c r="E10175" s="39"/>
      <c r="F10175" s="39"/>
    </row>
    <row r="10176">
      <c r="D10176" s="39"/>
      <c r="E10176" s="39"/>
      <c r="F10176" s="39"/>
    </row>
    <row r="10177">
      <c r="D10177" s="39"/>
      <c r="E10177" s="39"/>
      <c r="F10177" s="39"/>
    </row>
    <row r="10178">
      <c r="D10178" s="39"/>
      <c r="E10178" s="39"/>
      <c r="F10178" s="39"/>
    </row>
    <row r="10179">
      <c r="D10179" s="39"/>
      <c r="E10179" s="39"/>
      <c r="F10179" s="39"/>
    </row>
    <row r="10180">
      <c r="D10180" s="39"/>
      <c r="E10180" s="39"/>
      <c r="F10180" s="39"/>
    </row>
    <row r="10181">
      <c r="D10181" s="39"/>
      <c r="E10181" s="39"/>
      <c r="F10181" s="39"/>
    </row>
    <row r="10182">
      <c r="D10182" s="39"/>
      <c r="E10182" s="39"/>
      <c r="F10182" s="39"/>
    </row>
    <row r="10183">
      <c r="D10183" s="39"/>
      <c r="E10183" s="39"/>
      <c r="F10183" s="39"/>
    </row>
    <row r="10184">
      <c r="D10184" s="39"/>
      <c r="E10184" s="39"/>
      <c r="F10184" s="39"/>
    </row>
    <row r="10185">
      <c r="D10185" s="39"/>
      <c r="E10185" s="39"/>
      <c r="F10185" s="39"/>
    </row>
    <row r="10186">
      <c r="D10186" s="39"/>
      <c r="E10186" s="39"/>
      <c r="F10186" s="39"/>
    </row>
    <row r="10187">
      <c r="D10187" s="39"/>
      <c r="E10187" s="39"/>
      <c r="F10187" s="39"/>
    </row>
    <row r="10188">
      <c r="D10188" s="39"/>
      <c r="E10188" s="39"/>
      <c r="F10188" s="39"/>
    </row>
    <row r="10189">
      <c r="D10189" s="39"/>
      <c r="E10189" s="39"/>
      <c r="F10189" s="39"/>
    </row>
    <row r="10190">
      <c r="D10190" s="39"/>
      <c r="E10190" s="39"/>
      <c r="F10190" s="39"/>
    </row>
    <row r="10191">
      <c r="D10191" s="39"/>
      <c r="E10191" s="39"/>
      <c r="F10191" s="39"/>
    </row>
    <row r="10192">
      <c r="D10192" s="39"/>
      <c r="E10192" s="39"/>
      <c r="F10192" s="39"/>
    </row>
    <row r="10193">
      <c r="D10193" s="39"/>
      <c r="E10193" s="39"/>
      <c r="F10193" s="39"/>
    </row>
    <row r="10194">
      <c r="D10194" s="39"/>
      <c r="E10194" s="39"/>
      <c r="F10194" s="39"/>
    </row>
    <row r="10195">
      <c r="D10195" s="39"/>
      <c r="E10195" s="39"/>
      <c r="F10195" s="39"/>
    </row>
    <row r="10196">
      <c r="D10196" s="39"/>
      <c r="E10196" s="39"/>
      <c r="F10196" s="39"/>
    </row>
    <row r="10197">
      <c r="D10197" s="39"/>
      <c r="E10197" s="39"/>
      <c r="F10197" s="39"/>
    </row>
    <row r="10198">
      <c r="D10198" s="39"/>
      <c r="E10198" s="39"/>
      <c r="F10198" s="39"/>
    </row>
    <row r="10199">
      <c r="D10199" s="39"/>
      <c r="E10199" s="39"/>
      <c r="F10199" s="39"/>
    </row>
    <row r="10200">
      <c r="D10200" s="39"/>
      <c r="E10200" s="39"/>
      <c r="F10200" s="39"/>
    </row>
    <row r="10201">
      <c r="D10201" s="39"/>
      <c r="E10201" s="39"/>
      <c r="F10201" s="39"/>
    </row>
    <row r="10202">
      <c r="D10202" s="39"/>
      <c r="E10202" s="39"/>
      <c r="F10202" s="39"/>
    </row>
    <row r="10203">
      <c r="D10203" s="39"/>
      <c r="E10203" s="39"/>
      <c r="F10203" s="39"/>
    </row>
    <row r="10204">
      <c r="D10204" s="39"/>
      <c r="E10204" s="39"/>
      <c r="F10204" s="39"/>
    </row>
    <row r="10205">
      <c r="D10205" s="39"/>
      <c r="E10205" s="39"/>
      <c r="F10205" s="39"/>
    </row>
    <row r="10206">
      <c r="D10206" s="39"/>
      <c r="E10206" s="39"/>
      <c r="F10206" s="39"/>
    </row>
    <row r="10207">
      <c r="D10207" s="39"/>
      <c r="E10207" s="39"/>
      <c r="F10207" s="39"/>
    </row>
    <row r="10208">
      <c r="D10208" s="39"/>
      <c r="E10208" s="39"/>
      <c r="F10208" s="39"/>
    </row>
    <row r="10209">
      <c r="D10209" s="39"/>
      <c r="E10209" s="39"/>
      <c r="F10209" s="39"/>
    </row>
    <row r="10210">
      <c r="D10210" s="39"/>
      <c r="E10210" s="39"/>
      <c r="F10210" s="39"/>
    </row>
    <row r="10211">
      <c r="D10211" s="39"/>
      <c r="E10211" s="39"/>
      <c r="F10211" s="39"/>
    </row>
    <row r="10212">
      <c r="D10212" s="39"/>
      <c r="E10212" s="39"/>
      <c r="F10212" s="39"/>
    </row>
    <row r="10213">
      <c r="D10213" s="39"/>
      <c r="E10213" s="39"/>
      <c r="F10213" s="39"/>
    </row>
    <row r="10214">
      <c r="D10214" s="39"/>
      <c r="E10214" s="39"/>
      <c r="F10214" s="39"/>
    </row>
    <row r="10215">
      <c r="D10215" s="39"/>
      <c r="E10215" s="39"/>
      <c r="F10215" s="39"/>
    </row>
    <row r="10216">
      <c r="D10216" s="39"/>
      <c r="E10216" s="39"/>
      <c r="F10216" s="39"/>
    </row>
    <row r="10217">
      <c r="D10217" s="39"/>
      <c r="E10217" s="39"/>
      <c r="F10217" s="39"/>
    </row>
    <row r="10218">
      <c r="D10218" s="39"/>
      <c r="E10218" s="39"/>
      <c r="F10218" s="39"/>
    </row>
    <row r="10219">
      <c r="D10219" s="39"/>
      <c r="E10219" s="39"/>
      <c r="F10219" s="39"/>
    </row>
    <row r="10220">
      <c r="D10220" s="39"/>
      <c r="E10220" s="39"/>
      <c r="F10220" s="39"/>
    </row>
    <row r="10221">
      <c r="D10221" s="39"/>
      <c r="E10221" s="39"/>
      <c r="F10221" s="39"/>
    </row>
    <row r="10222">
      <c r="D10222" s="39"/>
      <c r="E10222" s="39"/>
      <c r="F10222" s="39"/>
    </row>
    <row r="10223">
      <c r="D10223" s="39"/>
      <c r="E10223" s="39"/>
      <c r="F10223" s="39"/>
    </row>
    <row r="10224">
      <c r="D10224" s="39"/>
      <c r="E10224" s="39"/>
      <c r="F10224" s="39"/>
    </row>
    <row r="10225">
      <c r="D10225" s="39"/>
      <c r="E10225" s="39"/>
      <c r="F10225" s="39"/>
    </row>
    <row r="10226">
      <c r="D10226" s="39"/>
      <c r="E10226" s="39"/>
      <c r="F10226" s="39"/>
    </row>
    <row r="10227">
      <c r="D10227" s="39"/>
      <c r="E10227" s="39"/>
      <c r="F10227" s="39"/>
    </row>
    <row r="10228">
      <c r="D10228" s="39"/>
      <c r="E10228" s="39"/>
      <c r="F10228" s="39"/>
    </row>
    <row r="10229">
      <c r="D10229" s="39"/>
      <c r="E10229" s="39"/>
      <c r="F10229" s="39"/>
    </row>
    <row r="10230">
      <c r="D10230" s="39"/>
      <c r="E10230" s="39"/>
      <c r="F10230" s="39"/>
    </row>
    <row r="10231">
      <c r="D10231" s="39"/>
      <c r="E10231" s="39"/>
      <c r="F10231" s="39"/>
    </row>
    <row r="10232">
      <c r="D10232" s="39"/>
      <c r="E10232" s="39"/>
      <c r="F10232" s="39"/>
    </row>
    <row r="10233">
      <c r="D10233" s="39"/>
      <c r="E10233" s="39"/>
      <c r="F10233" s="39"/>
    </row>
    <row r="10234">
      <c r="D10234" s="39"/>
      <c r="E10234" s="39"/>
      <c r="F10234" s="39"/>
    </row>
    <row r="10235">
      <c r="D10235" s="39"/>
      <c r="E10235" s="39"/>
      <c r="F10235" s="39"/>
    </row>
    <row r="10236">
      <c r="D10236" s="39"/>
      <c r="E10236" s="39"/>
      <c r="F10236" s="39"/>
    </row>
    <row r="10237">
      <c r="D10237" s="39"/>
      <c r="E10237" s="39"/>
      <c r="F10237" s="39"/>
    </row>
    <row r="10238">
      <c r="D10238" s="39"/>
      <c r="E10238" s="39"/>
      <c r="F10238" s="39"/>
    </row>
    <row r="10239">
      <c r="D10239" s="39"/>
      <c r="E10239" s="39"/>
      <c r="F10239" s="39"/>
    </row>
    <row r="10240">
      <c r="D10240" s="39"/>
      <c r="E10240" s="39"/>
      <c r="F10240" s="39"/>
    </row>
    <row r="10241">
      <c r="D10241" s="39"/>
      <c r="E10241" s="39"/>
      <c r="F10241" s="39"/>
    </row>
    <row r="10242">
      <c r="D10242" s="39"/>
      <c r="E10242" s="39"/>
      <c r="F10242" s="39"/>
    </row>
    <row r="10243">
      <c r="D10243" s="39"/>
      <c r="E10243" s="39"/>
      <c r="F10243" s="39"/>
    </row>
    <row r="10244">
      <c r="D10244" s="39"/>
      <c r="E10244" s="39"/>
      <c r="F10244" s="39"/>
    </row>
    <row r="10245">
      <c r="D10245" s="39"/>
      <c r="E10245" s="39"/>
      <c r="F10245" s="39"/>
    </row>
    <row r="10246">
      <c r="D10246" s="39"/>
      <c r="E10246" s="39"/>
      <c r="F10246" s="39"/>
    </row>
    <row r="10247">
      <c r="D10247" s="39"/>
      <c r="E10247" s="39"/>
      <c r="F10247" s="39"/>
    </row>
    <row r="10248">
      <c r="D10248" s="39"/>
      <c r="E10248" s="39"/>
      <c r="F10248" s="39"/>
    </row>
    <row r="10249">
      <c r="D10249" s="39"/>
      <c r="E10249" s="39"/>
      <c r="F10249" s="39"/>
    </row>
    <row r="10250">
      <c r="D10250" s="39"/>
      <c r="E10250" s="39"/>
      <c r="F10250" s="39"/>
    </row>
    <row r="10251">
      <c r="D10251" s="39"/>
      <c r="E10251" s="39"/>
      <c r="F10251" s="39"/>
    </row>
    <row r="10252">
      <c r="D10252" s="39"/>
      <c r="E10252" s="39"/>
      <c r="F10252" s="39"/>
    </row>
    <row r="10253">
      <c r="D10253" s="39"/>
      <c r="E10253" s="39"/>
      <c r="F10253" s="39"/>
    </row>
    <row r="10254">
      <c r="D10254" s="39"/>
      <c r="E10254" s="39"/>
      <c r="F10254" s="39"/>
    </row>
    <row r="10255">
      <c r="D10255" s="39"/>
      <c r="E10255" s="39"/>
      <c r="F10255" s="39"/>
    </row>
    <row r="10256">
      <c r="D10256" s="39"/>
      <c r="E10256" s="39"/>
      <c r="F10256" s="39"/>
    </row>
    <row r="10257">
      <c r="D10257" s="39"/>
      <c r="E10257" s="39"/>
      <c r="F10257" s="39"/>
    </row>
    <row r="10258">
      <c r="D10258" s="39"/>
      <c r="E10258" s="39"/>
      <c r="F10258" s="39"/>
    </row>
    <row r="10259">
      <c r="D10259" s="39"/>
      <c r="E10259" s="39"/>
      <c r="F10259" s="39"/>
    </row>
    <row r="10260">
      <c r="D10260" s="39"/>
      <c r="E10260" s="39"/>
      <c r="F10260" s="39"/>
    </row>
    <row r="10261">
      <c r="D10261" s="39"/>
      <c r="E10261" s="39"/>
      <c r="F10261" s="39"/>
    </row>
    <row r="10262">
      <c r="D10262" s="39"/>
      <c r="E10262" s="39"/>
      <c r="F10262" s="39"/>
    </row>
    <row r="10263">
      <c r="D10263" s="39"/>
      <c r="E10263" s="39"/>
      <c r="F10263" s="39"/>
    </row>
    <row r="10264">
      <c r="D10264" s="39"/>
      <c r="E10264" s="39"/>
      <c r="F10264" s="39"/>
    </row>
    <row r="10265">
      <c r="D10265" s="39"/>
      <c r="E10265" s="39"/>
      <c r="F10265" s="39"/>
    </row>
    <row r="10266">
      <c r="D10266" s="39"/>
      <c r="E10266" s="39"/>
      <c r="F10266" s="39"/>
    </row>
    <row r="10267">
      <c r="D10267" s="39"/>
      <c r="E10267" s="39"/>
      <c r="F10267" s="39"/>
    </row>
    <row r="10268">
      <c r="D10268" s="39"/>
      <c r="E10268" s="39"/>
      <c r="F10268" s="39"/>
    </row>
    <row r="10269">
      <c r="D10269" s="39"/>
      <c r="E10269" s="39"/>
      <c r="F10269" s="39"/>
    </row>
    <row r="10270">
      <c r="D10270" s="39"/>
      <c r="E10270" s="39"/>
      <c r="F10270" s="39"/>
    </row>
    <row r="10271">
      <c r="D10271" s="39"/>
      <c r="E10271" s="39"/>
      <c r="F10271" s="39"/>
    </row>
    <row r="10272">
      <c r="D10272" s="39"/>
      <c r="E10272" s="39"/>
      <c r="F10272" s="39"/>
    </row>
    <row r="10273">
      <c r="D10273" s="39"/>
      <c r="E10273" s="39"/>
      <c r="F10273" s="39"/>
    </row>
    <row r="10274">
      <c r="D10274" s="39"/>
      <c r="E10274" s="39"/>
      <c r="F10274" s="39"/>
    </row>
    <row r="10275">
      <c r="D10275" s="39"/>
      <c r="E10275" s="39"/>
      <c r="F10275" s="39"/>
    </row>
    <row r="10276">
      <c r="D10276" s="39"/>
      <c r="E10276" s="39"/>
      <c r="F10276" s="39"/>
    </row>
    <row r="10277">
      <c r="D10277" s="39"/>
      <c r="E10277" s="39"/>
      <c r="F10277" s="39"/>
    </row>
    <row r="10278">
      <c r="D10278" s="39"/>
      <c r="E10278" s="39"/>
      <c r="F10278" s="39"/>
    </row>
    <row r="10279">
      <c r="D10279" s="39"/>
      <c r="E10279" s="39"/>
      <c r="F10279" s="39"/>
    </row>
    <row r="10280">
      <c r="D10280" s="39"/>
      <c r="E10280" s="39"/>
      <c r="F10280" s="39"/>
    </row>
    <row r="10281">
      <c r="D10281" s="39"/>
      <c r="E10281" s="39"/>
      <c r="F10281" s="39"/>
    </row>
    <row r="10282">
      <c r="D10282" s="39"/>
      <c r="E10282" s="39"/>
      <c r="F10282" s="39"/>
    </row>
    <row r="10283">
      <c r="D10283" s="39"/>
      <c r="E10283" s="39"/>
      <c r="F10283" s="39"/>
    </row>
    <row r="10284">
      <c r="D10284" s="39"/>
      <c r="E10284" s="39"/>
      <c r="F10284" s="39"/>
    </row>
    <row r="10285">
      <c r="D10285" s="39"/>
      <c r="E10285" s="39"/>
      <c r="F10285" s="39"/>
    </row>
    <row r="10286">
      <c r="D10286" s="39"/>
      <c r="E10286" s="39"/>
      <c r="F10286" s="39"/>
    </row>
    <row r="10287">
      <c r="D10287" s="39"/>
      <c r="E10287" s="39"/>
      <c r="F10287" s="39"/>
    </row>
    <row r="10288">
      <c r="D10288" s="39"/>
      <c r="E10288" s="39"/>
      <c r="F10288" s="39"/>
    </row>
    <row r="10289">
      <c r="D10289" s="39"/>
      <c r="E10289" s="39"/>
      <c r="F10289" s="39"/>
    </row>
    <row r="10290">
      <c r="D10290" s="39"/>
      <c r="E10290" s="39"/>
      <c r="F10290" s="39"/>
    </row>
    <row r="10291">
      <c r="D10291" s="39"/>
      <c r="E10291" s="39"/>
      <c r="F10291" s="39"/>
    </row>
    <row r="10292">
      <c r="D10292" s="39"/>
      <c r="E10292" s="39"/>
      <c r="F10292" s="39"/>
    </row>
    <row r="10293">
      <c r="D10293" s="39"/>
      <c r="E10293" s="39"/>
      <c r="F10293" s="39"/>
    </row>
    <row r="10294">
      <c r="D10294" s="39"/>
      <c r="E10294" s="39"/>
      <c r="F10294" s="39"/>
    </row>
    <row r="10295">
      <c r="D10295" s="39"/>
      <c r="E10295" s="39"/>
      <c r="F10295" s="39"/>
    </row>
    <row r="10296">
      <c r="D10296" s="39"/>
      <c r="E10296" s="39"/>
      <c r="F10296" s="39"/>
    </row>
    <row r="10297">
      <c r="D10297" s="39"/>
      <c r="E10297" s="39"/>
      <c r="F10297" s="39"/>
    </row>
    <row r="10298">
      <c r="D10298" s="39"/>
      <c r="E10298" s="39"/>
      <c r="F10298" s="39"/>
    </row>
    <row r="10299">
      <c r="D10299" s="39"/>
      <c r="E10299" s="39"/>
      <c r="F10299" s="39"/>
    </row>
    <row r="10300">
      <c r="D10300" s="39"/>
      <c r="E10300" s="39"/>
      <c r="F10300" s="39"/>
    </row>
    <row r="10301">
      <c r="D10301" s="39"/>
      <c r="E10301" s="39"/>
      <c r="F10301" s="39"/>
    </row>
    <row r="10302">
      <c r="D10302" s="39"/>
      <c r="E10302" s="39"/>
      <c r="F10302" s="39"/>
    </row>
    <row r="10303">
      <c r="D10303" s="39"/>
      <c r="E10303" s="39"/>
      <c r="F10303" s="39"/>
    </row>
    <row r="10304">
      <c r="D10304" s="39"/>
      <c r="E10304" s="39"/>
      <c r="F10304" s="39"/>
    </row>
    <row r="10305">
      <c r="D10305" s="39"/>
      <c r="E10305" s="39"/>
      <c r="F10305" s="39"/>
    </row>
    <row r="10306">
      <c r="D10306" s="39"/>
      <c r="E10306" s="39"/>
      <c r="F10306" s="39"/>
    </row>
    <row r="10307">
      <c r="D10307" s="39"/>
      <c r="E10307" s="39"/>
      <c r="F10307" s="39"/>
    </row>
    <row r="10308">
      <c r="D10308" s="39"/>
      <c r="E10308" s="39"/>
      <c r="F10308" s="39"/>
    </row>
    <row r="10309">
      <c r="D10309" s="39"/>
      <c r="E10309" s="39"/>
      <c r="F10309" s="39"/>
    </row>
    <row r="10310">
      <c r="D10310" s="39"/>
      <c r="E10310" s="39"/>
      <c r="F10310" s="39"/>
    </row>
    <row r="10311">
      <c r="D10311" s="39"/>
      <c r="E10311" s="39"/>
      <c r="F10311" s="39"/>
    </row>
    <row r="10312">
      <c r="D10312" s="39"/>
      <c r="E10312" s="39"/>
      <c r="F10312" s="39"/>
    </row>
    <row r="10313">
      <c r="D10313" s="39"/>
      <c r="E10313" s="39"/>
      <c r="F10313" s="39"/>
    </row>
    <row r="10314">
      <c r="D10314" s="39"/>
      <c r="E10314" s="39"/>
      <c r="F10314" s="39"/>
    </row>
    <row r="10315">
      <c r="D10315" s="39"/>
      <c r="E10315" s="39"/>
      <c r="F10315" s="39"/>
    </row>
    <row r="10316">
      <c r="D10316" s="39"/>
      <c r="E10316" s="39"/>
      <c r="F10316" s="39"/>
    </row>
    <row r="10317">
      <c r="D10317" s="39"/>
      <c r="E10317" s="39"/>
      <c r="F10317" s="39"/>
    </row>
    <row r="10318">
      <c r="D10318" s="39"/>
      <c r="E10318" s="39"/>
      <c r="F10318" s="39"/>
    </row>
    <row r="10319">
      <c r="D10319" s="39"/>
      <c r="E10319" s="39"/>
      <c r="F10319" s="39"/>
    </row>
    <row r="10320">
      <c r="D10320" s="39"/>
      <c r="E10320" s="39"/>
      <c r="F10320" s="39"/>
    </row>
    <row r="10321">
      <c r="D10321" s="39"/>
      <c r="E10321" s="39"/>
      <c r="F10321" s="39"/>
    </row>
    <row r="10322">
      <c r="D10322" s="39"/>
      <c r="E10322" s="39"/>
      <c r="F10322" s="39"/>
    </row>
    <row r="10323">
      <c r="D10323" s="39"/>
      <c r="E10323" s="39"/>
      <c r="F10323" s="39"/>
    </row>
    <row r="10324">
      <c r="D10324" s="39"/>
      <c r="E10324" s="39"/>
      <c r="F10324" s="39"/>
    </row>
    <row r="10325">
      <c r="D10325" s="39"/>
      <c r="E10325" s="39"/>
      <c r="F10325" s="39"/>
    </row>
    <row r="10326">
      <c r="D10326" s="39"/>
      <c r="E10326" s="39"/>
      <c r="F10326" s="39"/>
    </row>
    <row r="10327">
      <c r="D10327" s="39"/>
      <c r="E10327" s="39"/>
      <c r="F10327" s="39"/>
    </row>
    <row r="10328">
      <c r="D10328" s="39"/>
      <c r="E10328" s="39"/>
      <c r="F10328" s="39"/>
    </row>
    <row r="10329">
      <c r="D10329" s="39"/>
      <c r="E10329" s="39"/>
      <c r="F10329" s="39"/>
    </row>
    <row r="10330">
      <c r="D10330" s="39"/>
      <c r="E10330" s="39"/>
      <c r="F10330" s="39"/>
    </row>
    <row r="10331">
      <c r="D10331" s="39"/>
      <c r="E10331" s="39"/>
      <c r="F10331" s="39"/>
    </row>
    <row r="10332">
      <c r="D10332" s="39"/>
      <c r="E10332" s="39"/>
      <c r="F10332" s="39"/>
    </row>
    <row r="10333">
      <c r="D10333" s="39"/>
      <c r="E10333" s="39"/>
      <c r="F10333" s="39"/>
    </row>
    <row r="10334">
      <c r="D10334" s="39"/>
      <c r="E10334" s="39"/>
      <c r="F10334" s="39"/>
    </row>
    <row r="10335">
      <c r="D10335" s="39"/>
      <c r="E10335" s="39"/>
      <c r="F10335" s="39"/>
    </row>
    <row r="10336">
      <c r="D10336" s="39"/>
      <c r="E10336" s="39"/>
      <c r="F10336" s="39"/>
    </row>
    <row r="10337">
      <c r="D10337" s="39"/>
      <c r="E10337" s="39"/>
      <c r="F10337" s="39"/>
    </row>
    <row r="10338">
      <c r="D10338" s="39"/>
      <c r="E10338" s="39"/>
      <c r="F10338" s="39"/>
    </row>
    <row r="10339">
      <c r="D10339" s="39"/>
      <c r="E10339" s="39"/>
      <c r="F10339" s="39"/>
    </row>
    <row r="10340">
      <c r="D10340" s="39"/>
      <c r="E10340" s="39"/>
      <c r="F10340" s="39"/>
    </row>
    <row r="10341">
      <c r="D10341" s="39"/>
      <c r="E10341" s="39"/>
      <c r="F10341" s="39"/>
    </row>
    <row r="10342">
      <c r="D10342" s="39"/>
      <c r="E10342" s="39"/>
      <c r="F10342" s="39"/>
    </row>
    <row r="10343">
      <c r="D10343" s="39"/>
      <c r="E10343" s="39"/>
      <c r="F10343" s="39"/>
    </row>
    <row r="10344">
      <c r="D10344" s="39"/>
      <c r="E10344" s="39"/>
      <c r="F10344" s="39"/>
    </row>
    <row r="10345">
      <c r="D10345" s="39"/>
      <c r="E10345" s="39"/>
      <c r="F10345" s="39"/>
    </row>
    <row r="10346">
      <c r="D10346" s="39"/>
      <c r="E10346" s="39"/>
      <c r="F10346" s="39"/>
    </row>
    <row r="10347">
      <c r="D10347" s="39"/>
      <c r="E10347" s="39"/>
      <c r="F10347" s="39"/>
    </row>
    <row r="10348">
      <c r="D10348" s="39"/>
      <c r="E10348" s="39"/>
      <c r="F10348" s="39"/>
    </row>
    <row r="10349">
      <c r="D10349" s="39"/>
      <c r="E10349" s="39"/>
      <c r="F10349" s="39"/>
    </row>
    <row r="10350">
      <c r="D10350" s="39"/>
      <c r="E10350" s="39"/>
      <c r="F10350" s="39"/>
    </row>
    <row r="10351">
      <c r="D10351" s="39"/>
      <c r="E10351" s="39"/>
      <c r="F10351" s="39"/>
    </row>
    <row r="10352">
      <c r="D10352" s="39"/>
      <c r="E10352" s="39"/>
      <c r="F10352" s="39"/>
    </row>
    <row r="10353">
      <c r="D10353" s="39"/>
      <c r="E10353" s="39"/>
      <c r="F10353" s="39"/>
    </row>
    <row r="10354">
      <c r="D10354" s="39"/>
      <c r="E10354" s="39"/>
      <c r="F10354" s="39"/>
    </row>
    <row r="10355">
      <c r="D10355" s="39"/>
      <c r="E10355" s="39"/>
      <c r="F10355" s="39"/>
    </row>
    <row r="10356">
      <c r="D10356" s="39"/>
      <c r="E10356" s="39"/>
      <c r="F10356" s="39"/>
    </row>
    <row r="10357">
      <c r="D10357" s="39"/>
      <c r="E10357" s="39"/>
      <c r="F10357" s="39"/>
    </row>
    <row r="10358">
      <c r="D10358" s="39"/>
      <c r="E10358" s="39"/>
      <c r="F10358" s="39"/>
    </row>
    <row r="10359">
      <c r="D10359" s="39"/>
      <c r="E10359" s="39"/>
      <c r="F10359" s="39"/>
    </row>
    <row r="10360">
      <c r="D10360" s="39"/>
      <c r="E10360" s="39"/>
      <c r="F10360" s="39"/>
    </row>
    <row r="10361">
      <c r="D10361" s="39"/>
      <c r="E10361" s="39"/>
      <c r="F10361" s="39"/>
    </row>
    <row r="10362">
      <c r="D10362" s="39"/>
      <c r="E10362" s="39"/>
      <c r="F10362" s="39"/>
    </row>
    <row r="10363">
      <c r="D10363" s="39"/>
      <c r="E10363" s="39"/>
      <c r="F10363" s="39"/>
    </row>
    <row r="10364">
      <c r="D10364" s="39"/>
      <c r="E10364" s="39"/>
      <c r="F10364" s="39"/>
    </row>
    <row r="10365">
      <c r="D10365" s="39"/>
      <c r="E10365" s="39"/>
      <c r="F10365" s="39"/>
    </row>
    <row r="10366">
      <c r="D10366" s="39"/>
      <c r="E10366" s="39"/>
      <c r="F10366" s="39"/>
    </row>
    <row r="10367">
      <c r="D10367" s="39"/>
      <c r="E10367" s="39"/>
      <c r="F10367" s="39"/>
    </row>
    <row r="10368">
      <c r="D10368" s="39"/>
      <c r="E10368" s="39"/>
      <c r="F10368" s="39"/>
    </row>
    <row r="10369">
      <c r="D10369" s="39"/>
      <c r="E10369" s="39"/>
      <c r="F10369" s="39"/>
    </row>
    <row r="10370">
      <c r="D10370" s="39"/>
      <c r="E10370" s="39"/>
      <c r="F10370" s="39"/>
    </row>
    <row r="10371">
      <c r="D10371" s="39"/>
      <c r="E10371" s="39"/>
      <c r="F10371" s="39"/>
    </row>
    <row r="10372">
      <c r="D10372" s="39"/>
      <c r="E10372" s="39"/>
      <c r="F10372" s="39"/>
    </row>
    <row r="10373">
      <c r="D10373" s="39"/>
      <c r="E10373" s="39"/>
      <c r="F10373" s="39"/>
    </row>
    <row r="10374">
      <c r="D10374" s="39"/>
      <c r="E10374" s="39"/>
      <c r="F10374" s="39"/>
    </row>
    <row r="10375">
      <c r="D10375" s="39"/>
      <c r="E10375" s="39"/>
      <c r="F10375" s="39"/>
    </row>
    <row r="10376">
      <c r="D10376" s="39"/>
      <c r="E10376" s="39"/>
      <c r="F10376" s="39"/>
    </row>
    <row r="10377">
      <c r="D10377" s="39"/>
      <c r="E10377" s="39"/>
      <c r="F10377" s="39"/>
    </row>
    <row r="10378">
      <c r="D10378" s="39"/>
      <c r="E10378" s="39"/>
      <c r="F10378" s="39"/>
    </row>
    <row r="10379">
      <c r="D10379" s="39"/>
      <c r="E10379" s="39"/>
      <c r="F10379" s="39"/>
    </row>
    <row r="10380">
      <c r="D10380" s="39"/>
      <c r="E10380" s="39"/>
      <c r="F10380" s="39"/>
    </row>
    <row r="10381">
      <c r="D10381" s="39"/>
      <c r="E10381" s="39"/>
      <c r="F10381" s="39"/>
    </row>
    <row r="10382">
      <c r="D10382" s="39"/>
      <c r="E10382" s="39"/>
      <c r="F10382" s="39"/>
    </row>
    <row r="10383">
      <c r="D10383" s="39"/>
      <c r="E10383" s="39"/>
      <c r="F10383" s="39"/>
    </row>
    <row r="10384">
      <c r="D10384" s="39"/>
      <c r="E10384" s="39"/>
      <c r="F10384" s="39"/>
    </row>
    <row r="10385">
      <c r="D10385" s="39"/>
      <c r="E10385" s="39"/>
      <c r="F10385" s="39"/>
    </row>
    <row r="10386">
      <c r="D10386" s="39"/>
      <c r="E10386" s="39"/>
      <c r="F10386" s="39"/>
    </row>
    <row r="10387">
      <c r="D10387" s="39"/>
      <c r="E10387" s="39"/>
      <c r="F10387" s="39"/>
    </row>
    <row r="10388">
      <c r="D10388" s="39"/>
      <c r="E10388" s="39"/>
      <c r="F10388" s="39"/>
    </row>
    <row r="10389">
      <c r="D10389" s="39"/>
      <c r="E10389" s="39"/>
      <c r="F10389" s="39"/>
    </row>
    <row r="10390">
      <c r="D10390" s="39"/>
      <c r="E10390" s="39"/>
      <c r="F10390" s="39"/>
    </row>
    <row r="10391">
      <c r="D10391" s="39"/>
      <c r="E10391" s="39"/>
      <c r="F10391" s="39"/>
    </row>
    <row r="10392">
      <c r="D10392" s="39"/>
      <c r="E10392" s="39"/>
      <c r="F10392" s="39"/>
    </row>
    <row r="10393">
      <c r="D10393" s="39"/>
      <c r="E10393" s="39"/>
      <c r="F10393" s="39"/>
    </row>
    <row r="10394">
      <c r="D10394" s="39"/>
      <c r="E10394" s="39"/>
      <c r="F10394" s="39"/>
    </row>
    <row r="10395">
      <c r="D10395" s="39"/>
      <c r="E10395" s="39"/>
      <c r="F10395" s="39"/>
    </row>
    <row r="10396">
      <c r="D10396" s="39"/>
      <c r="E10396" s="39"/>
      <c r="F10396" s="39"/>
    </row>
    <row r="10397">
      <c r="D10397" s="39"/>
      <c r="E10397" s="39"/>
      <c r="F10397" s="39"/>
    </row>
    <row r="10398">
      <c r="D10398" s="39"/>
      <c r="E10398" s="39"/>
      <c r="F10398" s="39"/>
    </row>
    <row r="10399">
      <c r="D10399" s="39"/>
      <c r="E10399" s="39"/>
      <c r="F10399" s="39"/>
    </row>
    <row r="10400">
      <c r="D10400" s="39"/>
      <c r="E10400" s="39"/>
      <c r="F10400" s="39"/>
    </row>
    <row r="10401">
      <c r="D10401" s="39"/>
      <c r="E10401" s="39"/>
      <c r="F10401" s="39"/>
    </row>
    <row r="10402">
      <c r="D10402" s="39"/>
      <c r="E10402" s="39"/>
      <c r="F10402" s="39"/>
    </row>
    <row r="10403">
      <c r="D10403" s="39"/>
      <c r="E10403" s="39"/>
      <c r="F10403" s="39"/>
    </row>
    <row r="10404">
      <c r="D10404" s="39"/>
      <c r="E10404" s="39"/>
      <c r="F10404" s="39"/>
    </row>
    <row r="10405">
      <c r="D10405" s="39"/>
      <c r="E10405" s="39"/>
      <c r="F10405" s="39"/>
    </row>
    <row r="10406">
      <c r="D10406" s="39"/>
      <c r="E10406" s="39"/>
      <c r="F10406" s="39"/>
    </row>
    <row r="10407">
      <c r="D10407" s="39"/>
      <c r="E10407" s="39"/>
      <c r="F10407" s="39"/>
    </row>
    <row r="10408">
      <c r="D10408" s="39"/>
      <c r="E10408" s="39"/>
      <c r="F10408" s="39"/>
    </row>
    <row r="10409">
      <c r="D10409" s="39"/>
      <c r="E10409" s="39"/>
      <c r="F10409" s="39"/>
    </row>
    <row r="10410">
      <c r="D10410" s="39"/>
      <c r="E10410" s="39"/>
      <c r="F10410" s="39"/>
    </row>
    <row r="10411">
      <c r="D10411" s="39"/>
      <c r="E10411" s="39"/>
      <c r="F10411" s="39"/>
    </row>
    <row r="10412">
      <c r="D10412" s="39"/>
      <c r="E10412" s="39"/>
      <c r="F10412" s="39"/>
    </row>
    <row r="10413">
      <c r="D10413" s="39"/>
      <c r="E10413" s="39"/>
      <c r="F10413" s="39"/>
    </row>
    <row r="10414">
      <c r="D10414" s="39"/>
      <c r="E10414" s="39"/>
      <c r="F10414" s="39"/>
    </row>
    <row r="10415">
      <c r="D10415" s="39"/>
      <c r="E10415" s="39"/>
      <c r="F10415" s="39"/>
    </row>
    <row r="10416">
      <c r="D10416" s="39"/>
      <c r="E10416" s="39"/>
      <c r="F10416" s="39"/>
    </row>
    <row r="10417">
      <c r="D10417" s="39"/>
      <c r="E10417" s="39"/>
      <c r="F10417" s="39"/>
    </row>
    <row r="10418">
      <c r="D10418" s="39"/>
      <c r="E10418" s="39"/>
      <c r="F10418" s="39"/>
    </row>
    <row r="10419">
      <c r="D10419" s="39"/>
      <c r="E10419" s="39"/>
      <c r="F10419" s="39"/>
    </row>
    <row r="10420">
      <c r="D10420" s="39"/>
      <c r="E10420" s="39"/>
      <c r="F10420" s="39"/>
    </row>
    <row r="10421">
      <c r="D10421" s="39"/>
      <c r="E10421" s="39"/>
      <c r="F10421" s="39"/>
    </row>
    <row r="10422">
      <c r="D10422" s="39"/>
      <c r="E10422" s="39"/>
      <c r="F10422" s="39"/>
    </row>
    <row r="10423">
      <c r="D10423" s="39"/>
      <c r="E10423" s="39"/>
      <c r="F10423" s="39"/>
    </row>
    <row r="10424">
      <c r="D10424" s="39"/>
      <c r="E10424" s="39"/>
      <c r="F10424" s="39"/>
    </row>
    <row r="10425">
      <c r="D10425" s="39"/>
      <c r="E10425" s="39"/>
      <c r="F10425" s="39"/>
    </row>
    <row r="10426">
      <c r="D10426" s="39"/>
      <c r="E10426" s="39"/>
      <c r="F10426" s="39"/>
    </row>
    <row r="10427">
      <c r="D10427" s="39"/>
      <c r="E10427" s="39"/>
      <c r="F10427" s="39"/>
    </row>
    <row r="10428">
      <c r="D10428" s="39"/>
      <c r="E10428" s="39"/>
      <c r="F10428" s="39"/>
    </row>
    <row r="10429">
      <c r="D10429" s="39"/>
      <c r="E10429" s="39"/>
      <c r="F10429" s="39"/>
    </row>
    <row r="10430">
      <c r="D10430" s="39"/>
      <c r="E10430" s="39"/>
      <c r="F10430" s="39"/>
    </row>
    <row r="10431">
      <c r="D10431" s="39"/>
      <c r="E10431" s="39"/>
      <c r="F10431" s="39"/>
    </row>
    <row r="10432">
      <c r="D10432" s="39"/>
      <c r="E10432" s="39"/>
      <c r="F10432" s="39"/>
    </row>
    <row r="10433">
      <c r="D10433" s="39"/>
      <c r="E10433" s="39"/>
      <c r="F10433" s="39"/>
    </row>
    <row r="10434">
      <c r="D10434" s="39"/>
      <c r="E10434" s="39"/>
      <c r="F10434" s="39"/>
    </row>
    <row r="10435">
      <c r="D10435" s="39"/>
      <c r="E10435" s="39"/>
      <c r="F10435" s="39"/>
    </row>
    <row r="10436">
      <c r="D10436" s="39"/>
      <c r="E10436" s="39"/>
      <c r="F10436" s="39"/>
    </row>
    <row r="10437">
      <c r="D10437" s="39"/>
      <c r="E10437" s="39"/>
      <c r="F10437" s="39"/>
    </row>
    <row r="10438">
      <c r="D10438" s="39"/>
      <c r="E10438" s="39"/>
      <c r="F10438" s="39"/>
    </row>
    <row r="10439">
      <c r="D10439" s="39"/>
      <c r="E10439" s="39"/>
      <c r="F10439" s="39"/>
    </row>
    <row r="10440">
      <c r="D10440" s="39"/>
      <c r="E10440" s="39"/>
      <c r="F10440" s="39"/>
    </row>
    <row r="10441">
      <c r="D10441" s="39"/>
      <c r="E10441" s="39"/>
      <c r="F10441" s="39"/>
    </row>
    <row r="10442">
      <c r="D10442" s="39"/>
      <c r="E10442" s="39"/>
      <c r="F10442" s="39"/>
    </row>
    <row r="10443">
      <c r="D10443" s="39"/>
      <c r="E10443" s="39"/>
      <c r="F10443" s="39"/>
    </row>
    <row r="10444">
      <c r="D10444" s="39"/>
      <c r="E10444" s="39"/>
      <c r="F10444" s="39"/>
    </row>
    <row r="10445">
      <c r="D10445" s="39"/>
      <c r="E10445" s="39"/>
      <c r="F10445" s="39"/>
    </row>
    <row r="10446">
      <c r="D10446" s="39"/>
      <c r="E10446" s="39"/>
      <c r="F10446" s="39"/>
    </row>
    <row r="10447">
      <c r="D10447" s="39"/>
      <c r="E10447" s="39"/>
      <c r="F10447" s="39"/>
    </row>
    <row r="10448">
      <c r="D10448" s="39"/>
      <c r="E10448" s="39"/>
      <c r="F10448" s="39"/>
    </row>
    <row r="10449">
      <c r="D10449" s="39"/>
      <c r="E10449" s="39"/>
      <c r="F10449" s="39"/>
    </row>
    <row r="10450">
      <c r="D10450" s="39"/>
      <c r="E10450" s="39"/>
      <c r="F10450" s="39"/>
    </row>
    <row r="10451">
      <c r="D10451" s="39"/>
      <c r="E10451" s="39"/>
      <c r="F10451" s="39"/>
    </row>
    <row r="10452">
      <c r="D10452" s="39"/>
      <c r="E10452" s="39"/>
      <c r="F10452" s="39"/>
    </row>
    <row r="10453">
      <c r="D10453" s="39"/>
      <c r="E10453" s="39"/>
      <c r="F10453" s="39"/>
    </row>
    <row r="10454">
      <c r="D10454" s="39"/>
      <c r="E10454" s="39"/>
      <c r="F10454" s="39"/>
    </row>
    <row r="10455">
      <c r="D10455" s="39"/>
      <c r="E10455" s="39"/>
      <c r="F10455" s="39"/>
    </row>
    <row r="10456">
      <c r="D10456" s="39"/>
      <c r="E10456" s="39"/>
      <c r="F10456" s="39"/>
    </row>
    <row r="10457">
      <c r="D10457" s="39"/>
      <c r="E10457" s="39"/>
      <c r="F10457" s="39"/>
    </row>
    <row r="10458">
      <c r="D10458" s="39"/>
      <c r="E10458" s="39"/>
      <c r="F10458" s="39"/>
    </row>
    <row r="10459">
      <c r="D10459" s="39"/>
      <c r="E10459" s="39"/>
      <c r="F10459" s="39"/>
    </row>
    <row r="10460">
      <c r="D10460" s="39"/>
      <c r="E10460" s="39"/>
      <c r="F10460" s="39"/>
    </row>
    <row r="10461">
      <c r="D10461" s="39"/>
      <c r="E10461" s="39"/>
      <c r="F10461" s="39"/>
    </row>
    <row r="10462">
      <c r="D10462" s="39"/>
      <c r="E10462" s="39"/>
      <c r="F10462" s="39"/>
    </row>
    <row r="10463">
      <c r="D10463" s="39"/>
      <c r="E10463" s="39"/>
      <c r="F10463" s="39"/>
    </row>
    <row r="10464">
      <c r="D10464" s="39"/>
      <c r="E10464" s="39"/>
      <c r="F10464" s="39"/>
    </row>
    <row r="10465">
      <c r="D10465" s="39"/>
      <c r="E10465" s="39"/>
      <c r="F10465" s="39"/>
    </row>
    <row r="10466">
      <c r="D10466" s="39"/>
      <c r="E10466" s="39"/>
      <c r="F10466" s="39"/>
    </row>
    <row r="10467">
      <c r="D10467" s="39"/>
      <c r="E10467" s="39"/>
      <c r="F10467" s="39"/>
    </row>
    <row r="10468">
      <c r="D10468" s="39"/>
      <c r="E10468" s="39"/>
      <c r="F10468" s="39"/>
    </row>
    <row r="10469">
      <c r="D10469" s="39"/>
      <c r="E10469" s="39"/>
      <c r="F10469" s="39"/>
    </row>
    <row r="10470">
      <c r="D10470" s="39"/>
      <c r="E10470" s="39"/>
      <c r="F10470" s="39"/>
    </row>
    <row r="10471">
      <c r="D10471" s="39"/>
      <c r="E10471" s="39"/>
      <c r="F10471" s="39"/>
    </row>
    <row r="10472">
      <c r="D10472" s="39"/>
      <c r="E10472" s="39"/>
      <c r="F10472" s="39"/>
    </row>
    <row r="10473">
      <c r="D10473" s="39"/>
      <c r="E10473" s="39"/>
      <c r="F10473" s="39"/>
    </row>
    <row r="10474">
      <c r="D10474" s="39"/>
      <c r="E10474" s="39"/>
      <c r="F10474" s="39"/>
    </row>
    <row r="10475">
      <c r="D10475" s="39"/>
      <c r="E10475" s="39"/>
      <c r="F10475" s="39"/>
    </row>
    <row r="10476">
      <c r="D10476" s="39"/>
      <c r="E10476" s="39"/>
      <c r="F10476" s="39"/>
    </row>
    <row r="10477">
      <c r="D10477" s="39"/>
      <c r="E10477" s="39"/>
      <c r="F10477" s="39"/>
    </row>
    <row r="10478">
      <c r="D10478" s="39"/>
      <c r="E10478" s="39"/>
      <c r="F10478" s="39"/>
    </row>
    <row r="10479">
      <c r="D10479" s="39"/>
      <c r="E10479" s="39"/>
      <c r="F10479" s="39"/>
    </row>
    <row r="10480">
      <c r="D10480" s="39"/>
      <c r="E10480" s="39"/>
      <c r="F10480" s="39"/>
    </row>
    <row r="10481">
      <c r="D10481" s="39"/>
      <c r="E10481" s="39"/>
      <c r="F10481" s="39"/>
    </row>
    <row r="10482">
      <c r="D10482" s="39"/>
      <c r="E10482" s="39"/>
      <c r="F10482" s="39"/>
    </row>
    <row r="10483">
      <c r="D10483" s="39"/>
      <c r="E10483" s="39"/>
      <c r="F10483" s="39"/>
    </row>
    <row r="10484">
      <c r="D10484" s="39"/>
      <c r="E10484" s="39"/>
      <c r="F10484" s="39"/>
    </row>
    <row r="10485">
      <c r="D10485" s="39"/>
      <c r="E10485" s="39"/>
      <c r="F10485" s="39"/>
    </row>
    <row r="10486">
      <c r="D10486" s="39"/>
      <c r="E10486" s="39"/>
      <c r="F10486" s="39"/>
    </row>
    <row r="10487">
      <c r="D10487" s="39"/>
      <c r="E10487" s="39"/>
      <c r="F10487" s="39"/>
    </row>
    <row r="10488">
      <c r="D10488" s="39"/>
      <c r="E10488" s="39"/>
      <c r="F10488" s="39"/>
    </row>
    <row r="10489">
      <c r="D10489" s="39"/>
      <c r="E10489" s="39"/>
      <c r="F10489" s="39"/>
    </row>
    <row r="10490">
      <c r="D10490" s="39"/>
      <c r="E10490" s="39"/>
      <c r="F10490" s="39"/>
    </row>
    <row r="10491">
      <c r="D10491" s="39"/>
      <c r="E10491" s="39"/>
      <c r="F10491" s="39"/>
    </row>
    <row r="10492">
      <c r="D10492" s="39"/>
      <c r="E10492" s="39"/>
      <c r="F10492" s="39"/>
    </row>
    <row r="10493">
      <c r="D10493" s="39"/>
      <c r="E10493" s="39"/>
      <c r="F10493" s="39"/>
    </row>
    <row r="10494">
      <c r="D10494" s="39"/>
      <c r="E10494" s="39"/>
      <c r="F10494" s="39"/>
    </row>
    <row r="10495">
      <c r="D10495" s="39"/>
      <c r="E10495" s="39"/>
      <c r="F10495" s="39"/>
    </row>
    <row r="10496">
      <c r="D10496" s="39"/>
      <c r="E10496" s="39"/>
      <c r="F10496" s="39"/>
    </row>
    <row r="10497">
      <c r="D10497" s="39"/>
      <c r="E10497" s="39"/>
      <c r="F10497" s="39"/>
    </row>
    <row r="10498">
      <c r="D10498" s="39"/>
      <c r="E10498" s="39"/>
      <c r="F10498" s="39"/>
    </row>
    <row r="10499">
      <c r="D10499" s="39"/>
      <c r="E10499" s="39"/>
      <c r="F10499" s="39"/>
    </row>
    <row r="10500">
      <c r="D10500" s="39"/>
      <c r="E10500" s="39"/>
      <c r="F10500" s="39"/>
    </row>
    <row r="10501">
      <c r="D10501" s="39"/>
      <c r="E10501" s="39"/>
      <c r="F10501" s="39"/>
    </row>
    <row r="10502">
      <c r="D10502" s="39"/>
      <c r="E10502" s="39"/>
      <c r="F10502" s="39"/>
    </row>
    <row r="10503">
      <c r="D10503" s="39"/>
      <c r="E10503" s="39"/>
      <c r="F10503" s="39"/>
    </row>
    <row r="10504">
      <c r="D10504" s="39"/>
      <c r="E10504" s="39"/>
      <c r="F10504" s="39"/>
    </row>
    <row r="10505">
      <c r="D10505" s="39"/>
      <c r="E10505" s="39"/>
      <c r="F10505" s="39"/>
    </row>
    <row r="10506">
      <c r="D10506" s="39"/>
      <c r="E10506" s="39"/>
      <c r="F10506" s="39"/>
    </row>
    <row r="10507">
      <c r="D10507" s="39"/>
      <c r="E10507" s="39"/>
      <c r="F10507" s="39"/>
    </row>
    <row r="10508">
      <c r="D10508" s="39"/>
      <c r="E10508" s="39"/>
      <c r="F10508" s="39"/>
    </row>
    <row r="10509">
      <c r="D10509" s="39"/>
      <c r="E10509" s="39"/>
      <c r="F10509" s="39"/>
    </row>
    <row r="10510">
      <c r="D10510" s="39"/>
      <c r="E10510" s="39"/>
      <c r="F10510" s="39"/>
    </row>
    <row r="10511">
      <c r="D10511" s="39"/>
      <c r="E10511" s="39"/>
      <c r="F10511" s="39"/>
    </row>
    <row r="10512">
      <c r="D10512" s="39"/>
      <c r="E10512" s="39"/>
      <c r="F10512" s="39"/>
    </row>
    <row r="10513">
      <c r="D10513" s="39"/>
      <c r="E10513" s="39"/>
      <c r="F10513" s="39"/>
    </row>
    <row r="10514">
      <c r="D10514" s="39"/>
      <c r="E10514" s="39"/>
      <c r="F10514" s="39"/>
    </row>
    <row r="10515">
      <c r="D10515" s="39"/>
      <c r="E10515" s="39"/>
      <c r="F10515" s="39"/>
    </row>
    <row r="10516">
      <c r="D10516" s="39"/>
      <c r="E10516" s="39"/>
      <c r="F10516" s="39"/>
    </row>
    <row r="10517">
      <c r="D10517" s="39"/>
      <c r="E10517" s="39"/>
      <c r="F10517" s="39"/>
    </row>
    <row r="10518">
      <c r="D10518" s="39"/>
      <c r="E10518" s="39"/>
      <c r="F10518" s="39"/>
    </row>
    <row r="10519">
      <c r="D10519" s="39"/>
      <c r="E10519" s="39"/>
      <c r="F10519" s="39"/>
    </row>
    <row r="10520">
      <c r="D10520" s="39"/>
      <c r="E10520" s="39"/>
      <c r="F10520" s="39"/>
    </row>
    <row r="10521">
      <c r="D10521" s="39"/>
      <c r="E10521" s="39"/>
      <c r="F10521" s="39"/>
    </row>
    <row r="10522">
      <c r="D10522" s="39"/>
      <c r="E10522" s="39"/>
      <c r="F10522" s="39"/>
    </row>
    <row r="10523">
      <c r="D10523" s="39"/>
      <c r="E10523" s="39"/>
      <c r="F10523" s="39"/>
    </row>
    <row r="10524">
      <c r="D10524" s="39"/>
      <c r="E10524" s="39"/>
      <c r="F10524" s="39"/>
    </row>
    <row r="10525">
      <c r="D10525" s="39"/>
      <c r="E10525" s="39"/>
      <c r="F10525" s="39"/>
    </row>
    <row r="10526">
      <c r="D10526" s="39"/>
      <c r="E10526" s="39"/>
      <c r="F10526" s="39"/>
    </row>
    <row r="10527">
      <c r="D10527" s="39"/>
      <c r="E10527" s="39"/>
      <c r="F10527" s="39"/>
    </row>
    <row r="10528">
      <c r="D10528" s="39"/>
      <c r="E10528" s="39"/>
      <c r="F10528" s="39"/>
    </row>
    <row r="10529">
      <c r="D10529" s="39"/>
      <c r="E10529" s="39"/>
      <c r="F10529" s="39"/>
    </row>
    <row r="10530">
      <c r="D10530" s="39"/>
      <c r="E10530" s="39"/>
      <c r="F10530" s="39"/>
    </row>
    <row r="10531">
      <c r="D10531" s="39"/>
      <c r="E10531" s="39"/>
      <c r="F10531" s="39"/>
    </row>
    <row r="10532">
      <c r="D10532" s="39"/>
      <c r="E10532" s="39"/>
      <c r="F10532" s="39"/>
    </row>
    <row r="10533">
      <c r="D10533" s="39"/>
      <c r="E10533" s="39"/>
      <c r="F10533" s="39"/>
    </row>
    <row r="10534">
      <c r="D10534" s="39"/>
      <c r="E10534" s="39"/>
      <c r="F10534" s="39"/>
    </row>
    <row r="10535">
      <c r="D10535" s="39"/>
      <c r="E10535" s="39"/>
      <c r="F10535" s="39"/>
    </row>
    <row r="10536">
      <c r="D10536" s="39"/>
      <c r="E10536" s="39"/>
      <c r="F10536" s="39"/>
    </row>
    <row r="10537">
      <c r="D10537" s="39"/>
      <c r="E10537" s="39"/>
      <c r="F10537" s="39"/>
    </row>
    <row r="10538">
      <c r="D10538" s="39"/>
      <c r="E10538" s="39"/>
      <c r="F10538" s="39"/>
    </row>
    <row r="10539">
      <c r="D10539" s="39"/>
      <c r="E10539" s="39"/>
      <c r="F10539" s="39"/>
    </row>
    <row r="10540">
      <c r="D10540" s="39"/>
      <c r="E10540" s="39"/>
      <c r="F10540" s="39"/>
    </row>
    <row r="10541">
      <c r="D10541" s="39"/>
      <c r="E10541" s="39"/>
      <c r="F10541" s="39"/>
    </row>
    <row r="10542">
      <c r="D10542" s="39"/>
      <c r="E10542" s="39"/>
      <c r="F10542" s="39"/>
    </row>
    <row r="10543">
      <c r="D10543" s="39"/>
      <c r="E10543" s="39"/>
      <c r="F10543" s="39"/>
    </row>
    <row r="10544">
      <c r="D10544" s="39"/>
      <c r="E10544" s="39"/>
      <c r="F10544" s="39"/>
    </row>
    <row r="10545">
      <c r="D10545" s="39"/>
      <c r="E10545" s="39"/>
      <c r="F10545" s="39"/>
    </row>
    <row r="10546">
      <c r="D10546" s="39"/>
      <c r="E10546" s="39"/>
      <c r="F10546" s="39"/>
    </row>
    <row r="10547">
      <c r="D10547" s="39"/>
      <c r="E10547" s="39"/>
      <c r="F10547" s="39"/>
    </row>
    <row r="10548">
      <c r="D10548" s="39"/>
      <c r="E10548" s="39"/>
      <c r="F10548" s="39"/>
    </row>
    <row r="10549">
      <c r="D10549" s="39"/>
      <c r="E10549" s="39"/>
      <c r="F10549" s="39"/>
    </row>
    <row r="10550">
      <c r="D10550" s="39"/>
      <c r="E10550" s="39"/>
      <c r="F10550" s="39"/>
    </row>
    <row r="10551">
      <c r="D10551" s="39"/>
      <c r="E10551" s="39"/>
      <c r="F10551" s="39"/>
    </row>
    <row r="10552">
      <c r="D10552" s="39"/>
      <c r="E10552" s="39"/>
      <c r="F10552" s="39"/>
    </row>
    <row r="10553">
      <c r="D10553" s="39"/>
      <c r="E10553" s="39"/>
      <c r="F10553" s="39"/>
    </row>
    <row r="10554">
      <c r="D10554" s="39"/>
      <c r="E10554" s="39"/>
      <c r="F10554" s="39"/>
    </row>
    <row r="10555">
      <c r="D10555" s="39"/>
      <c r="E10555" s="39"/>
      <c r="F10555" s="39"/>
    </row>
    <row r="10556">
      <c r="D10556" s="39"/>
      <c r="E10556" s="39"/>
      <c r="F10556" s="39"/>
    </row>
    <row r="10557">
      <c r="D10557" s="39"/>
      <c r="E10557" s="39"/>
      <c r="F10557" s="39"/>
    </row>
    <row r="10558">
      <c r="D10558" s="39"/>
      <c r="E10558" s="39"/>
      <c r="F10558" s="39"/>
    </row>
    <row r="10559">
      <c r="D10559" s="39"/>
      <c r="E10559" s="39"/>
      <c r="F10559" s="39"/>
    </row>
    <row r="10560">
      <c r="D10560" s="39"/>
      <c r="E10560" s="39"/>
      <c r="F10560" s="39"/>
    </row>
    <row r="10561">
      <c r="D10561" s="39"/>
      <c r="E10561" s="39"/>
      <c r="F10561" s="39"/>
    </row>
    <row r="10562">
      <c r="D10562" s="39"/>
      <c r="E10562" s="39"/>
      <c r="F10562" s="39"/>
    </row>
    <row r="10563">
      <c r="D10563" s="39"/>
      <c r="E10563" s="39"/>
      <c r="F10563" s="39"/>
    </row>
    <row r="10564">
      <c r="D10564" s="39"/>
      <c r="E10564" s="39"/>
      <c r="F10564" s="39"/>
    </row>
    <row r="10565">
      <c r="D10565" s="39"/>
      <c r="E10565" s="39"/>
      <c r="F10565" s="39"/>
    </row>
    <row r="10566">
      <c r="D10566" s="39"/>
      <c r="E10566" s="39"/>
      <c r="F10566" s="39"/>
    </row>
    <row r="10567">
      <c r="D10567" s="39"/>
      <c r="E10567" s="39"/>
      <c r="F10567" s="39"/>
    </row>
    <row r="10568">
      <c r="D10568" s="39"/>
      <c r="E10568" s="39"/>
      <c r="F10568" s="39"/>
    </row>
    <row r="10569">
      <c r="D10569" s="39"/>
      <c r="E10569" s="39"/>
      <c r="F10569" s="39"/>
    </row>
    <row r="10570">
      <c r="D10570" s="39"/>
      <c r="E10570" s="39"/>
      <c r="F10570" s="39"/>
    </row>
    <row r="10571">
      <c r="D10571" s="39"/>
      <c r="E10571" s="39"/>
      <c r="F10571" s="39"/>
    </row>
    <row r="10572">
      <c r="D10572" s="39"/>
      <c r="E10572" s="39"/>
      <c r="F10572" s="39"/>
    </row>
    <row r="10573">
      <c r="D10573" s="39"/>
      <c r="E10573" s="39"/>
      <c r="F10573" s="39"/>
    </row>
    <row r="10574">
      <c r="D10574" s="39"/>
      <c r="E10574" s="39"/>
      <c r="F10574" s="39"/>
    </row>
    <row r="10575">
      <c r="D10575" s="39"/>
      <c r="E10575" s="39"/>
      <c r="F10575" s="39"/>
    </row>
    <row r="10576">
      <c r="D10576" s="39"/>
      <c r="E10576" s="39"/>
      <c r="F10576" s="39"/>
    </row>
    <row r="10577">
      <c r="D10577" s="39"/>
      <c r="E10577" s="39"/>
      <c r="F10577" s="39"/>
    </row>
    <row r="10578">
      <c r="D10578" s="39"/>
      <c r="E10578" s="39"/>
      <c r="F10578" s="39"/>
    </row>
    <row r="10579">
      <c r="D10579" s="39"/>
      <c r="E10579" s="39"/>
      <c r="F10579" s="39"/>
    </row>
    <row r="10580">
      <c r="D10580" s="39"/>
      <c r="E10580" s="39"/>
      <c r="F10580" s="39"/>
    </row>
    <row r="10581">
      <c r="D10581" s="39"/>
      <c r="E10581" s="39"/>
      <c r="F10581" s="39"/>
    </row>
    <row r="10582">
      <c r="D10582" s="39"/>
      <c r="E10582" s="39"/>
      <c r="F10582" s="39"/>
    </row>
    <row r="10583">
      <c r="D10583" s="39"/>
      <c r="E10583" s="39"/>
      <c r="F10583" s="39"/>
    </row>
    <row r="10584">
      <c r="D10584" s="39"/>
      <c r="E10584" s="39"/>
      <c r="F10584" s="39"/>
    </row>
    <row r="10585">
      <c r="D10585" s="39"/>
      <c r="E10585" s="39"/>
      <c r="F10585" s="39"/>
    </row>
    <row r="10586">
      <c r="D10586" s="39"/>
      <c r="E10586" s="39"/>
      <c r="F10586" s="39"/>
    </row>
    <row r="10587">
      <c r="D10587" s="39"/>
      <c r="E10587" s="39"/>
      <c r="F10587" s="39"/>
    </row>
    <row r="10588">
      <c r="D10588" s="39"/>
      <c r="E10588" s="39"/>
      <c r="F10588" s="39"/>
    </row>
    <row r="10589">
      <c r="D10589" s="39"/>
      <c r="E10589" s="39"/>
      <c r="F10589" s="39"/>
    </row>
    <row r="10590">
      <c r="D10590" s="39"/>
      <c r="E10590" s="39"/>
      <c r="F10590" s="39"/>
    </row>
    <row r="10591">
      <c r="D10591" s="39"/>
      <c r="E10591" s="39"/>
      <c r="F10591" s="39"/>
    </row>
    <row r="10592">
      <c r="D10592" s="39"/>
      <c r="E10592" s="39"/>
      <c r="F10592" s="39"/>
    </row>
    <row r="10593">
      <c r="D10593" s="39"/>
      <c r="E10593" s="39"/>
      <c r="F10593" s="39"/>
    </row>
    <row r="10594">
      <c r="D10594" s="39"/>
      <c r="E10594" s="39"/>
      <c r="F10594" s="39"/>
    </row>
    <row r="10595">
      <c r="D10595" s="39"/>
      <c r="E10595" s="39"/>
      <c r="F10595" s="39"/>
    </row>
    <row r="10596">
      <c r="D10596" s="39"/>
      <c r="E10596" s="39"/>
      <c r="F10596" s="39"/>
    </row>
    <row r="10597">
      <c r="D10597" s="39"/>
      <c r="E10597" s="39"/>
      <c r="F10597" s="39"/>
    </row>
    <row r="10598">
      <c r="D10598" s="39"/>
      <c r="E10598" s="39"/>
      <c r="F10598" s="39"/>
    </row>
    <row r="10599">
      <c r="D10599" s="39"/>
      <c r="E10599" s="39"/>
      <c r="F10599" s="39"/>
    </row>
    <row r="10600">
      <c r="D10600" s="39"/>
      <c r="E10600" s="39"/>
      <c r="F10600" s="39"/>
    </row>
    <row r="10601">
      <c r="D10601" s="39"/>
      <c r="E10601" s="39"/>
      <c r="F10601" s="39"/>
    </row>
    <row r="10602">
      <c r="D10602" s="39"/>
      <c r="E10602" s="39"/>
      <c r="F10602" s="39"/>
    </row>
    <row r="10603">
      <c r="D10603" s="39"/>
      <c r="E10603" s="39"/>
      <c r="F10603" s="39"/>
    </row>
    <row r="10604">
      <c r="D10604" s="39"/>
      <c r="E10604" s="39"/>
      <c r="F10604" s="39"/>
    </row>
    <row r="10605">
      <c r="D10605" s="39"/>
      <c r="E10605" s="39"/>
      <c r="F10605" s="39"/>
    </row>
    <row r="10606">
      <c r="D10606" s="39"/>
      <c r="E10606" s="39"/>
      <c r="F10606" s="39"/>
    </row>
    <row r="10607">
      <c r="D10607" s="39"/>
      <c r="E10607" s="39"/>
      <c r="F10607" s="39"/>
    </row>
    <row r="10608">
      <c r="D10608" s="39"/>
      <c r="E10608" s="39"/>
      <c r="F10608" s="39"/>
    </row>
    <row r="10609">
      <c r="D10609" s="39"/>
      <c r="E10609" s="39"/>
      <c r="F10609" s="39"/>
    </row>
    <row r="10610">
      <c r="D10610" s="39"/>
      <c r="E10610" s="39"/>
      <c r="F10610" s="39"/>
    </row>
    <row r="10611">
      <c r="D10611" s="39"/>
      <c r="E10611" s="39"/>
      <c r="F10611" s="39"/>
    </row>
    <row r="10612">
      <c r="D10612" s="39"/>
      <c r="E10612" s="39"/>
      <c r="F10612" s="39"/>
    </row>
    <row r="10613">
      <c r="D10613" s="39"/>
      <c r="E10613" s="39"/>
      <c r="F10613" s="39"/>
    </row>
    <row r="10614">
      <c r="D10614" s="39"/>
      <c r="E10614" s="39"/>
      <c r="F10614" s="39"/>
    </row>
    <row r="10615">
      <c r="D10615" s="39"/>
      <c r="E10615" s="39"/>
      <c r="F10615" s="39"/>
    </row>
    <row r="10616">
      <c r="D10616" s="39"/>
      <c r="E10616" s="39"/>
      <c r="F10616" s="39"/>
    </row>
    <row r="10617">
      <c r="D10617" s="39"/>
      <c r="E10617" s="39"/>
      <c r="F10617" s="39"/>
    </row>
    <row r="10618">
      <c r="D10618" s="39"/>
      <c r="E10618" s="39"/>
      <c r="F10618" s="39"/>
    </row>
    <row r="10619">
      <c r="D10619" s="39"/>
      <c r="E10619" s="39"/>
      <c r="F10619" s="39"/>
    </row>
    <row r="10620">
      <c r="D10620" s="39"/>
      <c r="E10620" s="39"/>
      <c r="F10620" s="39"/>
    </row>
    <row r="10621">
      <c r="D10621" s="39"/>
      <c r="E10621" s="39"/>
      <c r="F10621" s="39"/>
    </row>
    <row r="10622">
      <c r="D10622" s="39"/>
      <c r="E10622" s="39"/>
      <c r="F10622" s="39"/>
    </row>
    <row r="10623">
      <c r="D10623" s="39"/>
      <c r="E10623" s="39"/>
      <c r="F10623" s="39"/>
    </row>
    <row r="10624">
      <c r="D10624" s="39"/>
      <c r="E10624" s="39"/>
      <c r="F10624" s="39"/>
    </row>
    <row r="10625">
      <c r="D10625" s="39"/>
      <c r="E10625" s="39"/>
      <c r="F10625" s="39"/>
    </row>
    <row r="10626">
      <c r="D10626" s="39"/>
      <c r="E10626" s="39"/>
      <c r="F10626" s="39"/>
    </row>
    <row r="10627">
      <c r="D10627" s="39"/>
      <c r="E10627" s="39"/>
      <c r="F10627" s="39"/>
    </row>
    <row r="10628">
      <c r="D10628" s="39"/>
      <c r="E10628" s="39"/>
      <c r="F10628" s="39"/>
    </row>
    <row r="10629">
      <c r="D10629" s="39"/>
      <c r="E10629" s="39"/>
      <c r="F10629" s="39"/>
    </row>
    <row r="10630">
      <c r="D10630" s="39"/>
      <c r="E10630" s="39"/>
      <c r="F10630" s="39"/>
    </row>
    <row r="10631">
      <c r="D10631" s="39"/>
      <c r="E10631" s="39"/>
      <c r="F10631" s="39"/>
    </row>
    <row r="10632">
      <c r="D10632" s="39"/>
      <c r="E10632" s="39"/>
      <c r="F10632" s="39"/>
    </row>
    <row r="10633">
      <c r="D10633" s="39"/>
      <c r="E10633" s="39"/>
      <c r="F10633" s="39"/>
    </row>
    <row r="10634">
      <c r="D10634" s="39"/>
      <c r="E10634" s="39"/>
      <c r="F10634" s="39"/>
    </row>
    <row r="10635">
      <c r="D10635" s="39"/>
      <c r="E10635" s="39"/>
      <c r="F10635" s="39"/>
    </row>
    <row r="10636">
      <c r="D10636" s="39"/>
      <c r="E10636" s="39"/>
      <c r="F10636" s="39"/>
    </row>
    <row r="10637">
      <c r="D10637" s="39"/>
      <c r="E10637" s="39"/>
      <c r="F10637" s="39"/>
    </row>
    <row r="10638">
      <c r="D10638" s="39"/>
      <c r="E10638" s="39"/>
      <c r="F10638" s="39"/>
    </row>
    <row r="10639">
      <c r="D10639" s="39"/>
      <c r="E10639" s="39"/>
      <c r="F10639" s="39"/>
    </row>
    <row r="10640">
      <c r="D10640" s="39"/>
      <c r="E10640" s="39"/>
      <c r="F10640" s="39"/>
    </row>
    <row r="10641">
      <c r="D10641" s="39"/>
      <c r="E10641" s="39"/>
      <c r="F10641" s="39"/>
    </row>
    <row r="10642">
      <c r="D10642" s="39"/>
      <c r="E10642" s="39"/>
      <c r="F10642" s="39"/>
    </row>
    <row r="10643">
      <c r="D10643" s="39"/>
      <c r="E10643" s="39"/>
      <c r="F10643" s="39"/>
    </row>
    <row r="10644">
      <c r="D10644" s="39"/>
      <c r="E10644" s="39"/>
      <c r="F10644" s="39"/>
    </row>
    <row r="10645">
      <c r="D10645" s="39"/>
      <c r="E10645" s="39"/>
      <c r="F10645" s="39"/>
    </row>
    <row r="10646">
      <c r="D10646" s="39"/>
      <c r="E10646" s="39"/>
      <c r="F10646" s="39"/>
    </row>
    <row r="10647">
      <c r="D10647" s="39"/>
      <c r="E10647" s="39"/>
      <c r="F10647" s="39"/>
    </row>
    <row r="10648">
      <c r="D10648" s="39"/>
      <c r="E10648" s="39"/>
      <c r="F10648" s="39"/>
    </row>
    <row r="10649">
      <c r="D10649" s="39"/>
      <c r="E10649" s="39"/>
      <c r="F10649" s="39"/>
    </row>
    <row r="10650">
      <c r="D10650" s="39"/>
      <c r="E10650" s="39"/>
      <c r="F10650" s="39"/>
    </row>
    <row r="10651">
      <c r="D10651" s="39"/>
      <c r="E10651" s="39"/>
      <c r="F10651" s="39"/>
    </row>
    <row r="10652">
      <c r="D10652" s="39"/>
      <c r="E10652" s="39"/>
      <c r="F10652" s="39"/>
    </row>
    <row r="10653">
      <c r="D10653" s="39"/>
      <c r="E10653" s="39"/>
      <c r="F10653" s="39"/>
    </row>
    <row r="10654">
      <c r="D10654" s="39"/>
      <c r="E10654" s="39"/>
      <c r="F10654" s="39"/>
    </row>
    <row r="10655">
      <c r="D10655" s="39"/>
      <c r="E10655" s="39"/>
      <c r="F10655" s="39"/>
    </row>
    <row r="10656">
      <c r="D10656" s="39"/>
      <c r="E10656" s="39"/>
      <c r="F10656" s="39"/>
    </row>
    <row r="10657">
      <c r="D10657" s="39"/>
      <c r="E10657" s="39"/>
      <c r="F10657" s="39"/>
    </row>
    <row r="10658">
      <c r="D10658" s="39"/>
      <c r="E10658" s="39"/>
      <c r="F10658" s="39"/>
    </row>
    <row r="10659">
      <c r="D10659" s="39"/>
      <c r="E10659" s="39"/>
      <c r="F10659" s="39"/>
    </row>
    <row r="10660">
      <c r="D10660" s="39"/>
      <c r="E10660" s="39"/>
      <c r="F10660" s="39"/>
    </row>
    <row r="10661">
      <c r="D10661" s="39"/>
      <c r="E10661" s="39"/>
      <c r="F10661" s="39"/>
    </row>
    <row r="10662">
      <c r="D10662" s="39"/>
      <c r="E10662" s="39"/>
      <c r="F10662" s="39"/>
    </row>
    <row r="10663">
      <c r="D10663" s="39"/>
      <c r="E10663" s="39"/>
      <c r="F10663" s="39"/>
    </row>
    <row r="10664">
      <c r="D10664" s="39"/>
      <c r="E10664" s="39"/>
      <c r="F10664" s="39"/>
    </row>
    <row r="10665">
      <c r="D10665" s="39"/>
      <c r="E10665" s="39"/>
      <c r="F10665" s="39"/>
    </row>
    <row r="10666">
      <c r="D10666" s="39"/>
      <c r="E10666" s="39"/>
      <c r="F10666" s="39"/>
    </row>
    <row r="10667">
      <c r="D10667" s="39"/>
      <c r="E10667" s="39"/>
      <c r="F10667" s="39"/>
    </row>
    <row r="10668">
      <c r="D10668" s="39"/>
      <c r="E10668" s="39"/>
      <c r="F10668" s="39"/>
    </row>
    <row r="10669">
      <c r="D10669" s="39"/>
      <c r="E10669" s="39"/>
      <c r="F10669" s="39"/>
    </row>
    <row r="10670">
      <c r="D10670" s="39"/>
      <c r="E10670" s="39"/>
      <c r="F10670" s="39"/>
    </row>
    <row r="10671">
      <c r="D10671" s="39"/>
      <c r="E10671" s="39"/>
      <c r="F10671" s="39"/>
    </row>
    <row r="10672">
      <c r="D10672" s="39"/>
      <c r="E10672" s="39"/>
      <c r="F10672" s="39"/>
    </row>
    <row r="10673">
      <c r="D10673" s="39"/>
      <c r="E10673" s="39"/>
      <c r="F10673" s="39"/>
    </row>
    <row r="10674">
      <c r="D10674" s="39"/>
      <c r="E10674" s="39"/>
      <c r="F10674" s="39"/>
    </row>
    <row r="10675">
      <c r="D10675" s="39"/>
      <c r="E10675" s="39"/>
      <c r="F10675" s="39"/>
    </row>
    <row r="10676">
      <c r="D10676" s="39"/>
      <c r="E10676" s="39"/>
      <c r="F10676" s="39"/>
    </row>
    <row r="10677">
      <c r="D10677" s="39"/>
      <c r="E10677" s="39"/>
      <c r="F10677" s="39"/>
    </row>
    <row r="10678">
      <c r="D10678" s="39"/>
      <c r="E10678" s="39"/>
      <c r="F10678" s="39"/>
    </row>
    <row r="10679">
      <c r="D10679" s="39"/>
      <c r="E10679" s="39"/>
      <c r="F10679" s="39"/>
    </row>
    <row r="10680">
      <c r="D10680" s="39"/>
      <c r="E10680" s="39"/>
      <c r="F10680" s="39"/>
    </row>
    <row r="10681">
      <c r="D10681" s="39"/>
      <c r="E10681" s="39"/>
      <c r="F10681" s="39"/>
    </row>
    <row r="10682">
      <c r="D10682" s="39"/>
      <c r="E10682" s="39"/>
      <c r="F10682" s="39"/>
    </row>
    <row r="10683">
      <c r="D10683" s="39"/>
      <c r="E10683" s="39"/>
      <c r="F10683" s="39"/>
    </row>
    <row r="10684">
      <c r="D10684" s="39"/>
      <c r="E10684" s="39"/>
      <c r="F10684" s="39"/>
    </row>
    <row r="10685">
      <c r="D10685" s="39"/>
      <c r="E10685" s="39"/>
      <c r="F10685" s="39"/>
    </row>
    <row r="10686">
      <c r="D10686" s="39"/>
      <c r="E10686" s="39"/>
      <c r="F10686" s="39"/>
    </row>
    <row r="10687">
      <c r="D10687" s="39"/>
      <c r="E10687" s="39"/>
      <c r="F10687" s="39"/>
    </row>
    <row r="10688">
      <c r="D10688" s="39"/>
      <c r="E10688" s="39"/>
      <c r="F10688" s="39"/>
    </row>
    <row r="10689">
      <c r="D10689" s="39"/>
      <c r="E10689" s="39"/>
      <c r="F10689" s="39"/>
    </row>
    <row r="10690">
      <c r="D10690" s="39"/>
      <c r="E10690" s="39"/>
      <c r="F10690" s="39"/>
    </row>
    <row r="10691">
      <c r="D10691" s="39"/>
      <c r="E10691" s="39"/>
      <c r="F10691" s="39"/>
    </row>
    <row r="10692">
      <c r="D10692" s="39"/>
      <c r="E10692" s="39"/>
      <c r="F10692" s="39"/>
    </row>
    <row r="10693">
      <c r="D10693" s="39"/>
      <c r="E10693" s="39"/>
      <c r="F10693" s="39"/>
    </row>
    <row r="10694">
      <c r="D10694" s="39"/>
      <c r="E10694" s="39"/>
      <c r="F10694" s="39"/>
    </row>
    <row r="10695">
      <c r="D10695" s="39"/>
      <c r="E10695" s="39"/>
      <c r="F10695" s="39"/>
    </row>
    <row r="10696">
      <c r="D10696" s="39"/>
      <c r="E10696" s="39"/>
      <c r="F10696" s="39"/>
    </row>
    <row r="10697">
      <c r="D10697" s="39"/>
      <c r="E10697" s="39"/>
      <c r="F10697" s="39"/>
    </row>
    <row r="10698">
      <c r="D10698" s="39"/>
      <c r="E10698" s="39"/>
      <c r="F10698" s="39"/>
    </row>
    <row r="10699">
      <c r="D10699" s="39"/>
      <c r="E10699" s="39"/>
      <c r="F10699" s="39"/>
    </row>
    <row r="10700">
      <c r="D10700" s="39"/>
      <c r="E10700" s="39"/>
      <c r="F10700" s="39"/>
    </row>
    <row r="10701">
      <c r="D10701" s="39"/>
      <c r="E10701" s="39"/>
      <c r="F10701" s="39"/>
    </row>
    <row r="10702">
      <c r="D10702" s="39"/>
      <c r="E10702" s="39"/>
      <c r="F10702" s="39"/>
    </row>
    <row r="10703">
      <c r="D10703" s="39"/>
      <c r="E10703" s="39"/>
      <c r="F10703" s="39"/>
    </row>
    <row r="10704">
      <c r="D10704" s="39"/>
      <c r="E10704" s="39"/>
      <c r="F10704" s="39"/>
    </row>
    <row r="10705">
      <c r="D10705" s="39"/>
      <c r="E10705" s="39"/>
      <c r="F10705" s="39"/>
    </row>
    <row r="10706">
      <c r="D10706" s="39"/>
      <c r="E10706" s="39"/>
      <c r="F10706" s="39"/>
    </row>
    <row r="10707">
      <c r="D10707" s="39"/>
      <c r="E10707" s="39"/>
      <c r="F10707" s="39"/>
    </row>
    <row r="10708">
      <c r="D10708" s="39"/>
      <c r="E10708" s="39"/>
      <c r="F10708" s="39"/>
    </row>
    <row r="10709">
      <c r="D10709" s="39"/>
      <c r="E10709" s="39"/>
      <c r="F10709" s="39"/>
    </row>
    <row r="10710">
      <c r="D10710" s="39"/>
      <c r="E10710" s="39"/>
      <c r="F10710" s="39"/>
    </row>
    <row r="10711">
      <c r="D10711" s="39"/>
      <c r="E10711" s="39"/>
      <c r="F10711" s="39"/>
    </row>
    <row r="10712">
      <c r="D10712" s="39"/>
      <c r="E10712" s="39"/>
      <c r="F10712" s="39"/>
    </row>
    <row r="10713">
      <c r="D10713" s="39"/>
      <c r="E10713" s="39"/>
      <c r="F10713" s="39"/>
    </row>
    <row r="10714">
      <c r="D10714" s="39"/>
      <c r="E10714" s="39"/>
      <c r="F10714" s="39"/>
    </row>
    <row r="10715">
      <c r="D10715" s="39"/>
      <c r="E10715" s="39"/>
      <c r="F10715" s="39"/>
    </row>
    <row r="10716">
      <c r="D10716" s="39"/>
      <c r="E10716" s="39"/>
      <c r="F10716" s="39"/>
    </row>
    <row r="10717">
      <c r="D10717" s="39"/>
      <c r="E10717" s="39"/>
      <c r="F10717" s="39"/>
    </row>
    <row r="10718">
      <c r="D10718" s="39"/>
      <c r="E10718" s="39"/>
      <c r="F10718" s="39"/>
    </row>
    <row r="10719">
      <c r="D10719" s="39"/>
      <c r="E10719" s="39"/>
      <c r="F10719" s="39"/>
    </row>
    <row r="10720">
      <c r="D10720" s="39"/>
      <c r="E10720" s="39"/>
      <c r="F10720" s="39"/>
    </row>
    <row r="10721">
      <c r="D10721" s="39"/>
      <c r="E10721" s="39"/>
      <c r="F10721" s="39"/>
    </row>
    <row r="10722">
      <c r="D10722" s="39"/>
      <c r="E10722" s="39"/>
      <c r="F10722" s="39"/>
    </row>
    <row r="10723">
      <c r="D10723" s="39"/>
      <c r="E10723" s="39"/>
      <c r="F10723" s="39"/>
    </row>
    <row r="10724">
      <c r="D10724" s="39"/>
      <c r="E10724" s="39"/>
      <c r="F10724" s="39"/>
    </row>
    <row r="10725">
      <c r="D10725" s="39"/>
      <c r="E10725" s="39"/>
      <c r="F10725" s="39"/>
    </row>
    <row r="10726">
      <c r="D10726" s="39"/>
      <c r="E10726" s="39"/>
      <c r="F10726" s="39"/>
    </row>
    <row r="10727">
      <c r="D10727" s="39"/>
      <c r="E10727" s="39"/>
      <c r="F10727" s="39"/>
    </row>
    <row r="10728">
      <c r="D10728" s="39"/>
      <c r="E10728" s="39"/>
      <c r="F10728" s="39"/>
    </row>
    <row r="10729">
      <c r="D10729" s="39"/>
      <c r="E10729" s="39"/>
      <c r="F10729" s="39"/>
    </row>
    <row r="10730">
      <c r="D10730" s="39"/>
      <c r="E10730" s="39"/>
      <c r="F10730" s="39"/>
    </row>
    <row r="10731">
      <c r="D10731" s="39"/>
      <c r="E10731" s="39"/>
      <c r="F10731" s="39"/>
    </row>
    <row r="10732">
      <c r="D10732" s="39"/>
      <c r="E10732" s="39"/>
      <c r="F10732" s="39"/>
    </row>
    <row r="10733">
      <c r="D10733" s="39"/>
      <c r="E10733" s="39"/>
      <c r="F10733" s="39"/>
    </row>
    <row r="10734">
      <c r="D10734" s="39"/>
      <c r="E10734" s="39"/>
      <c r="F10734" s="39"/>
    </row>
    <row r="10735">
      <c r="D10735" s="39"/>
      <c r="E10735" s="39"/>
      <c r="F10735" s="39"/>
    </row>
    <row r="10736">
      <c r="D10736" s="39"/>
      <c r="E10736" s="39"/>
      <c r="F10736" s="39"/>
    </row>
    <row r="10737">
      <c r="D10737" s="39"/>
      <c r="E10737" s="39"/>
      <c r="F10737" s="39"/>
    </row>
    <row r="10738">
      <c r="D10738" s="39"/>
      <c r="E10738" s="39"/>
      <c r="F10738" s="39"/>
    </row>
    <row r="10739">
      <c r="D10739" s="39"/>
      <c r="E10739" s="39"/>
      <c r="F10739" s="39"/>
    </row>
    <row r="10740">
      <c r="D10740" s="39"/>
      <c r="E10740" s="39"/>
      <c r="F10740" s="39"/>
    </row>
    <row r="10741">
      <c r="D10741" s="39"/>
      <c r="E10741" s="39"/>
      <c r="F10741" s="39"/>
    </row>
    <row r="10742">
      <c r="D10742" s="39"/>
      <c r="E10742" s="39"/>
      <c r="F10742" s="39"/>
    </row>
    <row r="10743">
      <c r="D10743" s="39"/>
      <c r="E10743" s="39"/>
      <c r="F10743" s="39"/>
    </row>
    <row r="10744">
      <c r="D10744" s="39"/>
      <c r="E10744" s="39"/>
      <c r="F10744" s="39"/>
    </row>
    <row r="10745">
      <c r="D10745" s="39"/>
      <c r="E10745" s="39"/>
      <c r="F10745" s="39"/>
    </row>
    <row r="10746">
      <c r="D10746" s="39"/>
      <c r="E10746" s="39"/>
      <c r="F10746" s="39"/>
    </row>
    <row r="10747">
      <c r="D10747" s="39"/>
      <c r="E10747" s="39"/>
      <c r="F10747" s="39"/>
    </row>
    <row r="10748">
      <c r="D10748" s="39"/>
      <c r="E10748" s="39"/>
      <c r="F10748" s="39"/>
    </row>
    <row r="10749">
      <c r="D10749" s="39"/>
      <c r="E10749" s="39"/>
      <c r="F10749" s="39"/>
    </row>
    <row r="10750">
      <c r="D10750" s="39"/>
      <c r="E10750" s="39"/>
      <c r="F10750" s="39"/>
    </row>
    <row r="10751">
      <c r="D10751" s="39"/>
      <c r="E10751" s="39"/>
      <c r="F10751" s="39"/>
    </row>
    <row r="10752">
      <c r="D10752" s="39"/>
      <c r="E10752" s="39"/>
      <c r="F10752" s="39"/>
    </row>
    <row r="10753">
      <c r="D10753" s="39"/>
      <c r="E10753" s="39"/>
      <c r="F10753" s="39"/>
    </row>
    <row r="10754">
      <c r="D10754" s="39"/>
      <c r="E10754" s="39"/>
      <c r="F10754" s="39"/>
    </row>
    <row r="10755">
      <c r="D10755" s="39"/>
      <c r="E10755" s="39"/>
      <c r="F10755" s="39"/>
    </row>
    <row r="10756">
      <c r="D10756" s="39"/>
      <c r="E10756" s="39"/>
      <c r="F10756" s="39"/>
    </row>
    <row r="10757">
      <c r="D10757" s="39"/>
      <c r="E10757" s="39"/>
      <c r="F10757" s="39"/>
    </row>
    <row r="10758">
      <c r="D10758" s="39"/>
      <c r="E10758" s="39"/>
      <c r="F10758" s="39"/>
    </row>
    <row r="10759">
      <c r="D10759" s="39"/>
      <c r="E10759" s="39"/>
      <c r="F10759" s="39"/>
    </row>
    <row r="10760">
      <c r="D10760" s="39"/>
      <c r="E10760" s="39"/>
      <c r="F10760" s="39"/>
    </row>
    <row r="10761">
      <c r="D10761" s="39"/>
      <c r="E10761" s="39"/>
      <c r="F10761" s="39"/>
    </row>
    <row r="10762">
      <c r="D10762" s="39"/>
      <c r="E10762" s="39"/>
      <c r="F10762" s="39"/>
    </row>
    <row r="10763">
      <c r="D10763" s="39"/>
      <c r="E10763" s="39"/>
      <c r="F10763" s="39"/>
    </row>
    <row r="10764">
      <c r="D10764" s="39"/>
      <c r="E10764" s="39"/>
      <c r="F10764" s="39"/>
    </row>
    <row r="10765">
      <c r="D10765" s="39"/>
      <c r="E10765" s="39"/>
      <c r="F10765" s="39"/>
    </row>
    <row r="10766">
      <c r="D10766" s="39"/>
      <c r="E10766" s="39"/>
      <c r="F10766" s="39"/>
    </row>
    <row r="10767">
      <c r="D10767" s="39"/>
      <c r="E10767" s="39"/>
      <c r="F10767" s="39"/>
    </row>
    <row r="10768">
      <c r="D10768" s="39"/>
      <c r="E10768" s="39"/>
      <c r="F10768" s="39"/>
    </row>
    <row r="10769">
      <c r="D10769" s="39"/>
      <c r="E10769" s="39"/>
      <c r="F10769" s="39"/>
    </row>
    <row r="10770">
      <c r="D10770" s="39"/>
      <c r="E10770" s="39"/>
      <c r="F10770" s="39"/>
    </row>
    <row r="10771">
      <c r="D10771" s="39"/>
      <c r="E10771" s="39"/>
      <c r="F10771" s="39"/>
    </row>
    <row r="10772">
      <c r="D10772" s="39"/>
      <c r="E10772" s="39"/>
      <c r="F10772" s="39"/>
    </row>
    <row r="10773">
      <c r="D10773" s="39"/>
      <c r="E10773" s="39"/>
      <c r="F10773" s="39"/>
    </row>
    <row r="10774">
      <c r="D10774" s="39"/>
      <c r="E10774" s="39"/>
      <c r="F10774" s="39"/>
    </row>
    <row r="10775">
      <c r="D10775" s="39"/>
      <c r="E10775" s="39"/>
      <c r="F10775" s="39"/>
    </row>
    <row r="10776">
      <c r="D10776" s="39"/>
      <c r="E10776" s="39"/>
      <c r="F10776" s="39"/>
    </row>
    <row r="10777">
      <c r="D10777" s="39"/>
      <c r="E10777" s="39"/>
      <c r="F10777" s="39"/>
    </row>
    <row r="10778">
      <c r="D10778" s="39"/>
      <c r="E10778" s="39"/>
      <c r="F10778" s="39"/>
    </row>
    <row r="10779">
      <c r="D10779" s="39"/>
      <c r="E10779" s="39"/>
      <c r="F10779" s="39"/>
    </row>
    <row r="10780">
      <c r="D10780" s="39"/>
      <c r="E10780" s="39"/>
      <c r="F10780" s="39"/>
    </row>
    <row r="10781">
      <c r="D10781" s="39"/>
      <c r="E10781" s="39"/>
      <c r="F10781" s="39"/>
    </row>
    <row r="10782">
      <c r="D10782" s="39"/>
      <c r="E10782" s="39"/>
      <c r="F10782" s="39"/>
    </row>
    <row r="10783">
      <c r="D10783" s="39"/>
      <c r="E10783" s="39"/>
      <c r="F10783" s="39"/>
    </row>
    <row r="10784">
      <c r="D10784" s="39"/>
      <c r="E10784" s="39"/>
      <c r="F10784" s="39"/>
    </row>
    <row r="10785">
      <c r="D10785" s="39"/>
      <c r="E10785" s="39"/>
      <c r="F10785" s="39"/>
    </row>
    <row r="10786">
      <c r="D10786" s="39"/>
      <c r="E10786" s="39"/>
      <c r="F10786" s="39"/>
    </row>
    <row r="10787">
      <c r="D10787" s="39"/>
      <c r="E10787" s="39"/>
      <c r="F10787" s="39"/>
    </row>
    <row r="10788">
      <c r="D10788" s="39"/>
      <c r="E10788" s="39"/>
      <c r="F10788" s="39"/>
    </row>
    <row r="10789">
      <c r="D10789" s="39"/>
      <c r="E10789" s="39"/>
      <c r="F10789" s="39"/>
    </row>
    <row r="10790">
      <c r="D10790" s="39"/>
      <c r="E10790" s="39"/>
      <c r="F10790" s="39"/>
    </row>
    <row r="10791">
      <c r="D10791" s="39"/>
      <c r="E10791" s="39"/>
      <c r="F10791" s="39"/>
    </row>
    <row r="10792">
      <c r="D10792" s="39"/>
      <c r="E10792" s="39"/>
      <c r="F10792" s="39"/>
    </row>
    <row r="10793">
      <c r="D10793" s="39"/>
      <c r="E10793" s="39"/>
      <c r="F10793" s="39"/>
    </row>
    <row r="10794">
      <c r="D10794" s="39"/>
      <c r="E10794" s="39"/>
      <c r="F10794" s="39"/>
    </row>
    <row r="10795">
      <c r="D10795" s="39"/>
      <c r="E10795" s="39"/>
      <c r="F10795" s="39"/>
    </row>
    <row r="10796">
      <c r="D10796" s="39"/>
      <c r="E10796" s="39"/>
      <c r="F10796" s="39"/>
    </row>
    <row r="10797">
      <c r="D10797" s="39"/>
      <c r="E10797" s="39"/>
      <c r="F10797" s="39"/>
    </row>
    <row r="10798">
      <c r="D10798" s="39"/>
      <c r="E10798" s="39"/>
      <c r="F10798" s="39"/>
    </row>
    <row r="10799">
      <c r="D10799" s="39"/>
      <c r="E10799" s="39"/>
      <c r="F10799" s="39"/>
    </row>
    <row r="10800">
      <c r="D10800" s="39"/>
      <c r="E10800" s="39"/>
      <c r="F10800" s="39"/>
    </row>
    <row r="10801">
      <c r="D10801" s="39"/>
      <c r="E10801" s="39"/>
      <c r="F10801" s="39"/>
    </row>
    <row r="10802">
      <c r="D10802" s="39"/>
      <c r="E10802" s="39"/>
      <c r="F10802" s="39"/>
    </row>
    <row r="10803">
      <c r="D10803" s="39"/>
      <c r="E10803" s="39"/>
      <c r="F10803" s="39"/>
    </row>
    <row r="10804">
      <c r="D10804" s="39"/>
      <c r="E10804" s="39"/>
      <c r="F10804" s="39"/>
    </row>
    <row r="10805">
      <c r="D10805" s="39"/>
      <c r="E10805" s="39"/>
      <c r="F10805" s="39"/>
    </row>
    <row r="10806">
      <c r="D10806" s="39"/>
      <c r="E10806" s="39"/>
      <c r="F10806" s="39"/>
    </row>
    <row r="10807">
      <c r="D10807" s="39"/>
      <c r="E10807" s="39"/>
      <c r="F10807" s="39"/>
    </row>
    <row r="10808">
      <c r="D10808" s="39"/>
      <c r="E10808" s="39"/>
      <c r="F10808" s="39"/>
    </row>
    <row r="10809">
      <c r="D10809" s="39"/>
      <c r="E10809" s="39"/>
      <c r="F10809" s="39"/>
    </row>
    <row r="10810">
      <c r="D10810" s="39"/>
      <c r="E10810" s="39"/>
      <c r="F10810" s="39"/>
    </row>
    <row r="10811">
      <c r="D10811" s="39"/>
      <c r="E10811" s="39"/>
      <c r="F10811" s="39"/>
    </row>
    <row r="10812">
      <c r="D10812" s="39"/>
      <c r="E10812" s="39"/>
      <c r="F10812" s="39"/>
    </row>
    <row r="10813">
      <c r="D10813" s="39"/>
      <c r="E10813" s="39"/>
      <c r="F10813" s="39"/>
    </row>
    <row r="10814">
      <c r="D10814" s="39"/>
      <c r="E10814" s="39"/>
      <c r="F10814" s="39"/>
    </row>
    <row r="10815">
      <c r="D10815" s="39"/>
      <c r="E10815" s="39"/>
      <c r="F10815" s="39"/>
    </row>
    <row r="10816">
      <c r="D10816" s="39"/>
      <c r="E10816" s="39"/>
      <c r="F10816" s="39"/>
    </row>
    <row r="10817">
      <c r="D10817" s="39"/>
      <c r="E10817" s="39"/>
      <c r="F10817" s="39"/>
    </row>
    <row r="10818">
      <c r="D10818" s="39"/>
      <c r="E10818" s="39"/>
      <c r="F10818" s="39"/>
    </row>
    <row r="10819">
      <c r="D10819" s="39"/>
      <c r="E10819" s="39"/>
      <c r="F10819" s="39"/>
    </row>
    <row r="10820">
      <c r="D10820" s="39"/>
      <c r="E10820" s="39"/>
      <c r="F10820" s="39"/>
    </row>
    <row r="10821">
      <c r="D10821" s="39"/>
      <c r="E10821" s="39"/>
      <c r="F10821" s="39"/>
    </row>
    <row r="10822">
      <c r="D10822" s="39"/>
      <c r="E10822" s="39"/>
      <c r="F10822" s="39"/>
    </row>
    <row r="10823">
      <c r="D10823" s="39"/>
      <c r="E10823" s="39"/>
      <c r="F10823" s="39"/>
    </row>
    <row r="10824">
      <c r="D10824" s="39"/>
      <c r="E10824" s="39"/>
      <c r="F10824" s="39"/>
    </row>
    <row r="10825">
      <c r="D10825" s="39"/>
      <c r="E10825" s="39"/>
      <c r="F10825" s="39"/>
    </row>
    <row r="10826">
      <c r="D10826" s="39"/>
      <c r="E10826" s="39"/>
      <c r="F10826" s="39"/>
    </row>
    <row r="10827">
      <c r="D10827" s="39"/>
      <c r="E10827" s="39"/>
      <c r="F10827" s="39"/>
    </row>
    <row r="10828">
      <c r="D10828" s="39"/>
      <c r="E10828" s="39"/>
      <c r="F10828" s="39"/>
    </row>
    <row r="10829">
      <c r="D10829" s="39"/>
      <c r="E10829" s="39"/>
      <c r="F10829" s="39"/>
    </row>
    <row r="10830">
      <c r="D10830" s="39"/>
      <c r="E10830" s="39"/>
      <c r="F10830" s="39"/>
    </row>
    <row r="10831">
      <c r="D10831" s="39"/>
      <c r="E10831" s="39"/>
      <c r="F10831" s="39"/>
    </row>
    <row r="10832">
      <c r="D10832" s="39"/>
      <c r="E10832" s="39"/>
      <c r="F10832" s="39"/>
    </row>
    <row r="10833">
      <c r="D10833" s="39"/>
      <c r="E10833" s="39"/>
      <c r="F10833" s="39"/>
    </row>
    <row r="10834">
      <c r="D10834" s="39"/>
      <c r="E10834" s="39"/>
      <c r="F10834" s="39"/>
    </row>
    <row r="10835">
      <c r="D10835" s="39"/>
      <c r="E10835" s="39"/>
      <c r="F10835" s="39"/>
    </row>
    <row r="10836">
      <c r="D10836" s="39"/>
      <c r="E10836" s="39"/>
      <c r="F10836" s="39"/>
    </row>
    <row r="10837">
      <c r="D10837" s="39"/>
      <c r="E10837" s="39"/>
      <c r="F10837" s="39"/>
    </row>
    <row r="10838">
      <c r="D10838" s="39"/>
      <c r="E10838" s="39"/>
      <c r="F10838" s="39"/>
    </row>
    <row r="10839">
      <c r="D10839" s="39"/>
      <c r="E10839" s="39"/>
      <c r="F10839" s="39"/>
    </row>
    <row r="10840">
      <c r="D10840" s="39"/>
      <c r="E10840" s="39"/>
      <c r="F10840" s="39"/>
    </row>
    <row r="10841">
      <c r="D10841" s="39"/>
      <c r="E10841" s="39"/>
      <c r="F10841" s="39"/>
    </row>
    <row r="10842">
      <c r="D10842" s="39"/>
      <c r="E10842" s="39"/>
      <c r="F10842" s="39"/>
    </row>
    <row r="10843">
      <c r="D10843" s="39"/>
      <c r="E10843" s="39"/>
      <c r="F10843" s="39"/>
    </row>
    <row r="10844">
      <c r="D10844" s="39"/>
      <c r="E10844" s="39"/>
      <c r="F10844" s="39"/>
    </row>
    <row r="10845">
      <c r="D10845" s="39"/>
      <c r="E10845" s="39"/>
      <c r="F10845" s="39"/>
    </row>
    <row r="10846">
      <c r="D10846" s="39"/>
      <c r="E10846" s="39"/>
      <c r="F10846" s="39"/>
    </row>
    <row r="10847">
      <c r="D10847" s="39"/>
      <c r="E10847" s="39"/>
      <c r="F10847" s="39"/>
    </row>
    <row r="10848">
      <c r="D10848" s="39"/>
      <c r="E10848" s="39"/>
      <c r="F10848" s="39"/>
    </row>
    <row r="10849">
      <c r="D10849" s="39"/>
      <c r="E10849" s="39"/>
      <c r="F10849" s="39"/>
    </row>
    <row r="10850">
      <c r="D10850" s="39"/>
      <c r="E10850" s="39"/>
      <c r="F10850" s="39"/>
    </row>
    <row r="10851">
      <c r="D10851" s="39"/>
      <c r="E10851" s="39"/>
      <c r="F10851" s="39"/>
    </row>
    <row r="10852">
      <c r="D10852" s="39"/>
      <c r="E10852" s="39"/>
      <c r="F10852" s="39"/>
    </row>
    <row r="10853">
      <c r="D10853" s="39"/>
      <c r="E10853" s="39"/>
      <c r="F10853" s="39"/>
    </row>
    <row r="10854">
      <c r="D10854" s="39"/>
      <c r="E10854" s="39"/>
      <c r="F10854" s="39"/>
    </row>
    <row r="10855">
      <c r="D10855" s="39"/>
      <c r="E10855" s="39"/>
      <c r="F10855" s="39"/>
    </row>
    <row r="10856">
      <c r="D10856" s="39"/>
      <c r="E10856" s="39"/>
      <c r="F10856" s="39"/>
    </row>
    <row r="10857">
      <c r="D10857" s="39"/>
      <c r="E10857" s="39"/>
      <c r="F10857" s="39"/>
    </row>
    <row r="10858">
      <c r="D10858" s="39"/>
      <c r="E10858" s="39"/>
      <c r="F10858" s="39"/>
    </row>
    <row r="10859">
      <c r="D10859" s="39"/>
      <c r="E10859" s="39"/>
      <c r="F10859" s="39"/>
    </row>
    <row r="10860">
      <c r="D10860" s="39"/>
      <c r="E10860" s="39"/>
      <c r="F10860" s="39"/>
    </row>
    <row r="10861">
      <c r="D10861" s="39"/>
      <c r="E10861" s="39"/>
      <c r="F10861" s="39"/>
    </row>
    <row r="10862">
      <c r="D10862" s="39"/>
      <c r="E10862" s="39"/>
      <c r="F10862" s="39"/>
    </row>
    <row r="10863">
      <c r="D10863" s="39"/>
      <c r="E10863" s="39"/>
      <c r="F10863" s="39"/>
    </row>
    <row r="10864">
      <c r="D10864" s="39"/>
      <c r="E10864" s="39"/>
      <c r="F10864" s="39"/>
    </row>
    <row r="10865">
      <c r="D10865" s="39"/>
      <c r="E10865" s="39"/>
      <c r="F10865" s="39"/>
    </row>
    <row r="10866">
      <c r="D10866" s="39"/>
      <c r="E10866" s="39"/>
      <c r="F10866" s="39"/>
    </row>
    <row r="10867">
      <c r="D10867" s="39"/>
      <c r="E10867" s="39"/>
      <c r="F10867" s="39"/>
    </row>
    <row r="10868">
      <c r="D10868" s="39"/>
      <c r="E10868" s="39"/>
      <c r="F10868" s="39"/>
    </row>
    <row r="10869">
      <c r="D10869" s="39"/>
      <c r="E10869" s="39"/>
      <c r="F10869" s="39"/>
    </row>
    <row r="10870">
      <c r="D10870" s="39"/>
      <c r="E10870" s="39"/>
      <c r="F10870" s="39"/>
    </row>
    <row r="10871">
      <c r="D10871" s="39"/>
      <c r="E10871" s="39"/>
      <c r="F10871" s="39"/>
    </row>
    <row r="10872">
      <c r="D10872" s="39"/>
      <c r="E10872" s="39"/>
      <c r="F10872" s="39"/>
    </row>
    <row r="10873">
      <c r="D10873" s="39"/>
      <c r="E10873" s="39"/>
      <c r="F10873" s="39"/>
    </row>
    <row r="10874">
      <c r="D10874" s="39"/>
      <c r="E10874" s="39"/>
      <c r="F10874" s="39"/>
    </row>
    <row r="10875">
      <c r="D10875" s="39"/>
      <c r="E10875" s="39"/>
      <c r="F10875" s="39"/>
    </row>
    <row r="10876">
      <c r="D10876" s="39"/>
      <c r="E10876" s="39"/>
      <c r="F10876" s="39"/>
    </row>
    <row r="10877">
      <c r="D10877" s="39"/>
      <c r="E10877" s="39"/>
      <c r="F10877" s="39"/>
    </row>
    <row r="10878">
      <c r="D10878" s="39"/>
      <c r="E10878" s="39"/>
      <c r="F10878" s="39"/>
    </row>
    <row r="10879">
      <c r="D10879" s="39"/>
      <c r="E10879" s="39"/>
      <c r="F10879" s="39"/>
    </row>
    <row r="10880">
      <c r="D10880" s="39"/>
      <c r="E10880" s="39"/>
      <c r="F10880" s="39"/>
    </row>
    <row r="10881">
      <c r="D10881" s="39"/>
      <c r="E10881" s="39"/>
      <c r="F10881" s="39"/>
    </row>
    <row r="10882">
      <c r="D10882" s="39"/>
      <c r="E10882" s="39"/>
      <c r="F10882" s="39"/>
    </row>
    <row r="10883">
      <c r="D10883" s="39"/>
      <c r="E10883" s="39"/>
      <c r="F10883" s="39"/>
    </row>
    <row r="10884">
      <c r="D10884" s="39"/>
      <c r="E10884" s="39"/>
      <c r="F10884" s="39"/>
    </row>
    <row r="10885">
      <c r="D10885" s="39"/>
      <c r="E10885" s="39"/>
      <c r="F10885" s="39"/>
    </row>
    <row r="10886">
      <c r="D10886" s="39"/>
      <c r="E10886" s="39"/>
      <c r="F10886" s="39"/>
    </row>
    <row r="10887">
      <c r="D10887" s="39"/>
      <c r="E10887" s="39"/>
      <c r="F10887" s="39"/>
    </row>
    <row r="10888">
      <c r="D10888" s="39"/>
      <c r="E10888" s="39"/>
      <c r="F10888" s="39"/>
    </row>
    <row r="10889">
      <c r="D10889" s="39"/>
      <c r="E10889" s="39"/>
      <c r="F10889" s="39"/>
    </row>
    <row r="10890">
      <c r="D10890" s="39"/>
      <c r="E10890" s="39"/>
      <c r="F10890" s="39"/>
    </row>
    <row r="10891">
      <c r="D10891" s="39"/>
      <c r="E10891" s="39"/>
      <c r="F10891" s="39"/>
    </row>
    <row r="10892">
      <c r="D10892" s="39"/>
      <c r="E10892" s="39"/>
      <c r="F10892" s="39"/>
    </row>
    <row r="10893">
      <c r="D10893" s="39"/>
      <c r="E10893" s="39"/>
      <c r="F10893" s="39"/>
    </row>
    <row r="10894">
      <c r="D10894" s="39"/>
      <c r="E10894" s="39"/>
      <c r="F10894" s="39"/>
    </row>
    <row r="10895">
      <c r="D10895" s="39"/>
      <c r="E10895" s="39"/>
      <c r="F10895" s="39"/>
    </row>
    <row r="10896">
      <c r="D10896" s="39"/>
      <c r="E10896" s="39"/>
      <c r="F10896" s="39"/>
    </row>
    <row r="10897">
      <c r="D10897" s="39"/>
      <c r="E10897" s="39"/>
      <c r="F10897" s="39"/>
    </row>
    <row r="10898">
      <c r="D10898" s="39"/>
      <c r="E10898" s="39"/>
      <c r="F10898" s="39"/>
    </row>
    <row r="10899">
      <c r="D10899" s="39"/>
      <c r="E10899" s="39"/>
      <c r="F10899" s="39"/>
    </row>
    <row r="10900">
      <c r="D10900" s="39"/>
      <c r="E10900" s="39"/>
      <c r="F10900" s="39"/>
    </row>
    <row r="10901">
      <c r="D10901" s="39"/>
      <c r="E10901" s="39"/>
      <c r="F10901" s="39"/>
    </row>
    <row r="10902">
      <c r="D10902" s="39"/>
      <c r="E10902" s="39"/>
      <c r="F10902" s="39"/>
    </row>
    <row r="10903">
      <c r="D10903" s="39"/>
      <c r="E10903" s="39"/>
      <c r="F10903" s="39"/>
    </row>
    <row r="10904">
      <c r="D10904" s="39"/>
      <c r="E10904" s="39"/>
      <c r="F10904" s="39"/>
    </row>
    <row r="10905">
      <c r="D10905" s="39"/>
      <c r="E10905" s="39"/>
      <c r="F10905" s="39"/>
    </row>
    <row r="10906">
      <c r="D10906" s="39"/>
      <c r="E10906" s="39"/>
      <c r="F10906" s="39"/>
    </row>
    <row r="10907">
      <c r="D10907" s="39"/>
      <c r="E10907" s="39"/>
      <c r="F10907" s="39"/>
    </row>
    <row r="10908">
      <c r="D10908" s="39"/>
      <c r="E10908" s="39"/>
      <c r="F10908" s="39"/>
    </row>
    <row r="10909">
      <c r="D10909" s="39"/>
      <c r="E10909" s="39"/>
      <c r="F10909" s="39"/>
    </row>
    <row r="10910">
      <c r="D10910" s="39"/>
      <c r="E10910" s="39"/>
      <c r="F10910" s="39"/>
    </row>
    <row r="10911">
      <c r="D10911" s="39"/>
      <c r="E10911" s="39"/>
      <c r="F10911" s="39"/>
    </row>
    <row r="10912">
      <c r="D10912" s="39"/>
      <c r="E10912" s="39"/>
      <c r="F10912" s="39"/>
    </row>
    <row r="10913">
      <c r="D10913" s="39"/>
      <c r="E10913" s="39"/>
      <c r="F10913" s="39"/>
    </row>
    <row r="10914">
      <c r="D10914" s="39"/>
      <c r="E10914" s="39"/>
      <c r="F10914" s="39"/>
    </row>
    <row r="10915">
      <c r="D10915" s="39"/>
      <c r="E10915" s="39"/>
      <c r="F10915" s="39"/>
    </row>
    <row r="10916">
      <c r="D10916" s="39"/>
      <c r="E10916" s="39"/>
      <c r="F10916" s="39"/>
    </row>
    <row r="10917">
      <c r="D10917" s="39"/>
      <c r="E10917" s="39"/>
      <c r="F10917" s="39"/>
    </row>
    <row r="10918">
      <c r="D10918" s="39"/>
      <c r="E10918" s="39"/>
      <c r="F10918" s="39"/>
    </row>
    <row r="10919">
      <c r="D10919" s="39"/>
      <c r="E10919" s="39"/>
      <c r="F10919" s="39"/>
    </row>
    <row r="10920">
      <c r="D10920" s="39"/>
      <c r="E10920" s="39"/>
      <c r="F10920" s="39"/>
    </row>
    <row r="10921">
      <c r="D10921" s="39"/>
      <c r="E10921" s="39"/>
      <c r="F10921" s="39"/>
    </row>
    <row r="10922">
      <c r="D10922" s="39"/>
      <c r="E10922" s="39"/>
      <c r="F10922" s="39"/>
    </row>
    <row r="10923">
      <c r="D10923" s="39"/>
      <c r="E10923" s="39"/>
      <c r="F10923" s="39"/>
    </row>
    <row r="10924">
      <c r="D10924" s="39"/>
      <c r="E10924" s="39"/>
      <c r="F10924" s="39"/>
    </row>
    <row r="10925">
      <c r="D10925" s="39"/>
      <c r="E10925" s="39"/>
      <c r="F10925" s="39"/>
    </row>
    <row r="10926">
      <c r="D10926" s="39"/>
      <c r="E10926" s="39"/>
      <c r="F10926" s="39"/>
    </row>
    <row r="10927">
      <c r="D10927" s="39"/>
      <c r="E10927" s="39"/>
      <c r="F10927" s="39"/>
    </row>
    <row r="10928">
      <c r="D10928" s="39"/>
      <c r="E10928" s="39"/>
      <c r="F10928" s="39"/>
    </row>
    <row r="10929">
      <c r="D10929" s="39"/>
      <c r="E10929" s="39"/>
      <c r="F10929" s="39"/>
    </row>
    <row r="10930">
      <c r="D10930" s="39"/>
      <c r="E10930" s="39"/>
      <c r="F10930" s="39"/>
    </row>
    <row r="10931">
      <c r="D10931" s="39"/>
      <c r="E10931" s="39"/>
      <c r="F10931" s="39"/>
    </row>
    <row r="10932">
      <c r="D10932" s="39"/>
      <c r="E10932" s="39"/>
      <c r="F10932" s="39"/>
    </row>
    <row r="10933">
      <c r="D10933" s="39"/>
      <c r="E10933" s="39"/>
      <c r="F10933" s="39"/>
    </row>
    <row r="10934">
      <c r="D10934" s="39"/>
      <c r="E10934" s="39"/>
      <c r="F10934" s="39"/>
    </row>
    <row r="10935">
      <c r="D10935" s="39"/>
      <c r="E10935" s="39"/>
      <c r="F10935" s="39"/>
    </row>
    <row r="10936">
      <c r="D10936" s="39"/>
      <c r="E10936" s="39"/>
      <c r="F10936" s="39"/>
    </row>
    <row r="10937">
      <c r="D10937" s="39"/>
      <c r="E10937" s="39"/>
      <c r="F10937" s="39"/>
    </row>
    <row r="10938">
      <c r="D10938" s="39"/>
      <c r="E10938" s="39"/>
      <c r="F10938" s="39"/>
    </row>
    <row r="10939">
      <c r="D10939" s="39"/>
      <c r="E10939" s="39"/>
      <c r="F10939" s="39"/>
    </row>
    <row r="10940">
      <c r="D10940" s="39"/>
      <c r="E10940" s="39"/>
      <c r="F10940" s="39"/>
    </row>
    <row r="10941">
      <c r="D10941" s="39"/>
      <c r="E10941" s="39"/>
      <c r="F10941" s="39"/>
    </row>
    <row r="10942">
      <c r="D10942" s="39"/>
      <c r="E10942" s="39"/>
      <c r="F10942" s="39"/>
    </row>
    <row r="10943">
      <c r="D10943" s="39"/>
      <c r="E10943" s="39"/>
      <c r="F10943" s="39"/>
    </row>
    <row r="10944">
      <c r="D10944" s="39"/>
      <c r="E10944" s="39"/>
      <c r="F10944" s="39"/>
    </row>
    <row r="10945">
      <c r="D10945" s="39"/>
      <c r="E10945" s="39"/>
      <c r="F10945" s="39"/>
    </row>
    <row r="10946">
      <c r="D10946" s="39"/>
      <c r="E10946" s="39"/>
      <c r="F10946" s="39"/>
    </row>
    <row r="10947">
      <c r="D10947" s="39"/>
      <c r="E10947" s="39"/>
      <c r="F10947" s="39"/>
    </row>
    <row r="10948">
      <c r="D10948" s="39"/>
      <c r="E10948" s="39"/>
      <c r="F10948" s="39"/>
    </row>
    <row r="10949">
      <c r="D10949" s="39"/>
      <c r="E10949" s="39"/>
      <c r="F10949" s="39"/>
    </row>
    <row r="10950">
      <c r="D10950" s="39"/>
      <c r="E10950" s="39"/>
      <c r="F10950" s="39"/>
    </row>
    <row r="10951">
      <c r="D10951" s="39"/>
      <c r="E10951" s="39"/>
      <c r="F10951" s="39"/>
    </row>
    <row r="10952">
      <c r="D10952" s="39"/>
      <c r="E10952" s="39"/>
      <c r="F10952" s="39"/>
    </row>
    <row r="10953">
      <c r="D10953" s="39"/>
      <c r="E10953" s="39"/>
      <c r="F10953" s="39"/>
    </row>
    <row r="10954">
      <c r="D10954" s="39"/>
      <c r="E10954" s="39"/>
      <c r="F10954" s="39"/>
    </row>
    <row r="10955">
      <c r="D10955" s="39"/>
      <c r="E10955" s="39"/>
      <c r="F10955" s="39"/>
    </row>
    <row r="10956">
      <c r="D10956" s="39"/>
      <c r="E10956" s="39"/>
      <c r="F10956" s="39"/>
    </row>
    <row r="10957">
      <c r="D10957" s="39"/>
      <c r="E10957" s="39"/>
      <c r="F10957" s="39"/>
    </row>
    <row r="10958">
      <c r="D10958" s="39"/>
      <c r="E10958" s="39"/>
      <c r="F10958" s="39"/>
    </row>
    <row r="10959">
      <c r="D10959" s="39"/>
      <c r="E10959" s="39"/>
      <c r="F10959" s="39"/>
    </row>
    <row r="10960">
      <c r="D10960" s="39"/>
      <c r="E10960" s="39"/>
      <c r="F10960" s="39"/>
    </row>
    <row r="10961">
      <c r="D10961" s="39"/>
      <c r="E10961" s="39"/>
      <c r="F10961" s="39"/>
    </row>
    <row r="10962">
      <c r="D10962" s="39"/>
      <c r="E10962" s="39"/>
      <c r="F10962" s="39"/>
    </row>
    <row r="10963">
      <c r="D10963" s="39"/>
      <c r="E10963" s="39"/>
      <c r="F10963" s="39"/>
    </row>
    <row r="10964">
      <c r="D10964" s="39"/>
      <c r="E10964" s="39"/>
      <c r="F10964" s="39"/>
    </row>
    <row r="10965">
      <c r="D10965" s="39"/>
      <c r="E10965" s="39"/>
      <c r="F10965" s="39"/>
    </row>
    <row r="10966">
      <c r="D10966" s="39"/>
      <c r="E10966" s="39"/>
      <c r="F10966" s="39"/>
    </row>
    <row r="10967">
      <c r="D10967" s="39"/>
      <c r="E10967" s="39"/>
      <c r="F10967" s="39"/>
    </row>
    <row r="10968">
      <c r="D10968" s="39"/>
      <c r="E10968" s="39"/>
      <c r="F10968" s="39"/>
    </row>
    <row r="10969">
      <c r="D10969" s="39"/>
      <c r="E10969" s="39"/>
      <c r="F10969" s="39"/>
    </row>
    <row r="10970">
      <c r="D10970" s="39"/>
      <c r="E10970" s="39"/>
      <c r="F10970" s="39"/>
    </row>
    <row r="10971">
      <c r="D10971" s="39"/>
      <c r="E10971" s="39"/>
      <c r="F10971" s="39"/>
    </row>
    <row r="10972">
      <c r="D10972" s="39"/>
      <c r="E10972" s="39"/>
      <c r="F10972" s="39"/>
    </row>
    <row r="10973">
      <c r="D10973" s="39"/>
      <c r="E10973" s="39"/>
      <c r="F10973" s="39"/>
    </row>
    <row r="10974">
      <c r="D10974" s="39"/>
      <c r="E10974" s="39"/>
      <c r="F10974" s="39"/>
    </row>
    <row r="10975">
      <c r="D10975" s="39"/>
      <c r="E10975" s="39"/>
      <c r="F10975" s="39"/>
    </row>
    <row r="10976">
      <c r="D10976" s="39"/>
      <c r="E10976" s="39"/>
      <c r="F10976" s="39"/>
    </row>
    <row r="10977">
      <c r="D10977" s="39"/>
      <c r="E10977" s="39"/>
      <c r="F10977" s="39"/>
    </row>
    <row r="10978">
      <c r="D10978" s="39"/>
      <c r="E10978" s="39"/>
      <c r="F10978" s="39"/>
    </row>
    <row r="10979">
      <c r="D10979" s="39"/>
      <c r="E10979" s="39"/>
      <c r="F10979" s="39"/>
    </row>
    <row r="10980">
      <c r="D10980" s="39"/>
      <c r="E10980" s="39"/>
      <c r="F10980" s="39"/>
    </row>
    <row r="10981">
      <c r="D10981" s="39"/>
      <c r="E10981" s="39"/>
      <c r="F10981" s="39"/>
    </row>
    <row r="10982">
      <c r="D10982" s="39"/>
      <c r="E10982" s="39"/>
      <c r="F10982" s="39"/>
    </row>
    <row r="10983">
      <c r="D10983" s="39"/>
      <c r="E10983" s="39"/>
      <c r="F10983" s="39"/>
    </row>
    <row r="10984">
      <c r="D10984" s="39"/>
      <c r="E10984" s="39"/>
      <c r="F10984" s="39"/>
    </row>
    <row r="10985">
      <c r="D10985" s="39"/>
      <c r="E10985" s="39"/>
      <c r="F10985" s="39"/>
    </row>
    <row r="10986">
      <c r="D10986" s="39"/>
      <c r="E10986" s="39"/>
      <c r="F10986" s="39"/>
    </row>
    <row r="10987">
      <c r="D10987" s="39"/>
      <c r="E10987" s="39"/>
      <c r="F10987" s="39"/>
    </row>
    <row r="10988">
      <c r="D10988" s="39"/>
      <c r="E10988" s="39"/>
      <c r="F10988" s="39"/>
    </row>
    <row r="10989">
      <c r="D10989" s="39"/>
      <c r="E10989" s="39"/>
      <c r="F10989" s="39"/>
    </row>
    <row r="10990">
      <c r="D10990" s="39"/>
      <c r="E10990" s="39"/>
      <c r="F10990" s="39"/>
    </row>
    <row r="10991">
      <c r="D10991" s="39"/>
      <c r="E10991" s="39"/>
      <c r="F10991" s="39"/>
    </row>
    <row r="10992">
      <c r="D10992" s="39"/>
      <c r="E10992" s="39"/>
      <c r="F10992" s="39"/>
    </row>
    <row r="10993">
      <c r="D10993" s="39"/>
      <c r="E10993" s="39"/>
      <c r="F10993" s="39"/>
    </row>
    <row r="10994">
      <c r="D10994" s="39"/>
      <c r="E10994" s="39"/>
      <c r="F10994" s="39"/>
    </row>
    <row r="10995">
      <c r="D10995" s="39"/>
      <c r="E10995" s="39"/>
      <c r="F10995" s="39"/>
    </row>
    <row r="10996">
      <c r="D10996" s="39"/>
      <c r="E10996" s="39"/>
      <c r="F10996" s="39"/>
    </row>
    <row r="10997">
      <c r="D10997" s="39"/>
      <c r="E10997" s="39"/>
      <c r="F10997" s="39"/>
    </row>
    <row r="10998">
      <c r="D10998" s="39"/>
      <c r="E10998" s="39"/>
      <c r="F10998" s="39"/>
    </row>
    <row r="10999">
      <c r="D10999" s="39"/>
      <c r="E10999" s="39"/>
      <c r="F10999" s="39"/>
    </row>
    <row r="11000">
      <c r="D11000" s="39"/>
      <c r="E11000" s="39"/>
      <c r="F11000" s="39"/>
    </row>
    <row r="11001">
      <c r="D11001" s="39"/>
      <c r="E11001" s="39"/>
      <c r="F11001" s="39"/>
    </row>
    <row r="11002">
      <c r="D11002" s="39"/>
      <c r="E11002" s="39"/>
      <c r="F11002" s="39"/>
    </row>
    <row r="11003">
      <c r="D11003" s="39"/>
      <c r="E11003" s="39"/>
      <c r="F11003" s="39"/>
    </row>
    <row r="11004">
      <c r="D11004" s="39"/>
      <c r="E11004" s="39"/>
      <c r="F11004" s="39"/>
    </row>
    <row r="11005">
      <c r="D11005" s="39"/>
      <c r="E11005" s="39"/>
      <c r="F11005" s="39"/>
    </row>
    <row r="11006">
      <c r="D11006" s="39"/>
      <c r="E11006" s="39"/>
      <c r="F11006" s="39"/>
    </row>
    <row r="11007">
      <c r="D11007" s="39"/>
      <c r="E11007" s="39"/>
      <c r="F11007" s="39"/>
    </row>
    <row r="11008">
      <c r="D11008" s="39"/>
      <c r="E11008" s="39"/>
      <c r="F11008" s="39"/>
    </row>
    <row r="11009">
      <c r="D11009" s="39"/>
      <c r="E11009" s="39"/>
      <c r="F11009" s="39"/>
    </row>
    <row r="11010">
      <c r="D11010" s="39"/>
      <c r="E11010" s="39"/>
      <c r="F11010" s="39"/>
    </row>
    <row r="11011">
      <c r="D11011" s="39"/>
      <c r="E11011" s="39"/>
      <c r="F11011" s="39"/>
    </row>
    <row r="11012">
      <c r="D11012" s="39"/>
      <c r="E11012" s="39"/>
      <c r="F11012" s="39"/>
    </row>
    <row r="11013">
      <c r="D11013" s="39"/>
      <c r="E11013" s="39"/>
      <c r="F11013" s="39"/>
    </row>
    <row r="11014">
      <c r="D11014" s="39"/>
      <c r="E11014" s="39"/>
      <c r="F11014" s="39"/>
    </row>
    <row r="11015">
      <c r="D11015" s="39"/>
      <c r="E11015" s="39"/>
      <c r="F11015" s="39"/>
    </row>
    <row r="11016">
      <c r="D11016" s="39"/>
      <c r="E11016" s="39"/>
      <c r="F11016" s="39"/>
    </row>
    <row r="11017">
      <c r="D11017" s="39"/>
      <c r="E11017" s="39"/>
      <c r="F11017" s="39"/>
    </row>
    <row r="11018">
      <c r="D11018" s="39"/>
      <c r="E11018" s="39"/>
      <c r="F11018" s="39"/>
    </row>
    <row r="11019">
      <c r="D11019" s="39"/>
      <c r="E11019" s="39"/>
      <c r="F11019" s="39"/>
    </row>
    <row r="11020">
      <c r="D11020" s="39"/>
      <c r="E11020" s="39"/>
      <c r="F11020" s="39"/>
    </row>
    <row r="11021">
      <c r="D11021" s="39"/>
      <c r="E11021" s="39"/>
      <c r="F11021" s="39"/>
    </row>
    <row r="11022">
      <c r="D11022" s="39"/>
      <c r="E11022" s="39"/>
      <c r="F11022" s="39"/>
    </row>
    <row r="11023">
      <c r="D11023" s="39"/>
      <c r="E11023" s="39"/>
      <c r="F11023" s="39"/>
    </row>
    <row r="11024">
      <c r="D11024" s="39"/>
      <c r="E11024" s="39"/>
      <c r="F11024" s="39"/>
    </row>
    <row r="11025">
      <c r="D11025" s="39"/>
      <c r="E11025" s="39"/>
      <c r="F11025" s="39"/>
    </row>
    <row r="11026">
      <c r="D11026" s="39"/>
      <c r="E11026" s="39"/>
      <c r="F11026" s="39"/>
    </row>
    <row r="11027">
      <c r="D11027" s="39"/>
      <c r="E11027" s="39"/>
      <c r="F11027" s="39"/>
    </row>
    <row r="11028">
      <c r="D11028" s="39"/>
      <c r="E11028" s="39"/>
      <c r="F11028" s="39"/>
    </row>
    <row r="11029">
      <c r="D11029" s="39"/>
      <c r="E11029" s="39"/>
      <c r="F11029" s="39"/>
    </row>
    <row r="11030">
      <c r="D11030" s="39"/>
      <c r="E11030" s="39"/>
      <c r="F11030" s="39"/>
    </row>
    <row r="11031">
      <c r="D11031" s="39"/>
      <c r="E11031" s="39"/>
      <c r="F11031" s="39"/>
    </row>
    <row r="11032">
      <c r="D11032" s="39"/>
      <c r="E11032" s="39"/>
      <c r="F11032" s="39"/>
    </row>
    <row r="11033">
      <c r="D11033" s="39"/>
      <c r="E11033" s="39"/>
      <c r="F11033" s="39"/>
    </row>
    <row r="11034">
      <c r="D11034" s="39"/>
      <c r="E11034" s="39"/>
      <c r="F11034" s="39"/>
    </row>
    <row r="11035">
      <c r="D11035" s="39"/>
      <c r="E11035" s="39"/>
      <c r="F11035" s="39"/>
    </row>
    <row r="11036">
      <c r="D11036" s="39"/>
      <c r="E11036" s="39"/>
      <c r="F11036" s="39"/>
    </row>
    <row r="11037">
      <c r="D11037" s="39"/>
      <c r="E11037" s="39"/>
      <c r="F11037" s="39"/>
    </row>
    <row r="11038">
      <c r="D11038" s="39"/>
      <c r="E11038" s="39"/>
      <c r="F11038" s="39"/>
    </row>
    <row r="11039">
      <c r="D11039" s="39"/>
      <c r="E11039" s="39"/>
      <c r="F11039" s="39"/>
    </row>
    <row r="11040">
      <c r="D11040" s="39"/>
      <c r="E11040" s="39"/>
      <c r="F11040" s="39"/>
    </row>
    <row r="11041">
      <c r="D11041" s="39"/>
      <c r="E11041" s="39"/>
      <c r="F11041" s="39"/>
    </row>
    <row r="11042">
      <c r="D11042" s="39"/>
      <c r="E11042" s="39"/>
      <c r="F11042" s="39"/>
    </row>
    <row r="11043">
      <c r="D11043" s="39"/>
      <c r="E11043" s="39"/>
      <c r="F11043" s="39"/>
    </row>
    <row r="11044">
      <c r="D11044" s="39"/>
      <c r="E11044" s="39"/>
      <c r="F11044" s="39"/>
    </row>
    <row r="11045">
      <c r="D11045" s="39"/>
      <c r="E11045" s="39"/>
      <c r="F11045" s="39"/>
    </row>
    <row r="11046">
      <c r="D11046" s="39"/>
      <c r="E11046" s="39"/>
      <c r="F11046" s="39"/>
    </row>
    <row r="11047">
      <c r="D11047" s="39"/>
      <c r="E11047" s="39"/>
      <c r="F11047" s="39"/>
    </row>
    <row r="11048">
      <c r="D11048" s="39"/>
      <c r="E11048" s="39"/>
      <c r="F11048" s="39"/>
    </row>
    <row r="11049">
      <c r="D11049" s="39"/>
      <c r="E11049" s="39"/>
      <c r="F11049" s="39"/>
    </row>
    <row r="11050">
      <c r="D11050" s="39"/>
      <c r="E11050" s="39"/>
      <c r="F11050" s="39"/>
    </row>
    <row r="11051">
      <c r="D11051" s="39"/>
      <c r="E11051" s="39"/>
      <c r="F11051" s="39"/>
    </row>
    <row r="11052">
      <c r="D11052" s="39"/>
      <c r="E11052" s="39"/>
      <c r="F11052" s="39"/>
    </row>
    <row r="11053">
      <c r="D11053" s="39"/>
      <c r="E11053" s="39"/>
      <c r="F11053" s="39"/>
    </row>
    <row r="11054">
      <c r="D11054" s="39"/>
      <c r="E11054" s="39"/>
      <c r="F11054" s="39"/>
    </row>
    <row r="11055">
      <c r="D11055" s="39"/>
      <c r="E11055" s="39"/>
      <c r="F11055" s="39"/>
    </row>
    <row r="11056">
      <c r="D11056" s="39"/>
      <c r="E11056" s="39"/>
      <c r="F11056" s="39"/>
    </row>
    <row r="11057">
      <c r="D11057" s="39"/>
      <c r="E11057" s="39"/>
      <c r="F11057" s="39"/>
    </row>
    <row r="11058">
      <c r="D11058" s="39"/>
      <c r="E11058" s="39"/>
      <c r="F11058" s="39"/>
    </row>
    <row r="11059">
      <c r="D11059" s="39"/>
      <c r="E11059" s="39"/>
      <c r="F11059" s="39"/>
    </row>
    <row r="11060">
      <c r="D11060" s="39"/>
      <c r="E11060" s="39"/>
      <c r="F11060" s="39"/>
    </row>
    <row r="11061">
      <c r="D11061" s="39"/>
      <c r="E11061" s="39"/>
      <c r="F11061" s="39"/>
    </row>
    <row r="11062">
      <c r="D11062" s="39"/>
      <c r="E11062" s="39"/>
      <c r="F11062" s="39"/>
    </row>
    <row r="11063">
      <c r="D11063" s="39"/>
      <c r="E11063" s="39"/>
      <c r="F11063" s="39"/>
    </row>
    <row r="11064">
      <c r="D11064" s="39"/>
      <c r="E11064" s="39"/>
      <c r="F11064" s="39"/>
    </row>
    <row r="11065">
      <c r="D11065" s="39"/>
      <c r="E11065" s="39"/>
      <c r="F11065" s="39"/>
    </row>
    <row r="11066">
      <c r="D11066" s="39"/>
      <c r="E11066" s="39"/>
      <c r="F11066" s="39"/>
    </row>
    <row r="11067">
      <c r="D11067" s="39"/>
      <c r="E11067" s="39"/>
      <c r="F11067" s="39"/>
    </row>
    <row r="11068">
      <c r="D11068" s="39"/>
      <c r="E11068" s="39"/>
      <c r="F11068" s="39"/>
    </row>
    <row r="11069">
      <c r="D11069" s="39"/>
      <c r="E11069" s="39"/>
      <c r="F11069" s="39"/>
    </row>
    <row r="11070">
      <c r="D11070" s="39"/>
      <c r="E11070" s="39"/>
      <c r="F11070" s="39"/>
    </row>
    <row r="11071">
      <c r="D11071" s="39"/>
      <c r="E11071" s="39"/>
      <c r="F11071" s="39"/>
    </row>
    <row r="11072">
      <c r="D11072" s="39"/>
      <c r="E11072" s="39"/>
      <c r="F11072" s="39"/>
    </row>
    <row r="11073">
      <c r="D11073" s="39"/>
      <c r="E11073" s="39"/>
      <c r="F11073" s="39"/>
    </row>
    <row r="11074">
      <c r="D11074" s="39"/>
      <c r="E11074" s="39"/>
      <c r="F11074" s="39"/>
    </row>
    <row r="11075">
      <c r="D11075" s="39"/>
      <c r="E11075" s="39"/>
      <c r="F11075" s="39"/>
    </row>
    <row r="11076">
      <c r="D11076" s="39"/>
      <c r="E11076" s="39"/>
      <c r="F11076" s="39"/>
    </row>
    <row r="11077">
      <c r="D11077" s="39"/>
      <c r="E11077" s="39"/>
      <c r="F11077" s="39"/>
    </row>
    <row r="11078">
      <c r="D11078" s="39"/>
      <c r="E11078" s="39"/>
      <c r="F11078" s="39"/>
    </row>
    <row r="11079">
      <c r="D11079" s="39"/>
      <c r="E11079" s="39"/>
      <c r="F11079" s="39"/>
    </row>
    <row r="11080">
      <c r="D11080" s="39"/>
      <c r="E11080" s="39"/>
      <c r="F11080" s="39"/>
    </row>
    <row r="11081">
      <c r="D11081" s="39"/>
      <c r="E11081" s="39"/>
      <c r="F11081" s="39"/>
    </row>
    <row r="11082">
      <c r="D11082" s="39"/>
      <c r="E11082" s="39"/>
      <c r="F11082" s="39"/>
    </row>
    <row r="11083">
      <c r="D11083" s="39"/>
      <c r="E11083" s="39"/>
      <c r="F11083" s="39"/>
    </row>
    <row r="11084">
      <c r="D11084" s="39"/>
      <c r="E11084" s="39"/>
      <c r="F11084" s="39"/>
    </row>
    <row r="11085">
      <c r="D11085" s="39"/>
      <c r="E11085" s="39"/>
      <c r="F11085" s="39"/>
    </row>
    <row r="11086">
      <c r="D11086" s="39"/>
      <c r="E11086" s="39"/>
      <c r="F11086" s="39"/>
    </row>
    <row r="11087">
      <c r="D11087" s="39"/>
      <c r="E11087" s="39"/>
      <c r="F11087" s="39"/>
    </row>
    <row r="11088">
      <c r="D11088" s="39"/>
      <c r="E11088" s="39"/>
      <c r="F11088" s="39"/>
    </row>
    <row r="11089">
      <c r="D11089" s="39"/>
      <c r="E11089" s="39"/>
      <c r="F11089" s="39"/>
    </row>
    <row r="11090">
      <c r="D11090" s="39"/>
      <c r="E11090" s="39"/>
      <c r="F11090" s="39"/>
    </row>
    <row r="11091">
      <c r="D11091" s="39"/>
      <c r="E11091" s="39"/>
      <c r="F11091" s="39"/>
    </row>
    <row r="11092">
      <c r="D11092" s="39"/>
      <c r="E11092" s="39"/>
      <c r="F11092" s="39"/>
    </row>
    <row r="11093">
      <c r="D11093" s="39"/>
      <c r="E11093" s="39"/>
      <c r="F11093" s="39"/>
    </row>
    <row r="11094">
      <c r="D11094" s="39"/>
      <c r="E11094" s="39"/>
      <c r="F11094" s="39"/>
    </row>
    <row r="11095">
      <c r="D11095" s="39"/>
      <c r="E11095" s="39"/>
      <c r="F11095" s="39"/>
    </row>
    <row r="11096">
      <c r="D11096" s="39"/>
      <c r="E11096" s="39"/>
      <c r="F11096" s="39"/>
    </row>
    <row r="11097">
      <c r="D11097" s="39"/>
      <c r="E11097" s="39"/>
      <c r="F11097" s="39"/>
    </row>
    <row r="11098">
      <c r="D11098" s="39"/>
      <c r="E11098" s="39"/>
      <c r="F11098" s="39"/>
    </row>
    <row r="11099">
      <c r="D11099" s="39"/>
      <c r="E11099" s="39"/>
      <c r="F11099" s="39"/>
    </row>
    <row r="11100">
      <c r="D11100" s="39"/>
      <c r="E11100" s="39"/>
      <c r="F11100" s="39"/>
    </row>
    <row r="11101">
      <c r="D11101" s="39"/>
      <c r="E11101" s="39"/>
      <c r="F11101" s="39"/>
    </row>
    <row r="11102">
      <c r="D11102" s="39"/>
      <c r="E11102" s="39"/>
      <c r="F11102" s="39"/>
    </row>
    <row r="11103">
      <c r="D11103" s="39"/>
      <c r="E11103" s="39"/>
      <c r="F11103" s="39"/>
    </row>
    <row r="11104">
      <c r="D11104" s="39"/>
      <c r="E11104" s="39"/>
      <c r="F11104" s="39"/>
    </row>
    <row r="11105">
      <c r="D11105" s="39"/>
      <c r="E11105" s="39"/>
      <c r="F11105" s="39"/>
    </row>
    <row r="11106">
      <c r="D11106" s="39"/>
      <c r="E11106" s="39"/>
      <c r="F11106" s="39"/>
    </row>
    <row r="11107">
      <c r="D11107" s="39"/>
      <c r="E11107" s="39"/>
      <c r="F11107" s="39"/>
    </row>
    <row r="11108">
      <c r="D11108" s="39"/>
      <c r="E11108" s="39"/>
      <c r="F11108" s="39"/>
    </row>
    <row r="11109">
      <c r="D11109" s="39"/>
      <c r="E11109" s="39"/>
      <c r="F11109" s="39"/>
    </row>
    <row r="11110">
      <c r="D11110" s="39"/>
      <c r="E11110" s="39"/>
      <c r="F11110" s="39"/>
    </row>
    <row r="11111">
      <c r="D11111" s="39"/>
      <c r="E11111" s="39"/>
      <c r="F11111" s="39"/>
    </row>
    <row r="11112">
      <c r="D11112" s="39"/>
      <c r="E11112" s="39"/>
      <c r="F11112" s="39"/>
    </row>
    <row r="11113">
      <c r="D11113" s="39"/>
      <c r="E11113" s="39"/>
      <c r="F11113" s="39"/>
    </row>
    <row r="11114">
      <c r="D11114" s="39"/>
      <c r="E11114" s="39"/>
      <c r="F11114" s="39"/>
    </row>
    <row r="11115">
      <c r="D11115" s="39"/>
      <c r="E11115" s="39"/>
      <c r="F11115" s="39"/>
    </row>
    <row r="11116">
      <c r="D11116" s="39"/>
      <c r="E11116" s="39"/>
      <c r="F11116" s="39"/>
    </row>
    <row r="11117">
      <c r="D11117" s="39"/>
      <c r="E11117" s="39"/>
      <c r="F11117" s="39"/>
    </row>
    <row r="11118">
      <c r="D11118" s="39"/>
      <c r="E11118" s="39"/>
      <c r="F11118" s="39"/>
    </row>
    <row r="11119">
      <c r="D11119" s="39"/>
      <c r="E11119" s="39"/>
      <c r="F11119" s="39"/>
    </row>
    <row r="11120">
      <c r="D11120" s="39"/>
      <c r="E11120" s="39"/>
      <c r="F11120" s="39"/>
    </row>
    <row r="11121">
      <c r="D11121" s="39"/>
      <c r="E11121" s="39"/>
      <c r="F11121" s="39"/>
    </row>
    <row r="11122">
      <c r="D11122" s="39"/>
      <c r="E11122" s="39"/>
      <c r="F11122" s="39"/>
    </row>
    <row r="11123">
      <c r="D11123" s="39"/>
      <c r="E11123" s="39"/>
      <c r="F11123" s="39"/>
    </row>
    <row r="11124">
      <c r="D11124" s="39"/>
      <c r="E11124" s="39"/>
      <c r="F11124" s="39"/>
    </row>
    <row r="11125">
      <c r="D11125" s="39"/>
      <c r="E11125" s="39"/>
      <c r="F11125" s="39"/>
    </row>
    <row r="11126">
      <c r="D11126" s="39"/>
      <c r="E11126" s="39"/>
      <c r="F11126" s="39"/>
    </row>
    <row r="11127">
      <c r="D11127" s="39"/>
      <c r="E11127" s="39"/>
      <c r="F11127" s="39"/>
    </row>
    <row r="11128">
      <c r="D11128" s="39"/>
      <c r="E11128" s="39"/>
      <c r="F11128" s="39"/>
    </row>
    <row r="11129">
      <c r="D11129" s="39"/>
      <c r="E11129" s="39"/>
      <c r="F11129" s="39"/>
    </row>
    <row r="11130">
      <c r="D11130" s="39"/>
      <c r="E11130" s="39"/>
      <c r="F11130" s="39"/>
    </row>
    <row r="11131">
      <c r="D11131" s="39"/>
      <c r="E11131" s="39"/>
      <c r="F11131" s="39"/>
    </row>
    <row r="11132">
      <c r="D11132" s="39"/>
      <c r="E11132" s="39"/>
      <c r="F11132" s="39"/>
    </row>
    <row r="11133">
      <c r="D11133" s="39"/>
      <c r="E11133" s="39"/>
      <c r="F11133" s="39"/>
    </row>
    <row r="11134">
      <c r="D11134" s="39"/>
      <c r="E11134" s="39"/>
      <c r="F11134" s="39"/>
    </row>
    <row r="11135">
      <c r="D11135" s="39"/>
      <c r="E11135" s="39"/>
      <c r="F11135" s="39"/>
    </row>
    <row r="11136">
      <c r="D11136" s="39"/>
      <c r="E11136" s="39"/>
      <c r="F11136" s="39"/>
    </row>
    <row r="11137">
      <c r="D11137" s="39"/>
      <c r="E11137" s="39"/>
      <c r="F11137" s="39"/>
    </row>
    <row r="11138">
      <c r="D11138" s="39"/>
      <c r="E11138" s="39"/>
      <c r="F11138" s="39"/>
    </row>
    <row r="11139">
      <c r="D11139" s="39"/>
      <c r="E11139" s="39"/>
      <c r="F11139" s="39"/>
    </row>
    <row r="11140">
      <c r="D11140" s="39"/>
      <c r="E11140" s="39"/>
      <c r="F11140" s="39"/>
    </row>
    <row r="11141">
      <c r="D11141" s="39"/>
      <c r="E11141" s="39"/>
      <c r="F11141" s="39"/>
    </row>
    <row r="11142">
      <c r="D11142" s="39"/>
      <c r="E11142" s="39"/>
      <c r="F11142" s="39"/>
    </row>
    <row r="11143">
      <c r="D11143" s="39"/>
      <c r="E11143" s="39"/>
      <c r="F11143" s="39"/>
    </row>
    <row r="11144">
      <c r="D11144" s="39"/>
      <c r="E11144" s="39"/>
      <c r="F11144" s="39"/>
    </row>
    <row r="11145">
      <c r="D11145" s="39"/>
      <c r="E11145" s="39"/>
      <c r="F11145" s="39"/>
    </row>
    <row r="11146">
      <c r="D11146" s="39"/>
      <c r="E11146" s="39"/>
      <c r="F11146" s="39"/>
    </row>
    <row r="11147">
      <c r="D11147" s="39"/>
      <c r="E11147" s="39"/>
      <c r="F11147" s="39"/>
    </row>
    <row r="11148">
      <c r="D11148" s="39"/>
      <c r="E11148" s="39"/>
      <c r="F11148" s="39"/>
    </row>
    <row r="11149">
      <c r="D11149" s="39"/>
      <c r="E11149" s="39"/>
      <c r="F11149" s="39"/>
    </row>
    <row r="11150">
      <c r="D11150" s="39"/>
      <c r="E11150" s="39"/>
      <c r="F11150" s="39"/>
    </row>
    <row r="11151">
      <c r="D11151" s="39"/>
      <c r="E11151" s="39"/>
      <c r="F11151" s="39"/>
    </row>
    <row r="11152">
      <c r="D11152" s="39"/>
      <c r="E11152" s="39"/>
      <c r="F11152" s="39"/>
    </row>
    <row r="11153">
      <c r="D11153" s="39"/>
      <c r="E11153" s="39"/>
      <c r="F11153" s="39"/>
    </row>
    <row r="11154">
      <c r="D11154" s="39"/>
      <c r="E11154" s="39"/>
      <c r="F11154" s="39"/>
    </row>
    <row r="11155">
      <c r="D11155" s="39"/>
      <c r="E11155" s="39"/>
      <c r="F11155" s="39"/>
    </row>
    <row r="11156">
      <c r="D11156" s="39"/>
      <c r="E11156" s="39"/>
      <c r="F11156" s="39"/>
    </row>
    <row r="11157">
      <c r="D11157" s="39"/>
      <c r="E11157" s="39"/>
      <c r="F11157" s="39"/>
    </row>
    <row r="11158">
      <c r="D11158" s="39"/>
      <c r="E11158" s="39"/>
      <c r="F11158" s="39"/>
    </row>
    <row r="11159">
      <c r="D11159" s="39"/>
      <c r="E11159" s="39"/>
      <c r="F11159" s="39"/>
    </row>
    <row r="11160">
      <c r="D11160" s="39"/>
      <c r="E11160" s="39"/>
      <c r="F11160" s="39"/>
    </row>
    <row r="11161">
      <c r="D11161" s="39"/>
      <c r="E11161" s="39"/>
      <c r="F11161" s="39"/>
    </row>
    <row r="11162">
      <c r="D11162" s="39"/>
      <c r="E11162" s="39"/>
      <c r="F11162" s="39"/>
    </row>
    <row r="11163">
      <c r="D11163" s="39"/>
      <c r="E11163" s="39"/>
      <c r="F11163" s="39"/>
    </row>
    <row r="11164">
      <c r="D11164" s="39"/>
      <c r="E11164" s="39"/>
      <c r="F11164" s="39"/>
    </row>
    <row r="11165">
      <c r="D11165" s="39"/>
      <c r="E11165" s="39"/>
      <c r="F11165" s="39"/>
    </row>
    <row r="11166">
      <c r="D11166" s="39"/>
      <c r="E11166" s="39"/>
      <c r="F11166" s="39"/>
    </row>
    <row r="11167">
      <c r="D11167" s="39"/>
      <c r="E11167" s="39"/>
      <c r="F11167" s="39"/>
    </row>
    <row r="11168">
      <c r="D11168" s="39"/>
      <c r="E11168" s="39"/>
      <c r="F11168" s="39"/>
    </row>
    <row r="11169">
      <c r="D11169" s="39"/>
      <c r="E11169" s="39"/>
      <c r="F11169" s="39"/>
    </row>
    <row r="11170">
      <c r="D11170" s="39"/>
      <c r="E11170" s="39"/>
      <c r="F11170" s="39"/>
    </row>
    <row r="11171">
      <c r="D11171" s="39"/>
      <c r="E11171" s="39"/>
      <c r="F11171" s="39"/>
    </row>
    <row r="11172">
      <c r="D11172" s="39"/>
      <c r="E11172" s="39"/>
      <c r="F11172" s="39"/>
    </row>
    <row r="11173">
      <c r="D11173" s="39"/>
      <c r="E11173" s="39"/>
      <c r="F11173" s="39"/>
    </row>
    <row r="11174">
      <c r="D11174" s="39"/>
      <c r="E11174" s="39"/>
      <c r="F11174" s="39"/>
    </row>
    <row r="11175">
      <c r="D11175" s="39"/>
      <c r="E11175" s="39"/>
      <c r="F11175" s="39"/>
    </row>
    <row r="11176">
      <c r="D11176" s="39"/>
      <c r="E11176" s="39"/>
      <c r="F11176" s="39"/>
    </row>
    <row r="11177">
      <c r="D11177" s="39"/>
      <c r="E11177" s="39"/>
      <c r="F11177" s="39"/>
    </row>
    <row r="11178">
      <c r="D11178" s="39"/>
      <c r="E11178" s="39"/>
      <c r="F11178" s="39"/>
    </row>
    <row r="11179">
      <c r="D11179" s="39"/>
      <c r="E11179" s="39"/>
      <c r="F11179" s="39"/>
    </row>
    <row r="11180">
      <c r="D11180" s="39"/>
      <c r="E11180" s="39"/>
      <c r="F11180" s="39"/>
    </row>
    <row r="11181">
      <c r="D11181" s="39"/>
      <c r="E11181" s="39"/>
      <c r="F11181" s="39"/>
    </row>
    <row r="11182">
      <c r="D11182" s="39"/>
      <c r="E11182" s="39"/>
      <c r="F11182" s="39"/>
    </row>
    <row r="11183">
      <c r="D11183" s="39"/>
      <c r="E11183" s="39"/>
      <c r="F11183" s="39"/>
    </row>
    <row r="11184">
      <c r="D11184" s="39"/>
      <c r="E11184" s="39"/>
      <c r="F11184" s="39"/>
    </row>
    <row r="11185">
      <c r="D11185" s="39"/>
      <c r="E11185" s="39"/>
      <c r="F11185" s="39"/>
    </row>
    <row r="11186">
      <c r="D11186" s="39"/>
      <c r="E11186" s="39"/>
      <c r="F11186" s="39"/>
    </row>
    <row r="11187">
      <c r="D11187" s="39"/>
      <c r="E11187" s="39"/>
      <c r="F11187" s="39"/>
    </row>
    <row r="11188">
      <c r="D11188" s="39"/>
      <c r="E11188" s="39"/>
      <c r="F11188" s="39"/>
    </row>
    <row r="11189">
      <c r="D11189" s="39"/>
      <c r="E11189" s="39"/>
      <c r="F11189" s="39"/>
    </row>
    <row r="11190">
      <c r="D11190" s="39"/>
      <c r="E11190" s="39"/>
      <c r="F11190" s="39"/>
    </row>
    <row r="11191">
      <c r="D11191" s="39"/>
      <c r="E11191" s="39"/>
      <c r="F11191" s="39"/>
    </row>
    <row r="11192">
      <c r="D11192" s="39"/>
      <c r="E11192" s="39"/>
      <c r="F11192" s="39"/>
    </row>
    <row r="11193">
      <c r="D11193" s="39"/>
      <c r="E11193" s="39"/>
      <c r="F11193" s="39"/>
    </row>
    <row r="11194">
      <c r="D11194" s="39"/>
      <c r="E11194" s="39"/>
      <c r="F11194" s="39"/>
    </row>
    <row r="11195">
      <c r="D11195" s="39"/>
      <c r="E11195" s="39"/>
      <c r="F11195" s="39"/>
    </row>
    <row r="11196">
      <c r="D11196" s="39"/>
      <c r="E11196" s="39"/>
      <c r="F11196" s="39"/>
    </row>
    <row r="11197">
      <c r="D11197" s="39"/>
      <c r="E11197" s="39"/>
      <c r="F11197" s="39"/>
    </row>
    <row r="11198">
      <c r="D11198" s="39"/>
      <c r="E11198" s="39"/>
      <c r="F11198" s="39"/>
    </row>
    <row r="11199">
      <c r="D11199" s="39"/>
      <c r="E11199" s="39"/>
      <c r="F11199" s="39"/>
    </row>
    <row r="11200">
      <c r="D11200" s="39"/>
      <c r="E11200" s="39"/>
      <c r="F11200" s="39"/>
    </row>
    <row r="11201">
      <c r="D11201" s="39"/>
      <c r="E11201" s="39"/>
      <c r="F11201" s="39"/>
    </row>
    <row r="11202">
      <c r="D11202" s="39"/>
      <c r="E11202" s="39"/>
      <c r="F11202" s="39"/>
    </row>
    <row r="11203">
      <c r="D11203" s="39"/>
      <c r="E11203" s="39"/>
      <c r="F11203" s="39"/>
    </row>
    <row r="11204">
      <c r="D11204" s="39"/>
      <c r="E11204" s="39"/>
      <c r="F11204" s="39"/>
    </row>
    <row r="11205">
      <c r="D11205" s="39"/>
      <c r="E11205" s="39"/>
      <c r="F11205" s="39"/>
    </row>
    <row r="11206">
      <c r="D11206" s="39"/>
      <c r="E11206" s="39"/>
      <c r="F11206" s="39"/>
    </row>
    <row r="11207">
      <c r="D11207" s="39"/>
      <c r="E11207" s="39"/>
      <c r="F11207" s="39"/>
    </row>
    <row r="11208">
      <c r="D11208" s="39"/>
      <c r="E11208" s="39"/>
      <c r="F11208" s="39"/>
    </row>
    <row r="11209">
      <c r="D11209" s="39"/>
      <c r="E11209" s="39"/>
      <c r="F11209" s="39"/>
    </row>
    <row r="11210">
      <c r="D11210" s="39"/>
      <c r="E11210" s="39"/>
      <c r="F11210" s="39"/>
    </row>
    <row r="11211">
      <c r="D11211" s="39"/>
      <c r="E11211" s="39"/>
      <c r="F11211" s="39"/>
    </row>
    <row r="11212">
      <c r="D11212" s="39"/>
      <c r="E11212" s="39"/>
      <c r="F11212" s="39"/>
    </row>
    <row r="11213">
      <c r="D11213" s="39"/>
      <c r="E11213" s="39"/>
      <c r="F11213" s="39"/>
    </row>
    <row r="11214">
      <c r="D11214" s="39"/>
      <c r="E11214" s="39"/>
      <c r="F11214" s="39"/>
    </row>
    <row r="11215">
      <c r="D11215" s="39"/>
      <c r="E11215" s="39"/>
      <c r="F11215" s="39"/>
    </row>
    <row r="11216">
      <c r="D11216" s="39"/>
      <c r="E11216" s="39"/>
      <c r="F11216" s="39"/>
    </row>
    <row r="11217">
      <c r="D11217" s="39"/>
      <c r="E11217" s="39"/>
      <c r="F11217" s="39"/>
    </row>
    <row r="11218">
      <c r="D11218" s="39"/>
      <c r="E11218" s="39"/>
      <c r="F11218" s="39"/>
    </row>
    <row r="11219">
      <c r="D11219" s="39"/>
      <c r="E11219" s="39"/>
      <c r="F11219" s="39"/>
    </row>
    <row r="11220">
      <c r="D11220" s="39"/>
      <c r="E11220" s="39"/>
      <c r="F11220" s="39"/>
    </row>
    <row r="11221">
      <c r="D11221" s="39"/>
      <c r="E11221" s="39"/>
      <c r="F11221" s="39"/>
    </row>
    <row r="11222">
      <c r="D11222" s="39"/>
      <c r="E11222" s="39"/>
      <c r="F11222" s="39"/>
    </row>
    <row r="11223">
      <c r="D11223" s="39"/>
      <c r="E11223" s="39"/>
      <c r="F11223" s="39"/>
    </row>
    <row r="11224">
      <c r="D11224" s="39"/>
      <c r="E11224" s="39"/>
      <c r="F11224" s="39"/>
    </row>
    <row r="11225">
      <c r="D11225" s="39"/>
      <c r="E11225" s="39"/>
      <c r="F11225" s="39"/>
    </row>
    <row r="11226">
      <c r="D11226" s="39"/>
      <c r="E11226" s="39"/>
      <c r="F11226" s="39"/>
    </row>
    <row r="11227">
      <c r="D11227" s="39"/>
      <c r="E11227" s="39"/>
      <c r="F11227" s="39"/>
    </row>
    <row r="11228">
      <c r="D11228" s="39"/>
      <c r="E11228" s="39"/>
      <c r="F11228" s="39"/>
    </row>
    <row r="11229">
      <c r="D11229" s="39"/>
      <c r="E11229" s="39"/>
      <c r="F11229" s="39"/>
    </row>
    <row r="11230">
      <c r="D11230" s="39"/>
      <c r="E11230" s="39"/>
      <c r="F11230" s="39"/>
    </row>
    <row r="11231">
      <c r="D11231" s="39"/>
      <c r="E11231" s="39"/>
      <c r="F11231" s="39"/>
    </row>
    <row r="11232">
      <c r="D11232" s="39"/>
      <c r="E11232" s="39"/>
      <c r="F11232" s="39"/>
    </row>
    <row r="11233">
      <c r="D11233" s="39"/>
      <c r="E11233" s="39"/>
      <c r="F11233" s="39"/>
    </row>
    <row r="11234">
      <c r="D11234" s="39"/>
      <c r="E11234" s="39"/>
      <c r="F11234" s="39"/>
    </row>
    <row r="11235">
      <c r="D11235" s="39"/>
      <c r="E11235" s="39"/>
      <c r="F11235" s="39"/>
    </row>
    <row r="11236">
      <c r="D11236" s="39"/>
      <c r="E11236" s="39"/>
      <c r="F11236" s="39"/>
    </row>
    <row r="11237">
      <c r="D11237" s="39"/>
      <c r="E11237" s="39"/>
      <c r="F11237" s="39"/>
    </row>
    <row r="11238">
      <c r="D11238" s="39"/>
      <c r="E11238" s="39"/>
      <c r="F11238" s="39"/>
    </row>
    <row r="11239">
      <c r="D11239" s="39"/>
      <c r="E11239" s="39"/>
      <c r="F11239" s="39"/>
    </row>
    <row r="11240">
      <c r="D11240" s="39"/>
      <c r="E11240" s="39"/>
      <c r="F11240" s="39"/>
    </row>
    <row r="11241">
      <c r="D11241" s="39"/>
      <c r="E11241" s="39"/>
      <c r="F11241" s="39"/>
    </row>
    <row r="11242">
      <c r="D11242" s="39"/>
      <c r="E11242" s="39"/>
      <c r="F11242" s="39"/>
    </row>
    <row r="11243">
      <c r="D11243" s="39"/>
      <c r="E11243" s="39"/>
      <c r="F11243" s="39"/>
    </row>
    <row r="11244">
      <c r="D11244" s="39"/>
      <c r="E11244" s="39"/>
      <c r="F11244" s="39"/>
    </row>
    <row r="11245">
      <c r="D11245" s="39"/>
      <c r="E11245" s="39"/>
      <c r="F11245" s="39"/>
    </row>
    <row r="11246">
      <c r="D11246" s="39"/>
      <c r="E11246" s="39"/>
      <c r="F11246" s="39"/>
    </row>
    <row r="11247">
      <c r="D11247" s="39"/>
      <c r="E11247" s="39"/>
      <c r="F11247" s="39"/>
    </row>
    <row r="11248">
      <c r="D11248" s="39"/>
      <c r="E11248" s="39"/>
      <c r="F11248" s="39"/>
    </row>
    <row r="11249">
      <c r="D11249" s="39"/>
      <c r="E11249" s="39"/>
      <c r="F11249" s="39"/>
    </row>
    <row r="11250">
      <c r="D11250" s="39"/>
      <c r="E11250" s="39"/>
      <c r="F11250" s="39"/>
    </row>
    <row r="11251">
      <c r="D11251" s="39"/>
      <c r="E11251" s="39"/>
      <c r="F11251" s="39"/>
    </row>
    <row r="11252">
      <c r="D11252" s="39"/>
      <c r="E11252" s="39"/>
      <c r="F11252" s="39"/>
    </row>
    <row r="11253">
      <c r="D11253" s="39"/>
      <c r="E11253" s="39"/>
      <c r="F11253" s="39"/>
    </row>
    <row r="11254">
      <c r="D11254" s="39"/>
      <c r="E11254" s="39"/>
      <c r="F11254" s="39"/>
    </row>
    <row r="11255">
      <c r="D11255" s="39"/>
      <c r="E11255" s="39"/>
      <c r="F11255" s="39"/>
    </row>
    <row r="11256">
      <c r="D11256" s="39"/>
      <c r="E11256" s="39"/>
      <c r="F11256" s="39"/>
    </row>
    <row r="11257">
      <c r="D11257" s="39"/>
      <c r="E11257" s="39"/>
      <c r="F11257" s="39"/>
    </row>
    <row r="11258">
      <c r="D11258" s="39"/>
      <c r="E11258" s="39"/>
      <c r="F11258" s="39"/>
    </row>
    <row r="11259">
      <c r="D11259" s="39"/>
      <c r="E11259" s="39"/>
      <c r="F11259" s="39"/>
    </row>
    <row r="11260">
      <c r="D11260" s="39"/>
      <c r="E11260" s="39"/>
      <c r="F11260" s="39"/>
    </row>
    <row r="11261">
      <c r="D11261" s="39"/>
      <c r="E11261" s="39"/>
      <c r="F11261" s="39"/>
    </row>
    <row r="11262">
      <c r="D11262" s="39"/>
      <c r="E11262" s="39"/>
      <c r="F11262" s="39"/>
    </row>
    <row r="11263">
      <c r="D11263" s="39"/>
      <c r="E11263" s="39"/>
      <c r="F11263" s="39"/>
    </row>
    <row r="11264">
      <c r="D11264" s="39"/>
      <c r="E11264" s="39"/>
      <c r="F11264" s="39"/>
    </row>
    <row r="11265">
      <c r="D11265" s="39"/>
      <c r="E11265" s="39"/>
      <c r="F11265" s="39"/>
    </row>
    <row r="11266">
      <c r="D11266" s="39"/>
      <c r="E11266" s="39"/>
      <c r="F11266" s="39"/>
    </row>
    <row r="11267">
      <c r="D11267" s="39"/>
      <c r="E11267" s="39"/>
      <c r="F11267" s="39"/>
    </row>
    <row r="11268">
      <c r="D11268" s="39"/>
      <c r="E11268" s="39"/>
      <c r="F11268" s="39"/>
    </row>
    <row r="11269">
      <c r="D11269" s="39"/>
      <c r="E11269" s="39"/>
      <c r="F11269" s="39"/>
    </row>
    <row r="11270">
      <c r="D11270" s="39"/>
      <c r="E11270" s="39"/>
      <c r="F11270" s="39"/>
    </row>
    <row r="11271">
      <c r="D11271" s="39"/>
      <c r="E11271" s="39"/>
      <c r="F11271" s="39"/>
    </row>
    <row r="11272">
      <c r="D11272" s="39"/>
      <c r="E11272" s="39"/>
      <c r="F11272" s="39"/>
    </row>
    <row r="11273">
      <c r="D11273" s="39"/>
      <c r="E11273" s="39"/>
      <c r="F11273" s="39"/>
    </row>
    <row r="11274">
      <c r="D11274" s="39"/>
      <c r="E11274" s="39"/>
      <c r="F11274" s="39"/>
    </row>
    <row r="11275">
      <c r="D11275" s="39"/>
      <c r="E11275" s="39"/>
      <c r="F11275" s="39"/>
    </row>
    <row r="11276">
      <c r="D11276" s="39"/>
      <c r="E11276" s="39"/>
      <c r="F11276" s="39"/>
    </row>
    <row r="11277">
      <c r="D11277" s="39"/>
      <c r="E11277" s="39"/>
      <c r="F11277" s="39"/>
    </row>
    <row r="11278">
      <c r="D11278" s="39"/>
      <c r="E11278" s="39"/>
      <c r="F11278" s="39"/>
    </row>
    <row r="11279">
      <c r="D11279" s="39"/>
      <c r="E11279" s="39"/>
      <c r="F11279" s="39"/>
    </row>
    <row r="11280">
      <c r="D11280" s="39"/>
      <c r="E11280" s="39"/>
      <c r="F11280" s="39"/>
    </row>
    <row r="11281">
      <c r="D11281" s="39"/>
      <c r="E11281" s="39"/>
      <c r="F11281" s="39"/>
    </row>
    <row r="11282">
      <c r="D11282" s="39"/>
      <c r="E11282" s="39"/>
      <c r="F11282" s="39"/>
    </row>
    <row r="11283">
      <c r="D11283" s="39"/>
      <c r="E11283" s="39"/>
      <c r="F11283" s="39"/>
    </row>
    <row r="11284">
      <c r="D11284" s="39"/>
      <c r="E11284" s="39"/>
      <c r="F11284" s="39"/>
    </row>
    <row r="11285">
      <c r="D11285" s="39"/>
      <c r="E11285" s="39"/>
      <c r="F11285" s="39"/>
    </row>
    <row r="11286">
      <c r="D11286" s="39"/>
      <c r="E11286" s="39"/>
      <c r="F11286" s="39"/>
    </row>
    <row r="11287">
      <c r="D11287" s="39"/>
      <c r="E11287" s="39"/>
      <c r="F11287" s="39"/>
    </row>
    <row r="11288">
      <c r="D11288" s="39"/>
      <c r="E11288" s="39"/>
      <c r="F11288" s="39"/>
    </row>
    <row r="11289">
      <c r="D11289" s="39"/>
      <c r="E11289" s="39"/>
      <c r="F11289" s="39"/>
    </row>
    <row r="11290">
      <c r="D11290" s="39"/>
      <c r="E11290" s="39"/>
      <c r="F11290" s="39"/>
    </row>
    <row r="11291">
      <c r="D11291" s="39"/>
      <c r="E11291" s="39"/>
      <c r="F11291" s="39"/>
    </row>
    <row r="11292">
      <c r="D11292" s="39"/>
      <c r="E11292" s="39"/>
      <c r="F11292" s="39"/>
    </row>
    <row r="11293">
      <c r="D11293" s="39"/>
      <c r="E11293" s="39"/>
      <c r="F11293" s="39"/>
    </row>
    <row r="11294">
      <c r="D11294" s="39"/>
      <c r="E11294" s="39"/>
      <c r="F11294" s="39"/>
    </row>
    <row r="11295">
      <c r="D11295" s="39"/>
      <c r="E11295" s="39"/>
      <c r="F11295" s="39"/>
    </row>
    <row r="11296">
      <c r="D11296" s="39"/>
      <c r="E11296" s="39"/>
      <c r="F11296" s="39"/>
    </row>
    <row r="11297">
      <c r="D11297" s="39"/>
      <c r="E11297" s="39"/>
      <c r="F11297" s="39"/>
    </row>
    <row r="11298">
      <c r="D11298" s="39"/>
      <c r="E11298" s="39"/>
      <c r="F11298" s="39"/>
    </row>
    <row r="11299">
      <c r="D11299" s="39"/>
      <c r="E11299" s="39"/>
      <c r="F11299" s="39"/>
    </row>
    <row r="11300">
      <c r="D11300" s="39"/>
      <c r="E11300" s="39"/>
      <c r="F11300" s="39"/>
    </row>
    <row r="11301">
      <c r="D11301" s="39"/>
      <c r="E11301" s="39"/>
      <c r="F11301" s="39"/>
    </row>
    <row r="11302">
      <c r="D11302" s="39"/>
      <c r="E11302" s="39"/>
      <c r="F11302" s="39"/>
    </row>
    <row r="11303">
      <c r="D11303" s="39"/>
      <c r="E11303" s="39"/>
      <c r="F11303" s="39"/>
    </row>
    <row r="11304">
      <c r="D11304" s="39"/>
      <c r="E11304" s="39"/>
      <c r="F11304" s="39"/>
    </row>
    <row r="11305">
      <c r="D11305" s="39"/>
      <c r="E11305" s="39"/>
      <c r="F11305" s="39"/>
    </row>
    <row r="11306">
      <c r="D11306" s="39"/>
      <c r="E11306" s="39"/>
      <c r="F11306" s="39"/>
    </row>
    <row r="11307">
      <c r="D11307" s="39"/>
      <c r="E11307" s="39"/>
      <c r="F11307" s="39"/>
    </row>
    <row r="11308">
      <c r="D11308" s="39"/>
      <c r="E11308" s="39"/>
      <c r="F11308" s="39"/>
    </row>
    <row r="11309">
      <c r="D11309" s="39"/>
      <c r="E11309" s="39"/>
      <c r="F11309" s="39"/>
    </row>
    <row r="11310">
      <c r="D11310" s="39"/>
      <c r="E11310" s="39"/>
      <c r="F11310" s="39"/>
    </row>
    <row r="11311">
      <c r="D11311" s="39"/>
      <c r="E11311" s="39"/>
      <c r="F11311" s="39"/>
    </row>
    <row r="11312">
      <c r="D11312" s="39"/>
      <c r="E11312" s="39"/>
      <c r="F11312" s="39"/>
    </row>
    <row r="11313">
      <c r="D11313" s="39"/>
      <c r="E11313" s="39"/>
      <c r="F11313" s="39"/>
    </row>
    <row r="11314">
      <c r="D11314" s="39"/>
      <c r="E11314" s="39"/>
      <c r="F11314" s="39"/>
    </row>
    <row r="11315">
      <c r="D11315" s="39"/>
      <c r="E11315" s="39"/>
      <c r="F11315" s="39"/>
    </row>
    <row r="11316">
      <c r="D11316" s="39"/>
      <c r="E11316" s="39"/>
      <c r="F11316" s="39"/>
    </row>
    <row r="11317">
      <c r="D11317" s="39"/>
      <c r="E11317" s="39"/>
      <c r="F11317" s="39"/>
    </row>
    <row r="11318">
      <c r="D11318" s="39"/>
      <c r="E11318" s="39"/>
      <c r="F11318" s="39"/>
    </row>
    <row r="11319">
      <c r="D11319" s="39"/>
      <c r="E11319" s="39"/>
      <c r="F11319" s="39"/>
    </row>
    <row r="11320">
      <c r="D11320" s="39"/>
      <c r="E11320" s="39"/>
      <c r="F11320" s="39"/>
    </row>
    <row r="11321">
      <c r="D11321" s="39"/>
      <c r="E11321" s="39"/>
      <c r="F11321" s="39"/>
    </row>
    <row r="11322">
      <c r="D11322" s="39"/>
      <c r="E11322" s="39"/>
      <c r="F11322" s="39"/>
    </row>
    <row r="11323">
      <c r="D11323" s="39"/>
      <c r="E11323" s="39"/>
      <c r="F11323" s="39"/>
    </row>
    <row r="11324">
      <c r="D11324" s="39"/>
      <c r="E11324" s="39"/>
      <c r="F11324" s="39"/>
    </row>
    <row r="11325">
      <c r="D11325" s="39"/>
      <c r="E11325" s="39"/>
      <c r="F11325" s="39"/>
    </row>
    <row r="11326">
      <c r="D11326" s="39"/>
      <c r="E11326" s="39"/>
      <c r="F11326" s="39"/>
    </row>
    <row r="11327">
      <c r="D11327" s="39"/>
      <c r="E11327" s="39"/>
      <c r="F11327" s="39"/>
    </row>
    <row r="11328">
      <c r="D11328" s="39"/>
      <c r="E11328" s="39"/>
      <c r="F11328" s="39"/>
    </row>
    <row r="11329">
      <c r="D11329" s="39"/>
      <c r="E11329" s="39"/>
      <c r="F11329" s="39"/>
    </row>
    <row r="11330">
      <c r="D11330" s="39"/>
      <c r="E11330" s="39"/>
      <c r="F11330" s="39"/>
    </row>
    <row r="11331">
      <c r="D11331" s="39"/>
      <c r="E11331" s="39"/>
      <c r="F11331" s="39"/>
    </row>
    <row r="11332">
      <c r="D11332" s="39"/>
      <c r="E11332" s="39"/>
      <c r="F11332" s="39"/>
    </row>
    <row r="11333">
      <c r="D11333" s="39"/>
      <c r="E11333" s="39"/>
      <c r="F11333" s="39"/>
    </row>
    <row r="11334">
      <c r="D11334" s="39"/>
      <c r="E11334" s="39"/>
      <c r="F11334" s="39"/>
    </row>
    <row r="11335">
      <c r="D11335" s="39"/>
      <c r="E11335" s="39"/>
      <c r="F11335" s="39"/>
    </row>
    <row r="11336">
      <c r="D11336" s="39"/>
      <c r="E11336" s="39"/>
      <c r="F11336" s="39"/>
    </row>
    <row r="11337">
      <c r="D11337" s="39"/>
      <c r="E11337" s="39"/>
      <c r="F11337" s="39"/>
    </row>
    <row r="11338">
      <c r="D11338" s="39"/>
      <c r="E11338" s="39"/>
      <c r="F11338" s="39"/>
    </row>
    <row r="11339">
      <c r="D11339" s="39"/>
      <c r="E11339" s="39"/>
      <c r="F11339" s="39"/>
    </row>
    <row r="11340">
      <c r="D11340" s="39"/>
      <c r="E11340" s="39"/>
      <c r="F11340" s="39"/>
    </row>
    <row r="11341">
      <c r="D11341" s="39"/>
      <c r="E11341" s="39"/>
      <c r="F11341" s="39"/>
    </row>
    <row r="11342">
      <c r="D11342" s="39"/>
      <c r="E11342" s="39"/>
      <c r="F11342" s="39"/>
    </row>
    <row r="11343">
      <c r="D11343" s="39"/>
      <c r="E11343" s="39"/>
      <c r="F11343" s="39"/>
    </row>
    <row r="11344">
      <c r="D11344" s="39"/>
      <c r="E11344" s="39"/>
      <c r="F11344" s="39"/>
    </row>
    <row r="11345">
      <c r="D11345" s="39"/>
      <c r="E11345" s="39"/>
      <c r="F11345" s="39"/>
    </row>
    <row r="11346">
      <c r="D11346" s="39"/>
      <c r="E11346" s="39"/>
      <c r="F11346" s="39"/>
    </row>
    <row r="11347">
      <c r="D11347" s="39"/>
      <c r="E11347" s="39"/>
      <c r="F11347" s="39"/>
    </row>
    <row r="11348">
      <c r="D11348" s="39"/>
      <c r="E11348" s="39"/>
      <c r="F11348" s="39"/>
    </row>
    <row r="11349">
      <c r="D11349" s="39"/>
      <c r="E11349" s="39"/>
      <c r="F11349" s="39"/>
    </row>
    <row r="11350">
      <c r="D11350" s="39"/>
      <c r="E11350" s="39"/>
      <c r="F11350" s="39"/>
    </row>
    <row r="11351">
      <c r="D11351" s="39"/>
      <c r="E11351" s="39"/>
      <c r="F11351" s="39"/>
    </row>
    <row r="11352">
      <c r="D11352" s="39"/>
      <c r="E11352" s="39"/>
      <c r="F11352" s="39"/>
    </row>
    <row r="11353">
      <c r="D11353" s="39"/>
      <c r="E11353" s="39"/>
      <c r="F11353" s="39"/>
    </row>
    <row r="11354">
      <c r="D11354" s="39"/>
      <c r="E11354" s="39"/>
      <c r="F11354" s="39"/>
    </row>
    <row r="11355">
      <c r="D11355" s="39"/>
      <c r="E11355" s="39"/>
      <c r="F11355" s="39"/>
    </row>
    <row r="11356">
      <c r="D11356" s="39"/>
      <c r="E11356" s="39"/>
      <c r="F11356" s="39"/>
    </row>
    <row r="11357">
      <c r="D11357" s="39"/>
      <c r="E11357" s="39"/>
      <c r="F11357" s="39"/>
    </row>
    <row r="11358">
      <c r="D11358" s="39"/>
      <c r="E11358" s="39"/>
      <c r="F11358" s="39"/>
    </row>
    <row r="11359">
      <c r="D11359" s="39"/>
      <c r="E11359" s="39"/>
      <c r="F11359" s="39"/>
    </row>
    <row r="11360">
      <c r="D11360" s="39"/>
      <c r="E11360" s="39"/>
      <c r="F11360" s="39"/>
    </row>
    <row r="11361">
      <c r="D11361" s="39"/>
      <c r="E11361" s="39"/>
      <c r="F11361" s="39"/>
    </row>
    <row r="11362">
      <c r="D11362" s="39"/>
      <c r="E11362" s="39"/>
      <c r="F11362" s="39"/>
    </row>
    <row r="11363">
      <c r="D11363" s="39"/>
      <c r="E11363" s="39"/>
      <c r="F11363" s="39"/>
    </row>
    <row r="11364">
      <c r="D11364" s="39"/>
      <c r="E11364" s="39"/>
      <c r="F11364" s="39"/>
    </row>
    <row r="11365">
      <c r="D11365" s="39"/>
      <c r="E11365" s="39"/>
      <c r="F11365" s="39"/>
    </row>
    <row r="11366">
      <c r="D11366" s="39"/>
      <c r="E11366" s="39"/>
      <c r="F11366" s="39"/>
    </row>
    <row r="11367">
      <c r="D11367" s="39"/>
      <c r="E11367" s="39"/>
      <c r="F11367" s="39"/>
    </row>
    <row r="11368">
      <c r="D11368" s="39"/>
      <c r="E11368" s="39"/>
      <c r="F11368" s="39"/>
    </row>
    <row r="11369">
      <c r="D11369" s="39"/>
      <c r="E11369" s="39"/>
      <c r="F11369" s="39"/>
    </row>
    <row r="11370">
      <c r="D11370" s="39"/>
      <c r="E11370" s="39"/>
      <c r="F11370" s="39"/>
    </row>
    <row r="11371">
      <c r="D11371" s="39"/>
      <c r="E11371" s="39"/>
      <c r="F11371" s="39"/>
    </row>
    <row r="11372">
      <c r="D11372" s="39"/>
      <c r="E11372" s="39"/>
      <c r="F11372" s="39"/>
    </row>
    <row r="11373">
      <c r="D11373" s="39"/>
      <c r="E11373" s="39"/>
      <c r="F11373" s="39"/>
    </row>
    <row r="11374">
      <c r="D11374" s="39"/>
      <c r="E11374" s="39"/>
      <c r="F11374" s="39"/>
    </row>
    <row r="11375">
      <c r="D11375" s="39"/>
      <c r="E11375" s="39"/>
      <c r="F11375" s="39"/>
    </row>
    <row r="11376">
      <c r="D11376" s="39"/>
      <c r="E11376" s="39"/>
      <c r="F11376" s="39"/>
    </row>
    <row r="11377">
      <c r="D11377" s="39"/>
      <c r="E11377" s="39"/>
      <c r="F11377" s="39"/>
    </row>
    <row r="11378">
      <c r="D11378" s="39"/>
      <c r="E11378" s="39"/>
      <c r="F11378" s="39"/>
    </row>
    <row r="11379">
      <c r="D11379" s="39"/>
      <c r="E11379" s="39"/>
      <c r="F11379" s="39"/>
    </row>
    <row r="11380">
      <c r="D11380" s="39"/>
      <c r="E11380" s="39"/>
      <c r="F11380" s="39"/>
    </row>
    <row r="11381">
      <c r="D11381" s="39"/>
      <c r="E11381" s="39"/>
      <c r="F11381" s="39"/>
    </row>
    <row r="11382">
      <c r="D11382" s="39"/>
      <c r="E11382" s="39"/>
      <c r="F11382" s="39"/>
    </row>
    <row r="11383">
      <c r="D11383" s="39"/>
      <c r="E11383" s="39"/>
      <c r="F11383" s="39"/>
    </row>
    <row r="11384">
      <c r="D11384" s="39"/>
      <c r="E11384" s="39"/>
      <c r="F11384" s="39"/>
    </row>
    <row r="11385">
      <c r="D11385" s="39"/>
      <c r="E11385" s="39"/>
      <c r="F11385" s="39"/>
    </row>
    <row r="11386">
      <c r="D11386" s="39"/>
      <c r="E11386" s="39"/>
      <c r="F11386" s="39"/>
    </row>
    <row r="11387">
      <c r="D11387" s="39"/>
      <c r="E11387" s="39"/>
      <c r="F11387" s="39"/>
    </row>
    <row r="11388">
      <c r="D11388" s="39"/>
      <c r="E11388" s="39"/>
      <c r="F11388" s="39"/>
    </row>
    <row r="11389">
      <c r="D11389" s="39"/>
      <c r="E11389" s="39"/>
      <c r="F11389" s="39"/>
    </row>
    <row r="11390">
      <c r="D11390" s="39"/>
      <c r="E11390" s="39"/>
      <c r="F11390" s="39"/>
    </row>
    <row r="11391">
      <c r="D11391" s="39"/>
      <c r="E11391" s="39"/>
      <c r="F11391" s="39"/>
    </row>
    <row r="11392">
      <c r="D11392" s="39"/>
      <c r="E11392" s="39"/>
      <c r="F11392" s="39"/>
    </row>
    <row r="11393">
      <c r="D11393" s="39"/>
      <c r="E11393" s="39"/>
      <c r="F11393" s="39"/>
    </row>
    <row r="11394">
      <c r="D11394" s="39"/>
      <c r="E11394" s="39"/>
      <c r="F11394" s="39"/>
    </row>
    <row r="11395">
      <c r="D11395" s="39"/>
      <c r="E11395" s="39"/>
      <c r="F11395" s="39"/>
    </row>
    <row r="11396">
      <c r="D11396" s="39"/>
      <c r="E11396" s="39"/>
      <c r="F11396" s="39"/>
    </row>
    <row r="11397">
      <c r="D11397" s="39"/>
      <c r="E11397" s="39"/>
      <c r="F11397" s="39"/>
    </row>
    <row r="11398">
      <c r="D11398" s="39"/>
      <c r="E11398" s="39"/>
      <c r="F11398" s="39"/>
    </row>
    <row r="11399">
      <c r="D11399" s="39"/>
      <c r="E11399" s="39"/>
      <c r="F11399" s="39"/>
    </row>
    <row r="11400">
      <c r="D11400" s="39"/>
      <c r="E11400" s="39"/>
      <c r="F11400" s="39"/>
    </row>
    <row r="11401">
      <c r="D11401" s="39"/>
      <c r="E11401" s="39"/>
      <c r="F11401" s="39"/>
    </row>
    <row r="11402">
      <c r="D11402" s="39"/>
      <c r="E11402" s="39"/>
      <c r="F11402" s="39"/>
    </row>
    <row r="11403">
      <c r="D11403" s="39"/>
      <c r="E11403" s="39"/>
      <c r="F11403" s="39"/>
    </row>
    <row r="11404">
      <c r="D11404" s="39"/>
      <c r="E11404" s="39"/>
      <c r="F11404" s="39"/>
    </row>
    <row r="11405">
      <c r="D11405" s="39"/>
      <c r="E11405" s="39"/>
      <c r="F11405" s="39"/>
    </row>
    <row r="11406">
      <c r="D11406" s="39"/>
      <c r="E11406" s="39"/>
      <c r="F11406" s="39"/>
    </row>
    <row r="11407">
      <c r="D11407" s="39"/>
      <c r="E11407" s="39"/>
      <c r="F11407" s="39"/>
    </row>
    <row r="11408">
      <c r="D11408" s="39"/>
      <c r="E11408" s="39"/>
      <c r="F11408" s="39"/>
    </row>
    <row r="11409">
      <c r="D11409" s="39"/>
      <c r="E11409" s="39"/>
      <c r="F11409" s="39"/>
    </row>
    <row r="11410">
      <c r="D11410" s="39"/>
      <c r="E11410" s="39"/>
      <c r="F11410" s="39"/>
    </row>
    <row r="11411">
      <c r="D11411" s="39"/>
      <c r="E11411" s="39"/>
      <c r="F11411" s="39"/>
    </row>
    <row r="11412">
      <c r="D11412" s="39"/>
      <c r="E11412" s="39"/>
      <c r="F11412" s="39"/>
    </row>
    <row r="11413">
      <c r="D11413" s="39"/>
      <c r="E11413" s="39"/>
      <c r="F11413" s="39"/>
    </row>
    <row r="11414">
      <c r="D11414" s="39"/>
      <c r="E11414" s="39"/>
      <c r="F11414" s="39"/>
    </row>
    <row r="11415">
      <c r="D11415" s="39"/>
      <c r="E11415" s="39"/>
      <c r="F11415" s="39"/>
    </row>
    <row r="11416">
      <c r="D11416" s="39"/>
      <c r="E11416" s="39"/>
      <c r="F11416" s="39"/>
    </row>
    <row r="11417">
      <c r="D11417" s="39"/>
      <c r="E11417" s="39"/>
      <c r="F11417" s="39"/>
    </row>
    <row r="11418">
      <c r="D11418" s="39"/>
      <c r="E11418" s="39"/>
      <c r="F11418" s="39"/>
    </row>
    <row r="11419">
      <c r="D11419" s="39"/>
      <c r="E11419" s="39"/>
      <c r="F11419" s="39"/>
    </row>
    <row r="11420">
      <c r="D11420" s="39"/>
      <c r="E11420" s="39"/>
      <c r="F11420" s="39"/>
    </row>
    <row r="11421">
      <c r="D11421" s="39"/>
      <c r="E11421" s="39"/>
      <c r="F11421" s="39"/>
    </row>
    <row r="11422">
      <c r="D11422" s="39"/>
      <c r="E11422" s="39"/>
      <c r="F11422" s="39"/>
    </row>
    <row r="11423">
      <c r="D11423" s="39"/>
      <c r="E11423" s="39"/>
      <c r="F11423" s="39"/>
    </row>
    <row r="11424">
      <c r="D11424" s="39"/>
      <c r="E11424" s="39"/>
      <c r="F11424" s="39"/>
    </row>
    <row r="11425">
      <c r="D11425" s="39"/>
      <c r="E11425" s="39"/>
      <c r="F11425" s="39"/>
    </row>
    <row r="11426">
      <c r="D11426" s="39"/>
      <c r="E11426" s="39"/>
      <c r="F11426" s="39"/>
    </row>
    <row r="11427">
      <c r="D11427" s="39"/>
      <c r="E11427" s="39"/>
      <c r="F11427" s="39"/>
    </row>
    <row r="11428">
      <c r="D11428" s="39"/>
      <c r="E11428" s="39"/>
      <c r="F11428" s="39"/>
    </row>
    <row r="11429">
      <c r="D11429" s="39"/>
      <c r="E11429" s="39"/>
      <c r="F11429" s="39"/>
    </row>
    <row r="11430">
      <c r="D11430" s="39"/>
      <c r="E11430" s="39"/>
      <c r="F11430" s="39"/>
    </row>
    <row r="11431">
      <c r="D11431" s="39"/>
      <c r="E11431" s="39"/>
      <c r="F11431" s="39"/>
    </row>
    <row r="11432">
      <c r="D11432" s="39"/>
      <c r="E11432" s="39"/>
      <c r="F11432" s="39"/>
    </row>
    <row r="11433">
      <c r="D11433" s="39"/>
      <c r="E11433" s="39"/>
      <c r="F11433" s="39"/>
    </row>
    <row r="11434">
      <c r="D11434" s="39"/>
      <c r="E11434" s="39"/>
      <c r="F11434" s="39"/>
    </row>
    <row r="11435">
      <c r="D11435" s="39"/>
      <c r="E11435" s="39"/>
      <c r="F11435" s="39"/>
    </row>
    <row r="11436">
      <c r="D11436" s="39"/>
      <c r="E11436" s="39"/>
      <c r="F11436" s="39"/>
    </row>
    <row r="11437">
      <c r="D11437" s="39"/>
      <c r="E11437" s="39"/>
      <c r="F11437" s="39"/>
    </row>
    <row r="11438">
      <c r="D11438" s="39"/>
      <c r="E11438" s="39"/>
      <c r="F11438" s="39"/>
    </row>
    <row r="11439">
      <c r="D11439" s="39"/>
      <c r="E11439" s="39"/>
      <c r="F11439" s="39"/>
    </row>
    <row r="11440">
      <c r="D11440" s="39"/>
      <c r="E11440" s="39"/>
      <c r="F11440" s="39"/>
    </row>
    <row r="11441">
      <c r="D11441" s="39"/>
      <c r="E11441" s="39"/>
      <c r="F11441" s="39"/>
    </row>
    <row r="11442">
      <c r="D11442" s="39"/>
      <c r="E11442" s="39"/>
      <c r="F11442" s="39"/>
    </row>
    <row r="11443">
      <c r="D11443" s="39"/>
      <c r="E11443" s="39"/>
      <c r="F11443" s="39"/>
    </row>
    <row r="11444">
      <c r="D11444" s="39"/>
      <c r="E11444" s="39"/>
      <c r="F11444" s="39"/>
    </row>
    <row r="11445">
      <c r="D11445" s="39"/>
      <c r="E11445" s="39"/>
      <c r="F11445" s="39"/>
    </row>
    <row r="11446">
      <c r="D11446" s="39"/>
      <c r="E11446" s="39"/>
      <c r="F11446" s="39"/>
    </row>
    <row r="11447">
      <c r="D11447" s="39"/>
      <c r="E11447" s="39"/>
      <c r="F11447" s="39"/>
    </row>
    <row r="11448">
      <c r="D11448" s="39"/>
      <c r="E11448" s="39"/>
      <c r="F11448" s="39"/>
    </row>
    <row r="11449">
      <c r="D11449" s="39"/>
      <c r="E11449" s="39"/>
      <c r="F11449" s="39"/>
    </row>
    <row r="11450">
      <c r="D11450" s="39"/>
      <c r="E11450" s="39"/>
      <c r="F11450" s="39"/>
    </row>
    <row r="11451">
      <c r="D11451" s="39"/>
      <c r="E11451" s="39"/>
      <c r="F11451" s="39"/>
    </row>
    <row r="11452">
      <c r="D11452" s="39"/>
      <c r="E11452" s="39"/>
      <c r="F11452" s="39"/>
    </row>
    <row r="11453">
      <c r="D11453" s="39"/>
      <c r="E11453" s="39"/>
      <c r="F11453" s="39"/>
    </row>
    <row r="11454">
      <c r="D11454" s="39"/>
      <c r="E11454" s="39"/>
      <c r="F11454" s="39"/>
    </row>
    <row r="11455">
      <c r="D11455" s="39"/>
      <c r="E11455" s="39"/>
      <c r="F11455" s="39"/>
    </row>
    <row r="11456">
      <c r="D11456" s="39"/>
      <c r="E11456" s="39"/>
      <c r="F11456" s="39"/>
    </row>
    <row r="11457">
      <c r="D11457" s="39"/>
      <c r="E11457" s="39"/>
      <c r="F11457" s="39"/>
    </row>
    <row r="11458">
      <c r="D11458" s="39"/>
      <c r="E11458" s="39"/>
      <c r="F11458" s="39"/>
    </row>
    <row r="11459">
      <c r="D11459" s="39"/>
      <c r="E11459" s="39"/>
      <c r="F11459" s="39"/>
    </row>
    <row r="11460">
      <c r="D11460" s="39"/>
      <c r="E11460" s="39"/>
      <c r="F11460" s="39"/>
    </row>
    <row r="11461">
      <c r="D11461" s="39"/>
      <c r="E11461" s="39"/>
      <c r="F11461" s="39"/>
    </row>
    <row r="11462">
      <c r="D11462" s="39"/>
      <c r="E11462" s="39"/>
      <c r="F11462" s="39"/>
    </row>
    <row r="11463">
      <c r="D11463" s="39"/>
      <c r="E11463" s="39"/>
      <c r="F11463" s="39"/>
    </row>
    <row r="11464">
      <c r="D11464" s="39"/>
      <c r="E11464" s="39"/>
      <c r="F11464" s="39"/>
    </row>
    <row r="11465">
      <c r="D11465" s="39"/>
      <c r="E11465" s="39"/>
      <c r="F11465" s="39"/>
    </row>
    <row r="11466">
      <c r="D11466" s="39"/>
      <c r="E11466" s="39"/>
      <c r="F11466" s="39"/>
    </row>
    <row r="11467">
      <c r="D11467" s="39"/>
      <c r="E11467" s="39"/>
      <c r="F11467" s="39"/>
    </row>
    <row r="11468">
      <c r="D11468" s="39"/>
      <c r="E11468" s="39"/>
      <c r="F11468" s="39"/>
    </row>
    <row r="11469">
      <c r="D11469" s="39"/>
      <c r="E11469" s="39"/>
      <c r="F11469" s="39"/>
    </row>
    <row r="11470">
      <c r="D11470" s="39"/>
      <c r="E11470" s="39"/>
      <c r="F11470" s="39"/>
    </row>
    <row r="11471">
      <c r="D11471" s="39"/>
      <c r="E11471" s="39"/>
      <c r="F11471" s="39"/>
    </row>
    <row r="11472">
      <c r="D11472" s="39"/>
      <c r="E11472" s="39"/>
      <c r="F11472" s="39"/>
    </row>
    <row r="11473">
      <c r="D11473" s="39"/>
      <c r="E11473" s="39"/>
      <c r="F11473" s="39"/>
    </row>
    <row r="11474">
      <c r="D11474" s="39"/>
      <c r="E11474" s="39"/>
      <c r="F11474" s="39"/>
    </row>
    <row r="11475">
      <c r="D11475" s="39"/>
      <c r="E11475" s="39"/>
      <c r="F11475" s="39"/>
    </row>
    <row r="11476">
      <c r="D11476" s="39"/>
      <c r="E11476" s="39"/>
      <c r="F11476" s="39"/>
    </row>
    <row r="11477">
      <c r="D11477" s="39"/>
      <c r="E11477" s="39"/>
      <c r="F11477" s="39"/>
    </row>
    <row r="11478">
      <c r="D11478" s="39"/>
      <c r="E11478" s="39"/>
      <c r="F11478" s="39"/>
    </row>
    <row r="11479">
      <c r="D11479" s="39"/>
      <c r="E11479" s="39"/>
      <c r="F11479" s="39"/>
    </row>
    <row r="11480">
      <c r="D11480" s="39"/>
      <c r="E11480" s="39"/>
      <c r="F11480" s="39"/>
    </row>
    <row r="11481">
      <c r="D11481" s="39"/>
      <c r="E11481" s="39"/>
      <c r="F11481" s="39"/>
    </row>
    <row r="11482">
      <c r="D11482" s="39"/>
      <c r="E11482" s="39"/>
      <c r="F11482" s="39"/>
    </row>
    <row r="11483">
      <c r="D11483" s="39"/>
      <c r="E11483" s="39"/>
      <c r="F11483" s="39"/>
    </row>
    <row r="11484">
      <c r="D11484" s="39"/>
      <c r="E11484" s="39"/>
      <c r="F11484" s="39"/>
    </row>
    <row r="11485">
      <c r="D11485" s="39"/>
      <c r="E11485" s="39"/>
      <c r="F11485" s="39"/>
    </row>
    <row r="11486">
      <c r="D11486" s="39"/>
      <c r="E11486" s="39"/>
      <c r="F11486" s="39"/>
    </row>
    <row r="11487">
      <c r="D11487" s="39"/>
      <c r="E11487" s="39"/>
      <c r="F11487" s="39"/>
    </row>
    <row r="11488">
      <c r="D11488" s="39"/>
      <c r="E11488" s="39"/>
      <c r="F11488" s="39"/>
    </row>
    <row r="11489">
      <c r="D11489" s="39"/>
      <c r="E11489" s="39"/>
      <c r="F11489" s="39"/>
    </row>
    <row r="11490">
      <c r="D11490" s="39"/>
      <c r="E11490" s="39"/>
      <c r="F11490" s="39"/>
    </row>
    <row r="11491">
      <c r="D11491" s="39"/>
      <c r="E11491" s="39"/>
      <c r="F11491" s="39"/>
    </row>
    <row r="11492">
      <c r="D11492" s="39"/>
      <c r="E11492" s="39"/>
      <c r="F11492" s="39"/>
    </row>
    <row r="11493">
      <c r="D11493" s="39"/>
      <c r="E11493" s="39"/>
      <c r="F11493" s="39"/>
    </row>
    <row r="11494">
      <c r="D11494" s="39"/>
      <c r="E11494" s="39"/>
      <c r="F11494" s="39"/>
    </row>
    <row r="11495">
      <c r="D11495" s="39"/>
      <c r="E11495" s="39"/>
      <c r="F11495" s="39"/>
    </row>
    <row r="11496">
      <c r="D11496" s="39"/>
      <c r="E11496" s="39"/>
      <c r="F11496" s="39"/>
    </row>
    <row r="11497">
      <c r="D11497" s="39"/>
      <c r="E11497" s="39"/>
      <c r="F11497" s="39"/>
    </row>
    <row r="11498">
      <c r="D11498" s="39"/>
      <c r="E11498" s="39"/>
      <c r="F11498" s="39"/>
    </row>
    <row r="11499">
      <c r="D11499" s="39"/>
      <c r="E11499" s="39"/>
      <c r="F11499" s="39"/>
    </row>
    <row r="11500">
      <c r="D11500" s="39"/>
      <c r="E11500" s="39"/>
      <c r="F11500" s="39"/>
    </row>
    <row r="11501">
      <c r="D11501" s="39"/>
      <c r="E11501" s="39"/>
      <c r="F11501" s="39"/>
    </row>
    <row r="11502">
      <c r="D11502" s="39"/>
      <c r="E11502" s="39"/>
      <c r="F11502" s="39"/>
    </row>
    <row r="11503">
      <c r="D11503" s="39"/>
      <c r="E11503" s="39"/>
      <c r="F11503" s="39"/>
    </row>
    <row r="11504">
      <c r="D11504" s="39"/>
      <c r="E11504" s="39"/>
      <c r="F11504" s="39"/>
    </row>
    <row r="11505">
      <c r="D11505" s="39"/>
      <c r="E11505" s="39"/>
      <c r="F11505" s="39"/>
    </row>
    <row r="11506">
      <c r="D11506" s="39"/>
      <c r="E11506" s="39"/>
      <c r="F11506" s="39"/>
    </row>
    <row r="11507">
      <c r="D11507" s="39"/>
      <c r="E11507" s="39"/>
      <c r="F11507" s="39"/>
    </row>
    <row r="11508">
      <c r="D11508" s="39"/>
      <c r="E11508" s="39"/>
      <c r="F11508" s="39"/>
    </row>
    <row r="11509">
      <c r="D11509" s="39"/>
      <c r="E11509" s="39"/>
      <c r="F11509" s="39"/>
    </row>
    <row r="11510">
      <c r="D11510" s="39"/>
      <c r="E11510" s="39"/>
      <c r="F11510" s="39"/>
    </row>
    <row r="11511">
      <c r="D11511" s="39"/>
      <c r="E11511" s="39"/>
      <c r="F11511" s="39"/>
    </row>
    <row r="11512">
      <c r="D11512" s="39"/>
      <c r="E11512" s="39"/>
      <c r="F11512" s="39"/>
    </row>
    <row r="11513">
      <c r="D11513" s="39"/>
      <c r="E11513" s="39"/>
      <c r="F11513" s="39"/>
    </row>
    <row r="11514">
      <c r="D11514" s="39"/>
      <c r="E11514" s="39"/>
      <c r="F11514" s="39"/>
    </row>
    <row r="11515">
      <c r="D11515" s="39"/>
      <c r="E11515" s="39"/>
      <c r="F11515" s="39"/>
    </row>
    <row r="11516">
      <c r="D11516" s="39"/>
      <c r="E11516" s="39"/>
      <c r="F11516" s="39"/>
    </row>
    <row r="11517">
      <c r="D11517" s="39"/>
      <c r="E11517" s="39"/>
      <c r="F11517" s="39"/>
    </row>
    <row r="11518">
      <c r="D11518" s="39"/>
      <c r="E11518" s="39"/>
      <c r="F11518" s="39"/>
    </row>
    <row r="11519">
      <c r="D11519" s="39"/>
      <c r="E11519" s="39"/>
      <c r="F11519" s="39"/>
    </row>
    <row r="11520">
      <c r="D11520" s="39"/>
      <c r="E11520" s="39"/>
      <c r="F11520" s="39"/>
    </row>
    <row r="11521">
      <c r="D11521" s="39"/>
      <c r="E11521" s="39"/>
      <c r="F11521" s="39"/>
    </row>
    <row r="11522">
      <c r="D11522" s="39"/>
      <c r="E11522" s="39"/>
      <c r="F11522" s="39"/>
    </row>
    <row r="11523">
      <c r="D11523" s="39"/>
      <c r="E11523" s="39"/>
      <c r="F11523" s="39"/>
    </row>
    <row r="11524">
      <c r="D11524" s="39"/>
      <c r="E11524" s="39"/>
      <c r="F11524" s="39"/>
    </row>
    <row r="11525">
      <c r="D11525" s="39"/>
      <c r="E11525" s="39"/>
      <c r="F11525" s="39"/>
    </row>
    <row r="11526">
      <c r="D11526" s="39"/>
      <c r="E11526" s="39"/>
      <c r="F11526" s="39"/>
    </row>
    <row r="11527">
      <c r="D11527" s="39"/>
      <c r="E11527" s="39"/>
      <c r="F11527" s="39"/>
    </row>
    <row r="11528">
      <c r="D11528" s="39"/>
      <c r="E11528" s="39"/>
      <c r="F11528" s="39"/>
    </row>
    <row r="11529">
      <c r="D11529" s="39"/>
      <c r="E11529" s="39"/>
      <c r="F11529" s="39"/>
    </row>
    <row r="11530">
      <c r="D11530" s="39"/>
      <c r="E11530" s="39"/>
      <c r="F11530" s="39"/>
    </row>
    <row r="11531">
      <c r="D11531" s="39"/>
      <c r="E11531" s="39"/>
      <c r="F11531" s="39"/>
    </row>
    <row r="11532">
      <c r="D11532" s="39"/>
      <c r="E11532" s="39"/>
      <c r="F11532" s="39"/>
    </row>
    <row r="11533">
      <c r="D11533" s="39"/>
      <c r="E11533" s="39"/>
      <c r="F11533" s="39"/>
    </row>
    <row r="11534">
      <c r="D11534" s="39"/>
      <c r="E11534" s="39"/>
      <c r="F11534" s="39"/>
    </row>
    <row r="11535">
      <c r="D11535" s="39"/>
      <c r="E11535" s="39"/>
      <c r="F11535" s="39"/>
    </row>
    <row r="11536">
      <c r="D11536" s="39"/>
      <c r="E11536" s="39"/>
      <c r="F11536" s="39"/>
    </row>
    <row r="11537">
      <c r="D11537" s="39"/>
      <c r="E11537" s="39"/>
      <c r="F11537" s="39"/>
    </row>
    <row r="11538">
      <c r="D11538" s="39"/>
      <c r="E11538" s="39"/>
      <c r="F11538" s="39"/>
    </row>
    <row r="11539">
      <c r="D11539" s="39"/>
      <c r="E11539" s="39"/>
      <c r="F11539" s="39"/>
    </row>
    <row r="11540">
      <c r="D11540" s="39"/>
      <c r="E11540" s="39"/>
      <c r="F11540" s="39"/>
    </row>
    <row r="11541">
      <c r="D11541" s="39"/>
      <c r="E11541" s="39"/>
      <c r="F11541" s="39"/>
    </row>
    <row r="11542">
      <c r="D11542" s="39"/>
      <c r="E11542" s="39"/>
      <c r="F11542" s="39"/>
    </row>
    <row r="11543">
      <c r="D11543" s="39"/>
      <c r="E11543" s="39"/>
      <c r="F11543" s="39"/>
    </row>
    <row r="11544">
      <c r="D11544" s="39"/>
      <c r="E11544" s="39"/>
      <c r="F11544" s="39"/>
    </row>
    <row r="11545">
      <c r="D11545" s="39"/>
      <c r="E11545" s="39"/>
      <c r="F11545" s="39"/>
    </row>
    <row r="11546">
      <c r="D11546" s="39"/>
      <c r="E11546" s="39"/>
      <c r="F11546" s="39"/>
    </row>
    <row r="11547">
      <c r="D11547" s="39"/>
      <c r="E11547" s="39"/>
      <c r="F11547" s="39"/>
    </row>
    <row r="11548">
      <c r="D11548" s="39"/>
      <c r="E11548" s="39"/>
      <c r="F11548" s="39"/>
    </row>
    <row r="11549">
      <c r="D11549" s="39"/>
      <c r="E11549" s="39"/>
      <c r="F11549" s="39"/>
    </row>
    <row r="11550">
      <c r="D11550" s="39"/>
      <c r="E11550" s="39"/>
      <c r="F11550" s="39"/>
    </row>
    <row r="11551">
      <c r="D11551" s="39"/>
      <c r="E11551" s="39"/>
      <c r="F11551" s="39"/>
    </row>
    <row r="11552">
      <c r="D11552" s="39"/>
      <c r="E11552" s="39"/>
      <c r="F11552" s="39"/>
    </row>
    <row r="11553">
      <c r="D11553" s="39"/>
      <c r="E11553" s="39"/>
      <c r="F11553" s="39"/>
    </row>
    <row r="11554">
      <c r="D11554" s="39"/>
      <c r="E11554" s="39"/>
      <c r="F11554" s="39"/>
    </row>
    <row r="11555">
      <c r="D11555" s="39"/>
      <c r="E11555" s="39"/>
      <c r="F11555" s="39"/>
    </row>
    <row r="11556">
      <c r="D11556" s="39"/>
      <c r="E11556" s="39"/>
      <c r="F11556" s="39"/>
    </row>
    <row r="11557">
      <c r="D11557" s="39"/>
      <c r="E11557" s="39"/>
      <c r="F11557" s="39"/>
    </row>
    <row r="11558">
      <c r="D11558" s="39"/>
      <c r="E11558" s="39"/>
      <c r="F11558" s="39"/>
    </row>
    <row r="11559">
      <c r="D11559" s="39"/>
      <c r="E11559" s="39"/>
      <c r="F11559" s="39"/>
    </row>
    <row r="11560">
      <c r="D11560" s="39"/>
      <c r="E11560" s="39"/>
      <c r="F11560" s="39"/>
    </row>
    <row r="11561">
      <c r="D11561" s="39"/>
      <c r="E11561" s="39"/>
      <c r="F11561" s="39"/>
    </row>
    <row r="11562">
      <c r="D11562" s="39"/>
      <c r="E11562" s="39"/>
      <c r="F11562" s="39"/>
    </row>
    <row r="11563">
      <c r="D11563" s="39"/>
      <c r="E11563" s="39"/>
      <c r="F11563" s="39"/>
    </row>
    <row r="11564">
      <c r="D11564" s="39"/>
      <c r="E11564" s="39"/>
      <c r="F11564" s="39"/>
    </row>
    <row r="11565">
      <c r="D11565" s="39"/>
      <c r="E11565" s="39"/>
      <c r="F11565" s="39"/>
    </row>
    <row r="11566">
      <c r="D11566" s="39"/>
      <c r="E11566" s="39"/>
      <c r="F11566" s="39"/>
    </row>
    <row r="11567">
      <c r="D11567" s="39"/>
      <c r="E11567" s="39"/>
      <c r="F11567" s="39"/>
    </row>
    <row r="11568">
      <c r="D11568" s="39"/>
      <c r="E11568" s="39"/>
      <c r="F11568" s="39"/>
    </row>
    <row r="11569">
      <c r="D11569" s="39"/>
      <c r="E11569" s="39"/>
      <c r="F11569" s="39"/>
    </row>
    <row r="11570">
      <c r="D11570" s="39"/>
      <c r="E11570" s="39"/>
      <c r="F11570" s="39"/>
    </row>
    <row r="11571">
      <c r="D11571" s="39"/>
      <c r="E11571" s="39"/>
      <c r="F11571" s="39"/>
    </row>
    <row r="11572">
      <c r="D11572" s="39"/>
      <c r="E11572" s="39"/>
      <c r="F11572" s="39"/>
    </row>
    <row r="11573">
      <c r="D11573" s="39"/>
      <c r="E11573" s="39"/>
      <c r="F11573" s="39"/>
    </row>
    <row r="11574">
      <c r="D11574" s="39"/>
      <c r="E11574" s="39"/>
      <c r="F11574" s="39"/>
    </row>
    <row r="11575">
      <c r="D11575" s="39"/>
      <c r="E11575" s="39"/>
      <c r="F11575" s="39"/>
    </row>
    <row r="11576">
      <c r="D11576" s="39"/>
      <c r="E11576" s="39"/>
      <c r="F11576" s="39"/>
    </row>
    <row r="11577">
      <c r="D11577" s="39"/>
      <c r="E11577" s="39"/>
      <c r="F11577" s="39"/>
    </row>
    <row r="11578">
      <c r="D11578" s="39"/>
      <c r="E11578" s="39"/>
      <c r="F11578" s="39"/>
    </row>
    <row r="11579">
      <c r="D11579" s="39"/>
      <c r="E11579" s="39"/>
      <c r="F11579" s="39"/>
    </row>
    <row r="11580">
      <c r="D11580" s="39"/>
      <c r="E11580" s="39"/>
      <c r="F11580" s="39"/>
    </row>
    <row r="11581">
      <c r="D11581" s="39"/>
      <c r="E11581" s="39"/>
      <c r="F11581" s="39"/>
    </row>
    <row r="11582">
      <c r="D11582" s="39"/>
      <c r="E11582" s="39"/>
      <c r="F11582" s="39"/>
    </row>
    <row r="11583">
      <c r="D11583" s="39"/>
      <c r="E11583" s="39"/>
      <c r="F11583" s="39"/>
    </row>
    <row r="11584">
      <c r="D11584" s="39"/>
      <c r="E11584" s="39"/>
      <c r="F11584" s="39"/>
    </row>
    <row r="11585">
      <c r="D11585" s="39"/>
      <c r="E11585" s="39"/>
      <c r="F11585" s="39"/>
    </row>
    <row r="11586">
      <c r="D11586" s="39"/>
      <c r="E11586" s="39"/>
      <c r="F11586" s="39"/>
    </row>
    <row r="11587">
      <c r="D11587" s="39"/>
      <c r="E11587" s="39"/>
      <c r="F11587" s="39"/>
    </row>
    <row r="11588">
      <c r="D11588" s="39"/>
      <c r="E11588" s="39"/>
      <c r="F11588" s="39"/>
    </row>
    <row r="11589">
      <c r="D11589" s="39"/>
      <c r="E11589" s="39"/>
      <c r="F11589" s="39"/>
    </row>
    <row r="11590">
      <c r="D11590" s="39"/>
      <c r="E11590" s="39"/>
      <c r="F11590" s="39"/>
    </row>
    <row r="11591">
      <c r="D11591" s="39"/>
      <c r="E11591" s="39"/>
      <c r="F11591" s="39"/>
    </row>
    <row r="11592">
      <c r="D11592" s="39"/>
      <c r="E11592" s="39"/>
      <c r="F11592" s="39"/>
    </row>
    <row r="11593">
      <c r="D11593" s="39"/>
      <c r="E11593" s="39"/>
      <c r="F11593" s="39"/>
    </row>
    <row r="11594">
      <c r="D11594" s="39"/>
      <c r="E11594" s="39"/>
      <c r="F11594" s="39"/>
    </row>
    <row r="11595">
      <c r="D11595" s="39"/>
      <c r="E11595" s="39"/>
      <c r="F11595" s="39"/>
    </row>
    <row r="11596">
      <c r="D11596" s="39"/>
      <c r="E11596" s="39"/>
      <c r="F11596" s="39"/>
    </row>
    <row r="11597">
      <c r="D11597" s="39"/>
      <c r="E11597" s="39"/>
      <c r="F11597" s="39"/>
    </row>
    <row r="11598">
      <c r="D11598" s="39"/>
      <c r="E11598" s="39"/>
      <c r="F11598" s="39"/>
    </row>
    <row r="11599">
      <c r="D11599" s="39"/>
      <c r="E11599" s="39"/>
      <c r="F11599" s="39"/>
    </row>
    <row r="11600">
      <c r="D11600" s="39"/>
      <c r="E11600" s="39"/>
      <c r="F11600" s="39"/>
    </row>
    <row r="11601">
      <c r="D11601" s="39"/>
      <c r="E11601" s="39"/>
      <c r="F11601" s="39"/>
    </row>
    <row r="11602">
      <c r="D11602" s="39"/>
      <c r="E11602" s="39"/>
      <c r="F11602" s="39"/>
    </row>
    <row r="11603">
      <c r="D11603" s="39"/>
      <c r="E11603" s="39"/>
      <c r="F11603" s="39"/>
    </row>
    <row r="11604">
      <c r="D11604" s="39"/>
      <c r="E11604" s="39"/>
      <c r="F11604" s="39"/>
    </row>
    <row r="11605">
      <c r="D11605" s="39"/>
      <c r="E11605" s="39"/>
      <c r="F11605" s="39"/>
    </row>
    <row r="11606">
      <c r="D11606" s="39"/>
      <c r="E11606" s="39"/>
      <c r="F11606" s="39"/>
    </row>
    <row r="11607">
      <c r="D11607" s="39"/>
      <c r="E11607" s="39"/>
      <c r="F11607" s="39"/>
    </row>
    <row r="11608">
      <c r="D11608" s="39"/>
      <c r="E11608" s="39"/>
      <c r="F11608" s="39"/>
    </row>
    <row r="11609">
      <c r="D11609" s="39"/>
      <c r="E11609" s="39"/>
      <c r="F11609" s="39"/>
    </row>
    <row r="11610">
      <c r="D11610" s="39"/>
      <c r="E11610" s="39"/>
      <c r="F11610" s="39"/>
    </row>
    <row r="11611">
      <c r="D11611" s="39"/>
      <c r="E11611" s="39"/>
      <c r="F11611" s="39"/>
    </row>
    <row r="11612">
      <c r="D11612" s="39"/>
      <c r="E11612" s="39"/>
      <c r="F11612" s="39"/>
    </row>
    <row r="11613">
      <c r="D11613" s="39"/>
      <c r="E11613" s="39"/>
      <c r="F11613" s="39"/>
    </row>
    <row r="11614">
      <c r="D11614" s="39"/>
      <c r="E11614" s="39"/>
      <c r="F11614" s="39"/>
    </row>
    <row r="11615">
      <c r="D11615" s="39"/>
      <c r="E11615" s="39"/>
      <c r="F11615" s="39"/>
    </row>
    <row r="11616">
      <c r="D11616" s="39"/>
      <c r="E11616" s="39"/>
      <c r="F11616" s="39"/>
    </row>
    <row r="11617">
      <c r="D11617" s="39"/>
      <c r="E11617" s="39"/>
      <c r="F11617" s="39"/>
    </row>
    <row r="11618">
      <c r="D11618" s="39"/>
      <c r="E11618" s="39"/>
      <c r="F11618" s="39"/>
    </row>
    <row r="11619">
      <c r="D11619" s="39"/>
      <c r="E11619" s="39"/>
      <c r="F11619" s="39"/>
    </row>
    <row r="11620">
      <c r="D11620" s="39"/>
      <c r="E11620" s="39"/>
      <c r="F11620" s="39"/>
    </row>
    <row r="11621">
      <c r="D11621" s="39"/>
      <c r="E11621" s="39"/>
      <c r="F11621" s="39"/>
    </row>
    <row r="11622">
      <c r="D11622" s="39"/>
      <c r="E11622" s="39"/>
      <c r="F11622" s="39"/>
    </row>
    <row r="11623">
      <c r="D11623" s="39"/>
      <c r="E11623" s="39"/>
      <c r="F11623" s="39"/>
    </row>
    <row r="11624">
      <c r="D11624" s="39"/>
      <c r="E11624" s="39"/>
      <c r="F11624" s="39"/>
    </row>
    <row r="11625">
      <c r="D11625" s="39"/>
      <c r="E11625" s="39"/>
      <c r="F11625" s="39"/>
    </row>
    <row r="11626">
      <c r="D11626" s="39"/>
      <c r="E11626" s="39"/>
      <c r="F11626" s="39"/>
    </row>
    <row r="11627">
      <c r="D11627" s="39"/>
      <c r="E11627" s="39"/>
      <c r="F11627" s="39"/>
    </row>
    <row r="11628">
      <c r="D11628" s="39"/>
      <c r="E11628" s="39"/>
      <c r="F11628" s="39"/>
    </row>
    <row r="11629">
      <c r="D11629" s="39"/>
      <c r="E11629" s="39"/>
      <c r="F11629" s="39"/>
    </row>
    <row r="11630">
      <c r="D11630" s="39"/>
      <c r="E11630" s="39"/>
      <c r="F11630" s="39"/>
    </row>
    <row r="11631">
      <c r="D11631" s="39"/>
      <c r="E11631" s="39"/>
      <c r="F11631" s="39"/>
    </row>
    <row r="11632">
      <c r="D11632" s="39"/>
      <c r="E11632" s="39"/>
      <c r="F11632" s="39"/>
    </row>
    <row r="11633">
      <c r="D11633" s="39"/>
      <c r="E11633" s="39"/>
      <c r="F11633" s="39"/>
    </row>
    <row r="11634">
      <c r="D11634" s="39"/>
      <c r="E11634" s="39"/>
      <c r="F11634" s="39"/>
    </row>
    <row r="11635">
      <c r="D11635" s="39"/>
      <c r="E11635" s="39"/>
      <c r="F11635" s="39"/>
    </row>
    <row r="11636">
      <c r="D11636" s="39"/>
      <c r="E11636" s="39"/>
      <c r="F11636" s="39"/>
    </row>
    <row r="11637">
      <c r="D11637" s="39"/>
      <c r="E11637" s="39"/>
      <c r="F11637" s="39"/>
    </row>
    <row r="11638">
      <c r="D11638" s="39"/>
      <c r="E11638" s="39"/>
      <c r="F11638" s="39"/>
    </row>
    <row r="11639">
      <c r="D11639" s="39"/>
      <c r="E11639" s="39"/>
      <c r="F11639" s="39"/>
    </row>
    <row r="11640">
      <c r="D11640" s="39"/>
      <c r="E11640" s="39"/>
      <c r="F11640" s="39"/>
    </row>
    <row r="11641">
      <c r="D11641" s="39"/>
      <c r="E11641" s="39"/>
      <c r="F11641" s="39"/>
    </row>
    <row r="11642">
      <c r="D11642" s="39"/>
      <c r="E11642" s="39"/>
      <c r="F11642" s="39"/>
    </row>
    <row r="11643">
      <c r="D11643" s="39"/>
      <c r="E11643" s="39"/>
      <c r="F11643" s="39"/>
    </row>
    <row r="11644">
      <c r="D11644" s="39"/>
      <c r="E11644" s="39"/>
      <c r="F11644" s="39"/>
    </row>
    <row r="11645">
      <c r="D11645" s="39"/>
      <c r="E11645" s="39"/>
      <c r="F11645" s="39"/>
    </row>
    <row r="11646">
      <c r="D11646" s="39"/>
      <c r="E11646" s="39"/>
      <c r="F11646" s="39"/>
    </row>
    <row r="11647">
      <c r="D11647" s="39"/>
      <c r="E11647" s="39"/>
      <c r="F11647" s="39"/>
    </row>
    <row r="11648">
      <c r="D11648" s="39"/>
      <c r="E11648" s="39"/>
      <c r="F11648" s="39"/>
    </row>
    <row r="11649">
      <c r="D11649" s="39"/>
      <c r="E11649" s="39"/>
      <c r="F11649" s="39"/>
    </row>
    <row r="11650">
      <c r="D11650" s="39"/>
      <c r="E11650" s="39"/>
      <c r="F11650" s="39"/>
    </row>
    <row r="11651">
      <c r="D11651" s="39"/>
      <c r="E11651" s="39"/>
      <c r="F11651" s="39"/>
    </row>
    <row r="11652">
      <c r="D11652" s="39"/>
      <c r="E11652" s="39"/>
      <c r="F11652" s="39"/>
    </row>
    <row r="11653">
      <c r="D11653" s="39"/>
      <c r="E11653" s="39"/>
      <c r="F11653" s="39"/>
    </row>
    <row r="11654">
      <c r="D11654" s="39"/>
      <c r="E11654" s="39"/>
      <c r="F11654" s="39"/>
    </row>
    <row r="11655">
      <c r="D11655" s="39"/>
      <c r="E11655" s="39"/>
      <c r="F11655" s="39"/>
    </row>
    <row r="11656">
      <c r="D11656" s="39"/>
      <c r="E11656" s="39"/>
      <c r="F11656" s="39"/>
    </row>
    <row r="11657">
      <c r="D11657" s="39"/>
      <c r="E11657" s="39"/>
      <c r="F11657" s="39"/>
    </row>
    <row r="11658">
      <c r="D11658" s="39"/>
      <c r="E11658" s="39"/>
      <c r="F11658" s="39"/>
    </row>
    <row r="11659">
      <c r="D11659" s="39"/>
      <c r="E11659" s="39"/>
      <c r="F11659" s="39"/>
    </row>
    <row r="11660">
      <c r="D11660" s="39"/>
      <c r="E11660" s="39"/>
      <c r="F11660" s="39"/>
    </row>
    <row r="11661">
      <c r="D11661" s="39"/>
      <c r="E11661" s="39"/>
      <c r="F11661" s="39"/>
    </row>
    <row r="11662">
      <c r="D11662" s="39"/>
      <c r="E11662" s="39"/>
      <c r="F11662" s="39"/>
    </row>
    <row r="11663">
      <c r="D11663" s="39"/>
      <c r="E11663" s="39"/>
      <c r="F11663" s="39"/>
    </row>
    <row r="11664">
      <c r="D11664" s="39"/>
      <c r="E11664" s="39"/>
      <c r="F11664" s="39"/>
    </row>
    <row r="11665">
      <c r="D11665" s="39"/>
      <c r="E11665" s="39"/>
      <c r="F11665" s="39"/>
    </row>
    <row r="11666">
      <c r="D11666" s="39"/>
      <c r="E11666" s="39"/>
      <c r="F11666" s="39"/>
    </row>
    <row r="11667">
      <c r="D11667" s="39"/>
      <c r="E11667" s="39"/>
      <c r="F11667" s="39"/>
    </row>
    <row r="11668">
      <c r="D11668" s="39"/>
      <c r="E11668" s="39"/>
      <c r="F11668" s="39"/>
    </row>
    <row r="11669">
      <c r="D11669" s="39"/>
      <c r="E11669" s="39"/>
      <c r="F11669" s="39"/>
    </row>
    <row r="11670">
      <c r="D11670" s="39"/>
      <c r="E11670" s="39"/>
      <c r="F11670" s="39"/>
    </row>
    <row r="11671">
      <c r="D11671" s="39"/>
      <c r="E11671" s="39"/>
      <c r="F11671" s="39"/>
    </row>
    <row r="11672">
      <c r="D11672" s="39"/>
      <c r="E11672" s="39"/>
      <c r="F11672" s="39"/>
    </row>
    <row r="11673">
      <c r="D11673" s="39"/>
      <c r="E11673" s="39"/>
      <c r="F11673" s="39"/>
    </row>
    <row r="11674">
      <c r="D11674" s="39"/>
      <c r="E11674" s="39"/>
      <c r="F11674" s="39"/>
    </row>
    <row r="11675">
      <c r="D11675" s="39"/>
      <c r="E11675" s="39"/>
      <c r="F11675" s="39"/>
    </row>
    <row r="11676">
      <c r="D11676" s="39"/>
      <c r="E11676" s="39"/>
      <c r="F11676" s="39"/>
    </row>
    <row r="11677">
      <c r="D11677" s="39"/>
      <c r="E11677" s="39"/>
      <c r="F11677" s="39"/>
    </row>
    <row r="11678">
      <c r="D11678" s="39"/>
      <c r="E11678" s="39"/>
      <c r="F11678" s="39"/>
    </row>
    <row r="11679">
      <c r="D11679" s="39"/>
      <c r="E11679" s="39"/>
      <c r="F11679" s="39"/>
    </row>
    <row r="11680">
      <c r="D11680" s="39"/>
      <c r="E11680" s="39"/>
      <c r="F11680" s="39"/>
    </row>
    <row r="11681">
      <c r="D11681" s="39"/>
      <c r="E11681" s="39"/>
      <c r="F11681" s="39"/>
    </row>
    <row r="11682">
      <c r="D11682" s="39"/>
      <c r="E11682" s="39"/>
      <c r="F11682" s="39"/>
    </row>
    <row r="11683">
      <c r="D11683" s="39"/>
      <c r="E11683" s="39"/>
      <c r="F11683" s="39"/>
    </row>
    <row r="11684">
      <c r="D11684" s="39"/>
      <c r="E11684" s="39"/>
      <c r="F11684" s="39"/>
    </row>
    <row r="11685">
      <c r="D11685" s="39"/>
      <c r="E11685" s="39"/>
      <c r="F11685" s="39"/>
    </row>
    <row r="11686">
      <c r="D11686" s="39"/>
      <c r="E11686" s="39"/>
      <c r="F11686" s="39"/>
    </row>
    <row r="11687">
      <c r="D11687" s="39"/>
      <c r="E11687" s="39"/>
      <c r="F11687" s="39"/>
    </row>
    <row r="11688">
      <c r="D11688" s="39"/>
      <c r="E11688" s="39"/>
      <c r="F11688" s="39"/>
    </row>
    <row r="11689">
      <c r="D11689" s="39"/>
      <c r="E11689" s="39"/>
      <c r="F11689" s="39"/>
    </row>
    <row r="11690">
      <c r="D11690" s="39"/>
      <c r="E11690" s="39"/>
      <c r="F11690" s="39"/>
    </row>
    <row r="11691">
      <c r="D11691" s="39"/>
      <c r="E11691" s="39"/>
      <c r="F11691" s="39"/>
    </row>
    <row r="11692">
      <c r="D11692" s="39"/>
      <c r="E11692" s="39"/>
      <c r="F11692" s="39"/>
    </row>
    <row r="11693">
      <c r="D11693" s="39"/>
      <c r="E11693" s="39"/>
      <c r="F11693" s="39"/>
    </row>
    <row r="11694">
      <c r="D11694" s="39"/>
      <c r="E11694" s="39"/>
      <c r="F11694" s="39"/>
    </row>
    <row r="11695">
      <c r="D11695" s="39"/>
      <c r="E11695" s="39"/>
      <c r="F11695" s="39"/>
    </row>
    <row r="11696">
      <c r="D11696" s="39"/>
      <c r="E11696" s="39"/>
      <c r="F11696" s="39"/>
    </row>
    <row r="11697">
      <c r="D11697" s="39"/>
      <c r="E11697" s="39"/>
      <c r="F11697" s="39"/>
    </row>
    <row r="11698">
      <c r="D11698" s="39"/>
      <c r="E11698" s="39"/>
      <c r="F11698" s="39"/>
    </row>
    <row r="11699">
      <c r="D11699" s="39"/>
      <c r="E11699" s="39"/>
      <c r="F11699" s="39"/>
    </row>
    <row r="11700">
      <c r="D11700" s="39"/>
      <c r="E11700" s="39"/>
      <c r="F11700" s="39"/>
    </row>
    <row r="11701">
      <c r="D11701" s="39"/>
      <c r="E11701" s="39"/>
      <c r="F11701" s="39"/>
    </row>
    <row r="11702">
      <c r="D11702" s="39"/>
      <c r="E11702" s="39"/>
      <c r="F11702" s="39"/>
    </row>
    <row r="11703">
      <c r="D11703" s="39"/>
      <c r="E11703" s="39"/>
      <c r="F11703" s="39"/>
    </row>
    <row r="11704">
      <c r="D11704" s="39"/>
      <c r="E11704" s="39"/>
      <c r="F11704" s="39"/>
    </row>
    <row r="11705">
      <c r="D11705" s="39"/>
      <c r="E11705" s="39"/>
      <c r="F11705" s="39"/>
    </row>
    <row r="11706">
      <c r="D11706" s="39"/>
      <c r="E11706" s="39"/>
      <c r="F11706" s="39"/>
    </row>
    <row r="11707">
      <c r="D11707" s="39"/>
      <c r="E11707" s="39"/>
      <c r="F11707" s="39"/>
    </row>
    <row r="11708">
      <c r="D11708" s="39"/>
      <c r="E11708" s="39"/>
      <c r="F11708" s="39"/>
    </row>
    <row r="11709">
      <c r="D11709" s="39"/>
      <c r="E11709" s="39"/>
      <c r="F11709" s="39"/>
    </row>
    <row r="11710">
      <c r="D11710" s="39"/>
      <c r="E11710" s="39"/>
      <c r="F11710" s="39"/>
    </row>
    <row r="11711">
      <c r="D11711" s="39"/>
      <c r="E11711" s="39"/>
      <c r="F11711" s="39"/>
    </row>
    <row r="11712">
      <c r="D11712" s="39"/>
      <c r="E11712" s="39"/>
      <c r="F11712" s="39"/>
    </row>
    <row r="11713">
      <c r="D11713" s="39"/>
      <c r="E11713" s="39"/>
      <c r="F11713" s="39"/>
    </row>
    <row r="11714">
      <c r="D11714" s="39"/>
      <c r="E11714" s="39"/>
      <c r="F11714" s="39"/>
    </row>
    <row r="11715">
      <c r="D11715" s="39"/>
      <c r="E11715" s="39"/>
      <c r="F11715" s="39"/>
    </row>
    <row r="11716">
      <c r="D11716" s="39"/>
      <c r="E11716" s="39"/>
      <c r="F11716" s="39"/>
    </row>
    <row r="11717">
      <c r="D11717" s="39"/>
      <c r="E11717" s="39"/>
      <c r="F11717" s="39"/>
    </row>
    <row r="11718">
      <c r="D11718" s="39"/>
      <c r="E11718" s="39"/>
      <c r="F11718" s="39"/>
    </row>
    <row r="11719">
      <c r="D11719" s="39"/>
      <c r="E11719" s="39"/>
      <c r="F11719" s="39"/>
    </row>
    <row r="11720">
      <c r="D11720" s="39"/>
      <c r="E11720" s="39"/>
      <c r="F11720" s="39"/>
    </row>
    <row r="11721">
      <c r="D11721" s="39"/>
      <c r="E11721" s="39"/>
      <c r="F11721" s="39"/>
    </row>
    <row r="11722">
      <c r="D11722" s="39"/>
      <c r="E11722" s="39"/>
      <c r="F11722" s="39"/>
    </row>
    <row r="11723">
      <c r="D11723" s="39"/>
      <c r="E11723" s="39"/>
      <c r="F11723" s="39"/>
    </row>
    <row r="11724">
      <c r="D11724" s="39"/>
      <c r="E11724" s="39"/>
      <c r="F11724" s="39"/>
    </row>
    <row r="11725">
      <c r="D11725" s="39"/>
      <c r="E11725" s="39"/>
      <c r="F11725" s="39"/>
    </row>
    <row r="11726">
      <c r="D11726" s="39"/>
      <c r="E11726" s="39"/>
      <c r="F11726" s="39"/>
    </row>
    <row r="11727">
      <c r="D11727" s="39"/>
      <c r="E11727" s="39"/>
      <c r="F11727" s="39"/>
    </row>
    <row r="11728">
      <c r="D11728" s="39"/>
      <c r="E11728" s="39"/>
      <c r="F11728" s="39"/>
    </row>
    <row r="11729">
      <c r="D11729" s="39"/>
      <c r="E11729" s="39"/>
      <c r="F11729" s="39"/>
    </row>
    <row r="11730">
      <c r="D11730" s="39"/>
      <c r="E11730" s="39"/>
      <c r="F11730" s="39"/>
    </row>
    <row r="11731">
      <c r="D11731" s="39"/>
      <c r="E11731" s="39"/>
      <c r="F11731" s="39"/>
    </row>
    <row r="11732">
      <c r="D11732" s="39"/>
      <c r="E11732" s="39"/>
      <c r="F11732" s="39"/>
    </row>
    <row r="11733">
      <c r="D11733" s="39"/>
      <c r="E11733" s="39"/>
      <c r="F11733" s="39"/>
    </row>
    <row r="11734">
      <c r="D11734" s="39"/>
      <c r="E11734" s="39"/>
      <c r="F11734" s="39"/>
    </row>
    <row r="11735">
      <c r="D11735" s="39"/>
      <c r="E11735" s="39"/>
      <c r="F11735" s="39"/>
    </row>
    <row r="11736">
      <c r="D11736" s="39"/>
      <c r="E11736" s="39"/>
      <c r="F11736" s="39"/>
    </row>
    <row r="11737">
      <c r="D11737" s="39"/>
      <c r="E11737" s="39"/>
      <c r="F11737" s="39"/>
    </row>
    <row r="11738">
      <c r="D11738" s="39"/>
      <c r="E11738" s="39"/>
      <c r="F11738" s="39"/>
    </row>
    <row r="11739">
      <c r="D11739" s="39"/>
      <c r="E11739" s="39"/>
      <c r="F11739" s="39"/>
    </row>
    <row r="11740">
      <c r="D11740" s="39"/>
      <c r="E11740" s="39"/>
      <c r="F11740" s="39"/>
    </row>
    <row r="11741">
      <c r="D11741" s="39"/>
      <c r="E11741" s="39"/>
      <c r="F11741" s="39"/>
    </row>
    <row r="11742">
      <c r="D11742" s="39"/>
      <c r="E11742" s="39"/>
      <c r="F11742" s="39"/>
    </row>
    <row r="11743">
      <c r="D11743" s="39"/>
      <c r="E11743" s="39"/>
      <c r="F11743" s="39"/>
    </row>
    <row r="11744">
      <c r="D11744" s="39"/>
      <c r="E11744" s="39"/>
      <c r="F11744" s="39"/>
    </row>
    <row r="11745">
      <c r="D11745" s="39"/>
      <c r="E11745" s="39"/>
      <c r="F11745" s="39"/>
    </row>
    <row r="11746">
      <c r="D11746" s="39"/>
      <c r="E11746" s="39"/>
      <c r="F11746" s="39"/>
    </row>
    <row r="11747">
      <c r="D11747" s="39"/>
      <c r="E11747" s="39"/>
      <c r="F11747" s="39"/>
    </row>
    <row r="11748">
      <c r="D11748" s="39"/>
      <c r="E11748" s="39"/>
      <c r="F11748" s="39"/>
    </row>
    <row r="11749">
      <c r="D11749" s="39"/>
      <c r="E11749" s="39"/>
      <c r="F11749" s="39"/>
    </row>
    <row r="11750">
      <c r="D11750" s="39"/>
      <c r="E11750" s="39"/>
      <c r="F11750" s="39"/>
    </row>
    <row r="11751">
      <c r="D11751" s="39"/>
      <c r="E11751" s="39"/>
      <c r="F11751" s="39"/>
    </row>
    <row r="11752">
      <c r="D11752" s="39"/>
      <c r="E11752" s="39"/>
      <c r="F11752" s="39"/>
    </row>
    <row r="11753">
      <c r="D11753" s="39"/>
      <c r="E11753" s="39"/>
      <c r="F11753" s="39"/>
    </row>
    <row r="11754">
      <c r="D11754" s="39"/>
      <c r="E11754" s="39"/>
      <c r="F11754" s="39"/>
    </row>
    <row r="11755">
      <c r="D11755" s="39"/>
      <c r="E11755" s="39"/>
      <c r="F11755" s="39"/>
    </row>
    <row r="11756">
      <c r="D11756" s="39"/>
      <c r="E11756" s="39"/>
      <c r="F11756" s="39"/>
    </row>
    <row r="11757">
      <c r="D11757" s="39"/>
      <c r="E11757" s="39"/>
      <c r="F11757" s="39"/>
    </row>
    <row r="11758">
      <c r="D11758" s="39"/>
      <c r="E11758" s="39"/>
      <c r="F11758" s="39"/>
    </row>
    <row r="11759">
      <c r="D11759" s="39"/>
      <c r="E11759" s="39"/>
      <c r="F11759" s="39"/>
    </row>
    <row r="11760">
      <c r="D11760" s="39"/>
      <c r="E11760" s="39"/>
      <c r="F11760" s="39"/>
    </row>
    <row r="11761">
      <c r="D11761" s="39"/>
      <c r="E11761" s="39"/>
      <c r="F11761" s="39"/>
    </row>
    <row r="11762">
      <c r="D11762" s="39"/>
      <c r="E11762" s="39"/>
      <c r="F11762" s="39"/>
    </row>
    <row r="11763">
      <c r="D11763" s="39"/>
      <c r="E11763" s="39"/>
      <c r="F11763" s="39"/>
    </row>
    <row r="11764">
      <c r="D11764" s="39"/>
      <c r="E11764" s="39"/>
      <c r="F11764" s="39"/>
    </row>
    <row r="11765">
      <c r="D11765" s="39"/>
      <c r="E11765" s="39"/>
      <c r="F11765" s="39"/>
    </row>
    <row r="11766">
      <c r="D11766" s="39"/>
      <c r="E11766" s="39"/>
      <c r="F11766" s="39"/>
    </row>
    <row r="11767">
      <c r="D11767" s="39"/>
      <c r="E11767" s="39"/>
      <c r="F11767" s="39"/>
    </row>
    <row r="11768">
      <c r="D11768" s="39"/>
      <c r="E11768" s="39"/>
      <c r="F11768" s="39"/>
    </row>
    <row r="11769">
      <c r="D11769" s="39"/>
      <c r="E11769" s="39"/>
      <c r="F11769" s="39"/>
    </row>
    <row r="11770">
      <c r="D11770" s="39"/>
      <c r="E11770" s="39"/>
      <c r="F11770" s="39"/>
    </row>
    <row r="11771">
      <c r="D11771" s="39"/>
      <c r="E11771" s="39"/>
      <c r="F11771" s="39"/>
    </row>
    <row r="11772">
      <c r="D11772" s="39"/>
      <c r="E11772" s="39"/>
      <c r="F11772" s="39"/>
    </row>
    <row r="11773">
      <c r="D11773" s="39"/>
      <c r="E11773" s="39"/>
      <c r="F11773" s="39"/>
    </row>
    <row r="11774">
      <c r="D11774" s="39"/>
      <c r="E11774" s="39"/>
      <c r="F11774" s="39"/>
    </row>
    <row r="11775">
      <c r="D11775" s="39"/>
      <c r="E11775" s="39"/>
      <c r="F11775" s="39"/>
    </row>
    <row r="11776">
      <c r="D11776" s="39"/>
      <c r="E11776" s="39"/>
      <c r="F11776" s="39"/>
    </row>
    <row r="11777">
      <c r="D11777" s="39"/>
      <c r="E11777" s="39"/>
      <c r="F11777" s="39"/>
    </row>
    <row r="11778">
      <c r="D11778" s="39"/>
      <c r="E11778" s="39"/>
      <c r="F11778" s="39"/>
    </row>
    <row r="11779">
      <c r="D11779" s="39"/>
      <c r="E11779" s="39"/>
      <c r="F11779" s="39"/>
    </row>
    <row r="11780">
      <c r="D11780" s="39"/>
      <c r="E11780" s="39"/>
      <c r="F11780" s="39"/>
    </row>
    <row r="11781">
      <c r="D11781" s="39"/>
      <c r="E11781" s="39"/>
      <c r="F11781" s="39"/>
    </row>
    <row r="11782">
      <c r="D11782" s="39"/>
      <c r="E11782" s="39"/>
      <c r="F11782" s="39"/>
    </row>
    <row r="11783">
      <c r="D11783" s="39"/>
      <c r="E11783" s="39"/>
      <c r="F11783" s="39"/>
    </row>
    <row r="11784">
      <c r="D11784" s="39"/>
      <c r="E11784" s="39"/>
      <c r="F11784" s="39"/>
    </row>
    <row r="11785">
      <c r="D11785" s="39"/>
      <c r="E11785" s="39"/>
      <c r="F11785" s="39"/>
    </row>
    <row r="11786">
      <c r="D11786" s="39"/>
      <c r="E11786" s="39"/>
      <c r="F11786" s="39"/>
    </row>
    <row r="11787">
      <c r="D11787" s="39"/>
      <c r="E11787" s="39"/>
      <c r="F11787" s="39"/>
    </row>
    <row r="11788">
      <c r="D11788" s="39"/>
      <c r="E11788" s="39"/>
      <c r="F11788" s="39"/>
    </row>
    <row r="11789">
      <c r="D11789" s="39"/>
      <c r="E11789" s="39"/>
      <c r="F11789" s="39"/>
    </row>
    <row r="11790">
      <c r="D11790" s="39"/>
      <c r="E11790" s="39"/>
      <c r="F11790" s="39"/>
    </row>
    <row r="11791">
      <c r="D11791" s="39"/>
      <c r="E11791" s="39"/>
      <c r="F11791" s="39"/>
    </row>
    <row r="11792">
      <c r="D11792" s="39"/>
      <c r="E11792" s="39"/>
      <c r="F11792" s="39"/>
    </row>
    <row r="11793">
      <c r="D11793" s="39"/>
      <c r="E11793" s="39"/>
      <c r="F11793" s="39"/>
    </row>
    <row r="11794">
      <c r="D11794" s="39"/>
      <c r="E11794" s="39"/>
      <c r="F11794" s="39"/>
    </row>
    <row r="11795">
      <c r="D11795" s="39"/>
      <c r="E11795" s="39"/>
      <c r="F11795" s="39"/>
    </row>
    <row r="11796">
      <c r="D11796" s="39"/>
      <c r="E11796" s="39"/>
      <c r="F11796" s="39"/>
    </row>
    <row r="11797">
      <c r="D11797" s="39"/>
      <c r="E11797" s="39"/>
      <c r="F11797" s="39"/>
    </row>
    <row r="11798">
      <c r="D11798" s="39"/>
      <c r="E11798" s="39"/>
      <c r="F11798" s="39"/>
    </row>
    <row r="11799">
      <c r="D11799" s="39"/>
      <c r="E11799" s="39"/>
      <c r="F11799" s="39"/>
    </row>
    <row r="11800">
      <c r="D11800" s="39"/>
      <c r="E11800" s="39"/>
      <c r="F11800" s="39"/>
    </row>
    <row r="11801">
      <c r="D11801" s="39"/>
      <c r="E11801" s="39"/>
      <c r="F11801" s="39"/>
    </row>
    <row r="11802">
      <c r="D11802" s="39"/>
      <c r="E11802" s="39"/>
      <c r="F11802" s="39"/>
    </row>
    <row r="11803">
      <c r="D11803" s="39"/>
      <c r="E11803" s="39"/>
      <c r="F11803" s="39"/>
    </row>
    <row r="11804">
      <c r="D11804" s="39"/>
      <c r="E11804" s="39"/>
      <c r="F11804" s="39"/>
    </row>
    <row r="11805">
      <c r="D11805" s="39"/>
      <c r="E11805" s="39"/>
      <c r="F11805" s="39"/>
    </row>
    <row r="11806">
      <c r="D11806" s="39"/>
      <c r="E11806" s="39"/>
      <c r="F11806" s="39"/>
    </row>
    <row r="11807">
      <c r="D11807" s="39"/>
      <c r="E11807" s="39"/>
      <c r="F11807" s="39"/>
    </row>
    <row r="11808">
      <c r="D11808" s="39"/>
      <c r="E11808" s="39"/>
      <c r="F11808" s="39"/>
    </row>
    <row r="11809">
      <c r="D11809" s="39"/>
      <c r="E11809" s="39"/>
      <c r="F11809" s="39"/>
    </row>
    <row r="11810">
      <c r="D11810" s="39"/>
      <c r="E11810" s="39"/>
      <c r="F11810" s="39"/>
    </row>
    <row r="11811">
      <c r="D11811" s="39"/>
      <c r="E11811" s="39"/>
      <c r="F11811" s="39"/>
    </row>
    <row r="11812">
      <c r="D11812" s="39"/>
      <c r="E11812" s="39"/>
      <c r="F11812" s="39"/>
    </row>
    <row r="11813">
      <c r="D11813" s="39"/>
      <c r="E11813" s="39"/>
      <c r="F11813" s="39"/>
    </row>
    <row r="11814">
      <c r="D11814" s="39"/>
      <c r="E11814" s="39"/>
      <c r="F11814" s="39"/>
    </row>
    <row r="11815">
      <c r="D11815" s="39"/>
      <c r="E11815" s="39"/>
      <c r="F11815" s="39"/>
    </row>
    <row r="11816">
      <c r="D11816" s="39"/>
      <c r="E11816" s="39"/>
      <c r="F11816" s="39"/>
    </row>
    <row r="11817">
      <c r="D11817" s="39"/>
      <c r="E11817" s="39"/>
      <c r="F11817" s="39"/>
    </row>
    <row r="11818">
      <c r="D11818" s="39"/>
      <c r="E11818" s="39"/>
      <c r="F11818" s="39"/>
    </row>
    <row r="11819">
      <c r="D11819" s="39"/>
      <c r="E11819" s="39"/>
      <c r="F11819" s="39"/>
    </row>
    <row r="11820">
      <c r="D11820" s="39"/>
      <c r="E11820" s="39"/>
      <c r="F11820" s="39"/>
    </row>
    <row r="11821">
      <c r="D11821" s="39"/>
      <c r="E11821" s="39"/>
      <c r="F11821" s="39"/>
    </row>
    <row r="11822">
      <c r="D11822" s="39"/>
      <c r="E11822" s="39"/>
      <c r="F11822" s="39"/>
    </row>
    <row r="11823">
      <c r="D11823" s="39"/>
      <c r="E11823" s="39"/>
      <c r="F11823" s="39"/>
    </row>
    <row r="11824">
      <c r="D11824" s="39"/>
      <c r="E11824" s="39"/>
      <c r="F11824" s="39"/>
    </row>
    <row r="11825">
      <c r="D11825" s="39"/>
      <c r="E11825" s="39"/>
      <c r="F11825" s="39"/>
    </row>
    <row r="11826">
      <c r="D11826" s="39"/>
      <c r="E11826" s="39"/>
      <c r="F11826" s="39"/>
    </row>
    <row r="11827">
      <c r="D11827" s="39"/>
      <c r="E11827" s="39"/>
      <c r="F11827" s="39"/>
    </row>
    <row r="11828">
      <c r="D11828" s="39"/>
      <c r="E11828" s="39"/>
      <c r="F11828" s="39"/>
    </row>
    <row r="11829">
      <c r="D11829" s="39"/>
      <c r="E11829" s="39"/>
      <c r="F11829" s="39"/>
    </row>
    <row r="11830">
      <c r="D11830" s="39"/>
      <c r="E11830" s="39"/>
      <c r="F11830" s="39"/>
    </row>
    <row r="11831">
      <c r="D11831" s="39"/>
      <c r="E11831" s="39"/>
      <c r="F11831" s="39"/>
    </row>
    <row r="11832">
      <c r="D11832" s="39"/>
      <c r="E11832" s="39"/>
      <c r="F11832" s="39"/>
    </row>
    <row r="11833">
      <c r="D11833" s="39"/>
      <c r="E11833" s="39"/>
      <c r="F11833" s="39"/>
    </row>
    <row r="11834">
      <c r="D11834" s="39"/>
      <c r="E11834" s="39"/>
      <c r="F11834" s="39"/>
    </row>
    <row r="11835">
      <c r="D11835" s="39"/>
      <c r="E11835" s="39"/>
      <c r="F11835" s="39"/>
    </row>
    <row r="11836">
      <c r="D11836" s="39"/>
      <c r="E11836" s="39"/>
      <c r="F11836" s="39"/>
    </row>
    <row r="11837">
      <c r="D11837" s="39"/>
      <c r="E11837" s="39"/>
      <c r="F11837" s="39"/>
    </row>
    <row r="11838">
      <c r="D11838" s="39"/>
      <c r="E11838" s="39"/>
      <c r="F11838" s="39"/>
    </row>
    <row r="11839">
      <c r="D11839" s="39"/>
      <c r="E11839" s="39"/>
      <c r="F11839" s="39"/>
    </row>
    <row r="11840">
      <c r="D11840" s="39"/>
      <c r="E11840" s="39"/>
      <c r="F11840" s="39"/>
    </row>
    <row r="11841">
      <c r="D11841" s="39"/>
      <c r="E11841" s="39"/>
      <c r="F11841" s="39"/>
    </row>
    <row r="11842">
      <c r="D11842" s="39"/>
      <c r="E11842" s="39"/>
      <c r="F11842" s="39"/>
    </row>
    <row r="11843">
      <c r="D11843" s="39"/>
      <c r="E11843" s="39"/>
      <c r="F11843" s="39"/>
    </row>
    <row r="11844">
      <c r="D11844" s="39"/>
      <c r="E11844" s="39"/>
      <c r="F11844" s="39"/>
    </row>
    <row r="11845">
      <c r="D11845" s="39"/>
      <c r="E11845" s="39"/>
      <c r="F11845" s="39"/>
    </row>
    <row r="11846">
      <c r="D11846" s="39"/>
      <c r="E11846" s="39"/>
      <c r="F11846" s="39"/>
    </row>
    <row r="11847">
      <c r="D11847" s="39"/>
      <c r="E11847" s="39"/>
      <c r="F11847" s="39"/>
    </row>
    <row r="11848">
      <c r="D11848" s="39"/>
      <c r="E11848" s="39"/>
      <c r="F11848" s="39"/>
    </row>
    <row r="11849">
      <c r="D11849" s="39"/>
      <c r="E11849" s="39"/>
      <c r="F11849" s="39"/>
    </row>
    <row r="11850">
      <c r="D11850" s="39"/>
      <c r="E11850" s="39"/>
      <c r="F11850" s="39"/>
    </row>
    <row r="11851">
      <c r="D11851" s="39"/>
      <c r="E11851" s="39"/>
      <c r="F11851" s="39"/>
    </row>
    <row r="11852">
      <c r="D11852" s="39"/>
      <c r="E11852" s="39"/>
      <c r="F11852" s="39"/>
    </row>
    <row r="11853">
      <c r="D11853" s="39"/>
      <c r="E11853" s="39"/>
      <c r="F11853" s="39"/>
    </row>
    <row r="11854">
      <c r="D11854" s="39"/>
      <c r="E11854" s="39"/>
      <c r="F11854" s="39"/>
    </row>
    <row r="11855">
      <c r="D11855" s="39"/>
      <c r="E11855" s="39"/>
      <c r="F11855" s="39"/>
    </row>
    <row r="11856">
      <c r="D11856" s="39"/>
      <c r="E11856" s="39"/>
      <c r="F11856" s="39"/>
    </row>
    <row r="11857">
      <c r="D11857" s="39"/>
      <c r="E11857" s="39"/>
      <c r="F11857" s="39"/>
    </row>
    <row r="11858">
      <c r="D11858" s="39"/>
      <c r="E11858" s="39"/>
      <c r="F11858" s="39"/>
    </row>
    <row r="11859">
      <c r="D11859" s="39"/>
      <c r="E11859" s="39"/>
      <c r="F11859" s="39"/>
    </row>
    <row r="11860">
      <c r="D11860" s="39"/>
      <c r="E11860" s="39"/>
      <c r="F11860" s="39"/>
    </row>
    <row r="11861">
      <c r="D11861" s="39"/>
      <c r="E11861" s="39"/>
      <c r="F11861" s="39"/>
    </row>
    <row r="11862">
      <c r="D11862" s="39"/>
      <c r="E11862" s="39"/>
      <c r="F11862" s="39"/>
    </row>
    <row r="11863">
      <c r="D11863" s="39"/>
      <c r="E11863" s="39"/>
      <c r="F11863" s="39"/>
    </row>
    <row r="11864">
      <c r="D11864" s="39"/>
      <c r="E11864" s="39"/>
      <c r="F11864" s="39"/>
    </row>
    <row r="11865">
      <c r="D11865" s="39"/>
      <c r="E11865" s="39"/>
      <c r="F11865" s="39"/>
    </row>
    <row r="11866">
      <c r="D11866" s="39"/>
      <c r="E11866" s="39"/>
      <c r="F11866" s="39"/>
    </row>
    <row r="11867">
      <c r="D11867" s="39"/>
      <c r="E11867" s="39"/>
      <c r="F11867" s="39"/>
    </row>
    <row r="11868">
      <c r="D11868" s="39"/>
      <c r="E11868" s="39"/>
      <c r="F11868" s="39"/>
    </row>
    <row r="11869">
      <c r="D11869" s="39"/>
      <c r="E11869" s="39"/>
      <c r="F11869" s="39"/>
    </row>
    <row r="11870">
      <c r="D11870" s="39"/>
      <c r="E11870" s="39"/>
      <c r="F11870" s="39"/>
    </row>
    <row r="11871">
      <c r="D11871" s="39"/>
      <c r="E11871" s="39"/>
      <c r="F11871" s="39"/>
    </row>
    <row r="11872">
      <c r="D11872" s="39"/>
      <c r="E11872" s="39"/>
      <c r="F11872" s="39"/>
    </row>
    <row r="11873">
      <c r="D11873" s="39"/>
      <c r="E11873" s="39"/>
      <c r="F11873" s="39"/>
    </row>
    <row r="11874">
      <c r="D11874" s="39"/>
      <c r="E11874" s="39"/>
      <c r="F11874" s="39"/>
    </row>
    <row r="11875">
      <c r="D11875" s="39"/>
      <c r="E11875" s="39"/>
      <c r="F11875" s="39"/>
    </row>
    <row r="11876">
      <c r="D11876" s="39"/>
      <c r="E11876" s="39"/>
      <c r="F11876" s="39"/>
    </row>
    <row r="11877">
      <c r="D11877" s="39"/>
      <c r="E11877" s="39"/>
      <c r="F11877" s="39"/>
    </row>
    <row r="11878">
      <c r="D11878" s="39"/>
      <c r="E11878" s="39"/>
      <c r="F11878" s="39"/>
    </row>
    <row r="11879">
      <c r="D11879" s="39"/>
      <c r="E11879" s="39"/>
      <c r="F11879" s="39"/>
    </row>
    <row r="11880">
      <c r="D11880" s="39"/>
      <c r="E11880" s="39"/>
      <c r="F11880" s="39"/>
    </row>
    <row r="11881">
      <c r="D11881" s="39"/>
      <c r="E11881" s="39"/>
      <c r="F11881" s="39"/>
    </row>
    <row r="11882">
      <c r="D11882" s="39"/>
      <c r="E11882" s="39"/>
      <c r="F11882" s="39"/>
    </row>
    <row r="11883">
      <c r="D11883" s="39"/>
      <c r="E11883" s="39"/>
      <c r="F11883" s="39"/>
    </row>
    <row r="11884">
      <c r="D11884" s="39"/>
      <c r="E11884" s="39"/>
      <c r="F11884" s="39"/>
    </row>
    <row r="11885">
      <c r="D11885" s="39"/>
      <c r="E11885" s="39"/>
      <c r="F11885" s="39"/>
    </row>
    <row r="11886">
      <c r="D11886" s="39"/>
      <c r="E11886" s="39"/>
      <c r="F11886" s="39"/>
    </row>
    <row r="11887">
      <c r="D11887" s="39"/>
      <c r="E11887" s="39"/>
      <c r="F11887" s="39"/>
    </row>
    <row r="11888">
      <c r="D11888" s="39"/>
      <c r="E11888" s="39"/>
      <c r="F11888" s="39"/>
    </row>
    <row r="11889">
      <c r="D11889" s="39"/>
      <c r="E11889" s="39"/>
      <c r="F11889" s="39"/>
    </row>
    <row r="11890">
      <c r="D11890" s="39"/>
      <c r="E11890" s="39"/>
      <c r="F11890" s="39"/>
    </row>
    <row r="11891">
      <c r="D11891" s="39"/>
      <c r="E11891" s="39"/>
      <c r="F11891" s="39"/>
    </row>
    <row r="11892">
      <c r="D11892" s="39"/>
      <c r="E11892" s="39"/>
      <c r="F11892" s="39"/>
    </row>
    <row r="11893">
      <c r="D11893" s="39"/>
      <c r="E11893" s="39"/>
      <c r="F11893" s="39"/>
    </row>
    <row r="11894">
      <c r="D11894" s="39"/>
      <c r="E11894" s="39"/>
      <c r="F11894" s="39"/>
    </row>
    <row r="11895">
      <c r="D11895" s="39"/>
      <c r="E11895" s="39"/>
      <c r="F11895" s="39"/>
    </row>
    <row r="11896">
      <c r="D11896" s="39"/>
      <c r="E11896" s="39"/>
      <c r="F11896" s="39"/>
    </row>
    <row r="11897">
      <c r="D11897" s="39"/>
      <c r="E11897" s="39"/>
      <c r="F11897" s="39"/>
    </row>
    <row r="11898">
      <c r="D11898" s="39"/>
      <c r="E11898" s="39"/>
      <c r="F11898" s="39"/>
    </row>
    <row r="11899">
      <c r="D11899" s="39"/>
      <c r="E11899" s="39"/>
      <c r="F11899" s="39"/>
    </row>
    <row r="11900">
      <c r="D11900" s="39"/>
      <c r="E11900" s="39"/>
      <c r="F11900" s="39"/>
    </row>
    <row r="11901">
      <c r="D11901" s="39"/>
      <c r="E11901" s="39"/>
      <c r="F11901" s="39"/>
    </row>
    <row r="11902">
      <c r="D11902" s="39"/>
      <c r="E11902" s="39"/>
      <c r="F11902" s="39"/>
    </row>
    <row r="11903">
      <c r="D11903" s="39"/>
      <c r="E11903" s="39"/>
      <c r="F11903" s="39"/>
    </row>
    <row r="11904">
      <c r="D11904" s="39"/>
      <c r="E11904" s="39"/>
      <c r="F11904" s="39"/>
    </row>
    <row r="11905">
      <c r="D11905" s="39"/>
      <c r="E11905" s="39"/>
      <c r="F11905" s="39"/>
    </row>
    <row r="11906">
      <c r="D11906" s="39"/>
      <c r="E11906" s="39"/>
      <c r="F11906" s="39"/>
    </row>
    <row r="11907">
      <c r="D11907" s="39"/>
      <c r="E11907" s="39"/>
      <c r="F11907" s="39"/>
    </row>
    <row r="11908">
      <c r="D11908" s="39"/>
      <c r="E11908" s="39"/>
      <c r="F11908" s="39"/>
    </row>
    <row r="11909">
      <c r="D11909" s="39"/>
      <c r="E11909" s="39"/>
      <c r="F11909" s="39"/>
    </row>
    <row r="11910">
      <c r="D11910" s="39"/>
      <c r="E11910" s="39"/>
      <c r="F11910" s="39"/>
    </row>
    <row r="11911">
      <c r="D11911" s="39"/>
      <c r="E11911" s="39"/>
      <c r="F11911" s="39"/>
    </row>
    <row r="11912">
      <c r="D11912" s="39"/>
      <c r="E11912" s="39"/>
      <c r="F11912" s="39"/>
    </row>
    <row r="11913">
      <c r="D11913" s="39"/>
      <c r="E11913" s="39"/>
      <c r="F11913" s="39"/>
    </row>
    <row r="11914">
      <c r="D11914" s="39"/>
      <c r="E11914" s="39"/>
      <c r="F11914" s="39"/>
    </row>
    <row r="11915">
      <c r="D11915" s="39"/>
      <c r="E11915" s="39"/>
      <c r="F11915" s="39"/>
    </row>
    <row r="11916">
      <c r="D11916" s="39"/>
      <c r="E11916" s="39"/>
      <c r="F11916" s="39"/>
    </row>
    <row r="11917">
      <c r="D11917" s="39"/>
      <c r="E11917" s="39"/>
      <c r="F11917" s="39"/>
    </row>
    <row r="11918">
      <c r="D11918" s="39"/>
      <c r="E11918" s="39"/>
      <c r="F11918" s="39"/>
    </row>
    <row r="11919">
      <c r="D11919" s="39"/>
      <c r="E11919" s="39"/>
      <c r="F11919" s="39"/>
    </row>
    <row r="11920">
      <c r="D11920" s="39"/>
      <c r="E11920" s="39"/>
      <c r="F11920" s="39"/>
    </row>
    <row r="11921">
      <c r="D11921" s="39"/>
      <c r="E11921" s="39"/>
      <c r="F11921" s="39"/>
    </row>
    <row r="11922">
      <c r="D11922" s="39"/>
      <c r="E11922" s="39"/>
      <c r="F11922" s="39"/>
    </row>
    <row r="11923">
      <c r="D11923" s="39"/>
      <c r="E11923" s="39"/>
      <c r="F11923" s="39"/>
    </row>
    <row r="11924">
      <c r="D11924" s="39"/>
      <c r="E11924" s="39"/>
      <c r="F11924" s="39"/>
    </row>
    <row r="11925">
      <c r="D11925" s="39"/>
      <c r="E11925" s="39"/>
      <c r="F11925" s="39"/>
    </row>
    <row r="11926">
      <c r="D11926" s="39"/>
      <c r="E11926" s="39"/>
      <c r="F11926" s="39"/>
    </row>
    <row r="11927">
      <c r="D11927" s="39"/>
      <c r="E11927" s="39"/>
      <c r="F11927" s="39"/>
    </row>
    <row r="11928">
      <c r="D11928" s="39"/>
      <c r="E11928" s="39"/>
      <c r="F11928" s="39"/>
    </row>
    <row r="11929">
      <c r="D11929" s="39"/>
      <c r="E11929" s="39"/>
      <c r="F11929" s="39"/>
    </row>
    <row r="11930">
      <c r="D11930" s="39"/>
      <c r="E11930" s="39"/>
      <c r="F11930" s="39"/>
    </row>
    <row r="11931">
      <c r="D11931" s="39"/>
      <c r="E11931" s="39"/>
      <c r="F11931" s="39"/>
    </row>
    <row r="11932">
      <c r="D11932" s="39"/>
      <c r="E11932" s="39"/>
      <c r="F11932" s="39"/>
    </row>
    <row r="11933">
      <c r="D11933" s="39"/>
      <c r="E11933" s="39"/>
      <c r="F11933" s="39"/>
    </row>
    <row r="11934">
      <c r="D11934" s="39"/>
      <c r="E11934" s="39"/>
      <c r="F11934" s="39"/>
    </row>
    <row r="11935">
      <c r="D11935" s="39"/>
      <c r="E11935" s="39"/>
      <c r="F11935" s="39"/>
    </row>
    <row r="11936">
      <c r="D11936" s="39"/>
      <c r="E11936" s="39"/>
      <c r="F11936" s="39"/>
    </row>
    <row r="11937">
      <c r="D11937" s="39"/>
      <c r="E11937" s="39"/>
      <c r="F11937" s="39"/>
    </row>
    <row r="11938">
      <c r="D11938" s="39"/>
      <c r="E11938" s="39"/>
      <c r="F11938" s="39"/>
    </row>
    <row r="11939">
      <c r="D11939" s="39"/>
      <c r="E11939" s="39"/>
      <c r="F11939" s="39"/>
    </row>
    <row r="11940">
      <c r="D11940" s="39"/>
      <c r="E11940" s="39"/>
      <c r="F11940" s="39"/>
    </row>
    <row r="11941">
      <c r="D11941" s="39"/>
      <c r="E11941" s="39"/>
      <c r="F11941" s="39"/>
    </row>
    <row r="11942">
      <c r="D11942" s="39"/>
      <c r="E11942" s="39"/>
      <c r="F11942" s="39"/>
    </row>
    <row r="11943">
      <c r="D11943" s="39"/>
      <c r="E11943" s="39"/>
      <c r="F11943" s="39"/>
    </row>
    <row r="11944">
      <c r="D11944" s="39"/>
      <c r="E11944" s="39"/>
      <c r="F11944" s="39"/>
    </row>
    <row r="11945">
      <c r="D11945" s="39"/>
      <c r="E11945" s="39"/>
      <c r="F11945" s="39"/>
    </row>
    <row r="11946">
      <c r="D11946" s="39"/>
      <c r="E11946" s="39"/>
      <c r="F11946" s="39"/>
    </row>
    <row r="11947">
      <c r="D11947" s="39"/>
      <c r="E11947" s="39"/>
      <c r="F11947" s="39"/>
    </row>
    <row r="11948">
      <c r="D11948" s="39"/>
      <c r="E11948" s="39"/>
      <c r="F11948" s="39"/>
    </row>
    <row r="11949">
      <c r="D11949" s="39"/>
      <c r="E11949" s="39"/>
      <c r="F11949" s="39"/>
    </row>
    <row r="11950">
      <c r="D11950" s="39"/>
      <c r="E11950" s="39"/>
      <c r="F11950" s="39"/>
    </row>
    <row r="11951">
      <c r="D11951" s="39"/>
      <c r="E11951" s="39"/>
      <c r="F11951" s="39"/>
    </row>
    <row r="11952">
      <c r="D11952" s="39"/>
      <c r="E11952" s="39"/>
      <c r="F11952" s="39"/>
    </row>
    <row r="11953">
      <c r="D11953" s="39"/>
      <c r="E11953" s="39"/>
      <c r="F11953" s="39"/>
    </row>
    <row r="11954">
      <c r="D11954" s="39"/>
      <c r="E11954" s="39"/>
      <c r="F11954" s="39"/>
    </row>
    <row r="11955">
      <c r="D11955" s="39"/>
      <c r="E11955" s="39"/>
      <c r="F11955" s="39"/>
    </row>
    <row r="11956">
      <c r="D11956" s="39"/>
      <c r="E11956" s="39"/>
      <c r="F11956" s="39"/>
    </row>
    <row r="11957">
      <c r="D11957" s="39"/>
      <c r="E11957" s="39"/>
      <c r="F11957" s="39"/>
    </row>
    <row r="11958">
      <c r="D11958" s="39"/>
      <c r="E11958" s="39"/>
      <c r="F11958" s="39"/>
    </row>
    <row r="11959">
      <c r="D11959" s="39"/>
      <c r="E11959" s="39"/>
      <c r="F11959" s="39"/>
    </row>
    <row r="11960">
      <c r="D11960" s="39"/>
      <c r="E11960" s="39"/>
      <c r="F11960" s="39"/>
    </row>
    <row r="11961">
      <c r="D11961" s="39"/>
      <c r="E11961" s="39"/>
      <c r="F11961" s="39"/>
    </row>
    <row r="11962">
      <c r="D11962" s="39"/>
      <c r="E11962" s="39"/>
      <c r="F11962" s="39"/>
    </row>
    <row r="11963">
      <c r="D11963" s="39"/>
      <c r="E11963" s="39"/>
      <c r="F11963" s="39"/>
    </row>
    <row r="11964">
      <c r="D11964" s="39"/>
      <c r="E11964" s="39"/>
      <c r="F11964" s="39"/>
    </row>
    <row r="11965">
      <c r="D11965" s="39"/>
      <c r="E11965" s="39"/>
      <c r="F11965" s="39"/>
    </row>
    <row r="11966">
      <c r="D11966" s="39"/>
      <c r="E11966" s="39"/>
      <c r="F11966" s="39"/>
    </row>
    <row r="11967">
      <c r="D11967" s="39"/>
      <c r="E11967" s="39"/>
      <c r="F11967" s="39"/>
    </row>
    <row r="11968">
      <c r="D11968" s="39"/>
      <c r="E11968" s="39"/>
      <c r="F11968" s="39"/>
    </row>
    <row r="11969">
      <c r="D11969" s="39"/>
      <c r="E11969" s="39"/>
      <c r="F11969" s="39"/>
    </row>
    <row r="11970">
      <c r="D11970" s="39"/>
      <c r="E11970" s="39"/>
      <c r="F11970" s="39"/>
    </row>
    <row r="11971">
      <c r="D11971" s="39"/>
      <c r="E11971" s="39"/>
      <c r="F11971" s="39"/>
    </row>
    <row r="11972">
      <c r="D11972" s="39"/>
      <c r="E11972" s="39"/>
      <c r="F11972" s="39"/>
    </row>
    <row r="11973">
      <c r="D11973" s="39"/>
      <c r="E11973" s="39"/>
      <c r="F11973" s="39"/>
    </row>
    <row r="11974">
      <c r="D11974" s="39"/>
      <c r="E11974" s="39"/>
      <c r="F11974" s="39"/>
    </row>
    <row r="11975">
      <c r="D11975" s="39"/>
      <c r="E11975" s="39"/>
      <c r="F11975" s="39"/>
    </row>
    <row r="11976">
      <c r="D11976" s="39"/>
      <c r="E11976" s="39"/>
      <c r="F11976" s="39"/>
    </row>
    <row r="11977">
      <c r="D11977" s="39"/>
      <c r="E11977" s="39"/>
      <c r="F11977" s="39"/>
    </row>
    <row r="11978">
      <c r="D11978" s="39"/>
      <c r="E11978" s="39"/>
      <c r="F11978" s="39"/>
    </row>
    <row r="11979">
      <c r="D11979" s="39"/>
      <c r="E11979" s="39"/>
      <c r="F11979" s="39"/>
    </row>
    <row r="11980">
      <c r="D11980" s="39"/>
      <c r="E11980" s="39"/>
      <c r="F11980" s="39"/>
    </row>
    <row r="11981">
      <c r="D11981" s="39"/>
      <c r="E11981" s="39"/>
      <c r="F11981" s="39"/>
    </row>
    <row r="11982">
      <c r="D11982" s="39"/>
      <c r="E11982" s="39"/>
      <c r="F11982" s="39"/>
    </row>
    <row r="11983">
      <c r="D11983" s="39"/>
      <c r="E11983" s="39"/>
      <c r="F11983" s="39"/>
    </row>
    <row r="11984">
      <c r="D11984" s="39"/>
      <c r="E11984" s="39"/>
      <c r="F11984" s="39"/>
    </row>
    <row r="11985">
      <c r="D11985" s="39"/>
      <c r="E11985" s="39"/>
      <c r="F11985" s="39"/>
    </row>
    <row r="11986">
      <c r="D11986" s="39"/>
      <c r="E11986" s="39"/>
      <c r="F11986" s="39"/>
    </row>
    <row r="11987">
      <c r="D11987" s="39"/>
      <c r="E11987" s="39"/>
      <c r="F11987" s="39"/>
    </row>
    <row r="11988">
      <c r="D11988" s="39"/>
      <c r="E11988" s="39"/>
      <c r="F11988" s="39"/>
    </row>
    <row r="11989">
      <c r="D11989" s="39"/>
      <c r="E11989" s="39"/>
      <c r="F11989" s="39"/>
    </row>
    <row r="11990">
      <c r="D11990" s="39"/>
      <c r="E11990" s="39"/>
      <c r="F11990" s="39"/>
    </row>
    <row r="11991">
      <c r="D11991" s="39"/>
      <c r="E11991" s="39"/>
      <c r="F11991" s="39"/>
    </row>
    <row r="11992">
      <c r="D11992" s="39"/>
      <c r="E11992" s="39"/>
      <c r="F11992" s="39"/>
    </row>
    <row r="11993">
      <c r="D11993" s="39"/>
      <c r="E11993" s="39"/>
      <c r="F11993" s="39"/>
    </row>
    <row r="11994">
      <c r="D11994" s="39"/>
      <c r="E11994" s="39"/>
      <c r="F11994" s="39"/>
    </row>
    <row r="11995">
      <c r="D11995" s="39"/>
      <c r="E11995" s="39"/>
      <c r="F11995" s="39"/>
    </row>
    <row r="11996">
      <c r="D11996" s="39"/>
      <c r="E11996" s="39"/>
      <c r="F11996" s="39"/>
    </row>
    <row r="11997">
      <c r="D11997" s="39"/>
      <c r="E11997" s="39"/>
      <c r="F11997" s="39"/>
    </row>
    <row r="11998">
      <c r="D11998" s="39"/>
      <c r="E11998" s="39"/>
      <c r="F11998" s="39"/>
    </row>
    <row r="11999">
      <c r="D11999" s="39"/>
      <c r="E11999" s="39"/>
      <c r="F11999" s="39"/>
    </row>
    <row r="12000">
      <c r="D12000" s="39"/>
      <c r="E12000" s="39"/>
      <c r="F12000" s="39"/>
    </row>
    <row r="12001">
      <c r="D12001" s="39"/>
      <c r="E12001" s="39"/>
      <c r="F12001" s="39"/>
    </row>
    <row r="12002">
      <c r="D12002" s="39"/>
      <c r="E12002" s="39"/>
      <c r="F12002" s="39"/>
    </row>
    <row r="12003">
      <c r="D12003" s="39"/>
      <c r="E12003" s="39"/>
      <c r="F12003" s="39"/>
    </row>
    <row r="12004">
      <c r="D12004" s="39"/>
      <c r="E12004" s="39"/>
      <c r="F12004" s="39"/>
    </row>
    <row r="12005">
      <c r="D12005" s="39"/>
      <c r="E12005" s="39"/>
      <c r="F12005" s="39"/>
    </row>
    <row r="12006">
      <c r="D12006" s="39"/>
      <c r="E12006" s="39"/>
      <c r="F12006" s="39"/>
    </row>
    <row r="12007">
      <c r="D12007" s="39"/>
      <c r="E12007" s="39"/>
      <c r="F12007" s="39"/>
    </row>
    <row r="12008">
      <c r="D12008" s="39"/>
      <c r="E12008" s="39"/>
      <c r="F12008" s="39"/>
    </row>
    <row r="12009">
      <c r="D12009" s="39"/>
      <c r="E12009" s="39"/>
      <c r="F12009" s="39"/>
    </row>
    <row r="12010">
      <c r="D12010" s="39"/>
      <c r="E12010" s="39"/>
      <c r="F12010" s="39"/>
    </row>
    <row r="12011">
      <c r="D12011" s="39"/>
      <c r="E12011" s="39"/>
      <c r="F12011" s="39"/>
    </row>
    <row r="12012">
      <c r="D12012" s="39"/>
      <c r="E12012" s="39"/>
      <c r="F12012" s="39"/>
    </row>
    <row r="12013">
      <c r="D12013" s="39"/>
      <c r="E12013" s="39"/>
      <c r="F12013" s="39"/>
    </row>
    <row r="12014">
      <c r="D12014" s="39"/>
      <c r="E12014" s="39"/>
      <c r="F12014" s="39"/>
    </row>
    <row r="12015">
      <c r="D12015" s="39"/>
      <c r="E12015" s="39"/>
      <c r="F12015" s="39"/>
    </row>
    <row r="12016">
      <c r="D12016" s="39"/>
      <c r="E12016" s="39"/>
      <c r="F12016" s="39"/>
    </row>
    <row r="12017">
      <c r="D12017" s="39"/>
      <c r="E12017" s="39"/>
      <c r="F12017" s="39"/>
    </row>
    <row r="12018">
      <c r="D12018" s="39"/>
      <c r="E12018" s="39"/>
      <c r="F12018" s="39"/>
    </row>
    <row r="12019">
      <c r="D12019" s="39"/>
      <c r="E12019" s="39"/>
      <c r="F12019" s="39"/>
    </row>
    <row r="12020">
      <c r="D12020" s="39"/>
      <c r="E12020" s="39"/>
      <c r="F12020" s="39"/>
    </row>
    <row r="12021">
      <c r="D12021" s="39"/>
      <c r="E12021" s="39"/>
      <c r="F12021" s="39"/>
    </row>
    <row r="12022">
      <c r="D12022" s="39"/>
      <c r="E12022" s="39"/>
      <c r="F12022" s="39"/>
    </row>
    <row r="12023">
      <c r="D12023" s="39"/>
      <c r="E12023" s="39"/>
      <c r="F12023" s="39"/>
    </row>
    <row r="12024">
      <c r="D12024" s="39"/>
      <c r="E12024" s="39"/>
      <c r="F12024" s="39"/>
    </row>
    <row r="12025">
      <c r="D12025" s="39"/>
      <c r="E12025" s="39"/>
      <c r="F12025" s="39"/>
    </row>
    <row r="12026">
      <c r="D12026" s="39"/>
      <c r="E12026" s="39"/>
      <c r="F12026" s="39"/>
    </row>
    <row r="12027">
      <c r="D12027" s="39"/>
      <c r="E12027" s="39"/>
      <c r="F12027" s="39"/>
    </row>
    <row r="12028">
      <c r="D12028" s="39"/>
      <c r="E12028" s="39"/>
      <c r="F12028" s="39"/>
    </row>
    <row r="12029">
      <c r="D12029" s="39"/>
      <c r="E12029" s="39"/>
      <c r="F12029" s="39"/>
    </row>
    <row r="12030">
      <c r="D12030" s="39"/>
      <c r="E12030" s="39"/>
      <c r="F12030" s="39"/>
    </row>
    <row r="12031">
      <c r="D12031" s="39"/>
      <c r="E12031" s="39"/>
      <c r="F12031" s="39"/>
    </row>
    <row r="12032">
      <c r="D12032" s="39"/>
      <c r="E12032" s="39"/>
      <c r="F12032" s="39"/>
    </row>
    <row r="12033">
      <c r="D12033" s="39"/>
      <c r="E12033" s="39"/>
      <c r="F12033" s="39"/>
    </row>
    <row r="12034">
      <c r="D12034" s="39"/>
      <c r="E12034" s="39"/>
      <c r="F12034" s="39"/>
    </row>
    <row r="12035">
      <c r="D12035" s="39"/>
      <c r="E12035" s="39"/>
      <c r="F12035" s="39"/>
    </row>
    <row r="12036">
      <c r="D12036" s="39"/>
      <c r="E12036" s="39"/>
      <c r="F12036" s="39"/>
    </row>
    <row r="12037">
      <c r="D12037" s="39"/>
      <c r="E12037" s="39"/>
      <c r="F12037" s="39"/>
    </row>
    <row r="12038">
      <c r="D12038" s="39"/>
      <c r="E12038" s="39"/>
      <c r="F12038" s="39"/>
    </row>
    <row r="12039">
      <c r="D12039" s="39"/>
      <c r="E12039" s="39"/>
      <c r="F12039" s="39"/>
    </row>
    <row r="12040">
      <c r="D12040" s="39"/>
      <c r="E12040" s="39"/>
      <c r="F12040" s="39"/>
    </row>
    <row r="12041">
      <c r="D12041" s="39"/>
      <c r="E12041" s="39"/>
      <c r="F12041" s="39"/>
    </row>
    <row r="12042">
      <c r="D12042" s="39"/>
      <c r="E12042" s="39"/>
      <c r="F12042" s="39"/>
    </row>
    <row r="12043">
      <c r="D12043" s="39"/>
      <c r="E12043" s="39"/>
      <c r="F12043" s="39"/>
    </row>
    <row r="12044">
      <c r="D12044" s="39"/>
      <c r="E12044" s="39"/>
      <c r="F12044" s="39"/>
    </row>
    <row r="12045">
      <c r="D12045" s="39"/>
      <c r="E12045" s="39"/>
      <c r="F12045" s="39"/>
    </row>
    <row r="12046">
      <c r="D12046" s="39"/>
      <c r="E12046" s="39"/>
      <c r="F12046" s="39"/>
    </row>
    <row r="12047">
      <c r="D12047" s="39"/>
      <c r="E12047" s="39"/>
      <c r="F12047" s="39"/>
    </row>
    <row r="12048">
      <c r="D12048" s="39"/>
      <c r="E12048" s="39"/>
      <c r="F12048" s="39"/>
    </row>
    <row r="12049">
      <c r="D12049" s="39"/>
      <c r="E12049" s="39"/>
      <c r="F12049" s="39"/>
    </row>
    <row r="12050">
      <c r="D12050" s="39"/>
      <c r="E12050" s="39"/>
      <c r="F12050" s="39"/>
    </row>
    <row r="12051">
      <c r="D12051" s="39"/>
      <c r="E12051" s="39"/>
      <c r="F12051" s="39"/>
    </row>
    <row r="12052">
      <c r="D12052" s="39"/>
      <c r="E12052" s="39"/>
      <c r="F12052" s="39"/>
    </row>
    <row r="12053">
      <c r="D12053" s="39"/>
      <c r="E12053" s="39"/>
      <c r="F12053" s="39"/>
    </row>
    <row r="12054">
      <c r="D12054" s="39"/>
      <c r="E12054" s="39"/>
      <c r="F12054" s="39"/>
    </row>
    <row r="12055">
      <c r="D12055" s="39"/>
      <c r="E12055" s="39"/>
      <c r="F12055" s="39"/>
    </row>
    <row r="12056">
      <c r="D12056" s="39"/>
      <c r="E12056" s="39"/>
      <c r="F12056" s="39"/>
    </row>
    <row r="12057">
      <c r="D12057" s="39"/>
      <c r="E12057" s="39"/>
      <c r="F12057" s="39"/>
    </row>
    <row r="12058">
      <c r="D12058" s="39"/>
      <c r="E12058" s="39"/>
      <c r="F12058" s="39"/>
    </row>
    <row r="12059">
      <c r="D12059" s="39"/>
      <c r="E12059" s="39"/>
      <c r="F12059" s="39"/>
    </row>
    <row r="12060">
      <c r="D12060" s="39"/>
      <c r="E12060" s="39"/>
      <c r="F12060" s="39"/>
    </row>
    <row r="12061">
      <c r="D12061" s="39"/>
      <c r="E12061" s="39"/>
      <c r="F12061" s="39"/>
    </row>
    <row r="12062">
      <c r="D12062" s="39"/>
      <c r="E12062" s="39"/>
      <c r="F12062" s="39"/>
    </row>
    <row r="12063">
      <c r="D12063" s="39"/>
      <c r="E12063" s="39"/>
      <c r="F12063" s="39"/>
    </row>
    <row r="12064">
      <c r="D12064" s="39"/>
      <c r="E12064" s="39"/>
      <c r="F12064" s="39"/>
    </row>
    <row r="12065">
      <c r="D12065" s="39"/>
      <c r="E12065" s="39"/>
      <c r="F12065" s="39"/>
    </row>
    <row r="12066">
      <c r="D12066" s="39"/>
      <c r="E12066" s="39"/>
      <c r="F12066" s="39"/>
    </row>
    <row r="12067">
      <c r="D12067" s="39"/>
      <c r="E12067" s="39"/>
      <c r="F12067" s="39"/>
    </row>
    <row r="12068">
      <c r="D12068" s="39"/>
      <c r="E12068" s="39"/>
      <c r="F12068" s="39"/>
    </row>
    <row r="12069">
      <c r="D12069" s="39"/>
      <c r="E12069" s="39"/>
      <c r="F12069" s="39"/>
    </row>
    <row r="12070">
      <c r="D12070" s="39"/>
      <c r="E12070" s="39"/>
      <c r="F12070" s="39"/>
    </row>
    <row r="12071">
      <c r="D12071" s="39"/>
      <c r="E12071" s="39"/>
      <c r="F12071" s="39"/>
    </row>
    <row r="12072">
      <c r="D12072" s="39"/>
      <c r="E12072" s="39"/>
      <c r="F12072" s="39"/>
    </row>
    <row r="12073">
      <c r="D12073" s="39"/>
      <c r="E12073" s="39"/>
      <c r="F12073" s="39"/>
    </row>
    <row r="12074">
      <c r="D12074" s="39"/>
      <c r="E12074" s="39"/>
      <c r="F12074" s="39"/>
    </row>
    <row r="12075">
      <c r="D12075" s="39"/>
      <c r="E12075" s="39"/>
      <c r="F12075" s="39"/>
    </row>
    <row r="12076">
      <c r="D12076" s="39"/>
      <c r="E12076" s="39"/>
      <c r="F12076" s="39"/>
    </row>
    <row r="12077">
      <c r="D12077" s="39"/>
      <c r="E12077" s="39"/>
      <c r="F12077" s="39"/>
    </row>
    <row r="12078">
      <c r="D12078" s="39"/>
      <c r="E12078" s="39"/>
      <c r="F12078" s="39"/>
    </row>
    <row r="12079">
      <c r="D12079" s="39"/>
      <c r="E12079" s="39"/>
      <c r="F12079" s="39"/>
    </row>
    <row r="12080">
      <c r="D12080" s="39"/>
      <c r="E12080" s="39"/>
      <c r="F12080" s="39"/>
    </row>
    <row r="12081">
      <c r="D12081" s="39"/>
      <c r="E12081" s="39"/>
      <c r="F12081" s="39"/>
    </row>
    <row r="12082">
      <c r="D12082" s="39"/>
      <c r="E12082" s="39"/>
      <c r="F12082" s="39"/>
    </row>
    <row r="12083">
      <c r="D12083" s="39"/>
      <c r="E12083" s="39"/>
      <c r="F12083" s="39"/>
    </row>
    <row r="12084">
      <c r="D12084" s="39"/>
      <c r="E12084" s="39"/>
      <c r="F12084" s="39"/>
    </row>
    <row r="12085">
      <c r="D12085" s="39"/>
      <c r="E12085" s="39"/>
      <c r="F12085" s="39"/>
    </row>
    <row r="12086">
      <c r="D12086" s="39"/>
      <c r="E12086" s="39"/>
      <c r="F12086" s="39"/>
    </row>
    <row r="12087">
      <c r="D12087" s="39"/>
      <c r="E12087" s="39"/>
      <c r="F12087" s="39"/>
    </row>
    <row r="12088">
      <c r="D12088" s="39"/>
      <c r="E12088" s="39"/>
      <c r="F12088" s="39"/>
    </row>
    <row r="12089">
      <c r="D12089" s="39"/>
      <c r="E12089" s="39"/>
      <c r="F12089" s="39"/>
    </row>
    <row r="12090">
      <c r="D12090" s="39"/>
      <c r="E12090" s="39"/>
      <c r="F12090" s="39"/>
    </row>
    <row r="12091">
      <c r="D12091" s="39"/>
      <c r="E12091" s="39"/>
      <c r="F12091" s="39"/>
    </row>
    <row r="12092">
      <c r="D12092" s="39"/>
      <c r="E12092" s="39"/>
      <c r="F12092" s="39"/>
    </row>
    <row r="12093">
      <c r="D12093" s="39"/>
      <c r="E12093" s="39"/>
      <c r="F12093" s="39"/>
    </row>
    <row r="12094">
      <c r="D12094" s="39"/>
      <c r="E12094" s="39"/>
      <c r="F12094" s="39"/>
    </row>
    <row r="12095">
      <c r="D12095" s="39"/>
      <c r="E12095" s="39"/>
      <c r="F12095" s="39"/>
    </row>
    <row r="12096">
      <c r="D12096" s="39"/>
      <c r="E12096" s="39"/>
      <c r="F12096" s="39"/>
    </row>
    <row r="12097">
      <c r="D12097" s="39"/>
      <c r="E12097" s="39"/>
      <c r="F12097" s="39"/>
    </row>
    <row r="12098">
      <c r="D12098" s="39"/>
      <c r="E12098" s="39"/>
      <c r="F12098" s="39"/>
    </row>
    <row r="12099">
      <c r="D12099" s="39"/>
      <c r="E12099" s="39"/>
      <c r="F12099" s="39"/>
    </row>
    <row r="12100">
      <c r="D12100" s="39"/>
      <c r="E12100" s="39"/>
      <c r="F12100" s="39"/>
    </row>
    <row r="12101">
      <c r="D12101" s="39"/>
      <c r="E12101" s="39"/>
      <c r="F12101" s="39"/>
    </row>
    <row r="12102">
      <c r="D12102" s="39"/>
      <c r="E12102" s="39"/>
      <c r="F12102" s="39"/>
    </row>
    <row r="12103">
      <c r="D12103" s="39"/>
      <c r="E12103" s="39"/>
      <c r="F12103" s="39"/>
    </row>
    <row r="12104">
      <c r="D12104" s="39"/>
      <c r="E12104" s="39"/>
      <c r="F12104" s="39"/>
    </row>
    <row r="12105">
      <c r="D12105" s="39"/>
      <c r="E12105" s="39"/>
      <c r="F12105" s="39"/>
    </row>
    <row r="12106">
      <c r="D12106" s="39"/>
      <c r="E12106" s="39"/>
      <c r="F12106" s="39"/>
    </row>
    <row r="12107">
      <c r="D12107" s="39"/>
      <c r="E12107" s="39"/>
      <c r="F12107" s="39"/>
    </row>
    <row r="12108">
      <c r="D12108" s="39"/>
      <c r="E12108" s="39"/>
      <c r="F12108" s="39"/>
    </row>
    <row r="12109">
      <c r="D12109" s="39"/>
      <c r="E12109" s="39"/>
      <c r="F12109" s="39"/>
    </row>
    <row r="12110">
      <c r="D12110" s="39"/>
      <c r="E12110" s="39"/>
      <c r="F12110" s="39"/>
    </row>
    <row r="12111">
      <c r="D12111" s="39"/>
      <c r="E12111" s="39"/>
      <c r="F12111" s="39"/>
    </row>
    <row r="12112">
      <c r="D12112" s="39"/>
      <c r="E12112" s="39"/>
      <c r="F12112" s="39"/>
    </row>
    <row r="12113">
      <c r="D12113" s="39"/>
      <c r="E12113" s="39"/>
      <c r="F12113" s="39"/>
    </row>
    <row r="12114">
      <c r="D12114" s="39"/>
      <c r="E12114" s="39"/>
      <c r="F12114" s="39"/>
    </row>
    <row r="12115">
      <c r="D12115" s="39"/>
      <c r="E12115" s="39"/>
      <c r="F12115" s="39"/>
    </row>
    <row r="12116">
      <c r="D12116" s="39"/>
      <c r="E12116" s="39"/>
      <c r="F12116" s="39"/>
    </row>
    <row r="12117">
      <c r="D12117" s="39"/>
      <c r="E12117" s="39"/>
      <c r="F12117" s="39"/>
    </row>
    <row r="12118">
      <c r="D12118" s="39"/>
      <c r="E12118" s="39"/>
      <c r="F12118" s="39"/>
    </row>
    <row r="12119">
      <c r="D12119" s="39"/>
      <c r="E12119" s="39"/>
      <c r="F12119" s="39"/>
    </row>
    <row r="12120">
      <c r="D12120" s="39"/>
      <c r="E12120" s="39"/>
      <c r="F12120" s="39"/>
    </row>
    <row r="12121">
      <c r="D12121" s="39"/>
      <c r="E12121" s="39"/>
      <c r="F12121" s="39"/>
    </row>
    <row r="12122">
      <c r="D12122" s="39"/>
      <c r="E12122" s="39"/>
      <c r="F12122" s="39"/>
    </row>
    <row r="12123">
      <c r="D12123" s="39"/>
      <c r="E12123" s="39"/>
      <c r="F12123" s="39"/>
    </row>
    <row r="12124">
      <c r="D12124" s="39"/>
      <c r="E12124" s="39"/>
      <c r="F12124" s="39"/>
    </row>
    <row r="12125">
      <c r="D12125" s="39"/>
      <c r="E12125" s="39"/>
      <c r="F12125" s="39"/>
    </row>
    <row r="12126">
      <c r="D12126" s="39"/>
      <c r="E12126" s="39"/>
      <c r="F12126" s="39"/>
    </row>
    <row r="12127">
      <c r="D12127" s="39"/>
      <c r="E12127" s="39"/>
      <c r="F12127" s="39"/>
    </row>
    <row r="12128">
      <c r="D12128" s="39"/>
      <c r="E12128" s="39"/>
      <c r="F12128" s="39"/>
    </row>
    <row r="12129">
      <c r="D12129" s="39"/>
      <c r="E12129" s="39"/>
      <c r="F12129" s="39"/>
    </row>
    <row r="12130">
      <c r="D12130" s="39"/>
      <c r="E12130" s="39"/>
      <c r="F12130" s="39"/>
    </row>
    <row r="12131">
      <c r="D12131" s="39"/>
      <c r="E12131" s="39"/>
      <c r="F12131" s="39"/>
    </row>
    <row r="12132">
      <c r="D12132" s="39"/>
      <c r="E12132" s="39"/>
      <c r="F12132" s="39"/>
    </row>
    <row r="12133">
      <c r="D12133" s="39"/>
      <c r="E12133" s="39"/>
      <c r="F12133" s="39"/>
    </row>
    <row r="12134">
      <c r="D12134" s="39"/>
      <c r="E12134" s="39"/>
      <c r="F12134" s="39"/>
    </row>
    <row r="12135">
      <c r="D12135" s="39"/>
      <c r="E12135" s="39"/>
      <c r="F12135" s="39"/>
    </row>
    <row r="12136">
      <c r="D12136" s="39"/>
      <c r="E12136" s="39"/>
      <c r="F12136" s="39"/>
    </row>
    <row r="12137">
      <c r="D12137" s="39"/>
      <c r="E12137" s="39"/>
      <c r="F12137" s="39"/>
    </row>
    <row r="12138">
      <c r="D12138" s="39"/>
      <c r="E12138" s="39"/>
      <c r="F12138" s="39"/>
    </row>
    <row r="12139">
      <c r="D12139" s="39"/>
      <c r="E12139" s="39"/>
      <c r="F12139" s="39"/>
    </row>
    <row r="12140">
      <c r="D12140" s="39"/>
      <c r="E12140" s="39"/>
      <c r="F12140" s="39"/>
    </row>
    <row r="12141">
      <c r="D12141" s="39"/>
      <c r="E12141" s="39"/>
      <c r="F12141" s="39"/>
    </row>
    <row r="12142">
      <c r="D12142" s="39"/>
      <c r="E12142" s="39"/>
      <c r="F12142" s="39"/>
    </row>
    <row r="12143">
      <c r="D12143" s="39"/>
      <c r="E12143" s="39"/>
      <c r="F12143" s="39"/>
    </row>
    <row r="12144">
      <c r="D12144" s="39"/>
      <c r="E12144" s="39"/>
      <c r="F12144" s="39"/>
    </row>
    <row r="12145">
      <c r="D12145" s="39"/>
      <c r="E12145" s="39"/>
      <c r="F12145" s="39"/>
    </row>
    <row r="12146">
      <c r="D12146" s="39"/>
      <c r="E12146" s="39"/>
      <c r="F12146" s="39"/>
    </row>
    <row r="12147">
      <c r="D12147" s="39"/>
      <c r="E12147" s="39"/>
      <c r="F12147" s="39"/>
    </row>
    <row r="12148">
      <c r="D12148" s="39"/>
      <c r="E12148" s="39"/>
      <c r="F12148" s="39"/>
    </row>
    <row r="12149">
      <c r="D12149" s="39"/>
      <c r="E12149" s="39"/>
      <c r="F12149" s="39"/>
    </row>
    <row r="12150">
      <c r="D12150" s="39"/>
      <c r="E12150" s="39"/>
      <c r="F12150" s="39"/>
    </row>
    <row r="12151">
      <c r="D12151" s="39"/>
      <c r="E12151" s="39"/>
      <c r="F12151" s="39"/>
    </row>
    <row r="12152">
      <c r="D12152" s="39"/>
      <c r="E12152" s="39"/>
      <c r="F12152" s="39"/>
    </row>
    <row r="12153">
      <c r="D12153" s="39"/>
      <c r="E12153" s="39"/>
      <c r="F12153" s="39"/>
    </row>
    <row r="12154">
      <c r="D12154" s="39"/>
      <c r="E12154" s="39"/>
      <c r="F12154" s="39"/>
    </row>
    <row r="12155">
      <c r="D12155" s="39"/>
      <c r="E12155" s="39"/>
      <c r="F12155" s="39"/>
    </row>
    <row r="12156">
      <c r="D12156" s="39"/>
      <c r="E12156" s="39"/>
      <c r="F12156" s="39"/>
    </row>
    <row r="12157">
      <c r="D12157" s="39"/>
      <c r="E12157" s="39"/>
      <c r="F12157" s="39"/>
    </row>
    <row r="12158">
      <c r="D12158" s="39"/>
      <c r="E12158" s="39"/>
      <c r="F12158" s="39"/>
    </row>
    <row r="12159">
      <c r="D12159" s="39"/>
      <c r="E12159" s="39"/>
      <c r="F12159" s="39"/>
    </row>
    <row r="12160">
      <c r="D12160" s="39"/>
      <c r="E12160" s="39"/>
      <c r="F12160" s="39"/>
    </row>
    <row r="12161">
      <c r="D12161" s="39"/>
      <c r="E12161" s="39"/>
      <c r="F12161" s="39"/>
    </row>
    <row r="12162">
      <c r="D12162" s="39"/>
      <c r="E12162" s="39"/>
      <c r="F12162" s="39"/>
    </row>
    <row r="12163">
      <c r="D12163" s="39"/>
      <c r="E12163" s="39"/>
      <c r="F12163" s="39"/>
    </row>
    <row r="12164">
      <c r="D12164" s="39"/>
      <c r="E12164" s="39"/>
      <c r="F12164" s="39"/>
    </row>
    <row r="12165">
      <c r="D12165" s="39"/>
      <c r="E12165" s="39"/>
      <c r="F12165" s="39"/>
    </row>
    <row r="12166">
      <c r="D12166" s="39"/>
      <c r="E12166" s="39"/>
      <c r="F12166" s="39"/>
    </row>
    <row r="12167">
      <c r="D12167" s="39"/>
      <c r="E12167" s="39"/>
      <c r="F12167" s="39"/>
    </row>
    <row r="12168">
      <c r="D12168" s="39"/>
      <c r="E12168" s="39"/>
      <c r="F12168" s="39"/>
    </row>
    <row r="12169">
      <c r="D12169" s="39"/>
      <c r="E12169" s="39"/>
      <c r="F12169" s="39"/>
    </row>
    <row r="12170">
      <c r="D12170" s="39"/>
      <c r="E12170" s="39"/>
      <c r="F12170" s="39"/>
    </row>
    <row r="12171">
      <c r="D12171" s="39"/>
      <c r="E12171" s="39"/>
      <c r="F12171" s="39"/>
    </row>
    <row r="12172">
      <c r="D12172" s="39"/>
      <c r="E12172" s="39"/>
      <c r="F12172" s="39"/>
    </row>
    <row r="12173">
      <c r="D12173" s="39"/>
      <c r="E12173" s="39"/>
      <c r="F12173" s="39"/>
    </row>
    <row r="12174">
      <c r="D12174" s="39"/>
      <c r="E12174" s="39"/>
      <c r="F12174" s="39"/>
    </row>
    <row r="12175">
      <c r="D12175" s="39"/>
      <c r="E12175" s="39"/>
      <c r="F12175" s="39"/>
    </row>
    <row r="12176">
      <c r="D12176" s="39"/>
      <c r="E12176" s="39"/>
      <c r="F12176" s="39"/>
    </row>
    <row r="12177">
      <c r="D12177" s="39"/>
      <c r="E12177" s="39"/>
      <c r="F12177" s="39"/>
    </row>
    <row r="12178">
      <c r="D12178" s="39"/>
      <c r="E12178" s="39"/>
      <c r="F12178" s="39"/>
    </row>
    <row r="12179">
      <c r="D12179" s="39"/>
      <c r="E12179" s="39"/>
      <c r="F12179" s="39"/>
    </row>
    <row r="12180">
      <c r="D12180" s="39"/>
      <c r="E12180" s="39"/>
      <c r="F12180" s="39"/>
    </row>
    <row r="12181">
      <c r="D12181" s="39"/>
      <c r="E12181" s="39"/>
      <c r="F12181" s="39"/>
    </row>
    <row r="12182">
      <c r="D12182" s="39"/>
      <c r="E12182" s="39"/>
      <c r="F12182" s="39"/>
    </row>
    <row r="12183">
      <c r="D12183" s="39"/>
      <c r="E12183" s="39"/>
      <c r="F12183" s="39"/>
    </row>
    <row r="12184">
      <c r="D12184" s="39"/>
      <c r="E12184" s="39"/>
      <c r="F12184" s="39"/>
    </row>
    <row r="12185">
      <c r="D12185" s="39"/>
      <c r="E12185" s="39"/>
      <c r="F12185" s="39"/>
    </row>
    <row r="12186">
      <c r="D12186" s="39"/>
      <c r="E12186" s="39"/>
      <c r="F12186" s="39"/>
    </row>
    <row r="12187">
      <c r="D12187" s="39"/>
      <c r="E12187" s="39"/>
      <c r="F12187" s="39"/>
    </row>
    <row r="12188">
      <c r="D12188" s="39"/>
      <c r="E12188" s="39"/>
      <c r="F12188" s="39"/>
    </row>
    <row r="12189">
      <c r="D12189" s="39"/>
      <c r="E12189" s="39"/>
      <c r="F12189" s="39"/>
    </row>
    <row r="12190">
      <c r="D12190" s="39"/>
      <c r="E12190" s="39"/>
      <c r="F12190" s="39"/>
    </row>
    <row r="12191">
      <c r="D12191" s="39"/>
      <c r="E12191" s="39"/>
      <c r="F12191" s="39"/>
    </row>
    <row r="12192">
      <c r="D12192" s="39"/>
      <c r="E12192" s="39"/>
      <c r="F12192" s="39"/>
    </row>
    <row r="12193">
      <c r="D12193" s="39"/>
      <c r="E12193" s="39"/>
      <c r="F12193" s="39"/>
    </row>
    <row r="12194">
      <c r="D12194" s="39"/>
      <c r="E12194" s="39"/>
      <c r="F12194" s="39"/>
    </row>
    <row r="12195">
      <c r="D12195" s="39"/>
      <c r="E12195" s="39"/>
      <c r="F12195" s="39"/>
    </row>
    <row r="12196">
      <c r="D12196" s="39"/>
      <c r="E12196" s="39"/>
      <c r="F12196" s="39"/>
    </row>
    <row r="12197">
      <c r="D12197" s="39"/>
      <c r="E12197" s="39"/>
      <c r="F12197" s="39"/>
    </row>
    <row r="12198">
      <c r="D12198" s="39"/>
      <c r="E12198" s="39"/>
      <c r="F12198" s="39"/>
    </row>
    <row r="12199">
      <c r="D12199" s="39"/>
      <c r="E12199" s="39"/>
      <c r="F12199" s="39"/>
    </row>
    <row r="12200">
      <c r="D12200" s="39"/>
      <c r="E12200" s="39"/>
      <c r="F12200" s="39"/>
    </row>
    <row r="12201">
      <c r="D12201" s="39"/>
      <c r="E12201" s="39"/>
      <c r="F12201" s="39"/>
    </row>
    <row r="12202">
      <c r="D12202" s="39"/>
      <c r="E12202" s="39"/>
      <c r="F12202" s="39"/>
    </row>
    <row r="12203">
      <c r="D12203" s="39"/>
      <c r="E12203" s="39"/>
      <c r="F12203" s="39"/>
    </row>
    <row r="12204">
      <c r="D12204" s="39"/>
      <c r="E12204" s="39"/>
      <c r="F12204" s="39"/>
    </row>
    <row r="12205">
      <c r="D12205" s="39"/>
      <c r="E12205" s="39"/>
      <c r="F12205" s="39"/>
    </row>
    <row r="12206">
      <c r="D12206" s="39"/>
      <c r="E12206" s="39"/>
      <c r="F12206" s="39"/>
    </row>
    <row r="12207">
      <c r="D12207" s="39"/>
      <c r="E12207" s="39"/>
      <c r="F12207" s="39"/>
    </row>
    <row r="12208">
      <c r="D12208" s="39"/>
      <c r="E12208" s="39"/>
      <c r="F12208" s="39"/>
    </row>
    <row r="12209">
      <c r="D12209" s="39"/>
      <c r="E12209" s="39"/>
      <c r="F12209" s="39"/>
    </row>
    <row r="12210">
      <c r="D12210" s="39"/>
      <c r="E12210" s="39"/>
      <c r="F12210" s="39"/>
    </row>
    <row r="12211">
      <c r="D12211" s="39"/>
      <c r="E12211" s="39"/>
      <c r="F12211" s="39"/>
    </row>
    <row r="12212">
      <c r="D12212" s="39"/>
      <c r="E12212" s="39"/>
      <c r="F12212" s="39"/>
    </row>
    <row r="12213">
      <c r="D12213" s="39"/>
      <c r="E12213" s="39"/>
      <c r="F12213" s="39"/>
    </row>
    <row r="12214">
      <c r="D12214" s="39"/>
      <c r="E12214" s="39"/>
      <c r="F12214" s="39"/>
    </row>
    <row r="12215">
      <c r="D12215" s="39"/>
      <c r="E12215" s="39"/>
      <c r="F12215" s="39"/>
    </row>
    <row r="12216">
      <c r="D12216" s="39"/>
      <c r="E12216" s="39"/>
      <c r="F12216" s="39"/>
    </row>
    <row r="12217">
      <c r="D12217" s="39"/>
      <c r="E12217" s="39"/>
      <c r="F12217" s="39"/>
    </row>
    <row r="12218">
      <c r="D12218" s="39"/>
      <c r="E12218" s="39"/>
      <c r="F12218" s="39"/>
    </row>
    <row r="12219">
      <c r="D12219" s="39"/>
      <c r="E12219" s="39"/>
      <c r="F12219" s="39"/>
    </row>
    <row r="12220">
      <c r="D12220" s="39"/>
      <c r="E12220" s="39"/>
      <c r="F12220" s="39"/>
    </row>
    <row r="12221">
      <c r="D12221" s="39"/>
      <c r="E12221" s="39"/>
      <c r="F12221" s="39"/>
    </row>
    <row r="12222">
      <c r="D12222" s="39"/>
      <c r="E12222" s="39"/>
      <c r="F12222" s="39"/>
    </row>
    <row r="12223">
      <c r="D12223" s="39"/>
      <c r="E12223" s="39"/>
      <c r="F12223" s="39"/>
    </row>
    <row r="12224">
      <c r="D12224" s="39"/>
      <c r="E12224" s="39"/>
      <c r="F12224" s="39"/>
    </row>
    <row r="12225">
      <c r="D12225" s="39"/>
      <c r="E12225" s="39"/>
      <c r="F12225" s="39"/>
    </row>
    <row r="12226">
      <c r="D12226" s="39"/>
      <c r="E12226" s="39"/>
      <c r="F12226" s="39"/>
    </row>
    <row r="12227">
      <c r="D12227" s="39"/>
      <c r="E12227" s="39"/>
      <c r="F12227" s="39"/>
    </row>
    <row r="12228">
      <c r="D12228" s="39"/>
      <c r="E12228" s="39"/>
      <c r="F12228" s="39"/>
    </row>
    <row r="12229">
      <c r="D12229" s="39"/>
      <c r="E12229" s="39"/>
      <c r="F12229" s="39"/>
    </row>
    <row r="12230">
      <c r="D12230" s="39"/>
      <c r="E12230" s="39"/>
      <c r="F12230" s="39"/>
    </row>
    <row r="12231">
      <c r="D12231" s="39"/>
      <c r="E12231" s="39"/>
      <c r="F12231" s="39"/>
    </row>
    <row r="12232">
      <c r="D12232" s="39"/>
      <c r="E12232" s="39"/>
      <c r="F12232" s="39"/>
    </row>
    <row r="12233">
      <c r="D12233" s="39"/>
      <c r="E12233" s="39"/>
      <c r="F12233" s="39"/>
    </row>
    <row r="12234">
      <c r="D12234" s="39"/>
      <c r="E12234" s="39"/>
      <c r="F12234" s="39"/>
    </row>
    <row r="12235">
      <c r="D12235" s="39"/>
      <c r="E12235" s="39"/>
      <c r="F12235" s="39"/>
    </row>
    <row r="12236">
      <c r="D12236" s="39"/>
      <c r="E12236" s="39"/>
      <c r="F12236" s="39"/>
    </row>
    <row r="12237">
      <c r="D12237" s="39"/>
      <c r="E12237" s="39"/>
      <c r="F12237" s="39"/>
    </row>
    <row r="12238">
      <c r="D12238" s="39"/>
      <c r="E12238" s="39"/>
      <c r="F12238" s="39"/>
    </row>
    <row r="12239">
      <c r="D12239" s="39"/>
      <c r="E12239" s="39"/>
      <c r="F12239" s="39"/>
    </row>
    <row r="12240">
      <c r="D12240" s="39"/>
      <c r="E12240" s="39"/>
      <c r="F12240" s="39"/>
    </row>
    <row r="12241">
      <c r="D12241" s="39"/>
      <c r="E12241" s="39"/>
      <c r="F12241" s="39"/>
    </row>
    <row r="12242">
      <c r="D12242" s="39"/>
      <c r="E12242" s="39"/>
      <c r="F12242" s="39"/>
    </row>
    <row r="12243">
      <c r="D12243" s="39"/>
      <c r="E12243" s="39"/>
      <c r="F12243" s="39"/>
    </row>
    <row r="12244">
      <c r="D12244" s="39"/>
      <c r="E12244" s="39"/>
      <c r="F12244" s="39"/>
    </row>
    <row r="12245">
      <c r="D12245" s="39"/>
      <c r="E12245" s="39"/>
      <c r="F12245" s="39"/>
    </row>
    <row r="12246">
      <c r="D12246" s="39"/>
      <c r="E12246" s="39"/>
      <c r="F12246" s="39"/>
    </row>
    <row r="12247">
      <c r="D12247" s="39"/>
      <c r="E12247" s="39"/>
      <c r="F12247" s="39"/>
    </row>
    <row r="12248">
      <c r="D12248" s="39"/>
      <c r="E12248" s="39"/>
      <c r="F12248" s="39"/>
    </row>
    <row r="12249">
      <c r="D12249" s="39"/>
      <c r="E12249" s="39"/>
      <c r="F12249" s="39"/>
    </row>
    <row r="12250">
      <c r="D12250" s="39"/>
      <c r="E12250" s="39"/>
      <c r="F12250" s="39"/>
    </row>
    <row r="12251">
      <c r="D12251" s="39"/>
      <c r="E12251" s="39"/>
      <c r="F12251" s="39"/>
    </row>
    <row r="12252">
      <c r="D12252" s="39"/>
      <c r="E12252" s="39"/>
      <c r="F12252" s="39"/>
    </row>
    <row r="12253">
      <c r="D12253" s="39"/>
      <c r="E12253" s="39"/>
      <c r="F12253" s="39"/>
    </row>
    <row r="12254">
      <c r="D12254" s="39"/>
      <c r="E12254" s="39"/>
      <c r="F12254" s="39"/>
    </row>
    <row r="12255">
      <c r="D12255" s="39"/>
      <c r="E12255" s="39"/>
      <c r="F12255" s="39"/>
    </row>
    <row r="12256">
      <c r="D12256" s="39"/>
      <c r="E12256" s="39"/>
      <c r="F12256" s="39"/>
    </row>
    <row r="12257">
      <c r="D12257" s="39"/>
      <c r="E12257" s="39"/>
      <c r="F12257" s="39"/>
    </row>
    <row r="12258">
      <c r="D12258" s="39"/>
      <c r="E12258" s="39"/>
      <c r="F12258" s="39"/>
    </row>
    <row r="12259">
      <c r="D12259" s="39"/>
      <c r="E12259" s="39"/>
      <c r="F12259" s="39"/>
    </row>
    <row r="12260">
      <c r="D12260" s="39"/>
      <c r="E12260" s="39"/>
      <c r="F12260" s="39"/>
    </row>
    <row r="12261">
      <c r="D12261" s="39"/>
      <c r="E12261" s="39"/>
      <c r="F12261" s="39"/>
    </row>
    <row r="12262">
      <c r="D12262" s="39"/>
      <c r="E12262" s="39"/>
      <c r="F12262" s="39"/>
    </row>
    <row r="12263">
      <c r="D12263" s="39"/>
      <c r="E12263" s="39"/>
      <c r="F12263" s="39"/>
    </row>
    <row r="12264">
      <c r="D12264" s="39"/>
      <c r="E12264" s="39"/>
      <c r="F12264" s="39"/>
    </row>
    <row r="12265">
      <c r="D12265" s="39"/>
      <c r="E12265" s="39"/>
      <c r="F12265" s="39"/>
    </row>
    <row r="12266">
      <c r="D12266" s="39"/>
      <c r="E12266" s="39"/>
      <c r="F12266" s="39"/>
    </row>
    <row r="12267">
      <c r="D12267" s="39"/>
      <c r="E12267" s="39"/>
      <c r="F12267" s="39"/>
    </row>
    <row r="12268">
      <c r="D12268" s="39"/>
      <c r="E12268" s="39"/>
      <c r="F12268" s="39"/>
    </row>
    <row r="12269">
      <c r="D12269" s="39"/>
      <c r="E12269" s="39"/>
      <c r="F12269" s="39"/>
    </row>
    <row r="12270">
      <c r="D12270" s="39"/>
      <c r="E12270" s="39"/>
      <c r="F12270" s="39"/>
    </row>
    <row r="12271">
      <c r="D12271" s="39"/>
      <c r="E12271" s="39"/>
      <c r="F12271" s="39"/>
    </row>
    <row r="12272">
      <c r="D12272" s="39"/>
      <c r="E12272" s="39"/>
      <c r="F12272" s="39"/>
    </row>
    <row r="12273">
      <c r="D12273" s="39"/>
      <c r="E12273" s="39"/>
      <c r="F12273" s="39"/>
    </row>
    <row r="12274">
      <c r="D12274" s="39"/>
      <c r="E12274" s="39"/>
      <c r="F12274" s="39"/>
    </row>
    <row r="12275">
      <c r="D12275" s="39"/>
      <c r="E12275" s="39"/>
      <c r="F12275" s="39"/>
    </row>
    <row r="12276">
      <c r="D12276" s="39"/>
      <c r="E12276" s="39"/>
      <c r="F12276" s="39"/>
    </row>
    <row r="12277">
      <c r="D12277" s="39"/>
      <c r="E12277" s="39"/>
      <c r="F12277" s="39"/>
    </row>
    <row r="12278">
      <c r="D12278" s="39"/>
      <c r="E12278" s="39"/>
      <c r="F12278" s="39"/>
    </row>
    <row r="12279">
      <c r="D12279" s="39"/>
      <c r="E12279" s="39"/>
      <c r="F12279" s="39"/>
    </row>
    <row r="12280">
      <c r="D12280" s="39"/>
      <c r="E12280" s="39"/>
      <c r="F12280" s="39"/>
    </row>
    <row r="12281">
      <c r="D12281" s="39"/>
      <c r="E12281" s="39"/>
      <c r="F12281" s="39"/>
    </row>
    <row r="12282">
      <c r="D12282" s="39"/>
      <c r="E12282" s="39"/>
      <c r="F12282" s="39"/>
    </row>
    <row r="12283">
      <c r="D12283" s="39"/>
      <c r="E12283" s="39"/>
      <c r="F12283" s="39"/>
    </row>
    <row r="12284">
      <c r="D12284" s="39"/>
      <c r="E12284" s="39"/>
      <c r="F12284" s="39"/>
    </row>
    <row r="12285">
      <c r="D12285" s="39"/>
      <c r="E12285" s="39"/>
      <c r="F12285" s="39"/>
    </row>
    <row r="12286">
      <c r="D12286" s="39"/>
      <c r="E12286" s="39"/>
      <c r="F12286" s="39"/>
    </row>
    <row r="12287">
      <c r="D12287" s="39"/>
      <c r="E12287" s="39"/>
      <c r="F12287" s="39"/>
    </row>
    <row r="12288">
      <c r="D12288" s="39"/>
      <c r="E12288" s="39"/>
      <c r="F12288" s="39"/>
    </row>
    <row r="12289">
      <c r="D12289" s="39"/>
      <c r="E12289" s="39"/>
      <c r="F12289" s="39"/>
    </row>
    <row r="12290">
      <c r="D12290" s="39"/>
      <c r="E12290" s="39"/>
      <c r="F12290" s="39"/>
    </row>
    <row r="12291">
      <c r="D12291" s="39"/>
      <c r="E12291" s="39"/>
      <c r="F12291" s="39"/>
    </row>
    <row r="12292">
      <c r="D12292" s="39"/>
      <c r="E12292" s="39"/>
      <c r="F12292" s="39"/>
    </row>
    <row r="12293">
      <c r="D12293" s="39"/>
      <c r="E12293" s="39"/>
      <c r="F12293" s="39"/>
    </row>
    <row r="12294">
      <c r="D12294" s="39"/>
      <c r="E12294" s="39"/>
      <c r="F12294" s="39"/>
    </row>
    <row r="12295">
      <c r="D12295" s="39"/>
      <c r="E12295" s="39"/>
      <c r="F12295" s="39"/>
    </row>
    <row r="12296">
      <c r="D12296" s="39"/>
      <c r="E12296" s="39"/>
      <c r="F12296" s="39"/>
    </row>
    <row r="12297">
      <c r="D12297" s="39"/>
      <c r="E12297" s="39"/>
      <c r="F12297" s="39"/>
    </row>
    <row r="12298">
      <c r="D12298" s="39"/>
      <c r="E12298" s="39"/>
      <c r="F12298" s="39"/>
    </row>
    <row r="12299">
      <c r="D12299" s="39"/>
      <c r="E12299" s="39"/>
      <c r="F12299" s="39"/>
    </row>
    <row r="12300">
      <c r="D12300" s="39"/>
      <c r="E12300" s="39"/>
      <c r="F12300" s="39"/>
    </row>
    <row r="12301">
      <c r="D12301" s="39"/>
      <c r="E12301" s="39"/>
      <c r="F12301" s="39"/>
    </row>
    <row r="12302">
      <c r="D12302" s="39"/>
      <c r="E12302" s="39"/>
      <c r="F12302" s="39"/>
    </row>
    <row r="12303">
      <c r="D12303" s="39"/>
      <c r="E12303" s="39"/>
      <c r="F12303" s="39"/>
    </row>
    <row r="12304">
      <c r="D12304" s="39"/>
      <c r="E12304" s="39"/>
      <c r="F12304" s="39"/>
    </row>
    <row r="12305">
      <c r="D12305" s="39"/>
      <c r="E12305" s="39"/>
      <c r="F12305" s="39"/>
    </row>
    <row r="12306">
      <c r="D12306" s="39"/>
      <c r="E12306" s="39"/>
      <c r="F12306" s="39"/>
    </row>
    <row r="12307">
      <c r="D12307" s="39"/>
      <c r="E12307" s="39"/>
      <c r="F12307" s="39"/>
    </row>
    <row r="12308">
      <c r="D12308" s="39"/>
      <c r="E12308" s="39"/>
      <c r="F12308" s="39"/>
    </row>
    <row r="12309">
      <c r="D12309" s="39"/>
      <c r="E12309" s="39"/>
      <c r="F12309" s="39"/>
    </row>
    <row r="12310">
      <c r="D12310" s="39"/>
      <c r="E12310" s="39"/>
      <c r="F12310" s="39"/>
    </row>
    <row r="12311">
      <c r="D12311" s="39"/>
      <c r="E12311" s="39"/>
      <c r="F12311" s="39"/>
    </row>
    <row r="12312">
      <c r="D12312" s="39"/>
      <c r="E12312" s="39"/>
      <c r="F12312" s="39"/>
    </row>
    <row r="12313">
      <c r="D12313" s="39"/>
      <c r="E12313" s="39"/>
      <c r="F12313" s="39"/>
    </row>
    <row r="12314">
      <c r="D12314" s="39"/>
      <c r="E12314" s="39"/>
      <c r="F12314" s="39"/>
    </row>
    <row r="12315">
      <c r="D12315" s="39"/>
      <c r="E12315" s="39"/>
      <c r="F12315" s="39"/>
    </row>
    <row r="12316">
      <c r="D12316" s="39"/>
      <c r="E12316" s="39"/>
      <c r="F12316" s="39"/>
    </row>
    <row r="12317">
      <c r="D12317" s="39"/>
      <c r="E12317" s="39"/>
      <c r="F12317" s="39"/>
    </row>
    <row r="12318">
      <c r="D12318" s="39"/>
      <c r="E12318" s="39"/>
      <c r="F12318" s="39"/>
    </row>
    <row r="12319">
      <c r="D12319" s="39"/>
      <c r="E12319" s="39"/>
      <c r="F12319" s="39"/>
    </row>
    <row r="12320">
      <c r="D12320" s="39"/>
      <c r="E12320" s="39"/>
      <c r="F12320" s="39"/>
    </row>
    <row r="12321">
      <c r="D12321" s="39"/>
      <c r="E12321" s="39"/>
      <c r="F12321" s="39"/>
    </row>
    <row r="12322">
      <c r="D12322" s="39"/>
      <c r="E12322" s="39"/>
      <c r="F12322" s="39"/>
    </row>
    <row r="12323">
      <c r="D12323" s="39"/>
      <c r="E12323" s="39"/>
      <c r="F12323" s="39"/>
    </row>
    <row r="12324">
      <c r="D12324" s="39"/>
      <c r="E12324" s="39"/>
      <c r="F12324" s="39"/>
    </row>
    <row r="12325">
      <c r="D12325" s="39"/>
      <c r="E12325" s="39"/>
      <c r="F12325" s="39"/>
    </row>
    <row r="12326">
      <c r="D12326" s="39"/>
      <c r="E12326" s="39"/>
      <c r="F12326" s="39"/>
    </row>
    <row r="12327">
      <c r="D12327" s="39"/>
      <c r="E12327" s="39"/>
      <c r="F12327" s="39"/>
    </row>
    <row r="12328">
      <c r="D12328" s="39"/>
      <c r="E12328" s="39"/>
      <c r="F12328" s="39"/>
    </row>
    <row r="12329">
      <c r="D12329" s="39"/>
      <c r="E12329" s="39"/>
      <c r="F12329" s="39"/>
    </row>
    <row r="12330">
      <c r="D12330" s="39"/>
      <c r="E12330" s="39"/>
      <c r="F12330" s="39"/>
    </row>
    <row r="12331">
      <c r="D12331" s="39"/>
      <c r="E12331" s="39"/>
      <c r="F12331" s="39"/>
    </row>
    <row r="12332">
      <c r="D12332" s="39"/>
      <c r="E12332" s="39"/>
      <c r="F12332" s="39"/>
    </row>
    <row r="12333">
      <c r="D12333" s="39"/>
      <c r="E12333" s="39"/>
      <c r="F12333" s="39"/>
    </row>
    <row r="12334">
      <c r="D12334" s="39"/>
      <c r="E12334" s="39"/>
      <c r="F12334" s="39"/>
    </row>
    <row r="12335">
      <c r="D12335" s="39"/>
      <c r="E12335" s="39"/>
      <c r="F12335" s="39"/>
    </row>
    <row r="12336">
      <c r="D12336" s="39"/>
      <c r="E12336" s="39"/>
      <c r="F12336" s="39"/>
    </row>
    <row r="12337">
      <c r="D12337" s="39"/>
      <c r="E12337" s="39"/>
      <c r="F12337" s="39"/>
    </row>
    <row r="12338">
      <c r="D12338" s="39"/>
      <c r="E12338" s="39"/>
      <c r="F12338" s="39"/>
    </row>
    <row r="12339">
      <c r="D12339" s="39"/>
      <c r="E12339" s="39"/>
      <c r="F12339" s="39"/>
    </row>
    <row r="12340">
      <c r="D12340" s="39"/>
      <c r="E12340" s="39"/>
      <c r="F12340" s="39"/>
    </row>
    <row r="12341">
      <c r="D12341" s="39"/>
      <c r="E12341" s="39"/>
      <c r="F12341" s="39"/>
    </row>
    <row r="12342">
      <c r="D12342" s="39"/>
      <c r="E12342" s="39"/>
      <c r="F12342" s="39"/>
    </row>
    <row r="12343">
      <c r="D12343" s="39"/>
      <c r="E12343" s="39"/>
      <c r="F12343" s="39"/>
    </row>
    <row r="12344">
      <c r="D12344" s="39"/>
      <c r="E12344" s="39"/>
      <c r="F12344" s="39"/>
    </row>
    <row r="12345">
      <c r="D12345" s="39"/>
      <c r="E12345" s="39"/>
      <c r="F12345" s="39"/>
    </row>
    <row r="12346">
      <c r="D12346" s="39"/>
      <c r="E12346" s="39"/>
      <c r="F12346" s="39"/>
    </row>
    <row r="12347">
      <c r="D12347" s="39"/>
      <c r="E12347" s="39"/>
      <c r="F12347" s="39"/>
    </row>
    <row r="12348">
      <c r="D12348" s="39"/>
      <c r="E12348" s="39"/>
      <c r="F12348" s="39"/>
    </row>
    <row r="12349">
      <c r="D12349" s="39"/>
      <c r="E12349" s="39"/>
      <c r="F12349" s="39"/>
    </row>
    <row r="12350">
      <c r="D12350" s="39"/>
      <c r="E12350" s="39"/>
      <c r="F12350" s="39"/>
    </row>
    <row r="12351">
      <c r="D12351" s="39"/>
      <c r="E12351" s="39"/>
      <c r="F12351" s="39"/>
    </row>
    <row r="12352">
      <c r="D12352" s="39"/>
      <c r="E12352" s="39"/>
      <c r="F12352" s="39"/>
    </row>
    <row r="12353">
      <c r="D12353" s="39"/>
      <c r="E12353" s="39"/>
      <c r="F12353" s="39"/>
    </row>
    <row r="12354">
      <c r="D12354" s="39"/>
      <c r="E12354" s="39"/>
      <c r="F12354" s="39"/>
    </row>
    <row r="12355">
      <c r="D12355" s="39"/>
      <c r="E12355" s="39"/>
      <c r="F12355" s="39"/>
    </row>
    <row r="12356">
      <c r="D12356" s="39"/>
      <c r="E12356" s="39"/>
      <c r="F12356" s="39"/>
    </row>
    <row r="12357">
      <c r="D12357" s="39"/>
      <c r="E12357" s="39"/>
      <c r="F12357" s="39"/>
    </row>
    <row r="12358">
      <c r="D12358" s="39"/>
      <c r="E12358" s="39"/>
      <c r="F12358" s="39"/>
    </row>
    <row r="12359">
      <c r="D12359" s="39"/>
      <c r="E12359" s="39"/>
      <c r="F12359" s="39"/>
    </row>
    <row r="12360">
      <c r="D12360" s="39"/>
      <c r="E12360" s="39"/>
      <c r="F12360" s="39"/>
    </row>
    <row r="12361">
      <c r="D12361" s="39"/>
      <c r="E12361" s="39"/>
      <c r="F12361" s="39"/>
    </row>
    <row r="12362">
      <c r="D12362" s="39"/>
      <c r="E12362" s="39"/>
      <c r="F12362" s="39"/>
    </row>
    <row r="12363">
      <c r="D12363" s="39"/>
      <c r="E12363" s="39"/>
      <c r="F12363" s="39"/>
    </row>
    <row r="12364">
      <c r="D12364" s="39"/>
      <c r="E12364" s="39"/>
      <c r="F12364" s="39"/>
    </row>
    <row r="12365">
      <c r="D12365" s="39"/>
      <c r="E12365" s="39"/>
      <c r="F12365" s="39"/>
    </row>
    <row r="12366">
      <c r="D12366" s="39"/>
      <c r="E12366" s="39"/>
      <c r="F12366" s="39"/>
    </row>
    <row r="12367">
      <c r="D12367" s="39"/>
      <c r="E12367" s="39"/>
      <c r="F12367" s="39"/>
    </row>
    <row r="12368">
      <c r="D12368" s="39"/>
      <c r="E12368" s="39"/>
      <c r="F12368" s="39"/>
    </row>
    <row r="12369">
      <c r="D12369" s="39"/>
      <c r="E12369" s="39"/>
      <c r="F12369" s="39"/>
    </row>
    <row r="12370">
      <c r="D12370" s="39"/>
      <c r="E12370" s="39"/>
      <c r="F12370" s="39"/>
    </row>
    <row r="12371">
      <c r="D12371" s="39"/>
      <c r="E12371" s="39"/>
      <c r="F12371" s="39"/>
    </row>
    <row r="12372">
      <c r="D12372" s="39"/>
      <c r="E12372" s="39"/>
      <c r="F12372" s="39"/>
    </row>
    <row r="12373">
      <c r="D12373" s="39"/>
      <c r="E12373" s="39"/>
      <c r="F12373" s="39"/>
    </row>
    <row r="12374">
      <c r="D12374" s="39"/>
      <c r="E12374" s="39"/>
      <c r="F12374" s="39"/>
    </row>
    <row r="12375">
      <c r="D12375" s="39"/>
      <c r="E12375" s="39"/>
      <c r="F12375" s="39"/>
    </row>
    <row r="12376">
      <c r="D12376" s="39"/>
      <c r="E12376" s="39"/>
      <c r="F12376" s="39"/>
    </row>
    <row r="12377">
      <c r="D12377" s="39"/>
      <c r="E12377" s="39"/>
      <c r="F12377" s="39"/>
    </row>
    <row r="12378">
      <c r="D12378" s="39"/>
      <c r="E12378" s="39"/>
      <c r="F12378" s="39"/>
    </row>
    <row r="12379">
      <c r="D12379" s="39"/>
      <c r="E12379" s="39"/>
      <c r="F12379" s="39"/>
    </row>
    <row r="12380">
      <c r="D12380" s="39"/>
      <c r="E12380" s="39"/>
      <c r="F12380" s="39"/>
    </row>
    <row r="12381">
      <c r="D12381" s="39"/>
      <c r="E12381" s="39"/>
      <c r="F12381" s="39"/>
    </row>
    <row r="12382">
      <c r="D12382" s="39"/>
      <c r="E12382" s="39"/>
      <c r="F12382" s="39"/>
    </row>
    <row r="12383">
      <c r="D12383" s="39"/>
      <c r="E12383" s="39"/>
      <c r="F12383" s="39"/>
    </row>
    <row r="12384">
      <c r="D12384" s="39"/>
      <c r="E12384" s="39"/>
      <c r="F12384" s="39"/>
    </row>
    <row r="12385">
      <c r="D12385" s="39"/>
      <c r="E12385" s="39"/>
      <c r="F12385" s="39"/>
    </row>
    <row r="12386">
      <c r="D12386" s="39"/>
      <c r="E12386" s="39"/>
      <c r="F12386" s="39"/>
    </row>
    <row r="12387">
      <c r="D12387" s="39"/>
      <c r="E12387" s="39"/>
      <c r="F12387" s="39"/>
    </row>
    <row r="12388">
      <c r="D12388" s="39"/>
      <c r="E12388" s="39"/>
      <c r="F12388" s="39"/>
    </row>
    <row r="12389">
      <c r="D12389" s="39"/>
      <c r="E12389" s="39"/>
      <c r="F12389" s="39"/>
    </row>
    <row r="12390">
      <c r="D12390" s="39"/>
      <c r="E12390" s="39"/>
      <c r="F12390" s="39"/>
    </row>
    <row r="12391">
      <c r="D12391" s="39"/>
      <c r="E12391" s="39"/>
      <c r="F12391" s="39"/>
    </row>
    <row r="12392">
      <c r="D12392" s="39"/>
      <c r="E12392" s="39"/>
      <c r="F12392" s="39"/>
    </row>
    <row r="12393">
      <c r="D12393" s="39"/>
      <c r="E12393" s="39"/>
      <c r="F12393" s="39"/>
    </row>
    <row r="12394">
      <c r="D12394" s="39"/>
      <c r="E12394" s="39"/>
      <c r="F12394" s="39"/>
    </row>
    <row r="12395">
      <c r="D12395" s="39"/>
      <c r="E12395" s="39"/>
      <c r="F12395" s="39"/>
    </row>
    <row r="12396">
      <c r="D12396" s="39"/>
      <c r="E12396" s="39"/>
      <c r="F12396" s="39"/>
    </row>
    <row r="12397">
      <c r="D12397" s="39"/>
      <c r="E12397" s="39"/>
      <c r="F12397" s="39"/>
    </row>
    <row r="12398">
      <c r="D12398" s="39"/>
      <c r="E12398" s="39"/>
      <c r="F12398" s="39"/>
    </row>
    <row r="12399">
      <c r="D12399" s="39"/>
      <c r="E12399" s="39"/>
      <c r="F12399" s="39"/>
    </row>
    <row r="12400">
      <c r="D12400" s="39"/>
      <c r="E12400" s="39"/>
      <c r="F12400" s="39"/>
    </row>
    <row r="12401">
      <c r="D12401" s="39"/>
      <c r="E12401" s="39"/>
      <c r="F12401" s="39"/>
    </row>
    <row r="12402">
      <c r="D12402" s="39"/>
      <c r="E12402" s="39"/>
      <c r="F12402" s="39"/>
    </row>
    <row r="12403">
      <c r="D12403" s="39"/>
      <c r="E12403" s="39"/>
      <c r="F12403" s="39"/>
    </row>
    <row r="12404">
      <c r="D12404" s="39"/>
      <c r="E12404" s="39"/>
      <c r="F12404" s="39"/>
    </row>
    <row r="12405">
      <c r="D12405" s="39"/>
      <c r="E12405" s="39"/>
      <c r="F12405" s="39"/>
    </row>
    <row r="12406">
      <c r="D12406" s="39"/>
      <c r="E12406" s="39"/>
      <c r="F12406" s="39"/>
    </row>
    <row r="12407">
      <c r="D12407" s="39"/>
      <c r="E12407" s="39"/>
      <c r="F12407" s="39"/>
    </row>
    <row r="12408">
      <c r="D12408" s="39"/>
      <c r="E12408" s="39"/>
      <c r="F12408" s="39"/>
    </row>
    <row r="12409">
      <c r="D12409" s="39"/>
      <c r="E12409" s="39"/>
      <c r="F12409" s="39"/>
    </row>
    <row r="12410">
      <c r="D12410" s="39"/>
      <c r="E12410" s="39"/>
      <c r="F12410" s="39"/>
    </row>
    <row r="12411">
      <c r="D12411" s="39"/>
      <c r="E12411" s="39"/>
      <c r="F12411" s="39"/>
    </row>
    <row r="12412">
      <c r="D12412" s="39"/>
      <c r="E12412" s="39"/>
      <c r="F12412" s="39"/>
    </row>
    <row r="12413">
      <c r="D12413" s="39"/>
      <c r="E12413" s="39"/>
      <c r="F12413" s="39"/>
    </row>
    <row r="12414">
      <c r="D12414" s="39"/>
      <c r="E12414" s="39"/>
      <c r="F12414" s="39"/>
    </row>
    <row r="12415">
      <c r="D12415" s="39"/>
      <c r="E12415" s="39"/>
      <c r="F12415" s="39"/>
    </row>
    <row r="12416">
      <c r="D12416" s="39"/>
      <c r="E12416" s="39"/>
      <c r="F12416" s="39"/>
    </row>
    <row r="12417">
      <c r="D12417" s="39"/>
      <c r="E12417" s="39"/>
      <c r="F12417" s="39"/>
    </row>
    <row r="12418">
      <c r="D12418" s="39"/>
      <c r="E12418" s="39"/>
      <c r="F12418" s="39"/>
    </row>
    <row r="12419">
      <c r="D12419" s="39"/>
      <c r="E12419" s="39"/>
      <c r="F12419" s="39"/>
    </row>
    <row r="12420">
      <c r="D12420" s="39"/>
      <c r="E12420" s="39"/>
      <c r="F12420" s="39"/>
    </row>
    <row r="12421">
      <c r="D12421" s="39"/>
      <c r="E12421" s="39"/>
      <c r="F12421" s="39"/>
    </row>
    <row r="12422">
      <c r="D12422" s="39"/>
      <c r="E12422" s="39"/>
      <c r="F12422" s="39"/>
    </row>
    <row r="12423">
      <c r="D12423" s="39"/>
      <c r="E12423" s="39"/>
      <c r="F12423" s="39"/>
    </row>
    <row r="12424">
      <c r="D12424" s="39"/>
      <c r="E12424" s="39"/>
      <c r="F12424" s="39"/>
    </row>
    <row r="12425">
      <c r="D12425" s="39"/>
      <c r="E12425" s="39"/>
      <c r="F12425" s="39"/>
    </row>
    <row r="12426">
      <c r="D12426" s="39"/>
      <c r="E12426" s="39"/>
      <c r="F12426" s="39"/>
    </row>
    <row r="12427">
      <c r="D12427" s="39"/>
      <c r="E12427" s="39"/>
      <c r="F12427" s="39"/>
    </row>
    <row r="12428">
      <c r="D12428" s="39"/>
      <c r="E12428" s="39"/>
      <c r="F12428" s="39"/>
    </row>
    <row r="12429">
      <c r="D12429" s="39"/>
      <c r="E12429" s="39"/>
      <c r="F12429" s="39"/>
    </row>
    <row r="12430">
      <c r="D12430" s="39"/>
      <c r="E12430" s="39"/>
      <c r="F12430" s="39"/>
    </row>
    <row r="12431">
      <c r="D12431" s="39"/>
      <c r="E12431" s="39"/>
      <c r="F12431" s="39"/>
    </row>
    <row r="12432">
      <c r="D12432" s="39"/>
      <c r="E12432" s="39"/>
      <c r="F12432" s="39"/>
    </row>
    <row r="12433">
      <c r="D12433" s="39"/>
      <c r="E12433" s="39"/>
      <c r="F12433" s="39"/>
    </row>
    <row r="12434">
      <c r="D12434" s="39"/>
      <c r="E12434" s="39"/>
      <c r="F12434" s="39"/>
    </row>
    <row r="12435">
      <c r="D12435" s="39"/>
      <c r="E12435" s="39"/>
      <c r="F12435" s="39"/>
    </row>
    <row r="12436">
      <c r="D12436" s="39"/>
      <c r="E12436" s="39"/>
      <c r="F12436" s="39"/>
    </row>
    <row r="12437">
      <c r="D12437" s="39"/>
      <c r="E12437" s="39"/>
      <c r="F12437" s="39"/>
    </row>
    <row r="12438">
      <c r="D12438" s="39"/>
      <c r="E12438" s="39"/>
      <c r="F12438" s="39"/>
    </row>
    <row r="12439">
      <c r="D12439" s="39"/>
      <c r="E12439" s="39"/>
      <c r="F12439" s="39"/>
    </row>
    <row r="12440">
      <c r="D12440" s="39"/>
      <c r="E12440" s="39"/>
      <c r="F12440" s="39"/>
    </row>
    <row r="12441">
      <c r="D12441" s="39"/>
      <c r="E12441" s="39"/>
      <c r="F12441" s="39"/>
    </row>
    <row r="12442">
      <c r="D12442" s="39"/>
      <c r="E12442" s="39"/>
      <c r="F12442" s="39"/>
    </row>
    <row r="12443">
      <c r="D12443" s="39"/>
      <c r="E12443" s="39"/>
      <c r="F12443" s="39"/>
    </row>
    <row r="12444">
      <c r="D12444" s="39"/>
      <c r="E12444" s="39"/>
      <c r="F12444" s="39"/>
    </row>
    <row r="12445">
      <c r="D12445" s="39"/>
      <c r="E12445" s="39"/>
      <c r="F12445" s="39"/>
    </row>
    <row r="12446">
      <c r="D12446" s="39"/>
      <c r="E12446" s="39"/>
      <c r="F12446" s="39"/>
    </row>
    <row r="12447">
      <c r="D12447" s="39"/>
      <c r="E12447" s="39"/>
      <c r="F12447" s="39"/>
    </row>
    <row r="12448">
      <c r="D12448" s="39"/>
      <c r="E12448" s="39"/>
      <c r="F12448" s="39"/>
    </row>
    <row r="12449">
      <c r="D12449" s="39"/>
      <c r="E12449" s="39"/>
      <c r="F12449" s="39"/>
    </row>
    <row r="12450">
      <c r="D12450" s="39"/>
      <c r="E12450" s="39"/>
      <c r="F12450" s="39"/>
    </row>
    <row r="12451">
      <c r="D12451" s="39"/>
      <c r="E12451" s="39"/>
      <c r="F12451" s="39"/>
    </row>
    <row r="12452">
      <c r="D12452" s="39"/>
      <c r="E12452" s="39"/>
      <c r="F12452" s="39"/>
    </row>
    <row r="12453">
      <c r="D12453" s="39"/>
      <c r="E12453" s="39"/>
      <c r="F12453" s="39"/>
    </row>
    <row r="12454">
      <c r="D12454" s="39"/>
      <c r="E12454" s="39"/>
      <c r="F12454" s="39"/>
    </row>
    <row r="12455">
      <c r="D12455" s="39"/>
      <c r="E12455" s="39"/>
      <c r="F12455" s="39"/>
    </row>
    <row r="12456">
      <c r="D12456" s="39"/>
      <c r="E12456" s="39"/>
      <c r="F12456" s="39"/>
    </row>
    <row r="12457">
      <c r="D12457" s="39"/>
      <c r="E12457" s="39"/>
      <c r="F12457" s="39"/>
    </row>
    <row r="12458">
      <c r="D12458" s="39"/>
      <c r="E12458" s="39"/>
      <c r="F12458" s="39"/>
    </row>
    <row r="12459">
      <c r="D12459" s="39"/>
      <c r="E12459" s="39"/>
      <c r="F12459" s="39"/>
    </row>
    <row r="12460">
      <c r="D12460" s="39"/>
      <c r="E12460" s="39"/>
      <c r="F12460" s="39"/>
    </row>
    <row r="12461">
      <c r="D12461" s="39"/>
      <c r="E12461" s="39"/>
      <c r="F12461" s="39"/>
    </row>
    <row r="12462">
      <c r="D12462" s="39"/>
      <c r="E12462" s="39"/>
      <c r="F12462" s="39"/>
    </row>
    <row r="12463">
      <c r="D12463" s="39"/>
      <c r="E12463" s="39"/>
      <c r="F12463" s="39"/>
    </row>
    <row r="12464">
      <c r="D12464" s="39"/>
      <c r="E12464" s="39"/>
      <c r="F12464" s="39"/>
    </row>
    <row r="12465">
      <c r="D12465" s="39"/>
      <c r="E12465" s="39"/>
      <c r="F12465" s="39"/>
    </row>
    <row r="12466">
      <c r="D12466" s="39"/>
      <c r="E12466" s="39"/>
      <c r="F12466" s="39"/>
    </row>
    <row r="12467">
      <c r="D12467" s="39"/>
      <c r="E12467" s="39"/>
      <c r="F12467" s="39"/>
    </row>
    <row r="12468">
      <c r="D12468" s="39"/>
      <c r="E12468" s="39"/>
      <c r="F12468" s="39"/>
    </row>
    <row r="12469">
      <c r="D12469" s="39"/>
      <c r="E12469" s="39"/>
      <c r="F12469" s="39"/>
    </row>
    <row r="12470">
      <c r="D12470" s="39"/>
      <c r="E12470" s="39"/>
      <c r="F12470" s="39"/>
    </row>
    <row r="12471">
      <c r="D12471" s="39"/>
      <c r="E12471" s="39"/>
      <c r="F12471" s="39"/>
    </row>
    <row r="12472">
      <c r="D12472" s="39"/>
      <c r="E12472" s="39"/>
      <c r="F12472" s="39"/>
    </row>
    <row r="12473">
      <c r="D12473" s="39"/>
      <c r="E12473" s="39"/>
      <c r="F12473" s="39"/>
    </row>
    <row r="12474">
      <c r="D12474" s="39"/>
      <c r="E12474" s="39"/>
      <c r="F12474" s="39"/>
    </row>
    <row r="12475">
      <c r="D12475" s="39"/>
      <c r="E12475" s="39"/>
      <c r="F12475" s="39"/>
    </row>
    <row r="12476">
      <c r="D12476" s="39"/>
      <c r="E12476" s="39"/>
      <c r="F12476" s="39"/>
    </row>
    <row r="12477">
      <c r="D12477" s="39"/>
      <c r="E12477" s="39"/>
      <c r="F12477" s="39"/>
    </row>
    <row r="12478">
      <c r="D12478" s="39"/>
      <c r="E12478" s="39"/>
      <c r="F12478" s="39"/>
    </row>
    <row r="12479">
      <c r="D12479" s="39"/>
      <c r="E12479" s="39"/>
      <c r="F12479" s="39"/>
    </row>
    <row r="12480">
      <c r="D12480" s="39"/>
      <c r="E12480" s="39"/>
      <c r="F12480" s="39"/>
    </row>
    <row r="12481">
      <c r="D12481" s="39"/>
      <c r="E12481" s="39"/>
      <c r="F12481" s="39"/>
    </row>
    <row r="12482">
      <c r="D12482" s="39"/>
      <c r="E12482" s="39"/>
      <c r="F12482" s="39"/>
    </row>
    <row r="12483">
      <c r="D12483" s="39"/>
      <c r="E12483" s="39"/>
      <c r="F12483" s="39"/>
    </row>
    <row r="12484">
      <c r="D12484" s="39"/>
      <c r="E12484" s="39"/>
      <c r="F12484" s="39"/>
    </row>
    <row r="12485">
      <c r="D12485" s="39"/>
      <c r="E12485" s="39"/>
      <c r="F12485" s="39"/>
    </row>
    <row r="12486">
      <c r="D12486" s="39"/>
      <c r="E12486" s="39"/>
      <c r="F12486" s="39"/>
    </row>
    <row r="12487">
      <c r="D12487" s="39"/>
      <c r="E12487" s="39"/>
      <c r="F12487" s="39"/>
    </row>
    <row r="12488">
      <c r="D12488" s="39"/>
      <c r="E12488" s="39"/>
      <c r="F12488" s="39"/>
    </row>
    <row r="12489">
      <c r="D12489" s="39"/>
      <c r="E12489" s="39"/>
      <c r="F12489" s="39"/>
    </row>
    <row r="12490">
      <c r="D12490" s="39"/>
      <c r="E12490" s="39"/>
      <c r="F12490" s="39"/>
    </row>
    <row r="12491">
      <c r="D12491" s="39"/>
      <c r="E12491" s="39"/>
      <c r="F12491" s="39"/>
    </row>
    <row r="12492">
      <c r="D12492" s="39"/>
      <c r="E12492" s="39"/>
      <c r="F12492" s="39"/>
    </row>
    <row r="12493">
      <c r="D12493" s="39"/>
      <c r="E12493" s="39"/>
      <c r="F12493" s="39"/>
    </row>
    <row r="12494">
      <c r="D12494" s="39"/>
      <c r="E12494" s="39"/>
      <c r="F12494" s="39"/>
    </row>
    <row r="12495">
      <c r="D12495" s="39"/>
      <c r="E12495" s="39"/>
      <c r="F12495" s="39"/>
    </row>
    <row r="12496">
      <c r="D12496" s="39"/>
      <c r="E12496" s="39"/>
      <c r="F12496" s="39"/>
    </row>
    <row r="12497">
      <c r="D12497" s="39"/>
      <c r="E12497" s="39"/>
      <c r="F12497" s="39"/>
    </row>
    <row r="12498">
      <c r="D12498" s="39"/>
      <c r="E12498" s="39"/>
      <c r="F12498" s="39"/>
    </row>
    <row r="12499">
      <c r="D12499" s="39"/>
      <c r="E12499" s="39"/>
      <c r="F12499" s="39"/>
    </row>
    <row r="12500">
      <c r="D12500" s="39"/>
      <c r="E12500" s="39"/>
      <c r="F12500" s="39"/>
    </row>
    <row r="12501">
      <c r="D12501" s="39"/>
      <c r="E12501" s="39"/>
      <c r="F12501" s="39"/>
    </row>
    <row r="12502">
      <c r="D12502" s="39"/>
      <c r="E12502" s="39"/>
      <c r="F12502" s="39"/>
    </row>
    <row r="12503">
      <c r="D12503" s="39"/>
      <c r="E12503" s="39"/>
      <c r="F12503" s="39"/>
    </row>
    <row r="12504">
      <c r="D12504" s="39"/>
      <c r="E12504" s="39"/>
      <c r="F12504" s="39"/>
    </row>
    <row r="12505">
      <c r="D12505" s="39"/>
      <c r="E12505" s="39"/>
      <c r="F12505" s="39"/>
    </row>
    <row r="12506">
      <c r="D12506" s="39"/>
      <c r="E12506" s="39"/>
      <c r="F12506" s="39"/>
    </row>
    <row r="12507">
      <c r="D12507" s="39"/>
      <c r="E12507" s="39"/>
      <c r="F12507" s="39"/>
    </row>
    <row r="12508">
      <c r="D12508" s="39"/>
      <c r="E12508" s="39"/>
      <c r="F12508" s="39"/>
    </row>
    <row r="12509">
      <c r="D12509" s="39"/>
      <c r="E12509" s="39"/>
      <c r="F12509" s="39"/>
    </row>
    <row r="12510">
      <c r="D12510" s="39"/>
      <c r="E12510" s="39"/>
      <c r="F12510" s="39"/>
    </row>
    <row r="12511">
      <c r="D12511" s="39"/>
      <c r="E12511" s="39"/>
      <c r="F12511" s="39"/>
    </row>
    <row r="12512">
      <c r="D12512" s="39"/>
      <c r="E12512" s="39"/>
      <c r="F12512" s="39"/>
    </row>
    <row r="12513">
      <c r="D12513" s="39"/>
      <c r="E12513" s="39"/>
      <c r="F12513" s="39"/>
    </row>
    <row r="12514">
      <c r="D12514" s="39"/>
      <c r="E12514" s="39"/>
      <c r="F12514" s="39"/>
    </row>
    <row r="12515">
      <c r="D12515" s="39"/>
      <c r="E12515" s="39"/>
      <c r="F12515" s="39"/>
    </row>
    <row r="12516">
      <c r="D12516" s="39"/>
      <c r="E12516" s="39"/>
      <c r="F12516" s="39"/>
    </row>
    <row r="12517">
      <c r="D12517" s="39"/>
      <c r="E12517" s="39"/>
      <c r="F12517" s="39"/>
    </row>
    <row r="12518">
      <c r="D12518" s="39"/>
      <c r="E12518" s="39"/>
      <c r="F12518" s="39"/>
    </row>
    <row r="12519">
      <c r="D12519" s="39"/>
      <c r="E12519" s="39"/>
      <c r="F12519" s="39"/>
    </row>
    <row r="12520">
      <c r="D12520" s="39"/>
      <c r="E12520" s="39"/>
      <c r="F12520" s="39"/>
    </row>
    <row r="12521">
      <c r="D12521" s="39"/>
      <c r="E12521" s="39"/>
      <c r="F12521" s="39"/>
    </row>
    <row r="12522">
      <c r="D12522" s="39"/>
      <c r="E12522" s="39"/>
      <c r="F12522" s="39"/>
    </row>
    <row r="12523">
      <c r="D12523" s="39"/>
      <c r="E12523" s="39"/>
      <c r="F12523" s="39"/>
    </row>
    <row r="12524">
      <c r="D12524" s="39"/>
      <c r="E12524" s="39"/>
      <c r="F12524" s="39"/>
    </row>
    <row r="12525">
      <c r="D12525" s="39"/>
      <c r="E12525" s="39"/>
      <c r="F12525" s="39"/>
    </row>
    <row r="12526">
      <c r="D12526" s="39"/>
      <c r="E12526" s="39"/>
      <c r="F12526" s="39"/>
    </row>
    <row r="12527">
      <c r="D12527" s="39"/>
      <c r="E12527" s="39"/>
      <c r="F12527" s="39"/>
    </row>
    <row r="12528">
      <c r="D12528" s="39"/>
      <c r="E12528" s="39"/>
      <c r="F12528" s="39"/>
    </row>
    <row r="12529">
      <c r="D12529" s="39"/>
      <c r="E12529" s="39"/>
      <c r="F12529" s="39"/>
    </row>
    <row r="12530">
      <c r="D12530" s="39"/>
      <c r="E12530" s="39"/>
      <c r="F12530" s="39"/>
    </row>
    <row r="12531">
      <c r="D12531" s="39"/>
      <c r="E12531" s="39"/>
      <c r="F12531" s="39"/>
    </row>
    <row r="12532">
      <c r="D12532" s="39"/>
      <c r="E12532" s="39"/>
      <c r="F12532" s="39"/>
    </row>
    <row r="12533">
      <c r="D12533" s="39"/>
      <c r="E12533" s="39"/>
      <c r="F12533" s="39"/>
    </row>
    <row r="12534">
      <c r="D12534" s="39"/>
      <c r="E12534" s="39"/>
      <c r="F12534" s="39"/>
    </row>
    <row r="12535">
      <c r="D12535" s="39"/>
      <c r="E12535" s="39"/>
      <c r="F12535" s="39"/>
    </row>
    <row r="12536">
      <c r="D12536" s="39"/>
      <c r="E12536" s="39"/>
      <c r="F12536" s="39"/>
    </row>
    <row r="12537">
      <c r="D12537" s="39"/>
      <c r="E12537" s="39"/>
      <c r="F12537" s="39"/>
    </row>
    <row r="12538">
      <c r="D12538" s="39"/>
      <c r="E12538" s="39"/>
      <c r="F12538" s="39"/>
    </row>
    <row r="12539">
      <c r="D12539" s="39"/>
      <c r="E12539" s="39"/>
      <c r="F12539" s="39"/>
    </row>
    <row r="12540">
      <c r="D12540" s="39"/>
      <c r="E12540" s="39"/>
      <c r="F12540" s="39"/>
    </row>
    <row r="12541">
      <c r="D12541" s="39"/>
      <c r="E12541" s="39"/>
      <c r="F12541" s="39"/>
    </row>
    <row r="12542">
      <c r="D12542" s="39"/>
      <c r="E12542" s="39"/>
      <c r="F12542" s="39"/>
    </row>
    <row r="12543">
      <c r="D12543" s="39"/>
      <c r="E12543" s="39"/>
      <c r="F12543" s="39"/>
    </row>
    <row r="12544">
      <c r="D12544" s="39"/>
      <c r="E12544" s="39"/>
      <c r="F12544" s="39"/>
    </row>
    <row r="12545">
      <c r="D12545" s="39"/>
      <c r="E12545" s="39"/>
      <c r="F12545" s="39"/>
    </row>
    <row r="12546">
      <c r="D12546" s="39"/>
      <c r="E12546" s="39"/>
      <c r="F12546" s="39"/>
    </row>
    <row r="12547">
      <c r="D12547" s="39"/>
      <c r="E12547" s="39"/>
      <c r="F12547" s="39"/>
    </row>
    <row r="12548">
      <c r="D12548" s="39"/>
      <c r="E12548" s="39"/>
      <c r="F12548" s="39"/>
    </row>
    <row r="12549">
      <c r="D12549" s="39"/>
      <c r="E12549" s="39"/>
      <c r="F12549" s="39"/>
    </row>
    <row r="12550">
      <c r="D12550" s="39"/>
      <c r="E12550" s="39"/>
      <c r="F12550" s="39"/>
    </row>
    <row r="12551">
      <c r="D12551" s="39"/>
      <c r="E12551" s="39"/>
      <c r="F12551" s="39"/>
    </row>
    <row r="12552">
      <c r="D12552" s="39"/>
      <c r="E12552" s="39"/>
      <c r="F12552" s="39"/>
    </row>
    <row r="12553">
      <c r="D12553" s="39"/>
      <c r="E12553" s="39"/>
      <c r="F12553" s="39"/>
    </row>
    <row r="12554">
      <c r="D12554" s="39"/>
      <c r="E12554" s="39"/>
      <c r="F12554" s="39"/>
    </row>
    <row r="12555">
      <c r="D12555" s="39"/>
      <c r="E12555" s="39"/>
      <c r="F12555" s="39"/>
    </row>
    <row r="12556">
      <c r="D12556" s="39"/>
      <c r="E12556" s="39"/>
      <c r="F12556" s="39"/>
    </row>
    <row r="12557">
      <c r="D12557" s="39"/>
      <c r="E12557" s="39"/>
      <c r="F12557" s="39"/>
    </row>
    <row r="12558">
      <c r="D12558" s="39"/>
      <c r="E12558" s="39"/>
      <c r="F12558" s="39"/>
    </row>
    <row r="12559">
      <c r="D12559" s="39"/>
      <c r="E12559" s="39"/>
      <c r="F12559" s="39"/>
    </row>
    <row r="12560">
      <c r="D12560" s="39"/>
      <c r="E12560" s="39"/>
      <c r="F12560" s="39"/>
    </row>
    <row r="12561">
      <c r="D12561" s="39"/>
      <c r="E12561" s="39"/>
      <c r="F12561" s="39"/>
    </row>
    <row r="12562">
      <c r="D12562" s="39"/>
      <c r="E12562" s="39"/>
      <c r="F12562" s="39"/>
    </row>
    <row r="12563">
      <c r="D12563" s="39"/>
      <c r="E12563" s="39"/>
      <c r="F12563" s="39"/>
    </row>
    <row r="12564">
      <c r="D12564" s="39"/>
      <c r="E12564" s="39"/>
      <c r="F12564" s="39"/>
    </row>
    <row r="12565">
      <c r="D12565" s="39"/>
      <c r="E12565" s="39"/>
      <c r="F12565" s="39"/>
    </row>
    <row r="12566">
      <c r="D12566" s="39"/>
      <c r="E12566" s="39"/>
      <c r="F12566" s="39"/>
    </row>
    <row r="12567">
      <c r="D12567" s="39"/>
      <c r="E12567" s="39"/>
      <c r="F12567" s="39"/>
    </row>
    <row r="12568">
      <c r="D12568" s="39"/>
      <c r="E12568" s="39"/>
      <c r="F12568" s="39"/>
    </row>
    <row r="12569">
      <c r="D12569" s="39"/>
      <c r="E12569" s="39"/>
      <c r="F12569" s="39"/>
    </row>
    <row r="12570">
      <c r="D12570" s="39"/>
      <c r="E12570" s="39"/>
      <c r="F12570" s="39"/>
    </row>
    <row r="12571">
      <c r="D12571" s="39"/>
      <c r="E12571" s="39"/>
      <c r="F12571" s="39"/>
    </row>
    <row r="12572">
      <c r="D12572" s="39"/>
      <c r="E12572" s="39"/>
      <c r="F12572" s="39"/>
    </row>
    <row r="12573">
      <c r="D12573" s="39"/>
      <c r="E12573" s="39"/>
      <c r="F12573" s="39"/>
    </row>
    <row r="12574">
      <c r="D12574" s="39"/>
      <c r="E12574" s="39"/>
      <c r="F12574" s="39"/>
    </row>
    <row r="12575">
      <c r="D12575" s="39"/>
      <c r="E12575" s="39"/>
      <c r="F12575" s="39"/>
    </row>
    <row r="12576">
      <c r="D12576" s="39"/>
      <c r="E12576" s="39"/>
      <c r="F12576" s="39"/>
    </row>
    <row r="12577">
      <c r="D12577" s="39"/>
      <c r="E12577" s="39"/>
      <c r="F12577" s="39"/>
    </row>
    <row r="12578">
      <c r="D12578" s="39"/>
      <c r="E12578" s="39"/>
      <c r="F12578" s="39"/>
    </row>
    <row r="12579">
      <c r="D12579" s="39"/>
      <c r="E12579" s="39"/>
      <c r="F12579" s="39"/>
    </row>
    <row r="12580">
      <c r="D12580" s="39"/>
      <c r="E12580" s="39"/>
      <c r="F12580" s="39"/>
    </row>
    <row r="12581">
      <c r="D12581" s="39"/>
      <c r="E12581" s="39"/>
      <c r="F12581" s="39"/>
    </row>
    <row r="12582">
      <c r="D12582" s="39"/>
      <c r="E12582" s="39"/>
      <c r="F12582" s="39"/>
    </row>
    <row r="12583">
      <c r="D12583" s="39"/>
      <c r="E12583" s="39"/>
      <c r="F12583" s="39"/>
    </row>
    <row r="12584">
      <c r="D12584" s="39"/>
      <c r="E12584" s="39"/>
      <c r="F12584" s="39"/>
    </row>
    <row r="12585">
      <c r="D12585" s="39"/>
      <c r="E12585" s="39"/>
      <c r="F12585" s="39"/>
    </row>
    <row r="12586">
      <c r="D12586" s="39"/>
      <c r="E12586" s="39"/>
      <c r="F12586" s="39"/>
    </row>
    <row r="12587">
      <c r="D12587" s="39"/>
      <c r="E12587" s="39"/>
      <c r="F12587" s="39"/>
    </row>
    <row r="12588">
      <c r="D12588" s="39"/>
      <c r="E12588" s="39"/>
      <c r="F12588" s="39"/>
    </row>
    <row r="12589">
      <c r="D12589" s="39"/>
      <c r="E12589" s="39"/>
      <c r="F12589" s="39"/>
    </row>
    <row r="12590">
      <c r="D12590" s="39"/>
      <c r="E12590" s="39"/>
      <c r="F12590" s="39"/>
    </row>
    <row r="12591">
      <c r="D12591" s="39"/>
      <c r="E12591" s="39"/>
      <c r="F12591" s="39"/>
    </row>
    <row r="12592">
      <c r="D12592" s="39"/>
      <c r="E12592" s="39"/>
      <c r="F12592" s="39"/>
    </row>
    <row r="12593">
      <c r="D12593" s="39"/>
      <c r="E12593" s="39"/>
      <c r="F12593" s="39"/>
    </row>
    <row r="12594">
      <c r="D12594" s="39"/>
      <c r="E12594" s="39"/>
      <c r="F12594" s="39"/>
    </row>
    <row r="12595">
      <c r="D12595" s="39"/>
      <c r="E12595" s="39"/>
      <c r="F12595" s="39"/>
    </row>
    <row r="12596">
      <c r="D12596" s="39"/>
      <c r="E12596" s="39"/>
      <c r="F12596" s="39"/>
    </row>
    <row r="12597">
      <c r="D12597" s="39"/>
      <c r="E12597" s="39"/>
      <c r="F12597" s="39"/>
    </row>
    <row r="12598">
      <c r="D12598" s="39"/>
      <c r="E12598" s="39"/>
      <c r="F12598" s="39"/>
    </row>
    <row r="12599">
      <c r="D12599" s="39"/>
      <c r="E12599" s="39"/>
      <c r="F12599" s="39"/>
    </row>
    <row r="12600">
      <c r="D12600" s="39"/>
      <c r="E12600" s="39"/>
      <c r="F12600" s="39"/>
    </row>
    <row r="12601">
      <c r="D12601" s="39"/>
      <c r="E12601" s="39"/>
      <c r="F12601" s="39"/>
    </row>
    <row r="12602">
      <c r="D12602" s="39"/>
      <c r="E12602" s="39"/>
      <c r="F12602" s="39"/>
    </row>
    <row r="12603">
      <c r="D12603" s="39"/>
      <c r="E12603" s="39"/>
      <c r="F12603" s="39"/>
    </row>
    <row r="12604">
      <c r="D12604" s="39"/>
      <c r="E12604" s="39"/>
      <c r="F12604" s="39"/>
    </row>
    <row r="12605">
      <c r="D12605" s="39"/>
      <c r="E12605" s="39"/>
      <c r="F12605" s="39"/>
    </row>
    <row r="12606">
      <c r="D12606" s="39"/>
      <c r="E12606" s="39"/>
      <c r="F12606" s="39"/>
    </row>
    <row r="12607">
      <c r="D12607" s="39"/>
      <c r="E12607" s="39"/>
      <c r="F12607" s="39"/>
    </row>
    <row r="12608">
      <c r="D12608" s="39"/>
      <c r="E12608" s="39"/>
      <c r="F12608" s="39"/>
    </row>
    <row r="12609">
      <c r="D12609" s="39"/>
      <c r="E12609" s="39"/>
      <c r="F12609" s="39"/>
    </row>
    <row r="12610">
      <c r="D12610" s="39"/>
      <c r="E12610" s="39"/>
      <c r="F12610" s="39"/>
    </row>
    <row r="12611">
      <c r="D12611" s="39"/>
      <c r="E12611" s="39"/>
      <c r="F12611" s="39"/>
    </row>
    <row r="12612">
      <c r="D12612" s="39"/>
      <c r="E12612" s="39"/>
      <c r="F12612" s="39"/>
    </row>
    <row r="12613">
      <c r="D12613" s="39"/>
      <c r="E12613" s="39"/>
      <c r="F12613" s="39"/>
    </row>
    <row r="12614">
      <c r="D12614" s="39"/>
      <c r="E12614" s="39"/>
      <c r="F12614" s="39"/>
    </row>
    <row r="12615">
      <c r="D12615" s="39"/>
      <c r="E12615" s="39"/>
      <c r="F12615" s="39"/>
    </row>
    <row r="12616">
      <c r="D12616" s="39"/>
      <c r="E12616" s="39"/>
      <c r="F12616" s="39"/>
    </row>
    <row r="12617">
      <c r="D12617" s="39"/>
      <c r="E12617" s="39"/>
      <c r="F12617" s="39"/>
    </row>
    <row r="12618">
      <c r="D12618" s="39"/>
      <c r="E12618" s="39"/>
      <c r="F12618" s="39"/>
    </row>
    <row r="12619">
      <c r="D12619" s="39"/>
      <c r="E12619" s="39"/>
      <c r="F12619" s="39"/>
    </row>
    <row r="12620">
      <c r="D12620" s="39"/>
      <c r="E12620" s="39"/>
      <c r="F12620" s="39"/>
    </row>
    <row r="12621">
      <c r="D12621" s="39"/>
      <c r="E12621" s="39"/>
      <c r="F12621" s="39"/>
    </row>
    <row r="12622">
      <c r="D12622" s="39"/>
      <c r="E12622" s="39"/>
      <c r="F12622" s="39"/>
    </row>
    <row r="12623">
      <c r="D12623" s="39"/>
      <c r="E12623" s="39"/>
      <c r="F12623" s="39"/>
    </row>
    <row r="12624">
      <c r="D12624" s="39"/>
      <c r="E12624" s="39"/>
      <c r="F12624" s="39"/>
    </row>
    <row r="12625">
      <c r="D12625" s="39"/>
      <c r="E12625" s="39"/>
      <c r="F12625" s="39"/>
    </row>
    <row r="12626">
      <c r="D12626" s="39"/>
      <c r="E12626" s="39"/>
      <c r="F12626" s="39"/>
    </row>
    <row r="12627">
      <c r="D12627" s="39"/>
      <c r="E12627" s="39"/>
      <c r="F12627" s="39"/>
    </row>
    <row r="12628">
      <c r="D12628" s="39"/>
      <c r="E12628" s="39"/>
      <c r="F12628" s="39"/>
    </row>
    <row r="12629">
      <c r="D12629" s="39"/>
      <c r="E12629" s="39"/>
      <c r="F12629" s="39"/>
    </row>
    <row r="12630">
      <c r="D12630" s="39"/>
      <c r="E12630" s="39"/>
      <c r="F12630" s="39"/>
    </row>
    <row r="12631">
      <c r="D12631" s="39"/>
      <c r="E12631" s="39"/>
      <c r="F12631" s="39"/>
    </row>
    <row r="12632">
      <c r="D12632" s="39"/>
      <c r="E12632" s="39"/>
      <c r="F12632" s="39"/>
    </row>
    <row r="12633">
      <c r="D12633" s="39"/>
      <c r="E12633" s="39"/>
      <c r="F12633" s="39"/>
    </row>
    <row r="12634">
      <c r="D12634" s="39"/>
      <c r="E12634" s="39"/>
      <c r="F12634" s="39"/>
    </row>
    <row r="12635">
      <c r="D12635" s="39"/>
      <c r="E12635" s="39"/>
      <c r="F12635" s="39"/>
    </row>
    <row r="12636">
      <c r="D12636" s="39"/>
      <c r="E12636" s="39"/>
      <c r="F12636" s="39"/>
    </row>
    <row r="12637">
      <c r="D12637" s="39"/>
      <c r="E12637" s="39"/>
      <c r="F12637" s="39"/>
    </row>
    <row r="12638">
      <c r="D12638" s="39"/>
      <c r="E12638" s="39"/>
      <c r="F12638" s="39"/>
    </row>
    <row r="12639">
      <c r="D12639" s="39"/>
      <c r="E12639" s="39"/>
      <c r="F12639" s="39"/>
    </row>
    <row r="12640">
      <c r="D12640" s="39"/>
      <c r="E12640" s="39"/>
      <c r="F12640" s="39"/>
    </row>
    <row r="12641">
      <c r="D12641" s="39"/>
      <c r="E12641" s="39"/>
      <c r="F12641" s="39"/>
    </row>
    <row r="12642">
      <c r="D12642" s="39"/>
      <c r="E12642" s="39"/>
      <c r="F12642" s="39"/>
    </row>
    <row r="12643">
      <c r="D12643" s="39"/>
      <c r="E12643" s="39"/>
      <c r="F12643" s="39"/>
    </row>
    <row r="12644">
      <c r="D12644" s="39"/>
      <c r="E12644" s="39"/>
      <c r="F12644" s="39"/>
    </row>
    <row r="12645">
      <c r="D12645" s="39"/>
      <c r="E12645" s="39"/>
      <c r="F12645" s="39"/>
    </row>
    <row r="12646">
      <c r="D12646" s="39"/>
      <c r="E12646" s="39"/>
      <c r="F12646" s="39"/>
    </row>
    <row r="12647">
      <c r="D12647" s="39"/>
      <c r="E12647" s="39"/>
      <c r="F12647" s="39"/>
    </row>
    <row r="12648">
      <c r="D12648" s="39"/>
      <c r="E12648" s="39"/>
      <c r="F12648" s="39"/>
    </row>
    <row r="12649">
      <c r="D12649" s="39"/>
      <c r="E12649" s="39"/>
      <c r="F12649" s="39"/>
    </row>
    <row r="12650">
      <c r="D12650" s="39"/>
      <c r="E12650" s="39"/>
      <c r="F12650" s="39"/>
    </row>
    <row r="12651">
      <c r="D12651" s="39"/>
      <c r="E12651" s="39"/>
      <c r="F12651" s="39"/>
    </row>
    <row r="12652">
      <c r="D12652" s="39"/>
      <c r="E12652" s="39"/>
      <c r="F12652" s="39"/>
    </row>
    <row r="12653">
      <c r="D12653" s="39"/>
      <c r="E12653" s="39"/>
      <c r="F12653" s="39"/>
    </row>
    <row r="12654">
      <c r="D12654" s="39"/>
      <c r="E12654" s="39"/>
      <c r="F12654" s="39"/>
    </row>
    <row r="12655">
      <c r="D12655" s="39"/>
      <c r="E12655" s="39"/>
      <c r="F12655" s="39"/>
    </row>
    <row r="12656">
      <c r="D12656" s="39"/>
      <c r="E12656" s="39"/>
      <c r="F12656" s="39"/>
    </row>
    <row r="12657">
      <c r="D12657" s="39"/>
      <c r="E12657" s="39"/>
      <c r="F12657" s="39"/>
    </row>
    <row r="12658">
      <c r="D12658" s="39"/>
      <c r="E12658" s="39"/>
      <c r="F12658" s="39"/>
    </row>
    <row r="12659">
      <c r="D12659" s="39"/>
      <c r="E12659" s="39"/>
      <c r="F12659" s="39"/>
    </row>
    <row r="12660">
      <c r="D12660" s="39"/>
      <c r="E12660" s="39"/>
      <c r="F12660" s="39"/>
    </row>
    <row r="12661">
      <c r="D12661" s="39"/>
      <c r="E12661" s="39"/>
      <c r="F12661" s="39"/>
    </row>
    <row r="12662">
      <c r="D12662" s="39"/>
      <c r="E12662" s="39"/>
      <c r="F12662" s="39"/>
    </row>
    <row r="12663">
      <c r="D12663" s="39"/>
      <c r="E12663" s="39"/>
      <c r="F12663" s="39"/>
    </row>
    <row r="12664">
      <c r="D12664" s="39"/>
      <c r="E12664" s="39"/>
      <c r="F12664" s="39"/>
    </row>
    <row r="12665">
      <c r="D12665" s="39"/>
      <c r="E12665" s="39"/>
      <c r="F12665" s="39"/>
    </row>
    <row r="12666">
      <c r="D12666" s="39"/>
      <c r="E12666" s="39"/>
      <c r="F12666" s="39"/>
    </row>
    <row r="12667">
      <c r="D12667" s="39"/>
      <c r="E12667" s="39"/>
      <c r="F12667" s="39"/>
    </row>
    <row r="12668">
      <c r="D12668" s="39"/>
      <c r="E12668" s="39"/>
      <c r="F12668" s="39"/>
    </row>
    <row r="12669">
      <c r="D12669" s="39"/>
      <c r="E12669" s="39"/>
      <c r="F12669" s="39"/>
    </row>
    <row r="12670">
      <c r="D12670" s="39"/>
      <c r="E12670" s="39"/>
      <c r="F12670" s="39"/>
    </row>
    <row r="12671">
      <c r="D12671" s="39"/>
      <c r="E12671" s="39"/>
      <c r="F12671" s="39"/>
    </row>
    <row r="12672">
      <c r="D12672" s="39"/>
      <c r="E12672" s="39"/>
      <c r="F12672" s="39"/>
    </row>
    <row r="12673">
      <c r="D12673" s="39"/>
      <c r="E12673" s="39"/>
      <c r="F12673" s="39"/>
    </row>
    <row r="12674">
      <c r="D12674" s="39"/>
      <c r="E12674" s="39"/>
      <c r="F12674" s="39"/>
    </row>
    <row r="12675">
      <c r="D12675" s="39"/>
      <c r="E12675" s="39"/>
      <c r="F12675" s="39"/>
    </row>
    <row r="12676">
      <c r="D12676" s="39"/>
      <c r="E12676" s="39"/>
      <c r="F12676" s="39"/>
    </row>
    <row r="12677">
      <c r="D12677" s="39"/>
      <c r="E12677" s="39"/>
      <c r="F12677" s="39"/>
    </row>
    <row r="12678">
      <c r="D12678" s="39"/>
      <c r="E12678" s="39"/>
      <c r="F12678" s="39"/>
    </row>
    <row r="12679">
      <c r="D12679" s="39"/>
      <c r="E12679" s="39"/>
      <c r="F12679" s="39"/>
    </row>
    <row r="12680">
      <c r="D12680" s="39"/>
      <c r="E12680" s="39"/>
      <c r="F12680" s="39"/>
    </row>
    <row r="12681">
      <c r="D12681" s="39"/>
      <c r="E12681" s="39"/>
      <c r="F12681" s="39"/>
    </row>
    <row r="12682">
      <c r="D12682" s="39"/>
      <c r="E12682" s="39"/>
      <c r="F12682" s="39"/>
    </row>
    <row r="12683">
      <c r="D12683" s="39"/>
      <c r="E12683" s="39"/>
      <c r="F12683" s="39"/>
    </row>
    <row r="12684">
      <c r="D12684" s="39"/>
      <c r="E12684" s="39"/>
      <c r="F12684" s="39"/>
    </row>
    <row r="12685">
      <c r="D12685" s="39"/>
      <c r="E12685" s="39"/>
      <c r="F12685" s="39"/>
    </row>
    <row r="12686">
      <c r="D12686" s="39"/>
      <c r="E12686" s="39"/>
      <c r="F12686" s="39"/>
    </row>
    <row r="12687">
      <c r="D12687" s="39"/>
      <c r="E12687" s="39"/>
      <c r="F12687" s="39"/>
    </row>
    <row r="12688">
      <c r="D12688" s="39"/>
      <c r="E12688" s="39"/>
      <c r="F12688" s="39"/>
    </row>
    <row r="12689">
      <c r="D12689" s="39"/>
      <c r="E12689" s="39"/>
      <c r="F12689" s="39"/>
    </row>
    <row r="12690">
      <c r="D12690" s="39"/>
      <c r="E12690" s="39"/>
      <c r="F12690" s="39"/>
    </row>
    <row r="12691">
      <c r="D12691" s="39"/>
      <c r="E12691" s="39"/>
      <c r="F12691" s="39"/>
    </row>
    <row r="12692">
      <c r="D12692" s="39"/>
      <c r="E12692" s="39"/>
      <c r="F12692" s="39"/>
    </row>
    <row r="12693">
      <c r="D12693" s="39"/>
      <c r="E12693" s="39"/>
      <c r="F12693" s="39"/>
    </row>
    <row r="12694">
      <c r="D12694" s="39"/>
      <c r="E12694" s="39"/>
      <c r="F12694" s="39"/>
    </row>
    <row r="12695">
      <c r="D12695" s="39"/>
      <c r="E12695" s="39"/>
      <c r="F12695" s="39"/>
    </row>
    <row r="12696">
      <c r="D12696" s="39"/>
      <c r="E12696" s="39"/>
      <c r="F12696" s="39"/>
    </row>
    <row r="12697">
      <c r="D12697" s="39"/>
      <c r="E12697" s="39"/>
      <c r="F12697" s="39"/>
    </row>
    <row r="12698">
      <c r="D12698" s="39"/>
      <c r="E12698" s="39"/>
      <c r="F12698" s="39"/>
    </row>
    <row r="12699">
      <c r="D12699" s="39"/>
      <c r="E12699" s="39"/>
      <c r="F12699" s="39"/>
    </row>
    <row r="12700">
      <c r="D12700" s="39"/>
      <c r="E12700" s="39"/>
      <c r="F12700" s="39"/>
    </row>
    <row r="12701">
      <c r="D12701" s="39"/>
      <c r="E12701" s="39"/>
      <c r="F12701" s="39"/>
    </row>
    <row r="12702">
      <c r="D12702" s="39"/>
      <c r="E12702" s="39"/>
      <c r="F12702" s="39"/>
    </row>
    <row r="12703">
      <c r="D12703" s="39"/>
      <c r="E12703" s="39"/>
      <c r="F12703" s="39"/>
    </row>
    <row r="12704">
      <c r="D12704" s="39"/>
      <c r="E12704" s="39"/>
      <c r="F12704" s="39"/>
    </row>
    <row r="12705">
      <c r="D12705" s="39"/>
      <c r="E12705" s="39"/>
      <c r="F12705" s="39"/>
    </row>
    <row r="12706">
      <c r="D12706" s="39"/>
      <c r="E12706" s="39"/>
      <c r="F12706" s="39"/>
    </row>
    <row r="12707">
      <c r="D12707" s="39"/>
      <c r="E12707" s="39"/>
      <c r="F12707" s="39"/>
    </row>
    <row r="12708">
      <c r="D12708" s="39"/>
      <c r="E12708" s="39"/>
      <c r="F12708" s="39"/>
    </row>
    <row r="12709">
      <c r="D12709" s="39"/>
      <c r="E12709" s="39"/>
      <c r="F12709" s="39"/>
    </row>
    <row r="12710">
      <c r="D12710" s="39"/>
      <c r="E12710" s="39"/>
      <c r="F12710" s="39"/>
    </row>
    <row r="12711">
      <c r="D12711" s="39"/>
      <c r="E12711" s="39"/>
      <c r="F12711" s="39"/>
    </row>
    <row r="12712">
      <c r="D12712" s="39"/>
      <c r="E12712" s="39"/>
      <c r="F12712" s="39"/>
    </row>
    <row r="12713">
      <c r="D12713" s="39"/>
      <c r="E12713" s="39"/>
      <c r="F12713" s="39"/>
    </row>
    <row r="12714">
      <c r="D12714" s="39"/>
      <c r="E12714" s="39"/>
      <c r="F12714" s="39"/>
    </row>
    <row r="12715">
      <c r="D12715" s="39"/>
      <c r="E12715" s="39"/>
      <c r="F12715" s="39"/>
    </row>
    <row r="12716">
      <c r="D12716" s="39"/>
      <c r="E12716" s="39"/>
      <c r="F12716" s="39"/>
    </row>
    <row r="12717">
      <c r="D12717" s="39"/>
      <c r="E12717" s="39"/>
      <c r="F12717" s="39"/>
    </row>
    <row r="12718">
      <c r="D12718" s="39"/>
      <c r="E12718" s="39"/>
      <c r="F12718" s="39"/>
    </row>
    <row r="12719">
      <c r="D12719" s="39"/>
      <c r="E12719" s="39"/>
      <c r="F12719" s="39"/>
    </row>
    <row r="12720">
      <c r="D12720" s="39"/>
      <c r="E12720" s="39"/>
      <c r="F12720" s="39"/>
    </row>
    <row r="12721">
      <c r="D12721" s="39"/>
      <c r="E12721" s="39"/>
      <c r="F12721" s="39"/>
    </row>
    <row r="12722">
      <c r="D12722" s="39"/>
      <c r="E12722" s="39"/>
      <c r="F12722" s="39"/>
    </row>
    <row r="12723">
      <c r="D12723" s="39"/>
      <c r="E12723" s="39"/>
      <c r="F12723" s="39"/>
    </row>
    <row r="12724">
      <c r="D12724" s="39"/>
      <c r="E12724" s="39"/>
      <c r="F12724" s="39"/>
    </row>
    <row r="12725">
      <c r="D12725" s="39"/>
      <c r="E12725" s="39"/>
      <c r="F12725" s="39"/>
    </row>
    <row r="12726">
      <c r="D12726" s="39"/>
      <c r="E12726" s="39"/>
      <c r="F12726" s="39"/>
    </row>
    <row r="12727">
      <c r="D12727" s="39"/>
      <c r="E12727" s="39"/>
      <c r="F12727" s="39"/>
    </row>
    <row r="12728">
      <c r="D12728" s="39"/>
      <c r="E12728" s="39"/>
      <c r="F12728" s="39"/>
    </row>
    <row r="12729">
      <c r="D12729" s="39"/>
      <c r="E12729" s="39"/>
      <c r="F12729" s="39"/>
    </row>
    <row r="12730">
      <c r="D12730" s="39"/>
      <c r="E12730" s="39"/>
      <c r="F12730" s="39"/>
    </row>
    <row r="12731">
      <c r="D12731" s="39"/>
      <c r="E12731" s="39"/>
      <c r="F12731" s="39"/>
    </row>
    <row r="12732">
      <c r="D12732" s="39"/>
      <c r="E12732" s="39"/>
      <c r="F12732" s="39"/>
    </row>
    <row r="12733">
      <c r="D12733" s="39"/>
      <c r="E12733" s="39"/>
      <c r="F12733" s="39"/>
    </row>
    <row r="12734">
      <c r="D12734" s="39"/>
      <c r="E12734" s="39"/>
      <c r="F12734" s="39"/>
    </row>
    <row r="12735">
      <c r="D12735" s="39"/>
      <c r="E12735" s="39"/>
      <c r="F12735" s="39"/>
    </row>
    <row r="12736">
      <c r="D12736" s="39"/>
      <c r="E12736" s="39"/>
      <c r="F12736" s="39"/>
    </row>
    <row r="12737">
      <c r="D12737" s="39"/>
      <c r="E12737" s="39"/>
      <c r="F12737" s="39"/>
    </row>
    <row r="12738">
      <c r="D12738" s="39"/>
      <c r="E12738" s="39"/>
      <c r="F12738" s="39"/>
    </row>
    <row r="12739">
      <c r="D12739" s="39"/>
      <c r="E12739" s="39"/>
      <c r="F12739" s="39"/>
    </row>
    <row r="12740">
      <c r="D12740" s="39"/>
      <c r="E12740" s="39"/>
      <c r="F12740" s="39"/>
    </row>
    <row r="12741">
      <c r="D12741" s="39"/>
      <c r="E12741" s="39"/>
      <c r="F12741" s="39"/>
    </row>
    <row r="12742">
      <c r="D12742" s="39"/>
      <c r="E12742" s="39"/>
      <c r="F12742" s="39"/>
    </row>
    <row r="12743">
      <c r="D12743" s="39"/>
      <c r="E12743" s="39"/>
      <c r="F12743" s="39"/>
    </row>
    <row r="12744">
      <c r="D12744" s="39"/>
      <c r="E12744" s="39"/>
      <c r="F12744" s="39"/>
    </row>
    <row r="12745">
      <c r="D12745" s="39"/>
      <c r="E12745" s="39"/>
      <c r="F12745" s="39"/>
    </row>
    <row r="12746">
      <c r="D12746" s="39"/>
      <c r="E12746" s="39"/>
      <c r="F12746" s="39"/>
    </row>
    <row r="12747">
      <c r="D12747" s="39"/>
      <c r="E12747" s="39"/>
      <c r="F12747" s="39"/>
    </row>
    <row r="12748">
      <c r="D12748" s="39"/>
      <c r="E12748" s="39"/>
      <c r="F12748" s="39"/>
    </row>
    <row r="12749">
      <c r="D12749" s="39"/>
      <c r="E12749" s="39"/>
      <c r="F12749" s="39"/>
    </row>
    <row r="12750">
      <c r="D12750" s="39"/>
      <c r="E12750" s="39"/>
      <c r="F12750" s="39"/>
    </row>
    <row r="12751">
      <c r="D12751" s="39"/>
      <c r="E12751" s="39"/>
      <c r="F12751" s="39"/>
    </row>
    <row r="12752">
      <c r="D12752" s="39"/>
      <c r="E12752" s="39"/>
      <c r="F12752" s="39"/>
    </row>
    <row r="12753">
      <c r="D12753" s="39"/>
      <c r="E12753" s="39"/>
      <c r="F12753" s="39"/>
    </row>
    <row r="12754">
      <c r="D12754" s="39"/>
      <c r="E12754" s="39"/>
      <c r="F12754" s="39"/>
    </row>
    <row r="12755">
      <c r="D12755" s="39"/>
      <c r="E12755" s="39"/>
      <c r="F12755" s="39"/>
    </row>
    <row r="12756">
      <c r="D12756" s="39"/>
      <c r="E12756" s="39"/>
      <c r="F12756" s="39"/>
    </row>
    <row r="12757">
      <c r="D12757" s="39"/>
      <c r="E12757" s="39"/>
      <c r="F12757" s="39"/>
    </row>
    <row r="12758">
      <c r="D12758" s="39"/>
      <c r="E12758" s="39"/>
      <c r="F12758" s="39"/>
    </row>
    <row r="12759">
      <c r="D12759" s="39"/>
      <c r="E12759" s="39"/>
      <c r="F12759" s="39"/>
    </row>
    <row r="12760">
      <c r="D12760" s="39"/>
      <c r="E12760" s="39"/>
      <c r="F12760" s="39"/>
    </row>
    <row r="12761">
      <c r="D12761" s="39"/>
      <c r="E12761" s="39"/>
      <c r="F12761" s="39"/>
    </row>
    <row r="12762">
      <c r="D12762" s="39"/>
      <c r="E12762" s="39"/>
      <c r="F12762" s="39"/>
    </row>
    <row r="12763">
      <c r="D12763" s="39"/>
      <c r="E12763" s="39"/>
      <c r="F12763" s="39"/>
    </row>
    <row r="12764">
      <c r="D12764" s="39"/>
      <c r="E12764" s="39"/>
      <c r="F12764" s="39"/>
    </row>
    <row r="12765">
      <c r="D12765" s="39"/>
      <c r="E12765" s="39"/>
      <c r="F12765" s="39"/>
    </row>
    <row r="12766">
      <c r="D12766" s="39"/>
      <c r="E12766" s="39"/>
      <c r="F12766" s="39"/>
    </row>
    <row r="12767">
      <c r="D12767" s="39"/>
      <c r="E12767" s="39"/>
      <c r="F12767" s="39"/>
    </row>
    <row r="12768">
      <c r="D12768" s="39"/>
      <c r="E12768" s="39"/>
      <c r="F12768" s="39"/>
    </row>
    <row r="12769">
      <c r="D12769" s="39"/>
      <c r="E12769" s="39"/>
      <c r="F12769" s="39"/>
    </row>
    <row r="12770">
      <c r="D12770" s="39"/>
      <c r="E12770" s="39"/>
      <c r="F12770" s="39"/>
    </row>
    <row r="12771">
      <c r="D12771" s="39"/>
      <c r="E12771" s="39"/>
      <c r="F12771" s="39"/>
    </row>
    <row r="12772">
      <c r="D12772" s="39"/>
      <c r="E12772" s="39"/>
      <c r="F12772" s="39"/>
    </row>
    <row r="12773">
      <c r="D12773" s="39"/>
      <c r="E12773" s="39"/>
      <c r="F12773" s="39"/>
    </row>
    <row r="12774">
      <c r="D12774" s="39"/>
      <c r="E12774" s="39"/>
      <c r="F12774" s="39"/>
    </row>
    <row r="12775">
      <c r="D12775" s="39"/>
      <c r="E12775" s="39"/>
      <c r="F12775" s="39"/>
    </row>
    <row r="12776">
      <c r="D12776" s="39"/>
      <c r="E12776" s="39"/>
      <c r="F12776" s="39"/>
    </row>
    <row r="12777">
      <c r="D12777" s="39"/>
      <c r="E12777" s="39"/>
      <c r="F12777" s="39"/>
    </row>
    <row r="12778">
      <c r="D12778" s="39"/>
      <c r="E12778" s="39"/>
      <c r="F12778" s="39"/>
    </row>
    <row r="12779">
      <c r="D12779" s="39"/>
      <c r="E12779" s="39"/>
      <c r="F12779" s="39"/>
    </row>
    <row r="12780">
      <c r="D12780" s="39"/>
      <c r="E12780" s="39"/>
      <c r="F12780" s="39"/>
    </row>
    <row r="12781">
      <c r="D12781" s="39"/>
      <c r="E12781" s="39"/>
      <c r="F12781" s="39"/>
    </row>
    <row r="12782">
      <c r="D12782" s="39"/>
      <c r="E12782" s="39"/>
      <c r="F12782" s="39"/>
    </row>
    <row r="12783">
      <c r="D12783" s="39"/>
      <c r="E12783" s="39"/>
      <c r="F12783" s="39"/>
    </row>
    <row r="12784">
      <c r="D12784" s="39"/>
      <c r="E12784" s="39"/>
      <c r="F12784" s="39"/>
    </row>
    <row r="12785">
      <c r="D12785" s="39"/>
      <c r="E12785" s="39"/>
      <c r="F12785" s="39"/>
    </row>
    <row r="12786">
      <c r="D12786" s="39"/>
      <c r="E12786" s="39"/>
      <c r="F12786" s="39"/>
    </row>
    <row r="12787">
      <c r="D12787" s="39"/>
      <c r="E12787" s="39"/>
      <c r="F12787" s="39"/>
    </row>
    <row r="12788">
      <c r="D12788" s="39"/>
      <c r="E12788" s="39"/>
      <c r="F12788" s="39"/>
    </row>
    <row r="12789">
      <c r="D12789" s="39"/>
      <c r="E12789" s="39"/>
      <c r="F12789" s="39"/>
    </row>
    <row r="12790">
      <c r="D12790" s="39"/>
      <c r="E12790" s="39"/>
      <c r="F12790" s="39"/>
    </row>
    <row r="12791">
      <c r="D12791" s="39"/>
      <c r="E12791" s="39"/>
      <c r="F12791" s="39"/>
    </row>
    <row r="12792">
      <c r="D12792" s="39"/>
      <c r="E12792" s="39"/>
      <c r="F12792" s="39"/>
    </row>
    <row r="12793">
      <c r="D12793" s="39"/>
      <c r="E12793" s="39"/>
      <c r="F12793" s="39"/>
    </row>
    <row r="12794">
      <c r="D12794" s="39"/>
      <c r="E12794" s="39"/>
      <c r="F12794" s="39"/>
    </row>
    <row r="12795">
      <c r="D12795" s="39"/>
      <c r="E12795" s="39"/>
      <c r="F12795" s="39"/>
    </row>
    <row r="12796">
      <c r="D12796" s="39"/>
      <c r="E12796" s="39"/>
      <c r="F12796" s="39"/>
    </row>
    <row r="12797">
      <c r="D12797" s="39"/>
      <c r="E12797" s="39"/>
      <c r="F12797" s="39"/>
    </row>
    <row r="12798">
      <c r="D12798" s="39"/>
      <c r="E12798" s="39"/>
      <c r="F12798" s="39"/>
    </row>
    <row r="12799">
      <c r="D12799" s="39"/>
      <c r="E12799" s="39"/>
      <c r="F12799" s="39"/>
    </row>
    <row r="12800">
      <c r="D12800" s="39"/>
      <c r="E12800" s="39"/>
      <c r="F12800" s="39"/>
    </row>
    <row r="12801">
      <c r="D12801" s="39"/>
      <c r="E12801" s="39"/>
      <c r="F12801" s="39"/>
    </row>
    <row r="12802">
      <c r="D12802" s="39"/>
      <c r="E12802" s="39"/>
      <c r="F12802" s="39"/>
    </row>
    <row r="12803">
      <c r="D12803" s="39"/>
      <c r="E12803" s="39"/>
      <c r="F12803" s="39"/>
    </row>
    <row r="12804">
      <c r="D12804" s="39"/>
      <c r="E12804" s="39"/>
      <c r="F12804" s="39"/>
    </row>
    <row r="12805">
      <c r="D12805" s="39"/>
      <c r="E12805" s="39"/>
      <c r="F12805" s="39"/>
    </row>
    <row r="12806">
      <c r="D12806" s="39"/>
      <c r="E12806" s="39"/>
      <c r="F12806" s="39"/>
    </row>
    <row r="12807">
      <c r="D12807" s="39"/>
      <c r="E12807" s="39"/>
      <c r="F12807" s="39"/>
    </row>
    <row r="12808">
      <c r="D12808" s="39"/>
      <c r="E12808" s="39"/>
      <c r="F12808" s="39"/>
    </row>
    <row r="12809">
      <c r="D12809" s="39"/>
      <c r="E12809" s="39"/>
      <c r="F12809" s="39"/>
    </row>
    <row r="12810">
      <c r="D12810" s="39"/>
      <c r="E12810" s="39"/>
      <c r="F12810" s="39"/>
    </row>
    <row r="12811">
      <c r="D12811" s="39"/>
      <c r="E12811" s="39"/>
      <c r="F12811" s="39"/>
    </row>
    <row r="12812">
      <c r="D12812" s="39"/>
      <c r="E12812" s="39"/>
      <c r="F12812" s="39"/>
    </row>
    <row r="12813">
      <c r="D12813" s="39"/>
      <c r="E12813" s="39"/>
      <c r="F12813" s="39"/>
    </row>
    <row r="12814">
      <c r="D12814" s="39"/>
      <c r="E12814" s="39"/>
      <c r="F12814" s="39"/>
    </row>
    <row r="12815">
      <c r="D12815" s="39"/>
      <c r="E12815" s="39"/>
      <c r="F12815" s="39"/>
    </row>
    <row r="12816">
      <c r="D12816" s="39"/>
      <c r="E12816" s="39"/>
      <c r="F12816" s="39"/>
    </row>
    <row r="12817">
      <c r="D12817" s="39"/>
      <c r="E12817" s="39"/>
      <c r="F12817" s="39"/>
    </row>
    <row r="12818">
      <c r="D12818" s="39"/>
      <c r="E12818" s="39"/>
      <c r="F12818" s="39"/>
    </row>
    <row r="12819">
      <c r="D12819" s="39"/>
      <c r="E12819" s="39"/>
      <c r="F12819" s="39"/>
    </row>
    <row r="12820">
      <c r="D12820" s="39"/>
      <c r="E12820" s="39"/>
      <c r="F12820" s="39"/>
    </row>
    <row r="12821">
      <c r="D12821" s="39"/>
      <c r="E12821" s="39"/>
      <c r="F12821" s="39"/>
    </row>
    <row r="12822">
      <c r="D12822" s="39"/>
      <c r="E12822" s="39"/>
      <c r="F12822" s="39"/>
    </row>
    <row r="12823">
      <c r="D12823" s="39"/>
      <c r="E12823" s="39"/>
      <c r="F12823" s="39"/>
    </row>
    <row r="12824">
      <c r="D12824" s="39"/>
      <c r="E12824" s="39"/>
      <c r="F12824" s="39"/>
    </row>
    <row r="12825">
      <c r="D12825" s="39"/>
      <c r="E12825" s="39"/>
      <c r="F12825" s="39"/>
    </row>
    <row r="12826">
      <c r="D12826" s="39"/>
      <c r="E12826" s="39"/>
      <c r="F12826" s="39"/>
    </row>
    <row r="12827">
      <c r="D12827" s="39"/>
      <c r="E12827" s="39"/>
      <c r="F12827" s="39"/>
    </row>
    <row r="12828">
      <c r="D12828" s="39"/>
      <c r="E12828" s="39"/>
      <c r="F12828" s="39"/>
    </row>
    <row r="12829">
      <c r="D12829" s="39"/>
      <c r="E12829" s="39"/>
      <c r="F12829" s="39"/>
    </row>
    <row r="12830">
      <c r="D12830" s="39"/>
      <c r="E12830" s="39"/>
      <c r="F12830" s="39"/>
    </row>
    <row r="12831">
      <c r="D12831" s="39"/>
      <c r="E12831" s="39"/>
      <c r="F12831" s="39"/>
    </row>
    <row r="12832">
      <c r="D12832" s="39"/>
      <c r="E12832" s="39"/>
      <c r="F12832" s="39"/>
    </row>
    <row r="12833">
      <c r="D12833" s="39"/>
      <c r="E12833" s="39"/>
      <c r="F12833" s="39"/>
    </row>
    <row r="12834">
      <c r="D12834" s="39"/>
      <c r="E12834" s="39"/>
      <c r="F12834" s="39"/>
    </row>
    <row r="12835">
      <c r="D12835" s="39"/>
      <c r="E12835" s="39"/>
      <c r="F12835" s="39"/>
    </row>
    <row r="12836">
      <c r="D12836" s="39"/>
      <c r="E12836" s="39"/>
      <c r="F12836" s="39"/>
    </row>
    <row r="12837">
      <c r="D12837" s="39"/>
      <c r="E12837" s="39"/>
      <c r="F12837" s="39"/>
    </row>
    <row r="12838">
      <c r="D12838" s="39"/>
      <c r="E12838" s="39"/>
      <c r="F12838" s="39"/>
    </row>
    <row r="12839">
      <c r="D12839" s="39"/>
      <c r="E12839" s="39"/>
      <c r="F12839" s="39"/>
    </row>
    <row r="12840">
      <c r="D12840" s="39"/>
      <c r="E12840" s="39"/>
      <c r="F12840" s="39"/>
    </row>
    <row r="12841">
      <c r="D12841" s="39"/>
      <c r="E12841" s="39"/>
      <c r="F12841" s="39"/>
    </row>
    <row r="12842">
      <c r="D12842" s="39"/>
      <c r="E12842" s="39"/>
      <c r="F12842" s="39"/>
    </row>
    <row r="12843">
      <c r="D12843" s="39"/>
      <c r="E12843" s="39"/>
      <c r="F12843" s="39"/>
    </row>
    <row r="12844">
      <c r="D12844" s="39"/>
      <c r="E12844" s="39"/>
      <c r="F12844" s="39"/>
    </row>
    <row r="12845">
      <c r="D12845" s="39"/>
      <c r="E12845" s="39"/>
      <c r="F12845" s="39"/>
    </row>
    <row r="12846">
      <c r="D12846" s="39"/>
      <c r="E12846" s="39"/>
      <c r="F12846" s="39"/>
    </row>
    <row r="12847">
      <c r="D12847" s="39"/>
      <c r="E12847" s="39"/>
      <c r="F12847" s="39"/>
    </row>
    <row r="12848">
      <c r="D12848" s="39"/>
      <c r="E12848" s="39"/>
      <c r="F12848" s="39"/>
    </row>
    <row r="12849">
      <c r="D12849" s="39"/>
      <c r="E12849" s="39"/>
      <c r="F12849" s="39"/>
    </row>
    <row r="12850">
      <c r="D12850" s="39"/>
      <c r="E12850" s="39"/>
      <c r="F12850" s="39"/>
    </row>
    <row r="12851">
      <c r="D12851" s="39"/>
      <c r="E12851" s="39"/>
      <c r="F12851" s="39"/>
    </row>
    <row r="12852">
      <c r="D12852" s="39"/>
      <c r="E12852" s="39"/>
      <c r="F12852" s="39"/>
    </row>
    <row r="12853">
      <c r="D12853" s="39"/>
      <c r="E12853" s="39"/>
      <c r="F12853" s="39"/>
    </row>
    <row r="12854">
      <c r="D12854" s="39"/>
      <c r="E12854" s="39"/>
      <c r="F12854" s="39"/>
    </row>
    <row r="12855">
      <c r="D12855" s="39"/>
      <c r="E12855" s="39"/>
      <c r="F12855" s="39"/>
    </row>
    <row r="12856">
      <c r="D12856" s="39"/>
      <c r="E12856" s="39"/>
      <c r="F12856" s="39"/>
    </row>
    <row r="12857">
      <c r="D12857" s="39"/>
      <c r="E12857" s="39"/>
      <c r="F12857" s="39"/>
    </row>
    <row r="12858">
      <c r="D12858" s="39"/>
      <c r="E12858" s="39"/>
      <c r="F12858" s="39"/>
    </row>
    <row r="12859">
      <c r="D12859" s="39"/>
      <c r="E12859" s="39"/>
      <c r="F12859" s="39"/>
    </row>
    <row r="12860">
      <c r="D12860" s="39"/>
      <c r="E12860" s="39"/>
      <c r="F12860" s="39"/>
    </row>
    <row r="12861">
      <c r="D12861" s="39"/>
      <c r="E12861" s="39"/>
      <c r="F12861" s="39"/>
    </row>
    <row r="12862">
      <c r="D12862" s="39"/>
      <c r="E12862" s="39"/>
      <c r="F12862" s="39"/>
    </row>
    <row r="12863">
      <c r="D12863" s="39"/>
      <c r="E12863" s="39"/>
      <c r="F12863" s="39"/>
    </row>
    <row r="12864">
      <c r="D12864" s="39"/>
      <c r="E12864" s="39"/>
      <c r="F12864" s="39"/>
    </row>
    <row r="12865">
      <c r="D12865" s="39"/>
      <c r="E12865" s="39"/>
      <c r="F12865" s="39"/>
    </row>
    <row r="12866">
      <c r="D12866" s="39"/>
      <c r="E12866" s="39"/>
      <c r="F12866" s="39"/>
    </row>
    <row r="12867">
      <c r="D12867" s="39"/>
      <c r="E12867" s="39"/>
      <c r="F12867" s="39"/>
    </row>
    <row r="12868">
      <c r="D12868" s="39"/>
      <c r="E12868" s="39"/>
      <c r="F12868" s="39"/>
    </row>
    <row r="12869">
      <c r="D12869" s="39"/>
      <c r="E12869" s="39"/>
      <c r="F12869" s="39"/>
    </row>
    <row r="12870">
      <c r="D12870" s="39"/>
      <c r="E12870" s="39"/>
      <c r="F12870" s="39"/>
    </row>
    <row r="12871">
      <c r="D12871" s="39"/>
      <c r="E12871" s="39"/>
      <c r="F12871" s="39"/>
    </row>
    <row r="12872">
      <c r="D12872" s="39"/>
      <c r="E12872" s="39"/>
      <c r="F12872" s="39"/>
    </row>
    <row r="12873">
      <c r="D12873" s="39"/>
      <c r="E12873" s="39"/>
      <c r="F12873" s="39"/>
    </row>
    <row r="12874">
      <c r="D12874" s="39"/>
      <c r="E12874" s="39"/>
      <c r="F12874" s="39"/>
    </row>
    <row r="12875">
      <c r="D12875" s="39"/>
      <c r="E12875" s="39"/>
      <c r="F12875" s="39"/>
    </row>
    <row r="12876">
      <c r="D12876" s="39"/>
      <c r="E12876" s="39"/>
      <c r="F12876" s="39"/>
    </row>
    <row r="12877">
      <c r="D12877" s="39"/>
      <c r="E12877" s="39"/>
      <c r="F12877" s="39"/>
    </row>
    <row r="12878">
      <c r="D12878" s="39"/>
      <c r="E12878" s="39"/>
      <c r="F12878" s="39"/>
    </row>
    <row r="12879">
      <c r="D12879" s="39"/>
      <c r="E12879" s="39"/>
      <c r="F12879" s="39"/>
    </row>
    <row r="12880">
      <c r="D12880" s="39"/>
      <c r="E12880" s="39"/>
      <c r="F12880" s="39"/>
    </row>
    <row r="12881">
      <c r="D12881" s="39"/>
      <c r="E12881" s="39"/>
      <c r="F12881" s="39"/>
    </row>
    <row r="12882">
      <c r="D12882" s="39"/>
      <c r="E12882" s="39"/>
      <c r="F12882" s="39"/>
    </row>
    <row r="12883">
      <c r="D12883" s="39"/>
      <c r="E12883" s="39"/>
      <c r="F12883" s="39"/>
    </row>
    <row r="12884">
      <c r="D12884" s="39"/>
      <c r="E12884" s="39"/>
      <c r="F12884" s="39"/>
    </row>
    <row r="12885">
      <c r="D12885" s="39"/>
      <c r="E12885" s="39"/>
      <c r="F12885" s="39"/>
    </row>
    <row r="12886">
      <c r="D12886" s="39"/>
      <c r="E12886" s="39"/>
      <c r="F12886" s="39"/>
    </row>
    <row r="12887">
      <c r="D12887" s="39"/>
      <c r="E12887" s="39"/>
      <c r="F12887" s="39"/>
    </row>
    <row r="12888">
      <c r="D12888" s="39"/>
      <c r="E12888" s="39"/>
      <c r="F12888" s="39"/>
    </row>
    <row r="12889">
      <c r="D12889" s="39"/>
      <c r="E12889" s="39"/>
      <c r="F12889" s="39"/>
    </row>
    <row r="12890">
      <c r="D12890" s="39"/>
      <c r="E12890" s="39"/>
      <c r="F12890" s="39"/>
    </row>
    <row r="12891">
      <c r="D12891" s="39"/>
      <c r="E12891" s="39"/>
      <c r="F12891" s="39"/>
    </row>
    <row r="12892">
      <c r="D12892" s="39"/>
      <c r="E12892" s="39"/>
      <c r="F12892" s="39"/>
    </row>
    <row r="12893">
      <c r="D12893" s="39"/>
      <c r="E12893" s="39"/>
      <c r="F12893" s="39"/>
    </row>
    <row r="12894">
      <c r="D12894" s="39"/>
      <c r="E12894" s="39"/>
      <c r="F12894" s="39"/>
    </row>
    <row r="12895">
      <c r="D12895" s="39"/>
      <c r="E12895" s="39"/>
      <c r="F12895" s="39"/>
    </row>
    <row r="12896">
      <c r="D12896" s="39"/>
      <c r="E12896" s="39"/>
      <c r="F12896" s="39"/>
    </row>
    <row r="12897">
      <c r="D12897" s="39"/>
      <c r="E12897" s="39"/>
      <c r="F12897" s="39"/>
    </row>
    <row r="12898">
      <c r="D12898" s="39"/>
      <c r="E12898" s="39"/>
      <c r="F12898" s="39"/>
    </row>
    <row r="12899">
      <c r="D12899" s="39"/>
      <c r="E12899" s="39"/>
      <c r="F12899" s="39"/>
    </row>
    <row r="12900">
      <c r="D12900" s="39"/>
      <c r="E12900" s="39"/>
      <c r="F12900" s="39"/>
    </row>
    <row r="12901">
      <c r="D12901" s="39"/>
      <c r="E12901" s="39"/>
      <c r="F12901" s="39"/>
    </row>
    <row r="12902">
      <c r="D12902" s="39"/>
      <c r="E12902" s="39"/>
      <c r="F12902" s="39"/>
    </row>
    <row r="12903">
      <c r="D12903" s="39"/>
      <c r="E12903" s="39"/>
      <c r="F12903" s="39"/>
    </row>
    <row r="12904">
      <c r="D12904" s="39"/>
      <c r="E12904" s="39"/>
      <c r="F12904" s="39"/>
    </row>
    <row r="12905">
      <c r="D12905" s="39"/>
      <c r="E12905" s="39"/>
      <c r="F12905" s="39"/>
    </row>
    <row r="12906">
      <c r="D12906" s="39"/>
      <c r="E12906" s="39"/>
      <c r="F12906" s="39"/>
    </row>
    <row r="12907">
      <c r="D12907" s="39"/>
      <c r="E12907" s="39"/>
      <c r="F12907" s="39"/>
    </row>
    <row r="12908">
      <c r="D12908" s="39"/>
      <c r="E12908" s="39"/>
      <c r="F12908" s="39"/>
    </row>
    <row r="12909">
      <c r="D12909" s="39"/>
      <c r="E12909" s="39"/>
      <c r="F12909" s="39"/>
    </row>
    <row r="12910">
      <c r="D12910" s="39"/>
      <c r="E12910" s="39"/>
      <c r="F12910" s="39"/>
    </row>
    <row r="12911">
      <c r="D12911" s="39"/>
      <c r="E12911" s="39"/>
      <c r="F12911" s="39"/>
    </row>
    <row r="12912">
      <c r="D12912" s="39"/>
      <c r="E12912" s="39"/>
      <c r="F12912" s="39"/>
    </row>
    <row r="12913">
      <c r="D12913" s="39"/>
      <c r="E12913" s="39"/>
      <c r="F12913" s="39"/>
    </row>
    <row r="12914">
      <c r="D12914" s="39"/>
      <c r="E12914" s="39"/>
      <c r="F12914" s="39"/>
    </row>
    <row r="12915">
      <c r="D12915" s="39"/>
      <c r="E12915" s="39"/>
      <c r="F12915" s="39"/>
    </row>
    <row r="12916">
      <c r="D12916" s="39"/>
      <c r="E12916" s="39"/>
      <c r="F12916" s="39"/>
    </row>
    <row r="12917">
      <c r="D12917" s="39"/>
      <c r="E12917" s="39"/>
      <c r="F12917" s="39"/>
    </row>
    <row r="12918">
      <c r="D12918" s="39"/>
      <c r="E12918" s="39"/>
      <c r="F12918" s="39"/>
    </row>
    <row r="12919">
      <c r="D12919" s="39"/>
      <c r="E12919" s="39"/>
      <c r="F12919" s="39"/>
    </row>
    <row r="12920">
      <c r="D12920" s="39"/>
      <c r="E12920" s="39"/>
      <c r="F12920" s="39"/>
    </row>
    <row r="12921">
      <c r="D12921" s="39"/>
      <c r="E12921" s="39"/>
      <c r="F12921" s="39"/>
    </row>
    <row r="12922">
      <c r="D12922" s="39"/>
      <c r="E12922" s="39"/>
      <c r="F12922" s="39"/>
    </row>
    <row r="12923">
      <c r="D12923" s="39"/>
      <c r="E12923" s="39"/>
      <c r="F12923" s="39"/>
    </row>
    <row r="12924">
      <c r="D12924" s="39"/>
      <c r="E12924" s="39"/>
      <c r="F12924" s="39"/>
    </row>
    <row r="12925">
      <c r="D12925" s="39"/>
      <c r="E12925" s="39"/>
      <c r="F12925" s="39"/>
    </row>
    <row r="12926">
      <c r="D12926" s="39"/>
      <c r="E12926" s="39"/>
      <c r="F12926" s="39"/>
    </row>
    <row r="12927">
      <c r="D12927" s="39"/>
      <c r="E12927" s="39"/>
      <c r="F12927" s="39"/>
    </row>
    <row r="12928">
      <c r="D12928" s="39"/>
      <c r="E12928" s="39"/>
      <c r="F12928" s="39"/>
    </row>
    <row r="12929">
      <c r="D12929" s="39"/>
      <c r="E12929" s="39"/>
      <c r="F12929" s="39"/>
    </row>
    <row r="12930">
      <c r="D12930" s="39"/>
      <c r="E12930" s="39"/>
      <c r="F12930" s="39"/>
    </row>
    <row r="12931">
      <c r="D12931" s="39"/>
      <c r="E12931" s="39"/>
      <c r="F12931" s="39"/>
    </row>
    <row r="12932">
      <c r="D12932" s="39"/>
      <c r="E12932" s="39"/>
      <c r="F12932" s="39"/>
    </row>
    <row r="12933">
      <c r="D12933" s="39"/>
      <c r="E12933" s="39"/>
      <c r="F12933" s="39"/>
    </row>
    <row r="12934">
      <c r="D12934" s="39"/>
      <c r="E12934" s="39"/>
      <c r="F12934" s="39"/>
    </row>
    <row r="12935">
      <c r="D12935" s="39"/>
      <c r="E12935" s="39"/>
      <c r="F12935" s="39"/>
    </row>
    <row r="12936">
      <c r="D12936" s="39"/>
      <c r="E12936" s="39"/>
      <c r="F12936" s="39"/>
    </row>
    <row r="12937">
      <c r="D12937" s="39"/>
      <c r="E12937" s="39"/>
      <c r="F12937" s="39"/>
    </row>
    <row r="12938">
      <c r="D12938" s="39"/>
      <c r="E12938" s="39"/>
      <c r="F12938" s="39"/>
    </row>
    <row r="12939">
      <c r="D12939" s="39"/>
      <c r="E12939" s="39"/>
      <c r="F12939" s="39"/>
    </row>
    <row r="12940">
      <c r="D12940" s="39"/>
      <c r="E12940" s="39"/>
      <c r="F12940" s="39"/>
    </row>
    <row r="12941">
      <c r="D12941" s="39"/>
      <c r="E12941" s="39"/>
      <c r="F12941" s="39"/>
    </row>
    <row r="12942">
      <c r="D12942" s="39"/>
      <c r="E12942" s="39"/>
      <c r="F12942" s="39"/>
    </row>
    <row r="12943">
      <c r="D12943" s="39"/>
      <c r="E12943" s="39"/>
      <c r="F12943" s="39"/>
    </row>
    <row r="12944">
      <c r="D12944" s="39"/>
      <c r="E12944" s="39"/>
      <c r="F12944" s="39"/>
    </row>
    <row r="12945">
      <c r="D12945" s="39"/>
      <c r="E12945" s="39"/>
      <c r="F12945" s="39"/>
    </row>
    <row r="12946">
      <c r="D12946" s="39"/>
      <c r="E12946" s="39"/>
      <c r="F12946" s="39"/>
    </row>
    <row r="12947">
      <c r="D12947" s="39"/>
      <c r="E12947" s="39"/>
      <c r="F12947" s="39"/>
    </row>
    <row r="12948">
      <c r="D12948" s="39"/>
      <c r="E12948" s="39"/>
      <c r="F12948" s="39"/>
    </row>
    <row r="12949">
      <c r="D12949" s="39"/>
      <c r="E12949" s="39"/>
      <c r="F12949" s="39"/>
    </row>
    <row r="12950">
      <c r="D12950" s="39"/>
      <c r="E12950" s="39"/>
      <c r="F12950" s="39"/>
    </row>
    <row r="12951">
      <c r="D12951" s="39"/>
      <c r="E12951" s="39"/>
      <c r="F12951" s="39"/>
    </row>
    <row r="12952">
      <c r="D12952" s="39"/>
      <c r="E12952" s="39"/>
      <c r="F12952" s="39"/>
    </row>
    <row r="12953">
      <c r="D12953" s="39"/>
      <c r="E12953" s="39"/>
      <c r="F12953" s="39"/>
    </row>
    <row r="12954">
      <c r="D12954" s="39"/>
      <c r="E12954" s="39"/>
      <c r="F12954" s="39"/>
    </row>
    <row r="12955">
      <c r="D12955" s="39"/>
      <c r="E12955" s="39"/>
      <c r="F12955" s="39"/>
    </row>
    <row r="12956">
      <c r="D12956" s="39"/>
      <c r="E12956" s="39"/>
      <c r="F12956" s="39"/>
    </row>
    <row r="12957">
      <c r="D12957" s="39"/>
      <c r="E12957" s="39"/>
      <c r="F12957" s="39"/>
    </row>
    <row r="12958">
      <c r="D12958" s="39"/>
      <c r="E12958" s="39"/>
      <c r="F12958" s="39"/>
    </row>
    <row r="12959">
      <c r="D12959" s="39"/>
      <c r="E12959" s="39"/>
      <c r="F12959" s="39"/>
    </row>
    <row r="12960">
      <c r="D12960" s="39"/>
      <c r="E12960" s="39"/>
      <c r="F12960" s="39"/>
    </row>
    <row r="12961">
      <c r="D12961" s="39"/>
      <c r="E12961" s="39"/>
      <c r="F12961" s="39"/>
    </row>
    <row r="12962">
      <c r="D12962" s="39"/>
      <c r="E12962" s="39"/>
      <c r="F12962" s="39"/>
    </row>
    <row r="12963">
      <c r="D12963" s="39"/>
      <c r="E12963" s="39"/>
      <c r="F12963" s="39"/>
    </row>
    <row r="12964">
      <c r="D12964" s="39"/>
      <c r="E12964" s="39"/>
      <c r="F12964" s="39"/>
    </row>
    <row r="12965">
      <c r="D12965" s="39"/>
      <c r="E12965" s="39"/>
      <c r="F12965" s="39"/>
    </row>
    <row r="12966">
      <c r="D12966" s="39"/>
      <c r="E12966" s="39"/>
      <c r="F12966" s="39"/>
    </row>
    <row r="12967">
      <c r="D12967" s="39"/>
      <c r="E12967" s="39"/>
      <c r="F12967" s="39"/>
    </row>
    <row r="12968">
      <c r="D12968" s="39"/>
      <c r="E12968" s="39"/>
      <c r="F12968" s="39"/>
    </row>
    <row r="12969">
      <c r="D12969" s="39"/>
      <c r="E12969" s="39"/>
      <c r="F12969" s="39"/>
    </row>
    <row r="12970">
      <c r="D12970" s="39"/>
      <c r="E12970" s="39"/>
      <c r="F12970" s="39"/>
    </row>
    <row r="12971">
      <c r="D12971" s="39"/>
      <c r="E12971" s="39"/>
      <c r="F12971" s="39"/>
    </row>
    <row r="12972">
      <c r="D12972" s="39"/>
      <c r="E12972" s="39"/>
      <c r="F12972" s="39"/>
    </row>
    <row r="12973">
      <c r="D12973" s="39"/>
      <c r="E12973" s="39"/>
      <c r="F12973" s="39"/>
    </row>
    <row r="12974">
      <c r="D12974" s="39"/>
      <c r="E12974" s="39"/>
      <c r="F12974" s="39"/>
    </row>
    <row r="12975">
      <c r="D12975" s="39"/>
      <c r="E12975" s="39"/>
      <c r="F12975" s="39"/>
    </row>
    <row r="12976">
      <c r="D12976" s="39"/>
      <c r="E12976" s="39"/>
      <c r="F12976" s="39"/>
    </row>
    <row r="12977">
      <c r="D12977" s="39"/>
      <c r="E12977" s="39"/>
      <c r="F12977" s="39"/>
    </row>
    <row r="12978">
      <c r="D12978" s="39"/>
      <c r="E12978" s="39"/>
      <c r="F12978" s="39"/>
    </row>
    <row r="12979">
      <c r="D12979" s="39"/>
      <c r="E12979" s="39"/>
      <c r="F12979" s="39"/>
    </row>
    <row r="12980">
      <c r="D12980" s="39"/>
      <c r="E12980" s="39"/>
      <c r="F12980" s="39"/>
    </row>
    <row r="12981">
      <c r="D12981" s="39"/>
      <c r="E12981" s="39"/>
      <c r="F12981" s="39"/>
    </row>
    <row r="12982">
      <c r="D12982" s="39"/>
      <c r="E12982" s="39"/>
      <c r="F12982" s="39"/>
    </row>
    <row r="12983">
      <c r="D12983" s="39"/>
      <c r="E12983" s="39"/>
      <c r="F12983" s="39"/>
    </row>
    <row r="12984">
      <c r="D12984" s="39"/>
      <c r="E12984" s="39"/>
      <c r="F12984" s="39"/>
    </row>
    <row r="12985">
      <c r="D12985" s="39"/>
      <c r="E12985" s="39"/>
      <c r="F12985" s="39"/>
    </row>
    <row r="12986">
      <c r="D12986" s="39"/>
      <c r="E12986" s="39"/>
      <c r="F12986" s="39"/>
    </row>
    <row r="12987">
      <c r="D12987" s="39"/>
      <c r="E12987" s="39"/>
      <c r="F12987" s="39"/>
    </row>
    <row r="12988">
      <c r="D12988" s="39"/>
      <c r="E12988" s="39"/>
      <c r="F12988" s="39"/>
    </row>
    <row r="12989">
      <c r="D12989" s="39"/>
      <c r="E12989" s="39"/>
      <c r="F12989" s="39"/>
    </row>
    <row r="12990">
      <c r="D12990" s="39"/>
      <c r="E12990" s="39"/>
      <c r="F12990" s="39"/>
    </row>
    <row r="12991">
      <c r="D12991" s="39"/>
      <c r="E12991" s="39"/>
      <c r="F12991" s="39"/>
    </row>
    <row r="12992">
      <c r="D12992" s="39"/>
      <c r="E12992" s="39"/>
      <c r="F12992" s="39"/>
    </row>
    <row r="12993">
      <c r="D12993" s="39"/>
      <c r="E12993" s="39"/>
      <c r="F12993" s="39"/>
    </row>
    <row r="12994">
      <c r="D12994" s="39"/>
      <c r="E12994" s="39"/>
      <c r="F12994" s="39"/>
    </row>
    <row r="12995">
      <c r="D12995" s="39"/>
      <c r="E12995" s="39"/>
      <c r="F12995" s="39"/>
    </row>
    <row r="12996">
      <c r="D12996" s="39"/>
      <c r="E12996" s="39"/>
      <c r="F12996" s="39"/>
    </row>
    <row r="12997">
      <c r="D12997" s="39"/>
      <c r="E12997" s="39"/>
      <c r="F12997" s="39"/>
    </row>
    <row r="12998">
      <c r="D12998" s="39"/>
      <c r="E12998" s="39"/>
      <c r="F12998" s="39"/>
    </row>
    <row r="12999">
      <c r="D12999" s="39"/>
      <c r="E12999" s="39"/>
      <c r="F12999" s="39"/>
    </row>
    <row r="13000">
      <c r="D13000" s="39"/>
      <c r="E13000" s="39"/>
      <c r="F13000" s="39"/>
    </row>
    <row r="13001">
      <c r="D13001" s="39"/>
      <c r="E13001" s="39"/>
      <c r="F13001" s="39"/>
    </row>
    <row r="13002">
      <c r="D13002" s="39"/>
      <c r="E13002" s="39"/>
      <c r="F13002" s="39"/>
    </row>
    <row r="13003">
      <c r="D13003" s="39"/>
      <c r="E13003" s="39"/>
      <c r="F13003" s="39"/>
    </row>
    <row r="13004">
      <c r="D13004" s="39"/>
      <c r="E13004" s="39"/>
      <c r="F13004" s="39"/>
    </row>
    <row r="13005">
      <c r="D13005" s="39"/>
      <c r="E13005" s="39"/>
      <c r="F13005" s="39"/>
    </row>
    <row r="13006">
      <c r="D13006" s="39"/>
      <c r="E13006" s="39"/>
      <c r="F13006" s="39"/>
    </row>
    <row r="13007">
      <c r="D13007" s="39"/>
      <c r="E13007" s="39"/>
      <c r="F13007" s="39"/>
    </row>
    <row r="13008">
      <c r="D13008" s="39"/>
      <c r="E13008" s="39"/>
      <c r="F13008" s="39"/>
    </row>
    <row r="13009">
      <c r="D13009" s="39"/>
      <c r="E13009" s="39"/>
      <c r="F13009" s="39"/>
    </row>
    <row r="13010">
      <c r="D13010" s="39"/>
      <c r="E13010" s="39"/>
      <c r="F13010" s="39"/>
    </row>
    <row r="13011">
      <c r="D13011" s="39"/>
      <c r="E13011" s="39"/>
      <c r="F13011" s="39"/>
    </row>
    <row r="13012">
      <c r="D13012" s="39"/>
      <c r="E13012" s="39"/>
      <c r="F13012" s="39"/>
    </row>
    <row r="13013">
      <c r="D13013" s="39"/>
      <c r="E13013" s="39"/>
      <c r="F13013" s="39"/>
    </row>
    <row r="13014">
      <c r="D13014" s="39"/>
      <c r="E13014" s="39"/>
      <c r="F13014" s="39"/>
    </row>
    <row r="13015">
      <c r="D13015" s="39"/>
      <c r="E13015" s="39"/>
      <c r="F13015" s="39"/>
    </row>
    <row r="13016">
      <c r="D13016" s="39"/>
      <c r="E13016" s="39"/>
      <c r="F13016" s="39"/>
    </row>
    <row r="13017">
      <c r="D13017" s="39"/>
      <c r="E13017" s="39"/>
      <c r="F13017" s="39"/>
    </row>
    <row r="13018">
      <c r="D13018" s="39"/>
      <c r="E13018" s="39"/>
      <c r="F13018" s="39"/>
    </row>
    <row r="13019">
      <c r="D13019" s="39"/>
      <c r="E13019" s="39"/>
      <c r="F13019" s="39"/>
    </row>
    <row r="13020">
      <c r="D13020" s="39"/>
      <c r="E13020" s="39"/>
      <c r="F13020" s="39"/>
    </row>
    <row r="13021">
      <c r="D13021" s="39"/>
      <c r="E13021" s="39"/>
      <c r="F13021" s="39"/>
    </row>
    <row r="13022">
      <c r="D13022" s="39"/>
      <c r="E13022" s="39"/>
      <c r="F13022" s="39"/>
    </row>
    <row r="13023">
      <c r="D13023" s="39"/>
      <c r="E13023" s="39"/>
      <c r="F13023" s="39"/>
    </row>
    <row r="13024">
      <c r="D13024" s="39"/>
      <c r="E13024" s="39"/>
      <c r="F13024" s="39"/>
    </row>
    <row r="13025">
      <c r="D13025" s="39"/>
      <c r="E13025" s="39"/>
      <c r="F13025" s="39"/>
    </row>
    <row r="13026">
      <c r="D13026" s="39"/>
      <c r="E13026" s="39"/>
      <c r="F13026" s="39"/>
    </row>
    <row r="13027">
      <c r="D13027" s="39"/>
      <c r="E13027" s="39"/>
      <c r="F13027" s="39"/>
    </row>
    <row r="13028">
      <c r="D13028" s="39"/>
      <c r="E13028" s="39"/>
      <c r="F13028" s="39"/>
    </row>
    <row r="13029">
      <c r="D13029" s="39"/>
      <c r="E13029" s="39"/>
      <c r="F13029" s="39"/>
    </row>
    <row r="13030">
      <c r="D13030" s="39"/>
      <c r="E13030" s="39"/>
      <c r="F13030" s="39"/>
    </row>
    <row r="13031">
      <c r="D13031" s="39"/>
      <c r="E13031" s="39"/>
      <c r="F13031" s="39"/>
    </row>
    <row r="13032">
      <c r="D13032" s="39"/>
      <c r="E13032" s="39"/>
      <c r="F13032" s="39"/>
    </row>
    <row r="13033">
      <c r="D13033" s="39"/>
      <c r="E13033" s="39"/>
      <c r="F13033" s="39"/>
    </row>
    <row r="13034">
      <c r="D13034" s="39"/>
      <c r="E13034" s="39"/>
      <c r="F13034" s="39"/>
    </row>
    <row r="13035">
      <c r="D13035" s="39"/>
      <c r="E13035" s="39"/>
      <c r="F13035" s="39"/>
    </row>
    <row r="13036">
      <c r="D13036" s="39"/>
      <c r="E13036" s="39"/>
      <c r="F13036" s="39"/>
    </row>
    <row r="13037">
      <c r="D13037" s="39"/>
      <c r="E13037" s="39"/>
      <c r="F13037" s="39"/>
    </row>
    <row r="13038">
      <c r="D13038" s="39"/>
      <c r="E13038" s="39"/>
      <c r="F13038" s="39"/>
    </row>
    <row r="13039">
      <c r="D13039" s="39"/>
      <c r="E13039" s="39"/>
      <c r="F13039" s="39"/>
    </row>
    <row r="13040">
      <c r="D13040" s="39"/>
      <c r="E13040" s="39"/>
      <c r="F13040" s="39"/>
    </row>
    <row r="13041">
      <c r="D13041" s="39"/>
      <c r="E13041" s="39"/>
      <c r="F13041" s="39"/>
    </row>
    <row r="13042">
      <c r="D13042" s="39"/>
      <c r="E13042" s="39"/>
      <c r="F13042" s="39"/>
    </row>
    <row r="13043">
      <c r="D13043" s="39"/>
      <c r="E13043" s="39"/>
      <c r="F13043" s="39"/>
    </row>
    <row r="13044">
      <c r="D13044" s="39"/>
      <c r="E13044" s="39"/>
      <c r="F13044" s="39"/>
    </row>
    <row r="13045">
      <c r="D13045" s="39"/>
      <c r="E13045" s="39"/>
      <c r="F13045" s="39"/>
    </row>
    <row r="13046">
      <c r="D13046" s="39"/>
      <c r="E13046" s="39"/>
      <c r="F13046" s="39"/>
    </row>
    <row r="13047">
      <c r="D13047" s="39"/>
      <c r="E13047" s="39"/>
      <c r="F13047" s="39"/>
    </row>
    <row r="13048">
      <c r="D13048" s="39"/>
      <c r="E13048" s="39"/>
      <c r="F13048" s="39"/>
    </row>
    <row r="13049">
      <c r="D13049" s="39"/>
      <c r="E13049" s="39"/>
      <c r="F13049" s="39"/>
    </row>
    <row r="13050">
      <c r="D13050" s="39"/>
      <c r="E13050" s="39"/>
      <c r="F13050" s="39"/>
    </row>
    <row r="13051">
      <c r="D13051" s="39"/>
      <c r="E13051" s="39"/>
      <c r="F13051" s="39"/>
    </row>
    <row r="13052">
      <c r="D13052" s="39"/>
      <c r="E13052" s="39"/>
      <c r="F13052" s="39"/>
    </row>
    <row r="13053">
      <c r="D13053" s="39"/>
      <c r="E13053" s="39"/>
      <c r="F13053" s="39"/>
    </row>
    <row r="13054">
      <c r="D13054" s="39"/>
      <c r="E13054" s="39"/>
      <c r="F13054" s="39"/>
    </row>
    <row r="13055">
      <c r="D13055" s="39"/>
      <c r="E13055" s="39"/>
      <c r="F13055" s="39"/>
    </row>
    <row r="13056">
      <c r="D13056" s="39"/>
      <c r="E13056" s="39"/>
      <c r="F13056" s="39"/>
    </row>
    <row r="13057">
      <c r="D13057" s="39"/>
      <c r="E13057" s="39"/>
      <c r="F13057" s="39"/>
    </row>
    <row r="13058">
      <c r="D13058" s="39"/>
      <c r="E13058" s="39"/>
      <c r="F13058" s="39"/>
    </row>
    <row r="13059">
      <c r="D13059" s="39"/>
      <c r="E13059" s="39"/>
      <c r="F13059" s="39"/>
    </row>
    <row r="13060">
      <c r="D13060" s="39"/>
      <c r="E13060" s="39"/>
      <c r="F13060" s="39"/>
    </row>
    <row r="13061">
      <c r="D13061" s="39"/>
      <c r="E13061" s="39"/>
      <c r="F13061" s="39"/>
    </row>
    <row r="13062">
      <c r="D13062" s="39"/>
      <c r="E13062" s="39"/>
      <c r="F13062" s="39"/>
    </row>
    <row r="13063">
      <c r="D13063" s="39"/>
      <c r="E13063" s="39"/>
      <c r="F13063" s="39"/>
    </row>
    <row r="13064">
      <c r="D13064" s="39"/>
      <c r="E13064" s="39"/>
      <c r="F13064" s="39"/>
    </row>
    <row r="13065">
      <c r="D13065" s="39"/>
      <c r="E13065" s="39"/>
      <c r="F13065" s="39"/>
    </row>
    <row r="13066">
      <c r="D13066" s="39"/>
      <c r="E13066" s="39"/>
      <c r="F13066" s="39"/>
    </row>
    <row r="13067">
      <c r="D13067" s="39"/>
      <c r="E13067" s="39"/>
      <c r="F13067" s="39"/>
    </row>
    <row r="13068">
      <c r="D13068" s="39"/>
      <c r="E13068" s="39"/>
      <c r="F13068" s="39"/>
    </row>
    <row r="13069">
      <c r="D13069" s="39"/>
      <c r="E13069" s="39"/>
      <c r="F13069" s="39"/>
    </row>
    <row r="13070">
      <c r="D13070" s="39"/>
      <c r="E13070" s="39"/>
      <c r="F13070" s="39"/>
    </row>
    <row r="13071">
      <c r="D13071" s="39"/>
      <c r="E13071" s="39"/>
      <c r="F13071" s="39"/>
    </row>
    <row r="13072">
      <c r="D13072" s="39"/>
      <c r="E13072" s="39"/>
      <c r="F13072" s="39"/>
    </row>
    <row r="13073">
      <c r="D13073" s="39"/>
      <c r="E13073" s="39"/>
      <c r="F13073" s="39"/>
    </row>
    <row r="13074">
      <c r="D13074" s="39"/>
      <c r="E13074" s="39"/>
      <c r="F13074" s="39"/>
    </row>
    <row r="13075">
      <c r="D13075" s="39"/>
      <c r="E13075" s="39"/>
      <c r="F13075" s="39"/>
    </row>
    <row r="13076">
      <c r="D13076" s="39"/>
      <c r="E13076" s="39"/>
      <c r="F13076" s="39"/>
    </row>
    <row r="13077">
      <c r="D13077" s="39"/>
      <c r="E13077" s="39"/>
      <c r="F13077" s="39"/>
    </row>
    <row r="13078">
      <c r="D13078" s="39"/>
      <c r="E13078" s="39"/>
      <c r="F13078" s="39"/>
    </row>
    <row r="13079">
      <c r="D13079" s="39"/>
      <c r="E13079" s="39"/>
      <c r="F13079" s="39"/>
    </row>
    <row r="13080">
      <c r="D13080" s="39"/>
      <c r="E13080" s="39"/>
      <c r="F13080" s="39"/>
    </row>
    <row r="13081">
      <c r="D13081" s="39"/>
      <c r="E13081" s="39"/>
      <c r="F13081" s="39"/>
    </row>
    <row r="13082">
      <c r="D13082" s="39"/>
      <c r="E13082" s="39"/>
      <c r="F13082" s="39"/>
    </row>
    <row r="13083">
      <c r="D13083" s="39"/>
      <c r="E13083" s="39"/>
      <c r="F13083" s="39"/>
    </row>
    <row r="13084">
      <c r="D13084" s="39"/>
      <c r="E13084" s="39"/>
      <c r="F13084" s="39"/>
    </row>
    <row r="13085">
      <c r="D13085" s="39"/>
      <c r="E13085" s="39"/>
      <c r="F13085" s="39"/>
    </row>
    <row r="13086">
      <c r="D13086" s="39"/>
      <c r="E13086" s="39"/>
      <c r="F13086" s="39"/>
    </row>
    <row r="13087">
      <c r="D13087" s="39"/>
      <c r="E13087" s="39"/>
      <c r="F13087" s="39"/>
    </row>
    <row r="13088">
      <c r="D13088" s="39"/>
      <c r="E13088" s="39"/>
      <c r="F13088" s="39"/>
    </row>
    <row r="13089">
      <c r="D13089" s="39"/>
      <c r="E13089" s="39"/>
      <c r="F13089" s="39"/>
    </row>
    <row r="13090">
      <c r="D13090" s="39"/>
      <c r="E13090" s="39"/>
      <c r="F13090" s="39"/>
    </row>
    <row r="13091">
      <c r="D13091" s="39"/>
      <c r="E13091" s="39"/>
      <c r="F13091" s="39"/>
    </row>
    <row r="13092">
      <c r="D13092" s="39"/>
      <c r="E13092" s="39"/>
      <c r="F13092" s="39"/>
    </row>
    <row r="13093">
      <c r="D13093" s="39"/>
      <c r="E13093" s="39"/>
      <c r="F13093" s="39"/>
    </row>
    <row r="13094">
      <c r="D13094" s="39"/>
      <c r="E13094" s="39"/>
      <c r="F13094" s="39"/>
    </row>
    <row r="13095">
      <c r="D13095" s="39"/>
      <c r="E13095" s="39"/>
      <c r="F13095" s="39"/>
    </row>
    <row r="13096">
      <c r="D13096" s="39"/>
      <c r="E13096" s="39"/>
      <c r="F13096" s="39"/>
    </row>
    <row r="13097">
      <c r="D13097" s="39"/>
      <c r="E13097" s="39"/>
      <c r="F13097" s="39"/>
    </row>
    <row r="13098">
      <c r="D13098" s="39"/>
      <c r="E13098" s="39"/>
      <c r="F13098" s="39"/>
    </row>
    <row r="13099">
      <c r="D13099" s="39"/>
      <c r="E13099" s="39"/>
      <c r="F13099" s="39"/>
    </row>
    <row r="13100">
      <c r="D13100" s="39"/>
      <c r="E13100" s="39"/>
      <c r="F13100" s="39"/>
    </row>
    <row r="13101">
      <c r="D13101" s="39"/>
      <c r="E13101" s="39"/>
      <c r="F13101" s="39"/>
    </row>
    <row r="13102">
      <c r="D13102" s="39"/>
      <c r="E13102" s="39"/>
      <c r="F13102" s="39"/>
    </row>
    <row r="13103">
      <c r="D13103" s="39"/>
      <c r="E13103" s="39"/>
      <c r="F13103" s="39"/>
    </row>
    <row r="13104">
      <c r="D13104" s="39"/>
      <c r="E13104" s="39"/>
      <c r="F13104" s="39"/>
    </row>
    <row r="13105">
      <c r="D13105" s="39"/>
      <c r="E13105" s="39"/>
      <c r="F13105" s="39"/>
    </row>
    <row r="13106">
      <c r="D13106" s="39"/>
      <c r="E13106" s="39"/>
      <c r="F13106" s="39"/>
    </row>
    <row r="13107">
      <c r="D13107" s="39"/>
      <c r="E13107" s="39"/>
      <c r="F13107" s="39"/>
    </row>
    <row r="13108">
      <c r="D13108" s="39"/>
      <c r="E13108" s="39"/>
      <c r="F13108" s="39"/>
    </row>
    <row r="13109">
      <c r="D13109" s="39"/>
      <c r="E13109" s="39"/>
      <c r="F13109" s="39"/>
    </row>
    <row r="13110">
      <c r="D13110" s="39"/>
      <c r="E13110" s="39"/>
      <c r="F13110" s="39"/>
    </row>
    <row r="13111">
      <c r="D13111" s="39"/>
      <c r="E13111" s="39"/>
      <c r="F13111" s="39"/>
    </row>
    <row r="13112">
      <c r="D13112" s="39"/>
      <c r="E13112" s="39"/>
      <c r="F13112" s="39"/>
    </row>
    <row r="13113">
      <c r="D13113" s="39"/>
      <c r="E13113" s="39"/>
      <c r="F13113" s="39"/>
    </row>
    <row r="13114">
      <c r="D13114" s="39"/>
      <c r="E13114" s="39"/>
      <c r="F13114" s="39"/>
    </row>
    <row r="13115">
      <c r="D13115" s="39"/>
      <c r="E13115" s="39"/>
      <c r="F13115" s="39"/>
    </row>
    <row r="13116">
      <c r="D13116" s="39"/>
      <c r="E13116" s="39"/>
      <c r="F13116" s="39"/>
    </row>
    <row r="13117">
      <c r="D13117" s="39"/>
      <c r="E13117" s="39"/>
      <c r="F13117" s="39"/>
    </row>
    <row r="13118">
      <c r="D13118" s="39"/>
      <c r="E13118" s="39"/>
      <c r="F13118" s="39"/>
    </row>
    <row r="13119">
      <c r="D13119" s="39"/>
      <c r="E13119" s="39"/>
      <c r="F13119" s="39"/>
    </row>
    <row r="13120">
      <c r="D13120" s="39"/>
      <c r="E13120" s="39"/>
      <c r="F13120" s="39"/>
    </row>
    <row r="13121">
      <c r="D13121" s="39"/>
      <c r="E13121" s="39"/>
      <c r="F13121" s="39"/>
    </row>
    <row r="13122">
      <c r="D13122" s="39"/>
      <c r="E13122" s="39"/>
      <c r="F13122" s="39"/>
    </row>
    <row r="13123">
      <c r="D13123" s="39"/>
      <c r="E13123" s="39"/>
      <c r="F13123" s="39"/>
    </row>
    <row r="13124">
      <c r="D13124" s="39"/>
      <c r="E13124" s="39"/>
      <c r="F13124" s="39"/>
    </row>
    <row r="13125">
      <c r="D13125" s="39"/>
      <c r="E13125" s="39"/>
      <c r="F13125" s="39"/>
    </row>
    <row r="13126">
      <c r="D13126" s="39"/>
      <c r="E13126" s="39"/>
      <c r="F13126" s="39"/>
    </row>
    <row r="13127">
      <c r="D13127" s="39"/>
      <c r="E13127" s="39"/>
      <c r="F13127" s="39"/>
    </row>
    <row r="13128">
      <c r="D13128" s="39"/>
      <c r="E13128" s="39"/>
      <c r="F13128" s="39"/>
    </row>
    <row r="13129">
      <c r="D13129" s="39"/>
      <c r="E13129" s="39"/>
      <c r="F13129" s="39"/>
    </row>
    <row r="13130">
      <c r="D13130" s="39"/>
      <c r="E13130" s="39"/>
      <c r="F13130" s="39"/>
    </row>
    <row r="13131">
      <c r="D13131" s="39"/>
      <c r="E13131" s="39"/>
      <c r="F13131" s="39"/>
    </row>
    <row r="13132">
      <c r="D13132" s="39"/>
      <c r="E13132" s="39"/>
      <c r="F13132" s="39"/>
    </row>
    <row r="13133">
      <c r="D13133" s="39"/>
      <c r="E13133" s="39"/>
      <c r="F13133" s="39"/>
    </row>
    <row r="13134">
      <c r="D13134" s="39"/>
      <c r="E13134" s="39"/>
      <c r="F13134" s="39"/>
    </row>
    <row r="13135">
      <c r="D13135" s="39"/>
      <c r="E13135" s="39"/>
      <c r="F13135" s="39"/>
    </row>
    <row r="13136">
      <c r="D13136" s="39"/>
      <c r="E13136" s="39"/>
      <c r="F13136" s="39"/>
    </row>
    <row r="13137">
      <c r="D13137" s="39"/>
      <c r="E13137" s="39"/>
      <c r="F13137" s="39"/>
    </row>
    <row r="13138">
      <c r="D13138" s="39"/>
      <c r="E13138" s="39"/>
      <c r="F13138" s="39"/>
    </row>
    <row r="13139">
      <c r="D13139" s="39"/>
      <c r="E13139" s="39"/>
      <c r="F13139" s="39"/>
    </row>
    <row r="13140">
      <c r="D13140" s="39"/>
      <c r="E13140" s="39"/>
      <c r="F13140" s="39"/>
    </row>
    <row r="13141">
      <c r="D13141" s="39"/>
      <c r="E13141" s="39"/>
      <c r="F13141" s="39"/>
    </row>
    <row r="13142">
      <c r="D13142" s="39"/>
      <c r="E13142" s="39"/>
      <c r="F13142" s="39"/>
    </row>
    <row r="13143">
      <c r="D13143" s="39"/>
      <c r="E13143" s="39"/>
      <c r="F13143" s="39"/>
    </row>
    <row r="13144">
      <c r="D13144" s="39"/>
      <c r="E13144" s="39"/>
      <c r="F13144" s="39"/>
    </row>
    <row r="13145">
      <c r="D13145" s="39"/>
      <c r="E13145" s="39"/>
      <c r="F13145" s="39"/>
    </row>
    <row r="13146">
      <c r="D13146" s="39"/>
      <c r="E13146" s="39"/>
      <c r="F13146" s="39"/>
    </row>
    <row r="13147">
      <c r="D13147" s="39"/>
      <c r="E13147" s="39"/>
      <c r="F13147" s="39"/>
    </row>
    <row r="13148">
      <c r="D13148" s="39"/>
      <c r="E13148" s="39"/>
      <c r="F13148" s="39"/>
    </row>
    <row r="13149">
      <c r="D13149" s="39"/>
      <c r="E13149" s="39"/>
      <c r="F13149" s="39"/>
    </row>
    <row r="13150">
      <c r="D13150" s="39"/>
      <c r="E13150" s="39"/>
      <c r="F13150" s="39"/>
    </row>
    <row r="13151">
      <c r="D13151" s="39"/>
      <c r="E13151" s="39"/>
      <c r="F13151" s="39"/>
    </row>
    <row r="13152">
      <c r="D13152" s="39"/>
      <c r="E13152" s="39"/>
      <c r="F13152" s="39"/>
    </row>
    <row r="13153">
      <c r="D13153" s="39"/>
      <c r="E13153" s="39"/>
      <c r="F13153" s="39"/>
    </row>
    <row r="13154">
      <c r="D13154" s="39"/>
      <c r="E13154" s="39"/>
      <c r="F13154" s="39"/>
    </row>
    <row r="13155">
      <c r="D13155" s="39"/>
      <c r="E13155" s="39"/>
      <c r="F13155" s="39"/>
    </row>
    <row r="13156">
      <c r="D13156" s="39"/>
      <c r="E13156" s="39"/>
      <c r="F13156" s="39"/>
    </row>
    <row r="13157">
      <c r="D13157" s="39"/>
      <c r="E13157" s="39"/>
      <c r="F13157" s="39"/>
    </row>
    <row r="13158">
      <c r="D13158" s="39"/>
      <c r="E13158" s="39"/>
      <c r="F13158" s="39"/>
    </row>
    <row r="13159">
      <c r="D13159" s="39"/>
      <c r="E13159" s="39"/>
      <c r="F13159" s="39"/>
    </row>
    <row r="13160">
      <c r="D13160" s="39"/>
      <c r="E13160" s="39"/>
      <c r="F13160" s="39"/>
    </row>
    <row r="13161">
      <c r="D13161" s="39"/>
      <c r="E13161" s="39"/>
      <c r="F13161" s="39"/>
    </row>
    <row r="13162">
      <c r="D13162" s="39"/>
      <c r="E13162" s="39"/>
      <c r="F13162" s="39"/>
    </row>
    <row r="13163">
      <c r="D13163" s="39"/>
      <c r="E13163" s="39"/>
      <c r="F13163" s="39"/>
    </row>
    <row r="13164">
      <c r="D13164" s="39"/>
      <c r="E13164" s="39"/>
      <c r="F13164" s="39"/>
    </row>
    <row r="13165">
      <c r="D13165" s="39"/>
      <c r="E13165" s="39"/>
      <c r="F13165" s="39"/>
    </row>
    <row r="13166">
      <c r="D13166" s="39"/>
      <c r="E13166" s="39"/>
      <c r="F13166" s="39"/>
    </row>
    <row r="13167">
      <c r="D13167" s="39"/>
      <c r="E13167" s="39"/>
      <c r="F13167" s="39"/>
    </row>
    <row r="13168">
      <c r="D13168" s="39"/>
      <c r="E13168" s="39"/>
      <c r="F13168" s="39"/>
    </row>
    <row r="13169">
      <c r="D13169" s="39"/>
      <c r="E13169" s="39"/>
      <c r="F13169" s="39"/>
    </row>
    <row r="13170">
      <c r="D13170" s="39"/>
      <c r="E13170" s="39"/>
      <c r="F13170" s="39"/>
    </row>
    <row r="13171">
      <c r="D13171" s="39"/>
      <c r="E13171" s="39"/>
      <c r="F13171" s="39"/>
    </row>
    <row r="13172">
      <c r="D13172" s="39"/>
      <c r="E13172" s="39"/>
      <c r="F13172" s="39"/>
    </row>
    <row r="13173">
      <c r="D13173" s="39"/>
      <c r="E13173" s="39"/>
      <c r="F13173" s="39"/>
    </row>
    <row r="13174">
      <c r="D13174" s="39"/>
      <c r="E13174" s="39"/>
      <c r="F13174" s="39"/>
    </row>
    <row r="13175">
      <c r="D13175" s="39"/>
      <c r="E13175" s="39"/>
      <c r="F13175" s="39"/>
    </row>
    <row r="13176">
      <c r="D13176" s="39"/>
      <c r="E13176" s="39"/>
      <c r="F13176" s="39"/>
    </row>
    <row r="13177">
      <c r="D13177" s="39"/>
      <c r="E13177" s="39"/>
      <c r="F13177" s="39"/>
    </row>
    <row r="13178">
      <c r="D13178" s="39"/>
      <c r="E13178" s="39"/>
      <c r="F13178" s="39"/>
    </row>
    <row r="13179">
      <c r="D13179" s="39"/>
      <c r="E13179" s="39"/>
      <c r="F13179" s="39"/>
    </row>
    <row r="13180">
      <c r="D13180" s="39"/>
      <c r="E13180" s="39"/>
      <c r="F13180" s="39"/>
    </row>
    <row r="13181">
      <c r="D13181" s="39"/>
      <c r="E13181" s="39"/>
      <c r="F13181" s="39"/>
    </row>
    <row r="13182">
      <c r="D13182" s="39"/>
      <c r="E13182" s="39"/>
      <c r="F13182" s="39"/>
    </row>
    <row r="13183">
      <c r="D13183" s="39"/>
      <c r="E13183" s="39"/>
      <c r="F13183" s="39"/>
    </row>
    <row r="13184">
      <c r="D13184" s="39"/>
      <c r="E13184" s="39"/>
      <c r="F13184" s="39"/>
    </row>
    <row r="13185">
      <c r="D13185" s="39"/>
      <c r="E13185" s="39"/>
      <c r="F13185" s="39"/>
    </row>
    <row r="13186">
      <c r="D13186" s="39"/>
      <c r="E13186" s="39"/>
      <c r="F13186" s="39"/>
    </row>
    <row r="13187">
      <c r="D13187" s="39"/>
      <c r="E13187" s="39"/>
      <c r="F13187" s="39"/>
    </row>
    <row r="13188">
      <c r="D13188" s="39"/>
      <c r="E13188" s="39"/>
      <c r="F13188" s="39"/>
    </row>
    <row r="13189">
      <c r="D13189" s="39"/>
      <c r="E13189" s="39"/>
      <c r="F13189" s="39"/>
    </row>
    <row r="13190">
      <c r="D13190" s="39"/>
      <c r="E13190" s="39"/>
      <c r="F13190" s="39"/>
    </row>
    <row r="13191">
      <c r="D13191" s="39"/>
      <c r="E13191" s="39"/>
      <c r="F13191" s="39"/>
    </row>
    <row r="13192">
      <c r="D13192" s="39"/>
      <c r="E13192" s="39"/>
      <c r="F13192" s="39"/>
    </row>
    <row r="13193">
      <c r="D13193" s="39"/>
      <c r="E13193" s="39"/>
      <c r="F13193" s="39"/>
    </row>
    <row r="13194">
      <c r="D13194" s="39"/>
      <c r="E13194" s="39"/>
      <c r="F13194" s="39"/>
    </row>
    <row r="13195">
      <c r="D13195" s="39"/>
      <c r="E13195" s="39"/>
      <c r="F13195" s="39"/>
    </row>
    <row r="13196">
      <c r="D13196" s="39"/>
      <c r="E13196" s="39"/>
      <c r="F13196" s="39"/>
    </row>
    <row r="13197">
      <c r="D13197" s="39"/>
      <c r="E13197" s="39"/>
      <c r="F13197" s="39"/>
    </row>
    <row r="13198">
      <c r="D13198" s="39"/>
      <c r="E13198" s="39"/>
      <c r="F13198" s="39"/>
    </row>
    <row r="13199">
      <c r="D13199" s="39"/>
      <c r="E13199" s="39"/>
      <c r="F13199" s="39"/>
    </row>
    <row r="13200">
      <c r="D13200" s="39"/>
      <c r="E13200" s="39"/>
      <c r="F13200" s="39"/>
    </row>
    <row r="13201">
      <c r="D13201" s="39"/>
      <c r="E13201" s="39"/>
      <c r="F13201" s="39"/>
    </row>
    <row r="13202">
      <c r="D13202" s="39"/>
      <c r="E13202" s="39"/>
      <c r="F13202" s="39"/>
    </row>
    <row r="13203">
      <c r="D13203" s="39"/>
      <c r="E13203" s="39"/>
      <c r="F13203" s="39"/>
    </row>
    <row r="13204">
      <c r="D13204" s="39"/>
      <c r="E13204" s="39"/>
      <c r="F13204" s="39"/>
    </row>
    <row r="13205">
      <c r="D13205" s="39"/>
      <c r="E13205" s="39"/>
      <c r="F13205" s="39"/>
    </row>
    <row r="13206">
      <c r="D13206" s="39"/>
      <c r="E13206" s="39"/>
      <c r="F13206" s="39"/>
    </row>
    <row r="13207">
      <c r="D13207" s="39"/>
      <c r="E13207" s="39"/>
      <c r="F13207" s="39"/>
    </row>
    <row r="13208">
      <c r="D13208" s="39"/>
      <c r="E13208" s="39"/>
      <c r="F13208" s="39"/>
    </row>
    <row r="13209">
      <c r="D13209" s="39"/>
      <c r="E13209" s="39"/>
      <c r="F13209" s="39"/>
    </row>
    <row r="13210">
      <c r="D13210" s="39"/>
      <c r="E13210" s="39"/>
      <c r="F13210" s="39"/>
    </row>
    <row r="13211">
      <c r="D13211" s="39"/>
      <c r="E13211" s="39"/>
      <c r="F13211" s="39"/>
    </row>
    <row r="13212">
      <c r="D13212" s="39"/>
      <c r="E13212" s="39"/>
      <c r="F13212" s="39"/>
    </row>
    <row r="13213">
      <c r="D13213" s="39"/>
      <c r="E13213" s="39"/>
      <c r="F13213" s="39"/>
    </row>
    <row r="13214">
      <c r="D13214" s="39"/>
      <c r="E13214" s="39"/>
      <c r="F13214" s="39"/>
    </row>
    <row r="13215">
      <c r="D13215" s="39"/>
      <c r="E13215" s="39"/>
      <c r="F13215" s="39"/>
    </row>
    <row r="13216">
      <c r="D13216" s="39"/>
      <c r="E13216" s="39"/>
      <c r="F13216" s="39"/>
    </row>
    <row r="13217">
      <c r="D13217" s="39"/>
      <c r="E13217" s="39"/>
      <c r="F13217" s="39"/>
    </row>
    <row r="13218">
      <c r="D13218" s="39"/>
      <c r="E13218" s="39"/>
      <c r="F13218" s="39"/>
    </row>
    <row r="13219">
      <c r="D13219" s="39"/>
      <c r="E13219" s="39"/>
      <c r="F13219" s="39"/>
    </row>
    <row r="13220">
      <c r="D13220" s="39"/>
      <c r="E13220" s="39"/>
      <c r="F13220" s="39"/>
    </row>
    <row r="13221">
      <c r="D13221" s="39"/>
      <c r="E13221" s="39"/>
      <c r="F13221" s="39"/>
    </row>
    <row r="13222">
      <c r="D13222" s="39"/>
      <c r="E13222" s="39"/>
      <c r="F13222" s="39"/>
    </row>
    <row r="13223">
      <c r="D13223" s="39"/>
      <c r="E13223" s="39"/>
      <c r="F13223" s="39"/>
    </row>
    <row r="13224">
      <c r="D13224" s="39"/>
      <c r="E13224" s="39"/>
      <c r="F13224" s="39"/>
    </row>
    <row r="13225">
      <c r="D13225" s="39"/>
      <c r="E13225" s="39"/>
      <c r="F13225" s="39"/>
    </row>
    <row r="13226">
      <c r="D13226" s="39"/>
      <c r="E13226" s="39"/>
      <c r="F13226" s="39"/>
    </row>
    <row r="13227">
      <c r="D13227" s="39"/>
      <c r="E13227" s="39"/>
      <c r="F13227" s="39"/>
    </row>
    <row r="13228">
      <c r="D13228" s="39"/>
      <c r="E13228" s="39"/>
      <c r="F13228" s="39"/>
    </row>
    <row r="13229">
      <c r="D13229" s="39"/>
      <c r="E13229" s="39"/>
      <c r="F13229" s="39"/>
    </row>
    <row r="13230">
      <c r="D13230" s="39"/>
      <c r="E13230" s="39"/>
      <c r="F13230" s="39"/>
    </row>
    <row r="13231">
      <c r="D13231" s="39"/>
      <c r="E13231" s="39"/>
      <c r="F13231" s="39"/>
    </row>
    <row r="13232">
      <c r="D13232" s="39"/>
      <c r="E13232" s="39"/>
      <c r="F13232" s="39"/>
    </row>
    <row r="13233">
      <c r="D13233" s="39"/>
      <c r="E13233" s="39"/>
      <c r="F13233" s="39"/>
    </row>
    <row r="13234">
      <c r="D13234" s="39"/>
      <c r="E13234" s="39"/>
      <c r="F13234" s="39"/>
    </row>
    <row r="13235">
      <c r="D13235" s="39"/>
      <c r="E13235" s="39"/>
      <c r="F13235" s="39"/>
    </row>
    <row r="13236">
      <c r="D13236" s="39"/>
      <c r="E13236" s="39"/>
      <c r="F13236" s="39"/>
    </row>
    <row r="13237">
      <c r="D13237" s="39"/>
      <c r="E13237" s="39"/>
      <c r="F13237" s="39"/>
    </row>
    <row r="13238">
      <c r="D13238" s="39"/>
      <c r="E13238" s="39"/>
      <c r="F13238" s="39"/>
    </row>
    <row r="13239">
      <c r="D13239" s="39"/>
      <c r="E13239" s="39"/>
      <c r="F13239" s="39"/>
    </row>
    <row r="13240">
      <c r="D13240" s="39"/>
      <c r="E13240" s="39"/>
      <c r="F13240" s="39"/>
    </row>
    <row r="13241">
      <c r="D13241" s="39"/>
      <c r="E13241" s="39"/>
      <c r="F13241" s="39"/>
    </row>
    <row r="13242">
      <c r="D13242" s="39"/>
      <c r="E13242" s="39"/>
      <c r="F13242" s="39"/>
    </row>
    <row r="13243">
      <c r="D13243" s="39"/>
      <c r="E13243" s="39"/>
      <c r="F13243" s="39"/>
    </row>
    <row r="13244">
      <c r="D13244" s="39"/>
      <c r="E13244" s="39"/>
      <c r="F13244" s="39"/>
    </row>
    <row r="13245">
      <c r="D13245" s="39"/>
      <c r="E13245" s="39"/>
      <c r="F13245" s="39"/>
    </row>
    <row r="13246">
      <c r="D13246" s="39"/>
      <c r="E13246" s="39"/>
      <c r="F13246" s="39"/>
    </row>
    <row r="13247">
      <c r="D13247" s="39"/>
      <c r="E13247" s="39"/>
      <c r="F13247" s="39"/>
    </row>
    <row r="13248">
      <c r="D13248" s="39"/>
      <c r="E13248" s="39"/>
      <c r="F13248" s="39"/>
    </row>
    <row r="13249">
      <c r="D13249" s="39"/>
      <c r="E13249" s="39"/>
      <c r="F13249" s="39"/>
    </row>
    <row r="13250">
      <c r="D13250" s="39"/>
      <c r="E13250" s="39"/>
      <c r="F13250" s="39"/>
    </row>
    <row r="13251">
      <c r="D13251" s="39"/>
      <c r="E13251" s="39"/>
      <c r="F13251" s="39"/>
    </row>
    <row r="13252">
      <c r="D13252" s="39"/>
      <c r="E13252" s="39"/>
      <c r="F13252" s="39"/>
    </row>
    <row r="13253">
      <c r="D13253" s="39"/>
      <c r="E13253" s="39"/>
      <c r="F13253" s="39"/>
    </row>
    <row r="13254">
      <c r="D13254" s="39"/>
      <c r="E13254" s="39"/>
      <c r="F13254" s="39"/>
    </row>
    <row r="13255">
      <c r="D13255" s="39"/>
      <c r="E13255" s="39"/>
      <c r="F13255" s="39"/>
    </row>
    <row r="13256">
      <c r="D13256" s="39"/>
      <c r="E13256" s="39"/>
      <c r="F13256" s="39"/>
    </row>
    <row r="13257">
      <c r="D13257" s="39"/>
      <c r="E13257" s="39"/>
      <c r="F13257" s="39"/>
    </row>
    <row r="13258">
      <c r="D13258" s="39"/>
      <c r="E13258" s="39"/>
      <c r="F13258" s="39"/>
    </row>
    <row r="13259">
      <c r="D13259" s="39"/>
      <c r="E13259" s="39"/>
      <c r="F13259" s="39"/>
    </row>
    <row r="13260">
      <c r="D13260" s="39"/>
      <c r="E13260" s="39"/>
      <c r="F13260" s="39"/>
    </row>
    <row r="13261">
      <c r="D13261" s="39"/>
      <c r="E13261" s="39"/>
      <c r="F13261" s="39"/>
    </row>
    <row r="13262">
      <c r="D13262" s="39"/>
      <c r="E13262" s="39"/>
      <c r="F13262" s="39"/>
    </row>
    <row r="13263">
      <c r="D13263" s="39"/>
      <c r="E13263" s="39"/>
      <c r="F13263" s="39"/>
    </row>
    <row r="13264">
      <c r="D13264" s="39"/>
      <c r="E13264" s="39"/>
      <c r="F13264" s="39"/>
    </row>
    <row r="13265">
      <c r="D13265" s="39"/>
      <c r="E13265" s="39"/>
      <c r="F13265" s="39"/>
    </row>
    <row r="13266">
      <c r="D13266" s="39"/>
      <c r="E13266" s="39"/>
      <c r="F13266" s="39"/>
    </row>
    <row r="13267">
      <c r="D13267" s="39"/>
      <c r="E13267" s="39"/>
      <c r="F13267" s="39"/>
    </row>
    <row r="13268">
      <c r="D13268" s="39"/>
      <c r="E13268" s="39"/>
      <c r="F13268" s="39"/>
    </row>
    <row r="13269">
      <c r="D13269" s="39"/>
      <c r="E13269" s="39"/>
      <c r="F13269" s="39"/>
    </row>
    <row r="13270">
      <c r="D13270" s="39"/>
      <c r="E13270" s="39"/>
      <c r="F13270" s="39"/>
    </row>
    <row r="13271">
      <c r="D13271" s="39"/>
      <c r="E13271" s="39"/>
      <c r="F13271" s="39"/>
    </row>
    <row r="13272">
      <c r="D13272" s="39"/>
      <c r="E13272" s="39"/>
      <c r="F13272" s="39"/>
    </row>
    <row r="13273">
      <c r="D13273" s="39"/>
      <c r="E13273" s="39"/>
      <c r="F13273" s="39"/>
    </row>
    <row r="13274">
      <c r="D13274" s="39"/>
      <c r="E13274" s="39"/>
      <c r="F13274" s="39"/>
    </row>
    <row r="13275">
      <c r="D13275" s="39"/>
      <c r="E13275" s="39"/>
      <c r="F13275" s="39"/>
    </row>
    <row r="13276">
      <c r="D13276" s="39"/>
      <c r="E13276" s="39"/>
      <c r="F13276" s="39"/>
    </row>
    <row r="13277">
      <c r="D13277" s="39"/>
      <c r="E13277" s="39"/>
      <c r="F13277" s="39"/>
    </row>
    <row r="13278">
      <c r="D13278" s="39"/>
      <c r="E13278" s="39"/>
      <c r="F13278" s="39"/>
    </row>
    <row r="13279">
      <c r="D13279" s="39"/>
      <c r="E13279" s="39"/>
      <c r="F13279" s="39"/>
    </row>
    <row r="13280">
      <c r="D13280" s="39"/>
      <c r="E13280" s="39"/>
      <c r="F13280" s="39"/>
    </row>
    <row r="13281">
      <c r="D13281" s="39"/>
      <c r="E13281" s="39"/>
      <c r="F13281" s="39"/>
    </row>
    <row r="13282">
      <c r="D13282" s="39"/>
      <c r="E13282" s="39"/>
      <c r="F13282" s="39"/>
    </row>
    <row r="13283">
      <c r="D13283" s="39"/>
      <c r="E13283" s="39"/>
      <c r="F13283" s="39"/>
    </row>
    <row r="13284">
      <c r="D13284" s="39"/>
      <c r="E13284" s="39"/>
      <c r="F13284" s="39"/>
    </row>
    <row r="13285">
      <c r="D13285" s="39"/>
      <c r="E13285" s="39"/>
      <c r="F13285" s="39"/>
    </row>
    <row r="13286">
      <c r="D13286" s="39"/>
      <c r="E13286" s="39"/>
      <c r="F13286" s="39"/>
    </row>
    <row r="13287">
      <c r="D13287" s="39"/>
      <c r="E13287" s="39"/>
      <c r="F13287" s="39"/>
    </row>
    <row r="13288">
      <c r="D13288" s="39"/>
      <c r="E13288" s="39"/>
      <c r="F13288" s="39"/>
    </row>
    <row r="13289">
      <c r="D13289" s="39"/>
      <c r="E13289" s="39"/>
      <c r="F13289" s="39"/>
    </row>
    <row r="13290">
      <c r="D13290" s="39"/>
      <c r="E13290" s="39"/>
      <c r="F13290" s="39"/>
    </row>
    <row r="13291">
      <c r="D13291" s="39"/>
      <c r="E13291" s="39"/>
      <c r="F13291" s="39"/>
    </row>
    <row r="13292">
      <c r="D13292" s="39"/>
      <c r="E13292" s="39"/>
      <c r="F13292" s="39"/>
    </row>
    <row r="13293">
      <c r="D13293" s="39"/>
      <c r="E13293" s="39"/>
      <c r="F13293" s="39"/>
    </row>
    <row r="13294">
      <c r="D13294" s="39"/>
      <c r="E13294" s="39"/>
      <c r="F13294" s="39"/>
    </row>
    <row r="13295">
      <c r="D13295" s="39"/>
      <c r="E13295" s="39"/>
      <c r="F13295" s="39"/>
    </row>
    <row r="13296">
      <c r="D13296" s="39"/>
      <c r="E13296" s="39"/>
      <c r="F13296" s="39"/>
    </row>
    <row r="13297">
      <c r="D13297" s="39"/>
      <c r="E13297" s="39"/>
      <c r="F13297" s="39"/>
    </row>
    <row r="13298">
      <c r="D13298" s="39"/>
      <c r="E13298" s="39"/>
      <c r="F13298" s="39"/>
    </row>
    <row r="13299">
      <c r="D13299" s="39"/>
      <c r="E13299" s="39"/>
      <c r="F13299" s="39"/>
    </row>
    <row r="13300">
      <c r="D13300" s="39"/>
      <c r="E13300" s="39"/>
      <c r="F13300" s="39"/>
    </row>
    <row r="13301">
      <c r="D13301" s="39"/>
      <c r="E13301" s="39"/>
      <c r="F13301" s="39"/>
    </row>
    <row r="13302">
      <c r="D13302" s="39"/>
      <c r="E13302" s="39"/>
      <c r="F13302" s="39"/>
    </row>
    <row r="13303">
      <c r="D13303" s="39"/>
      <c r="E13303" s="39"/>
      <c r="F13303" s="39"/>
    </row>
    <row r="13304">
      <c r="D13304" s="39"/>
      <c r="E13304" s="39"/>
      <c r="F13304" s="39"/>
    </row>
    <row r="13305">
      <c r="D13305" s="39"/>
      <c r="E13305" s="39"/>
      <c r="F13305" s="39"/>
    </row>
    <row r="13306">
      <c r="D13306" s="39"/>
      <c r="E13306" s="39"/>
      <c r="F13306" s="39"/>
    </row>
    <row r="13307">
      <c r="D13307" s="39"/>
      <c r="E13307" s="39"/>
      <c r="F13307" s="39"/>
    </row>
    <row r="13308">
      <c r="D13308" s="39"/>
      <c r="E13308" s="39"/>
      <c r="F13308" s="39"/>
    </row>
    <row r="13309">
      <c r="D13309" s="39"/>
      <c r="E13309" s="39"/>
      <c r="F13309" s="39"/>
    </row>
    <row r="13310">
      <c r="D13310" s="39"/>
      <c r="E13310" s="39"/>
      <c r="F13310" s="39"/>
    </row>
    <row r="13311">
      <c r="D13311" s="39"/>
      <c r="E13311" s="39"/>
      <c r="F13311" s="39"/>
    </row>
    <row r="13312">
      <c r="D13312" s="39"/>
      <c r="E13312" s="39"/>
      <c r="F13312" s="39"/>
    </row>
    <row r="13313">
      <c r="D13313" s="39"/>
      <c r="E13313" s="39"/>
      <c r="F13313" s="39"/>
    </row>
    <row r="13314">
      <c r="D13314" s="39"/>
      <c r="E13314" s="39"/>
      <c r="F13314" s="39"/>
    </row>
    <row r="13315">
      <c r="D13315" s="39"/>
      <c r="E13315" s="39"/>
      <c r="F13315" s="39"/>
    </row>
    <row r="13316">
      <c r="D13316" s="39"/>
      <c r="E13316" s="39"/>
      <c r="F13316" s="39"/>
    </row>
    <row r="13317">
      <c r="D13317" s="39"/>
      <c r="E13317" s="39"/>
      <c r="F13317" s="39"/>
    </row>
    <row r="13318">
      <c r="D13318" s="39"/>
      <c r="E13318" s="39"/>
      <c r="F13318" s="39"/>
    </row>
    <row r="13319">
      <c r="D13319" s="39"/>
      <c r="E13319" s="39"/>
      <c r="F13319" s="39"/>
    </row>
    <row r="13320">
      <c r="D13320" s="39"/>
      <c r="E13320" s="39"/>
      <c r="F13320" s="39"/>
    </row>
    <row r="13321">
      <c r="D13321" s="39"/>
      <c r="E13321" s="39"/>
      <c r="F13321" s="39"/>
    </row>
    <row r="13322">
      <c r="D13322" s="39"/>
      <c r="E13322" s="39"/>
      <c r="F13322" s="39"/>
    </row>
    <row r="13323">
      <c r="D13323" s="39"/>
      <c r="E13323" s="39"/>
      <c r="F13323" s="39"/>
    </row>
    <row r="13324">
      <c r="D13324" s="39"/>
      <c r="E13324" s="39"/>
      <c r="F13324" s="39"/>
    </row>
    <row r="13325">
      <c r="D13325" s="39"/>
      <c r="E13325" s="39"/>
      <c r="F13325" s="39"/>
    </row>
    <row r="13326">
      <c r="D13326" s="39"/>
      <c r="E13326" s="39"/>
      <c r="F13326" s="39"/>
    </row>
    <row r="13327">
      <c r="D13327" s="39"/>
      <c r="E13327" s="39"/>
      <c r="F13327" s="39"/>
    </row>
    <row r="13328">
      <c r="D13328" s="39"/>
      <c r="E13328" s="39"/>
      <c r="F13328" s="39"/>
    </row>
    <row r="13329">
      <c r="D13329" s="39"/>
      <c r="E13329" s="39"/>
      <c r="F13329" s="39"/>
    </row>
    <row r="13330">
      <c r="D13330" s="39"/>
      <c r="E13330" s="39"/>
      <c r="F13330" s="39"/>
    </row>
    <row r="13331">
      <c r="D13331" s="39"/>
      <c r="E13331" s="39"/>
      <c r="F13331" s="39"/>
    </row>
    <row r="13332">
      <c r="D13332" s="39"/>
      <c r="E13332" s="39"/>
      <c r="F13332" s="39"/>
    </row>
    <row r="13333">
      <c r="D13333" s="39"/>
      <c r="E13333" s="39"/>
      <c r="F13333" s="39"/>
    </row>
    <row r="13334">
      <c r="D13334" s="39"/>
      <c r="E13334" s="39"/>
      <c r="F13334" s="39"/>
    </row>
    <row r="13335">
      <c r="D13335" s="39"/>
      <c r="E13335" s="39"/>
      <c r="F13335" s="39"/>
    </row>
    <row r="13336">
      <c r="D13336" s="39"/>
      <c r="E13336" s="39"/>
      <c r="F13336" s="39"/>
    </row>
    <row r="13337">
      <c r="D13337" s="39"/>
      <c r="E13337" s="39"/>
      <c r="F13337" s="39"/>
    </row>
    <row r="13338">
      <c r="D13338" s="39"/>
      <c r="E13338" s="39"/>
      <c r="F13338" s="39"/>
    </row>
    <row r="13339">
      <c r="D13339" s="39"/>
      <c r="E13339" s="39"/>
      <c r="F13339" s="39"/>
    </row>
    <row r="13340">
      <c r="D13340" s="39"/>
      <c r="E13340" s="39"/>
      <c r="F13340" s="39"/>
    </row>
    <row r="13341">
      <c r="D13341" s="39"/>
      <c r="E13341" s="39"/>
      <c r="F13341" s="39"/>
    </row>
    <row r="13342">
      <c r="D13342" s="39"/>
      <c r="E13342" s="39"/>
      <c r="F13342" s="39"/>
    </row>
    <row r="13343">
      <c r="D13343" s="39"/>
      <c r="E13343" s="39"/>
      <c r="F13343" s="39"/>
    </row>
    <row r="13344">
      <c r="D13344" s="39"/>
      <c r="E13344" s="39"/>
      <c r="F13344" s="39"/>
    </row>
    <row r="13345">
      <c r="D13345" s="39"/>
      <c r="E13345" s="39"/>
      <c r="F13345" s="39"/>
    </row>
    <row r="13346">
      <c r="D13346" s="39"/>
      <c r="E13346" s="39"/>
      <c r="F13346" s="39"/>
    </row>
    <row r="13347">
      <c r="D13347" s="39"/>
      <c r="E13347" s="39"/>
      <c r="F13347" s="39"/>
    </row>
    <row r="13348">
      <c r="D13348" s="39"/>
      <c r="E13348" s="39"/>
      <c r="F13348" s="39"/>
    </row>
    <row r="13349">
      <c r="D13349" s="39"/>
      <c r="E13349" s="39"/>
      <c r="F13349" s="39"/>
    </row>
    <row r="13350">
      <c r="D13350" s="39"/>
      <c r="E13350" s="39"/>
      <c r="F13350" s="39"/>
    </row>
    <row r="13351">
      <c r="D13351" s="39"/>
      <c r="E13351" s="39"/>
      <c r="F13351" s="39"/>
    </row>
    <row r="13352">
      <c r="D13352" s="39"/>
      <c r="E13352" s="39"/>
      <c r="F13352" s="39"/>
    </row>
    <row r="13353">
      <c r="D13353" s="39"/>
      <c r="E13353" s="39"/>
      <c r="F13353" s="39"/>
    </row>
    <row r="13354">
      <c r="D13354" s="39"/>
      <c r="E13354" s="39"/>
      <c r="F13354" s="39"/>
    </row>
    <row r="13355">
      <c r="D13355" s="39"/>
      <c r="E13355" s="39"/>
      <c r="F13355" s="39"/>
    </row>
    <row r="13356">
      <c r="D13356" s="39"/>
      <c r="E13356" s="39"/>
      <c r="F13356" s="39"/>
    </row>
    <row r="13357">
      <c r="D13357" s="39"/>
      <c r="E13357" s="39"/>
      <c r="F13357" s="39"/>
    </row>
    <row r="13358">
      <c r="D13358" s="39"/>
      <c r="E13358" s="39"/>
      <c r="F13358" s="39"/>
    </row>
    <row r="13359">
      <c r="D13359" s="39"/>
      <c r="E13359" s="39"/>
      <c r="F13359" s="39"/>
    </row>
    <row r="13360">
      <c r="D13360" s="39"/>
      <c r="E13360" s="39"/>
      <c r="F13360" s="39"/>
    </row>
    <row r="13361">
      <c r="D13361" s="39"/>
      <c r="E13361" s="39"/>
      <c r="F13361" s="39"/>
    </row>
    <row r="13362">
      <c r="D13362" s="39"/>
      <c r="E13362" s="39"/>
      <c r="F13362" s="39"/>
    </row>
    <row r="13363">
      <c r="D13363" s="39"/>
      <c r="E13363" s="39"/>
      <c r="F13363" s="39"/>
    </row>
    <row r="13364">
      <c r="D13364" s="39"/>
      <c r="E13364" s="39"/>
      <c r="F13364" s="39"/>
    </row>
    <row r="13365">
      <c r="D13365" s="39"/>
      <c r="E13365" s="39"/>
      <c r="F13365" s="39"/>
    </row>
    <row r="13366">
      <c r="D13366" s="39"/>
      <c r="E13366" s="39"/>
      <c r="F13366" s="39"/>
    </row>
    <row r="13367">
      <c r="D13367" s="39"/>
      <c r="E13367" s="39"/>
      <c r="F13367" s="39"/>
    </row>
    <row r="13368">
      <c r="D13368" s="39"/>
      <c r="E13368" s="39"/>
      <c r="F13368" s="39"/>
    </row>
    <row r="13369">
      <c r="D13369" s="39"/>
      <c r="E13369" s="39"/>
      <c r="F13369" s="39"/>
    </row>
    <row r="13370">
      <c r="D13370" s="39"/>
      <c r="E13370" s="39"/>
      <c r="F13370" s="39"/>
    </row>
    <row r="13371">
      <c r="D13371" s="39"/>
      <c r="E13371" s="39"/>
      <c r="F13371" s="39"/>
    </row>
    <row r="13372">
      <c r="D13372" s="39"/>
      <c r="E13372" s="39"/>
      <c r="F13372" s="39"/>
    </row>
    <row r="13373">
      <c r="D13373" s="39"/>
      <c r="E13373" s="39"/>
      <c r="F13373" s="39"/>
    </row>
    <row r="13374">
      <c r="D13374" s="39"/>
      <c r="E13374" s="39"/>
      <c r="F13374" s="39"/>
    </row>
    <row r="13375">
      <c r="D13375" s="39"/>
      <c r="E13375" s="39"/>
      <c r="F13375" s="39"/>
    </row>
    <row r="13376">
      <c r="D13376" s="39"/>
      <c r="E13376" s="39"/>
      <c r="F13376" s="39"/>
    </row>
    <row r="13377">
      <c r="D13377" s="39"/>
      <c r="E13377" s="39"/>
      <c r="F13377" s="39"/>
    </row>
    <row r="13378">
      <c r="D13378" s="39"/>
      <c r="E13378" s="39"/>
      <c r="F13378" s="39"/>
    </row>
    <row r="13379">
      <c r="D13379" s="39"/>
      <c r="E13379" s="39"/>
      <c r="F13379" s="39"/>
    </row>
    <row r="13380">
      <c r="D13380" s="39"/>
      <c r="E13380" s="39"/>
      <c r="F13380" s="39"/>
    </row>
    <row r="13381">
      <c r="D13381" s="39"/>
      <c r="E13381" s="39"/>
      <c r="F13381" s="39"/>
    </row>
    <row r="13382">
      <c r="D13382" s="39"/>
      <c r="E13382" s="39"/>
      <c r="F13382" s="39"/>
    </row>
    <row r="13383">
      <c r="D13383" s="39"/>
      <c r="E13383" s="39"/>
      <c r="F13383" s="39"/>
    </row>
    <row r="13384">
      <c r="D13384" s="39"/>
      <c r="E13384" s="39"/>
      <c r="F13384" s="39"/>
    </row>
    <row r="13385">
      <c r="D13385" s="39"/>
      <c r="E13385" s="39"/>
      <c r="F13385" s="39"/>
    </row>
    <row r="13386">
      <c r="D13386" s="39"/>
      <c r="E13386" s="39"/>
      <c r="F13386" s="39"/>
    </row>
    <row r="13387">
      <c r="D13387" s="39"/>
      <c r="E13387" s="39"/>
      <c r="F13387" s="39"/>
    </row>
    <row r="13388">
      <c r="D13388" s="39"/>
      <c r="E13388" s="39"/>
      <c r="F13388" s="39"/>
    </row>
    <row r="13389">
      <c r="D13389" s="39"/>
      <c r="E13389" s="39"/>
      <c r="F13389" s="39"/>
    </row>
    <row r="13390">
      <c r="D13390" s="39"/>
      <c r="E13390" s="39"/>
      <c r="F13390" s="39"/>
    </row>
    <row r="13391">
      <c r="D13391" s="39"/>
      <c r="E13391" s="39"/>
      <c r="F13391" s="39"/>
    </row>
    <row r="13392">
      <c r="D13392" s="39"/>
      <c r="E13392" s="39"/>
      <c r="F13392" s="39"/>
    </row>
    <row r="13393">
      <c r="D13393" s="39"/>
      <c r="E13393" s="39"/>
      <c r="F13393" s="39"/>
    </row>
    <row r="13394">
      <c r="D13394" s="39"/>
      <c r="E13394" s="39"/>
      <c r="F13394" s="39"/>
    </row>
    <row r="13395">
      <c r="D13395" s="39"/>
      <c r="E13395" s="39"/>
      <c r="F13395" s="39"/>
    </row>
    <row r="13396">
      <c r="D13396" s="39"/>
      <c r="E13396" s="39"/>
      <c r="F13396" s="39"/>
    </row>
    <row r="13397">
      <c r="D13397" s="39"/>
      <c r="E13397" s="39"/>
      <c r="F13397" s="39"/>
    </row>
    <row r="13398">
      <c r="D13398" s="39"/>
      <c r="E13398" s="39"/>
      <c r="F13398" s="39"/>
    </row>
    <row r="13399">
      <c r="D13399" s="39"/>
      <c r="E13399" s="39"/>
      <c r="F13399" s="39"/>
    </row>
    <row r="13400">
      <c r="D13400" s="39"/>
      <c r="E13400" s="39"/>
      <c r="F13400" s="39"/>
    </row>
    <row r="13401">
      <c r="D13401" s="39"/>
      <c r="E13401" s="39"/>
      <c r="F13401" s="39"/>
    </row>
    <row r="13402">
      <c r="D13402" s="39"/>
      <c r="E13402" s="39"/>
      <c r="F13402" s="39"/>
    </row>
    <row r="13403">
      <c r="D13403" s="39"/>
      <c r="E13403" s="39"/>
      <c r="F13403" s="39"/>
    </row>
    <row r="13404">
      <c r="D13404" s="39"/>
      <c r="E13404" s="39"/>
      <c r="F13404" s="39"/>
    </row>
    <row r="13405">
      <c r="D13405" s="39"/>
      <c r="E13405" s="39"/>
      <c r="F13405" s="39"/>
    </row>
    <row r="13406">
      <c r="D13406" s="39"/>
      <c r="E13406" s="39"/>
      <c r="F13406" s="39"/>
    </row>
    <row r="13407">
      <c r="D13407" s="39"/>
      <c r="E13407" s="39"/>
      <c r="F13407" s="39"/>
    </row>
    <row r="13408">
      <c r="D13408" s="39"/>
      <c r="E13408" s="39"/>
      <c r="F13408" s="39"/>
    </row>
    <row r="13409">
      <c r="D13409" s="39"/>
      <c r="E13409" s="39"/>
      <c r="F13409" s="39"/>
    </row>
    <row r="13410">
      <c r="D13410" s="39"/>
      <c r="E13410" s="39"/>
      <c r="F13410" s="39"/>
    </row>
    <row r="13411">
      <c r="D13411" s="39"/>
      <c r="E13411" s="39"/>
      <c r="F13411" s="39"/>
    </row>
    <row r="13412">
      <c r="D13412" s="39"/>
      <c r="E13412" s="39"/>
      <c r="F13412" s="39"/>
    </row>
    <row r="13413">
      <c r="D13413" s="39"/>
      <c r="E13413" s="39"/>
      <c r="F13413" s="39"/>
    </row>
    <row r="13414">
      <c r="D13414" s="39"/>
      <c r="E13414" s="39"/>
      <c r="F13414" s="39"/>
    </row>
    <row r="13415">
      <c r="D13415" s="39"/>
      <c r="E13415" s="39"/>
      <c r="F13415" s="39"/>
    </row>
    <row r="13416">
      <c r="D13416" s="39"/>
      <c r="E13416" s="39"/>
      <c r="F13416" s="39"/>
    </row>
    <row r="13417">
      <c r="D13417" s="39"/>
      <c r="E13417" s="39"/>
      <c r="F13417" s="39"/>
    </row>
    <row r="13418">
      <c r="D13418" s="39"/>
      <c r="E13418" s="39"/>
      <c r="F13418" s="39"/>
    </row>
    <row r="13419">
      <c r="D13419" s="39"/>
      <c r="E13419" s="39"/>
      <c r="F13419" s="39"/>
    </row>
    <row r="13420">
      <c r="D13420" s="39"/>
      <c r="E13420" s="39"/>
      <c r="F13420" s="39"/>
    </row>
    <row r="13421">
      <c r="D13421" s="39"/>
      <c r="E13421" s="39"/>
      <c r="F13421" s="39"/>
    </row>
    <row r="13422">
      <c r="D13422" s="39"/>
      <c r="E13422" s="39"/>
      <c r="F13422" s="39"/>
    </row>
    <row r="13423">
      <c r="D13423" s="39"/>
      <c r="E13423" s="39"/>
      <c r="F13423" s="39"/>
    </row>
    <row r="13424">
      <c r="D13424" s="39"/>
      <c r="E13424" s="39"/>
      <c r="F13424" s="39"/>
    </row>
    <row r="13425">
      <c r="D13425" s="39"/>
      <c r="E13425" s="39"/>
      <c r="F13425" s="39"/>
    </row>
    <row r="13426">
      <c r="D13426" s="39"/>
      <c r="E13426" s="39"/>
      <c r="F13426" s="39"/>
    </row>
    <row r="13427">
      <c r="D13427" s="39"/>
      <c r="E13427" s="39"/>
      <c r="F13427" s="39"/>
    </row>
    <row r="13428">
      <c r="D13428" s="39"/>
      <c r="E13428" s="39"/>
      <c r="F13428" s="39"/>
    </row>
    <row r="13429">
      <c r="D13429" s="39"/>
      <c r="E13429" s="39"/>
      <c r="F13429" s="39"/>
    </row>
    <row r="13430">
      <c r="D13430" s="39"/>
      <c r="E13430" s="39"/>
      <c r="F13430" s="39"/>
    </row>
    <row r="13431">
      <c r="D13431" s="39"/>
      <c r="E13431" s="39"/>
      <c r="F13431" s="39"/>
    </row>
    <row r="13432">
      <c r="D13432" s="39"/>
      <c r="E13432" s="39"/>
      <c r="F13432" s="39"/>
    </row>
    <row r="13433">
      <c r="D13433" s="39"/>
      <c r="E13433" s="39"/>
      <c r="F13433" s="39"/>
    </row>
    <row r="13434">
      <c r="D13434" s="39"/>
      <c r="E13434" s="39"/>
      <c r="F13434" s="39"/>
    </row>
    <row r="13435">
      <c r="D13435" s="39"/>
      <c r="E13435" s="39"/>
      <c r="F13435" s="39"/>
    </row>
    <row r="13436">
      <c r="D13436" s="39"/>
      <c r="E13436" s="39"/>
      <c r="F13436" s="39"/>
    </row>
    <row r="13437">
      <c r="D13437" s="39"/>
      <c r="E13437" s="39"/>
      <c r="F13437" s="39"/>
    </row>
    <row r="13438">
      <c r="D13438" s="39"/>
      <c r="E13438" s="39"/>
      <c r="F13438" s="39"/>
    </row>
    <row r="13439">
      <c r="D13439" s="39"/>
      <c r="E13439" s="39"/>
      <c r="F13439" s="39"/>
    </row>
    <row r="13440">
      <c r="D13440" s="39"/>
      <c r="E13440" s="39"/>
      <c r="F13440" s="39"/>
    </row>
    <row r="13441">
      <c r="D13441" s="39"/>
      <c r="E13441" s="39"/>
      <c r="F13441" s="39"/>
    </row>
    <row r="13442">
      <c r="D13442" s="39"/>
      <c r="E13442" s="39"/>
      <c r="F13442" s="39"/>
    </row>
    <row r="13443">
      <c r="D13443" s="39"/>
      <c r="E13443" s="39"/>
      <c r="F13443" s="39"/>
    </row>
    <row r="13444">
      <c r="D13444" s="39"/>
      <c r="E13444" s="39"/>
      <c r="F13444" s="39"/>
    </row>
    <row r="13445">
      <c r="D13445" s="39"/>
      <c r="E13445" s="39"/>
      <c r="F13445" s="39"/>
    </row>
    <row r="13446">
      <c r="D13446" s="39"/>
      <c r="E13446" s="39"/>
      <c r="F13446" s="39"/>
    </row>
    <row r="13447">
      <c r="D13447" s="39"/>
      <c r="E13447" s="39"/>
      <c r="F13447" s="39"/>
    </row>
    <row r="13448">
      <c r="D13448" s="39"/>
      <c r="E13448" s="39"/>
      <c r="F13448" s="39"/>
    </row>
    <row r="13449">
      <c r="D13449" s="39"/>
      <c r="E13449" s="39"/>
      <c r="F13449" s="39"/>
    </row>
    <row r="13450">
      <c r="D13450" s="39"/>
      <c r="E13450" s="39"/>
      <c r="F13450" s="39"/>
    </row>
    <row r="13451">
      <c r="D13451" s="39"/>
      <c r="E13451" s="39"/>
      <c r="F13451" s="39"/>
    </row>
    <row r="13452">
      <c r="D13452" s="39"/>
      <c r="E13452" s="39"/>
      <c r="F13452" s="39"/>
    </row>
    <row r="13453">
      <c r="D13453" s="39"/>
      <c r="E13453" s="39"/>
      <c r="F13453" s="39"/>
    </row>
    <row r="13454">
      <c r="D13454" s="39"/>
      <c r="E13454" s="39"/>
      <c r="F13454" s="39"/>
    </row>
    <row r="13455">
      <c r="D13455" s="39"/>
      <c r="E13455" s="39"/>
      <c r="F13455" s="39"/>
    </row>
    <row r="13456">
      <c r="D13456" s="39"/>
      <c r="E13456" s="39"/>
      <c r="F13456" s="39"/>
    </row>
    <row r="13457">
      <c r="D13457" s="39"/>
      <c r="E13457" s="39"/>
      <c r="F13457" s="39"/>
    </row>
    <row r="13458">
      <c r="D13458" s="39"/>
      <c r="E13458" s="39"/>
      <c r="F13458" s="39"/>
    </row>
    <row r="13459">
      <c r="D13459" s="39"/>
      <c r="E13459" s="39"/>
      <c r="F13459" s="39"/>
    </row>
    <row r="13460">
      <c r="D13460" s="39"/>
      <c r="E13460" s="39"/>
      <c r="F13460" s="39"/>
    </row>
    <row r="13461">
      <c r="D13461" s="39"/>
      <c r="E13461" s="39"/>
      <c r="F13461" s="39"/>
    </row>
    <row r="13462">
      <c r="D13462" s="39"/>
      <c r="E13462" s="39"/>
      <c r="F13462" s="39"/>
    </row>
    <row r="13463">
      <c r="D13463" s="39"/>
      <c r="E13463" s="39"/>
      <c r="F13463" s="39"/>
    </row>
    <row r="13464">
      <c r="D13464" s="39"/>
      <c r="E13464" s="39"/>
      <c r="F13464" s="39"/>
    </row>
    <row r="13465">
      <c r="D13465" s="39"/>
      <c r="E13465" s="39"/>
      <c r="F13465" s="39"/>
    </row>
    <row r="13466">
      <c r="D13466" s="39"/>
      <c r="E13466" s="39"/>
      <c r="F13466" s="39"/>
    </row>
    <row r="13467">
      <c r="D13467" s="39"/>
      <c r="E13467" s="39"/>
      <c r="F13467" s="39"/>
    </row>
    <row r="13468">
      <c r="D13468" s="39"/>
      <c r="E13468" s="39"/>
      <c r="F13468" s="39"/>
    </row>
    <row r="13469">
      <c r="D13469" s="39"/>
      <c r="E13469" s="39"/>
      <c r="F13469" s="39"/>
    </row>
    <row r="13470">
      <c r="D13470" s="39"/>
      <c r="E13470" s="39"/>
      <c r="F13470" s="39"/>
    </row>
    <row r="13471">
      <c r="D13471" s="39"/>
      <c r="E13471" s="39"/>
      <c r="F13471" s="39"/>
    </row>
    <row r="13472">
      <c r="D13472" s="39"/>
      <c r="E13472" s="39"/>
      <c r="F13472" s="39"/>
    </row>
    <row r="13473">
      <c r="D13473" s="39"/>
      <c r="E13473" s="39"/>
      <c r="F13473" s="39"/>
    </row>
    <row r="13474">
      <c r="D13474" s="39"/>
      <c r="E13474" s="39"/>
      <c r="F13474" s="39"/>
    </row>
    <row r="13475">
      <c r="D13475" s="39"/>
      <c r="E13475" s="39"/>
      <c r="F13475" s="39"/>
    </row>
    <row r="13476">
      <c r="D13476" s="39"/>
      <c r="E13476" s="39"/>
      <c r="F13476" s="39"/>
    </row>
    <row r="13477">
      <c r="D13477" s="39"/>
      <c r="E13477" s="39"/>
      <c r="F13477" s="39"/>
    </row>
    <row r="13478">
      <c r="D13478" s="39"/>
      <c r="E13478" s="39"/>
      <c r="F13478" s="39"/>
    </row>
    <row r="13479">
      <c r="D13479" s="39"/>
      <c r="E13479" s="39"/>
      <c r="F13479" s="39"/>
    </row>
    <row r="13480">
      <c r="D13480" s="39"/>
      <c r="E13480" s="39"/>
      <c r="F13480" s="39"/>
    </row>
    <row r="13481">
      <c r="D13481" s="39"/>
      <c r="E13481" s="39"/>
      <c r="F13481" s="39"/>
    </row>
    <row r="13482">
      <c r="D13482" s="39"/>
      <c r="E13482" s="39"/>
      <c r="F13482" s="39"/>
    </row>
    <row r="13483">
      <c r="D13483" s="39"/>
      <c r="E13483" s="39"/>
      <c r="F13483" s="39"/>
    </row>
    <row r="13484">
      <c r="D13484" s="39"/>
      <c r="E13484" s="39"/>
      <c r="F13484" s="39"/>
    </row>
    <row r="13485">
      <c r="D13485" s="39"/>
      <c r="E13485" s="39"/>
      <c r="F13485" s="39"/>
    </row>
    <row r="13486">
      <c r="D13486" s="39"/>
      <c r="E13486" s="39"/>
      <c r="F13486" s="39"/>
    </row>
    <row r="13487">
      <c r="D13487" s="39"/>
      <c r="E13487" s="39"/>
      <c r="F13487" s="39"/>
    </row>
    <row r="13488">
      <c r="D13488" s="39"/>
      <c r="E13488" s="39"/>
      <c r="F13488" s="39"/>
    </row>
    <row r="13489">
      <c r="D13489" s="39"/>
      <c r="E13489" s="39"/>
      <c r="F13489" s="39"/>
    </row>
    <row r="13490">
      <c r="D13490" s="39"/>
      <c r="E13490" s="39"/>
      <c r="F13490" s="39"/>
    </row>
    <row r="13491">
      <c r="D13491" s="39"/>
      <c r="E13491" s="39"/>
      <c r="F13491" s="39"/>
    </row>
    <row r="13492">
      <c r="D13492" s="39"/>
      <c r="E13492" s="39"/>
      <c r="F13492" s="39"/>
    </row>
    <row r="13493">
      <c r="D13493" s="39"/>
      <c r="E13493" s="39"/>
      <c r="F13493" s="39"/>
    </row>
    <row r="13494">
      <c r="D13494" s="39"/>
      <c r="E13494" s="39"/>
      <c r="F13494" s="39"/>
    </row>
    <row r="13495">
      <c r="D13495" s="39"/>
      <c r="E13495" s="39"/>
      <c r="F13495" s="39"/>
    </row>
    <row r="13496">
      <c r="D13496" s="39"/>
      <c r="E13496" s="39"/>
      <c r="F13496" s="39"/>
    </row>
    <row r="13497">
      <c r="D13497" s="39"/>
      <c r="E13497" s="39"/>
      <c r="F13497" s="39"/>
    </row>
    <row r="13498">
      <c r="D13498" s="39"/>
      <c r="E13498" s="39"/>
      <c r="F13498" s="39"/>
    </row>
    <row r="13499">
      <c r="D13499" s="39"/>
      <c r="E13499" s="39"/>
      <c r="F13499" s="39"/>
    </row>
    <row r="13500">
      <c r="D13500" s="39"/>
      <c r="E13500" s="39"/>
      <c r="F13500" s="39"/>
    </row>
    <row r="13501">
      <c r="D13501" s="39"/>
      <c r="E13501" s="39"/>
      <c r="F13501" s="39"/>
    </row>
    <row r="13502">
      <c r="D13502" s="39"/>
      <c r="E13502" s="39"/>
      <c r="F13502" s="39"/>
    </row>
    <row r="13503">
      <c r="D13503" s="39"/>
      <c r="E13503" s="39"/>
      <c r="F13503" s="39"/>
    </row>
    <row r="13504">
      <c r="D13504" s="39"/>
      <c r="E13504" s="39"/>
      <c r="F13504" s="39"/>
    </row>
    <row r="13505">
      <c r="D13505" s="39"/>
      <c r="E13505" s="39"/>
      <c r="F13505" s="39"/>
    </row>
    <row r="13506">
      <c r="D13506" s="39"/>
      <c r="E13506" s="39"/>
      <c r="F13506" s="39"/>
    </row>
    <row r="13507">
      <c r="D13507" s="39"/>
      <c r="E13507" s="39"/>
      <c r="F13507" s="39"/>
    </row>
    <row r="13508">
      <c r="D13508" s="39"/>
      <c r="E13508" s="39"/>
      <c r="F13508" s="39"/>
    </row>
    <row r="13509">
      <c r="D13509" s="39"/>
      <c r="E13509" s="39"/>
      <c r="F13509" s="39"/>
    </row>
    <row r="13510">
      <c r="D13510" s="39"/>
      <c r="E13510" s="39"/>
      <c r="F13510" s="39"/>
    </row>
    <row r="13511">
      <c r="D13511" s="39"/>
      <c r="E13511" s="39"/>
      <c r="F13511" s="39"/>
    </row>
    <row r="13512">
      <c r="D13512" s="39"/>
      <c r="E13512" s="39"/>
      <c r="F13512" s="39"/>
    </row>
    <row r="13513">
      <c r="D13513" s="39"/>
      <c r="E13513" s="39"/>
      <c r="F13513" s="39"/>
    </row>
    <row r="13514">
      <c r="D13514" s="39"/>
      <c r="E13514" s="39"/>
      <c r="F13514" s="39"/>
    </row>
    <row r="13515">
      <c r="D13515" s="39"/>
      <c r="E13515" s="39"/>
      <c r="F13515" s="39"/>
    </row>
    <row r="13516">
      <c r="D13516" s="39"/>
      <c r="E13516" s="39"/>
      <c r="F13516" s="39"/>
    </row>
    <row r="13517">
      <c r="D13517" s="39"/>
      <c r="E13517" s="39"/>
      <c r="F13517" s="39"/>
    </row>
    <row r="13518">
      <c r="D13518" s="39"/>
      <c r="E13518" s="39"/>
      <c r="F13518" s="39"/>
    </row>
    <row r="13519">
      <c r="D13519" s="39"/>
      <c r="E13519" s="39"/>
      <c r="F13519" s="39"/>
    </row>
    <row r="13520">
      <c r="D13520" s="39"/>
      <c r="E13520" s="39"/>
      <c r="F13520" s="39"/>
    </row>
    <row r="13521">
      <c r="D13521" s="39"/>
      <c r="E13521" s="39"/>
      <c r="F13521" s="39"/>
    </row>
    <row r="13522">
      <c r="D13522" s="39"/>
      <c r="E13522" s="39"/>
      <c r="F13522" s="39"/>
    </row>
    <row r="13523">
      <c r="D13523" s="39"/>
      <c r="E13523" s="39"/>
      <c r="F13523" s="39"/>
    </row>
    <row r="13524">
      <c r="D13524" s="39"/>
      <c r="E13524" s="39"/>
      <c r="F13524" s="39"/>
    </row>
    <row r="13525">
      <c r="D13525" s="39"/>
      <c r="E13525" s="39"/>
      <c r="F13525" s="39"/>
    </row>
    <row r="13526">
      <c r="D13526" s="39"/>
      <c r="E13526" s="39"/>
      <c r="F13526" s="39"/>
    </row>
    <row r="13527">
      <c r="D13527" s="39"/>
      <c r="E13527" s="39"/>
      <c r="F13527" s="39"/>
    </row>
    <row r="13528">
      <c r="D13528" s="39"/>
      <c r="E13528" s="39"/>
      <c r="F13528" s="39"/>
    </row>
    <row r="13529">
      <c r="D13529" s="39"/>
      <c r="E13529" s="39"/>
      <c r="F13529" s="39"/>
    </row>
    <row r="13530">
      <c r="D13530" s="39"/>
      <c r="E13530" s="39"/>
      <c r="F13530" s="39"/>
    </row>
    <row r="13531">
      <c r="D13531" s="39"/>
      <c r="E13531" s="39"/>
      <c r="F13531" s="39"/>
    </row>
    <row r="13532">
      <c r="D13532" s="39"/>
      <c r="E13532" s="39"/>
      <c r="F13532" s="39"/>
    </row>
    <row r="13533">
      <c r="D13533" s="39"/>
      <c r="E13533" s="39"/>
      <c r="F13533" s="39"/>
    </row>
    <row r="13534">
      <c r="D13534" s="39"/>
      <c r="E13534" s="39"/>
      <c r="F13534" s="39"/>
    </row>
    <row r="13535">
      <c r="D13535" s="39"/>
      <c r="E13535" s="39"/>
      <c r="F13535" s="39"/>
    </row>
    <row r="13536">
      <c r="D13536" s="39"/>
      <c r="E13536" s="39"/>
      <c r="F13536" s="39"/>
    </row>
    <row r="13537">
      <c r="D13537" s="39"/>
      <c r="E13537" s="39"/>
      <c r="F13537" s="39"/>
    </row>
    <row r="13538">
      <c r="D13538" s="39"/>
      <c r="E13538" s="39"/>
      <c r="F13538" s="39"/>
    </row>
    <row r="13539">
      <c r="D13539" s="39"/>
      <c r="E13539" s="39"/>
      <c r="F13539" s="39"/>
    </row>
    <row r="13540">
      <c r="D13540" s="39"/>
      <c r="E13540" s="39"/>
      <c r="F13540" s="39"/>
    </row>
    <row r="13541">
      <c r="D13541" s="39"/>
      <c r="E13541" s="39"/>
      <c r="F13541" s="39"/>
    </row>
    <row r="13542">
      <c r="D13542" s="39"/>
      <c r="E13542" s="39"/>
      <c r="F13542" s="39"/>
    </row>
    <row r="13543">
      <c r="D13543" s="39"/>
      <c r="E13543" s="39"/>
      <c r="F13543" s="39"/>
    </row>
    <row r="13544">
      <c r="D13544" s="39"/>
      <c r="E13544" s="39"/>
      <c r="F13544" s="39"/>
    </row>
    <row r="13545">
      <c r="D13545" s="39"/>
      <c r="E13545" s="39"/>
      <c r="F13545" s="39"/>
    </row>
    <row r="13546">
      <c r="D13546" s="39"/>
      <c r="E13546" s="39"/>
      <c r="F13546" s="39"/>
    </row>
    <row r="13547">
      <c r="D13547" s="39"/>
      <c r="E13547" s="39"/>
      <c r="F13547" s="39"/>
    </row>
    <row r="13548">
      <c r="D13548" s="39"/>
      <c r="E13548" s="39"/>
      <c r="F13548" s="39"/>
    </row>
    <row r="13549">
      <c r="D13549" s="39"/>
      <c r="E13549" s="39"/>
      <c r="F13549" s="39"/>
    </row>
    <row r="13550">
      <c r="D13550" s="39"/>
      <c r="E13550" s="39"/>
      <c r="F13550" s="39"/>
    </row>
    <row r="13551">
      <c r="D13551" s="39"/>
      <c r="E13551" s="39"/>
      <c r="F13551" s="39"/>
    </row>
    <row r="13552">
      <c r="D13552" s="39"/>
      <c r="E13552" s="39"/>
      <c r="F13552" s="39"/>
    </row>
    <row r="13553">
      <c r="D13553" s="39"/>
      <c r="E13553" s="39"/>
      <c r="F13553" s="39"/>
    </row>
    <row r="13554">
      <c r="D13554" s="39"/>
      <c r="E13554" s="39"/>
      <c r="F13554" s="39"/>
    </row>
    <row r="13555">
      <c r="D13555" s="39"/>
      <c r="E13555" s="39"/>
      <c r="F13555" s="39"/>
    </row>
    <row r="13556">
      <c r="D13556" s="39"/>
      <c r="E13556" s="39"/>
      <c r="F13556" s="39"/>
    </row>
    <row r="13557">
      <c r="D13557" s="39"/>
      <c r="E13557" s="39"/>
      <c r="F13557" s="39"/>
    </row>
    <row r="13558">
      <c r="D13558" s="39"/>
      <c r="E13558" s="39"/>
      <c r="F13558" s="39"/>
    </row>
    <row r="13559">
      <c r="D13559" s="39"/>
      <c r="E13559" s="39"/>
      <c r="F13559" s="39"/>
    </row>
    <row r="13560">
      <c r="D13560" s="39"/>
      <c r="E13560" s="39"/>
      <c r="F13560" s="39"/>
    </row>
    <row r="13561">
      <c r="D13561" s="39"/>
      <c r="E13561" s="39"/>
      <c r="F13561" s="39"/>
    </row>
    <row r="13562">
      <c r="D13562" s="39"/>
      <c r="E13562" s="39"/>
      <c r="F13562" s="39"/>
    </row>
    <row r="13563">
      <c r="D13563" s="39"/>
      <c r="E13563" s="39"/>
      <c r="F13563" s="39"/>
    </row>
    <row r="13564">
      <c r="D13564" s="39"/>
      <c r="E13564" s="39"/>
      <c r="F13564" s="39"/>
    </row>
    <row r="13565">
      <c r="D13565" s="39"/>
      <c r="E13565" s="39"/>
      <c r="F13565" s="39"/>
    </row>
    <row r="13566">
      <c r="D13566" s="39"/>
      <c r="E13566" s="39"/>
      <c r="F13566" s="39"/>
    </row>
    <row r="13567">
      <c r="D13567" s="39"/>
      <c r="E13567" s="39"/>
      <c r="F13567" s="39"/>
    </row>
    <row r="13568">
      <c r="D13568" s="39"/>
      <c r="E13568" s="39"/>
      <c r="F13568" s="39"/>
    </row>
    <row r="13569">
      <c r="D13569" s="39"/>
      <c r="E13569" s="39"/>
      <c r="F13569" s="39"/>
    </row>
    <row r="13570">
      <c r="D13570" s="39"/>
      <c r="E13570" s="39"/>
      <c r="F13570" s="39"/>
    </row>
    <row r="13571">
      <c r="D13571" s="39"/>
      <c r="E13571" s="39"/>
      <c r="F13571" s="39"/>
    </row>
    <row r="13572">
      <c r="D13572" s="39"/>
      <c r="E13572" s="39"/>
      <c r="F13572" s="39"/>
    </row>
    <row r="13573">
      <c r="D13573" s="39"/>
      <c r="E13573" s="39"/>
      <c r="F13573" s="39"/>
    </row>
    <row r="13574">
      <c r="D13574" s="39"/>
      <c r="E13574" s="39"/>
      <c r="F13574" s="39"/>
    </row>
    <row r="13575">
      <c r="D13575" s="39"/>
      <c r="E13575" s="39"/>
      <c r="F13575" s="39"/>
    </row>
    <row r="13576">
      <c r="D13576" s="39"/>
      <c r="E13576" s="39"/>
      <c r="F13576" s="39"/>
    </row>
    <row r="13577">
      <c r="D13577" s="39"/>
      <c r="E13577" s="39"/>
      <c r="F13577" s="39"/>
    </row>
    <row r="13578">
      <c r="D13578" s="39"/>
      <c r="E13578" s="39"/>
      <c r="F13578" s="39"/>
    </row>
    <row r="13579">
      <c r="D13579" s="39"/>
      <c r="E13579" s="39"/>
      <c r="F13579" s="39"/>
    </row>
    <row r="13580">
      <c r="D13580" s="39"/>
      <c r="E13580" s="39"/>
      <c r="F13580" s="39"/>
    </row>
    <row r="13581">
      <c r="D13581" s="39"/>
      <c r="E13581" s="39"/>
      <c r="F13581" s="39"/>
    </row>
    <row r="13582">
      <c r="D13582" s="39"/>
      <c r="E13582" s="39"/>
      <c r="F13582" s="39"/>
    </row>
    <row r="13583">
      <c r="D13583" s="39"/>
      <c r="E13583" s="39"/>
      <c r="F13583" s="39"/>
    </row>
    <row r="13584">
      <c r="D13584" s="39"/>
      <c r="E13584" s="39"/>
      <c r="F13584" s="39"/>
    </row>
    <row r="13585">
      <c r="D13585" s="39"/>
      <c r="E13585" s="39"/>
      <c r="F13585" s="39"/>
    </row>
    <row r="13586">
      <c r="D13586" s="39"/>
      <c r="E13586" s="39"/>
      <c r="F13586" s="39"/>
    </row>
    <row r="13587">
      <c r="D13587" s="39"/>
      <c r="E13587" s="39"/>
      <c r="F13587" s="39"/>
    </row>
    <row r="13588">
      <c r="D13588" s="39"/>
      <c r="E13588" s="39"/>
      <c r="F13588" s="39"/>
    </row>
    <row r="13589">
      <c r="D13589" s="39"/>
      <c r="E13589" s="39"/>
      <c r="F13589" s="39"/>
    </row>
    <row r="13590">
      <c r="D13590" s="39"/>
      <c r="E13590" s="39"/>
      <c r="F13590" s="39"/>
    </row>
    <row r="13591">
      <c r="D13591" s="39"/>
      <c r="E13591" s="39"/>
      <c r="F13591" s="39"/>
    </row>
    <row r="13592">
      <c r="D13592" s="39"/>
      <c r="E13592" s="39"/>
      <c r="F13592" s="39"/>
    </row>
    <row r="13593">
      <c r="D13593" s="39"/>
      <c r="E13593" s="39"/>
      <c r="F13593" s="39"/>
    </row>
    <row r="13594">
      <c r="D13594" s="39"/>
      <c r="E13594" s="39"/>
      <c r="F13594" s="39"/>
    </row>
    <row r="13595">
      <c r="D13595" s="39"/>
      <c r="E13595" s="39"/>
      <c r="F13595" s="39"/>
    </row>
    <row r="13596">
      <c r="D13596" s="39"/>
      <c r="E13596" s="39"/>
      <c r="F13596" s="39"/>
    </row>
    <row r="13597">
      <c r="D13597" s="39"/>
      <c r="E13597" s="39"/>
      <c r="F13597" s="39"/>
    </row>
    <row r="13598">
      <c r="D13598" s="39"/>
      <c r="E13598" s="39"/>
      <c r="F13598" s="39"/>
    </row>
    <row r="13599">
      <c r="D13599" s="39"/>
      <c r="E13599" s="39"/>
      <c r="F13599" s="39"/>
    </row>
    <row r="13600">
      <c r="D13600" s="39"/>
      <c r="E13600" s="39"/>
      <c r="F13600" s="39"/>
    </row>
    <row r="13601">
      <c r="D13601" s="39"/>
      <c r="E13601" s="39"/>
      <c r="F13601" s="39"/>
    </row>
    <row r="13602">
      <c r="D13602" s="39"/>
      <c r="E13602" s="39"/>
      <c r="F13602" s="39"/>
    </row>
    <row r="13603">
      <c r="D13603" s="39"/>
      <c r="E13603" s="39"/>
      <c r="F13603" s="39"/>
    </row>
    <row r="13604">
      <c r="D13604" s="39"/>
      <c r="E13604" s="39"/>
      <c r="F13604" s="39"/>
    </row>
    <row r="13605">
      <c r="D13605" s="39"/>
      <c r="E13605" s="39"/>
      <c r="F13605" s="39"/>
    </row>
    <row r="13606">
      <c r="D13606" s="39"/>
      <c r="E13606" s="39"/>
      <c r="F13606" s="39"/>
    </row>
    <row r="13607">
      <c r="D13607" s="39"/>
      <c r="E13607" s="39"/>
      <c r="F13607" s="39"/>
    </row>
    <row r="13608">
      <c r="D13608" s="39"/>
      <c r="E13608" s="39"/>
      <c r="F13608" s="39"/>
    </row>
    <row r="13609">
      <c r="D13609" s="39"/>
      <c r="E13609" s="39"/>
      <c r="F13609" s="39"/>
    </row>
    <row r="13610">
      <c r="D13610" s="39"/>
      <c r="E13610" s="39"/>
      <c r="F13610" s="39"/>
    </row>
    <row r="13611">
      <c r="D13611" s="39"/>
      <c r="E13611" s="39"/>
      <c r="F13611" s="39"/>
    </row>
    <row r="13612">
      <c r="D13612" s="39"/>
      <c r="E13612" s="39"/>
      <c r="F13612" s="39"/>
    </row>
    <row r="13613">
      <c r="D13613" s="39"/>
      <c r="E13613" s="39"/>
      <c r="F13613" s="39"/>
    </row>
    <row r="13614">
      <c r="D13614" s="39"/>
      <c r="E13614" s="39"/>
      <c r="F13614" s="39"/>
    </row>
    <row r="13615">
      <c r="D13615" s="39"/>
      <c r="E13615" s="39"/>
      <c r="F13615" s="39"/>
    </row>
    <row r="13616">
      <c r="D13616" s="39"/>
      <c r="E13616" s="39"/>
      <c r="F13616" s="39"/>
    </row>
    <row r="13617">
      <c r="D13617" s="39"/>
      <c r="E13617" s="39"/>
      <c r="F13617" s="39"/>
    </row>
    <row r="13618">
      <c r="D13618" s="39"/>
      <c r="E13618" s="39"/>
      <c r="F13618" s="39"/>
    </row>
    <row r="13619">
      <c r="D13619" s="39"/>
      <c r="E13619" s="39"/>
      <c r="F13619" s="39"/>
    </row>
    <row r="13620">
      <c r="D13620" s="39"/>
      <c r="E13620" s="39"/>
      <c r="F13620" s="39"/>
    </row>
    <row r="13621">
      <c r="D13621" s="39"/>
      <c r="E13621" s="39"/>
      <c r="F13621" s="39"/>
    </row>
    <row r="13622">
      <c r="D13622" s="39"/>
      <c r="E13622" s="39"/>
      <c r="F13622" s="39"/>
    </row>
    <row r="13623">
      <c r="D13623" s="39"/>
      <c r="E13623" s="39"/>
      <c r="F13623" s="39"/>
    </row>
    <row r="13624">
      <c r="D13624" s="39"/>
      <c r="E13624" s="39"/>
      <c r="F13624" s="39"/>
    </row>
    <row r="13625">
      <c r="D13625" s="39"/>
      <c r="E13625" s="39"/>
      <c r="F13625" s="39"/>
    </row>
    <row r="13626">
      <c r="D13626" s="39"/>
      <c r="E13626" s="39"/>
      <c r="F13626" s="39"/>
    </row>
    <row r="13627">
      <c r="D13627" s="39"/>
      <c r="E13627" s="39"/>
      <c r="F13627" s="39"/>
    </row>
    <row r="13628">
      <c r="D13628" s="39"/>
      <c r="E13628" s="39"/>
      <c r="F13628" s="39"/>
    </row>
    <row r="13629">
      <c r="D13629" s="39"/>
      <c r="E13629" s="39"/>
      <c r="F13629" s="39"/>
    </row>
    <row r="13630">
      <c r="D13630" s="39"/>
      <c r="E13630" s="39"/>
      <c r="F13630" s="39"/>
    </row>
    <row r="13631">
      <c r="D13631" s="39"/>
      <c r="E13631" s="39"/>
      <c r="F13631" s="39"/>
    </row>
    <row r="13632">
      <c r="D13632" s="39"/>
      <c r="E13632" s="39"/>
      <c r="F13632" s="39"/>
    </row>
    <row r="13633">
      <c r="D13633" s="39"/>
      <c r="E13633" s="39"/>
      <c r="F13633" s="39"/>
    </row>
    <row r="13634">
      <c r="D13634" s="39"/>
      <c r="E13634" s="39"/>
      <c r="F13634" s="39"/>
    </row>
    <row r="13635">
      <c r="D13635" s="39"/>
      <c r="E13635" s="39"/>
      <c r="F13635" s="39"/>
    </row>
    <row r="13636">
      <c r="D13636" s="39"/>
      <c r="E13636" s="39"/>
      <c r="F13636" s="39"/>
    </row>
    <row r="13637">
      <c r="D13637" s="39"/>
      <c r="E13637" s="39"/>
      <c r="F13637" s="39"/>
    </row>
    <row r="13638">
      <c r="D13638" s="39"/>
      <c r="E13638" s="39"/>
      <c r="F13638" s="39"/>
    </row>
    <row r="13639">
      <c r="D13639" s="39"/>
      <c r="E13639" s="39"/>
      <c r="F13639" s="39"/>
    </row>
    <row r="13640">
      <c r="D13640" s="39"/>
      <c r="E13640" s="39"/>
      <c r="F13640" s="39"/>
    </row>
    <row r="13641">
      <c r="D13641" s="39"/>
      <c r="E13641" s="39"/>
      <c r="F13641" s="39"/>
    </row>
    <row r="13642">
      <c r="D13642" s="39"/>
      <c r="E13642" s="39"/>
      <c r="F13642" s="39"/>
    </row>
    <row r="13643">
      <c r="D13643" s="39"/>
      <c r="E13643" s="39"/>
      <c r="F13643" s="39"/>
    </row>
    <row r="13644">
      <c r="D13644" s="39"/>
      <c r="E13644" s="39"/>
      <c r="F13644" s="39"/>
    </row>
    <row r="13645">
      <c r="D13645" s="39"/>
      <c r="E13645" s="39"/>
      <c r="F13645" s="39"/>
    </row>
    <row r="13646">
      <c r="D13646" s="39"/>
      <c r="E13646" s="39"/>
      <c r="F13646" s="39"/>
    </row>
    <row r="13647">
      <c r="D13647" s="39"/>
      <c r="E13647" s="39"/>
      <c r="F13647" s="39"/>
    </row>
    <row r="13648">
      <c r="D13648" s="39"/>
      <c r="E13648" s="39"/>
      <c r="F13648" s="39"/>
    </row>
    <row r="13649">
      <c r="D13649" s="39"/>
      <c r="E13649" s="39"/>
      <c r="F13649" s="39"/>
    </row>
    <row r="13650">
      <c r="D13650" s="39"/>
      <c r="E13650" s="39"/>
      <c r="F13650" s="39"/>
    </row>
    <row r="13651">
      <c r="D13651" s="39"/>
      <c r="E13651" s="39"/>
      <c r="F13651" s="39"/>
    </row>
    <row r="13652">
      <c r="D13652" s="39"/>
      <c r="E13652" s="39"/>
      <c r="F13652" s="39"/>
    </row>
    <row r="13653">
      <c r="D13653" s="39"/>
      <c r="E13653" s="39"/>
      <c r="F13653" s="39"/>
    </row>
    <row r="13654">
      <c r="D13654" s="39"/>
      <c r="E13654" s="39"/>
      <c r="F13654" s="39"/>
    </row>
    <row r="13655">
      <c r="D13655" s="39"/>
      <c r="E13655" s="39"/>
      <c r="F13655" s="39"/>
    </row>
    <row r="13656">
      <c r="D13656" s="39"/>
      <c r="E13656" s="39"/>
      <c r="F13656" s="39"/>
    </row>
    <row r="13657">
      <c r="D13657" s="39"/>
      <c r="E13657" s="39"/>
      <c r="F13657" s="39"/>
    </row>
    <row r="13658">
      <c r="D13658" s="39"/>
      <c r="E13658" s="39"/>
      <c r="F13658" s="39"/>
    </row>
    <row r="13659">
      <c r="D13659" s="39"/>
      <c r="E13659" s="39"/>
      <c r="F13659" s="39"/>
    </row>
    <row r="13660">
      <c r="D13660" s="39"/>
      <c r="E13660" s="39"/>
      <c r="F13660" s="39"/>
    </row>
    <row r="13661">
      <c r="D13661" s="39"/>
      <c r="E13661" s="39"/>
      <c r="F13661" s="39"/>
    </row>
    <row r="13662">
      <c r="D13662" s="39"/>
      <c r="E13662" s="39"/>
      <c r="F13662" s="39"/>
    </row>
    <row r="13663">
      <c r="D13663" s="39"/>
      <c r="E13663" s="39"/>
      <c r="F13663" s="39"/>
    </row>
    <row r="13664">
      <c r="D13664" s="39"/>
      <c r="E13664" s="39"/>
      <c r="F13664" s="39"/>
    </row>
    <row r="13665">
      <c r="D13665" s="39"/>
      <c r="E13665" s="39"/>
      <c r="F13665" s="39"/>
    </row>
    <row r="13666">
      <c r="D13666" s="39"/>
      <c r="E13666" s="39"/>
      <c r="F13666" s="39"/>
    </row>
    <row r="13667">
      <c r="D13667" s="39"/>
      <c r="E13667" s="39"/>
      <c r="F13667" s="39"/>
    </row>
    <row r="13668">
      <c r="D13668" s="39"/>
      <c r="E13668" s="39"/>
      <c r="F13668" s="39"/>
    </row>
    <row r="13669">
      <c r="D13669" s="39"/>
      <c r="E13669" s="39"/>
      <c r="F13669" s="39"/>
    </row>
    <row r="13670">
      <c r="D13670" s="39"/>
      <c r="E13670" s="39"/>
      <c r="F13670" s="39"/>
    </row>
    <row r="13671">
      <c r="D13671" s="39"/>
      <c r="E13671" s="39"/>
      <c r="F13671" s="39"/>
    </row>
    <row r="13672">
      <c r="D13672" s="39"/>
      <c r="E13672" s="39"/>
      <c r="F13672" s="39"/>
    </row>
    <row r="13673">
      <c r="D13673" s="39"/>
      <c r="E13673" s="39"/>
      <c r="F13673" s="39"/>
    </row>
    <row r="13674">
      <c r="D13674" s="39"/>
      <c r="E13674" s="39"/>
      <c r="F13674" s="39"/>
    </row>
    <row r="13675">
      <c r="D13675" s="39"/>
      <c r="E13675" s="39"/>
      <c r="F13675" s="39"/>
    </row>
    <row r="13676">
      <c r="D13676" s="39"/>
      <c r="E13676" s="39"/>
      <c r="F13676" s="39"/>
    </row>
    <row r="13677">
      <c r="D13677" s="39"/>
      <c r="E13677" s="39"/>
      <c r="F13677" s="39"/>
    </row>
    <row r="13678">
      <c r="D13678" s="39"/>
      <c r="E13678" s="39"/>
      <c r="F13678" s="39"/>
    </row>
    <row r="13679">
      <c r="D13679" s="39"/>
      <c r="E13679" s="39"/>
      <c r="F13679" s="39"/>
    </row>
    <row r="13680">
      <c r="D13680" s="39"/>
      <c r="E13680" s="39"/>
      <c r="F13680" s="39"/>
    </row>
    <row r="13681">
      <c r="D13681" s="39"/>
      <c r="E13681" s="39"/>
      <c r="F13681" s="39"/>
    </row>
    <row r="13682">
      <c r="D13682" s="39"/>
      <c r="E13682" s="39"/>
      <c r="F13682" s="39"/>
    </row>
    <row r="13683">
      <c r="D13683" s="39"/>
      <c r="E13683" s="39"/>
      <c r="F13683" s="39"/>
    </row>
    <row r="13684">
      <c r="D13684" s="39"/>
      <c r="E13684" s="39"/>
      <c r="F13684" s="39"/>
    </row>
    <row r="13685">
      <c r="D13685" s="39"/>
      <c r="E13685" s="39"/>
      <c r="F13685" s="39"/>
    </row>
    <row r="13686">
      <c r="D13686" s="39"/>
      <c r="E13686" s="39"/>
      <c r="F13686" s="39"/>
    </row>
    <row r="13687">
      <c r="D13687" s="39"/>
      <c r="E13687" s="39"/>
      <c r="F13687" s="39"/>
    </row>
    <row r="13688">
      <c r="D13688" s="39"/>
      <c r="E13688" s="39"/>
      <c r="F13688" s="39"/>
    </row>
    <row r="13689">
      <c r="D13689" s="39"/>
      <c r="E13689" s="39"/>
      <c r="F13689" s="39"/>
    </row>
    <row r="13690">
      <c r="D13690" s="39"/>
      <c r="E13690" s="39"/>
      <c r="F13690" s="39"/>
    </row>
    <row r="13691">
      <c r="D13691" s="39"/>
      <c r="E13691" s="39"/>
      <c r="F13691" s="39"/>
    </row>
    <row r="13692">
      <c r="D13692" s="39"/>
      <c r="E13692" s="39"/>
      <c r="F13692" s="39"/>
    </row>
    <row r="13693">
      <c r="D13693" s="39"/>
      <c r="E13693" s="39"/>
      <c r="F13693" s="39"/>
    </row>
    <row r="13694">
      <c r="D13694" s="39"/>
      <c r="E13694" s="39"/>
      <c r="F13694" s="39"/>
    </row>
    <row r="13695">
      <c r="D13695" s="39"/>
      <c r="E13695" s="39"/>
      <c r="F13695" s="39"/>
    </row>
    <row r="13696">
      <c r="D13696" s="39"/>
      <c r="E13696" s="39"/>
      <c r="F13696" s="39"/>
    </row>
    <row r="13697">
      <c r="D13697" s="39"/>
      <c r="E13697" s="39"/>
      <c r="F13697" s="39"/>
    </row>
    <row r="13698">
      <c r="D13698" s="39"/>
      <c r="E13698" s="39"/>
      <c r="F13698" s="39"/>
    </row>
    <row r="13699">
      <c r="D13699" s="39"/>
      <c r="E13699" s="39"/>
      <c r="F13699" s="39"/>
    </row>
    <row r="13700">
      <c r="D13700" s="39"/>
      <c r="E13700" s="39"/>
      <c r="F13700" s="39"/>
    </row>
    <row r="13701">
      <c r="D13701" s="39"/>
      <c r="E13701" s="39"/>
      <c r="F13701" s="39"/>
    </row>
    <row r="13702">
      <c r="D13702" s="39"/>
      <c r="E13702" s="39"/>
      <c r="F13702" s="39"/>
    </row>
    <row r="13703">
      <c r="D13703" s="39"/>
      <c r="E13703" s="39"/>
      <c r="F13703" s="39"/>
    </row>
    <row r="13704">
      <c r="D13704" s="39"/>
      <c r="E13704" s="39"/>
      <c r="F13704" s="39"/>
    </row>
    <row r="13705">
      <c r="D13705" s="39"/>
      <c r="E13705" s="39"/>
      <c r="F13705" s="39"/>
    </row>
    <row r="13706">
      <c r="D13706" s="39"/>
      <c r="E13706" s="39"/>
      <c r="F13706" s="39"/>
    </row>
    <row r="13707">
      <c r="D13707" s="39"/>
      <c r="E13707" s="39"/>
      <c r="F13707" s="39"/>
    </row>
    <row r="13708">
      <c r="D13708" s="39"/>
      <c r="E13708" s="39"/>
      <c r="F13708" s="39"/>
    </row>
    <row r="13709">
      <c r="D13709" s="39"/>
      <c r="E13709" s="39"/>
      <c r="F13709" s="39"/>
    </row>
    <row r="13710">
      <c r="D13710" s="39"/>
      <c r="E13710" s="39"/>
      <c r="F13710" s="39"/>
    </row>
    <row r="13711">
      <c r="D13711" s="39"/>
      <c r="E13711" s="39"/>
      <c r="F13711" s="39"/>
    </row>
    <row r="13712">
      <c r="D13712" s="39"/>
      <c r="E13712" s="39"/>
      <c r="F13712" s="39"/>
    </row>
    <row r="13713">
      <c r="D13713" s="39"/>
      <c r="E13713" s="39"/>
      <c r="F13713" s="39"/>
    </row>
    <row r="13714">
      <c r="D13714" s="39"/>
      <c r="E13714" s="39"/>
      <c r="F13714" s="39"/>
    </row>
    <row r="13715">
      <c r="D13715" s="39"/>
      <c r="E13715" s="39"/>
      <c r="F13715" s="39"/>
    </row>
    <row r="13716">
      <c r="D13716" s="39"/>
      <c r="E13716" s="39"/>
      <c r="F13716" s="39"/>
    </row>
    <row r="13717">
      <c r="D13717" s="39"/>
      <c r="E13717" s="39"/>
      <c r="F13717" s="39"/>
    </row>
    <row r="13718">
      <c r="D13718" s="39"/>
      <c r="E13718" s="39"/>
      <c r="F13718" s="39"/>
    </row>
    <row r="13719">
      <c r="D13719" s="39"/>
      <c r="E13719" s="39"/>
      <c r="F13719" s="39"/>
    </row>
    <row r="13720">
      <c r="D13720" s="39"/>
      <c r="E13720" s="39"/>
      <c r="F13720" s="39"/>
    </row>
    <row r="13721">
      <c r="D13721" s="39"/>
      <c r="E13721" s="39"/>
      <c r="F13721" s="39"/>
    </row>
    <row r="13722">
      <c r="D13722" s="39"/>
      <c r="E13722" s="39"/>
      <c r="F13722" s="39"/>
    </row>
    <row r="13723">
      <c r="D13723" s="39"/>
      <c r="E13723" s="39"/>
      <c r="F13723" s="39"/>
    </row>
    <row r="13724">
      <c r="D13724" s="39"/>
      <c r="E13724" s="39"/>
      <c r="F13724" s="39"/>
    </row>
    <row r="13725">
      <c r="D13725" s="39"/>
      <c r="E13725" s="39"/>
      <c r="F13725" s="39"/>
    </row>
    <row r="13726">
      <c r="D13726" s="39"/>
      <c r="E13726" s="39"/>
      <c r="F13726" s="39"/>
    </row>
    <row r="13727">
      <c r="D13727" s="39"/>
      <c r="E13727" s="39"/>
      <c r="F13727" s="39"/>
    </row>
    <row r="13728">
      <c r="D13728" s="39"/>
      <c r="E13728" s="39"/>
      <c r="F13728" s="39"/>
    </row>
    <row r="13729">
      <c r="D13729" s="39"/>
      <c r="E13729" s="39"/>
      <c r="F13729" s="39"/>
    </row>
    <row r="13730">
      <c r="D13730" s="39"/>
      <c r="E13730" s="39"/>
      <c r="F13730" s="39"/>
    </row>
    <row r="13731">
      <c r="D13731" s="39"/>
      <c r="E13731" s="39"/>
      <c r="F13731" s="39"/>
    </row>
    <row r="13732">
      <c r="D13732" s="39"/>
      <c r="E13732" s="39"/>
      <c r="F13732" s="39"/>
    </row>
    <row r="13733">
      <c r="D13733" s="39"/>
      <c r="E13733" s="39"/>
      <c r="F13733" s="39"/>
    </row>
    <row r="13734">
      <c r="D13734" s="39"/>
      <c r="E13734" s="39"/>
      <c r="F13734" s="39"/>
    </row>
    <row r="13735">
      <c r="D13735" s="39"/>
      <c r="E13735" s="39"/>
      <c r="F13735" s="39"/>
    </row>
    <row r="13736">
      <c r="D13736" s="39"/>
      <c r="E13736" s="39"/>
      <c r="F13736" s="39"/>
    </row>
    <row r="13737">
      <c r="D13737" s="39"/>
      <c r="E13737" s="39"/>
      <c r="F13737" s="39"/>
    </row>
    <row r="13738">
      <c r="D13738" s="39"/>
      <c r="E13738" s="39"/>
      <c r="F13738" s="39"/>
    </row>
    <row r="13739">
      <c r="D13739" s="39"/>
      <c r="E13739" s="39"/>
      <c r="F13739" s="39"/>
    </row>
    <row r="13740">
      <c r="D13740" s="39"/>
      <c r="E13740" s="39"/>
      <c r="F13740" s="39"/>
    </row>
    <row r="13741">
      <c r="D13741" s="39"/>
      <c r="E13741" s="39"/>
      <c r="F13741" s="39"/>
    </row>
    <row r="13742">
      <c r="D13742" s="39"/>
      <c r="E13742" s="39"/>
      <c r="F13742" s="39"/>
    </row>
    <row r="13743">
      <c r="D13743" s="39"/>
      <c r="E13743" s="39"/>
      <c r="F13743" s="39"/>
    </row>
    <row r="13744">
      <c r="D13744" s="39"/>
      <c r="E13744" s="39"/>
      <c r="F13744" s="39"/>
    </row>
    <row r="13745">
      <c r="D13745" s="39"/>
      <c r="E13745" s="39"/>
      <c r="F13745" s="39"/>
    </row>
    <row r="13746">
      <c r="D13746" s="39"/>
      <c r="E13746" s="39"/>
      <c r="F13746" s="39"/>
    </row>
    <row r="13747">
      <c r="D13747" s="39"/>
      <c r="E13747" s="39"/>
      <c r="F13747" s="39"/>
    </row>
    <row r="13748">
      <c r="D13748" s="39"/>
      <c r="E13748" s="39"/>
      <c r="F13748" s="39"/>
    </row>
    <row r="13749">
      <c r="D13749" s="39"/>
      <c r="E13749" s="39"/>
      <c r="F13749" s="39"/>
    </row>
    <row r="13750">
      <c r="D13750" s="39"/>
      <c r="E13750" s="39"/>
      <c r="F13750" s="39"/>
    </row>
    <row r="13751">
      <c r="D13751" s="39"/>
      <c r="E13751" s="39"/>
      <c r="F13751" s="39"/>
    </row>
    <row r="13752">
      <c r="D13752" s="39"/>
      <c r="E13752" s="39"/>
      <c r="F13752" s="39"/>
    </row>
    <row r="13753">
      <c r="D13753" s="39"/>
      <c r="E13753" s="39"/>
      <c r="F13753" s="39"/>
    </row>
    <row r="13754">
      <c r="D13754" s="39"/>
      <c r="E13754" s="39"/>
      <c r="F13754" s="39"/>
    </row>
    <row r="13755">
      <c r="D13755" s="39"/>
      <c r="E13755" s="39"/>
      <c r="F13755" s="39"/>
    </row>
    <row r="13756">
      <c r="D13756" s="39"/>
      <c r="E13756" s="39"/>
      <c r="F13756" s="39"/>
    </row>
    <row r="13757">
      <c r="D13757" s="39"/>
      <c r="E13757" s="39"/>
      <c r="F13757" s="39"/>
    </row>
    <row r="13758">
      <c r="D13758" s="39"/>
      <c r="E13758" s="39"/>
      <c r="F13758" s="39"/>
    </row>
    <row r="13759">
      <c r="D13759" s="39"/>
      <c r="E13759" s="39"/>
      <c r="F13759" s="39"/>
    </row>
    <row r="13760">
      <c r="D13760" s="39"/>
      <c r="E13760" s="39"/>
      <c r="F13760" s="39"/>
    </row>
    <row r="13761">
      <c r="D13761" s="39"/>
      <c r="E13761" s="39"/>
      <c r="F13761" s="39"/>
    </row>
    <row r="13762">
      <c r="D13762" s="39"/>
      <c r="E13762" s="39"/>
      <c r="F13762" s="39"/>
    </row>
    <row r="13763">
      <c r="D13763" s="39"/>
      <c r="E13763" s="39"/>
      <c r="F13763" s="39"/>
    </row>
    <row r="13764">
      <c r="D13764" s="39"/>
      <c r="E13764" s="39"/>
      <c r="F13764" s="39"/>
    </row>
    <row r="13765">
      <c r="D13765" s="39"/>
      <c r="E13765" s="39"/>
      <c r="F13765" s="39"/>
    </row>
    <row r="13766">
      <c r="D13766" s="39"/>
      <c r="E13766" s="39"/>
      <c r="F13766" s="39"/>
    </row>
    <row r="13767">
      <c r="D13767" s="39"/>
      <c r="E13767" s="39"/>
      <c r="F13767" s="39"/>
    </row>
    <row r="13768">
      <c r="D13768" s="39"/>
      <c r="E13768" s="39"/>
      <c r="F13768" s="39"/>
    </row>
    <row r="13769">
      <c r="D13769" s="39"/>
      <c r="E13769" s="39"/>
      <c r="F13769" s="39"/>
    </row>
    <row r="13770">
      <c r="D13770" s="39"/>
      <c r="E13770" s="39"/>
      <c r="F13770" s="39"/>
    </row>
    <row r="13771">
      <c r="D13771" s="39"/>
      <c r="E13771" s="39"/>
      <c r="F13771" s="39"/>
    </row>
    <row r="13772">
      <c r="D13772" s="39"/>
      <c r="E13772" s="39"/>
      <c r="F13772" s="39"/>
    </row>
    <row r="13773">
      <c r="D13773" s="39"/>
      <c r="E13773" s="39"/>
      <c r="F13773" s="39"/>
    </row>
    <row r="13774">
      <c r="D13774" s="39"/>
      <c r="E13774" s="39"/>
      <c r="F13774" s="39"/>
    </row>
    <row r="13775">
      <c r="D13775" s="39"/>
      <c r="E13775" s="39"/>
      <c r="F13775" s="39"/>
    </row>
    <row r="13776">
      <c r="D13776" s="39"/>
      <c r="E13776" s="39"/>
      <c r="F13776" s="39"/>
    </row>
    <row r="13777">
      <c r="D13777" s="39"/>
      <c r="E13777" s="39"/>
      <c r="F13777" s="39"/>
    </row>
    <row r="13778">
      <c r="D13778" s="39"/>
      <c r="E13778" s="39"/>
      <c r="F13778" s="39"/>
    </row>
    <row r="13779">
      <c r="D13779" s="39"/>
      <c r="E13779" s="39"/>
      <c r="F13779" s="39"/>
    </row>
    <row r="13780">
      <c r="D13780" s="39"/>
      <c r="E13780" s="39"/>
      <c r="F13780" s="39"/>
    </row>
    <row r="13781">
      <c r="D13781" s="39"/>
      <c r="E13781" s="39"/>
      <c r="F13781" s="39"/>
    </row>
    <row r="13782">
      <c r="D13782" s="39"/>
      <c r="E13782" s="39"/>
      <c r="F13782" s="39"/>
    </row>
    <row r="13783">
      <c r="D13783" s="39"/>
      <c r="E13783" s="39"/>
      <c r="F13783" s="39"/>
    </row>
    <row r="13784">
      <c r="D13784" s="39"/>
      <c r="E13784" s="39"/>
      <c r="F13784" s="39"/>
    </row>
    <row r="13785">
      <c r="D13785" s="39"/>
      <c r="E13785" s="39"/>
      <c r="F13785" s="39"/>
    </row>
    <row r="13786">
      <c r="D13786" s="39"/>
      <c r="E13786" s="39"/>
      <c r="F13786" s="39"/>
    </row>
    <row r="13787">
      <c r="D13787" s="39"/>
      <c r="E13787" s="39"/>
      <c r="F13787" s="39"/>
    </row>
    <row r="13788">
      <c r="D13788" s="39"/>
      <c r="E13788" s="39"/>
      <c r="F13788" s="39"/>
    </row>
    <row r="13789">
      <c r="D13789" s="39"/>
      <c r="E13789" s="39"/>
      <c r="F13789" s="39"/>
    </row>
    <row r="13790">
      <c r="D13790" s="39"/>
      <c r="E13790" s="39"/>
      <c r="F13790" s="39"/>
    </row>
    <row r="13791">
      <c r="D13791" s="39"/>
      <c r="E13791" s="39"/>
      <c r="F13791" s="39"/>
    </row>
    <row r="13792">
      <c r="D13792" s="39"/>
      <c r="E13792" s="39"/>
      <c r="F13792" s="39"/>
    </row>
    <row r="13793">
      <c r="D13793" s="39"/>
      <c r="E13793" s="39"/>
      <c r="F13793" s="39"/>
    </row>
    <row r="13794">
      <c r="D13794" s="39"/>
      <c r="E13794" s="39"/>
      <c r="F13794" s="39"/>
    </row>
    <row r="13795">
      <c r="D13795" s="39"/>
      <c r="E13795" s="39"/>
      <c r="F13795" s="39"/>
    </row>
    <row r="13796">
      <c r="D13796" s="39"/>
      <c r="E13796" s="39"/>
      <c r="F13796" s="39"/>
    </row>
    <row r="13797">
      <c r="D13797" s="39"/>
      <c r="E13797" s="39"/>
      <c r="F13797" s="39"/>
    </row>
    <row r="13798">
      <c r="D13798" s="39"/>
      <c r="E13798" s="39"/>
      <c r="F13798" s="39"/>
    </row>
    <row r="13799">
      <c r="D13799" s="39"/>
      <c r="E13799" s="39"/>
      <c r="F13799" s="39"/>
    </row>
    <row r="13800">
      <c r="D13800" s="39"/>
      <c r="E13800" s="39"/>
      <c r="F13800" s="39"/>
    </row>
    <row r="13801">
      <c r="D13801" s="39"/>
      <c r="E13801" s="39"/>
      <c r="F13801" s="39"/>
    </row>
    <row r="13802">
      <c r="D13802" s="39"/>
      <c r="E13802" s="39"/>
      <c r="F13802" s="39"/>
    </row>
    <row r="13803">
      <c r="D13803" s="39"/>
      <c r="E13803" s="39"/>
      <c r="F13803" s="39"/>
    </row>
    <row r="13804">
      <c r="D13804" s="39"/>
      <c r="E13804" s="39"/>
      <c r="F13804" s="39"/>
    </row>
    <row r="13805">
      <c r="D13805" s="39"/>
      <c r="E13805" s="39"/>
      <c r="F13805" s="39"/>
    </row>
    <row r="13806">
      <c r="D13806" s="39"/>
      <c r="E13806" s="39"/>
      <c r="F13806" s="39"/>
    </row>
    <row r="13807">
      <c r="D13807" s="39"/>
      <c r="E13807" s="39"/>
      <c r="F13807" s="39"/>
    </row>
    <row r="13808">
      <c r="D13808" s="39"/>
      <c r="E13808" s="39"/>
      <c r="F13808" s="39"/>
    </row>
    <row r="13809">
      <c r="D13809" s="39"/>
      <c r="E13809" s="39"/>
      <c r="F13809" s="39"/>
    </row>
    <row r="13810">
      <c r="D13810" s="39"/>
      <c r="E13810" s="39"/>
      <c r="F13810" s="39"/>
    </row>
    <row r="13811">
      <c r="D13811" s="39"/>
      <c r="E13811" s="39"/>
      <c r="F13811" s="39"/>
    </row>
    <row r="13812">
      <c r="D13812" s="39"/>
      <c r="E13812" s="39"/>
      <c r="F13812" s="39"/>
    </row>
    <row r="13813">
      <c r="D13813" s="39"/>
      <c r="E13813" s="39"/>
      <c r="F13813" s="39"/>
    </row>
    <row r="13814">
      <c r="D13814" s="39"/>
      <c r="E13814" s="39"/>
      <c r="F13814" s="39"/>
    </row>
    <row r="13815">
      <c r="D13815" s="39"/>
      <c r="E13815" s="39"/>
      <c r="F13815" s="39"/>
    </row>
    <row r="13816">
      <c r="D13816" s="39"/>
      <c r="E13816" s="39"/>
      <c r="F13816" s="39"/>
    </row>
    <row r="13817">
      <c r="D13817" s="39"/>
      <c r="E13817" s="39"/>
      <c r="F13817" s="39"/>
    </row>
    <row r="13818">
      <c r="D13818" s="39"/>
      <c r="E13818" s="39"/>
      <c r="F13818" s="39"/>
    </row>
    <row r="13819">
      <c r="D13819" s="39"/>
      <c r="E13819" s="39"/>
      <c r="F13819" s="39"/>
    </row>
    <row r="13820">
      <c r="D13820" s="39"/>
      <c r="E13820" s="39"/>
      <c r="F13820" s="39"/>
    </row>
    <row r="13821">
      <c r="D13821" s="39"/>
      <c r="E13821" s="39"/>
      <c r="F13821" s="39"/>
    </row>
    <row r="13822">
      <c r="D13822" s="39"/>
      <c r="E13822" s="39"/>
      <c r="F13822" s="39"/>
    </row>
    <row r="13823">
      <c r="D13823" s="39"/>
      <c r="E13823" s="39"/>
      <c r="F13823" s="39"/>
    </row>
    <row r="13824">
      <c r="D13824" s="39"/>
      <c r="E13824" s="39"/>
      <c r="F13824" s="39"/>
    </row>
    <row r="13825">
      <c r="D13825" s="39"/>
      <c r="E13825" s="39"/>
      <c r="F13825" s="39"/>
    </row>
    <row r="13826">
      <c r="D13826" s="39"/>
      <c r="E13826" s="39"/>
      <c r="F13826" s="39"/>
    </row>
    <row r="13827">
      <c r="D13827" s="39"/>
      <c r="E13827" s="39"/>
      <c r="F13827" s="39"/>
    </row>
    <row r="13828">
      <c r="D13828" s="39"/>
      <c r="E13828" s="39"/>
      <c r="F13828" s="39"/>
    </row>
    <row r="13829">
      <c r="D13829" s="39"/>
      <c r="E13829" s="39"/>
      <c r="F13829" s="39"/>
    </row>
    <row r="13830">
      <c r="D13830" s="39"/>
      <c r="E13830" s="39"/>
      <c r="F13830" s="39"/>
    </row>
    <row r="13831">
      <c r="D13831" s="39"/>
      <c r="E13831" s="39"/>
      <c r="F13831" s="39"/>
    </row>
    <row r="13832">
      <c r="D13832" s="39"/>
      <c r="E13832" s="39"/>
      <c r="F13832" s="39"/>
    </row>
    <row r="13833">
      <c r="D13833" s="39"/>
      <c r="E13833" s="39"/>
      <c r="F13833" s="39"/>
    </row>
    <row r="13834">
      <c r="D13834" s="39"/>
      <c r="E13834" s="39"/>
      <c r="F13834" s="39"/>
    </row>
    <row r="13835">
      <c r="D13835" s="39"/>
      <c r="E13835" s="39"/>
      <c r="F13835" s="39"/>
    </row>
    <row r="13836">
      <c r="D13836" s="39"/>
      <c r="E13836" s="39"/>
      <c r="F13836" s="39"/>
    </row>
    <row r="13837">
      <c r="D13837" s="39"/>
      <c r="E13837" s="39"/>
      <c r="F13837" s="39"/>
    </row>
    <row r="13838">
      <c r="D13838" s="39"/>
      <c r="E13838" s="39"/>
      <c r="F13838" s="39"/>
    </row>
    <row r="13839">
      <c r="D13839" s="39"/>
      <c r="E13839" s="39"/>
      <c r="F13839" s="39"/>
    </row>
    <row r="13840">
      <c r="D13840" s="39"/>
      <c r="E13840" s="39"/>
      <c r="F13840" s="39"/>
    </row>
    <row r="13841">
      <c r="D13841" s="39"/>
      <c r="E13841" s="39"/>
      <c r="F13841" s="39"/>
    </row>
    <row r="13842">
      <c r="D13842" s="39"/>
      <c r="E13842" s="39"/>
      <c r="F13842" s="39"/>
    </row>
    <row r="13843">
      <c r="D13843" s="39"/>
      <c r="E13843" s="39"/>
      <c r="F13843" s="39"/>
    </row>
    <row r="13844">
      <c r="D13844" s="39"/>
      <c r="E13844" s="39"/>
      <c r="F13844" s="39"/>
    </row>
    <row r="13845">
      <c r="D13845" s="39"/>
      <c r="E13845" s="39"/>
      <c r="F13845" s="39"/>
    </row>
    <row r="13846">
      <c r="D13846" s="39"/>
      <c r="E13846" s="39"/>
      <c r="F13846" s="39"/>
    </row>
    <row r="13847">
      <c r="D13847" s="39"/>
      <c r="E13847" s="39"/>
      <c r="F13847" s="39"/>
    </row>
    <row r="13848">
      <c r="D13848" s="39"/>
      <c r="E13848" s="39"/>
      <c r="F13848" s="39"/>
    </row>
    <row r="13849">
      <c r="D13849" s="39"/>
      <c r="E13849" s="39"/>
      <c r="F13849" s="39"/>
    </row>
    <row r="13850">
      <c r="D13850" s="39"/>
      <c r="E13850" s="39"/>
      <c r="F13850" s="39"/>
    </row>
    <row r="13851">
      <c r="D13851" s="39"/>
      <c r="E13851" s="39"/>
      <c r="F13851" s="39"/>
    </row>
    <row r="13852">
      <c r="D13852" s="39"/>
      <c r="E13852" s="39"/>
      <c r="F13852" s="39"/>
    </row>
    <row r="13853">
      <c r="D13853" s="39"/>
      <c r="E13853" s="39"/>
      <c r="F13853" s="39"/>
    </row>
    <row r="13854">
      <c r="D13854" s="39"/>
      <c r="E13854" s="39"/>
      <c r="F13854" s="39"/>
    </row>
    <row r="13855">
      <c r="D13855" s="39"/>
      <c r="E13855" s="39"/>
      <c r="F13855" s="39"/>
    </row>
    <row r="13856">
      <c r="D13856" s="39"/>
      <c r="E13856" s="39"/>
      <c r="F13856" s="39"/>
    </row>
    <row r="13857">
      <c r="D13857" s="39"/>
      <c r="E13857" s="39"/>
      <c r="F13857" s="39"/>
    </row>
    <row r="13858">
      <c r="D13858" s="39"/>
      <c r="E13858" s="39"/>
      <c r="F13858" s="39"/>
    </row>
    <row r="13859">
      <c r="D13859" s="39"/>
      <c r="E13859" s="39"/>
      <c r="F13859" s="39"/>
    </row>
    <row r="13860">
      <c r="D13860" s="39"/>
      <c r="E13860" s="39"/>
      <c r="F13860" s="39"/>
    </row>
    <row r="13861">
      <c r="D13861" s="39"/>
      <c r="E13861" s="39"/>
      <c r="F13861" s="39"/>
    </row>
    <row r="13862">
      <c r="D13862" s="39"/>
      <c r="E13862" s="39"/>
      <c r="F13862" s="39"/>
    </row>
    <row r="13863">
      <c r="D13863" s="39"/>
      <c r="E13863" s="39"/>
      <c r="F13863" s="39"/>
    </row>
    <row r="13864">
      <c r="D13864" s="39"/>
      <c r="E13864" s="39"/>
      <c r="F13864" s="39"/>
    </row>
    <row r="13865">
      <c r="D13865" s="39"/>
      <c r="E13865" s="39"/>
      <c r="F13865" s="39"/>
    </row>
    <row r="13866">
      <c r="D13866" s="39"/>
      <c r="E13866" s="39"/>
      <c r="F13866" s="39"/>
    </row>
    <row r="13867">
      <c r="D13867" s="39"/>
      <c r="E13867" s="39"/>
      <c r="F13867" s="39"/>
    </row>
    <row r="13868">
      <c r="D13868" s="39"/>
      <c r="E13868" s="39"/>
      <c r="F13868" s="39"/>
    </row>
    <row r="13869">
      <c r="D13869" s="39"/>
      <c r="E13869" s="39"/>
      <c r="F13869" s="39"/>
    </row>
    <row r="13870">
      <c r="D13870" s="39"/>
      <c r="E13870" s="39"/>
      <c r="F13870" s="39"/>
    </row>
    <row r="13871">
      <c r="D13871" s="39"/>
      <c r="E13871" s="39"/>
      <c r="F13871" s="39"/>
    </row>
    <row r="13872">
      <c r="D13872" s="39"/>
      <c r="E13872" s="39"/>
      <c r="F13872" s="39"/>
    </row>
    <row r="13873">
      <c r="D13873" s="39"/>
      <c r="E13873" s="39"/>
      <c r="F13873" s="39"/>
    </row>
    <row r="13874">
      <c r="D13874" s="39"/>
      <c r="E13874" s="39"/>
      <c r="F13874" s="39"/>
    </row>
    <row r="13875">
      <c r="D13875" s="39"/>
      <c r="E13875" s="39"/>
      <c r="F13875" s="39"/>
    </row>
    <row r="13876">
      <c r="D13876" s="39"/>
      <c r="E13876" s="39"/>
      <c r="F13876" s="39"/>
    </row>
    <row r="13877">
      <c r="D13877" s="39"/>
      <c r="E13877" s="39"/>
      <c r="F13877" s="39"/>
    </row>
    <row r="13878">
      <c r="D13878" s="39"/>
      <c r="E13878" s="39"/>
      <c r="F13878" s="39"/>
    </row>
    <row r="13879">
      <c r="D13879" s="39"/>
      <c r="E13879" s="39"/>
      <c r="F13879" s="39"/>
    </row>
    <row r="13880">
      <c r="D13880" s="39"/>
      <c r="E13880" s="39"/>
      <c r="F13880" s="39"/>
    </row>
    <row r="13881">
      <c r="D13881" s="39"/>
      <c r="E13881" s="39"/>
      <c r="F13881" s="39"/>
    </row>
    <row r="13882">
      <c r="D13882" s="39"/>
      <c r="E13882" s="39"/>
      <c r="F13882" s="39"/>
    </row>
    <row r="13883">
      <c r="D13883" s="39"/>
      <c r="E13883" s="39"/>
      <c r="F13883" s="39"/>
    </row>
    <row r="13884">
      <c r="D13884" s="39"/>
      <c r="E13884" s="39"/>
      <c r="F13884" s="39"/>
    </row>
    <row r="13885">
      <c r="D13885" s="39"/>
      <c r="E13885" s="39"/>
      <c r="F13885" s="39"/>
    </row>
    <row r="13886">
      <c r="D13886" s="39"/>
      <c r="E13886" s="39"/>
      <c r="F13886" s="39"/>
    </row>
    <row r="13887">
      <c r="D13887" s="39"/>
      <c r="E13887" s="39"/>
      <c r="F13887" s="39"/>
    </row>
    <row r="13888">
      <c r="D13888" s="39"/>
      <c r="E13888" s="39"/>
      <c r="F13888" s="39"/>
    </row>
    <row r="13889">
      <c r="D13889" s="39"/>
      <c r="E13889" s="39"/>
      <c r="F13889" s="39"/>
    </row>
    <row r="13890">
      <c r="D13890" s="39"/>
      <c r="E13890" s="39"/>
      <c r="F13890" s="39"/>
    </row>
    <row r="13891">
      <c r="D13891" s="39"/>
      <c r="E13891" s="39"/>
      <c r="F13891" s="39"/>
    </row>
    <row r="13892">
      <c r="D13892" s="39"/>
      <c r="E13892" s="39"/>
      <c r="F13892" s="39"/>
    </row>
    <row r="13893">
      <c r="D13893" s="39"/>
      <c r="E13893" s="39"/>
      <c r="F13893" s="39"/>
    </row>
    <row r="13894">
      <c r="D13894" s="39"/>
      <c r="E13894" s="39"/>
      <c r="F13894" s="39"/>
    </row>
    <row r="13895">
      <c r="D13895" s="39"/>
      <c r="E13895" s="39"/>
      <c r="F13895" s="39"/>
    </row>
    <row r="13896">
      <c r="D13896" s="39"/>
      <c r="E13896" s="39"/>
      <c r="F13896" s="39"/>
    </row>
    <row r="13897">
      <c r="D13897" s="39"/>
      <c r="E13897" s="39"/>
      <c r="F13897" s="39"/>
    </row>
    <row r="13898">
      <c r="D13898" s="39"/>
      <c r="E13898" s="39"/>
      <c r="F13898" s="39"/>
    </row>
    <row r="13899">
      <c r="D13899" s="39"/>
      <c r="E13899" s="39"/>
      <c r="F13899" s="39"/>
    </row>
    <row r="13900">
      <c r="D13900" s="39"/>
      <c r="E13900" s="39"/>
      <c r="F13900" s="39"/>
    </row>
    <row r="13901">
      <c r="D13901" s="39"/>
      <c r="E13901" s="39"/>
      <c r="F13901" s="39"/>
    </row>
    <row r="13902">
      <c r="D13902" s="39"/>
      <c r="E13902" s="39"/>
      <c r="F13902" s="39"/>
    </row>
    <row r="13903">
      <c r="D13903" s="39"/>
      <c r="E13903" s="39"/>
      <c r="F13903" s="39"/>
    </row>
    <row r="13904">
      <c r="D13904" s="39"/>
      <c r="E13904" s="39"/>
      <c r="F13904" s="39"/>
    </row>
    <row r="13905">
      <c r="D13905" s="39"/>
      <c r="E13905" s="39"/>
      <c r="F13905" s="39"/>
    </row>
    <row r="13906">
      <c r="D13906" s="39"/>
      <c r="E13906" s="39"/>
      <c r="F13906" s="39"/>
    </row>
    <row r="13907">
      <c r="D13907" s="39"/>
      <c r="E13907" s="39"/>
      <c r="F13907" s="39"/>
    </row>
    <row r="13908">
      <c r="D13908" s="39"/>
      <c r="E13908" s="39"/>
      <c r="F13908" s="39"/>
    </row>
    <row r="13909">
      <c r="D13909" s="39"/>
      <c r="E13909" s="39"/>
      <c r="F13909" s="39"/>
    </row>
    <row r="13910">
      <c r="D13910" s="39"/>
      <c r="E13910" s="39"/>
      <c r="F13910" s="39"/>
    </row>
    <row r="13911">
      <c r="D13911" s="39"/>
      <c r="E13911" s="39"/>
      <c r="F13911" s="39"/>
    </row>
    <row r="13912">
      <c r="D13912" s="39"/>
      <c r="E13912" s="39"/>
      <c r="F13912" s="39"/>
    </row>
    <row r="13913">
      <c r="D13913" s="39"/>
      <c r="E13913" s="39"/>
      <c r="F13913" s="39"/>
    </row>
    <row r="13914">
      <c r="D13914" s="39"/>
      <c r="E13914" s="39"/>
      <c r="F13914" s="39"/>
    </row>
    <row r="13915">
      <c r="D13915" s="39"/>
      <c r="E13915" s="39"/>
      <c r="F13915" s="39"/>
    </row>
    <row r="13916">
      <c r="D13916" s="39"/>
      <c r="E13916" s="39"/>
      <c r="F13916" s="39"/>
    </row>
    <row r="13917">
      <c r="D13917" s="39"/>
      <c r="E13917" s="39"/>
      <c r="F13917" s="39"/>
    </row>
    <row r="13918">
      <c r="D13918" s="39"/>
      <c r="E13918" s="39"/>
      <c r="F13918" s="39"/>
    </row>
    <row r="13919">
      <c r="D13919" s="39"/>
      <c r="E13919" s="39"/>
      <c r="F13919" s="39"/>
    </row>
    <row r="13920">
      <c r="D13920" s="39"/>
      <c r="E13920" s="39"/>
      <c r="F13920" s="39"/>
    </row>
    <row r="13921">
      <c r="D13921" s="39"/>
      <c r="E13921" s="39"/>
      <c r="F13921" s="39"/>
    </row>
    <row r="13922">
      <c r="D13922" s="39"/>
      <c r="E13922" s="39"/>
      <c r="F13922" s="39"/>
    </row>
    <row r="13923">
      <c r="D13923" s="39"/>
      <c r="E13923" s="39"/>
      <c r="F13923" s="39"/>
    </row>
    <row r="13924">
      <c r="D13924" s="39"/>
      <c r="E13924" s="39"/>
      <c r="F13924" s="39"/>
    </row>
    <row r="13925">
      <c r="D13925" s="39"/>
      <c r="E13925" s="39"/>
      <c r="F13925" s="39"/>
    </row>
    <row r="13926">
      <c r="D13926" s="39"/>
      <c r="E13926" s="39"/>
      <c r="F13926" s="39"/>
    </row>
    <row r="13927">
      <c r="D13927" s="39"/>
      <c r="E13927" s="39"/>
      <c r="F13927" s="39"/>
    </row>
    <row r="13928">
      <c r="D13928" s="39"/>
      <c r="E13928" s="39"/>
      <c r="F13928" s="39"/>
    </row>
    <row r="13929">
      <c r="D13929" s="39"/>
      <c r="E13929" s="39"/>
      <c r="F13929" s="39"/>
    </row>
    <row r="13930">
      <c r="D13930" s="39"/>
      <c r="E13930" s="39"/>
      <c r="F13930" s="39"/>
    </row>
    <row r="13931">
      <c r="D13931" s="39"/>
      <c r="E13931" s="39"/>
      <c r="F13931" s="39"/>
    </row>
    <row r="13932">
      <c r="D13932" s="39"/>
      <c r="E13932" s="39"/>
      <c r="F13932" s="39"/>
    </row>
    <row r="13933">
      <c r="D13933" s="39"/>
      <c r="E13933" s="39"/>
      <c r="F13933" s="39"/>
    </row>
    <row r="13934">
      <c r="D13934" s="39"/>
      <c r="E13934" s="39"/>
      <c r="F13934" s="39"/>
    </row>
    <row r="13935">
      <c r="D13935" s="39"/>
      <c r="E13935" s="39"/>
      <c r="F13935" s="39"/>
    </row>
    <row r="13936">
      <c r="D13936" s="39"/>
      <c r="E13936" s="39"/>
      <c r="F13936" s="39"/>
    </row>
    <row r="13937">
      <c r="D13937" s="39"/>
      <c r="E13937" s="39"/>
      <c r="F13937" s="39"/>
    </row>
    <row r="13938">
      <c r="D13938" s="39"/>
      <c r="E13938" s="39"/>
      <c r="F13938" s="39"/>
    </row>
    <row r="13939">
      <c r="D13939" s="39"/>
      <c r="E13939" s="39"/>
      <c r="F13939" s="39"/>
    </row>
    <row r="13940">
      <c r="D13940" s="39"/>
      <c r="E13940" s="39"/>
      <c r="F13940" s="39"/>
    </row>
    <row r="13941">
      <c r="D13941" s="39"/>
      <c r="E13941" s="39"/>
      <c r="F13941" s="39"/>
    </row>
    <row r="13942">
      <c r="D13942" s="39"/>
      <c r="E13942" s="39"/>
      <c r="F13942" s="39"/>
    </row>
    <row r="13943">
      <c r="D13943" s="39"/>
      <c r="E13943" s="39"/>
      <c r="F13943" s="39"/>
    </row>
    <row r="13944">
      <c r="D13944" s="39"/>
      <c r="E13944" s="39"/>
      <c r="F13944" s="39"/>
    </row>
    <row r="13945">
      <c r="D13945" s="39"/>
      <c r="E13945" s="39"/>
      <c r="F13945" s="39"/>
    </row>
    <row r="13946">
      <c r="D13946" s="39"/>
      <c r="E13946" s="39"/>
      <c r="F13946" s="39"/>
    </row>
    <row r="13947">
      <c r="D13947" s="39"/>
      <c r="E13947" s="39"/>
      <c r="F13947" s="39"/>
    </row>
    <row r="13948">
      <c r="D13948" s="39"/>
      <c r="E13948" s="39"/>
      <c r="F13948" s="39"/>
    </row>
    <row r="13949">
      <c r="D13949" s="39"/>
      <c r="E13949" s="39"/>
      <c r="F13949" s="39"/>
    </row>
    <row r="13950">
      <c r="D13950" s="39"/>
      <c r="E13950" s="39"/>
      <c r="F13950" s="39"/>
    </row>
    <row r="13951">
      <c r="D13951" s="39"/>
      <c r="E13951" s="39"/>
      <c r="F13951" s="39"/>
    </row>
    <row r="13952">
      <c r="D13952" s="39"/>
      <c r="E13952" s="39"/>
      <c r="F13952" s="39"/>
    </row>
    <row r="13953">
      <c r="D13953" s="39"/>
      <c r="E13953" s="39"/>
      <c r="F13953" s="39"/>
    </row>
    <row r="13954">
      <c r="D13954" s="39"/>
      <c r="E13954" s="39"/>
      <c r="F13954" s="39"/>
    </row>
    <row r="13955">
      <c r="D13955" s="39"/>
      <c r="E13955" s="39"/>
      <c r="F13955" s="39"/>
    </row>
    <row r="13956">
      <c r="D13956" s="39"/>
      <c r="E13956" s="39"/>
      <c r="F13956" s="39"/>
    </row>
    <row r="13957">
      <c r="D13957" s="39"/>
      <c r="E13957" s="39"/>
      <c r="F13957" s="39"/>
    </row>
    <row r="13958">
      <c r="D13958" s="39"/>
      <c r="E13958" s="39"/>
      <c r="F13958" s="39"/>
    </row>
    <row r="13959">
      <c r="D13959" s="39"/>
      <c r="E13959" s="39"/>
      <c r="F13959" s="39"/>
    </row>
    <row r="13960">
      <c r="D13960" s="39"/>
      <c r="E13960" s="39"/>
      <c r="F13960" s="39"/>
    </row>
    <row r="13961">
      <c r="D13961" s="39"/>
      <c r="E13961" s="39"/>
      <c r="F13961" s="39"/>
    </row>
    <row r="13962">
      <c r="D13962" s="39"/>
      <c r="E13962" s="39"/>
      <c r="F13962" s="39"/>
    </row>
    <row r="13963">
      <c r="D13963" s="39"/>
      <c r="E13963" s="39"/>
      <c r="F13963" s="39"/>
    </row>
    <row r="13964">
      <c r="D13964" s="39"/>
      <c r="E13964" s="39"/>
      <c r="F13964" s="39"/>
    </row>
    <row r="13965">
      <c r="D13965" s="39"/>
      <c r="E13965" s="39"/>
      <c r="F13965" s="39"/>
    </row>
    <row r="13966">
      <c r="D13966" s="39"/>
      <c r="E13966" s="39"/>
      <c r="F13966" s="39"/>
    </row>
    <row r="13967">
      <c r="D13967" s="39"/>
      <c r="E13967" s="39"/>
      <c r="F13967" s="39"/>
    </row>
    <row r="13968">
      <c r="D13968" s="39"/>
      <c r="E13968" s="39"/>
      <c r="F13968" s="39"/>
    </row>
    <row r="13969">
      <c r="D13969" s="39"/>
      <c r="E13969" s="39"/>
      <c r="F13969" s="39"/>
    </row>
    <row r="13970">
      <c r="D13970" s="39"/>
      <c r="E13970" s="39"/>
      <c r="F13970" s="39"/>
    </row>
    <row r="13971">
      <c r="D13971" s="39"/>
      <c r="E13971" s="39"/>
      <c r="F13971" s="39"/>
    </row>
    <row r="13972">
      <c r="D13972" s="39"/>
      <c r="E13972" s="39"/>
      <c r="F13972" s="39"/>
    </row>
    <row r="13973">
      <c r="D13973" s="39"/>
      <c r="E13973" s="39"/>
      <c r="F13973" s="39"/>
    </row>
    <row r="13974">
      <c r="D13974" s="39"/>
      <c r="E13974" s="39"/>
      <c r="F13974" s="39"/>
    </row>
    <row r="13975">
      <c r="D13975" s="39"/>
      <c r="E13975" s="39"/>
      <c r="F13975" s="39"/>
    </row>
    <row r="13976">
      <c r="D13976" s="39"/>
      <c r="E13976" s="39"/>
      <c r="F13976" s="39"/>
    </row>
    <row r="13977">
      <c r="D13977" s="39"/>
      <c r="E13977" s="39"/>
      <c r="F13977" s="39"/>
    </row>
    <row r="13978">
      <c r="D13978" s="39"/>
      <c r="E13978" s="39"/>
      <c r="F13978" s="39"/>
    </row>
    <row r="13979">
      <c r="D13979" s="39"/>
      <c r="E13979" s="39"/>
      <c r="F13979" s="39"/>
    </row>
    <row r="13980">
      <c r="D13980" s="39"/>
      <c r="E13980" s="39"/>
      <c r="F13980" s="39"/>
    </row>
    <row r="13981">
      <c r="D13981" s="39"/>
      <c r="E13981" s="39"/>
      <c r="F13981" s="39"/>
    </row>
    <row r="13982">
      <c r="D13982" s="39"/>
      <c r="E13982" s="39"/>
      <c r="F13982" s="39"/>
    </row>
    <row r="13983">
      <c r="D13983" s="39"/>
      <c r="E13983" s="39"/>
      <c r="F13983" s="39"/>
    </row>
    <row r="13984">
      <c r="D13984" s="39"/>
      <c r="E13984" s="39"/>
      <c r="F13984" s="39"/>
    </row>
    <row r="13985">
      <c r="D13985" s="39"/>
      <c r="E13985" s="39"/>
      <c r="F13985" s="39"/>
    </row>
    <row r="13986">
      <c r="D13986" s="39"/>
      <c r="E13986" s="39"/>
      <c r="F13986" s="39"/>
    </row>
    <row r="13987">
      <c r="D13987" s="39"/>
      <c r="E13987" s="39"/>
      <c r="F13987" s="39"/>
    </row>
    <row r="13988">
      <c r="D13988" s="39"/>
      <c r="E13988" s="39"/>
      <c r="F13988" s="39"/>
    </row>
    <row r="13989">
      <c r="D13989" s="39"/>
      <c r="E13989" s="39"/>
      <c r="F13989" s="39"/>
    </row>
    <row r="13990">
      <c r="D13990" s="39"/>
      <c r="E13990" s="39"/>
      <c r="F13990" s="39"/>
    </row>
    <row r="13991">
      <c r="D13991" s="39"/>
      <c r="E13991" s="39"/>
      <c r="F13991" s="39"/>
    </row>
    <row r="13992">
      <c r="D13992" s="39"/>
      <c r="E13992" s="39"/>
      <c r="F13992" s="39"/>
    </row>
    <row r="13993">
      <c r="D13993" s="39"/>
      <c r="E13993" s="39"/>
      <c r="F13993" s="39"/>
    </row>
    <row r="13994">
      <c r="D13994" s="39"/>
      <c r="E13994" s="39"/>
      <c r="F13994" s="39"/>
    </row>
    <row r="13995">
      <c r="D13995" s="39"/>
      <c r="E13995" s="39"/>
      <c r="F13995" s="39"/>
    </row>
    <row r="13996">
      <c r="D13996" s="39"/>
      <c r="E13996" s="39"/>
      <c r="F13996" s="39"/>
    </row>
    <row r="13997">
      <c r="D13997" s="39"/>
      <c r="E13997" s="39"/>
      <c r="F13997" s="39"/>
    </row>
    <row r="13998">
      <c r="D13998" s="39"/>
      <c r="E13998" s="39"/>
      <c r="F13998" s="39"/>
    </row>
    <row r="13999">
      <c r="D13999" s="39"/>
      <c r="E13999" s="39"/>
      <c r="F13999" s="39"/>
    </row>
    <row r="14000">
      <c r="D14000" s="39"/>
      <c r="E14000" s="39"/>
      <c r="F14000" s="39"/>
    </row>
    <row r="14001">
      <c r="D14001" s="39"/>
      <c r="E14001" s="39"/>
      <c r="F14001" s="39"/>
    </row>
    <row r="14002">
      <c r="D14002" s="39"/>
      <c r="E14002" s="39"/>
      <c r="F14002" s="39"/>
    </row>
    <row r="14003">
      <c r="D14003" s="39"/>
      <c r="E14003" s="39"/>
      <c r="F14003" s="39"/>
    </row>
    <row r="14004">
      <c r="D14004" s="39"/>
      <c r="E14004" s="39"/>
      <c r="F14004" s="39"/>
    </row>
    <row r="14005">
      <c r="D14005" s="39"/>
      <c r="E14005" s="39"/>
      <c r="F14005" s="39"/>
    </row>
    <row r="14006">
      <c r="D14006" s="39"/>
      <c r="E14006" s="39"/>
      <c r="F14006" s="39"/>
    </row>
    <row r="14007">
      <c r="D14007" s="39"/>
      <c r="E14007" s="39"/>
      <c r="F14007" s="39"/>
    </row>
    <row r="14008">
      <c r="D14008" s="39"/>
      <c r="E14008" s="39"/>
      <c r="F14008" s="39"/>
    </row>
    <row r="14009">
      <c r="D14009" s="39"/>
      <c r="E14009" s="39"/>
      <c r="F14009" s="39"/>
    </row>
    <row r="14010">
      <c r="D14010" s="39"/>
      <c r="E14010" s="39"/>
      <c r="F14010" s="39"/>
    </row>
    <row r="14011">
      <c r="D14011" s="39"/>
      <c r="E14011" s="39"/>
      <c r="F14011" s="39"/>
    </row>
    <row r="14012">
      <c r="D14012" s="39"/>
      <c r="E14012" s="39"/>
      <c r="F14012" s="39"/>
    </row>
    <row r="14013">
      <c r="D14013" s="39"/>
      <c r="E14013" s="39"/>
      <c r="F14013" s="39"/>
    </row>
    <row r="14014">
      <c r="D14014" s="39"/>
      <c r="E14014" s="39"/>
      <c r="F14014" s="39"/>
    </row>
    <row r="14015">
      <c r="D14015" s="39"/>
      <c r="E14015" s="39"/>
      <c r="F14015" s="39"/>
    </row>
    <row r="14016">
      <c r="D14016" s="39"/>
      <c r="E14016" s="39"/>
      <c r="F14016" s="39"/>
    </row>
    <row r="14017">
      <c r="D14017" s="39"/>
      <c r="E14017" s="39"/>
      <c r="F14017" s="39"/>
    </row>
    <row r="14018">
      <c r="D14018" s="39"/>
      <c r="E14018" s="39"/>
      <c r="F14018" s="39"/>
    </row>
    <row r="14019">
      <c r="D14019" s="39"/>
      <c r="E14019" s="39"/>
      <c r="F14019" s="39"/>
    </row>
    <row r="14020">
      <c r="D14020" s="39"/>
      <c r="E14020" s="39"/>
      <c r="F14020" s="39"/>
    </row>
    <row r="14021">
      <c r="D14021" s="39"/>
      <c r="E14021" s="39"/>
      <c r="F14021" s="39"/>
    </row>
    <row r="14022">
      <c r="D14022" s="39"/>
      <c r="E14022" s="39"/>
      <c r="F14022" s="39"/>
    </row>
    <row r="14023">
      <c r="D14023" s="39"/>
      <c r="E14023" s="39"/>
      <c r="F14023" s="39"/>
    </row>
    <row r="14024">
      <c r="D14024" s="39"/>
      <c r="E14024" s="39"/>
      <c r="F14024" s="39"/>
    </row>
    <row r="14025">
      <c r="D14025" s="39"/>
      <c r="E14025" s="39"/>
      <c r="F14025" s="39"/>
    </row>
    <row r="14026">
      <c r="D14026" s="39"/>
      <c r="E14026" s="39"/>
      <c r="F14026" s="39"/>
    </row>
    <row r="14027">
      <c r="D14027" s="39"/>
      <c r="E14027" s="39"/>
      <c r="F14027" s="39"/>
    </row>
    <row r="14028">
      <c r="D14028" s="39"/>
      <c r="E14028" s="39"/>
      <c r="F14028" s="39"/>
    </row>
    <row r="14029">
      <c r="D14029" s="39"/>
      <c r="E14029" s="39"/>
      <c r="F14029" s="39"/>
    </row>
    <row r="14030">
      <c r="D14030" s="39"/>
      <c r="E14030" s="39"/>
      <c r="F14030" s="39"/>
    </row>
    <row r="14031">
      <c r="D14031" s="39"/>
      <c r="E14031" s="39"/>
      <c r="F14031" s="39"/>
    </row>
    <row r="14032">
      <c r="D14032" s="39"/>
      <c r="E14032" s="39"/>
      <c r="F14032" s="39"/>
    </row>
    <row r="14033">
      <c r="D14033" s="39"/>
      <c r="E14033" s="39"/>
      <c r="F14033" s="39"/>
    </row>
    <row r="14034">
      <c r="D14034" s="39"/>
      <c r="E14034" s="39"/>
      <c r="F14034" s="39"/>
    </row>
    <row r="14035">
      <c r="D14035" s="39"/>
      <c r="E14035" s="39"/>
      <c r="F14035" s="39"/>
    </row>
    <row r="14036">
      <c r="D14036" s="39"/>
      <c r="E14036" s="39"/>
      <c r="F14036" s="39"/>
    </row>
    <row r="14037">
      <c r="D14037" s="39"/>
      <c r="E14037" s="39"/>
      <c r="F14037" s="39"/>
    </row>
    <row r="14038">
      <c r="D14038" s="39"/>
      <c r="E14038" s="39"/>
      <c r="F14038" s="39"/>
    </row>
    <row r="14039">
      <c r="D14039" s="39"/>
      <c r="E14039" s="39"/>
      <c r="F14039" s="39"/>
    </row>
    <row r="14040">
      <c r="D14040" s="39"/>
      <c r="E14040" s="39"/>
      <c r="F14040" s="39"/>
    </row>
    <row r="14041">
      <c r="D14041" s="39"/>
      <c r="E14041" s="39"/>
      <c r="F14041" s="39"/>
    </row>
    <row r="14042">
      <c r="D14042" s="39"/>
      <c r="E14042" s="39"/>
      <c r="F14042" s="39"/>
    </row>
    <row r="14043">
      <c r="D14043" s="39"/>
      <c r="E14043" s="39"/>
      <c r="F14043" s="39"/>
    </row>
    <row r="14044">
      <c r="D14044" s="39"/>
      <c r="E14044" s="39"/>
      <c r="F14044" s="39"/>
    </row>
    <row r="14045">
      <c r="D14045" s="39"/>
      <c r="E14045" s="39"/>
      <c r="F14045" s="39"/>
    </row>
    <row r="14046">
      <c r="D14046" s="39"/>
      <c r="E14046" s="39"/>
      <c r="F14046" s="39"/>
    </row>
    <row r="14047">
      <c r="D14047" s="39"/>
      <c r="E14047" s="39"/>
      <c r="F14047" s="39"/>
    </row>
    <row r="14048">
      <c r="D14048" s="39"/>
      <c r="E14048" s="39"/>
      <c r="F14048" s="39"/>
    </row>
    <row r="14049">
      <c r="D14049" s="39"/>
      <c r="E14049" s="39"/>
      <c r="F14049" s="39"/>
    </row>
    <row r="14050">
      <c r="D14050" s="39"/>
      <c r="E14050" s="39"/>
      <c r="F14050" s="39"/>
    </row>
    <row r="14051">
      <c r="D14051" s="39"/>
      <c r="E14051" s="39"/>
      <c r="F14051" s="39"/>
    </row>
    <row r="14052">
      <c r="D14052" s="39"/>
      <c r="E14052" s="39"/>
      <c r="F14052" s="39"/>
    </row>
    <row r="14053">
      <c r="D14053" s="39"/>
      <c r="E14053" s="39"/>
      <c r="F14053" s="39"/>
    </row>
    <row r="14054">
      <c r="D14054" s="39"/>
      <c r="E14054" s="39"/>
      <c r="F14054" s="39"/>
    </row>
    <row r="14055">
      <c r="D14055" s="39"/>
      <c r="E14055" s="39"/>
      <c r="F14055" s="39"/>
    </row>
    <row r="14056">
      <c r="D14056" s="39"/>
      <c r="E14056" s="39"/>
      <c r="F14056" s="39"/>
    </row>
    <row r="14057">
      <c r="D14057" s="39"/>
      <c r="E14057" s="39"/>
      <c r="F14057" s="39"/>
    </row>
    <row r="14058">
      <c r="D14058" s="39"/>
      <c r="E14058" s="39"/>
      <c r="F14058" s="39"/>
    </row>
    <row r="14059">
      <c r="D14059" s="39"/>
      <c r="E14059" s="39"/>
      <c r="F14059" s="39"/>
    </row>
    <row r="14060">
      <c r="D14060" s="39"/>
      <c r="E14060" s="39"/>
      <c r="F14060" s="39"/>
    </row>
    <row r="14061">
      <c r="D14061" s="39"/>
      <c r="E14061" s="39"/>
      <c r="F14061" s="39"/>
    </row>
    <row r="14062">
      <c r="D14062" s="39"/>
      <c r="E14062" s="39"/>
      <c r="F14062" s="39"/>
    </row>
    <row r="14063">
      <c r="D14063" s="39"/>
      <c r="E14063" s="39"/>
      <c r="F14063" s="39"/>
    </row>
    <row r="14064">
      <c r="D14064" s="39"/>
      <c r="E14064" s="39"/>
      <c r="F14064" s="39"/>
    </row>
    <row r="14065">
      <c r="D14065" s="39"/>
      <c r="E14065" s="39"/>
      <c r="F14065" s="39"/>
    </row>
    <row r="14066">
      <c r="D14066" s="39"/>
      <c r="E14066" s="39"/>
      <c r="F14066" s="39"/>
    </row>
    <row r="14067">
      <c r="D14067" s="39"/>
      <c r="E14067" s="39"/>
      <c r="F14067" s="39"/>
    </row>
    <row r="14068">
      <c r="D14068" s="39"/>
      <c r="E14068" s="39"/>
      <c r="F14068" s="39"/>
    </row>
    <row r="14069">
      <c r="D14069" s="39"/>
      <c r="E14069" s="39"/>
      <c r="F14069" s="39"/>
    </row>
    <row r="14070">
      <c r="D14070" s="39"/>
      <c r="E14070" s="39"/>
      <c r="F14070" s="39"/>
    </row>
    <row r="14071">
      <c r="D14071" s="39"/>
      <c r="E14071" s="39"/>
      <c r="F14071" s="39"/>
    </row>
    <row r="14072">
      <c r="D14072" s="39"/>
      <c r="E14072" s="39"/>
      <c r="F14072" s="39"/>
    </row>
    <row r="14073">
      <c r="D14073" s="39"/>
      <c r="E14073" s="39"/>
      <c r="F14073" s="39"/>
    </row>
    <row r="14074">
      <c r="D14074" s="39"/>
      <c r="E14074" s="39"/>
      <c r="F14074" s="39"/>
    </row>
    <row r="14075">
      <c r="D14075" s="39"/>
      <c r="E14075" s="39"/>
      <c r="F14075" s="39"/>
    </row>
    <row r="14076">
      <c r="D14076" s="39"/>
      <c r="E14076" s="39"/>
      <c r="F14076" s="39"/>
    </row>
    <row r="14077">
      <c r="D14077" s="39"/>
      <c r="E14077" s="39"/>
      <c r="F14077" s="39"/>
    </row>
    <row r="14078">
      <c r="D14078" s="39"/>
      <c r="E14078" s="39"/>
      <c r="F14078" s="39"/>
    </row>
    <row r="14079">
      <c r="D14079" s="39"/>
      <c r="E14079" s="39"/>
      <c r="F14079" s="39"/>
    </row>
    <row r="14080">
      <c r="D14080" s="39"/>
      <c r="E14080" s="39"/>
      <c r="F14080" s="39"/>
    </row>
    <row r="14081">
      <c r="D14081" s="39"/>
      <c r="E14081" s="39"/>
      <c r="F14081" s="39"/>
    </row>
    <row r="14082">
      <c r="D14082" s="39"/>
      <c r="E14082" s="39"/>
      <c r="F14082" s="39"/>
    </row>
    <row r="14083">
      <c r="D14083" s="39"/>
      <c r="E14083" s="39"/>
      <c r="F14083" s="39"/>
    </row>
    <row r="14084">
      <c r="D14084" s="39"/>
      <c r="E14084" s="39"/>
      <c r="F14084" s="39"/>
    </row>
    <row r="14085">
      <c r="D14085" s="39"/>
      <c r="E14085" s="39"/>
      <c r="F14085" s="39"/>
    </row>
    <row r="14086">
      <c r="D14086" s="39"/>
      <c r="E14086" s="39"/>
      <c r="F14086" s="39"/>
    </row>
    <row r="14087">
      <c r="D14087" s="39"/>
      <c r="E14087" s="39"/>
      <c r="F14087" s="39"/>
    </row>
    <row r="14088">
      <c r="D14088" s="39"/>
      <c r="E14088" s="39"/>
      <c r="F14088" s="39"/>
    </row>
    <row r="14089">
      <c r="D14089" s="39"/>
      <c r="E14089" s="39"/>
      <c r="F14089" s="39"/>
    </row>
    <row r="14090">
      <c r="D14090" s="39"/>
      <c r="E14090" s="39"/>
      <c r="F14090" s="39"/>
    </row>
    <row r="14091">
      <c r="D14091" s="39"/>
      <c r="E14091" s="39"/>
      <c r="F14091" s="39"/>
    </row>
    <row r="14092">
      <c r="D14092" s="39"/>
      <c r="E14092" s="39"/>
      <c r="F14092" s="39"/>
    </row>
    <row r="14093">
      <c r="D14093" s="39"/>
      <c r="E14093" s="39"/>
      <c r="F14093" s="39"/>
    </row>
    <row r="14094">
      <c r="D14094" s="39"/>
      <c r="E14094" s="39"/>
      <c r="F14094" s="39"/>
    </row>
    <row r="14095">
      <c r="D14095" s="39"/>
      <c r="E14095" s="39"/>
      <c r="F14095" s="39"/>
    </row>
    <row r="14096">
      <c r="D14096" s="39"/>
      <c r="E14096" s="39"/>
      <c r="F14096" s="39"/>
    </row>
    <row r="14097">
      <c r="D14097" s="39"/>
      <c r="E14097" s="39"/>
      <c r="F14097" s="39"/>
    </row>
    <row r="14098">
      <c r="D14098" s="39"/>
      <c r="E14098" s="39"/>
      <c r="F14098" s="39"/>
    </row>
    <row r="14099">
      <c r="D14099" s="39"/>
      <c r="E14099" s="39"/>
      <c r="F14099" s="39"/>
    </row>
    <row r="14100">
      <c r="D14100" s="39"/>
      <c r="E14100" s="39"/>
      <c r="F14100" s="39"/>
    </row>
    <row r="14101">
      <c r="D14101" s="39"/>
      <c r="E14101" s="39"/>
      <c r="F14101" s="39"/>
    </row>
    <row r="14102">
      <c r="D14102" s="39"/>
      <c r="E14102" s="39"/>
      <c r="F14102" s="39"/>
    </row>
    <row r="14103">
      <c r="D14103" s="39"/>
      <c r="E14103" s="39"/>
      <c r="F14103" s="39"/>
    </row>
    <row r="14104">
      <c r="D14104" s="39"/>
      <c r="E14104" s="39"/>
      <c r="F14104" s="39"/>
    </row>
    <row r="14105">
      <c r="D14105" s="39"/>
      <c r="E14105" s="39"/>
      <c r="F14105" s="39"/>
    </row>
    <row r="14106">
      <c r="D14106" s="39"/>
      <c r="E14106" s="39"/>
      <c r="F14106" s="39"/>
    </row>
    <row r="14107">
      <c r="D14107" s="39"/>
      <c r="E14107" s="39"/>
      <c r="F14107" s="39"/>
    </row>
    <row r="14108">
      <c r="D14108" s="39"/>
      <c r="E14108" s="39"/>
      <c r="F14108" s="39"/>
    </row>
    <row r="14109">
      <c r="D14109" s="39"/>
      <c r="E14109" s="39"/>
      <c r="F14109" s="39"/>
    </row>
    <row r="14110">
      <c r="D14110" s="39"/>
      <c r="E14110" s="39"/>
      <c r="F14110" s="39"/>
    </row>
    <row r="14111">
      <c r="D14111" s="39"/>
      <c r="E14111" s="39"/>
      <c r="F14111" s="39"/>
    </row>
    <row r="14112">
      <c r="D14112" s="39"/>
      <c r="E14112" s="39"/>
      <c r="F14112" s="39"/>
    </row>
    <row r="14113">
      <c r="D14113" s="39"/>
      <c r="E14113" s="39"/>
      <c r="F14113" s="39"/>
    </row>
    <row r="14114">
      <c r="D14114" s="39"/>
      <c r="E14114" s="39"/>
      <c r="F14114" s="39"/>
    </row>
    <row r="14115">
      <c r="D14115" s="39"/>
      <c r="E14115" s="39"/>
      <c r="F14115" s="39"/>
    </row>
    <row r="14116">
      <c r="D14116" s="39"/>
      <c r="E14116" s="39"/>
      <c r="F14116" s="39"/>
    </row>
    <row r="14117">
      <c r="D14117" s="39"/>
      <c r="E14117" s="39"/>
      <c r="F14117" s="39"/>
    </row>
    <row r="14118">
      <c r="D14118" s="39"/>
      <c r="E14118" s="39"/>
      <c r="F14118" s="39"/>
    </row>
    <row r="14119">
      <c r="D14119" s="39"/>
      <c r="E14119" s="39"/>
      <c r="F14119" s="39"/>
    </row>
    <row r="14120">
      <c r="D14120" s="39"/>
      <c r="E14120" s="39"/>
      <c r="F14120" s="39"/>
    </row>
    <row r="14121">
      <c r="D14121" s="39"/>
      <c r="E14121" s="39"/>
      <c r="F14121" s="39"/>
    </row>
    <row r="14122">
      <c r="D14122" s="39"/>
      <c r="E14122" s="39"/>
      <c r="F14122" s="39"/>
    </row>
    <row r="14123">
      <c r="D14123" s="39"/>
      <c r="E14123" s="39"/>
      <c r="F14123" s="39"/>
    </row>
    <row r="14124">
      <c r="D14124" s="39"/>
      <c r="E14124" s="39"/>
      <c r="F14124" s="39"/>
    </row>
    <row r="14125">
      <c r="D14125" s="39"/>
      <c r="E14125" s="39"/>
      <c r="F14125" s="39"/>
    </row>
    <row r="14126">
      <c r="D14126" s="39"/>
      <c r="E14126" s="39"/>
      <c r="F14126" s="39"/>
    </row>
    <row r="14127">
      <c r="D14127" s="39"/>
      <c r="E14127" s="39"/>
      <c r="F14127" s="39"/>
    </row>
    <row r="14128">
      <c r="D14128" s="39"/>
      <c r="E14128" s="39"/>
      <c r="F14128" s="39"/>
    </row>
    <row r="14129">
      <c r="D14129" s="39"/>
      <c r="E14129" s="39"/>
      <c r="F14129" s="39"/>
    </row>
    <row r="14130">
      <c r="D14130" s="39"/>
      <c r="E14130" s="39"/>
      <c r="F14130" s="39"/>
    </row>
    <row r="14131">
      <c r="D14131" s="39"/>
      <c r="E14131" s="39"/>
      <c r="F14131" s="39"/>
    </row>
    <row r="14132">
      <c r="D14132" s="39"/>
      <c r="E14132" s="39"/>
      <c r="F14132" s="39"/>
    </row>
    <row r="14133">
      <c r="D14133" s="39"/>
      <c r="E14133" s="39"/>
      <c r="F14133" s="39"/>
    </row>
    <row r="14134">
      <c r="D14134" s="39"/>
      <c r="E14134" s="39"/>
      <c r="F14134" s="39"/>
    </row>
    <row r="14135">
      <c r="D14135" s="39"/>
      <c r="E14135" s="39"/>
      <c r="F14135" s="39"/>
    </row>
    <row r="14136">
      <c r="D14136" s="39"/>
      <c r="E14136" s="39"/>
      <c r="F14136" s="39"/>
    </row>
    <row r="14137">
      <c r="D14137" s="39"/>
      <c r="E14137" s="39"/>
      <c r="F14137" s="39"/>
    </row>
    <row r="14138">
      <c r="D14138" s="39"/>
      <c r="E14138" s="39"/>
      <c r="F14138" s="39"/>
    </row>
    <row r="14139">
      <c r="D14139" s="39"/>
      <c r="E14139" s="39"/>
      <c r="F14139" s="39"/>
    </row>
    <row r="14140">
      <c r="D14140" s="39"/>
      <c r="E14140" s="39"/>
      <c r="F14140" s="39"/>
    </row>
    <row r="14141">
      <c r="D14141" s="39"/>
      <c r="E14141" s="39"/>
      <c r="F14141" s="39"/>
    </row>
    <row r="14142">
      <c r="D14142" s="39"/>
      <c r="E14142" s="39"/>
      <c r="F14142" s="39"/>
    </row>
    <row r="14143">
      <c r="D14143" s="39"/>
      <c r="E14143" s="39"/>
      <c r="F14143" s="39"/>
    </row>
    <row r="14144">
      <c r="D14144" s="39"/>
      <c r="E14144" s="39"/>
      <c r="F14144" s="39"/>
    </row>
    <row r="14145">
      <c r="D14145" s="39"/>
      <c r="E14145" s="39"/>
      <c r="F14145" s="39"/>
    </row>
    <row r="14146">
      <c r="D14146" s="39"/>
      <c r="E14146" s="39"/>
      <c r="F14146" s="39"/>
    </row>
    <row r="14147">
      <c r="D14147" s="39"/>
      <c r="E14147" s="39"/>
      <c r="F14147" s="39"/>
    </row>
    <row r="14148">
      <c r="D14148" s="39"/>
      <c r="E14148" s="39"/>
      <c r="F14148" s="39"/>
    </row>
    <row r="14149">
      <c r="D14149" s="39"/>
      <c r="E14149" s="39"/>
      <c r="F14149" s="39"/>
    </row>
    <row r="14150">
      <c r="D14150" s="39"/>
      <c r="E14150" s="39"/>
      <c r="F14150" s="39"/>
    </row>
    <row r="14151">
      <c r="D14151" s="39"/>
      <c r="E14151" s="39"/>
      <c r="F14151" s="39"/>
    </row>
    <row r="14152">
      <c r="D14152" s="39"/>
      <c r="E14152" s="39"/>
      <c r="F14152" s="39"/>
    </row>
    <row r="14153">
      <c r="D14153" s="39"/>
      <c r="E14153" s="39"/>
      <c r="F14153" s="39"/>
    </row>
    <row r="14154">
      <c r="D14154" s="39"/>
      <c r="E14154" s="39"/>
      <c r="F14154" s="39"/>
    </row>
    <row r="14155">
      <c r="D14155" s="39"/>
      <c r="E14155" s="39"/>
      <c r="F14155" s="39"/>
    </row>
    <row r="14156">
      <c r="D14156" s="39"/>
      <c r="E14156" s="39"/>
      <c r="F14156" s="39"/>
    </row>
    <row r="14157">
      <c r="D14157" s="39"/>
      <c r="E14157" s="39"/>
      <c r="F14157" s="39"/>
    </row>
    <row r="14158">
      <c r="D14158" s="39"/>
      <c r="E14158" s="39"/>
      <c r="F14158" s="39"/>
    </row>
    <row r="14159">
      <c r="D14159" s="39"/>
      <c r="E14159" s="39"/>
      <c r="F14159" s="39"/>
    </row>
    <row r="14160">
      <c r="D14160" s="39"/>
      <c r="E14160" s="39"/>
      <c r="F14160" s="39"/>
    </row>
    <row r="14161">
      <c r="D14161" s="39"/>
      <c r="E14161" s="39"/>
      <c r="F14161" s="39"/>
    </row>
    <row r="14162">
      <c r="D14162" s="39"/>
      <c r="E14162" s="39"/>
      <c r="F14162" s="39"/>
    </row>
    <row r="14163">
      <c r="D14163" s="39"/>
      <c r="E14163" s="39"/>
      <c r="F14163" s="39"/>
    </row>
    <row r="14164">
      <c r="D14164" s="39"/>
      <c r="E14164" s="39"/>
      <c r="F14164" s="39"/>
    </row>
    <row r="14165">
      <c r="D14165" s="39"/>
      <c r="E14165" s="39"/>
      <c r="F14165" s="39"/>
    </row>
    <row r="14166">
      <c r="D14166" s="39"/>
      <c r="E14166" s="39"/>
      <c r="F14166" s="39"/>
    </row>
    <row r="14167">
      <c r="D14167" s="39"/>
      <c r="E14167" s="39"/>
      <c r="F14167" s="39"/>
    </row>
    <row r="14168">
      <c r="D14168" s="39"/>
      <c r="E14168" s="39"/>
      <c r="F14168" s="39"/>
    </row>
    <row r="14169">
      <c r="D14169" s="39"/>
      <c r="E14169" s="39"/>
      <c r="F14169" s="39"/>
    </row>
    <row r="14170">
      <c r="D14170" s="39"/>
      <c r="E14170" s="39"/>
      <c r="F14170" s="39"/>
    </row>
    <row r="14171">
      <c r="D14171" s="39"/>
      <c r="E14171" s="39"/>
      <c r="F14171" s="39"/>
    </row>
    <row r="14172">
      <c r="D14172" s="39"/>
      <c r="E14172" s="39"/>
      <c r="F14172" s="39"/>
    </row>
    <row r="14173">
      <c r="D14173" s="39"/>
      <c r="E14173" s="39"/>
      <c r="F14173" s="39"/>
    </row>
    <row r="14174">
      <c r="D14174" s="39"/>
      <c r="E14174" s="39"/>
      <c r="F14174" s="39"/>
    </row>
    <row r="14175">
      <c r="D14175" s="39"/>
      <c r="E14175" s="39"/>
      <c r="F14175" s="39"/>
    </row>
    <row r="14176">
      <c r="D14176" s="39"/>
      <c r="E14176" s="39"/>
      <c r="F14176" s="39"/>
    </row>
    <row r="14177">
      <c r="D14177" s="39"/>
      <c r="E14177" s="39"/>
      <c r="F14177" s="39"/>
    </row>
    <row r="14178">
      <c r="D14178" s="39"/>
      <c r="E14178" s="39"/>
      <c r="F14178" s="39"/>
    </row>
    <row r="14179">
      <c r="D14179" s="39"/>
      <c r="E14179" s="39"/>
      <c r="F14179" s="39"/>
    </row>
    <row r="14180">
      <c r="D14180" s="39"/>
      <c r="E14180" s="39"/>
      <c r="F14180" s="39"/>
    </row>
    <row r="14181">
      <c r="D14181" s="39"/>
      <c r="E14181" s="39"/>
      <c r="F14181" s="39"/>
    </row>
    <row r="14182">
      <c r="D14182" s="39"/>
      <c r="E14182" s="39"/>
      <c r="F14182" s="39"/>
    </row>
    <row r="14183">
      <c r="D14183" s="39"/>
      <c r="E14183" s="39"/>
      <c r="F14183" s="39"/>
    </row>
    <row r="14184">
      <c r="D14184" s="39"/>
      <c r="E14184" s="39"/>
      <c r="F14184" s="39"/>
    </row>
    <row r="14185">
      <c r="D14185" s="39"/>
      <c r="E14185" s="39"/>
      <c r="F14185" s="39"/>
    </row>
    <row r="14186">
      <c r="D14186" s="39"/>
      <c r="E14186" s="39"/>
      <c r="F14186" s="39"/>
    </row>
    <row r="14187">
      <c r="D14187" s="39"/>
      <c r="E14187" s="39"/>
      <c r="F14187" s="39"/>
    </row>
    <row r="14188">
      <c r="D14188" s="39"/>
      <c r="E14188" s="39"/>
      <c r="F14188" s="39"/>
    </row>
    <row r="14189">
      <c r="D14189" s="39"/>
      <c r="E14189" s="39"/>
      <c r="F14189" s="39"/>
    </row>
    <row r="14190">
      <c r="D14190" s="39"/>
      <c r="E14190" s="39"/>
      <c r="F14190" s="39"/>
    </row>
    <row r="14191">
      <c r="D14191" s="39"/>
      <c r="E14191" s="39"/>
      <c r="F14191" s="39"/>
    </row>
    <row r="14192">
      <c r="D14192" s="39"/>
      <c r="E14192" s="39"/>
      <c r="F14192" s="39"/>
    </row>
    <row r="14193">
      <c r="D14193" s="39"/>
      <c r="E14193" s="39"/>
      <c r="F14193" s="39"/>
    </row>
    <row r="14194">
      <c r="D14194" s="39"/>
      <c r="E14194" s="39"/>
      <c r="F14194" s="39"/>
    </row>
    <row r="14195">
      <c r="D14195" s="39"/>
      <c r="E14195" s="39"/>
      <c r="F14195" s="39"/>
    </row>
    <row r="14196">
      <c r="D14196" s="39"/>
      <c r="E14196" s="39"/>
      <c r="F14196" s="39"/>
    </row>
    <row r="14197">
      <c r="D14197" s="39"/>
      <c r="E14197" s="39"/>
      <c r="F14197" s="39"/>
    </row>
    <row r="14198">
      <c r="D14198" s="39"/>
      <c r="E14198" s="39"/>
      <c r="F14198" s="39"/>
    </row>
    <row r="14199">
      <c r="D14199" s="39"/>
      <c r="E14199" s="39"/>
      <c r="F14199" s="39"/>
    </row>
    <row r="14200">
      <c r="D14200" s="39"/>
      <c r="E14200" s="39"/>
      <c r="F14200" s="39"/>
    </row>
    <row r="14201">
      <c r="D14201" s="39"/>
      <c r="E14201" s="39"/>
      <c r="F14201" s="39"/>
    </row>
    <row r="14202">
      <c r="D14202" s="39"/>
      <c r="E14202" s="39"/>
      <c r="F14202" s="39"/>
    </row>
    <row r="14203">
      <c r="D14203" s="39"/>
      <c r="E14203" s="39"/>
      <c r="F14203" s="39"/>
    </row>
    <row r="14204">
      <c r="D14204" s="39"/>
      <c r="E14204" s="39"/>
      <c r="F14204" s="39"/>
    </row>
    <row r="14205">
      <c r="D14205" s="39"/>
      <c r="E14205" s="39"/>
      <c r="F14205" s="39"/>
    </row>
    <row r="14206">
      <c r="D14206" s="39"/>
      <c r="E14206" s="39"/>
      <c r="F14206" s="39"/>
    </row>
    <row r="14207">
      <c r="D14207" s="39"/>
      <c r="E14207" s="39"/>
      <c r="F14207" s="39"/>
    </row>
    <row r="14208">
      <c r="D14208" s="39"/>
      <c r="E14208" s="39"/>
      <c r="F14208" s="39"/>
    </row>
    <row r="14209">
      <c r="D14209" s="39"/>
      <c r="E14209" s="39"/>
      <c r="F14209" s="39"/>
    </row>
    <row r="14210">
      <c r="D14210" s="39"/>
      <c r="E14210" s="39"/>
      <c r="F14210" s="39"/>
    </row>
    <row r="14211">
      <c r="D14211" s="39"/>
      <c r="E14211" s="39"/>
      <c r="F14211" s="39"/>
    </row>
    <row r="14212">
      <c r="D14212" s="39"/>
      <c r="E14212" s="39"/>
      <c r="F14212" s="39"/>
    </row>
    <row r="14213">
      <c r="D14213" s="39"/>
      <c r="E14213" s="39"/>
      <c r="F14213" s="39"/>
    </row>
    <row r="14214">
      <c r="D14214" s="39"/>
      <c r="E14214" s="39"/>
      <c r="F14214" s="39"/>
    </row>
    <row r="14215">
      <c r="D14215" s="39"/>
      <c r="E14215" s="39"/>
      <c r="F14215" s="39"/>
    </row>
    <row r="14216">
      <c r="D14216" s="39"/>
      <c r="E14216" s="39"/>
      <c r="F14216" s="39"/>
    </row>
    <row r="14217">
      <c r="D14217" s="39"/>
      <c r="E14217" s="39"/>
      <c r="F14217" s="39"/>
    </row>
    <row r="14218">
      <c r="D14218" s="39"/>
      <c r="E14218" s="39"/>
      <c r="F14218" s="39"/>
    </row>
    <row r="14219">
      <c r="D14219" s="39"/>
      <c r="E14219" s="39"/>
      <c r="F14219" s="39"/>
    </row>
    <row r="14220">
      <c r="D14220" s="39"/>
      <c r="E14220" s="39"/>
      <c r="F14220" s="39"/>
    </row>
    <row r="14221">
      <c r="D14221" s="39"/>
      <c r="E14221" s="39"/>
      <c r="F14221" s="39"/>
    </row>
    <row r="14222">
      <c r="D14222" s="39"/>
      <c r="E14222" s="39"/>
      <c r="F14222" s="39"/>
    </row>
    <row r="14223">
      <c r="D14223" s="39"/>
      <c r="E14223" s="39"/>
      <c r="F14223" s="39"/>
    </row>
    <row r="14224">
      <c r="D14224" s="39"/>
      <c r="E14224" s="39"/>
      <c r="F14224" s="39"/>
    </row>
    <row r="14225">
      <c r="D14225" s="39"/>
      <c r="E14225" s="39"/>
      <c r="F14225" s="39"/>
    </row>
    <row r="14226">
      <c r="D14226" s="39"/>
      <c r="E14226" s="39"/>
      <c r="F14226" s="39"/>
    </row>
    <row r="14227">
      <c r="D14227" s="39"/>
      <c r="E14227" s="39"/>
      <c r="F14227" s="39"/>
    </row>
    <row r="14228">
      <c r="D14228" s="39"/>
      <c r="E14228" s="39"/>
      <c r="F14228" s="39"/>
    </row>
    <row r="14229">
      <c r="D14229" s="39"/>
      <c r="E14229" s="39"/>
      <c r="F14229" s="39"/>
    </row>
    <row r="14230">
      <c r="D14230" s="39"/>
      <c r="E14230" s="39"/>
      <c r="F14230" s="39"/>
    </row>
    <row r="14231">
      <c r="D14231" s="39"/>
      <c r="E14231" s="39"/>
      <c r="F14231" s="39"/>
    </row>
    <row r="14232">
      <c r="D14232" s="39"/>
      <c r="E14232" s="39"/>
      <c r="F14232" s="39"/>
    </row>
    <row r="14233">
      <c r="D14233" s="39"/>
      <c r="E14233" s="39"/>
      <c r="F14233" s="39"/>
    </row>
    <row r="14234">
      <c r="D14234" s="39"/>
      <c r="E14234" s="39"/>
      <c r="F14234" s="39"/>
    </row>
    <row r="14235">
      <c r="D14235" s="39"/>
      <c r="E14235" s="39"/>
      <c r="F14235" s="39"/>
    </row>
    <row r="14236">
      <c r="D14236" s="39"/>
      <c r="E14236" s="39"/>
      <c r="F14236" s="39"/>
    </row>
    <row r="14237">
      <c r="D14237" s="39"/>
      <c r="E14237" s="39"/>
      <c r="F14237" s="39"/>
    </row>
    <row r="14238">
      <c r="D14238" s="39"/>
      <c r="E14238" s="39"/>
      <c r="F14238" s="39"/>
    </row>
    <row r="14239">
      <c r="D14239" s="39"/>
      <c r="E14239" s="39"/>
      <c r="F14239" s="39"/>
    </row>
    <row r="14240">
      <c r="D14240" s="39"/>
      <c r="E14240" s="39"/>
      <c r="F14240" s="39"/>
    </row>
    <row r="14241">
      <c r="D14241" s="39"/>
      <c r="E14241" s="39"/>
      <c r="F14241" s="39"/>
    </row>
    <row r="14242">
      <c r="D14242" s="39"/>
      <c r="E14242" s="39"/>
      <c r="F14242" s="39"/>
    </row>
    <row r="14243">
      <c r="D14243" s="39"/>
      <c r="E14243" s="39"/>
      <c r="F14243" s="39"/>
    </row>
    <row r="14244">
      <c r="D14244" s="39"/>
      <c r="E14244" s="39"/>
      <c r="F14244" s="39"/>
    </row>
    <row r="14245">
      <c r="D14245" s="39"/>
      <c r="E14245" s="39"/>
      <c r="F14245" s="39"/>
    </row>
    <row r="14246">
      <c r="D14246" s="39"/>
      <c r="E14246" s="39"/>
      <c r="F14246" s="39"/>
    </row>
    <row r="14247">
      <c r="D14247" s="39"/>
      <c r="E14247" s="39"/>
      <c r="F14247" s="39"/>
    </row>
    <row r="14248">
      <c r="D14248" s="39"/>
      <c r="E14248" s="39"/>
      <c r="F14248" s="39"/>
    </row>
    <row r="14249">
      <c r="D14249" s="39"/>
      <c r="E14249" s="39"/>
      <c r="F14249" s="39"/>
    </row>
    <row r="14250">
      <c r="D14250" s="39"/>
      <c r="E14250" s="39"/>
      <c r="F14250" s="39"/>
    </row>
    <row r="14251">
      <c r="D14251" s="39"/>
      <c r="E14251" s="39"/>
      <c r="F14251" s="39"/>
    </row>
    <row r="14252">
      <c r="D14252" s="39"/>
      <c r="E14252" s="39"/>
      <c r="F14252" s="39"/>
    </row>
    <row r="14253">
      <c r="D14253" s="39"/>
      <c r="E14253" s="39"/>
      <c r="F14253" s="39"/>
    </row>
    <row r="14254">
      <c r="D14254" s="39"/>
      <c r="E14254" s="39"/>
      <c r="F14254" s="39"/>
    </row>
    <row r="14255">
      <c r="D14255" s="39"/>
      <c r="E14255" s="39"/>
      <c r="F14255" s="39"/>
    </row>
    <row r="14256">
      <c r="D14256" s="39"/>
      <c r="E14256" s="39"/>
      <c r="F14256" s="39"/>
    </row>
    <row r="14257">
      <c r="D14257" s="39"/>
      <c r="E14257" s="39"/>
      <c r="F14257" s="39"/>
    </row>
    <row r="14258">
      <c r="D14258" s="39"/>
      <c r="E14258" s="39"/>
      <c r="F14258" s="39"/>
    </row>
    <row r="14259">
      <c r="D14259" s="39"/>
      <c r="E14259" s="39"/>
      <c r="F14259" s="39"/>
    </row>
    <row r="14260">
      <c r="D14260" s="39"/>
      <c r="E14260" s="39"/>
      <c r="F14260" s="39"/>
    </row>
    <row r="14261">
      <c r="D14261" s="39"/>
      <c r="E14261" s="39"/>
      <c r="F14261" s="39"/>
    </row>
    <row r="14262">
      <c r="D14262" s="39"/>
      <c r="E14262" s="39"/>
      <c r="F14262" s="39"/>
    </row>
    <row r="14263">
      <c r="D14263" s="39"/>
      <c r="E14263" s="39"/>
      <c r="F14263" s="39"/>
    </row>
    <row r="14264">
      <c r="D14264" s="39"/>
      <c r="E14264" s="39"/>
      <c r="F14264" s="39"/>
    </row>
    <row r="14265">
      <c r="D14265" s="39"/>
      <c r="E14265" s="39"/>
      <c r="F14265" s="39"/>
    </row>
    <row r="14266">
      <c r="D14266" s="39"/>
      <c r="E14266" s="39"/>
      <c r="F14266" s="39"/>
    </row>
    <row r="14267">
      <c r="D14267" s="39"/>
      <c r="E14267" s="39"/>
      <c r="F14267" s="39"/>
    </row>
    <row r="14268">
      <c r="D14268" s="39"/>
      <c r="E14268" s="39"/>
      <c r="F14268" s="39"/>
    </row>
    <row r="14269">
      <c r="D14269" s="39"/>
      <c r="E14269" s="39"/>
      <c r="F14269" s="39"/>
    </row>
    <row r="14270">
      <c r="D14270" s="39"/>
      <c r="E14270" s="39"/>
      <c r="F14270" s="39"/>
    </row>
    <row r="14271">
      <c r="D14271" s="39"/>
      <c r="E14271" s="39"/>
      <c r="F14271" s="39"/>
    </row>
    <row r="14272">
      <c r="D14272" s="39"/>
      <c r="E14272" s="39"/>
      <c r="F14272" s="39"/>
    </row>
    <row r="14273">
      <c r="D14273" s="39"/>
      <c r="E14273" s="39"/>
      <c r="F14273" s="39"/>
    </row>
    <row r="14274">
      <c r="D14274" s="39"/>
      <c r="E14274" s="39"/>
      <c r="F14274" s="39"/>
    </row>
    <row r="14275">
      <c r="D14275" s="39"/>
      <c r="E14275" s="39"/>
      <c r="F14275" s="39"/>
    </row>
    <row r="14276">
      <c r="D14276" s="39"/>
      <c r="E14276" s="39"/>
      <c r="F14276" s="39"/>
    </row>
    <row r="14277">
      <c r="D14277" s="39"/>
      <c r="E14277" s="39"/>
      <c r="F14277" s="39"/>
    </row>
    <row r="14278">
      <c r="D14278" s="39"/>
      <c r="E14278" s="39"/>
      <c r="F14278" s="39"/>
    </row>
    <row r="14279">
      <c r="D14279" s="39"/>
      <c r="E14279" s="39"/>
      <c r="F14279" s="39"/>
    </row>
    <row r="14280">
      <c r="D14280" s="39"/>
      <c r="E14280" s="39"/>
      <c r="F14280" s="39"/>
    </row>
    <row r="14281">
      <c r="D14281" s="39"/>
      <c r="E14281" s="39"/>
      <c r="F14281" s="39"/>
    </row>
    <row r="14282">
      <c r="D14282" s="39"/>
      <c r="E14282" s="39"/>
      <c r="F14282" s="39"/>
    </row>
    <row r="14283">
      <c r="D14283" s="39"/>
      <c r="E14283" s="39"/>
      <c r="F14283" s="39"/>
    </row>
    <row r="14284">
      <c r="D14284" s="39"/>
      <c r="E14284" s="39"/>
      <c r="F14284" s="39"/>
    </row>
    <row r="14285">
      <c r="D14285" s="39"/>
      <c r="E14285" s="39"/>
      <c r="F14285" s="39"/>
    </row>
    <row r="14286">
      <c r="D14286" s="39"/>
      <c r="E14286" s="39"/>
      <c r="F14286" s="39"/>
    </row>
    <row r="14287">
      <c r="D14287" s="39"/>
      <c r="E14287" s="39"/>
      <c r="F14287" s="39"/>
    </row>
    <row r="14288">
      <c r="D14288" s="39"/>
      <c r="E14288" s="39"/>
      <c r="F14288" s="39"/>
    </row>
    <row r="14289">
      <c r="D14289" s="39"/>
      <c r="E14289" s="39"/>
      <c r="F14289" s="39"/>
    </row>
    <row r="14290">
      <c r="D14290" s="39"/>
      <c r="E14290" s="39"/>
      <c r="F14290" s="39"/>
    </row>
    <row r="14291">
      <c r="D14291" s="39"/>
      <c r="E14291" s="39"/>
      <c r="F14291" s="39"/>
    </row>
    <row r="14292">
      <c r="D14292" s="39"/>
      <c r="E14292" s="39"/>
      <c r="F14292" s="39"/>
    </row>
    <row r="14293">
      <c r="D14293" s="39"/>
      <c r="E14293" s="39"/>
      <c r="F14293" s="39"/>
    </row>
    <row r="14294">
      <c r="D14294" s="39"/>
      <c r="E14294" s="39"/>
      <c r="F14294" s="39"/>
    </row>
    <row r="14295">
      <c r="D14295" s="39"/>
      <c r="E14295" s="39"/>
      <c r="F14295" s="39"/>
    </row>
    <row r="14296">
      <c r="D14296" s="39"/>
      <c r="E14296" s="39"/>
      <c r="F14296" s="39"/>
    </row>
    <row r="14297">
      <c r="D14297" s="39"/>
      <c r="E14297" s="39"/>
      <c r="F14297" s="39"/>
    </row>
    <row r="14298">
      <c r="D14298" s="39"/>
      <c r="E14298" s="39"/>
      <c r="F14298" s="39"/>
    </row>
    <row r="14299">
      <c r="D14299" s="39"/>
      <c r="E14299" s="39"/>
      <c r="F14299" s="39"/>
    </row>
    <row r="14300">
      <c r="D14300" s="39"/>
      <c r="E14300" s="39"/>
      <c r="F14300" s="39"/>
    </row>
    <row r="14301">
      <c r="D14301" s="39"/>
      <c r="E14301" s="39"/>
      <c r="F14301" s="39"/>
    </row>
    <row r="14302">
      <c r="D14302" s="39"/>
      <c r="E14302" s="39"/>
      <c r="F14302" s="39"/>
    </row>
    <row r="14303">
      <c r="D14303" s="39"/>
      <c r="E14303" s="39"/>
      <c r="F14303" s="39"/>
    </row>
    <row r="14304">
      <c r="D14304" s="39"/>
      <c r="E14304" s="39"/>
      <c r="F14304" s="39"/>
    </row>
    <row r="14305">
      <c r="D14305" s="39"/>
      <c r="E14305" s="39"/>
      <c r="F14305" s="39"/>
    </row>
    <row r="14306">
      <c r="D14306" s="39"/>
      <c r="E14306" s="39"/>
      <c r="F14306" s="39"/>
    </row>
    <row r="14307">
      <c r="D14307" s="39"/>
      <c r="E14307" s="39"/>
      <c r="F14307" s="39"/>
    </row>
    <row r="14308">
      <c r="D14308" s="39"/>
      <c r="E14308" s="39"/>
      <c r="F14308" s="39"/>
    </row>
    <row r="14309">
      <c r="D14309" s="39"/>
      <c r="E14309" s="39"/>
      <c r="F14309" s="39"/>
    </row>
    <row r="14310">
      <c r="D14310" s="39"/>
      <c r="E14310" s="39"/>
      <c r="F14310" s="39"/>
    </row>
    <row r="14311">
      <c r="D14311" s="39"/>
      <c r="E14311" s="39"/>
      <c r="F14311" s="39"/>
    </row>
    <row r="14312">
      <c r="D14312" s="39"/>
      <c r="E14312" s="39"/>
      <c r="F14312" s="39"/>
    </row>
    <row r="14313">
      <c r="D14313" s="39"/>
      <c r="E14313" s="39"/>
      <c r="F14313" s="39"/>
    </row>
    <row r="14314">
      <c r="D14314" s="39"/>
      <c r="E14314" s="39"/>
      <c r="F14314" s="39"/>
    </row>
    <row r="14315">
      <c r="D14315" s="39"/>
      <c r="E14315" s="39"/>
      <c r="F14315" s="39"/>
    </row>
    <row r="14316">
      <c r="D14316" s="39"/>
      <c r="E14316" s="39"/>
      <c r="F14316" s="39"/>
    </row>
    <row r="14317">
      <c r="D14317" s="39"/>
      <c r="E14317" s="39"/>
      <c r="F14317" s="39"/>
    </row>
    <row r="14318">
      <c r="D14318" s="39"/>
      <c r="E14318" s="39"/>
      <c r="F14318" s="39"/>
    </row>
    <row r="14319">
      <c r="D14319" s="39"/>
      <c r="E14319" s="39"/>
      <c r="F14319" s="39"/>
    </row>
    <row r="14320">
      <c r="D14320" s="39"/>
      <c r="E14320" s="39"/>
      <c r="F14320" s="39"/>
    </row>
    <row r="14321">
      <c r="D14321" s="39"/>
      <c r="E14321" s="39"/>
      <c r="F14321" s="39"/>
    </row>
    <row r="14322">
      <c r="D14322" s="39"/>
      <c r="E14322" s="39"/>
      <c r="F14322" s="39"/>
    </row>
    <row r="14323">
      <c r="D14323" s="39"/>
      <c r="E14323" s="39"/>
      <c r="F14323" s="39"/>
    </row>
    <row r="14324">
      <c r="D14324" s="39"/>
      <c r="E14324" s="39"/>
      <c r="F14324" s="39"/>
    </row>
    <row r="14325">
      <c r="D14325" s="39"/>
      <c r="E14325" s="39"/>
      <c r="F14325" s="39"/>
    </row>
    <row r="14326">
      <c r="D14326" s="39"/>
      <c r="E14326" s="39"/>
      <c r="F14326" s="39"/>
    </row>
    <row r="14327">
      <c r="D14327" s="39"/>
      <c r="E14327" s="39"/>
      <c r="F14327" s="39"/>
    </row>
    <row r="14328">
      <c r="D14328" s="39"/>
      <c r="E14328" s="39"/>
      <c r="F14328" s="39"/>
    </row>
    <row r="14329">
      <c r="D14329" s="39"/>
      <c r="E14329" s="39"/>
      <c r="F14329" s="39"/>
    </row>
    <row r="14330">
      <c r="D14330" s="39"/>
      <c r="E14330" s="39"/>
      <c r="F14330" s="39"/>
    </row>
    <row r="14331">
      <c r="D14331" s="39"/>
      <c r="E14331" s="39"/>
      <c r="F14331" s="39"/>
    </row>
    <row r="14332">
      <c r="D14332" s="39"/>
      <c r="E14332" s="39"/>
      <c r="F14332" s="39"/>
    </row>
    <row r="14333">
      <c r="D14333" s="39"/>
      <c r="E14333" s="39"/>
      <c r="F14333" s="39"/>
    </row>
    <row r="14334">
      <c r="D14334" s="39"/>
      <c r="E14334" s="39"/>
      <c r="F14334" s="39"/>
    </row>
    <row r="14335">
      <c r="D14335" s="39"/>
      <c r="E14335" s="39"/>
      <c r="F14335" s="39"/>
    </row>
    <row r="14336">
      <c r="D14336" s="39"/>
      <c r="E14336" s="39"/>
      <c r="F14336" s="39"/>
    </row>
    <row r="14337">
      <c r="D14337" s="39"/>
      <c r="E14337" s="39"/>
      <c r="F14337" s="39"/>
    </row>
    <row r="14338">
      <c r="D14338" s="39"/>
      <c r="E14338" s="39"/>
      <c r="F14338" s="39"/>
    </row>
    <row r="14339">
      <c r="D14339" s="39"/>
      <c r="E14339" s="39"/>
      <c r="F14339" s="39"/>
    </row>
    <row r="14340">
      <c r="D14340" s="39"/>
      <c r="E14340" s="39"/>
      <c r="F14340" s="39"/>
    </row>
    <row r="14341">
      <c r="D14341" s="39"/>
      <c r="E14341" s="39"/>
      <c r="F14341" s="39"/>
    </row>
    <row r="14342">
      <c r="D14342" s="39"/>
      <c r="E14342" s="39"/>
      <c r="F14342" s="39"/>
    </row>
    <row r="14343">
      <c r="D14343" s="39"/>
      <c r="E14343" s="39"/>
      <c r="F14343" s="39"/>
    </row>
    <row r="14344">
      <c r="D14344" s="39"/>
      <c r="E14344" s="39"/>
      <c r="F14344" s="39"/>
    </row>
    <row r="14345">
      <c r="D14345" s="39"/>
      <c r="E14345" s="39"/>
      <c r="F14345" s="39"/>
    </row>
    <row r="14346">
      <c r="D14346" s="39"/>
      <c r="E14346" s="39"/>
      <c r="F14346" s="39"/>
    </row>
    <row r="14347">
      <c r="D14347" s="39"/>
      <c r="E14347" s="39"/>
      <c r="F14347" s="39"/>
    </row>
    <row r="14348">
      <c r="D14348" s="39"/>
      <c r="E14348" s="39"/>
      <c r="F14348" s="39"/>
    </row>
    <row r="14349">
      <c r="D14349" s="39"/>
      <c r="E14349" s="39"/>
      <c r="F14349" s="39"/>
    </row>
    <row r="14350">
      <c r="D14350" s="39"/>
      <c r="E14350" s="39"/>
      <c r="F14350" s="39"/>
    </row>
    <row r="14351">
      <c r="D14351" s="39"/>
      <c r="E14351" s="39"/>
      <c r="F14351" s="39"/>
    </row>
    <row r="14352">
      <c r="D14352" s="39"/>
      <c r="E14352" s="39"/>
      <c r="F14352" s="39"/>
    </row>
    <row r="14353">
      <c r="D14353" s="39"/>
      <c r="E14353" s="39"/>
      <c r="F14353" s="39"/>
    </row>
    <row r="14354">
      <c r="D14354" s="39"/>
      <c r="E14354" s="39"/>
      <c r="F14354" s="39"/>
    </row>
    <row r="14355">
      <c r="D14355" s="39"/>
      <c r="E14355" s="39"/>
      <c r="F14355" s="39"/>
    </row>
    <row r="14356">
      <c r="D14356" s="39"/>
      <c r="E14356" s="39"/>
      <c r="F14356" s="39"/>
    </row>
    <row r="14357">
      <c r="D14357" s="39"/>
      <c r="E14357" s="39"/>
      <c r="F14357" s="39"/>
    </row>
    <row r="14358">
      <c r="D14358" s="39"/>
      <c r="E14358" s="39"/>
      <c r="F14358" s="39"/>
    </row>
    <row r="14359">
      <c r="D14359" s="39"/>
      <c r="E14359" s="39"/>
      <c r="F14359" s="39"/>
    </row>
    <row r="14360">
      <c r="D14360" s="39"/>
      <c r="E14360" s="39"/>
      <c r="F14360" s="39"/>
    </row>
    <row r="14361">
      <c r="D14361" s="39"/>
      <c r="E14361" s="39"/>
      <c r="F14361" s="39"/>
    </row>
    <row r="14362">
      <c r="D14362" s="39"/>
      <c r="E14362" s="39"/>
      <c r="F14362" s="39"/>
    </row>
    <row r="14363">
      <c r="D14363" s="39"/>
      <c r="E14363" s="39"/>
      <c r="F14363" s="39"/>
    </row>
    <row r="14364">
      <c r="D14364" s="39"/>
      <c r="E14364" s="39"/>
      <c r="F14364" s="39"/>
    </row>
    <row r="14365">
      <c r="D14365" s="39"/>
      <c r="E14365" s="39"/>
      <c r="F14365" s="39"/>
    </row>
    <row r="14366">
      <c r="D14366" s="39"/>
      <c r="E14366" s="39"/>
      <c r="F14366" s="39"/>
    </row>
    <row r="14367">
      <c r="D14367" s="39"/>
      <c r="E14367" s="39"/>
      <c r="F14367" s="39"/>
    </row>
    <row r="14368">
      <c r="D14368" s="39"/>
      <c r="E14368" s="39"/>
      <c r="F14368" s="39"/>
    </row>
    <row r="14369">
      <c r="D14369" s="39"/>
      <c r="E14369" s="39"/>
      <c r="F14369" s="39"/>
    </row>
    <row r="14370">
      <c r="D14370" s="39"/>
      <c r="E14370" s="39"/>
      <c r="F14370" s="39"/>
    </row>
    <row r="14371">
      <c r="D14371" s="39"/>
      <c r="E14371" s="39"/>
      <c r="F14371" s="39"/>
    </row>
    <row r="14372">
      <c r="D14372" s="39"/>
      <c r="E14372" s="39"/>
      <c r="F14372" s="39"/>
    </row>
    <row r="14373">
      <c r="D14373" s="39"/>
      <c r="E14373" s="39"/>
      <c r="F14373" s="39"/>
    </row>
    <row r="14374">
      <c r="D14374" s="39"/>
      <c r="E14374" s="39"/>
      <c r="F14374" s="39"/>
    </row>
    <row r="14375">
      <c r="D14375" s="39"/>
      <c r="E14375" s="39"/>
      <c r="F14375" s="39"/>
    </row>
    <row r="14376">
      <c r="D14376" s="39"/>
      <c r="E14376" s="39"/>
      <c r="F14376" s="39"/>
    </row>
    <row r="14377">
      <c r="D14377" s="39"/>
      <c r="E14377" s="39"/>
      <c r="F14377" s="39"/>
    </row>
    <row r="14378">
      <c r="D14378" s="39"/>
      <c r="E14378" s="39"/>
      <c r="F14378" s="39"/>
    </row>
    <row r="14379">
      <c r="D14379" s="39"/>
      <c r="E14379" s="39"/>
      <c r="F14379" s="39"/>
    </row>
    <row r="14380">
      <c r="D14380" s="39"/>
      <c r="E14380" s="39"/>
      <c r="F14380" s="39"/>
    </row>
    <row r="14381">
      <c r="D14381" s="39"/>
      <c r="E14381" s="39"/>
      <c r="F14381" s="39"/>
    </row>
    <row r="14382">
      <c r="D14382" s="39"/>
      <c r="E14382" s="39"/>
      <c r="F14382" s="39"/>
    </row>
    <row r="14383">
      <c r="D14383" s="39"/>
      <c r="E14383" s="39"/>
      <c r="F14383" s="39"/>
    </row>
    <row r="14384">
      <c r="D14384" s="39"/>
      <c r="E14384" s="39"/>
      <c r="F14384" s="39"/>
    </row>
    <row r="14385">
      <c r="D14385" s="39"/>
      <c r="E14385" s="39"/>
      <c r="F14385" s="39"/>
    </row>
    <row r="14386">
      <c r="D14386" s="39"/>
      <c r="E14386" s="39"/>
      <c r="F14386" s="39"/>
    </row>
    <row r="14387">
      <c r="D14387" s="39"/>
      <c r="E14387" s="39"/>
      <c r="F14387" s="39"/>
    </row>
    <row r="14388">
      <c r="D14388" s="39"/>
      <c r="E14388" s="39"/>
      <c r="F14388" s="39"/>
    </row>
    <row r="14389">
      <c r="D14389" s="39"/>
      <c r="E14389" s="39"/>
      <c r="F14389" s="39"/>
    </row>
    <row r="14390">
      <c r="D14390" s="39"/>
      <c r="E14390" s="39"/>
      <c r="F14390" s="39"/>
    </row>
    <row r="14391">
      <c r="D14391" s="39"/>
      <c r="E14391" s="39"/>
      <c r="F14391" s="39"/>
    </row>
    <row r="14392">
      <c r="D14392" s="39"/>
      <c r="E14392" s="39"/>
      <c r="F14392" s="39"/>
    </row>
    <row r="14393">
      <c r="D14393" s="39"/>
      <c r="E14393" s="39"/>
      <c r="F14393" s="39"/>
    </row>
    <row r="14394">
      <c r="D14394" s="39"/>
      <c r="E14394" s="39"/>
      <c r="F14394" s="39"/>
    </row>
    <row r="14395">
      <c r="D14395" s="39"/>
      <c r="E14395" s="39"/>
      <c r="F14395" s="39"/>
    </row>
    <row r="14396">
      <c r="D14396" s="39"/>
      <c r="E14396" s="39"/>
      <c r="F14396" s="39"/>
    </row>
    <row r="14397">
      <c r="D14397" s="39"/>
      <c r="E14397" s="39"/>
      <c r="F14397" s="39"/>
    </row>
    <row r="14398">
      <c r="D14398" s="39"/>
      <c r="E14398" s="39"/>
      <c r="F14398" s="39"/>
    </row>
    <row r="14399">
      <c r="D14399" s="39"/>
      <c r="E14399" s="39"/>
      <c r="F14399" s="39"/>
    </row>
    <row r="14400">
      <c r="D14400" s="39"/>
      <c r="E14400" s="39"/>
      <c r="F14400" s="39"/>
    </row>
    <row r="14401">
      <c r="D14401" s="39"/>
      <c r="E14401" s="39"/>
      <c r="F14401" s="39"/>
    </row>
    <row r="14402">
      <c r="D14402" s="39"/>
      <c r="E14402" s="39"/>
      <c r="F14402" s="39"/>
    </row>
    <row r="14403">
      <c r="D14403" s="39"/>
      <c r="E14403" s="39"/>
      <c r="F14403" s="39"/>
    </row>
    <row r="14404">
      <c r="D14404" s="39"/>
      <c r="E14404" s="39"/>
      <c r="F14404" s="39"/>
    </row>
    <row r="14405">
      <c r="D14405" s="39"/>
      <c r="E14405" s="39"/>
      <c r="F14405" s="39"/>
    </row>
    <row r="14406">
      <c r="D14406" s="39"/>
      <c r="E14406" s="39"/>
      <c r="F14406" s="39"/>
    </row>
    <row r="14407">
      <c r="D14407" s="39"/>
      <c r="E14407" s="39"/>
      <c r="F14407" s="39"/>
    </row>
    <row r="14408">
      <c r="D14408" s="39"/>
      <c r="E14408" s="39"/>
      <c r="F14408" s="39"/>
    </row>
    <row r="14409">
      <c r="D14409" s="39"/>
      <c r="E14409" s="39"/>
      <c r="F14409" s="39"/>
    </row>
    <row r="14410">
      <c r="D14410" s="39"/>
      <c r="E14410" s="39"/>
      <c r="F14410" s="39"/>
    </row>
    <row r="14411">
      <c r="D14411" s="39"/>
      <c r="E14411" s="39"/>
      <c r="F14411" s="39"/>
    </row>
    <row r="14412">
      <c r="D14412" s="39"/>
      <c r="E14412" s="39"/>
      <c r="F14412" s="39"/>
    </row>
    <row r="14413">
      <c r="D14413" s="39"/>
      <c r="E14413" s="39"/>
      <c r="F14413" s="39"/>
    </row>
    <row r="14414">
      <c r="D14414" s="39"/>
      <c r="E14414" s="39"/>
      <c r="F14414" s="39"/>
    </row>
    <row r="14415">
      <c r="D14415" s="39"/>
      <c r="E14415" s="39"/>
      <c r="F14415" s="39"/>
    </row>
    <row r="14416">
      <c r="D14416" s="39"/>
      <c r="E14416" s="39"/>
      <c r="F14416" s="39"/>
    </row>
    <row r="14417">
      <c r="D14417" s="39"/>
      <c r="E14417" s="39"/>
      <c r="F14417" s="39"/>
    </row>
    <row r="14418">
      <c r="D14418" s="39"/>
      <c r="E14418" s="39"/>
      <c r="F14418" s="39"/>
    </row>
    <row r="14419">
      <c r="D14419" s="39"/>
      <c r="E14419" s="39"/>
      <c r="F14419" s="39"/>
    </row>
    <row r="14420">
      <c r="D14420" s="39"/>
      <c r="E14420" s="39"/>
      <c r="F14420" s="39"/>
    </row>
    <row r="14421">
      <c r="D14421" s="39"/>
      <c r="E14421" s="39"/>
      <c r="F14421" s="39"/>
    </row>
    <row r="14422">
      <c r="D14422" s="39"/>
      <c r="E14422" s="39"/>
      <c r="F14422" s="39"/>
    </row>
    <row r="14423">
      <c r="D14423" s="39"/>
      <c r="E14423" s="39"/>
      <c r="F14423" s="39"/>
    </row>
    <row r="14424">
      <c r="D14424" s="39"/>
      <c r="E14424" s="39"/>
      <c r="F14424" s="39"/>
    </row>
    <row r="14425">
      <c r="D14425" s="39"/>
      <c r="E14425" s="39"/>
      <c r="F14425" s="39"/>
    </row>
    <row r="14426">
      <c r="D14426" s="39"/>
      <c r="E14426" s="39"/>
      <c r="F14426" s="39"/>
    </row>
    <row r="14427">
      <c r="D14427" s="39"/>
      <c r="E14427" s="39"/>
      <c r="F14427" s="39"/>
    </row>
    <row r="14428">
      <c r="D14428" s="39"/>
      <c r="E14428" s="39"/>
      <c r="F14428" s="39"/>
    </row>
    <row r="14429">
      <c r="D14429" s="39"/>
      <c r="E14429" s="39"/>
      <c r="F14429" s="39"/>
    </row>
    <row r="14430">
      <c r="D14430" s="39"/>
      <c r="E14430" s="39"/>
      <c r="F14430" s="39"/>
    </row>
    <row r="14431">
      <c r="D14431" s="39"/>
      <c r="E14431" s="39"/>
      <c r="F14431" s="39"/>
    </row>
    <row r="14432">
      <c r="D14432" s="39"/>
      <c r="E14432" s="39"/>
      <c r="F14432" s="39"/>
    </row>
    <row r="14433">
      <c r="D14433" s="39"/>
      <c r="E14433" s="39"/>
      <c r="F14433" s="39"/>
    </row>
    <row r="14434">
      <c r="D14434" s="39"/>
      <c r="E14434" s="39"/>
      <c r="F14434" s="39"/>
    </row>
    <row r="14435">
      <c r="D14435" s="39"/>
      <c r="E14435" s="39"/>
      <c r="F14435" s="39"/>
    </row>
    <row r="14436">
      <c r="D14436" s="39"/>
      <c r="E14436" s="39"/>
      <c r="F14436" s="39"/>
    </row>
    <row r="14437">
      <c r="D14437" s="39"/>
      <c r="E14437" s="39"/>
      <c r="F14437" s="39"/>
    </row>
    <row r="14438">
      <c r="D14438" s="39"/>
      <c r="E14438" s="39"/>
      <c r="F14438" s="39"/>
    </row>
    <row r="14439">
      <c r="D14439" s="39"/>
      <c r="E14439" s="39"/>
      <c r="F14439" s="39"/>
    </row>
    <row r="14440">
      <c r="D14440" s="39"/>
      <c r="E14440" s="39"/>
      <c r="F14440" s="39"/>
    </row>
    <row r="14441">
      <c r="D14441" s="39"/>
      <c r="E14441" s="39"/>
      <c r="F14441" s="39"/>
    </row>
    <row r="14442">
      <c r="D14442" s="39"/>
      <c r="E14442" s="39"/>
      <c r="F14442" s="39"/>
    </row>
    <row r="14443">
      <c r="D14443" s="39"/>
      <c r="E14443" s="39"/>
      <c r="F14443" s="39"/>
    </row>
    <row r="14444">
      <c r="D14444" s="39"/>
      <c r="E14444" s="39"/>
      <c r="F14444" s="39"/>
    </row>
    <row r="14445">
      <c r="D14445" s="39"/>
      <c r="E14445" s="39"/>
      <c r="F14445" s="39"/>
    </row>
    <row r="14446">
      <c r="D14446" s="39"/>
      <c r="E14446" s="39"/>
      <c r="F14446" s="39"/>
    </row>
    <row r="14447">
      <c r="D14447" s="39"/>
      <c r="E14447" s="39"/>
      <c r="F14447" s="39"/>
    </row>
    <row r="14448">
      <c r="D14448" s="39"/>
      <c r="E14448" s="39"/>
      <c r="F14448" s="39"/>
    </row>
    <row r="14449">
      <c r="D14449" s="39"/>
      <c r="E14449" s="39"/>
      <c r="F14449" s="39"/>
    </row>
    <row r="14450">
      <c r="D14450" s="39"/>
      <c r="E14450" s="39"/>
      <c r="F14450" s="39"/>
    </row>
    <row r="14451">
      <c r="D14451" s="39"/>
      <c r="E14451" s="39"/>
      <c r="F14451" s="39"/>
    </row>
    <row r="14452">
      <c r="D14452" s="39"/>
      <c r="E14452" s="39"/>
      <c r="F14452" s="39"/>
    </row>
    <row r="14453">
      <c r="D14453" s="39"/>
      <c r="E14453" s="39"/>
      <c r="F14453" s="39"/>
    </row>
    <row r="14454">
      <c r="D14454" s="39"/>
      <c r="E14454" s="39"/>
      <c r="F14454" s="39"/>
    </row>
    <row r="14455">
      <c r="D14455" s="39"/>
      <c r="E14455" s="39"/>
      <c r="F14455" s="39"/>
    </row>
    <row r="14456">
      <c r="D14456" s="39"/>
      <c r="E14456" s="39"/>
      <c r="F14456" s="39"/>
    </row>
    <row r="14457">
      <c r="D14457" s="39"/>
      <c r="E14457" s="39"/>
      <c r="F14457" s="39"/>
    </row>
    <row r="14458">
      <c r="D14458" s="39"/>
      <c r="E14458" s="39"/>
      <c r="F14458" s="39"/>
    </row>
    <row r="14459">
      <c r="D14459" s="39"/>
      <c r="E14459" s="39"/>
      <c r="F14459" s="39"/>
    </row>
    <row r="14460">
      <c r="D14460" s="39"/>
      <c r="E14460" s="39"/>
      <c r="F14460" s="39"/>
    </row>
    <row r="14461">
      <c r="D14461" s="39"/>
      <c r="E14461" s="39"/>
      <c r="F14461" s="39"/>
    </row>
    <row r="14462">
      <c r="D14462" s="39"/>
      <c r="E14462" s="39"/>
      <c r="F14462" s="39"/>
    </row>
    <row r="14463">
      <c r="D14463" s="39"/>
      <c r="E14463" s="39"/>
      <c r="F14463" s="39"/>
    </row>
    <row r="14464">
      <c r="D14464" s="39"/>
      <c r="E14464" s="39"/>
      <c r="F14464" s="39"/>
    </row>
    <row r="14465">
      <c r="D14465" s="39"/>
      <c r="E14465" s="39"/>
      <c r="F14465" s="39"/>
    </row>
    <row r="14466">
      <c r="D14466" s="39"/>
      <c r="E14466" s="39"/>
      <c r="F14466" s="39"/>
    </row>
    <row r="14467">
      <c r="D14467" s="39"/>
      <c r="E14467" s="39"/>
      <c r="F14467" s="39"/>
    </row>
    <row r="14468">
      <c r="D14468" s="39"/>
      <c r="E14468" s="39"/>
      <c r="F14468" s="39"/>
    </row>
    <row r="14469">
      <c r="D14469" s="39"/>
      <c r="E14469" s="39"/>
      <c r="F14469" s="39"/>
    </row>
    <row r="14470">
      <c r="D14470" s="39"/>
      <c r="E14470" s="39"/>
      <c r="F14470" s="39"/>
    </row>
    <row r="14471">
      <c r="D14471" s="39"/>
      <c r="E14471" s="39"/>
      <c r="F14471" s="39"/>
    </row>
    <row r="14472">
      <c r="D14472" s="39"/>
      <c r="E14472" s="39"/>
      <c r="F14472" s="39"/>
    </row>
    <row r="14473">
      <c r="D14473" s="39"/>
      <c r="E14473" s="39"/>
      <c r="F14473" s="39"/>
    </row>
    <row r="14474">
      <c r="D14474" s="39"/>
      <c r="E14474" s="39"/>
      <c r="F14474" s="39"/>
    </row>
    <row r="14475">
      <c r="D14475" s="39"/>
      <c r="E14475" s="39"/>
      <c r="F14475" s="39"/>
    </row>
    <row r="14476">
      <c r="D14476" s="39"/>
      <c r="E14476" s="39"/>
      <c r="F14476" s="39"/>
    </row>
    <row r="14477">
      <c r="D14477" s="39"/>
      <c r="E14477" s="39"/>
      <c r="F14477" s="39"/>
    </row>
    <row r="14478">
      <c r="D14478" s="39"/>
      <c r="E14478" s="39"/>
      <c r="F14478" s="39"/>
    </row>
    <row r="14479">
      <c r="D14479" s="39"/>
      <c r="E14479" s="39"/>
      <c r="F14479" s="39"/>
    </row>
    <row r="14480">
      <c r="D14480" s="39"/>
      <c r="E14480" s="39"/>
      <c r="F14480" s="39"/>
    </row>
    <row r="14481">
      <c r="D14481" s="39"/>
      <c r="E14481" s="39"/>
      <c r="F14481" s="39"/>
    </row>
    <row r="14482">
      <c r="D14482" s="39"/>
      <c r="E14482" s="39"/>
      <c r="F14482" s="39"/>
    </row>
    <row r="14483">
      <c r="D14483" s="39"/>
      <c r="E14483" s="39"/>
      <c r="F14483" s="39"/>
    </row>
    <row r="14484">
      <c r="D14484" s="39"/>
      <c r="E14484" s="39"/>
      <c r="F14484" s="39"/>
    </row>
    <row r="14485">
      <c r="D14485" s="39"/>
      <c r="E14485" s="39"/>
      <c r="F14485" s="39"/>
    </row>
    <row r="14486">
      <c r="D14486" s="39"/>
      <c r="E14486" s="39"/>
      <c r="F14486" s="39"/>
    </row>
    <row r="14487">
      <c r="D14487" s="39"/>
      <c r="E14487" s="39"/>
      <c r="F14487" s="39"/>
    </row>
    <row r="14488">
      <c r="D14488" s="39"/>
      <c r="E14488" s="39"/>
      <c r="F14488" s="39"/>
    </row>
    <row r="14489">
      <c r="D14489" s="39"/>
      <c r="E14489" s="39"/>
      <c r="F14489" s="39"/>
    </row>
    <row r="14490">
      <c r="D14490" s="39"/>
      <c r="E14490" s="39"/>
      <c r="F14490" s="39"/>
    </row>
    <row r="14491">
      <c r="D14491" s="39"/>
      <c r="E14491" s="39"/>
      <c r="F14491" s="39"/>
    </row>
    <row r="14492">
      <c r="D14492" s="39"/>
      <c r="E14492" s="39"/>
      <c r="F14492" s="39"/>
    </row>
    <row r="14493">
      <c r="D14493" s="39"/>
      <c r="E14493" s="39"/>
      <c r="F14493" s="39"/>
    </row>
    <row r="14494">
      <c r="D14494" s="39"/>
      <c r="E14494" s="39"/>
      <c r="F14494" s="39"/>
    </row>
    <row r="14495">
      <c r="D14495" s="39"/>
      <c r="E14495" s="39"/>
      <c r="F14495" s="39"/>
    </row>
    <row r="14496">
      <c r="D14496" s="39"/>
      <c r="E14496" s="39"/>
      <c r="F14496" s="39"/>
    </row>
    <row r="14497">
      <c r="D14497" s="39"/>
      <c r="E14497" s="39"/>
      <c r="F14497" s="39"/>
    </row>
    <row r="14498">
      <c r="D14498" s="39"/>
      <c r="E14498" s="39"/>
      <c r="F14498" s="39"/>
    </row>
    <row r="14499">
      <c r="D14499" s="39"/>
      <c r="E14499" s="39"/>
      <c r="F14499" s="39"/>
    </row>
    <row r="14500">
      <c r="D14500" s="39"/>
      <c r="E14500" s="39"/>
      <c r="F14500" s="39"/>
    </row>
    <row r="14501">
      <c r="D14501" s="39"/>
      <c r="E14501" s="39"/>
      <c r="F14501" s="39"/>
    </row>
    <row r="14502">
      <c r="D14502" s="39"/>
      <c r="E14502" s="39"/>
      <c r="F14502" s="39"/>
    </row>
    <row r="14503">
      <c r="D14503" s="39"/>
      <c r="E14503" s="39"/>
      <c r="F14503" s="39"/>
    </row>
    <row r="14504">
      <c r="D14504" s="39"/>
      <c r="E14504" s="39"/>
      <c r="F14504" s="39"/>
    </row>
    <row r="14505">
      <c r="D14505" s="39"/>
      <c r="E14505" s="39"/>
      <c r="F14505" s="39"/>
    </row>
    <row r="14506">
      <c r="D14506" s="39"/>
      <c r="E14506" s="39"/>
      <c r="F14506" s="39"/>
    </row>
    <row r="14507">
      <c r="D14507" s="39"/>
      <c r="E14507" s="39"/>
      <c r="F14507" s="39"/>
    </row>
    <row r="14508">
      <c r="D14508" s="39"/>
      <c r="E14508" s="39"/>
      <c r="F14508" s="39"/>
    </row>
    <row r="14509">
      <c r="D14509" s="39"/>
      <c r="E14509" s="39"/>
      <c r="F14509" s="39"/>
    </row>
    <row r="14510">
      <c r="D14510" s="39"/>
      <c r="E14510" s="39"/>
      <c r="F14510" s="39"/>
    </row>
    <row r="14511">
      <c r="D14511" s="39"/>
      <c r="E14511" s="39"/>
      <c r="F14511" s="39"/>
    </row>
    <row r="14512">
      <c r="D14512" s="39"/>
      <c r="E14512" s="39"/>
      <c r="F14512" s="39"/>
    </row>
    <row r="14513">
      <c r="D14513" s="39"/>
      <c r="E14513" s="39"/>
      <c r="F14513" s="39"/>
    </row>
    <row r="14514">
      <c r="D14514" s="39"/>
      <c r="E14514" s="39"/>
      <c r="F14514" s="39"/>
    </row>
    <row r="14515">
      <c r="D14515" s="39"/>
      <c r="E14515" s="39"/>
      <c r="F14515" s="39"/>
    </row>
    <row r="14516">
      <c r="D14516" s="39"/>
      <c r="E14516" s="39"/>
      <c r="F14516" s="39"/>
    </row>
    <row r="14517">
      <c r="D14517" s="39"/>
      <c r="E14517" s="39"/>
      <c r="F14517" s="39"/>
    </row>
    <row r="14518">
      <c r="D14518" s="39"/>
      <c r="E14518" s="39"/>
      <c r="F14518" s="39"/>
    </row>
    <row r="14519">
      <c r="D14519" s="39"/>
      <c r="E14519" s="39"/>
      <c r="F14519" s="39"/>
    </row>
    <row r="14520">
      <c r="D14520" s="39"/>
      <c r="E14520" s="39"/>
      <c r="F14520" s="39"/>
    </row>
    <row r="14521">
      <c r="D14521" s="39"/>
      <c r="E14521" s="39"/>
      <c r="F14521" s="39"/>
    </row>
    <row r="14522">
      <c r="D14522" s="39"/>
      <c r="E14522" s="39"/>
      <c r="F14522" s="39"/>
    </row>
    <row r="14523">
      <c r="D14523" s="39"/>
      <c r="E14523" s="39"/>
      <c r="F14523" s="39"/>
    </row>
    <row r="14524">
      <c r="D14524" s="39"/>
      <c r="E14524" s="39"/>
      <c r="F14524" s="39"/>
    </row>
    <row r="14525">
      <c r="D14525" s="39"/>
      <c r="E14525" s="39"/>
      <c r="F14525" s="39"/>
    </row>
    <row r="14526">
      <c r="D14526" s="39"/>
      <c r="E14526" s="39"/>
      <c r="F14526" s="39"/>
    </row>
    <row r="14527">
      <c r="D14527" s="39"/>
      <c r="E14527" s="39"/>
      <c r="F14527" s="39"/>
    </row>
    <row r="14528">
      <c r="D14528" s="39"/>
      <c r="E14528" s="39"/>
      <c r="F14528" s="39"/>
    </row>
    <row r="14529">
      <c r="D14529" s="39"/>
      <c r="E14529" s="39"/>
      <c r="F14529" s="39"/>
    </row>
    <row r="14530">
      <c r="D14530" s="39"/>
      <c r="E14530" s="39"/>
      <c r="F14530" s="39"/>
    </row>
    <row r="14531">
      <c r="D14531" s="39"/>
      <c r="E14531" s="39"/>
      <c r="F14531" s="39"/>
    </row>
    <row r="14532">
      <c r="D14532" s="39"/>
      <c r="E14532" s="39"/>
      <c r="F14532" s="39"/>
    </row>
    <row r="14533">
      <c r="D14533" s="39"/>
      <c r="E14533" s="39"/>
      <c r="F14533" s="39"/>
    </row>
    <row r="14534">
      <c r="D14534" s="39"/>
      <c r="E14534" s="39"/>
      <c r="F14534" s="39"/>
    </row>
    <row r="14535">
      <c r="D14535" s="39"/>
      <c r="E14535" s="39"/>
      <c r="F14535" s="39"/>
    </row>
    <row r="14536">
      <c r="D14536" s="39"/>
      <c r="E14536" s="39"/>
      <c r="F14536" s="39"/>
    </row>
    <row r="14537">
      <c r="D14537" s="39"/>
      <c r="E14537" s="39"/>
      <c r="F14537" s="39"/>
    </row>
    <row r="14538">
      <c r="D14538" s="39"/>
      <c r="E14538" s="39"/>
      <c r="F14538" s="39"/>
    </row>
    <row r="14539">
      <c r="D14539" s="39"/>
      <c r="E14539" s="39"/>
      <c r="F14539" s="39"/>
    </row>
    <row r="14540">
      <c r="D14540" s="39"/>
      <c r="E14540" s="39"/>
      <c r="F14540" s="39"/>
    </row>
    <row r="14541">
      <c r="D14541" s="39"/>
      <c r="E14541" s="39"/>
      <c r="F14541" s="39"/>
    </row>
    <row r="14542">
      <c r="D14542" s="39"/>
      <c r="E14542" s="39"/>
      <c r="F14542" s="39"/>
    </row>
    <row r="14543">
      <c r="D14543" s="39"/>
      <c r="E14543" s="39"/>
      <c r="F14543" s="39"/>
    </row>
    <row r="14544">
      <c r="D14544" s="39"/>
      <c r="E14544" s="39"/>
      <c r="F14544" s="39"/>
    </row>
    <row r="14545">
      <c r="D14545" s="39"/>
      <c r="E14545" s="39"/>
      <c r="F14545" s="39"/>
    </row>
    <row r="14546">
      <c r="D14546" s="39"/>
      <c r="E14546" s="39"/>
      <c r="F14546" s="39"/>
    </row>
    <row r="14547">
      <c r="D14547" s="39"/>
      <c r="E14547" s="39"/>
      <c r="F14547" s="39"/>
    </row>
    <row r="14548">
      <c r="D14548" s="39"/>
      <c r="E14548" s="39"/>
      <c r="F14548" s="39"/>
    </row>
    <row r="14549">
      <c r="D14549" s="39"/>
      <c r="E14549" s="39"/>
      <c r="F14549" s="39"/>
    </row>
    <row r="14550">
      <c r="D14550" s="39"/>
      <c r="E14550" s="39"/>
      <c r="F14550" s="39"/>
    </row>
    <row r="14551">
      <c r="D14551" s="39"/>
      <c r="E14551" s="39"/>
      <c r="F14551" s="39"/>
    </row>
    <row r="14552">
      <c r="D14552" s="39"/>
      <c r="E14552" s="39"/>
      <c r="F14552" s="39"/>
    </row>
    <row r="14553">
      <c r="D14553" s="39"/>
      <c r="E14553" s="39"/>
      <c r="F14553" s="39"/>
    </row>
    <row r="14554">
      <c r="D14554" s="39"/>
      <c r="E14554" s="39"/>
      <c r="F14554" s="39"/>
    </row>
    <row r="14555">
      <c r="D14555" s="39"/>
      <c r="E14555" s="39"/>
      <c r="F14555" s="39"/>
    </row>
    <row r="14556">
      <c r="D14556" s="39"/>
      <c r="E14556" s="39"/>
      <c r="F14556" s="39"/>
    </row>
    <row r="14557">
      <c r="D14557" s="39"/>
      <c r="E14557" s="39"/>
      <c r="F14557" s="39"/>
    </row>
    <row r="14558">
      <c r="D14558" s="39"/>
      <c r="E14558" s="39"/>
      <c r="F14558" s="39"/>
    </row>
    <row r="14559">
      <c r="D14559" s="39"/>
      <c r="E14559" s="39"/>
      <c r="F14559" s="39"/>
    </row>
    <row r="14560">
      <c r="D14560" s="39"/>
      <c r="E14560" s="39"/>
      <c r="F14560" s="39"/>
    </row>
    <row r="14561">
      <c r="D14561" s="39"/>
      <c r="E14561" s="39"/>
      <c r="F14561" s="39"/>
    </row>
    <row r="14562">
      <c r="D14562" s="39"/>
      <c r="E14562" s="39"/>
      <c r="F14562" s="39"/>
    </row>
    <row r="14563">
      <c r="D14563" s="39"/>
      <c r="E14563" s="39"/>
      <c r="F14563" s="39"/>
    </row>
    <row r="14564">
      <c r="D14564" s="39"/>
      <c r="E14564" s="39"/>
      <c r="F14564" s="39"/>
    </row>
    <row r="14565">
      <c r="D14565" s="39"/>
      <c r="E14565" s="39"/>
      <c r="F14565" s="39"/>
    </row>
    <row r="14566">
      <c r="D14566" s="39"/>
      <c r="E14566" s="39"/>
      <c r="F14566" s="39"/>
    </row>
    <row r="14567">
      <c r="D14567" s="39"/>
      <c r="E14567" s="39"/>
      <c r="F14567" s="39"/>
    </row>
    <row r="14568">
      <c r="D14568" s="39"/>
      <c r="E14568" s="39"/>
      <c r="F14568" s="39"/>
    </row>
    <row r="14569">
      <c r="D14569" s="39"/>
      <c r="E14569" s="39"/>
      <c r="F14569" s="39"/>
    </row>
    <row r="14570">
      <c r="D14570" s="39"/>
      <c r="E14570" s="39"/>
      <c r="F14570" s="39"/>
    </row>
    <row r="14571">
      <c r="D14571" s="39"/>
      <c r="E14571" s="39"/>
      <c r="F14571" s="39"/>
    </row>
    <row r="14572">
      <c r="D14572" s="39"/>
      <c r="E14572" s="39"/>
      <c r="F14572" s="39"/>
    </row>
    <row r="14573">
      <c r="D14573" s="39"/>
      <c r="E14573" s="39"/>
      <c r="F14573" s="39"/>
    </row>
    <row r="14574">
      <c r="D14574" s="39"/>
      <c r="E14574" s="39"/>
      <c r="F14574" s="39"/>
    </row>
    <row r="14575">
      <c r="D14575" s="39"/>
      <c r="E14575" s="39"/>
      <c r="F14575" s="39"/>
    </row>
    <row r="14576">
      <c r="D14576" s="39"/>
      <c r="E14576" s="39"/>
      <c r="F14576" s="39"/>
    </row>
    <row r="14577">
      <c r="D14577" s="39"/>
      <c r="E14577" s="39"/>
      <c r="F14577" s="39"/>
    </row>
    <row r="14578">
      <c r="D14578" s="39"/>
      <c r="E14578" s="39"/>
      <c r="F14578" s="39"/>
    </row>
    <row r="14579">
      <c r="D14579" s="39"/>
      <c r="E14579" s="39"/>
      <c r="F14579" s="39"/>
    </row>
    <row r="14580">
      <c r="D14580" s="39"/>
      <c r="E14580" s="39"/>
      <c r="F14580" s="39"/>
    </row>
    <row r="14581">
      <c r="D14581" s="39"/>
      <c r="E14581" s="39"/>
      <c r="F14581" s="39"/>
    </row>
    <row r="14582">
      <c r="D14582" s="39"/>
      <c r="E14582" s="39"/>
      <c r="F14582" s="39"/>
    </row>
    <row r="14583">
      <c r="D14583" s="39"/>
      <c r="E14583" s="39"/>
      <c r="F14583" s="39"/>
    </row>
    <row r="14584">
      <c r="D14584" s="39"/>
      <c r="E14584" s="39"/>
      <c r="F14584" s="39"/>
    </row>
    <row r="14585">
      <c r="D14585" s="39"/>
      <c r="E14585" s="39"/>
      <c r="F14585" s="39"/>
    </row>
    <row r="14586">
      <c r="D14586" s="39"/>
      <c r="E14586" s="39"/>
      <c r="F14586" s="39"/>
    </row>
    <row r="14587">
      <c r="D14587" s="39"/>
      <c r="E14587" s="39"/>
      <c r="F14587" s="39"/>
    </row>
    <row r="14588">
      <c r="D14588" s="39"/>
      <c r="E14588" s="39"/>
      <c r="F14588" s="39"/>
    </row>
    <row r="14589">
      <c r="D14589" s="39"/>
      <c r="E14589" s="39"/>
      <c r="F14589" s="39"/>
    </row>
    <row r="14590">
      <c r="D14590" s="39"/>
      <c r="E14590" s="39"/>
      <c r="F14590" s="39"/>
    </row>
    <row r="14591">
      <c r="D14591" s="39"/>
      <c r="E14591" s="39"/>
      <c r="F14591" s="39"/>
    </row>
    <row r="14592">
      <c r="D14592" s="39"/>
      <c r="E14592" s="39"/>
      <c r="F14592" s="39"/>
    </row>
    <row r="14593">
      <c r="D14593" s="39"/>
      <c r="E14593" s="39"/>
      <c r="F14593" s="39"/>
    </row>
    <row r="14594">
      <c r="D14594" s="39"/>
      <c r="E14594" s="39"/>
      <c r="F14594" s="39"/>
    </row>
    <row r="14595">
      <c r="D14595" s="39"/>
      <c r="E14595" s="39"/>
      <c r="F14595" s="39"/>
    </row>
    <row r="14596">
      <c r="D14596" s="39"/>
      <c r="E14596" s="39"/>
      <c r="F14596" s="39"/>
    </row>
    <row r="14597">
      <c r="D14597" s="39"/>
      <c r="E14597" s="39"/>
      <c r="F14597" s="39"/>
    </row>
    <row r="14598">
      <c r="D14598" s="39"/>
      <c r="E14598" s="39"/>
      <c r="F14598" s="39"/>
    </row>
    <row r="14599">
      <c r="D14599" s="39"/>
      <c r="E14599" s="39"/>
      <c r="F14599" s="39"/>
    </row>
    <row r="14600">
      <c r="D14600" s="39"/>
      <c r="E14600" s="39"/>
      <c r="F14600" s="39"/>
    </row>
    <row r="14601">
      <c r="D14601" s="39"/>
      <c r="E14601" s="39"/>
      <c r="F14601" s="39"/>
    </row>
    <row r="14602">
      <c r="D14602" s="39"/>
      <c r="E14602" s="39"/>
      <c r="F14602" s="39"/>
    </row>
    <row r="14603">
      <c r="D14603" s="39"/>
      <c r="E14603" s="39"/>
      <c r="F14603" s="39"/>
    </row>
    <row r="14604">
      <c r="D14604" s="39"/>
      <c r="E14604" s="39"/>
      <c r="F14604" s="39"/>
    </row>
    <row r="14605">
      <c r="D14605" s="39"/>
      <c r="E14605" s="39"/>
      <c r="F14605" s="39"/>
    </row>
    <row r="14606">
      <c r="D14606" s="39"/>
      <c r="E14606" s="39"/>
      <c r="F14606" s="39"/>
    </row>
    <row r="14607">
      <c r="D14607" s="39"/>
      <c r="E14607" s="39"/>
      <c r="F14607" s="39"/>
    </row>
    <row r="14608">
      <c r="D14608" s="39"/>
      <c r="E14608" s="39"/>
      <c r="F14608" s="39"/>
    </row>
    <row r="14609">
      <c r="D14609" s="39"/>
      <c r="E14609" s="39"/>
      <c r="F14609" s="39"/>
    </row>
    <row r="14610">
      <c r="D14610" s="39"/>
      <c r="E14610" s="39"/>
      <c r="F14610" s="39"/>
    </row>
    <row r="14611">
      <c r="D14611" s="39"/>
      <c r="E14611" s="39"/>
      <c r="F14611" s="39"/>
    </row>
    <row r="14612">
      <c r="D14612" s="39"/>
      <c r="E14612" s="39"/>
      <c r="F14612" s="39"/>
    </row>
    <row r="14613">
      <c r="D14613" s="39"/>
      <c r="E14613" s="39"/>
      <c r="F14613" s="39"/>
    </row>
    <row r="14614">
      <c r="D14614" s="39"/>
      <c r="E14614" s="39"/>
      <c r="F14614" s="39"/>
    </row>
    <row r="14615">
      <c r="D14615" s="39"/>
      <c r="E14615" s="39"/>
      <c r="F14615" s="39"/>
    </row>
    <row r="14616">
      <c r="D14616" s="39"/>
      <c r="E14616" s="39"/>
      <c r="F14616" s="39"/>
    </row>
    <row r="14617">
      <c r="D14617" s="39"/>
      <c r="E14617" s="39"/>
      <c r="F14617" s="39"/>
    </row>
    <row r="14618">
      <c r="D14618" s="39"/>
      <c r="E14618" s="39"/>
      <c r="F14618" s="39"/>
    </row>
    <row r="14619">
      <c r="D14619" s="39"/>
      <c r="E14619" s="39"/>
      <c r="F14619" s="39"/>
    </row>
    <row r="14620">
      <c r="D14620" s="39"/>
      <c r="E14620" s="39"/>
      <c r="F14620" s="39"/>
    </row>
    <row r="14621">
      <c r="D14621" s="39"/>
      <c r="E14621" s="39"/>
      <c r="F14621" s="39"/>
    </row>
    <row r="14622">
      <c r="D14622" s="39"/>
      <c r="E14622" s="39"/>
      <c r="F14622" s="39"/>
    </row>
    <row r="14623">
      <c r="D14623" s="39"/>
      <c r="E14623" s="39"/>
      <c r="F14623" s="39"/>
    </row>
    <row r="14624">
      <c r="D14624" s="39"/>
      <c r="E14624" s="39"/>
      <c r="F14624" s="39"/>
    </row>
    <row r="14625">
      <c r="D14625" s="39"/>
      <c r="E14625" s="39"/>
      <c r="F14625" s="39"/>
    </row>
    <row r="14626">
      <c r="D14626" s="39"/>
      <c r="E14626" s="39"/>
      <c r="F14626" s="39"/>
    </row>
    <row r="14627">
      <c r="D14627" s="39"/>
      <c r="E14627" s="39"/>
      <c r="F14627" s="39"/>
    </row>
    <row r="14628">
      <c r="D14628" s="39"/>
      <c r="E14628" s="39"/>
      <c r="F14628" s="39"/>
    </row>
    <row r="14629">
      <c r="D14629" s="39"/>
      <c r="E14629" s="39"/>
      <c r="F14629" s="39"/>
    </row>
    <row r="14630">
      <c r="D14630" s="39"/>
      <c r="E14630" s="39"/>
      <c r="F14630" s="39"/>
    </row>
    <row r="14631">
      <c r="D14631" s="39"/>
      <c r="E14631" s="39"/>
      <c r="F14631" s="39"/>
    </row>
    <row r="14632">
      <c r="D14632" s="39"/>
      <c r="E14632" s="39"/>
      <c r="F14632" s="39"/>
    </row>
    <row r="14633">
      <c r="D14633" s="39"/>
      <c r="E14633" s="39"/>
      <c r="F14633" s="39"/>
    </row>
    <row r="14634">
      <c r="D14634" s="39"/>
      <c r="E14634" s="39"/>
      <c r="F14634" s="39"/>
    </row>
    <row r="14635">
      <c r="D14635" s="39"/>
      <c r="E14635" s="39"/>
      <c r="F14635" s="39"/>
    </row>
    <row r="14636">
      <c r="D14636" s="39"/>
      <c r="E14636" s="39"/>
      <c r="F14636" s="39"/>
    </row>
    <row r="14637">
      <c r="D14637" s="39"/>
      <c r="E14637" s="39"/>
      <c r="F14637" s="39"/>
    </row>
    <row r="14638">
      <c r="D14638" s="39"/>
      <c r="E14638" s="39"/>
      <c r="F14638" s="39"/>
    </row>
    <row r="14639">
      <c r="D14639" s="39"/>
      <c r="E14639" s="39"/>
      <c r="F14639" s="39"/>
    </row>
    <row r="14640">
      <c r="D14640" s="39"/>
      <c r="E14640" s="39"/>
      <c r="F14640" s="39"/>
    </row>
    <row r="14641">
      <c r="D14641" s="39"/>
      <c r="E14641" s="39"/>
      <c r="F14641" s="39"/>
    </row>
    <row r="14642">
      <c r="D14642" s="39"/>
      <c r="E14642" s="39"/>
      <c r="F14642" s="39"/>
    </row>
    <row r="14643">
      <c r="D14643" s="39"/>
      <c r="E14643" s="39"/>
      <c r="F14643" s="39"/>
    </row>
    <row r="14644">
      <c r="D14644" s="39"/>
      <c r="E14644" s="39"/>
      <c r="F14644" s="39"/>
    </row>
    <row r="14645">
      <c r="D14645" s="39"/>
      <c r="E14645" s="39"/>
      <c r="F14645" s="39"/>
    </row>
    <row r="14646">
      <c r="D14646" s="39"/>
      <c r="E14646" s="39"/>
      <c r="F14646" s="39"/>
    </row>
    <row r="14647">
      <c r="D14647" s="39"/>
      <c r="E14647" s="39"/>
      <c r="F14647" s="39"/>
    </row>
    <row r="14648">
      <c r="D14648" s="39"/>
      <c r="E14648" s="39"/>
      <c r="F14648" s="39"/>
    </row>
    <row r="14649">
      <c r="D14649" s="39"/>
      <c r="E14649" s="39"/>
      <c r="F14649" s="39"/>
    </row>
    <row r="14650">
      <c r="D14650" s="39"/>
      <c r="E14650" s="39"/>
      <c r="F14650" s="39"/>
    </row>
    <row r="14651">
      <c r="D14651" s="39"/>
      <c r="E14651" s="39"/>
      <c r="F14651" s="39"/>
    </row>
    <row r="14652">
      <c r="D14652" s="39"/>
      <c r="E14652" s="39"/>
      <c r="F14652" s="39"/>
    </row>
    <row r="14653">
      <c r="D14653" s="39"/>
      <c r="E14653" s="39"/>
      <c r="F14653" s="39"/>
    </row>
    <row r="14654">
      <c r="D14654" s="39"/>
      <c r="E14654" s="39"/>
      <c r="F14654" s="39"/>
    </row>
    <row r="14655">
      <c r="D14655" s="39"/>
      <c r="E14655" s="39"/>
      <c r="F14655" s="39"/>
    </row>
    <row r="14656">
      <c r="D14656" s="39"/>
      <c r="E14656" s="39"/>
      <c r="F14656" s="39"/>
    </row>
    <row r="14657">
      <c r="D14657" s="39"/>
      <c r="E14657" s="39"/>
      <c r="F14657" s="39"/>
    </row>
    <row r="14658">
      <c r="D14658" s="39"/>
      <c r="E14658" s="39"/>
      <c r="F14658" s="39"/>
    </row>
    <row r="14659">
      <c r="D14659" s="39"/>
      <c r="E14659" s="39"/>
      <c r="F14659" s="39"/>
    </row>
    <row r="14660">
      <c r="D14660" s="39"/>
      <c r="E14660" s="39"/>
      <c r="F14660" s="39"/>
    </row>
    <row r="14661">
      <c r="D14661" s="39"/>
      <c r="E14661" s="39"/>
      <c r="F14661" s="39"/>
    </row>
    <row r="14662">
      <c r="D14662" s="39"/>
      <c r="E14662" s="39"/>
      <c r="F14662" s="39"/>
    </row>
    <row r="14663">
      <c r="D14663" s="39"/>
      <c r="E14663" s="39"/>
      <c r="F14663" s="39"/>
    </row>
    <row r="14664">
      <c r="D14664" s="39"/>
      <c r="E14664" s="39"/>
      <c r="F14664" s="39"/>
    </row>
    <row r="14665">
      <c r="D14665" s="39"/>
      <c r="E14665" s="39"/>
      <c r="F14665" s="39"/>
    </row>
    <row r="14666">
      <c r="D14666" s="39"/>
      <c r="E14666" s="39"/>
      <c r="F14666" s="39"/>
    </row>
    <row r="14667">
      <c r="D14667" s="39"/>
      <c r="E14667" s="39"/>
      <c r="F14667" s="39"/>
    </row>
    <row r="14668">
      <c r="D14668" s="39"/>
      <c r="E14668" s="39"/>
      <c r="F14668" s="39"/>
    </row>
    <row r="14669">
      <c r="D14669" s="39"/>
      <c r="E14669" s="39"/>
      <c r="F14669" s="39"/>
    </row>
    <row r="14670">
      <c r="D14670" s="39"/>
      <c r="E14670" s="39"/>
      <c r="F14670" s="39"/>
    </row>
    <row r="14671">
      <c r="D14671" s="39"/>
      <c r="E14671" s="39"/>
      <c r="F14671" s="39"/>
    </row>
    <row r="14672">
      <c r="D14672" s="39"/>
      <c r="E14672" s="39"/>
      <c r="F14672" s="39"/>
    </row>
    <row r="14673">
      <c r="D14673" s="39"/>
      <c r="E14673" s="39"/>
      <c r="F14673" s="39"/>
    </row>
    <row r="14674">
      <c r="D14674" s="39"/>
      <c r="E14674" s="39"/>
      <c r="F14674" s="39"/>
    </row>
    <row r="14675">
      <c r="D14675" s="39"/>
      <c r="E14675" s="39"/>
      <c r="F14675" s="39"/>
    </row>
    <row r="14676">
      <c r="D14676" s="39"/>
      <c r="E14676" s="39"/>
      <c r="F14676" s="39"/>
    </row>
    <row r="14677">
      <c r="D14677" s="39"/>
      <c r="E14677" s="39"/>
      <c r="F14677" s="39"/>
    </row>
    <row r="14678">
      <c r="D14678" s="39"/>
      <c r="E14678" s="39"/>
      <c r="F14678" s="39"/>
    </row>
    <row r="14679">
      <c r="D14679" s="39"/>
      <c r="E14679" s="39"/>
      <c r="F14679" s="39"/>
    </row>
    <row r="14680">
      <c r="D14680" s="39"/>
      <c r="E14680" s="39"/>
      <c r="F14680" s="39"/>
    </row>
    <row r="14681">
      <c r="D14681" s="39"/>
      <c r="E14681" s="39"/>
      <c r="F14681" s="39"/>
    </row>
    <row r="14682">
      <c r="D14682" s="39"/>
      <c r="E14682" s="39"/>
      <c r="F14682" s="39"/>
    </row>
    <row r="14683">
      <c r="D14683" s="39"/>
      <c r="E14683" s="39"/>
      <c r="F14683" s="39"/>
    </row>
    <row r="14684">
      <c r="D14684" s="39"/>
      <c r="E14684" s="39"/>
      <c r="F14684" s="39"/>
    </row>
    <row r="14685">
      <c r="D14685" s="39"/>
      <c r="E14685" s="39"/>
      <c r="F14685" s="39"/>
    </row>
    <row r="14686">
      <c r="D14686" s="39"/>
      <c r="E14686" s="39"/>
      <c r="F14686" s="39"/>
    </row>
    <row r="14687">
      <c r="D14687" s="39"/>
      <c r="E14687" s="39"/>
      <c r="F14687" s="39"/>
    </row>
    <row r="14688">
      <c r="D14688" s="39"/>
      <c r="E14688" s="39"/>
      <c r="F14688" s="39"/>
    </row>
    <row r="14689">
      <c r="D14689" s="39"/>
      <c r="E14689" s="39"/>
      <c r="F14689" s="39"/>
    </row>
    <row r="14690">
      <c r="D14690" s="39"/>
      <c r="E14690" s="39"/>
      <c r="F14690" s="39"/>
    </row>
    <row r="14691">
      <c r="D14691" s="39"/>
      <c r="E14691" s="39"/>
      <c r="F14691" s="39"/>
    </row>
    <row r="14692">
      <c r="D14692" s="39"/>
      <c r="E14692" s="39"/>
      <c r="F14692" s="39"/>
    </row>
    <row r="14693">
      <c r="D14693" s="39"/>
      <c r="E14693" s="39"/>
      <c r="F14693" s="39"/>
    </row>
    <row r="14694">
      <c r="D14694" s="39"/>
      <c r="E14694" s="39"/>
      <c r="F14694" s="39"/>
    </row>
    <row r="14695">
      <c r="D14695" s="39"/>
      <c r="E14695" s="39"/>
      <c r="F14695" s="39"/>
    </row>
    <row r="14696">
      <c r="D14696" s="39"/>
      <c r="E14696" s="39"/>
      <c r="F14696" s="39"/>
    </row>
    <row r="14697">
      <c r="D14697" s="39"/>
      <c r="E14697" s="39"/>
      <c r="F14697" s="39"/>
    </row>
    <row r="14698">
      <c r="D14698" s="39"/>
      <c r="E14698" s="39"/>
      <c r="F14698" s="39"/>
    </row>
    <row r="14699">
      <c r="D14699" s="39"/>
      <c r="E14699" s="39"/>
      <c r="F14699" s="39"/>
    </row>
    <row r="14700">
      <c r="D14700" s="39"/>
      <c r="E14700" s="39"/>
      <c r="F14700" s="39"/>
    </row>
    <row r="14701">
      <c r="D14701" s="39"/>
      <c r="E14701" s="39"/>
      <c r="F14701" s="39"/>
    </row>
    <row r="14702">
      <c r="D14702" s="39"/>
      <c r="E14702" s="39"/>
      <c r="F14702" s="39"/>
    </row>
    <row r="14703">
      <c r="D14703" s="39"/>
      <c r="E14703" s="39"/>
      <c r="F14703" s="39"/>
    </row>
    <row r="14704">
      <c r="D14704" s="39"/>
      <c r="E14704" s="39"/>
      <c r="F14704" s="39"/>
    </row>
    <row r="14705">
      <c r="D14705" s="39"/>
      <c r="E14705" s="39"/>
      <c r="F14705" s="39"/>
    </row>
    <row r="14706">
      <c r="D14706" s="39"/>
      <c r="E14706" s="39"/>
      <c r="F14706" s="39"/>
    </row>
    <row r="14707">
      <c r="D14707" s="39"/>
      <c r="E14707" s="39"/>
      <c r="F14707" s="39"/>
    </row>
    <row r="14708">
      <c r="D14708" s="39"/>
      <c r="E14708" s="39"/>
      <c r="F14708" s="39"/>
    </row>
    <row r="14709">
      <c r="D14709" s="39"/>
      <c r="E14709" s="39"/>
      <c r="F14709" s="39"/>
    </row>
    <row r="14710">
      <c r="D14710" s="39"/>
      <c r="E14710" s="39"/>
      <c r="F14710" s="39"/>
    </row>
    <row r="14711">
      <c r="D14711" s="39"/>
      <c r="E14711" s="39"/>
      <c r="F14711" s="39"/>
    </row>
    <row r="14712">
      <c r="D14712" s="39"/>
      <c r="E14712" s="39"/>
      <c r="F14712" s="39"/>
    </row>
    <row r="14713">
      <c r="D14713" s="39"/>
      <c r="E14713" s="39"/>
      <c r="F14713" s="39"/>
    </row>
    <row r="14714">
      <c r="D14714" s="39"/>
      <c r="E14714" s="39"/>
      <c r="F14714" s="39"/>
    </row>
    <row r="14715">
      <c r="D14715" s="39"/>
      <c r="E14715" s="39"/>
      <c r="F14715" s="39"/>
    </row>
    <row r="14716">
      <c r="D14716" s="39"/>
      <c r="E14716" s="39"/>
      <c r="F14716" s="39"/>
    </row>
    <row r="14717">
      <c r="D14717" s="39"/>
      <c r="E14717" s="39"/>
      <c r="F14717" s="39"/>
    </row>
    <row r="14718">
      <c r="D14718" s="39"/>
      <c r="E14718" s="39"/>
      <c r="F14718" s="39"/>
    </row>
    <row r="14719">
      <c r="D14719" s="39"/>
      <c r="E14719" s="39"/>
      <c r="F14719" s="39"/>
    </row>
    <row r="14720">
      <c r="D14720" s="39"/>
      <c r="E14720" s="39"/>
      <c r="F14720" s="39"/>
    </row>
    <row r="14721">
      <c r="D14721" s="39"/>
      <c r="E14721" s="39"/>
      <c r="F14721" s="39"/>
    </row>
    <row r="14722">
      <c r="D14722" s="39"/>
      <c r="E14722" s="39"/>
      <c r="F14722" s="39"/>
    </row>
    <row r="14723">
      <c r="D14723" s="39"/>
      <c r="E14723" s="39"/>
      <c r="F14723" s="39"/>
    </row>
    <row r="14724">
      <c r="D14724" s="39"/>
      <c r="E14724" s="39"/>
      <c r="F14724" s="39"/>
    </row>
    <row r="14725">
      <c r="D14725" s="39"/>
      <c r="E14725" s="39"/>
      <c r="F14725" s="39"/>
    </row>
    <row r="14726">
      <c r="D14726" s="39"/>
      <c r="E14726" s="39"/>
      <c r="F14726" s="39"/>
    </row>
    <row r="14727">
      <c r="D14727" s="39"/>
      <c r="E14727" s="39"/>
      <c r="F14727" s="39"/>
    </row>
    <row r="14728">
      <c r="D14728" s="39"/>
      <c r="E14728" s="39"/>
      <c r="F14728" s="39"/>
    </row>
    <row r="14729">
      <c r="D14729" s="39"/>
      <c r="E14729" s="39"/>
      <c r="F14729" s="39"/>
    </row>
    <row r="14730">
      <c r="D14730" s="39"/>
      <c r="E14730" s="39"/>
      <c r="F14730" s="39"/>
    </row>
    <row r="14731">
      <c r="D14731" s="39"/>
      <c r="E14731" s="39"/>
      <c r="F14731" s="39"/>
    </row>
    <row r="14732">
      <c r="D14732" s="39"/>
      <c r="E14732" s="39"/>
      <c r="F14732" s="39"/>
    </row>
    <row r="14733">
      <c r="D14733" s="39"/>
      <c r="E14733" s="39"/>
      <c r="F14733" s="39"/>
    </row>
    <row r="14734">
      <c r="D14734" s="39"/>
      <c r="E14734" s="39"/>
      <c r="F14734" s="39"/>
    </row>
    <row r="14735">
      <c r="D14735" s="39"/>
      <c r="E14735" s="39"/>
      <c r="F14735" s="39"/>
    </row>
    <row r="14736">
      <c r="D14736" s="39"/>
      <c r="E14736" s="39"/>
      <c r="F14736" s="39"/>
    </row>
    <row r="14737">
      <c r="D14737" s="39"/>
      <c r="E14737" s="39"/>
      <c r="F14737" s="39"/>
    </row>
    <row r="14738">
      <c r="D14738" s="39"/>
      <c r="E14738" s="39"/>
      <c r="F14738" s="39"/>
    </row>
    <row r="14739">
      <c r="D14739" s="39"/>
      <c r="E14739" s="39"/>
      <c r="F14739" s="39"/>
    </row>
    <row r="14740">
      <c r="D14740" s="39"/>
      <c r="E14740" s="39"/>
      <c r="F14740" s="39"/>
    </row>
    <row r="14741">
      <c r="D14741" s="39"/>
      <c r="E14741" s="39"/>
      <c r="F14741" s="39"/>
    </row>
    <row r="14742">
      <c r="D14742" s="39"/>
      <c r="E14742" s="39"/>
      <c r="F14742" s="39"/>
    </row>
    <row r="14743">
      <c r="D14743" s="39"/>
      <c r="E14743" s="39"/>
      <c r="F14743" s="39"/>
    </row>
    <row r="14744">
      <c r="D14744" s="39"/>
      <c r="E14744" s="39"/>
      <c r="F14744" s="39"/>
    </row>
    <row r="14745">
      <c r="D14745" s="39"/>
      <c r="E14745" s="39"/>
      <c r="F14745" s="39"/>
    </row>
    <row r="14746">
      <c r="D14746" s="39"/>
      <c r="E14746" s="39"/>
      <c r="F14746" s="39"/>
    </row>
    <row r="14747">
      <c r="D14747" s="39"/>
      <c r="E14747" s="39"/>
      <c r="F14747" s="39"/>
    </row>
    <row r="14748">
      <c r="D14748" s="39"/>
      <c r="E14748" s="39"/>
      <c r="F14748" s="39"/>
    </row>
    <row r="14749">
      <c r="D14749" s="39"/>
      <c r="E14749" s="39"/>
      <c r="F14749" s="39"/>
    </row>
    <row r="14750">
      <c r="D14750" s="39"/>
      <c r="E14750" s="39"/>
      <c r="F14750" s="39"/>
    </row>
    <row r="14751">
      <c r="D14751" s="39"/>
      <c r="E14751" s="39"/>
      <c r="F14751" s="39"/>
    </row>
    <row r="14752">
      <c r="D14752" s="39"/>
      <c r="E14752" s="39"/>
      <c r="F14752" s="39"/>
    </row>
    <row r="14753">
      <c r="D14753" s="39"/>
      <c r="E14753" s="39"/>
      <c r="F14753" s="39"/>
    </row>
    <row r="14754">
      <c r="D14754" s="39"/>
      <c r="E14754" s="39"/>
      <c r="F14754" s="39"/>
    </row>
    <row r="14755">
      <c r="D14755" s="39"/>
      <c r="E14755" s="39"/>
      <c r="F14755" s="39"/>
    </row>
    <row r="14756">
      <c r="D14756" s="39"/>
      <c r="E14756" s="39"/>
      <c r="F14756" s="39"/>
    </row>
    <row r="14757">
      <c r="D14757" s="39"/>
      <c r="E14757" s="39"/>
      <c r="F14757" s="39"/>
    </row>
    <row r="14758">
      <c r="D14758" s="39"/>
      <c r="E14758" s="39"/>
      <c r="F14758" s="39"/>
    </row>
    <row r="14759">
      <c r="D14759" s="39"/>
      <c r="E14759" s="39"/>
      <c r="F14759" s="39"/>
    </row>
    <row r="14760">
      <c r="D14760" s="39"/>
      <c r="E14760" s="39"/>
      <c r="F14760" s="39"/>
    </row>
    <row r="14761">
      <c r="D14761" s="39"/>
      <c r="E14761" s="39"/>
      <c r="F14761" s="39"/>
    </row>
    <row r="14762">
      <c r="D14762" s="39"/>
      <c r="E14762" s="39"/>
      <c r="F14762" s="39"/>
    </row>
    <row r="14763">
      <c r="D14763" s="39"/>
      <c r="E14763" s="39"/>
      <c r="F14763" s="39"/>
    </row>
    <row r="14764">
      <c r="D14764" s="39"/>
      <c r="E14764" s="39"/>
      <c r="F14764" s="39"/>
    </row>
    <row r="14765">
      <c r="D14765" s="39"/>
      <c r="E14765" s="39"/>
      <c r="F14765" s="39"/>
    </row>
    <row r="14766">
      <c r="D14766" s="39"/>
      <c r="E14766" s="39"/>
      <c r="F14766" s="39"/>
    </row>
    <row r="14767">
      <c r="D14767" s="39"/>
      <c r="E14767" s="39"/>
      <c r="F14767" s="39"/>
    </row>
    <row r="14768">
      <c r="D14768" s="39"/>
      <c r="E14768" s="39"/>
      <c r="F14768" s="39"/>
    </row>
    <row r="14769">
      <c r="D14769" s="39"/>
      <c r="E14769" s="39"/>
      <c r="F14769" s="39"/>
    </row>
    <row r="14770">
      <c r="D14770" s="39"/>
      <c r="E14770" s="39"/>
      <c r="F14770" s="39"/>
    </row>
    <row r="14771">
      <c r="D14771" s="39"/>
      <c r="E14771" s="39"/>
      <c r="F14771" s="39"/>
    </row>
    <row r="14772">
      <c r="D14772" s="39"/>
      <c r="E14772" s="39"/>
      <c r="F14772" s="39"/>
    </row>
    <row r="14773">
      <c r="D14773" s="39"/>
      <c r="E14773" s="39"/>
      <c r="F14773" s="39"/>
    </row>
    <row r="14774">
      <c r="D14774" s="39"/>
      <c r="E14774" s="39"/>
      <c r="F14774" s="39"/>
    </row>
    <row r="14775">
      <c r="D14775" s="39"/>
      <c r="E14775" s="39"/>
      <c r="F14775" s="39"/>
    </row>
    <row r="14776">
      <c r="D14776" s="39"/>
      <c r="E14776" s="39"/>
      <c r="F14776" s="39"/>
    </row>
    <row r="14777">
      <c r="D14777" s="39"/>
      <c r="E14777" s="39"/>
      <c r="F14777" s="39"/>
    </row>
    <row r="14778">
      <c r="D14778" s="39"/>
      <c r="E14778" s="39"/>
      <c r="F14778" s="39"/>
    </row>
    <row r="14779">
      <c r="D14779" s="39"/>
      <c r="E14779" s="39"/>
      <c r="F14779" s="39"/>
    </row>
    <row r="14780">
      <c r="D14780" s="39"/>
      <c r="E14780" s="39"/>
      <c r="F14780" s="39"/>
    </row>
    <row r="14781">
      <c r="D14781" s="39"/>
      <c r="E14781" s="39"/>
      <c r="F14781" s="39"/>
    </row>
    <row r="14782">
      <c r="D14782" s="39"/>
      <c r="E14782" s="39"/>
      <c r="F14782" s="39"/>
    </row>
    <row r="14783">
      <c r="D14783" s="39"/>
      <c r="E14783" s="39"/>
      <c r="F14783" s="39"/>
    </row>
    <row r="14784">
      <c r="D14784" s="39"/>
      <c r="E14784" s="39"/>
      <c r="F14784" s="39"/>
    </row>
    <row r="14785">
      <c r="D14785" s="39"/>
      <c r="E14785" s="39"/>
      <c r="F14785" s="39"/>
    </row>
    <row r="14786">
      <c r="D14786" s="39"/>
      <c r="E14786" s="39"/>
      <c r="F14786" s="39"/>
    </row>
    <row r="14787">
      <c r="D14787" s="39"/>
      <c r="E14787" s="39"/>
      <c r="F14787" s="39"/>
    </row>
    <row r="14788">
      <c r="D14788" s="39"/>
      <c r="E14788" s="39"/>
      <c r="F14788" s="39"/>
    </row>
    <row r="14789">
      <c r="D14789" s="39"/>
      <c r="E14789" s="39"/>
      <c r="F14789" s="39"/>
    </row>
    <row r="14790">
      <c r="D14790" s="39"/>
      <c r="E14790" s="39"/>
      <c r="F14790" s="39"/>
    </row>
    <row r="14791">
      <c r="D14791" s="39"/>
      <c r="E14791" s="39"/>
      <c r="F14791" s="39"/>
    </row>
    <row r="14792">
      <c r="D14792" s="39"/>
      <c r="E14792" s="39"/>
      <c r="F14792" s="39"/>
    </row>
    <row r="14793">
      <c r="D14793" s="39"/>
      <c r="E14793" s="39"/>
      <c r="F14793" s="39"/>
    </row>
    <row r="14794">
      <c r="D14794" s="39"/>
      <c r="E14794" s="39"/>
      <c r="F14794" s="39"/>
    </row>
    <row r="14795">
      <c r="D14795" s="39"/>
      <c r="E14795" s="39"/>
      <c r="F14795" s="39"/>
    </row>
    <row r="14796">
      <c r="D14796" s="39"/>
      <c r="E14796" s="39"/>
      <c r="F14796" s="39"/>
    </row>
    <row r="14797">
      <c r="D14797" s="39"/>
      <c r="E14797" s="39"/>
      <c r="F14797" s="39"/>
    </row>
    <row r="14798">
      <c r="D14798" s="39"/>
      <c r="E14798" s="39"/>
      <c r="F14798" s="39"/>
    </row>
    <row r="14799">
      <c r="D14799" s="39"/>
      <c r="E14799" s="39"/>
      <c r="F14799" s="39"/>
    </row>
    <row r="14800">
      <c r="D14800" s="39"/>
      <c r="E14800" s="39"/>
      <c r="F14800" s="39"/>
    </row>
    <row r="14801">
      <c r="D14801" s="39"/>
      <c r="E14801" s="39"/>
      <c r="F14801" s="39"/>
    </row>
    <row r="14802">
      <c r="D14802" s="39"/>
      <c r="E14802" s="39"/>
      <c r="F14802" s="39"/>
    </row>
    <row r="14803">
      <c r="D14803" s="39"/>
      <c r="E14803" s="39"/>
      <c r="F14803" s="39"/>
    </row>
    <row r="14804">
      <c r="D14804" s="39"/>
      <c r="E14804" s="39"/>
      <c r="F14804" s="39"/>
    </row>
    <row r="14805">
      <c r="D14805" s="39"/>
      <c r="E14805" s="39"/>
      <c r="F14805" s="39"/>
    </row>
    <row r="14806">
      <c r="D14806" s="39"/>
      <c r="E14806" s="39"/>
      <c r="F14806" s="39"/>
    </row>
    <row r="14807">
      <c r="D14807" s="39"/>
      <c r="E14807" s="39"/>
      <c r="F14807" s="39"/>
    </row>
    <row r="14808">
      <c r="D14808" s="39"/>
      <c r="E14808" s="39"/>
      <c r="F14808" s="39"/>
    </row>
    <row r="14809">
      <c r="D14809" s="39"/>
      <c r="E14809" s="39"/>
      <c r="F14809" s="39"/>
    </row>
    <row r="14810">
      <c r="D14810" s="39"/>
      <c r="E14810" s="39"/>
      <c r="F14810" s="39"/>
    </row>
    <row r="14811">
      <c r="D14811" s="39"/>
      <c r="E14811" s="39"/>
      <c r="F14811" s="39"/>
    </row>
    <row r="14812">
      <c r="D14812" s="39"/>
      <c r="E14812" s="39"/>
      <c r="F14812" s="39"/>
    </row>
    <row r="14813">
      <c r="D14813" s="39"/>
      <c r="E14813" s="39"/>
      <c r="F14813" s="39"/>
    </row>
    <row r="14814">
      <c r="D14814" s="39"/>
      <c r="E14814" s="39"/>
      <c r="F14814" s="39"/>
    </row>
    <row r="14815">
      <c r="D14815" s="39"/>
      <c r="E14815" s="39"/>
      <c r="F14815" s="39"/>
    </row>
    <row r="14816">
      <c r="D14816" s="39"/>
      <c r="E14816" s="39"/>
      <c r="F14816" s="39"/>
    </row>
    <row r="14817">
      <c r="D14817" s="39"/>
      <c r="E14817" s="39"/>
      <c r="F14817" s="39"/>
    </row>
    <row r="14818">
      <c r="D14818" s="39"/>
      <c r="E14818" s="39"/>
      <c r="F14818" s="39"/>
    </row>
    <row r="14819">
      <c r="D14819" s="39"/>
      <c r="E14819" s="39"/>
      <c r="F14819" s="39"/>
    </row>
    <row r="14820">
      <c r="D14820" s="39"/>
      <c r="E14820" s="39"/>
      <c r="F14820" s="39"/>
    </row>
    <row r="14821">
      <c r="D14821" s="39"/>
      <c r="E14821" s="39"/>
      <c r="F14821" s="39"/>
    </row>
    <row r="14822">
      <c r="D14822" s="39"/>
      <c r="E14822" s="39"/>
      <c r="F14822" s="39"/>
    </row>
    <row r="14823">
      <c r="D14823" s="39"/>
      <c r="E14823" s="39"/>
      <c r="F14823" s="39"/>
    </row>
    <row r="14824">
      <c r="D14824" s="39"/>
      <c r="E14824" s="39"/>
      <c r="F14824" s="39"/>
    </row>
    <row r="14825">
      <c r="D14825" s="39"/>
      <c r="E14825" s="39"/>
      <c r="F14825" s="39"/>
    </row>
    <row r="14826">
      <c r="D14826" s="39"/>
      <c r="E14826" s="39"/>
      <c r="F14826" s="39"/>
    </row>
    <row r="14827">
      <c r="D14827" s="39"/>
      <c r="E14827" s="39"/>
      <c r="F14827" s="39"/>
    </row>
    <row r="14828">
      <c r="D14828" s="39"/>
      <c r="E14828" s="39"/>
      <c r="F14828" s="39"/>
    </row>
    <row r="14829">
      <c r="D14829" s="39"/>
      <c r="E14829" s="39"/>
      <c r="F14829" s="39"/>
    </row>
    <row r="14830">
      <c r="D14830" s="39"/>
      <c r="E14830" s="39"/>
      <c r="F14830" s="39"/>
    </row>
    <row r="14831">
      <c r="D14831" s="39"/>
      <c r="E14831" s="39"/>
      <c r="F14831" s="39"/>
    </row>
    <row r="14832">
      <c r="D14832" s="39"/>
      <c r="E14832" s="39"/>
      <c r="F14832" s="39"/>
    </row>
    <row r="14833">
      <c r="D14833" s="39"/>
      <c r="E14833" s="39"/>
      <c r="F14833" s="39"/>
    </row>
    <row r="14834">
      <c r="D14834" s="39"/>
      <c r="E14834" s="39"/>
      <c r="F14834" s="39"/>
    </row>
    <row r="14835">
      <c r="D14835" s="39"/>
      <c r="E14835" s="39"/>
      <c r="F14835" s="39"/>
    </row>
    <row r="14836">
      <c r="D14836" s="39"/>
      <c r="E14836" s="39"/>
      <c r="F14836" s="39"/>
    </row>
    <row r="14837">
      <c r="D14837" s="39"/>
      <c r="E14837" s="39"/>
      <c r="F14837" s="39"/>
    </row>
    <row r="14838">
      <c r="D14838" s="39"/>
      <c r="E14838" s="39"/>
      <c r="F14838" s="39"/>
    </row>
    <row r="14839">
      <c r="D14839" s="39"/>
      <c r="E14839" s="39"/>
      <c r="F14839" s="39"/>
    </row>
    <row r="14840">
      <c r="D14840" s="39"/>
      <c r="E14840" s="39"/>
      <c r="F14840" s="39"/>
    </row>
    <row r="14841">
      <c r="D14841" s="39"/>
      <c r="E14841" s="39"/>
      <c r="F14841" s="39"/>
    </row>
    <row r="14842">
      <c r="D14842" s="39"/>
      <c r="E14842" s="39"/>
      <c r="F14842" s="39"/>
    </row>
    <row r="14843">
      <c r="D14843" s="39"/>
      <c r="E14843" s="39"/>
      <c r="F14843" s="39"/>
    </row>
    <row r="14844">
      <c r="D14844" s="39"/>
      <c r="E14844" s="39"/>
      <c r="F14844" s="39"/>
    </row>
    <row r="14845">
      <c r="D14845" s="39"/>
      <c r="E14845" s="39"/>
      <c r="F14845" s="39"/>
    </row>
    <row r="14846">
      <c r="D14846" s="39"/>
      <c r="E14846" s="39"/>
      <c r="F14846" s="39"/>
    </row>
    <row r="14847">
      <c r="D14847" s="39"/>
      <c r="E14847" s="39"/>
      <c r="F14847" s="39"/>
    </row>
    <row r="14848">
      <c r="D14848" s="39"/>
      <c r="E14848" s="39"/>
      <c r="F14848" s="39"/>
    </row>
    <row r="14849">
      <c r="D14849" s="39"/>
      <c r="E14849" s="39"/>
      <c r="F14849" s="39"/>
    </row>
    <row r="14850">
      <c r="D14850" s="39"/>
      <c r="E14850" s="39"/>
      <c r="F14850" s="39"/>
    </row>
    <row r="14851">
      <c r="D14851" s="39"/>
      <c r="E14851" s="39"/>
      <c r="F14851" s="39"/>
    </row>
    <row r="14852">
      <c r="D14852" s="39"/>
      <c r="E14852" s="39"/>
      <c r="F14852" s="39"/>
    </row>
    <row r="14853">
      <c r="D14853" s="39"/>
      <c r="E14853" s="39"/>
      <c r="F14853" s="39"/>
    </row>
    <row r="14854">
      <c r="D14854" s="39"/>
      <c r="E14854" s="39"/>
      <c r="F14854" s="39"/>
    </row>
    <row r="14855">
      <c r="D14855" s="39"/>
      <c r="E14855" s="39"/>
      <c r="F14855" s="39"/>
    </row>
    <row r="14856">
      <c r="D14856" s="39"/>
      <c r="E14856" s="39"/>
      <c r="F14856" s="39"/>
    </row>
    <row r="14857">
      <c r="D14857" s="39"/>
      <c r="E14857" s="39"/>
      <c r="F14857" s="39"/>
    </row>
    <row r="14858">
      <c r="D14858" s="39"/>
      <c r="E14858" s="39"/>
      <c r="F14858" s="39"/>
    </row>
    <row r="14859">
      <c r="D14859" s="39"/>
      <c r="E14859" s="39"/>
      <c r="F14859" s="39"/>
    </row>
    <row r="14860">
      <c r="D14860" s="39"/>
      <c r="E14860" s="39"/>
      <c r="F14860" s="39"/>
    </row>
    <row r="14861">
      <c r="D14861" s="39"/>
      <c r="E14861" s="39"/>
      <c r="F14861" s="39"/>
    </row>
    <row r="14862">
      <c r="D14862" s="39"/>
      <c r="E14862" s="39"/>
      <c r="F14862" s="39"/>
    </row>
    <row r="14863">
      <c r="D14863" s="39"/>
      <c r="E14863" s="39"/>
      <c r="F14863" s="39"/>
    </row>
    <row r="14864">
      <c r="D14864" s="39"/>
      <c r="E14864" s="39"/>
      <c r="F14864" s="39"/>
    </row>
    <row r="14865">
      <c r="D14865" s="39"/>
      <c r="E14865" s="39"/>
      <c r="F14865" s="39"/>
    </row>
    <row r="14866">
      <c r="D14866" s="39"/>
      <c r="E14866" s="39"/>
      <c r="F14866" s="39"/>
    </row>
    <row r="14867">
      <c r="D14867" s="39"/>
      <c r="E14867" s="39"/>
      <c r="F14867" s="39"/>
    </row>
    <row r="14868">
      <c r="D14868" s="39"/>
      <c r="E14868" s="39"/>
      <c r="F14868" s="39"/>
    </row>
    <row r="14869">
      <c r="D14869" s="39"/>
      <c r="E14869" s="39"/>
      <c r="F14869" s="39"/>
    </row>
    <row r="14870">
      <c r="D14870" s="39"/>
      <c r="E14870" s="39"/>
      <c r="F14870" s="39"/>
    </row>
    <row r="14871">
      <c r="D14871" s="39"/>
      <c r="E14871" s="39"/>
      <c r="F14871" s="39"/>
    </row>
    <row r="14872">
      <c r="D14872" s="39"/>
      <c r="E14872" s="39"/>
      <c r="F14872" s="39"/>
    </row>
    <row r="14873">
      <c r="D14873" s="39"/>
      <c r="E14873" s="39"/>
      <c r="F14873" s="39"/>
    </row>
    <row r="14874">
      <c r="D14874" s="39"/>
      <c r="E14874" s="39"/>
      <c r="F14874" s="39"/>
    </row>
    <row r="14875">
      <c r="D14875" s="39"/>
      <c r="E14875" s="39"/>
      <c r="F14875" s="39"/>
    </row>
    <row r="14876">
      <c r="D14876" s="39"/>
      <c r="E14876" s="39"/>
      <c r="F14876" s="39"/>
    </row>
    <row r="14877">
      <c r="D14877" s="39"/>
      <c r="E14877" s="39"/>
      <c r="F14877" s="39"/>
    </row>
    <row r="14878">
      <c r="D14878" s="39"/>
      <c r="E14878" s="39"/>
      <c r="F14878" s="39"/>
    </row>
    <row r="14879">
      <c r="D14879" s="39"/>
      <c r="E14879" s="39"/>
      <c r="F14879" s="39"/>
    </row>
    <row r="14880">
      <c r="D14880" s="39"/>
      <c r="E14880" s="39"/>
      <c r="F14880" s="39"/>
    </row>
    <row r="14881">
      <c r="D14881" s="39"/>
      <c r="E14881" s="39"/>
      <c r="F14881" s="39"/>
    </row>
    <row r="14882">
      <c r="D14882" s="39"/>
      <c r="E14882" s="39"/>
      <c r="F14882" s="39"/>
    </row>
    <row r="14883">
      <c r="D14883" s="39"/>
      <c r="E14883" s="39"/>
      <c r="F14883" s="39"/>
    </row>
    <row r="14884">
      <c r="D14884" s="39"/>
      <c r="E14884" s="39"/>
      <c r="F14884" s="39"/>
    </row>
    <row r="14885">
      <c r="D14885" s="39"/>
      <c r="E14885" s="39"/>
      <c r="F14885" s="39"/>
    </row>
    <row r="14886">
      <c r="D14886" s="39"/>
      <c r="E14886" s="39"/>
      <c r="F14886" s="39"/>
    </row>
    <row r="14887">
      <c r="D14887" s="39"/>
      <c r="E14887" s="39"/>
      <c r="F14887" s="39"/>
    </row>
    <row r="14888">
      <c r="D14888" s="39"/>
      <c r="E14888" s="39"/>
      <c r="F14888" s="39"/>
    </row>
    <row r="14889">
      <c r="D14889" s="39"/>
      <c r="E14889" s="39"/>
      <c r="F14889" s="39"/>
    </row>
    <row r="14890">
      <c r="D14890" s="39"/>
      <c r="E14890" s="39"/>
      <c r="F14890" s="39"/>
    </row>
    <row r="14891">
      <c r="D14891" s="39"/>
      <c r="E14891" s="39"/>
      <c r="F14891" s="39"/>
    </row>
    <row r="14892">
      <c r="D14892" s="39"/>
      <c r="E14892" s="39"/>
      <c r="F14892" s="39"/>
    </row>
    <row r="14893">
      <c r="D14893" s="39"/>
      <c r="E14893" s="39"/>
      <c r="F14893" s="39"/>
    </row>
    <row r="14894">
      <c r="D14894" s="39"/>
      <c r="E14894" s="39"/>
      <c r="F14894" s="39"/>
    </row>
    <row r="14895">
      <c r="D14895" s="39"/>
      <c r="E14895" s="39"/>
      <c r="F14895" s="39"/>
    </row>
    <row r="14896">
      <c r="D14896" s="39"/>
      <c r="E14896" s="39"/>
      <c r="F14896" s="39"/>
    </row>
    <row r="14897">
      <c r="D14897" s="39"/>
      <c r="E14897" s="39"/>
      <c r="F14897" s="39"/>
    </row>
    <row r="14898">
      <c r="D14898" s="39"/>
      <c r="E14898" s="39"/>
      <c r="F14898" s="39"/>
    </row>
    <row r="14899">
      <c r="D14899" s="39"/>
      <c r="E14899" s="39"/>
      <c r="F14899" s="39"/>
    </row>
    <row r="14900">
      <c r="D14900" s="39"/>
      <c r="E14900" s="39"/>
      <c r="F14900" s="39"/>
    </row>
    <row r="14901">
      <c r="D14901" s="39"/>
      <c r="E14901" s="39"/>
      <c r="F14901" s="39"/>
    </row>
    <row r="14902">
      <c r="D14902" s="39"/>
      <c r="E14902" s="39"/>
      <c r="F14902" s="39"/>
    </row>
    <row r="14903">
      <c r="D14903" s="39"/>
      <c r="E14903" s="39"/>
      <c r="F14903" s="39"/>
    </row>
    <row r="14904">
      <c r="D14904" s="39"/>
      <c r="E14904" s="39"/>
      <c r="F14904" s="39"/>
    </row>
    <row r="14905">
      <c r="D14905" s="39"/>
      <c r="E14905" s="39"/>
      <c r="F14905" s="39"/>
    </row>
    <row r="14906">
      <c r="D14906" s="39"/>
      <c r="E14906" s="39"/>
      <c r="F14906" s="39"/>
    </row>
    <row r="14907">
      <c r="D14907" s="39"/>
      <c r="E14907" s="39"/>
      <c r="F14907" s="39"/>
    </row>
    <row r="14908">
      <c r="D14908" s="39"/>
      <c r="E14908" s="39"/>
      <c r="F14908" s="39"/>
    </row>
    <row r="14909">
      <c r="D14909" s="39"/>
      <c r="E14909" s="39"/>
      <c r="F14909" s="39"/>
    </row>
    <row r="14910">
      <c r="D14910" s="39"/>
      <c r="E14910" s="39"/>
      <c r="F14910" s="39"/>
    </row>
    <row r="14911">
      <c r="D14911" s="39"/>
      <c r="E14911" s="39"/>
      <c r="F14911" s="39"/>
    </row>
    <row r="14912">
      <c r="D14912" s="39"/>
      <c r="E14912" s="39"/>
      <c r="F14912" s="39"/>
    </row>
    <row r="14913">
      <c r="D14913" s="39"/>
      <c r="E14913" s="39"/>
      <c r="F14913" s="39"/>
    </row>
    <row r="14914">
      <c r="D14914" s="39"/>
      <c r="E14914" s="39"/>
      <c r="F14914" s="39"/>
    </row>
    <row r="14915">
      <c r="D14915" s="39"/>
      <c r="E14915" s="39"/>
      <c r="F14915" s="39"/>
    </row>
    <row r="14916">
      <c r="D14916" s="39"/>
      <c r="E14916" s="39"/>
      <c r="F14916" s="39"/>
    </row>
    <row r="14917">
      <c r="D14917" s="39"/>
      <c r="E14917" s="39"/>
      <c r="F14917" s="39"/>
    </row>
    <row r="14918">
      <c r="D14918" s="39"/>
      <c r="E14918" s="39"/>
      <c r="F14918" s="39"/>
    </row>
    <row r="14919">
      <c r="D14919" s="39"/>
      <c r="E14919" s="39"/>
      <c r="F14919" s="39"/>
    </row>
    <row r="14920">
      <c r="D14920" s="39"/>
      <c r="E14920" s="39"/>
      <c r="F14920" s="39"/>
    </row>
    <row r="14921">
      <c r="D14921" s="39"/>
      <c r="E14921" s="39"/>
      <c r="F14921" s="39"/>
    </row>
    <row r="14922">
      <c r="D14922" s="39"/>
      <c r="E14922" s="39"/>
      <c r="F14922" s="39"/>
    </row>
    <row r="14923">
      <c r="D14923" s="39"/>
      <c r="E14923" s="39"/>
      <c r="F14923" s="39"/>
    </row>
    <row r="14924">
      <c r="D14924" s="39"/>
      <c r="E14924" s="39"/>
      <c r="F14924" s="39"/>
    </row>
    <row r="14925">
      <c r="D14925" s="39"/>
      <c r="E14925" s="39"/>
      <c r="F14925" s="39"/>
    </row>
    <row r="14926">
      <c r="D14926" s="39"/>
      <c r="E14926" s="39"/>
      <c r="F14926" s="39"/>
    </row>
    <row r="14927">
      <c r="D14927" s="39"/>
      <c r="E14927" s="39"/>
      <c r="F14927" s="39"/>
    </row>
    <row r="14928">
      <c r="D14928" s="39"/>
      <c r="E14928" s="39"/>
      <c r="F14928" s="39"/>
    </row>
    <row r="14929">
      <c r="D14929" s="39"/>
      <c r="E14929" s="39"/>
      <c r="F14929" s="39"/>
    </row>
    <row r="14930">
      <c r="D14930" s="39"/>
      <c r="E14930" s="39"/>
      <c r="F14930" s="39"/>
    </row>
    <row r="14931">
      <c r="D14931" s="39"/>
      <c r="E14931" s="39"/>
      <c r="F14931" s="39"/>
    </row>
    <row r="14932">
      <c r="D14932" s="39"/>
      <c r="E14932" s="39"/>
      <c r="F14932" s="39"/>
    </row>
    <row r="14933">
      <c r="D14933" s="39"/>
      <c r="E14933" s="39"/>
      <c r="F14933" s="39"/>
    </row>
    <row r="14934">
      <c r="D14934" s="39"/>
      <c r="E14934" s="39"/>
      <c r="F14934" s="39"/>
    </row>
    <row r="14935">
      <c r="D14935" s="39"/>
      <c r="E14935" s="39"/>
      <c r="F14935" s="39"/>
    </row>
    <row r="14936">
      <c r="D14936" s="39"/>
      <c r="E14936" s="39"/>
      <c r="F14936" s="39"/>
    </row>
    <row r="14937">
      <c r="D14937" s="39"/>
      <c r="E14937" s="39"/>
      <c r="F14937" s="39"/>
    </row>
    <row r="14938">
      <c r="D14938" s="39"/>
      <c r="E14938" s="39"/>
      <c r="F14938" s="39"/>
    </row>
    <row r="14939">
      <c r="D14939" s="39"/>
      <c r="E14939" s="39"/>
      <c r="F14939" s="39"/>
    </row>
    <row r="14940">
      <c r="D14940" s="39"/>
      <c r="E14940" s="39"/>
      <c r="F14940" s="39"/>
    </row>
    <row r="14941">
      <c r="D14941" s="39"/>
      <c r="E14941" s="39"/>
      <c r="F14941" s="39"/>
    </row>
    <row r="14942">
      <c r="D14942" s="39"/>
      <c r="E14942" s="39"/>
      <c r="F14942" s="39"/>
    </row>
    <row r="14943">
      <c r="D14943" s="39"/>
      <c r="E14943" s="39"/>
      <c r="F14943" s="39"/>
    </row>
    <row r="14944">
      <c r="D14944" s="39"/>
      <c r="E14944" s="39"/>
      <c r="F14944" s="39"/>
    </row>
    <row r="14945">
      <c r="D14945" s="39"/>
      <c r="E14945" s="39"/>
      <c r="F14945" s="39"/>
    </row>
    <row r="14946">
      <c r="D14946" s="39"/>
      <c r="E14946" s="39"/>
      <c r="F14946" s="39"/>
    </row>
    <row r="14947">
      <c r="D14947" s="39"/>
      <c r="E14947" s="39"/>
      <c r="F14947" s="39"/>
    </row>
    <row r="14948">
      <c r="D14948" s="39"/>
      <c r="E14948" s="39"/>
      <c r="F14948" s="39"/>
    </row>
    <row r="14949">
      <c r="D14949" s="39"/>
      <c r="E14949" s="39"/>
      <c r="F14949" s="39"/>
    </row>
    <row r="14950">
      <c r="D14950" s="39"/>
      <c r="E14950" s="39"/>
      <c r="F14950" s="39"/>
    </row>
    <row r="14951">
      <c r="D14951" s="39"/>
      <c r="E14951" s="39"/>
      <c r="F14951" s="39"/>
    </row>
    <row r="14952">
      <c r="D14952" s="39"/>
      <c r="E14952" s="39"/>
      <c r="F14952" s="39"/>
    </row>
    <row r="14953">
      <c r="D14953" s="39"/>
      <c r="E14953" s="39"/>
      <c r="F14953" s="39"/>
    </row>
    <row r="14954">
      <c r="D14954" s="39"/>
      <c r="E14954" s="39"/>
      <c r="F14954" s="39"/>
    </row>
    <row r="14955">
      <c r="D14955" s="39"/>
      <c r="E14955" s="39"/>
      <c r="F14955" s="39"/>
    </row>
    <row r="14956">
      <c r="D14956" s="39"/>
      <c r="E14956" s="39"/>
      <c r="F14956" s="39"/>
    </row>
    <row r="14957">
      <c r="D14957" s="39"/>
      <c r="E14957" s="39"/>
      <c r="F14957" s="39"/>
    </row>
    <row r="14958">
      <c r="D14958" s="39"/>
      <c r="E14958" s="39"/>
      <c r="F14958" s="39"/>
    </row>
    <row r="14959">
      <c r="D14959" s="39"/>
      <c r="E14959" s="39"/>
      <c r="F14959" s="39"/>
    </row>
    <row r="14960">
      <c r="D14960" s="39"/>
      <c r="E14960" s="39"/>
      <c r="F14960" s="39"/>
    </row>
    <row r="14961">
      <c r="D14961" s="39"/>
      <c r="E14961" s="39"/>
      <c r="F14961" s="39"/>
    </row>
    <row r="14962">
      <c r="D14962" s="39"/>
      <c r="E14962" s="39"/>
      <c r="F14962" s="39"/>
    </row>
    <row r="14963">
      <c r="D14963" s="39"/>
      <c r="E14963" s="39"/>
      <c r="F14963" s="39"/>
    </row>
    <row r="14964">
      <c r="D14964" s="39"/>
      <c r="E14964" s="39"/>
      <c r="F14964" s="39"/>
    </row>
    <row r="14965">
      <c r="D14965" s="39"/>
      <c r="E14965" s="39"/>
      <c r="F14965" s="39"/>
    </row>
    <row r="14966">
      <c r="D14966" s="39"/>
      <c r="E14966" s="39"/>
      <c r="F14966" s="39"/>
    </row>
    <row r="14967">
      <c r="D14967" s="39"/>
      <c r="E14967" s="39"/>
      <c r="F14967" s="39"/>
    </row>
    <row r="14968">
      <c r="D14968" s="39"/>
      <c r="E14968" s="39"/>
      <c r="F14968" s="39"/>
    </row>
    <row r="14969">
      <c r="D14969" s="39"/>
      <c r="E14969" s="39"/>
      <c r="F14969" s="39"/>
    </row>
    <row r="14970">
      <c r="D14970" s="39"/>
      <c r="E14970" s="39"/>
      <c r="F14970" s="39"/>
    </row>
    <row r="14971">
      <c r="D14971" s="39"/>
      <c r="E14971" s="39"/>
      <c r="F14971" s="39"/>
    </row>
    <row r="14972">
      <c r="D14972" s="39"/>
      <c r="E14972" s="39"/>
      <c r="F14972" s="39"/>
    </row>
    <row r="14973">
      <c r="D14973" s="39"/>
      <c r="E14973" s="39"/>
      <c r="F14973" s="39"/>
    </row>
    <row r="14974">
      <c r="D14974" s="39"/>
      <c r="E14974" s="39"/>
      <c r="F14974" s="39"/>
    </row>
    <row r="14975">
      <c r="D14975" s="39"/>
      <c r="E14975" s="39"/>
      <c r="F14975" s="39"/>
    </row>
    <row r="14976">
      <c r="D14976" s="39"/>
      <c r="E14976" s="39"/>
      <c r="F14976" s="39"/>
    </row>
    <row r="14977">
      <c r="D14977" s="39"/>
      <c r="E14977" s="39"/>
      <c r="F14977" s="39"/>
    </row>
    <row r="14978">
      <c r="D14978" s="39"/>
      <c r="E14978" s="39"/>
      <c r="F14978" s="39"/>
    </row>
    <row r="14979">
      <c r="D14979" s="39"/>
      <c r="E14979" s="39"/>
      <c r="F14979" s="39"/>
    </row>
    <row r="14980">
      <c r="D14980" s="39"/>
      <c r="E14980" s="39"/>
      <c r="F14980" s="39"/>
    </row>
    <row r="14981">
      <c r="D14981" s="39"/>
      <c r="E14981" s="39"/>
      <c r="F14981" s="39"/>
    </row>
    <row r="14982">
      <c r="D14982" s="39"/>
      <c r="E14982" s="39"/>
      <c r="F14982" s="39"/>
    </row>
    <row r="14983">
      <c r="D14983" s="39"/>
      <c r="E14983" s="39"/>
      <c r="F14983" s="39"/>
    </row>
    <row r="14984">
      <c r="D14984" s="39"/>
      <c r="E14984" s="39"/>
      <c r="F14984" s="39"/>
    </row>
    <row r="14985">
      <c r="D14985" s="39"/>
      <c r="E14985" s="39"/>
      <c r="F14985" s="39"/>
    </row>
    <row r="14986">
      <c r="D14986" s="39"/>
      <c r="E14986" s="39"/>
      <c r="F14986" s="39"/>
    </row>
    <row r="14987">
      <c r="D14987" s="39"/>
      <c r="E14987" s="39"/>
      <c r="F14987" s="39"/>
    </row>
    <row r="14988">
      <c r="D14988" s="39"/>
      <c r="E14988" s="39"/>
      <c r="F14988" s="39"/>
    </row>
    <row r="14989">
      <c r="D14989" s="39"/>
      <c r="E14989" s="39"/>
      <c r="F14989" s="39"/>
    </row>
    <row r="14990">
      <c r="D14990" s="39"/>
      <c r="E14990" s="39"/>
      <c r="F14990" s="39"/>
    </row>
    <row r="14991">
      <c r="D14991" s="39"/>
      <c r="E14991" s="39"/>
      <c r="F14991" s="39"/>
    </row>
    <row r="14992">
      <c r="D14992" s="39"/>
      <c r="E14992" s="39"/>
      <c r="F14992" s="39"/>
    </row>
    <row r="14993">
      <c r="D14993" s="39"/>
      <c r="E14993" s="39"/>
      <c r="F14993" s="39"/>
    </row>
    <row r="14994">
      <c r="D14994" s="39"/>
      <c r="E14994" s="39"/>
      <c r="F14994" s="39"/>
    </row>
    <row r="14995">
      <c r="D14995" s="39"/>
      <c r="E14995" s="39"/>
      <c r="F14995" s="39"/>
    </row>
    <row r="14996">
      <c r="D14996" s="39"/>
      <c r="E14996" s="39"/>
      <c r="F14996" s="39"/>
    </row>
    <row r="14997">
      <c r="D14997" s="39"/>
      <c r="E14997" s="39"/>
      <c r="F14997" s="39"/>
    </row>
    <row r="14998">
      <c r="D14998" s="39"/>
      <c r="E14998" s="39"/>
      <c r="F14998" s="39"/>
    </row>
    <row r="14999">
      <c r="D14999" s="39"/>
      <c r="E14999" s="39"/>
      <c r="F14999" s="39"/>
    </row>
    <row r="15000">
      <c r="D15000" s="39"/>
      <c r="E15000" s="39"/>
      <c r="F15000" s="39"/>
    </row>
    <row r="15001">
      <c r="D15001" s="39"/>
      <c r="E15001" s="39"/>
      <c r="F15001" s="39"/>
    </row>
    <row r="15002">
      <c r="D15002" s="39"/>
      <c r="E15002" s="39"/>
      <c r="F15002" s="39"/>
    </row>
    <row r="15003">
      <c r="D15003" s="39"/>
      <c r="E15003" s="39"/>
      <c r="F15003" s="39"/>
    </row>
    <row r="15004">
      <c r="D15004" s="39"/>
      <c r="E15004" s="39"/>
      <c r="F15004" s="39"/>
    </row>
    <row r="15005">
      <c r="D15005" s="39"/>
      <c r="E15005" s="39"/>
      <c r="F15005" s="39"/>
    </row>
    <row r="15006">
      <c r="D15006" s="39"/>
      <c r="E15006" s="39"/>
      <c r="F15006" s="39"/>
    </row>
    <row r="15007">
      <c r="D15007" s="39"/>
      <c r="E15007" s="39"/>
      <c r="F15007" s="39"/>
    </row>
    <row r="15008">
      <c r="D15008" s="39"/>
      <c r="E15008" s="39"/>
      <c r="F15008" s="39"/>
    </row>
    <row r="15009">
      <c r="D15009" s="39"/>
      <c r="E15009" s="39"/>
      <c r="F15009" s="39"/>
    </row>
    <row r="15010">
      <c r="D15010" s="39"/>
      <c r="E15010" s="39"/>
      <c r="F15010" s="39"/>
    </row>
    <row r="15011">
      <c r="D15011" s="39"/>
      <c r="E15011" s="39"/>
      <c r="F15011" s="39"/>
    </row>
    <row r="15012">
      <c r="D15012" s="39"/>
      <c r="E15012" s="39"/>
      <c r="F15012" s="39"/>
    </row>
    <row r="15013">
      <c r="D15013" s="39"/>
      <c r="E15013" s="39"/>
      <c r="F15013" s="39"/>
    </row>
    <row r="15014">
      <c r="D15014" s="39"/>
      <c r="E15014" s="39"/>
      <c r="F15014" s="39"/>
    </row>
    <row r="15015">
      <c r="D15015" s="39"/>
      <c r="E15015" s="39"/>
      <c r="F15015" s="39"/>
    </row>
    <row r="15016">
      <c r="D15016" s="39"/>
      <c r="E15016" s="39"/>
      <c r="F15016" s="39"/>
    </row>
    <row r="15017">
      <c r="D15017" s="39"/>
      <c r="E15017" s="39"/>
      <c r="F15017" s="39"/>
    </row>
    <row r="15018">
      <c r="D15018" s="39"/>
      <c r="E15018" s="39"/>
      <c r="F15018" s="39"/>
    </row>
    <row r="15019">
      <c r="D15019" s="39"/>
      <c r="E15019" s="39"/>
      <c r="F15019" s="39"/>
    </row>
    <row r="15020">
      <c r="D15020" s="39"/>
      <c r="E15020" s="39"/>
      <c r="F15020" s="39"/>
    </row>
    <row r="15021">
      <c r="D15021" s="39"/>
      <c r="E15021" s="39"/>
      <c r="F15021" s="39"/>
    </row>
    <row r="15022">
      <c r="D15022" s="39"/>
      <c r="E15022" s="39"/>
      <c r="F15022" s="39"/>
    </row>
    <row r="15023">
      <c r="D15023" s="39"/>
      <c r="E15023" s="39"/>
      <c r="F15023" s="39"/>
    </row>
    <row r="15024">
      <c r="D15024" s="39"/>
      <c r="E15024" s="39"/>
      <c r="F15024" s="39"/>
    </row>
    <row r="15025">
      <c r="D15025" s="39"/>
      <c r="E15025" s="39"/>
      <c r="F15025" s="39"/>
    </row>
    <row r="15026">
      <c r="D15026" s="39"/>
      <c r="E15026" s="39"/>
      <c r="F15026" s="39"/>
    </row>
    <row r="15027">
      <c r="D15027" s="39"/>
      <c r="E15027" s="39"/>
      <c r="F15027" s="39"/>
    </row>
    <row r="15028">
      <c r="D15028" s="39"/>
      <c r="E15028" s="39"/>
      <c r="F15028" s="39"/>
    </row>
    <row r="15029">
      <c r="D15029" s="39"/>
      <c r="E15029" s="39"/>
      <c r="F15029" s="39"/>
    </row>
    <row r="15030">
      <c r="D15030" s="39"/>
      <c r="E15030" s="39"/>
      <c r="F15030" s="39"/>
    </row>
    <row r="15031">
      <c r="D15031" s="39"/>
      <c r="E15031" s="39"/>
      <c r="F15031" s="39"/>
    </row>
    <row r="15032">
      <c r="D15032" s="39"/>
      <c r="E15032" s="39"/>
      <c r="F15032" s="39"/>
    </row>
    <row r="15033">
      <c r="D15033" s="39"/>
      <c r="E15033" s="39"/>
      <c r="F15033" s="39"/>
    </row>
    <row r="15034">
      <c r="D15034" s="39"/>
      <c r="E15034" s="39"/>
      <c r="F15034" s="39"/>
    </row>
    <row r="15035">
      <c r="D15035" s="39"/>
      <c r="E15035" s="39"/>
      <c r="F15035" s="39"/>
    </row>
    <row r="15036">
      <c r="D15036" s="39"/>
      <c r="E15036" s="39"/>
      <c r="F15036" s="39"/>
    </row>
    <row r="15037">
      <c r="D15037" s="39"/>
      <c r="E15037" s="39"/>
      <c r="F15037" s="39"/>
    </row>
    <row r="15038">
      <c r="D15038" s="39"/>
      <c r="E15038" s="39"/>
      <c r="F15038" s="39"/>
    </row>
    <row r="15039">
      <c r="D15039" s="39"/>
      <c r="E15039" s="39"/>
      <c r="F15039" s="39"/>
    </row>
    <row r="15040">
      <c r="D15040" s="39"/>
      <c r="E15040" s="39"/>
      <c r="F15040" s="39"/>
    </row>
    <row r="15041">
      <c r="D15041" s="39"/>
      <c r="E15041" s="39"/>
      <c r="F15041" s="39"/>
    </row>
    <row r="15042">
      <c r="D15042" s="39"/>
      <c r="E15042" s="39"/>
      <c r="F15042" s="39"/>
    </row>
    <row r="15043">
      <c r="D15043" s="39"/>
      <c r="E15043" s="39"/>
      <c r="F15043" s="39"/>
    </row>
    <row r="15044">
      <c r="D15044" s="39"/>
      <c r="E15044" s="39"/>
      <c r="F15044" s="39"/>
    </row>
    <row r="15045">
      <c r="D15045" s="39"/>
      <c r="E15045" s="39"/>
      <c r="F15045" s="39"/>
    </row>
    <row r="15046">
      <c r="D15046" s="39"/>
      <c r="E15046" s="39"/>
      <c r="F15046" s="39"/>
    </row>
    <row r="15047">
      <c r="D15047" s="39"/>
      <c r="E15047" s="39"/>
      <c r="F15047" s="39"/>
    </row>
    <row r="15048">
      <c r="D15048" s="39"/>
      <c r="E15048" s="39"/>
      <c r="F15048" s="39"/>
    </row>
    <row r="15049">
      <c r="D15049" s="39"/>
      <c r="E15049" s="39"/>
      <c r="F15049" s="39"/>
    </row>
    <row r="15050">
      <c r="D15050" s="39"/>
      <c r="E15050" s="39"/>
      <c r="F15050" s="39"/>
    </row>
    <row r="15051">
      <c r="D15051" s="39"/>
      <c r="E15051" s="39"/>
      <c r="F15051" s="39"/>
    </row>
    <row r="15052">
      <c r="D15052" s="39"/>
      <c r="E15052" s="39"/>
      <c r="F15052" s="39"/>
    </row>
    <row r="15053">
      <c r="D15053" s="39"/>
      <c r="E15053" s="39"/>
      <c r="F15053" s="39"/>
    </row>
    <row r="15054">
      <c r="D15054" s="39"/>
      <c r="E15054" s="39"/>
      <c r="F15054" s="39"/>
    </row>
    <row r="15055">
      <c r="D15055" s="39"/>
      <c r="E15055" s="39"/>
      <c r="F15055" s="39"/>
    </row>
    <row r="15056">
      <c r="D15056" s="39"/>
      <c r="E15056" s="39"/>
      <c r="F15056" s="39"/>
    </row>
    <row r="15057">
      <c r="D15057" s="39"/>
      <c r="E15057" s="39"/>
      <c r="F15057" s="39"/>
    </row>
    <row r="15058">
      <c r="D15058" s="39"/>
      <c r="E15058" s="39"/>
      <c r="F15058" s="39"/>
    </row>
    <row r="15059">
      <c r="D15059" s="39"/>
      <c r="E15059" s="39"/>
      <c r="F15059" s="39"/>
    </row>
    <row r="15060">
      <c r="D15060" s="39"/>
      <c r="E15060" s="39"/>
      <c r="F15060" s="39"/>
    </row>
    <row r="15061">
      <c r="D15061" s="39"/>
      <c r="E15061" s="39"/>
      <c r="F15061" s="39"/>
    </row>
    <row r="15062">
      <c r="D15062" s="39"/>
      <c r="E15062" s="39"/>
      <c r="F15062" s="39"/>
    </row>
    <row r="15063">
      <c r="D15063" s="39"/>
      <c r="E15063" s="39"/>
      <c r="F15063" s="39"/>
    </row>
    <row r="15064">
      <c r="D15064" s="39"/>
      <c r="E15064" s="39"/>
      <c r="F15064" s="39"/>
    </row>
    <row r="15065">
      <c r="D15065" s="39"/>
      <c r="E15065" s="39"/>
      <c r="F15065" s="39"/>
    </row>
    <row r="15066">
      <c r="D15066" s="39"/>
      <c r="E15066" s="39"/>
      <c r="F15066" s="39"/>
    </row>
    <row r="15067">
      <c r="D15067" s="39"/>
      <c r="E15067" s="39"/>
      <c r="F15067" s="39"/>
    </row>
    <row r="15068">
      <c r="D15068" s="39"/>
      <c r="E15068" s="39"/>
      <c r="F15068" s="39"/>
    </row>
    <row r="15069">
      <c r="D15069" s="39"/>
      <c r="E15069" s="39"/>
      <c r="F15069" s="39"/>
    </row>
    <row r="15070">
      <c r="D15070" s="39"/>
      <c r="E15070" s="39"/>
      <c r="F15070" s="39"/>
    </row>
    <row r="15071">
      <c r="D15071" s="39"/>
      <c r="E15071" s="39"/>
      <c r="F15071" s="39"/>
    </row>
    <row r="15072">
      <c r="D15072" s="39"/>
      <c r="E15072" s="39"/>
      <c r="F15072" s="39"/>
    </row>
    <row r="15073">
      <c r="D15073" s="39"/>
      <c r="E15073" s="39"/>
      <c r="F15073" s="39"/>
    </row>
    <row r="15074">
      <c r="D15074" s="39"/>
      <c r="E15074" s="39"/>
      <c r="F15074" s="39"/>
    </row>
    <row r="15075">
      <c r="D15075" s="39"/>
      <c r="E15075" s="39"/>
      <c r="F15075" s="39"/>
    </row>
    <row r="15076">
      <c r="D15076" s="39"/>
      <c r="E15076" s="39"/>
      <c r="F15076" s="39"/>
    </row>
    <row r="15077">
      <c r="D15077" s="39"/>
      <c r="E15077" s="39"/>
      <c r="F15077" s="39"/>
    </row>
    <row r="15078">
      <c r="D15078" s="39"/>
      <c r="E15078" s="39"/>
      <c r="F15078" s="39"/>
    </row>
    <row r="15079">
      <c r="D15079" s="39"/>
      <c r="E15079" s="39"/>
      <c r="F15079" s="39"/>
    </row>
    <row r="15080">
      <c r="D15080" s="39"/>
      <c r="E15080" s="39"/>
      <c r="F15080" s="39"/>
    </row>
    <row r="15081">
      <c r="D15081" s="39"/>
      <c r="E15081" s="39"/>
      <c r="F15081" s="39"/>
    </row>
    <row r="15082">
      <c r="D15082" s="39"/>
      <c r="E15082" s="39"/>
      <c r="F15082" s="39"/>
    </row>
    <row r="15083">
      <c r="D15083" s="39"/>
      <c r="E15083" s="39"/>
      <c r="F15083" s="39"/>
    </row>
    <row r="15084">
      <c r="D15084" s="39"/>
      <c r="E15084" s="39"/>
      <c r="F15084" s="39"/>
    </row>
    <row r="15085">
      <c r="D15085" s="39"/>
      <c r="E15085" s="39"/>
      <c r="F15085" s="39"/>
    </row>
    <row r="15086">
      <c r="D15086" s="39"/>
      <c r="E15086" s="39"/>
      <c r="F15086" s="39"/>
    </row>
    <row r="15087">
      <c r="D15087" s="39"/>
      <c r="E15087" s="39"/>
      <c r="F15087" s="39"/>
    </row>
    <row r="15088">
      <c r="D15088" s="39"/>
      <c r="E15088" s="39"/>
      <c r="F15088" s="39"/>
    </row>
    <row r="15089">
      <c r="D15089" s="39"/>
      <c r="E15089" s="39"/>
      <c r="F15089" s="39"/>
    </row>
    <row r="15090">
      <c r="D15090" s="39"/>
      <c r="E15090" s="39"/>
      <c r="F15090" s="39"/>
    </row>
    <row r="15091">
      <c r="D15091" s="39"/>
      <c r="E15091" s="39"/>
      <c r="F15091" s="39"/>
    </row>
    <row r="15092">
      <c r="D15092" s="39"/>
      <c r="E15092" s="39"/>
      <c r="F15092" s="39"/>
    </row>
    <row r="15093">
      <c r="D15093" s="39"/>
      <c r="E15093" s="39"/>
      <c r="F15093" s="39"/>
    </row>
    <row r="15094">
      <c r="D15094" s="39"/>
      <c r="E15094" s="39"/>
      <c r="F15094" s="39"/>
    </row>
    <row r="15095">
      <c r="D15095" s="39"/>
      <c r="E15095" s="39"/>
      <c r="F15095" s="39"/>
    </row>
    <row r="15096">
      <c r="D15096" s="39"/>
      <c r="E15096" s="39"/>
      <c r="F15096" s="39"/>
    </row>
    <row r="15097">
      <c r="D15097" s="39"/>
      <c r="E15097" s="39"/>
      <c r="F15097" s="39"/>
    </row>
    <row r="15098">
      <c r="D15098" s="39"/>
      <c r="E15098" s="39"/>
      <c r="F15098" s="39"/>
    </row>
    <row r="15099">
      <c r="D15099" s="39"/>
      <c r="E15099" s="39"/>
      <c r="F15099" s="39"/>
    </row>
    <row r="15100">
      <c r="D15100" s="39"/>
      <c r="E15100" s="39"/>
      <c r="F15100" s="39"/>
    </row>
    <row r="15101">
      <c r="D15101" s="39"/>
      <c r="E15101" s="39"/>
      <c r="F15101" s="39"/>
    </row>
    <row r="15102">
      <c r="D15102" s="39"/>
      <c r="E15102" s="39"/>
      <c r="F15102" s="39"/>
    </row>
    <row r="15103">
      <c r="D15103" s="39"/>
      <c r="E15103" s="39"/>
      <c r="F15103" s="39"/>
    </row>
    <row r="15104">
      <c r="D15104" s="39"/>
      <c r="E15104" s="39"/>
      <c r="F15104" s="39"/>
    </row>
    <row r="15105">
      <c r="D15105" s="39"/>
      <c r="E15105" s="39"/>
      <c r="F15105" s="39"/>
    </row>
    <row r="15106">
      <c r="D15106" s="39"/>
      <c r="E15106" s="39"/>
      <c r="F15106" s="39"/>
    </row>
    <row r="15107">
      <c r="D15107" s="39"/>
      <c r="E15107" s="39"/>
      <c r="F15107" s="39"/>
    </row>
    <row r="15108">
      <c r="D15108" s="39"/>
      <c r="E15108" s="39"/>
      <c r="F15108" s="39"/>
    </row>
    <row r="15109">
      <c r="D15109" s="39"/>
      <c r="E15109" s="39"/>
      <c r="F15109" s="39"/>
    </row>
    <row r="15110">
      <c r="D15110" s="39"/>
      <c r="E15110" s="39"/>
      <c r="F15110" s="39"/>
    </row>
    <row r="15111">
      <c r="D15111" s="39"/>
      <c r="E15111" s="39"/>
      <c r="F15111" s="39"/>
    </row>
    <row r="15112">
      <c r="D15112" s="39"/>
      <c r="E15112" s="39"/>
      <c r="F15112" s="39"/>
    </row>
    <row r="15113">
      <c r="D15113" s="39"/>
      <c r="E15113" s="39"/>
      <c r="F15113" s="39"/>
    </row>
    <row r="15114">
      <c r="D15114" s="39"/>
      <c r="E15114" s="39"/>
      <c r="F15114" s="39"/>
    </row>
    <row r="15115">
      <c r="D15115" s="39"/>
      <c r="E15115" s="39"/>
      <c r="F15115" s="39"/>
    </row>
    <row r="15116">
      <c r="D15116" s="39"/>
      <c r="E15116" s="39"/>
      <c r="F15116" s="39"/>
    </row>
    <row r="15117">
      <c r="D15117" s="39"/>
      <c r="E15117" s="39"/>
      <c r="F15117" s="39"/>
    </row>
    <row r="15118">
      <c r="D15118" s="39"/>
      <c r="E15118" s="39"/>
      <c r="F15118" s="39"/>
    </row>
    <row r="15119">
      <c r="D15119" s="39"/>
      <c r="E15119" s="39"/>
      <c r="F15119" s="39"/>
    </row>
    <row r="15120">
      <c r="D15120" s="39"/>
      <c r="E15120" s="39"/>
      <c r="F15120" s="39"/>
    </row>
    <row r="15121">
      <c r="D15121" s="39"/>
      <c r="E15121" s="39"/>
      <c r="F15121" s="39"/>
    </row>
    <row r="15122">
      <c r="D15122" s="39"/>
      <c r="E15122" s="39"/>
      <c r="F15122" s="39"/>
    </row>
    <row r="15123">
      <c r="D15123" s="39"/>
      <c r="E15123" s="39"/>
      <c r="F15123" s="39"/>
    </row>
    <row r="15124">
      <c r="D15124" s="39"/>
      <c r="E15124" s="39"/>
      <c r="F15124" s="39"/>
    </row>
    <row r="15125">
      <c r="D15125" s="39"/>
      <c r="E15125" s="39"/>
      <c r="F15125" s="39"/>
    </row>
    <row r="15126">
      <c r="D15126" s="39"/>
      <c r="E15126" s="39"/>
      <c r="F15126" s="39"/>
    </row>
    <row r="15127">
      <c r="D15127" s="39"/>
      <c r="E15127" s="39"/>
      <c r="F15127" s="39"/>
    </row>
    <row r="15128">
      <c r="D15128" s="39"/>
      <c r="E15128" s="39"/>
      <c r="F15128" s="39"/>
    </row>
    <row r="15129">
      <c r="D15129" s="39"/>
      <c r="E15129" s="39"/>
      <c r="F15129" s="39"/>
    </row>
    <row r="15130">
      <c r="D15130" s="39"/>
      <c r="E15130" s="39"/>
      <c r="F15130" s="39"/>
    </row>
    <row r="15131">
      <c r="D15131" s="39"/>
      <c r="E15131" s="39"/>
      <c r="F15131" s="39"/>
    </row>
    <row r="15132">
      <c r="D15132" s="39"/>
      <c r="E15132" s="39"/>
      <c r="F15132" s="39"/>
    </row>
    <row r="15133">
      <c r="D15133" s="39"/>
      <c r="E15133" s="39"/>
      <c r="F15133" s="39"/>
    </row>
    <row r="15134">
      <c r="D15134" s="39"/>
      <c r="E15134" s="39"/>
      <c r="F15134" s="39"/>
    </row>
    <row r="15135">
      <c r="D15135" s="39"/>
      <c r="E15135" s="39"/>
      <c r="F15135" s="39"/>
    </row>
    <row r="15136">
      <c r="D15136" s="39"/>
      <c r="E15136" s="39"/>
      <c r="F15136" s="39"/>
    </row>
    <row r="15137">
      <c r="D15137" s="39"/>
      <c r="E15137" s="39"/>
      <c r="F15137" s="39"/>
    </row>
    <row r="15138">
      <c r="D15138" s="39"/>
      <c r="E15138" s="39"/>
      <c r="F15138" s="39"/>
    </row>
    <row r="15139">
      <c r="D15139" s="39"/>
      <c r="E15139" s="39"/>
      <c r="F15139" s="39"/>
    </row>
    <row r="15140">
      <c r="D15140" s="39"/>
      <c r="E15140" s="39"/>
      <c r="F15140" s="39"/>
    </row>
    <row r="15141">
      <c r="D15141" s="39"/>
      <c r="E15141" s="39"/>
      <c r="F15141" s="39"/>
    </row>
    <row r="15142">
      <c r="D15142" s="39"/>
      <c r="E15142" s="39"/>
      <c r="F15142" s="39"/>
    </row>
    <row r="15143">
      <c r="D15143" s="39"/>
      <c r="E15143" s="39"/>
      <c r="F15143" s="39"/>
    </row>
    <row r="15144">
      <c r="D15144" s="39"/>
      <c r="E15144" s="39"/>
      <c r="F15144" s="39"/>
    </row>
    <row r="15145">
      <c r="D15145" s="39"/>
      <c r="E15145" s="39"/>
      <c r="F15145" s="39"/>
    </row>
    <row r="15146">
      <c r="D15146" s="39"/>
      <c r="E15146" s="39"/>
      <c r="F15146" s="39"/>
    </row>
    <row r="15147">
      <c r="D15147" s="39"/>
      <c r="E15147" s="39"/>
      <c r="F15147" s="39"/>
    </row>
    <row r="15148">
      <c r="D15148" s="39"/>
      <c r="E15148" s="39"/>
      <c r="F15148" s="39"/>
    </row>
    <row r="15149">
      <c r="D15149" s="39"/>
      <c r="E15149" s="39"/>
      <c r="F15149" s="39"/>
    </row>
    <row r="15150">
      <c r="D15150" s="39"/>
      <c r="E15150" s="39"/>
      <c r="F15150" s="39"/>
    </row>
    <row r="15151">
      <c r="D15151" s="39"/>
      <c r="E15151" s="39"/>
      <c r="F15151" s="39"/>
    </row>
    <row r="15152">
      <c r="D15152" s="39"/>
      <c r="E15152" s="39"/>
      <c r="F15152" s="39"/>
    </row>
    <row r="15153">
      <c r="D15153" s="39"/>
      <c r="E15153" s="39"/>
      <c r="F15153" s="39"/>
    </row>
    <row r="15154">
      <c r="D15154" s="39"/>
      <c r="E15154" s="39"/>
      <c r="F15154" s="39"/>
    </row>
    <row r="15155">
      <c r="D15155" s="39"/>
      <c r="E15155" s="39"/>
      <c r="F15155" s="39"/>
    </row>
    <row r="15156">
      <c r="D15156" s="39"/>
      <c r="E15156" s="39"/>
      <c r="F15156" s="39"/>
    </row>
    <row r="15157">
      <c r="D15157" s="39"/>
      <c r="E15157" s="39"/>
      <c r="F15157" s="39"/>
    </row>
    <row r="15158">
      <c r="D15158" s="39"/>
      <c r="E15158" s="39"/>
      <c r="F15158" s="39"/>
    </row>
    <row r="15159">
      <c r="D15159" s="39"/>
      <c r="E15159" s="39"/>
      <c r="F15159" s="39"/>
    </row>
    <row r="15160">
      <c r="D15160" s="39"/>
      <c r="E15160" s="39"/>
      <c r="F15160" s="39"/>
    </row>
    <row r="15161">
      <c r="D15161" s="39"/>
      <c r="E15161" s="39"/>
      <c r="F15161" s="39"/>
    </row>
    <row r="15162">
      <c r="D15162" s="39"/>
      <c r="E15162" s="39"/>
      <c r="F15162" s="39"/>
    </row>
    <row r="15163">
      <c r="D15163" s="39"/>
      <c r="E15163" s="39"/>
      <c r="F15163" s="39"/>
    </row>
    <row r="15164">
      <c r="D15164" s="39"/>
      <c r="E15164" s="39"/>
      <c r="F15164" s="39"/>
    </row>
    <row r="15165">
      <c r="D15165" s="39"/>
      <c r="E15165" s="39"/>
      <c r="F15165" s="39"/>
    </row>
    <row r="15166">
      <c r="D15166" s="39"/>
      <c r="E15166" s="39"/>
      <c r="F15166" s="39"/>
    </row>
    <row r="15167">
      <c r="D15167" s="39"/>
      <c r="E15167" s="39"/>
      <c r="F15167" s="39"/>
    </row>
    <row r="15168">
      <c r="D15168" s="39"/>
      <c r="E15168" s="39"/>
      <c r="F15168" s="39"/>
    </row>
    <row r="15169">
      <c r="D15169" s="39"/>
      <c r="E15169" s="39"/>
      <c r="F15169" s="39"/>
    </row>
    <row r="15170">
      <c r="D15170" s="39"/>
      <c r="E15170" s="39"/>
      <c r="F15170" s="39"/>
    </row>
    <row r="15171">
      <c r="D15171" s="39"/>
      <c r="E15171" s="39"/>
      <c r="F15171" s="39"/>
    </row>
    <row r="15172">
      <c r="D15172" s="39"/>
      <c r="E15172" s="39"/>
      <c r="F15172" s="39"/>
    </row>
    <row r="15173">
      <c r="D15173" s="39"/>
      <c r="E15173" s="39"/>
      <c r="F15173" s="39"/>
    </row>
    <row r="15174">
      <c r="D15174" s="39"/>
      <c r="E15174" s="39"/>
      <c r="F15174" s="39"/>
    </row>
    <row r="15175">
      <c r="D15175" s="39"/>
      <c r="E15175" s="39"/>
      <c r="F15175" s="39"/>
    </row>
    <row r="15176">
      <c r="D15176" s="39"/>
      <c r="E15176" s="39"/>
      <c r="F15176" s="39"/>
    </row>
    <row r="15177">
      <c r="D15177" s="39"/>
      <c r="E15177" s="39"/>
      <c r="F15177" s="39"/>
    </row>
    <row r="15178">
      <c r="D15178" s="39"/>
      <c r="E15178" s="39"/>
      <c r="F15178" s="39"/>
    </row>
    <row r="15179">
      <c r="D15179" s="39"/>
      <c r="E15179" s="39"/>
      <c r="F15179" s="39"/>
    </row>
    <row r="15180">
      <c r="D15180" s="39"/>
      <c r="E15180" s="39"/>
      <c r="F15180" s="39"/>
    </row>
    <row r="15181">
      <c r="D15181" s="39"/>
      <c r="E15181" s="39"/>
      <c r="F15181" s="39"/>
    </row>
    <row r="15182">
      <c r="D15182" s="39"/>
      <c r="E15182" s="39"/>
      <c r="F15182" s="39"/>
    </row>
    <row r="15183">
      <c r="D15183" s="39"/>
      <c r="E15183" s="39"/>
      <c r="F15183" s="39"/>
    </row>
    <row r="15184">
      <c r="D15184" s="39"/>
      <c r="E15184" s="39"/>
      <c r="F15184" s="39"/>
    </row>
    <row r="15185">
      <c r="D15185" s="39"/>
      <c r="E15185" s="39"/>
      <c r="F15185" s="39"/>
    </row>
    <row r="15186">
      <c r="D15186" s="39"/>
      <c r="E15186" s="39"/>
      <c r="F15186" s="39"/>
    </row>
    <row r="15187">
      <c r="D15187" s="39"/>
      <c r="E15187" s="39"/>
      <c r="F15187" s="39"/>
    </row>
    <row r="15188">
      <c r="D15188" s="39"/>
      <c r="E15188" s="39"/>
      <c r="F15188" s="39"/>
    </row>
    <row r="15189">
      <c r="D15189" s="39"/>
      <c r="E15189" s="39"/>
      <c r="F15189" s="39"/>
    </row>
    <row r="15190">
      <c r="D15190" s="39"/>
      <c r="E15190" s="39"/>
      <c r="F15190" s="39"/>
    </row>
    <row r="15191">
      <c r="D15191" s="39"/>
      <c r="E15191" s="39"/>
      <c r="F15191" s="39"/>
    </row>
    <row r="15192">
      <c r="D15192" s="39"/>
      <c r="E15192" s="39"/>
      <c r="F15192" s="39"/>
    </row>
    <row r="15193">
      <c r="D15193" s="39"/>
      <c r="E15193" s="39"/>
      <c r="F15193" s="39"/>
    </row>
    <row r="15194">
      <c r="D15194" s="39"/>
      <c r="E15194" s="39"/>
      <c r="F15194" s="39"/>
    </row>
    <row r="15195">
      <c r="D15195" s="39"/>
      <c r="E15195" s="39"/>
      <c r="F15195" s="39"/>
    </row>
    <row r="15196">
      <c r="D15196" s="39"/>
      <c r="E15196" s="39"/>
      <c r="F15196" s="39"/>
    </row>
    <row r="15197">
      <c r="D15197" s="39"/>
      <c r="E15197" s="39"/>
      <c r="F15197" s="39"/>
    </row>
    <row r="15198">
      <c r="D15198" s="39"/>
      <c r="E15198" s="39"/>
      <c r="F15198" s="39"/>
    </row>
    <row r="15199">
      <c r="D15199" s="39"/>
      <c r="E15199" s="39"/>
      <c r="F15199" s="39"/>
    </row>
    <row r="15200">
      <c r="D15200" s="39"/>
      <c r="E15200" s="39"/>
      <c r="F15200" s="39"/>
    </row>
    <row r="15201">
      <c r="D15201" s="39"/>
      <c r="E15201" s="39"/>
      <c r="F15201" s="39"/>
    </row>
    <row r="15202">
      <c r="D15202" s="39"/>
      <c r="E15202" s="39"/>
      <c r="F15202" s="39"/>
    </row>
    <row r="15203">
      <c r="D15203" s="39"/>
      <c r="E15203" s="39"/>
      <c r="F15203" s="39"/>
    </row>
    <row r="15204">
      <c r="D15204" s="39"/>
      <c r="E15204" s="39"/>
      <c r="F15204" s="39"/>
    </row>
    <row r="15205">
      <c r="D15205" s="39"/>
      <c r="E15205" s="39"/>
      <c r="F15205" s="39"/>
    </row>
    <row r="15206">
      <c r="D15206" s="39"/>
      <c r="E15206" s="39"/>
      <c r="F15206" s="39"/>
    </row>
    <row r="15207">
      <c r="D15207" s="39"/>
      <c r="E15207" s="39"/>
      <c r="F15207" s="39"/>
    </row>
    <row r="15208">
      <c r="D15208" s="39"/>
      <c r="E15208" s="39"/>
      <c r="F15208" s="39"/>
    </row>
    <row r="15209">
      <c r="D15209" s="39"/>
      <c r="E15209" s="39"/>
      <c r="F15209" s="39"/>
    </row>
    <row r="15210">
      <c r="D15210" s="39"/>
      <c r="E15210" s="39"/>
      <c r="F15210" s="39"/>
    </row>
    <row r="15211">
      <c r="D15211" s="39"/>
      <c r="E15211" s="39"/>
      <c r="F15211" s="39"/>
    </row>
    <row r="15212">
      <c r="D15212" s="39"/>
      <c r="E15212" s="39"/>
      <c r="F15212" s="39"/>
    </row>
    <row r="15213">
      <c r="D15213" s="39"/>
      <c r="E15213" s="39"/>
      <c r="F15213" s="39"/>
    </row>
    <row r="15214">
      <c r="D15214" s="39"/>
      <c r="E15214" s="39"/>
      <c r="F15214" s="39"/>
    </row>
    <row r="15215">
      <c r="D15215" s="39"/>
      <c r="E15215" s="39"/>
      <c r="F15215" s="39"/>
    </row>
    <row r="15216">
      <c r="D15216" s="39"/>
      <c r="E15216" s="39"/>
      <c r="F15216" s="39"/>
    </row>
    <row r="15217">
      <c r="D15217" s="39"/>
      <c r="E15217" s="39"/>
      <c r="F15217" s="39"/>
    </row>
    <row r="15218">
      <c r="D15218" s="39"/>
      <c r="E15218" s="39"/>
      <c r="F15218" s="39"/>
    </row>
    <row r="15219">
      <c r="D15219" s="39"/>
      <c r="E15219" s="39"/>
      <c r="F15219" s="39"/>
    </row>
    <row r="15220">
      <c r="D15220" s="39"/>
      <c r="E15220" s="39"/>
      <c r="F15220" s="39"/>
    </row>
    <row r="15221">
      <c r="D15221" s="39"/>
      <c r="E15221" s="39"/>
      <c r="F15221" s="39"/>
    </row>
    <row r="15222">
      <c r="D15222" s="39"/>
      <c r="E15222" s="39"/>
      <c r="F15222" s="39"/>
    </row>
    <row r="15223">
      <c r="D15223" s="39"/>
      <c r="E15223" s="39"/>
      <c r="F15223" s="39"/>
    </row>
    <row r="15224">
      <c r="D15224" s="39"/>
      <c r="E15224" s="39"/>
      <c r="F15224" s="39"/>
    </row>
    <row r="15225">
      <c r="D15225" s="39"/>
      <c r="E15225" s="39"/>
      <c r="F15225" s="39"/>
    </row>
    <row r="15226">
      <c r="D15226" s="39"/>
      <c r="E15226" s="39"/>
      <c r="F15226" s="39"/>
    </row>
    <row r="15227">
      <c r="D15227" s="39"/>
      <c r="E15227" s="39"/>
      <c r="F15227" s="39"/>
    </row>
    <row r="15228">
      <c r="D15228" s="39"/>
      <c r="E15228" s="39"/>
      <c r="F15228" s="39"/>
    </row>
    <row r="15229">
      <c r="D15229" s="39"/>
      <c r="E15229" s="39"/>
      <c r="F15229" s="39"/>
    </row>
    <row r="15230">
      <c r="D15230" s="39"/>
      <c r="E15230" s="39"/>
      <c r="F15230" s="39"/>
    </row>
    <row r="15231">
      <c r="D15231" s="39"/>
      <c r="E15231" s="39"/>
      <c r="F15231" s="39"/>
    </row>
    <row r="15232">
      <c r="D15232" s="39"/>
      <c r="E15232" s="39"/>
      <c r="F15232" s="39"/>
    </row>
    <row r="15233">
      <c r="D15233" s="39"/>
      <c r="E15233" s="39"/>
      <c r="F15233" s="39"/>
    </row>
    <row r="15234">
      <c r="D15234" s="39"/>
      <c r="E15234" s="39"/>
      <c r="F15234" s="39"/>
    </row>
    <row r="15235">
      <c r="D15235" s="39"/>
      <c r="E15235" s="39"/>
      <c r="F15235" s="39"/>
    </row>
    <row r="15236">
      <c r="D15236" s="39"/>
      <c r="E15236" s="39"/>
      <c r="F15236" s="39"/>
    </row>
    <row r="15237">
      <c r="D15237" s="39"/>
      <c r="E15237" s="39"/>
      <c r="F15237" s="39"/>
    </row>
    <row r="15238">
      <c r="D15238" s="39"/>
      <c r="E15238" s="39"/>
      <c r="F15238" s="39"/>
    </row>
    <row r="15239">
      <c r="D15239" s="39"/>
      <c r="E15239" s="39"/>
      <c r="F15239" s="39"/>
    </row>
    <row r="15240">
      <c r="D15240" s="39"/>
      <c r="E15240" s="39"/>
      <c r="F15240" s="39"/>
    </row>
    <row r="15241">
      <c r="D15241" s="39"/>
      <c r="E15241" s="39"/>
      <c r="F15241" s="39"/>
    </row>
    <row r="15242">
      <c r="D15242" s="39"/>
      <c r="E15242" s="39"/>
      <c r="F15242" s="39"/>
    </row>
    <row r="15243">
      <c r="D15243" s="39"/>
      <c r="E15243" s="39"/>
      <c r="F15243" s="39"/>
    </row>
    <row r="15244">
      <c r="D15244" s="39"/>
      <c r="E15244" s="39"/>
      <c r="F15244" s="39"/>
    </row>
    <row r="15245">
      <c r="D15245" s="39"/>
      <c r="E15245" s="39"/>
      <c r="F15245" s="39"/>
    </row>
    <row r="15246">
      <c r="D15246" s="39"/>
      <c r="E15246" s="39"/>
      <c r="F15246" s="39"/>
    </row>
    <row r="15247">
      <c r="D15247" s="39"/>
      <c r="E15247" s="39"/>
      <c r="F15247" s="39"/>
    </row>
    <row r="15248">
      <c r="D15248" s="39"/>
      <c r="E15248" s="39"/>
      <c r="F15248" s="39"/>
    </row>
    <row r="15249">
      <c r="D15249" s="39"/>
      <c r="E15249" s="39"/>
      <c r="F15249" s="39"/>
    </row>
    <row r="15250">
      <c r="D15250" s="39"/>
      <c r="E15250" s="39"/>
      <c r="F15250" s="39"/>
    </row>
    <row r="15251">
      <c r="D15251" s="39"/>
      <c r="E15251" s="39"/>
      <c r="F15251" s="39"/>
    </row>
    <row r="15252">
      <c r="D15252" s="39"/>
      <c r="E15252" s="39"/>
      <c r="F15252" s="39"/>
    </row>
    <row r="15253">
      <c r="D15253" s="39"/>
      <c r="E15253" s="39"/>
      <c r="F15253" s="39"/>
    </row>
    <row r="15254">
      <c r="D15254" s="39"/>
      <c r="E15254" s="39"/>
      <c r="F15254" s="39"/>
    </row>
    <row r="15255">
      <c r="D15255" s="39"/>
      <c r="E15255" s="39"/>
      <c r="F15255" s="39"/>
    </row>
    <row r="15256">
      <c r="D15256" s="39"/>
      <c r="E15256" s="39"/>
      <c r="F15256" s="39"/>
    </row>
    <row r="15257">
      <c r="D15257" s="39"/>
      <c r="E15257" s="39"/>
      <c r="F15257" s="39"/>
    </row>
    <row r="15258">
      <c r="D15258" s="39"/>
      <c r="E15258" s="39"/>
      <c r="F15258" s="39"/>
    </row>
    <row r="15259">
      <c r="D15259" s="39"/>
      <c r="E15259" s="39"/>
      <c r="F15259" s="39"/>
    </row>
    <row r="15260">
      <c r="D15260" s="39"/>
      <c r="E15260" s="39"/>
      <c r="F15260" s="39"/>
    </row>
    <row r="15261">
      <c r="D15261" s="39"/>
      <c r="E15261" s="39"/>
      <c r="F15261" s="39"/>
    </row>
    <row r="15262">
      <c r="D15262" s="39"/>
      <c r="E15262" s="39"/>
      <c r="F15262" s="39"/>
    </row>
    <row r="15263">
      <c r="D15263" s="39"/>
      <c r="E15263" s="39"/>
      <c r="F15263" s="39"/>
    </row>
    <row r="15264">
      <c r="D15264" s="39"/>
      <c r="E15264" s="39"/>
      <c r="F15264" s="39"/>
    </row>
    <row r="15265">
      <c r="D15265" s="39"/>
      <c r="E15265" s="39"/>
      <c r="F15265" s="39"/>
    </row>
    <row r="15266">
      <c r="D15266" s="39"/>
      <c r="E15266" s="39"/>
      <c r="F15266" s="39"/>
    </row>
    <row r="15267">
      <c r="D15267" s="39"/>
      <c r="E15267" s="39"/>
      <c r="F15267" s="39"/>
    </row>
    <row r="15268">
      <c r="D15268" s="39"/>
      <c r="E15268" s="39"/>
      <c r="F15268" s="39"/>
    </row>
    <row r="15269">
      <c r="D15269" s="39"/>
      <c r="E15269" s="39"/>
      <c r="F15269" s="39"/>
    </row>
    <row r="15270">
      <c r="D15270" s="39"/>
      <c r="E15270" s="39"/>
      <c r="F15270" s="39"/>
    </row>
    <row r="15271">
      <c r="D15271" s="39"/>
      <c r="E15271" s="39"/>
      <c r="F15271" s="39"/>
    </row>
    <row r="15272">
      <c r="D15272" s="39"/>
      <c r="E15272" s="39"/>
      <c r="F15272" s="39"/>
    </row>
    <row r="15273">
      <c r="D15273" s="39"/>
      <c r="E15273" s="39"/>
      <c r="F15273" s="39"/>
    </row>
    <row r="15274">
      <c r="D15274" s="39"/>
      <c r="E15274" s="39"/>
      <c r="F15274" s="39"/>
    </row>
    <row r="15275">
      <c r="D15275" s="39"/>
      <c r="E15275" s="39"/>
      <c r="F15275" s="39"/>
    </row>
    <row r="15276">
      <c r="D15276" s="39"/>
      <c r="E15276" s="39"/>
      <c r="F15276" s="39"/>
    </row>
    <row r="15277">
      <c r="D15277" s="39"/>
      <c r="E15277" s="39"/>
      <c r="F15277" s="39"/>
    </row>
    <row r="15278">
      <c r="D15278" s="39"/>
      <c r="E15278" s="39"/>
      <c r="F15278" s="39"/>
    </row>
    <row r="15279">
      <c r="D15279" s="39"/>
      <c r="E15279" s="39"/>
      <c r="F15279" s="39"/>
    </row>
    <row r="15280">
      <c r="D15280" s="39"/>
      <c r="E15280" s="39"/>
      <c r="F15280" s="39"/>
    </row>
    <row r="15281">
      <c r="D15281" s="39"/>
      <c r="E15281" s="39"/>
      <c r="F15281" s="39"/>
    </row>
    <row r="15282">
      <c r="D15282" s="39"/>
      <c r="E15282" s="39"/>
      <c r="F15282" s="39"/>
    </row>
    <row r="15283">
      <c r="D15283" s="39"/>
      <c r="E15283" s="39"/>
      <c r="F15283" s="39"/>
    </row>
    <row r="15284">
      <c r="D15284" s="39"/>
      <c r="E15284" s="39"/>
      <c r="F15284" s="39"/>
    </row>
    <row r="15285">
      <c r="D15285" s="39"/>
      <c r="E15285" s="39"/>
      <c r="F15285" s="39"/>
    </row>
    <row r="15286">
      <c r="D15286" s="39"/>
      <c r="E15286" s="39"/>
      <c r="F15286" s="39"/>
    </row>
    <row r="15287">
      <c r="D15287" s="39"/>
      <c r="E15287" s="39"/>
      <c r="F15287" s="39"/>
    </row>
    <row r="15288">
      <c r="D15288" s="39"/>
      <c r="E15288" s="39"/>
      <c r="F15288" s="39"/>
    </row>
    <row r="15289">
      <c r="D15289" s="39"/>
      <c r="E15289" s="39"/>
      <c r="F15289" s="39"/>
    </row>
    <row r="15290">
      <c r="D15290" s="39"/>
      <c r="E15290" s="39"/>
      <c r="F15290" s="39"/>
    </row>
    <row r="15291">
      <c r="D15291" s="39"/>
      <c r="E15291" s="39"/>
      <c r="F15291" s="39"/>
    </row>
    <row r="15292">
      <c r="D15292" s="39"/>
      <c r="E15292" s="39"/>
      <c r="F15292" s="39"/>
    </row>
    <row r="15293">
      <c r="D15293" s="39"/>
      <c r="E15293" s="39"/>
      <c r="F15293" s="39"/>
    </row>
    <row r="15294">
      <c r="D15294" s="39"/>
      <c r="E15294" s="39"/>
      <c r="F15294" s="39"/>
    </row>
    <row r="15295">
      <c r="D15295" s="39"/>
      <c r="E15295" s="39"/>
      <c r="F15295" s="39"/>
    </row>
    <row r="15296">
      <c r="D15296" s="39"/>
      <c r="E15296" s="39"/>
      <c r="F15296" s="39"/>
    </row>
    <row r="15297">
      <c r="D15297" s="39"/>
      <c r="E15297" s="39"/>
      <c r="F15297" s="39"/>
    </row>
    <row r="15298">
      <c r="D15298" s="39"/>
      <c r="E15298" s="39"/>
      <c r="F15298" s="39"/>
    </row>
    <row r="15299">
      <c r="D15299" s="39"/>
      <c r="E15299" s="39"/>
      <c r="F15299" s="39"/>
    </row>
    <row r="15300">
      <c r="D15300" s="39"/>
      <c r="E15300" s="39"/>
      <c r="F15300" s="39"/>
    </row>
    <row r="15301">
      <c r="D15301" s="39"/>
      <c r="E15301" s="39"/>
      <c r="F15301" s="39"/>
    </row>
    <row r="15302">
      <c r="D15302" s="39"/>
      <c r="E15302" s="39"/>
      <c r="F15302" s="39"/>
    </row>
    <row r="15303">
      <c r="D15303" s="39"/>
      <c r="E15303" s="39"/>
      <c r="F15303" s="39"/>
    </row>
    <row r="15304">
      <c r="D15304" s="39"/>
      <c r="E15304" s="39"/>
      <c r="F15304" s="39"/>
    </row>
    <row r="15305">
      <c r="D15305" s="39"/>
      <c r="E15305" s="39"/>
      <c r="F15305" s="39"/>
    </row>
    <row r="15306">
      <c r="D15306" s="39"/>
      <c r="E15306" s="39"/>
      <c r="F15306" s="39"/>
    </row>
    <row r="15307">
      <c r="D15307" s="39"/>
      <c r="E15307" s="39"/>
      <c r="F15307" s="39"/>
    </row>
    <row r="15308">
      <c r="D15308" s="39"/>
      <c r="E15308" s="39"/>
      <c r="F15308" s="39"/>
    </row>
    <row r="15309">
      <c r="D15309" s="39"/>
      <c r="E15309" s="39"/>
      <c r="F15309" s="39"/>
    </row>
    <row r="15310">
      <c r="D15310" s="39"/>
      <c r="E15310" s="39"/>
      <c r="F15310" s="39"/>
    </row>
    <row r="15311">
      <c r="D15311" s="39"/>
      <c r="E15311" s="39"/>
      <c r="F15311" s="39"/>
    </row>
    <row r="15312">
      <c r="D15312" s="39"/>
      <c r="E15312" s="39"/>
      <c r="F15312" s="39"/>
    </row>
    <row r="15313">
      <c r="D15313" s="39"/>
      <c r="E15313" s="39"/>
      <c r="F15313" s="39"/>
    </row>
    <row r="15314">
      <c r="D15314" s="39"/>
      <c r="E15314" s="39"/>
      <c r="F15314" s="39"/>
    </row>
    <row r="15315">
      <c r="D15315" s="39"/>
      <c r="E15315" s="39"/>
      <c r="F15315" s="39"/>
    </row>
    <row r="15316">
      <c r="D15316" s="39"/>
      <c r="E15316" s="39"/>
      <c r="F15316" s="39"/>
    </row>
    <row r="15317">
      <c r="D15317" s="39"/>
      <c r="E15317" s="39"/>
      <c r="F15317" s="39"/>
    </row>
    <row r="15318">
      <c r="D15318" s="39"/>
      <c r="E15318" s="39"/>
      <c r="F15318" s="39"/>
    </row>
    <row r="15319">
      <c r="D15319" s="39"/>
      <c r="E15319" s="39"/>
      <c r="F15319" s="39"/>
    </row>
    <row r="15320">
      <c r="D15320" s="39"/>
      <c r="E15320" s="39"/>
      <c r="F15320" s="39"/>
    </row>
    <row r="15321">
      <c r="D15321" s="39"/>
      <c r="E15321" s="39"/>
      <c r="F15321" s="39"/>
    </row>
    <row r="15322">
      <c r="D15322" s="39"/>
      <c r="E15322" s="39"/>
      <c r="F15322" s="39"/>
    </row>
    <row r="15323">
      <c r="D15323" s="39"/>
      <c r="E15323" s="39"/>
      <c r="F15323" s="39"/>
    </row>
    <row r="15324">
      <c r="D15324" s="39"/>
      <c r="E15324" s="39"/>
      <c r="F15324" s="39"/>
    </row>
    <row r="15325">
      <c r="D15325" s="39"/>
      <c r="E15325" s="39"/>
      <c r="F15325" s="39"/>
    </row>
    <row r="15326">
      <c r="D15326" s="39"/>
      <c r="E15326" s="39"/>
      <c r="F15326" s="39"/>
    </row>
    <row r="15327">
      <c r="D15327" s="39"/>
      <c r="E15327" s="39"/>
      <c r="F15327" s="39"/>
    </row>
    <row r="15328">
      <c r="D15328" s="39"/>
      <c r="E15328" s="39"/>
      <c r="F15328" s="39"/>
    </row>
    <row r="15329">
      <c r="D15329" s="39"/>
      <c r="E15329" s="39"/>
      <c r="F15329" s="39"/>
    </row>
    <row r="15330">
      <c r="D15330" s="39"/>
      <c r="E15330" s="39"/>
      <c r="F15330" s="39"/>
    </row>
    <row r="15331">
      <c r="D15331" s="39"/>
      <c r="E15331" s="39"/>
      <c r="F15331" s="39"/>
    </row>
    <row r="15332">
      <c r="D15332" s="39"/>
      <c r="E15332" s="39"/>
      <c r="F15332" s="39"/>
    </row>
    <row r="15333">
      <c r="D15333" s="39"/>
      <c r="E15333" s="39"/>
      <c r="F15333" s="39"/>
    </row>
    <row r="15334">
      <c r="D15334" s="39"/>
      <c r="E15334" s="39"/>
      <c r="F15334" s="39"/>
    </row>
    <row r="15335">
      <c r="D15335" s="39"/>
      <c r="E15335" s="39"/>
      <c r="F15335" s="39"/>
    </row>
    <row r="15336">
      <c r="D15336" s="39"/>
      <c r="E15336" s="39"/>
      <c r="F15336" s="39"/>
    </row>
    <row r="15337">
      <c r="D15337" s="39"/>
      <c r="E15337" s="39"/>
      <c r="F15337" s="39"/>
    </row>
    <row r="15338">
      <c r="D15338" s="39"/>
      <c r="E15338" s="39"/>
      <c r="F15338" s="39"/>
    </row>
    <row r="15339">
      <c r="D15339" s="39"/>
      <c r="E15339" s="39"/>
      <c r="F15339" s="39"/>
    </row>
    <row r="15340">
      <c r="D15340" s="39"/>
      <c r="E15340" s="39"/>
      <c r="F15340" s="39"/>
    </row>
    <row r="15341">
      <c r="D15341" s="39"/>
      <c r="E15341" s="39"/>
      <c r="F15341" s="39"/>
    </row>
    <row r="15342">
      <c r="D15342" s="39"/>
      <c r="E15342" s="39"/>
      <c r="F15342" s="39"/>
    </row>
    <row r="15343">
      <c r="D15343" s="39"/>
      <c r="E15343" s="39"/>
      <c r="F15343" s="39"/>
    </row>
    <row r="15344">
      <c r="D15344" s="39"/>
      <c r="E15344" s="39"/>
      <c r="F15344" s="39"/>
    </row>
    <row r="15345">
      <c r="D15345" s="39"/>
      <c r="E15345" s="39"/>
      <c r="F15345" s="39"/>
    </row>
    <row r="15346">
      <c r="D15346" s="39"/>
      <c r="E15346" s="39"/>
      <c r="F15346" s="39"/>
    </row>
    <row r="15347">
      <c r="D15347" s="39"/>
      <c r="E15347" s="39"/>
      <c r="F15347" s="39"/>
    </row>
    <row r="15348">
      <c r="D15348" s="39"/>
      <c r="E15348" s="39"/>
      <c r="F15348" s="39"/>
    </row>
    <row r="15349">
      <c r="D15349" s="39"/>
      <c r="E15349" s="39"/>
      <c r="F15349" s="39"/>
    </row>
    <row r="15350">
      <c r="D15350" s="39"/>
      <c r="E15350" s="39"/>
      <c r="F15350" s="39"/>
    </row>
    <row r="15351">
      <c r="D15351" s="39"/>
      <c r="E15351" s="39"/>
      <c r="F15351" s="39"/>
    </row>
    <row r="15352">
      <c r="D15352" s="39"/>
      <c r="E15352" s="39"/>
      <c r="F15352" s="39"/>
    </row>
    <row r="15353">
      <c r="D15353" s="39"/>
      <c r="E15353" s="39"/>
      <c r="F15353" s="39"/>
    </row>
    <row r="15354">
      <c r="D15354" s="39"/>
      <c r="E15354" s="39"/>
      <c r="F15354" s="39"/>
    </row>
    <row r="15355">
      <c r="D15355" s="39"/>
      <c r="E15355" s="39"/>
      <c r="F15355" s="39"/>
    </row>
    <row r="15356">
      <c r="D15356" s="39"/>
      <c r="E15356" s="39"/>
      <c r="F15356" s="39"/>
    </row>
    <row r="15357">
      <c r="D15357" s="39"/>
      <c r="E15357" s="39"/>
      <c r="F15357" s="39"/>
    </row>
    <row r="15358">
      <c r="D15358" s="39"/>
      <c r="E15358" s="39"/>
      <c r="F15358" s="39"/>
    </row>
    <row r="15359">
      <c r="D15359" s="39"/>
      <c r="E15359" s="39"/>
      <c r="F15359" s="39"/>
    </row>
    <row r="15360">
      <c r="D15360" s="39"/>
      <c r="E15360" s="39"/>
      <c r="F15360" s="39"/>
    </row>
    <row r="15361">
      <c r="D15361" s="39"/>
      <c r="E15361" s="39"/>
      <c r="F15361" s="39"/>
    </row>
    <row r="15362">
      <c r="D15362" s="39"/>
      <c r="E15362" s="39"/>
      <c r="F15362" s="39"/>
    </row>
    <row r="15363">
      <c r="D15363" s="39"/>
      <c r="E15363" s="39"/>
      <c r="F15363" s="39"/>
    </row>
    <row r="15364">
      <c r="D15364" s="39"/>
      <c r="E15364" s="39"/>
      <c r="F15364" s="39"/>
    </row>
    <row r="15365">
      <c r="D15365" s="39"/>
      <c r="E15365" s="39"/>
      <c r="F15365" s="39"/>
    </row>
    <row r="15366">
      <c r="D15366" s="39"/>
      <c r="E15366" s="39"/>
      <c r="F15366" s="39"/>
    </row>
    <row r="15367">
      <c r="D15367" s="39"/>
      <c r="E15367" s="39"/>
      <c r="F15367" s="39"/>
    </row>
    <row r="15368">
      <c r="D15368" s="39"/>
      <c r="E15368" s="39"/>
      <c r="F15368" s="39"/>
    </row>
    <row r="15369">
      <c r="D15369" s="39"/>
      <c r="E15369" s="39"/>
      <c r="F15369" s="39"/>
    </row>
    <row r="15370">
      <c r="D15370" s="39"/>
      <c r="E15370" s="39"/>
      <c r="F15370" s="39"/>
    </row>
    <row r="15371">
      <c r="D15371" s="39"/>
      <c r="E15371" s="39"/>
      <c r="F15371" s="39"/>
    </row>
    <row r="15372">
      <c r="D15372" s="39"/>
      <c r="E15372" s="39"/>
      <c r="F15372" s="39"/>
    </row>
    <row r="15373">
      <c r="D15373" s="39"/>
      <c r="E15373" s="39"/>
      <c r="F15373" s="39"/>
    </row>
    <row r="15374">
      <c r="D15374" s="39"/>
      <c r="E15374" s="39"/>
      <c r="F15374" s="39"/>
    </row>
    <row r="15375">
      <c r="D15375" s="39"/>
      <c r="E15375" s="39"/>
      <c r="F15375" s="39"/>
    </row>
    <row r="15376">
      <c r="D15376" s="39"/>
      <c r="E15376" s="39"/>
      <c r="F15376" s="39"/>
    </row>
    <row r="15377">
      <c r="D15377" s="39"/>
      <c r="E15377" s="39"/>
      <c r="F15377" s="39"/>
    </row>
    <row r="15378">
      <c r="D15378" s="39"/>
      <c r="E15378" s="39"/>
      <c r="F15378" s="39"/>
    </row>
    <row r="15379">
      <c r="D15379" s="39"/>
      <c r="E15379" s="39"/>
      <c r="F15379" s="39"/>
    </row>
    <row r="15380">
      <c r="D15380" s="39"/>
      <c r="E15380" s="39"/>
      <c r="F15380" s="39"/>
    </row>
    <row r="15381">
      <c r="D15381" s="39"/>
      <c r="E15381" s="39"/>
      <c r="F15381" s="39"/>
    </row>
    <row r="15382">
      <c r="D15382" s="39"/>
      <c r="E15382" s="39"/>
      <c r="F15382" s="39"/>
    </row>
    <row r="15383">
      <c r="D15383" s="39"/>
      <c r="E15383" s="39"/>
      <c r="F15383" s="39"/>
    </row>
    <row r="15384">
      <c r="D15384" s="39"/>
      <c r="E15384" s="39"/>
      <c r="F15384" s="39"/>
    </row>
    <row r="15385">
      <c r="D15385" s="39"/>
      <c r="E15385" s="39"/>
      <c r="F15385" s="39"/>
    </row>
    <row r="15386">
      <c r="D15386" s="39"/>
      <c r="E15386" s="39"/>
      <c r="F15386" s="39"/>
    </row>
    <row r="15387">
      <c r="D15387" s="39"/>
      <c r="E15387" s="39"/>
      <c r="F15387" s="39"/>
    </row>
    <row r="15388">
      <c r="D15388" s="39"/>
      <c r="E15388" s="39"/>
      <c r="F15388" s="39"/>
    </row>
    <row r="15389">
      <c r="D15389" s="39"/>
      <c r="E15389" s="39"/>
      <c r="F15389" s="39"/>
    </row>
    <row r="15390">
      <c r="D15390" s="39"/>
      <c r="E15390" s="39"/>
      <c r="F15390" s="39"/>
    </row>
    <row r="15391">
      <c r="D15391" s="39"/>
      <c r="E15391" s="39"/>
      <c r="F15391" s="39"/>
    </row>
    <row r="15392">
      <c r="D15392" s="39"/>
      <c r="E15392" s="39"/>
      <c r="F15392" s="39"/>
    </row>
    <row r="15393">
      <c r="D15393" s="39"/>
      <c r="E15393" s="39"/>
      <c r="F15393" s="39"/>
    </row>
    <row r="15394">
      <c r="D15394" s="39"/>
      <c r="E15394" s="39"/>
      <c r="F15394" s="39"/>
    </row>
    <row r="15395">
      <c r="D15395" s="39"/>
      <c r="E15395" s="39"/>
      <c r="F15395" s="39"/>
    </row>
    <row r="15396">
      <c r="D15396" s="39"/>
      <c r="E15396" s="39"/>
      <c r="F15396" s="39"/>
    </row>
    <row r="15397">
      <c r="D15397" s="39"/>
      <c r="E15397" s="39"/>
      <c r="F15397" s="39"/>
    </row>
    <row r="15398">
      <c r="D15398" s="39"/>
      <c r="E15398" s="39"/>
      <c r="F15398" s="39"/>
    </row>
    <row r="15399">
      <c r="D15399" s="39"/>
      <c r="E15399" s="39"/>
      <c r="F15399" s="39"/>
    </row>
    <row r="15400">
      <c r="D15400" s="39"/>
      <c r="E15400" s="39"/>
      <c r="F15400" s="39"/>
    </row>
    <row r="15401">
      <c r="D15401" s="39"/>
      <c r="E15401" s="39"/>
      <c r="F15401" s="39"/>
    </row>
    <row r="15402">
      <c r="D15402" s="39"/>
      <c r="E15402" s="39"/>
      <c r="F15402" s="39"/>
    </row>
    <row r="15403">
      <c r="D15403" s="39"/>
      <c r="E15403" s="39"/>
      <c r="F15403" s="39"/>
    </row>
    <row r="15404">
      <c r="D15404" s="39"/>
      <c r="E15404" s="39"/>
      <c r="F15404" s="39"/>
    </row>
    <row r="15405">
      <c r="D15405" s="39"/>
      <c r="E15405" s="39"/>
      <c r="F15405" s="39"/>
    </row>
    <row r="15406">
      <c r="D15406" s="39"/>
      <c r="E15406" s="39"/>
      <c r="F15406" s="39"/>
    </row>
    <row r="15407">
      <c r="D15407" s="39"/>
      <c r="E15407" s="39"/>
      <c r="F15407" s="39"/>
    </row>
    <row r="15408">
      <c r="D15408" s="39"/>
      <c r="E15408" s="39"/>
      <c r="F15408" s="39"/>
    </row>
    <row r="15409">
      <c r="D15409" s="39"/>
      <c r="E15409" s="39"/>
      <c r="F15409" s="39"/>
    </row>
    <row r="15410">
      <c r="D15410" s="39"/>
      <c r="E15410" s="39"/>
      <c r="F15410" s="39"/>
    </row>
    <row r="15411">
      <c r="D15411" s="39"/>
      <c r="E15411" s="39"/>
      <c r="F15411" s="39"/>
    </row>
    <row r="15412">
      <c r="D15412" s="39"/>
      <c r="E15412" s="39"/>
      <c r="F15412" s="39"/>
    </row>
    <row r="15413">
      <c r="D15413" s="39"/>
      <c r="E15413" s="39"/>
      <c r="F15413" s="39"/>
    </row>
    <row r="15414">
      <c r="D15414" s="39"/>
      <c r="E15414" s="39"/>
      <c r="F15414" s="39"/>
    </row>
    <row r="15415">
      <c r="D15415" s="39"/>
      <c r="E15415" s="39"/>
      <c r="F15415" s="39"/>
    </row>
    <row r="15416">
      <c r="D15416" s="39"/>
      <c r="E15416" s="39"/>
      <c r="F15416" s="39"/>
    </row>
    <row r="15417">
      <c r="D15417" s="39"/>
      <c r="E15417" s="39"/>
      <c r="F15417" s="39"/>
    </row>
    <row r="15418">
      <c r="D15418" s="39"/>
      <c r="E15418" s="39"/>
      <c r="F15418" s="39"/>
    </row>
    <row r="15419">
      <c r="D15419" s="39"/>
      <c r="E15419" s="39"/>
      <c r="F15419" s="39"/>
    </row>
    <row r="15420">
      <c r="D15420" s="39"/>
      <c r="E15420" s="39"/>
      <c r="F15420" s="39"/>
    </row>
    <row r="15421">
      <c r="D15421" s="39"/>
      <c r="E15421" s="39"/>
      <c r="F15421" s="39"/>
    </row>
    <row r="15422">
      <c r="D15422" s="39"/>
      <c r="E15422" s="39"/>
      <c r="F15422" s="39"/>
    </row>
    <row r="15423">
      <c r="D15423" s="39"/>
      <c r="E15423" s="39"/>
      <c r="F15423" s="39"/>
    </row>
    <row r="15424">
      <c r="D15424" s="39"/>
      <c r="E15424" s="39"/>
      <c r="F15424" s="39"/>
    </row>
    <row r="15425">
      <c r="D15425" s="39"/>
      <c r="E15425" s="39"/>
      <c r="F15425" s="39"/>
    </row>
    <row r="15426">
      <c r="D15426" s="39"/>
      <c r="E15426" s="39"/>
      <c r="F15426" s="39"/>
    </row>
    <row r="15427">
      <c r="D15427" s="39"/>
      <c r="E15427" s="39"/>
      <c r="F15427" s="39"/>
    </row>
    <row r="15428">
      <c r="D15428" s="39"/>
      <c r="E15428" s="39"/>
      <c r="F15428" s="39"/>
    </row>
    <row r="15429">
      <c r="D15429" s="39"/>
      <c r="E15429" s="39"/>
      <c r="F15429" s="39"/>
    </row>
    <row r="15430">
      <c r="D15430" s="39"/>
      <c r="E15430" s="39"/>
      <c r="F15430" s="39"/>
    </row>
    <row r="15431">
      <c r="D15431" s="39"/>
      <c r="E15431" s="39"/>
      <c r="F15431" s="39"/>
    </row>
    <row r="15432">
      <c r="D15432" s="39"/>
      <c r="E15432" s="39"/>
      <c r="F15432" s="39"/>
    </row>
    <row r="15433">
      <c r="D15433" s="39"/>
      <c r="E15433" s="39"/>
      <c r="F15433" s="39"/>
    </row>
    <row r="15434">
      <c r="D15434" s="39"/>
      <c r="E15434" s="39"/>
      <c r="F15434" s="39"/>
    </row>
    <row r="15435">
      <c r="D15435" s="39"/>
      <c r="E15435" s="39"/>
      <c r="F15435" s="39"/>
    </row>
    <row r="15436">
      <c r="D15436" s="39"/>
      <c r="E15436" s="39"/>
      <c r="F15436" s="39"/>
    </row>
    <row r="15437">
      <c r="D15437" s="39"/>
      <c r="E15437" s="39"/>
      <c r="F15437" s="39"/>
    </row>
    <row r="15438">
      <c r="D15438" s="39"/>
      <c r="E15438" s="39"/>
      <c r="F15438" s="39"/>
    </row>
    <row r="15439">
      <c r="D15439" s="39"/>
      <c r="E15439" s="39"/>
      <c r="F15439" s="39"/>
    </row>
    <row r="15440">
      <c r="D15440" s="39"/>
      <c r="E15440" s="39"/>
      <c r="F15440" s="39"/>
    </row>
    <row r="15441">
      <c r="D15441" s="39"/>
      <c r="E15441" s="39"/>
      <c r="F15441" s="39"/>
    </row>
    <row r="15442">
      <c r="D15442" s="39"/>
      <c r="E15442" s="39"/>
      <c r="F15442" s="39"/>
    </row>
    <row r="15443">
      <c r="D15443" s="39"/>
      <c r="E15443" s="39"/>
      <c r="F15443" s="39"/>
    </row>
    <row r="15444">
      <c r="D15444" s="39"/>
      <c r="E15444" s="39"/>
      <c r="F15444" s="39"/>
    </row>
    <row r="15445">
      <c r="D15445" s="39"/>
      <c r="E15445" s="39"/>
      <c r="F15445" s="39"/>
    </row>
    <row r="15446">
      <c r="D15446" s="39"/>
      <c r="E15446" s="39"/>
      <c r="F15446" s="39"/>
    </row>
    <row r="15447">
      <c r="D15447" s="39"/>
      <c r="E15447" s="39"/>
      <c r="F15447" s="39"/>
    </row>
    <row r="15448">
      <c r="D15448" s="39"/>
      <c r="E15448" s="39"/>
      <c r="F15448" s="39"/>
    </row>
    <row r="15449">
      <c r="D15449" s="39"/>
      <c r="E15449" s="39"/>
      <c r="F15449" s="39"/>
    </row>
    <row r="15450">
      <c r="D15450" s="39"/>
      <c r="E15450" s="39"/>
      <c r="F15450" s="39"/>
    </row>
    <row r="15451">
      <c r="D15451" s="39"/>
      <c r="E15451" s="39"/>
      <c r="F15451" s="39"/>
    </row>
    <row r="15452">
      <c r="D15452" s="39"/>
      <c r="E15452" s="39"/>
      <c r="F15452" s="39"/>
    </row>
    <row r="15453">
      <c r="D15453" s="39"/>
      <c r="E15453" s="39"/>
      <c r="F15453" s="39"/>
    </row>
    <row r="15454">
      <c r="D15454" s="39"/>
      <c r="E15454" s="39"/>
      <c r="F15454" s="39"/>
    </row>
    <row r="15455">
      <c r="D15455" s="39"/>
      <c r="E15455" s="39"/>
      <c r="F15455" s="39"/>
    </row>
    <row r="15456">
      <c r="D15456" s="39"/>
      <c r="E15456" s="39"/>
      <c r="F15456" s="39"/>
    </row>
    <row r="15457">
      <c r="D15457" s="39"/>
      <c r="E15457" s="39"/>
      <c r="F15457" s="39"/>
    </row>
    <row r="15458">
      <c r="D15458" s="39"/>
      <c r="E15458" s="39"/>
      <c r="F15458" s="39"/>
    </row>
    <row r="15459">
      <c r="D15459" s="39"/>
      <c r="E15459" s="39"/>
      <c r="F15459" s="39"/>
    </row>
    <row r="15460">
      <c r="D15460" s="39"/>
      <c r="E15460" s="39"/>
      <c r="F15460" s="39"/>
    </row>
    <row r="15461">
      <c r="D15461" s="39"/>
      <c r="E15461" s="39"/>
      <c r="F15461" s="39"/>
    </row>
    <row r="15462">
      <c r="D15462" s="39"/>
      <c r="E15462" s="39"/>
      <c r="F15462" s="39"/>
    </row>
    <row r="15463">
      <c r="D15463" s="39"/>
      <c r="E15463" s="39"/>
      <c r="F15463" s="39"/>
    </row>
    <row r="15464">
      <c r="D15464" s="39"/>
      <c r="E15464" s="39"/>
      <c r="F15464" s="39"/>
    </row>
    <row r="15465">
      <c r="D15465" s="39"/>
      <c r="E15465" s="39"/>
      <c r="F15465" s="39"/>
    </row>
    <row r="15466">
      <c r="D15466" s="39"/>
      <c r="E15466" s="39"/>
      <c r="F15466" s="39"/>
    </row>
    <row r="15467">
      <c r="D15467" s="39"/>
      <c r="E15467" s="39"/>
      <c r="F15467" s="39"/>
    </row>
    <row r="15468">
      <c r="D15468" s="39"/>
      <c r="E15468" s="39"/>
      <c r="F15468" s="39"/>
    </row>
    <row r="15469">
      <c r="D15469" s="39"/>
      <c r="E15469" s="39"/>
      <c r="F15469" s="39"/>
    </row>
    <row r="15470">
      <c r="D15470" s="39"/>
      <c r="E15470" s="39"/>
      <c r="F15470" s="39"/>
    </row>
    <row r="15471">
      <c r="D15471" s="39"/>
      <c r="E15471" s="39"/>
      <c r="F15471" s="39"/>
    </row>
    <row r="15472">
      <c r="D15472" s="39"/>
      <c r="E15472" s="39"/>
      <c r="F15472" s="39"/>
    </row>
    <row r="15473">
      <c r="D15473" s="39"/>
      <c r="E15473" s="39"/>
      <c r="F15473" s="39"/>
    </row>
    <row r="15474">
      <c r="D15474" s="39"/>
      <c r="E15474" s="39"/>
      <c r="F15474" s="39"/>
    </row>
    <row r="15475">
      <c r="D15475" s="39"/>
      <c r="E15475" s="39"/>
      <c r="F15475" s="39"/>
    </row>
    <row r="15476">
      <c r="D15476" s="39"/>
      <c r="E15476" s="39"/>
      <c r="F15476" s="39"/>
    </row>
    <row r="15477">
      <c r="D15477" s="39"/>
      <c r="E15477" s="39"/>
      <c r="F15477" s="39"/>
    </row>
    <row r="15478">
      <c r="D15478" s="39"/>
      <c r="E15478" s="39"/>
      <c r="F15478" s="39"/>
    </row>
    <row r="15479">
      <c r="D15479" s="39"/>
      <c r="E15479" s="39"/>
      <c r="F15479" s="39"/>
    </row>
    <row r="15480">
      <c r="D15480" s="39"/>
      <c r="E15480" s="39"/>
      <c r="F15480" s="39"/>
    </row>
    <row r="15481">
      <c r="D15481" s="39"/>
      <c r="E15481" s="39"/>
      <c r="F15481" s="39"/>
    </row>
    <row r="15482">
      <c r="D15482" s="39"/>
      <c r="E15482" s="39"/>
      <c r="F15482" s="39"/>
    </row>
    <row r="15483">
      <c r="D15483" s="39"/>
      <c r="E15483" s="39"/>
      <c r="F15483" s="39"/>
    </row>
    <row r="15484">
      <c r="D15484" s="39"/>
      <c r="E15484" s="39"/>
      <c r="F15484" s="39"/>
    </row>
    <row r="15485">
      <c r="D15485" s="39"/>
      <c r="E15485" s="39"/>
      <c r="F15485" s="39"/>
    </row>
    <row r="15486">
      <c r="D15486" s="39"/>
      <c r="E15486" s="39"/>
      <c r="F15486" s="39"/>
    </row>
    <row r="15487">
      <c r="D15487" s="39"/>
      <c r="E15487" s="39"/>
      <c r="F15487" s="39"/>
    </row>
    <row r="15488">
      <c r="D15488" s="39"/>
      <c r="E15488" s="39"/>
      <c r="F15488" s="39"/>
    </row>
    <row r="15489">
      <c r="D15489" s="39"/>
      <c r="E15489" s="39"/>
      <c r="F15489" s="39"/>
    </row>
    <row r="15490">
      <c r="D15490" s="39"/>
      <c r="E15490" s="39"/>
      <c r="F15490" s="39"/>
    </row>
    <row r="15491">
      <c r="D15491" s="39"/>
      <c r="E15491" s="39"/>
      <c r="F15491" s="39"/>
    </row>
    <row r="15492">
      <c r="D15492" s="39"/>
      <c r="E15492" s="39"/>
      <c r="F15492" s="39"/>
    </row>
    <row r="15493">
      <c r="D15493" s="39"/>
      <c r="E15493" s="39"/>
      <c r="F15493" s="39"/>
    </row>
    <row r="15494">
      <c r="D15494" s="39"/>
      <c r="E15494" s="39"/>
      <c r="F15494" s="39"/>
    </row>
    <row r="15495">
      <c r="D15495" s="39"/>
      <c r="E15495" s="39"/>
      <c r="F15495" s="39"/>
    </row>
    <row r="15496">
      <c r="D15496" s="39"/>
      <c r="E15496" s="39"/>
      <c r="F15496" s="39"/>
    </row>
    <row r="15497">
      <c r="D15497" s="39"/>
      <c r="E15497" s="39"/>
      <c r="F15497" s="39"/>
    </row>
    <row r="15498">
      <c r="D15498" s="39"/>
      <c r="E15498" s="39"/>
      <c r="F15498" s="39"/>
    </row>
    <row r="15499">
      <c r="D15499" s="39"/>
      <c r="E15499" s="39"/>
      <c r="F15499" s="39"/>
    </row>
    <row r="15500">
      <c r="D15500" s="39"/>
      <c r="E15500" s="39"/>
      <c r="F15500" s="39"/>
    </row>
    <row r="15501">
      <c r="D15501" s="39"/>
      <c r="E15501" s="39"/>
      <c r="F15501" s="39"/>
    </row>
    <row r="15502">
      <c r="D15502" s="39"/>
      <c r="E15502" s="39"/>
      <c r="F15502" s="39"/>
    </row>
    <row r="15503">
      <c r="D15503" s="39"/>
      <c r="E15503" s="39"/>
      <c r="F15503" s="39"/>
    </row>
    <row r="15504">
      <c r="D15504" s="39"/>
      <c r="E15504" s="39"/>
      <c r="F15504" s="39"/>
    </row>
    <row r="15505">
      <c r="D15505" s="39"/>
      <c r="E15505" s="39"/>
      <c r="F15505" s="39"/>
    </row>
    <row r="15506">
      <c r="D15506" s="39"/>
      <c r="E15506" s="39"/>
      <c r="F15506" s="39"/>
    </row>
    <row r="15507">
      <c r="D15507" s="39"/>
      <c r="E15507" s="39"/>
      <c r="F15507" s="39"/>
    </row>
    <row r="15508">
      <c r="D15508" s="39"/>
      <c r="E15508" s="39"/>
      <c r="F15508" s="39"/>
    </row>
    <row r="15509">
      <c r="D15509" s="39"/>
      <c r="E15509" s="39"/>
      <c r="F15509" s="39"/>
    </row>
    <row r="15510">
      <c r="D15510" s="39"/>
      <c r="E15510" s="39"/>
      <c r="F15510" s="39"/>
    </row>
    <row r="15511">
      <c r="D15511" s="39"/>
      <c r="E15511" s="39"/>
      <c r="F15511" s="39"/>
    </row>
    <row r="15512">
      <c r="D15512" s="39"/>
      <c r="E15512" s="39"/>
      <c r="F15512" s="39"/>
    </row>
    <row r="15513">
      <c r="D15513" s="39"/>
      <c r="E15513" s="39"/>
      <c r="F15513" s="39"/>
    </row>
    <row r="15514">
      <c r="D15514" s="39"/>
      <c r="E15514" s="39"/>
      <c r="F15514" s="39"/>
    </row>
    <row r="15515">
      <c r="D15515" s="39"/>
      <c r="E15515" s="39"/>
      <c r="F15515" s="39"/>
    </row>
    <row r="15516">
      <c r="D15516" s="39"/>
      <c r="E15516" s="39"/>
      <c r="F15516" s="39"/>
    </row>
    <row r="15517">
      <c r="D15517" s="39"/>
      <c r="E15517" s="39"/>
      <c r="F15517" s="39"/>
    </row>
    <row r="15518">
      <c r="D15518" s="39"/>
      <c r="E15518" s="39"/>
      <c r="F15518" s="39"/>
    </row>
    <row r="15519">
      <c r="D15519" s="39"/>
      <c r="E15519" s="39"/>
      <c r="F15519" s="39"/>
    </row>
    <row r="15520">
      <c r="D15520" s="39"/>
      <c r="E15520" s="39"/>
      <c r="F15520" s="39"/>
    </row>
    <row r="15521">
      <c r="D15521" s="39"/>
      <c r="E15521" s="39"/>
      <c r="F15521" s="39"/>
    </row>
    <row r="15522">
      <c r="D15522" s="39"/>
      <c r="E15522" s="39"/>
      <c r="F15522" s="39"/>
    </row>
    <row r="15523">
      <c r="D15523" s="39"/>
      <c r="E15523" s="39"/>
      <c r="F15523" s="39"/>
    </row>
    <row r="15524">
      <c r="D15524" s="39"/>
      <c r="E15524" s="39"/>
      <c r="F15524" s="39"/>
    </row>
    <row r="15525">
      <c r="D15525" s="39"/>
      <c r="E15525" s="39"/>
      <c r="F15525" s="39"/>
    </row>
    <row r="15526">
      <c r="D15526" s="39"/>
      <c r="E15526" s="39"/>
      <c r="F15526" s="39"/>
    </row>
    <row r="15527">
      <c r="D15527" s="39"/>
      <c r="E15527" s="39"/>
      <c r="F15527" s="39"/>
    </row>
    <row r="15528">
      <c r="D15528" s="39"/>
      <c r="E15528" s="39"/>
      <c r="F15528" s="39"/>
    </row>
    <row r="15529">
      <c r="D15529" s="39"/>
      <c r="E15529" s="39"/>
      <c r="F15529" s="39"/>
    </row>
    <row r="15530">
      <c r="D15530" s="39"/>
      <c r="E15530" s="39"/>
      <c r="F15530" s="39"/>
    </row>
    <row r="15531">
      <c r="D15531" s="39"/>
      <c r="E15531" s="39"/>
      <c r="F15531" s="39"/>
    </row>
    <row r="15532">
      <c r="D15532" s="39"/>
      <c r="E15532" s="39"/>
      <c r="F15532" s="39"/>
    </row>
    <row r="15533">
      <c r="D15533" s="39"/>
      <c r="E15533" s="39"/>
      <c r="F15533" s="39"/>
    </row>
    <row r="15534">
      <c r="D15534" s="39"/>
      <c r="E15534" s="39"/>
      <c r="F15534" s="39"/>
    </row>
    <row r="15535">
      <c r="D15535" s="39"/>
      <c r="E15535" s="39"/>
      <c r="F15535" s="39"/>
    </row>
    <row r="15536">
      <c r="D15536" s="39"/>
      <c r="E15536" s="39"/>
      <c r="F15536" s="39"/>
    </row>
    <row r="15537">
      <c r="D15537" s="39"/>
      <c r="E15537" s="39"/>
      <c r="F15537" s="39"/>
    </row>
    <row r="15538">
      <c r="D15538" s="39"/>
      <c r="E15538" s="39"/>
      <c r="F15538" s="39"/>
    </row>
    <row r="15539">
      <c r="D15539" s="39"/>
      <c r="E15539" s="39"/>
      <c r="F15539" s="39"/>
    </row>
    <row r="15540">
      <c r="D15540" s="39"/>
      <c r="E15540" s="39"/>
      <c r="F15540" s="39"/>
    </row>
    <row r="15541">
      <c r="D15541" s="39"/>
      <c r="E15541" s="39"/>
      <c r="F15541" s="39"/>
    </row>
    <row r="15542">
      <c r="D15542" s="39"/>
      <c r="E15542" s="39"/>
      <c r="F15542" s="39"/>
    </row>
    <row r="15543">
      <c r="D15543" s="39"/>
      <c r="E15543" s="39"/>
      <c r="F15543" s="39"/>
    </row>
    <row r="15544">
      <c r="D15544" s="39"/>
      <c r="E15544" s="39"/>
      <c r="F15544" s="39"/>
    </row>
    <row r="15545">
      <c r="D15545" s="39"/>
      <c r="E15545" s="39"/>
      <c r="F15545" s="39"/>
    </row>
    <row r="15546">
      <c r="D15546" s="39"/>
      <c r="E15546" s="39"/>
      <c r="F15546" s="39"/>
    </row>
    <row r="15547">
      <c r="D15547" s="39"/>
      <c r="E15547" s="39"/>
      <c r="F15547" s="39"/>
    </row>
    <row r="15548">
      <c r="D15548" s="39"/>
      <c r="E15548" s="39"/>
      <c r="F15548" s="39"/>
    </row>
    <row r="15549">
      <c r="D15549" s="39"/>
      <c r="E15549" s="39"/>
      <c r="F15549" s="39"/>
    </row>
    <row r="15550">
      <c r="D15550" s="39"/>
      <c r="E15550" s="39"/>
      <c r="F15550" s="39"/>
    </row>
    <row r="15551">
      <c r="D15551" s="39"/>
      <c r="E15551" s="39"/>
      <c r="F15551" s="39"/>
    </row>
    <row r="15552">
      <c r="D15552" s="39"/>
      <c r="E15552" s="39"/>
      <c r="F15552" s="39"/>
    </row>
    <row r="15553">
      <c r="D15553" s="39"/>
      <c r="E15553" s="39"/>
      <c r="F15553" s="39"/>
    </row>
    <row r="15554">
      <c r="D15554" s="39"/>
      <c r="E15554" s="39"/>
      <c r="F15554" s="39"/>
    </row>
    <row r="15555">
      <c r="D15555" s="39"/>
      <c r="E15555" s="39"/>
      <c r="F15555" s="39"/>
    </row>
    <row r="15556">
      <c r="D15556" s="39"/>
      <c r="E15556" s="39"/>
      <c r="F15556" s="39"/>
    </row>
    <row r="15557">
      <c r="D15557" s="39"/>
      <c r="E15557" s="39"/>
      <c r="F15557" s="39"/>
    </row>
    <row r="15558">
      <c r="D15558" s="39"/>
      <c r="E15558" s="39"/>
      <c r="F15558" s="39"/>
    </row>
    <row r="15559">
      <c r="D15559" s="39"/>
      <c r="E15559" s="39"/>
      <c r="F15559" s="39"/>
    </row>
    <row r="15560">
      <c r="D15560" s="39"/>
      <c r="E15560" s="39"/>
      <c r="F15560" s="39"/>
    </row>
    <row r="15561">
      <c r="D15561" s="39"/>
      <c r="E15561" s="39"/>
      <c r="F15561" s="39"/>
    </row>
    <row r="15562">
      <c r="D15562" s="39"/>
      <c r="E15562" s="39"/>
      <c r="F15562" s="39"/>
    </row>
    <row r="15563">
      <c r="D15563" s="39"/>
      <c r="E15563" s="39"/>
      <c r="F15563" s="39"/>
    </row>
    <row r="15564">
      <c r="D15564" s="39"/>
      <c r="E15564" s="39"/>
      <c r="F15564" s="39"/>
    </row>
    <row r="15565">
      <c r="D15565" s="39"/>
      <c r="E15565" s="39"/>
      <c r="F15565" s="39"/>
    </row>
    <row r="15566">
      <c r="D15566" s="39"/>
      <c r="E15566" s="39"/>
      <c r="F15566" s="39"/>
    </row>
    <row r="15567">
      <c r="D15567" s="39"/>
      <c r="E15567" s="39"/>
      <c r="F15567" s="39"/>
    </row>
    <row r="15568">
      <c r="D15568" s="39"/>
      <c r="E15568" s="39"/>
      <c r="F15568" s="39"/>
    </row>
    <row r="15569">
      <c r="D15569" s="39"/>
      <c r="E15569" s="39"/>
      <c r="F15569" s="39"/>
    </row>
    <row r="15570">
      <c r="D15570" s="39"/>
      <c r="E15570" s="39"/>
      <c r="F15570" s="39"/>
    </row>
    <row r="15571">
      <c r="D15571" s="39"/>
      <c r="E15571" s="39"/>
      <c r="F15571" s="39"/>
    </row>
    <row r="15572">
      <c r="D15572" s="39"/>
      <c r="E15572" s="39"/>
      <c r="F15572" s="39"/>
    </row>
    <row r="15573">
      <c r="D15573" s="39"/>
      <c r="E15573" s="39"/>
      <c r="F15573" s="39"/>
    </row>
    <row r="15574">
      <c r="D15574" s="39"/>
      <c r="E15574" s="39"/>
      <c r="F15574" s="39"/>
    </row>
    <row r="15575">
      <c r="D15575" s="39"/>
      <c r="E15575" s="39"/>
      <c r="F15575" s="39"/>
    </row>
    <row r="15576">
      <c r="D15576" s="39"/>
      <c r="E15576" s="39"/>
      <c r="F15576" s="39"/>
    </row>
    <row r="15577">
      <c r="D15577" s="39"/>
      <c r="E15577" s="39"/>
      <c r="F15577" s="39"/>
    </row>
    <row r="15578">
      <c r="D15578" s="39"/>
      <c r="E15578" s="39"/>
      <c r="F15578" s="39"/>
    </row>
    <row r="15579">
      <c r="D15579" s="39"/>
      <c r="E15579" s="39"/>
      <c r="F15579" s="39"/>
    </row>
    <row r="15580">
      <c r="D15580" s="39"/>
      <c r="E15580" s="39"/>
      <c r="F15580" s="39"/>
    </row>
    <row r="15581">
      <c r="D15581" s="39"/>
      <c r="E15581" s="39"/>
      <c r="F15581" s="39"/>
    </row>
    <row r="15582">
      <c r="D15582" s="39"/>
      <c r="E15582" s="39"/>
      <c r="F15582" s="39"/>
    </row>
    <row r="15583">
      <c r="D15583" s="39"/>
      <c r="E15583" s="39"/>
      <c r="F15583" s="39"/>
    </row>
    <row r="15584">
      <c r="D15584" s="39"/>
      <c r="E15584" s="39"/>
      <c r="F15584" s="39"/>
    </row>
    <row r="15585">
      <c r="D15585" s="39"/>
      <c r="E15585" s="39"/>
      <c r="F15585" s="39"/>
    </row>
    <row r="15586">
      <c r="D15586" s="39"/>
      <c r="E15586" s="39"/>
      <c r="F15586" s="39"/>
    </row>
    <row r="15587">
      <c r="D15587" s="39"/>
      <c r="E15587" s="39"/>
      <c r="F15587" s="39"/>
    </row>
    <row r="15588">
      <c r="D15588" s="39"/>
      <c r="E15588" s="39"/>
      <c r="F15588" s="39"/>
    </row>
    <row r="15589">
      <c r="D15589" s="39"/>
      <c r="E15589" s="39"/>
      <c r="F15589" s="39"/>
    </row>
    <row r="15590">
      <c r="D15590" s="39"/>
      <c r="E15590" s="39"/>
      <c r="F15590" s="39"/>
    </row>
    <row r="15591">
      <c r="D15591" s="39"/>
      <c r="E15591" s="39"/>
      <c r="F15591" s="39"/>
    </row>
    <row r="15592">
      <c r="D15592" s="39"/>
      <c r="E15592" s="39"/>
      <c r="F15592" s="39"/>
    </row>
    <row r="15593">
      <c r="D15593" s="39"/>
      <c r="E15593" s="39"/>
      <c r="F15593" s="39"/>
    </row>
    <row r="15594">
      <c r="D15594" s="39"/>
      <c r="E15594" s="39"/>
      <c r="F15594" s="39"/>
    </row>
    <row r="15595">
      <c r="D15595" s="39"/>
      <c r="E15595" s="39"/>
      <c r="F15595" s="39"/>
    </row>
    <row r="15596">
      <c r="D15596" s="39"/>
      <c r="E15596" s="39"/>
      <c r="F15596" s="39"/>
    </row>
    <row r="15597">
      <c r="D15597" s="39"/>
      <c r="E15597" s="39"/>
      <c r="F15597" s="39"/>
    </row>
    <row r="15598">
      <c r="D15598" s="39"/>
      <c r="E15598" s="39"/>
      <c r="F15598" s="39"/>
    </row>
    <row r="15599">
      <c r="D15599" s="39"/>
      <c r="E15599" s="39"/>
      <c r="F15599" s="39"/>
    </row>
    <row r="15600">
      <c r="D15600" s="39"/>
      <c r="E15600" s="39"/>
      <c r="F15600" s="39"/>
    </row>
    <row r="15601">
      <c r="D15601" s="39"/>
      <c r="E15601" s="39"/>
      <c r="F15601" s="39"/>
    </row>
    <row r="15602">
      <c r="D15602" s="39"/>
      <c r="E15602" s="39"/>
      <c r="F15602" s="39"/>
    </row>
    <row r="15603">
      <c r="D15603" s="39"/>
      <c r="E15603" s="39"/>
      <c r="F15603" s="39"/>
    </row>
    <row r="15604">
      <c r="D15604" s="39"/>
      <c r="E15604" s="39"/>
      <c r="F15604" s="39"/>
    </row>
    <row r="15605">
      <c r="D15605" s="39"/>
      <c r="E15605" s="39"/>
      <c r="F15605" s="39"/>
    </row>
    <row r="15606">
      <c r="D15606" s="39"/>
      <c r="E15606" s="39"/>
      <c r="F15606" s="39"/>
    </row>
    <row r="15607">
      <c r="D15607" s="39"/>
      <c r="E15607" s="39"/>
      <c r="F15607" s="39"/>
    </row>
    <row r="15608">
      <c r="D15608" s="39"/>
      <c r="E15608" s="39"/>
      <c r="F15608" s="39"/>
    </row>
    <row r="15609">
      <c r="D15609" s="39"/>
      <c r="E15609" s="39"/>
      <c r="F15609" s="39"/>
    </row>
    <row r="15610">
      <c r="D15610" s="39"/>
      <c r="E15610" s="39"/>
      <c r="F15610" s="39"/>
    </row>
    <row r="15611">
      <c r="D15611" s="39"/>
      <c r="E15611" s="39"/>
      <c r="F15611" s="39"/>
    </row>
    <row r="15612">
      <c r="D15612" s="39"/>
      <c r="E15612" s="39"/>
      <c r="F15612" s="39"/>
    </row>
    <row r="15613">
      <c r="D15613" s="39"/>
      <c r="E15613" s="39"/>
      <c r="F15613" s="39"/>
    </row>
    <row r="15614">
      <c r="D15614" s="39"/>
      <c r="E15614" s="39"/>
      <c r="F15614" s="39"/>
    </row>
    <row r="15615">
      <c r="D15615" s="39"/>
      <c r="E15615" s="39"/>
      <c r="F15615" s="39"/>
    </row>
    <row r="15616">
      <c r="D15616" s="39"/>
      <c r="E15616" s="39"/>
      <c r="F15616" s="39"/>
    </row>
    <row r="15617">
      <c r="D15617" s="39"/>
      <c r="E15617" s="39"/>
      <c r="F15617" s="39"/>
    </row>
    <row r="15618">
      <c r="D15618" s="39"/>
      <c r="E15618" s="39"/>
      <c r="F15618" s="39"/>
    </row>
    <row r="15619">
      <c r="D15619" s="39"/>
      <c r="E15619" s="39"/>
      <c r="F15619" s="39"/>
    </row>
    <row r="15620">
      <c r="D15620" s="39"/>
      <c r="E15620" s="39"/>
      <c r="F15620" s="39"/>
    </row>
    <row r="15621">
      <c r="D15621" s="39"/>
      <c r="E15621" s="39"/>
      <c r="F15621" s="39"/>
    </row>
    <row r="15622">
      <c r="D15622" s="39"/>
      <c r="E15622" s="39"/>
      <c r="F15622" s="39"/>
    </row>
    <row r="15623">
      <c r="D15623" s="39"/>
      <c r="E15623" s="39"/>
      <c r="F15623" s="39"/>
    </row>
    <row r="15624">
      <c r="D15624" s="39"/>
      <c r="E15624" s="39"/>
      <c r="F15624" s="39"/>
    </row>
    <row r="15625">
      <c r="D15625" s="39"/>
      <c r="E15625" s="39"/>
      <c r="F15625" s="39"/>
    </row>
    <row r="15626">
      <c r="D15626" s="39"/>
      <c r="E15626" s="39"/>
      <c r="F15626" s="39"/>
    </row>
    <row r="15627">
      <c r="D15627" s="39"/>
      <c r="E15627" s="39"/>
      <c r="F15627" s="39"/>
    </row>
    <row r="15628">
      <c r="D15628" s="39"/>
      <c r="E15628" s="39"/>
      <c r="F15628" s="39"/>
    </row>
    <row r="15629">
      <c r="D15629" s="39"/>
      <c r="E15629" s="39"/>
      <c r="F15629" s="39"/>
    </row>
    <row r="15630">
      <c r="D15630" s="39"/>
      <c r="E15630" s="39"/>
      <c r="F15630" s="39"/>
    </row>
    <row r="15631">
      <c r="D15631" s="39"/>
      <c r="E15631" s="39"/>
      <c r="F15631" s="39"/>
    </row>
    <row r="15632">
      <c r="D15632" s="39"/>
      <c r="E15632" s="39"/>
      <c r="F15632" s="39"/>
    </row>
    <row r="15633">
      <c r="D15633" s="39"/>
      <c r="E15633" s="39"/>
      <c r="F15633" s="39"/>
    </row>
    <row r="15634">
      <c r="D15634" s="39"/>
      <c r="E15634" s="39"/>
      <c r="F15634" s="39"/>
    </row>
    <row r="15635">
      <c r="D15635" s="39"/>
      <c r="E15635" s="39"/>
      <c r="F15635" s="39"/>
    </row>
    <row r="15636">
      <c r="D15636" s="39"/>
      <c r="E15636" s="39"/>
      <c r="F15636" s="39"/>
    </row>
    <row r="15637">
      <c r="D15637" s="39"/>
      <c r="E15637" s="39"/>
      <c r="F15637" s="39"/>
    </row>
    <row r="15638">
      <c r="D15638" s="39"/>
      <c r="E15638" s="39"/>
      <c r="F15638" s="39"/>
    </row>
    <row r="15639">
      <c r="D15639" s="39"/>
      <c r="E15639" s="39"/>
      <c r="F15639" s="39"/>
    </row>
    <row r="15640">
      <c r="D15640" s="39"/>
      <c r="E15640" s="39"/>
      <c r="F15640" s="39"/>
    </row>
    <row r="15641">
      <c r="D15641" s="39"/>
      <c r="E15641" s="39"/>
      <c r="F15641" s="39"/>
    </row>
    <row r="15642">
      <c r="D15642" s="39"/>
      <c r="E15642" s="39"/>
      <c r="F15642" s="39"/>
    </row>
    <row r="15643">
      <c r="D15643" s="39"/>
      <c r="E15643" s="39"/>
      <c r="F15643" s="39"/>
    </row>
    <row r="15644">
      <c r="D15644" s="39"/>
      <c r="E15644" s="39"/>
      <c r="F15644" s="39"/>
    </row>
    <row r="15645">
      <c r="D15645" s="39"/>
      <c r="E15645" s="39"/>
      <c r="F15645" s="39"/>
    </row>
    <row r="15646">
      <c r="D15646" s="39"/>
      <c r="E15646" s="39"/>
      <c r="F15646" s="39"/>
    </row>
    <row r="15647">
      <c r="D15647" s="39"/>
      <c r="E15647" s="39"/>
      <c r="F15647" s="39"/>
    </row>
    <row r="15648">
      <c r="D15648" s="39"/>
      <c r="E15648" s="39"/>
      <c r="F15648" s="39"/>
    </row>
    <row r="15649">
      <c r="D15649" s="39"/>
      <c r="E15649" s="39"/>
      <c r="F15649" s="39"/>
    </row>
    <row r="15650">
      <c r="D15650" s="39"/>
      <c r="E15650" s="39"/>
      <c r="F15650" s="39"/>
    </row>
    <row r="15651">
      <c r="D15651" s="39"/>
      <c r="E15651" s="39"/>
      <c r="F15651" s="39"/>
    </row>
    <row r="15652">
      <c r="D15652" s="39"/>
      <c r="E15652" s="39"/>
      <c r="F15652" s="39"/>
    </row>
    <row r="15653">
      <c r="D15653" s="39"/>
      <c r="E15653" s="39"/>
      <c r="F15653" s="39"/>
    </row>
    <row r="15654">
      <c r="D15654" s="39"/>
      <c r="E15654" s="39"/>
      <c r="F15654" s="39"/>
    </row>
    <row r="15655">
      <c r="D15655" s="39"/>
      <c r="E15655" s="39"/>
      <c r="F15655" s="39"/>
    </row>
    <row r="15656">
      <c r="D15656" s="39"/>
      <c r="E15656" s="39"/>
      <c r="F15656" s="39"/>
    </row>
    <row r="15657">
      <c r="D15657" s="39"/>
      <c r="E15657" s="39"/>
      <c r="F15657" s="39"/>
    </row>
    <row r="15658">
      <c r="D15658" s="39"/>
      <c r="E15658" s="39"/>
      <c r="F15658" s="39"/>
    </row>
    <row r="15659">
      <c r="D15659" s="39"/>
      <c r="E15659" s="39"/>
      <c r="F15659" s="39"/>
    </row>
    <row r="15660">
      <c r="D15660" s="39"/>
      <c r="E15660" s="39"/>
      <c r="F15660" s="39"/>
    </row>
    <row r="15661">
      <c r="D15661" s="39"/>
      <c r="E15661" s="39"/>
      <c r="F15661" s="39"/>
    </row>
    <row r="15662">
      <c r="D15662" s="39"/>
      <c r="E15662" s="39"/>
      <c r="F15662" s="39"/>
    </row>
    <row r="15663">
      <c r="D15663" s="39"/>
      <c r="E15663" s="39"/>
      <c r="F15663" s="39"/>
    </row>
    <row r="15664">
      <c r="D15664" s="39"/>
      <c r="E15664" s="39"/>
      <c r="F15664" s="39"/>
    </row>
    <row r="15665">
      <c r="D15665" s="39"/>
      <c r="E15665" s="39"/>
      <c r="F15665" s="39"/>
    </row>
    <row r="15666">
      <c r="D15666" s="39"/>
      <c r="E15666" s="39"/>
      <c r="F15666" s="39"/>
    </row>
    <row r="15667">
      <c r="D15667" s="39"/>
      <c r="E15667" s="39"/>
      <c r="F15667" s="39"/>
    </row>
    <row r="15668">
      <c r="D15668" s="39"/>
      <c r="E15668" s="39"/>
      <c r="F15668" s="39"/>
    </row>
    <row r="15669">
      <c r="D15669" s="39"/>
      <c r="E15669" s="39"/>
      <c r="F15669" s="39"/>
    </row>
    <row r="15670">
      <c r="D15670" s="39"/>
      <c r="E15670" s="39"/>
      <c r="F15670" s="39"/>
    </row>
    <row r="15671">
      <c r="D15671" s="39"/>
      <c r="E15671" s="39"/>
      <c r="F15671" s="39"/>
    </row>
    <row r="15672">
      <c r="D15672" s="39"/>
      <c r="E15672" s="39"/>
      <c r="F15672" s="39"/>
    </row>
    <row r="15673">
      <c r="D15673" s="39"/>
      <c r="E15673" s="39"/>
      <c r="F15673" s="39"/>
    </row>
    <row r="15674">
      <c r="D15674" s="39"/>
      <c r="E15674" s="39"/>
      <c r="F15674" s="39"/>
    </row>
    <row r="15675">
      <c r="D15675" s="39"/>
      <c r="E15675" s="39"/>
      <c r="F15675" s="39"/>
    </row>
    <row r="15676">
      <c r="D15676" s="39"/>
      <c r="E15676" s="39"/>
      <c r="F15676" s="39"/>
    </row>
    <row r="15677">
      <c r="D15677" s="39"/>
      <c r="E15677" s="39"/>
      <c r="F15677" s="39"/>
    </row>
    <row r="15678">
      <c r="D15678" s="39"/>
      <c r="E15678" s="39"/>
      <c r="F15678" s="39"/>
    </row>
    <row r="15679">
      <c r="D15679" s="39"/>
      <c r="E15679" s="39"/>
      <c r="F15679" s="39"/>
    </row>
    <row r="15680">
      <c r="D15680" s="39"/>
      <c r="E15680" s="39"/>
      <c r="F15680" s="39"/>
    </row>
    <row r="15681">
      <c r="D15681" s="39"/>
      <c r="E15681" s="39"/>
      <c r="F15681" s="39"/>
    </row>
    <row r="15682">
      <c r="D15682" s="39"/>
      <c r="E15682" s="39"/>
      <c r="F15682" s="39"/>
    </row>
    <row r="15683">
      <c r="D15683" s="39"/>
      <c r="E15683" s="39"/>
      <c r="F15683" s="39"/>
    </row>
    <row r="15684">
      <c r="D15684" s="39"/>
      <c r="E15684" s="39"/>
      <c r="F15684" s="39"/>
    </row>
    <row r="15685">
      <c r="D15685" s="39"/>
      <c r="E15685" s="39"/>
      <c r="F15685" s="39"/>
    </row>
    <row r="15686">
      <c r="D15686" s="39"/>
      <c r="E15686" s="39"/>
      <c r="F15686" s="39"/>
    </row>
    <row r="15687">
      <c r="D15687" s="39"/>
      <c r="E15687" s="39"/>
      <c r="F15687" s="39"/>
    </row>
    <row r="15688">
      <c r="D15688" s="39"/>
      <c r="E15688" s="39"/>
      <c r="F15688" s="39"/>
    </row>
    <row r="15689">
      <c r="D15689" s="39"/>
      <c r="E15689" s="39"/>
      <c r="F15689" s="39"/>
    </row>
    <row r="15690">
      <c r="D15690" s="39"/>
      <c r="E15690" s="39"/>
      <c r="F15690" s="39"/>
    </row>
    <row r="15691">
      <c r="D15691" s="39"/>
      <c r="E15691" s="39"/>
      <c r="F15691" s="39"/>
    </row>
    <row r="15692">
      <c r="D15692" s="39"/>
      <c r="E15692" s="39"/>
      <c r="F15692" s="39"/>
    </row>
    <row r="15693">
      <c r="D15693" s="39"/>
      <c r="E15693" s="39"/>
      <c r="F15693" s="39"/>
    </row>
    <row r="15694">
      <c r="D15694" s="39"/>
      <c r="E15694" s="39"/>
      <c r="F15694" s="39"/>
    </row>
    <row r="15695">
      <c r="D15695" s="39"/>
      <c r="E15695" s="39"/>
      <c r="F15695" s="39"/>
    </row>
    <row r="15696">
      <c r="D15696" s="39"/>
      <c r="E15696" s="39"/>
      <c r="F15696" s="39"/>
    </row>
    <row r="15697">
      <c r="D15697" s="39"/>
      <c r="E15697" s="39"/>
      <c r="F15697" s="39"/>
    </row>
    <row r="15698">
      <c r="D15698" s="39"/>
      <c r="E15698" s="39"/>
      <c r="F15698" s="39"/>
    </row>
    <row r="15699">
      <c r="D15699" s="39"/>
      <c r="E15699" s="39"/>
      <c r="F15699" s="39"/>
    </row>
    <row r="15700">
      <c r="D15700" s="39"/>
      <c r="E15700" s="39"/>
      <c r="F15700" s="39"/>
    </row>
    <row r="15701">
      <c r="D15701" s="39"/>
      <c r="E15701" s="39"/>
      <c r="F15701" s="39"/>
    </row>
    <row r="15702">
      <c r="D15702" s="39"/>
      <c r="E15702" s="39"/>
      <c r="F15702" s="39"/>
    </row>
    <row r="15703">
      <c r="D15703" s="39"/>
      <c r="E15703" s="39"/>
      <c r="F15703" s="39"/>
    </row>
    <row r="15704">
      <c r="D15704" s="39"/>
      <c r="E15704" s="39"/>
      <c r="F15704" s="39"/>
    </row>
    <row r="15705">
      <c r="D15705" s="39"/>
      <c r="E15705" s="39"/>
      <c r="F15705" s="39"/>
    </row>
    <row r="15706">
      <c r="D15706" s="39"/>
      <c r="E15706" s="39"/>
      <c r="F15706" s="39"/>
    </row>
    <row r="15707">
      <c r="D15707" s="39"/>
      <c r="E15707" s="39"/>
      <c r="F15707" s="39"/>
    </row>
    <row r="15708">
      <c r="D15708" s="39"/>
      <c r="E15708" s="39"/>
      <c r="F15708" s="39"/>
    </row>
    <row r="15709">
      <c r="D15709" s="39"/>
      <c r="E15709" s="39"/>
      <c r="F15709" s="39"/>
    </row>
    <row r="15710">
      <c r="D15710" s="39"/>
      <c r="E15710" s="39"/>
      <c r="F15710" s="39"/>
    </row>
    <row r="15711">
      <c r="D15711" s="39"/>
      <c r="E15711" s="39"/>
      <c r="F15711" s="39"/>
    </row>
    <row r="15712">
      <c r="D15712" s="39"/>
      <c r="E15712" s="39"/>
      <c r="F15712" s="39"/>
    </row>
    <row r="15713">
      <c r="D15713" s="39"/>
      <c r="E15713" s="39"/>
      <c r="F15713" s="39"/>
    </row>
    <row r="15714">
      <c r="D15714" s="39"/>
      <c r="E15714" s="39"/>
      <c r="F15714" s="39"/>
    </row>
    <row r="15715">
      <c r="D15715" s="39"/>
      <c r="E15715" s="39"/>
      <c r="F15715" s="39"/>
    </row>
    <row r="15716">
      <c r="D15716" s="39"/>
      <c r="E15716" s="39"/>
      <c r="F15716" s="39"/>
    </row>
    <row r="15717">
      <c r="D15717" s="39"/>
      <c r="E15717" s="39"/>
      <c r="F15717" s="39"/>
    </row>
    <row r="15718">
      <c r="D15718" s="39"/>
      <c r="E15718" s="39"/>
      <c r="F15718" s="39"/>
    </row>
    <row r="15719">
      <c r="D15719" s="39"/>
      <c r="E15719" s="39"/>
      <c r="F15719" s="39"/>
    </row>
    <row r="15720">
      <c r="D15720" s="39"/>
      <c r="E15720" s="39"/>
      <c r="F15720" s="39"/>
    </row>
    <row r="15721">
      <c r="D15721" s="39"/>
      <c r="E15721" s="39"/>
      <c r="F15721" s="39"/>
    </row>
    <row r="15722">
      <c r="D15722" s="39"/>
      <c r="E15722" s="39"/>
      <c r="F15722" s="39"/>
    </row>
    <row r="15723">
      <c r="D15723" s="39"/>
      <c r="E15723" s="39"/>
      <c r="F15723" s="39"/>
    </row>
    <row r="15724">
      <c r="D15724" s="39"/>
      <c r="E15724" s="39"/>
      <c r="F15724" s="39"/>
    </row>
    <row r="15725">
      <c r="D15725" s="39"/>
      <c r="E15725" s="39"/>
      <c r="F15725" s="39"/>
    </row>
    <row r="15726">
      <c r="D15726" s="39"/>
      <c r="E15726" s="39"/>
      <c r="F15726" s="39"/>
    </row>
    <row r="15727">
      <c r="D15727" s="39"/>
      <c r="E15727" s="39"/>
      <c r="F15727" s="39"/>
    </row>
    <row r="15728">
      <c r="D15728" s="39"/>
      <c r="E15728" s="39"/>
      <c r="F15728" s="39"/>
    </row>
    <row r="15729">
      <c r="D15729" s="39"/>
      <c r="E15729" s="39"/>
      <c r="F15729" s="39"/>
    </row>
    <row r="15730">
      <c r="D15730" s="39"/>
      <c r="E15730" s="39"/>
      <c r="F15730" s="39"/>
    </row>
    <row r="15731">
      <c r="D15731" s="39"/>
      <c r="E15731" s="39"/>
      <c r="F15731" s="39"/>
    </row>
    <row r="15732">
      <c r="D15732" s="39"/>
      <c r="E15732" s="39"/>
      <c r="F15732" s="39"/>
    </row>
    <row r="15733">
      <c r="D15733" s="39"/>
      <c r="E15733" s="39"/>
      <c r="F15733" s="39"/>
    </row>
    <row r="15734">
      <c r="D15734" s="39"/>
      <c r="E15734" s="39"/>
      <c r="F15734" s="39"/>
    </row>
    <row r="15735">
      <c r="D15735" s="39"/>
      <c r="E15735" s="39"/>
      <c r="F15735" s="39"/>
    </row>
    <row r="15736">
      <c r="D15736" s="39"/>
      <c r="E15736" s="39"/>
      <c r="F15736" s="39"/>
    </row>
    <row r="15737">
      <c r="D15737" s="39"/>
      <c r="E15737" s="39"/>
      <c r="F15737" s="39"/>
    </row>
    <row r="15738">
      <c r="D15738" s="39"/>
      <c r="E15738" s="39"/>
      <c r="F15738" s="39"/>
    </row>
    <row r="15739">
      <c r="D15739" s="39"/>
      <c r="E15739" s="39"/>
      <c r="F15739" s="39"/>
    </row>
    <row r="15740">
      <c r="D15740" s="39"/>
      <c r="E15740" s="39"/>
      <c r="F15740" s="39"/>
    </row>
    <row r="15741">
      <c r="D15741" s="39"/>
      <c r="E15741" s="39"/>
      <c r="F15741" s="39"/>
    </row>
    <row r="15742">
      <c r="D15742" s="39"/>
      <c r="E15742" s="39"/>
      <c r="F15742" s="39"/>
    </row>
    <row r="15743">
      <c r="D15743" s="39"/>
      <c r="E15743" s="39"/>
      <c r="F15743" s="39"/>
    </row>
    <row r="15744">
      <c r="D15744" s="39"/>
      <c r="E15744" s="39"/>
      <c r="F15744" s="39"/>
    </row>
    <row r="15745">
      <c r="D15745" s="39"/>
      <c r="E15745" s="39"/>
      <c r="F15745" s="39"/>
    </row>
    <row r="15746">
      <c r="D15746" s="39"/>
      <c r="E15746" s="39"/>
      <c r="F15746" s="39"/>
    </row>
    <row r="15747">
      <c r="D15747" s="39"/>
      <c r="E15747" s="39"/>
      <c r="F15747" s="39"/>
    </row>
    <row r="15748">
      <c r="D15748" s="39"/>
      <c r="E15748" s="39"/>
      <c r="F15748" s="39"/>
    </row>
    <row r="15749">
      <c r="D15749" s="39"/>
      <c r="E15749" s="39"/>
      <c r="F15749" s="39"/>
    </row>
    <row r="15750">
      <c r="D15750" s="39"/>
      <c r="E15750" s="39"/>
      <c r="F15750" s="39"/>
    </row>
    <row r="15751">
      <c r="D15751" s="39"/>
      <c r="E15751" s="39"/>
      <c r="F15751" s="39"/>
    </row>
    <row r="15752">
      <c r="D15752" s="39"/>
      <c r="E15752" s="39"/>
      <c r="F15752" s="39"/>
    </row>
    <row r="15753">
      <c r="D15753" s="39"/>
      <c r="E15753" s="39"/>
      <c r="F15753" s="39"/>
    </row>
    <row r="15754">
      <c r="D15754" s="39"/>
      <c r="E15754" s="39"/>
      <c r="F15754" s="39"/>
    </row>
    <row r="15755">
      <c r="D15755" s="39"/>
      <c r="E15755" s="39"/>
      <c r="F15755" s="39"/>
    </row>
    <row r="15756">
      <c r="D15756" s="39"/>
      <c r="E15756" s="39"/>
      <c r="F15756" s="39"/>
    </row>
    <row r="15757">
      <c r="D15757" s="39"/>
      <c r="E15757" s="39"/>
      <c r="F15757" s="39"/>
    </row>
    <row r="15758">
      <c r="D15758" s="39"/>
      <c r="E15758" s="39"/>
      <c r="F15758" s="39"/>
    </row>
    <row r="15759">
      <c r="D15759" s="39"/>
      <c r="E15759" s="39"/>
      <c r="F15759" s="39"/>
    </row>
    <row r="15760">
      <c r="D15760" s="39"/>
      <c r="E15760" s="39"/>
      <c r="F15760" s="39"/>
    </row>
    <row r="15761">
      <c r="D15761" s="39"/>
      <c r="E15761" s="39"/>
      <c r="F15761" s="39"/>
    </row>
    <row r="15762">
      <c r="D15762" s="39"/>
      <c r="E15762" s="39"/>
      <c r="F15762" s="39"/>
    </row>
    <row r="15763">
      <c r="D15763" s="39"/>
      <c r="E15763" s="39"/>
      <c r="F15763" s="39"/>
    </row>
    <row r="15764">
      <c r="D15764" s="39"/>
      <c r="E15764" s="39"/>
      <c r="F15764" s="39"/>
    </row>
    <row r="15765">
      <c r="D15765" s="39"/>
      <c r="E15765" s="39"/>
      <c r="F15765" s="39"/>
    </row>
    <row r="15766">
      <c r="D15766" s="39"/>
      <c r="E15766" s="39"/>
      <c r="F15766" s="39"/>
    </row>
    <row r="15767">
      <c r="D15767" s="39"/>
      <c r="E15767" s="39"/>
      <c r="F15767" s="39"/>
    </row>
    <row r="15768">
      <c r="D15768" s="39"/>
      <c r="E15768" s="39"/>
      <c r="F15768" s="39"/>
    </row>
    <row r="15769">
      <c r="D15769" s="39"/>
      <c r="E15769" s="39"/>
      <c r="F15769" s="39"/>
    </row>
    <row r="15770">
      <c r="D15770" s="39"/>
      <c r="E15770" s="39"/>
      <c r="F15770" s="39"/>
    </row>
    <row r="15771">
      <c r="D15771" s="39"/>
      <c r="E15771" s="39"/>
      <c r="F15771" s="39"/>
    </row>
    <row r="15772">
      <c r="D15772" s="39"/>
      <c r="E15772" s="39"/>
      <c r="F15772" s="39"/>
    </row>
    <row r="15773">
      <c r="D15773" s="39"/>
      <c r="E15773" s="39"/>
      <c r="F15773" s="39"/>
    </row>
    <row r="15774">
      <c r="D15774" s="39"/>
      <c r="E15774" s="39"/>
      <c r="F15774" s="39"/>
    </row>
    <row r="15775">
      <c r="D15775" s="39"/>
      <c r="E15775" s="39"/>
      <c r="F15775" s="39"/>
    </row>
    <row r="15776">
      <c r="D15776" s="39"/>
      <c r="E15776" s="39"/>
      <c r="F15776" s="39"/>
    </row>
    <row r="15777">
      <c r="D15777" s="39"/>
      <c r="E15777" s="39"/>
      <c r="F15777" s="39"/>
    </row>
    <row r="15778">
      <c r="D15778" s="39"/>
      <c r="E15778" s="39"/>
      <c r="F15778" s="39"/>
    </row>
    <row r="15779">
      <c r="D15779" s="39"/>
      <c r="E15779" s="39"/>
      <c r="F15779" s="39"/>
    </row>
    <row r="15780">
      <c r="D15780" s="39"/>
      <c r="E15780" s="39"/>
      <c r="F15780" s="39"/>
    </row>
    <row r="15781">
      <c r="D15781" s="39"/>
      <c r="E15781" s="39"/>
      <c r="F15781" s="39"/>
    </row>
    <row r="15782">
      <c r="D15782" s="39"/>
      <c r="E15782" s="39"/>
      <c r="F15782" s="39"/>
    </row>
    <row r="15783">
      <c r="D15783" s="39"/>
      <c r="E15783" s="39"/>
      <c r="F15783" s="39"/>
    </row>
    <row r="15784">
      <c r="D15784" s="39"/>
      <c r="E15784" s="39"/>
      <c r="F15784" s="39"/>
    </row>
    <row r="15785">
      <c r="D15785" s="39"/>
      <c r="E15785" s="39"/>
      <c r="F15785" s="39"/>
    </row>
    <row r="15786">
      <c r="D15786" s="39"/>
      <c r="E15786" s="39"/>
      <c r="F15786" s="39"/>
    </row>
    <row r="15787">
      <c r="D15787" s="39"/>
      <c r="E15787" s="39"/>
      <c r="F15787" s="39"/>
    </row>
    <row r="15788">
      <c r="D15788" s="39"/>
      <c r="E15788" s="39"/>
      <c r="F15788" s="39"/>
    </row>
    <row r="15789">
      <c r="D15789" s="39"/>
      <c r="E15789" s="39"/>
      <c r="F15789" s="39"/>
    </row>
    <row r="15790">
      <c r="D15790" s="39"/>
      <c r="E15790" s="39"/>
      <c r="F15790" s="39"/>
    </row>
    <row r="15791">
      <c r="D15791" s="39"/>
      <c r="E15791" s="39"/>
      <c r="F15791" s="39"/>
    </row>
    <row r="15792">
      <c r="D15792" s="39"/>
      <c r="E15792" s="39"/>
      <c r="F15792" s="39"/>
    </row>
    <row r="15793">
      <c r="D15793" s="39"/>
      <c r="E15793" s="39"/>
      <c r="F15793" s="39"/>
    </row>
    <row r="15794">
      <c r="D15794" s="39"/>
      <c r="E15794" s="39"/>
      <c r="F15794" s="39"/>
    </row>
    <row r="15795">
      <c r="D15795" s="39"/>
      <c r="E15795" s="39"/>
      <c r="F15795" s="39"/>
    </row>
    <row r="15796">
      <c r="D15796" s="39"/>
      <c r="E15796" s="39"/>
      <c r="F15796" s="39"/>
    </row>
    <row r="15797">
      <c r="D15797" s="39"/>
      <c r="E15797" s="39"/>
      <c r="F15797" s="39"/>
    </row>
    <row r="15798">
      <c r="D15798" s="39"/>
      <c r="E15798" s="39"/>
      <c r="F15798" s="39"/>
    </row>
    <row r="15799">
      <c r="D15799" s="39"/>
      <c r="E15799" s="39"/>
      <c r="F15799" s="39"/>
    </row>
    <row r="15800">
      <c r="D15800" s="39"/>
      <c r="E15800" s="39"/>
      <c r="F15800" s="39"/>
    </row>
    <row r="15801">
      <c r="D15801" s="39"/>
      <c r="E15801" s="39"/>
      <c r="F15801" s="39"/>
    </row>
    <row r="15802">
      <c r="D15802" s="39"/>
      <c r="E15802" s="39"/>
      <c r="F15802" s="39"/>
    </row>
    <row r="15803">
      <c r="D15803" s="39"/>
      <c r="E15803" s="39"/>
      <c r="F15803" s="39"/>
    </row>
    <row r="15804">
      <c r="D15804" s="39"/>
      <c r="E15804" s="39"/>
      <c r="F15804" s="39"/>
    </row>
    <row r="15805">
      <c r="D15805" s="39"/>
      <c r="E15805" s="39"/>
      <c r="F15805" s="39"/>
    </row>
    <row r="15806">
      <c r="D15806" s="39"/>
      <c r="E15806" s="39"/>
      <c r="F15806" s="39"/>
    </row>
    <row r="15807">
      <c r="D15807" s="39"/>
      <c r="E15807" s="39"/>
      <c r="F15807" s="39"/>
    </row>
    <row r="15808">
      <c r="D15808" s="39"/>
      <c r="E15808" s="39"/>
      <c r="F15808" s="39"/>
    </row>
    <row r="15809">
      <c r="D15809" s="39"/>
      <c r="E15809" s="39"/>
      <c r="F15809" s="39"/>
    </row>
    <row r="15810">
      <c r="D15810" s="39"/>
      <c r="E15810" s="39"/>
      <c r="F15810" s="39"/>
    </row>
    <row r="15811">
      <c r="D15811" s="39"/>
      <c r="E15811" s="39"/>
      <c r="F15811" s="39"/>
    </row>
    <row r="15812">
      <c r="D15812" s="39"/>
      <c r="E15812" s="39"/>
      <c r="F15812" s="39"/>
    </row>
    <row r="15813">
      <c r="D15813" s="39"/>
      <c r="E15813" s="39"/>
      <c r="F15813" s="39"/>
    </row>
    <row r="15814">
      <c r="D15814" s="39"/>
      <c r="E15814" s="39"/>
      <c r="F15814" s="39"/>
    </row>
    <row r="15815">
      <c r="D15815" s="39"/>
      <c r="E15815" s="39"/>
      <c r="F15815" s="39"/>
    </row>
    <row r="15816">
      <c r="D15816" s="39"/>
      <c r="E15816" s="39"/>
      <c r="F15816" s="39"/>
    </row>
    <row r="15817">
      <c r="D15817" s="39"/>
      <c r="E15817" s="39"/>
      <c r="F15817" s="39"/>
    </row>
    <row r="15818">
      <c r="D15818" s="39"/>
      <c r="E15818" s="39"/>
      <c r="F15818" s="39"/>
    </row>
    <row r="15819">
      <c r="D15819" s="39"/>
      <c r="E15819" s="39"/>
      <c r="F15819" s="39"/>
    </row>
    <row r="15820">
      <c r="D15820" s="39"/>
      <c r="E15820" s="39"/>
      <c r="F15820" s="39"/>
    </row>
    <row r="15821">
      <c r="D15821" s="39"/>
      <c r="E15821" s="39"/>
      <c r="F15821" s="39"/>
    </row>
    <row r="15822">
      <c r="D15822" s="39"/>
      <c r="E15822" s="39"/>
      <c r="F15822" s="39"/>
    </row>
    <row r="15823">
      <c r="D15823" s="39"/>
      <c r="E15823" s="39"/>
      <c r="F15823" s="39"/>
    </row>
    <row r="15824">
      <c r="D15824" s="39"/>
      <c r="E15824" s="39"/>
      <c r="F15824" s="39"/>
    </row>
    <row r="15825">
      <c r="D15825" s="39"/>
      <c r="E15825" s="39"/>
      <c r="F15825" s="39"/>
    </row>
    <row r="15826">
      <c r="D15826" s="39"/>
      <c r="E15826" s="39"/>
      <c r="F15826" s="39"/>
    </row>
    <row r="15827">
      <c r="D15827" s="39"/>
      <c r="E15827" s="39"/>
      <c r="F15827" s="39"/>
    </row>
    <row r="15828">
      <c r="D15828" s="39"/>
      <c r="E15828" s="39"/>
      <c r="F15828" s="39"/>
    </row>
    <row r="15829">
      <c r="D15829" s="39"/>
      <c r="E15829" s="39"/>
      <c r="F15829" s="39"/>
    </row>
    <row r="15830">
      <c r="D15830" s="39"/>
      <c r="E15830" s="39"/>
      <c r="F15830" s="39"/>
    </row>
    <row r="15831">
      <c r="D15831" s="39"/>
      <c r="E15831" s="39"/>
      <c r="F15831" s="39"/>
    </row>
    <row r="15832">
      <c r="D15832" s="39"/>
      <c r="E15832" s="39"/>
      <c r="F15832" s="39"/>
    </row>
    <row r="15833">
      <c r="D15833" s="39"/>
      <c r="E15833" s="39"/>
      <c r="F15833" s="39"/>
    </row>
    <row r="15834">
      <c r="D15834" s="39"/>
      <c r="E15834" s="39"/>
      <c r="F15834" s="39"/>
    </row>
    <row r="15835">
      <c r="D15835" s="39"/>
      <c r="E15835" s="39"/>
      <c r="F15835" s="39"/>
    </row>
    <row r="15836">
      <c r="D15836" s="39"/>
      <c r="E15836" s="39"/>
      <c r="F15836" s="39"/>
    </row>
    <row r="15837">
      <c r="D15837" s="39"/>
      <c r="E15837" s="39"/>
      <c r="F15837" s="39"/>
    </row>
    <row r="15838">
      <c r="D15838" s="39"/>
      <c r="E15838" s="39"/>
      <c r="F15838" s="39"/>
    </row>
    <row r="15839">
      <c r="D15839" s="39"/>
      <c r="E15839" s="39"/>
      <c r="F15839" s="39"/>
    </row>
    <row r="15840">
      <c r="D15840" s="39"/>
      <c r="E15840" s="39"/>
      <c r="F15840" s="39"/>
    </row>
    <row r="15841">
      <c r="D15841" s="39"/>
      <c r="E15841" s="39"/>
      <c r="F15841" s="39"/>
    </row>
    <row r="15842">
      <c r="D15842" s="39"/>
      <c r="E15842" s="39"/>
      <c r="F15842" s="39"/>
    </row>
    <row r="15843">
      <c r="D15843" s="39"/>
      <c r="E15843" s="39"/>
      <c r="F15843" s="39"/>
    </row>
    <row r="15844">
      <c r="D15844" s="39"/>
      <c r="E15844" s="39"/>
      <c r="F15844" s="39"/>
    </row>
    <row r="15845">
      <c r="D15845" s="39"/>
      <c r="E15845" s="39"/>
      <c r="F15845" s="39"/>
    </row>
    <row r="15846">
      <c r="D15846" s="39"/>
      <c r="E15846" s="39"/>
      <c r="F15846" s="39"/>
    </row>
    <row r="15847">
      <c r="D15847" s="39"/>
      <c r="E15847" s="39"/>
      <c r="F15847" s="39"/>
    </row>
    <row r="15848">
      <c r="D15848" s="39"/>
      <c r="E15848" s="39"/>
      <c r="F15848" s="39"/>
    </row>
    <row r="15849">
      <c r="D15849" s="39"/>
      <c r="E15849" s="39"/>
      <c r="F15849" s="39"/>
    </row>
    <row r="15850">
      <c r="D15850" s="39"/>
      <c r="E15850" s="39"/>
      <c r="F15850" s="39"/>
    </row>
    <row r="15851">
      <c r="D15851" s="39"/>
      <c r="E15851" s="39"/>
      <c r="F15851" s="39"/>
    </row>
    <row r="15852">
      <c r="D15852" s="39"/>
      <c r="E15852" s="39"/>
      <c r="F15852" s="39"/>
    </row>
    <row r="15853">
      <c r="D15853" s="39"/>
      <c r="E15853" s="39"/>
      <c r="F15853" s="39"/>
    </row>
    <row r="15854">
      <c r="D15854" s="39"/>
      <c r="E15854" s="39"/>
      <c r="F15854" s="39"/>
    </row>
    <row r="15855">
      <c r="D15855" s="39"/>
      <c r="E15855" s="39"/>
      <c r="F15855" s="39"/>
    </row>
    <row r="15856">
      <c r="D15856" s="39"/>
      <c r="E15856" s="39"/>
      <c r="F15856" s="39"/>
    </row>
    <row r="15857">
      <c r="D15857" s="39"/>
      <c r="E15857" s="39"/>
      <c r="F15857" s="39"/>
    </row>
    <row r="15858">
      <c r="D15858" s="39"/>
      <c r="E15858" s="39"/>
      <c r="F15858" s="39"/>
    </row>
    <row r="15859">
      <c r="D15859" s="39"/>
      <c r="E15859" s="39"/>
      <c r="F15859" s="39"/>
    </row>
    <row r="15860">
      <c r="D15860" s="39"/>
      <c r="E15860" s="39"/>
      <c r="F15860" s="39"/>
    </row>
    <row r="15861">
      <c r="D15861" s="39"/>
      <c r="E15861" s="39"/>
      <c r="F15861" s="39"/>
    </row>
    <row r="15862">
      <c r="D15862" s="39"/>
      <c r="E15862" s="39"/>
      <c r="F15862" s="39"/>
    </row>
    <row r="15863">
      <c r="D15863" s="39"/>
      <c r="E15863" s="39"/>
      <c r="F15863" s="39"/>
    </row>
    <row r="15864">
      <c r="D15864" s="39"/>
      <c r="E15864" s="39"/>
      <c r="F15864" s="39"/>
    </row>
    <row r="15865">
      <c r="D15865" s="39"/>
      <c r="E15865" s="39"/>
      <c r="F15865" s="39"/>
    </row>
    <row r="15866">
      <c r="D15866" s="39"/>
      <c r="E15866" s="39"/>
      <c r="F15866" s="39"/>
    </row>
    <row r="15867">
      <c r="D15867" s="39"/>
      <c r="E15867" s="39"/>
      <c r="F15867" s="39"/>
    </row>
    <row r="15868">
      <c r="D15868" s="39"/>
      <c r="E15868" s="39"/>
      <c r="F15868" s="39"/>
    </row>
    <row r="15869">
      <c r="D15869" s="39"/>
      <c r="E15869" s="39"/>
      <c r="F15869" s="39"/>
    </row>
    <row r="15870">
      <c r="D15870" s="39"/>
      <c r="E15870" s="39"/>
      <c r="F15870" s="39"/>
    </row>
    <row r="15871">
      <c r="D15871" s="39"/>
      <c r="E15871" s="39"/>
      <c r="F15871" s="39"/>
    </row>
    <row r="15872">
      <c r="D15872" s="39"/>
      <c r="E15872" s="39"/>
      <c r="F15872" s="39"/>
    </row>
    <row r="15873">
      <c r="D15873" s="39"/>
      <c r="E15873" s="39"/>
      <c r="F15873" s="39"/>
    </row>
    <row r="15874">
      <c r="D15874" s="39"/>
      <c r="E15874" s="39"/>
      <c r="F15874" s="39"/>
    </row>
    <row r="15875">
      <c r="D15875" s="39"/>
      <c r="E15875" s="39"/>
      <c r="F15875" s="39"/>
    </row>
    <row r="15876">
      <c r="D15876" s="39"/>
      <c r="E15876" s="39"/>
      <c r="F15876" s="39"/>
    </row>
    <row r="15877">
      <c r="D15877" s="39"/>
      <c r="E15877" s="39"/>
      <c r="F15877" s="39"/>
    </row>
    <row r="15878">
      <c r="D15878" s="39"/>
      <c r="E15878" s="39"/>
      <c r="F15878" s="39"/>
    </row>
    <row r="15879">
      <c r="D15879" s="39"/>
      <c r="E15879" s="39"/>
      <c r="F15879" s="39"/>
    </row>
    <row r="15880">
      <c r="D15880" s="39"/>
      <c r="E15880" s="39"/>
      <c r="F15880" s="39"/>
    </row>
    <row r="15881">
      <c r="D15881" s="39"/>
      <c r="E15881" s="39"/>
      <c r="F15881" s="39"/>
    </row>
    <row r="15882">
      <c r="D15882" s="39"/>
      <c r="E15882" s="39"/>
      <c r="F15882" s="39"/>
    </row>
    <row r="15883">
      <c r="D15883" s="39"/>
      <c r="E15883" s="39"/>
      <c r="F15883" s="39"/>
    </row>
    <row r="15884">
      <c r="D15884" s="39"/>
      <c r="E15884" s="39"/>
      <c r="F15884" s="39"/>
    </row>
    <row r="15885">
      <c r="D15885" s="39"/>
      <c r="E15885" s="39"/>
      <c r="F15885" s="39"/>
    </row>
    <row r="15886">
      <c r="D15886" s="39"/>
      <c r="E15886" s="39"/>
      <c r="F15886" s="39"/>
    </row>
    <row r="15887">
      <c r="D15887" s="39"/>
      <c r="E15887" s="39"/>
      <c r="F15887" s="39"/>
    </row>
    <row r="15888">
      <c r="D15888" s="39"/>
      <c r="E15888" s="39"/>
      <c r="F15888" s="39"/>
    </row>
    <row r="15889">
      <c r="D15889" s="39"/>
      <c r="E15889" s="39"/>
      <c r="F15889" s="39"/>
    </row>
    <row r="15890">
      <c r="D15890" s="39"/>
      <c r="E15890" s="39"/>
      <c r="F15890" s="39"/>
    </row>
    <row r="15891">
      <c r="D15891" s="39"/>
      <c r="E15891" s="39"/>
      <c r="F15891" s="39"/>
    </row>
    <row r="15892">
      <c r="D15892" s="39"/>
      <c r="E15892" s="39"/>
      <c r="F15892" s="39"/>
    </row>
    <row r="15893">
      <c r="D15893" s="39"/>
      <c r="E15893" s="39"/>
      <c r="F15893" s="39"/>
    </row>
    <row r="15894">
      <c r="D15894" s="39"/>
      <c r="E15894" s="39"/>
      <c r="F15894" s="39"/>
    </row>
    <row r="15895">
      <c r="D15895" s="39"/>
      <c r="E15895" s="39"/>
      <c r="F15895" s="39"/>
    </row>
    <row r="15896">
      <c r="D15896" s="39"/>
      <c r="E15896" s="39"/>
      <c r="F15896" s="39"/>
    </row>
    <row r="15897">
      <c r="D15897" s="39"/>
      <c r="E15897" s="39"/>
      <c r="F15897" s="39"/>
    </row>
    <row r="15898">
      <c r="D15898" s="39"/>
      <c r="E15898" s="39"/>
      <c r="F15898" s="39"/>
    </row>
    <row r="15899">
      <c r="D15899" s="39"/>
      <c r="E15899" s="39"/>
      <c r="F15899" s="39"/>
    </row>
    <row r="15900">
      <c r="D15900" s="39"/>
      <c r="E15900" s="39"/>
      <c r="F15900" s="39"/>
    </row>
    <row r="15901">
      <c r="D15901" s="39"/>
      <c r="E15901" s="39"/>
      <c r="F15901" s="39"/>
    </row>
    <row r="15902">
      <c r="D15902" s="39"/>
      <c r="E15902" s="39"/>
      <c r="F15902" s="39"/>
    </row>
    <row r="15903">
      <c r="D15903" s="39"/>
      <c r="E15903" s="39"/>
      <c r="F15903" s="39"/>
    </row>
    <row r="15904">
      <c r="D15904" s="39"/>
      <c r="E15904" s="39"/>
      <c r="F15904" s="39"/>
    </row>
    <row r="15905">
      <c r="D15905" s="39"/>
      <c r="E15905" s="39"/>
      <c r="F15905" s="39"/>
    </row>
    <row r="15906">
      <c r="D15906" s="39"/>
      <c r="E15906" s="39"/>
      <c r="F15906" s="39"/>
    </row>
    <row r="15907">
      <c r="D15907" s="39"/>
      <c r="E15907" s="39"/>
      <c r="F15907" s="39"/>
    </row>
    <row r="15908">
      <c r="D15908" s="39"/>
      <c r="E15908" s="39"/>
      <c r="F15908" s="39"/>
    </row>
    <row r="15909">
      <c r="D15909" s="39"/>
      <c r="E15909" s="39"/>
      <c r="F15909" s="39"/>
    </row>
    <row r="15910">
      <c r="D15910" s="39"/>
      <c r="E15910" s="39"/>
      <c r="F15910" s="39"/>
    </row>
    <row r="15911">
      <c r="D15911" s="39"/>
      <c r="E15911" s="39"/>
      <c r="F15911" s="39"/>
    </row>
    <row r="15912">
      <c r="D15912" s="39"/>
      <c r="E15912" s="39"/>
      <c r="F15912" s="39"/>
    </row>
    <row r="15913">
      <c r="D15913" s="39"/>
      <c r="E15913" s="39"/>
      <c r="F15913" s="39"/>
    </row>
    <row r="15914">
      <c r="D15914" s="39"/>
      <c r="E15914" s="39"/>
      <c r="F15914" s="39"/>
    </row>
    <row r="15915">
      <c r="D15915" s="39"/>
      <c r="E15915" s="39"/>
      <c r="F15915" s="39"/>
    </row>
    <row r="15916">
      <c r="D15916" s="39"/>
      <c r="E15916" s="39"/>
      <c r="F15916" s="39"/>
    </row>
    <row r="15917">
      <c r="D15917" s="39"/>
      <c r="E15917" s="39"/>
      <c r="F15917" s="39"/>
    </row>
    <row r="15918">
      <c r="D15918" s="39"/>
      <c r="E15918" s="39"/>
      <c r="F15918" s="39"/>
    </row>
    <row r="15919">
      <c r="D15919" s="39"/>
      <c r="E15919" s="39"/>
      <c r="F15919" s="39"/>
    </row>
    <row r="15920">
      <c r="D15920" s="39"/>
      <c r="E15920" s="39"/>
      <c r="F15920" s="39"/>
    </row>
    <row r="15921">
      <c r="D15921" s="39"/>
      <c r="E15921" s="39"/>
      <c r="F15921" s="39"/>
    </row>
    <row r="15922">
      <c r="D15922" s="39"/>
      <c r="E15922" s="39"/>
      <c r="F15922" s="39"/>
    </row>
    <row r="15923">
      <c r="D15923" s="39"/>
      <c r="E15923" s="39"/>
      <c r="F15923" s="39"/>
    </row>
    <row r="15924">
      <c r="D15924" s="39"/>
      <c r="E15924" s="39"/>
      <c r="F15924" s="39"/>
    </row>
    <row r="15925">
      <c r="D15925" s="39"/>
      <c r="E15925" s="39"/>
      <c r="F15925" s="39"/>
    </row>
    <row r="15926">
      <c r="D15926" s="39"/>
      <c r="E15926" s="39"/>
      <c r="F15926" s="39"/>
    </row>
    <row r="15927">
      <c r="D15927" s="39"/>
      <c r="E15927" s="39"/>
      <c r="F15927" s="39"/>
    </row>
    <row r="15928">
      <c r="D15928" s="39"/>
      <c r="E15928" s="39"/>
      <c r="F15928" s="39"/>
    </row>
    <row r="15929">
      <c r="D15929" s="39"/>
      <c r="E15929" s="39"/>
      <c r="F15929" s="39"/>
    </row>
    <row r="15930">
      <c r="D15930" s="39"/>
      <c r="E15930" s="39"/>
      <c r="F15930" s="39"/>
    </row>
    <row r="15931">
      <c r="D15931" s="39"/>
      <c r="E15931" s="39"/>
      <c r="F15931" s="39"/>
    </row>
    <row r="15932">
      <c r="D15932" s="39"/>
      <c r="E15932" s="39"/>
      <c r="F15932" s="39"/>
    </row>
    <row r="15933">
      <c r="D15933" s="39"/>
      <c r="E15933" s="39"/>
      <c r="F15933" s="39"/>
    </row>
    <row r="15934">
      <c r="D15934" s="39"/>
      <c r="E15934" s="39"/>
      <c r="F15934" s="39"/>
    </row>
    <row r="15935">
      <c r="D15935" s="39"/>
      <c r="E15935" s="39"/>
      <c r="F15935" s="39"/>
    </row>
    <row r="15936">
      <c r="D15936" s="39"/>
      <c r="E15936" s="39"/>
      <c r="F15936" s="39"/>
    </row>
    <row r="15937">
      <c r="D15937" s="39"/>
      <c r="E15937" s="39"/>
      <c r="F15937" s="39"/>
    </row>
    <row r="15938">
      <c r="D15938" s="39"/>
      <c r="E15938" s="39"/>
      <c r="F15938" s="39"/>
    </row>
    <row r="15939">
      <c r="D15939" s="39"/>
      <c r="E15939" s="39"/>
      <c r="F15939" s="39"/>
    </row>
    <row r="15940">
      <c r="D15940" s="39"/>
      <c r="E15940" s="39"/>
      <c r="F15940" s="39"/>
    </row>
    <row r="15941">
      <c r="D15941" s="39"/>
      <c r="E15941" s="39"/>
      <c r="F15941" s="39"/>
    </row>
    <row r="15942">
      <c r="D15942" s="39"/>
      <c r="E15942" s="39"/>
      <c r="F15942" s="39"/>
    </row>
    <row r="15943">
      <c r="D15943" s="39"/>
      <c r="E15943" s="39"/>
      <c r="F15943" s="39"/>
    </row>
    <row r="15944">
      <c r="D15944" s="39"/>
      <c r="E15944" s="39"/>
      <c r="F15944" s="39"/>
    </row>
    <row r="15945">
      <c r="D15945" s="39"/>
      <c r="E15945" s="39"/>
      <c r="F15945" s="39"/>
    </row>
    <row r="15946">
      <c r="D15946" s="39"/>
      <c r="E15946" s="39"/>
      <c r="F15946" s="39"/>
    </row>
    <row r="15947">
      <c r="D15947" s="39"/>
      <c r="E15947" s="39"/>
      <c r="F15947" s="39"/>
    </row>
    <row r="15948">
      <c r="D15948" s="39"/>
      <c r="E15948" s="39"/>
      <c r="F15948" s="39"/>
    </row>
    <row r="15949">
      <c r="D15949" s="39"/>
      <c r="E15949" s="39"/>
      <c r="F15949" s="39"/>
    </row>
    <row r="15950">
      <c r="D15950" s="39"/>
      <c r="E15950" s="39"/>
      <c r="F15950" s="39"/>
    </row>
    <row r="15951">
      <c r="D15951" s="39"/>
      <c r="E15951" s="39"/>
      <c r="F15951" s="39"/>
    </row>
    <row r="15952">
      <c r="D15952" s="39"/>
      <c r="E15952" s="39"/>
      <c r="F15952" s="39"/>
    </row>
    <row r="15953">
      <c r="D15953" s="39"/>
      <c r="E15953" s="39"/>
      <c r="F15953" s="39"/>
    </row>
    <row r="15954">
      <c r="D15954" s="39"/>
      <c r="E15954" s="39"/>
      <c r="F15954" s="39"/>
    </row>
    <row r="15955">
      <c r="D15955" s="39"/>
      <c r="E15955" s="39"/>
      <c r="F15955" s="39"/>
    </row>
    <row r="15956">
      <c r="D15956" s="39"/>
      <c r="E15956" s="39"/>
      <c r="F15956" s="39"/>
    </row>
    <row r="15957">
      <c r="D15957" s="39"/>
      <c r="E15957" s="39"/>
      <c r="F15957" s="39"/>
    </row>
    <row r="15958">
      <c r="D15958" s="39"/>
      <c r="E15958" s="39"/>
      <c r="F15958" s="39"/>
    </row>
    <row r="15959">
      <c r="D15959" s="39"/>
      <c r="E15959" s="39"/>
      <c r="F15959" s="39"/>
    </row>
    <row r="15960">
      <c r="D15960" s="39"/>
      <c r="E15960" s="39"/>
      <c r="F15960" s="39"/>
    </row>
    <row r="15961">
      <c r="D15961" s="39"/>
      <c r="E15961" s="39"/>
      <c r="F15961" s="39"/>
    </row>
    <row r="15962">
      <c r="D15962" s="39"/>
      <c r="E15962" s="39"/>
      <c r="F15962" s="39"/>
    </row>
    <row r="15963">
      <c r="D15963" s="39"/>
      <c r="E15963" s="39"/>
      <c r="F15963" s="39"/>
    </row>
    <row r="15964">
      <c r="D15964" s="39"/>
      <c r="E15964" s="39"/>
      <c r="F15964" s="39"/>
    </row>
    <row r="15965">
      <c r="D15965" s="39"/>
      <c r="E15965" s="39"/>
      <c r="F15965" s="39"/>
    </row>
    <row r="15966">
      <c r="D15966" s="39"/>
      <c r="E15966" s="39"/>
      <c r="F15966" s="39"/>
    </row>
    <row r="15967">
      <c r="D15967" s="39"/>
      <c r="E15967" s="39"/>
      <c r="F15967" s="39"/>
    </row>
    <row r="15968">
      <c r="D15968" s="39"/>
      <c r="E15968" s="39"/>
      <c r="F15968" s="39"/>
    </row>
    <row r="15969">
      <c r="D15969" s="39"/>
      <c r="E15969" s="39"/>
      <c r="F15969" s="39"/>
    </row>
    <row r="15970">
      <c r="D15970" s="39"/>
      <c r="E15970" s="39"/>
      <c r="F15970" s="39"/>
    </row>
    <row r="15971">
      <c r="D15971" s="39"/>
      <c r="E15971" s="39"/>
      <c r="F15971" s="39"/>
    </row>
    <row r="15972">
      <c r="D15972" s="39"/>
      <c r="E15972" s="39"/>
      <c r="F15972" s="39"/>
    </row>
    <row r="15973">
      <c r="D15973" s="39"/>
      <c r="E15973" s="39"/>
      <c r="F15973" s="39"/>
    </row>
    <row r="15974">
      <c r="D15974" s="39"/>
      <c r="E15974" s="39"/>
      <c r="F15974" s="39"/>
    </row>
    <row r="15975">
      <c r="D15975" s="39"/>
      <c r="E15975" s="39"/>
      <c r="F15975" s="39"/>
    </row>
    <row r="15976">
      <c r="D15976" s="39"/>
      <c r="E15976" s="39"/>
      <c r="F15976" s="39"/>
    </row>
    <row r="15977">
      <c r="D15977" s="39"/>
      <c r="E15977" s="39"/>
      <c r="F15977" s="39"/>
    </row>
    <row r="15978">
      <c r="D15978" s="39"/>
      <c r="E15978" s="39"/>
      <c r="F15978" s="39"/>
    </row>
    <row r="15979">
      <c r="D15979" s="39"/>
      <c r="E15979" s="39"/>
      <c r="F15979" s="39"/>
    </row>
    <row r="15980">
      <c r="D15980" s="39"/>
      <c r="E15980" s="39"/>
      <c r="F15980" s="39"/>
    </row>
    <row r="15981">
      <c r="D15981" s="39"/>
      <c r="E15981" s="39"/>
      <c r="F15981" s="39"/>
    </row>
    <row r="15982">
      <c r="D15982" s="39"/>
      <c r="E15982" s="39"/>
      <c r="F15982" s="39"/>
    </row>
    <row r="15983">
      <c r="D15983" s="39"/>
      <c r="E15983" s="39"/>
      <c r="F15983" s="39"/>
    </row>
    <row r="15984">
      <c r="D15984" s="39"/>
      <c r="E15984" s="39"/>
      <c r="F15984" s="39"/>
    </row>
    <row r="15985">
      <c r="D15985" s="39"/>
      <c r="E15985" s="39"/>
      <c r="F15985" s="39"/>
    </row>
    <row r="15986">
      <c r="D15986" s="39"/>
      <c r="E15986" s="39"/>
      <c r="F15986" s="39"/>
    </row>
    <row r="15987">
      <c r="D15987" s="39"/>
      <c r="E15987" s="39"/>
      <c r="F15987" s="39"/>
    </row>
    <row r="15988">
      <c r="D15988" s="39"/>
      <c r="E15988" s="39"/>
      <c r="F15988" s="39"/>
    </row>
    <row r="15989">
      <c r="D15989" s="39"/>
      <c r="E15989" s="39"/>
      <c r="F15989" s="39"/>
    </row>
    <row r="15990">
      <c r="D15990" s="39"/>
      <c r="E15990" s="39"/>
      <c r="F15990" s="39"/>
    </row>
    <row r="15991">
      <c r="D15991" s="39"/>
      <c r="E15991" s="39"/>
      <c r="F15991" s="39"/>
    </row>
    <row r="15992">
      <c r="D15992" s="39"/>
      <c r="E15992" s="39"/>
      <c r="F15992" s="39"/>
    </row>
    <row r="15993">
      <c r="D15993" s="39"/>
      <c r="E15993" s="39"/>
      <c r="F15993" s="39"/>
    </row>
    <row r="15994">
      <c r="D15994" s="39"/>
      <c r="E15994" s="39"/>
      <c r="F15994" s="39"/>
    </row>
    <row r="15995">
      <c r="D15995" s="39"/>
      <c r="E15995" s="39"/>
      <c r="F15995" s="39"/>
    </row>
    <row r="15996">
      <c r="D15996" s="39"/>
      <c r="E15996" s="39"/>
      <c r="F15996" s="39"/>
    </row>
    <row r="15997">
      <c r="D15997" s="39"/>
      <c r="E15997" s="39"/>
      <c r="F15997" s="39"/>
    </row>
    <row r="15998">
      <c r="D15998" s="39"/>
      <c r="E15998" s="39"/>
      <c r="F15998" s="39"/>
    </row>
    <row r="15999">
      <c r="D15999" s="39"/>
      <c r="E15999" s="39"/>
      <c r="F15999" s="39"/>
    </row>
    <row r="16000">
      <c r="D16000" s="39"/>
      <c r="E16000" s="39"/>
      <c r="F16000" s="39"/>
    </row>
    <row r="16001">
      <c r="D16001" s="39"/>
      <c r="E16001" s="39"/>
      <c r="F16001" s="39"/>
    </row>
    <row r="16002">
      <c r="D16002" s="39"/>
      <c r="E16002" s="39"/>
      <c r="F16002" s="39"/>
    </row>
    <row r="16003">
      <c r="D16003" s="39"/>
      <c r="E16003" s="39"/>
      <c r="F16003" s="39"/>
    </row>
    <row r="16004">
      <c r="D16004" s="39"/>
      <c r="E16004" s="39"/>
      <c r="F16004" s="39"/>
    </row>
    <row r="16005">
      <c r="D16005" s="39"/>
      <c r="E16005" s="39"/>
      <c r="F16005" s="39"/>
    </row>
    <row r="16006">
      <c r="D16006" s="39"/>
      <c r="E16006" s="39"/>
      <c r="F16006" s="39"/>
    </row>
    <row r="16007">
      <c r="D16007" s="39"/>
      <c r="E16007" s="39"/>
      <c r="F16007" s="39"/>
    </row>
    <row r="16008">
      <c r="D16008" s="39"/>
      <c r="E16008" s="39"/>
      <c r="F16008" s="39"/>
    </row>
    <row r="16009">
      <c r="D16009" s="39"/>
      <c r="E16009" s="39"/>
      <c r="F16009" s="39"/>
    </row>
    <row r="16010">
      <c r="D16010" s="39"/>
      <c r="E16010" s="39"/>
      <c r="F16010" s="39"/>
    </row>
    <row r="16011">
      <c r="D16011" s="39"/>
      <c r="E16011" s="39"/>
      <c r="F16011" s="39"/>
    </row>
    <row r="16012">
      <c r="D16012" s="39"/>
      <c r="E16012" s="39"/>
      <c r="F16012" s="39"/>
    </row>
    <row r="16013">
      <c r="D16013" s="39"/>
      <c r="E16013" s="39"/>
      <c r="F16013" s="39"/>
    </row>
    <row r="16014">
      <c r="D16014" s="39"/>
      <c r="E16014" s="39"/>
      <c r="F16014" s="39"/>
    </row>
    <row r="16015">
      <c r="D16015" s="39"/>
      <c r="E16015" s="39"/>
      <c r="F16015" s="39"/>
    </row>
    <row r="16016">
      <c r="D16016" s="39"/>
      <c r="E16016" s="39"/>
      <c r="F16016" s="39"/>
    </row>
    <row r="16017">
      <c r="D16017" s="39"/>
      <c r="E16017" s="39"/>
      <c r="F16017" s="39"/>
    </row>
    <row r="16018">
      <c r="D16018" s="39"/>
      <c r="E16018" s="39"/>
      <c r="F16018" s="39"/>
    </row>
    <row r="16019">
      <c r="D16019" s="39"/>
      <c r="E16019" s="39"/>
      <c r="F16019" s="39"/>
    </row>
    <row r="16020">
      <c r="D16020" s="39"/>
      <c r="E16020" s="39"/>
      <c r="F16020" s="39"/>
    </row>
    <row r="16021">
      <c r="D16021" s="39"/>
      <c r="E16021" s="39"/>
      <c r="F16021" s="39"/>
    </row>
    <row r="16022">
      <c r="D16022" s="39"/>
      <c r="E16022" s="39"/>
      <c r="F16022" s="39"/>
    </row>
    <row r="16023">
      <c r="D16023" s="39"/>
      <c r="E16023" s="39"/>
      <c r="F16023" s="39"/>
    </row>
    <row r="16024">
      <c r="D16024" s="39"/>
      <c r="E16024" s="39"/>
      <c r="F16024" s="39"/>
    </row>
    <row r="16025">
      <c r="D16025" s="39"/>
      <c r="E16025" s="39"/>
      <c r="F16025" s="39"/>
    </row>
    <row r="16026">
      <c r="D16026" s="39"/>
      <c r="E16026" s="39"/>
      <c r="F16026" s="39"/>
    </row>
    <row r="16027">
      <c r="D16027" s="39"/>
      <c r="E16027" s="39"/>
      <c r="F16027" s="39"/>
    </row>
    <row r="16028">
      <c r="D16028" s="39"/>
      <c r="E16028" s="39"/>
      <c r="F16028" s="39"/>
    </row>
    <row r="16029">
      <c r="D16029" s="39"/>
      <c r="E16029" s="39"/>
      <c r="F16029" s="39"/>
    </row>
    <row r="16030">
      <c r="D16030" s="39"/>
      <c r="E16030" s="39"/>
      <c r="F16030" s="39"/>
    </row>
    <row r="16031">
      <c r="D16031" s="39"/>
      <c r="E16031" s="39"/>
      <c r="F16031" s="39"/>
    </row>
    <row r="16032">
      <c r="D16032" s="39"/>
      <c r="E16032" s="39"/>
      <c r="F16032" s="39"/>
    </row>
    <row r="16033">
      <c r="D16033" s="39"/>
      <c r="E16033" s="39"/>
      <c r="F16033" s="39"/>
    </row>
    <row r="16034">
      <c r="D16034" s="39"/>
      <c r="E16034" s="39"/>
      <c r="F16034" s="39"/>
    </row>
    <row r="16035">
      <c r="D16035" s="39"/>
      <c r="E16035" s="39"/>
      <c r="F16035" s="39"/>
    </row>
    <row r="16036">
      <c r="D16036" s="39"/>
      <c r="E16036" s="39"/>
      <c r="F16036" s="39"/>
    </row>
    <row r="16037">
      <c r="D16037" s="39"/>
      <c r="E16037" s="39"/>
      <c r="F16037" s="39"/>
    </row>
    <row r="16038">
      <c r="D16038" s="39"/>
      <c r="E16038" s="39"/>
      <c r="F16038" s="39"/>
    </row>
    <row r="16039">
      <c r="D16039" s="39"/>
      <c r="E16039" s="39"/>
      <c r="F16039" s="39"/>
    </row>
    <row r="16040">
      <c r="D16040" s="39"/>
      <c r="E16040" s="39"/>
      <c r="F16040" s="39"/>
    </row>
    <row r="16041">
      <c r="D16041" s="39"/>
      <c r="E16041" s="39"/>
      <c r="F16041" s="39"/>
    </row>
    <row r="16042">
      <c r="D16042" s="39"/>
      <c r="E16042" s="39"/>
      <c r="F16042" s="39"/>
    </row>
    <row r="16043">
      <c r="D16043" s="39"/>
      <c r="E16043" s="39"/>
      <c r="F16043" s="39"/>
    </row>
    <row r="16044">
      <c r="D16044" s="39"/>
      <c r="E16044" s="39"/>
      <c r="F16044" s="39"/>
    </row>
    <row r="16045">
      <c r="D16045" s="39"/>
      <c r="E16045" s="39"/>
      <c r="F16045" s="39"/>
    </row>
    <row r="16046">
      <c r="D16046" s="39"/>
      <c r="E16046" s="39"/>
      <c r="F16046" s="39"/>
    </row>
    <row r="16047">
      <c r="D16047" s="39"/>
      <c r="E16047" s="39"/>
      <c r="F16047" s="39"/>
    </row>
    <row r="16048">
      <c r="D16048" s="39"/>
      <c r="E16048" s="39"/>
      <c r="F16048" s="39"/>
    </row>
    <row r="16049">
      <c r="D16049" s="39"/>
      <c r="E16049" s="39"/>
      <c r="F16049" s="39"/>
    </row>
    <row r="16050">
      <c r="D16050" s="39"/>
      <c r="E16050" s="39"/>
      <c r="F16050" s="39"/>
    </row>
    <row r="16051">
      <c r="D16051" s="39"/>
      <c r="E16051" s="39"/>
      <c r="F16051" s="39"/>
    </row>
    <row r="16052">
      <c r="D16052" s="39"/>
      <c r="E16052" s="39"/>
      <c r="F16052" s="39"/>
    </row>
    <row r="16053">
      <c r="D16053" s="39"/>
      <c r="E16053" s="39"/>
      <c r="F16053" s="39"/>
    </row>
    <row r="16054">
      <c r="D16054" s="39"/>
      <c r="E16054" s="39"/>
      <c r="F16054" s="39"/>
    </row>
    <row r="16055">
      <c r="D16055" s="39"/>
      <c r="E16055" s="39"/>
      <c r="F16055" s="39"/>
    </row>
    <row r="16056">
      <c r="D16056" s="39"/>
      <c r="E16056" s="39"/>
      <c r="F16056" s="39"/>
    </row>
    <row r="16057">
      <c r="D16057" s="39"/>
      <c r="E16057" s="39"/>
      <c r="F16057" s="39"/>
    </row>
    <row r="16058">
      <c r="D16058" s="39"/>
      <c r="E16058" s="39"/>
      <c r="F16058" s="39"/>
    </row>
    <row r="16059">
      <c r="D16059" s="39"/>
      <c r="E16059" s="39"/>
      <c r="F16059" s="39"/>
    </row>
    <row r="16060">
      <c r="D16060" s="39"/>
      <c r="E16060" s="39"/>
      <c r="F16060" s="39"/>
    </row>
    <row r="16061">
      <c r="D16061" s="39"/>
      <c r="E16061" s="39"/>
      <c r="F16061" s="39"/>
    </row>
    <row r="16062">
      <c r="D16062" s="39"/>
      <c r="E16062" s="39"/>
      <c r="F16062" s="39"/>
    </row>
    <row r="16063">
      <c r="D16063" s="39"/>
      <c r="E16063" s="39"/>
      <c r="F16063" s="39"/>
    </row>
    <row r="16064">
      <c r="D16064" s="39"/>
      <c r="E16064" s="39"/>
      <c r="F16064" s="39"/>
    </row>
    <row r="16065">
      <c r="D16065" s="39"/>
      <c r="E16065" s="39"/>
      <c r="F16065" s="39"/>
    </row>
    <row r="16066">
      <c r="D16066" s="39"/>
      <c r="E16066" s="39"/>
      <c r="F16066" s="39"/>
    </row>
    <row r="16067">
      <c r="D16067" s="39"/>
      <c r="E16067" s="39"/>
      <c r="F16067" s="39"/>
    </row>
    <row r="16068">
      <c r="D16068" s="39"/>
      <c r="E16068" s="39"/>
      <c r="F16068" s="39"/>
    </row>
    <row r="16069">
      <c r="D16069" s="39"/>
      <c r="E16069" s="39"/>
      <c r="F16069" s="39"/>
    </row>
    <row r="16070">
      <c r="D16070" s="39"/>
      <c r="E16070" s="39"/>
      <c r="F16070" s="39"/>
    </row>
    <row r="16071">
      <c r="D16071" s="39"/>
      <c r="E16071" s="39"/>
      <c r="F16071" s="39"/>
    </row>
    <row r="16072">
      <c r="D16072" s="39"/>
      <c r="E16072" s="39"/>
      <c r="F16072" s="39"/>
    </row>
    <row r="16073">
      <c r="D16073" s="39"/>
      <c r="E16073" s="39"/>
      <c r="F16073" s="39"/>
    </row>
    <row r="16074">
      <c r="D16074" s="39"/>
      <c r="E16074" s="39"/>
      <c r="F16074" s="39"/>
    </row>
    <row r="16075">
      <c r="D16075" s="39"/>
      <c r="E16075" s="39"/>
      <c r="F16075" s="39"/>
    </row>
    <row r="16076">
      <c r="D16076" s="39"/>
      <c r="E16076" s="39"/>
      <c r="F16076" s="39"/>
    </row>
    <row r="16077">
      <c r="D16077" s="39"/>
      <c r="E16077" s="39"/>
      <c r="F16077" s="39"/>
    </row>
    <row r="16078">
      <c r="D16078" s="39"/>
      <c r="E16078" s="39"/>
      <c r="F16078" s="39"/>
    </row>
    <row r="16079">
      <c r="D16079" s="39"/>
      <c r="E16079" s="39"/>
      <c r="F16079" s="39"/>
    </row>
    <row r="16080">
      <c r="D16080" s="39"/>
      <c r="E16080" s="39"/>
      <c r="F16080" s="39"/>
    </row>
    <row r="16081">
      <c r="D16081" s="39"/>
      <c r="E16081" s="39"/>
      <c r="F16081" s="39"/>
    </row>
    <row r="16082">
      <c r="D16082" s="39"/>
      <c r="E16082" s="39"/>
      <c r="F16082" s="39"/>
    </row>
    <row r="16083">
      <c r="D16083" s="39"/>
      <c r="E16083" s="39"/>
      <c r="F16083" s="39"/>
    </row>
    <row r="16084">
      <c r="D16084" s="39"/>
      <c r="E16084" s="39"/>
      <c r="F16084" s="39"/>
    </row>
    <row r="16085">
      <c r="D16085" s="39"/>
      <c r="E16085" s="39"/>
      <c r="F16085" s="39"/>
    </row>
    <row r="16086">
      <c r="D16086" s="39"/>
      <c r="E16086" s="39"/>
      <c r="F16086" s="39"/>
    </row>
    <row r="16087">
      <c r="D16087" s="39"/>
      <c r="E16087" s="39"/>
      <c r="F16087" s="39"/>
    </row>
    <row r="16088">
      <c r="D16088" s="39"/>
      <c r="E16088" s="39"/>
      <c r="F16088" s="39"/>
    </row>
    <row r="16089">
      <c r="D16089" s="39"/>
      <c r="E16089" s="39"/>
      <c r="F16089" s="39"/>
    </row>
    <row r="16090">
      <c r="D16090" s="39"/>
      <c r="E16090" s="39"/>
      <c r="F16090" s="39"/>
    </row>
    <row r="16091">
      <c r="D16091" s="39"/>
      <c r="E16091" s="39"/>
      <c r="F16091" s="39"/>
    </row>
    <row r="16092">
      <c r="D16092" s="39"/>
      <c r="E16092" s="39"/>
      <c r="F16092" s="39"/>
    </row>
    <row r="16093">
      <c r="D16093" s="39"/>
      <c r="E16093" s="39"/>
      <c r="F16093" s="39"/>
    </row>
    <row r="16094">
      <c r="D16094" s="39"/>
      <c r="E16094" s="39"/>
      <c r="F16094" s="39"/>
    </row>
    <row r="16095">
      <c r="D16095" s="39"/>
      <c r="E16095" s="39"/>
      <c r="F16095" s="39"/>
    </row>
    <row r="16096">
      <c r="D16096" s="39"/>
      <c r="E16096" s="39"/>
      <c r="F16096" s="39"/>
    </row>
    <row r="16097">
      <c r="D16097" s="39"/>
      <c r="E16097" s="39"/>
      <c r="F16097" s="39"/>
    </row>
    <row r="16098">
      <c r="D16098" s="39"/>
      <c r="E16098" s="39"/>
      <c r="F16098" s="39"/>
    </row>
    <row r="16099">
      <c r="D16099" s="39"/>
      <c r="E16099" s="39"/>
      <c r="F16099" s="39"/>
    </row>
    <row r="16100">
      <c r="D16100" s="39"/>
      <c r="E16100" s="39"/>
      <c r="F16100" s="39"/>
    </row>
    <row r="16101">
      <c r="D16101" s="39"/>
      <c r="E16101" s="39"/>
      <c r="F16101" s="39"/>
    </row>
    <row r="16102">
      <c r="D16102" s="39"/>
      <c r="E16102" s="39"/>
      <c r="F16102" s="39"/>
    </row>
    <row r="16103">
      <c r="D16103" s="39"/>
      <c r="E16103" s="39"/>
      <c r="F16103" s="39"/>
    </row>
    <row r="16104">
      <c r="D16104" s="39"/>
      <c r="E16104" s="39"/>
      <c r="F16104" s="39"/>
    </row>
    <row r="16105">
      <c r="D16105" s="39"/>
      <c r="E16105" s="39"/>
      <c r="F16105" s="39"/>
    </row>
    <row r="16106">
      <c r="D16106" s="39"/>
      <c r="E16106" s="39"/>
      <c r="F16106" s="39"/>
    </row>
    <row r="16107">
      <c r="D16107" s="39"/>
      <c r="E16107" s="39"/>
      <c r="F16107" s="39"/>
    </row>
    <row r="16108">
      <c r="D16108" s="39"/>
      <c r="E16108" s="39"/>
      <c r="F16108" s="39"/>
    </row>
    <row r="16109">
      <c r="D16109" s="39"/>
      <c r="E16109" s="39"/>
      <c r="F16109" s="39"/>
    </row>
    <row r="16110">
      <c r="D16110" s="39"/>
      <c r="E16110" s="39"/>
      <c r="F16110" s="39"/>
    </row>
    <row r="16111">
      <c r="D16111" s="39"/>
      <c r="E16111" s="39"/>
      <c r="F16111" s="39"/>
    </row>
    <row r="16112">
      <c r="D16112" s="39"/>
      <c r="E16112" s="39"/>
      <c r="F16112" s="39"/>
    </row>
    <row r="16113">
      <c r="D16113" s="39"/>
      <c r="E16113" s="39"/>
      <c r="F16113" s="39"/>
    </row>
    <row r="16114">
      <c r="D16114" s="39"/>
      <c r="E16114" s="39"/>
      <c r="F16114" s="39"/>
    </row>
    <row r="16115">
      <c r="D16115" s="39"/>
      <c r="E16115" s="39"/>
      <c r="F16115" s="39"/>
    </row>
    <row r="16116">
      <c r="D16116" s="39"/>
      <c r="E16116" s="39"/>
      <c r="F16116" s="39"/>
    </row>
    <row r="16117">
      <c r="D16117" s="39"/>
      <c r="E16117" s="39"/>
      <c r="F16117" s="39"/>
    </row>
    <row r="16118">
      <c r="D16118" s="39"/>
      <c r="E16118" s="39"/>
      <c r="F16118" s="39"/>
    </row>
    <row r="16119">
      <c r="D16119" s="39"/>
      <c r="E16119" s="39"/>
      <c r="F16119" s="39"/>
    </row>
    <row r="16120">
      <c r="D16120" s="39"/>
      <c r="E16120" s="39"/>
      <c r="F16120" s="39"/>
    </row>
    <row r="16121">
      <c r="D16121" s="39"/>
      <c r="E16121" s="39"/>
      <c r="F16121" s="39"/>
    </row>
    <row r="16122">
      <c r="D16122" s="39"/>
      <c r="E16122" s="39"/>
      <c r="F16122" s="39"/>
    </row>
    <row r="16123">
      <c r="D16123" s="39"/>
      <c r="E16123" s="39"/>
      <c r="F16123" s="39"/>
    </row>
    <row r="16124">
      <c r="D16124" s="39"/>
      <c r="E16124" s="39"/>
      <c r="F16124" s="39"/>
    </row>
    <row r="16125">
      <c r="D16125" s="39"/>
      <c r="E16125" s="39"/>
      <c r="F16125" s="39"/>
    </row>
    <row r="16126">
      <c r="D16126" s="39"/>
      <c r="E16126" s="39"/>
      <c r="F16126" s="39"/>
    </row>
    <row r="16127">
      <c r="D16127" s="39"/>
      <c r="E16127" s="39"/>
      <c r="F16127" s="39"/>
    </row>
    <row r="16128">
      <c r="D16128" s="39"/>
      <c r="E16128" s="39"/>
      <c r="F16128" s="39"/>
    </row>
    <row r="16129">
      <c r="D16129" s="39"/>
      <c r="E16129" s="39"/>
      <c r="F16129" s="39"/>
    </row>
    <row r="16130">
      <c r="D16130" s="39"/>
      <c r="E16130" s="39"/>
      <c r="F16130" s="39"/>
    </row>
    <row r="16131">
      <c r="D16131" s="39"/>
      <c r="E16131" s="39"/>
      <c r="F16131" s="39"/>
    </row>
    <row r="16132">
      <c r="D16132" s="39"/>
      <c r="E16132" s="39"/>
      <c r="F16132" s="39"/>
    </row>
    <row r="16133">
      <c r="D16133" s="39"/>
      <c r="E16133" s="39"/>
      <c r="F16133" s="39"/>
    </row>
    <row r="16134">
      <c r="D16134" s="39"/>
      <c r="E16134" s="39"/>
      <c r="F16134" s="39"/>
    </row>
    <row r="16135">
      <c r="D16135" s="39"/>
      <c r="E16135" s="39"/>
      <c r="F16135" s="39"/>
    </row>
    <row r="16136">
      <c r="D16136" s="39"/>
      <c r="E16136" s="39"/>
      <c r="F16136" s="39"/>
    </row>
    <row r="16137">
      <c r="D16137" s="39"/>
      <c r="E16137" s="39"/>
      <c r="F16137" s="39"/>
    </row>
    <row r="16138">
      <c r="D16138" s="39"/>
      <c r="E16138" s="39"/>
      <c r="F16138" s="39"/>
    </row>
    <row r="16139">
      <c r="D16139" s="39"/>
      <c r="E16139" s="39"/>
      <c r="F16139" s="39"/>
    </row>
    <row r="16140">
      <c r="D16140" s="39"/>
      <c r="E16140" s="39"/>
      <c r="F16140" s="39"/>
    </row>
    <row r="16141">
      <c r="D16141" s="39"/>
      <c r="E16141" s="39"/>
      <c r="F16141" s="39"/>
    </row>
    <row r="16142">
      <c r="D16142" s="39"/>
      <c r="E16142" s="39"/>
      <c r="F16142" s="39"/>
    </row>
    <row r="16143">
      <c r="D16143" s="39"/>
      <c r="E16143" s="39"/>
      <c r="F16143" s="39"/>
    </row>
    <row r="16144">
      <c r="D16144" s="39"/>
      <c r="E16144" s="39"/>
      <c r="F16144" s="39"/>
    </row>
    <row r="16145">
      <c r="D16145" s="39"/>
      <c r="E16145" s="39"/>
      <c r="F16145" s="39"/>
    </row>
    <row r="16146">
      <c r="D16146" s="39"/>
      <c r="E16146" s="39"/>
      <c r="F16146" s="39"/>
    </row>
    <row r="16147">
      <c r="D16147" s="39"/>
      <c r="E16147" s="39"/>
      <c r="F16147" s="39"/>
    </row>
    <row r="16148">
      <c r="D16148" s="39"/>
      <c r="E16148" s="39"/>
      <c r="F16148" s="39"/>
    </row>
    <row r="16149">
      <c r="D16149" s="39"/>
      <c r="E16149" s="39"/>
      <c r="F16149" s="39"/>
    </row>
    <row r="16150">
      <c r="D16150" s="39"/>
      <c r="E16150" s="39"/>
      <c r="F16150" s="39"/>
    </row>
    <row r="16151">
      <c r="D16151" s="39"/>
      <c r="E16151" s="39"/>
      <c r="F16151" s="39"/>
    </row>
    <row r="16152">
      <c r="D16152" s="39"/>
      <c r="E16152" s="39"/>
      <c r="F16152" s="39"/>
    </row>
    <row r="16153">
      <c r="D16153" s="39"/>
      <c r="E16153" s="39"/>
      <c r="F16153" s="39"/>
    </row>
    <row r="16154">
      <c r="D16154" s="39"/>
      <c r="E16154" s="39"/>
      <c r="F16154" s="39"/>
    </row>
    <row r="16155">
      <c r="D16155" s="39"/>
      <c r="E16155" s="39"/>
      <c r="F16155" s="39"/>
    </row>
    <row r="16156">
      <c r="D16156" s="39"/>
      <c r="E16156" s="39"/>
      <c r="F16156" s="39"/>
    </row>
    <row r="16157">
      <c r="D16157" s="39"/>
      <c r="E16157" s="39"/>
      <c r="F16157" s="39"/>
    </row>
    <row r="16158">
      <c r="D16158" s="39"/>
      <c r="E16158" s="39"/>
      <c r="F16158" s="39"/>
    </row>
    <row r="16159">
      <c r="D16159" s="39"/>
      <c r="E16159" s="39"/>
      <c r="F16159" s="39"/>
    </row>
    <row r="16160">
      <c r="D16160" s="39"/>
      <c r="E16160" s="39"/>
      <c r="F16160" s="39"/>
    </row>
    <row r="16161">
      <c r="D16161" s="39"/>
      <c r="E16161" s="39"/>
      <c r="F16161" s="39"/>
    </row>
    <row r="16162">
      <c r="D16162" s="39"/>
      <c r="E16162" s="39"/>
      <c r="F16162" s="39"/>
    </row>
    <row r="16163">
      <c r="D16163" s="39"/>
      <c r="E16163" s="39"/>
      <c r="F16163" s="39"/>
    </row>
    <row r="16164">
      <c r="D16164" s="39"/>
      <c r="E16164" s="39"/>
      <c r="F16164" s="39"/>
    </row>
    <row r="16165">
      <c r="D16165" s="39"/>
      <c r="E16165" s="39"/>
      <c r="F16165" s="39"/>
    </row>
    <row r="16166">
      <c r="D16166" s="39"/>
      <c r="E16166" s="39"/>
      <c r="F16166" s="39"/>
    </row>
    <row r="16167">
      <c r="D16167" s="39"/>
      <c r="E16167" s="39"/>
      <c r="F16167" s="39"/>
    </row>
    <row r="16168">
      <c r="D16168" s="39"/>
      <c r="E16168" s="39"/>
      <c r="F16168" s="39"/>
    </row>
    <row r="16169">
      <c r="D16169" s="39"/>
      <c r="E16169" s="39"/>
      <c r="F16169" s="39"/>
    </row>
    <row r="16170">
      <c r="D16170" s="39"/>
      <c r="E16170" s="39"/>
      <c r="F16170" s="39"/>
    </row>
    <row r="16171">
      <c r="D16171" s="39"/>
      <c r="E16171" s="39"/>
      <c r="F16171" s="39"/>
    </row>
    <row r="16172">
      <c r="D16172" s="39"/>
      <c r="E16172" s="39"/>
      <c r="F16172" s="39"/>
    </row>
    <row r="16173">
      <c r="D16173" s="39"/>
      <c r="E16173" s="39"/>
      <c r="F16173" s="39"/>
    </row>
    <row r="16174">
      <c r="D16174" s="39"/>
      <c r="E16174" s="39"/>
      <c r="F16174" s="39"/>
    </row>
    <row r="16175">
      <c r="D16175" s="39"/>
      <c r="E16175" s="39"/>
      <c r="F16175" s="39"/>
    </row>
    <row r="16176">
      <c r="D16176" s="39"/>
      <c r="E16176" s="39"/>
      <c r="F16176" s="39"/>
    </row>
    <row r="16177">
      <c r="D16177" s="39"/>
      <c r="E16177" s="39"/>
      <c r="F16177" s="39"/>
    </row>
    <row r="16178">
      <c r="D16178" s="39"/>
      <c r="E16178" s="39"/>
      <c r="F16178" s="39"/>
    </row>
    <row r="16179">
      <c r="D16179" s="39"/>
      <c r="E16179" s="39"/>
      <c r="F16179" s="39"/>
    </row>
    <row r="16180">
      <c r="D16180" s="39"/>
      <c r="E16180" s="39"/>
      <c r="F16180" s="39"/>
    </row>
    <row r="16181">
      <c r="D16181" s="39"/>
      <c r="E16181" s="39"/>
      <c r="F16181" s="39"/>
    </row>
    <row r="16182">
      <c r="D16182" s="39"/>
      <c r="E16182" s="39"/>
      <c r="F16182" s="39"/>
    </row>
    <row r="16183">
      <c r="D16183" s="39"/>
      <c r="E16183" s="39"/>
      <c r="F16183" s="39"/>
    </row>
    <row r="16184">
      <c r="D16184" s="39"/>
      <c r="E16184" s="39"/>
      <c r="F16184" s="39"/>
    </row>
    <row r="16185">
      <c r="D16185" s="39"/>
      <c r="E16185" s="39"/>
      <c r="F16185" s="39"/>
    </row>
    <row r="16186">
      <c r="D16186" s="39"/>
      <c r="E16186" s="39"/>
      <c r="F16186" s="39"/>
    </row>
    <row r="16187">
      <c r="D16187" s="39"/>
      <c r="E16187" s="39"/>
      <c r="F16187" s="39"/>
    </row>
    <row r="16188">
      <c r="D16188" s="39"/>
      <c r="E16188" s="39"/>
      <c r="F16188" s="39"/>
    </row>
    <row r="16189">
      <c r="D16189" s="39"/>
      <c r="E16189" s="39"/>
      <c r="F16189" s="39"/>
    </row>
    <row r="16190">
      <c r="D16190" s="39"/>
      <c r="E16190" s="39"/>
      <c r="F16190" s="39"/>
    </row>
    <row r="16191">
      <c r="D16191" s="39"/>
      <c r="E16191" s="39"/>
      <c r="F16191" s="39"/>
    </row>
    <row r="16192">
      <c r="D16192" s="39"/>
      <c r="E16192" s="39"/>
      <c r="F16192" s="39"/>
    </row>
    <row r="16193">
      <c r="D16193" s="39"/>
      <c r="E16193" s="39"/>
      <c r="F16193" s="39"/>
    </row>
    <row r="16194">
      <c r="D16194" s="39"/>
      <c r="E16194" s="39"/>
      <c r="F16194" s="39"/>
    </row>
    <row r="16195">
      <c r="D16195" s="39"/>
      <c r="E16195" s="39"/>
      <c r="F16195" s="39"/>
    </row>
    <row r="16196">
      <c r="D16196" s="39"/>
      <c r="E16196" s="39"/>
      <c r="F16196" s="39"/>
    </row>
    <row r="16197">
      <c r="D16197" s="39"/>
      <c r="E16197" s="39"/>
      <c r="F16197" s="39"/>
    </row>
    <row r="16198">
      <c r="D16198" s="39"/>
      <c r="E16198" s="39"/>
      <c r="F16198" s="39"/>
    </row>
    <row r="16199">
      <c r="D16199" s="39"/>
      <c r="E16199" s="39"/>
      <c r="F16199" s="39"/>
    </row>
    <row r="16200">
      <c r="D16200" s="39"/>
      <c r="E16200" s="39"/>
      <c r="F16200" s="39"/>
    </row>
    <row r="16201">
      <c r="D16201" s="39"/>
      <c r="E16201" s="39"/>
      <c r="F16201" s="39"/>
    </row>
    <row r="16202">
      <c r="D16202" s="39"/>
      <c r="E16202" s="39"/>
      <c r="F16202" s="39"/>
    </row>
    <row r="16203">
      <c r="D16203" s="39"/>
      <c r="E16203" s="39"/>
      <c r="F16203" s="39"/>
    </row>
    <row r="16204">
      <c r="D16204" s="39"/>
      <c r="E16204" s="39"/>
      <c r="F16204" s="39"/>
    </row>
    <row r="16205">
      <c r="D16205" s="39"/>
      <c r="E16205" s="39"/>
      <c r="F16205" s="39"/>
    </row>
    <row r="16206">
      <c r="D16206" s="39"/>
      <c r="E16206" s="39"/>
      <c r="F16206" s="39"/>
    </row>
    <row r="16207">
      <c r="D16207" s="39"/>
      <c r="E16207" s="39"/>
      <c r="F16207" s="39"/>
    </row>
    <row r="16208">
      <c r="D16208" s="39"/>
      <c r="E16208" s="39"/>
      <c r="F16208" s="39"/>
    </row>
    <row r="16209">
      <c r="D16209" s="39"/>
      <c r="E16209" s="39"/>
      <c r="F16209" s="39"/>
    </row>
    <row r="16210">
      <c r="D16210" s="39"/>
      <c r="E16210" s="39"/>
      <c r="F16210" s="39"/>
    </row>
    <row r="16211">
      <c r="D16211" s="39"/>
      <c r="E16211" s="39"/>
      <c r="F16211" s="39"/>
    </row>
    <row r="16212">
      <c r="D16212" s="39"/>
      <c r="E16212" s="39"/>
      <c r="F16212" s="39"/>
    </row>
    <row r="16213">
      <c r="D16213" s="39"/>
      <c r="E16213" s="39"/>
      <c r="F16213" s="39"/>
    </row>
    <row r="16214">
      <c r="D16214" s="39"/>
      <c r="E16214" s="39"/>
      <c r="F16214" s="39"/>
    </row>
    <row r="16215">
      <c r="D16215" s="39"/>
      <c r="E16215" s="39"/>
      <c r="F16215" s="39"/>
    </row>
    <row r="16216">
      <c r="D16216" s="39"/>
      <c r="E16216" s="39"/>
      <c r="F16216" s="39"/>
    </row>
    <row r="16217">
      <c r="D16217" s="39"/>
      <c r="E16217" s="39"/>
      <c r="F16217" s="39"/>
    </row>
    <row r="16218">
      <c r="D16218" s="39"/>
      <c r="E16218" s="39"/>
      <c r="F16218" s="39"/>
    </row>
    <row r="16219">
      <c r="D16219" s="39"/>
      <c r="E16219" s="39"/>
      <c r="F16219" s="39"/>
    </row>
    <row r="16220">
      <c r="D16220" s="39"/>
      <c r="E16220" s="39"/>
      <c r="F16220" s="39"/>
    </row>
    <row r="16221">
      <c r="D16221" s="39"/>
      <c r="E16221" s="39"/>
      <c r="F16221" s="39"/>
    </row>
    <row r="16222">
      <c r="D16222" s="39"/>
      <c r="E16222" s="39"/>
      <c r="F16222" s="39"/>
    </row>
    <row r="16223">
      <c r="D16223" s="39"/>
      <c r="E16223" s="39"/>
      <c r="F16223" s="39"/>
    </row>
    <row r="16224">
      <c r="D16224" s="39"/>
      <c r="E16224" s="39"/>
      <c r="F16224" s="39"/>
    </row>
    <row r="16225">
      <c r="D16225" s="39"/>
      <c r="E16225" s="39"/>
      <c r="F16225" s="39"/>
    </row>
    <row r="16226">
      <c r="D16226" s="39"/>
      <c r="E16226" s="39"/>
      <c r="F16226" s="39"/>
    </row>
    <row r="16227">
      <c r="D16227" s="39"/>
      <c r="E16227" s="39"/>
      <c r="F16227" s="39"/>
    </row>
    <row r="16228">
      <c r="D16228" s="39"/>
      <c r="E16228" s="39"/>
      <c r="F16228" s="39"/>
    </row>
    <row r="16229">
      <c r="D16229" s="39"/>
      <c r="E16229" s="39"/>
      <c r="F16229" s="39"/>
    </row>
    <row r="16230">
      <c r="D16230" s="39"/>
      <c r="E16230" s="39"/>
      <c r="F16230" s="39"/>
    </row>
    <row r="16231">
      <c r="D16231" s="39"/>
      <c r="E16231" s="39"/>
      <c r="F16231" s="39"/>
    </row>
    <row r="16232">
      <c r="D16232" s="39"/>
      <c r="E16232" s="39"/>
      <c r="F16232" s="39"/>
    </row>
    <row r="16233">
      <c r="D16233" s="39"/>
      <c r="E16233" s="39"/>
      <c r="F16233" s="39"/>
    </row>
    <row r="16234">
      <c r="D16234" s="39"/>
      <c r="E16234" s="39"/>
      <c r="F16234" s="39"/>
    </row>
    <row r="16235">
      <c r="D16235" s="39"/>
      <c r="E16235" s="39"/>
      <c r="F16235" s="39"/>
    </row>
    <row r="16236">
      <c r="D16236" s="39"/>
      <c r="E16236" s="39"/>
      <c r="F16236" s="39"/>
    </row>
    <row r="16237">
      <c r="D16237" s="39"/>
      <c r="E16237" s="39"/>
      <c r="F16237" s="39"/>
    </row>
    <row r="16238">
      <c r="D16238" s="39"/>
      <c r="E16238" s="39"/>
      <c r="F16238" s="39"/>
    </row>
    <row r="16239">
      <c r="D16239" s="39"/>
      <c r="E16239" s="39"/>
      <c r="F16239" s="39"/>
    </row>
    <row r="16240">
      <c r="D16240" s="39"/>
      <c r="E16240" s="39"/>
      <c r="F16240" s="39"/>
    </row>
    <row r="16241">
      <c r="D16241" s="39"/>
      <c r="E16241" s="39"/>
      <c r="F16241" s="39"/>
    </row>
    <row r="16242">
      <c r="D16242" s="39"/>
      <c r="E16242" s="39"/>
      <c r="F16242" s="39"/>
    </row>
    <row r="16243">
      <c r="D16243" s="39"/>
      <c r="E16243" s="39"/>
      <c r="F16243" s="39"/>
    </row>
    <row r="16244">
      <c r="D16244" s="39"/>
      <c r="E16244" s="39"/>
      <c r="F16244" s="39"/>
    </row>
    <row r="16245">
      <c r="D16245" s="39"/>
      <c r="E16245" s="39"/>
      <c r="F16245" s="39"/>
    </row>
    <row r="16246">
      <c r="D16246" s="39"/>
      <c r="E16246" s="39"/>
      <c r="F16246" s="39"/>
    </row>
    <row r="16247">
      <c r="D16247" s="39"/>
      <c r="E16247" s="39"/>
      <c r="F16247" s="39"/>
    </row>
    <row r="16248">
      <c r="D16248" s="39"/>
      <c r="E16248" s="39"/>
      <c r="F16248" s="39"/>
    </row>
    <row r="16249">
      <c r="D16249" s="39"/>
      <c r="E16249" s="39"/>
      <c r="F16249" s="39"/>
    </row>
    <row r="16250">
      <c r="D16250" s="39"/>
      <c r="E16250" s="39"/>
      <c r="F16250" s="39"/>
    </row>
    <row r="16251">
      <c r="D16251" s="39"/>
      <c r="E16251" s="39"/>
      <c r="F16251" s="39"/>
    </row>
    <row r="16252">
      <c r="D16252" s="39"/>
      <c r="E16252" s="39"/>
      <c r="F16252" s="39"/>
    </row>
    <row r="16253">
      <c r="D16253" s="39"/>
      <c r="E16253" s="39"/>
      <c r="F16253" s="39"/>
    </row>
    <row r="16254">
      <c r="D16254" s="39"/>
      <c r="E16254" s="39"/>
      <c r="F16254" s="39"/>
    </row>
    <row r="16255">
      <c r="D16255" s="39"/>
      <c r="E16255" s="39"/>
      <c r="F16255" s="39"/>
    </row>
    <row r="16256">
      <c r="D16256" s="39"/>
      <c r="E16256" s="39"/>
      <c r="F16256" s="39"/>
    </row>
    <row r="16257">
      <c r="D16257" s="39"/>
      <c r="E16257" s="39"/>
      <c r="F16257" s="39"/>
    </row>
    <row r="16258">
      <c r="D16258" s="39"/>
      <c r="E16258" s="39"/>
      <c r="F16258" s="39"/>
    </row>
    <row r="16259">
      <c r="D16259" s="39"/>
      <c r="E16259" s="39"/>
      <c r="F16259" s="39"/>
    </row>
    <row r="16260">
      <c r="D16260" s="39"/>
      <c r="E16260" s="39"/>
      <c r="F16260" s="39"/>
    </row>
    <row r="16261">
      <c r="D16261" s="39"/>
      <c r="E16261" s="39"/>
      <c r="F16261" s="39"/>
    </row>
    <row r="16262">
      <c r="D16262" s="39"/>
      <c r="E16262" s="39"/>
      <c r="F16262" s="39"/>
    </row>
    <row r="16263">
      <c r="D16263" s="39"/>
      <c r="E16263" s="39"/>
      <c r="F16263" s="39"/>
    </row>
    <row r="16264">
      <c r="D16264" s="39"/>
      <c r="E16264" s="39"/>
      <c r="F16264" s="39"/>
    </row>
    <row r="16265">
      <c r="D16265" s="39"/>
      <c r="E16265" s="39"/>
      <c r="F16265" s="39"/>
    </row>
    <row r="16266">
      <c r="D16266" s="39"/>
      <c r="E16266" s="39"/>
      <c r="F16266" s="39"/>
    </row>
    <row r="16267">
      <c r="D16267" s="39"/>
      <c r="E16267" s="39"/>
      <c r="F16267" s="39"/>
    </row>
    <row r="16268">
      <c r="D16268" s="39"/>
      <c r="E16268" s="39"/>
      <c r="F16268" s="39"/>
    </row>
    <row r="16269">
      <c r="D16269" s="39"/>
      <c r="E16269" s="39"/>
      <c r="F16269" s="39"/>
    </row>
    <row r="16270">
      <c r="D16270" s="39"/>
      <c r="E16270" s="39"/>
      <c r="F16270" s="39"/>
    </row>
    <row r="16271">
      <c r="D16271" s="39"/>
      <c r="E16271" s="39"/>
      <c r="F16271" s="39"/>
    </row>
    <row r="16272">
      <c r="D16272" s="39"/>
      <c r="E16272" s="39"/>
      <c r="F16272" s="39"/>
    </row>
    <row r="16273">
      <c r="D16273" s="39"/>
      <c r="E16273" s="39"/>
      <c r="F16273" s="39"/>
    </row>
    <row r="16274">
      <c r="D16274" s="39"/>
      <c r="E16274" s="39"/>
      <c r="F16274" s="39"/>
    </row>
    <row r="16275">
      <c r="D16275" s="39"/>
      <c r="E16275" s="39"/>
      <c r="F16275" s="39"/>
    </row>
    <row r="16276">
      <c r="D16276" s="39"/>
      <c r="E16276" s="39"/>
      <c r="F16276" s="39"/>
    </row>
    <row r="16277">
      <c r="D16277" s="39"/>
      <c r="E16277" s="39"/>
      <c r="F16277" s="39"/>
    </row>
    <row r="16278">
      <c r="D16278" s="39"/>
      <c r="E16278" s="39"/>
      <c r="F16278" s="39"/>
    </row>
    <row r="16279">
      <c r="D16279" s="39"/>
      <c r="E16279" s="39"/>
      <c r="F16279" s="39"/>
    </row>
    <row r="16280">
      <c r="D16280" s="39"/>
      <c r="E16280" s="39"/>
      <c r="F16280" s="39"/>
    </row>
    <row r="16281">
      <c r="D16281" s="39"/>
      <c r="E16281" s="39"/>
      <c r="F16281" s="39"/>
    </row>
    <row r="16282">
      <c r="D16282" s="39"/>
      <c r="E16282" s="39"/>
      <c r="F16282" s="39"/>
    </row>
    <row r="16283">
      <c r="D16283" s="39"/>
      <c r="E16283" s="39"/>
      <c r="F16283" s="39"/>
    </row>
    <row r="16284">
      <c r="D16284" s="39"/>
      <c r="E16284" s="39"/>
      <c r="F16284" s="39"/>
    </row>
    <row r="16285">
      <c r="D16285" s="39"/>
      <c r="E16285" s="39"/>
      <c r="F16285" s="39"/>
    </row>
    <row r="16286">
      <c r="D16286" s="39"/>
      <c r="E16286" s="39"/>
      <c r="F16286" s="39"/>
    </row>
    <row r="16287">
      <c r="D16287" s="39"/>
      <c r="E16287" s="39"/>
      <c r="F16287" s="39"/>
    </row>
    <row r="16288">
      <c r="D16288" s="39"/>
      <c r="E16288" s="39"/>
      <c r="F16288" s="39"/>
    </row>
    <row r="16289">
      <c r="D16289" s="39"/>
      <c r="E16289" s="39"/>
      <c r="F16289" s="39"/>
    </row>
    <row r="16290">
      <c r="D16290" s="39"/>
      <c r="E16290" s="39"/>
      <c r="F16290" s="39"/>
    </row>
    <row r="16291">
      <c r="D16291" s="39"/>
      <c r="E16291" s="39"/>
      <c r="F16291" s="39"/>
    </row>
    <row r="16292">
      <c r="D16292" s="39"/>
      <c r="E16292" s="39"/>
      <c r="F16292" s="39"/>
    </row>
    <row r="16293">
      <c r="D16293" s="39"/>
      <c r="E16293" s="39"/>
      <c r="F16293" s="39"/>
    </row>
    <row r="16294">
      <c r="D16294" s="39"/>
      <c r="E16294" s="39"/>
      <c r="F16294" s="39"/>
    </row>
    <row r="16295">
      <c r="D16295" s="39"/>
      <c r="E16295" s="39"/>
      <c r="F16295" s="39"/>
    </row>
    <row r="16296">
      <c r="D16296" s="39"/>
      <c r="E16296" s="39"/>
      <c r="F16296" s="39"/>
    </row>
    <row r="16297">
      <c r="D16297" s="39"/>
      <c r="E16297" s="39"/>
      <c r="F16297" s="39"/>
    </row>
    <row r="16298">
      <c r="D16298" s="39"/>
      <c r="E16298" s="39"/>
      <c r="F16298" s="39"/>
    </row>
    <row r="16299">
      <c r="D16299" s="39"/>
      <c r="E16299" s="39"/>
      <c r="F16299" s="39"/>
    </row>
    <row r="16300">
      <c r="D16300" s="39"/>
      <c r="E16300" s="39"/>
      <c r="F16300" s="39"/>
    </row>
    <row r="16301">
      <c r="D16301" s="39"/>
      <c r="E16301" s="39"/>
      <c r="F16301" s="39"/>
    </row>
    <row r="16302">
      <c r="D16302" s="39"/>
      <c r="E16302" s="39"/>
      <c r="F16302" s="39"/>
    </row>
    <row r="16303">
      <c r="D16303" s="39"/>
      <c r="E16303" s="39"/>
      <c r="F16303" s="39"/>
    </row>
    <row r="16304">
      <c r="D16304" s="39"/>
      <c r="E16304" s="39"/>
      <c r="F16304" s="39"/>
    </row>
    <row r="16305">
      <c r="D16305" s="39"/>
      <c r="E16305" s="39"/>
      <c r="F16305" s="39"/>
    </row>
    <row r="16306">
      <c r="D16306" s="39"/>
      <c r="E16306" s="39"/>
      <c r="F16306" s="39"/>
    </row>
    <row r="16307">
      <c r="D16307" s="39"/>
      <c r="E16307" s="39"/>
      <c r="F16307" s="39"/>
    </row>
    <row r="16308">
      <c r="D16308" s="39"/>
      <c r="E16308" s="39"/>
      <c r="F16308" s="39"/>
    </row>
    <row r="16309">
      <c r="D16309" s="39"/>
      <c r="E16309" s="39"/>
      <c r="F16309" s="39"/>
    </row>
    <row r="16310">
      <c r="D16310" s="39"/>
      <c r="E16310" s="39"/>
      <c r="F16310" s="39"/>
    </row>
    <row r="16311">
      <c r="D16311" s="39"/>
      <c r="E16311" s="39"/>
      <c r="F16311" s="39"/>
    </row>
    <row r="16312">
      <c r="D16312" s="39"/>
      <c r="E16312" s="39"/>
      <c r="F16312" s="39"/>
    </row>
    <row r="16313">
      <c r="D16313" s="39"/>
      <c r="E16313" s="39"/>
      <c r="F16313" s="39"/>
    </row>
    <row r="16314">
      <c r="D16314" s="39"/>
      <c r="E16314" s="39"/>
      <c r="F16314" s="39"/>
    </row>
    <row r="16315">
      <c r="D16315" s="39"/>
      <c r="E16315" s="39"/>
      <c r="F16315" s="39"/>
    </row>
    <row r="16316">
      <c r="D16316" s="39"/>
      <c r="E16316" s="39"/>
      <c r="F16316" s="39"/>
    </row>
    <row r="16317">
      <c r="D16317" s="39"/>
      <c r="E16317" s="39"/>
      <c r="F16317" s="39"/>
    </row>
    <row r="16318">
      <c r="D16318" s="39"/>
      <c r="E16318" s="39"/>
      <c r="F16318" s="39"/>
    </row>
    <row r="16319">
      <c r="D16319" s="39"/>
      <c r="E16319" s="39"/>
      <c r="F16319" s="39"/>
    </row>
    <row r="16320">
      <c r="D16320" s="39"/>
      <c r="E16320" s="39"/>
      <c r="F16320" s="39"/>
    </row>
    <row r="16321">
      <c r="D16321" s="39"/>
      <c r="E16321" s="39"/>
      <c r="F16321" s="39"/>
    </row>
    <row r="16322">
      <c r="D16322" s="39"/>
      <c r="E16322" s="39"/>
      <c r="F16322" s="39"/>
    </row>
    <row r="16323">
      <c r="D16323" s="39"/>
      <c r="E16323" s="39"/>
      <c r="F16323" s="39"/>
    </row>
    <row r="16324">
      <c r="D16324" s="39"/>
      <c r="E16324" s="39"/>
      <c r="F16324" s="39"/>
    </row>
    <row r="16325">
      <c r="D16325" s="39"/>
      <c r="E16325" s="39"/>
      <c r="F16325" s="39"/>
    </row>
    <row r="16326">
      <c r="D16326" s="39"/>
      <c r="E16326" s="39"/>
      <c r="F16326" s="39"/>
    </row>
    <row r="16327">
      <c r="D16327" s="39"/>
      <c r="E16327" s="39"/>
      <c r="F16327" s="39"/>
    </row>
    <row r="16328">
      <c r="D16328" s="39"/>
      <c r="E16328" s="39"/>
      <c r="F16328" s="39"/>
    </row>
    <row r="16329">
      <c r="D16329" s="39"/>
      <c r="E16329" s="39"/>
      <c r="F16329" s="39"/>
    </row>
    <row r="16330">
      <c r="D16330" s="39"/>
      <c r="E16330" s="39"/>
      <c r="F16330" s="39"/>
    </row>
    <row r="16331">
      <c r="D16331" s="39"/>
      <c r="E16331" s="39"/>
      <c r="F16331" s="39"/>
    </row>
    <row r="16332">
      <c r="D16332" s="39"/>
      <c r="E16332" s="39"/>
      <c r="F16332" s="39"/>
    </row>
    <row r="16333">
      <c r="D16333" s="39"/>
      <c r="E16333" s="39"/>
      <c r="F16333" s="39"/>
    </row>
    <row r="16334">
      <c r="D16334" s="39"/>
      <c r="E16334" s="39"/>
      <c r="F16334" s="39"/>
    </row>
    <row r="16335">
      <c r="D16335" s="39"/>
      <c r="E16335" s="39"/>
      <c r="F16335" s="39"/>
    </row>
    <row r="16336">
      <c r="D16336" s="39"/>
      <c r="E16336" s="39"/>
      <c r="F16336" s="39"/>
    </row>
    <row r="16337">
      <c r="D16337" s="39"/>
      <c r="E16337" s="39"/>
      <c r="F16337" s="39"/>
    </row>
    <row r="16338">
      <c r="D16338" s="39"/>
      <c r="E16338" s="39"/>
      <c r="F16338" s="39"/>
    </row>
    <row r="16339">
      <c r="D16339" s="39"/>
      <c r="E16339" s="39"/>
      <c r="F16339" s="39"/>
    </row>
    <row r="16340">
      <c r="D16340" s="39"/>
      <c r="E16340" s="39"/>
      <c r="F16340" s="39"/>
    </row>
    <row r="16341">
      <c r="D16341" s="39"/>
      <c r="E16341" s="39"/>
      <c r="F16341" s="39"/>
    </row>
    <row r="16342">
      <c r="D16342" s="39"/>
      <c r="E16342" s="39"/>
      <c r="F16342" s="39"/>
    </row>
    <row r="16343">
      <c r="D16343" s="39"/>
      <c r="E16343" s="39"/>
      <c r="F16343" s="39"/>
    </row>
    <row r="16344">
      <c r="D16344" s="39"/>
      <c r="E16344" s="39"/>
      <c r="F16344" s="39"/>
    </row>
    <row r="16345">
      <c r="D16345" s="39"/>
      <c r="E16345" s="39"/>
      <c r="F16345" s="39"/>
    </row>
    <row r="16346">
      <c r="D16346" s="39"/>
      <c r="E16346" s="39"/>
      <c r="F16346" s="39"/>
    </row>
    <row r="16347">
      <c r="D16347" s="39"/>
      <c r="E16347" s="39"/>
      <c r="F16347" s="39"/>
    </row>
    <row r="16348">
      <c r="D16348" s="39"/>
      <c r="E16348" s="39"/>
      <c r="F16348" s="39"/>
    </row>
    <row r="16349">
      <c r="D16349" s="39"/>
      <c r="E16349" s="39"/>
      <c r="F16349" s="39"/>
    </row>
    <row r="16350">
      <c r="D16350" s="39"/>
      <c r="E16350" s="39"/>
      <c r="F16350" s="39"/>
    </row>
    <row r="16351">
      <c r="D16351" s="39"/>
      <c r="E16351" s="39"/>
      <c r="F16351" s="39"/>
    </row>
    <row r="16352">
      <c r="D16352" s="39"/>
      <c r="E16352" s="39"/>
      <c r="F16352" s="39"/>
    </row>
    <row r="16353">
      <c r="D16353" s="39"/>
      <c r="E16353" s="39"/>
      <c r="F16353" s="39"/>
    </row>
    <row r="16354">
      <c r="D16354" s="39"/>
      <c r="E16354" s="39"/>
      <c r="F16354" s="39"/>
    </row>
    <row r="16355">
      <c r="D16355" s="39"/>
      <c r="E16355" s="39"/>
      <c r="F16355" s="39"/>
    </row>
    <row r="16356">
      <c r="D16356" s="39"/>
      <c r="E16356" s="39"/>
      <c r="F16356" s="39"/>
    </row>
    <row r="16357">
      <c r="D16357" s="39"/>
      <c r="E16357" s="39"/>
      <c r="F16357" s="39"/>
    </row>
    <row r="16358">
      <c r="D16358" s="39"/>
      <c r="E16358" s="39"/>
      <c r="F16358" s="39"/>
    </row>
    <row r="16359">
      <c r="D16359" s="39"/>
      <c r="E16359" s="39"/>
      <c r="F16359" s="39"/>
    </row>
    <row r="16360">
      <c r="D16360" s="39"/>
      <c r="E16360" s="39"/>
      <c r="F16360" s="39"/>
    </row>
    <row r="16361">
      <c r="D16361" s="39"/>
      <c r="E16361" s="39"/>
      <c r="F16361" s="39"/>
    </row>
    <row r="16362">
      <c r="D16362" s="39"/>
      <c r="E16362" s="39"/>
      <c r="F16362" s="39"/>
    </row>
    <row r="16363">
      <c r="D16363" s="39"/>
      <c r="E16363" s="39"/>
      <c r="F16363" s="39"/>
    </row>
    <row r="16364">
      <c r="D16364" s="39"/>
      <c r="E16364" s="39"/>
      <c r="F16364" s="39"/>
    </row>
    <row r="16365">
      <c r="D16365" s="39"/>
      <c r="E16365" s="39"/>
      <c r="F16365" s="39"/>
    </row>
    <row r="16366">
      <c r="D16366" s="39"/>
      <c r="E16366" s="39"/>
      <c r="F16366" s="39"/>
    </row>
    <row r="16367">
      <c r="D16367" s="39"/>
      <c r="E16367" s="39"/>
      <c r="F16367" s="39"/>
    </row>
    <row r="16368">
      <c r="D16368" s="39"/>
      <c r="E16368" s="39"/>
      <c r="F16368" s="39"/>
    </row>
    <row r="16369">
      <c r="D16369" s="39"/>
      <c r="E16369" s="39"/>
      <c r="F16369" s="39"/>
    </row>
    <row r="16370">
      <c r="D16370" s="39"/>
      <c r="E16370" s="39"/>
      <c r="F16370" s="39"/>
    </row>
    <row r="16371">
      <c r="D16371" s="39"/>
      <c r="E16371" s="39"/>
      <c r="F16371" s="39"/>
    </row>
    <row r="16372">
      <c r="D16372" s="39"/>
      <c r="E16372" s="39"/>
      <c r="F16372" s="39"/>
    </row>
    <row r="16373">
      <c r="D16373" s="39"/>
      <c r="E16373" s="39"/>
      <c r="F16373" s="39"/>
    </row>
    <row r="16374">
      <c r="D16374" s="39"/>
      <c r="E16374" s="39"/>
      <c r="F16374" s="39"/>
    </row>
    <row r="16375">
      <c r="D16375" s="39"/>
      <c r="E16375" s="39"/>
      <c r="F16375" s="39"/>
    </row>
    <row r="16376">
      <c r="D16376" s="39"/>
      <c r="E16376" s="39"/>
      <c r="F16376" s="39"/>
    </row>
    <row r="16377">
      <c r="D16377" s="39"/>
      <c r="E16377" s="39"/>
      <c r="F16377" s="39"/>
    </row>
    <row r="16378">
      <c r="D16378" s="39"/>
      <c r="E16378" s="39"/>
      <c r="F16378" s="39"/>
    </row>
    <row r="16379">
      <c r="D16379" s="39"/>
      <c r="E16379" s="39"/>
      <c r="F16379" s="39"/>
    </row>
    <row r="16380">
      <c r="D16380" s="39"/>
      <c r="E16380" s="39"/>
      <c r="F16380" s="39"/>
    </row>
    <row r="16381">
      <c r="D16381" s="39"/>
      <c r="E16381" s="39"/>
      <c r="F16381" s="39"/>
    </row>
    <row r="16382">
      <c r="D16382" s="39"/>
      <c r="E16382" s="39"/>
      <c r="F16382" s="39"/>
    </row>
    <row r="16383">
      <c r="D16383" s="39"/>
      <c r="E16383" s="39"/>
      <c r="F16383" s="39"/>
    </row>
    <row r="16384">
      <c r="D16384" s="39"/>
      <c r="E16384" s="39"/>
      <c r="F16384" s="39"/>
    </row>
    <row r="16385">
      <c r="D16385" s="39"/>
      <c r="E16385" s="39"/>
      <c r="F16385" s="39"/>
    </row>
    <row r="16386">
      <c r="D16386" s="39"/>
      <c r="E16386" s="39"/>
      <c r="F16386" s="39"/>
    </row>
    <row r="16387">
      <c r="D16387" s="39"/>
      <c r="E16387" s="39"/>
      <c r="F16387" s="39"/>
    </row>
    <row r="16388">
      <c r="D16388" s="39"/>
      <c r="E16388" s="39"/>
      <c r="F16388" s="39"/>
    </row>
    <row r="16389">
      <c r="D16389" s="39"/>
      <c r="E16389" s="39"/>
      <c r="F16389" s="39"/>
    </row>
    <row r="16390">
      <c r="D16390" s="39"/>
      <c r="E16390" s="39"/>
      <c r="F16390" s="39"/>
    </row>
    <row r="16391">
      <c r="D16391" s="39"/>
      <c r="E16391" s="39"/>
      <c r="F16391" s="39"/>
    </row>
    <row r="16392">
      <c r="D16392" s="39"/>
      <c r="E16392" s="39"/>
      <c r="F16392" s="39"/>
    </row>
    <row r="16393">
      <c r="D16393" s="39"/>
      <c r="E16393" s="39"/>
      <c r="F16393" s="39"/>
    </row>
    <row r="16394">
      <c r="D16394" s="39"/>
      <c r="E16394" s="39"/>
      <c r="F16394" s="39"/>
    </row>
    <row r="16395">
      <c r="D16395" s="39"/>
      <c r="E16395" s="39"/>
      <c r="F16395" s="39"/>
    </row>
    <row r="16396">
      <c r="D16396" s="39"/>
      <c r="E16396" s="39"/>
      <c r="F16396" s="39"/>
    </row>
    <row r="16397">
      <c r="D16397" s="39"/>
      <c r="E16397" s="39"/>
      <c r="F16397" s="39"/>
    </row>
    <row r="16398">
      <c r="D16398" s="39"/>
      <c r="E16398" s="39"/>
      <c r="F16398" s="39"/>
    </row>
    <row r="16399">
      <c r="D16399" s="39"/>
      <c r="E16399" s="39"/>
      <c r="F16399" s="39"/>
    </row>
    <row r="16400">
      <c r="D16400" s="39"/>
      <c r="E16400" s="39"/>
      <c r="F16400" s="39"/>
    </row>
    <row r="16401">
      <c r="D16401" s="39"/>
      <c r="E16401" s="39"/>
      <c r="F16401" s="39"/>
    </row>
    <row r="16402">
      <c r="D16402" s="39"/>
      <c r="E16402" s="39"/>
      <c r="F16402" s="39"/>
    </row>
    <row r="16403">
      <c r="D16403" s="39"/>
      <c r="E16403" s="39"/>
      <c r="F16403" s="39"/>
    </row>
    <row r="16404">
      <c r="D16404" s="39"/>
      <c r="E16404" s="39"/>
      <c r="F16404" s="39"/>
    </row>
    <row r="16405">
      <c r="D16405" s="39"/>
      <c r="E16405" s="39"/>
      <c r="F16405" s="39"/>
    </row>
    <row r="16406">
      <c r="D16406" s="39"/>
      <c r="E16406" s="39"/>
      <c r="F16406" s="39"/>
    </row>
    <row r="16407">
      <c r="D16407" s="39"/>
      <c r="E16407" s="39"/>
      <c r="F16407" s="39"/>
    </row>
    <row r="16408">
      <c r="D16408" s="39"/>
      <c r="E16408" s="39"/>
      <c r="F16408" s="39"/>
    </row>
    <row r="16409">
      <c r="D16409" s="39"/>
      <c r="E16409" s="39"/>
      <c r="F16409" s="39"/>
    </row>
    <row r="16410">
      <c r="D16410" s="39"/>
      <c r="E16410" s="39"/>
      <c r="F16410" s="39"/>
    </row>
    <row r="16411">
      <c r="D16411" s="39"/>
      <c r="E16411" s="39"/>
      <c r="F16411" s="39"/>
    </row>
    <row r="16412">
      <c r="D16412" s="39"/>
      <c r="E16412" s="39"/>
      <c r="F16412" s="39"/>
    </row>
    <row r="16413">
      <c r="D16413" s="39"/>
      <c r="E16413" s="39"/>
      <c r="F16413" s="39"/>
    </row>
    <row r="16414">
      <c r="D16414" s="39"/>
      <c r="E16414" s="39"/>
      <c r="F16414" s="39"/>
    </row>
    <row r="16415">
      <c r="D16415" s="39"/>
      <c r="E16415" s="39"/>
      <c r="F16415" s="39"/>
    </row>
    <row r="16416">
      <c r="D16416" s="39"/>
      <c r="E16416" s="39"/>
      <c r="F16416" s="39"/>
    </row>
    <row r="16417">
      <c r="D16417" s="39"/>
      <c r="E16417" s="39"/>
      <c r="F16417" s="39"/>
    </row>
    <row r="16418">
      <c r="D16418" s="39"/>
      <c r="E16418" s="39"/>
      <c r="F16418" s="39"/>
    </row>
    <row r="16419">
      <c r="D16419" s="39"/>
      <c r="E16419" s="39"/>
      <c r="F16419" s="39"/>
    </row>
    <row r="16420">
      <c r="D16420" s="39"/>
      <c r="E16420" s="39"/>
      <c r="F16420" s="39"/>
    </row>
    <row r="16421">
      <c r="D16421" s="39"/>
      <c r="E16421" s="39"/>
      <c r="F16421" s="39"/>
    </row>
    <row r="16422">
      <c r="D16422" s="39"/>
      <c r="E16422" s="39"/>
      <c r="F16422" s="39"/>
    </row>
    <row r="16423">
      <c r="D16423" s="39"/>
      <c r="E16423" s="39"/>
      <c r="F16423" s="39"/>
    </row>
    <row r="16424">
      <c r="D16424" s="39"/>
      <c r="E16424" s="39"/>
      <c r="F16424" s="39"/>
    </row>
    <row r="16425">
      <c r="D16425" s="39"/>
      <c r="E16425" s="39"/>
      <c r="F16425" s="39"/>
    </row>
    <row r="16426">
      <c r="D16426" s="39"/>
      <c r="E16426" s="39"/>
      <c r="F16426" s="39"/>
    </row>
    <row r="16427">
      <c r="D16427" s="39"/>
      <c r="E16427" s="39"/>
      <c r="F16427" s="39"/>
    </row>
    <row r="16428">
      <c r="D16428" s="39"/>
      <c r="E16428" s="39"/>
      <c r="F16428" s="39"/>
    </row>
    <row r="16429">
      <c r="D16429" s="39"/>
      <c r="E16429" s="39"/>
      <c r="F16429" s="39"/>
    </row>
    <row r="16430">
      <c r="D16430" s="39"/>
      <c r="E16430" s="39"/>
      <c r="F16430" s="39"/>
    </row>
    <row r="16431">
      <c r="D16431" s="39"/>
      <c r="E16431" s="39"/>
      <c r="F16431" s="39"/>
    </row>
    <row r="16432">
      <c r="D16432" s="39"/>
      <c r="E16432" s="39"/>
      <c r="F16432" s="39"/>
    </row>
    <row r="16433">
      <c r="D16433" s="39"/>
      <c r="E16433" s="39"/>
      <c r="F16433" s="39"/>
    </row>
    <row r="16434">
      <c r="D16434" s="39"/>
      <c r="E16434" s="39"/>
      <c r="F16434" s="39"/>
    </row>
    <row r="16435">
      <c r="D16435" s="39"/>
      <c r="E16435" s="39"/>
      <c r="F16435" s="39"/>
    </row>
    <row r="16436">
      <c r="D16436" s="39"/>
      <c r="E16436" s="39"/>
      <c r="F16436" s="39"/>
    </row>
    <row r="16437">
      <c r="D16437" s="39"/>
      <c r="E16437" s="39"/>
      <c r="F16437" s="39"/>
    </row>
    <row r="16438">
      <c r="D16438" s="39"/>
      <c r="E16438" s="39"/>
      <c r="F16438" s="39"/>
    </row>
    <row r="16439">
      <c r="D16439" s="39"/>
      <c r="E16439" s="39"/>
      <c r="F16439" s="39"/>
    </row>
    <row r="16440">
      <c r="D16440" s="39"/>
      <c r="E16440" s="39"/>
      <c r="F16440" s="39"/>
    </row>
    <row r="16441">
      <c r="D16441" s="39"/>
      <c r="E16441" s="39"/>
      <c r="F16441" s="39"/>
    </row>
    <row r="16442">
      <c r="D16442" s="39"/>
      <c r="E16442" s="39"/>
      <c r="F16442" s="39"/>
    </row>
    <row r="16443">
      <c r="D16443" s="39"/>
      <c r="E16443" s="39"/>
      <c r="F16443" s="39"/>
    </row>
    <row r="16444">
      <c r="D16444" s="39"/>
      <c r="E16444" s="39"/>
      <c r="F16444" s="39"/>
    </row>
    <row r="16445">
      <c r="D16445" s="39"/>
      <c r="E16445" s="39"/>
      <c r="F16445" s="39"/>
    </row>
    <row r="16446">
      <c r="D16446" s="39"/>
      <c r="E16446" s="39"/>
      <c r="F16446" s="39"/>
    </row>
    <row r="16447">
      <c r="D16447" s="39"/>
      <c r="E16447" s="39"/>
      <c r="F16447" s="39"/>
    </row>
    <row r="16448">
      <c r="D16448" s="39"/>
      <c r="E16448" s="39"/>
      <c r="F16448" s="39"/>
    </row>
    <row r="16449">
      <c r="D16449" s="39"/>
      <c r="E16449" s="39"/>
      <c r="F16449" s="39"/>
    </row>
    <row r="16450">
      <c r="D16450" s="39"/>
      <c r="E16450" s="39"/>
      <c r="F16450" s="39"/>
    </row>
    <row r="16451">
      <c r="D16451" s="39"/>
      <c r="E16451" s="39"/>
      <c r="F16451" s="39"/>
    </row>
    <row r="16452">
      <c r="D16452" s="39"/>
      <c r="E16452" s="39"/>
      <c r="F16452" s="39"/>
    </row>
    <row r="16453">
      <c r="D16453" s="39"/>
      <c r="E16453" s="39"/>
      <c r="F16453" s="39"/>
    </row>
    <row r="16454">
      <c r="D16454" s="39"/>
      <c r="E16454" s="39"/>
      <c r="F16454" s="39"/>
    </row>
    <row r="16455">
      <c r="D16455" s="39"/>
      <c r="E16455" s="39"/>
      <c r="F16455" s="39"/>
    </row>
    <row r="16456">
      <c r="D16456" s="39"/>
      <c r="E16456" s="39"/>
      <c r="F16456" s="39"/>
    </row>
    <row r="16457">
      <c r="D16457" s="39"/>
      <c r="E16457" s="39"/>
      <c r="F16457" s="39"/>
    </row>
    <row r="16458">
      <c r="D16458" s="39"/>
      <c r="E16458" s="39"/>
      <c r="F16458" s="39"/>
    </row>
    <row r="16459">
      <c r="D16459" s="39"/>
      <c r="E16459" s="39"/>
      <c r="F16459" s="39"/>
    </row>
    <row r="16460">
      <c r="D16460" s="39"/>
      <c r="E16460" s="39"/>
      <c r="F16460" s="39"/>
    </row>
    <row r="16461">
      <c r="D16461" s="39"/>
      <c r="E16461" s="39"/>
      <c r="F16461" s="39"/>
    </row>
    <row r="16462">
      <c r="D16462" s="39"/>
      <c r="E16462" s="39"/>
      <c r="F16462" s="39"/>
    </row>
    <row r="16463">
      <c r="D16463" s="39"/>
      <c r="E16463" s="39"/>
      <c r="F16463" s="39"/>
    </row>
    <row r="16464">
      <c r="D16464" s="39"/>
      <c r="E16464" s="39"/>
      <c r="F16464" s="39"/>
    </row>
    <row r="16465">
      <c r="D16465" s="39"/>
      <c r="E16465" s="39"/>
      <c r="F16465" s="39"/>
    </row>
    <row r="16466">
      <c r="D16466" s="39"/>
      <c r="E16466" s="39"/>
      <c r="F16466" s="39"/>
    </row>
    <row r="16467">
      <c r="D16467" s="39"/>
      <c r="E16467" s="39"/>
      <c r="F16467" s="39"/>
    </row>
    <row r="16468">
      <c r="D16468" s="39"/>
      <c r="E16468" s="39"/>
      <c r="F16468" s="39"/>
    </row>
    <row r="16469">
      <c r="D16469" s="39"/>
      <c r="E16469" s="39"/>
      <c r="F16469" s="39"/>
    </row>
    <row r="16470">
      <c r="D16470" s="39"/>
      <c r="E16470" s="39"/>
      <c r="F16470" s="39"/>
    </row>
    <row r="16471">
      <c r="D16471" s="39"/>
      <c r="E16471" s="39"/>
      <c r="F16471" s="39"/>
    </row>
    <row r="16472">
      <c r="D16472" s="39"/>
      <c r="E16472" s="39"/>
      <c r="F16472" s="39"/>
    </row>
    <row r="16473">
      <c r="D16473" s="39"/>
      <c r="E16473" s="39"/>
      <c r="F16473" s="39"/>
    </row>
    <row r="16474">
      <c r="D16474" s="39"/>
      <c r="E16474" s="39"/>
      <c r="F16474" s="39"/>
    </row>
    <row r="16475">
      <c r="D16475" s="39"/>
      <c r="E16475" s="39"/>
      <c r="F16475" s="39"/>
    </row>
    <row r="16476">
      <c r="D16476" s="39"/>
      <c r="E16476" s="39"/>
      <c r="F16476" s="39"/>
    </row>
    <row r="16477">
      <c r="D16477" s="39"/>
      <c r="E16477" s="39"/>
      <c r="F16477" s="39"/>
    </row>
    <row r="16478">
      <c r="D16478" s="39"/>
      <c r="E16478" s="39"/>
      <c r="F16478" s="39"/>
    </row>
    <row r="16479">
      <c r="D16479" s="39"/>
      <c r="E16479" s="39"/>
      <c r="F16479" s="39"/>
    </row>
    <row r="16480">
      <c r="D16480" s="39"/>
      <c r="E16480" s="39"/>
      <c r="F16480" s="39"/>
    </row>
    <row r="16481">
      <c r="D16481" s="39"/>
      <c r="E16481" s="39"/>
      <c r="F16481" s="39"/>
    </row>
    <row r="16482">
      <c r="D16482" s="39"/>
      <c r="E16482" s="39"/>
      <c r="F16482" s="39"/>
    </row>
    <row r="16483">
      <c r="D16483" s="39"/>
      <c r="E16483" s="39"/>
      <c r="F16483" s="39"/>
    </row>
    <row r="16484">
      <c r="D16484" s="39"/>
      <c r="E16484" s="39"/>
      <c r="F16484" s="39"/>
    </row>
    <row r="16485">
      <c r="D16485" s="39"/>
      <c r="E16485" s="39"/>
      <c r="F16485" s="39"/>
    </row>
    <row r="16486">
      <c r="D16486" s="39"/>
      <c r="E16486" s="39"/>
      <c r="F16486" s="39"/>
    </row>
    <row r="16487">
      <c r="D16487" s="39"/>
      <c r="E16487" s="39"/>
      <c r="F16487" s="39"/>
    </row>
    <row r="16488">
      <c r="D16488" s="39"/>
      <c r="E16488" s="39"/>
      <c r="F16488" s="39"/>
    </row>
    <row r="16489">
      <c r="D16489" s="39"/>
      <c r="E16489" s="39"/>
      <c r="F16489" s="39"/>
    </row>
    <row r="16490">
      <c r="D16490" s="39"/>
      <c r="E16490" s="39"/>
      <c r="F16490" s="39"/>
    </row>
    <row r="16491">
      <c r="D16491" s="39"/>
      <c r="E16491" s="39"/>
      <c r="F16491" s="39"/>
    </row>
    <row r="16492">
      <c r="D16492" s="39"/>
      <c r="E16492" s="39"/>
      <c r="F16492" s="39"/>
    </row>
    <row r="16493">
      <c r="D16493" s="39"/>
      <c r="E16493" s="39"/>
      <c r="F16493" s="39"/>
    </row>
    <row r="16494">
      <c r="D16494" s="39"/>
      <c r="E16494" s="39"/>
      <c r="F16494" s="39"/>
    </row>
    <row r="16495">
      <c r="D16495" s="39"/>
      <c r="E16495" s="39"/>
      <c r="F16495" s="39"/>
    </row>
    <row r="16496">
      <c r="D16496" s="39"/>
      <c r="E16496" s="39"/>
      <c r="F16496" s="39"/>
    </row>
    <row r="16497">
      <c r="D16497" s="39"/>
      <c r="E16497" s="39"/>
      <c r="F16497" s="39"/>
    </row>
    <row r="16498">
      <c r="D16498" s="39"/>
      <c r="E16498" s="39"/>
      <c r="F16498" s="39"/>
    </row>
    <row r="16499">
      <c r="D16499" s="39"/>
      <c r="E16499" s="39"/>
      <c r="F16499" s="39"/>
    </row>
    <row r="16500">
      <c r="D16500" s="39"/>
      <c r="E16500" s="39"/>
      <c r="F16500" s="39"/>
    </row>
    <row r="16501">
      <c r="D16501" s="39"/>
      <c r="E16501" s="39"/>
      <c r="F16501" s="39"/>
    </row>
    <row r="16502">
      <c r="D16502" s="39"/>
      <c r="E16502" s="39"/>
      <c r="F16502" s="39"/>
    </row>
    <row r="16503">
      <c r="D16503" s="39"/>
      <c r="E16503" s="39"/>
      <c r="F16503" s="39"/>
    </row>
    <row r="16504">
      <c r="D16504" s="39"/>
      <c r="E16504" s="39"/>
      <c r="F16504" s="39"/>
    </row>
    <row r="16505">
      <c r="D16505" s="39"/>
      <c r="E16505" s="39"/>
      <c r="F16505" s="39"/>
    </row>
    <row r="16506">
      <c r="D16506" s="39"/>
      <c r="E16506" s="39"/>
      <c r="F16506" s="39"/>
    </row>
    <row r="16507">
      <c r="D16507" s="39"/>
      <c r="E16507" s="39"/>
      <c r="F16507" s="39"/>
    </row>
    <row r="16508">
      <c r="D16508" s="39"/>
      <c r="E16508" s="39"/>
      <c r="F16508" s="39"/>
    </row>
    <row r="16509">
      <c r="D16509" s="39"/>
      <c r="E16509" s="39"/>
      <c r="F16509" s="39"/>
    </row>
    <row r="16510">
      <c r="D16510" s="39"/>
      <c r="E16510" s="39"/>
      <c r="F16510" s="39"/>
    </row>
    <row r="16511">
      <c r="D16511" s="39"/>
      <c r="E16511" s="39"/>
      <c r="F16511" s="39"/>
    </row>
    <row r="16512">
      <c r="D16512" s="39"/>
      <c r="E16512" s="39"/>
      <c r="F16512" s="39"/>
    </row>
    <row r="16513">
      <c r="D16513" s="39"/>
      <c r="E16513" s="39"/>
      <c r="F16513" s="39"/>
    </row>
    <row r="16514">
      <c r="D16514" s="39"/>
      <c r="E16514" s="39"/>
      <c r="F16514" s="39"/>
    </row>
    <row r="16515">
      <c r="D16515" s="39"/>
      <c r="E16515" s="39"/>
      <c r="F16515" s="39"/>
    </row>
    <row r="16516">
      <c r="D16516" s="39"/>
      <c r="E16516" s="39"/>
      <c r="F16516" s="39"/>
    </row>
    <row r="16517">
      <c r="D16517" s="39"/>
      <c r="E16517" s="39"/>
      <c r="F16517" s="39"/>
    </row>
    <row r="16518">
      <c r="D16518" s="39"/>
      <c r="E16518" s="39"/>
      <c r="F16518" s="39"/>
    </row>
    <row r="16519">
      <c r="D16519" s="39"/>
      <c r="E16519" s="39"/>
      <c r="F16519" s="39"/>
    </row>
    <row r="16520">
      <c r="D16520" s="39"/>
      <c r="E16520" s="39"/>
      <c r="F16520" s="39"/>
    </row>
    <row r="16521">
      <c r="D16521" s="39"/>
      <c r="E16521" s="39"/>
      <c r="F16521" s="39"/>
    </row>
    <row r="16522">
      <c r="D16522" s="39"/>
      <c r="E16522" s="39"/>
      <c r="F16522" s="39"/>
    </row>
    <row r="16523">
      <c r="D16523" s="39"/>
      <c r="E16523" s="39"/>
      <c r="F16523" s="39"/>
    </row>
    <row r="16524">
      <c r="D16524" s="39"/>
      <c r="E16524" s="39"/>
      <c r="F16524" s="39"/>
    </row>
    <row r="16525">
      <c r="D16525" s="39"/>
      <c r="E16525" s="39"/>
      <c r="F16525" s="39"/>
    </row>
    <row r="16526">
      <c r="D16526" s="39"/>
      <c r="E16526" s="39"/>
      <c r="F16526" s="39"/>
    </row>
    <row r="16527">
      <c r="D16527" s="39"/>
      <c r="E16527" s="39"/>
      <c r="F16527" s="39"/>
    </row>
    <row r="16528">
      <c r="D16528" s="39"/>
      <c r="E16528" s="39"/>
      <c r="F16528" s="39"/>
    </row>
    <row r="16529">
      <c r="D16529" s="39"/>
      <c r="E16529" s="39"/>
      <c r="F16529" s="39"/>
    </row>
    <row r="16530">
      <c r="D16530" s="39"/>
      <c r="E16530" s="39"/>
      <c r="F16530" s="39"/>
    </row>
    <row r="16531">
      <c r="D16531" s="39"/>
      <c r="E16531" s="39"/>
      <c r="F16531" s="39"/>
    </row>
    <row r="16532">
      <c r="D16532" s="39"/>
      <c r="E16532" s="39"/>
      <c r="F16532" s="39"/>
    </row>
    <row r="16533">
      <c r="D16533" s="39"/>
      <c r="E16533" s="39"/>
      <c r="F16533" s="39"/>
    </row>
    <row r="16534">
      <c r="D16534" s="39"/>
      <c r="E16534" s="39"/>
      <c r="F16534" s="39"/>
    </row>
    <row r="16535">
      <c r="D16535" s="39"/>
      <c r="E16535" s="39"/>
      <c r="F16535" s="39"/>
    </row>
    <row r="16536">
      <c r="D16536" s="39"/>
      <c r="E16536" s="39"/>
      <c r="F16536" s="39"/>
    </row>
    <row r="16537">
      <c r="D16537" s="39"/>
      <c r="E16537" s="39"/>
      <c r="F16537" s="39"/>
    </row>
    <row r="16538">
      <c r="D16538" s="39"/>
      <c r="E16538" s="39"/>
      <c r="F16538" s="39"/>
    </row>
    <row r="16539">
      <c r="D16539" s="39"/>
      <c r="E16539" s="39"/>
      <c r="F16539" s="39"/>
    </row>
    <row r="16540">
      <c r="D16540" s="39"/>
      <c r="E16540" s="39"/>
      <c r="F16540" s="39"/>
    </row>
    <row r="16541">
      <c r="D16541" s="39"/>
      <c r="E16541" s="39"/>
      <c r="F16541" s="39"/>
    </row>
    <row r="16542">
      <c r="D16542" s="39"/>
      <c r="E16542" s="39"/>
      <c r="F16542" s="39"/>
    </row>
    <row r="16543">
      <c r="D16543" s="39"/>
      <c r="E16543" s="39"/>
      <c r="F16543" s="39"/>
    </row>
    <row r="16544">
      <c r="D16544" s="39"/>
      <c r="E16544" s="39"/>
      <c r="F16544" s="39"/>
    </row>
    <row r="16545">
      <c r="D16545" s="39"/>
      <c r="E16545" s="39"/>
      <c r="F16545" s="39"/>
    </row>
    <row r="16546">
      <c r="D16546" s="39"/>
      <c r="E16546" s="39"/>
      <c r="F16546" s="39"/>
    </row>
    <row r="16547">
      <c r="D16547" s="39"/>
      <c r="E16547" s="39"/>
      <c r="F16547" s="39"/>
    </row>
    <row r="16548">
      <c r="D16548" s="39"/>
      <c r="E16548" s="39"/>
      <c r="F16548" s="39"/>
    </row>
    <row r="16549">
      <c r="D16549" s="39"/>
      <c r="E16549" s="39"/>
      <c r="F16549" s="39"/>
    </row>
    <row r="16550">
      <c r="D16550" s="39"/>
      <c r="E16550" s="39"/>
      <c r="F16550" s="39"/>
    </row>
    <row r="16551">
      <c r="D16551" s="39"/>
      <c r="E16551" s="39"/>
      <c r="F16551" s="39"/>
    </row>
    <row r="16552">
      <c r="D16552" s="39"/>
      <c r="E16552" s="39"/>
      <c r="F16552" s="39"/>
    </row>
    <row r="16553">
      <c r="D16553" s="39"/>
      <c r="E16553" s="39"/>
      <c r="F16553" s="39"/>
    </row>
    <row r="16554">
      <c r="D16554" s="39"/>
      <c r="E16554" s="39"/>
      <c r="F16554" s="39"/>
    </row>
    <row r="16555">
      <c r="D16555" s="39"/>
      <c r="E16555" s="39"/>
      <c r="F16555" s="39"/>
    </row>
    <row r="16556">
      <c r="D16556" s="39"/>
      <c r="E16556" s="39"/>
      <c r="F16556" s="39"/>
    </row>
    <row r="16557">
      <c r="D16557" s="39"/>
      <c r="E16557" s="39"/>
      <c r="F16557" s="39"/>
    </row>
    <row r="16558">
      <c r="D16558" s="39"/>
      <c r="E16558" s="39"/>
      <c r="F16558" s="39"/>
    </row>
    <row r="16559">
      <c r="D16559" s="39"/>
      <c r="E16559" s="39"/>
      <c r="F16559" s="39"/>
    </row>
    <row r="16560">
      <c r="D16560" s="39"/>
      <c r="E16560" s="39"/>
      <c r="F16560" s="39"/>
    </row>
    <row r="16561">
      <c r="D16561" s="39"/>
      <c r="E16561" s="39"/>
      <c r="F16561" s="39"/>
    </row>
    <row r="16562">
      <c r="D16562" s="39"/>
      <c r="E16562" s="39"/>
      <c r="F16562" s="39"/>
    </row>
    <row r="16563">
      <c r="D16563" s="39"/>
      <c r="E16563" s="39"/>
      <c r="F16563" s="39"/>
    </row>
    <row r="16564">
      <c r="D16564" s="39"/>
      <c r="E16564" s="39"/>
      <c r="F16564" s="39"/>
    </row>
    <row r="16565">
      <c r="D16565" s="39"/>
      <c r="E16565" s="39"/>
      <c r="F16565" s="39"/>
    </row>
    <row r="16566">
      <c r="D16566" s="39"/>
      <c r="E16566" s="39"/>
      <c r="F16566" s="39"/>
    </row>
    <row r="16567">
      <c r="D16567" s="39"/>
      <c r="E16567" s="39"/>
      <c r="F16567" s="39"/>
    </row>
    <row r="16568">
      <c r="D16568" s="39"/>
      <c r="E16568" s="39"/>
      <c r="F16568" s="39"/>
    </row>
    <row r="16569">
      <c r="D16569" s="39"/>
      <c r="E16569" s="39"/>
      <c r="F16569" s="39"/>
    </row>
    <row r="16570">
      <c r="D16570" s="39"/>
      <c r="E16570" s="39"/>
      <c r="F16570" s="39"/>
    </row>
    <row r="16571">
      <c r="D16571" s="39"/>
      <c r="E16571" s="39"/>
      <c r="F16571" s="39"/>
    </row>
    <row r="16572">
      <c r="D16572" s="39"/>
      <c r="E16572" s="39"/>
      <c r="F16572" s="39"/>
    </row>
    <row r="16573">
      <c r="D16573" s="39"/>
      <c r="E16573" s="39"/>
      <c r="F16573" s="39"/>
    </row>
    <row r="16574">
      <c r="D16574" s="39"/>
      <c r="E16574" s="39"/>
      <c r="F16574" s="39"/>
    </row>
    <row r="16575">
      <c r="D16575" s="39"/>
      <c r="E16575" s="39"/>
      <c r="F16575" s="39"/>
    </row>
    <row r="16576">
      <c r="D16576" s="39"/>
      <c r="E16576" s="39"/>
      <c r="F16576" s="39"/>
    </row>
    <row r="16577">
      <c r="D16577" s="39"/>
      <c r="E16577" s="39"/>
      <c r="F16577" s="39"/>
    </row>
    <row r="16578">
      <c r="D16578" s="39"/>
      <c r="E16578" s="39"/>
      <c r="F16578" s="39"/>
    </row>
    <row r="16579">
      <c r="D16579" s="39"/>
      <c r="E16579" s="39"/>
      <c r="F16579" s="39"/>
    </row>
    <row r="16580">
      <c r="D16580" s="39"/>
      <c r="E16580" s="39"/>
      <c r="F16580" s="39"/>
    </row>
    <row r="16581">
      <c r="D16581" s="39"/>
      <c r="E16581" s="39"/>
      <c r="F16581" s="39"/>
    </row>
    <row r="16582">
      <c r="D16582" s="39"/>
      <c r="E16582" s="39"/>
      <c r="F16582" s="39"/>
    </row>
    <row r="16583">
      <c r="D16583" s="39"/>
      <c r="E16583" s="39"/>
      <c r="F16583" s="39"/>
    </row>
    <row r="16584">
      <c r="D16584" s="39"/>
      <c r="E16584" s="39"/>
      <c r="F16584" s="39"/>
    </row>
    <row r="16585">
      <c r="D16585" s="39"/>
      <c r="E16585" s="39"/>
      <c r="F16585" s="39"/>
    </row>
    <row r="16586">
      <c r="D16586" s="39"/>
      <c r="E16586" s="39"/>
      <c r="F16586" s="39"/>
    </row>
    <row r="16587">
      <c r="D16587" s="39"/>
      <c r="E16587" s="39"/>
      <c r="F16587" s="39"/>
    </row>
    <row r="16588">
      <c r="D16588" s="39"/>
      <c r="E16588" s="39"/>
      <c r="F16588" s="39"/>
    </row>
    <row r="16589">
      <c r="D16589" s="39"/>
      <c r="E16589" s="39"/>
      <c r="F16589" s="39"/>
    </row>
    <row r="16590">
      <c r="D16590" s="39"/>
      <c r="E16590" s="39"/>
      <c r="F16590" s="39"/>
    </row>
    <row r="16591">
      <c r="D16591" s="39"/>
      <c r="E16591" s="39"/>
      <c r="F16591" s="39"/>
    </row>
    <row r="16592">
      <c r="D16592" s="39"/>
      <c r="E16592" s="39"/>
      <c r="F16592" s="39"/>
    </row>
    <row r="16593">
      <c r="D16593" s="39"/>
      <c r="E16593" s="39"/>
      <c r="F16593" s="39"/>
    </row>
    <row r="16594">
      <c r="D16594" s="39"/>
      <c r="E16594" s="39"/>
      <c r="F16594" s="39"/>
    </row>
    <row r="16595">
      <c r="D16595" s="39"/>
      <c r="E16595" s="39"/>
      <c r="F16595" s="39"/>
    </row>
    <row r="16596">
      <c r="D16596" s="39"/>
      <c r="E16596" s="39"/>
      <c r="F16596" s="39"/>
    </row>
    <row r="16597">
      <c r="D16597" s="39"/>
      <c r="E16597" s="39"/>
      <c r="F16597" s="39"/>
    </row>
    <row r="16598">
      <c r="D16598" s="39"/>
      <c r="E16598" s="39"/>
      <c r="F16598" s="39"/>
    </row>
    <row r="16599">
      <c r="D16599" s="39"/>
      <c r="E16599" s="39"/>
      <c r="F16599" s="39"/>
    </row>
    <row r="16600">
      <c r="D16600" s="39"/>
      <c r="E16600" s="39"/>
      <c r="F16600" s="39"/>
    </row>
    <row r="16601">
      <c r="D16601" s="39"/>
      <c r="E16601" s="39"/>
      <c r="F16601" s="39"/>
    </row>
    <row r="16602">
      <c r="D16602" s="39"/>
      <c r="E16602" s="39"/>
      <c r="F16602" s="39"/>
    </row>
    <row r="16603">
      <c r="D16603" s="39"/>
      <c r="E16603" s="39"/>
      <c r="F16603" s="39"/>
    </row>
    <row r="16604">
      <c r="D16604" s="39"/>
      <c r="E16604" s="39"/>
      <c r="F16604" s="39"/>
    </row>
    <row r="16605">
      <c r="D16605" s="39"/>
      <c r="E16605" s="39"/>
      <c r="F16605" s="39"/>
    </row>
    <row r="16606">
      <c r="D16606" s="39"/>
      <c r="E16606" s="39"/>
      <c r="F16606" s="39"/>
    </row>
    <row r="16607">
      <c r="D16607" s="39"/>
      <c r="E16607" s="39"/>
      <c r="F16607" s="39"/>
    </row>
    <row r="16608">
      <c r="D16608" s="39"/>
      <c r="E16608" s="39"/>
      <c r="F16608" s="39"/>
    </row>
    <row r="16609">
      <c r="D16609" s="39"/>
      <c r="E16609" s="39"/>
      <c r="F16609" s="39"/>
    </row>
    <row r="16610">
      <c r="D16610" s="39"/>
      <c r="E16610" s="39"/>
      <c r="F16610" s="39"/>
    </row>
    <row r="16611">
      <c r="D16611" s="39"/>
      <c r="E16611" s="39"/>
      <c r="F16611" s="39"/>
    </row>
    <row r="16612">
      <c r="D16612" s="39"/>
      <c r="E16612" s="39"/>
      <c r="F16612" s="39"/>
    </row>
    <row r="16613">
      <c r="D16613" s="39"/>
      <c r="E16613" s="39"/>
      <c r="F16613" s="39"/>
    </row>
    <row r="16614">
      <c r="D16614" s="39"/>
      <c r="E16614" s="39"/>
      <c r="F16614" s="39"/>
    </row>
    <row r="16615">
      <c r="D16615" s="39"/>
      <c r="E16615" s="39"/>
      <c r="F16615" s="39"/>
    </row>
    <row r="16616">
      <c r="D16616" s="39"/>
      <c r="E16616" s="39"/>
      <c r="F16616" s="39"/>
    </row>
    <row r="16617">
      <c r="D16617" s="39"/>
      <c r="E16617" s="39"/>
      <c r="F16617" s="39"/>
    </row>
    <row r="16618">
      <c r="D16618" s="39"/>
      <c r="E16618" s="39"/>
      <c r="F16618" s="39"/>
    </row>
    <row r="16619">
      <c r="D16619" s="39"/>
      <c r="E16619" s="39"/>
      <c r="F16619" s="39"/>
    </row>
    <row r="16620">
      <c r="D16620" s="39"/>
      <c r="E16620" s="39"/>
      <c r="F16620" s="39"/>
    </row>
    <row r="16621">
      <c r="D16621" s="39"/>
      <c r="E16621" s="39"/>
      <c r="F16621" s="39"/>
    </row>
    <row r="16622">
      <c r="D16622" s="39"/>
      <c r="E16622" s="39"/>
      <c r="F16622" s="39"/>
    </row>
    <row r="16623">
      <c r="D16623" s="39"/>
      <c r="E16623" s="39"/>
      <c r="F16623" s="39"/>
    </row>
    <row r="16624">
      <c r="D16624" s="39"/>
      <c r="E16624" s="39"/>
      <c r="F16624" s="39"/>
    </row>
    <row r="16625">
      <c r="D16625" s="39"/>
      <c r="E16625" s="39"/>
      <c r="F16625" s="39"/>
    </row>
    <row r="16626">
      <c r="D16626" s="39"/>
      <c r="E16626" s="39"/>
      <c r="F16626" s="39"/>
    </row>
    <row r="16627">
      <c r="D16627" s="39"/>
      <c r="E16627" s="39"/>
      <c r="F16627" s="39"/>
    </row>
    <row r="16628">
      <c r="D16628" s="39"/>
      <c r="E16628" s="39"/>
      <c r="F16628" s="39"/>
    </row>
    <row r="16629">
      <c r="D16629" s="39"/>
      <c r="E16629" s="39"/>
      <c r="F16629" s="39"/>
    </row>
    <row r="16630">
      <c r="D16630" s="39"/>
      <c r="E16630" s="39"/>
      <c r="F16630" s="39"/>
    </row>
    <row r="16631">
      <c r="D16631" s="39"/>
      <c r="E16631" s="39"/>
      <c r="F16631" s="39"/>
    </row>
    <row r="16632">
      <c r="D16632" s="39"/>
      <c r="E16632" s="39"/>
      <c r="F16632" s="39"/>
    </row>
    <row r="16633">
      <c r="D16633" s="39"/>
      <c r="E16633" s="39"/>
      <c r="F16633" s="39"/>
    </row>
    <row r="16634">
      <c r="D16634" s="39"/>
      <c r="E16634" s="39"/>
      <c r="F16634" s="39"/>
    </row>
    <row r="16635">
      <c r="D16635" s="39"/>
      <c r="E16635" s="39"/>
      <c r="F16635" s="39"/>
    </row>
    <row r="16636">
      <c r="D16636" s="39"/>
      <c r="E16636" s="39"/>
      <c r="F16636" s="39"/>
    </row>
    <row r="16637">
      <c r="D16637" s="39"/>
      <c r="E16637" s="39"/>
      <c r="F16637" s="39"/>
    </row>
    <row r="16638">
      <c r="D16638" s="39"/>
      <c r="E16638" s="39"/>
      <c r="F16638" s="39"/>
    </row>
    <row r="16639">
      <c r="D16639" s="39"/>
      <c r="E16639" s="39"/>
      <c r="F16639" s="39"/>
    </row>
    <row r="16640">
      <c r="D16640" s="39"/>
      <c r="E16640" s="39"/>
      <c r="F16640" s="39"/>
    </row>
    <row r="16641">
      <c r="D16641" s="39"/>
      <c r="E16641" s="39"/>
      <c r="F16641" s="39"/>
    </row>
    <row r="16642">
      <c r="D16642" s="39"/>
      <c r="E16642" s="39"/>
      <c r="F16642" s="39"/>
    </row>
    <row r="16643">
      <c r="D16643" s="39"/>
      <c r="E16643" s="39"/>
      <c r="F16643" s="39"/>
    </row>
    <row r="16644">
      <c r="D16644" s="39"/>
      <c r="E16644" s="39"/>
      <c r="F16644" s="39"/>
    </row>
    <row r="16645">
      <c r="D16645" s="39"/>
      <c r="E16645" s="39"/>
      <c r="F16645" s="39"/>
    </row>
    <row r="16646">
      <c r="D16646" s="39"/>
      <c r="E16646" s="39"/>
      <c r="F16646" s="39"/>
    </row>
    <row r="16647">
      <c r="D16647" s="39"/>
      <c r="E16647" s="39"/>
      <c r="F16647" s="39"/>
    </row>
    <row r="16648">
      <c r="D16648" s="39"/>
      <c r="E16648" s="39"/>
      <c r="F16648" s="39"/>
    </row>
    <row r="16649">
      <c r="D16649" s="39"/>
      <c r="E16649" s="39"/>
      <c r="F16649" s="39"/>
    </row>
    <row r="16650">
      <c r="D16650" s="39"/>
      <c r="E16650" s="39"/>
      <c r="F16650" s="39"/>
    </row>
    <row r="16651">
      <c r="D16651" s="39"/>
      <c r="E16651" s="39"/>
      <c r="F16651" s="39"/>
    </row>
    <row r="16652">
      <c r="D16652" s="39"/>
      <c r="E16652" s="39"/>
      <c r="F16652" s="39"/>
    </row>
    <row r="16653">
      <c r="D16653" s="39"/>
      <c r="E16653" s="39"/>
      <c r="F16653" s="39"/>
    </row>
    <row r="16654">
      <c r="D16654" s="39"/>
      <c r="E16654" s="39"/>
      <c r="F16654" s="39"/>
    </row>
    <row r="16655">
      <c r="D16655" s="39"/>
      <c r="E16655" s="39"/>
      <c r="F16655" s="39"/>
    </row>
    <row r="16656">
      <c r="D16656" s="39"/>
      <c r="E16656" s="39"/>
      <c r="F16656" s="39"/>
    </row>
    <row r="16657">
      <c r="D16657" s="39"/>
      <c r="E16657" s="39"/>
      <c r="F16657" s="39"/>
    </row>
    <row r="16658">
      <c r="D16658" s="39"/>
      <c r="E16658" s="39"/>
      <c r="F16658" s="39"/>
    </row>
    <row r="16659">
      <c r="D16659" s="39"/>
      <c r="E16659" s="39"/>
      <c r="F16659" s="39"/>
    </row>
    <row r="16660">
      <c r="D16660" s="39"/>
      <c r="E16660" s="39"/>
      <c r="F16660" s="39"/>
    </row>
    <row r="16661">
      <c r="D16661" s="39"/>
      <c r="E16661" s="39"/>
      <c r="F16661" s="39"/>
    </row>
    <row r="16662">
      <c r="D16662" s="39"/>
      <c r="E16662" s="39"/>
      <c r="F16662" s="39"/>
    </row>
    <row r="16663">
      <c r="D16663" s="39"/>
      <c r="E16663" s="39"/>
      <c r="F16663" s="39"/>
    </row>
    <row r="16664">
      <c r="D16664" s="39"/>
      <c r="E16664" s="39"/>
      <c r="F16664" s="39"/>
    </row>
    <row r="16665">
      <c r="D16665" s="39"/>
      <c r="E16665" s="39"/>
      <c r="F16665" s="39"/>
    </row>
    <row r="16666">
      <c r="D16666" s="39"/>
      <c r="E16666" s="39"/>
      <c r="F16666" s="39"/>
    </row>
    <row r="16667">
      <c r="D16667" s="39"/>
      <c r="E16667" s="39"/>
      <c r="F16667" s="39"/>
    </row>
    <row r="16668">
      <c r="D16668" s="39"/>
      <c r="E16668" s="39"/>
      <c r="F16668" s="39"/>
    </row>
    <row r="16669">
      <c r="D16669" s="39"/>
      <c r="E16669" s="39"/>
      <c r="F16669" s="39"/>
    </row>
    <row r="16670">
      <c r="D16670" s="39"/>
      <c r="E16670" s="39"/>
      <c r="F16670" s="39"/>
    </row>
    <row r="16671">
      <c r="D16671" s="39"/>
      <c r="E16671" s="39"/>
      <c r="F16671" s="39"/>
    </row>
    <row r="16672">
      <c r="D16672" s="39"/>
      <c r="E16672" s="39"/>
      <c r="F16672" s="39"/>
    </row>
    <row r="16673">
      <c r="D16673" s="39"/>
      <c r="E16673" s="39"/>
      <c r="F16673" s="39"/>
    </row>
    <row r="16674">
      <c r="D16674" s="39"/>
      <c r="E16674" s="39"/>
      <c r="F16674" s="39"/>
    </row>
    <row r="16675">
      <c r="D16675" s="39"/>
      <c r="E16675" s="39"/>
      <c r="F16675" s="39"/>
    </row>
    <row r="16676">
      <c r="D16676" s="39"/>
      <c r="E16676" s="39"/>
      <c r="F16676" s="39"/>
    </row>
    <row r="16677">
      <c r="D16677" s="39"/>
      <c r="E16677" s="39"/>
      <c r="F16677" s="39"/>
    </row>
    <row r="16678">
      <c r="D16678" s="39"/>
      <c r="E16678" s="39"/>
      <c r="F16678" s="39"/>
    </row>
    <row r="16679">
      <c r="D16679" s="39"/>
      <c r="E16679" s="39"/>
      <c r="F16679" s="39"/>
    </row>
    <row r="16680">
      <c r="D16680" s="39"/>
      <c r="E16680" s="39"/>
      <c r="F16680" s="39"/>
    </row>
    <row r="16681">
      <c r="D16681" s="39"/>
      <c r="E16681" s="39"/>
      <c r="F16681" s="39"/>
    </row>
    <row r="16682">
      <c r="D16682" s="39"/>
      <c r="E16682" s="39"/>
      <c r="F16682" s="39"/>
    </row>
    <row r="16683">
      <c r="D16683" s="39"/>
      <c r="E16683" s="39"/>
      <c r="F16683" s="39"/>
    </row>
    <row r="16684">
      <c r="D16684" s="39"/>
      <c r="E16684" s="39"/>
      <c r="F16684" s="39"/>
    </row>
    <row r="16685">
      <c r="D16685" s="39"/>
      <c r="E16685" s="39"/>
      <c r="F16685" s="39"/>
    </row>
    <row r="16686">
      <c r="D16686" s="39"/>
      <c r="E16686" s="39"/>
      <c r="F16686" s="39"/>
    </row>
    <row r="16687">
      <c r="D16687" s="39"/>
      <c r="E16687" s="39"/>
      <c r="F16687" s="39"/>
    </row>
    <row r="16688">
      <c r="D16688" s="39"/>
      <c r="E16688" s="39"/>
      <c r="F16688" s="39"/>
    </row>
    <row r="16689">
      <c r="D16689" s="39"/>
      <c r="E16689" s="39"/>
      <c r="F16689" s="39"/>
    </row>
    <row r="16690">
      <c r="D16690" s="39"/>
      <c r="E16690" s="39"/>
      <c r="F16690" s="39"/>
    </row>
    <row r="16691">
      <c r="D16691" s="39"/>
      <c r="E16691" s="39"/>
      <c r="F16691" s="39"/>
    </row>
    <row r="16692">
      <c r="D16692" s="39"/>
      <c r="E16692" s="39"/>
      <c r="F16692" s="39"/>
    </row>
    <row r="16693">
      <c r="D16693" s="39"/>
      <c r="E16693" s="39"/>
      <c r="F16693" s="39"/>
    </row>
    <row r="16694">
      <c r="D16694" s="39"/>
      <c r="E16694" s="39"/>
      <c r="F16694" s="39"/>
    </row>
    <row r="16695">
      <c r="D16695" s="39"/>
      <c r="E16695" s="39"/>
      <c r="F16695" s="39"/>
    </row>
    <row r="16696">
      <c r="D16696" s="39"/>
      <c r="E16696" s="39"/>
      <c r="F16696" s="39"/>
    </row>
    <row r="16697">
      <c r="D16697" s="39"/>
      <c r="E16697" s="39"/>
      <c r="F16697" s="39"/>
    </row>
    <row r="16698">
      <c r="D16698" s="39"/>
      <c r="E16698" s="39"/>
      <c r="F16698" s="39"/>
    </row>
    <row r="16699">
      <c r="D16699" s="39"/>
      <c r="E16699" s="39"/>
      <c r="F16699" s="39"/>
    </row>
    <row r="16700">
      <c r="D16700" s="39"/>
      <c r="E16700" s="39"/>
      <c r="F16700" s="39"/>
    </row>
    <row r="16701">
      <c r="D16701" s="39"/>
      <c r="E16701" s="39"/>
      <c r="F16701" s="39"/>
    </row>
    <row r="16702">
      <c r="D16702" s="39"/>
      <c r="E16702" s="39"/>
      <c r="F16702" s="39"/>
    </row>
    <row r="16703">
      <c r="D16703" s="39"/>
      <c r="E16703" s="39"/>
      <c r="F16703" s="39"/>
    </row>
    <row r="16704">
      <c r="D16704" s="39"/>
      <c r="E16704" s="39"/>
      <c r="F16704" s="39"/>
    </row>
    <row r="16705">
      <c r="D16705" s="39"/>
      <c r="E16705" s="39"/>
      <c r="F16705" s="39"/>
    </row>
    <row r="16706">
      <c r="D16706" s="39"/>
      <c r="E16706" s="39"/>
      <c r="F16706" s="39"/>
    </row>
    <row r="16707">
      <c r="D16707" s="39"/>
      <c r="E16707" s="39"/>
      <c r="F16707" s="39"/>
    </row>
    <row r="16708">
      <c r="D16708" s="39"/>
      <c r="E16708" s="39"/>
      <c r="F16708" s="39"/>
    </row>
    <row r="16709">
      <c r="D16709" s="39"/>
      <c r="E16709" s="39"/>
      <c r="F16709" s="39"/>
    </row>
    <row r="16710">
      <c r="D16710" s="39"/>
      <c r="E16710" s="39"/>
      <c r="F16710" s="39"/>
    </row>
    <row r="16711">
      <c r="D16711" s="39"/>
      <c r="E16711" s="39"/>
      <c r="F16711" s="39"/>
    </row>
    <row r="16712">
      <c r="D16712" s="39"/>
      <c r="E16712" s="39"/>
      <c r="F16712" s="39"/>
    </row>
    <row r="16713">
      <c r="D16713" s="39"/>
      <c r="E16713" s="39"/>
      <c r="F16713" s="39"/>
    </row>
    <row r="16714">
      <c r="D16714" s="39"/>
      <c r="E16714" s="39"/>
      <c r="F16714" s="39"/>
    </row>
    <row r="16715">
      <c r="D16715" s="39"/>
      <c r="E16715" s="39"/>
      <c r="F16715" s="39"/>
    </row>
    <row r="16716">
      <c r="D16716" s="39"/>
      <c r="E16716" s="39"/>
      <c r="F16716" s="39"/>
    </row>
    <row r="16717">
      <c r="D16717" s="39"/>
      <c r="E16717" s="39"/>
      <c r="F16717" s="39"/>
    </row>
    <row r="16718">
      <c r="D16718" s="39"/>
      <c r="E16718" s="39"/>
      <c r="F16718" s="39"/>
    </row>
    <row r="16719">
      <c r="D16719" s="39"/>
      <c r="E16719" s="39"/>
      <c r="F16719" s="39"/>
    </row>
    <row r="16720">
      <c r="D16720" s="39"/>
      <c r="E16720" s="39"/>
      <c r="F16720" s="39"/>
    </row>
    <row r="16721">
      <c r="D16721" s="39"/>
      <c r="E16721" s="39"/>
      <c r="F16721" s="39"/>
    </row>
    <row r="16722">
      <c r="D16722" s="39"/>
      <c r="E16722" s="39"/>
      <c r="F16722" s="39"/>
    </row>
    <row r="16723">
      <c r="D16723" s="39"/>
      <c r="E16723" s="39"/>
      <c r="F16723" s="39"/>
    </row>
    <row r="16724">
      <c r="D16724" s="39"/>
      <c r="E16724" s="39"/>
      <c r="F16724" s="39"/>
    </row>
    <row r="16725">
      <c r="D16725" s="39"/>
      <c r="E16725" s="39"/>
      <c r="F16725" s="39"/>
    </row>
    <row r="16726">
      <c r="D16726" s="39"/>
      <c r="E16726" s="39"/>
      <c r="F16726" s="39"/>
    </row>
    <row r="16727">
      <c r="D16727" s="39"/>
      <c r="E16727" s="39"/>
      <c r="F16727" s="39"/>
    </row>
    <row r="16728">
      <c r="D16728" s="39"/>
      <c r="E16728" s="39"/>
      <c r="F16728" s="39"/>
    </row>
    <row r="16729">
      <c r="D16729" s="39"/>
      <c r="E16729" s="39"/>
      <c r="F16729" s="39"/>
    </row>
    <row r="16730">
      <c r="D16730" s="39"/>
      <c r="E16730" s="39"/>
      <c r="F16730" s="39"/>
    </row>
    <row r="16731">
      <c r="D16731" s="39"/>
      <c r="E16731" s="39"/>
      <c r="F16731" s="39"/>
    </row>
    <row r="16732">
      <c r="D16732" s="39"/>
      <c r="E16732" s="39"/>
      <c r="F16732" s="39"/>
    </row>
    <row r="16733">
      <c r="D16733" s="39"/>
      <c r="E16733" s="39"/>
      <c r="F16733" s="39"/>
    </row>
    <row r="16734">
      <c r="D16734" s="39"/>
      <c r="E16734" s="39"/>
      <c r="F16734" s="39"/>
    </row>
    <row r="16735">
      <c r="D16735" s="39"/>
      <c r="E16735" s="39"/>
      <c r="F16735" s="39"/>
    </row>
    <row r="16736">
      <c r="D16736" s="39"/>
      <c r="E16736" s="39"/>
      <c r="F16736" s="39"/>
    </row>
    <row r="16737">
      <c r="D16737" s="39"/>
      <c r="E16737" s="39"/>
      <c r="F16737" s="39"/>
    </row>
    <row r="16738">
      <c r="D16738" s="39"/>
      <c r="E16738" s="39"/>
      <c r="F16738" s="39"/>
    </row>
    <row r="16739">
      <c r="D16739" s="39"/>
      <c r="E16739" s="39"/>
      <c r="F16739" s="39"/>
    </row>
    <row r="16740">
      <c r="D16740" s="39"/>
      <c r="E16740" s="39"/>
      <c r="F16740" s="39"/>
    </row>
    <row r="16741">
      <c r="D16741" s="39"/>
      <c r="E16741" s="39"/>
      <c r="F16741" s="39"/>
    </row>
    <row r="16742">
      <c r="D16742" s="39"/>
      <c r="E16742" s="39"/>
      <c r="F16742" s="39"/>
    </row>
    <row r="16743">
      <c r="D16743" s="39"/>
      <c r="E16743" s="39"/>
      <c r="F16743" s="39"/>
    </row>
    <row r="16744">
      <c r="D16744" s="39"/>
      <c r="E16744" s="39"/>
      <c r="F16744" s="39"/>
    </row>
    <row r="16745">
      <c r="D16745" s="39"/>
      <c r="E16745" s="39"/>
      <c r="F16745" s="39"/>
    </row>
    <row r="16746">
      <c r="D16746" s="39"/>
      <c r="E16746" s="39"/>
      <c r="F16746" s="39"/>
    </row>
    <row r="16747">
      <c r="D16747" s="39"/>
      <c r="E16747" s="39"/>
      <c r="F16747" s="39"/>
    </row>
    <row r="16748">
      <c r="D16748" s="39"/>
      <c r="E16748" s="39"/>
      <c r="F16748" s="39"/>
    </row>
    <row r="16749">
      <c r="D16749" s="39"/>
      <c r="E16749" s="39"/>
      <c r="F16749" s="39"/>
    </row>
    <row r="16750">
      <c r="D16750" s="39"/>
      <c r="E16750" s="39"/>
      <c r="F16750" s="39"/>
    </row>
    <row r="16751">
      <c r="D16751" s="39"/>
      <c r="E16751" s="39"/>
      <c r="F16751" s="39"/>
    </row>
    <row r="16752">
      <c r="D16752" s="39"/>
      <c r="E16752" s="39"/>
      <c r="F16752" s="39"/>
    </row>
    <row r="16753">
      <c r="D16753" s="39"/>
      <c r="E16753" s="39"/>
      <c r="F16753" s="39"/>
    </row>
    <row r="16754">
      <c r="D16754" s="39"/>
      <c r="E16754" s="39"/>
      <c r="F16754" s="39"/>
    </row>
    <row r="16755">
      <c r="D16755" s="39"/>
      <c r="E16755" s="39"/>
      <c r="F16755" s="39"/>
    </row>
    <row r="16756">
      <c r="D16756" s="39"/>
      <c r="E16756" s="39"/>
      <c r="F16756" s="39"/>
    </row>
    <row r="16757">
      <c r="D16757" s="39"/>
      <c r="E16757" s="39"/>
      <c r="F16757" s="39"/>
    </row>
    <row r="16758">
      <c r="D16758" s="39"/>
      <c r="E16758" s="39"/>
      <c r="F16758" s="39"/>
    </row>
    <row r="16759">
      <c r="D16759" s="39"/>
      <c r="E16759" s="39"/>
      <c r="F16759" s="39"/>
    </row>
    <row r="16760">
      <c r="D16760" s="39"/>
      <c r="E16760" s="39"/>
      <c r="F16760" s="39"/>
    </row>
    <row r="16761">
      <c r="D16761" s="39"/>
      <c r="E16761" s="39"/>
      <c r="F16761" s="39"/>
    </row>
    <row r="16762">
      <c r="D16762" s="39"/>
      <c r="E16762" s="39"/>
      <c r="F16762" s="39"/>
    </row>
    <row r="16763">
      <c r="D16763" s="39"/>
      <c r="E16763" s="39"/>
      <c r="F16763" s="39"/>
    </row>
    <row r="16764">
      <c r="D16764" s="39"/>
      <c r="E16764" s="39"/>
      <c r="F16764" s="39"/>
    </row>
    <row r="16765">
      <c r="D16765" s="39"/>
      <c r="E16765" s="39"/>
      <c r="F16765" s="39"/>
    </row>
    <row r="16766">
      <c r="D16766" s="39"/>
      <c r="E16766" s="39"/>
      <c r="F16766" s="39"/>
    </row>
    <row r="16767">
      <c r="D16767" s="39"/>
      <c r="E16767" s="39"/>
      <c r="F16767" s="39"/>
    </row>
    <row r="16768">
      <c r="D16768" s="39"/>
      <c r="E16768" s="39"/>
      <c r="F16768" s="39"/>
    </row>
    <row r="16769">
      <c r="D16769" s="39"/>
      <c r="E16769" s="39"/>
      <c r="F16769" s="39"/>
    </row>
    <row r="16770">
      <c r="D16770" s="39"/>
      <c r="E16770" s="39"/>
      <c r="F16770" s="39"/>
    </row>
    <row r="16771">
      <c r="D16771" s="39"/>
      <c r="E16771" s="39"/>
      <c r="F16771" s="39"/>
    </row>
    <row r="16772">
      <c r="D16772" s="39"/>
      <c r="E16772" s="39"/>
      <c r="F16772" s="39"/>
    </row>
    <row r="16773">
      <c r="D16773" s="39"/>
      <c r="E16773" s="39"/>
      <c r="F16773" s="39"/>
    </row>
    <row r="16774">
      <c r="D16774" s="39"/>
      <c r="E16774" s="39"/>
      <c r="F16774" s="39"/>
    </row>
    <row r="16775">
      <c r="D16775" s="39"/>
      <c r="E16775" s="39"/>
      <c r="F16775" s="39"/>
    </row>
    <row r="16776">
      <c r="D16776" s="39"/>
      <c r="E16776" s="39"/>
      <c r="F16776" s="39"/>
    </row>
    <row r="16777">
      <c r="D16777" s="39"/>
      <c r="E16777" s="39"/>
      <c r="F16777" s="39"/>
    </row>
    <row r="16778">
      <c r="D16778" s="39"/>
      <c r="E16778" s="39"/>
      <c r="F16778" s="39"/>
    </row>
    <row r="16779">
      <c r="D16779" s="39"/>
      <c r="E16779" s="39"/>
      <c r="F16779" s="39"/>
    </row>
    <row r="16780">
      <c r="D16780" s="39"/>
      <c r="E16780" s="39"/>
      <c r="F16780" s="39"/>
    </row>
    <row r="16781">
      <c r="D16781" s="39"/>
      <c r="E16781" s="39"/>
      <c r="F16781" s="39"/>
    </row>
    <row r="16782">
      <c r="D16782" s="39"/>
      <c r="E16782" s="39"/>
      <c r="F16782" s="39"/>
    </row>
    <row r="16783">
      <c r="D16783" s="39"/>
      <c r="E16783" s="39"/>
      <c r="F16783" s="39"/>
    </row>
    <row r="16784">
      <c r="D16784" s="39"/>
      <c r="E16784" s="39"/>
      <c r="F16784" s="39"/>
    </row>
    <row r="16785">
      <c r="D16785" s="39"/>
      <c r="E16785" s="39"/>
      <c r="F16785" s="39"/>
    </row>
    <row r="16786">
      <c r="D16786" s="39"/>
      <c r="E16786" s="39"/>
      <c r="F16786" s="39"/>
    </row>
    <row r="16787">
      <c r="D16787" s="39"/>
      <c r="E16787" s="39"/>
      <c r="F16787" s="39"/>
    </row>
    <row r="16788">
      <c r="D16788" s="39"/>
      <c r="E16788" s="39"/>
      <c r="F16788" s="39"/>
    </row>
    <row r="16789">
      <c r="D16789" s="39"/>
      <c r="E16789" s="39"/>
      <c r="F16789" s="39"/>
    </row>
    <row r="16790">
      <c r="D16790" s="39"/>
      <c r="E16790" s="39"/>
      <c r="F16790" s="39"/>
    </row>
    <row r="16791">
      <c r="D16791" s="39"/>
      <c r="E16791" s="39"/>
      <c r="F16791" s="39"/>
    </row>
    <row r="16792">
      <c r="D16792" s="39"/>
      <c r="E16792" s="39"/>
      <c r="F16792" s="39"/>
    </row>
    <row r="16793">
      <c r="D16793" s="39"/>
      <c r="E16793" s="39"/>
      <c r="F16793" s="39"/>
    </row>
    <row r="16794">
      <c r="D16794" s="39"/>
      <c r="E16794" s="39"/>
      <c r="F16794" s="39"/>
    </row>
    <row r="16795">
      <c r="D16795" s="39"/>
      <c r="E16795" s="39"/>
      <c r="F16795" s="39"/>
    </row>
    <row r="16796">
      <c r="D16796" s="39"/>
      <c r="E16796" s="39"/>
      <c r="F16796" s="39"/>
    </row>
    <row r="16797">
      <c r="D16797" s="39"/>
      <c r="E16797" s="39"/>
      <c r="F16797" s="39"/>
    </row>
    <row r="16798">
      <c r="D16798" s="39"/>
      <c r="E16798" s="39"/>
      <c r="F16798" s="39"/>
    </row>
    <row r="16799">
      <c r="D16799" s="39"/>
      <c r="E16799" s="39"/>
      <c r="F16799" s="39"/>
    </row>
    <row r="16800">
      <c r="D16800" s="39"/>
      <c r="E16800" s="39"/>
      <c r="F16800" s="39"/>
    </row>
    <row r="16801">
      <c r="D16801" s="39"/>
      <c r="E16801" s="39"/>
      <c r="F16801" s="39"/>
    </row>
    <row r="16802">
      <c r="D16802" s="39"/>
      <c r="E16802" s="39"/>
      <c r="F16802" s="39"/>
    </row>
    <row r="16803">
      <c r="D16803" s="39"/>
      <c r="E16803" s="39"/>
      <c r="F16803" s="39"/>
    </row>
    <row r="16804">
      <c r="D16804" s="39"/>
      <c r="E16804" s="39"/>
      <c r="F16804" s="39"/>
    </row>
    <row r="16805">
      <c r="D16805" s="39"/>
      <c r="E16805" s="39"/>
      <c r="F16805" s="39"/>
    </row>
    <row r="16806">
      <c r="D16806" s="39"/>
      <c r="E16806" s="39"/>
      <c r="F16806" s="39"/>
    </row>
    <row r="16807">
      <c r="D16807" s="39"/>
      <c r="E16807" s="39"/>
      <c r="F16807" s="39"/>
    </row>
    <row r="16808">
      <c r="D16808" s="39"/>
      <c r="E16808" s="39"/>
      <c r="F16808" s="39"/>
    </row>
    <row r="16809">
      <c r="D16809" s="39"/>
      <c r="E16809" s="39"/>
      <c r="F16809" s="39"/>
    </row>
    <row r="16810">
      <c r="D16810" s="39"/>
      <c r="E16810" s="39"/>
      <c r="F16810" s="39"/>
    </row>
    <row r="16811">
      <c r="D16811" s="39"/>
      <c r="E16811" s="39"/>
      <c r="F16811" s="39"/>
    </row>
    <row r="16812">
      <c r="D16812" s="39"/>
      <c r="E16812" s="39"/>
      <c r="F16812" s="39"/>
    </row>
    <row r="16813">
      <c r="D16813" s="39"/>
      <c r="E16813" s="39"/>
      <c r="F16813" s="39"/>
    </row>
    <row r="16814">
      <c r="D16814" s="39"/>
      <c r="E16814" s="39"/>
      <c r="F16814" s="39"/>
    </row>
    <row r="16815">
      <c r="D16815" s="39"/>
      <c r="E16815" s="39"/>
      <c r="F16815" s="39"/>
    </row>
    <row r="16816">
      <c r="D16816" s="39"/>
      <c r="E16816" s="39"/>
      <c r="F16816" s="39"/>
    </row>
    <row r="16817">
      <c r="D16817" s="39"/>
      <c r="E16817" s="39"/>
      <c r="F16817" s="39"/>
    </row>
    <row r="16818">
      <c r="D16818" s="39"/>
      <c r="E16818" s="39"/>
      <c r="F16818" s="39"/>
    </row>
    <row r="16819">
      <c r="D16819" s="39"/>
      <c r="E16819" s="39"/>
      <c r="F16819" s="39"/>
    </row>
    <row r="16820">
      <c r="D16820" s="39"/>
      <c r="E16820" s="39"/>
      <c r="F16820" s="39"/>
    </row>
    <row r="16821">
      <c r="D16821" s="39"/>
      <c r="E16821" s="39"/>
      <c r="F16821" s="39"/>
    </row>
    <row r="16822">
      <c r="D16822" s="39"/>
      <c r="E16822" s="39"/>
      <c r="F16822" s="39"/>
    </row>
    <row r="16823">
      <c r="D16823" s="39"/>
      <c r="E16823" s="39"/>
      <c r="F16823" s="39"/>
    </row>
    <row r="16824">
      <c r="D16824" s="39"/>
      <c r="E16824" s="39"/>
      <c r="F16824" s="39"/>
    </row>
    <row r="16825">
      <c r="D16825" s="39"/>
      <c r="E16825" s="39"/>
      <c r="F16825" s="39"/>
    </row>
    <row r="16826">
      <c r="D16826" s="39"/>
      <c r="E16826" s="39"/>
      <c r="F16826" s="39"/>
    </row>
    <row r="16827">
      <c r="D16827" s="39"/>
      <c r="E16827" s="39"/>
      <c r="F16827" s="39"/>
    </row>
    <row r="16828">
      <c r="D16828" s="39"/>
      <c r="E16828" s="39"/>
      <c r="F16828" s="39"/>
    </row>
    <row r="16829">
      <c r="D16829" s="39"/>
      <c r="E16829" s="39"/>
      <c r="F16829" s="39"/>
    </row>
    <row r="16830">
      <c r="D16830" s="39"/>
      <c r="E16830" s="39"/>
      <c r="F16830" s="39"/>
    </row>
    <row r="16831">
      <c r="D16831" s="39"/>
      <c r="E16831" s="39"/>
      <c r="F16831" s="39"/>
    </row>
    <row r="16832">
      <c r="D16832" s="39"/>
      <c r="E16832" s="39"/>
      <c r="F16832" s="39"/>
    </row>
    <row r="16833">
      <c r="D16833" s="39"/>
      <c r="E16833" s="39"/>
      <c r="F16833" s="39"/>
    </row>
    <row r="16834">
      <c r="D16834" s="39"/>
      <c r="E16834" s="39"/>
      <c r="F16834" s="39"/>
    </row>
    <row r="16835">
      <c r="D16835" s="39"/>
      <c r="E16835" s="39"/>
      <c r="F16835" s="39"/>
    </row>
    <row r="16836">
      <c r="D16836" s="39"/>
      <c r="E16836" s="39"/>
      <c r="F16836" s="39"/>
    </row>
    <row r="16837">
      <c r="D16837" s="39"/>
      <c r="E16837" s="39"/>
      <c r="F16837" s="39"/>
    </row>
    <row r="16838">
      <c r="D16838" s="39"/>
      <c r="E16838" s="39"/>
      <c r="F16838" s="39"/>
    </row>
    <row r="16839">
      <c r="D16839" s="39"/>
      <c r="E16839" s="39"/>
      <c r="F16839" s="39"/>
    </row>
    <row r="16840">
      <c r="D16840" s="39"/>
      <c r="E16840" s="39"/>
      <c r="F16840" s="39"/>
    </row>
    <row r="16841">
      <c r="D16841" s="39"/>
      <c r="E16841" s="39"/>
      <c r="F16841" s="39"/>
    </row>
    <row r="16842">
      <c r="D16842" s="39"/>
      <c r="E16842" s="39"/>
      <c r="F16842" s="39"/>
    </row>
    <row r="16843">
      <c r="D16843" s="39"/>
      <c r="E16843" s="39"/>
      <c r="F16843" s="39"/>
    </row>
    <row r="16844">
      <c r="D16844" s="39"/>
      <c r="E16844" s="39"/>
      <c r="F16844" s="39"/>
    </row>
    <row r="16845">
      <c r="D16845" s="39"/>
      <c r="E16845" s="39"/>
      <c r="F16845" s="39"/>
    </row>
    <row r="16846">
      <c r="D16846" s="39"/>
      <c r="E16846" s="39"/>
      <c r="F16846" s="39"/>
    </row>
    <row r="16847">
      <c r="D16847" s="39"/>
      <c r="E16847" s="39"/>
      <c r="F16847" s="39"/>
    </row>
    <row r="16848">
      <c r="D16848" s="39"/>
      <c r="E16848" s="39"/>
      <c r="F16848" s="39"/>
    </row>
    <row r="16849">
      <c r="D16849" s="39"/>
      <c r="E16849" s="39"/>
      <c r="F16849" s="39"/>
    </row>
    <row r="16850">
      <c r="D16850" s="39"/>
      <c r="E16850" s="39"/>
      <c r="F16850" s="39"/>
    </row>
    <row r="16851">
      <c r="D16851" s="39"/>
      <c r="E16851" s="39"/>
      <c r="F16851" s="39"/>
    </row>
    <row r="16852">
      <c r="D16852" s="39"/>
      <c r="E16852" s="39"/>
      <c r="F16852" s="39"/>
    </row>
    <row r="16853">
      <c r="D16853" s="39"/>
      <c r="E16853" s="39"/>
      <c r="F16853" s="39"/>
    </row>
    <row r="16854">
      <c r="D16854" s="39"/>
      <c r="E16854" s="39"/>
      <c r="F16854" s="39"/>
    </row>
    <row r="16855">
      <c r="D16855" s="39"/>
      <c r="E16855" s="39"/>
      <c r="F16855" s="39"/>
    </row>
    <row r="16856">
      <c r="D16856" s="39"/>
      <c r="E16856" s="39"/>
      <c r="F16856" s="39"/>
    </row>
    <row r="16857">
      <c r="D16857" s="39"/>
      <c r="E16857" s="39"/>
      <c r="F16857" s="39"/>
    </row>
    <row r="16858">
      <c r="D16858" s="39"/>
      <c r="E16858" s="39"/>
      <c r="F16858" s="39"/>
    </row>
    <row r="16859">
      <c r="D16859" s="39"/>
      <c r="E16859" s="39"/>
      <c r="F16859" s="39"/>
    </row>
    <row r="16860">
      <c r="D16860" s="39"/>
      <c r="E16860" s="39"/>
      <c r="F16860" s="39"/>
    </row>
    <row r="16861">
      <c r="D16861" s="39"/>
      <c r="E16861" s="39"/>
      <c r="F16861" s="39"/>
    </row>
    <row r="16862">
      <c r="D16862" s="39"/>
      <c r="E16862" s="39"/>
      <c r="F16862" s="39"/>
    </row>
    <row r="16863">
      <c r="D16863" s="39"/>
      <c r="E16863" s="39"/>
      <c r="F16863" s="39"/>
    </row>
    <row r="16864">
      <c r="D16864" s="39"/>
      <c r="E16864" s="39"/>
      <c r="F16864" s="39"/>
    </row>
    <row r="16865">
      <c r="D16865" s="39"/>
      <c r="E16865" s="39"/>
      <c r="F16865" s="39"/>
    </row>
    <row r="16866">
      <c r="D16866" s="39"/>
      <c r="E16866" s="39"/>
      <c r="F16866" s="39"/>
    </row>
    <row r="16867">
      <c r="D16867" s="39"/>
      <c r="E16867" s="39"/>
      <c r="F16867" s="39"/>
    </row>
    <row r="16868">
      <c r="D16868" s="39"/>
      <c r="E16868" s="39"/>
      <c r="F16868" s="39"/>
    </row>
    <row r="16869">
      <c r="D16869" s="39"/>
      <c r="E16869" s="39"/>
      <c r="F16869" s="39"/>
    </row>
    <row r="16870">
      <c r="D16870" s="39"/>
      <c r="E16870" s="39"/>
      <c r="F16870" s="39"/>
    </row>
    <row r="16871">
      <c r="D16871" s="39"/>
      <c r="E16871" s="39"/>
      <c r="F16871" s="39"/>
    </row>
    <row r="16872">
      <c r="D16872" s="39"/>
      <c r="E16872" s="39"/>
      <c r="F16872" s="39"/>
    </row>
    <row r="16873">
      <c r="D16873" s="39"/>
      <c r="E16873" s="39"/>
      <c r="F16873" s="39"/>
    </row>
    <row r="16874">
      <c r="D16874" s="39"/>
      <c r="E16874" s="39"/>
      <c r="F16874" s="39"/>
    </row>
    <row r="16875">
      <c r="D16875" s="39"/>
      <c r="E16875" s="39"/>
      <c r="F16875" s="39"/>
    </row>
    <row r="16876">
      <c r="D16876" s="39"/>
      <c r="E16876" s="39"/>
      <c r="F16876" s="39"/>
    </row>
    <row r="16877">
      <c r="D16877" s="39"/>
      <c r="E16877" s="39"/>
      <c r="F16877" s="39"/>
    </row>
    <row r="16878">
      <c r="D16878" s="39"/>
      <c r="E16878" s="39"/>
      <c r="F16878" s="39"/>
    </row>
    <row r="16879">
      <c r="D16879" s="39"/>
      <c r="E16879" s="39"/>
      <c r="F16879" s="39"/>
    </row>
    <row r="16880">
      <c r="D16880" s="39"/>
      <c r="E16880" s="39"/>
      <c r="F16880" s="39"/>
    </row>
    <row r="16881">
      <c r="D16881" s="39"/>
      <c r="E16881" s="39"/>
      <c r="F16881" s="39"/>
    </row>
    <row r="16882">
      <c r="D16882" s="39"/>
      <c r="E16882" s="39"/>
      <c r="F16882" s="39"/>
    </row>
    <row r="16883">
      <c r="D16883" s="39"/>
      <c r="E16883" s="39"/>
      <c r="F16883" s="39"/>
    </row>
    <row r="16884">
      <c r="D16884" s="39"/>
      <c r="E16884" s="39"/>
      <c r="F16884" s="39"/>
    </row>
    <row r="16885">
      <c r="D16885" s="39"/>
      <c r="E16885" s="39"/>
      <c r="F16885" s="39"/>
    </row>
    <row r="16886">
      <c r="D16886" s="39"/>
      <c r="E16886" s="39"/>
      <c r="F16886" s="39"/>
    </row>
    <row r="16887">
      <c r="D16887" s="39"/>
      <c r="E16887" s="39"/>
      <c r="F16887" s="39"/>
    </row>
    <row r="16888">
      <c r="D16888" s="39"/>
      <c r="E16888" s="39"/>
      <c r="F16888" s="39"/>
    </row>
    <row r="16889">
      <c r="D16889" s="39"/>
      <c r="E16889" s="39"/>
      <c r="F16889" s="39"/>
    </row>
    <row r="16890">
      <c r="D16890" s="39"/>
      <c r="E16890" s="39"/>
      <c r="F16890" s="39"/>
    </row>
    <row r="16891">
      <c r="D16891" s="39"/>
      <c r="E16891" s="39"/>
      <c r="F16891" s="39"/>
    </row>
    <row r="16892">
      <c r="D16892" s="39"/>
      <c r="E16892" s="39"/>
      <c r="F16892" s="39"/>
    </row>
    <row r="16893">
      <c r="D16893" s="39"/>
      <c r="E16893" s="39"/>
      <c r="F16893" s="39"/>
    </row>
    <row r="16894">
      <c r="D16894" s="39"/>
      <c r="E16894" s="39"/>
      <c r="F16894" s="39"/>
    </row>
    <row r="16895">
      <c r="D16895" s="39"/>
      <c r="E16895" s="39"/>
      <c r="F16895" s="39"/>
    </row>
    <row r="16896">
      <c r="D16896" s="39"/>
      <c r="E16896" s="39"/>
      <c r="F16896" s="39"/>
    </row>
    <row r="16897">
      <c r="D16897" s="39"/>
      <c r="E16897" s="39"/>
      <c r="F16897" s="39"/>
    </row>
    <row r="16898">
      <c r="D16898" s="39"/>
      <c r="E16898" s="39"/>
      <c r="F16898" s="39"/>
    </row>
    <row r="16899">
      <c r="D16899" s="39"/>
      <c r="E16899" s="39"/>
      <c r="F16899" s="39"/>
    </row>
    <row r="16900">
      <c r="D16900" s="39"/>
      <c r="E16900" s="39"/>
      <c r="F16900" s="39"/>
    </row>
    <row r="16901">
      <c r="D16901" s="39"/>
      <c r="E16901" s="39"/>
      <c r="F16901" s="39"/>
    </row>
    <row r="16902">
      <c r="D16902" s="39"/>
      <c r="E16902" s="39"/>
      <c r="F16902" s="39"/>
    </row>
    <row r="16903">
      <c r="D16903" s="39"/>
      <c r="E16903" s="39"/>
      <c r="F16903" s="39"/>
    </row>
    <row r="16904">
      <c r="D16904" s="39"/>
      <c r="E16904" s="39"/>
      <c r="F16904" s="39"/>
    </row>
    <row r="16905">
      <c r="D16905" s="39"/>
      <c r="E16905" s="39"/>
      <c r="F16905" s="39"/>
    </row>
    <row r="16906">
      <c r="D16906" s="39"/>
      <c r="E16906" s="39"/>
      <c r="F16906" s="39"/>
    </row>
    <row r="16907">
      <c r="D16907" s="39"/>
      <c r="E16907" s="39"/>
      <c r="F16907" s="39"/>
    </row>
    <row r="16908">
      <c r="D16908" s="39"/>
      <c r="E16908" s="39"/>
      <c r="F16908" s="39"/>
    </row>
    <row r="16909">
      <c r="D16909" s="39"/>
      <c r="E16909" s="39"/>
      <c r="F16909" s="39"/>
    </row>
    <row r="16910">
      <c r="D16910" s="39"/>
      <c r="E16910" s="39"/>
      <c r="F16910" s="39"/>
    </row>
    <row r="16911">
      <c r="D16911" s="39"/>
      <c r="E16911" s="39"/>
      <c r="F16911" s="39"/>
    </row>
    <row r="16912">
      <c r="D16912" s="39"/>
      <c r="E16912" s="39"/>
      <c r="F16912" s="39"/>
    </row>
    <row r="16913">
      <c r="D16913" s="39"/>
      <c r="E16913" s="39"/>
      <c r="F16913" s="39"/>
    </row>
    <row r="16914">
      <c r="D16914" s="39"/>
      <c r="E16914" s="39"/>
      <c r="F16914" s="39"/>
    </row>
    <row r="16915">
      <c r="D16915" s="39"/>
      <c r="E16915" s="39"/>
      <c r="F16915" s="39"/>
    </row>
    <row r="16916">
      <c r="D16916" s="39"/>
      <c r="E16916" s="39"/>
      <c r="F16916" s="39"/>
    </row>
    <row r="16917">
      <c r="D16917" s="39"/>
      <c r="E16917" s="39"/>
      <c r="F16917" s="39"/>
    </row>
    <row r="16918">
      <c r="D16918" s="39"/>
      <c r="E16918" s="39"/>
      <c r="F16918" s="39"/>
    </row>
    <row r="16919">
      <c r="D16919" s="39"/>
      <c r="E16919" s="39"/>
      <c r="F16919" s="39"/>
    </row>
    <row r="16920">
      <c r="D16920" s="39"/>
      <c r="E16920" s="39"/>
      <c r="F16920" s="39"/>
    </row>
    <row r="16921">
      <c r="D16921" s="39"/>
      <c r="E16921" s="39"/>
      <c r="F16921" s="39"/>
    </row>
    <row r="16922">
      <c r="D16922" s="39"/>
      <c r="E16922" s="39"/>
      <c r="F16922" s="39"/>
    </row>
    <row r="16923">
      <c r="D16923" s="39"/>
      <c r="E16923" s="39"/>
      <c r="F16923" s="39"/>
    </row>
    <row r="16924">
      <c r="D16924" s="39"/>
      <c r="E16924" s="39"/>
      <c r="F16924" s="39"/>
    </row>
    <row r="16925">
      <c r="D16925" s="39"/>
      <c r="E16925" s="39"/>
      <c r="F16925" s="39"/>
    </row>
    <row r="16926">
      <c r="D16926" s="39"/>
      <c r="E16926" s="39"/>
      <c r="F16926" s="39"/>
    </row>
    <row r="16927">
      <c r="D16927" s="39"/>
      <c r="E16927" s="39"/>
      <c r="F16927" s="39"/>
    </row>
    <row r="16928">
      <c r="D16928" s="39"/>
      <c r="E16928" s="39"/>
      <c r="F16928" s="39"/>
    </row>
    <row r="16929">
      <c r="D16929" s="39"/>
      <c r="E16929" s="39"/>
      <c r="F16929" s="39"/>
    </row>
    <row r="16930">
      <c r="D16930" s="39"/>
      <c r="E16930" s="39"/>
      <c r="F16930" s="39"/>
    </row>
    <row r="16931">
      <c r="D16931" s="39"/>
      <c r="E16931" s="39"/>
      <c r="F16931" s="39"/>
    </row>
    <row r="16932">
      <c r="D16932" s="39"/>
      <c r="E16932" s="39"/>
      <c r="F16932" s="39"/>
    </row>
    <row r="16933">
      <c r="D16933" s="39"/>
      <c r="E16933" s="39"/>
      <c r="F16933" s="39"/>
    </row>
    <row r="16934">
      <c r="D16934" s="39"/>
      <c r="E16934" s="39"/>
      <c r="F16934" s="39"/>
    </row>
    <row r="16935">
      <c r="D16935" s="39"/>
      <c r="E16935" s="39"/>
      <c r="F16935" s="39"/>
    </row>
    <row r="16936">
      <c r="D16936" s="39"/>
      <c r="E16936" s="39"/>
      <c r="F16936" s="39"/>
    </row>
    <row r="16937">
      <c r="D16937" s="39"/>
      <c r="E16937" s="39"/>
      <c r="F16937" s="39"/>
    </row>
    <row r="16938">
      <c r="D16938" s="39"/>
      <c r="E16938" s="39"/>
      <c r="F16938" s="39"/>
    </row>
    <row r="16939">
      <c r="D16939" s="39"/>
      <c r="E16939" s="39"/>
      <c r="F16939" s="39"/>
    </row>
    <row r="16940">
      <c r="D16940" s="39"/>
      <c r="E16940" s="39"/>
      <c r="F16940" s="39"/>
    </row>
    <row r="16941">
      <c r="D16941" s="39"/>
      <c r="E16941" s="39"/>
      <c r="F16941" s="39"/>
    </row>
    <row r="16942">
      <c r="D16942" s="39"/>
      <c r="E16942" s="39"/>
      <c r="F16942" s="39"/>
    </row>
    <row r="16943">
      <c r="D16943" s="39"/>
      <c r="E16943" s="39"/>
      <c r="F16943" s="39"/>
    </row>
    <row r="16944">
      <c r="D16944" s="39"/>
      <c r="E16944" s="39"/>
      <c r="F16944" s="39"/>
    </row>
    <row r="16945">
      <c r="D16945" s="39"/>
      <c r="E16945" s="39"/>
      <c r="F16945" s="39"/>
    </row>
    <row r="16946">
      <c r="D16946" s="39"/>
      <c r="E16946" s="39"/>
      <c r="F16946" s="39"/>
    </row>
    <row r="16947">
      <c r="D16947" s="39"/>
      <c r="E16947" s="39"/>
      <c r="F16947" s="39"/>
    </row>
    <row r="16948">
      <c r="D16948" s="39"/>
      <c r="E16948" s="39"/>
      <c r="F16948" s="39"/>
    </row>
    <row r="16949">
      <c r="D16949" s="39"/>
      <c r="E16949" s="39"/>
      <c r="F16949" s="39"/>
    </row>
    <row r="16950">
      <c r="D16950" s="39"/>
      <c r="E16950" s="39"/>
      <c r="F16950" s="39"/>
    </row>
    <row r="16951">
      <c r="D16951" s="39"/>
      <c r="E16951" s="39"/>
      <c r="F16951" s="39"/>
    </row>
    <row r="16952">
      <c r="D16952" s="39"/>
      <c r="E16952" s="39"/>
      <c r="F16952" s="39"/>
    </row>
    <row r="16953">
      <c r="D16953" s="39"/>
      <c r="E16953" s="39"/>
      <c r="F16953" s="39"/>
    </row>
    <row r="16954">
      <c r="D16954" s="39"/>
      <c r="E16954" s="39"/>
      <c r="F16954" s="39"/>
    </row>
    <row r="16955">
      <c r="D16955" s="39"/>
      <c r="E16955" s="39"/>
      <c r="F16955" s="39"/>
    </row>
    <row r="16956">
      <c r="D16956" s="39"/>
      <c r="E16956" s="39"/>
      <c r="F16956" s="39"/>
    </row>
    <row r="16957">
      <c r="D16957" s="39"/>
      <c r="E16957" s="39"/>
      <c r="F16957" s="39"/>
    </row>
    <row r="16958">
      <c r="D16958" s="39"/>
      <c r="E16958" s="39"/>
      <c r="F16958" s="39"/>
    </row>
    <row r="16959">
      <c r="D16959" s="39"/>
      <c r="E16959" s="39"/>
      <c r="F16959" s="39"/>
    </row>
    <row r="16960">
      <c r="D16960" s="39"/>
      <c r="E16960" s="39"/>
      <c r="F16960" s="39"/>
    </row>
    <row r="16961">
      <c r="D16961" s="39"/>
      <c r="E16961" s="39"/>
      <c r="F16961" s="39"/>
    </row>
    <row r="16962">
      <c r="D16962" s="39"/>
      <c r="E16962" s="39"/>
      <c r="F16962" s="39"/>
    </row>
    <row r="16963">
      <c r="D16963" s="39"/>
      <c r="E16963" s="39"/>
      <c r="F16963" s="39"/>
    </row>
    <row r="16964">
      <c r="D16964" s="39"/>
      <c r="E16964" s="39"/>
      <c r="F16964" s="39"/>
    </row>
    <row r="16965">
      <c r="D16965" s="39"/>
      <c r="E16965" s="39"/>
      <c r="F16965" s="39"/>
    </row>
    <row r="16966">
      <c r="D16966" s="39"/>
      <c r="E16966" s="39"/>
      <c r="F16966" s="39"/>
    </row>
    <row r="16967">
      <c r="D16967" s="39"/>
      <c r="E16967" s="39"/>
      <c r="F16967" s="39"/>
    </row>
    <row r="16968">
      <c r="D16968" s="39"/>
      <c r="E16968" s="39"/>
      <c r="F16968" s="39"/>
    </row>
    <row r="16969">
      <c r="D16969" s="39"/>
      <c r="E16969" s="39"/>
      <c r="F16969" s="39"/>
    </row>
    <row r="16970">
      <c r="D16970" s="39"/>
      <c r="E16970" s="39"/>
      <c r="F16970" s="39"/>
    </row>
    <row r="16971">
      <c r="D16971" s="39"/>
      <c r="E16971" s="39"/>
      <c r="F16971" s="39"/>
    </row>
    <row r="16972">
      <c r="D16972" s="39"/>
      <c r="E16972" s="39"/>
      <c r="F16972" s="39"/>
    </row>
    <row r="16973">
      <c r="D16973" s="39"/>
      <c r="E16973" s="39"/>
      <c r="F16973" s="39"/>
    </row>
    <row r="16974">
      <c r="D16974" s="39"/>
      <c r="E16974" s="39"/>
      <c r="F16974" s="39"/>
    </row>
    <row r="16975">
      <c r="D16975" s="39"/>
      <c r="E16975" s="39"/>
      <c r="F16975" s="39"/>
    </row>
    <row r="16976">
      <c r="D16976" s="39"/>
      <c r="E16976" s="39"/>
      <c r="F16976" s="39"/>
    </row>
    <row r="16977">
      <c r="D16977" s="39"/>
      <c r="E16977" s="39"/>
      <c r="F16977" s="39"/>
    </row>
    <row r="16978">
      <c r="D16978" s="39"/>
      <c r="E16978" s="39"/>
      <c r="F16978" s="39"/>
    </row>
    <row r="16979">
      <c r="D16979" s="39"/>
      <c r="E16979" s="39"/>
      <c r="F16979" s="39"/>
    </row>
    <row r="16980">
      <c r="D16980" s="39"/>
      <c r="E16980" s="39"/>
      <c r="F16980" s="39"/>
    </row>
    <row r="16981">
      <c r="D16981" s="39"/>
      <c r="E16981" s="39"/>
      <c r="F16981" s="39"/>
    </row>
    <row r="16982">
      <c r="D16982" s="39"/>
      <c r="E16982" s="39"/>
      <c r="F16982" s="39"/>
    </row>
    <row r="16983">
      <c r="D16983" s="39"/>
      <c r="E16983" s="39"/>
      <c r="F16983" s="39"/>
    </row>
    <row r="16984">
      <c r="D16984" s="39"/>
      <c r="E16984" s="39"/>
      <c r="F16984" s="39"/>
    </row>
    <row r="16985">
      <c r="D16985" s="39"/>
      <c r="E16985" s="39"/>
      <c r="F16985" s="39"/>
    </row>
    <row r="16986">
      <c r="D16986" s="39"/>
      <c r="E16986" s="39"/>
      <c r="F16986" s="39"/>
    </row>
    <row r="16987">
      <c r="D16987" s="39"/>
      <c r="E16987" s="39"/>
      <c r="F16987" s="39"/>
    </row>
    <row r="16988">
      <c r="D16988" s="39"/>
      <c r="E16988" s="39"/>
      <c r="F16988" s="39"/>
    </row>
    <row r="16989">
      <c r="D16989" s="39"/>
      <c r="E16989" s="39"/>
      <c r="F16989" s="39"/>
    </row>
    <row r="16990">
      <c r="D16990" s="39"/>
      <c r="E16990" s="39"/>
      <c r="F16990" s="39"/>
    </row>
    <row r="16991">
      <c r="D16991" s="39"/>
      <c r="E16991" s="39"/>
      <c r="F16991" s="39"/>
    </row>
    <row r="16992">
      <c r="D16992" s="39"/>
      <c r="E16992" s="39"/>
      <c r="F16992" s="39"/>
    </row>
    <row r="16993">
      <c r="D16993" s="39"/>
      <c r="E16993" s="39"/>
      <c r="F16993" s="39"/>
    </row>
    <row r="16994">
      <c r="D16994" s="39"/>
      <c r="E16994" s="39"/>
      <c r="F16994" s="39"/>
    </row>
    <row r="16995">
      <c r="D16995" s="39"/>
      <c r="E16995" s="39"/>
      <c r="F16995" s="39"/>
    </row>
    <row r="16996">
      <c r="D16996" s="39"/>
      <c r="E16996" s="39"/>
      <c r="F16996" s="39"/>
    </row>
    <row r="16997">
      <c r="D16997" s="39"/>
      <c r="E16997" s="39"/>
      <c r="F16997" s="39"/>
    </row>
    <row r="16998">
      <c r="D16998" s="39"/>
      <c r="E16998" s="39"/>
      <c r="F16998" s="39"/>
    </row>
    <row r="16999">
      <c r="D16999" s="39"/>
      <c r="E16999" s="39"/>
      <c r="F16999" s="39"/>
    </row>
    <row r="17000">
      <c r="D17000" s="39"/>
      <c r="E17000" s="39"/>
      <c r="F17000" s="39"/>
    </row>
    <row r="17001">
      <c r="D17001" s="39"/>
      <c r="E17001" s="39"/>
      <c r="F17001" s="39"/>
    </row>
    <row r="17002">
      <c r="D17002" s="39"/>
      <c r="E17002" s="39"/>
      <c r="F17002" s="39"/>
    </row>
    <row r="17003">
      <c r="D17003" s="39"/>
      <c r="E17003" s="39"/>
      <c r="F17003" s="39"/>
    </row>
    <row r="17004">
      <c r="D17004" s="39"/>
      <c r="E17004" s="39"/>
      <c r="F17004" s="39"/>
    </row>
    <row r="17005">
      <c r="D17005" s="39"/>
      <c r="E17005" s="39"/>
      <c r="F17005" s="39"/>
    </row>
    <row r="17006">
      <c r="D17006" s="39"/>
      <c r="E17006" s="39"/>
      <c r="F17006" s="39"/>
    </row>
    <row r="17007">
      <c r="D17007" s="39"/>
      <c r="E17007" s="39"/>
      <c r="F17007" s="39"/>
    </row>
    <row r="17008">
      <c r="D17008" s="39"/>
      <c r="E17008" s="39"/>
      <c r="F17008" s="39"/>
    </row>
    <row r="17009">
      <c r="D17009" s="39"/>
      <c r="E17009" s="39"/>
      <c r="F17009" s="39"/>
    </row>
    <row r="17010">
      <c r="D17010" s="39"/>
      <c r="E17010" s="39"/>
      <c r="F17010" s="39"/>
    </row>
    <row r="17011">
      <c r="D17011" s="39"/>
      <c r="E17011" s="39"/>
      <c r="F17011" s="39"/>
    </row>
    <row r="17012">
      <c r="D17012" s="39"/>
      <c r="E17012" s="39"/>
      <c r="F17012" s="39"/>
    </row>
    <row r="17013">
      <c r="D17013" s="39"/>
      <c r="E17013" s="39"/>
      <c r="F17013" s="39"/>
    </row>
    <row r="17014">
      <c r="D17014" s="39"/>
      <c r="E17014" s="39"/>
      <c r="F17014" s="39"/>
    </row>
    <row r="17015">
      <c r="D17015" s="39"/>
      <c r="E17015" s="39"/>
      <c r="F17015" s="39"/>
    </row>
    <row r="17016">
      <c r="D17016" s="39"/>
      <c r="E17016" s="39"/>
      <c r="F17016" s="39"/>
    </row>
    <row r="17017">
      <c r="D17017" s="39"/>
      <c r="E17017" s="39"/>
      <c r="F17017" s="39"/>
    </row>
    <row r="17018">
      <c r="D17018" s="39"/>
      <c r="E17018" s="39"/>
      <c r="F17018" s="39"/>
    </row>
    <row r="17019">
      <c r="D17019" s="39"/>
      <c r="E17019" s="39"/>
      <c r="F17019" s="39"/>
    </row>
    <row r="17020">
      <c r="D17020" s="39"/>
      <c r="E17020" s="39"/>
      <c r="F17020" s="39"/>
    </row>
    <row r="17021">
      <c r="D17021" s="39"/>
      <c r="E17021" s="39"/>
      <c r="F17021" s="39"/>
    </row>
    <row r="17022">
      <c r="D17022" s="39"/>
      <c r="E17022" s="39"/>
      <c r="F17022" s="39"/>
    </row>
    <row r="17023">
      <c r="D17023" s="39"/>
      <c r="E17023" s="39"/>
      <c r="F17023" s="39"/>
    </row>
    <row r="17024">
      <c r="D17024" s="39"/>
      <c r="E17024" s="39"/>
      <c r="F17024" s="39"/>
    </row>
    <row r="17025">
      <c r="D17025" s="39"/>
      <c r="E17025" s="39"/>
      <c r="F17025" s="39"/>
    </row>
    <row r="17026">
      <c r="D17026" s="39"/>
      <c r="E17026" s="39"/>
      <c r="F17026" s="39"/>
    </row>
    <row r="17027">
      <c r="D17027" s="39"/>
      <c r="E17027" s="39"/>
      <c r="F17027" s="39"/>
    </row>
    <row r="17028">
      <c r="D17028" s="39"/>
      <c r="E17028" s="39"/>
      <c r="F17028" s="39"/>
    </row>
    <row r="17029">
      <c r="D17029" s="39"/>
      <c r="E17029" s="39"/>
      <c r="F17029" s="39"/>
    </row>
    <row r="17030">
      <c r="D17030" s="39"/>
      <c r="E17030" s="39"/>
      <c r="F17030" s="39"/>
    </row>
    <row r="17031">
      <c r="D17031" s="39"/>
      <c r="E17031" s="39"/>
      <c r="F17031" s="39"/>
    </row>
    <row r="17032">
      <c r="D17032" s="39"/>
      <c r="E17032" s="39"/>
      <c r="F17032" s="39"/>
    </row>
    <row r="17033">
      <c r="D17033" s="39"/>
      <c r="E17033" s="39"/>
      <c r="F17033" s="39"/>
    </row>
    <row r="17034">
      <c r="D17034" s="39"/>
      <c r="E17034" s="39"/>
      <c r="F17034" s="39"/>
    </row>
    <row r="17035">
      <c r="D17035" s="39"/>
      <c r="E17035" s="39"/>
      <c r="F17035" s="39"/>
    </row>
    <row r="17036">
      <c r="D17036" s="39"/>
      <c r="E17036" s="39"/>
      <c r="F17036" s="39"/>
    </row>
    <row r="17037">
      <c r="D17037" s="39"/>
      <c r="E17037" s="39"/>
      <c r="F17037" s="39"/>
    </row>
    <row r="17038">
      <c r="D17038" s="39"/>
      <c r="E17038" s="39"/>
      <c r="F17038" s="39"/>
    </row>
    <row r="17039">
      <c r="D17039" s="39"/>
      <c r="E17039" s="39"/>
      <c r="F17039" s="39"/>
    </row>
    <row r="17040">
      <c r="D17040" s="39"/>
      <c r="E17040" s="39"/>
      <c r="F17040" s="39"/>
    </row>
    <row r="17041">
      <c r="D17041" s="39"/>
      <c r="E17041" s="39"/>
      <c r="F17041" s="39"/>
    </row>
    <row r="17042">
      <c r="D17042" s="39"/>
      <c r="E17042" s="39"/>
      <c r="F17042" s="39"/>
    </row>
    <row r="17043">
      <c r="D17043" s="39"/>
      <c r="E17043" s="39"/>
      <c r="F17043" s="39"/>
    </row>
    <row r="17044">
      <c r="D17044" s="39"/>
      <c r="E17044" s="39"/>
      <c r="F17044" s="39"/>
    </row>
    <row r="17045">
      <c r="D17045" s="39"/>
      <c r="E17045" s="39"/>
      <c r="F17045" s="39"/>
    </row>
    <row r="17046">
      <c r="D17046" s="39"/>
      <c r="E17046" s="39"/>
      <c r="F17046" s="39"/>
    </row>
    <row r="17047">
      <c r="D17047" s="39"/>
      <c r="E17047" s="39"/>
      <c r="F17047" s="39"/>
    </row>
    <row r="17048">
      <c r="D17048" s="39"/>
      <c r="E17048" s="39"/>
      <c r="F17048" s="39"/>
    </row>
    <row r="17049">
      <c r="D17049" s="39"/>
      <c r="E17049" s="39"/>
      <c r="F17049" s="39"/>
    </row>
    <row r="17050">
      <c r="D17050" s="39"/>
      <c r="E17050" s="39"/>
      <c r="F17050" s="39"/>
    </row>
    <row r="17051">
      <c r="D17051" s="39"/>
      <c r="E17051" s="39"/>
      <c r="F17051" s="39"/>
    </row>
    <row r="17052">
      <c r="D17052" s="39"/>
      <c r="E17052" s="39"/>
      <c r="F17052" s="39"/>
    </row>
    <row r="17053">
      <c r="D17053" s="39"/>
      <c r="E17053" s="39"/>
      <c r="F17053" s="39"/>
    </row>
    <row r="17054">
      <c r="D17054" s="39"/>
      <c r="E17054" s="39"/>
      <c r="F17054" s="39"/>
    </row>
    <row r="17055">
      <c r="D17055" s="39"/>
      <c r="E17055" s="39"/>
      <c r="F17055" s="39"/>
    </row>
    <row r="17056">
      <c r="D17056" s="39"/>
      <c r="E17056" s="39"/>
      <c r="F17056" s="39"/>
    </row>
    <row r="17057">
      <c r="D17057" s="39"/>
      <c r="E17057" s="39"/>
      <c r="F17057" s="39"/>
    </row>
    <row r="17058">
      <c r="D17058" s="39"/>
      <c r="E17058" s="39"/>
      <c r="F17058" s="39"/>
    </row>
    <row r="17059">
      <c r="D17059" s="39"/>
      <c r="E17059" s="39"/>
      <c r="F17059" s="39"/>
    </row>
    <row r="17060">
      <c r="D17060" s="39"/>
      <c r="E17060" s="39"/>
      <c r="F17060" s="39"/>
    </row>
    <row r="17061">
      <c r="D17061" s="39"/>
      <c r="E17061" s="39"/>
      <c r="F17061" s="39"/>
    </row>
    <row r="17062">
      <c r="D17062" s="39"/>
      <c r="E17062" s="39"/>
      <c r="F17062" s="39"/>
    </row>
    <row r="17063">
      <c r="D17063" s="39"/>
      <c r="E17063" s="39"/>
      <c r="F17063" s="39"/>
    </row>
    <row r="17064">
      <c r="D17064" s="39"/>
      <c r="E17064" s="39"/>
      <c r="F17064" s="39"/>
    </row>
    <row r="17065">
      <c r="D17065" s="39"/>
      <c r="E17065" s="39"/>
      <c r="F17065" s="39"/>
    </row>
    <row r="17066">
      <c r="D17066" s="39"/>
      <c r="E17066" s="39"/>
      <c r="F17066" s="39"/>
    </row>
    <row r="17067">
      <c r="D17067" s="39"/>
      <c r="E17067" s="39"/>
      <c r="F17067" s="39"/>
    </row>
    <row r="17068">
      <c r="D17068" s="39"/>
      <c r="E17068" s="39"/>
      <c r="F17068" s="39"/>
    </row>
    <row r="17069">
      <c r="D17069" s="39"/>
      <c r="E17069" s="39"/>
      <c r="F17069" s="39"/>
    </row>
    <row r="17070">
      <c r="D17070" s="39"/>
      <c r="E17070" s="39"/>
      <c r="F17070" s="39"/>
    </row>
    <row r="17071">
      <c r="D17071" s="39"/>
      <c r="E17071" s="39"/>
      <c r="F17071" s="39"/>
    </row>
    <row r="17072">
      <c r="D17072" s="39"/>
      <c r="E17072" s="39"/>
      <c r="F17072" s="39"/>
    </row>
    <row r="17073">
      <c r="D17073" s="39"/>
      <c r="E17073" s="39"/>
      <c r="F17073" s="39"/>
    </row>
    <row r="17074">
      <c r="D17074" s="39"/>
      <c r="E17074" s="39"/>
      <c r="F17074" s="39"/>
    </row>
    <row r="17075">
      <c r="D17075" s="39"/>
      <c r="E17075" s="39"/>
      <c r="F17075" s="39"/>
    </row>
    <row r="17076">
      <c r="D17076" s="39"/>
      <c r="E17076" s="39"/>
      <c r="F17076" s="39"/>
    </row>
    <row r="17077">
      <c r="D17077" s="39"/>
      <c r="E17077" s="39"/>
      <c r="F17077" s="39"/>
    </row>
    <row r="17078">
      <c r="D17078" s="39"/>
      <c r="E17078" s="39"/>
      <c r="F17078" s="39"/>
    </row>
    <row r="17079">
      <c r="D17079" s="39"/>
      <c r="E17079" s="39"/>
      <c r="F17079" s="39"/>
    </row>
    <row r="17080">
      <c r="D17080" s="39"/>
      <c r="E17080" s="39"/>
      <c r="F17080" s="39"/>
    </row>
    <row r="17081">
      <c r="D17081" s="39"/>
      <c r="E17081" s="39"/>
      <c r="F17081" s="39"/>
    </row>
    <row r="17082">
      <c r="D17082" s="39"/>
      <c r="E17082" s="39"/>
      <c r="F17082" s="39"/>
    </row>
    <row r="17083">
      <c r="D17083" s="39"/>
      <c r="E17083" s="39"/>
      <c r="F17083" s="39"/>
    </row>
    <row r="17084">
      <c r="D17084" s="39"/>
      <c r="E17084" s="39"/>
      <c r="F17084" s="39"/>
    </row>
    <row r="17085">
      <c r="D17085" s="39"/>
      <c r="E17085" s="39"/>
      <c r="F17085" s="39"/>
    </row>
    <row r="17086">
      <c r="D17086" s="39"/>
      <c r="E17086" s="39"/>
      <c r="F17086" s="39"/>
    </row>
    <row r="17087">
      <c r="D17087" s="39"/>
      <c r="E17087" s="39"/>
      <c r="F17087" s="39"/>
    </row>
    <row r="17088">
      <c r="D17088" s="39"/>
      <c r="E17088" s="39"/>
      <c r="F17088" s="39"/>
    </row>
    <row r="17089">
      <c r="D17089" s="39"/>
      <c r="E17089" s="39"/>
      <c r="F17089" s="39"/>
    </row>
    <row r="17090">
      <c r="D17090" s="39"/>
      <c r="E17090" s="39"/>
      <c r="F17090" s="39"/>
    </row>
    <row r="17091">
      <c r="D17091" s="39"/>
      <c r="E17091" s="39"/>
      <c r="F17091" s="39"/>
    </row>
    <row r="17092">
      <c r="D17092" s="39"/>
      <c r="E17092" s="39"/>
      <c r="F17092" s="39"/>
    </row>
    <row r="17093">
      <c r="D17093" s="39"/>
      <c r="E17093" s="39"/>
      <c r="F17093" s="39"/>
    </row>
    <row r="17094">
      <c r="D17094" s="39"/>
      <c r="E17094" s="39"/>
      <c r="F17094" s="39"/>
    </row>
    <row r="17095">
      <c r="D17095" s="39"/>
      <c r="E17095" s="39"/>
      <c r="F17095" s="39"/>
    </row>
    <row r="17096">
      <c r="D17096" s="39"/>
      <c r="E17096" s="39"/>
      <c r="F17096" s="39"/>
    </row>
    <row r="17097">
      <c r="D17097" s="39"/>
      <c r="E17097" s="39"/>
      <c r="F17097" s="39"/>
    </row>
    <row r="17098">
      <c r="D17098" s="39"/>
      <c r="E17098" s="39"/>
      <c r="F17098" s="39"/>
    </row>
    <row r="17099">
      <c r="D17099" s="39"/>
      <c r="E17099" s="39"/>
      <c r="F17099" s="39"/>
    </row>
    <row r="17100">
      <c r="D17100" s="39"/>
      <c r="E17100" s="39"/>
      <c r="F17100" s="39"/>
    </row>
    <row r="17101">
      <c r="D17101" s="39"/>
      <c r="E17101" s="39"/>
      <c r="F17101" s="39"/>
    </row>
    <row r="17102">
      <c r="D17102" s="39"/>
      <c r="E17102" s="39"/>
      <c r="F17102" s="39"/>
    </row>
    <row r="17103">
      <c r="D17103" s="39"/>
      <c r="E17103" s="39"/>
      <c r="F17103" s="39"/>
    </row>
    <row r="17104">
      <c r="D17104" s="39"/>
      <c r="E17104" s="39"/>
      <c r="F17104" s="39"/>
    </row>
    <row r="17105">
      <c r="D17105" s="39"/>
      <c r="E17105" s="39"/>
      <c r="F17105" s="39"/>
    </row>
    <row r="17106">
      <c r="D17106" s="39"/>
      <c r="E17106" s="39"/>
      <c r="F17106" s="39"/>
    </row>
    <row r="17107">
      <c r="D17107" s="39"/>
      <c r="E17107" s="39"/>
      <c r="F17107" s="39"/>
    </row>
    <row r="17108">
      <c r="D17108" s="39"/>
      <c r="E17108" s="39"/>
      <c r="F17108" s="39"/>
    </row>
    <row r="17109">
      <c r="D17109" s="39"/>
      <c r="E17109" s="39"/>
      <c r="F17109" s="39"/>
    </row>
    <row r="17110">
      <c r="D17110" s="39"/>
      <c r="E17110" s="39"/>
      <c r="F17110" s="39"/>
    </row>
    <row r="17111">
      <c r="D17111" s="39"/>
      <c r="E17111" s="39"/>
      <c r="F17111" s="39"/>
    </row>
    <row r="17112">
      <c r="D17112" s="39"/>
      <c r="E17112" s="39"/>
      <c r="F17112" s="39"/>
    </row>
    <row r="17113">
      <c r="D17113" s="39"/>
      <c r="E17113" s="39"/>
      <c r="F17113" s="39"/>
    </row>
    <row r="17114">
      <c r="D17114" s="39"/>
      <c r="E17114" s="39"/>
      <c r="F17114" s="39"/>
    </row>
    <row r="17115">
      <c r="D17115" s="39"/>
      <c r="E17115" s="39"/>
      <c r="F17115" s="39"/>
    </row>
    <row r="17116">
      <c r="D17116" s="39"/>
      <c r="E17116" s="39"/>
      <c r="F17116" s="39"/>
    </row>
    <row r="17117">
      <c r="D17117" s="39"/>
      <c r="E17117" s="39"/>
      <c r="F17117" s="39"/>
    </row>
    <row r="17118">
      <c r="D17118" s="39"/>
      <c r="E17118" s="39"/>
      <c r="F17118" s="39"/>
    </row>
    <row r="17119">
      <c r="D17119" s="39"/>
      <c r="E17119" s="39"/>
      <c r="F17119" s="39"/>
    </row>
    <row r="17120">
      <c r="D17120" s="39"/>
      <c r="E17120" s="39"/>
      <c r="F17120" s="39"/>
    </row>
    <row r="17121">
      <c r="D17121" s="39"/>
      <c r="E17121" s="39"/>
      <c r="F17121" s="39"/>
    </row>
    <row r="17122">
      <c r="D17122" s="39"/>
      <c r="E17122" s="39"/>
      <c r="F17122" s="39"/>
    </row>
    <row r="17123">
      <c r="D17123" s="39"/>
      <c r="E17123" s="39"/>
      <c r="F17123" s="39"/>
    </row>
    <row r="17124">
      <c r="D17124" s="39"/>
      <c r="E17124" s="39"/>
      <c r="F17124" s="39"/>
    </row>
    <row r="17125">
      <c r="D17125" s="39"/>
      <c r="E17125" s="39"/>
      <c r="F17125" s="39"/>
    </row>
    <row r="17126">
      <c r="D17126" s="39"/>
      <c r="E17126" s="39"/>
      <c r="F17126" s="39"/>
    </row>
    <row r="17127">
      <c r="D17127" s="39"/>
      <c r="E17127" s="39"/>
      <c r="F17127" s="39"/>
    </row>
    <row r="17128">
      <c r="D17128" s="39"/>
      <c r="E17128" s="39"/>
      <c r="F17128" s="39"/>
    </row>
    <row r="17129">
      <c r="D17129" s="39"/>
      <c r="E17129" s="39"/>
      <c r="F17129" s="39"/>
    </row>
    <row r="17130">
      <c r="D17130" s="39"/>
      <c r="E17130" s="39"/>
      <c r="F17130" s="39"/>
    </row>
    <row r="17131">
      <c r="D17131" s="39"/>
      <c r="E17131" s="39"/>
      <c r="F17131" s="39"/>
    </row>
    <row r="17132">
      <c r="D17132" s="39"/>
      <c r="E17132" s="39"/>
      <c r="F17132" s="39"/>
    </row>
    <row r="17133">
      <c r="D17133" s="39"/>
      <c r="E17133" s="39"/>
      <c r="F17133" s="39"/>
    </row>
    <row r="17134">
      <c r="D17134" s="39"/>
      <c r="E17134" s="39"/>
      <c r="F17134" s="39"/>
    </row>
    <row r="17135">
      <c r="D17135" s="39"/>
      <c r="E17135" s="39"/>
      <c r="F17135" s="39"/>
    </row>
    <row r="17136">
      <c r="D17136" s="39"/>
      <c r="E17136" s="39"/>
      <c r="F17136" s="39"/>
    </row>
    <row r="17137">
      <c r="D17137" s="39"/>
      <c r="E17137" s="39"/>
      <c r="F17137" s="39"/>
    </row>
    <row r="17138">
      <c r="D17138" s="39"/>
      <c r="E17138" s="39"/>
      <c r="F17138" s="39"/>
    </row>
    <row r="17139">
      <c r="D17139" s="39"/>
      <c r="E17139" s="39"/>
      <c r="F17139" s="39"/>
    </row>
    <row r="17140">
      <c r="D17140" s="39"/>
      <c r="E17140" s="39"/>
      <c r="F17140" s="39"/>
    </row>
    <row r="17141">
      <c r="D17141" s="39"/>
      <c r="E17141" s="39"/>
      <c r="F17141" s="39"/>
    </row>
    <row r="17142">
      <c r="D17142" s="39"/>
      <c r="E17142" s="39"/>
      <c r="F17142" s="39"/>
    </row>
    <row r="17143">
      <c r="D17143" s="39"/>
      <c r="E17143" s="39"/>
      <c r="F17143" s="39"/>
    </row>
    <row r="17144">
      <c r="D17144" s="39"/>
      <c r="E17144" s="39"/>
      <c r="F17144" s="39"/>
    </row>
    <row r="17145">
      <c r="D17145" s="39"/>
      <c r="E17145" s="39"/>
      <c r="F17145" s="39"/>
    </row>
    <row r="17146">
      <c r="D17146" s="39"/>
      <c r="E17146" s="39"/>
      <c r="F17146" s="39"/>
    </row>
    <row r="17147">
      <c r="D17147" s="39"/>
      <c r="E17147" s="39"/>
      <c r="F17147" s="39"/>
    </row>
    <row r="17148">
      <c r="D17148" s="39"/>
      <c r="E17148" s="39"/>
      <c r="F17148" s="39"/>
    </row>
    <row r="17149">
      <c r="D17149" s="39"/>
      <c r="E17149" s="39"/>
      <c r="F17149" s="39"/>
    </row>
    <row r="17150">
      <c r="D17150" s="39"/>
      <c r="E17150" s="39"/>
      <c r="F17150" s="39"/>
    </row>
    <row r="17151">
      <c r="D17151" s="39"/>
      <c r="E17151" s="39"/>
      <c r="F17151" s="39"/>
    </row>
    <row r="17152">
      <c r="D17152" s="39"/>
      <c r="E17152" s="39"/>
      <c r="F17152" s="39"/>
    </row>
    <row r="17153">
      <c r="D17153" s="39"/>
      <c r="E17153" s="39"/>
      <c r="F17153" s="39"/>
    </row>
    <row r="17154">
      <c r="D17154" s="39"/>
      <c r="E17154" s="39"/>
      <c r="F17154" s="39"/>
    </row>
    <row r="17155">
      <c r="D17155" s="39"/>
      <c r="E17155" s="39"/>
      <c r="F17155" s="39"/>
    </row>
    <row r="17156">
      <c r="D17156" s="39"/>
      <c r="E17156" s="39"/>
      <c r="F17156" s="39"/>
    </row>
    <row r="17157">
      <c r="D17157" s="39"/>
      <c r="E17157" s="39"/>
      <c r="F17157" s="39"/>
    </row>
    <row r="17158">
      <c r="D17158" s="39"/>
      <c r="E17158" s="39"/>
      <c r="F17158" s="39"/>
    </row>
    <row r="17159">
      <c r="D17159" s="39"/>
      <c r="E17159" s="39"/>
      <c r="F17159" s="39"/>
    </row>
    <row r="17160">
      <c r="D17160" s="39"/>
      <c r="E17160" s="39"/>
      <c r="F17160" s="39"/>
    </row>
    <row r="17161">
      <c r="D17161" s="39"/>
      <c r="E17161" s="39"/>
      <c r="F17161" s="39"/>
    </row>
    <row r="17162">
      <c r="D17162" s="39"/>
      <c r="E17162" s="39"/>
      <c r="F17162" s="39"/>
    </row>
    <row r="17163">
      <c r="D17163" s="39"/>
      <c r="E17163" s="39"/>
      <c r="F17163" s="39"/>
    </row>
    <row r="17164">
      <c r="D17164" s="39"/>
      <c r="E17164" s="39"/>
      <c r="F17164" s="39"/>
    </row>
    <row r="17165">
      <c r="D17165" s="39"/>
      <c r="E17165" s="39"/>
      <c r="F17165" s="39"/>
    </row>
    <row r="17166">
      <c r="D17166" s="39"/>
      <c r="E17166" s="39"/>
      <c r="F17166" s="39"/>
    </row>
    <row r="17167">
      <c r="D17167" s="39"/>
      <c r="E17167" s="39"/>
      <c r="F17167" s="39"/>
    </row>
    <row r="17168">
      <c r="D17168" s="39"/>
      <c r="E17168" s="39"/>
      <c r="F17168" s="39"/>
    </row>
    <row r="17169">
      <c r="D17169" s="39"/>
      <c r="E17169" s="39"/>
      <c r="F17169" s="39"/>
    </row>
    <row r="17170">
      <c r="D17170" s="39"/>
      <c r="E17170" s="39"/>
      <c r="F17170" s="39"/>
    </row>
    <row r="17171">
      <c r="D17171" s="39"/>
      <c r="E17171" s="39"/>
      <c r="F17171" s="39"/>
    </row>
    <row r="17172">
      <c r="D17172" s="39"/>
      <c r="E17172" s="39"/>
      <c r="F17172" s="39"/>
    </row>
    <row r="17173">
      <c r="D17173" s="39"/>
      <c r="E17173" s="39"/>
      <c r="F17173" s="39"/>
    </row>
    <row r="17174">
      <c r="D17174" s="39"/>
      <c r="E17174" s="39"/>
      <c r="F17174" s="39"/>
    </row>
    <row r="17175">
      <c r="D17175" s="39"/>
      <c r="E17175" s="39"/>
      <c r="F17175" s="39"/>
    </row>
    <row r="17176">
      <c r="D17176" s="39"/>
      <c r="E17176" s="39"/>
      <c r="F17176" s="39"/>
    </row>
    <row r="17177">
      <c r="D17177" s="39"/>
      <c r="E17177" s="39"/>
      <c r="F17177" s="39"/>
    </row>
    <row r="17178">
      <c r="D17178" s="39"/>
      <c r="E17178" s="39"/>
      <c r="F17178" s="39"/>
    </row>
    <row r="17179">
      <c r="D17179" s="39"/>
      <c r="E17179" s="39"/>
      <c r="F17179" s="39"/>
    </row>
    <row r="17180">
      <c r="D17180" s="39"/>
      <c r="E17180" s="39"/>
      <c r="F17180" s="39"/>
    </row>
    <row r="17181">
      <c r="D17181" s="39"/>
      <c r="E17181" s="39"/>
      <c r="F17181" s="39"/>
    </row>
    <row r="17182">
      <c r="D17182" s="39"/>
      <c r="E17182" s="39"/>
      <c r="F17182" s="39"/>
    </row>
    <row r="17183">
      <c r="D17183" s="39"/>
      <c r="E17183" s="39"/>
      <c r="F17183" s="39"/>
    </row>
    <row r="17184">
      <c r="D17184" s="39"/>
      <c r="E17184" s="39"/>
      <c r="F17184" s="39"/>
    </row>
    <row r="17185">
      <c r="D17185" s="39"/>
      <c r="E17185" s="39"/>
      <c r="F17185" s="39"/>
    </row>
    <row r="17186">
      <c r="D17186" s="39"/>
      <c r="E17186" s="39"/>
      <c r="F17186" s="39"/>
    </row>
    <row r="17187">
      <c r="D17187" s="39"/>
      <c r="E17187" s="39"/>
      <c r="F17187" s="39"/>
    </row>
    <row r="17188">
      <c r="D17188" s="39"/>
      <c r="E17188" s="39"/>
      <c r="F17188" s="39"/>
    </row>
    <row r="17189">
      <c r="D17189" s="39"/>
      <c r="E17189" s="39"/>
      <c r="F17189" s="39"/>
    </row>
    <row r="17190">
      <c r="D17190" s="39"/>
      <c r="E17190" s="39"/>
      <c r="F17190" s="39"/>
    </row>
    <row r="17191">
      <c r="D17191" s="39"/>
      <c r="E17191" s="39"/>
      <c r="F17191" s="39"/>
    </row>
    <row r="17192">
      <c r="D17192" s="39"/>
      <c r="E17192" s="39"/>
      <c r="F17192" s="39"/>
    </row>
    <row r="17193">
      <c r="D17193" s="39"/>
      <c r="E17193" s="39"/>
      <c r="F17193" s="39"/>
    </row>
    <row r="17194">
      <c r="D17194" s="39"/>
      <c r="E17194" s="39"/>
      <c r="F17194" s="39"/>
    </row>
    <row r="17195">
      <c r="D17195" s="39"/>
      <c r="E17195" s="39"/>
      <c r="F17195" s="39"/>
    </row>
    <row r="17196">
      <c r="D17196" s="39"/>
      <c r="E17196" s="39"/>
      <c r="F17196" s="39"/>
    </row>
    <row r="17197">
      <c r="D17197" s="39"/>
      <c r="E17197" s="39"/>
      <c r="F17197" s="39"/>
    </row>
    <row r="17198">
      <c r="D17198" s="39"/>
      <c r="E17198" s="39"/>
      <c r="F17198" s="39"/>
    </row>
    <row r="17199">
      <c r="D17199" s="39"/>
      <c r="E17199" s="39"/>
      <c r="F17199" s="39"/>
    </row>
    <row r="17200">
      <c r="D17200" s="39"/>
      <c r="E17200" s="39"/>
      <c r="F17200" s="39"/>
    </row>
    <row r="17201">
      <c r="D17201" s="39"/>
      <c r="E17201" s="39"/>
      <c r="F17201" s="39"/>
    </row>
    <row r="17202">
      <c r="D17202" s="39"/>
      <c r="E17202" s="39"/>
      <c r="F17202" s="39"/>
    </row>
    <row r="17203">
      <c r="D17203" s="39"/>
      <c r="E17203" s="39"/>
      <c r="F17203" s="39"/>
    </row>
    <row r="17204">
      <c r="D17204" s="39"/>
      <c r="E17204" s="39"/>
      <c r="F17204" s="39"/>
    </row>
    <row r="17205">
      <c r="D17205" s="39"/>
      <c r="E17205" s="39"/>
      <c r="F17205" s="39"/>
    </row>
    <row r="17206">
      <c r="D17206" s="39"/>
      <c r="E17206" s="39"/>
      <c r="F17206" s="39"/>
    </row>
    <row r="17207">
      <c r="D17207" s="39"/>
      <c r="E17207" s="39"/>
      <c r="F17207" s="39"/>
    </row>
    <row r="17208">
      <c r="D17208" s="39"/>
      <c r="E17208" s="39"/>
      <c r="F17208" s="39"/>
    </row>
    <row r="17209">
      <c r="D17209" s="39"/>
      <c r="E17209" s="39"/>
      <c r="F17209" s="39"/>
    </row>
    <row r="17210">
      <c r="D17210" s="39"/>
      <c r="E17210" s="39"/>
      <c r="F17210" s="39"/>
    </row>
    <row r="17211">
      <c r="D17211" s="39"/>
      <c r="E17211" s="39"/>
      <c r="F17211" s="39"/>
    </row>
    <row r="17212">
      <c r="D17212" s="39"/>
      <c r="E17212" s="39"/>
      <c r="F17212" s="39"/>
    </row>
    <row r="17213">
      <c r="D17213" s="39"/>
      <c r="E17213" s="39"/>
      <c r="F17213" s="39"/>
    </row>
    <row r="17214">
      <c r="D17214" s="39"/>
      <c r="E17214" s="39"/>
      <c r="F17214" s="39"/>
    </row>
    <row r="17215">
      <c r="D17215" s="39"/>
      <c r="E17215" s="39"/>
      <c r="F17215" s="39"/>
    </row>
    <row r="17216">
      <c r="D17216" s="39"/>
      <c r="E17216" s="39"/>
      <c r="F17216" s="39"/>
    </row>
    <row r="17217">
      <c r="D17217" s="39"/>
      <c r="E17217" s="39"/>
      <c r="F17217" s="39"/>
    </row>
    <row r="17218">
      <c r="D17218" s="39"/>
      <c r="E17218" s="39"/>
      <c r="F17218" s="39"/>
    </row>
    <row r="17219">
      <c r="D17219" s="39"/>
      <c r="E17219" s="39"/>
      <c r="F17219" s="39"/>
    </row>
    <row r="17220">
      <c r="D17220" s="39"/>
      <c r="E17220" s="39"/>
      <c r="F17220" s="39"/>
    </row>
    <row r="17221">
      <c r="D17221" s="39"/>
      <c r="E17221" s="39"/>
      <c r="F17221" s="39"/>
    </row>
    <row r="17222">
      <c r="D17222" s="39"/>
      <c r="E17222" s="39"/>
      <c r="F17222" s="39"/>
    </row>
    <row r="17223">
      <c r="D17223" s="39"/>
      <c r="E17223" s="39"/>
      <c r="F17223" s="39"/>
    </row>
    <row r="17224">
      <c r="D17224" s="39"/>
      <c r="E17224" s="39"/>
      <c r="F17224" s="39"/>
    </row>
    <row r="17225">
      <c r="D17225" s="39"/>
      <c r="E17225" s="39"/>
      <c r="F17225" s="39"/>
    </row>
    <row r="17226">
      <c r="D17226" s="39"/>
      <c r="E17226" s="39"/>
      <c r="F17226" s="39"/>
    </row>
    <row r="17227">
      <c r="D17227" s="39"/>
      <c r="E17227" s="39"/>
      <c r="F17227" s="39"/>
    </row>
    <row r="17228">
      <c r="D17228" s="39"/>
      <c r="E17228" s="39"/>
      <c r="F17228" s="39"/>
    </row>
    <row r="17229">
      <c r="D17229" s="39"/>
      <c r="E17229" s="39"/>
      <c r="F17229" s="39"/>
    </row>
    <row r="17230">
      <c r="D17230" s="39"/>
      <c r="E17230" s="39"/>
      <c r="F17230" s="39"/>
    </row>
    <row r="17231">
      <c r="D17231" s="39"/>
      <c r="E17231" s="39"/>
      <c r="F17231" s="39"/>
    </row>
    <row r="17232">
      <c r="D17232" s="39"/>
      <c r="E17232" s="39"/>
      <c r="F17232" s="39"/>
    </row>
    <row r="17233">
      <c r="D17233" s="39"/>
      <c r="E17233" s="39"/>
      <c r="F17233" s="39"/>
    </row>
    <row r="17234">
      <c r="D17234" s="39"/>
      <c r="E17234" s="39"/>
      <c r="F17234" s="39"/>
    </row>
    <row r="17235">
      <c r="D17235" s="39"/>
      <c r="E17235" s="39"/>
      <c r="F17235" s="39"/>
    </row>
    <row r="17236">
      <c r="D17236" s="39"/>
      <c r="E17236" s="39"/>
      <c r="F17236" s="39"/>
    </row>
    <row r="17237">
      <c r="D17237" s="39"/>
      <c r="E17237" s="39"/>
      <c r="F17237" s="39"/>
    </row>
    <row r="17238">
      <c r="D17238" s="39"/>
      <c r="E17238" s="39"/>
      <c r="F17238" s="39"/>
    </row>
    <row r="17239">
      <c r="D17239" s="39"/>
      <c r="E17239" s="39"/>
      <c r="F17239" s="39"/>
    </row>
    <row r="17240">
      <c r="D17240" s="39"/>
      <c r="E17240" s="39"/>
      <c r="F17240" s="39"/>
    </row>
    <row r="17241">
      <c r="D17241" s="39"/>
      <c r="E17241" s="39"/>
      <c r="F17241" s="39"/>
    </row>
    <row r="17242">
      <c r="D17242" s="39"/>
      <c r="E17242" s="39"/>
      <c r="F17242" s="39"/>
    </row>
    <row r="17243">
      <c r="D17243" s="39"/>
      <c r="E17243" s="39"/>
      <c r="F17243" s="39"/>
    </row>
    <row r="17244">
      <c r="D17244" s="39"/>
      <c r="E17244" s="39"/>
      <c r="F17244" s="39"/>
    </row>
    <row r="17245">
      <c r="D17245" s="39"/>
      <c r="E17245" s="39"/>
      <c r="F17245" s="39"/>
    </row>
    <row r="17246">
      <c r="D17246" s="39"/>
      <c r="E17246" s="39"/>
      <c r="F17246" s="39"/>
    </row>
    <row r="17247">
      <c r="D17247" s="39"/>
      <c r="E17247" s="39"/>
      <c r="F17247" s="39"/>
    </row>
    <row r="17248">
      <c r="D17248" s="39"/>
      <c r="E17248" s="39"/>
      <c r="F17248" s="39"/>
    </row>
    <row r="17249">
      <c r="D17249" s="39"/>
      <c r="E17249" s="39"/>
      <c r="F17249" s="39"/>
    </row>
    <row r="17250">
      <c r="D17250" s="39"/>
      <c r="E17250" s="39"/>
      <c r="F17250" s="39"/>
    </row>
    <row r="17251">
      <c r="D17251" s="39"/>
      <c r="E17251" s="39"/>
      <c r="F17251" s="39"/>
    </row>
    <row r="17252">
      <c r="D17252" s="39"/>
      <c r="E17252" s="39"/>
      <c r="F17252" s="39"/>
    </row>
    <row r="17253">
      <c r="D17253" s="39"/>
      <c r="E17253" s="39"/>
      <c r="F17253" s="39"/>
    </row>
    <row r="17254">
      <c r="D17254" s="39"/>
      <c r="E17254" s="39"/>
      <c r="F17254" s="39"/>
    </row>
    <row r="17255">
      <c r="D17255" s="39"/>
      <c r="E17255" s="39"/>
      <c r="F17255" s="39"/>
    </row>
    <row r="17256">
      <c r="D17256" s="39"/>
      <c r="E17256" s="39"/>
      <c r="F17256" s="39"/>
    </row>
    <row r="17257">
      <c r="D17257" s="39"/>
      <c r="E17257" s="39"/>
      <c r="F17257" s="39"/>
    </row>
    <row r="17258">
      <c r="D17258" s="39"/>
      <c r="E17258" s="39"/>
      <c r="F17258" s="39"/>
    </row>
    <row r="17259">
      <c r="D17259" s="39"/>
      <c r="E17259" s="39"/>
      <c r="F17259" s="39"/>
    </row>
    <row r="17260">
      <c r="D17260" s="39"/>
      <c r="E17260" s="39"/>
      <c r="F17260" s="39"/>
    </row>
    <row r="17261">
      <c r="D17261" s="39"/>
      <c r="E17261" s="39"/>
      <c r="F17261" s="39"/>
    </row>
    <row r="17262">
      <c r="D17262" s="39"/>
      <c r="E17262" s="39"/>
      <c r="F17262" s="39"/>
    </row>
    <row r="17263">
      <c r="D17263" s="39"/>
      <c r="E17263" s="39"/>
      <c r="F17263" s="39"/>
    </row>
    <row r="17264">
      <c r="D17264" s="39"/>
      <c r="E17264" s="39"/>
      <c r="F17264" s="39"/>
    </row>
    <row r="17265">
      <c r="D17265" s="39"/>
      <c r="E17265" s="39"/>
      <c r="F17265" s="39"/>
    </row>
    <row r="17266">
      <c r="D17266" s="39"/>
      <c r="E17266" s="39"/>
      <c r="F17266" s="39"/>
    </row>
    <row r="17267">
      <c r="D17267" s="39"/>
      <c r="E17267" s="39"/>
      <c r="F17267" s="39"/>
    </row>
    <row r="17268">
      <c r="D17268" s="39"/>
      <c r="E17268" s="39"/>
      <c r="F17268" s="39"/>
    </row>
    <row r="17269">
      <c r="D17269" s="39"/>
      <c r="E17269" s="39"/>
      <c r="F17269" s="39"/>
    </row>
    <row r="17270">
      <c r="D17270" s="39"/>
      <c r="E17270" s="39"/>
      <c r="F17270" s="39"/>
    </row>
    <row r="17271">
      <c r="D17271" s="39"/>
      <c r="E17271" s="39"/>
      <c r="F17271" s="39"/>
    </row>
    <row r="17272">
      <c r="D17272" s="39"/>
      <c r="E17272" s="39"/>
      <c r="F17272" s="39"/>
    </row>
    <row r="17273">
      <c r="D17273" s="39"/>
      <c r="E17273" s="39"/>
      <c r="F17273" s="39"/>
    </row>
    <row r="17274">
      <c r="D17274" s="39"/>
      <c r="E17274" s="39"/>
      <c r="F17274" s="39"/>
    </row>
    <row r="17275">
      <c r="D17275" s="39"/>
      <c r="E17275" s="39"/>
      <c r="F17275" s="39"/>
    </row>
    <row r="17276">
      <c r="D17276" s="39"/>
      <c r="E17276" s="39"/>
      <c r="F17276" s="39"/>
    </row>
    <row r="17277">
      <c r="D17277" s="39"/>
      <c r="E17277" s="39"/>
      <c r="F17277" s="39"/>
    </row>
    <row r="17278">
      <c r="D17278" s="39"/>
      <c r="E17278" s="39"/>
      <c r="F17278" s="39"/>
    </row>
    <row r="17279">
      <c r="D17279" s="39"/>
      <c r="E17279" s="39"/>
      <c r="F17279" s="39"/>
    </row>
    <row r="17280">
      <c r="D17280" s="39"/>
      <c r="E17280" s="39"/>
      <c r="F17280" s="39"/>
    </row>
    <row r="17281">
      <c r="D17281" s="39"/>
      <c r="E17281" s="39"/>
      <c r="F17281" s="39"/>
    </row>
    <row r="17282">
      <c r="D17282" s="39"/>
      <c r="E17282" s="39"/>
      <c r="F17282" s="39"/>
    </row>
    <row r="17283">
      <c r="D17283" s="39"/>
      <c r="E17283" s="39"/>
      <c r="F17283" s="39"/>
    </row>
    <row r="17284">
      <c r="D17284" s="39"/>
      <c r="E17284" s="39"/>
      <c r="F17284" s="39"/>
    </row>
    <row r="17285">
      <c r="D17285" s="39"/>
      <c r="E17285" s="39"/>
      <c r="F17285" s="39"/>
    </row>
    <row r="17286">
      <c r="D17286" s="39"/>
      <c r="E17286" s="39"/>
      <c r="F17286" s="39"/>
    </row>
    <row r="17287">
      <c r="D17287" s="39"/>
      <c r="E17287" s="39"/>
      <c r="F17287" s="39"/>
    </row>
    <row r="17288">
      <c r="D17288" s="39"/>
      <c r="E17288" s="39"/>
      <c r="F17288" s="39"/>
    </row>
    <row r="17289">
      <c r="D17289" s="39"/>
      <c r="E17289" s="39"/>
      <c r="F17289" s="39"/>
    </row>
    <row r="17290">
      <c r="D17290" s="39"/>
      <c r="E17290" s="39"/>
      <c r="F17290" s="39"/>
    </row>
    <row r="17291">
      <c r="D17291" s="39"/>
      <c r="E17291" s="39"/>
      <c r="F17291" s="39"/>
    </row>
    <row r="17292">
      <c r="D17292" s="39"/>
      <c r="E17292" s="39"/>
      <c r="F17292" s="39"/>
    </row>
    <row r="17293">
      <c r="D17293" s="39"/>
      <c r="E17293" s="39"/>
      <c r="F17293" s="39"/>
    </row>
    <row r="17294">
      <c r="D17294" s="39"/>
      <c r="E17294" s="39"/>
      <c r="F17294" s="39"/>
    </row>
    <row r="17295">
      <c r="D17295" s="39"/>
      <c r="E17295" s="39"/>
      <c r="F17295" s="39"/>
    </row>
    <row r="17296">
      <c r="D17296" s="39"/>
      <c r="E17296" s="39"/>
      <c r="F17296" s="39"/>
    </row>
    <row r="17297">
      <c r="D17297" s="39"/>
      <c r="E17297" s="39"/>
      <c r="F17297" s="39"/>
    </row>
    <row r="17298">
      <c r="D17298" s="39"/>
      <c r="E17298" s="39"/>
      <c r="F17298" s="39"/>
    </row>
    <row r="17299">
      <c r="D17299" s="39"/>
      <c r="E17299" s="39"/>
      <c r="F17299" s="39"/>
    </row>
    <row r="17300">
      <c r="D17300" s="39"/>
      <c r="E17300" s="39"/>
      <c r="F17300" s="39"/>
    </row>
    <row r="17301">
      <c r="D17301" s="39"/>
      <c r="E17301" s="39"/>
      <c r="F17301" s="39"/>
    </row>
    <row r="17302">
      <c r="D17302" s="39"/>
      <c r="E17302" s="39"/>
      <c r="F17302" s="39"/>
    </row>
    <row r="17303">
      <c r="D17303" s="39"/>
      <c r="E17303" s="39"/>
      <c r="F17303" s="39"/>
    </row>
    <row r="17304">
      <c r="D17304" s="39"/>
      <c r="E17304" s="39"/>
      <c r="F17304" s="39"/>
    </row>
    <row r="17305">
      <c r="D17305" s="39"/>
      <c r="E17305" s="39"/>
      <c r="F17305" s="39"/>
    </row>
    <row r="17306">
      <c r="D17306" s="39"/>
      <c r="E17306" s="39"/>
      <c r="F17306" s="39"/>
    </row>
    <row r="17307">
      <c r="D17307" s="39"/>
      <c r="E17307" s="39"/>
      <c r="F17307" s="39"/>
    </row>
    <row r="17308">
      <c r="D17308" s="39"/>
      <c r="E17308" s="39"/>
      <c r="F17308" s="39"/>
    </row>
    <row r="17309">
      <c r="D17309" s="39"/>
      <c r="E17309" s="39"/>
      <c r="F17309" s="39"/>
    </row>
    <row r="17310">
      <c r="D17310" s="39"/>
      <c r="E17310" s="39"/>
      <c r="F17310" s="39"/>
    </row>
    <row r="17311">
      <c r="D17311" s="39"/>
      <c r="E17311" s="39"/>
      <c r="F17311" s="39"/>
    </row>
    <row r="17312">
      <c r="D17312" s="39"/>
      <c r="E17312" s="39"/>
      <c r="F17312" s="39"/>
    </row>
    <row r="17313">
      <c r="D17313" s="39"/>
      <c r="E17313" s="39"/>
      <c r="F17313" s="39"/>
    </row>
    <row r="17314">
      <c r="D17314" s="39"/>
      <c r="E17314" s="39"/>
      <c r="F17314" s="39"/>
    </row>
    <row r="17315">
      <c r="D17315" s="39"/>
      <c r="E17315" s="39"/>
      <c r="F17315" s="39"/>
    </row>
    <row r="17316">
      <c r="D17316" s="39"/>
      <c r="E17316" s="39"/>
      <c r="F17316" s="39"/>
    </row>
    <row r="17317">
      <c r="D17317" s="39"/>
      <c r="E17317" s="39"/>
      <c r="F17317" s="39"/>
    </row>
    <row r="17318">
      <c r="D17318" s="39"/>
      <c r="E17318" s="39"/>
      <c r="F17318" s="39"/>
    </row>
    <row r="17319">
      <c r="D17319" s="39"/>
      <c r="E17319" s="39"/>
      <c r="F17319" s="39"/>
    </row>
    <row r="17320">
      <c r="D17320" s="39"/>
      <c r="E17320" s="39"/>
      <c r="F17320" s="39"/>
    </row>
    <row r="17321">
      <c r="D17321" s="39"/>
      <c r="E17321" s="39"/>
      <c r="F17321" s="39"/>
    </row>
    <row r="17322">
      <c r="D17322" s="39"/>
      <c r="E17322" s="39"/>
      <c r="F17322" s="39"/>
    </row>
    <row r="17323">
      <c r="D17323" s="39"/>
      <c r="E17323" s="39"/>
      <c r="F17323" s="39"/>
    </row>
    <row r="17324">
      <c r="D17324" s="39"/>
      <c r="E17324" s="39"/>
      <c r="F17324" s="39"/>
    </row>
    <row r="17325">
      <c r="D17325" s="39"/>
      <c r="E17325" s="39"/>
      <c r="F17325" s="39"/>
    </row>
    <row r="17326">
      <c r="D17326" s="39"/>
      <c r="E17326" s="39"/>
      <c r="F17326" s="39"/>
    </row>
    <row r="17327">
      <c r="D17327" s="39"/>
      <c r="E17327" s="39"/>
      <c r="F17327" s="39"/>
    </row>
    <row r="17328">
      <c r="D17328" s="39"/>
      <c r="E17328" s="39"/>
      <c r="F17328" s="39"/>
    </row>
    <row r="17329">
      <c r="D17329" s="39"/>
      <c r="E17329" s="39"/>
      <c r="F17329" s="39"/>
    </row>
    <row r="17330">
      <c r="D17330" s="39"/>
      <c r="E17330" s="39"/>
      <c r="F17330" s="39"/>
    </row>
    <row r="17331">
      <c r="D17331" s="39"/>
      <c r="E17331" s="39"/>
      <c r="F17331" s="39"/>
    </row>
    <row r="17332">
      <c r="D17332" s="39"/>
      <c r="E17332" s="39"/>
      <c r="F17332" s="39"/>
    </row>
    <row r="17333">
      <c r="D17333" s="39"/>
      <c r="E17333" s="39"/>
      <c r="F17333" s="39"/>
    </row>
    <row r="17334">
      <c r="D17334" s="39"/>
      <c r="E17334" s="39"/>
      <c r="F17334" s="39"/>
    </row>
    <row r="17335">
      <c r="D17335" s="39"/>
      <c r="E17335" s="39"/>
      <c r="F17335" s="39"/>
    </row>
    <row r="17336">
      <c r="D17336" s="39"/>
      <c r="E17336" s="39"/>
      <c r="F17336" s="39"/>
    </row>
    <row r="17337">
      <c r="D17337" s="39"/>
      <c r="E17337" s="39"/>
      <c r="F17337" s="39"/>
    </row>
    <row r="17338">
      <c r="D17338" s="39"/>
      <c r="E17338" s="39"/>
      <c r="F17338" s="39"/>
    </row>
    <row r="17339">
      <c r="D17339" s="39"/>
      <c r="E17339" s="39"/>
      <c r="F17339" s="39"/>
    </row>
    <row r="17340">
      <c r="D17340" s="39"/>
      <c r="E17340" s="39"/>
      <c r="F17340" s="39"/>
    </row>
    <row r="17341">
      <c r="D17341" s="39"/>
      <c r="E17341" s="39"/>
      <c r="F17341" s="39"/>
    </row>
    <row r="17342">
      <c r="D17342" s="39"/>
      <c r="E17342" s="39"/>
      <c r="F17342" s="39"/>
    </row>
    <row r="17343">
      <c r="D17343" s="39"/>
      <c r="E17343" s="39"/>
      <c r="F17343" s="39"/>
    </row>
    <row r="17344">
      <c r="D17344" s="39"/>
      <c r="E17344" s="39"/>
      <c r="F17344" s="39"/>
    </row>
    <row r="17345">
      <c r="D17345" s="39"/>
      <c r="E17345" s="39"/>
      <c r="F17345" s="39"/>
    </row>
    <row r="17346">
      <c r="D17346" s="39"/>
      <c r="E17346" s="39"/>
      <c r="F17346" s="39"/>
    </row>
    <row r="17347">
      <c r="D17347" s="39"/>
      <c r="E17347" s="39"/>
      <c r="F17347" s="39"/>
    </row>
    <row r="17348">
      <c r="D17348" s="39"/>
      <c r="E17348" s="39"/>
      <c r="F17348" s="39"/>
    </row>
    <row r="17349">
      <c r="D17349" s="39"/>
      <c r="E17349" s="39"/>
      <c r="F17349" s="39"/>
    </row>
    <row r="17350">
      <c r="D17350" s="39"/>
      <c r="E17350" s="39"/>
      <c r="F17350" s="39"/>
    </row>
    <row r="17351">
      <c r="D17351" s="39"/>
      <c r="E17351" s="39"/>
      <c r="F17351" s="39"/>
    </row>
    <row r="17352">
      <c r="D17352" s="39"/>
      <c r="E17352" s="39"/>
      <c r="F17352" s="39"/>
    </row>
    <row r="17353">
      <c r="D17353" s="39"/>
      <c r="E17353" s="39"/>
      <c r="F17353" s="39"/>
    </row>
    <row r="17354">
      <c r="D17354" s="39"/>
      <c r="E17354" s="39"/>
      <c r="F17354" s="39"/>
    </row>
    <row r="17355">
      <c r="D17355" s="39"/>
      <c r="E17355" s="39"/>
      <c r="F17355" s="39"/>
    </row>
    <row r="17356">
      <c r="D17356" s="39"/>
      <c r="E17356" s="39"/>
      <c r="F17356" s="39"/>
    </row>
    <row r="17357">
      <c r="D17357" s="39"/>
      <c r="E17357" s="39"/>
      <c r="F17357" s="39"/>
    </row>
    <row r="17358">
      <c r="D17358" s="39"/>
      <c r="E17358" s="39"/>
      <c r="F17358" s="39"/>
    </row>
    <row r="17359">
      <c r="D17359" s="39"/>
      <c r="E17359" s="39"/>
      <c r="F17359" s="39"/>
    </row>
    <row r="17360">
      <c r="D17360" s="39"/>
      <c r="E17360" s="39"/>
      <c r="F17360" s="39"/>
    </row>
    <row r="17361">
      <c r="D17361" s="39"/>
      <c r="E17361" s="39"/>
      <c r="F17361" s="39"/>
    </row>
    <row r="17362">
      <c r="D17362" s="39"/>
      <c r="E17362" s="39"/>
      <c r="F17362" s="39"/>
    </row>
    <row r="17363">
      <c r="D17363" s="39"/>
      <c r="E17363" s="39"/>
      <c r="F17363" s="39"/>
    </row>
    <row r="17364">
      <c r="D17364" s="39"/>
      <c r="E17364" s="39"/>
      <c r="F17364" s="39"/>
    </row>
    <row r="17365">
      <c r="D17365" s="39"/>
      <c r="E17365" s="39"/>
      <c r="F17365" s="39"/>
    </row>
    <row r="17366">
      <c r="D17366" s="39"/>
      <c r="E17366" s="39"/>
      <c r="F17366" s="39"/>
    </row>
    <row r="17367">
      <c r="D17367" s="39"/>
      <c r="E17367" s="39"/>
      <c r="F17367" s="39"/>
    </row>
    <row r="17368">
      <c r="D17368" s="39"/>
      <c r="E17368" s="39"/>
      <c r="F17368" s="39"/>
    </row>
    <row r="17369">
      <c r="D17369" s="39"/>
      <c r="E17369" s="39"/>
      <c r="F17369" s="39"/>
    </row>
    <row r="17370">
      <c r="D17370" s="39"/>
      <c r="E17370" s="39"/>
      <c r="F17370" s="39"/>
    </row>
    <row r="17371">
      <c r="D17371" s="39"/>
      <c r="E17371" s="39"/>
      <c r="F17371" s="39"/>
    </row>
    <row r="17372">
      <c r="D17372" s="39"/>
      <c r="E17372" s="39"/>
      <c r="F17372" s="39"/>
    </row>
    <row r="17373">
      <c r="D17373" s="39"/>
      <c r="E17373" s="39"/>
      <c r="F17373" s="39"/>
    </row>
    <row r="17374">
      <c r="D17374" s="39"/>
      <c r="E17374" s="39"/>
      <c r="F17374" s="39"/>
    </row>
    <row r="17375">
      <c r="D17375" s="39"/>
      <c r="E17375" s="39"/>
      <c r="F17375" s="39"/>
    </row>
    <row r="17376">
      <c r="D17376" s="39"/>
      <c r="E17376" s="39"/>
      <c r="F17376" s="39"/>
    </row>
    <row r="17377">
      <c r="D17377" s="39"/>
      <c r="E17377" s="39"/>
      <c r="F17377" s="39"/>
    </row>
    <row r="17378">
      <c r="D17378" s="39"/>
      <c r="E17378" s="39"/>
      <c r="F17378" s="39"/>
    </row>
    <row r="17379">
      <c r="D17379" s="39"/>
      <c r="E17379" s="39"/>
      <c r="F17379" s="39"/>
    </row>
    <row r="17380">
      <c r="D17380" s="39"/>
      <c r="E17380" s="39"/>
      <c r="F17380" s="39"/>
    </row>
    <row r="17381">
      <c r="D17381" s="39"/>
      <c r="E17381" s="39"/>
      <c r="F17381" s="39"/>
    </row>
    <row r="17382">
      <c r="D17382" s="39"/>
      <c r="E17382" s="39"/>
      <c r="F17382" s="39"/>
    </row>
    <row r="17383">
      <c r="D17383" s="39"/>
      <c r="E17383" s="39"/>
      <c r="F17383" s="39"/>
    </row>
    <row r="17384">
      <c r="D17384" s="39"/>
      <c r="E17384" s="39"/>
      <c r="F17384" s="39"/>
    </row>
    <row r="17385">
      <c r="D17385" s="39"/>
      <c r="E17385" s="39"/>
      <c r="F17385" s="39"/>
    </row>
    <row r="17386">
      <c r="D17386" s="39"/>
      <c r="E17386" s="39"/>
      <c r="F17386" s="39"/>
    </row>
    <row r="17387">
      <c r="D17387" s="39"/>
      <c r="E17387" s="39"/>
      <c r="F17387" s="39"/>
    </row>
    <row r="17388">
      <c r="D17388" s="39"/>
      <c r="E17388" s="39"/>
      <c r="F17388" s="39"/>
    </row>
    <row r="17389">
      <c r="D17389" s="39"/>
      <c r="E17389" s="39"/>
      <c r="F17389" s="39"/>
    </row>
    <row r="17390">
      <c r="D17390" s="39"/>
      <c r="E17390" s="39"/>
      <c r="F17390" s="39"/>
    </row>
    <row r="17391">
      <c r="D17391" s="39"/>
      <c r="E17391" s="39"/>
      <c r="F17391" s="39"/>
    </row>
    <row r="17392">
      <c r="D17392" s="39"/>
      <c r="E17392" s="39"/>
      <c r="F17392" s="39"/>
    </row>
    <row r="17393">
      <c r="D17393" s="39"/>
      <c r="E17393" s="39"/>
      <c r="F17393" s="39"/>
    </row>
    <row r="17394">
      <c r="D17394" s="39"/>
      <c r="E17394" s="39"/>
      <c r="F17394" s="39"/>
    </row>
    <row r="17395">
      <c r="D17395" s="39"/>
      <c r="E17395" s="39"/>
      <c r="F17395" s="39"/>
    </row>
    <row r="17396">
      <c r="D17396" s="39"/>
      <c r="E17396" s="39"/>
      <c r="F17396" s="39"/>
    </row>
    <row r="17397">
      <c r="D17397" s="39"/>
      <c r="E17397" s="39"/>
      <c r="F17397" s="39"/>
    </row>
    <row r="17398">
      <c r="D17398" s="39"/>
      <c r="E17398" s="39"/>
      <c r="F17398" s="39"/>
    </row>
    <row r="17399">
      <c r="D17399" s="39"/>
      <c r="E17399" s="39"/>
      <c r="F17399" s="39"/>
    </row>
    <row r="17400">
      <c r="D17400" s="39"/>
      <c r="E17400" s="39"/>
      <c r="F17400" s="39"/>
    </row>
    <row r="17401">
      <c r="D17401" s="39"/>
      <c r="E17401" s="39"/>
      <c r="F17401" s="39"/>
    </row>
    <row r="17402">
      <c r="D17402" s="39"/>
      <c r="E17402" s="39"/>
      <c r="F17402" s="39"/>
    </row>
    <row r="17403">
      <c r="D17403" s="39"/>
      <c r="E17403" s="39"/>
      <c r="F17403" s="39"/>
    </row>
    <row r="17404">
      <c r="D17404" s="39"/>
      <c r="E17404" s="39"/>
      <c r="F17404" s="39"/>
    </row>
    <row r="17405">
      <c r="D17405" s="39"/>
      <c r="E17405" s="39"/>
      <c r="F17405" s="39"/>
    </row>
    <row r="17406">
      <c r="D17406" s="39"/>
      <c r="E17406" s="39"/>
      <c r="F17406" s="39"/>
    </row>
    <row r="17407">
      <c r="D17407" s="39"/>
      <c r="E17407" s="39"/>
      <c r="F17407" s="39"/>
    </row>
    <row r="17408">
      <c r="D17408" s="39"/>
      <c r="E17408" s="39"/>
      <c r="F17408" s="39"/>
    </row>
    <row r="17409">
      <c r="D17409" s="39"/>
      <c r="E17409" s="39"/>
      <c r="F17409" s="39"/>
    </row>
    <row r="17410">
      <c r="D17410" s="39"/>
      <c r="E17410" s="39"/>
      <c r="F17410" s="39"/>
    </row>
    <row r="17411">
      <c r="D17411" s="39"/>
      <c r="E17411" s="39"/>
      <c r="F17411" s="39"/>
    </row>
    <row r="17412">
      <c r="D17412" s="39"/>
      <c r="E17412" s="39"/>
      <c r="F17412" s="39"/>
    </row>
    <row r="17413">
      <c r="D17413" s="39"/>
      <c r="E17413" s="39"/>
      <c r="F17413" s="39"/>
    </row>
    <row r="17414">
      <c r="D17414" s="39"/>
      <c r="E17414" s="39"/>
      <c r="F17414" s="39"/>
    </row>
    <row r="17415">
      <c r="D17415" s="39"/>
      <c r="E17415" s="39"/>
      <c r="F17415" s="39"/>
    </row>
    <row r="17416">
      <c r="D17416" s="39"/>
      <c r="E17416" s="39"/>
      <c r="F17416" s="39"/>
    </row>
    <row r="17417">
      <c r="D17417" s="39"/>
      <c r="E17417" s="39"/>
      <c r="F17417" s="39"/>
    </row>
    <row r="17418">
      <c r="D17418" s="39"/>
      <c r="E17418" s="39"/>
      <c r="F17418" s="39"/>
    </row>
    <row r="17419">
      <c r="D17419" s="39"/>
      <c r="E17419" s="39"/>
      <c r="F17419" s="39"/>
    </row>
    <row r="17420">
      <c r="D17420" s="39"/>
      <c r="E17420" s="39"/>
      <c r="F17420" s="39"/>
    </row>
    <row r="17421">
      <c r="D17421" s="39"/>
      <c r="E17421" s="39"/>
      <c r="F17421" s="39"/>
    </row>
    <row r="17422">
      <c r="D17422" s="39"/>
      <c r="E17422" s="39"/>
      <c r="F17422" s="39"/>
    </row>
    <row r="17423">
      <c r="D17423" s="39"/>
      <c r="E17423" s="39"/>
      <c r="F17423" s="39"/>
    </row>
    <row r="17424">
      <c r="D17424" s="39"/>
      <c r="E17424" s="39"/>
      <c r="F17424" s="39"/>
    </row>
    <row r="17425">
      <c r="D17425" s="39"/>
      <c r="E17425" s="39"/>
      <c r="F17425" s="39"/>
    </row>
    <row r="17426">
      <c r="D17426" s="39"/>
      <c r="E17426" s="39"/>
      <c r="F17426" s="39"/>
    </row>
    <row r="17427">
      <c r="D17427" s="39"/>
      <c r="E17427" s="39"/>
      <c r="F17427" s="39"/>
    </row>
    <row r="17428">
      <c r="D17428" s="39"/>
      <c r="E17428" s="39"/>
      <c r="F17428" s="39"/>
    </row>
    <row r="17429">
      <c r="D17429" s="39"/>
      <c r="E17429" s="39"/>
      <c r="F17429" s="39"/>
    </row>
    <row r="17430">
      <c r="D17430" s="39"/>
      <c r="E17430" s="39"/>
      <c r="F17430" s="39"/>
    </row>
    <row r="17431">
      <c r="D17431" s="39"/>
      <c r="E17431" s="39"/>
      <c r="F17431" s="39"/>
    </row>
    <row r="17432">
      <c r="D17432" s="39"/>
      <c r="E17432" s="39"/>
      <c r="F17432" s="39"/>
    </row>
    <row r="17433">
      <c r="D17433" s="39"/>
      <c r="E17433" s="39"/>
      <c r="F17433" s="39"/>
    </row>
    <row r="17434">
      <c r="D17434" s="39"/>
      <c r="E17434" s="39"/>
      <c r="F17434" s="39"/>
    </row>
    <row r="17435">
      <c r="D17435" s="39"/>
      <c r="E17435" s="39"/>
      <c r="F17435" s="39"/>
    </row>
    <row r="17436">
      <c r="D17436" s="39"/>
      <c r="E17436" s="39"/>
      <c r="F17436" s="39"/>
    </row>
    <row r="17437">
      <c r="D17437" s="39"/>
      <c r="E17437" s="39"/>
      <c r="F17437" s="39"/>
    </row>
    <row r="17438">
      <c r="D17438" s="39"/>
      <c r="E17438" s="39"/>
      <c r="F17438" s="39"/>
    </row>
    <row r="17439">
      <c r="D17439" s="39"/>
      <c r="E17439" s="39"/>
      <c r="F17439" s="39"/>
    </row>
    <row r="17440">
      <c r="D17440" s="39"/>
      <c r="E17440" s="39"/>
      <c r="F17440" s="39"/>
    </row>
    <row r="17441">
      <c r="D17441" s="39"/>
      <c r="E17441" s="39"/>
      <c r="F17441" s="39"/>
    </row>
    <row r="17442">
      <c r="D17442" s="39"/>
      <c r="E17442" s="39"/>
      <c r="F17442" s="39"/>
    </row>
    <row r="17443">
      <c r="D17443" s="39"/>
      <c r="E17443" s="39"/>
      <c r="F17443" s="39"/>
    </row>
    <row r="17444">
      <c r="D17444" s="39"/>
      <c r="E17444" s="39"/>
      <c r="F17444" s="39"/>
    </row>
    <row r="17445">
      <c r="D17445" s="39"/>
      <c r="E17445" s="39"/>
      <c r="F17445" s="39"/>
    </row>
    <row r="17446">
      <c r="D17446" s="39"/>
      <c r="E17446" s="39"/>
      <c r="F17446" s="39"/>
    </row>
    <row r="17447">
      <c r="D17447" s="39"/>
      <c r="E17447" s="39"/>
      <c r="F17447" s="39"/>
    </row>
    <row r="17448">
      <c r="D17448" s="39"/>
      <c r="E17448" s="39"/>
      <c r="F17448" s="39"/>
    </row>
    <row r="17449">
      <c r="D17449" s="39"/>
      <c r="E17449" s="39"/>
      <c r="F17449" s="39"/>
    </row>
    <row r="17450">
      <c r="D17450" s="39"/>
      <c r="E17450" s="39"/>
      <c r="F17450" s="39"/>
    </row>
    <row r="17451">
      <c r="D17451" s="39"/>
      <c r="E17451" s="39"/>
      <c r="F17451" s="39"/>
    </row>
    <row r="17452">
      <c r="D17452" s="39"/>
      <c r="E17452" s="39"/>
      <c r="F17452" s="39"/>
    </row>
    <row r="17453">
      <c r="D17453" s="39"/>
      <c r="E17453" s="39"/>
      <c r="F17453" s="39"/>
    </row>
    <row r="17454">
      <c r="D17454" s="39"/>
      <c r="E17454" s="39"/>
      <c r="F17454" s="39"/>
    </row>
    <row r="17455">
      <c r="D17455" s="39"/>
      <c r="E17455" s="39"/>
      <c r="F17455" s="39"/>
    </row>
    <row r="17456">
      <c r="D17456" s="39"/>
      <c r="E17456" s="39"/>
      <c r="F17456" s="39"/>
    </row>
    <row r="17457">
      <c r="D17457" s="39"/>
      <c r="E17457" s="39"/>
      <c r="F17457" s="39"/>
    </row>
    <row r="17458">
      <c r="D17458" s="39"/>
      <c r="E17458" s="39"/>
      <c r="F17458" s="39"/>
    </row>
    <row r="17459">
      <c r="D17459" s="39"/>
      <c r="E17459" s="39"/>
      <c r="F17459" s="39"/>
    </row>
    <row r="17460">
      <c r="D17460" s="39"/>
      <c r="E17460" s="39"/>
      <c r="F17460" s="39"/>
    </row>
    <row r="17461">
      <c r="D17461" s="39"/>
      <c r="E17461" s="39"/>
      <c r="F17461" s="39"/>
    </row>
    <row r="17462">
      <c r="D17462" s="39"/>
      <c r="E17462" s="39"/>
      <c r="F17462" s="39"/>
    </row>
    <row r="17463">
      <c r="D17463" s="39"/>
      <c r="E17463" s="39"/>
      <c r="F17463" s="39"/>
    </row>
    <row r="17464">
      <c r="D17464" s="39"/>
      <c r="E17464" s="39"/>
      <c r="F17464" s="39"/>
    </row>
    <row r="17465">
      <c r="D17465" s="39"/>
      <c r="E17465" s="39"/>
      <c r="F17465" s="39"/>
    </row>
    <row r="17466">
      <c r="D17466" s="39"/>
      <c r="E17466" s="39"/>
      <c r="F17466" s="39"/>
    </row>
    <row r="17467">
      <c r="D17467" s="39"/>
      <c r="E17467" s="39"/>
      <c r="F17467" s="39"/>
    </row>
    <row r="17468">
      <c r="D17468" s="39"/>
      <c r="E17468" s="39"/>
      <c r="F17468" s="39"/>
    </row>
    <row r="17469">
      <c r="D17469" s="39"/>
      <c r="E17469" s="39"/>
      <c r="F17469" s="39"/>
    </row>
    <row r="17470">
      <c r="D17470" s="39"/>
      <c r="E17470" s="39"/>
      <c r="F17470" s="39"/>
    </row>
    <row r="17471">
      <c r="D17471" s="39"/>
      <c r="E17471" s="39"/>
      <c r="F17471" s="39"/>
    </row>
    <row r="17472">
      <c r="D17472" s="39"/>
      <c r="E17472" s="39"/>
      <c r="F17472" s="39"/>
    </row>
    <row r="17473">
      <c r="D17473" s="39"/>
      <c r="E17473" s="39"/>
      <c r="F17473" s="39"/>
    </row>
    <row r="17474">
      <c r="D17474" s="39"/>
      <c r="E17474" s="39"/>
      <c r="F17474" s="39"/>
    </row>
    <row r="17475">
      <c r="D17475" s="39"/>
      <c r="E17475" s="39"/>
      <c r="F17475" s="39"/>
    </row>
    <row r="17476">
      <c r="D17476" s="39"/>
      <c r="E17476" s="39"/>
      <c r="F17476" s="39"/>
    </row>
    <row r="17477">
      <c r="D17477" s="39"/>
      <c r="E17477" s="39"/>
      <c r="F17477" s="39"/>
    </row>
    <row r="17478">
      <c r="D17478" s="39"/>
      <c r="E17478" s="39"/>
      <c r="F17478" s="39"/>
    </row>
    <row r="17479">
      <c r="D17479" s="39"/>
      <c r="E17479" s="39"/>
      <c r="F17479" s="39"/>
    </row>
    <row r="17480">
      <c r="D17480" s="39"/>
      <c r="E17480" s="39"/>
      <c r="F17480" s="39"/>
    </row>
    <row r="17481">
      <c r="D17481" s="39"/>
      <c r="E17481" s="39"/>
      <c r="F17481" s="39"/>
    </row>
    <row r="17482">
      <c r="D17482" s="39"/>
      <c r="E17482" s="39"/>
      <c r="F17482" s="39"/>
    </row>
    <row r="17483">
      <c r="D17483" s="39"/>
      <c r="E17483" s="39"/>
      <c r="F17483" s="39"/>
    </row>
    <row r="17484">
      <c r="D17484" s="39"/>
      <c r="E17484" s="39"/>
      <c r="F17484" s="39"/>
    </row>
    <row r="17485">
      <c r="D17485" s="39"/>
      <c r="E17485" s="39"/>
      <c r="F17485" s="39"/>
    </row>
    <row r="17486">
      <c r="D17486" s="39"/>
      <c r="E17486" s="39"/>
      <c r="F17486" s="39"/>
    </row>
    <row r="17487">
      <c r="D17487" s="39"/>
      <c r="E17487" s="39"/>
      <c r="F17487" s="39"/>
    </row>
    <row r="17488">
      <c r="D17488" s="39"/>
      <c r="E17488" s="39"/>
      <c r="F17488" s="39"/>
    </row>
    <row r="17489">
      <c r="D17489" s="39"/>
      <c r="E17489" s="39"/>
      <c r="F17489" s="39"/>
    </row>
    <row r="17490">
      <c r="D17490" s="39"/>
      <c r="E17490" s="39"/>
      <c r="F17490" s="39"/>
    </row>
    <row r="17491">
      <c r="D17491" s="39"/>
      <c r="E17491" s="39"/>
      <c r="F17491" s="39"/>
    </row>
    <row r="17492">
      <c r="D17492" s="39"/>
      <c r="E17492" s="39"/>
      <c r="F17492" s="39"/>
    </row>
    <row r="17493">
      <c r="D17493" s="39"/>
      <c r="E17493" s="39"/>
      <c r="F17493" s="39"/>
    </row>
    <row r="17494">
      <c r="D17494" s="39"/>
      <c r="E17494" s="39"/>
      <c r="F17494" s="39"/>
    </row>
    <row r="17495">
      <c r="D17495" s="39"/>
      <c r="E17495" s="39"/>
      <c r="F17495" s="39"/>
    </row>
    <row r="17496">
      <c r="D17496" s="39"/>
      <c r="E17496" s="39"/>
      <c r="F17496" s="39"/>
    </row>
    <row r="17497">
      <c r="D17497" s="39"/>
      <c r="E17497" s="39"/>
      <c r="F17497" s="39"/>
    </row>
    <row r="17498">
      <c r="D17498" s="39"/>
      <c r="E17498" s="39"/>
      <c r="F17498" s="39"/>
    </row>
    <row r="17499">
      <c r="D17499" s="39"/>
      <c r="E17499" s="39"/>
      <c r="F17499" s="39"/>
    </row>
    <row r="17500">
      <c r="D17500" s="39"/>
      <c r="E17500" s="39"/>
      <c r="F17500" s="39"/>
    </row>
    <row r="17501">
      <c r="D17501" s="39"/>
      <c r="E17501" s="39"/>
      <c r="F17501" s="39"/>
    </row>
    <row r="17502">
      <c r="D17502" s="39"/>
      <c r="E17502" s="39"/>
      <c r="F17502" s="39"/>
    </row>
    <row r="17503">
      <c r="D17503" s="39"/>
      <c r="E17503" s="39"/>
      <c r="F17503" s="39"/>
    </row>
    <row r="17504">
      <c r="D17504" s="39"/>
      <c r="E17504" s="39"/>
      <c r="F17504" s="39"/>
    </row>
    <row r="17505">
      <c r="D17505" s="39"/>
      <c r="E17505" s="39"/>
      <c r="F17505" s="39"/>
    </row>
    <row r="17506">
      <c r="D17506" s="39"/>
      <c r="E17506" s="39"/>
      <c r="F17506" s="39"/>
    </row>
    <row r="17507">
      <c r="D17507" s="39"/>
      <c r="E17507" s="39"/>
      <c r="F17507" s="39"/>
    </row>
    <row r="17508">
      <c r="D17508" s="39"/>
      <c r="E17508" s="39"/>
      <c r="F17508" s="39"/>
    </row>
    <row r="17509">
      <c r="D17509" s="39"/>
      <c r="E17509" s="39"/>
      <c r="F17509" s="39"/>
    </row>
    <row r="17510">
      <c r="D17510" s="39"/>
      <c r="E17510" s="39"/>
      <c r="F17510" s="39"/>
    </row>
    <row r="17511">
      <c r="D17511" s="39"/>
      <c r="E17511" s="39"/>
      <c r="F17511" s="39"/>
    </row>
    <row r="17512">
      <c r="D17512" s="39"/>
      <c r="E17512" s="39"/>
      <c r="F17512" s="39"/>
    </row>
    <row r="17513">
      <c r="D17513" s="39"/>
      <c r="E17513" s="39"/>
      <c r="F17513" s="39"/>
    </row>
    <row r="17514">
      <c r="D17514" s="39"/>
      <c r="E17514" s="39"/>
      <c r="F17514" s="39"/>
    </row>
    <row r="17515">
      <c r="D17515" s="39"/>
      <c r="E17515" s="39"/>
      <c r="F17515" s="39"/>
    </row>
    <row r="17516">
      <c r="D17516" s="39"/>
      <c r="E17516" s="39"/>
      <c r="F17516" s="39"/>
    </row>
    <row r="17517">
      <c r="D17517" s="39"/>
      <c r="E17517" s="39"/>
      <c r="F17517" s="39"/>
    </row>
    <row r="17518">
      <c r="D17518" s="39"/>
      <c r="E17518" s="39"/>
      <c r="F17518" s="39"/>
    </row>
    <row r="17519">
      <c r="D17519" s="39"/>
      <c r="E17519" s="39"/>
      <c r="F17519" s="39"/>
    </row>
    <row r="17520">
      <c r="D17520" s="39"/>
      <c r="E17520" s="39"/>
      <c r="F17520" s="39"/>
    </row>
    <row r="17521">
      <c r="D17521" s="39"/>
      <c r="E17521" s="39"/>
      <c r="F17521" s="39"/>
    </row>
    <row r="17522">
      <c r="D17522" s="39"/>
      <c r="E17522" s="39"/>
      <c r="F17522" s="39"/>
    </row>
    <row r="17523">
      <c r="D17523" s="39"/>
      <c r="E17523" s="39"/>
      <c r="F17523" s="39"/>
    </row>
    <row r="17524">
      <c r="D17524" s="39"/>
      <c r="E17524" s="39"/>
      <c r="F17524" s="39"/>
    </row>
    <row r="17525">
      <c r="D17525" s="39"/>
      <c r="E17525" s="39"/>
      <c r="F17525" s="39"/>
    </row>
    <row r="17526">
      <c r="D17526" s="39"/>
      <c r="E17526" s="39"/>
      <c r="F17526" s="39"/>
    </row>
    <row r="17527">
      <c r="D17527" s="39"/>
      <c r="E17527" s="39"/>
      <c r="F17527" s="39"/>
    </row>
    <row r="17528">
      <c r="D17528" s="39"/>
      <c r="E17528" s="39"/>
      <c r="F17528" s="39"/>
    </row>
    <row r="17529">
      <c r="D17529" s="39"/>
      <c r="E17529" s="39"/>
      <c r="F17529" s="39"/>
    </row>
    <row r="17530">
      <c r="D17530" s="39"/>
      <c r="E17530" s="39"/>
      <c r="F17530" s="39"/>
    </row>
    <row r="17531">
      <c r="D17531" s="39"/>
      <c r="E17531" s="39"/>
      <c r="F17531" s="39"/>
    </row>
    <row r="17532">
      <c r="D17532" s="39"/>
      <c r="E17532" s="39"/>
      <c r="F17532" s="39"/>
    </row>
    <row r="17533">
      <c r="D17533" s="39"/>
      <c r="E17533" s="39"/>
      <c r="F17533" s="39"/>
    </row>
    <row r="17534">
      <c r="D17534" s="39"/>
      <c r="E17534" s="39"/>
      <c r="F17534" s="39"/>
    </row>
    <row r="17535">
      <c r="D17535" s="39"/>
      <c r="E17535" s="39"/>
      <c r="F17535" s="39"/>
    </row>
    <row r="17536">
      <c r="D17536" s="39"/>
      <c r="E17536" s="39"/>
      <c r="F17536" s="39"/>
    </row>
    <row r="17537">
      <c r="D17537" s="39"/>
      <c r="E17537" s="39"/>
      <c r="F17537" s="39"/>
    </row>
    <row r="17538">
      <c r="D17538" s="39"/>
      <c r="E17538" s="39"/>
      <c r="F17538" s="39"/>
    </row>
    <row r="17539">
      <c r="D17539" s="39"/>
      <c r="E17539" s="39"/>
      <c r="F17539" s="39"/>
    </row>
    <row r="17540">
      <c r="D17540" s="39"/>
      <c r="E17540" s="39"/>
      <c r="F17540" s="39"/>
    </row>
    <row r="17541">
      <c r="D17541" s="39"/>
      <c r="E17541" s="39"/>
      <c r="F17541" s="39"/>
    </row>
    <row r="17542">
      <c r="D17542" s="39"/>
      <c r="E17542" s="39"/>
      <c r="F17542" s="39"/>
    </row>
    <row r="17543">
      <c r="D17543" s="39"/>
      <c r="E17543" s="39"/>
      <c r="F17543" s="39"/>
    </row>
    <row r="17544">
      <c r="D17544" s="39"/>
      <c r="E17544" s="39"/>
      <c r="F17544" s="39"/>
    </row>
    <row r="17545">
      <c r="D17545" s="39"/>
      <c r="E17545" s="39"/>
      <c r="F17545" s="39"/>
    </row>
    <row r="17546">
      <c r="D17546" s="39"/>
      <c r="E17546" s="39"/>
      <c r="F17546" s="39"/>
    </row>
    <row r="17547">
      <c r="D17547" s="39"/>
      <c r="E17547" s="39"/>
      <c r="F17547" s="39"/>
    </row>
    <row r="17548">
      <c r="D17548" s="39"/>
      <c r="E17548" s="39"/>
      <c r="F17548" s="39"/>
    </row>
    <row r="17549">
      <c r="D17549" s="39"/>
      <c r="E17549" s="39"/>
      <c r="F17549" s="39"/>
    </row>
    <row r="17550">
      <c r="D17550" s="39"/>
      <c r="E17550" s="39"/>
      <c r="F17550" s="39"/>
    </row>
    <row r="17551">
      <c r="D17551" s="39"/>
      <c r="E17551" s="39"/>
      <c r="F17551" s="39"/>
    </row>
    <row r="17552">
      <c r="D17552" s="39"/>
      <c r="E17552" s="39"/>
      <c r="F17552" s="39"/>
    </row>
    <row r="17553">
      <c r="D17553" s="39"/>
      <c r="E17553" s="39"/>
      <c r="F17553" s="39"/>
    </row>
    <row r="17554">
      <c r="D17554" s="39"/>
      <c r="E17554" s="39"/>
      <c r="F17554" s="39"/>
    </row>
    <row r="17555">
      <c r="D17555" s="39"/>
      <c r="E17555" s="39"/>
      <c r="F17555" s="39"/>
    </row>
    <row r="17556">
      <c r="D17556" s="39"/>
      <c r="E17556" s="39"/>
      <c r="F17556" s="39"/>
    </row>
    <row r="17557">
      <c r="D17557" s="39"/>
      <c r="E17557" s="39"/>
      <c r="F17557" s="39"/>
    </row>
    <row r="17558">
      <c r="D17558" s="39"/>
      <c r="E17558" s="39"/>
      <c r="F17558" s="39"/>
    </row>
    <row r="17559">
      <c r="D17559" s="39"/>
      <c r="E17559" s="39"/>
      <c r="F17559" s="39"/>
    </row>
    <row r="17560">
      <c r="D17560" s="39"/>
      <c r="E17560" s="39"/>
      <c r="F17560" s="39"/>
    </row>
    <row r="17561">
      <c r="D17561" s="39"/>
      <c r="E17561" s="39"/>
      <c r="F17561" s="39"/>
    </row>
    <row r="17562">
      <c r="D17562" s="39"/>
      <c r="E17562" s="39"/>
      <c r="F17562" s="39"/>
    </row>
    <row r="17563">
      <c r="D17563" s="39"/>
      <c r="E17563" s="39"/>
      <c r="F17563" s="39"/>
    </row>
    <row r="17564">
      <c r="D17564" s="39"/>
      <c r="E17564" s="39"/>
      <c r="F17564" s="39"/>
    </row>
    <row r="17565">
      <c r="D17565" s="39"/>
      <c r="E17565" s="39"/>
      <c r="F17565" s="39"/>
    </row>
    <row r="17566">
      <c r="D17566" s="39"/>
      <c r="E17566" s="39"/>
      <c r="F17566" s="39"/>
    </row>
    <row r="17567">
      <c r="D17567" s="39"/>
      <c r="E17567" s="39"/>
      <c r="F17567" s="39"/>
    </row>
    <row r="17568">
      <c r="D17568" s="39"/>
      <c r="E17568" s="39"/>
      <c r="F17568" s="39"/>
    </row>
    <row r="17569">
      <c r="D17569" s="39"/>
      <c r="E17569" s="39"/>
      <c r="F17569" s="39"/>
    </row>
    <row r="17570">
      <c r="D17570" s="39"/>
      <c r="E17570" s="39"/>
      <c r="F17570" s="39"/>
    </row>
    <row r="17571">
      <c r="D17571" s="39"/>
      <c r="E17571" s="39"/>
      <c r="F17571" s="39"/>
    </row>
    <row r="17572">
      <c r="D17572" s="39"/>
      <c r="E17572" s="39"/>
      <c r="F17572" s="39"/>
    </row>
    <row r="17573">
      <c r="D17573" s="39"/>
      <c r="E17573" s="39"/>
      <c r="F17573" s="39"/>
    </row>
    <row r="17574">
      <c r="D17574" s="39"/>
      <c r="E17574" s="39"/>
      <c r="F17574" s="39"/>
    </row>
    <row r="17575">
      <c r="D17575" s="39"/>
      <c r="E17575" s="39"/>
      <c r="F17575" s="39"/>
    </row>
    <row r="17576">
      <c r="D17576" s="39"/>
      <c r="E17576" s="39"/>
      <c r="F17576" s="39"/>
    </row>
    <row r="17577">
      <c r="D17577" s="39"/>
      <c r="E17577" s="39"/>
      <c r="F17577" s="39"/>
    </row>
    <row r="17578">
      <c r="D17578" s="39"/>
      <c r="E17578" s="39"/>
      <c r="F17578" s="39"/>
    </row>
    <row r="17579">
      <c r="D17579" s="39"/>
      <c r="E17579" s="39"/>
      <c r="F17579" s="39"/>
    </row>
    <row r="17580">
      <c r="D17580" s="39"/>
      <c r="E17580" s="39"/>
      <c r="F17580" s="39"/>
    </row>
    <row r="17581">
      <c r="D17581" s="39"/>
      <c r="E17581" s="39"/>
      <c r="F17581" s="39"/>
    </row>
    <row r="17582">
      <c r="D17582" s="39"/>
      <c r="E17582" s="39"/>
      <c r="F17582" s="39"/>
    </row>
    <row r="17583">
      <c r="D17583" s="39"/>
      <c r="E17583" s="39"/>
      <c r="F17583" s="39"/>
    </row>
    <row r="17584">
      <c r="D17584" s="39"/>
      <c r="E17584" s="39"/>
      <c r="F17584" s="39"/>
    </row>
    <row r="17585">
      <c r="D17585" s="39"/>
      <c r="E17585" s="39"/>
      <c r="F17585" s="39"/>
    </row>
    <row r="17586">
      <c r="D17586" s="39"/>
      <c r="E17586" s="39"/>
      <c r="F17586" s="39"/>
    </row>
    <row r="17587">
      <c r="D17587" s="39"/>
      <c r="E17587" s="39"/>
      <c r="F17587" s="39"/>
    </row>
    <row r="17588">
      <c r="D17588" s="39"/>
      <c r="E17588" s="39"/>
      <c r="F17588" s="39"/>
    </row>
    <row r="17589">
      <c r="D17589" s="39"/>
      <c r="E17589" s="39"/>
      <c r="F17589" s="39"/>
    </row>
    <row r="17590">
      <c r="D17590" s="39"/>
      <c r="E17590" s="39"/>
      <c r="F17590" s="39"/>
    </row>
    <row r="17591">
      <c r="D17591" s="39"/>
      <c r="E17591" s="39"/>
      <c r="F17591" s="39"/>
    </row>
    <row r="17592">
      <c r="D17592" s="39"/>
      <c r="E17592" s="39"/>
      <c r="F17592" s="39"/>
    </row>
    <row r="17593">
      <c r="D17593" s="39"/>
      <c r="E17593" s="39"/>
      <c r="F17593" s="39"/>
    </row>
    <row r="17594">
      <c r="D17594" s="39"/>
      <c r="E17594" s="39"/>
      <c r="F17594" s="39"/>
    </row>
    <row r="17595">
      <c r="D17595" s="39"/>
      <c r="E17595" s="39"/>
      <c r="F17595" s="39"/>
    </row>
    <row r="17596">
      <c r="D17596" s="39"/>
      <c r="E17596" s="39"/>
      <c r="F17596" s="39"/>
    </row>
    <row r="17597">
      <c r="D17597" s="39"/>
      <c r="E17597" s="39"/>
      <c r="F17597" s="39"/>
    </row>
    <row r="17598">
      <c r="D17598" s="39"/>
      <c r="E17598" s="39"/>
      <c r="F17598" s="39"/>
    </row>
    <row r="17599">
      <c r="D17599" s="39"/>
      <c r="E17599" s="39"/>
      <c r="F17599" s="39"/>
    </row>
    <row r="17600">
      <c r="D17600" s="39"/>
      <c r="E17600" s="39"/>
      <c r="F17600" s="39"/>
    </row>
    <row r="17601">
      <c r="D17601" s="39"/>
      <c r="E17601" s="39"/>
      <c r="F17601" s="39"/>
    </row>
    <row r="17602">
      <c r="D17602" s="39"/>
      <c r="E17602" s="39"/>
      <c r="F17602" s="39"/>
    </row>
    <row r="17603">
      <c r="D17603" s="39"/>
      <c r="E17603" s="39"/>
      <c r="F17603" s="39"/>
    </row>
    <row r="17604">
      <c r="D17604" s="39"/>
      <c r="E17604" s="39"/>
      <c r="F17604" s="39"/>
    </row>
    <row r="17605">
      <c r="D17605" s="39"/>
      <c r="E17605" s="39"/>
      <c r="F17605" s="39"/>
    </row>
    <row r="17606">
      <c r="D17606" s="39"/>
      <c r="E17606" s="39"/>
      <c r="F17606" s="39"/>
    </row>
    <row r="17607">
      <c r="D17607" s="39"/>
      <c r="E17607" s="39"/>
      <c r="F17607" s="39"/>
    </row>
    <row r="17608">
      <c r="D17608" s="39"/>
      <c r="E17608" s="39"/>
      <c r="F17608" s="39"/>
    </row>
    <row r="17609">
      <c r="D17609" s="39"/>
      <c r="E17609" s="39"/>
      <c r="F17609" s="39"/>
    </row>
    <row r="17610">
      <c r="D17610" s="39"/>
      <c r="E17610" s="39"/>
      <c r="F17610" s="39"/>
    </row>
    <row r="17611">
      <c r="D17611" s="39"/>
      <c r="E17611" s="39"/>
      <c r="F17611" s="39"/>
    </row>
    <row r="17612">
      <c r="D17612" s="39"/>
      <c r="E17612" s="39"/>
      <c r="F17612" s="39"/>
    </row>
    <row r="17613">
      <c r="D17613" s="39"/>
      <c r="E17613" s="39"/>
      <c r="F17613" s="39"/>
    </row>
    <row r="17614">
      <c r="D17614" s="39"/>
      <c r="E17614" s="39"/>
      <c r="F17614" s="39"/>
    </row>
    <row r="17615">
      <c r="D17615" s="39"/>
      <c r="E17615" s="39"/>
      <c r="F17615" s="39"/>
    </row>
    <row r="17616">
      <c r="D17616" s="39"/>
      <c r="E17616" s="39"/>
      <c r="F17616" s="39"/>
    </row>
    <row r="17617">
      <c r="D17617" s="39"/>
      <c r="E17617" s="39"/>
      <c r="F17617" s="39"/>
    </row>
    <row r="17618">
      <c r="D17618" s="39"/>
      <c r="E17618" s="39"/>
      <c r="F17618" s="39"/>
    </row>
    <row r="17619">
      <c r="D17619" s="39"/>
      <c r="E17619" s="39"/>
      <c r="F17619" s="39"/>
    </row>
    <row r="17620">
      <c r="D17620" s="39"/>
      <c r="E17620" s="39"/>
      <c r="F17620" s="39"/>
    </row>
    <row r="17621">
      <c r="D17621" s="39"/>
      <c r="E17621" s="39"/>
      <c r="F17621" s="39"/>
    </row>
    <row r="17622">
      <c r="D17622" s="39"/>
      <c r="E17622" s="39"/>
      <c r="F17622" s="39"/>
    </row>
    <row r="17623">
      <c r="D17623" s="39"/>
      <c r="E17623" s="39"/>
      <c r="F17623" s="39"/>
    </row>
    <row r="17624">
      <c r="D17624" s="39"/>
      <c r="E17624" s="39"/>
      <c r="F17624" s="39"/>
    </row>
    <row r="17625">
      <c r="D17625" s="39"/>
      <c r="E17625" s="39"/>
      <c r="F17625" s="39"/>
    </row>
    <row r="17626">
      <c r="D17626" s="39"/>
      <c r="E17626" s="39"/>
      <c r="F17626" s="39"/>
    </row>
    <row r="17627">
      <c r="D17627" s="39"/>
      <c r="E17627" s="39"/>
      <c r="F17627" s="39"/>
    </row>
    <row r="17628">
      <c r="D17628" s="39"/>
      <c r="E17628" s="39"/>
      <c r="F17628" s="39"/>
    </row>
    <row r="17629">
      <c r="D17629" s="39"/>
      <c r="E17629" s="39"/>
      <c r="F17629" s="39"/>
    </row>
    <row r="17630">
      <c r="D17630" s="39"/>
      <c r="E17630" s="39"/>
      <c r="F17630" s="39"/>
    </row>
    <row r="17631">
      <c r="D17631" s="39"/>
      <c r="E17631" s="39"/>
      <c r="F17631" s="39"/>
    </row>
    <row r="17632">
      <c r="D17632" s="39"/>
      <c r="E17632" s="39"/>
      <c r="F17632" s="39"/>
    </row>
    <row r="17633">
      <c r="D17633" s="39"/>
      <c r="E17633" s="39"/>
      <c r="F17633" s="39"/>
    </row>
    <row r="17634">
      <c r="D17634" s="39"/>
      <c r="E17634" s="39"/>
      <c r="F17634" s="39"/>
    </row>
    <row r="17635">
      <c r="D17635" s="39"/>
      <c r="E17635" s="39"/>
      <c r="F17635" s="39"/>
    </row>
    <row r="17636">
      <c r="D17636" s="39"/>
      <c r="E17636" s="39"/>
      <c r="F17636" s="39"/>
    </row>
    <row r="17637">
      <c r="D17637" s="39"/>
      <c r="E17637" s="39"/>
      <c r="F17637" s="39"/>
    </row>
    <row r="17638">
      <c r="D17638" s="39"/>
      <c r="E17638" s="39"/>
      <c r="F17638" s="39"/>
    </row>
    <row r="17639">
      <c r="D17639" s="39"/>
      <c r="E17639" s="39"/>
      <c r="F17639" s="39"/>
    </row>
    <row r="17640">
      <c r="D17640" s="39"/>
      <c r="E17640" s="39"/>
      <c r="F17640" s="39"/>
    </row>
    <row r="17641">
      <c r="D17641" s="39"/>
      <c r="E17641" s="39"/>
      <c r="F17641" s="39"/>
    </row>
    <row r="17642">
      <c r="D17642" s="39"/>
      <c r="E17642" s="39"/>
      <c r="F17642" s="39"/>
    </row>
    <row r="17643">
      <c r="D17643" s="39"/>
      <c r="E17643" s="39"/>
      <c r="F17643" s="39"/>
    </row>
    <row r="17644">
      <c r="D17644" s="39"/>
      <c r="E17644" s="39"/>
      <c r="F17644" s="39"/>
    </row>
    <row r="17645">
      <c r="D17645" s="39"/>
      <c r="E17645" s="39"/>
      <c r="F17645" s="39"/>
    </row>
    <row r="17646">
      <c r="D17646" s="39"/>
      <c r="E17646" s="39"/>
      <c r="F17646" s="39"/>
    </row>
    <row r="17647">
      <c r="D17647" s="39"/>
      <c r="E17647" s="39"/>
      <c r="F17647" s="39"/>
    </row>
    <row r="17648">
      <c r="D17648" s="39"/>
      <c r="E17648" s="39"/>
      <c r="F17648" s="39"/>
    </row>
    <row r="17649">
      <c r="D17649" s="39"/>
      <c r="E17649" s="39"/>
      <c r="F17649" s="39"/>
    </row>
    <row r="17650">
      <c r="D17650" s="39"/>
      <c r="E17650" s="39"/>
      <c r="F17650" s="39"/>
    </row>
    <row r="17651">
      <c r="D17651" s="39"/>
      <c r="E17651" s="39"/>
      <c r="F17651" s="39"/>
    </row>
    <row r="17652">
      <c r="D17652" s="39"/>
      <c r="E17652" s="39"/>
      <c r="F17652" s="39"/>
    </row>
    <row r="17653">
      <c r="D17653" s="39"/>
      <c r="E17653" s="39"/>
      <c r="F17653" s="39"/>
    </row>
    <row r="17654">
      <c r="D17654" s="39"/>
      <c r="E17654" s="39"/>
      <c r="F17654" s="39"/>
    </row>
    <row r="17655">
      <c r="D17655" s="39"/>
      <c r="E17655" s="39"/>
      <c r="F17655" s="39"/>
    </row>
    <row r="17656">
      <c r="D17656" s="39"/>
      <c r="E17656" s="39"/>
      <c r="F17656" s="39"/>
    </row>
    <row r="17657">
      <c r="D17657" s="39"/>
      <c r="E17657" s="39"/>
      <c r="F17657" s="39"/>
    </row>
    <row r="17658">
      <c r="D17658" s="39"/>
      <c r="E17658" s="39"/>
      <c r="F17658" s="39"/>
    </row>
    <row r="17659">
      <c r="D17659" s="39"/>
      <c r="E17659" s="39"/>
      <c r="F17659" s="39"/>
    </row>
    <row r="17660">
      <c r="D17660" s="39"/>
      <c r="E17660" s="39"/>
      <c r="F17660" s="39"/>
    </row>
    <row r="17661">
      <c r="D17661" s="39"/>
      <c r="E17661" s="39"/>
      <c r="F17661" s="39"/>
    </row>
    <row r="17662">
      <c r="D17662" s="39"/>
      <c r="E17662" s="39"/>
      <c r="F17662" s="39"/>
    </row>
    <row r="17663">
      <c r="D17663" s="39"/>
      <c r="E17663" s="39"/>
      <c r="F17663" s="39"/>
    </row>
    <row r="17664">
      <c r="D17664" s="39"/>
      <c r="E17664" s="39"/>
      <c r="F17664" s="39"/>
    </row>
    <row r="17665">
      <c r="D17665" s="39"/>
      <c r="E17665" s="39"/>
      <c r="F17665" s="39"/>
    </row>
    <row r="17666">
      <c r="D17666" s="39"/>
      <c r="E17666" s="39"/>
      <c r="F17666" s="39"/>
    </row>
    <row r="17667">
      <c r="D17667" s="39"/>
      <c r="E17667" s="39"/>
      <c r="F17667" s="39"/>
    </row>
    <row r="17668">
      <c r="D17668" s="39"/>
      <c r="E17668" s="39"/>
      <c r="F17668" s="39"/>
    </row>
    <row r="17669">
      <c r="D17669" s="39"/>
      <c r="E17669" s="39"/>
      <c r="F17669" s="39"/>
    </row>
    <row r="17670">
      <c r="D17670" s="39"/>
      <c r="E17670" s="39"/>
      <c r="F17670" s="39"/>
    </row>
    <row r="17671">
      <c r="D17671" s="39"/>
      <c r="E17671" s="39"/>
      <c r="F17671" s="39"/>
    </row>
    <row r="17672">
      <c r="D17672" s="39"/>
      <c r="E17672" s="39"/>
      <c r="F17672" s="39"/>
    </row>
    <row r="17673">
      <c r="D17673" s="39"/>
      <c r="E17673" s="39"/>
      <c r="F17673" s="39"/>
    </row>
    <row r="17674">
      <c r="D17674" s="39"/>
      <c r="E17674" s="39"/>
      <c r="F17674" s="39"/>
    </row>
    <row r="17675">
      <c r="D17675" s="39"/>
      <c r="E17675" s="39"/>
      <c r="F17675" s="39"/>
    </row>
    <row r="17676">
      <c r="D17676" s="39"/>
      <c r="E17676" s="39"/>
      <c r="F17676" s="39"/>
    </row>
    <row r="17677">
      <c r="D17677" s="39"/>
      <c r="E17677" s="39"/>
      <c r="F17677" s="39"/>
    </row>
    <row r="17678">
      <c r="D17678" s="39"/>
      <c r="E17678" s="39"/>
      <c r="F17678" s="39"/>
    </row>
    <row r="17679">
      <c r="D17679" s="39"/>
      <c r="E17679" s="39"/>
      <c r="F17679" s="39"/>
    </row>
    <row r="17680">
      <c r="D17680" s="39"/>
      <c r="E17680" s="39"/>
      <c r="F17680" s="39"/>
    </row>
    <row r="17681">
      <c r="D17681" s="39"/>
      <c r="E17681" s="39"/>
      <c r="F17681" s="39"/>
    </row>
    <row r="17682">
      <c r="D17682" s="39"/>
      <c r="E17682" s="39"/>
      <c r="F17682" s="39"/>
    </row>
    <row r="17683">
      <c r="D17683" s="39"/>
      <c r="E17683" s="39"/>
      <c r="F17683" s="39"/>
    </row>
    <row r="17684">
      <c r="D17684" s="39"/>
      <c r="E17684" s="39"/>
      <c r="F17684" s="39"/>
    </row>
    <row r="17685">
      <c r="D17685" s="39"/>
      <c r="E17685" s="39"/>
      <c r="F17685" s="39"/>
    </row>
    <row r="17686">
      <c r="D17686" s="39"/>
      <c r="E17686" s="39"/>
      <c r="F17686" s="39"/>
    </row>
    <row r="17687">
      <c r="D17687" s="39"/>
      <c r="E17687" s="39"/>
      <c r="F17687" s="39"/>
    </row>
    <row r="17688">
      <c r="D17688" s="39"/>
      <c r="E17688" s="39"/>
      <c r="F17688" s="39"/>
    </row>
    <row r="17689">
      <c r="D17689" s="39"/>
      <c r="E17689" s="39"/>
      <c r="F17689" s="39"/>
    </row>
    <row r="17690">
      <c r="D17690" s="39"/>
      <c r="E17690" s="39"/>
      <c r="F17690" s="39"/>
    </row>
    <row r="17691">
      <c r="D17691" s="39"/>
      <c r="E17691" s="39"/>
      <c r="F17691" s="39"/>
    </row>
    <row r="17692">
      <c r="D17692" s="39"/>
      <c r="E17692" s="39"/>
      <c r="F17692" s="39"/>
    </row>
    <row r="17693">
      <c r="D17693" s="39"/>
      <c r="E17693" s="39"/>
      <c r="F17693" s="39"/>
    </row>
    <row r="17694">
      <c r="D17694" s="39"/>
      <c r="E17694" s="39"/>
      <c r="F17694" s="39"/>
    </row>
    <row r="17695">
      <c r="D17695" s="39"/>
      <c r="E17695" s="39"/>
      <c r="F17695" s="39"/>
    </row>
    <row r="17696">
      <c r="D17696" s="39"/>
      <c r="E17696" s="39"/>
      <c r="F17696" s="39"/>
    </row>
    <row r="17697">
      <c r="D17697" s="39"/>
      <c r="E17697" s="39"/>
      <c r="F17697" s="39"/>
    </row>
    <row r="17698">
      <c r="D17698" s="39"/>
      <c r="E17698" s="39"/>
      <c r="F17698" s="39"/>
    </row>
    <row r="17699">
      <c r="D17699" s="39"/>
      <c r="E17699" s="39"/>
      <c r="F17699" s="39"/>
    </row>
    <row r="17700">
      <c r="D17700" s="39"/>
      <c r="E17700" s="39"/>
      <c r="F17700" s="39"/>
    </row>
    <row r="17701">
      <c r="D17701" s="39"/>
      <c r="E17701" s="39"/>
      <c r="F17701" s="39"/>
    </row>
    <row r="17702">
      <c r="D17702" s="39"/>
      <c r="E17702" s="39"/>
      <c r="F17702" s="39"/>
    </row>
    <row r="17703">
      <c r="D17703" s="39"/>
      <c r="E17703" s="39"/>
      <c r="F17703" s="39"/>
    </row>
    <row r="17704">
      <c r="D17704" s="39"/>
      <c r="E17704" s="39"/>
      <c r="F17704" s="39"/>
    </row>
    <row r="17705">
      <c r="D17705" s="39"/>
      <c r="E17705" s="39"/>
      <c r="F17705" s="39"/>
    </row>
    <row r="17706">
      <c r="D17706" s="39"/>
      <c r="E17706" s="39"/>
      <c r="F17706" s="39"/>
    </row>
    <row r="17707">
      <c r="D17707" s="39"/>
      <c r="E17707" s="39"/>
      <c r="F17707" s="39"/>
    </row>
    <row r="17708">
      <c r="D17708" s="39"/>
      <c r="E17708" s="39"/>
      <c r="F17708" s="39"/>
    </row>
    <row r="17709">
      <c r="D17709" s="39"/>
      <c r="E17709" s="39"/>
      <c r="F17709" s="39"/>
    </row>
    <row r="17710">
      <c r="D17710" s="39"/>
      <c r="E17710" s="39"/>
      <c r="F17710" s="39"/>
    </row>
    <row r="17711">
      <c r="D17711" s="39"/>
      <c r="E17711" s="39"/>
      <c r="F17711" s="39"/>
    </row>
    <row r="17712">
      <c r="D17712" s="39"/>
      <c r="E17712" s="39"/>
      <c r="F17712" s="39"/>
    </row>
    <row r="17713">
      <c r="D17713" s="39"/>
      <c r="E17713" s="39"/>
      <c r="F17713" s="39"/>
    </row>
    <row r="17714">
      <c r="D17714" s="39"/>
      <c r="E17714" s="39"/>
      <c r="F17714" s="39"/>
    </row>
    <row r="17715">
      <c r="D17715" s="39"/>
      <c r="E17715" s="39"/>
      <c r="F17715" s="39"/>
    </row>
    <row r="17716">
      <c r="D17716" s="39"/>
      <c r="E17716" s="39"/>
      <c r="F17716" s="39"/>
    </row>
    <row r="17717">
      <c r="D17717" s="39"/>
      <c r="E17717" s="39"/>
      <c r="F17717" s="39"/>
    </row>
    <row r="17718">
      <c r="D17718" s="39"/>
      <c r="E17718" s="39"/>
      <c r="F17718" s="39"/>
    </row>
    <row r="17719">
      <c r="D17719" s="39"/>
      <c r="E17719" s="39"/>
      <c r="F17719" s="39"/>
    </row>
    <row r="17720">
      <c r="D17720" s="39"/>
      <c r="E17720" s="39"/>
      <c r="F17720" s="39"/>
    </row>
    <row r="17721">
      <c r="D17721" s="39"/>
      <c r="E17721" s="39"/>
      <c r="F17721" s="39"/>
    </row>
    <row r="17722">
      <c r="D17722" s="39"/>
      <c r="E17722" s="39"/>
      <c r="F17722" s="39"/>
    </row>
    <row r="17723">
      <c r="D17723" s="39"/>
      <c r="E17723" s="39"/>
      <c r="F17723" s="39"/>
    </row>
    <row r="17724">
      <c r="D17724" s="39"/>
      <c r="E17724" s="39"/>
      <c r="F17724" s="39"/>
    </row>
    <row r="17725">
      <c r="D17725" s="39"/>
      <c r="E17725" s="39"/>
      <c r="F17725" s="39"/>
    </row>
    <row r="17726">
      <c r="D17726" s="39"/>
      <c r="E17726" s="39"/>
      <c r="F17726" s="39"/>
    </row>
    <row r="17727">
      <c r="D17727" s="39"/>
      <c r="E17727" s="39"/>
      <c r="F17727" s="39"/>
    </row>
    <row r="17728">
      <c r="D17728" s="39"/>
      <c r="E17728" s="39"/>
      <c r="F17728" s="39"/>
    </row>
    <row r="17729">
      <c r="D17729" s="39"/>
      <c r="E17729" s="39"/>
      <c r="F17729" s="39"/>
    </row>
    <row r="17730">
      <c r="D17730" s="39"/>
      <c r="E17730" s="39"/>
      <c r="F17730" s="39"/>
    </row>
    <row r="17731">
      <c r="D17731" s="39"/>
      <c r="E17731" s="39"/>
      <c r="F17731" s="39"/>
    </row>
    <row r="17732">
      <c r="D17732" s="39"/>
      <c r="E17732" s="39"/>
      <c r="F17732" s="39"/>
    </row>
    <row r="17733">
      <c r="D17733" s="39"/>
      <c r="E17733" s="39"/>
      <c r="F17733" s="39"/>
    </row>
    <row r="17734">
      <c r="D17734" s="39"/>
      <c r="E17734" s="39"/>
      <c r="F17734" s="39"/>
    </row>
    <row r="17735">
      <c r="D17735" s="39"/>
      <c r="E17735" s="39"/>
      <c r="F17735" s="39"/>
    </row>
    <row r="17736">
      <c r="D17736" s="39"/>
      <c r="E17736" s="39"/>
      <c r="F17736" s="39"/>
    </row>
    <row r="17737">
      <c r="D17737" s="39"/>
      <c r="E17737" s="39"/>
      <c r="F17737" s="39"/>
    </row>
    <row r="17738">
      <c r="D17738" s="39"/>
      <c r="E17738" s="39"/>
      <c r="F17738" s="39"/>
    </row>
    <row r="17739">
      <c r="D17739" s="39"/>
      <c r="E17739" s="39"/>
      <c r="F17739" s="39"/>
    </row>
    <row r="17740">
      <c r="D17740" s="39"/>
      <c r="E17740" s="39"/>
      <c r="F17740" s="39"/>
    </row>
    <row r="17741">
      <c r="D17741" s="39"/>
      <c r="E17741" s="39"/>
      <c r="F17741" s="39"/>
    </row>
    <row r="17742">
      <c r="D17742" s="39"/>
      <c r="E17742" s="39"/>
      <c r="F17742" s="39"/>
    </row>
    <row r="17743">
      <c r="D17743" s="39"/>
      <c r="E17743" s="39"/>
      <c r="F17743" s="39"/>
    </row>
    <row r="17744">
      <c r="D17744" s="39"/>
      <c r="E17744" s="39"/>
      <c r="F17744" s="39"/>
    </row>
    <row r="17745">
      <c r="D17745" s="39"/>
      <c r="E17745" s="39"/>
      <c r="F17745" s="39"/>
    </row>
    <row r="17746">
      <c r="D17746" s="39"/>
      <c r="E17746" s="39"/>
      <c r="F17746" s="39"/>
    </row>
    <row r="17747">
      <c r="D17747" s="39"/>
      <c r="E17747" s="39"/>
      <c r="F17747" s="39"/>
    </row>
    <row r="17748">
      <c r="D17748" s="39"/>
      <c r="E17748" s="39"/>
      <c r="F17748" s="39"/>
    </row>
    <row r="17749">
      <c r="D17749" s="39"/>
      <c r="E17749" s="39"/>
      <c r="F17749" s="39"/>
    </row>
    <row r="17750">
      <c r="D17750" s="39"/>
      <c r="E17750" s="39"/>
      <c r="F17750" s="39"/>
    </row>
    <row r="17751">
      <c r="D17751" s="39"/>
      <c r="E17751" s="39"/>
      <c r="F17751" s="39"/>
    </row>
    <row r="17752">
      <c r="D17752" s="39"/>
      <c r="E17752" s="39"/>
      <c r="F17752" s="39"/>
    </row>
    <row r="17753">
      <c r="D17753" s="39"/>
      <c r="E17753" s="39"/>
      <c r="F17753" s="39"/>
    </row>
    <row r="17754">
      <c r="D17754" s="39"/>
      <c r="E17754" s="39"/>
      <c r="F17754" s="39"/>
    </row>
    <row r="17755">
      <c r="D17755" s="39"/>
      <c r="E17755" s="39"/>
      <c r="F17755" s="39"/>
    </row>
    <row r="17756">
      <c r="D17756" s="39"/>
      <c r="E17756" s="39"/>
      <c r="F17756" s="39"/>
    </row>
    <row r="17757">
      <c r="D17757" s="39"/>
      <c r="E17757" s="39"/>
      <c r="F17757" s="39"/>
    </row>
    <row r="17758">
      <c r="D17758" s="39"/>
      <c r="E17758" s="39"/>
      <c r="F17758" s="39"/>
    </row>
    <row r="17759">
      <c r="D17759" s="39"/>
      <c r="E17759" s="39"/>
      <c r="F17759" s="39"/>
    </row>
    <row r="17760">
      <c r="D17760" s="39"/>
      <c r="E17760" s="39"/>
      <c r="F17760" s="39"/>
    </row>
    <row r="17761">
      <c r="D17761" s="39"/>
      <c r="E17761" s="39"/>
      <c r="F17761" s="39"/>
    </row>
    <row r="17762">
      <c r="D17762" s="39"/>
      <c r="E17762" s="39"/>
      <c r="F17762" s="39"/>
    </row>
    <row r="17763">
      <c r="D17763" s="39"/>
      <c r="E17763" s="39"/>
      <c r="F17763" s="39"/>
    </row>
    <row r="17764">
      <c r="D17764" s="39"/>
      <c r="E17764" s="39"/>
      <c r="F17764" s="39"/>
    </row>
    <row r="17765">
      <c r="D17765" s="39"/>
      <c r="E17765" s="39"/>
      <c r="F17765" s="39"/>
    </row>
    <row r="17766">
      <c r="D17766" s="39"/>
      <c r="E17766" s="39"/>
      <c r="F17766" s="39"/>
    </row>
    <row r="17767">
      <c r="D17767" s="39"/>
      <c r="E17767" s="39"/>
      <c r="F17767" s="39"/>
    </row>
    <row r="17768">
      <c r="D17768" s="39"/>
      <c r="E17768" s="39"/>
      <c r="F17768" s="39"/>
    </row>
    <row r="17769">
      <c r="D17769" s="39"/>
      <c r="E17769" s="39"/>
      <c r="F17769" s="39"/>
    </row>
    <row r="17770">
      <c r="D17770" s="39"/>
      <c r="E17770" s="39"/>
      <c r="F17770" s="39"/>
    </row>
    <row r="17771">
      <c r="D17771" s="39"/>
      <c r="E17771" s="39"/>
      <c r="F17771" s="39"/>
    </row>
    <row r="17772">
      <c r="D17772" s="39"/>
      <c r="E17772" s="39"/>
      <c r="F17772" s="39"/>
    </row>
    <row r="17773">
      <c r="D17773" s="39"/>
      <c r="E17773" s="39"/>
      <c r="F17773" s="39"/>
    </row>
    <row r="17774">
      <c r="D17774" s="39"/>
      <c r="E17774" s="39"/>
      <c r="F17774" s="39"/>
    </row>
    <row r="17775">
      <c r="D17775" s="39"/>
      <c r="E17775" s="39"/>
      <c r="F17775" s="39"/>
    </row>
    <row r="17776">
      <c r="D17776" s="39"/>
      <c r="E17776" s="39"/>
      <c r="F17776" s="39"/>
    </row>
    <row r="17777">
      <c r="D17777" s="39"/>
      <c r="E17777" s="39"/>
      <c r="F17777" s="39"/>
    </row>
    <row r="17778">
      <c r="D17778" s="39"/>
      <c r="E17778" s="39"/>
      <c r="F17778" s="39"/>
    </row>
    <row r="17779">
      <c r="D17779" s="39"/>
      <c r="E17779" s="39"/>
      <c r="F17779" s="39"/>
    </row>
    <row r="17780">
      <c r="D17780" s="39"/>
      <c r="E17780" s="39"/>
      <c r="F17780" s="39"/>
    </row>
    <row r="17781">
      <c r="D17781" s="39"/>
      <c r="E17781" s="39"/>
      <c r="F17781" s="39"/>
    </row>
    <row r="17782">
      <c r="D17782" s="39"/>
      <c r="E17782" s="39"/>
      <c r="F17782" s="39"/>
    </row>
    <row r="17783">
      <c r="D17783" s="39"/>
      <c r="E17783" s="39"/>
      <c r="F17783" s="39"/>
    </row>
    <row r="17784">
      <c r="D17784" s="39"/>
      <c r="E17784" s="39"/>
      <c r="F17784" s="39"/>
    </row>
    <row r="17785">
      <c r="D17785" s="39"/>
      <c r="E17785" s="39"/>
      <c r="F17785" s="39"/>
    </row>
    <row r="17786">
      <c r="D17786" s="39"/>
      <c r="E17786" s="39"/>
      <c r="F17786" s="39"/>
    </row>
    <row r="17787">
      <c r="D17787" s="39"/>
      <c r="E17787" s="39"/>
      <c r="F17787" s="39"/>
    </row>
    <row r="17788">
      <c r="D17788" s="39"/>
      <c r="E17788" s="39"/>
      <c r="F17788" s="39"/>
    </row>
    <row r="17789">
      <c r="D17789" s="39"/>
      <c r="E17789" s="39"/>
      <c r="F17789" s="39"/>
    </row>
    <row r="17790">
      <c r="D17790" s="39"/>
      <c r="E17790" s="39"/>
      <c r="F17790" s="39"/>
    </row>
    <row r="17791">
      <c r="D17791" s="39"/>
      <c r="E17791" s="39"/>
      <c r="F17791" s="39"/>
    </row>
    <row r="17792">
      <c r="D17792" s="39"/>
      <c r="E17792" s="39"/>
      <c r="F17792" s="39"/>
    </row>
    <row r="17793">
      <c r="D17793" s="39"/>
      <c r="E17793" s="39"/>
      <c r="F17793" s="39"/>
    </row>
    <row r="17794">
      <c r="D17794" s="39"/>
      <c r="E17794" s="39"/>
      <c r="F17794" s="39"/>
    </row>
    <row r="17795">
      <c r="D17795" s="39"/>
      <c r="E17795" s="39"/>
      <c r="F17795" s="39"/>
    </row>
    <row r="17796">
      <c r="D17796" s="39"/>
      <c r="E17796" s="39"/>
      <c r="F17796" s="39"/>
    </row>
    <row r="17797">
      <c r="D17797" s="39"/>
      <c r="E17797" s="39"/>
      <c r="F17797" s="39"/>
    </row>
    <row r="17798">
      <c r="D17798" s="39"/>
      <c r="E17798" s="39"/>
      <c r="F17798" s="39"/>
    </row>
    <row r="17799">
      <c r="D17799" s="39"/>
      <c r="E17799" s="39"/>
      <c r="F17799" s="39"/>
    </row>
    <row r="17800">
      <c r="D17800" s="39"/>
      <c r="E17800" s="39"/>
      <c r="F17800" s="39"/>
    </row>
    <row r="17801">
      <c r="D17801" s="39"/>
      <c r="E17801" s="39"/>
      <c r="F17801" s="39"/>
    </row>
    <row r="17802">
      <c r="D17802" s="39"/>
      <c r="E17802" s="39"/>
      <c r="F17802" s="39"/>
    </row>
    <row r="17803">
      <c r="D17803" s="39"/>
      <c r="E17803" s="39"/>
      <c r="F17803" s="39"/>
    </row>
    <row r="17804">
      <c r="D17804" s="39"/>
      <c r="E17804" s="39"/>
      <c r="F17804" s="39"/>
    </row>
    <row r="17805">
      <c r="D17805" s="39"/>
      <c r="E17805" s="39"/>
      <c r="F17805" s="39"/>
    </row>
    <row r="17806">
      <c r="D17806" s="39"/>
      <c r="E17806" s="39"/>
      <c r="F17806" s="39"/>
    </row>
    <row r="17807">
      <c r="D17807" s="39"/>
      <c r="E17807" s="39"/>
      <c r="F17807" s="39"/>
    </row>
    <row r="17808">
      <c r="D17808" s="39"/>
      <c r="E17808" s="39"/>
      <c r="F17808" s="39"/>
    </row>
    <row r="17809">
      <c r="D17809" s="39"/>
      <c r="E17809" s="39"/>
      <c r="F17809" s="39"/>
    </row>
    <row r="17810">
      <c r="D17810" s="39"/>
      <c r="E17810" s="39"/>
      <c r="F17810" s="39"/>
    </row>
    <row r="17811">
      <c r="D17811" s="39"/>
      <c r="E17811" s="39"/>
      <c r="F17811" s="39"/>
    </row>
    <row r="17812">
      <c r="D17812" s="39"/>
      <c r="E17812" s="39"/>
      <c r="F17812" s="39"/>
    </row>
    <row r="17813">
      <c r="D17813" s="39"/>
      <c r="E17813" s="39"/>
      <c r="F17813" s="39"/>
    </row>
    <row r="17814">
      <c r="D17814" s="39"/>
      <c r="E17814" s="39"/>
      <c r="F17814" s="39"/>
    </row>
    <row r="17815">
      <c r="D17815" s="39"/>
      <c r="E17815" s="39"/>
      <c r="F17815" s="39"/>
    </row>
    <row r="17816">
      <c r="D17816" s="39"/>
      <c r="E17816" s="39"/>
      <c r="F17816" s="39"/>
    </row>
    <row r="17817">
      <c r="D17817" s="39"/>
      <c r="E17817" s="39"/>
      <c r="F17817" s="39"/>
    </row>
    <row r="17818">
      <c r="D17818" s="39"/>
      <c r="E17818" s="39"/>
      <c r="F17818" s="39"/>
    </row>
    <row r="17819">
      <c r="D17819" s="39"/>
      <c r="E17819" s="39"/>
      <c r="F17819" s="39"/>
    </row>
    <row r="17820">
      <c r="D17820" s="39"/>
      <c r="E17820" s="39"/>
      <c r="F17820" s="39"/>
    </row>
    <row r="17821">
      <c r="D17821" s="39"/>
      <c r="E17821" s="39"/>
      <c r="F17821" s="39"/>
    </row>
    <row r="17822">
      <c r="D17822" s="39"/>
      <c r="E17822" s="39"/>
      <c r="F17822" s="39"/>
    </row>
    <row r="17823">
      <c r="D17823" s="39"/>
      <c r="E17823" s="39"/>
      <c r="F17823" s="39"/>
    </row>
    <row r="17824">
      <c r="D17824" s="39"/>
      <c r="E17824" s="39"/>
      <c r="F17824" s="39"/>
    </row>
    <row r="17825">
      <c r="D17825" s="39"/>
      <c r="E17825" s="39"/>
      <c r="F17825" s="39"/>
    </row>
    <row r="17826">
      <c r="D17826" s="39"/>
      <c r="E17826" s="39"/>
      <c r="F17826" s="39"/>
    </row>
    <row r="17827">
      <c r="D17827" s="39"/>
      <c r="E17827" s="39"/>
      <c r="F17827" s="39"/>
    </row>
    <row r="17828">
      <c r="D17828" s="39"/>
      <c r="E17828" s="39"/>
      <c r="F17828" s="39"/>
    </row>
    <row r="17829">
      <c r="D17829" s="39"/>
      <c r="E17829" s="39"/>
      <c r="F17829" s="39"/>
    </row>
    <row r="17830">
      <c r="D17830" s="39"/>
      <c r="E17830" s="39"/>
      <c r="F17830" s="39"/>
    </row>
    <row r="17831">
      <c r="D17831" s="39"/>
      <c r="E17831" s="39"/>
      <c r="F17831" s="39"/>
    </row>
    <row r="17832">
      <c r="D17832" s="39"/>
      <c r="E17832" s="39"/>
      <c r="F17832" s="39"/>
    </row>
    <row r="17833">
      <c r="D17833" s="39"/>
      <c r="E17833" s="39"/>
      <c r="F17833" s="39"/>
    </row>
    <row r="17834">
      <c r="D17834" s="39"/>
      <c r="E17834" s="39"/>
      <c r="F17834" s="39"/>
    </row>
    <row r="17835">
      <c r="D17835" s="39"/>
      <c r="E17835" s="39"/>
      <c r="F17835" s="39"/>
    </row>
    <row r="17836">
      <c r="D17836" s="39"/>
      <c r="E17836" s="39"/>
      <c r="F17836" s="39"/>
    </row>
    <row r="17837">
      <c r="D17837" s="39"/>
      <c r="E17837" s="39"/>
      <c r="F17837" s="39"/>
    </row>
    <row r="17838">
      <c r="D17838" s="39"/>
      <c r="E17838" s="39"/>
      <c r="F17838" s="39"/>
    </row>
    <row r="17839">
      <c r="D17839" s="39"/>
      <c r="E17839" s="39"/>
      <c r="F17839" s="39"/>
    </row>
    <row r="17840">
      <c r="D17840" s="39"/>
      <c r="E17840" s="39"/>
      <c r="F17840" s="39"/>
    </row>
    <row r="17841">
      <c r="D17841" s="39"/>
      <c r="E17841" s="39"/>
      <c r="F17841" s="39"/>
    </row>
    <row r="17842">
      <c r="D17842" s="39"/>
      <c r="E17842" s="39"/>
      <c r="F17842" s="39"/>
    </row>
    <row r="17843">
      <c r="D17843" s="39"/>
      <c r="E17843" s="39"/>
      <c r="F17843" s="39"/>
    </row>
    <row r="17844">
      <c r="D17844" s="39"/>
      <c r="E17844" s="39"/>
      <c r="F17844" s="39"/>
    </row>
    <row r="17845">
      <c r="D17845" s="39"/>
      <c r="E17845" s="39"/>
      <c r="F17845" s="39"/>
    </row>
    <row r="17846">
      <c r="D17846" s="39"/>
      <c r="E17846" s="39"/>
      <c r="F17846" s="39"/>
    </row>
    <row r="17847">
      <c r="D17847" s="39"/>
      <c r="E17847" s="39"/>
      <c r="F17847" s="39"/>
    </row>
    <row r="17848">
      <c r="D17848" s="39"/>
      <c r="E17848" s="39"/>
      <c r="F17848" s="39"/>
    </row>
    <row r="17849">
      <c r="D17849" s="39"/>
      <c r="E17849" s="39"/>
      <c r="F17849" s="39"/>
    </row>
    <row r="17850">
      <c r="D17850" s="39"/>
      <c r="E17850" s="39"/>
      <c r="F17850" s="39"/>
    </row>
    <row r="17851">
      <c r="D17851" s="39"/>
      <c r="E17851" s="39"/>
      <c r="F17851" s="39"/>
    </row>
    <row r="17852">
      <c r="D17852" s="39"/>
      <c r="E17852" s="39"/>
      <c r="F17852" s="39"/>
    </row>
    <row r="17853">
      <c r="D17853" s="39"/>
      <c r="E17853" s="39"/>
      <c r="F17853" s="39"/>
    </row>
    <row r="17854">
      <c r="D17854" s="39"/>
      <c r="E17854" s="39"/>
      <c r="F17854" s="39"/>
    </row>
    <row r="17855">
      <c r="D17855" s="39"/>
      <c r="E17855" s="39"/>
      <c r="F17855" s="39"/>
    </row>
    <row r="17856">
      <c r="D17856" s="39"/>
      <c r="E17856" s="39"/>
      <c r="F17856" s="39"/>
    </row>
    <row r="17857">
      <c r="D17857" s="39"/>
      <c r="E17857" s="39"/>
      <c r="F17857" s="39"/>
    </row>
    <row r="17858">
      <c r="D17858" s="39"/>
      <c r="E17858" s="39"/>
      <c r="F17858" s="39"/>
    </row>
    <row r="17859">
      <c r="D17859" s="39"/>
      <c r="E17859" s="39"/>
      <c r="F17859" s="39"/>
    </row>
    <row r="17860">
      <c r="D17860" s="39"/>
      <c r="E17860" s="39"/>
      <c r="F17860" s="39"/>
    </row>
    <row r="17861">
      <c r="D17861" s="39"/>
      <c r="E17861" s="39"/>
      <c r="F17861" s="39"/>
    </row>
    <row r="17862">
      <c r="D17862" s="39"/>
      <c r="E17862" s="39"/>
      <c r="F17862" s="39"/>
    </row>
    <row r="17863">
      <c r="D17863" s="39"/>
      <c r="E17863" s="39"/>
      <c r="F17863" s="39"/>
    </row>
    <row r="17864">
      <c r="D17864" s="39"/>
      <c r="E17864" s="39"/>
      <c r="F17864" s="39"/>
    </row>
    <row r="17865">
      <c r="D17865" s="39"/>
      <c r="E17865" s="39"/>
      <c r="F17865" s="39"/>
    </row>
    <row r="17866">
      <c r="D17866" s="39"/>
      <c r="E17866" s="39"/>
      <c r="F17866" s="39"/>
    </row>
    <row r="17867">
      <c r="D17867" s="39"/>
      <c r="E17867" s="39"/>
      <c r="F17867" s="39"/>
    </row>
    <row r="17868">
      <c r="D17868" s="39"/>
      <c r="E17868" s="39"/>
      <c r="F17868" s="39"/>
    </row>
    <row r="17869">
      <c r="D17869" s="39"/>
      <c r="E17869" s="39"/>
      <c r="F17869" s="39"/>
    </row>
    <row r="17870">
      <c r="D17870" s="39"/>
      <c r="E17870" s="39"/>
      <c r="F17870" s="39"/>
    </row>
    <row r="17871">
      <c r="D17871" s="39"/>
      <c r="E17871" s="39"/>
      <c r="F17871" s="39"/>
    </row>
    <row r="17872">
      <c r="D17872" s="39"/>
      <c r="E17872" s="39"/>
      <c r="F17872" s="39"/>
    </row>
    <row r="17873">
      <c r="D17873" s="39"/>
      <c r="E17873" s="39"/>
      <c r="F17873" s="39"/>
    </row>
    <row r="17874">
      <c r="D17874" s="39"/>
      <c r="E17874" s="39"/>
      <c r="F17874" s="39"/>
    </row>
    <row r="17875">
      <c r="D17875" s="39"/>
      <c r="E17875" s="39"/>
      <c r="F17875" s="39"/>
    </row>
    <row r="17876">
      <c r="D17876" s="39"/>
      <c r="E17876" s="39"/>
      <c r="F17876" s="39"/>
    </row>
    <row r="17877">
      <c r="D17877" s="39"/>
      <c r="E17877" s="39"/>
      <c r="F17877" s="39"/>
    </row>
    <row r="17878">
      <c r="D17878" s="39"/>
      <c r="E17878" s="39"/>
      <c r="F17878" s="39"/>
    </row>
    <row r="17879">
      <c r="D17879" s="39"/>
      <c r="E17879" s="39"/>
      <c r="F17879" s="39"/>
    </row>
    <row r="17880">
      <c r="D17880" s="39"/>
      <c r="E17880" s="39"/>
      <c r="F17880" s="39"/>
    </row>
    <row r="17881">
      <c r="D17881" s="39"/>
      <c r="E17881" s="39"/>
      <c r="F17881" s="39"/>
    </row>
    <row r="17882">
      <c r="D17882" s="39"/>
      <c r="E17882" s="39"/>
      <c r="F17882" s="39"/>
    </row>
    <row r="17883">
      <c r="D17883" s="39"/>
      <c r="E17883" s="39"/>
      <c r="F17883" s="39"/>
    </row>
    <row r="17884">
      <c r="D17884" s="39"/>
      <c r="E17884" s="39"/>
      <c r="F17884" s="39"/>
    </row>
    <row r="17885">
      <c r="D17885" s="39"/>
      <c r="E17885" s="39"/>
      <c r="F17885" s="39"/>
    </row>
    <row r="17886">
      <c r="D17886" s="39"/>
      <c r="E17886" s="39"/>
      <c r="F17886" s="39"/>
    </row>
    <row r="17887">
      <c r="D17887" s="39"/>
      <c r="E17887" s="39"/>
      <c r="F17887" s="39"/>
    </row>
    <row r="17888">
      <c r="D17888" s="39"/>
      <c r="E17888" s="39"/>
      <c r="F17888" s="39"/>
    </row>
    <row r="17889">
      <c r="D17889" s="39"/>
      <c r="E17889" s="39"/>
      <c r="F17889" s="39"/>
    </row>
    <row r="17890">
      <c r="D17890" s="39"/>
      <c r="E17890" s="39"/>
      <c r="F17890" s="39"/>
    </row>
    <row r="17891">
      <c r="D17891" s="39"/>
      <c r="E17891" s="39"/>
      <c r="F17891" s="39"/>
    </row>
    <row r="17892">
      <c r="D17892" s="39"/>
      <c r="E17892" s="39"/>
      <c r="F17892" s="39"/>
    </row>
    <row r="17893">
      <c r="D17893" s="39"/>
      <c r="E17893" s="39"/>
      <c r="F17893" s="39"/>
    </row>
    <row r="17894">
      <c r="D17894" s="39"/>
      <c r="E17894" s="39"/>
      <c r="F17894" s="39"/>
    </row>
    <row r="17895">
      <c r="D17895" s="39"/>
      <c r="E17895" s="39"/>
      <c r="F17895" s="39"/>
    </row>
    <row r="17896">
      <c r="D17896" s="39"/>
      <c r="E17896" s="39"/>
      <c r="F17896" s="39"/>
    </row>
    <row r="17897">
      <c r="D17897" s="39"/>
      <c r="E17897" s="39"/>
      <c r="F17897" s="39"/>
    </row>
    <row r="17898">
      <c r="D17898" s="39"/>
      <c r="E17898" s="39"/>
      <c r="F17898" s="39"/>
    </row>
    <row r="17899">
      <c r="D17899" s="39"/>
      <c r="E17899" s="39"/>
      <c r="F17899" s="39"/>
    </row>
    <row r="17900">
      <c r="D17900" s="39"/>
      <c r="E17900" s="39"/>
      <c r="F17900" s="39"/>
    </row>
    <row r="17901">
      <c r="D17901" s="39"/>
      <c r="E17901" s="39"/>
      <c r="F17901" s="39"/>
    </row>
    <row r="17902">
      <c r="D17902" s="39"/>
      <c r="E17902" s="39"/>
      <c r="F17902" s="39"/>
    </row>
    <row r="17903">
      <c r="D17903" s="39"/>
      <c r="E17903" s="39"/>
      <c r="F17903" s="39"/>
    </row>
    <row r="17904">
      <c r="D17904" s="39"/>
      <c r="E17904" s="39"/>
      <c r="F17904" s="39"/>
    </row>
    <row r="17905">
      <c r="D17905" s="39"/>
      <c r="E17905" s="39"/>
      <c r="F17905" s="39"/>
    </row>
    <row r="17906">
      <c r="D17906" s="39"/>
      <c r="E17906" s="39"/>
      <c r="F17906" s="39"/>
    </row>
    <row r="17907">
      <c r="D17907" s="39"/>
      <c r="E17907" s="39"/>
      <c r="F17907" s="39"/>
    </row>
    <row r="17908">
      <c r="D17908" s="39"/>
      <c r="E17908" s="39"/>
      <c r="F17908" s="39"/>
    </row>
    <row r="17909">
      <c r="D17909" s="39"/>
      <c r="E17909" s="39"/>
      <c r="F17909" s="39"/>
    </row>
    <row r="17910">
      <c r="D17910" s="39"/>
      <c r="E17910" s="39"/>
      <c r="F17910" s="39"/>
    </row>
    <row r="17911">
      <c r="D17911" s="39"/>
      <c r="E17911" s="39"/>
      <c r="F17911" s="39"/>
    </row>
    <row r="17912">
      <c r="D17912" s="39"/>
      <c r="E17912" s="39"/>
      <c r="F17912" s="39"/>
    </row>
    <row r="17913">
      <c r="D17913" s="39"/>
      <c r="E17913" s="39"/>
      <c r="F17913" s="39"/>
    </row>
    <row r="17914">
      <c r="D17914" s="39"/>
      <c r="E17914" s="39"/>
      <c r="F17914" s="39"/>
    </row>
    <row r="17915">
      <c r="D17915" s="39"/>
      <c r="E17915" s="39"/>
      <c r="F17915" s="39"/>
    </row>
    <row r="17916">
      <c r="D17916" s="39"/>
      <c r="E17916" s="39"/>
      <c r="F17916" s="39"/>
    </row>
    <row r="17917">
      <c r="D17917" s="39"/>
      <c r="E17917" s="39"/>
      <c r="F17917" s="39"/>
    </row>
    <row r="17918">
      <c r="D17918" s="39"/>
      <c r="E17918" s="39"/>
      <c r="F17918" s="39"/>
    </row>
    <row r="17919">
      <c r="D17919" s="39"/>
      <c r="E17919" s="39"/>
      <c r="F17919" s="39"/>
    </row>
    <row r="17920">
      <c r="D17920" s="39"/>
      <c r="E17920" s="39"/>
      <c r="F17920" s="39"/>
    </row>
    <row r="17921">
      <c r="D17921" s="39"/>
      <c r="E17921" s="39"/>
      <c r="F17921" s="39"/>
    </row>
    <row r="17922">
      <c r="D17922" s="39"/>
      <c r="E17922" s="39"/>
      <c r="F17922" s="39"/>
    </row>
    <row r="17923">
      <c r="D17923" s="39"/>
      <c r="E17923" s="39"/>
      <c r="F17923" s="39"/>
    </row>
    <row r="17924">
      <c r="D17924" s="39"/>
      <c r="E17924" s="39"/>
      <c r="F17924" s="39"/>
    </row>
    <row r="17925">
      <c r="D17925" s="39"/>
      <c r="E17925" s="39"/>
      <c r="F17925" s="39"/>
    </row>
    <row r="17926">
      <c r="D17926" s="39"/>
      <c r="E17926" s="39"/>
      <c r="F17926" s="39"/>
    </row>
    <row r="17927">
      <c r="D17927" s="39"/>
      <c r="E17927" s="39"/>
      <c r="F17927" s="39"/>
    </row>
    <row r="17928">
      <c r="D17928" s="39"/>
      <c r="E17928" s="39"/>
      <c r="F17928" s="39"/>
    </row>
    <row r="17929">
      <c r="D17929" s="39"/>
      <c r="E17929" s="39"/>
      <c r="F17929" s="39"/>
    </row>
    <row r="17930">
      <c r="D17930" s="39"/>
      <c r="E17930" s="39"/>
      <c r="F17930" s="39"/>
    </row>
    <row r="17931">
      <c r="D17931" s="39"/>
      <c r="E17931" s="39"/>
      <c r="F17931" s="39"/>
    </row>
    <row r="17932">
      <c r="D17932" s="39"/>
      <c r="E17932" s="39"/>
      <c r="F17932" s="39"/>
    </row>
    <row r="17933">
      <c r="D17933" s="39"/>
      <c r="E17933" s="39"/>
      <c r="F17933" s="39"/>
    </row>
    <row r="17934">
      <c r="D17934" s="39"/>
      <c r="E17934" s="39"/>
      <c r="F17934" s="39"/>
    </row>
    <row r="17935">
      <c r="D17935" s="39"/>
      <c r="E17935" s="39"/>
      <c r="F17935" s="39"/>
    </row>
    <row r="17936">
      <c r="D17936" s="39"/>
      <c r="E17936" s="39"/>
      <c r="F17936" s="39"/>
    </row>
    <row r="17937">
      <c r="D17937" s="39"/>
      <c r="E17937" s="39"/>
      <c r="F17937" s="39"/>
    </row>
    <row r="17938">
      <c r="D17938" s="39"/>
      <c r="E17938" s="39"/>
      <c r="F17938" s="39"/>
    </row>
    <row r="17939">
      <c r="D17939" s="39"/>
      <c r="E17939" s="39"/>
      <c r="F17939" s="39"/>
    </row>
    <row r="17940">
      <c r="D17940" s="39"/>
      <c r="E17940" s="39"/>
      <c r="F17940" s="39"/>
    </row>
    <row r="17941">
      <c r="D17941" s="39"/>
      <c r="E17941" s="39"/>
      <c r="F17941" s="39"/>
    </row>
    <row r="17942">
      <c r="D17942" s="39"/>
      <c r="E17942" s="39"/>
      <c r="F17942" s="39"/>
    </row>
    <row r="17943">
      <c r="D17943" s="39"/>
      <c r="E17943" s="39"/>
      <c r="F17943" s="39"/>
    </row>
    <row r="17944">
      <c r="D17944" s="39"/>
      <c r="E17944" s="39"/>
      <c r="F17944" s="39"/>
    </row>
    <row r="17945">
      <c r="D17945" s="39"/>
      <c r="E17945" s="39"/>
      <c r="F17945" s="39"/>
    </row>
    <row r="17946">
      <c r="D17946" s="39"/>
      <c r="E17946" s="39"/>
      <c r="F17946" s="39"/>
    </row>
    <row r="17947">
      <c r="D17947" s="39"/>
      <c r="E17947" s="39"/>
      <c r="F17947" s="39"/>
    </row>
    <row r="17948">
      <c r="D17948" s="39"/>
      <c r="E17948" s="39"/>
      <c r="F17948" s="39"/>
    </row>
    <row r="17949">
      <c r="D17949" s="39"/>
      <c r="E17949" s="39"/>
      <c r="F17949" s="39"/>
    </row>
    <row r="17950">
      <c r="D17950" s="39"/>
      <c r="E17950" s="39"/>
      <c r="F17950" s="39"/>
    </row>
    <row r="17951">
      <c r="D17951" s="39"/>
      <c r="E17951" s="39"/>
      <c r="F17951" s="39"/>
    </row>
    <row r="17952">
      <c r="D17952" s="39"/>
      <c r="E17952" s="39"/>
      <c r="F17952" s="39"/>
    </row>
    <row r="17953">
      <c r="D17953" s="39"/>
      <c r="E17953" s="39"/>
      <c r="F17953" s="39"/>
    </row>
    <row r="17954">
      <c r="D17954" s="39"/>
      <c r="E17954" s="39"/>
      <c r="F17954" s="39"/>
    </row>
    <row r="17955">
      <c r="D17955" s="39"/>
      <c r="E17955" s="39"/>
      <c r="F17955" s="39"/>
    </row>
    <row r="17956">
      <c r="D17956" s="39"/>
      <c r="E17956" s="39"/>
      <c r="F17956" s="39"/>
    </row>
    <row r="17957">
      <c r="D17957" s="39"/>
      <c r="E17957" s="39"/>
      <c r="F17957" s="39"/>
    </row>
    <row r="17958">
      <c r="D17958" s="39"/>
      <c r="E17958" s="39"/>
      <c r="F17958" s="39"/>
    </row>
    <row r="17959">
      <c r="D17959" s="39"/>
      <c r="E17959" s="39"/>
      <c r="F17959" s="39"/>
    </row>
    <row r="17960">
      <c r="D17960" s="39"/>
      <c r="E17960" s="39"/>
      <c r="F17960" s="39"/>
    </row>
    <row r="17961">
      <c r="D17961" s="39"/>
      <c r="E17961" s="39"/>
      <c r="F17961" s="39"/>
    </row>
    <row r="17962">
      <c r="D17962" s="39"/>
      <c r="E17962" s="39"/>
      <c r="F17962" s="39"/>
    </row>
    <row r="17963">
      <c r="D17963" s="39"/>
      <c r="E17963" s="39"/>
      <c r="F17963" s="39"/>
    </row>
    <row r="17964">
      <c r="D17964" s="39"/>
      <c r="E17964" s="39"/>
      <c r="F17964" s="39"/>
    </row>
    <row r="17965">
      <c r="D17965" s="39"/>
      <c r="E17965" s="39"/>
      <c r="F17965" s="39"/>
    </row>
    <row r="17966">
      <c r="D17966" s="39"/>
      <c r="E17966" s="39"/>
      <c r="F17966" s="39"/>
    </row>
    <row r="17967">
      <c r="D17967" s="39"/>
      <c r="E17967" s="39"/>
      <c r="F17967" s="39"/>
    </row>
    <row r="17968">
      <c r="D17968" s="39"/>
      <c r="E17968" s="39"/>
      <c r="F17968" s="39"/>
    </row>
    <row r="17969">
      <c r="D17969" s="39"/>
      <c r="E17969" s="39"/>
      <c r="F17969" s="39"/>
    </row>
    <row r="17970">
      <c r="D17970" s="39"/>
      <c r="E17970" s="39"/>
      <c r="F17970" s="39"/>
    </row>
    <row r="17971">
      <c r="D17971" s="39"/>
      <c r="E17971" s="39"/>
      <c r="F17971" s="39"/>
    </row>
    <row r="17972">
      <c r="D17972" s="39"/>
      <c r="E17972" s="39"/>
      <c r="F17972" s="39"/>
    </row>
    <row r="17973">
      <c r="D17973" s="39"/>
      <c r="E17973" s="39"/>
      <c r="F17973" s="39"/>
    </row>
    <row r="17974">
      <c r="D17974" s="39"/>
      <c r="E17974" s="39"/>
      <c r="F17974" s="39"/>
    </row>
    <row r="17975">
      <c r="D17975" s="39"/>
      <c r="E17975" s="39"/>
      <c r="F17975" s="39"/>
    </row>
    <row r="17976">
      <c r="D17976" s="39"/>
      <c r="E17976" s="39"/>
      <c r="F17976" s="39"/>
    </row>
    <row r="17977">
      <c r="D17977" s="39"/>
      <c r="E17977" s="39"/>
      <c r="F17977" s="39"/>
    </row>
    <row r="17978">
      <c r="D17978" s="39"/>
      <c r="E17978" s="39"/>
      <c r="F17978" s="39"/>
    </row>
    <row r="17979">
      <c r="D17979" s="39"/>
      <c r="E17979" s="39"/>
      <c r="F17979" s="39"/>
    </row>
    <row r="17980">
      <c r="D17980" s="39"/>
      <c r="E17980" s="39"/>
      <c r="F17980" s="39"/>
    </row>
    <row r="17981">
      <c r="D17981" s="39"/>
      <c r="E17981" s="39"/>
      <c r="F17981" s="39"/>
    </row>
    <row r="17982">
      <c r="D17982" s="39"/>
      <c r="E17982" s="39"/>
      <c r="F17982" s="39"/>
    </row>
    <row r="17983">
      <c r="D17983" s="39"/>
      <c r="E17983" s="39"/>
      <c r="F17983" s="39"/>
    </row>
    <row r="17984">
      <c r="D17984" s="39"/>
      <c r="E17984" s="39"/>
      <c r="F17984" s="39"/>
    </row>
    <row r="17985">
      <c r="D17985" s="39"/>
      <c r="E17985" s="39"/>
      <c r="F17985" s="39"/>
    </row>
    <row r="17986">
      <c r="D17986" s="39"/>
      <c r="E17986" s="39"/>
      <c r="F17986" s="39"/>
    </row>
    <row r="17987">
      <c r="D17987" s="39"/>
      <c r="E17987" s="39"/>
      <c r="F17987" s="39"/>
    </row>
    <row r="17988">
      <c r="D17988" s="39"/>
      <c r="E17988" s="39"/>
      <c r="F17988" s="39"/>
    </row>
    <row r="17989">
      <c r="D17989" s="39"/>
      <c r="E17989" s="39"/>
      <c r="F17989" s="39"/>
    </row>
    <row r="17990">
      <c r="D17990" s="39"/>
      <c r="E17990" s="39"/>
      <c r="F17990" s="39"/>
    </row>
    <row r="17991">
      <c r="D17991" s="39"/>
      <c r="E17991" s="39"/>
      <c r="F17991" s="39"/>
    </row>
    <row r="17992">
      <c r="D17992" s="39"/>
      <c r="E17992" s="39"/>
      <c r="F17992" s="39"/>
    </row>
    <row r="17993">
      <c r="D17993" s="39"/>
      <c r="E17993" s="39"/>
      <c r="F17993" s="39"/>
    </row>
    <row r="17994">
      <c r="D17994" s="39"/>
      <c r="E17994" s="39"/>
      <c r="F17994" s="39"/>
    </row>
    <row r="17995">
      <c r="D17995" s="39"/>
      <c r="E17995" s="39"/>
      <c r="F17995" s="39"/>
    </row>
    <row r="17996">
      <c r="D17996" s="39"/>
      <c r="E17996" s="39"/>
      <c r="F17996" s="39"/>
    </row>
    <row r="17997">
      <c r="D17997" s="39"/>
      <c r="E17997" s="39"/>
      <c r="F17997" s="39"/>
    </row>
    <row r="17998">
      <c r="D17998" s="39"/>
      <c r="E17998" s="39"/>
      <c r="F17998" s="39"/>
    </row>
    <row r="17999">
      <c r="D17999" s="39"/>
      <c r="E17999" s="39"/>
      <c r="F17999" s="39"/>
    </row>
    <row r="18000">
      <c r="D18000" s="39"/>
      <c r="E18000" s="39"/>
      <c r="F18000" s="39"/>
    </row>
    <row r="18001">
      <c r="D18001" s="39"/>
      <c r="E18001" s="39"/>
      <c r="F18001" s="39"/>
    </row>
    <row r="18002">
      <c r="D18002" s="39"/>
      <c r="E18002" s="39"/>
      <c r="F18002" s="39"/>
    </row>
    <row r="18003">
      <c r="D18003" s="39"/>
      <c r="E18003" s="39"/>
      <c r="F18003" s="39"/>
    </row>
    <row r="18004">
      <c r="D18004" s="39"/>
      <c r="E18004" s="39"/>
      <c r="F18004" s="39"/>
    </row>
    <row r="18005">
      <c r="D18005" s="39"/>
      <c r="E18005" s="39"/>
      <c r="F18005" s="39"/>
    </row>
    <row r="18006">
      <c r="D18006" s="39"/>
      <c r="E18006" s="39"/>
      <c r="F18006" s="39"/>
    </row>
    <row r="18007">
      <c r="D18007" s="39"/>
      <c r="E18007" s="39"/>
      <c r="F18007" s="39"/>
    </row>
    <row r="18008">
      <c r="D18008" s="39"/>
      <c r="E18008" s="39"/>
      <c r="F18008" s="39"/>
    </row>
    <row r="18009">
      <c r="D18009" s="39"/>
      <c r="E18009" s="39"/>
      <c r="F18009" s="39"/>
    </row>
    <row r="18010">
      <c r="D18010" s="39"/>
      <c r="E18010" s="39"/>
      <c r="F18010" s="39"/>
    </row>
    <row r="18011">
      <c r="D18011" s="39"/>
      <c r="E18011" s="39"/>
      <c r="F18011" s="39"/>
    </row>
    <row r="18012">
      <c r="D18012" s="39"/>
      <c r="E18012" s="39"/>
      <c r="F18012" s="39"/>
    </row>
    <row r="18013">
      <c r="D18013" s="39"/>
      <c r="E18013" s="39"/>
      <c r="F18013" s="39"/>
    </row>
    <row r="18014">
      <c r="D18014" s="39"/>
      <c r="E18014" s="39"/>
      <c r="F18014" s="39"/>
    </row>
    <row r="18015">
      <c r="D18015" s="39"/>
      <c r="E18015" s="39"/>
      <c r="F18015" s="39"/>
    </row>
    <row r="18016">
      <c r="D18016" s="39"/>
      <c r="E18016" s="39"/>
      <c r="F18016" s="39"/>
    </row>
    <row r="18017">
      <c r="D18017" s="39"/>
      <c r="E18017" s="39"/>
      <c r="F18017" s="39"/>
    </row>
    <row r="18018">
      <c r="D18018" s="39"/>
      <c r="E18018" s="39"/>
      <c r="F18018" s="39"/>
    </row>
    <row r="18019">
      <c r="D18019" s="39"/>
      <c r="E18019" s="39"/>
      <c r="F18019" s="39"/>
    </row>
    <row r="18020">
      <c r="D18020" s="39"/>
      <c r="E18020" s="39"/>
      <c r="F18020" s="39"/>
    </row>
    <row r="18021">
      <c r="D18021" s="39"/>
      <c r="E18021" s="39"/>
      <c r="F18021" s="39"/>
    </row>
    <row r="18022">
      <c r="D18022" s="39"/>
      <c r="E18022" s="39"/>
      <c r="F18022" s="39"/>
    </row>
    <row r="18023">
      <c r="D18023" s="39"/>
      <c r="E18023" s="39"/>
      <c r="F18023" s="39"/>
    </row>
    <row r="18024">
      <c r="D18024" s="39"/>
      <c r="E18024" s="39"/>
      <c r="F18024" s="39"/>
    </row>
    <row r="18025">
      <c r="D18025" s="39"/>
      <c r="E18025" s="39"/>
      <c r="F18025" s="39"/>
    </row>
    <row r="18026">
      <c r="D18026" s="39"/>
      <c r="E18026" s="39"/>
      <c r="F18026" s="39"/>
    </row>
    <row r="18027">
      <c r="D18027" s="39"/>
      <c r="E18027" s="39"/>
      <c r="F18027" s="39"/>
    </row>
    <row r="18028">
      <c r="D18028" s="39"/>
      <c r="E18028" s="39"/>
      <c r="F18028" s="39"/>
    </row>
    <row r="18029">
      <c r="D18029" s="39"/>
      <c r="E18029" s="39"/>
      <c r="F18029" s="39"/>
    </row>
    <row r="18030">
      <c r="D18030" s="39"/>
      <c r="E18030" s="39"/>
      <c r="F18030" s="39"/>
    </row>
    <row r="18031">
      <c r="D18031" s="39"/>
      <c r="E18031" s="39"/>
      <c r="F18031" s="39"/>
    </row>
    <row r="18032">
      <c r="D18032" s="39"/>
      <c r="E18032" s="39"/>
      <c r="F18032" s="39"/>
    </row>
    <row r="18033">
      <c r="D18033" s="39"/>
      <c r="E18033" s="39"/>
      <c r="F18033" s="39"/>
    </row>
    <row r="18034">
      <c r="D18034" s="39"/>
      <c r="E18034" s="39"/>
      <c r="F18034" s="39"/>
    </row>
    <row r="18035">
      <c r="D18035" s="39"/>
      <c r="E18035" s="39"/>
      <c r="F18035" s="39"/>
    </row>
    <row r="18036">
      <c r="D18036" s="39"/>
      <c r="E18036" s="39"/>
      <c r="F18036" s="39"/>
    </row>
    <row r="18037">
      <c r="D18037" s="39"/>
      <c r="E18037" s="39"/>
      <c r="F18037" s="39"/>
    </row>
    <row r="18038">
      <c r="D18038" s="39"/>
      <c r="E18038" s="39"/>
      <c r="F18038" s="39"/>
    </row>
    <row r="18039">
      <c r="D18039" s="39"/>
      <c r="E18039" s="39"/>
      <c r="F18039" s="39"/>
    </row>
    <row r="18040">
      <c r="D18040" s="39"/>
      <c r="E18040" s="39"/>
      <c r="F18040" s="39"/>
    </row>
    <row r="18041">
      <c r="D18041" s="39"/>
      <c r="E18041" s="39"/>
      <c r="F18041" s="39"/>
    </row>
    <row r="18042">
      <c r="D18042" s="39"/>
      <c r="E18042" s="39"/>
      <c r="F18042" s="39"/>
    </row>
    <row r="18043">
      <c r="D18043" s="39"/>
      <c r="E18043" s="39"/>
      <c r="F18043" s="39"/>
    </row>
    <row r="18044">
      <c r="D18044" s="39"/>
      <c r="E18044" s="39"/>
      <c r="F18044" s="39"/>
    </row>
    <row r="18045">
      <c r="D18045" s="39"/>
      <c r="E18045" s="39"/>
      <c r="F18045" s="39"/>
    </row>
    <row r="18046">
      <c r="D18046" s="39"/>
      <c r="E18046" s="39"/>
      <c r="F18046" s="39"/>
    </row>
    <row r="18047">
      <c r="D18047" s="39"/>
      <c r="E18047" s="39"/>
      <c r="F18047" s="39"/>
    </row>
    <row r="18048">
      <c r="D18048" s="39"/>
      <c r="E18048" s="39"/>
      <c r="F18048" s="39"/>
    </row>
    <row r="18049">
      <c r="D18049" s="39"/>
      <c r="E18049" s="39"/>
      <c r="F18049" s="39"/>
    </row>
    <row r="18050">
      <c r="D18050" s="39"/>
      <c r="E18050" s="39"/>
      <c r="F18050" s="39"/>
    </row>
    <row r="18051">
      <c r="D18051" s="39"/>
      <c r="E18051" s="39"/>
      <c r="F18051" s="39"/>
    </row>
    <row r="18052">
      <c r="D18052" s="39"/>
      <c r="E18052" s="39"/>
      <c r="F18052" s="39"/>
    </row>
    <row r="18053">
      <c r="D18053" s="39"/>
      <c r="E18053" s="39"/>
      <c r="F18053" s="39"/>
    </row>
    <row r="18054">
      <c r="D18054" s="39"/>
      <c r="E18054" s="39"/>
      <c r="F18054" s="39"/>
    </row>
    <row r="18055">
      <c r="D18055" s="39"/>
      <c r="E18055" s="39"/>
      <c r="F18055" s="39"/>
    </row>
    <row r="18056">
      <c r="D18056" s="39"/>
      <c r="E18056" s="39"/>
      <c r="F18056" s="39"/>
    </row>
    <row r="18057">
      <c r="D18057" s="39"/>
      <c r="E18057" s="39"/>
      <c r="F18057" s="39"/>
    </row>
    <row r="18058">
      <c r="D18058" s="39"/>
      <c r="E18058" s="39"/>
      <c r="F18058" s="39"/>
    </row>
    <row r="18059">
      <c r="D18059" s="39"/>
      <c r="E18059" s="39"/>
      <c r="F18059" s="39"/>
    </row>
    <row r="18060">
      <c r="D18060" s="39"/>
      <c r="E18060" s="39"/>
      <c r="F18060" s="39"/>
    </row>
    <row r="18061">
      <c r="D18061" s="39"/>
      <c r="E18061" s="39"/>
      <c r="F18061" s="39"/>
    </row>
    <row r="18062">
      <c r="D18062" s="39"/>
      <c r="E18062" s="39"/>
      <c r="F18062" s="39"/>
    </row>
    <row r="18063">
      <c r="D18063" s="39"/>
      <c r="E18063" s="39"/>
      <c r="F18063" s="39"/>
    </row>
    <row r="18064">
      <c r="D18064" s="39"/>
      <c r="E18064" s="39"/>
      <c r="F18064" s="39"/>
    </row>
    <row r="18065">
      <c r="D18065" s="39"/>
      <c r="E18065" s="39"/>
      <c r="F18065" s="39"/>
    </row>
    <row r="18066">
      <c r="D18066" s="39"/>
      <c r="E18066" s="39"/>
      <c r="F18066" s="39"/>
    </row>
    <row r="18067">
      <c r="D18067" s="39"/>
      <c r="E18067" s="39"/>
      <c r="F18067" s="39"/>
    </row>
    <row r="18068">
      <c r="D18068" s="39"/>
      <c r="E18068" s="39"/>
      <c r="F18068" s="39"/>
    </row>
    <row r="18069">
      <c r="D18069" s="39"/>
      <c r="E18069" s="39"/>
      <c r="F18069" s="39"/>
    </row>
    <row r="18070">
      <c r="D18070" s="39"/>
      <c r="E18070" s="39"/>
      <c r="F18070" s="39"/>
    </row>
    <row r="18071">
      <c r="D18071" s="39"/>
      <c r="E18071" s="39"/>
      <c r="F18071" s="39"/>
    </row>
    <row r="18072">
      <c r="D18072" s="39"/>
      <c r="E18072" s="39"/>
      <c r="F18072" s="39"/>
    </row>
    <row r="18073">
      <c r="D18073" s="39"/>
      <c r="E18073" s="39"/>
      <c r="F18073" s="39"/>
    </row>
    <row r="18074">
      <c r="D18074" s="39"/>
      <c r="E18074" s="39"/>
      <c r="F18074" s="39"/>
    </row>
    <row r="18075">
      <c r="D18075" s="39"/>
      <c r="E18075" s="39"/>
      <c r="F18075" s="39"/>
    </row>
    <row r="18076">
      <c r="D18076" s="39"/>
      <c r="E18076" s="39"/>
      <c r="F18076" s="39"/>
    </row>
    <row r="18077">
      <c r="D18077" s="39"/>
      <c r="E18077" s="39"/>
      <c r="F18077" s="39"/>
    </row>
    <row r="18078">
      <c r="D18078" s="39"/>
      <c r="E18078" s="39"/>
      <c r="F18078" s="39"/>
    </row>
    <row r="18079">
      <c r="D18079" s="39"/>
      <c r="E18079" s="39"/>
      <c r="F18079" s="39"/>
    </row>
    <row r="18080">
      <c r="D18080" s="39"/>
      <c r="E18080" s="39"/>
      <c r="F18080" s="39"/>
    </row>
    <row r="18081">
      <c r="D18081" s="39"/>
      <c r="E18081" s="39"/>
      <c r="F18081" s="39"/>
    </row>
    <row r="18082">
      <c r="D18082" s="39"/>
      <c r="E18082" s="39"/>
      <c r="F18082" s="39"/>
    </row>
    <row r="18083">
      <c r="D18083" s="39"/>
      <c r="E18083" s="39"/>
      <c r="F18083" s="39"/>
    </row>
    <row r="18084">
      <c r="D18084" s="39"/>
      <c r="E18084" s="39"/>
      <c r="F18084" s="39"/>
    </row>
    <row r="18085">
      <c r="D18085" s="39"/>
      <c r="E18085" s="39"/>
      <c r="F18085" s="39"/>
    </row>
    <row r="18086">
      <c r="D18086" s="39"/>
      <c r="E18086" s="39"/>
      <c r="F18086" s="39"/>
    </row>
    <row r="18087">
      <c r="D18087" s="39"/>
      <c r="E18087" s="39"/>
      <c r="F18087" s="39"/>
    </row>
    <row r="18088">
      <c r="D18088" s="39"/>
      <c r="E18088" s="39"/>
      <c r="F18088" s="39"/>
    </row>
    <row r="18089">
      <c r="D18089" s="39"/>
      <c r="E18089" s="39"/>
      <c r="F18089" s="39"/>
    </row>
    <row r="18090">
      <c r="D18090" s="39"/>
      <c r="E18090" s="39"/>
      <c r="F18090" s="39"/>
    </row>
    <row r="18091">
      <c r="D18091" s="39"/>
      <c r="E18091" s="39"/>
      <c r="F18091" s="39"/>
    </row>
    <row r="18092">
      <c r="D18092" s="39"/>
      <c r="E18092" s="39"/>
      <c r="F18092" s="39"/>
    </row>
    <row r="18093">
      <c r="D18093" s="39"/>
      <c r="E18093" s="39"/>
      <c r="F18093" s="39"/>
    </row>
    <row r="18094">
      <c r="D18094" s="39"/>
      <c r="E18094" s="39"/>
      <c r="F18094" s="39"/>
    </row>
    <row r="18095">
      <c r="D18095" s="39"/>
      <c r="E18095" s="39"/>
      <c r="F18095" s="39"/>
    </row>
    <row r="18096">
      <c r="D18096" s="39"/>
      <c r="E18096" s="39"/>
      <c r="F18096" s="39"/>
    </row>
    <row r="18097">
      <c r="D18097" s="39"/>
      <c r="E18097" s="39"/>
      <c r="F18097" s="39"/>
    </row>
    <row r="18098">
      <c r="D18098" s="39"/>
      <c r="E18098" s="39"/>
      <c r="F18098" s="39"/>
    </row>
    <row r="18099">
      <c r="D18099" s="39"/>
      <c r="E18099" s="39"/>
      <c r="F18099" s="39"/>
    </row>
    <row r="18100">
      <c r="D18100" s="39"/>
      <c r="E18100" s="39"/>
      <c r="F18100" s="39"/>
    </row>
    <row r="18101">
      <c r="D18101" s="39"/>
      <c r="E18101" s="39"/>
      <c r="F18101" s="39"/>
    </row>
    <row r="18102">
      <c r="D18102" s="39"/>
      <c r="E18102" s="39"/>
      <c r="F18102" s="39"/>
    </row>
    <row r="18103">
      <c r="D18103" s="39"/>
      <c r="E18103" s="39"/>
      <c r="F18103" s="39"/>
    </row>
    <row r="18104">
      <c r="D18104" s="39"/>
      <c r="E18104" s="39"/>
      <c r="F18104" s="39"/>
    </row>
    <row r="18105">
      <c r="D18105" s="39"/>
      <c r="E18105" s="39"/>
      <c r="F18105" s="39"/>
    </row>
    <row r="18106">
      <c r="D18106" s="39"/>
      <c r="E18106" s="39"/>
      <c r="F18106" s="39"/>
    </row>
    <row r="18107">
      <c r="D18107" s="39"/>
      <c r="E18107" s="39"/>
      <c r="F18107" s="39"/>
    </row>
    <row r="18108">
      <c r="D18108" s="39"/>
      <c r="E18108" s="39"/>
      <c r="F18108" s="39"/>
    </row>
    <row r="18109">
      <c r="D18109" s="39"/>
      <c r="E18109" s="39"/>
      <c r="F18109" s="39"/>
    </row>
    <row r="18110">
      <c r="D18110" s="39"/>
      <c r="E18110" s="39"/>
      <c r="F18110" s="39"/>
    </row>
    <row r="18111">
      <c r="D18111" s="39"/>
      <c r="E18111" s="39"/>
      <c r="F18111" s="39"/>
    </row>
    <row r="18112">
      <c r="D18112" s="39"/>
      <c r="E18112" s="39"/>
      <c r="F18112" s="39"/>
    </row>
    <row r="18113">
      <c r="D18113" s="39"/>
      <c r="E18113" s="39"/>
      <c r="F18113" s="39"/>
    </row>
    <row r="18114">
      <c r="D18114" s="39"/>
      <c r="E18114" s="39"/>
      <c r="F18114" s="39"/>
    </row>
    <row r="18115">
      <c r="D18115" s="39"/>
      <c r="E18115" s="39"/>
      <c r="F18115" s="39"/>
    </row>
    <row r="18116">
      <c r="D18116" s="39"/>
      <c r="E18116" s="39"/>
      <c r="F18116" s="39"/>
    </row>
    <row r="18117">
      <c r="D18117" s="39"/>
      <c r="E18117" s="39"/>
      <c r="F18117" s="39"/>
    </row>
    <row r="18118">
      <c r="D18118" s="39"/>
      <c r="E18118" s="39"/>
      <c r="F18118" s="39"/>
    </row>
    <row r="18119">
      <c r="D18119" s="39"/>
      <c r="E18119" s="39"/>
      <c r="F18119" s="39"/>
    </row>
    <row r="18120">
      <c r="D18120" s="39"/>
      <c r="E18120" s="39"/>
      <c r="F18120" s="39"/>
    </row>
    <row r="18121">
      <c r="D18121" s="39"/>
      <c r="E18121" s="39"/>
      <c r="F18121" s="39"/>
    </row>
    <row r="18122">
      <c r="D18122" s="39"/>
      <c r="E18122" s="39"/>
      <c r="F18122" s="39"/>
    </row>
    <row r="18123">
      <c r="D18123" s="39"/>
      <c r="E18123" s="39"/>
      <c r="F18123" s="39"/>
    </row>
    <row r="18124">
      <c r="D18124" s="39"/>
      <c r="E18124" s="39"/>
      <c r="F18124" s="39"/>
    </row>
    <row r="18125">
      <c r="D18125" s="39"/>
      <c r="E18125" s="39"/>
      <c r="F18125" s="39"/>
    </row>
    <row r="18126">
      <c r="D18126" s="39"/>
      <c r="E18126" s="39"/>
      <c r="F18126" s="39"/>
    </row>
    <row r="18127">
      <c r="D18127" s="39"/>
      <c r="E18127" s="39"/>
      <c r="F18127" s="39"/>
    </row>
    <row r="18128">
      <c r="D18128" s="39"/>
      <c r="E18128" s="39"/>
      <c r="F18128" s="39"/>
    </row>
    <row r="18129">
      <c r="D18129" s="39"/>
      <c r="E18129" s="39"/>
      <c r="F18129" s="39"/>
    </row>
    <row r="18130">
      <c r="D18130" s="39"/>
      <c r="E18130" s="39"/>
      <c r="F18130" s="39"/>
    </row>
    <row r="18131">
      <c r="D18131" s="39"/>
      <c r="E18131" s="39"/>
      <c r="F18131" s="39"/>
    </row>
    <row r="18132">
      <c r="D18132" s="39"/>
      <c r="E18132" s="39"/>
      <c r="F18132" s="39"/>
    </row>
    <row r="18133">
      <c r="D18133" s="39"/>
      <c r="E18133" s="39"/>
      <c r="F18133" s="39"/>
    </row>
    <row r="18134">
      <c r="D18134" s="39"/>
      <c r="E18134" s="39"/>
      <c r="F18134" s="39"/>
    </row>
    <row r="18135">
      <c r="D18135" s="39"/>
      <c r="E18135" s="39"/>
      <c r="F18135" s="39"/>
    </row>
    <row r="18136">
      <c r="D18136" s="39"/>
      <c r="E18136" s="39"/>
      <c r="F18136" s="39"/>
    </row>
    <row r="18137">
      <c r="D18137" s="39"/>
      <c r="E18137" s="39"/>
      <c r="F18137" s="39"/>
    </row>
    <row r="18138">
      <c r="D18138" s="39"/>
      <c r="E18138" s="39"/>
      <c r="F18138" s="39"/>
    </row>
    <row r="18139">
      <c r="D18139" s="39"/>
      <c r="E18139" s="39"/>
      <c r="F18139" s="39"/>
    </row>
    <row r="18140">
      <c r="D18140" s="39"/>
      <c r="E18140" s="39"/>
      <c r="F18140" s="39"/>
    </row>
    <row r="18141">
      <c r="D18141" s="39"/>
      <c r="E18141" s="39"/>
      <c r="F18141" s="39"/>
    </row>
    <row r="18142">
      <c r="D18142" s="39"/>
      <c r="E18142" s="39"/>
      <c r="F18142" s="39"/>
    </row>
    <row r="18143">
      <c r="D18143" s="39"/>
      <c r="E18143" s="39"/>
      <c r="F18143" s="39"/>
    </row>
    <row r="18144">
      <c r="D18144" s="39"/>
      <c r="E18144" s="39"/>
      <c r="F18144" s="39"/>
    </row>
    <row r="18145">
      <c r="D18145" s="39"/>
      <c r="E18145" s="39"/>
      <c r="F18145" s="39"/>
    </row>
    <row r="18146">
      <c r="D18146" s="39"/>
      <c r="E18146" s="39"/>
      <c r="F18146" s="39"/>
    </row>
    <row r="18147">
      <c r="D18147" s="39"/>
      <c r="E18147" s="39"/>
      <c r="F18147" s="39"/>
    </row>
    <row r="18148">
      <c r="D18148" s="39"/>
      <c r="E18148" s="39"/>
      <c r="F18148" s="39"/>
    </row>
    <row r="18149">
      <c r="D18149" s="39"/>
      <c r="E18149" s="39"/>
      <c r="F18149" s="39"/>
    </row>
    <row r="18150">
      <c r="D18150" s="39"/>
      <c r="E18150" s="39"/>
      <c r="F18150" s="39"/>
    </row>
    <row r="18151">
      <c r="D18151" s="39"/>
      <c r="E18151" s="39"/>
      <c r="F18151" s="39"/>
    </row>
    <row r="18152">
      <c r="D18152" s="39"/>
      <c r="E18152" s="39"/>
      <c r="F18152" s="39"/>
    </row>
    <row r="18153">
      <c r="D18153" s="39"/>
      <c r="E18153" s="39"/>
      <c r="F18153" s="39"/>
    </row>
    <row r="18154">
      <c r="D18154" s="39"/>
      <c r="E18154" s="39"/>
      <c r="F18154" s="39"/>
    </row>
    <row r="18155">
      <c r="D18155" s="39"/>
      <c r="E18155" s="39"/>
      <c r="F18155" s="39"/>
    </row>
    <row r="18156">
      <c r="D18156" s="39"/>
      <c r="E18156" s="39"/>
      <c r="F18156" s="39"/>
    </row>
    <row r="18157">
      <c r="D18157" s="39"/>
      <c r="E18157" s="39"/>
      <c r="F18157" s="39"/>
    </row>
    <row r="18158">
      <c r="D18158" s="39"/>
      <c r="E18158" s="39"/>
      <c r="F18158" s="39"/>
    </row>
    <row r="18159">
      <c r="D18159" s="39"/>
      <c r="E18159" s="39"/>
      <c r="F18159" s="39"/>
    </row>
    <row r="18160">
      <c r="D18160" s="39"/>
      <c r="E18160" s="39"/>
      <c r="F18160" s="39"/>
    </row>
    <row r="18161">
      <c r="D18161" s="39"/>
      <c r="E18161" s="39"/>
      <c r="F18161" s="39"/>
    </row>
    <row r="18162">
      <c r="D18162" s="39"/>
      <c r="E18162" s="39"/>
      <c r="F18162" s="39"/>
    </row>
    <row r="18163">
      <c r="D18163" s="39"/>
      <c r="E18163" s="39"/>
      <c r="F18163" s="39"/>
    </row>
    <row r="18164">
      <c r="D18164" s="39"/>
      <c r="E18164" s="39"/>
      <c r="F18164" s="39"/>
    </row>
    <row r="18165">
      <c r="D18165" s="39"/>
      <c r="E18165" s="39"/>
      <c r="F18165" s="39"/>
    </row>
    <row r="18166">
      <c r="D18166" s="39"/>
      <c r="E18166" s="39"/>
      <c r="F18166" s="39"/>
    </row>
    <row r="18167">
      <c r="D18167" s="39"/>
      <c r="E18167" s="39"/>
      <c r="F18167" s="39"/>
    </row>
    <row r="18168">
      <c r="D18168" s="39"/>
      <c r="E18168" s="39"/>
      <c r="F18168" s="39"/>
    </row>
    <row r="18169">
      <c r="D18169" s="39"/>
      <c r="E18169" s="39"/>
      <c r="F18169" s="39"/>
    </row>
    <row r="18170">
      <c r="D18170" s="39"/>
      <c r="E18170" s="39"/>
      <c r="F18170" s="39"/>
    </row>
    <row r="18171">
      <c r="D18171" s="39"/>
      <c r="E18171" s="39"/>
      <c r="F18171" s="39"/>
    </row>
    <row r="18172">
      <c r="D18172" s="39"/>
      <c r="E18172" s="39"/>
      <c r="F18172" s="39"/>
    </row>
    <row r="18173">
      <c r="D18173" s="39"/>
      <c r="E18173" s="39"/>
      <c r="F18173" s="39"/>
    </row>
    <row r="18174">
      <c r="D18174" s="39"/>
      <c r="E18174" s="39"/>
      <c r="F18174" s="39"/>
    </row>
    <row r="18175">
      <c r="D18175" s="39"/>
      <c r="E18175" s="39"/>
      <c r="F18175" s="39"/>
    </row>
    <row r="18176">
      <c r="D18176" s="39"/>
      <c r="E18176" s="39"/>
      <c r="F18176" s="39"/>
    </row>
    <row r="18177">
      <c r="D18177" s="39"/>
      <c r="E18177" s="39"/>
      <c r="F18177" s="39"/>
    </row>
    <row r="18178">
      <c r="D18178" s="39"/>
      <c r="E18178" s="39"/>
      <c r="F18178" s="39"/>
    </row>
    <row r="18179">
      <c r="D18179" s="39"/>
      <c r="E18179" s="39"/>
      <c r="F18179" s="39"/>
    </row>
    <row r="18180">
      <c r="D18180" s="39"/>
      <c r="E18180" s="39"/>
      <c r="F18180" s="39"/>
    </row>
    <row r="18181">
      <c r="D18181" s="39"/>
      <c r="E18181" s="39"/>
      <c r="F18181" s="39"/>
    </row>
    <row r="18182">
      <c r="D18182" s="39"/>
      <c r="E18182" s="39"/>
      <c r="F18182" s="39"/>
    </row>
    <row r="18183">
      <c r="D18183" s="39"/>
      <c r="E18183" s="39"/>
      <c r="F18183" s="39"/>
    </row>
    <row r="18184">
      <c r="D18184" s="39"/>
      <c r="E18184" s="39"/>
      <c r="F18184" s="39"/>
    </row>
    <row r="18185">
      <c r="D18185" s="39"/>
      <c r="E18185" s="39"/>
      <c r="F18185" s="39"/>
    </row>
    <row r="18186">
      <c r="D18186" s="39"/>
      <c r="E18186" s="39"/>
      <c r="F18186" s="39"/>
    </row>
    <row r="18187">
      <c r="D18187" s="39"/>
      <c r="E18187" s="39"/>
      <c r="F18187" s="39"/>
    </row>
    <row r="18188">
      <c r="D18188" s="39"/>
      <c r="E18188" s="39"/>
      <c r="F18188" s="39"/>
    </row>
    <row r="18189">
      <c r="D18189" s="39"/>
      <c r="E18189" s="39"/>
      <c r="F18189" s="39"/>
    </row>
    <row r="18190">
      <c r="D18190" s="39"/>
      <c r="E18190" s="39"/>
      <c r="F18190" s="39"/>
    </row>
    <row r="18191">
      <c r="D18191" s="39"/>
      <c r="E18191" s="39"/>
      <c r="F18191" s="39"/>
    </row>
    <row r="18192">
      <c r="D18192" s="39"/>
      <c r="E18192" s="39"/>
      <c r="F18192" s="39"/>
    </row>
    <row r="18193">
      <c r="D18193" s="39"/>
      <c r="E18193" s="39"/>
      <c r="F18193" s="39"/>
    </row>
    <row r="18194">
      <c r="D18194" s="39"/>
      <c r="E18194" s="39"/>
      <c r="F18194" s="39"/>
    </row>
    <row r="18195">
      <c r="D18195" s="39"/>
      <c r="E18195" s="39"/>
      <c r="F18195" s="39"/>
    </row>
    <row r="18196">
      <c r="D18196" s="39"/>
      <c r="E18196" s="39"/>
      <c r="F18196" s="39"/>
    </row>
    <row r="18197">
      <c r="D18197" s="39"/>
      <c r="E18197" s="39"/>
      <c r="F18197" s="39"/>
    </row>
    <row r="18198">
      <c r="D18198" s="39"/>
      <c r="E18198" s="39"/>
      <c r="F18198" s="39"/>
    </row>
    <row r="18199">
      <c r="D18199" s="39"/>
      <c r="E18199" s="39"/>
      <c r="F18199" s="39"/>
    </row>
    <row r="18200">
      <c r="D18200" s="39"/>
      <c r="E18200" s="39"/>
      <c r="F18200" s="39"/>
    </row>
    <row r="18201">
      <c r="D18201" s="39"/>
      <c r="E18201" s="39"/>
      <c r="F18201" s="39"/>
    </row>
    <row r="18202">
      <c r="D18202" s="39"/>
      <c r="E18202" s="39"/>
      <c r="F18202" s="39"/>
    </row>
    <row r="18203">
      <c r="D18203" s="39"/>
      <c r="E18203" s="39"/>
      <c r="F18203" s="39"/>
    </row>
    <row r="18204">
      <c r="D18204" s="39"/>
      <c r="E18204" s="39"/>
      <c r="F18204" s="39"/>
    </row>
    <row r="18205">
      <c r="D18205" s="39"/>
      <c r="E18205" s="39"/>
      <c r="F18205" s="39"/>
    </row>
    <row r="18206">
      <c r="D18206" s="39"/>
      <c r="E18206" s="39"/>
      <c r="F18206" s="39"/>
    </row>
    <row r="18207">
      <c r="D18207" s="39"/>
      <c r="E18207" s="39"/>
      <c r="F18207" s="39"/>
    </row>
    <row r="18208">
      <c r="D18208" s="39"/>
      <c r="E18208" s="39"/>
      <c r="F18208" s="39"/>
    </row>
    <row r="18209">
      <c r="D18209" s="39"/>
      <c r="E18209" s="39"/>
      <c r="F18209" s="39"/>
    </row>
    <row r="18210">
      <c r="D18210" s="39"/>
      <c r="E18210" s="39"/>
      <c r="F18210" s="39"/>
    </row>
    <row r="18211">
      <c r="D18211" s="39"/>
      <c r="E18211" s="39"/>
      <c r="F18211" s="39"/>
    </row>
    <row r="18212">
      <c r="D18212" s="39"/>
      <c r="E18212" s="39"/>
      <c r="F18212" s="39"/>
    </row>
    <row r="18213">
      <c r="D18213" s="39"/>
      <c r="E18213" s="39"/>
      <c r="F18213" s="39"/>
    </row>
    <row r="18214">
      <c r="D18214" s="39"/>
      <c r="E18214" s="39"/>
      <c r="F18214" s="39"/>
    </row>
    <row r="18215">
      <c r="D18215" s="39"/>
      <c r="E18215" s="39"/>
      <c r="F18215" s="39"/>
    </row>
    <row r="18216">
      <c r="D18216" s="39"/>
      <c r="E18216" s="39"/>
      <c r="F18216" s="39"/>
    </row>
    <row r="18217">
      <c r="D18217" s="39"/>
      <c r="E18217" s="39"/>
      <c r="F18217" s="39"/>
    </row>
    <row r="18218">
      <c r="D18218" s="39"/>
      <c r="E18218" s="39"/>
      <c r="F18218" s="39"/>
    </row>
    <row r="18219">
      <c r="D18219" s="39"/>
      <c r="E18219" s="39"/>
      <c r="F18219" s="39"/>
    </row>
    <row r="18220">
      <c r="D18220" s="39"/>
      <c r="E18220" s="39"/>
      <c r="F18220" s="39"/>
    </row>
    <row r="18221">
      <c r="D18221" s="39"/>
      <c r="E18221" s="39"/>
      <c r="F18221" s="39"/>
    </row>
    <row r="18222">
      <c r="D18222" s="39"/>
      <c r="E18222" s="39"/>
      <c r="F18222" s="39"/>
    </row>
    <row r="18223">
      <c r="D18223" s="39"/>
      <c r="E18223" s="39"/>
      <c r="F18223" s="39"/>
    </row>
    <row r="18224">
      <c r="D18224" s="39"/>
      <c r="E18224" s="39"/>
      <c r="F18224" s="39"/>
    </row>
    <row r="18225">
      <c r="D18225" s="39"/>
      <c r="E18225" s="39"/>
      <c r="F18225" s="39"/>
    </row>
    <row r="18226">
      <c r="D18226" s="39"/>
      <c r="E18226" s="39"/>
      <c r="F18226" s="39"/>
    </row>
    <row r="18227">
      <c r="D18227" s="39"/>
      <c r="E18227" s="39"/>
      <c r="F18227" s="39"/>
    </row>
    <row r="18228">
      <c r="D18228" s="39"/>
      <c r="E18228" s="39"/>
      <c r="F18228" s="39"/>
    </row>
    <row r="18229">
      <c r="D18229" s="39"/>
      <c r="E18229" s="39"/>
      <c r="F18229" s="39"/>
    </row>
    <row r="18230">
      <c r="D18230" s="39"/>
      <c r="E18230" s="39"/>
      <c r="F18230" s="39"/>
    </row>
    <row r="18231">
      <c r="D18231" s="39"/>
      <c r="E18231" s="39"/>
      <c r="F18231" s="39"/>
    </row>
    <row r="18232">
      <c r="D18232" s="39"/>
      <c r="E18232" s="39"/>
      <c r="F18232" s="39"/>
    </row>
    <row r="18233">
      <c r="D18233" s="39"/>
      <c r="E18233" s="39"/>
      <c r="F18233" s="39"/>
    </row>
    <row r="18234">
      <c r="D18234" s="39"/>
      <c r="E18234" s="39"/>
      <c r="F18234" s="39"/>
    </row>
    <row r="18235">
      <c r="D18235" s="39"/>
      <c r="E18235" s="39"/>
      <c r="F18235" s="39"/>
    </row>
    <row r="18236">
      <c r="D18236" s="39"/>
      <c r="E18236" s="39"/>
      <c r="F18236" s="39"/>
    </row>
    <row r="18237">
      <c r="D18237" s="39"/>
      <c r="E18237" s="39"/>
      <c r="F18237" s="39"/>
    </row>
    <row r="18238">
      <c r="D18238" s="39"/>
      <c r="E18238" s="39"/>
      <c r="F18238" s="39"/>
    </row>
    <row r="18239">
      <c r="D18239" s="39"/>
      <c r="E18239" s="39"/>
      <c r="F18239" s="39"/>
    </row>
    <row r="18240">
      <c r="D18240" s="39"/>
      <c r="E18240" s="39"/>
      <c r="F18240" s="39"/>
    </row>
    <row r="18241">
      <c r="D18241" s="39"/>
      <c r="E18241" s="39"/>
      <c r="F18241" s="39"/>
    </row>
    <row r="18242">
      <c r="D18242" s="39"/>
      <c r="E18242" s="39"/>
      <c r="F18242" s="39"/>
    </row>
    <row r="18243">
      <c r="D18243" s="39"/>
      <c r="E18243" s="39"/>
      <c r="F18243" s="39"/>
    </row>
    <row r="18244">
      <c r="D18244" s="39"/>
      <c r="E18244" s="39"/>
      <c r="F18244" s="39"/>
    </row>
    <row r="18245">
      <c r="D18245" s="39"/>
      <c r="E18245" s="39"/>
      <c r="F18245" s="39"/>
    </row>
    <row r="18246">
      <c r="D18246" s="39"/>
      <c r="E18246" s="39"/>
      <c r="F18246" s="39"/>
    </row>
    <row r="18247">
      <c r="D18247" s="39"/>
      <c r="E18247" s="39"/>
      <c r="F18247" s="39"/>
    </row>
    <row r="18248">
      <c r="D18248" s="39"/>
      <c r="E18248" s="39"/>
      <c r="F18248" s="39"/>
    </row>
    <row r="18249">
      <c r="D18249" s="39"/>
      <c r="E18249" s="39"/>
      <c r="F18249" s="39"/>
    </row>
    <row r="18250">
      <c r="D18250" s="39"/>
      <c r="E18250" s="39"/>
      <c r="F18250" s="39"/>
    </row>
    <row r="18251">
      <c r="D18251" s="39"/>
      <c r="E18251" s="39"/>
      <c r="F18251" s="39"/>
    </row>
    <row r="18252">
      <c r="D18252" s="39"/>
      <c r="E18252" s="39"/>
      <c r="F18252" s="39"/>
    </row>
    <row r="18253">
      <c r="D18253" s="39"/>
      <c r="E18253" s="39"/>
      <c r="F18253" s="39"/>
    </row>
    <row r="18254">
      <c r="D18254" s="39"/>
      <c r="E18254" s="39"/>
      <c r="F18254" s="39"/>
    </row>
    <row r="18255">
      <c r="D18255" s="39"/>
      <c r="E18255" s="39"/>
      <c r="F18255" s="39"/>
    </row>
    <row r="18256">
      <c r="D18256" s="39"/>
      <c r="E18256" s="39"/>
      <c r="F18256" s="39"/>
    </row>
    <row r="18257">
      <c r="D18257" s="39"/>
      <c r="E18257" s="39"/>
      <c r="F18257" s="39"/>
    </row>
    <row r="18258">
      <c r="D18258" s="39"/>
      <c r="E18258" s="39"/>
      <c r="F18258" s="39"/>
    </row>
    <row r="18259">
      <c r="D18259" s="39"/>
      <c r="E18259" s="39"/>
      <c r="F18259" s="39"/>
    </row>
    <row r="18260">
      <c r="D18260" s="39"/>
      <c r="E18260" s="39"/>
      <c r="F18260" s="39"/>
    </row>
    <row r="18261">
      <c r="D18261" s="39"/>
      <c r="E18261" s="39"/>
      <c r="F18261" s="39"/>
    </row>
    <row r="18262">
      <c r="D18262" s="39"/>
      <c r="E18262" s="39"/>
      <c r="F18262" s="39"/>
    </row>
    <row r="18263">
      <c r="D18263" s="39"/>
      <c r="E18263" s="39"/>
      <c r="F18263" s="39"/>
    </row>
    <row r="18264">
      <c r="D18264" s="39"/>
      <c r="E18264" s="39"/>
      <c r="F18264" s="39"/>
    </row>
    <row r="18265">
      <c r="D18265" s="39"/>
      <c r="E18265" s="39"/>
      <c r="F18265" s="39"/>
    </row>
    <row r="18266">
      <c r="D18266" s="39"/>
      <c r="E18266" s="39"/>
      <c r="F18266" s="39"/>
    </row>
    <row r="18267">
      <c r="D18267" s="39"/>
      <c r="E18267" s="39"/>
      <c r="F18267" s="39"/>
    </row>
    <row r="18268">
      <c r="D18268" s="39"/>
      <c r="E18268" s="39"/>
      <c r="F18268" s="39"/>
    </row>
    <row r="18269">
      <c r="D18269" s="39"/>
      <c r="E18269" s="39"/>
      <c r="F18269" s="39"/>
    </row>
    <row r="18270">
      <c r="D18270" s="39"/>
      <c r="E18270" s="39"/>
      <c r="F18270" s="39"/>
    </row>
    <row r="18271">
      <c r="D18271" s="39"/>
      <c r="E18271" s="39"/>
      <c r="F18271" s="39"/>
    </row>
    <row r="18272">
      <c r="D18272" s="39"/>
      <c r="E18272" s="39"/>
      <c r="F18272" s="39"/>
    </row>
    <row r="18273">
      <c r="D18273" s="39"/>
      <c r="E18273" s="39"/>
      <c r="F18273" s="39"/>
    </row>
    <row r="18274">
      <c r="D18274" s="39"/>
      <c r="E18274" s="39"/>
      <c r="F18274" s="39"/>
    </row>
    <row r="18275">
      <c r="D18275" s="39"/>
      <c r="E18275" s="39"/>
      <c r="F18275" s="39"/>
    </row>
    <row r="18276">
      <c r="D18276" s="39"/>
      <c r="E18276" s="39"/>
      <c r="F18276" s="39"/>
    </row>
    <row r="18277">
      <c r="D18277" s="39"/>
      <c r="E18277" s="39"/>
      <c r="F18277" s="39"/>
    </row>
    <row r="18278">
      <c r="D18278" s="39"/>
      <c r="E18278" s="39"/>
      <c r="F18278" s="39"/>
    </row>
    <row r="18279">
      <c r="D18279" s="39"/>
      <c r="E18279" s="39"/>
      <c r="F18279" s="39"/>
    </row>
    <row r="18280">
      <c r="D18280" s="39"/>
      <c r="E18280" s="39"/>
      <c r="F18280" s="39"/>
    </row>
    <row r="18281">
      <c r="D18281" s="39"/>
      <c r="E18281" s="39"/>
      <c r="F18281" s="39"/>
    </row>
    <row r="18282">
      <c r="D18282" s="39"/>
      <c r="E18282" s="39"/>
      <c r="F18282" s="39"/>
    </row>
    <row r="18283">
      <c r="D18283" s="39"/>
      <c r="E18283" s="39"/>
      <c r="F18283" s="39"/>
    </row>
    <row r="18284">
      <c r="D18284" s="39"/>
      <c r="E18284" s="39"/>
      <c r="F18284" s="39"/>
    </row>
    <row r="18285">
      <c r="D18285" s="39"/>
      <c r="E18285" s="39"/>
      <c r="F18285" s="39"/>
    </row>
    <row r="18286">
      <c r="D18286" s="39"/>
      <c r="E18286" s="39"/>
      <c r="F18286" s="39"/>
    </row>
    <row r="18287">
      <c r="D18287" s="39"/>
      <c r="E18287" s="39"/>
      <c r="F18287" s="39"/>
    </row>
    <row r="18288">
      <c r="D18288" s="39"/>
      <c r="E18288" s="39"/>
      <c r="F18288" s="39"/>
    </row>
    <row r="18289">
      <c r="D18289" s="39"/>
      <c r="E18289" s="39"/>
      <c r="F18289" s="39"/>
    </row>
    <row r="18290">
      <c r="D18290" s="39"/>
      <c r="E18290" s="39"/>
      <c r="F18290" s="39"/>
    </row>
    <row r="18291">
      <c r="D18291" s="39"/>
      <c r="E18291" s="39"/>
      <c r="F18291" s="39"/>
    </row>
    <row r="18292">
      <c r="D18292" s="39"/>
      <c r="E18292" s="39"/>
      <c r="F18292" s="39"/>
    </row>
    <row r="18293">
      <c r="D18293" s="39"/>
      <c r="E18293" s="39"/>
      <c r="F18293" s="39"/>
    </row>
    <row r="18294">
      <c r="D18294" s="39"/>
      <c r="E18294" s="39"/>
      <c r="F18294" s="39"/>
    </row>
    <row r="18295">
      <c r="D18295" s="39"/>
      <c r="E18295" s="39"/>
      <c r="F18295" s="39"/>
    </row>
    <row r="18296">
      <c r="D18296" s="39"/>
      <c r="E18296" s="39"/>
      <c r="F18296" s="39"/>
    </row>
    <row r="18297">
      <c r="D18297" s="39"/>
      <c r="E18297" s="39"/>
      <c r="F18297" s="39"/>
    </row>
    <row r="18298">
      <c r="D18298" s="39"/>
      <c r="E18298" s="39"/>
      <c r="F18298" s="39"/>
    </row>
    <row r="18299">
      <c r="D18299" s="39"/>
      <c r="E18299" s="39"/>
      <c r="F18299" s="39"/>
    </row>
    <row r="18300">
      <c r="D18300" s="39"/>
      <c r="E18300" s="39"/>
      <c r="F18300" s="39"/>
    </row>
    <row r="18301">
      <c r="D18301" s="39"/>
      <c r="E18301" s="39"/>
      <c r="F18301" s="39"/>
    </row>
    <row r="18302">
      <c r="D18302" s="39"/>
      <c r="E18302" s="39"/>
      <c r="F18302" s="39"/>
    </row>
    <row r="18303">
      <c r="D18303" s="39"/>
      <c r="E18303" s="39"/>
      <c r="F18303" s="39"/>
    </row>
    <row r="18304">
      <c r="D18304" s="39"/>
      <c r="E18304" s="39"/>
      <c r="F18304" s="39"/>
    </row>
    <row r="18305">
      <c r="D18305" s="39"/>
      <c r="E18305" s="39"/>
      <c r="F18305" s="39"/>
    </row>
    <row r="18306">
      <c r="D18306" s="39"/>
      <c r="E18306" s="39"/>
      <c r="F18306" s="39"/>
    </row>
    <row r="18307">
      <c r="D18307" s="39"/>
      <c r="E18307" s="39"/>
      <c r="F18307" s="39"/>
    </row>
    <row r="18308">
      <c r="D18308" s="39"/>
      <c r="E18308" s="39"/>
      <c r="F18308" s="39"/>
    </row>
    <row r="18309">
      <c r="D18309" s="39"/>
      <c r="E18309" s="39"/>
      <c r="F18309" s="39"/>
    </row>
    <row r="18310">
      <c r="D18310" s="39"/>
      <c r="E18310" s="39"/>
      <c r="F18310" s="39"/>
    </row>
    <row r="18311">
      <c r="D18311" s="39"/>
      <c r="E18311" s="39"/>
      <c r="F18311" s="39"/>
    </row>
    <row r="18312">
      <c r="D18312" s="39"/>
      <c r="E18312" s="39"/>
      <c r="F18312" s="39"/>
    </row>
    <row r="18313">
      <c r="D18313" s="39"/>
      <c r="E18313" s="39"/>
      <c r="F18313" s="39"/>
    </row>
    <row r="18314">
      <c r="D18314" s="39"/>
      <c r="E18314" s="39"/>
      <c r="F18314" s="39"/>
    </row>
    <row r="18315">
      <c r="D18315" s="39"/>
      <c r="E18315" s="39"/>
      <c r="F18315" s="39"/>
    </row>
    <row r="18316">
      <c r="D18316" s="39"/>
      <c r="E18316" s="39"/>
      <c r="F18316" s="39"/>
    </row>
    <row r="18317">
      <c r="D18317" s="39"/>
      <c r="E18317" s="39"/>
      <c r="F18317" s="39"/>
    </row>
    <row r="18318">
      <c r="D18318" s="39"/>
      <c r="E18318" s="39"/>
      <c r="F18318" s="39"/>
    </row>
    <row r="18319">
      <c r="D18319" s="39"/>
      <c r="E18319" s="39"/>
      <c r="F18319" s="39"/>
    </row>
    <row r="18320">
      <c r="D18320" s="39"/>
      <c r="E18320" s="39"/>
      <c r="F18320" s="39"/>
    </row>
    <row r="18321">
      <c r="D18321" s="39"/>
      <c r="E18321" s="39"/>
      <c r="F18321" s="39"/>
    </row>
    <row r="18322">
      <c r="D18322" s="39"/>
      <c r="E18322" s="39"/>
      <c r="F18322" s="39"/>
    </row>
    <row r="18323">
      <c r="D18323" s="39"/>
      <c r="E18323" s="39"/>
      <c r="F18323" s="39"/>
    </row>
    <row r="18324">
      <c r="D18324" s="39"/>
      <c r="E18324" s="39"/>
      <c r="F18324" s="39"/>
    </row>
    <row r="18325">
      <c r="D18325" s="39"/>
      <c r="E18325" s="39"/>
      <c r="F18325" s="39"/>
    </row>
    <row r="18326">
      <c r="D18326" s="39"/>
      <c r="E18326" s="39"/>
      <c r="F18326" s="39"/>
    </row>
    <row r="18327">
      <c r="D18327" s="39"/>
      <c r="E18327" s="39"/>
      <c r="F18327" s="39"/>
    </row>
    <row r="18328">
      <c r="D18328" s="39"/>
      <c r="E18328" s="39"/>
      <c r="F18328" s="39"/>
    </row>
    <row r="18329">
      <c r="D18329" s="39"/>
      <c r="E18329" s="39"/>
      <c r="F18329" s="39"/>
    </row>
    <row r="18330">
      <c r="D18330" s="39"/>
      <c r="E18330" s="39"/>
      <c r="F18330" s="39"/>
    </row>
    <row r="18331">
      <c r="D18331" s="39"/>
      <c r="E18331" s="39"/>
      <c r="F18331" s="39"/>
    </row>
    <row r="18332">
      <c r="D18332" s="39"/>
      <c r="E18332" s="39"/>
      <c r="F18332" s="39"/>
    </row>
    <row r="18333">
      <c r="D18333" s="39"/>
      <c r="E18333" s="39"/>
      <c r="F18333" s="39"/>
    </row>
    <row r="18334">
      <c r="D18334" s="39"/>
      <c r="E18334" s="39"/>
      <c r="F18334" s="39"/>
    </row>
    <row r="18335">
      <c r="D18335" s="39"/>
      <c r="E18335" s="39"/>
      <c r="F18335" s="39"/>
    </row>
    <row r="18336">
      <c r="D18336" s="39"/>
      <c r="E18336" s="39"/>
      <c r="F18336" s="39"/>
    </row>
    <row r="18337">
      <c r="D18337" s="39"/>
      <c r="E18337" s="39"/>
      <c r="F18337" s="39"/>
    </row>
    <row r="18338">
      <c r="D18338" s="39"/>
      <c r="E18338" s="39"/>
      <c r="F18338" s="39"/>
    </row>
    <row r="18339">
      <c r="D18339" s="39"/>
      <c r="E18339" s="39"/>
      <c r="F18339" s="39"/>
    </row>
    <row r="18340">
      <c r="D18340" s="39"/>
      <c r="E18340" s="39"/>
      <c r="F18340" s="39"/>
    </row>
    <row r="18341">
      <c r="D18341" s="39"/>
      <c r="E18341" s="39"/>
      <c r="F18341" s="39"/>
    </row>
    <row r="18342">
      <c r="D18342" s="39"/>
      <c r="E18342" s="39"/>
      <c r="F18342" s="39"/>
    </row>
    <row r="18343">
      <c r="D18343" s="39"/>
      <c r="E18343" s="39"/>
      <c r="F18343" s="39"/>
    </row>
    <row r="18344">
      <c r="D18344" s="39"/>
      <c r="E18344" s="39"/>
      <c r="F18344" s="39"/>
    </row>
    <row r="18345">
      <c r="D18345" s="39"/>
      <c r="E18345" s="39"/>
      <c r="F18345" s="39"/>
    </row>
    <row r="18346">
      <c r="D18346" s="39"/>
      <c r="E18346" s="39"/>
      <c r="F18346" s="39"/>
    </row>
    <row r="18347">
      <c r="D18347" s="39"/>
      <c r="E18347" s="39"/>
      <c r="F18347" s="39"/>
    </row>
    <row r="18348">
      <c r="D18348" s="39"/>
      <c r="E18348" s="39"/>
      <c r="F18348" s="39"/>
    </row>
    <row r="18349">
      <c r="D18349" s="39"/>
      <c r="E18349" s="39"/>
      <c r="F18349" s="39"/>
    </row>
    <row r="18350">
      <c r="D18350" s="39"/>
      <c r="E18350" s="39"/>
      <c r="F18350" s="39"/>
    </row>
    <row r="18351">
      <c r="D18351" s="39"/>
      <c r="E18351" s="39"/>
      <c r="F18351" s="39"/>
    </row>
    <row r="18352">
      <c r="D18352" s="39"/>
      <c r="E18352" s="39"/>
      <c r="F18352" s="39"/>
    </row>
    <row r="18353">
      <c r="D18353" s="39"/>
      <c r="E18353" s="39"/>
      <c r="F18353" s="39"/>
    </row>
    <row r="18354">
      <c r="D18354" s="39"/>
      <c r="E18354" s="39"/>
      <c r="F18354" s="39"/>
    </row>
    <row r="18355">
      <c r="D18355" s="39"/>
      <c r="E18355" s="39"/>
      <c r="F18355" s="39"/>
    </row>
    <row r="18356">
      <c r="D18356" s="39"/>
      <c r="E18356" s="39"/>
      <c r="F18356" s="39"/>
    </row>
    <row r="18357">
      <c r="D18357" s="39"/>
      <c r="E18357" s="39"/>
      <c r="F18357" s="39"/>
    </row>
    <row r="18358">
      <c r="D18358" s="39"/>
      <c r="E18358" s="39"/>
      <c r="F18358" s="39"/>
    </row>
    <row r="18359">
      <c r="D18359" s="39"/>
      <c r="E18359" s="39"/>
      <c r="F18359" s="39"/>
    </row>
    <row r="18360">
      <c r="D18360" s="39"/>
      <c r="E18360" s="39"/>
      <c r="F18360" s="39"/>
    </row>
    <row r="18361">
      <c r="D18361" s="39"/>
      <c r="E18361" s="39"/>
      <c r="F18361" s="39"/>
    </row>
    <row r="18362">
      <c r="D18362" s="39"/>
      <c r="E18362" s="39"/>
      <c r="F18362" s="39"/>
    </row>
    <row r="18363">
      <c r="D18363" s="39"/>
      <c r="E18363" s="39"/>
      <c r="F18363" s="39"/>
    </row>
    <row r="18364">
      <c r="D18364" s="39"/>
      <c r="E18364" s="39"/>
      <c r="F18364" s="39"/>
    </row>
    <row r="18365">
      <c r="D18365" s="39"/>
      <c r="E18365" s="39"/>
      <c r="F18365" s="39"/>
    </row>
    <row r="18366">
      <c r="D18366" s="39"/>
      <c r="E18366" s="39"/>
      <c r="F18366" s="39"/>
    </row>
    <row r="18367">
      <c r="D18367" s="39"/>
      <c r="E18367" s="39"/>
      <c r="F18367" s="39"/>
    </row>
    <row r="18368">
      <c r="D18368" s="39"/>
      <c r="E18368" s="39"/>
      <c r="F18368" s="39"/>
    </row>
    <row r="18369">
      <c r="D18369" s="39"/>
      <c r="E18369" s="39"/>
      <c r="F18369" s="39"/>
    </row>
    <row r="18370">
      <c r="D18370" s="39"/>
      <c r="E18370" s="39"/>
      <c r="F18370" s="39"/>
    </row>
    <row r="18371">
      <c r="D18371" s="39"/>
      <c r="E18371" s="39"/>
      <c r="F18371" s="39"/>
    </row>
    <row r="18372">
      <c r="D18372" s="39"/>
      <c r="E18372" s="39"/>
      <c r="F18372" s="39"/>
    </row>
    <row r="18373">
      <c r="D18373" s="39"/>
      <c r="E18373" s="39"/>
      <c r="F18373" s="39"/>
    </row>
    <row r="18374">
      <c r="D18374" s="39"/>
      <c r="E18374" s="39"/>
      <c r="F18374" s="39"/>
    </row>
    <row r="18375">
      <c r="D18375" s="39"/>
      <c r="E18375" s="39"/>
      <c r="F18375" s="39"/>
    </row>
    <row r="18376">
      <c r="D18376" s="39"/>
      <c r="E18376" s="39"/>
      <c r="F18376" s="39"/>
    </row>
    <row r="18377">
      <c r="D18377" s="39"/>
      <c r="E18377" s="39"/>
      <c r="F18377" s="39"/>
    </row>
    <row r="18378">
      <c r="D18378" s="39"/>
      <c r="E18378" s="39"/>
      <c r="F18378" s="39"/>
    </row>
    <row r="18379">
      <c r="D18379" s="39"/>
      <c r="E18379" s="39"/>
      <c r="F18379" s="39"/>
    </row>
    <row r="18380">
      <c r="D18380" s="39"/>
      <c r="E18380" s="39"/>
      <c r="F18380" s="39"/>
    </row>
    <row r="18381">
      <c r="D18381" s="39"/>
      <c r="E18381" s="39"/>
      <c r="F18381" s="39"/>
    </row>
    <row r="18382">
      <c r="D18382" s="39"/>
      <c r="E18382" s="39"/>
      <c r="F18382" s="39"/>
    </row>
    <row r="18383">
      <c r="D18383" s="39"/>
      <c r="E18383" s="39"/>
      <c r="F18383" s="39"/>
    </row>
    <row r="18384">
      <c r="D18384" s="39"/>
      <c r="E18384" s="39"/>
      <c r="F18384" s="39"/>
    </row>
    <row r="18385">
      <c r="D18385" s="39"/>
      <c r="E18385" s="39"/>
      <c r="F18385" s="39"/>
    </row>
    <row r="18386">
      <c r="D18386" s="39"/>
      <c r="E18386" s="39"/>
      <c r="F18386" s="39"/>
    </row>
    <row r="18387">
      <c r="D18387" s="39"/>
      <c r="E18387" s="39"/>
      <c r="F18387" s="39"/>
    </row>
    <row r="18388">
      <c r="D18388" s="39"/>
      <c r="E18388" s="39"/>
      <c r="F18388" s="39"/>
    </row>
    <row r="18389">
      <c r="D18389" s="39"/>
      <c r="E18389" s="39"/>
      <c r="F18389" s="39"/>
    </row>
    <row r="18390">
      <c r="D18390" s="39"/>
      <c r="E18390" s="39"/>
      <c r="F18390" s="39"/>
    </row>
    <row r="18391">
      <c r="D18391" s="39"/>
      <c r="E18391" s="39"/>
      <c r="F18391" s="39"/>
    </row>
    <row r="18392">
      <c r="D18392" s="39"/>
      <c r="E18392" s="39"/>
      <c r="F18392" s="39"/>
    </row>
    <row r="18393">
      <c r="D18393" s="39"/>
      <c r="E18393" s="39"/>
      <c r="F18393" s="39"/>
    </row>
    <row r="18394">
      <c r="D18394" s="39"/>
      <c r="E18394" s="39"/>
      <c r="F18394" s="39"/>
    </row>
    <row r="18395">
      <c r="D18395" s="39"/>
      <c r="E18395" s="39"/>
      <c r="F18395" s="39"/>
    </row>
    <row r="18396">
      <c r="D18396" s="39"/>
      <c r="E18396" s="39"/>
      <c r="F18396" s="39"/>
    </row>
    <row r="18397">
      <c r="D18397" s="39"/>
      <c r="E18397" s="39"/>
      <c r="F18397" s="39"/>
    </row>
    <row r="18398">
      <c r="D18398" s="39"/>
      <c r="E18398" s="39"/>
      <c r="F18398" s="39"/>
    </row>
    <row r="18399">
      <c r="D18399" s="39"/>
      <c r="E18399" s="39"/>
      <c r="F18399" s="39"/>
    </row>
    <row r="18400">
      <c r="D18400" s="39"/>
      <c r="E18400" s="39"/>
      <c r="F18400" s="39"/>
    </row>
    <row r="18401">
      <c r="D18401" s="39"/>
      <c r="E18401" s="39"/>
      <c r="F18401" s="39"/>
    </row>
    <row r="18402">
      <c r="D18402" s="39"/>
      <c r="E18402" s="39"/>
      <c r="F18402" s="39"/>
    </row>
    <row r="18403">
      <c r="D18403" s="39"/>
      <c r="E18403" s="39"/>
      <c r="F18403" s="39"/>
    </row>
    <row r="18404">
      <c r="D18404" s="39"/>
      <c r="E18404" s="39"/>
      <c r="F18404" s="39"/>
    </row>
    <row r="18405">
      <c r="D18405" s="39"/>
      <c r="E18405" s="39"/>
      <c r="F18405" s="39"/>
    </row>
    <row r="18406">
      <c r="D18406" s="39"/>
      <c r="E18406" s="39"/>
      <c r="F18406" s="39"/>
    </row>
    <row r="18407">
      <c r="D18407" s="39"/>
      <c r="E18407" s="39"/>
      <c r="F18407" s="39"/>
    </row>
    <row r="18408">
      <c r="D18408" s="39"/>
      <c r="E18408" s="39"/>
      <c r="F18408" s="39"/>
    </row>
    <row r="18409">
      <c r="D18409" s="39"/>
      <c r="E18409" s="39"/>
      <c r="F18409" s="39"/>
    </row>
    <row r="18410">
      <c r="D18410" s="39"/>
      <c r="E18410" s="39"/>
      <c r="F18410" s="39"/>
    </row>
    <row r="18411">
      <c r="D18411" s="39"/>
      <c r="E18411" s="39"/>
      <c r="F18411" s="39"/>
    </row>
    <row r="18412">
      <c r="D18412" s="39"/>
      <c r="E18412" s="39"/>
      <c r="F18412" s="39"/>
    </row>
    <row r="18413">
      <c r="D18413" s="39"/>
      <c r="E18413" s="39"/>
      <c r="F18413" s="39"/>
    </row>
    <row r="18414">
      <c r="D18414" s="39"/>
      <c r="E18414" s="39"/>
      <c r="F18414" s="39"/>
    </row>
    <row r="18415">
      <c r="D18415" s="39"/>
      <c r="E18415" s="39"/>
      <c r="F18415" s="39"/>
    </row>
    <row r="18416">
      <c r="D18416" s="39"/>
      <c r="E18416" s="39"/>
      <c r="F18416" s="39"/>
    </row>
    <row r="18417">
      <c r="D18417" s="39"/>
      <c r="E18417" s="39"/>
      <c r="F18417" s="39"/>
    </row>
    <row r="18418">
      <c r="D18418" s="39"/>
      <c r="E18418" s="39"/>
      <c r="F18418" s="39"/>
    </row>
    <row r="18419">
      <c r="D18419" s="39"/>
      <c r="E18419" s="39"/>
      <c r="F18419" s="39"/>
    </row>
    <row r="18420">
      <c r="D18420" s="39"/>
      <c r="E18420" s="39"/>
      <c r="F18420" s="39"/>
    </row>
    <row r="18421">
      <c r="D18421" s="39"/>
      <c r="E18421" s="39"/>
      <c r="F18421" s="39"/>
    </row>
    <row r="18422">
      <c r="D18422" s="39"/>
      <c r="E18422" s="39"/>
      <c r="F18422" s="39"/>
    </row>
    <row r="18423">
      <c r="D18423" s="39"/>
      <c r="E18423" s="39"/>
      <c r="F18423" s="39"/>
    </row>
    <row r="18424">
      <c r="D18424" s="39"/>
      <c r="E18424" s="39"/>
      <c r="F18424" s="39"/>
    </row>
    <row r="18425">
      <c r="D18425" s="39"/>
      <c r="E18425" s="39"/>
      <c r="F18425" s="39"/>
    </row>
    <row r="18426">
      <c r="D18426" s="39"/>
      <c r="E18426" s="39"/>
      <c r="F18426" s="39"/>
    </row>
    <row r="18427">
      <c r="D18427" s="39"/>
      <c r="E18427" s="39"/>
      <c r="F18427" s="39"/>
    </row>
    <row r="18428">
      <c r="D18428" s="39"/>
      <c r="E18428" s="39"/>
      <c r="F18428" s="39"/>
    </row>
    <row r="18429">
      <c r="D18429" s="39"/>
      <c r="E18429" s="39"/>
      <c r="F18429" s="39"/>
    </row>
    <row r="18430">
      <c r="D18430" s="39"/>
      <c r="E18430" s="39"/>
      <c r="F18430" s="39"/>
    </row>
    <row r="18431">
      <c r="D18431" s="39"/>
      <c r="E18431" s="39"/>
      <c r="F18431" s="39"/>
    </row>
    <row r="18432">
      <c r="D18432" s="39"/>
      <c r="E18432" s="39"/>
      <c r="F18432" s="39"/>
    </row>
    <row r="18433">
      <c r="D18433" s="39"/>
      <c r="E18433" s="39"/>
      <c r="F18433" s="39"/>
    </row>
    <row r="18434">
      <c r="D18434" s="39"/>
      <c r="E18434" s="39"/>
      <c r="F18434" s="39"/>
    </row>
    <row r="18435">
      <c r="D18435" s="39"/>
      <c r="E18435" s="39"/>
      <c r="F18435" s="39"/>
    </row>
    <row r="18436">
      <c r="D18436" s="39"/>
      <c r="E18436" s="39"/>
      <c r="F18436" s="39"/>
    </row>
    <row r="18437">
      <c r="D18437" s="39"/>
      <c r="E18437" s="39"/>
      <c r="F18437" s="39"/>
    </row>
    <row r="18438">
      <c r="D18438" s="39"/>
      <c r="E18438" s="39"/>
      <c r="F18438" s="39"/>
    </row>
    <row r="18439">
      <c r="D18439" s="39"/>
      <c r="E18439" s="39"/>
      <c r="F18439" s="39"/>
    </row>
    <row r="18440">
      <c r="D18440" s="39"/>
      <c r="E18440" s="39"/>
      <c r="F18440" s="39"/>
    </row>
    <row r="18441">
      <c r="D18441" s="39"/>
      <c r="E18441" s="39"/>
      <c r="F18441" s="39"/>
    </row>
    <row r="18442">
      <c r="D18442" s="39"/>
      <c r="E18442" s="39"/>
      <c r="F18442" s="39"/>
    </row>
    <row r="18443">
      <c r="D18443" s="39"/>
      <c r="E18443" s="39"/>
      <c r="F18443" s="39"/>
    </row>
    <row r="18444">
      <c r="D18444" s="39"/>
      <c r="E18444" s="39"/>
      <c r="F18444" s="39"/>
    </row>
    <row r="18445">
      <c r="D18445" s="39"/>
      <c r="E18445" s="39"/>
      <c r="F18445" s="39"/>
    </row>
    <row r="18446">
      <c r="D18446" s="39"/>
      <c r="E18446" s="39"/>
      <c r="F18446" s="39"/>
    </row>
    <row r="18447">
      <c r="D18447" s="39"/>
      <c r="E18447" s="39"/>
      <c r="F18447" s="39"/>
    </row>
    <row r="18448">
      <c r="D18448" s="39"/>
      <c r="E18448" s="39"/>
      <c r="F18448" s="39"/>
    </row>
    <row r="18449">
      <c r="D18449" s="39"/>
      <c r="E18449" s="39"/>
      <c r="F18449" s="39"/>
    </row>
    <row r="18450">
      <c r="D18450" s="39"/>
      <c r="E18450" s="39"/>
      <c r="F18450" s="39"/>
    </row>
    <row r="18451">
      <c r="D18451" s="39"/>
      <c r="E18451" s="39"/>
      <c r="F18451" s="39"/>
    </row>
    <row r="18452">
      <c r="D18452" s="39"/>
      <c r="E18452" s="39"/>
      <c r="F18452" s="39"/>
    </row>
    <row r="18453">
      <c r="D18453" s="39"/>
      <c r="E18453" s="39"/>
      <c r="F18453" s="39"/>
    </row>
    <row r="18454">
      <c r="D18454" s="39"/>
      <c r="E18454" s="39"/>
      <c r="F18454" s="39"/>
    </row>
    <row r="18455">
      <c r="D18455" s="39"/>
      <c r="E18455" s="39"/>
      <c r="F18455" s="39"/>
    </row>
    <row r="18456">
      <c r="D18456" s="39"/>
      <c r="E18456" s="39"/>
      <c r="F18456" s="39"/>
    </row>
    <row r="18457">
      <c r="D18457" s="39"/>
      <c r="E18457" s="39"/>
      <c r="F18457" s="39"/>
    </row>
    <row r="18458">
      <c r="D18458" s="39"/>
      <c r="E18458" s="39"/>
      <c r="F18458" s="39"/>
    </row>
    <row r="18459">
      <c r="D18459" s="39"/>
      <c r="E18459" s="39"/>
      <c r="F18459" s="39"/>
    </row>
    <row r="18460">
      <c r="D18460" s="39"/>
      <c r="E18460" s="39"/>
      <c r="F18460" s="39"/>
    </row>
    <row r="18461">
      <c r="D18461" s="39"/>
      <c r="E18461" s="39"/>
      <c r="F18461" s="39"/>
    </row>
    <row r="18462">
      <c r="D18462" s="39"/>
      <c r="E18462" s="39"/>
      <c r="F18462" s="39"/>
    </row>
    <row r="18463">
      <c r="D18463" s="39"/>
      <c r="E18463" s="39"/>
      <c r="F18463" s="39"/>
    </row>
    <row r="18464">
      <c r="D18464" s="39"/>
      <c r="E18464" s="39"/>
      <c r="F18464" s="39"/>
    </row>
    <row r="18465">
      <c r="D18465" s="39"/>
      <c r="E18465" s="39"/>
      <c r="F18465" s="39"/>
    </row>
    <row r="18466">
      <c r="D18466" s="39"/>
      <c r="E18466" s="39"/>
      <c r="F18466" s="39"/>
    </row>
    <row r="18467">
      <c r="D18467" s="39"/>
      <c r="E18467" s="39"/>
      <c r="F18467" s="39"/>
    </row>
    <row r="18468">
      <c r="D18468" s="39"/>
      <c r="E18468" s="39"/>
      <c r="F18468" s="39"/>
    </row>
    <row r="18469">
      <c r="D18469" s="39"/>
      <c r="E18469" s="39"/>
      <c r="F18469" s="39"/>
    </row>
    <row r="18470">
      <c r="D18470" s="39"/>
      <c r="E18470" s="39"/>
      <c r="F18470" s="39"/>
    </row>
    <row r="18471">
      <c r="D18471" s="39"/>
      <c r="E18471" s="39"/>
      <c r="F18471" s="39"/>
    </row>
    <row r="18472">
      <c r="D18472" s="39"/>
      <c r="E18472" s="39"/>
      <c r="F18472" s="39"/>
    </row>
    <row r="18473">
      <c r="D18473" s="39"/>
      <c r="E18473" s="39"/>
      <c r="F18473" s="39"/>
    </row>
    <row r="18474">
      <c r="D18474" s="39"/>
      <c r="E18474" s="39"/>
      <c r="F18474" s="39"/>
    </row>
    <row r="18475">
      <c r="D18475" s="39"/>
      <c r="E18475" s="39"/>
      <c r="F18475" s="39"/>
    </row>
    <row r="18476">
      <c r="D18476" s="39"/>
      <c r="E18476" s="39"/>
      <c r="F18476" s="39"/>
    </row>
    <row r="18477">
      <c r="D18477" s="39"/>
      <c r="E18477" s="39"/>
      <c r="F18477" s="39"/>
    </row>
    <row r="18478">
      <c r="D18478" s="39"/>
      <c r="E18478" s="39"/>
      <c r="F18478" s="39"/>
    </row>
    <row r="18479">
      <c r="D18479" s="39"/>
      <c r="E18479" s="39"/>
      <c r="F18479" s="39"/>
    </row>
    <row r="18480">
      <c r="D18480" s="39"/>
      <c r="E18480" s="39"/>
      <c r="F18480" s="39"/>
    </row>
    <row r="18481">
      <c r="D18481" s="39"/>
      <c r="E18481" s="39"/>
      <c r="F18481" s="39"/>
    </row>
    <row r="18482">
      <c r="D18482" s="39"/>
      <c r="E18482" s="39"/>
      <c r="F18482" s="39"/>
    </row>
    <row r="18483">
      <c r="D18483" s="39"/>
      <c r="E18483" s="39"/>
      <c r="F18483" s="39"/>
    </row>
    <row r="18484">
      <c r="D18484" s="39"/>
      <c r="E18484" s="39"/>
      <c r="F18484" s="39"/>
    </row>
    <row r="18485">
      <c r="D18485" s="39"/>
      <c r="E18485" s="39"/>
      <c r="F18485" s="39"/>
    </row>
    <row r="18486">
      <c r="D18486" s="39"/>
      <c r="E18486" s="39"/>
      <c r="F18486" s="39"/>
    </row>
    <row r="18487">
      <c r="D18487" s="39"/>
      <c r="E18487" s="39"/>
      <c r="F18487" s="39"/>
    </row>
    <row r="18488">
      <c r="D18488" s="39"/>
      <c r="E18488" s="39"/>
      <c r="F18488" s="39"/>
    </row>
    <row r="18489">
      <c r="D18489" s="39"/>
      <c r="E18489" s="39"/>
      <c r="F18489" s="39"/>
    </row>
    <row r="18490">
      <c r="D18490" s="39"/>
      <c r="E18490" s="39"/>
      <c r="F18490" s="39"/>
    </row>
    <row r="18491">
      <c r="D18491" s="39"/>
      <c r="E18491" s="39"/>
      <c r="F18491" s="39"/>
    </row>
    <row r="18492">
      <c r="D18492" s="39"/>
      <c r="E18492" s="39"/>
      <c r="F18492" s="39"/>
    </row>
    <row r="18493">
      <c r="D18493" s="39"/>
      <c r="E18493" s="39"/>
      <c r="F18493" s="39"/>
    </row>
    <row r="18494">
      <c r="D18494" s="39"/>
      <c r="E18494" s="39"/>
      <c r="F18494" s="39"/>
    </row>
    <row r="18495">
      <c r="D18495" s="39"/>
      <c r="E18495" s="39"/>
      <c r="F18495" s="39"/>
    </row>
    <row r="18496">
      <c r="D18496" s="39"/>
      <c r="E18496" s="39"/>
      <c r="F18496" s="39"/>
    </row>
    <row r="18497">
      <c r="D18497" s="39"/>
      <c r="E18497" s="39"/>
      <c r="F18497" s="39"/>
    </row>
    <row r="18498">
      <c r="D18498" s="39"/>
      <c r="E18498" s="39"/>
      <c r="F18498" s="39"/>
    </row>
    <row r="18499">
      <c r="D18499" s="39"/>
      <c r="E18499" s="39"/>
      <c r="F18499" s="39"/>
    </row>
    <row r="18500">
      <c r="D18500" s="39"/>
      <c r="E18500" s="39"/>
      <c r="F18500" s="39"/>
    </row>
    <row r="18501">
      <c r="D18501" s="39"/>
      <c r="E18501" s="39"/>
      <c r="F18501" s="39"/>
    </row>
    <row r="18502">
      <c r="D18502" s="39"/>
      <c r="E18502" s="39"/>
      <c r="F18502" s="39"/>
    </row>
    <row r="18503">
      <c r="D18503" s="39"/>
      <c r="E18503" s="39"/>
      <c r="F18503" s="39"/>
    </row>
    <row r="18504">
      <c r="D18504" s="39"/>
      <c r="E18504" s="39"/>
      <c r="F18504" s="39"/>
    </row>
    <row r="18505">
      <c r="D18505" s="39"/>
      <c r="E18505" s="39"/>
      <c r="F18505" s="39"/>
    </row>
    <row r="18506">
      <c r="D18506" s="39"/>
      <c r="E18506" s="39"/>
      <c r="F18506" s="39"/>
    </row>
    <row r="18507">
      <c r="D18507" s="39"/>
      <c r="E18507" s="39"/>
      <c r="F18507" s="39"/>
    </row>
    <row r="18508">
      <c r="D18508" s="39"/>
      <c r="E18508" s="39"/>
      <c r="F18508" s="39"/>
    </row>
    <row r="18509">
      <c r="D18509" s="39"/>
      <c r="E18509" s="39"/>
      <c r="F18509" s="39"/>
    </row>
    <row r="18510">
      <c r="D18510" s="39"/>
      <c r="E18510" s="39"/>
      <c r="F18510" s="39"/>
    </row>
    <row r="18511">
      <c r="D18511" s="39"/>
      <c r="E18511" s="39"/>
      <c r="F18511" s="39"/>
    </row>
    <row r="18512">
      <c r="D18512" s="39"/>
      <c r="E18512" s="39"/>
      <c r="F18512" s="39"/>
    </row>
    <row r="18513">
      <c r="D18513" s="39"/>
      <c r="E18513" s="39"/>
      <c r="F18513" s="39"/>
    </row>
    <row r="18514">
      <c r="D18514" s="39"/>
      <c r="E18514" s="39"/>
      <c r="F18514" s="39"/>
    </row>
    <row r="18515">
      <c r="D18515" s="39"/>
      <c r="E18515" s="39"/>
      <c r="F18515" s="39"/>
    </row>
    <row r="18516">
      <c r="D18516" s="39"/>
      <c r="E18516" s="39"/>
      <c r="F18516" s="39"/>
    </row>
    <row r="18517">
      <c r="D18517" s="39"/>
      <c r="E18517" s="39"/>
      <c r="F18517" s="39"/>
    </row>
    <row r="18518">
      <c r="D18518" s="39"/>
      <c r="E18518" s="39"/>
      <c r="F18518" s="39"/>
    </row>
    <row r="18519">
      <c r="D18519" s="39"/>
      <c r="E18519" s="39"/>
      <c r="F18519" s="39"/>
    </row>
    <row r="18520">
      <c r="D18520" s="39"/>
      <c r="E18520" s="39"/>
      <c r="F18520" s="39"/>
    </row>
    <row r="18521">
      <c r="D18521" s="39"/>
      <c r="E18521" s="39"/>
      <c r="F18521" s="39"/>
    </row>
    <row r="18522">
      <c r="D18522" s="39"/>
      <c r="E18522" s="39"/>
      <c r="F18522" s="39"/>
    </row>
    <row r="18523">
      <c r="D18523" s="39"/>
      <c r="E18523" s="39"/>
      <c r="F18523" s="39"/>
    </row>
    <row r="18524">
      <c r="D18524" s="39"/>
      <c r="E18524" s="39"/>
      <c r="F18524" s="39"/>
    </row>
    <row r="18525">
      <c r="D18525" s="39"/>
      <c r="E18525" s="39"/>
      <c r="F18525" s="39"/>
    </row>
    <row r="18526">
      <c r="D18526" s="39"/>
      <c r="E18526" s="39"/>
      <c r="F18526" s="39"/>
    </row>
    <row r="18527">
      <c r="D18527" s="39"/>
      <c r="E18527" s="39"/>
      <c r="F18527" s="39"/>
    </row>
    <row r="18528">
      <c r="D18528" s="39"/>
      <c r="E18528" s="39"/>
      <c r="F18528" s="39"/>
    </row>
    <row r="18529">
      <c r="D18529" s="39"/>
      <c r="E18529" s="39"/>
      <c r="F18529" s="39"/>
    </row>
    <row r="18530">
      <c r="D18530" s="39"/>
      <c r="E18530" s="39"/>
      <c r="F18530" s="39"/>
    </row>
    <row r="18531">
      <c r="D18531" s="39"/>
      <c r="E18531" s="39"/>
      <c r="F18531" s="39"/>
    </row>
    <row r="18532">
      <c r="D18532" s="39"/>
      <c r="E18532" s="39"/>
      <c r="F18532" s="39"/>
    </row>
    <row r="18533">
      <c r="D18533" s="39"/>
      <c r="E18533" s="39"/>
      <c r="F18533" s="39"/>
    </row>
    <row r="18534">
      <c r="D18534" s="39"/>
      <c r="E18534" s="39"/>
      <c r="F18534" s="39"/>
    </row>
    <row r="18535">
      <c r="D18535" s="39"/>
      <c r="E18535" s="39"/>
      <c r="F18535" s="39"/>
    </row>
    <row r="18536">
      <c r="D18536" s="39"/>
      <c r="E18536" s="39"/>
      <c r="F18536" s="39"/>
    </row>
    <row r="18537">
      <c r="D18537" s="39"/>
      <c r="E18537" s="39"/>
      <c r="F18537" s="39"/>
    </row>
    <row r="18538">
      <c r="D18538" s="39"/>
      <c r="E18538" s="39"/>
      <c r="F18538" s="39"/>
    </row>
    <row r="18539">
      <c r="D18539" s="39"/>
      <c r="E18539" s="39"/>
      <c r="F18539" s="39"/>
    </row>
    <row r="18540">
      <c r="D18540" s="39"/>
      <c r="E18540" s="39"/>
      <c r="F18540" s="39"/>
    </row>
    <row r="18541">
      <c r="D18541" s="39"/>
      <c r="E18541" s="39"/>
      <c r="F18541" s="39"/>
    </row>
    <row r="18542">
      <c r="D18542" s="39"/>
      <c r="E18542" s="39"/>
      <c r="F18542" s="39"/>
    </row>
    <row r="18543">
      <c r="D18543" s="39"/>
      <c r="E18543" s="39"/>
      <c r="F18543" s="39"/>
    </row>
    <row r="18544">
      <c r="D18544" s="39"/>
      <c r="E18544" s="39"/>
      <c r="F18544" s="39"/>
    </row>
    <row r="18545">
      <c r="D18545" s="39"/>
      <c r="E18545" s="39"/>
      <c r="F18545" s="39"/>
    </row>
    <row r="18546">
      <c r="D18546" s="39"/>
      <c r="E18546" s="39"/>
      <c r="F18546" s="39"/>
    </row>
    <row r="18547">
      <c r="D18547" s="39"/>
      <c r="E18547" s="39"/>
      <c r="F18547" s="39"/>
    </row>
    <row r="18548">
      <c r="D18548" s="39"/>
      <c r="E18548" s="39"/>
      <c r="F18548" s="39"/>
    </row>
    <row r="18549">
      <c r="D18549" s="39"/>
      <c r="E18549" s="39"/>
      <c r="F18549" s="39"/>
    </row>
    <row r="18550">
      <c r="D18550" s="39"/>
      <c r="E18550" s="39"/>
      <c r="F18550" s="39"/>
    </row>
    <row r="18551">
      <c r="D18551" s="39"/>
      <c r="E18551" s="39"/>
      <c r="F18551" s="39"/>
    </row>
    <row r="18552">
      <c r="D18552" s="39"/>
      <c r="E18552" s="39"/>
      <c r="F18552" s="39"/>
    </row>
    <row r="18553">
      <c r="D18553" s="39"/>
      <c r="E18553" s="39"/>
      <c r="F18553" s="39"/>
    </row>
    <row r="18554">
      <c r="D18554" s="39"/>
      <c r="E18554" s="39"/>
      <c r="F18554" s="39"/>
    </row>
    <row r="18555">
      <c r="D18555" s="39"/>
      <c r="E18555" s="39"/>
      <c r="F18555" s="39"/>
    </row>
    <row r="18556">
      <c r="D18556" s="39"/>
      <c r="E18556" s="39"/>
      <c r="F18556" s="39"/>
    </row>
    <row r="18557">
      <c r="D18557" s="39"/>
      <c r="E18557" s="39"/>
      <c r="F18557" s="39"/>
    </row>
    <row r="18558">
      <c r="D18558" s="39"/>
      <c r="E18558" s="39"/>
      <c r="F18558" s="39"/>
    </row>
    <row r="18559">
      <c r="D18559" s="39"/>
      <c r="E18559" s="39"/>
      <c r="F18559" s="39"/>
    </row>
    <row r="18560">
      <c r="D18560" s="39"/>
      <c r="E18560" s="39"/>
      <c r="F18560" s="39"/>
    </row>
    <row r="18561">
      <c r="D18561" s="39"/>
      <c r="E18561" s="39"/>
      <c r="F18561" s="39"/>
    </row>
    <row r="18562">
      <c r="D18562" s="39"/>
      <c r="E18562" s="39"/>
      <c r="F18562" s="39"/>
    </row>
    <row r="18563">
      <c r="D18563" s="39"/>
      <c r="E18563" s="39"/>
      <c r="F18563" s="39"/>
    </row>
    <row r="18564">
      <c r="D18564" s="39"/>
      <c r="E18564" s="39"/>
      <c r="F18564" s="39"/>
    </row>
    <row r="18565">
      <c r="D18565" s="39"/>
      <c r="E18565" s="39"/>
      <c r="F18565" s="39"/>
    </row>
    <row r="18566">
      <c r="D18566" s="39"/>
      <c r="E18566" s="39"/>
      <c r="F18566" s="39"/>
    </row>
    <row r="18567">
      <c r="D18567" s="39"/>
      <c r="E18567" s="39"/>
      <c r="F18567" s="39"/>
    </row>
    <row r="18568">
      <c r="D18568" s="39"/>
      <c r="E18568" s="39"/>
      <c r="F18568" s="39"/>
    </row>
    <row r="18569">
      <c r="D18569" s="39"/>
      <c r="E18569" s="39"/>
      <c r="F18569" s="39"/>
    </row>
    <row r="18570">
      <c r="D18570" s="39"/>
      <c r="E18570" s="39"/>
      <c r="F18570" s="39"/>
    </row>
    <row r="18571">
      <c r="D18571" s="39"/>
      <c r="E18571" s="39"/>
      <c r="F18571" s="39"/>
    </row>
    <row r="18572">
      <c r="D18572" s="39"/>
      <c r="E18572" s="39"/>
      <c r="F18572" s="39"/>
    </row>
    <row r="18573">
      <c r="D18573" s="39"/>
      <c r="E18573" s="39"/>
      <c r="F18573" s="39"/>
    </row>
    <row r="18574">
      <c r="D18574" s="39"/>
      <c r="E18574" s="39"/>
      <c r="F18574" s="39"/>
    </row>
    <row r="18575">
      <c r="D18575" s="39"/>
      <c r="E18575" s="39"/>
      <c r="F18575" s="39"/>
    </row>
    <row r="18576">
      <c r="D18576" s="39"/>
      <c r="E18576" s="39"/>
      <c r="F18576" s="39"/>
    </row>
    <row r="18577">
      <c r="D18577" s="39"/>
      <c r="E18577" s="39"/>
      <c r="F18577" s="39"/>
    </row>
    <row r="18578">
      <c r="D18578" s="39"/>
      <c r="E18578" s="39"/>
      <c r="F18578" s="39"/>
    </row>
    <row r="18579">
      <c r="D18579" s="39"/>
      <c r="E18579" s="39"/>
      <c r="F18579" s="39"/>
    </row>
    <row r="18580">
      <c r="D18580" s="39"/>
      <c r="E18580" s="39"/>
      <c r="F18580" s="39"/>
    </row>
    <row r="18581">
      <c r="D18581" s="39"/>
      <c r="E18581" s="39"/>
      <c r="F18581" s="39"/>
    </row>
    <row r="18582">
      <c r="D18582" s="39"/>
      <c r="E18582" s="39"/>
      <c r="F18582" s="39"/>
    </row>
    <row r="18583">
      <c r="D18583" s="39"/>
      <c r="E18583" s="39"/>
      <c r="F18583" s="39"/>
    </row>
    <row r="18584">
      <c r="D18584" s="39"/>
      <c r="E18584" s="39"/>
      <c r="F18584" s="39"/>
    </row>
    <row r="18585">
      <c r="D18585" s="39"/>
      <c r="E18585" s="39"/>
      <c r="F18585" s="39"/>
    </row>
    <row r="18586">
      <c r="D18586" s="39"/>
      <c r="E18586" s="39"/>
      <c r="F18586" s="39"/>
    </row>
    <row r="18587">
      <c r="D18587" s="39"/>
      <c r="E18587" s="39"/>
      <c r="F18587" s="39"/>
    </row>
    <row r="18588">
      <c r="D18588" s="39"/>
      <c r="E18588" s="39"/>
      <c r="F18588" s="39"/>
    </row>
    <row r="18589">
      <c r="D18589" s="39"/>
      <c r="E18589" s="39"/>
      <c r="F18589" s="39"/>
    </row>
    <row r="18590">
      <c r="D18590" s="39"/>
      <c r="E18590" s="39"/>
      <c r="F18590" s="39"/>
    </row>
    <row r="18591">
      <c r="D18591" s="39"/>
      <c r="E18591" s="39"/>
      <c r="F18591" s="39"/>
    </row>
    <row r="18592">
      <c r="D18592" s="39"/>
      <c r="E18592" s="39"/>
      <c r="F18592" s="39"/>
    </row>
    <row r="18593">
      <c r="D18593" s="39"/>
      <c r="E18593" s="39"/>
      <c r="F18593" s="39"/>
    </row>
    <row r="18594">
      <c r="D18594" s="39"/>
      <c r="E18594" s="39"/>
      <c r="F18594" s="39"/>
    </row>
    <row r="18595">
      <c r="D18595" s="39"/>
      <c r="E18595" s="39"/>
      <c r="F18595" s="39"/>
    </row>
    <row r="18596">
      <c r="D18596" s="39"/>
      <c r="E18596" s="39"/>
      <c r="F18596" s="39"/>
    </row>
    <row r="18597">
      <c r="D18597" s="39"/>
      <c r="E18597" s="39"/>
      <c r="F18597" s="39"/>
    </row>
    <row r="18598">
      <c r="D18598" s="39"/>
      <c r="E18598" s="39"/>
      <c r="F18598" s="39"/>
    </row>
    <row r="18599">
      <c r="D18599" s="39"/>
      <c r="E18599" s="39"/>
      <c r="F18599" s="39"/>
    </row>
    <row r="18600">
      <c r="D18600" s="39"/>
      <c r="E18600" s="39"/>
      <c r="F18600" s="39"/>
    </row>
    <row r="18601">
      <c r="D18601" s="39"/>
      <c r="E18601" s="39"/>
      <c r="F18601" s="39"/>
    </row>
    <row r="18602">
      <c r="D18602" s="39"/>
      <c r="E18602" s="39"/>
      <c r="F18602" s="39"/>
    </row>
    <row r="18603">
      <c r="D18603" s="39"/>
      <c r="E18603" s="39"/>
      <c r="F18603" s="39"/>
    </row>
    <row r="18604">
      <c r="D18604" s="39"/>
      <c r="E18604" s="39"/>
      <c r="F18604" s="39"/>
    </row>
    <row r="18605">
      <c r="D18605" s="39"/>
      <c r="E18605" s="39"/>
      <c r="F18605" s="39"/>
    </row>
    <row r="18606">
      <c r="D18606" s="39"/>
      <c r="E18606" s="39"/>
      <c r="F18606" s="39"/>
    </row>
    <row r="18607">
      <c r="D18607" s="39"/>
      <c r="E18607" s="39"/>
      <c r="F18607" s="39"/>
    </row>
    <row r="18608">
      <c r="D18608" s="39"/>
      <c r="E18608" s="39"/>
      <c r="F18608" s="39"/>
    </row>
    <row r="18609">
      <c r="D18609" s="39"/>
      <c r="E18609" s="39"/>
      <c r="F18609" s="39"/>
    </row>
    <row r="18610">
      <c r="D18610" s="39"/>
      <c r="E18610" s="39"/>
      <c r="F18610" s="39"/>
    </row>
    <row r="18611">
      <c r="D18611" s="39"/>
      <c r="E18611" s="39"/>
      <c r="F18611" s="39"/>
    </row>
    <row r="18612">
      <c r="D18612" s="39"/>
      <c r="E18612" s="39"/>
      <c r="F18612" s="39"/>
    </row>
    <row r="18613">
      <c r="D18613" s="39"/>
      <c r="E18613" s="39"/>
      <c r="F18613" s="39"/>
    </row>
    <row r="18614">
      <c r="D18614" s="39"/>
      <c r="E18614" s="39"/>
      <c r="F18614" s="39"/>
    </row>
    <row r="18615">
      <c r="D18615" s="39"/>
      <c r="E18615" s="39"/>
      <c r="F18615" s="39"/>
    </row>
    <row r="18616">
      <c r="D18616" s="39"/>
      <c r="E18616" s="39"/>
      <c r="F18616" s="39"/>
    </row>
    <row r="18617">
      <c r="D18617" s="39"/>
      <c r="E18617" s="39"/>
      <c r="F18617" s="39"/>
    </row>
    <row r="18618">
      <c r="D18618" s="39"/>
      <c r="E18618" s="39"/>
      <c r="F18618" s="39"/>
    </row>
    <row r="18619">
      <c r="D18619" s="39"/>
      <c r="E18619" s="39"/>
      <c r="F18619" s="39"/>
    </row>
    <row r="18620">
      <c r="D18620" s="39"/>
      <c r="E18620" s="39"/>
      <c r="F18620" s="39"/>
    </row>
    <row r="18621">
      <c r="D18621" s="39"/>
      <c r="E18621" s="39"/>
      <c r="F18621" s="39"/>
    </row>
    <row r="18622">
      <c r="D18622" s="39"/>
      <c r="E18622" s="39"/>
      <c r="F18622" s="39"/>
    </row>
    <row r="18623">
      <c r="D18623" s="39"/>
      <c r="E18623" s="39"/>
      <c r="F18623" s="39"/>
    </row>
    <row r="18624">
      <c r="D18624" s="39"/>
      <c r="E18624" s="39"/>
      <c r="F18624" s="39"/>
    </row>
    <row r="18625">
      <c r="D18625" s="39"/>
      <c r="E18625" s="39"/>
      <c r="F18625" s="39"/>
    </row>
    <row r="18626">
      <c r="D18626" s="39"/>
      <c r="E18626" s="39"/>
      <c r="F18626" s="39"/>
    </row>
    <row r="18627">
      <c r="D18627" s="39"/>
      <c r="E18627" s="39"/>
      <c r="F18627" s="39"/>
    </row>
    <row r="18628">
      <c r="D18628" s="39"/>
      <c r="E18628" s="39"/>
      <c r="F18628" s="39"/>
    </row>
    <row r="18629">
      <c r="D18629" s="39"/>
      <c r="E18629" s="39"/>
      <c r="F18629" s="39"/>
    </row>
    <row r="18630">
      <c r="D18630" s="39"/>
      <c r="E18630" s="39"/>
      <c r="F18630" s="39"/>
    </row>
    <row r="18631">
      <c r="D18631" s="39"/>
      <c r="E18631" s="39"/>
      <c r="F18631" s="39"/>
    </row>
    <row r="18632">
      <c r="D18632" s="39"/>
      <c r="E18632" s="39"/>
      <c r="F18632" s="39"/>
    </row>
    <row r="18633">
      <c r="D18633" s="39"/>
      <c r="E18633" s="39"/>
      <c r="F18633" s="39"/>
    </row>
    <row r="18634">
      <c r="D18634" s="39"/>
      <c r="E18634" s="39"/>
      <c r="F18634" s="39"/>
    </row>
    <row r="18635">
      <c r="D18635" s="39"/>
      <c r="E18635" s="39"/>
      <c r="F18635" s="39"/>
    </row>
    <row r="18636">
      <c r="D18636" s="39"/>
      <c r="E18636" s="39"/>
      <c r="F18636" s="39"/>
    </row>
    <row r="18637">
      <c r="D18637" s="39"/>
      <c r="E18637" s="39"/>
      <c r="F18637" s="39"/>
    </row>
    <row r="18638">
      <c r="D18638" s="39"/>
      <c r="E18638" s="39"/>
      <c r="F18638" s="39"/>
    </row>
    <row r="18639">
      <c r="D18639" s="39"/>
      <c r="E18639" s="39"/>
      <c r="F18639" s="39"/>
    </row>
    <row r="18640">
      <c r="D18640" s="39"/>
      <c r="E18640" s="39"/>
      <c r="F18640" s="39"/>
    </row>
    <row r="18641">
      <c r="D18641" s="39"/>
      <c r="E18641" s="39"/>
      <c r="F18641" s="39"/>
    </row>
    <row r="18642">
      <c r="D18642" s="39"/>
      <c r="E18642" s="39"/>
      <c r="F18642" s="39"/>
    </row>
    <row r="18643">
      <c r="D18643" s="39"/>
      <c r="E18643" s="39"/>
      <c r="F18643" s="39"/>
    </row>
    <row r="18644">
      <c r="D18644" s="39"/>
      <c r="E18644" s="39"/>
      <c r="F18644" s="39"/>
    </row>
    <row r="18645">
      <c r="D18645" s="39"/>
      <c r="E18645" s="39"/>
      <c r="F18645" s="39"/>
    </row>
    <row r="18646">
      <c r="D18646" s="39"/>
      <c r="E18646" s="39"/>
      <c r="F18646" s="39"/>
    </row>
    <row r="18647">
      <c r="D18647" s="39"/>
      <c r="E18647" s="39"/>
      <c r="F18647" s="39"/>
    </row>
    <row r="18648">
      <c r="D18648" s="39"/>
      <c r="E18648" s="39"/>
      <c r="F18648" s="39"/>
    </row>
    <row r="18649">
      <c r="D18649" s="39"/>
      <c r="E18649" s="39"/>
      <c r="F18649" s="39"/>
    </row>
    <row r="18650">
      <c r="D18650" s="39"/>
      <c r="E18650" s="39"/>
      <c r="F18650" s="39"/>
    </row>
    <row r="18651">
      <c r="D18651" s="39"/>
      <c r="E18651" s="39"/>
      <c r="F18651" s="39"/>
    </row>
    <row r="18652">
      <c r="D18652" s="39"/>
      <c r="E18652" s="39"/>
      <c r="F18652" s="39"/>
    </row>
    <row r="18653">
      <c r="D18653" s="39"/>
      <c r="E18653" s="39"/>
      <c r="F18653" s="39"/>
    </row>
    <row r="18654">
      <c r="D18654" s="39"/>
      <c r="E18654" s="39"/>
      <c r="F18654" s="39"/>
    </row>
    <row r="18655">
      <c r="D18655" s="39"/>
      <c r="E18655" s="39"/>
      <c r="F18655" s="39"/>
    </row>
    <row r="18656">
      <c r="D18656" s="39"/>
      <c r="E18656" s="39"/>
      <c r="F18656" s="39"/>
    </row>
    <row r="18657">
      <c r="D18657" s="39"/>
      <c r="E18657" s="39"/>
      <c r="F18657" s="39"/>
    </row>
    <row r="18658">
      <c r="D18658" s="39"/>
      <c r="E18658" s="39"/>
      <c r="F18658" s="39"/>
    </row>
    <row r="18659">
      <c r="D18659" s="39"/>
      <c r="E18659" s="39"/>
      <c r="F18659" s="39"/>
    </row>
    <row r="18660">
      <c r="D18660" s="39"/>
      <c r="E18660" s="39"/>
      <c r="F18660" s="39"/>
    </row>
    <row r="18661">
      <c r="D18661" s="39"/>
      <c r="E18661" s="39"/>
      <c r="F18661" s="39"/>
    </row>
    <row r="18662">
      <c r="D18662" s="39"/>
      <c r="E18662" s="39"/>
      <c r="F18662" s="39"/>
    </row>
    <row r="18663">
      <c r="D18663" s="39"/>
      <c r="E18663" s="39"/>
      <c r="F18663" s="39"/>
    </row>
    <row r="18664">
      <c r="D18664" s="39"/>
      <c r="E18664" s="39"/>
      <c r="F18664" s="39"/>
    </row>
    <row r="18665">
      <c r="D18665" s="39"/>
      <c r="E18665" s="39"/>
      <c r="F18665" s="39"/>
    </row>
    <row r="18666">
      <c r="D18666" s="39"/>
      <c r="E18666" s="39"/>
      <c r="F18666" s="39"/>
    </row>
    <row r="18667">
      <c r="D18667" s="39"/>
      <c r="E18667" s="39"/>
      <c r="F18667" s="39"/>
    </row>
    <row r="18668">
      <c r="D18668" s="39"/>
      <c r="E18668" s="39"/>
      <c r="F18668" s="39"/>
    </row>
    <row r="18669">
      <c r="D18669" s="39"/>
      <c r="E18669" s="39"/>
      <c r="F18669" s="39"/>
    </row>
    <row r="18670">
      <c r="D18670" s="39"/>
      <c r="E18670" s="39"/>
      <c r="F18670" s="39"/>
    </row>
    <row r="18671">
      <c r="D18671" s="39"/>
      <c r="E18671" s="39"/>
      <c r="F18671" s="39"/>
    </row>
    <row r="18672">
      <c r="D18672" s="39"/>
      <c r="E18672" s="39"/>
      <c r="F18672" s="39"/>
    </row>
    <row r="18673">
      <c r="D18673" s="39"/>
      <c r="E18673" s="39"/>
      <c r="F18673" s="39"/>
    </row>
    <row r="18674">
      <c r="D18674" s="39"/>
      <c r="E18674" s="39"/>
      <c r="F18674" s="39"/>
    </row>
    <row r="18675">
      <c r="D18675" s="39"/>
      <c r="E18675" s="39"/>
      <c r="F18675" s="39"/>
    </row>
    <row r="18676">
      <c r="D18676" s="39"/>
      <c r="E18676" s="39"/>
      <c r="F18676" s="39"/>
    </row>
    <row r="18677">
      <c r="D18677" s="39"/>
      <c r="E18677" s="39"/>
      <c r="F18677" s="39"/>
    </row>
    <row r="18678">
      <c r="D18678" s="39"/>
      <c r="E18678" s="39"/>
      <c r="F18678" s="39"/>
    </row>
    <row r="18679">
      <c r="D18679" s="39"/>
      <c r="E18679" s="39"/>
      <c r="F18679" s="39"/>
    </row>
    <row r="18680">
      <c r="D18680" s="39"/>
      <c r="E18680" s="39"/>
      <c r="F18680" s="39"/>
    </row>
    <row r="18681">
      <c r="D18681" s="39"/>
      <c r="E18681" s="39"/>
      <c r="F18681" s="39"/>
    </row>
    <row r="18682">
      <c r="D18682" s="39"/>
      <c r="E18682" s="39"/>
      <c r="F18682" s="39"/>
    </row>
    <row r="18683">
      <c r="D18683" s="39"/>
      <c r="E18683" s="39"/>
      <c r="F18683" s="39"/>
    </row>
    <row r="18684">
      <c r="D18684" s="39"/>
      <c r="E18684" s="39"/>
      <c r="F18684" s="39"/>
    </row>
    <row r="18685">
      <c r="D18685" s="39"/>
      <c r="E18685" s="39"/>
      <c r="F18685" s="39"/>
    </row>
    <row r="18686">
      <c r="D18686" s="39"/>
      <c r="E18686" s="39"/>
      <c r="F18686" s="39"/>
    </row>
    <row r="18687">
      <c r="D18687" s="39"/>
      <c r="E18687" s="39"/>
      <c r="F18687" s="39"/>
    </row>
    <row r="18688">
      <c r="D18688" s="39"/>
      <c r="E18688" s="39"/>
      <c r="F18688" s="39"/>
    </row>
    <row r="18689">
      <c r="D18689" s="39"/>
      <c r="E18689" s="39"/>
      <c r="F18689" s="39"/>
    </row>
    <row r="18690">
      <c r="D18690" s="39"/>
      <c r="E18690" s="39"/>
      <c r="F18690" s="39"/>
    </row>
    <row r="18691">
      <c r="D18691" s="39"/>
      <c r="E18691" s="39"/>
      <c r="F18691" s="39"/>
    </row>
    <row r="18692">
      <c r="D18692" s="39"/>
      <c r="E18692" s="39"/>
      <c r="F18692" s="39"/>
    </row>
    <row r="18693">
      <c r="D18693" s="39"/>
      <c r="E18693" s="39"/>
      <c r="F18693" s="39"/>
    </row>
    <row r="18694">
      <c r="D18694" s="39"/>
      <c r="E18694" s="39"/>
      <c r="F18694" s="39"/>
    </row>
    <row r="18695">
      <c r="D18695" s="39"/>
      <c r="E18695" s="39"/>
      <c r="F18695" s="39"/>
    </row>
    <row r="18696">
      <c r="D18696" s="39"/>
      <c r="E18696" s="39"/>
      <c r="F18696" s="39"/>
    </row>
    <row r="18697">
      <c r="D18697" s="39"/>
      <c r="E18697" s="39"/>
      <c r="F18697" s="39"/>
    </row>
    <row r="18698">
      <c r="D18698" s="39"/>
      <c r="E18698" s="39"/>
      <c r="F18698" s="39"/>
    </row>
    <row r="18699">
      <c r="D18699" s="39"/>
      <c r="E18699" s="39"/>
      <c r="F18699" s="39"/>
    </row>
    <row r="18700">
      <c r="D18700" s="39"/>
      <c r="E18700" s="39"/>
      <c r="F18700" s="39"/>
    </row>
    <row r="18701">
      <c r="D18701" s="39"/>
      <c r="E18701" s="39"/>
      <c r="F18701" s="39"/>
    </row>
    <row r="18702">
      <c r="D18702" s="39"/>
      <c r="E18702" s="39"/>
      <c r="F18702" s="39"/>
    </row>
    <row r="18703">
      <c r="D18703" s="39"/>
      <c r="E18703" s="39"/>
      <c r="F18703" s="39"/>
    </row>
    <row r="18704">
      <c r="D18704" s="39"/>
      <c r="E18704" s="39"/>
      <c r="F18704" s="39"/>
    </row>
    <row r="18705">
      <c r="D18705" s="39"/>
      <c r="E18705" s="39"/>
      <c r="F18705" s="39"/>
    </row>
    <row r="18706">
      <c r="D18706" s="39"/>
      <c r="E18706" s="39"/>
      <c r="F18706" s="39"/>
    </row>
    <row r="18707">
      <c r="D18707" s="39"/>
      <c r="E18707" s="39"/>
      <c r="F18707" s="39"/>
    </row>
    <row r="18708">
      <c r="D18708" s="39"/>
      <c r="E18708" s="39"/>
      <c r="F18708" s="39"/>
    </row>
    <row r="18709">
      <c r="D18709" s="39"/>
      <c r="E18709" s="39"/>
      <c r="F18709" s="39"/>
    </row>
    <row r="18710">
      <c r="D18710" s="39"/>
      <c r="E18710" s="39"/>
      <c r="F18710" s="39"/>
    </row>
    <row r="18711">
      <c r="D18711" s="39"/>
      <c r="E18711" s="39"/>
      <c r="F18711" s="39"/>
    </row>
    <row r="18712">
      <c r="D18712" s="39"/>
      <c r="E18712" s="39"/>
      <c r="F18712" s="39"/>
    </row>
    <row r="18713">
      <c r="D18713" s="39"/>
      <c r="E18713" s="39"/>
      <c r="F18713" s="39"/>
    </row>
    <row r="18714">
      <c r="D18714" s="39"/>
      <c r="E18714" s="39"/>
      <c r="F18714" s="39"/>
    </row>
    <row r="18715">
      <c r="D18715" s="39"/>
      <c r="E18715" s="39"/>
      <c r="F18715" s="39"/>
    </row>
    <row r="18716">
      <c r="D18716" s="39"/>
      <c r="E18716" s="39"/>
      <c r="F18716" s="39"/>
    </row>
    <row r="18717">
      <c r="D18717" s="39"/>
      <c r="E18717" s="39"/>
      <c r="F18717" s="39"/>
    </row>
    <row r="18718">
      <c r="D18718" s="39"/>
      <c r="E18718" s="39"/>
      <c r="F18718" s="39"/>
    </row>
    <row r="18719">
      <c r="D18719" s="39"/>
      <c r="E18719" s="39"/>
      <c r="F18719" s="39"/>
    </row>
    <row r="18720">
      <c r="D18720" s="39"/>
      <c r="E18720" s="39"/>
      <c r="F18720" s="39"/>
    </row>
    <row r="18721">
      <c r="D18721" s="39"/>
      <c r="E18721" s="39"/>
      <c r="F18721" s="39"/>
    </row>
    <row r="18722">
      <c r="D18722" s="39"/>
      <c r="E18722" s="39"/>
      <c r="F18722" s="39"/>
    </row>
    <row r="18723">
      <c r="D18723" s="39"/>
      <c r="E18723" s="39"/>
      <c r="F18723" s="39"/>
    </row>
    <row r="18724">
      <c r="D18724" s="39"/>
      <c r="E18724" s="39"/>
      <c r="F18724" s="39"/>
    </row>
    <row r="18725">
      <c r="D18725" s="39"/>
      <c r="E18725" s="39"/>
      <c r="F18725" s="39"/>
    </row>
    <row r="18726">
      <c r="D18726" s="39"/>
      <c r="E18726" s="39"/>
      <c r="F18726" s="39"/>
    </row>
    <row r="18727">
      <c r="D18727" s="39"/>
      <c r="E18727" s="39"/>
      <c r="F18727" s="39"/>
    </row>
    <row r="18728">
      <c r="D18728" s="39"/>
      <c r="E18728" s="39"/>
      <c r="F18728" s="39"/>
    </row>
    <row r="18729">
      <c r="D18729" s="39"/>
      <c r="E18729" s="39"/>
      <c r="F18729" s="39"/>
    </row>
    <row r="18730">
      <c r="D18730" s="39"/>
      <c r="E18730" s="39"/>
      <c r="F18730" s="39"/>
    </row>
    <row r="18731">
      <c r="D18731" s="39"/>
      <c r="E18731" s="39"/>
      <c r="F18731" s="39"/>
    </row>
    <row r="18732">
      <c r="D18732" s="39"/>
      <c r="E18732" s="39"/>
      <c r="F18732" s="39"/>
    </row>
    <row r="18733">
      <c r="D18733" s="39"/>
      <c r="E18733" s="39"/>
      <c r="F18733" s="39"/>
    </row>
    <row r="18734">
      <c r="D18734" s="39"/>
      <c r="E18734" s="39"/>
      <c r="F18734" s="39"/>
    </row>
    <row r="18735">
      <c r="D18735" s="39"/>
      <c r="E18735" s="39"/>
      <c r="F18735" s="39"/>
    </row>
    <row r="18736">
      <c r="D18736" s="39"/>
      <c r="E18736" s="39"/>
      <c r="F18736" s="39"/>
    </row>
    <row r="18737">
      <c r="D18737" s="39"/>
      <c r="E18737" s="39"/>
      <c r="F18737" s="39"/>
    </row>
    <row r="18738">
      <c r="D18738" s="39"/>
      <c r="E18738" s="39"/>
      <c r="F18738" s="39"/>
    </row>
    <row r="18739">
      <c r="D18739" s="39"/>
      <c r="E18739" s="39"/>
      <c r="F18739" s="39"/>
    </row>
    <row r="18740">
      <c r="D18740" s="39"/>
      <c r="E18740" s="39"/>
      <c r="F18740" s="39"/>
    </row>
    <row r="18741">
      <c r="D18741" s="39"/>
      <c r="E18741" s="39"/>
      <c r="F18741" s="39"/>
    </row>
    <row r="18742">
      <c r="D18742" s="39"/>
      <c r="E18742" s="39"/>
      <c r="F18742" s="39"/>
    </row>
    <row r="18743">
      <c r="D18743" s="39"/>
      <c r="E18743" s="39"/>
      <c r="F18743" s="39"/>
    </row>
    <row r="18744">
      <c r="D18744" s="39"/>
      <c r="E18744" s="39"/>
      <c r="F18744" s="39"/>
    </row>
    <row r="18745">
      <c r="D18745" s="39"/>
      <c r="E18745" s="39"/>
      <c r="F18745" s="39"/>
    </row>
    <row r="18746">
      <c r="D18746" s="39"/>
      <c r="E18746" s="39"/>
      <c r="F18746" s="39"/>
    </row>
    <row r="18747">
      <c r="D18747" s="39"/>
      <c r="E18747" s="39"/>
      <c r="F18747" s="39"/>
    </row>
    <row r="18748">
      <c r="D18748" s="39"/>
      <c r="E18748" s="39"/>
      <c r="F18748" s="39"/>
    </row>
    <row r="18749">
      <c r="D18749" s="39"/>
      <c r="E18749" s="39"/>
      <c r="F18749" s="39"/>
    </row>
    <row r="18750">
      <c r="D18750" s="39"/>
      <c r="E18750" s="39"/>
      <c r="F18750" s="39"/>
    </row>
    <row r="18751">
      <c r="D18751" s="39"/>
      <c r="E18751" s="39"/>
      <c r="F18751" s="39"/>
    </row>
    <row r="18752">
      <c r="D18752" s="39"/>
      <c r="E18752" s="39"/>
      <c r="F18752" s="39"/>
    </row>
    <row r="18753">
      <c r="D18753" s="39"/>
      <c r="E18753" s="39"/>
      <c r="F18753" s="39"/>
    </row>
    <row r="18754">
      <c r="D18754" s="39"/>
      <c r="E18754" s="39"/>
      <c r="F18754" s="39"/>
    </row>
    <row r="18755">
      <c r="D18755" s="39"/>
      <c r="E18755" s="39"/>
      <c r="F18755" s="39"/>
    </row>
    <row r="18756">
      <c r="D18756" s="39"/>
      <c r="E18756" s="39"/>
      <c r="F18756" s="39"/>
    </row>
    <row r="18757">
      <c r="D18757" s="39"/>
      <c r="E18757" s="39"/>
      <c r="F18757" s="39"/>
    </row>
    <row r="18758">
      <c r="D18758" s="39"/>
      <c r="E18758" s="39"/>
      <c r="F18758" s="39"/>
    </row>
    <row r="18759">
      <c r="D18759" s="39"/>
      <c r="E18759" s="39"/>
      <c r="F18759" s="39"/>
    </row>
    <row r="18760">
      <c r="D18760" s="39"/>
      <c r="E18760" s="39"/>
      <c r="F18760" s="39"/>
    </row>
    <row r="18761">
      <c r="D18761" s="39"/>
      <c r="E18761" s="39"/>
      <c r="F18761" s="39"/>
    </row>
    <row r="18762">
      <c r="D18762" s="39"/>
      <c r="E18762" s="39"/>
      <c r="F18762" s="39"/>
    </row>
    <row r="18763">
      <c r="D18763" s="39"/>
      <c r="E18763" s="39"/>
      <c r="F18763" s="39"/>
    </row>
    <row r="18764">
      <c r="D18764" s="39"/>
      <c r="E18764" s="39"/>
      <c r="F18764" s="39"/>
    </row>
    <row r="18765">
      <c r="D18765" s="39"/>
      <c r="E18765" s="39"/>
      <c r="F18765" s="39"/>
    </row>
    <row r="18766">
      <c r="D18766" s="39"/>
      <c r="E18766" s="39"/>
      <c r="F18766" s="39"/>
    </row>
    <row r="18767">
      <c r="D18767" s="39"/>
      <c r="E18767" s="39"/>
      <c r="F18767" s="39"/>
    </row>
    <row r="18768">
      <c r="D18768" s="39"/>
      <c r="E18768" s="39"/>
      <c r="F18768" s="39"/>
    </row>
    <row r="18769">
      <c r="D18769" s="39"/>
      <c r="E18769" s="39"/>
      <c r="F18769" s="39"/>
    </row>
    <row r="18770">
      <c r="D18770" s="39"/>
      <c r="E18770" s="39"/>
      <c r="F18770" s="39"/>
    </row>
    <row r="18771">
      <c r="D18771" s="39"/>
      <c r="E18771" s="39"/>
      <c r="F18771" s="39"/>
    </row>
    <row r="18772">
      <c r="D18772" s="39"/>
      <c r="E18772" s="39"/>
      <c r="F18772" s="39"/>
    </row>
    <row r="18773">
      <c r="D18773" s="39"/>
      <c r="E18773" s="39"/>
      <c r="F18773" s="39"/>
    </row>
    <row r="18774">
      <c r="D18774" s="39"/>
      <c r="E18774" s="39"/>
      <c r="F18774" s="39"/>
    </row>
    <row r="18775">
      <c r="D18775" s="39"/>
      <c r="E18775" s="39"/>
      <c r="F18775" s="39"/>
    </row>
    <row r="18776">
      <c r="D18776" s="39"/>
      <c r="E18776" s="39"/>
      <c r="F18776" s="39"/>
    </row>
    <row r="18777">
      <c r="D18777" s="39"/>
      <c r="E18777" s="39"/>
      <c r="F18777" s="39"/>
    </row>
    <row r="18778">
      <c r="D18778" s="39"/>
      <c r="E18778" s="39"/>
      <c r="F18778" s="39"/>
    </row>
    <row r="18779">
      <c r="D18779" s="39"/>
      <c r="E18779" s="39"/>
      <c r="F18779" s="39"/>
    </row>
    <row r="18780">
      <c r="D18780" s="39"/>
      <c r="E18780" s="39"/>
      <c r="F18780" s="39"/>
    </row>
    <row r="18781">
      <c r="D18781" s="39"/>
      <c r="E18781" s="39"/>
      <c r="F18781" s="39"/>
    </row>
    <row r="18782">
      <c r="D18782" s="39"/>
      <c r="E18782" s="39"/>
      <c r="F18782" s="39"/>
    </row>
    <row r="18783">
      <c r="D18783" s="39"/>
      <c r="E18783" s="39"/>
      <c r="F18783" s="39"/>
    </row>
    <row r="18784">
      <c r="D18784" s="39"/>
      <c r="E18784" s="39"/>
      <c r="F18784" s="39"/>
    </row>
    <row r="18785">
      <c r="D18785" s="39"/>
      <c r="E18785" s="39"/>
      <c r="F18785" s="39"/>
    </row>
    <row r="18786">
      <c r="D18786" s="39"/>
      <c r="E18786" s="39"/>
      <c r="F18786" s="39"/>
    </row>
    <row r="18787">
      <c r="D18787" s="39"/>
      <c r="E18787" s="39"/>
      <c r="F18787" s="39"/>
    </row>
    <row r="18788">
      <c r="D18788" s="39"/>
      <c r="E18788" s="39"/>
      <c r="F18788" s="39"/>
    </row>
    <row r="18789">
      <c r="D18789" s="39"/>
      <c r="E18789" s="39"/>
      <c r="F18789" s="39"/>
    </row>
    <row r="18790">
      <c r="D18790" s="39"/>
      <c r="E18790" s="39"/>
      <c r="F18790" s="39"/>
    </row>
    <row r="18791">
      <c r="D18791" s="39"/>
      <c r="E18791" s="39"/>
      <c r="F18791" s="39"/>
    </row>
    <row r="18792">
      <c r="D18792" s="39"/>
      <c r="E18792" s="39"/>
      <c r="F18792" s="39"/>
    </row>
    <row r="18793">
      <c r="D18793" s="39"/>
      <c r="E18793" s="39"/>
      <c r="F18793" s="39"/>
    </row>
    <row r="18794">
      <c r="D18794" s="39"/>
      <c r="E18794" s="39"/>
      <c r="F18794" s="39"/>
    </row>
    <row r="18795">
      <c r="D18795" s="39"/>
      <c r="E18795" s="39"/>
      <c r="F18795" s="39"/>
    </row>
    <row r="18796">
      <c r="D18796" s="39"/>
      <c r="E18796" s="39"/>
      <c r="F18796" s="39"/>
    </row>
    <row r="18797">
      <c r="D18797" s="39"/>
      <c r="E18797" s="39"/>
      <c r="F18797" s="39"/>
    </row>
    <row r="18798">
      <c r="D18798" s="39"/>
      <c r="E18798" s="39"/>
      <c r="F18798" s="39"/>
    </row>
    <row r="18799">
      <c r="D18799" s="39"/>
      <c r="E18799" s="39"/>
      <c r="F18799" s="39"/>
    </row>
    <row r="18800">
      <c r="D18800" s="39"/>
      <c r="E18800" s="39"/>
      <c r="F18800" s="39"/>
    </row>
    <row r="18801">
      <c r="D18801" s="39"/>
      <c r="E18801" s="39"/>
      <c r="F18801" s="39"/>
    </row>
    <row r="18802">
      <c r="D18802" s="39"/>
      <c r="E18802" s="39"/>
      <c r="F18802" s="39"/>
    </row>
    <row r="18803">
      <c r="D18803" s="39"/>
      <c r="E18803" s="39"/>
      <c r="F18803" s="39"/>
    </row>
    <row r="18804">
      <c r="D18804" s="39"/>
      <c r="E18804" s="39"/>
      <c r="F18804" s="39"/>
    </row>
    <row r="18805">
      <c r="D18805" s="39"/>
      <c r="E18805" s="39"/>
      <c r="F18805" s="39"/>
    </row>
    <row r="18806">
      <c r="D18806" s="39"/>
      <c r="E18806" s="39"/>
      <c r="F18806" s="39"/>
    </row>
    <row r="18807">
      <c r="D18807" s="39"/>
      <c r="E18807" s="39"/>
      <c r="F18807" s="39"/>
    </row>
    <row r="18808">
      <c r="D18808" s="39"/>
      <c r="E18808" s="39"/>
      <c r="F18808" s="39"/>
    </row>
    <row r="18809">
      <c r="D18809" s="39"/>
      <c r="E18809" s="39"/>
      <c r="F18809" s="39"/>
    </row>
    <row r="18810">
      <c r="D18810" s="39"/>
      <c r="E18810" s="39"/>
      <c r="F18810" s="39"/>
    </row>
    <row r="18811">
      <c r="D18811" s="39"/>
      <c r="E18811" s="39"/>
      <c r="F18811" s="39"/>
    </row>
    <row r="18812">
      <c r="D18812" s="39"/>
      <c r="E18812" s="39"/>
      <c r="F18812" s="39"/>
    </row>
    <row r="18813">
      <c r="D18813" s="39"/>
      <c r="E18813" s="39"/>
      <c r="F18813" s="39"/>
    </row>
    <row r="18814">
      <c r="D18814" s="39"/>
      <c r="E18814" s="39"/>
      <c r="F18814" s="39"/>
    </row>
    <row r="18815">
      <c r="D18815" s="39"/>
      <c r="E18815" s="39"/>
      <c r="F18815" s="39"/>
    </row>
    <row r="18816">
      <c r="D18816" s="39"/>
      <c r="E18816" s="39"/>
      <c r="F18816" s="39"/>
    </row>
    <row r="18817">
      <c r="D18817" s="39"/>
      <c r="E18817" s="39"/>
      <c r="F18817" s="39"/>
    </row>
    <row r="18818">
      <c r="D18818" s="39"/>
      <c r="E18818" s="39"/>
      <c r="F18818" s="39"/>
    </row>
    <row r="18819">
      <c r="D18819" s="39"/>
      <c r="E18819" s="39"/>
      <c r="F18819" s="39"/>
    </row>
    <row r="18820">
      <c r="D18820" s="39"/>
      <c r="E18820" s="39"/>
      <c r="F18820" s="39"/>
    </row>
    <row r="18821">
      <c r="D18821" s="39"/>
      <c r="E18821" s="39"/>
      <c r="F18821" s="39"/>
    </row>
    <row r="18822">
      <c r="D18822" s="39"/>
      <c r="E18822" s="39"/>
      <c r="F18822" s="39"/>
    </row>
    <row r="18823">
      <c r="D18823" s="39"/>
      <c r="E18823" s="39"/>
      <c r="F18823" s="39"/>
    </row>
    <row r="18824">
      <c r="D18824" s="39"/>
      <c r="E18824" s="39"/>
      <c r="F18824" s="39"/>
    </row>
    <row r="18825">
      <c r="D18825" s="39"/>
      <c r="E18825" s="39"/>
      <c r="F18825" s="39"/>
    </row>
    <row r="18826">
      <c r="D18826" s="39"/>
      <c r="E18826" s="39"/>
      <c r="F18826" s="39"/>
    </row>
    <row r="18827">
      <c r="D18827" s="39"/>
      <c r="E18827" s="39"/>
      <c r="F18827" s="39"/>
    </row>
    <row r="18828">
      <c r="D18828" s="39"/>
      <c r="E18828" s="39"/>
      <c r="F18828" s="39"/>
    </row>
    <row r="18829">
      <c r="D18829" s="39"/>
      <c r="E18829" s="39"/>
      <c r="F18829" s="39"/>
    </row>
    <row r="18830">
      <c r="D18830" s="39"/>
      <c r="E18830" s="39"/>
      <c r="F18830" s="39"/>
    </row>
    <row r="18831">
      <c r="D18831" s="39"/>
      <c r="E18831" s="39"/>
      <c r="F18831" s="39"/>
    </row>
    <row r="18832">
      <c r="D18832" s="39"/>
      <c r="E18832" s="39"/>
      <c r="F18832" s="39"/>
    </row>
    <row r="18833">
      <c r="D18833" s="39"/>
      <c r="E18833" s="39"/>
      <c r="F18833" s="39"/>
    </row>
    <row r="18834">
      <c r="D18834" s="39"/>
      <c r="E18834" s="39"/>
      <c r="F18834" s="39"/>
    </row>
    <row r="18835">
      <c r="D18835" s="39"/>
      <c r="E18835" s="39"/>
      <c r="F18835" s="39"/>
    </row>
    <row r="18836">
      <c r="D18836" s="39"/>
      <c r="E18836" s="39"/>
      <c r="F18836" s="39"/>
    </row>
    <row r="18837">
      <c r="D18837" s="39"/>
      <c r="E18837" s="39"/>
      <c r="F18837" s="39"/>
    </row>
    <row r="18838">
      <c r="D18838" s="39"/>
      <c r="E18838" s="39"/>
      <c r="F18838" s="39"/>
    </row>
    <row r="18839">
      <c r="D18839" s="39"/>
      <c r="E18839" s="39"/>
      <c r="F18839" s="39"/>
    </row>
    <row r="18840">
      <c r="D18840" s="39"/>
      <c r="E18840" s="39"/>
      <c r="F18840" s="39"/>
    </row>
    <row r="18841">
      <c r="D18841" s="39"/>
      <c r="E18841" s="39"/>
      <c r="F18841" s="39"/>
    </row>
    <row r="18842">
      <c r="D18842" s="39"/>
      <c r="E18842" s="39"/>
      <c r="F18842" s="39"/>
    </row>
    <row r="18843">
      <c r="D18843" s="39"/>
      <c r="E18843" s="39"/>
      <c r="F18843" s="39"/>
    </row>
    <row r="18844">
      <c r="D18844" s="39"/>
      <c r="E18844" s="39"/>
      <c r="F18844" s="39"/>
    </row>
    <row r="18845">
      <c r="D18845" s="39"/>
      <c r="E18845" s="39"/>
      <c r="F18845" s="39"/>
    </row>
    <row r="18846">
      <c r="D18846" s="39"/>
      <c r="E18846" s="39"/>
      <c r="F18846" s="39"/>
    </row>
    <row r="18847">
      <c r="D18847" s="39"/>
      <c r="E18847" s="39"/>
      <c r="F18847" s="39"/>
    </row>
    <row r="18848">
      <c r="D18848" s="39"/>
      <c r="E18848" s="39"/>
      <c r="F18848" s="39"/>
    </row>
    <row r="18849">
      <c r="D18849" s="39"/>
      <c r="E18849" s="39"/>
      <c r="F18849" s="39"/>
    </row>
    <row r="18850">
      <c r="D18850" s="39"/>
      <c r="E18850" s="39"/>
      <c r="F18850" s="39"/>
    </row>
    <row r="18851">
      <c r="D18851" s="39"/>
      <c r="E18851" s="39"/>
      <c r="F18851" s="39"/>
    </row>
    <row r="18852">
      <c r="D18852" s="39"/>
      <c r="E18852" s="39"/>
      <c r="F18852" s="39"/>
    </row>
    <row r="18853">
      <c r="D18853" s="39"/>
      <c r="E18853" s="39"/>
      <c r="F18853" s="39"/>
    </row>
    <row r="18854">
      <c r="D18854" s="39"/>
      <c r="E18854" s="39"/>
      <c r="F18854" s="39"/>
    </row>
    <row r="18855">
      <c r="D18855" s="39"/>
      <c r="E18855" s="39"/>
      <c r="F18855" s="39"/>
    </row>
    <row r="18856">
      <c r="D18856" s="39"/>
      <c r="E18856" s="39"/>
      <c r="F18856" s="39"/>
    </row>
    <row r="18857">
      <c r="D18857" s="39"/>
      <c r="E18857" s="39"/>
      <c r="F18857" s="39"/>
    </row>
    <row r="18858">
      <c r="D18858" s="39"/>
      <c r="E18858" s="39"/>
      <c r="F18858" s="39"/>
    </row>
    <row r="18859">
      <c r="D18859" s="39"/>
      <c r="E18859" s="39"/>
      <c r="F18859" s="39"/>
    </row>
    <row r="18860">
      <c r="D18860" s="39"/>
      <c r="E18860" s="39"/>
      <c r="F18860" s="39"/>
    </row>
    <row r="18861">
      <c r="D18861" s="39"/>
      <c r="E18861" s="39"/>
      <c r="F18861" s="39"/>
    </row>
    <row r="18862">
      <c r="D18862" s="39"/>
      <c r="E18862" s="39"/>
      <c r="F18862" s="39"/>
    </row>
    <row r="18863">
      <c r="D18863" s="39"/>
      <c r="E18863" s="39"/>
      <c r="F18863" s="39"/>
    </row>
    <row r="18864">
      <c r="D18864" s="39"/>
      <c r="E18864" s="39"/>
      <c r="F18864" s="39"/>
    </row>
    <row r="18865">
      <c r="D18865" s="39"/>
      <c r="E18865" s="39"/>
      <c r="F18865" s="39"/>
    </row>
    <row r="18866">
      <c r="D18866" s="39"/>
      <c r="E18866" s="39"/>
      <c r="F18866" s="39"/>
    </row>
    <row r="18867">
      <c r="D18867" s="39"/>
      <c r="E18867" s="39"/>
      <c r="F18867" s="39"/>
    </row>
    <row r="18868">
      <c r="D18868" s="39"/>
      <c r="E18868" s="39"/>
      <c r="F18868" s="39"/>
    </row>
    <row r="18869">
      <c r="D18869" s="39"/>
      <c r="E18869" s="39"/>
      <c r="F18869" s="39"/>
    </row>
    <row r="18870">
      <c r="D18870" s="39"/>
      <c r="E18870" s="39"/>
      <c r="F18870" s="39"/>
    </row>
    <row r="18871">
      <c r="D18871" s="39"/>
      <c r="E18871" s="39"/>
      <c r="F18871" s="39"/>
    </row>
    <row r="18872">
      <c r="D18872" s="39"/>
      <c r="E18872" s="39"/>
      <c r="F18872" s="39"/>
    </row>
    <row r="18873">
      <c r="D18873" s="39"/>
      <c r="E18873" s="39"/>
      <c r="F18873" s="39"/>
    </row>
    <row r="18874">
      <c r="D18874" s="39"/>
      <c r="E18874" s="39"/>
      <c r="F18874" s="39"/>
    </row>
    <row r="18875">
      <c r="D18875" s="39"/>
      <c r="E18875" s="39"/>
      <c r="F18875" s="39"/>
    </row>
    <row r="18876">
      <c r="D18876" s="39"/>
      <c r="E18876" s="39"/>
      <c r="F18876" s="39"/>
    </row>
    <row r="18877">
      <c r="D18877" s="39"/>
      <c r="E18877" s="39"/>
      <c r="F18877" s="39"/>
    </row>
    <row r="18878">
      <c r="D18878" s="39"/>
      <c r="E18878" s="39"/>
      <c r="F18878" s="39"/>
    </row>
    <row r="18879">
      <c r="D18879" s="39"/>
      <c r="E18879" s="39"/>
      <c r="F18879" s="39"/>
    </row>
    <row r="18880">
      <c r="D18880" s="39"/>
      <c r="E18880" s="39"/>
      <c r="F18880" s="39"/>
    </row>
    <row r="18881">
      <c r="D18881" s="39"/>
      <c r="E18881" s="39"/>
      <c r="F18881" s="39"/>
    </row>
    <row r="18882">
      <c r="D18882" s="39"/>
      <c r="E18882" s="39"/>
      <c r="F18882" s="39"/>
    </row>
    <row r="18883">
      <c r="D18883" s="39"/>
      <c r="E18883" s="39"/>
      <c r="F18883" s="39"/>
    </row>
    <row r="18884">
      <c r="D18884" s="39"/>
      <c r="E18884" s="39"/>
      <c r="F18884" s="39"/>
    </row>
    <row r="18885">
      <c r="D18885" s="39"/>
      <c r="E18885" s="39"/>
      <c r="F18885" s="39"/>
    </row>
    <row r="18886">
      <c r="D18886" s="39"/>
      <c r="E18886" s="39"/>
      <c r="F18886" s="39"/>
    </row>
    <row r="18887">
      <c r="D18887" s="39"/>
      <c r="E18887" s="39"/>
      <c r="F18887" s="39"/>
    </row>
    <row r="18888">
      <c r="D18888" s="39"/>
      <c r="E18888" s="39"/>
      <c r="F18888" s="39"/>
    </row>
    <row r="18889">
      <c r="D18889" s="39"/>
      <c r="E18889" s="39"/>
      <c r="F18889" s="39"/>
    </row>
    <row r="18890">
      <c r="D18890" s="39"/>
      <c r="E18890" s="39"/>
      <c r="F18890" s="39"/>
    </row>
    <row r="18891">
      <c r="D18891" s="39"/>
      <c r="E18891" s="39"/>
      <c r="F18891" s="39"/>
    </row>
    <row r="18892">
      <c r="D18892" s="39"/>
      <c r="E18892" s="39"/>
      <c r="F18892" s="39"/>
    </row>
    <row r="18893">
      <c r="D18893" s="39"/>
      <c r="E18893" s="39"/>
      <c r="F18893" s="39"/>
    </row>
    <row r="18894">
      <c r="D18894" s="39"/>
      <c r="E18894" s="39"/>
      <c r="F18894" s="39"/>
    </row>
    <row r="18895">
      <c r="D18895" s="39"/>
      <c r="E18895" s="39"/>
      <c r="F18895" s="39"/>
    </row>
    <row r="18896">
      <c r="D18896" s="39"/>
      <c r="E18896" s="39"/>
      <c r="F18896" s="39"/>
    </row>
    <row r="18897">
      <c r="D18897" s="39"/>
      <c r="E18897" s="39"/>
      <c r="F18897" s="39"/>
    </row>
    <row r="18898">
      <c r="D18898" s="39"/>
      <c r="E18898" s="39"/>
      <c r="F18898" s="39"/>
    </row>
    <row r="18899">
      <c r="D18899" s="39"/>
      <c r="E18899" s="39"/>
      <c r="F18899" s="39"/>
    </row>
    <row r="18900">
      <c r="D18900" s="39"/>
      <c r="E18900" s="39"/>
      <c r="F18900" s="39"/>
    </row>
    <row r="18901">
      <c r="D18901" s="39"/>
      <c r="E18901" s="39"/>
      <c r="F18901" s="39"/>
    </row>
    <row r="18902">
      <c r="D18902" s="39"/>
      <c r="E18902" s="39"/>
      <c r="F18902" s="39"/>
    </row>
    <row r="18903">
      <c r="D18903" s="39"/>
      <c r="E18903" s="39"/>
      <c r="F18903" s="39"/>
    </row>
    <row r="18904">
      <c r="D18904" s="39"/>
      <c r="E18904" s="39"/>
      <c r="F18904" s="39"/>
    </row>
    <row r="18905">
      <c r="D18905" s="39"/>
      <c r="E18905" s="39"/>
      <c r="F18905" s="39"/>
    </row>
    <row r="18906">
      <c r="D18906" s="39"/>
      <c r="E18906" s="39"/>
      <c r="F18906" s="39"/>
    </row>
    <row r="18907">
      <c r="D18907" s="39"/>
      <c r="E18907" s="39"/>
      <c r="F18907" s="39"/>
    </row>
    <row r="18908">
      <c r="D18908" s="39"/>
      <c r="E18908" s="39"/>
      <c r="F18908" s="39"/>
    </row>
    <row r="18909">
      <c r="D18909" s="39"/>
      <c r="E18909" s="39"/>
      <c r="F18909" s="39"/>
    </row>
    <row r="18910">
      <c r="D18910" s="39"/>
      <c r="E18910" s="39"/>
      <c r="F18910" s="39"/>
    </row>
    <row r="18911">
      <c r="D18911" s="39"/>
      <c r="E18911" s="39"/>
      <c r="F18911" s="39"/>
    </row>
    <row r="18912">
      <c r="D18912" s="39"/>
      <c r="E18912" s="39"/>
      <c r="F18912" s="39"/>
    </row>
    <row r="18913">
      <c r="D18913" s="39"/>
      <c r="E18913" s="39"/>
      <c r="F18913" s="39"/>
    </row>
    <row r="18914">
      <c r="D18914" s="39"/>
      <c r="E18914" s="39"/>
      <c r="F18914" s="39"/>
    </row>
    <row r="18915">
      <c r="D18915" s="39"/>
      <c r="E18915" s="39"/>
      <c r="F18915" s="39"/>
    </row>
    <row r="18916">
      <c r="D18916" s="39"/>
      <c r="E18916" s="39"/>
      <c r="F18916" s="39"/>
    </row>
    <row r="18917">
      <c r="D18917" s="39"/>
      <c r="E18917" s="39"/>
      <c r="F18917" s="39"/>
    </row>
    <row r="18918">
      <c r="D18918" s="39"/>
      <c r="E18918" s="39"/>
      <c r="F18918" s="39"/>
    </row>
    <row r="18919">
      <c r="D18919" s="39"/>
      <c r="E18919" s="39"/>
      <c r="F18919" s="39"/>
    </row>
    <row r="18920">
      <c r="D18920" s="39"/>
      <c r="E18920" s="39"/>
      <c r="F18920" s="39"/>
    </row>
    <row r="18921">
      <c r="D18921" s="39"/>
      <c r="E18921" s="39"/>
      <c r="F18921" s="39"/>
    </row>
    <row r="18922">
      <c r="D18922" s="39"/>
      <c r="E18922" s="39"/>
      <c r="F18922" s="39"/>
    </row>
    <row r="18923">
      <c r="D18923" s="39"/>
      <c r="E18923" s="39"/>
      <c r="F18923" s="39"/>
    </row>
    <row r="18924">
      <c r="D18924" s="39"/>
      <c r="E18924" s="39"/>
      <c r="F18924" s="39"/>
    </row>
    <row r="18925">
      <c r="D18925" s="39"/>
      <c r="E18925" s="39"/>
      <c r="F18925" s="39"/>
    </row>
    <row r="18926">
      <c r="D18926" s="39"/>
      <c r="E18926" s="39"/>
      <c r="F18926" s="39"/>
    </row>
    <row r="18927">
      <c r="D18927" s="39"/>
      <c r="E18927" s="39"/>
      <c r="F18927" s="39"/>
    </row>
    <row r="18928">
      <c r="D18928" s="39"/>
      <c r="E18928" s="39"/>
      <c r="F18928" s="39"/>
    </row>
    <row r="18929">
      <c r="D18929" s="39"/>
      <c r="E18929" s="39"/>
      <c r="F18929" s="39"/>
    </row>
    <row r="18930">
      <c r="D18930" s="39"/>
      <c r="E18930" s="39"/>
      <c r="F18930" s="39"/>
    </row>
    <row r="18931">
      <c r="D18931" s="39"/>
      <c r="E18931" s="39"/>
      <c r="F18931" s="39"/>
    </row>
    <row r="18932">
      <c r="D18932" s="39"/>
      <c r="E18932" s="39"/>
      <c r="F18932" s="39"/>
    </row>
    <row r="18933">
      <c r="D18933" s="39"/>
      <c r="E18933" s="39"/>
      <c r="F18933" s="39"/>
    </row>
    <row r="18934">
      <c r="D18934" s="39"/>
      <c r="E18934" s="39"/>
      <c r="F18934" s="39"/>
    </row>
    <row r="18935">
      <c r="D18935" s="39"/>
      <c r="E18935" s="39"/>
      <c r="F18935" s="39"/>
    </row>
    <row r="18936">
      <c r="D18936" s="39"/>
      <c r="E18936" s="39"/>
      <c r="F18936" s="39"/>
    </row>
    <row r="18937">
      <c r="D18937" s="39"/>
      <c r="E18937" s="39"/>
      <c r="F18937" s="39"/>
    </row>
    <row r="18938">
      <c r="D18938" s="39"/>
      <c r="E18938" s="39"/>
      <c r="F18938" s="39"/>
    </row>
    <row r="18939">
      <c r="D18939" s="39"/>
      <c r="E18939" s="39"/>
      <c r="F18939" s="39"/>
    </row>
    <row r="18940">
      <c r="D18940" s="39"/>
      <c r="E18940" s="39"/>
      <c r="F18940" s="39"/>
    </row>
    <row r="18941">
      <c r="D18941" s="39"/>
      <c r="E18941" s="39"/>
      <c r="F18941" s="39"/>
    </row>
    <row r="18942">
      <c r="D18942" s="39"/>
      <c r="E18942" s="39"/>
      <c r="F18942" s="39"/>
    </row>
    <row r="18943">
      <c r="D18943" s="39"/>
      <c r="E18943" s="39"/>
      <c r="F18943" s="39"/>
    </row>
    <row r="18944">
      <c r="D18944" s="39"/>
      <c r="E18944" s="39"/>
      <c r="F18944" s="39"/>
    </row>
    <row r="18945">
      <c r="D18945" s="39"/>
      <c r="E18945" s="39"/>
      <c r="F18945" s="39"/>
    </row>
    <row r="18946">
      <c r="D18946" s="39"/>
      <c r="E18946" s="39"/>
      <c r="F18946" s="39"/>
    </row>
    <row r="18947">
      <c r="D18947" s="39"/>
      <c r="E18947" s="39"/>
      <c r="F18947" s="39"/>
    </row>
    <row r="18948">
      <c r="D18948" s="39"/>
      <c r="E18948" s="39"/>
      <c r="F18948" s="39"/>
    </row>
    <row r="18949">
      <c r="D18949" s="39"/>
      <c r="E18949" s="39"/>
      <c r="F18949" s="39"/>
    </row>
    <row r="18950">
      <c r="D18950" s="39"/>
      <c r="E18950" s="39"/>
      <c r="F18950" s="39"/>
    </row>
    <row r="18951">
      <c r="D18951" s="39"/>
      <c r="E18951" s="39"/>
      <c r="F18951" s="39"/>
    </row>
    <row r="18952">
      <c r="D18952" s="39"/>
      <c r="E18952" s="39"/>
      <c r="F18952" s="39"/>
    </row>
    <row r="18953">
      <c r="D18953" s="39"/>
      <c r="E18953" s="39"/>
      <c r="F18953" s="39"/>
    </row>
    <row r="18954">
      <c r="D18954" s="39"/>
      <c r="E18954" s="39"/>
      <c r="F18954" s="39"/>
    </row>
    <row r="18955">
      <c r="D18955" s="39"/>
      <c r="E18955" s="39"/>
      <c r="F18955" s="39"/>
    </row>
    <row r="18956">
      <c r="D18956" s="39"/>
      <c r="E18956" s="39"/>
      <c r="F18956" s="39"/>
    </row>
    <row r="18957">
      <c r="D18957" s="39"/>
      <c r="E18957" s="39"/>
      <c r="F18957" s="39"/>
    </row>
    <row r="18958">
      <c r="D18958" s="39"/>
      <c r="E18958" s="39"/>
      <c r="F18958" s="39"/>
    </row>
    <row r="18959">
      <c r="D18959" s="39"/>
      <c r="E18959" s="39"/>
      <c r="F18959" s="39"/>
    </row>
    <row r="18960">
      <c r="D18960" s="39"/>
      <c r="E18960" s="39"/>
      <c r="F18960" s="39"/>
    </row>
    <row r="18961">
      <c r="D18961" s="39"/>
      <c r="E18961" s="39"/>
      <c r="F18961" s="39"/>
    </row>
    <row r="18962">
      <c r="D18962" s="39"/>
      <c r="E18962" s="39"/>
      <c r="F18962" s="39"/>
    </row>
    <row r="18963">
      <c r="D18963" s="39"/>
      <c r="E18963" s="39"/>
      <c r="F18963" s="39"/>
    </row>
    <row r="18964">
      <c r="D18964" s="39"/>
      <c r="E18964" s="39"/>
      <c r="F18964" s="39"/>
    </row>
    <row r="18965">
      <c r="D18965" s="39"/>
      <c r="E18965" s="39"/>
      <c r="F18965" s="39"/>
    </row>
    <row r="18966">
      <c r="D18966" s="39"/>
      <c r="E18966" s="39"/>
      <c r="F18966" s="39"/>
    </row>
    <row r="18967">
      <c r="D18967" s="39"/>
      <c r="E18967" s="39"/>
      <c r="F18967" s="39"/>
    </row>
    <row r="18968">
      <c r="D18968" s="39"/>
      <c r="E18968" s="39"/>
      <c r="F18968" s="39"/>
    </row>
    <row r="18969">
      <c r="D18969" s="39"/>
      <c r="E18969" s="39"/>
      <c r="F18969" s="39"/>
    </row>
    <row r="18970">
      <c r="D18970" s="39"/>
      <c r="E18970" s="39"/>
      <c r="F18970" s="39"/>
    </row>
    <row r="18971">
      <c r="D18971" s="39"/>
      <c r="E18971" s="39"/>
      <c r="F18971" s="39"/>
    </row>
    <row r="18972">
      <c r="D18972" s="39"/>
      <c r="E18972" s="39"/>
      <c r="F18972" s="39"/>
    </row>
    <row r="18973">
      <c r="D18973" s="39"/>
      <c r="E18973" s="39"/>
      <c r="F18973" s="39"/>
    </row>
    <row r="18974">
      <c r="D18974" s="39"/>
      <c r="E18974" s="39"/>
      <c r="F18974" s="39"/>
    </row>
    <row r="18975">
      <c r="D18975" s="39"/>
      <c r="E18975" s="39"/>
      <c r="F18975" s="39"/>
    </row>
    <row r="18976">
      <c r="D18976" s="39"/>
      <c r="E18976" s="39"/>
      <c r="F18976" s="39"/>
    </row>
    <row r="18977">
      <c r="D18977" s="39"/>
      <c r="E18977" s="39"/>
      <c r="F18977" s="39"/>
    </row>
    <row r="18978">
      <c r="D18978" s="39"/>
      <c r="E18978" s="39"/>
      <c r="F18978" s="39"/>
    </row>
    <row r="18979">
      <c r="D18979" s="39"/>
      <c r="E18979" s="39"/>
      <c r="F18979" s="39"/>
    </row>
    <row r="18980">
      <c r="D18980" s="39"/>
      <c r="E18980" s="39"/>
      <c r="F18980" s="39"/>
    </row>
    <row r="18981">
      <c r="D18981" s="39"/>
      <c r="E18981" s="39"/>
      <c r="F18981" s="39"/>
    </row>
    <row r="18982">
      <c r="D18982" s="39"/>
      <c r="E18982" s="39"/>
      <c r="F18982" s="39"/>
    </row>
    <row r="18983">
      <c r="D18983" s="39"/>
      <c r="E18983" s="39"/>
      <c r="F18983" s="39"/>
    </row>
    <row r="18984">
      <c r="D18984" s="39"/>
      <c r="E18984" s="39"/>
      <c r="F18984" s="39"/>
    </row>
    <row r="18985">
      <c r="D18985" s="39"/>
      <c r="E18985" s="39"/>
      <c r="F18985" s="39"/>
    </row>
    <row r="18986">
      <c r="D18986" s="39"/>
      <c r="E18986" s="39"/>
      <c r="F18986" s="39"/>
    </row>
    <row r="18987">
      <c r="D18987" s="39"/>
      <c r="E18987" s="39"/>
      <c r="F18987" s="39"/>
    </row>
    <row r="18988">
      <c r="D18988" s="39"/>
      <c r="E18988" s="39"/>
      <c r="F18988" s="39"/>
    </row>
    <row r="18989">
      <c r="D18989" s="39"/>
      <c r="E18989" s="39"/>
      <c r="F18989" s="39"/>
    </row>
    <row r="18990">
      <c r="D18990" s="39"/>
      <c r="E18990" s="39"/>
      <c r="F18990" s="39"/>
    </row>
    <row r="18991">
      <c r="D18991" s="39"/>
      <c r="E18991" s="39"/>
      <c r="F18991" s="39"/>
    </row>
    <row r="18992">
      <c r="D18992" s="39"/>
      <c r="E18992" s="39"/>
      <c r="F18992" s="39"/>
    </row>
    <row r="18993">
      <c r="D18993" s="39"/>
      <c r="E18993" s="39"/>
      <c r="F18993" s="39"/>
    </row>
    <row r="18994">
      <c r="D18994" s="39"/>
      <c r="E18994" s="39"/>
      <c r="F18994" s="39"/>
    </row>
    <row r="18995">
      <c r="D18995" s="39"/>
      <c r="E18995" s="39"/>
      <c r="F18995" s="39"/>
    </row>
    <row r="18996">
      <c r="D18996" s="39"/>
      <c r="E18996" s="39"/>
      <c r="F18996" s="39"/>
    </row>
    <row r="18997">
      <c r="D18997" s="39"/>
      <c r="E18997" s="39"/>
      <c r="F18997" s="39"/>
    </row>
    <row r="18998">
      <c r="D18998" s="39"/>
      <c r="E18998" s="39"/>
      <c r="F18998" s="39"/>
    </row>
    <row r="18999">
      <c r="D18999" s="39"/>
      <c r="E18999" s="39"/>
      <c r="F18999" s="39"/>
    </row>
    <row r="19000">
      <c r="D19000" s="39"/>
      <c r="E19000" s="39"/>
      <c r="F19000" s="39"/>
    </row>
    <row r="19001">
      <c r="D19001" s="39"/>
      <c r="E19001" s="39"/>
      <c r="F19001" s="39"/>
    </row>
    <row r="19002">
      <c r="D19002" s="39"/>
      <c r="E19002" s="39"/>
      <c r="F19002" s="39"/>
    </row>
    <row r="19003">
      <c r="D19003" s="39"/>
      <c r="E19003" s="39"/>
      <c r="F19003" s="39"/>
    </row>
    <row r="19004">
      <c r="D19004" s="39"/>
      <c r="E19004" s="39"/>
      <c r="F19004" s="39"/>
    </row>
    <row r="19005">
      <c r="D19005" s="39"/>
      <c r="E19005" s="39"/>
      <c r="F19005" s="39"/>
    </row>
    <row r="19006">
      <c r="D19006" s="39"/>
      <c r="E19006" s="39"/>
      <c r="F19006" s="39"/>
    </row>
    <row r="19007">
      <c r="D19007" s="39"/>
      <c r="E19007" s="39"/>
      <c r="F19007" s="39"/>
    </row>
    <row r="19008">
      <c r="D19008" s="39"/>
      <c r="E19008" s="39"/>
      <c r="F19008" s="39"/>
    </row>
    <row r="19009">
      <c r="D19009" s="39"/>
      <c r="E19009" s="39"/>
      <c r="F19009" s="39"/>
    </row>
    <row r="19010">
      <c r="D19010" s="39"/>
      <c r="E19010" s="39"/>
      <c r="F19010" s="39"/>
    </row>
    <row r="19011">
      <c r="D19011" s="39"/>
      <c r="E19011" s="39"/>
      <c r="F19011" s="39"/>
    </row>
    <row r="19012">
      <c r="D19012" s="39"/>
      <c r="E19012" s="39"/>
      <c r="F19012" s="39"/>
    </row>
    <row r="19013">
      <c r="D19013" s="39"/>
      <c r="E19013" s="39"/>
      <c r="F19013" s="39"/>
    </row>
    <row r="19014">
      <c r="D19014" s="39"/>
      <c r="E19014" s="39"/>
      <c r="F19014" s="39"/>
    </row>
    <row r="19015">
      <c r="D19015" s="39"/>
      <c r="E19015" s="39"/>
      <c r="F19015" s="39"/>
    </row>
    <row r="19016">
      <c r="D19016" s="39"/>
      <c r="E19016" s="39"/>
      <c r="F19016" s="39"/>
    </row>
    <row r="19017">
      <c r="D19017" s="39"/>
      <c r="E19017" s="39"/>
      <c r="F19017" s="39"/>
    </row>
    <row r="19018">
      <c r="D19018" s="39"/>
      <c r="E19018" s="39"/>
      <c r="F19018" s="39"/>
    </row>
    <row r="19019">
      <c r="D19019" s="39"/>
      <c r="E19019" s="39"/>
      <c r="F19019" s="39"/>
    </row>
    <row r="19020">
      <c r="D19020" s="39"/>
      <c r="E19020" s="39"/>
      <c r="F19020" s="39"/>
    </row>
    <row r="19021">
      <c r="D19021" s="39"/>
      <c r="E19021" s="39"/>
      <c r="F19021" s="39"/>
    </row>
    <row r="19022">
      <c r="D19022" s="39"/>
      <c r="E19022" s="39"/>
      <c r="F19022" s="39"/>
    </row>
    <row r="19023">
      <c r="D19023" s="39"/>
      <c r="E19023" s="39"/>
      <c r="F19023" s="39"/>
    </row>
    <row r="19024">
      <c r="D19024" s="39"/>
      <c r="E19024" s="39"/>
      <c r="F19024" s="39"/>
    </row>
    <row r="19025">
      <c r="D19025" s="39"/>
      <c r="E19025" s="39"/>
      <c r="F19025" s="39"/>
    </row>
    <row r="19026">
      <c r="D19026" s="39"/>
      <c r="E19026" s="39"/>
      <c r="F19026" s="39"/>
    </row>
    <row r="19027">
      <c r="D19027" s="39"/>
      <c r="E19027" s="39"/>
      <c r="F19027" s="39"/>
    </row>
    <row r="19028">
      <c r="D19028" s="39"/>
      <c r="E19028" s="39"/>
      <c r="F19028" s="39"/>
    </row>
    <row r="19029">
      <c r="D19029" s="39"/>
      <c r="E19029" s="39"/>
      <c r="F19029" s="39"/>
    </row>
    <row r="19030">
      <c r="D19030" s="39"/>
      <c r="E19030" s="39"/>
      <c r="F19030" s="39"/>
    </row>
    <row r="19031">
      <c r="D19031" s="39"/>
      <c r="E19031" s="39"/>
      <c r="F19031" s="39"/>
    </row>
    <row r="19032">
      <c r="D19032" s="39"/>
      <c r="E19032" s="39"/>
      <c r="F19032" s="39"/>
    </row>
    <row r="19033">
      <c r="D19033" s="39"/>
      <c r="E19033" s="39"/>
      <c r="F19033" s="39"/>
    </row>
    <row r="19034">
      <c r="D19034" s="39"/>
      <c r="E19034" s="39"/>
      <c r="F19034" s="39"/>
    </row>
    <row r="19035">
      <c r="D19035" s="39"/>
      <c r="E19035" s="39"/>
      <c r="F19035" s="39"/>
    </row>
    <row r="19036">
      <c r="D19036" s="39"/>
      <c r="E19036" s="39"/>
      <c r="F19036" s="39"/>
    </row>
    <row r="19037">
      <c r="D19037" s="39"/>
      <c r="E19037" s="39"/>
      <c r="F19037" s="39"/>
    </row>
    <row r="19038">
      <c r="D19038" s="39"/>
      <c r="E19038" s="39"/>
      <c r="F19038" s="39"/>
    </row>
    <row r="19039">
      <c r="D19039" s="39"/>
      <c r="E19039" s="39"/>
      <c r="F19039" s="39"/>
    </row>
    <row r="19040">
      <c r="D19040" s="39"/>
      <c r="E19040" s="39"/>
      <c r="F19040" s="39"/>
    </row>
    <row r="19041">
      <c r="D19041" s="39"/>
      <c r="E19041" s="39"/>
      <c r="F19041" s="39"/>
    </row>
    <row r="19042">
      <c r="D19042" s="39"/>
      <c r="E19042" s="39"/>
      <c r="F19042" s="39"/>
    </row>
    <row r="19043">
      <c r="D19043" s="39"/>
      <c r="E19043" s="39"/>
      <c r="F19043" s="39"/>
    </row>
    <row r="19044">
      <c r="D19044" s="39"/>
      <c r="E19044" s="39"/>
      <c r="F19044" s="39"/>
    </row>
    <row r="19045">
      <c r="D19045" s="39"/>
      <c r="E19045" s="39"/>
      <c r="F19045" s="39"/>
    </row>
    <row r="19046">
      <c r="D19046" s="39"/>
      <c r="E19046" s="39"/>
      <c r="F19046" s="39"/>
    </row>
    <row r="19047">
      <c r="D19047" s="39"/>
      <c r="E19047" s="39"/>
      <c r="F19047" s="39"/>
    </row>
    <row r="19048">
      <c r="D19048" s="39"/>
      <c r="E19048" s="39"/>
      <c r="F19048" s="39"/>
    </row>
    <row r="19049">
      <c r="D19049" s="39"/>
      <c r="E19049" s="39"/>
      <c r="F19049" s="39"/>
    </row>
    <row r="19050">
      <c r="D19050" s="39"/>
      <c r="E19050" s="39"/>
      <c r="F19050" s="39"/>
    </row>
    <row r="19051">
      <c r="D19051" s="39"/>
      <c r="E19051" s="39"/>
      <c r="F19051" s="39"/>
    </row>
    <row r="19052">
      <c r="D19052" s="39"/>
      <c r="E19052" s="39"/>
      <c r="F19052" s="39"/>
    </row>
    <row r="19053">
      <c r="D19053" s="39"/>
      <c r="E19053" s="39"/>
      <c r="F19053" s="39"/>
    </row>
    <row r="19054">
      <c r="D19054" s="39"/>
      <c r="E19054" s="39"/>
      <c r="F19054" s="39"/>
    </row>
    <row r="19055">
      <c r="D19055" s="39"/>
      <c r="E19055" s="39"/>
      <c r="F19055" s="39"/>
    </row>
    <row r="19056">
      <c r="D19056" s="39"/>
      <c r="E19056" s="39"/>
      <c r="F19056" s="39"/>
    </row>
    <row r="19057">
      <c r="D19057" s="39"/>
      <c r="E19057" s="39"/>
      <c r="F19057" s="39"/>
    </row>
    <row r="19058">
      <c r="D19058" s="39"/>
      <c r="E19058" s="39"/>
      <c r="F19058" s="39"/>
    </row>
    <row r="19059">
      <c r="D19059" s="39"/>
      <c r="E19059" s="39"/>
      <c r="F19059" s="39"/>
    </row>
    <row r="19060">
      <c r="D19060" s="39"/>
      <c r="E19060" s="39"/>
      <c r="F19060" s="39"/>
    </row>
    <row r="19061">
      <c r="D19061" s="39"/>
      <c r="E19061" s="39"/>
      <c r="F19061" s="39"/>
    </row>
    <row r="19062">
      <c r="D19062" s="39"/>
      <c r="E19062" s="39"/>
      <c r="F19062" s="39"/>
    </row>
    <row r="19063">
      <c r="D19063" s="39"/>
      <c r="E19063" s="39"/>
      <c r="F19063" s="39"/>
    </row>
    <row r="19064">
      <c r="D19064" s="39"/>
      <c r="E19064" s="39"/>
      <c r="F19064" s="39"/>
    </row>
    <row r="19065">
      <c r="D19065" s="39"/>
      <c r="E19065" s="39"/>
      <c r="F19065" s="39"/>
    </row>
    <row r="19066">
      <c r="D19066" s="39"/>
      <c r="E19066" s="39"/>
      <c r="F19066" s="39"/>
    </row>
    <row r="19067">
      <c r="D19067" s="39"/>
      <c r="E19067" s="39"/>
      <c r="F19067" s="39"/>
    </row>
    <row r="19068">
      <c r="D19068" s="39"/>
      <c r="E19068" s="39"/>
      <c r="F19068" s="39"/>
    </row>
    <row r="19069">
      <c r="D19069" s="39"/>
      <c r="E19069" s="39"/>
      <c r="F19069" s="39"/>
    </row>
    <row r="19070">
      <c r="D19070" s="39"/>
      <c r="E19070" s="39"/>
      <c r="F19070" s="39"/>
    </row>
    <row r="19071">
      <c r="D19071" s="39"/>
      <c r="E19071" s="39"/>
      <c r="F19071" s="39"/>
    </row>
    <row r="19072">
      <c r="D19072" s="39"/>
      <c r="E19072" s="39"/>
      <c r="F19072" s="39"/>
    </row>
    <row r="19073">
      <c r="D19073" s="39"/>
      <c r="E19073" s="39"/>
      <c r="F19073" s="39"/>
    </row>
    <row r="19074">
      <c r="D19074" s="39"/>
      <c r="E19074" s="39"/>
      <c r="F19074" s="39"/>
    </row>
    <row r="19075">
      <c r="D19075" s="39"/>
      <c r="E19075" s="39"/>
      <c r="F19075" s="39"/>
    </row>
    <row r="19076">
      <c r="D19076" s="39"/>
      <c r="E19076" s="39"/>
      <c r="F19076" s="39"/>
    </row>
    <row r="19077">
      <c r="D19077" s="39"/>
      <c r="E19077" s="39"/>
      <c r="F19077" s="39"/>
    </row>
    <row r="19078">
      <c r="D19078" s="39"/>
      <c r="E19078" s="39"/>
      <c r="F19078" s="39"/>
    </row>
    <row r="19079">
      <c r="D19079" s="39"/>
      <c r="E19079" s="39"/>
      <c r="F19079" s="39"/>
    </row>
    <row r="19080">
      <c r="D19080" s="39"/>
      <c r="E19080" s="39"/>
      <c r="F19080" s="39"/>
    </row>
    <row r="19081">
      <c r="D19081" s="39"/>
      <c r="E19081" s="39"/>
      <c r="F19081" s="39"/>
    </row>
    <row r="19082">
      <c r="D19082" s="39"/>
      <c r="E19082" s="39"/>
      <c r="F19082" s="39"/>
    </row>
    <row r="19083">
      <c r="D19083" s="39"/>
      <c r="E19083" s="39"/>
      <c r="F19083" s="39"/>
    </row>
    <row r="19084">
      <c r="D19084" s="39"/>
      <c r="E19084" s="39"/>
      <c r="F19084" s="39"/>
    </row>
    <row r="19085">
      <c r="D19085" s="39"/>
      <c r="E19085" s="39"/>
      <c r="F19085" s="39"/>
    </row>
    <row r="19086">
      <c r="D19086" s="39"/>
      <c r="E19086" s="39"/>
      <c r="F19086" s="39"/>
    </row>
    <row r="19087">
      <c r="D19087" s="39"/>
      <c r="E19087" s="39"/>
      <c r="F19087" s="39"/>
    </row>
    <row r="19088">
      <c r="D19088" s="39"/>
      <c r="E19088" s="39"/>
      <c r="F19088" s="39"/>
    </row>
    <row r="19089">
      <c r="D19089" s="39"/>
      <c r="E19089" s="39"/>
      <c r="F19089" s="39"/>
    </row>
    <row r="19090">
      <c r="D19090" s="39"/>
      <c r="E19090" s="39"/>
      <c r="F19090" s="39"/>
    </row>
    <row r="19091">
      <c r="D19091" s="39"/>
      <c r="E19091" s="39"/>
      <c r="F19091" s="39"/>
    </row>
    <row r="19092">
      <c r="D19092" s="39"/>
      <c r="E19092" s="39"/>
      <c r="F19092" s="39"/>
    </row>
    <row r="19093">
      <c r="D19093" s="39"/>
      <c r="E19093" s="39"/>
      <c r="F19093" s="39"/>
    </row>
    <row r="19094">
      <c r="D19094" s="39"/>
      <c r="E19094" s="39"/>
      <c r="F19094" s="39"/>
    </row>
    <row r="19095">
      <c r="D19095" s="39"/>
      <c r="E19095" s="39"/>
      <c r="F19095" s="39"/>
    </row>
    <row r="19096">
      <c r="D19096" s="39"/>
      <c r="E19096" s="39"/>
      <c r="F19096" s="39"/>
    </row>
    <row r="19097">
      <c r="D19097" s="39"/>
      <c r="E19097" s="39"/>
      <c r="F19097" s="39"/>
    </row>
    <row r="19098">
      <c r="D19098" s="39"/>
      <c r="E19098" s="39"/>
      <c r="F19098" s="39"/>
    </row>
    <row r="19099">
      <c r="D19099" s="39"/>
      <c r="E19099" s="39"/>
      <c r="F19099" s="39"/>
    </row>
    <row r="19100">
      <c r="D19100" s="39"/>
      <c r="E19100" s="39"/>
      <c r="F19100" s="39"/>
    </row>
    <row r="19101">
      <c r="D19101" s="39"/>
      <c r="E19101" s="39"/>
      <c r="F19101" s="39"/>
    </row>
    <row r="19102">
      <c r="D19102" s="39"/>
      <c r="E19102" s="39"/>
      <c r="F19102" s="39"/>
    </row>
    <row r="19103">
      <c r="D19103" s="39"/>
      <c r="E19103" s="39"/>
      <c r="F19103" s="39"/>
    </row>
    <row r="19104">
      <c r="D19104" s="39"/>
      <c r="E19104" s="39"/>
      <c r="F19104" s="39"/>
    </row>
    <row r="19105">
      <c r="D19105" s="39"/>
      <c r="E19105" s="39"/>
      <c r="F19105" s="39"/>
    </row>
    <row r="19106">
      <c r="D19106" s="39"/>
      <c r="E19106" s="39"/>
      <c r="F19106" s="39"/>
    </row>
    <row r="19107">
      <c r="D19107" s="39"/>
      <c r="E19107" s="39"/>
      <c r="F19107" s="39"/>
    </row>
    <row r="19108">
      <c r="D19108" s="39"/>
      <c r="E19108" s="39"/>
      <c r="F19108" s="39"/>
    </row>
    <row r="19109">
      <c r="D19109" s="39"/>
      <c r="E19109" s="39"/>
      <c r="F19109" s="39"/>
    </row>
    <row r="19110">
      <c r="D19110" s="39"/>
      <c r="E19110" s="39"/>
      <c r="F19110" s="39"/>
    </row>
    <row r="19111">
      <c r="D19111" s="39"/>
      <c r="E19111" s="39"/>
      <c r="F19111" s="39"/>
    </row>
    <row r="19112">
      <c r="D19112" s="39"/>
      <c r="E19112" s="39"/>
      <c r="F19112" s="39"/>
    </row>
    <row r="19113">
      <c r="D19113" s="39"/>
      <c r="E19113" s="39"/>
      <c r="F19113" s="39"/>
    </row>
    <row r="19114">
      <c r="D19114" s="39"/>
      <c r="E19114" s="39"/>
      <c r="F19114" s="39"/>
    </row>
    <row r="19115">
      <c r="D19115" s="39"/>
      <c r="E19115" s="39"/>
      <c r="F19115" s="39"/>
    </row>
    <row r="19116">
      <c r="D19116" s="39"/>
      <c r="E19116" s="39"/>
      <c r="F19116" s="39"/>
    </row>
    <row r="19117">
      <c r="D19117" s="39"/>
      <c r="E19117" s="39"/>
      <c r="F19117" s="39"/>
    </row>
    <row r="19118">
      <c r="D19118" s="39"/>
      <c r="E19118" s="39"/>
      <c r="F19118" s="39"/>
    </row>
    <row r="19119">
      <c r="D19119" s="39"/>
      <c r="E19119" s="39"/>
      <c r="F19119" s="39"/>
    </row>
    <row r="19120">
      <c r="D19120" s="39"/>
      <c r="E19120" s="39"/>
      <c r="F19120" s="39"/>
    </row>
    <row r="19121">
      <c r="D19121" s="39"/>
      <c r="E19121" s="39"/>
      <c r="F19121" s="39"/>
    </row>
    <row r="19122">
      <c r="D19122" s="39"/>
      <c r="E19122" s="39"/>
      <c r="F19122" s="39"/>
    </row>
    <row r="19123">
      <c r="D19123" s="39"/>
      <c r="E19123" s="39"/>
      <c r="F19123" s="39"/>
    </row>
    <row r="19124">
      <c r="D19124" s="39"/>
      <c r="E19124" s="39"/>
      <c r="F19124" s="39"/>
    </row>
    <row r="19125">
      <c r="D19125" s="39"/>
      <c r="E19125" s="39"/>
      <c r="F19125" s="39"/>
    </row>
    <row r="19126">
      <c r="D19126" s="39"/>
      <c r="E19126" s="39"/>
      <c r="F19126" s="39"/>
    </row>
    <row r="19127">
      <c r="D19127" s="39"/>
      <c r="E19127" s="39"/>
      <c r="F19127" s="39"/>
    </row>
    <row r="19128">
      <c r="D19128" s="39"/>
      <c r="E19128" s="39"/>
      <c r="F19128" s="39"/>
    </row>
    <row r="19129">
      <c r="D19129" s="39"/>
      <c r="E19129" s="39"/>
      <c r="F19129" s="39"/>
    </row>
    <row r="19130">
      <c r="D19130" s="39"/>
      <c r="E19130" s="39"/>
      <c r="F19130" s="39"/>
    </row>
    <row r="19131">
      <c r="D19131" s="39"/>
      <c r="E19131" s="39"/>
      <c r="F19131" s="39"/>
    </row>
    <row r="19132">
      <c r="D19132" s="39"/>
      <c r="E19132" s="39"/>
      <c r="F19132" s="39"/>
    </row>
    <row r="19133">
      <c r="D19133" s="39"/>
      <c r="E19133" s="39"/>
      <c r="F19133" s="39"/>
    </row>
    <row r="19134">
      <c r="D19134" s="39"/>
      <c r="E19134" s="39"/>
      <c r="F19134" s="39"/>
    </row>
    <row r="19135">
      <c r="D19135" s="39"/>
      <c r="E19135" s="39"/>
      <c r="F19135" s="39"/>
    </row>
    <row r="19136">
      <c r="D19136" s="39"/>
      <c r="E19136" s="39"/>
      <c r="F19136" s="39"/>
    </row>
    <row r="19137">
      <c r="D19137" s="39"/>
      <c r="E19137" s="39"/>
      <c r="F19137" s="39"/>
    </row>
    <row r="19138">
      <c r="D19138" s="39"/>
      <c r="E19138" s="39"/>
      <c r="F19138" s="39"/>
    </row>
    <row r="19139">
      <c r="D19139" s="39"/>
      <c r="E19139" s="39"/>
      <c r="F19139" s="39"/>
    </row>
    <row r="19140">
      <c r="D19140" s="39"/>
      <c r="E19140" s="39"/>
      <c r="F19140" s="39"/>
    </row>
    <row r="19141">
      <c r="D19141" s="39"/>
      <c r="E19141" s="39"/>
      <c r="F19141" s="39"/>
    </row>
    <row r="19142">
      <c r="D19142" s="39"/>
      <c r="E19142" s="39"/>
      <c r="F19142" s="39"/>
    </row>
    <row r="19143">
      <c r="D19143" s="39"/>
      <c r="E19143" s="39"/>
      <c r="F19143" s="39"/>
    </row>
    <row r="19144">
      <c r="D19144" s="39"/>
      <c r="E19144" s="39"/>
      <c r="F19144" s="39"/>
    </row>
    <row r="19145">
      <c r="D19145" s="39"/>
      <c r="E19145" s="39"/>
      <c r="F19145" s="39"/>
    </row>
    <row r="19146">
      <c r="D19146" s="39"/>
      <c r="E19146" s="39"/>
      <c r="F19146" s="39"/>
    </row>
    <row r="19147">
      <c r="D19147" s="39"/>
      <c r="E19147" s="39"/>
      <c r="F19147" s="39"/>
    </row>
    <row r="19148">
      <c r="D19148" s="39"/>
      <c r="E19148" s="39"/>
      <c r="F19148" s="39"/>
    </row>
    <row r="19149">
      <c r="D19149" s="39"/>
      <c r="E19149" s="39"/>
      <c r="F19149" s="39"/>
    </row>
    <row r="19150">
      <c r="D19150" s="39"/>
      <c r="E19150" s="39"/>
      <c r="F19150" s="39"/>
    </row>
    <row r="19151">
      <c r="D19151" s="39"/>
      <c r="E19151" s="39"/>
      <c r="F19151" s="39"/>
    </row>
    <row r="19152">
      <c r="D19152" s="39"/>
      <c r="E19152" s="39"/>
      <c r="F19152" s="39"/>
    </row>
    <row r="19153">
      <c r="D19153" s="39"/>
      <c r="E19153" s="39"/>
      <c r="F19153" s="39"/>
    </row>
    <row r="19154">
      <c r="D19154" s="39"/>
      <c r="E19154" s="39"/>
      <c r="F19154" s="39"/>
    </row>
    <row r="19155">
      <c r="D19155" s="39"/>
      <c r="E19155" s="39"/>
      <c r="F19155" s="39"/>
    </row>
    <row r="19156">
      <c r="D19156" s="39"/>
      <c r="E19156" s="39"/>
      <c r="F19156" s="39"/>
    </row>
    <row r="19157">
      <c r="D19157" s="39"/>
      <c r="E19157" s="39"/>
      <c r="F19157" s="39"/>
    </row>
    <row r="19158">
      <c r="D19158" s="39"/>
      <c r="E19158" s="39"/>
      <c r="F19158" s="39"/>
    </row>
    <row r="19159">
      <c r="D19159" s="39"/>
      <c r="E19159" s="39"/>
      <c r="F19159" s="39"/>
    </row>
    <row r="19160">
      <c r="D19160" s="39"/>
      <c r="E19160" s="39"/>
      <c r="F19160" s="39"/>
    </row>
    <row r="19161">
      <c r="D19161" s="39"/>
      <c r="E19161" s="39"/>
      <c r="F19161" s="39"/>
    </row>
    <row r="19162">
      <c r="D19162" s="39"/>
      <c r="E19162" s="39"/>
      <c r="F19162" s="39"/>
    </row>
    <row r="19163">
      <c r="D19163" s="39"/>
      <c r="E19163" s="39"/>
      <c r="F19163" s="39"/>
    </row>
    <row r="19164">
      <c r="D19164" s="39"/>
      <c r="E19164" s="39"/>
      <c r="F19164" s="39"/>
    </row>
    <row r="19165">
      <c r="D19165" s="39"/>
      <c r="E19165" s="39"/>
      <c r="F19165" s="39"/>
    </row>
    <row r="19166">
      <c r="D19166" s="39"/>
      <c r="E19166" s="39"/>
      <c r="F19166" s="39"/>
    </row>
    <row r="19167">
      <c r="D19167" s="39"/>
      <c r="E19167" s="39"/>
      <c r="F19167" s="39"/>
    </row>
    <row r="19168">
      <c r="D19168" s="39"/>
      <c r="E19168" s="39"/>
      <c r="F19168" s="39"/>
    </row>
    <row r="19169">
      <c r="D19169" s="39"/>
      <c r="E19169" s="39"/>
      <c r="F19169" s="39"/>
    </row>
    <row r="19170">
      <c r="D19170" s="39"/>
      <c r="E19170" s="39"/>
      <c r="F19170" s="39"/>
    </row>
    <row r="19171">
      <c r="D19171" s="39"/>
      <c r="E19171" s="39"/>
      <c r="F19171" s="39"/>
    </row>
    <row r="19172">
      <c r="D19172" s="39"/>
      <c r="E19172" s="39"/>
      <c r="F19172" s="39"/>
    </row>
    <row r="19173">
      <c r="D19173" s="39"/>
      <c r="E19173" s="39"/>
      <c r="F19173" s="39"/>
    </row>
    <row r="19174">
      <c r="D19174" s="39"/>
      <c r="E19174" s="39"/>
      <c r="F19174" s="39"/>
    </row>
    <row r="19175">
      <c r="D19175" s="39"/>
      <c r="E19175" s="39"/>
      <c r="F19175" s="39"/>
    </row>
    <row r="19176">
      <c r="D19176" s="39"/>
      <c r="E19176" s="39"/>
      <c r="F19176" s="39"/>
    </row>
    <row r="19177">
      <c r="D19177" s="39"/>
      <c r="E19177" s="39"/>
      <c r="F19177" s="39"/>
    </row>
    <row r="19178">
      <c r="D19178" s="39"/>
      <c r="E19178" s="39"/>
      <c r="F19178" s="39"/>
    </row>
    <row r="19179">
      <c r="D19179" s="39"/>
      <c r="E19179" s="39"/>
      <c r="F19179" s="39"/>
    </row>
    <row r="19180">
      <c r="D19180" s="39"/>
      <c r="E19180" s="39"/>
      <c r="F19180" s="39"/>
    </row>
    <row r="19181">
      <c r="D19181" s="39"/>
      <c r="E19181" s="39"/>
      <c r="F19181" s="39"/>
    </row>
    <row r="19182">
      <c r="D19182" s="39"/>
      <c r="E19182" s="39"/>
      <c r="F19182" s="39"/>
    </row>
    <row r="19183">
      <c r="D19183" s="39"/>
      <c r="E19183" s="39"/>
      <c r="F19183" s="39"/>
    </row>
    <row r="19184">
      <c r="D19184" s="39"/>
      <c r="E19184" s="39"/>
      <c r="F19184" s="39"/>
    </row>
    <row r="19185">
      <c r="D19185" s="39"/>
      <c r="E19185" s="39"/>
      <c r="F19185" s="39"/>
    </row>
    <row r="19186">
      <c r="D19186" s="39"/>
      <c r="E19186" s="39"/>
      <c r="F19186" s="39"/>
    </row>
    <row r="19187">
      <c r="D19187" s="39"/>
      <c r="E19187" s="39"/>
      <c r="F19187" s="39"/>
    </row>
    <row r="19188">
      <c r="D19188" s="39"/>
      <c r="E19188" s="39"/>
      <c r="F19188" s="39"/>
    </row>
    <row r="19189">
      <c r="D19189" s="39"/>
      <c r="E19189" s="39"/>
      <c r="F19189" s="39"/>
    </row>
    <row r="19190">
      <c r="D19190" s="39"/>
      <c r="E19190" s="39"/>
      <c r="F19190" s="39"/>
    </row>
    <row r="19191">
      <c r="D19191" s="39"/>
      <c r="E19191" s="39"/>
      <c r="F19191" s="39"/>
    </row>
    <row r="19192">
      <c r="D19192" s="39"/>
      <c r="E19192" s="39"/>
      <c r="F19192" s="39"/>
    </row>
    <row r="19193">
      <c r="D19193" s="39"/>
      <c r="E19193" s="39"/>
      <c r="F19193" s="39"/>
    </row>
    <row r="19194">
      <c r="D19194" s="39"/>
      <c r="E19194" s="39"/>
      <c r="F19194" s="39"/>
    </row>
    <row r="19195">
      <c r="D19195" s="39"/>
      <c r="E19195" s="39"/>
      <c r="F19195" s="39"/>
    </row>
    <row r="19196">
      <c r="D19196" s="39"/>
      <c r="E19196" s="39"/>
      <c r="F19196" s="39"/>
    </row>
    <row r="19197">
      <c r="D19197" s="39"/>
      <c r="E19197" s="39"/>
      <c r="F19197" s="39"/>
    </row>
    <row r="19198">
      <c r="D19198" s="39"/>
      <c r="E19198" s="39"/>
      <c r="F19198" s="39"/>
    </row>
    <row r="19199">
      <c r="D19199" s="39"/>
      <c r="E19199" s="39"/>
      <c r="F19199" s="39"/>
    </row>
    <row r="19200">
      <c r="D19200" s="39"/>
      <c r="E19200" s="39"/>
      <c r="F19200" s="39"/>
    </row>
    <row r="19201">
      <c r="D19201" s="39"/>
      <c r="E19201" s="39"/>
      <c r="F19201" s="39"/>
    </row>
    <row r="19202">
      <c r="D19202" s="39"/>
      <c r="E19202" s="39"/>
      <c r="F19202" s="39"/>
    </row>
    <row r="19203">
      <c r="D19203" s="39"/>
      <c r="E19203" s="39"/>
      <c r="F19203" s="39"/>
    </row>
    <row r="19204">
      <c r="D19204" s="39"/>
      <c r="E19204" s="39"/>
      <c r="F19204" s="39"/>
    </row>
    <row r="19205">
      <c r="D19205" s="39"/>
      <c r="E19205" s="39"/>
      <c r="F19205" s="39"/>
    </row>
    <row r="19206">
      <c r="D19206" s="39"/>
      <c r="E19206" s="39"/>
      <c r="F19206" s="39"/>
    </row>
    <row r="19207">
      <c r="D19207" s="39"/>
      <c r="E19207" s="39"/>
      <c r="F19207" s="39"/>
    </row>
    <row r="19208">
      <c r="D19208" s="39"/>
      <c r="E19208" s="39"/>
      <c r="F19208" s="39"/>
    </row>
    <row r="19209">
      <c r="D19209" s="39"/>
      <c r="E19209" s="39"/>
      <c r="F19209" s="39"/>
    </row>
    <row r="19210">
      <c r="D19210" s="39"/>
      <c r="E19210" s="39"/>
      <c r="F19210" s="39"/>
    </row>
    <row r="19211">
      <c r="D19211" s="39"/>
      <c r="E19211" s="39"/>
      <c r="F19211" s="39"/>
    </row>
    <row r="19212">
      <c r="D19212" s="39"/>
      <c r="E19212" s="39"/>
      <c r="F19212" s="39"/>
    </row>
    <row r="19213">
      <c r="D19213" s="39"/>
      <c r="E19213" s="39"/>
      <c r="F19213" s="39"/>
    </row>
    <row r="19214">
      <c r="D19214" s="39"/>
      <c r="E19214" s="39"/>
      <c r="F19214" s="39"/>
    </row>
    <row r="19215">
      <c r="D19215" s="39"/>
      <c r="E19215" s="39"/>
      <c r="F19215" s="39"/>
    </row>
    <row r="19216">
      <c r="D19216" s="39"/>
      <c r="E19216" s="39"/>
      <c r="F19216" s="39"/>
    </row>
    <row r="19217">
      <c r="D19217" s="39"/>
      <c r="E19217" s="39"/>
      <c r="F19217" s="39"/>
    </row>
    <row r="19218">
      <c r="D19218" s="39"/>
      <c r="E19218" s="39"/>
      <c r="F19218" s="39"/>
    </row>
    <row r="19219">
      <c r="D19219" s="39"/>
      <c r="E19219" s="39"/>
      <c r="F19219" s="39"/>
    </row>
    <row r="19220">
      <c r="D19220" s="39"/>
      <c r="E19220" s="39"/>
      <c r="F19220" s="39"/>
    </row>
    <row r="19221">
      <c r="D19221" s="39"/>
      <c r="E19221" s="39"/>
      <c r="F19221" s="39"/>
    </row>
    <row r="19222">
      <c r="D19222" s="39"/>
      <c r="E19222" s="39"/>
      <c r="F19222" s="39"/>
    </row>
    <row r="19223">
      <c r="D19223" s="39"/>
      <c r="E19223" s="39"/>
      <c r="F19223" s="39"/>
    </row>
    <row r="19224">
      <c r="D19224" s="39"/>
      <c r="E19224" s="39"/>
      <c r="F19224" s="39"/>
    </row>
    <row r="19225">
      <c r="D19225" s="39"/>
      <c r="E19225" s="39"/>
      <c r="F19225" s="39"/>
    </row>
    <row r="19226">
      <c r="D19226" s="39"/>
      <c r="E19226" s="39"/>
      <c r="F19226" s="39"/>
    </row>
    <row r="19227">
      <c r="D19227" s="39"/>
      <c r="E19227" s="39"/>
      <c r="F19227" s="39"/>
    </row>
    <row r="19228">
      <c r="D19228" s="39"/>
      <c r="E19228" s="39"/>
      <c r="F19228" s="39"/>
    </row>
    <row r="19229">
      <c r="D19229" s="39"/>
      <c r="E19229" s="39"/>
      <c r="F19229" s="39"/>
    </row>
    <row r="19230">
      <c r="D19230" s="39"/>
      <c r="E19230" s="39"/>
      <c r="F19230" s="39"/>
    </row>
    <row r="19231">
      <c r="D19231" s="39"/>
      <c r="E19231" s="39"/>
      <c r="F19231" s="39"/>
    </row>
    <row r="19232">
      <c r="D19232" s="39"/>
      <c r="E19232" s="39"/>
      <c r="F19232" s="39"/>
    </row>
    <row r="19233">
      <c r="D19233" s="39"/>
      <c r="E19233" s="39"/>
      <c r="F19233" s="39"/>
    </row>
    <row r="19234">
      <c r="D19234" s="39"/>
      <c r="E19234" s="39"/>
      <c r="F19234" s="39"/>
    </row>
    <row r="19235">
      <c r="D19235" s="39"/>
      <c r="E19235" s="39"/>
      <c r="F19235" s="39"/>
    </row>
    <row r="19236">
      <c r="D19236" s="39"/>
      <c r="E19236" s="39"/>
      <c r="F19236" s="39"/>
    </row>
    <row r="19237">
      <c r="D19237" s="39"/>
      <c r="E19237" s="39"/>
      <c r="F19237" s="39"/>
    </row>
    <row r="19238">
      <c r="D19238" s="39"/>
      <c r="E19238" s="39"/>
      <c r="F19238" s="39"/>
    </row>
    <row r="19239">
      <c r="D19239" s="39"/>
      <c r="E19239" s="39"/>
      <c r="F19239" s="39"/>
    </row>
    <row r="19240">
      <c r="D19240" s="39"/>
      <c r="E19240" s="39"/>
      <c r="F19240" s="39"/>
    </row>
    <row r="19241">
      <c r="D19241" s="39"/>
      <c r="E19241" s="39"/>
      <c r="F19241" s="39"/>
    </row>
    <row r="19242">
      <c r="D19242" s="39"/>
      <c r="E19242" s="39"/>
      <c r="F19242" s="39"/>
    </row>
    <row r="19243">
      <c r="D19243" s="39"/>
      <c r="E19243" s="39"/>
      <c r="F19243" s="39"/>
    </row>
    <row r="19244">
      <c r="D19244" s="39"/>
      <c r="E19244" s="39"/>
      <c r="F19244" s="39"/>
    </row>
    <row r="19245">
      <c r="D19245" s="39"/>
      <c r="E19245" s="39"/>
      <c r="F19245" s="39"/>
    </row>
    <row r="19246">
      <c r="D19246" s="39"/>
      <c r="E19246" s="39"/>
      <c r="F19246" s="39"/>
    </row>
    <row r="19247">
      <c r="D19247" s="39"/>
      <c r="E19247" s="39"/>
      <c r="F19247" s="39"/>
    </row>
    <row r="19248">
      <c r="D19248" s="39"/>
      <c r="E19248" s="39"/>
      <c r="F19248" s="39"/>
    </row>
    <row r="19249">
      <c r="D19249" s="39"/>
      <c r="E19249" s="39"/>
      <c r="F19249" s="39"/>
    </row>
    <row r="19250">
      <c r="D19250" s="39"/>
      <c r="E19250" s="39"/>
      <c r="F19250" s="39"/>
    </row>
    <row r="19251">
      <c r="D19251" s="39"/>
      <c r="E19251" s="39"/>
      <c r="F19251" s="39"/>
    </row>
    <row r="19252">
      <c r="D19252" s="39"/>
      <c r="E19252" s="39"/>
      <c r="F19252" s="39"/>
    </row>
    <row r="19253">
      <c r="D19253" s="39"/>
      <c r="E19253" s="39"/>
      <c r="F19253" s="39"/>
    </row>
    <row r="19254">
      <c r="D19254" s="39"/>
      <c r="E19254" s="39"/>
      <c r="F19254" s="39"/>
    </row>
    <row r="19255">
      <c r="D19255" s="39"/>
      <c r="E19255" s="39"/>
      <c r="F19255" s="39"/>
    </row>
    <row r="19256">
      <c r="D19256" s="39"/>
      <c r="E19256" s="39"/>
      <c r="F19256" s="39"/>
    </row>
    <row r="19257">
      <c r="D19257" s="39"/>
      <c r="E19257" s="39"/>
      <c r="F19257" s="39"/>
    </row>
    <row r="19258">
      <c r="D19258" s="39"/>
      <c r="E19258" s="39"/>
      <c r="F19258" s="39"/>
    </row>
    <row r="19259">
      <c r="D19259" s="39"/>
      <c r="E19259" s="39"/>
      <c r="F19259" s="39"/>
    </row>
    <row r="19260">
      <c r="D19260" s="39"/>
      <c r="E19260" s="39"/>
      <c r="F19260" s="39"/>
    </row>
    <row r="19261">
      <c r="D19261" s="39"/>
      <c r="E19261" s="39"/>
      <c r="F19261" s="39"/>
    </row>
    <row r="19262">
      <c r="D19262" s="39"/>
      <c r="E19262" s="39"/>
      <c r="F19262" s="39"/>
    </row>
    <row r="19263">
      <c r="D19263" s="39"/>
      <c r="E19263" s="39"/>
      <c r="F19263" s="39"/>
    </row>
    <row r="19264">
      <c r="D19264" s="39"/>
      <c r="E19264" s="39"/>
      <c r="F19264" s="39"/>
    </row>
    <row r="19265">
      <c r="D19265" s="39"/>
      <c r="E19265" s="39"/>
      <c r="F19265" s="39"/>
    </row>
    <row r="19266">
      <c r="D19266" s="39"/>
      <c r="E19266" s="39"/>
      <c r="F19266" s="39"/>
    </row>
    <row r="19267">
      <c r="D19267" s="39"/>
      <c r="E19267" s="39"/>
      <c r="F19267" s="39"/>
    </row>
    <row r="19268">
      <c r="D19268" s="39"/>
      <c r="E19268" s="39"/>
      <c r="F19268" s="39"/>
    </row>
    <row r="19269">
      <c r="D19269" s="39"/>
      <c r="E19269" s="39"/>
      <c r="F19269" s="39"/>
    </row>
    <row r="19270">
      <c r="D19270" s="39"/>
      <c r="E19270" s="39"/>
      <c r="F19270" s="39"/>
    </row>
    <row r="19271">
      <c r="D19271" s="39"/>
      <c r="E19271" s="39"/>
      <c r="F19271" s="39"/>
    </row>
    <row r="19272">
      <c r="D19272" s="39"/>
      <c r="E19272" s="39"/>
      <c r="F19272" s="39"/>
    </row>
    <row r="19273">
      <c r="D19273" s="39"/>
      <c r="E19273" s="39"/>
      <c r="F19273" s="39"/>
    </row>
    <row r="19274">
      <c r="D19274" s="39"/>
      <c r="E19274" s="39"/>
      <c r="F19274" s="39"/>
    </row>
    <row r="19275">
      <c r="D19275" s="39"/>
      <c r="E19275" s="39"/>
      <c r="F19275" s="39"/>
    </row>
    <row r="19276">
      <c r="D19276" s="39"/>
      <c r="E19276" s="39"/>
      <c r="F19276" s="39"/>
    </row>
    <row r="19277">
      <c r="D19277" s="39"/>
      <c r="E19277" s="39"/>
      <c r="F19277" s="39"/>
    </row>
    <row r="19278">
      <c r="D19278" s="39"/>
      <c r="E19278" s="39"/>
      <c r="F19278" s="39"/>
    </row>
    <row r="19279">
      <c r="D19279" s="39"/>
      <c r="E19279" s="39"/>
      <c r="F19279" s="39"/>
    </row>
    <row r="19280">
      <c r="D19280" s="39"/>
      <c r="E19280" s="39"/>
      <c r="F19280" s="39"/>
    </row>
    <row r="19281">
      <c r="D19281" s="39"/>
      <c r="E19281" s="39"/>
      <c r="F19281" s="39"/>
    </row>
    <row r="19282">
      <c r="D19282" s="39"/>
      <c r="E19282" s="39"/>
      <c r="F19282" s="39"/>
    </row>
    <row r="19283">
      <c r="D19283" s="39"/>
      <c r="E19283" s="39"/>
      <c r="F19283" s="39"/>
    </row>
    <row r="19284">
      <c r="D19284" s="39"/>
      <c r="E19284" s="39"/>
      <c r="F19284" s="39"/>
    </row>
    <row r="19285">
      <c r="D19285" s="39"/>
      <c r="E19285" s="39"/>
      <c r="F19285" s="39"/>
    </row>
    <row r="19286">
      <c r="D19286" s="39"/>
      <c r="E19286" s="39"/>
      <c r="F19286" s="39"/>
    </row>
    <row r="19287">
      <c r="D19287" s="39"/>
      <c r="E19287" s="39"/>
      <c r="F19287" s="39"/>
    </row>
    <row r="19288">
      <c r="D19288" s="39"/>
      <c r="E19288" s="39"/>
      <c r="F19288" s="39"/>
    </row>
    <row r="19289">
      <c r="D19289" s="39"/>
      <c r="E19289" s="39"/>
      <c r="F19289" s="39"/>
    </row>
    <row r="19290">
      <c r="D19290" s="39"/>
      <c r="E19290" s="39"/>
      <c r="F19290" s="39"/>
    </row>
    <row r="19291">
      <c r="D19291" s="39"/>
      <c r="E19291" s="39"/>
      <c r="F19291" s="39"/>
    </row>
    <row r="19292">
      <c r="D19292" s="39"/>
      <c r="E19292" s="39"/>
      <c r="F19292" s="39"/>
    </row>
    <row r="19293">
      <c r="D19293" s="39"/>
      <c r="E19293" s="39"/>
      <c r="F19293" s="39"/>
    </row>
    <row r="19294">
      <c r="D19294" s="39"/>
      <c r="E19294" s="39"/>
      <c r="F19294" s="39"/>
    </row>
    <row r="19295">
      <c r="D19295" s="39"/>
      <c r="E19295" s="39"/>
      <c r="F19295" s="39"/>
    </row>
    <row r="19296">
      <c r="D19296" s="39"/>
      <c r="E19296" s="39"/>
      <c r="F19296" s="39"/>
    </row>
    <row r="19297">
      <c r="D19297" s="39"/>
      <c r="E19297" s="39"/>
      <c r="F19297" s="39"/>
    </row>
    <row r="19298">
      <c r="D19298" s="39"/>
      <c r="E19298" s="39"/>
      <c r="F19298" s="39"/>
    </row>
    <row r="19299">
      <c r="D19299" s="39"/>
      <c r="E19299" s="39"/>
      <c r="F19299" s="39"/>
    </row>
    <row r="19300">
      <c r="D19300" s="39"/>
      <c r="E19300" s="39"/>
      <c r="F19300" s="39"/>
    </row>
    <row r="19301">
      <c r="D19301" s="39"/>
      <c r="E19301" s="39"/>
      <c r="F19301" s="39"/>
    </row>
    <row r="19302">
      <c r="D19302" s="39"/>
      <c r="E19302" s="39"/>
      <c r="F19302" s="39"/>
    </row>
    <row r="19303">
      <c r="D19303" s="39"/>
      <c r="E19303" s="39"/>
      <c r="F19303" s="39"/>
    </row>
    <row r="19304">
      <c r="D19304" s="39"/>
      <c r="E19304" s="39"/>
      <c r="F19304" s="39"/>
    </row>
    <row r="19305">
      <c r="D19305" s="39"/>
      <c r="E19305" s="39"/>
      <c r="F19305" s="39"/>
    </row>
    <row r="19306">
      <c r="D19306" s="39"/>
      <c r="E19306" s="39"/>
      <c r="F19306" s="39"/>
    </row>
    <row r="19307">
      <c r="D19307" s="39"/>
      <c r="E19307" s="39"/>
      <c r="F19307" s="39"/>
    </row>
    <row r="19308">
      <c r="D19308" s="39"/>
      <c r="E19308" s="39"/>
      <c r="F19308" s="39"/>
    </row>
    <row r="19309">
      <c r="D19309" s="39"/>
      <c r="E19309" s="39"/>
      <c r="F19309" s="39"/>
    </row>
    <row r="19310">
      <c r="D19310" s="39"/>
      <c r="E19310" s="39"/>
      <c r="F19310" s="39"/>
    </row>
    <row r="19311">
      <c r="D19311" s="39"/>
      <c r="E19311" s="39"/>
      <c r="F19311" s="39"/>
    </row>
    <row r="19312">
      <c r="D19312" s="39"/>
      <c r="E19312" s="39"/>
      <c r="F19312" s="39"/>
    </row>
    <row r="19313">
      <c r="D19313" s="39"/>
      <c r="E19313" s="39"/>
      <c r="F19313" s="39"/>
    </row>
    <row r="19314">
      <c r="D19314" s="39"/>
      <c r="E19314" s="39"/>
      <c r="F19314" s="39"/>
    </row>
    <row r="19315">
      <c r="D19315" s="39"/>
      <c r="E19315" s="39"/>
      <c r="F19315" s="39"/>
    </row>
    <row r="19316">
      <c r="D19316" s="39"/>
      <c r="E19316" s="39"/>
      <c r="F19316" s="39"/>
    </row>
    <row r="19317">
      <c r="D19317" s="39"/>
      <c r="E19317" s="39"/>
      <c r="F19317" s="39"/>
    </row>
    <row r="19318">
      <c r="D19318" s="39"/>
      <c r="E19318" s="39"/>
      <c r="F19318" s="39"/>
    </row>
    <row r="19319">
      <c r="D19319" s="39"/>
      <c r="E19319" s="39"/>
      <c r="F19319" s="39"/>
    </row>
    <row r="19320">
      <c r="D19320" s="39"/>
      <c r="E19320" s="39"/>
      <c r="F19320" s="39"/>
    </row>
    <row r="19321">
      <c r="D19321" s="39"/>
      <c r="E19321" s="39"/>
      <c r="F19321" s="39"/>
    </row>
    <row r="19322">
      <c r="D19322" s="39"/>
      <c r="E19322" s="39"/>
      <c r="F19322" s="39"/>
    </row>
    <row r="19323">
      <c r="D19323" s="39"/>
      <c r="E19323" s="39"/>
      <c r="F19323" s="39"/>
    </row>
    <row r="19324">
      <c r="D19324" s="39"/>
      <c r="E19324" s="39"/>
      <c r="F19324" s="39"/>
    </row>
    <row r="19325">
      <c r="D19325" s="39"/>
      <c r="E19325" s="39"/>
      <c r="F19325" s="39"/>
    </row>
    <row r="19326">
      <c r="D19326" s="39"/>
      <c r="E19326" s="39"/>
      <c r="F19326" s="39"/>
    </row>
    <row r="19327">
      <c r="D19327" s="39"/>
      <c r="E19327" s="39"/>
      <c r="F19327" s="39"/>
    </row>
    <row r="19328">
      <c r="D19328" s="39"/>
      <c r="E19328" s="39"/>
      <c r="F19328" s="39"/>
    </row>
    <row r="19329">
      <c r="D19329" s="39"/>
      <c r="E19329" s="39"/>
      <c r="F19329" s="39"/>
    </row>
    <row r="19330">
      <c r="D19330" s="39"/>
      <c r="E19330" s="39"/>
      <c r="F19330" s="39"/>
    </row>
    <row r="19331">
      <c r="D19331" s="39"/>
      <c r="E19331" s="39"/>
      <c r="F19331" s="39"/>
    </row>
    <row r="19332">
      <c r="D19332" s="39"/>
      <c r="E19332" s="39"/>
      <c r="F19332" s="39"/>
    </row>
    <row r="19333">
      <c r="D19333" s="39"/>
      <c r="E19333" s="39"/>
      <c r="F19333" s="39"/>
    </row>
    <row r="19334">
      <c r="D19334" s="39"/>
      <c r="E19334" s="39"/>
      <c r="F19334" s="39"/>
    </row>
    <row r="19335">
      <c r="D19335" s="39"/>
      <c r="E19335" s="39"/>
      <c r="F19335" s="39"/>
    </row>
    <row r="19336">
      <c r="D19336" s="39"/>
      <c r="E19336" s="39"/>
      <c r="F19336" s="39"/>
    </row>
    <row r="19337">
      <c r="D19337" s="39"/>
      <c r="E19337" s="39"/>
      <c r="F19337" s="39"/>
    </row>
    <row r="19338">
      <c r="D19338" s="39"/>
      <c r="E19338" s="39"/>
      <c r="F19338" s="39"/>
    </row>
    <row r="19339">
      <c r="D19339" s="39"/>
      <c r="E19339" s="39"/>
      <c r="F19339" s="39"/>
    </row>
    <row r="19340">
      <c r="D19340" s="39"/>
      <c r="E19340" s="39"/>
      <c r="F19340" s="39"/>
    </row>
    <row r="19341">
      <c r="D19341" s="39"/>
      <c r="E19341" s="39"/>
      <c r="F19341" s="39"/>
    </row>
    <row r="19342">
      <c r="D19342" s="39"/>
      <c r="E19342" s="39"/>
      <c r="F19342" s="39"/>
    </row>
    <row r="19343">
      <c r="D19343" s="39"/>
      <c r="E19343" s="39"/>
      <c r="F19343" s="39"/>
    </row>
    <row r="19344">
      <c r="D19344" s="39"/>
      <c r="E19344" s="39"/>
      <c r="F19344" s="39"/>
    </row>
    <row r="19345">
      <c r="D19345" s="39"/>
      <c r="E19345" s="39"/>
      <c r="F19345" s="39"/>
    </row>
    <row r="19346">
      <c r="D19346" s="39"/>
      <c r="E19346" s="39"/>
      <c r="F19346" s="39"/>
    </row>
    <row r="19347">
      <c r="D19347" s="39"/>
      <c r="E19347" s="39"/>
      <c r="F19347" s="39"/>
    </row>
    <row r="19348">
      <c r="D19348" s="39"/>
      <c r="E19348" s="39"/>
      <c r="F19348" s="39"/>
    </row>
    <row r="19349">
      <c r="D19349" s="39"/>
      <c r="E19349" s="39"/>
      <c r="F19349" s="39"/>
    </row>
    <row r="19350">
      <c r="D19350" s="39"/>
      <c r="E19350" s="39"/>
      <c r="F19350" s="39"/>
    </row>
    <row r="19351">
      <c r="D19351" s="39"/>
      <c r="E19351" s="39"/>
      <c r="F19351" s="39"/>
    </row>
    <row r="19352">
      <c r="D19352" s="39"/>
      <c r="E19352" s="39"/>
      <c r="F19352" s="39"/>
    </row>
    <row r="19353">
      <c r="D19353" s="39"/>
      <c r="E19353" s="39"/>
      <c r="F19353" s="39"/>
    </row>
    <row r="19354">
      <c r="D19354" s="39"/>
      <c r="E19354" s="39"/>
      <c r="F19354" s="39"/>
    </row>
    <row r="19355">
      <c r="D19355" s="39"/>
      <c r="E19355" s="39"/>
      <c r="F19355" s="39"/>
    </row>
    <row r="19356">
      <c r="D19356" s="39"/>
      <c r="E19356" s="39"/>
      <c r="F19356" s="39"/>
    </row>
    <row r="19357">
      <c r="D19357" s="39"/>
      <c r="E19357" s="39"/>
      <c r="F19357" s="39"/>
    </row>
    <row r="19358">
      <c r="D19358" s="39"/>
      <c r="E19358" s="39"/>
      <c r="F19358" s="39"/>
    </row>
    <row r="19359">
      <c r="D19359" s="39"/>
      <c r="E19359" s="39"/>
      <c r="F19359" s="39"/>
    </row>
    <row r="19360">
      <c r="D19360" s="39"/>
      <c r="E19360" s="39"/>
      <c r="F19360" s="39"/>
    </row>
    <row r="19361">
      <c r="D19361" s="39"/>
      <c r="E19361" s="39"/>
      <c r="F19361" s="39"/>
    </row>
    <row r="19362">
      <c r="D19362" s="39"/>
      <c r="E19362" s="39"/>
      <c r="F19362" s="39"/>
    </row>
    <row r="19363">
      <c r="D19363" s="39"/>
      <c r="E19363" s="39"/>
      <c r="F19363" s="39"/>
    </row>
    <row r="19364">
      <c r="D19364" s="39"/>
      <c r="E19364" s="39"/>
      <c r="F19364" s="39"/>
    </row>
    <row r="19365">
      <c r="D19365" s="39"/>
      <c r="E19365" s="39"/>
      <c r="F19365" s="39"/>
    </row>
    <row r="19366">
      <c r="D19366" s="39"/>
      <c r="E19366" s="39"/>
      <c r="F19366" s="39"/>
    </row>
    <row r="19367">
      <c r="D19367" s="39"/>
      <c r="E19367" s="39"/>
      <c r="F19367" s="39"/>
    </row>
    <row r="19368">
      <c r="D19368" s="39"/>
      <c r="E19368" s="39"/>
      <c r="F19368" s="39"/>
    </row>
    <row r="19369">
      <c r="D19369" s="39"/>
      <c r="E19369" s="39"/>
      <c r="F19369" s="39"/>
    </row>
    <row r="19370">
      <c r="D19370" s="39"/>
      <c r="E19370" s="39"/>
      <c r="F19370" s="39"/>
    </row>
    <row r="19371">
      <c r="D19371" s="39"/>
      <c r="E19371" s="39"/>
      <c r="F19371" s="39"/>
    </row>
    <row r="19372">
      <c r="D19372" s="39"/>
      <c r="E19372" s="39"/>
      <c r="F19372" s="39"/>
    </row>
    <row r="19373">
      <c r="D19373" s="39"/>
      <c r="E19373" s="39"/>
      <c r="F19373" s="39"/>
    </row>
    <row r="19374">
      <c r="D19374" s="39"/>
      <c r="E19374" s="39"/>
      <c r="F19374" s="39"/>
    </row>
    <row r="19375">
      <c r="D19375" s="39"/>
      <c r="E19375" s="39"/>
      <c r="F19375" s="39"/>
    </row>
    <row r="19376">
      <c r="D19376" s="39"/>
      <c r="E19376" s="39"/>
      <c r="F19376" s="39"/>
    </row>
    <row r="19377">
      <c r="D19377" s="39"/>
      <c r="E19377" s="39"/>
      <c r="F19377" s="39"/>
    </row>
    <row r="19378">
      <c r="D19378" s="39"/>
      <c r="E19378" s="39"/>
      <c r="F19378" s="39"/>
    </row>
    <row r="19379">
      <c r="D19379" s="39"/>
      <c r="E19379" s="39"/>
      <c r="F19379" s="39"/>
    </row>
    <row r="19380">
      <c r="D19380" s="39"/>
      <c r="E19380" s="39"/>
      <c r="F19380" s="39"/>
    </row>
    <row r="19381">
      <c r="D19381" s="39"/>
      <c r="E19381" s="39"/>
      <c r="F19381" s="39"/>
    </row>
    <row r="19382">
      <c r="D19382" s="39"/>
      <c r="E19382" s="39"/>
      <c r="F19382" s="39"/>
    </row>
    <row r="19383">
      <c r="D19383" s="39"/>
      <c r="E19383" s="39"/>
      <c r="F19383" s="39"/>
    </row>
    <row r="19384">
      <c r="D19384" s="39"/>
      <c r="E19384" s="39"/>
      <c r="F19384" s="39"/>
    </row>
    <row r="19385">
      <c r="D19385" s="39"/>
      <c r="E19385" s="39"/>
      <c r="F19385" s="39"/>
    </row>
    <row r="19386">
      <c r="D19386" s="39"/>
      <c r="E19386" s="39"/>
      <c r="F19386" s="39"/>
    </row>
    <row r="19387">
      <c r="D19387" s="39"/>
      <c r="E19387" s="39"/>
      <c r="F19387" s="39"/>
    </row>
    <row r="19388">
      <c r="D19388" s="39"/>
      <c r="E19388" s="39"/>
      <c r="F19388" s="39"/>
    </row>
    <row r="19389">
      <c r="D19389" s="39"/>
      <c r="E19389" s="39"/>
      <c r="F19389" s="39"/>
    </row>
    <row r="19390">
      <c r="D19390" s="39"/>
      <c r="E19390" s="39"/>
      <c r="F19390" s="39"/>
    </row>
    <row r="19391">
      <c r="D19391" s="39"/>
      <c r="E19391" s="39"/>
      <c r="F19391" s="39"/>
    </row>
    <row r="19392">
      <c r="D19392" s="39"/>
      <c r="E19392" s="39"/>
      <c r="F19392" s="39"/>
    </row>
    <row r="19393">
      <c r="D19393" s="39"/>
      <c r="E19393" s="39"/>
      <c r="F19393" s="39"/>
    </row>
    <row r="19394">
      <c r="D19394" s="39"/>
      <c r="E19394" s="39"/>
      <c r="F19394" s="39"/>
    </row>
    <row r="19395">
      <c r="D19395" s="39"/>
      <c r="E19395" s="39"/>
      <c r="F19395" s="39"/>
    </row>
    <row r="19396">
      <c r="D19396" s="39"/>
      <c r="E19396" s="39"/>
      <c r="F19396" s="39"/>
    </row>
    <row r="19397">
      <c r="D19397" s="39"/>
      <c r="E19397" s="39"/>
      <c r="F19397" s="39"/>
    </row>
    <row r="19398">
      <c r="D19398" s="39"/>
      <c r="E19398" s="39"/>
      <c r="F19398" s="39"/>
    </row>
    <row r="19399">
      <c r="D19399" s="39"/>
      <c r="E19399" s="39"/>
      <c r="F19399" s="39"/>
    </row>
    <row r="19400">
      <c r="D19400" s="39"/>
      <c r="E19400" s="39"/>
      <c r="F19400" s="39"/>
    </row>
    <row r="19401">
      <c r="D19401" s="39"/>
      <c r="E19401" s="39"/>
      <c r="F19401" s="39"/>
    </row>
    <row r="19402">
      <c r="D19402" s="39"/>
      <c r="E19402" s="39"/>
      <c r="F19402" s="39"/>
    </row>
    <row r="19403">
      <c r="D19403" s="39"/>
      <c r="E19403" s="39"/>
      <c r="F19403" s="39"/>
    </row>
    <row r="19404">
      <c r="D19404" s="39"/>
      <c r="E19404" s="39"/>
      <c r="F19404" s="39"/>
    </row>
    <row r="19405">
      <c r="D19405" s="39"/>
      <c r="E19405" s="39"/>
      <c r="F19405" s="39"/>
    </row>
    <row r="19406">
      <c r="D19406" s="39"/>
      <c r="E19406" s="39"/>
      <c r="F19406" s="39"/>
    </row>
    <row r="19407">
      <c r="D19407" s="39"/>
      <c r="E19407" s="39"/>
      <c r="F19407" s="39"/>
    </row>
    <row r="19408">
      <c r="D19408" s="39"/>
      <c r="E19408" s="39"/>
      <c r="F19408" s="39"/>
    </row>
    <row r="19409">
      <c r="D19409" s="39"/>
      <c r="E19409" s="39"/>
      <c r="F19409" s="39"/>
    </row>
    <row r="19410">
      <c r="D19410" s="39"/>
      <c r="E19410" s="39"/>
      <c r="F19410" s="39"/>
    </row>
    <row r="19411">
      <c r="D19411" s="39"/>
      <c r="E19411" s="39"/>
      <c r="F19411" s="39"/>
    </row>
    <row r="19412">
      <c r="D19412" s="39"/>
      <c r="E19412" s="39"/>
      <c r="F19412" s="39"/>
    </row>
    <row r="19413">
      <c r="D19413" s="39"/>
      <c r="E19413" s="39"/>
      <c r="F19413" s="39"/>
    </row>
    <row r="19414">
      <c r="D19414" s="39"/>
      <c r="E19414" s="39"/>
      <c r="F19414" s="39"/>
    </row>
    <row r="19415">
      <c r="D19415" s="39"/>
      <c r="E19415" s="39"/>
      <c r="F19415" s="39"/>
    </row>
    <row r="19416">
      <c r="D19416" s="39"/>
      <c r="E19416" s="39"/>
      <c r="F19416" s="39"/>
    </row>
    <row r="19417">
      <c r="D19417" s="39"/>
      <c r="E19417" s="39"/>
      <c r="F19417" s="39"/>
    </row>
    <row r="19418">
      <c r="D19418" s="39"/>
      <c r="E19418" s="39"/>
      <c r="F19418" s="39"/>
    </row>
    <row r="19419">
      <c r="D19419" s="39"/>
      <c r="E19419" s="39"/>
      <c r="F19419" s="39"/>
    </row>
    <row r="19420">
      <c r="D19420" s="39"/>
      <c r="E19420" s="39"/>
      <c r="F19420" s="39"/>
    </row>
    <row r="19421">
      <c r="D19421" s="39"/>
      <c r="E19421" s="39"/>
      <c r="F19421" s="39"/>
    </row>
    <row r="19422">
      <c r="D19422" s="39"/>
      <c r="E19422" s="39"/>
      <c r="F19422" s="39"/>
    </row>
    <row r="19423">
      <c r="D19423" s="39"/>
      <c r="E19423" s="39"/>
      <c r="F19423" s="39"/>
    </row>
    <row r="19424">
      <c r="D19424" s="39"/>
      <c r="E19424" s="39"/>
      <c r="F19424" s="39"/>
    </row>
    <row r="19425">
      <c r="D19425" s="39"/>
      <c r="E19425" s="39"/>
      <c r="F19425" s="39"/>
    </row>
    <row r="19426">
      <c r="D19426" s="39"/>
      <c r="E19426" s="39"/>
      <c r="F19426" s="39"/>
    </row>
    <row r="19427">
      <c r="D19427" s="39"/>
      <c r="E19427" s="39"/>
      <c r="F19427" s="39"/>
    </row>
    <row r="19428">
      <c r="D19428" s="39"/>
      <c r="E19428" s="39"/>
      <c r="F19428" s="39"/>
    </row>
    <row r="19429">
      <c r="D19429" s="39"/>
      <c r="E19429" s="39"/>
      <c r="F19429" s="39"/>
    </row>
    <row r="19430">
      <c r="D19430" s="39"/>
      <c r="E19430" s="39"/>
      <c r="F19430" s="39"/>
    </row>
    <row r="19431">
      <c r="D19431" s="39"/>
      <c r="E19431" s="39"/>
      <c r="F19431" s="39"/>
    </row>
    <row r="19432">
      <c r="D19432" s="39"/>
      <c r="E19432" s="39"/>
      <c r="F19432" s="39"/>
    </row>
    <row r="19433">
      <c r="D19433" s="39"/>
      <c r="E19433" s="39"/>
      <c r="F19433" s="39"/>
    </row>
    <row r="19434">
      <c r="D19434" s="39"/>
      <c r="E19434" s="39"/>
      <c r="F19434" s="39"/>
    </row>
    <row r="19435">
      <c r="D19435" s="39"/>
      <c r="E19435" s="39"/>
      <c r="F19435" s="39"/>
    </row>
    <row r="19436">
      <c r="D19436" s="39"/>
      <c r="E19436" s="39"/>
      <c r="F19436" s="39"/>
    </row>
    <row r="19437">
      <c r="D19437" s="39"/>
      <c r="E19437" s="39"/>
      <c r="F19437" s="39"/>
    </row>
    <row r="19438">
      <c r="D19438" s="39"/>
      <c r="E19438" s="39"/>
      <c r="F19438" s="39"/>
    </row>
    <row r="19439">
      <c r="D19439" s="39"/>
      <c r="E19439" s="39"/>
      <c r="F19439" s="39"/>
    </row>
    <row r="19440">
      <c r="D19440" s="39"/>
      <c r="E19440" s="39"/>
      <c r="F19440" s="39"/>
    </row>
    <row r="19441">
      <c r="D19441" s="39"/>
      <c r="E19441" s="39"/>
      <c r="F19441" s="39"/>
    </row>
    <row r="19442">
      <c r="D19442" s="39"/>
      <c r="E19442" s="39"/>
      <c r="F19442" s="39"/>
    </row>
    <row r="19443">
      <c r="D19443" s="39"/>
      <c r="E19443" s="39"/>
      <c r="F19443" s="39"/>
    </row>
    <row r="19444">
      <c r="D19444" s="39"/>
      <c r="E19444" s="39"/>
      <c r="F19444" s="39"/>
    </row>
    <row r="19445">
      <c r="D19445" s="39"/>
      <c r="E19445" s="39"/>
      <c r="F19445" s="39"/>
    </row>
    <row r="19446">
      <c r="D19446" s="39"/>
      <c r="E19446" s="39"/>
      <c r="F19446" s="39"/>
    </row>
    <row r="19447">
      <c r="D19447" s="39"/>
      <c r="E19447" s="39"/>
      <c r="F19447" s="39"/>
    </row>
    <row r="19448">
      <c r="D19448" s="39"/>
      <c r="E19448" s="39"/>
      <c r="F19448" s="39"/>
    </row>
    <row r="19449">
      <c r="D19449" s="39"/>
      <c r="E19449" s="39"/>
      <c r="F19449" s="39"/>
    </row>
    <row r="19450">
      <c r="D19450" s="39"/>
      <c r="E19450" s="39"/>
      <c r="F19450" s="39"/>
    </row>
    <row r="19451">
      <c r="D19451" s="39"/>
      <c r="E19451" s="39"/>
      <c r="F19451" s="39"/>
    </row>
    <row r="19452">
      <c r="D19452" s="39"/>
      <c r="E19452" s="39"/>
      <c r="F19452" s="39"/>
    </row>
    <row r="19453">
      <c r="D19453" s="39"/>
      <c r="E19453" s="39"/>
      <c r="F19453" s="39"/>
    </row>
    <row r="19454">
      <c r="D19454" s="39"/>
      <c r="E19454" s="39"/>
      <c r="F19454" s="39"/>
    </row>
    <row r="19455">
      <c r="D19455" s="39"/>
      <c r="E19455" s="39"/>
      <c r="F19455" s="39"/>
    </row>
    <row r="19456">
      <c r="D19456" s="39"/>
      <c r="E19456" s="39"/>
      <c r="F19456" s="39"/>
    </row>
    <row r="19457">
      <c r="D19457" s="39"/>
      <c r="E19457" s="39"/>
      <c r="F19457" s="39"/>
    </row>
    <row r="19458">
      <c r="D19458" s="39"/>
      <c r="E19458" s="39"/>
      <c r="F19458" s="39"/>
    </row>
    <row r="19459">
      <c r="D19459" s="39"/>
      <c r="E19459" s="39"/>
      <c r="F19459" s="39"/>
    </row>
    <row r="19460">
      <c r="D19460" s="39"/>
      <c r="E19460" s="39"/>
      <c r="F19460" s="39"/>
    </row>
    <row r="19461">
      <c r="D19461" s="39"/>
      <c r="E19461" s="39"/>
      <c r="F19461" s="39"/>
    </row>
    <row r="19462">
      <c r="D19462" s="39"/>
      <c r="E19462" s="39"/>
      <c r="F19462" s="39"/>
    </row>
    <row r="19463">
      <c r="D19463" s="39"/>
      <c r="E19463" s="39"/>
      <c r="F19463" s="39"/>
    </row>
    <row r="19464">
      <c r="D19464" s="39"/>
      <c r="E19464" s="39"/>
      <c r="F19464" s="39"/>
    </row>
    <row r="19465">
      <c r="D19465" s="39"/>
      <c r="E19465" s="39"/>
      <c r="F19465" s="39"/>
    </row>
    <row r="19466">
      <c r="D19466" s="39"/>
      <c r="E19466" s="39"/>
      <c r="F19466" s="39"/>
    </row>
    <row r="19467">
      <c r="D19467" s="39"/>
      <c r="E19467" s="39"/>
      <c r="F19467" s="39"/>
    </row>
    <row r="19468">
      <c r="D19468" s="39"/>
      <c r="E19468" s="39"/>
      <c r="F19468" s="39"/>
    </row>
    <row r="19469">
      <c r="D19469" s="39"/>
      <c r="E19469" s="39"/>
      <c r="F19469" s="39"/>
    </row>
    <row r="19470">
      <c r="D19470" s="39"/>
      <c r="E19470" s="39"/>
      <c r="F19470" s="39"/>
    </row>
    <row r="19471">
      <c r="D19471" s="39"/>
      <c r="E19471" s="39"/>
      <c r="F19471" s="39"/>
    </row>
    <row r="19472">
      <c r="D19472" s="39"/>
      <c r="E19472" s="39"/>
      <c r="F19472" s="39"/>
    </row>
    <row r="19473">
      <c r="D19473" s="39"/>
      <c r="E19473" s="39"/>
      <c r="F19473" s="39"/>
    </row>
    <row r="19474">
      <c r="D19474" s="39"/>
      <c r="E19474" s="39"/>
      <c r="F19474" s="39"/>
    </row>
    <row r="19475">
      <c r="D19475" s="39"/>
      <c r="E19475" s="39"/>
      <c r="F19475" s="39"/>
    </row>
    <row r="19476">
      <c r="D19476" s="39"/>
      <c r="E19476" s="39"/>
      <c r="F19476" s="39"/>
    </row>
    <row r="19477">
      <c r="D19477" s="39"/>
      <c r="E19477" s="39"/>
      <c r="F19477" s="39"/>
    </row>
    <row r="19478">
      <c r="D19478" s="39"/>
      <c r="E19478" s="39"/>
      <c r="F19478" s="39"/>
    </row>
    <row r="19479">
      <c r="D19479" s="39"/>
      <c r="E19479" s="39"/>
      <c r="F19479" s="39"/>
    </row>
    <row r="19480">
      <c r="D19480" s="39"/>
      <c r="E19480" s="39"/>
      <c r="F19480" s="39"/>
    </row>
    <row r="19481">
      <c r="D19481" s="39"/>
      <c r="E19481" s="39"/>
      <c r="F19481" s="39"/>
    </row>
    <row r="19482">
      <c r="D19482" s="39"/>
      <c r="E19482" s="39"/>
      <c r="F19482" s="39"/>
    </row>
    <row r="19483">
      <c r="D19483" s="39"/>
      <c r="E19483" s="39"/>
      <c r="F19483" s="39"/>
    </row>
    <row r="19484">
      <c r="D19484" s="39"/>
      <c r="E19484" s="39"/>
      <c r="F19484" s="39"/>
    </row>
    <row r="19485">
      <c r="D19485" s="39"/>
      <c r="E19485" s="39"/>
      <c r="F19485" s="39"/>
    </row>
    <row r="19486">
      <c r="D19486" s="39"/>
      <c r="E19486" s="39"/>
      <c r="F19486" s="39"/>
    </row>
    <row r="19487">
      <c r="D19487" s="39"/>
      <c r="E19487" s="39"/>
      <c r="F19487" s="39"/>
    </row>
    <row r="19488">
      <c r="D19488" s="39"/>
      <c r="E19488" s="39"/>
      <c r="F19488" s="39"/>
    </row>
    <row r="19489">
      <c r="D19489" s="39"/>
      <c r="E19489" s="39"/>
      <c r="F19489" s="39"/>
    </row>
    <row r="19490">
      <c r="D19490" s="39"/>
      <c r="E19490" s="39"/>
      <c r="F19490" s="39"/>
    </row>
    <row r="19491">
      <c r="D19491" s="39"/>
      <c r="E19491" s="39"/>
      <c r="F19491" s="39"/>
    </row>
    <row r="19492">
      <c r="D19492" s="39"/>
      <c r="E19492" s="39"/>
      <c r="F19492" s="39"/>
    </row>
    <row r="19493">
      <c r="D19493" s="39"/>
      <c r="E19493" s="39"/>
      <c r="F19493" s="39"/>
    </row>
    <row r="19494">
      <c r="D19494" s="39"/>
      <c r="E19494" s="39"/>
      <c r="F19494" s="39"/>
    </row>
    <row r="19495">
      <c r="D19495" s="39"/>
      <c r="E19495" s="39"/>
      <c r="F19495" s="39"/>
    </row>
    <row r="19496">
      <c r="D19496" s="39"/>
      <c r="E19496" s="39"/>
      <c r="F19496" s="39"/>
    </row>
    <row r="19497">
      <c r="D19497" s="39"/>
      <c r="E19497" s="39"/>
      <c r="F19497" s="39"/>
    </row>
    <row r="19498">
      <c r="D19498" s="39"/>
      <c r="E19498" s="39"/>
      <c r="F19498" s="39"/>
    </row>
    <row r="19499">
      <c r="D19499" s="39"/>
      <c r="E19499" s="39"/>
      <c r="F19499" s="39"/>
    </row>
    <row r="19500">
      <c r="D19500" s="39"/>
      <c r="E19500" s="39"/>
      <c r="F19500" s="39"/>
    </row>
    <row r="19501">
      <c r="D19501" s="39"/>
      <c r="E19501" s="39"/>
      <c r="F19501" s="39"/>
    </row>
    <row r="19502">
      <c r="D19502" s="39"/>
      <c r="E19502" s="39"/>
      <c r="F19502" s="39"/>
    </row>
    <row r="19503">
      <c r="D19503" s="39"/>
      <c r="E19503" s="39"/>
      <c r="F19503" s="39"/>
    </row>
    <row r="19504">
      <c r="D19504" s="39"/>
      <c r="E19504" s="39"/>
      <c r="F19504" s="39"/>
    </row>
    <row r="19505">
      <c r="D19505" s="39"/>
      <c r="E19505" s="39"/>
      <c r="F19505" s="39"/>
    </row>
    <row r="19506">
      <c r="D19506" s="39"/>
      <c r="E19506" s="39"/>
      <c r="F19506" s="39"/>
    </row>
    <row r="19507">
      <c r="D19507" s="39"/>
      <c r="E19507" s="39"/>
      <c r="F19507" s="39"/>
    </row>
    <row r="19508">
      <c r="D19508" s="39"/>
      <c r="E19508" s="39"/>
      <c r="F19508" s="39"/>
    </row>
    <row r="19509">
      <c r="D19509" s="39"/>
      <c r="E19509" s="39"/>
      <c r="F19509" s="39"/>
    </row>
    <row r="19510">
      <c r="D19510" s="39"/>
      <c r="E19510" s="39"/>
      <c r="F19510" s="39"/>
    </row>
    <row r="19511">
      <c r="D19511" s="39"/>
      <c r="E19511" s="39"/>
      <c r="F19511" s="39"/>
    </row>
    <row r="19512">
      <c r="D19512" s="39"/>
      <c r="E19512" s="39"/>
      <c r="F19512" s="39"/>
    </row>
    <row r="19513">
      <c r="D19513" s="39"/>
      <c r="E19513" s="39"/>
      <c r="F19513" s="39"/>
    </row>
    <row r="19514">
      <c r="D19514" s="39"/>
      <c r="E19514" s="39"/>
      <c r="F19514" s="39"/>
    </row>
    <row r="19515">
      <c r="D19515" s="39"/>
      <c r="E19515" s="39"/>
      <c r="F19515" s="39"/>
    </row>
    <row r="19516">
      <c r="D19516" s="39"/>
      <c r="E19516" s="39"/>
      <c r="F19516" s="39"/>
    </row>
    <row r="19517">
      <c r="D19517" s="39"/>
      <c r="E19517" s="39"/>
      <c r="F19517" s="39"/>
    </row>
    <row r="19518">
      <c r="D19518" s="39"/>
      <c r="E19518" s="39"/>
      <c r="F19518" s="39"/>
    </row>
    <row r="19519">
      <c r="D19519" s="39"/>
      <c r="E19519" s="39"/>
      <c r="F19519" s="39"/>
    </row>
    <row r="19520">
      <c r="D19520" s="39"/>
      <c r="E19520" s="39"/>
      <c r="F19520" s="39"/>
    </row>
    <row r="19521">
      <c r="D19521" s="39"/>
      <c r="E19521" s="39"/>
      <c r="F19521" s="39"/>
    </row>
    <row r="19522">
      <c r="D19522" s="39"/>
      <c r="E19522" s="39"/>
      <c r="F19522" s="39"/>
    </row>
    <row r="19523">
      <c r="D19523" s="39"/>
      <c r="E19523" s="39"/>
      <c r="F19523" s="39"/>
    </row>
    <row r="19524">
      <c r="D19524" s="39"/>
      <c r="E19524" s="39"/>
      <c r="F19524" s="39"/>
    </row>
    <row r="19525">
      <c r="D19525" s="39"/>
      <c r="E19525" s="39"/>
      <c r="F19525" s="39"/>
    </row>
    <row r="19526">
      <c r="D19526" s="39"/>
      <c r="E19526" s="39"/>
      <c r="F19526" s="39"/>
    </row>
    <row r="19527">
      <c r="D19527" s="39"/>
      <c r="E19527" s="39"/>
      <c r="F19527" s="39"/>
    </row>
    <row r="19528">
      <c r="D19528" s="39"/>
      <c r="E19528" s="39"/>
      <c r="F19528" s="39"/>
    </row>
    <row r="19529">
      <c r="D19529" s="39"/>
      <c r="E19529" s="39"/>
      <c r="F19529" s="39"/>
    </row>
    <row r="19530">
      <c r="D19530" s="39"/>
      <c r="E19530" s="39"/>
      <c r="F19530" s="39"/>
    </row>
    <row r="19531">
      <c r="D19531" s="39"/>
      <c r="E19531" s="39"/>
      <c r="F19531" s="39"/>
    </row>
    <row r="19532">
      <c r="D19532" s="39"/>
      <c r="E19532" s="39"/>
      <c r="F19532" s="39"/>
    </row>
    <row r="19533">
      <c r="D19533" s="39"/>
      <c r="E19533" s="39"/>
      <c r="F19533" s="39"/>
    </row>
    <row r="19534">
      <c r="D19534" s="39"/>
      <c r="E19534" s="39"/>
      <c r="F19534" s="39"/>
    </row>
    <row r="19535">
      <c r="D19535" s="39"/>
      <c r="E19535" s="39"/>
      <c r="F19535" s="39"/>
    </row>
    <row r="19536">
      <c r="D19536" s="39"/>
      <c r="E19536" s="39"/>
      <c r="F19536" s="39"/>
    </row>
    <row r="19537">
      <c r="D19537" s="39"/>
      <c r="E19537" s="39"/>
      <c r="F19537" s="39"/>
    </row>
    <row r="19538">
      <c r="D19538" s="39"/>
      <c r="E19538" s="39"/>
      <c r="F19538" s="39"/>
    </row>
    <row r="19539">
      <c r="D19539" s="39"/>
      <c r="E19539" s="39"/>
      <c r="F19539" s="39"/>
    </row>
    <row r="19540">
      <c r="D19540" s="39"/>
      <c r="E19540" s="39"/>
      <c r="F19540" s="39"/>
    </row>
    <row r="19541">
      <c r="D19541" s="39"/>
      <c r="E19541" s="39"/>
      <c r="F19541" s="39"/>
    </row>
    <row r="19542">
      <c r="D19542" s="39"/>
      <c r="E19542" s="39"/>
      <c r="F19542" s="39"/>
    </row>
    <row r="19543">
      <c r="D19543" s="39"/>
      <c r="E19543" s="39"/>
      <c r="F19543" s="39"/>
    </row>
    <row r="19544">
      <c r="D19544" s="39"/>
      <c r="E19544" s="39"/>
      <c r="F19544" s="39"/>
    </row>
    <row r="19545">
      <c r="D19545" s="39"/>
      <c r="E19545" s="39"/>
      <c r="F19545" s="39"/>
    </row>
    <row r="19546">
      <c r="D19546" s="39"/>
      <c r="E19546" s="39"/>
      <c r="F19546" s="39"/>
    </row>
    <row r="19547">
      <c r="D19547" s="39"/>
      <c r="E19547" s="39"/>
      <c r="F19547" s="39"/>
    </row>
    <row r="19548">
      <c r="D19548" s="39"/>
      <c r="E19548" s="39"/>
      <c r="F19548" s="39"/>
    </row>
    <row r="19549">
      <c r="D19549" s="39"/>
      <c r="E19549" s="39"/>
      <c r="F19549" s="39"/>
    </row>
    <row r="19550">
      <c r="D19550" s="39"/>
      <c r="E19550" s="39"/>
      <c r="F19550" s="39"/>
    </row>
    <row r="19551">
      <c r="D19551" s="39"/>
      <c r="E19551" s="39"/>
      <c r="F19551" s="39"/>
    </row>
    <row r="19552">
      <c r="D19552" s="39"/>
      <c r="E19552" s="39"/>
      <c r="F19552" s="39"/>
    </row>
    <row r="19553">
      <c r="D19553" s="39"/>
      <c r="E19553" s="39"/>
      <c r="F19553" s="39"/>
    </row>
    <row r="19554">
      <c r="D19554" s="39"/>
      <c r="E19554" s="39"/>
      <c r="F19554" s="39"/>
    </row>
    <row r="19555">
      <c r="D19555" s="39"/>
      <c r="E19555" s="39"/>
      <c r="F19555" s="39"/>
    </row>
    <row r="19556">
      <c r="D19556" s="39"/>
      <c r="E19556" s="39"/>
      <c r="F19556" s="39"/>
    </row>
    <row r="19557">
      <c r="D19557" s="39"/>
      <c r="E19557" s="39"/>
      <c r="F19557" s="39"/>
    </row>
    <row r="19558">
      <c r="D19558" s="39"/>
      <c r="E19558" s="39"/>
      <c r="F19558" s="39"/>
    </row>
    <row r="19559">
      <c r="D19559" s="39"/>
      <c r="E19559" s="39"/>
      <c r="F19559" s="39"/>
    </row>
    <row r="19560">
      <c r="D19560" s="39"/>
      <c r="E19560" s="39"/>
      <c r="F19560" s="39"/>
    </row>
    <row r="19561">
      <c r="D19561" s="39"/>
      <c r="E19561" s="39"/>
      <c r="F19561" s="39"/>
    </row>
    <row r="19562">
      <c r="D19562" s="39"/>
      <c r="E19562" s="39"/>
      <c r="F19562" s="39"/>
    </row>
    <row r="19563">
      <c r="D19563" s="39"/>
      <c r="E19563" s="39"/>
      <c r="F19563" s="39"/>
    </row>
    <row r="19564">
      <c r="D19564" s="39"/>
      <c r="E19564" s="39"/>
      <c r="F19564" s="39"/>
    </row>
    <row r="19565">
      <c r="D19565" s="39"/>
      <c r="E19565" s="39"/>
      <c r="F19565" s="39"/>
    </row>
    <row r="19566">
      <c r="D19566" s="39"/>
      <c r="E19566" s="39"/>
      <c r="F19566" s="39"/>
    </row>
    <row r="19567">
      <c r="D19567" s="39"/>
      <c r="E19567" s="39"/>
      <c r="F19567" s="39"/>
    </row>
    <row r="19568">
      <c r="D19568" s="39"/>
      <c r="E19568" s="39"/>
      <c r="F19568" s="39"/>
    </row>
    <row r="19569">
      <c r="D19569" s="39"/>
      <c r="E19569" s="39"/>
      <c r="F19569" s="39"/>
    </row>
    <row r="19570">
      <c r="D19570" s="39"/>
      <c r="E19570" s="39"/>
      <c r="F19570" s="39"/>
    </row>
    <row r="19571">
      <c r="D19571" s="39"/>
      <c r="E19571" s="39"/>
      <c r="F19571" s="39"/>
    </row>
    <row r="19572">
      <c r="D19572" s="39"/>
      <c r="E19572" s="39"/>
      <c r="F19572" s="39"/>
    </row>
    <row r="19573">
      <c r="D19573" s="39"/>
      <c r="E19573" s="39"/>
      <c r="F19573" s="39"/>
    </row>
    <row r="19574">
      <c r="D19574" s="39"/>
      <c r="E19574" s="39"/>
      <c r="F19574" s="39"/>
    </row>
    <row r="19575">
      <c r="D19575" s="39"/>
      <c r="E19575" s="39"/>
      <c r="F19575" s="39"/>
    </row>
    <row r="19576">
      <c r="D19576" s="39"/>
      <c r="E19576" s="39"/>
      <c r="F19576" s="39"/>
    </row>
    <row r="19577">
      <c r="D19577" s="39"/>
      <c r="E19577" s="39"/>
      <c r="F19577" s="39"/>
    </row>
    <row r="19578">
      <c r="D19578" s="39"/>
      <c r="E19578" s="39"/>
      <c r="F19578" s="39"/>
    </row>
    <row r="19579">
      <c r="D19579" s="39"/>
      <c r="E19579" s="39"/>
      <c r="F19579" s="39"/>
    </row>
    <row r="19580">
      <c r="D19580" s="39"/>
      <c r="E19580" s="39"/>
      <c r="F19580" s="39"/>
    </row>
    <row r="19581">
      <c r="D19581" s="39"/>
      <c r="E19581" s="39"/>
      <c r="F19581" s="39"/>
    </row>
    <row r="19582">
      <c r="D19582" s="39"/>
      <c r="E19582" s="39"/>
      <c r="F19582" s="39"/>
    </row>
    <row r="19583">
      <c r="D19583" s="39"/>
      <c r="E19583" s="39"/>
      <c r="F19583" s="39"/>
    </row>
    <row r="19584">
      <c r="D19584" s="39"/>
      <c r="E19584" s="39"/>
      <c r="F19584" s="39"/>
    </row>
    <row r="19585">
      <c r="D19585" s="39"/>
      <c r="E19585" s="39"/>
      <c r="F19585" s="39"/>
    </row>
    <row r="19586">
      <c r="D19586" s="39"/>
      <c r="E19586" s="39"/>
      <c r="F19586" s="39"/>
    </row>
    <row r="19587">
      <c r="D19587" s="39"/>
      <c r="E19587" s="39"/>
      <c r="F19587" s="39"/>
    </row>
    <row r="19588">
      <c r="D19588" s="39"/>
      <c r="E19588" s="39"/>
      <c r="F19588" s="39"/>
    </row>
    <row r="19589">
      <c r="D19589" s="39"/>
      <c r="E19589" s="39"/>
      <c r="F19589" s="39"/>
    </row>
    <row r="19590">
      <c r="D19590" s="39"/>
      <c r="E19590" s="39"/>
      <c r="F19590" s="39"/>
    </row>
    <row r="19591">
      <c r="D19591" s="39"/>
      <c r="E19591" s="39"/>
      <c r="F19591" s="39"/>
    </row>
    <row r="19592">
      <c r="D19592" s="39"/>
      <c r="E19592" s="39"/>
      <c r="F19592" s="39"/>
    </row>
    <row r="19593">
      <c r="D19593" s="39"/>
      <c r="E19593" s="39"/>
      <c r="F19593" s="39"/>
    </row>
    <row r="19594">
      <c r="D19594" s="39"/>
      <c r="E19594" s="39"/>
      <c r="F19594" s="39"/>
    </row>
    <row r="19595">
      <c r="D19595" s="39"/>
      <c r="E19595" s="39"/>
      <c r="F19595" s="39"/>
    </row>
    <row r="19596">
      <c r="D19596" s="39"/>
      <c r="E19596" s="39"/>
      <c r="F19596" s="39"/>
    </row>
    <row r="19597">
      <c r="D19597" s="39"/>
      <c r="E19597" s="39"/>
      <c r="F19597" s="39"/>
    </row>
    <row r="19598">
      <c r="D19598" s="39"/>
      <c r="E19598" s="39"/>
      <c r="F19598" s="39"/>
    </row>
    <row r="19599">
      <c r="D19599" s="39"/>
      <c r="E19599" s="39"/>
      <c r="F19599" s="39"/>
    </row>
    <row r="19600">
      <c r="D19600" s="39"/>
      <c r="E19600" s="39"/>
      <c r="F19600" s="39"/>
    </row>
    <row r="19601">
      <c r="D19601" s="39"/>
      <c r="E19601" s="39"/>
      <c r="F19601" s="39"/>
    </row>
    <row r="19602">
      <c r="D19602" s="39"/>
      <c r="E19602" s="39"/>
      <c r="F19602" s="39"/>
    </row>
    <row r="19603">
      <c r="D19603" s="39"/>
      <c r="E19603" s="39"/>
      <c r="F19603" s="39"/>
    </row>
    <row r="19604">
      <c r="D19604" s="39"/>
      <c r="E19604" s="39"/>
      <c r="F19604" s="39"/>
    </row>
    <row r="19605">
      <c r="D19605" s="39"/>
      <c r="E19605" s="39"/>
      <c r="F19605" s="39"/>
    </row>
    <row r="19606">
      <c r="D19606" s="39"/>
      <c r="E19606" s="39"/>
      <c r="F19606" s="39"/>
    </row>
    <row r="19607">
      <c r="D19607" s="39"/>
      <c r="E19607" s="39"/>
      <c r="F19607" s="39"/>
    </row>
    <row r="19608">
      <c r="D19608" s="39"/>
      <c r="E19608" s="39"/>
      <c r="F19608" s="39"/>
    </row>
    <row r="19609">
      <c r="D19609" s="39"/>
      <c r="E19609" s="39"/>
      <c r="F19609" s="39"/>
    </row>
    <row r="19610">
      <c r="D19610" s="39"/>
      <c r="E19610" s="39"/>
      <c r="F19610" s="39"/>
    </row>
    <row r="19611">
      <c r="D19611" s="39"/>
      <c r="E19611" s="39"/>
      <c r="F19611" s="39"/>
    </row>
    <row r="19612">
      <c r="D19612" s="39"/>
      <c r="E19612" s="39"/>
      <c r="F19612" s="39"/>
    </row>
    <row r="19613">
      <c r="D19613" s="39"/>
      <c r="E19613" s="39"/>
      <c r="F19613" s="39"/>
    </row>
    <row r="19614">
      <c r="D19614" s="39"/>
      <c r="E19614" s="39"/>
      <c r="F19614" s="39"/>
    </row>
    <row r="19615">
      <c r="D19615" s="39"/>
      <c r="E19615" s="39"/>
      <c r="F19615" s="39"/>
    </row>
    <row r="19616">
      <c r="D19616" s="39"/>
      <c r="E19616" s="39"/>
      <c r="F19616" s="39"/>
    </row>
    <row r="19617">
      <c r="D19617" s="39"/>
      <c r="E19617" s="39"/>
      <c r="F19617" s="39"/>
    </row>
    <row r="19618">
      <c r="D19618" s="39"/>
      <c r="E19618" s="39"/>
      <c r="F19618" s="39"/>
    </row>
    <row r="19619">
      <c r="D19619" s="39"/>
      <c r="E19619" s="39"/>
      <c r="F19619" s="39"/>
    </row>
    <row r="19620">
      <c r="D19620" s="39"/>
      <c r="E19620" s="39"/>
      <c r="F19620" s="39"/>
    </row>
    <row r="19621">
      <c r="D19621" s="39"/>
      <c r="E19621" s="39"/>
      <c r="F19621" s="39"/>
    </row>
    <row r="19622">
      <c r="D19622" s="39"/>
      <c r="E19622" s="39"/>
      <c r="F19622" s="39"/>
    </row>
    <row r="19623">
      <c r="D19623" s="39"/>
      <c r="E19623" s="39"/>
      <c r="F19623" s="39"/>
    </row>
    <row r="19624">
      <c r="D19624" s="39"/>
      <c r="E19624" s="39"/>
      <c r="F19624" s="39"/>
    </row>
    <row r="19625">
      <c r="D19625" s="39"/>
      <c r="E19625" s="39"/>
      <c r="F19625" s="39"/>
    </row>
    <row r="19626">
      <c r="D19626" s="39"/>
      <c r="E19626" s="39"/>
      <c r="F19626" s="39"/>
    </row>
    <row r="19627">
      <c r="D19627" s="39"/>
      <c r="E19627" s="39"/>
      <c r="F19627" s="39"/>
    </row>
    <row r="19628">
      <c r="D19628" s="39"/>
      <c r="E19628" s="39"/>
      <c r="F19628" s="39"/>
    </row>
    <row r="19629">
      <c r="D19629" s="39"/>
      <c r="E19629" s="39"/>
      <c r="F19629" s="39"/>
    </row>
    <row r="19630">
      <c r="D19630" s="39"/>
      <c r="E19630" s="39"/>
      <c r="F19630" s="39"/>
    </row>
    <row r="19631">
      <c r="D19631" s="39"/>
      <c r="E19631" s="39"/>
      <c r="F19631" s="39"/>
    </row>
    <row r="19632">
      <c r="D19632" s="39"/>
      <c r="E19632" s="39"/>
      <c r="F19632" s="39"/>
    </row>
    <row r="19633">
      <c r="D19633" s="39"/>
      <c r="E19633" s="39"/>
      <c r="F19633" s="39"/>
    </row>
    <row r="19634">
      <c r="D19634" s="39"/>
      <c r="E19634" s="39"/>
      <c r="F19634" s="39"/>
    </row>
    <row r="19635">
      <c r="D19635" s="39"/>
      <c r="E19635" s="39"/>
      <c r="F19635" s="39"/>
    </row>
    <row r="19636">
      <c r="D19636" s="39"/>
      <c r="E19636" s="39"/>
      <c r="F19636" s="39"/>
    </row>
    <row r="19637">
      <c r="D19637" s="39"/>
      <c r="E19637" s="39"/>
      <c r="F19637" s="39"/>
    </row>
    <row r="19638">
      <c r="D19638" s="39"/>
      <c r="E19638" s="39"/>
      <c r="F19638" s="39"/>
    </row>
    <row r="19639">
      <c r="D19639" s="39"/>
      <c r="E19639" s="39"/>
      <c r="F19639" s="39"/>
    </row>
    <row r="19640">
      <c r="D19640" s="39"/>
      <c r="E19640" s="39"/>
      <c r="F19640" s="39"/>
    </row>
    <row r="19641">
      <c r="D19641" s="39"/>
      <c r="E19641" s="39"/>
      <c r="F19641" s="39"/>
    </row>
    <row r="19642">
      <c r="D19642" s="39"/>
      <c r="E19642" s="39"/>
      <c r="F19642" s="39"/>
    </row>
    <row r="19643">
      <c r="D19643" s="39"/>
      <c r="E19643" s="39"/>
      <c r="F19643" s="39"/>
    </row>
    <row r="19644">
      <c r="D19644" s="39"/>
      <c r="E19644" s="39"/>
      <c r="F19644" s="39"/>
    </row>
    <row r="19645">
      <c r="D19645" s="39"/>
      <c r="E19645" s="39"/>
      <c r="F19645" s="39"/>
    </row>
    <row r="19646">
      <c r="D19646" s="39"/>
      <c r="E19646" s="39"/>
      <c r="F19646" s="39"/>
    </row>
    <row r="19647">
      <c r="D19647" s="39"/>
      <c r="E19647" s="39"/>
      <c r="F19647" s="39"/>
    </row>
    <row r="19648">
      <c r="D19648" s="39"/>
      <c r="E19648" s="39"/>
      <c r="F19648" s="39"/>
    </row>
    <row r="19649">
      <c r="D19649" s="39"/>
      <c r="E19649" s="39"/>
      <c r="F19649" s="39"/>
    </row>
    <row r="19650">
      <c r="D19650" s="39"/>
      <c r="E19650" s="39"/>
      <c r="F19650" s="39"/>
    </row>
    <row r="19651">
      <c r="D19651" s="39"/>
      <c r="E19651" s="39"/>
      <c r="F19651" s="39"/>
    </row>
    <row r="19652">
      <c r="D19652" s="39"/>
      <c r="E19652" s="39"/>
      <c r="F19652" s="39"/>
    </row>
    <row r="19653">
      <c r="D19653" s="39"/>
      <c r="E19653" s="39"/>
      <c r="F19653" s="39"/>
    </row>
    <row r="19654">
      <c r="D19654" s="39"/>
      <c r="E19654" s="39"/>
      <c r="F19654" s="39"/>
    </row>
    <row r="19655">
      <c r="D19655" s="39"/>
      <c r="E19655" s="39"/>
      <c r="F19655" s="39"/>
    </row>
    <row r="19656">
      <c r="D19656" s="39"/>
      <c r="E19656" s="39"/>
      <c r="F19656" s="39"/>
    </row>
    <row r="19657">
      <c r="D19657" s="39"/>
      <c r="E19657" s="39"/>
      <c r="F19657" s="39"/>
    </row>
    <row r="19658">
      <c r="D19658" s="39"/>
      <c r="E19658" s="39"/>
      <c r="F19658" s="39"/>
    </row>
    <row r="19659">
      <c r="D19659" s="39"/>
      <c r="E19659" s="39"/>
      <c r="F19659" s="39"/>
    </row>
    <row r="19660">
      <c r="D19660" s="39"/>
      <c r="E19660" s="39"/>
      <c r="F19660" s="39"/>
    </row>
    <row r="19661">
      <c r="D19661" s="39"/>
      <c r="E19661" s="39"/>
      <c r="F19661" s="39"/>
    </row>
    <row r="19662">
      <c r="D19662" s="39"/>
      <c r="E19662" s="39"/>
      <c r="F19662" s="39"/>
    </row>
    <row r="19663">
      <c r="D19663" s="39"/>
      <c r="E19663" s="39"/>
      <c r="F19663" s="39"/>
    </row>
    <row r="19664">
      <c r="D19664" s="39"/>
      <c r="E19664" s="39"/>
      <c r="F19664" s="39"/>
    </row>
    <row r="19665">
      <c r="D19665" s="39"/>
      <c r="E19665" s="39"/>
      <c r="F19665" s="39"/>
    </row>
    <row r="19666">
      <c r="D19666" s="39"/>
      <c r="E19666" s="39"/>
      <c r="F19666" s="39"/>
    </row>
    <row r="19667">
      <c r="D19667" s="39"/>
      <c r="E19667" s="39"/>
      <c r="F19667" s="39"/>
    </row>
    <row r="19668">
      <c r="D19668" s="39"/>
      <c r="E19668" s="39"/>
      <c r="F19668" s="39"/>
    </row>
    <row r="19669">
      <c r="D19669" s="39"/>
      <c r="E19669" s="39"/>
      <c r="F19669" s="39"/>
    </row>
    <row r="19670">
      <c r="D19670" s="39"/>
      <c r="E19670" s="39"/>
      <c r="F19670" s="39"/>
    </row>
    <row r="19671">
      <c r="D19671" s="39"/>
      <c r="E19671" s="39"/>
      <c r="F19671" s="39"/>
    </row>
    <row r="19672">
      <c r="D19672" s="39"/>
      <c r="E19672" s="39"/>
      <c r="F19672" s="39"/>
    </row>
    <row r="19673">
      <c r="D19673" s="39"/>
      <c r="E19673" s="39"/>
      <c r="F19673" s="39"/>
    </row>
    <row r="19674">
      <c r="D19674" s="39"/>
      <c r="E19674" s="39"/>
      <c r="F19674" s="39"/>
    </row>
    <row r="19675">
      <c r="D19675" s="39"/>
      <c r="E19675" s="39"/>
      <c r="F19675" s="39"/>
    </row>
    <row r="19676">
      <c r="D19676" s="39"/>
      <c r="E19676" s="39"/>
      <c r="F19676" s="39"/>
    </row>
    <row r="19677">
      <c r="D19677" s="39"/>
      <c r="E19677" s="39"/>
      <c r="F19677" s="39"/>
    </row>
    <row r="19678">
      <c r="D19678" s="39"/>
      <c r="E19678" s="39"/>
      <c r="F19678" s="39"/>
    </row>
    <row r="19679">
      <c r="D19679" s="39"/>
      <c r="E19679" s="39"/>
      <c r="F19679" s="39"/>
    </row>
    <row r="19680">
      <c r="D19680" s="39"/>
      <c r="E19680" s="39"/>
      <c r="F19680" s="39"/>
    </row>
    <row r="19681">
      <c r="D19681" s="39"/>
      <c r="E19681" s="39"/>
      <c r="F19681" s="39"/>
    </row>
    <row r="19682">
      <c r="D19682" s="39"/>
      <c r="E19682" s="39"/>
      <c r="F19682" s="39"/>
    </row>
    <row r="19683">
      <c r="D19683" s="39"/>
      <c r="E19683" s="39"/>
      <c r="F19683" s="39"/>
    </row>
    <row r="19684">
      <c r="D19684" s="39"/>
      <c r="E19684" s="39"/>
      <c r="F19684" s="39"/>
    </row>
    <row r="19685">
      <c r="D19685" s="39"/>
      <c r="E19685" s="39"/>
      <c r="F19685" s="39"/>
    </row>
    <row r="19686">
      <c r="D19686" s="39"/>
      <c r="E19686" s="39"/>
      <c r="F19686" s="39"/>
    </row>
    <row r="19687">
      <c r="D19687" s="39"/>
      <c r="E19687" s="39"/>
      <c r="F19687" s="39"/>
    </row>
    <row r="19688">
      <c r="D19688" s="39"/>
      <c r="E19688" s="39"/>
      <c r="F19688" s="39"/>
    </row>
    <row r="19689">
      <c r="D19689" s="39"/>
      <c r="E19689" s="39"/>
      <c r="F19689" s="39"/>
    </row>
    <row r="19690">
      <c r="D19690" s="39"/>
      <c r="E19690" s="39"/>
      <c r="F19690" s="39"/>
    </row>
    <row r="19691">
      <c r="D19691" s="39"/>
      <c r="E19691" s="39"/>
      <c r="F19691" s="39"/>
    </row>
    <row r="19692">
      <c r="D19692" s="39"/>
      <c r="E19692" s="39"/>
      <c r="F19692" s="39"/>
    </row>
    <row r="19693">
      <c r="D19693" s="39"/>
      <c r="E19693" s="39"/>
      <c r="F19693" s="39"/>
    </row>
    <row r="19694">
      <c r="D19694" s="39"/>
      <c r="E19694" s="39"/>
      <c r="F19694" s="39"/>
    </row>
    <row r="19695">
      <c r="D19695" s="39"/>
      <c r="E19695" s="39"/>
      <c r="F19695" s="39"/>
    </row>
    <row r="19696">
      <c r="D19696" s="39"/>
      <c r="E19696" s="39"/>
      <c r="F19696" s="39"/>
    </row>
    <row r="19697">
      <c r="D19697" s="39"/>
      <c r="E19697" s="39"/>
      <c r="F19697" s="39"/>
    </row>
    <row r="19698">
      <c r="D19698" s="39"/>
      <c r="E19698" s="39"/>
      <c r="F19698" s="39"/>
    </row>
    <row r="19699">
      <c r="D19699" s="39"/>
      <c r="E19699" s="39"/>
      <c r="F19699" s="39"/>
    </row>
    <row r="19700">
      <c r="D19700" s="39"/>
      <c r="E19700" s="39"/>
      <c r="F19700" s="39"/>
    </row>
    <row r="19701">
      <c r="D19701" s="39"/>
      <c r="E19701" s="39"/>
      <c r="F19701" s="39"/>
    </row>
    <row r="19702">
      <c r="D19702" s="39"/>
      <c r="E19702" s="39"/>
      <c r="F19702" s="39"/>
    </row>
    <row r="19703">
      <c r="D19703" s="39"/>
      <c r="E19703" s="39"/>
      <c r="F19703" s="39"/>
    </row>
    <row r="19704">
      <c r="D19704" s="39"/>
      <c r="E19704" s="39"/>
      <c r="F19704" s="39"/>
    </row>
    <row r="19705">
      <c r="D19705" s="39"/>
      <c r="E19705" s="39"/>
      <c r="F19705" s="39"/>
    </row>
    <row r="19706">
      <c r="D19706" s="39"/>
      <c r="E19706" s="39"/>
      <c r="F19706" s="39"/>
    </row>
    <row r="19707">
      <c r="D19707" s="39"/>
      <c r="E19707" s="39"/>
      <c r="F19707" s="39"/>
    </row>
    <row r="19708">
      <c r="D19708" s="39"/>
      <c r="E19708" s="39"/>
      <c r="F19708" s="39"/>
    </row>
    <row r="19709">
      <c r="D19709" s="39"/>
      <c r="E19709" s="39"/>
      <c r="F19709" s="39"/>
    </row>
    <row r="19710">
      <c r="D19710" s="39"/>
      <c r="E19710" s="39"/>
      <c r="F19710" s="39"/>
    </row>
    <row r="19711">
      <c r="D19711" s="39"/>
      <c r="E19711" s="39"/>
      <c r="F19711" s="39"/>
    </row>
    <row r="19712">
      <c r="D19712" s="39"/>
      <c r="E19712" s="39"/>
      <c r="F19712" s="39"/>
    </row>
    <row r="19713">
      <c r="D19713" s="39"/>
      <c r="E19713" s="39"/>
      <c r="F19713" s="39"/>
    </row>
    <row r="19714">
      <c r="D19714" s="39"/>
      <c r="E19714" s="39"/>
      <c r="F19714" s="39"/>
    </row>
    <row r="19715">
      <c r="D19715" s="39"/>
      <c r="E19715" s="39"/>
      <c r="F19715" s="39"/>
    </row>
    <row r="19716">
      <c r="D19716" s="39"/>
      <c r="E19716" s="39"/>
      <c r="F19716" s="39"/>
    </row>
    <row r="19717">
      <c r="D19717" s="39"/>
      <c r="E19717" s="39"/>
      <c r="F19717" s="39"/>
    </row>
    <row r="19718">
      <c r="D19718" s="39"/>
      <c r="E19718" s="39"/>
      <c r="F19718" s="39"/>
    </row>
    <row r="19719">
      <c r="D19719" s="39"/>
      <c r="E19719" s="39"/>
      <c r="F19719" s="39"/>
    </row>
    <row r="19720">
      <c r="D19720" s="39"/>
      <c r="E19720" s="39"/>
      <c r="F19720" s="39"/>
    </row>
    <row r="19721">
      <c r="D19721" s="39"/>
      <c r="E19721" s="39"/>
      <c r="F19721" s="39"/>
    </row>
    <row r="19722">
      <c r="D19722" s="39"/>
      <c r="E19722" s="39"/>
      <c r="F19722" s="39"/>
    </row>
    <row r="19723">
      <c r="D19723" s="39"/>
      <c r="E19723" s="39"/>
      <c r="F19723" s="39"/>
    </row>
    <row r="19724">
      <c r="D19724" s="39"/>
      <c r="E19724" s="39"/>
      <c r="F19724" s="39"/>
    </row>
    <row r="19725">
      <c r="D19725" s="39"/>
      <c r="E19725" s="39"/>
      <c r="F19725" s="39"/>
    </row>
    <row r="19726">
      <c r="D19726" s="39"/>
      <c r="E19726" s="39"/>
      <c r="F19726" s="39"/>
    </row>
    <row r="19727">
      <c r="D19727" s="39"/>
      <c r="E19727" s="39"/>
      <c r="F19727" s="39"/>
    </row>
    <row r="19728">
      <c r="D19728" s="39"/>
      <c r="E19728" s="39"/>
      <c r="F19728" s="39"/>
    </row>
    <row r="19729">
      <c r="D19729" s="39"/>
      <c r="E19729" s="39"/>
      <c r="F19729" s="39"/>
    </row>
    <row r="19730">
      <c r="D19730" s="39"/>
      <c r="E19730" s="39"/>
      <c r="F19730" s="39"/>
    </row>
    <row r="19731">
      <c r="D19731" s="39"/>
      <c r="E19731" s="39"/>
      <c r="F19731" s="39"/>
    </row>
    <row r="19732">
      <c r="D19732" s="39"/>
      <c r="E19732" s="39"/>
      <c r="F19732" s="39"/>
    </row>
    <row r="19733">
      <c r="D19733" s="39"/>
      <c r="E19733" s="39"/>
      <c r="F19733" s="39"/>
    </row>
    <row r="19734">
      <c r="D19734" s="39"/>
      <c r="E19734" s="39"/>
      <c r="F19734" s="39"/>
    </row>
    <row r="19735">
      <c r="D19735" s="39"/>
      <c r="E19735" s="39"/>
      <c r="F19735" s="39"/>
    </row>
    <row r="19736">
      <c r="D19736" s="39"/>
      <c r="E19736" s="39"/>
      <c r="F19736" s="39"/>
    </row>
    <row r="19737">
      <c r="D19737" s="39"/>
      <c r="E19737" s="39"/>
      <c r="F19737" s="39"/>
    </row>
    <row r="19738">
      <c r="D19738" s="39"/>
      <c r="E19738" s="39"/>
      <c r="F19738" s="39"/>
    </row>
    <row r="19739">
      <c r="D19739" s="39"/>
      <c r="E19739" s="39"/>
      <c r="F19739" s="39"/>
    </row>
    <row r="19740">
      <c r="D19740" s="39"/>
      <c r="E19740" s="39"/>
      <c r="F19740" s="39"/>
    </row>
    <row r="19741">
      <c r="D19741" s="39"/>
      <c r="E19741" s="39"/>
      <c r="F19741" s="39"/>
    </row>
    <row r="19742">
      <c r="D19742" s="39"/>
      <c r="E19742" s="39"/>
      <c r="F19742" s="39"/>
    </row>
    <row r="19743">
      <c r="D19743" s="39"/>
      <c r="E19743" s="39"/>
      <c r="F19743" s="39"/>
    </row>
    <row r="19744">
      <c r="D19744" s="39"/>
      <c r="E19744" s="39"/>
      <c r="F19744" s="39"/>
    </row>
    <row r="19745">
      <c r="D19745" s="39"/>
      <c r="E19745" s="39"/>
      <c r="F19745" s="39"/>
    </row>
    <row r="19746">
      <c r="D19746" s="39"/>
      <c r="E19746" s="39"/>
      <c r="F19746" s="39"/>
    </row>
    <row r="19747">
      <c r="D19747" s="39"/>
      <c r="E19747" s="39"/>
      <c r="F19747" s="39"/>
    </row>
    <row r="19748">
      <c r="D19748" s="39"/>
      <c r="E19748" s="39"/>
      <c r="F19748" s="39"/>
    </row>
    <row r="19749">
      <c r="D19749" s="39"/>
      <c r="E19749" s="39"/>
      <c r="F19749" s="39"/>
    </row>
    <row r="19750">
      <c r="D19750" s="39"/>
      <c r="E19750" s="39"/>
      <c r="F19750" s="39"/>
    </row>
    <row r="19751">
      <c r="D19751" s="39"/>
      <c r="E19751" s="39"/>
      <c r="F19751" s="39"/>
    </row>
    <row r="19752">
      <c r="D19752" s="39"/>
      <c r="E19752" s="39"/>
      <c r="F19752" s="39"/>
    </row>
    <row r="19753">
      <c r="D19753" s="39"/>
      <c r="E19753" s="39"/>
      <c r="F19753" s="39"/>
    </row>
    <row r="19754">
      <c r="D19754" s="39"/>
      <c r="E19754" s="39"/>
      <c r="F19754" s="39"/>
    </row>
    <row r="19755">
      <c r="D19755" s="39"/>
      <c r="E19755" s="39"/>
      <c r="F19755" s="39"/>
    </row>
    <row r="19756">
      <c r="D19756" s="39"/>
      <c r="E19756" s="39"/>
      <c r="F19756" s="39"/>
    </row>
    <row r="19757">
      <c r="D19757" s="39"/>
      <c r="E19757" s="39"/>
      <c r="F19757" s="39"/>
    </row>
    <row r="19758">
      <c r="D19758" s="39"/>
      <c r="E19758" s="39"/>
      <c r="F19758" s="39"/>
    </row>
    <row r="19759">
      <c r="D19759" s="39"/>
      <c r="E19759" s="39"/>
      <c r="F19759" s="39"/>
    </row>
    <row r="19760">
      <c r="D19760" s="39"/>
      <c r="E19760" s="39"/>
      <c r="F19760" s="39"/>
    </row>
    <row r="19761">
      <c r="D19761" s="39"/>
      <c r="E19761" s="39"/>
      <c r="F19761" s="39"/>
    </row>
    <row r="19762">
      <c r="D19762" s="39"/>
      <c r="E19762" s="39"/>
      <c r="F19762" s="39"/>
    </row>
    <row r="19763">
      <c r="D19763" s="39"/>
      <c r="E19763" s="39"/>
      <c r="F19763" s="39"/>
    </row>
    <row r="19764">
      <c r="D19764" s="39"/>
      <c r="E19764" s="39"/>
      <c r="F19764" s="39"/>
    </row>
    <row r="19765">
      <c r="D19765" s="39"/>
      <c r="E19765" s="39"/>
      <c r="F19765" s="39"/>
    </row>
    <row r="19766">
      <c r="D19766" s="39"/>
      <c r="E19766" s="39"/>
      <c r="F19766" s="39"/>
    </row>
    <row r="19767">
      <c r="D19767" s="39"/>
      <c r="E19767" s="39"/>
      <c r="F19767" s="39"/>
    </row>
    <row r="19768">
      <c r="D19768" s="39"/>
      <c r="E19768" s="39"/>
      <c r="F19768" s="39"/>
    </row>
    <row r="19769">
      <c r="D19769" s="39"/>
      <c r="E19769" s="39"/>
      <c r="F19769" s="39"/>
    </row>
    <row r="19770">
      <c r="D19770" s="39"/>
      <c r="E19770" s="39"/>
      <c r="F19770" s="39"/>
    </row>
    <row r="19771">
      <c r="D19771" s="39"/>
      <c r="E19771" s="39"/>
      <c r="F19771" s="39"/>
    </row>
    <row r="19772">
      <c r="D19772" s="39"/>
      <c r="E19772" s="39"/>
      <c r="F19772" s="39"/>
    </row>
    <row r="19773">
      <c r="D19773" s="39"/>
      <c r="E19773" s="39"/>
      <c r="F19773" s="39"/>
    </row>
    <row r="19774">
      <c r="D19774" s="39"/>
      <c r="E19774" s="39"/>
      <c r="F19774" s="39"/>
    </row>
    <row r="19775">
      <c r="D19775" s="39"/>
      <c r="E19775" s="39"/>
      <c r="F19775" s="39"/>
    </row>
    <row r="19776">
      <c r="D19776" s="39"/>
      <c r="E19776" s="39"/>
      <c r="F19776" s="39"/>
    </row>
    <row r="19777">
      <c r="D19777" s="39"/>
      <c r="E19777" s="39"/>
      <c r="F19777" s="39"/>
    </row>
    <row r="19778">
      <c r="D19778" s="39"/>
      <c r="E19778" s="39"/>
      <c r="F19778" s="39"/>
    </row>
    <row r="19779">
      <c r="D19779" s="39"/>
      <c r="E19779" s="39"/>
      <c r="F19779" s="39"/>
    </row>
    <row r="19780">
      <c r="D19780" s="39"/>
      <c r="E19780" s="39"/>
      <c r="F19780" s="39"/>
    </row>
    <row r="19781">
      <c r="D19781" s="39"/>
      <c r="E19781" s="39"/>
      <c r="F19781" s="39"/>
    </row>
    <row r="19782">
      <c r="D19782" s="39"/>
      <c r="E19782" s="39"/>
      <c r="F19782" s="39"/>
    </row>
    <row r="19783">
      <c r="D19783" s="39"/>
      <c r="E19783" s="39"/>
      <c r="F19783" s="39"/>
    </row>
    <row r="19784">
      <c r="D19784" s="39"/>
      <c r="E19784" s="39"/>
      <c r="F19784" s="39"/>
    </row>
    <row r="19785">
      <c r="D19785" s="39"/>
      <c r="E19785" s="39"/>
      <c r="F19785" s="39"/>
    </row>
    <row r="19786">
      <c r="D19786" s="39"/>
      <c r="E19786" s="39"/>
      <c r="F19786" s="39"/>
    </row>
    <row r="19787">
      <c r="D19787" s="39"/>
      <c r="E19787" s="39"/>
      <c r="F19787" s="39"/>
    </row>
    <row r="19788">
      <c r="D19788" s="39"/>
      <c r="E19788" s="39"/>
      <c r="F19788" s="39"/>
    </row>
    <row r="19789">
      <c r="D19789" s="39"/>
      <c r="E19789" s="39"/>
      <c r="F19789" s="39"/>
    </row>
    <row r="19790">
      <c r="D19790" s="39"/>
      <c r="E19790" s="39"/>
      <c r="F19790" s="39"/>
    </row>
    <row r="19791">
      <c r="D19791" s="39"/>
      <c r="E19791" s="39"/>
      <c r="F19791" s="39"/>
    </row>
    <row r="19792">
      <c r="D19792" s="39"/>
      <c r="E19792" s="39"/>
      <c r="F19792" s="39"/>
    </row>
    <row r="19793">
      <c r="D19793" s="39"/>
      <c r="E19793" s="39"/>
      <c r="F19793" s="39"/>
    </row>
    <row r="19794">
      <c r="D19794" s="39"/>
      <c r="E19794" s="39"/>
      <c r="F19794" s="39"/>
    </row>
    <row r="19795">
      <c r="D19795" s="39"/>
      <c r="E19795" s="39"/>
      <c r="F19795" s="39"/>
    </row>
    <row r="19796">
      <c r="D19796" s="39"/>
      <c r="E19796" s="39"/>
      <c r="F19796" s="39"/>
    </row>
    <row r="19797">
      <c r="D19797" s="39"/>
      <c r="E19797" s="39"/>
      <c r="F19797" s="39"/>
    </row>
    <row r="19798">
      <c r="D19798" s="39"/>
      <c r="E19798" s="39"/>
      <c r="F19798" s="39"/>
    </row>
    <row r="19799">
      <c r="D19799" s="39"/>
      <c r="E19799" s="39"/>
      <c r="F19799" s="39"/>
    </row>
    <row r="19800">
      <c r="D19800" s="39"/>
      <c r="E19800" s="39"/>
      <c r="F19800" s="39"/>
    </row>
    <row r="19801">
      <c r="D19801" s="39"/>
      <c r="E19801" s="39"/>
      <c r="F19801" s="39"/>
    </row>
    <row r="19802">
      <c r="D19802" s="39"/>
      <c r="E19802" s="39"/>
      <c r="F19802" s="39"/>
    </row>
    <row r="19803">
      <c r="D19803" s="39"/>
      <c r="E19803" s="39"/>
      <c r="F19803" s="39"/>
    </row>
    <row r="19804">
      <c r="D19804" s="39"/>
      <c r="E19804" s="39"/>
      <c r="F19804" s="39"/>
    </row>
    <row r="19805">
      <c r="D19805" s="39"/>
      <c r="E19805" s="39"/>
      <c r="F19805" s="39"/>
    </row>
    <row r="19806">
      <c r="D19806" s="39"/>
      <c r="E19806" s="39"/>
      <c r="F19806" s="39"/>
    </row>
    <row r="19807">
      <c r="D19807" s="39"/>
      <c r="E19807" s="39"/>
      <c r="F19807" s="39"/>
    </row>
    <row r="19808">
      <c r="D19808" s="39"/>
      <c r="E19808" s="39"/>
      <c r="F19808" s="39"/>
    </row>
    <row r="19809">
      <c r="D19809" s="39"/>
      <c r="E19809" s="39"/>
      <c r="F19809" s="39"/>
    </row>
    <row r="19810">
      <c r="D19810" s="39"/>
      <c r="E19810" s="39"/>
      <c r="F19810" s="39"/>
    </row>
    <row r="19811">
      <c r="D19811" s="39"/>
      <c r="E19811" s="39"/>
      <c r="F19811" s="39"/>
    </row>
    <row r="19812">
      <c r="D19812" s="39"/>
      <c r="E19812" s="39"/>
      <c r="F19812" s="39"/>
    </row>
    <row r="19813">
      <c r="D19813" s="39"/>
      <c r="E19813" s="39"/>
      <c r="F19813" s="39"/>
    </row>
    <row r="19814">
      <c r="D19814" s="39"/>
      <c r="E19814" s="39"/>
      <c r="F19814" s="39"/>
    </row>
    <row r="19815">
      <c r="D19815" s="39"/>
      <c r="E19815" s="39"/>
      <c r="F19815" s="39"/>
    </row>
    <row r="19816">
      <c r="D19816" s="39"/>
      <c r="E19816" s="39"/>
      <c r="F19816" s="39"/>
    </row>
    <row r="19817">
      <c r="D19817" s="39"/>
      <c r="E19817" s="39"/>
      <c r="F19817" s="39"/>
    </row>
    <row r="19818">
      <c r="D19818" s="39"/>
      <c r="E19818" s="39"/>
      <c r="F19818" s="39"/>
    </row>
    <row r="19819">
      <c r="D19819" s="39"/>
      <c r="E19819" s="39"/>
      <c r="F19819" s="39"/>
    </row>
    <row r="19820">
      <c r="D19820" s="39"/>
      <c r="E19820" s="39"/>
      <c r="F19820" s="39"/>
    </row>
    <row r="19821">
      <c r="D19821" s="39"/>
      <c r="E19821" s="39"/>
      <c r="F19821" s="39"/>
    </row>
    <row r="19822">
      <c r="D19822" s="39"/>
      <c r="E19822" s="39"/>
      <c r="F19822" s="39"/>
    </row>
    <row r="19823">
      <c r="D19823" s="39"/>
      <c r="E19823" s="39"/>
      <c r="F19823" s="39"/>
    </row>
    <row r="19824">
      <c r="D19824" s="39"/>
      <c r="E19824" s="39"/>
      <c r="F19824" s="39"/>
    </row>
    <row r="19825">
      <c r="D19825" s="39"/>
      <c r="E19825" s="39"/>
      <c r="F19825" s="39"/>
    </row>
    <row r="19826">
      <c r="D19826" s="39"/>
      <c r="E19826" s="39"/>
      <c r="F19826" s="39"/>
    </row>
    <row r="19827">
      <c r="D19827" s="39"/>
      <c r="E19827" s="39"/>
      <c r="F19827" s="39"/>
    </row>
    <row r="19828">
      <c r="D19828" s="39"/>
      <c r="E19828" s="39"/>
      <c r="F19828" s="39"/>
    </row>
    <row r="19829">
      <c r="D19829" s="39"/>
      <c r="E19829" s="39"/>
      <c r="F19829" s="39"/>
    </row>
    <row r="19830">
      <c r="D19830" s="39"/>
      <c r="E19830" s="39"/>
      <c r="F19830" s="39"/>
    </row>
    <row r="19831">
      <c r="D19831" s="39"/>
      <c r="E19831" s="39"/>
      <c r="F19831" s="39"/>
    </row>
    <row r="19832">
      <c r="D19832" s="39"/>
      <c r="E19832" s="39"/>
      <c r="F19832" s="39"/>
    </row>
    <row r="19833">
      <c r="D19833" s="39"/>
      <c r="E19833" s="39"/>
      <c r="F19833" s="39"/>
    </row>
    <row r="19834">
      <c r="D19834" s="39"/>
      <c r="E19834" s="39"/>
      <c r="F19834" s="39"/>
    </row>
    <row r="19835">
      <c r="D19835" s="39"/>
      <c r="E19835" s="39"/>
      <c r="F19835" s="39"/>
    </row>
    <row r="19836">
      <c r="D19836" s="39"/>
      <c r="E19836" s="39"/>
      <c r="F19836" s="39"/>
    </row>
    <row r="19837">
      <c r="D19837" s="39"/>
      <c r="E19837" s="39"/>
      <c r="F19837" s="39"/>
    </row>
    <row r="19838">
      <c r="D19838" s="39"/>
      <c r="E19838" s="39"/>
      <c r="F19838" s="39"/>
    </row>
    <row r="19839">
      <c r="D19839" s="39"/>
      <c r="E19839" s="39"/>
      <c r="F19839" s="39"/>
    </row>
    <row r="19840">
      <c r="D19840" s="39"/>
      <c r="E19840" s="39"/>
      <c r="F19840" s="39"/>
    </row>
    <row r="19841">
      <c r="D19841" s="39"/>
      <c r="E19841" s="39"/>
      <c r="F19841" s="39"/>
    </row>
    <row r="19842">
      <c r="D19842" s="39"/>
      <c r="E19842" s="39"/>
      <c r="F19842" s="39"/>
    </row>
    <row r="19843">
      <c r="D19843" s="39"/>
      <c r="E19843" s="39"/>
      <c r="F19843" s="39"/>
    </row>
    <row r="19844">
      <c r="D19844" s="39"/>
      <c r="E19844" s="39"/>
      <c r="F19844" s="39"/>
    </row>
    <row r="19845">
      <c r="D19845" s="39"/>
      <c r="E19845" s="39"/>
      <c r="F19845" s="39"/>
    </row>
    <row r="19846">
      <c r="D19846" s="39"/>
      <c r="E19846" s="39"/>
      <c r="F19846" s="39"/>
    </row>
    <row r="19847">
      <c r="D19847" s="39"/>
      <c r="E19847" s="39"/>
      <c r="F19847" s="39"/>
    </row>
    <row r="19848">
      <c r="D19848" s="39"/>
      <c r="E19848" s="39"/>
      <c r="F19848" s="39"/>
    </row>
    <row r="19849">
      <c r="D19849" s="39"/>
      <c r="E19849" s="39"/>
      <c r="F19849" s="39"/>
    </row>
    <row r="19850">
      <c r="D19850" s="39"/>
      <c r="E19850" s="39"/>
      <c r="F19850" s="39"/>
    </row>
    <row r="19851">
      <c r="D19851" s="39"/>
      <c r="E19851" s="39"/>
      <c r="F19851" s="39"/>
    </row>
    <row r="19852">
      <c r="D19852" s="39"/>
      <c r="E19852" s="39"/>
      <c r="F19852" s="39"/>
    </row>
    <row r="19853">
      <c r="D19853" s="39"/>
      <c r="E19853" s="39"/>
      <c r="F19853" s="39"/>
    </row>
    <row r="19854">
      <c r="D19854" s="39"/>
      <c r="E19854" s="39"/>
      <c r="F19854" s="39"/>
    </row>
    <row r="19855">
      <c r="D19855" s="39"/>
      <c r="E19855" s="39"/>
      <c r="F19855" s="39"/>
    </row>
    <row r="19856">
      <c r="D19856" s="39"/>
      <c r="E19856" s="39"/>
      <c r="F19856" s="39"/>
    </row>
    <row r="19857">
      <c r="D19857" s="39"/>
      <c r="E19857" s="39"/>
      <c r="F19857" s="39"/>
    </row>
    <row r="19858">
      <c r="D19858" s="39"/>
      <c r="E19858" s="39"/>
      <c r="F19858" s="39"/>
    </row>
    <row r="19859">
      <c r="D19859" s="39"/>
      <c r="E19859" s="39"/>
      <c r="F19859" s="39"/>
    </row>
    <row r="19860">
      <c r="D19860" s="39"/>
      <c r="E19860" s="39"/>
      <c r="F19860" s="39"/>
    </row>
    <row r="19861">
      <c r="D19861" s="39"/>
      <c r="E19861" s="39"/>
      <c r="F19861" s="39"/>
    </row>
    <row r="19862">
      <c r="D19862" s="39"/>
      <c r="E19862" s="39"/>
      <c r="F19862" s="39"/>
    </row>
    <row r="19863">
      <c r="D19863" s="39"/>
      <c r="E19863" s="39"/>
      <c r="F19863" s="39"/>
    </row>
    <row r="19864">
      <c r="D19864" s="39"/>
      <c r="E19864" s="39"/>
      <c r="F19864" s="39"/>
    </row>
    <row r="19865">
      <c r="D19865" s="39"/>
      <c r="E19865" s="39"/>
      <c r="F19865" s="39"/>
    </row>
    <row r="19866">
      <c r="D19866" s="39"/>
      <c r="E19866" s="39"/>
      <c r="F19866" s="39"/>
    </row>
    <row r="19867">
      <c r="D19867" s="39"/>
      <c r="E19867" s="39"/>
      <c r="F19867" s="39"/>
    </row>
    <row r="19868">
      <c r="D19868" s="39"/>
      <c r="E19868" s="39"/>
      <c r="F19868" s="39"/>
    </row>
    <row r="19869">
      <c r="D19869" s="39"/>
      <c r="E19869" s="39"/>
      <c r="F19869" s="39"/>
    </row>
    <row r="19870">
      <c r="D19870" s="39"/>
      <c r="E19870" s="39"/>
      <c r="F19870" s="39"/>
    </row>
    <row r="19871">
      <c r="D19871" s="39"/>
      <c r="E19871" s="39"/>
      <c r="F19871" s="39"/>
    </row>
    <row r="19872">
      <c r="D19872" s="39"/>
      <c r="E19872" s="39"/>
      <c r="F19872" s="39"/>
    </row>
    <row r="19873">
      <c r="D19873" s="39"/>
      <c r="E19873" s="39"/>
      <c r="F19873" s="39"/>
    </row>
    <row r="19874">
      <c r="D19874" s="39"/>
      <c r="E19874" s="39"/>
      <c r="F19874" s="39"/>
    </row>
    <row r="19875">
      <c r="D19875" s="39"/>
      <c r="E19875" s="39"/>
      <c r="F19875" s="39"/>
    </row>
    <row r="19876">
      <c r="D19876" s="39"/>
      <c r="E19876" s="39"/>
      <c r="F19876" s="39"/>
    </row>
    <row r="19877">
      <c r="D19877" s="39"/>
      <c r="E19877" s="39"/>
      <c r="F19877" s="39"/>
    </row>
    <row r="19878">
      <c r="D19878" s="39"/>
      <c r="E19878" s="39"/>
      <c r="F19878" s="39"/>
    </row>
    <row r="19879">
      <c r="D19879" s="39"/>
      <c r="E19879" s="39"/>
      <c r="F19879" s="39"/>
    </row>
    <row r="19880">
      <c r="D19880" s="39"/>
      <c r="E19880" s="39"/>
      <c r="F19880" s="39"/>
    </row>
    <row r="19881">
      <c r="D19881" s="39"/>
      <c r="E19881" s="39"/>
      <c r="F19881" s="39"/>
    </row>
    <row r="19882">
      <c r="D19882" s="39"/>
      <c r="E19882" s="39"/>
      <c r="F19882" s="39"/>
    </row>
    <row r="19883">
      <c r="D19883" s="39"/>
      <c r="E19883" s="39"/>
      <c r="F19883" s="39"/>
    </row>
    <row r="19884">
      <c r="D19884" s="39"/>
      <c r="E19884" s="39"/>
      <c r="F19884" s="39"/>
    </row>
    <row r="19885">
      <c r="D19885" s="39"/>
      <c r="E19885" s="39"/>
      <c r="F19885" s="39"/>
    </row>
    <row r="19886">
      <c r="D19886" s="39"/>
      <c r="E19886" s="39"/>
      <c r="F19886" s="39"/>
    </row>
    <row r="19887">
      <c r="D19887" s="39"/>
      <c r="E19887" s="39"/>
      <c r="F19887" s="39"/>
    </row>
    <row r="19888">
      <c r="D19888" s="39"/>
      <c r="E19888" s="39"/>
      <c r="F19888" s="39"/>
    </row>
    <row r="19889">
      <c r="D19889" s="39"/>
      <c r="E19889" s="39"/>
      <c r="F19889" s="39"/>
    </row>
    <row r="19890">
      <c r="D19890" s="39"/>
      <c r="E19890" s="39"/>
      <c r="F19890" s="39"/>
    </row>
    <row r="19891">
      <c r="D19891" s="39"/>
      <c r="E19891" s="39"/>
      <c r="F19891" s="39"/>
    </row>
    <row r="19892">
      <c r="D19892" s="39"/>
      <c r="E19892" s="39"/>
      <c r="F19892" s="39"/>
    </row>
    <row r="19893">
      <c r="D19893" s="39"/>
      <c r="E19893" s="39"/>
      <c r="F19893" s="39"/>
    </row>
    <row r="19894">
      <c r="D19894" s="39"/>
      <c r="E19894" s="39"/>
      <c r="F19894" s="39"/>
    </row>
    <row r="19895">
      <c r="D19895" s="39"/>
      <c r="E19895" s="39"/>
      <c r="F19895" s="39"/>
    </row>
    <row r="19896">
      <c r="D19896" s="39"/>
      <c r="E19896" s="39"/>
      <c r="F19896" s="39"/>
    </row>
    <row r="19897">
      <c r="D19897" s="39"/>
      <c r="E19897" s="39"/>
      <c r="F19897" s="39"/>
    </row>
    <row r="19898">
      <c r="D19898" s="39"/>
      <c r="E19898" s="39"/>
      <c r="F19898" s="39"/>
    </row>
    <row r="19899">
      <c r="D19899" s="39"/>
      <c r="E19899" s="39"/>
      <c r="F19899" s="39"/>
    </row>
    <row r="19900">
      <c r="D19900" s="39"/>
      <c r="E19900" s="39"/>
      <c r="F19900" s="39"/>
    </row>
    <row r="19901">
      <c r="D19901" s="39"/>
      <c r="E19901" s="39"/>
      <c r="F19901" s="39"/>
    </row>
    <row r="19902">
      <c r="D19902" s="39"/>
      <c r="E19902" s="39"/>
      <c r="F19902" s="39"/>
    </row>
    <row r="19903">
      <c r="D19903" s="39"/>
      <c r="E19903" s="39"/>
      <c r="F19903" s="39"/>
    </row>
    <row r="19904">
      <c r="D19904" s="39"/>
      <c r="E19904" s="39"/>
      <c r="F19904" s="39"/>
    </row>
    <row r="19905">
      <c r="D19905" s="39"/>
      <c r="E19905" s="39"/>
      <c r="F19905" s="39"/>
    </row>
    <row r="19906">
      <c r="D19906" s="39"/>
      <c r="E19906" s="39"/>
      <c r="F19906" s="39"/>
    </row>
    <row r="19907">
      <c r="D19907" s="39"/>
      <c r="E19907" s="39"/>
      <c r="F19907" s="39"/>
    </row>
    <row r="19908">
      <c r="D19908" s="39"/>
      <c r="E19908" s="39"/>
      <c r="F19908" s="39"/>
    </row>
    <row r="19909">
      <c r="D19909" s="39"/>
      <c r="E19909" s="39"/>
      <c r="F19909" s="39"/>
    </row>
    <row r="19910">
      <c r="D19910" s="39"/>
      <c r="E19910" s="39"/>
      <c r="F19910" s="39"/>
    </row>
    <row r="19911">
      <c r="D19911" s="39"/>
      <c r="E19911" s="39"/>
      <c r="F19911" s="39"/>
    </row>
    <row r="19912">
      <c r="D19912" s="39"/>
      <c r="E19912" s="39"/>
      <c r="F19912" s="39"/>
    </row>
    <row r="19913">
      <c r="D19913" s="39"/>
      <c r="E19913" s="39"/>
      <c r="F19913" s="39"/>
    </row>
    <row r="19914">
      <c r="D19914" s="39"/>
      <c r="E19914" s="39"/>
      <c r="F19914" s="39"/>
    </row>
    <row r="19915">
      <c r="D19915" s="39"/>
      <c r="E19915" s="39"/>
      <c r="F19915" s="39"/>
    </row>
    <row r="19916">
      <c r="D19916" s="39"/>
      <c r="E19916" s="39"/>
      <c r="F19916" s="39"/>
    </row>
    <row r="19917">
      <c r="D19917" s="39"/>
      <c r="E19917" s="39"/>
      <c r="F19917" s="39"/>
    </row>
    <row r="19918">
      <c r="D19918" s="39"/>
      <c r="E19918" s="39"/>
      <c r="F19918" s="39"/>
    </row>
    <row r="19919">
      <c r="D19919" s="39"/>
      <c r="E19919" s="39"/>
      <c r="F19919" s="39"/>
    </row>
    <row r="19920">
      <c r="D19920" s="39"/>
      <c r="E19920" s="39"/>
      <c r="F19920" s="39"/>
    </row>
    <row r="19921">
      <c r="D19921" s="39"/>
      <c r="E19921" s="39"/>
      <c r="F19921" s="39"/>
    </row>
    <row r="19922">
      <c r="D19922" s="39"/>
      <c r="E19922" s="39"/>
      <c r="F19922" s="39"/>
    </row>
    <row r="19923">
      <c r="D19923" s="39"/>
      <c r="E19923" s="39"/>
      <c r="F19923" s="39"/>
    </row>
    <row r="19924">
      <c r="D19924" s="39"/>
      <c r="E19924" s="39"/>
      <c r="F19924" s="39"/>
    </row>
    <row r="19925">
      <c r="D19925" s="39"/>
      <c r="E19925" s="39"/>
      <c r="F19925" s="39"/>
    </row>
    <row r="19926">
      <c r="D19926" s="39"/>
      <c r="E19926" s="39"/>
      <c r="F19926" s="39"/>
    </row>
    <row r="19927">
      <c r="D19927" s="39"/>
      <c r="E19927" s="39"/>
      <c r="F19927" s="39"/>
    </row>
    <row r="19928">
      <c r="D19928" s="39"/>
      <c r="E19928" s="39"/>
      <c r="F19928" s="39"/>
    </row>
    <row r="19929">
      <c r="D19929" s="39"/>
      <c r="E19929" s="39"/>
      <c r="F19929" s="39"/>
    </row>
    <row r="19930">
      <c r="D19930" s="39"/>
      <c r="E19930" s="39"/>
      <c r="F19930" s="39"/>
    </row>
    <row r="19931">
      <c r="D19931" s="39"/>
      <c r="E19931" s="39"/>
      <c r="F19931" s="39"/>
    </row>
    <row r="19932">
      <c r="D19932" s="39"/>
      <c r="E19932" s="39"/>
      <c r="F19932" s="39"/>
    </row>
    <row r="19933">
      <c r="D19933" s="39"/>
      <c r="E19933" s="39"/>
      <c r="F19933" s="39"/>
    </row>
    <row r="19934">
      <c r="D19934" s="39"/>
      <c r="E19934" s="39"/>
      <c r="F19934" s="39"/>
    </row>
    <row r="19935">
      <c r="D19935" s="39"/>
      <c r="E19935" s="39"/>
      <c r="F19935" s="39"/>
    </row>
    <row r="19936">
      <c r="D19936" s="39"/>
      <c r="E19936" s="39"/>
      <c r="F19936" s="39"/>
    </row>
    <row r="19937">
      <c r="D19937" s="39"/>
      <c r="E19937" s="39"/>
      <c r="F19937" s="39"/>
    </row>
    <row r="19938">
      <c r="D19938" s="39"/>
      <c r="E19938" s="39"/>
      <c r="F19938" s="39"/>
    </row>
    <row r="19939">
      <c r="D19939" s="39"/>
      <c r="E19939" s="39"/>
      <c r="F19939" s="39"/>
    </row>
    <row r="19940">
      <c r="D19940" s="39"/>
      <c r="E19940" s="39"/>
      <c r="F19940" s="39"/>
    </row>
    <row r="19941">
      <c r="D19941" s="39"/>
      <c r="E19941" s="39"/>
      <c r="F19941" s="39"/>
    </row>
    <row r="19942">
      <c r="D19942" s="39"/>
      <c r="E19942" s="39"/>
      <c r="F19942" s="39"/>
    </row>
    <row r="19943">
      <c r="D19943" s="39"/>
      <c r="E19943" s="39"/>
      <c r="F19943" s="39"/>
    </row>
    <row r="19944">
      <c r="D19944" s="39"/>
      <c r="E19944" s="39"/>
      <c r="F19944" s="39"/>
    </row>
    <row r="19945">
      <c r="D19945" s="39"/>
      <c r="E19945" s="39"/>
      <c r="F19945" s="39"/>
    </row>
    <row r="19946">
      <c r="D19946" s="39"/>
      <c r="E19946" s="39"/>
      <c r="F19946" s="39"/>
    </row>
    <row r="19947">
      <c r="D19947" s="39"/>
      <c r="E19947" s="39"/>
      <c r="F19947" s="39"/>
    </row>
    <row r="19948">
      <c r="D19948" s="39"/>
      <c r="E19948" s="39"/>
      <c r="F19948" s="39"/>
    </row>
    <row r="19949">
      <c r="D19949" s="39"/>
      <c r="E19949" s="39"/>
      <c r="F19949" s="39"/>
    </row>
    <row r="19950">
      <c r="D19950" s="39"/>
      <c r="E19950" s="39"/>
      <c r="F19950" s="39"/>
    </row>
    <row r="19951">
      <c r="D19951" s="39"/>
      <c r="E19951" s="39"/>
      <c r="F19951" s="39"/>
    </row>
    <row r="19952">
      <c r="D19952" s="39"/>
      <c r="E19952" s="39"/>
      <c r="F19952" s="39"/>
    </row>
    <row r="19953">
      <c r="D19953" s="39"/>
      <c r="E19953" s="39"/>
      <c r="F19953" s="39"/>
    </row>
    <row r="19954">
      <c r="D19954" s="39"/>
      <c r="E19954" s="39"/>
      <c r="F19954" s="39"/>
    </row>
    <row r="19955">
      <c r="D19955" s="39"/>
      <c r="E19955" s="39"/>
      <c r="F19955" s="39"/>
    </row>
    <row r="19956">
      <c r="D19956" s="39"/>
      <c r="E19956" s="39"/>
      <c r="F19956" s="39"/>
    </row>
    <row r="19957">
      <c r="D19957" s="39"/>
      <c r="E19957" s="39"/>
      <c r="F19957" s="39"/>
    </row>
    <row r="19958">
      <c r="D19958" s="39"/>
      <c r="E19958" s="39"/>
      <c r="F19958" s="39"/>
    </row>
    <row r="19959">
      <c r="D19959" s="39"/>
      <c r="E19959" s="39"/>
      <c r="F19959" s="39"/>
    </row>
    <row r="19960">
      <c r="D19960" s="39"/>
      <c r="E19960" s="39"/>
      <c r="F19960" s="39"/>
    </row>
    <row r="19961">
      <c r="D19961" s="39"/>
      <c r="E19961" s="39"/>
      <c r="F19961" s="39"/>
    </row>
    <row r="19962">
      <c r="D19962" s="39"/>
      <c r="E19962" s="39"/>
      <c r="F19962" s="39"/>
    </row>
    <row r="19963">
      <c r="D19963" s="39"/>
      <c r="E19963" s="39"/>
      <c r="F19963" s="39"/>
    </row>
    <row r="19964">
      <c r="D19964" s="39"/>
      <c r="E19964" s="39"/>
      <c r="F19964" s="39"/>
    </row>
    <row r="19965">
      <c r="D19965" s="39"/>
      <c r="E19965" s="39"/>
      <c r="F19965" s="39"/>
    </row>
    <row r="19966">
      <c r="D19966" s="39"/>
      <c r="E19966" s="39"/>
      <c r="F19966" s="39"/>
    </row>
    <row r="19967">
      <c r="D19967" s="39"/>
      <c r="E19967" s="39"/>
      <c r="F19967" s="39"/>
    </row>
    <row r="19968">
      <c r="D19968" s="39"/>
      <c r="E19968" s="39"/>
      <c r="F19968" s="39"/>
    </row>
    <row r="19969">
      <c r="D19969" s="39"/>
      <c r="E19969" s="39"/>
      <c r="F19969" s="39"/>
    </row>
    <row r="19970">
      <c r="D19970" s="39"/>
      <c r="E19970" s="39"/>
      <c r="F19970" s="39"/>
    </row>
    <row r="19971">
      <c r="D19971" s="39"/>
      <c r="E19971" s="39"/>
      <c r="F19971" s="39"/>
    </row>
    <row r="19972">
      <c r="D19972" s="39"/>
      <c r="E19972" s="39"/>
      <c r="F19972" s="39"/>
    </row>
    <row r="19973">
      <c r="D19973" s="39"/>
      <c r="E19973" s="39"/>
      <c r="F19973" s="39"/>
    </row>
    <row r="19974">
      <c r="D19974" s="39"/>
      <c r="E19974" s="39"/>
      <c r="F19974" s="39"/>
    </row>
    <row r="19975">
      <c r="D19975" s="39"/>
      <c r="E19975" s="39"/>
      <c r="F19975" s="39"/>
    </row>
    <row r="19976">
      <c r="D19976" s="39"/>
      <c r="E19976" s="39"/>
      <c r="F19976" s="39"/>
    </row>
    <row r="19977">
      <c r="D19977" s="39"/>
      <c r="E19977" s="39"/>
      <c r="F19977" s="39"/>
    </row>
    <row r="19978">
      <c r="D19978" s="39"/>
      <c r="E19978" s="39"/>
      <c r="F19978" s="39"/>
    </row>
    <row r="19979">
      <c r="D19979" s="39"/>
      <c r="E19979" s="39"/>
      <c r="F19979" s="39"/>
    </row>
    <row r="19980">
      <c r="D19980" s="39"/>
      <c r="E19980" s="39"/>
      <c r="F19980" s="39"/>
    </row>
    <row r="19981">
      <c r="D19981" s="39"/>
      <c r="E19981" s="39"/>
      <c r="F19981" s="39"/>
    </row>
    <row r="19982">
      <c r="D19982" s="39"/>
      <c r="E19982" s="39"/>
      <c r="F19982" s="39"/>
    </row>
    <row r="19983">
      <c r="D19983" s="39"/>
      <c r="E19983" s="39"/>
      <c r="F19983" s="39"/>
    </row>
    <row r="19984">
      <c r="D19984" s="39"/>
      <c r="E19984" s="39"/>
      <c r="F19984" s="39"/>
    </row>
    <row r="19985">
      <c r="D19985" s="39"/>
      <c r="E19985" s="39"/>
      <c r="F19985" s="39"/>
    </row>
    <row r="19986">
      <c r="D19986" s="39"/>
      <c r="E19986" s="39"/>
      <c r="F19986" s="39"/>
    </row>
    <row r="19987">
      <c r="D19987" s="39"/>
      <c r="E19987" s="39"/>
      <c r="F19987" s="39"/>
    </row>
    <row r="19988">
      <c r="D19988" s="39"/>
      <c r="E19988" s="39"/>
      <c r="F19988" s="39"/>
    </row>
    <row r="19989">
      <c r="D19989" s="39"/>
      <c r="E19989" s="39"/>
      <c r="F19989" s="39"/>
    </row>
    <row r="19990">
      <c r="D19990" s="39"/>
      <c r="E19990" s="39"/>
      <c r="F19990" s="39"/>
    </row>
    <row r="19991">
      <c r="D19991" s="39"/>
      <c r="E19991" s="39"/>
      <c r="F19991" s="39"/>
    </row>
    <row r="19992">
      <c r="D19992" s="39"/>
      <c r="E19992" s="39"/>
      <c r="F19992" s="39"/>
    </row>
    <row r="19993">
      <c r="D19993" s="39"/>
      <c r="E19993" s="39"/>
      <c r="F19993" s="39"/>
    </row>
    <row r="19994">
      <c r="D19994" s="39"/>
      <c r="E19994" s="39"/>
      <c r="F19994" s="39"/>
    </row>
    <row r="19995">
      <c r="D19995" s="39"/>
      <c r="E19995" s="39"/>
      <c r="F19995" s="39"/>
    </row>
    <row r="19996">
      <c r="D19996" s="39"/>
      <c r="E19996" s="39"/>
      <c r="F19996" s="39"/>
    </row>
    <row r="19997">
      <c r="D19997" s="39"/>
      <c r="E19997" s="39"/>
      <c r="F19997" s="39"/>
    </row>
    <row r="19998">
      <c r="D19998" s="39"/>
      <c r="E19998" s="39"/>
      <c r="F19998" s="39"/>
    </row>
    <row r="19999">
      <c r="D19999" s="39"/>
      <c r="E19999" s="39"/>
      <c r="F19999" s="39"/>
    </row>
    <row r="20000">
      <c r="D20000" s="39"/>
      <c r="E20000" s="39"/>
      <c r="F20000" s="39"/>
    </row>
    <row r="20001">
      <c r="D20001" s="39"/>
      <c r="E20001" s="39"/>
      <c r="F20001" s="39"/>
    </row>
    <row r="20002">
      <c r="D20002" s="39"/>
      <c r="E20002" s="39"/>
      <c r="F20002" s="39"/>
    </row>
    <row r="20003">
      <c r="D20003" s="39"/>
      <c r="E20003" s="39"/>
      <c r="F20003" s="39"/>
    </row>
    <row r="20004">
      <c r="D20004" s="39"/>
      <c r="E20004" s="39"/>
      <c r="F20004" s="39"/>
    </row>
    <row r="20005">
      <c r="D20005" s="39"/>
      <c r="E20005" s="39"/>
      <c r="F20005" s="39"/>
    </row>
    <row r="20006">
      <c r="D20006" s="39"/>
      <c r="E20006" s="39"/>
      <c r="F20006" s="39"/>
    </row>
    <row r="20007">
      <c r="D20007" s="39"/>
      <c r="E20007" s="39"/>
      <c r="F20007" s="39"/>
    </row>
    <row r="20008">
      <c r="D20008" s="39"/>
      <c r="E20008" s="39"/>
      <c r="F20008" s="39"/>
    </row>
    <row r="20009">
      <c r="D20009" s="39"/>
      <c r="E20009" s="39"/>
      <c r="F20009" s="39"/>
    </row>
    <row r="20010">
      <c r="D20010" s="39"/>
      <c r="E20010" s="39"/>
      <c r="F20010" s="39"/>
    </row>
    <row r="20011">
      <c r="D20011" s="39"/>
      <c r="E20011" s="39"/>
      <c r="F20011" s="39"/>
    </row>
    <row r="20012">
      <c r="D20012" s="39"/>
      <c r="E20012" s="39"/>
      <c r="F20012" s="39"/>
    </row>
    <row r="20013">
      <c r="D20013" s="39"/>
      <c r="E20013" s="39"/>
      <c r="F20013" s="39"/>
    </row>
    <row r="20014">
      <c r="D20014" s="39"/>
      <c r="E20014" s="39"/>
      <c r="F20014" s="39"/>
    </row>
    <row r="20015">
      <c r="D20015" s="39"/>
      <c r="E20015" s="39"/>
      <c r="F20015" s="39"/>
    </row>
    <row r="20016">
      <c r="D20016" s="39"/>
      <c r="E20016" s="39"/>
      <c r="F20016" s="39"/>
    </row>
    <row r="20017">
      <c r="D20017" s="39"/>
      <c r="E20017" s="39"/>
      <c r="F20017" s="39"/>
    </row>
    <row r="20018">
      <c r="D20018" s="39"/>
      <c r="E20018" s="39"/>
      <c r="F20018" s="39"/>
    </row>
    <row r="20019">
      <c r="D20019" s="39"/>
      <c r="E20019" s="39"/>
      <c r="F20019" s="39"/>
    </row>
    <row r="20020">
      <c r="D20020" s="39"/>
      <c r="E20020" s="39"/>
      <c r="F20020" s="39"/>
    </row>
    <row r="20021">
      <c r="D20021" s="39"/>
      <c r="E20021" s="39"/>
      <c r="F20021" s="39"/>
    </row>
    <row r="20022">
      <c r="D20022" s="39"/>
      <c r="E20022" s="39"/>
      <c r="F20022" s="39"/>
    </row>
    <row r="20023">
      <c r="D20023" s="39"/>
      <c r="E20023" s="39"/>
      <c r="F20023" s="39"/>
    </row>
    <row r="20024">
      <c r="D20024" s="39"/>
      <c r="E20024" s="39"/>
      <c r="F20024" s="39"/>
    </row>
    <row r="20025">
      <c r="D20025" s="39"/>
      <c r="E20025" s="39"/>
      <c r="F20025" s="39"/>
    </row>
    <row r="20026">
      <c r="D20026" s="39"/>
      <c r="E20026" s="39"/>
      <c r="F20026" s="39"/>
    </row>
    <row r="20027">
      <c r="D20027" s="39"/>
      <c r="E20027" s="39"/>
      <c r="F20027" s="39"/>
    </row>
    <row r="20028">
      <c r="D20028" s="39"/>
      <c r="E20028" s="39"/>
      <c r="F20028" s="39"/>
    </row>
    <row r="20029">
      <c r="D20029" s="39"/>
      <c r="E20029" s="39"/>
      <c r="F20029" s="39"/>
    </row>
    <row r="20030">
      <c r="D20030" s="39"/>
      <c r="E20030" s="39"/>
      <c r="F20030" s="39"/>
    </row>
    <row r="20031">
      <c r="D20031" s="39"/>
      <c r="E20031" s="39"/>
      <c r="F20031" s="39"/>
    </row>
    <row r="20032">
      <c r="D20032" s="39"/>
      <c r="E20032" s="39"/>
      <c r="F20032" s="39"/>
    </row>
    <row r="20033">
      <c r="D20033" s="39"/>
      <c r="E20033" s="39"/>
      <c r="F20033" s="39"/>
    </row>
    <row r="20034">
      <c r="D20034" s="39"/>
      <c r="E20034" s="39"/>
      <c r="F20034" s="39"/>
    </row>
    <row r="20035">
      <c r="D20035" s="39"/>
      <c r="E20035" s="39"/>
      <c r="F20035" s="39"/>
    </row>
    <row r="20036">
      <c r="D20036" s="39"/>
      <c r="E20036" s="39"/>
      <c r="F20036" s="39"/>
    </row>
    <row r="20037">
      <c r="D20037" s="39"/>
      <c r="E20037" s="39"/>
      <c r="F20037" s="39"/>
    </row>
    <row r="20038">
      <c r="D20038" s="39"/>
      <c r="E20038" s="39"/>
      <c r="F20038" s="39"/>
    </row>
    <row r="20039">
      <c r="D20039" s="39"/>
      <c r="E20039" s="39"/>
      <c r="F20039" s="39"/>
    </row>
    <row r="20040">
      <c r="D20040" s="39"/>
      <c r="E20040" s="39"/>
      <c r="F20040" s="39"/>
    </row>
    <row r="20041">
      <c r="D20041" s="39"/>
      <c r="E20041" s="39"/>
      <c r="F20041" s="39"/>
    </row>
    <row r="20042">
      <c r="D20042" s="39"/>
      <c r="E20042" s="39"/>
      <c r="F20042" s="39"/>
    </row>
    <row r="20043">
      <c r="D20043" s="39"/>
      <c r="E20043" s="39"/>
      <c r="F20043" s="39"/>
    </row>
    <row r="20044">
      <c r="D20044" s="39"/>
      <c r="E20044" s="39"/>
      <c r="F20044" s="39"/>
    </row>
    <row r="20045">
      <c r="D20045" s="39"/>
      <c r="E20045" s="39"/>
      <c r="F20045" s="39"/>
    </row>
    <row r="20046">
      <c r="D20046" s="39"/>
      <c r="E20046" s="39"/>
      <c r="F20046" s="39"/>
    </row>
    <row r="20047">
      <c r="D20047" s="39"/>
      <c r="E20047" s="39"/>
      <c r="F20047" s="39"/>
    </row>
    <row r="20048">
      <c r="D20048" s="39"/>
      <c r="E20048" s="39"/>
      <c r="F20048" s="39"/>
    </row>
    <row r="20049">
      <c r="D20049" s="39"/>
      <c r="E20049" s="39"/>
      <c r="F20049" s="39"/>
    </row>
    <row r="20050">
      <c r="D20050" s="39"/>
      <c r="E20050" s="39"/>
      <c r="F20050" s="39"/>
    </row>
    <row r="20051">
      <c r="D20051" s="39"/>
      <c r="E20051" s="39"/>
      <c r="F20051" s="39"/>
    </row>
    <row r="20052">
      <c r="D20052" s="39"/>
      <c r="E20052" s="39"/>
      <c r="F20052" s="39"/>
    </row>
    <row r="20053">
      <c r="D20053" s="39"/>
      <c r="E20053" s="39"/>
      <c r="F20053" s="39"/>
    </row>
    <row r="20054">
      <c r="D20054" s="39"/>
      <c r="E20054" s="39"/>
      <c r="F20054" s="39"/>
    </row>
    <row r="20055">
      <c r="D20055" s="39"/>
      <c r="E20055" s="39"/>
      <c r="F20055" s="39"/>
    </row>
    <row r="20056">
      <c r="D20056" s="39"/>
      <c r="E20056" s="39"/>
      <c r="F20056" s="39"/>
    </row>
    <row r="20057">
      <c r="D20057" s="39"/>
      <c r="E20057" s="39"/>
      <c r="F20057" s="39"/>
    </row>
    <row r="20058">
      <c r="D20058" s="39"/>
      <c r="E20058" s="39"/>
      <c r="F20058" s="39"/>
    </row>
    <row r="20059">
      <c r="D20059" s="39"/>
      <c r="E20059" s="39"/>
      <c r="F20059" s="39"/>
    </row>
    <row r="20060">
      <c r="D20060" s="39"/>
      <c r="E20060" s="39"/>
      <c r="F20060" s="39"/>
    </row>
    <row r="20061">
      <c r="D20061" s="39"/>
      <c r="E20061" s="39"/>
      <c r="F20061" s="39"/>
    </row>
    <row r="20062">
      <c r="D20062" s="39"/>
      <c r="E20062" s="39"/>
      <c r="F20062" s="39"/>
    </row>
    <row r="20063">
      <c r="D20063" s="39"/>
      <c r="E20063" s="39"/>
      <c r="F20063" s="39"/>
    </row>
    <row r="20064">
      <c r="D20064" s="39"/>
      <c r="E20064" s="39"/>
      <c r="F20064" s="39"/>
    </row>
    <row r="20065">
      <c r="D20065" s="39"/>
      <c r="E20065" s="39"/>
      <c r="F20065" s="39"/>
    </row>
    <row r="20066">
      <c r="D20066" s="39"/>
      <c r="E20066" s="39"/>
      <c r="F20066" s="39"/>
    </row>
    <row r="20067">
      <c r="D20067" s="39"/>
      <c r="E20067" s="39"/>
      <c r="F20067" s="39"/>
    </row>
    <row r="20068">
      <c r="D20068" s="39"/>
      <c r="E20068" s="39"/>
      <c r="F20068" s="39"/>
    </row>
    <row r="20069">
      <c r="D20069" s="39"/>
      <c r="E20069" s="39"/>
      <c r="F20069" s="39"/>
    </row>
    <row r="20070">
      <c r="D20070" s="39"/>
      <c r="E20070" s="39"/>
      <c r="F20070" s="39"/>
    </row>
    <row r="20071">
      <c r="D20071" s="39"/>
      <c r="E20071" s="39"/>
      <c r="F20071" s="39"/>
    </row>
    <row r="20072">
      <c r="D20072" s="39"/>
      <c r="E20072" s="39"/>
      <c r="F20072" s="39"/>
    </row>
    <row r="20073">
      <c r="D20073" s="39"/>
      <c r="E20073" s="39"/>
      <c r="F20073" s="39"/>
    </row>
    <row r="20074">
      <c r="D20074" s="39"/>
      <c r="E20074" s="39"/>
      <c r="F20074" s="39"/>
    </row>
    <row r="20075">
      <c r="D20075" s="39"/>
      <c r="E20075" s="39"/>
      <c r="F20075" s="39"/>
    </row>
    <row r="20076">
      <c r="D20076" s="39"/>
      <c r="E20076" s="39"/>
      <c r="F20076" s="39"/>
    </row>
    <row r="20077">
      <c r="D20077" s="39"/>
      <c r="E20077" s="39"/>
      <c r="F20077" s="39"/>
    </row>
    <row r="20078">
      <c r="D20078" s="39"/>
      <c r="E20078" s="39"/>
      <c r="F20078" s="39"/>
    </row>
    <row r="20079">
      <c r="D20079" s="39"/>
      <c r="E20079" s="39"/>
      <c r="F20079" s="39"/>
    </row>
    <row r="20080">
      <c r="D20080" s="39"/>
      <c r="E20080" s="39"/>
      <c r="F20080" s="39"/>
    </row>
    <row r="20081">
      <c r="D20081" s="39"/>
      <c r="E20081" s="39"/>
      <c r="F20081" s="39"/>
    </row>
    <row r="20082">
      <c r="D20082" s="39"/>
      <c r="E20082" s="39"/>
      <c r="F20082" s="39"/>
    </row>
    <row r="20083">
      <c r="D20083" s="39"/>
      <c r="E20083" s="39"/>
      <c r="F20083" s="39"/>
    </row>
    <row r="20084">
      <c r="D20084" s="39"/>
      <c r="E20084" s="39"/>
      <c r="F20084" s="39"/>
    </row>
    <row r="20085">
      <c r="D20085" s="39"/>
      <c r="E20085" s="39"/>
      <c r="F20085" s="39"/>
    </row>
    <row r="20086">
      <c r="D20086" s="39"/>
      <c r="E20086" s="39"/>
      <c r="F20086" s="39"/>
    </row>
    <row r="20087">
      <c r="D20087" s="39"/>
      <c r="E20087" s="39"/>
      <c r="F20087" s="39"/>
    </row>
    <row r="20088">
      <c r="D20088" s="39"/>
      <c r="E20088" s="39"/>
      <c r="F20088" s="39"/>
    </row>
    <row r="20089">
      <c r="D20089" s="39"/>
      <c r="E20089" s="39"/>
      <c r="F20089" s="39"/>
    </row>
    <row r="20090">
      <c r="D20090" s="39"/>
      <c r="E20090" s="39"/>
      <c r="F20090" s="39"/>
    </row>
    <row r="20091">
      <c r="D20091" s="39"/>
      <c r="E20091" s="39"/>
      <c r="F20091" s="39"/>
    </row>
    <row r="20092">
      <c r="D20092" s="39"/>
      <c r="E20092" s="39"/>
      <c r="F20092" s="39"/>
    </row>
    <row r="20093">
      <c r="D20093" s="39"/>
      <c r="E20093" s="39"/>
      <c r="F20093" s="39"/>
    </row>
    <row r="20094">
      <c r="D20094" s="39"/>
      <c r="E20094" s="39"/>
      <c r="F20094" s="39"/>
    </row>
    <row r="20095">
      <c r="D20095" s="39"/>
      <c r="E20095" s="39"/>
      <c r="F20095" s="39"/>
    </row>
    <row r="20096">
      <c r="D20096" s="39"/>
      <c r="E20096" s="39"/>
      <c r="F20096" s="39"/>
    </row>
    <row r="20097">
      <c r="D20097" s="39"/>
      <c r="E20097" s="39"/>
      <c r="F20097" s="39"/>
    </row>
    <row r="20098">
      <c r="D20098" s="39"/>
      <c r="E20098" s="39"/>
      <c r="F20098" s="39"/>
    </row>
    <row r="20099">
      <c r="D20099" s="39"/>
      <c r="E20099" s="39"/>
      <c r="F20099" s="39"/>
    </row>
    <row r="20100">
      <c r="D20100" s="39"/>
      <c r="E20100" s="39"/>
      <c r="F20100" s="39"/>
    </row>
    <row r="20101">
      <c r="D20101" s="39"/>
      <c r="E20101" s="39"/>
      <c r="F20101" s="39"/>
    </row>
    <row r="20102">
      <c r="D20102" s="39"/>
      <c r="E20102" s="39"/>
      <c r="F20102" s="39"/>
    </row>
    <row r="20103">
      <c r="D20103" s="39"/>
      <c r="E20103" s="39"/>
      <c r="F20103" s="39"/>
    </row>
    <row r="20104">
      <c r="D20104" s="39"/>
      <c r="E20104" s="39"/>
      <c r="F20104" s="39"/>
    </row>
    <row r="20105">
      <c r="D20105" s="39"/>
      <c r="E20105" s="39"/>
      <c r="F20105" s="39"/>
    </row>
    <row r="20106">
      <c r="D20106" s="39"/>
      <c r="E20106" s="39"/>
      <c r="F20106" s="39"/>
    </row>
    <row r="20107">
      <c r="D20107" s="39"/>
      <c r="E20107" s="39"/>
      <c r="F20107" s="39"/>
    </row>
    <row r="20108">
      <c r="D20108" s="39"/>
      <c r="E20108" s="39"/>
      <c r="F20108" s="39"/>
    </row>
    <row r="20109">
      <c r="D20109" s="39"/>
      <c r="E20109" s="39"/>
      <c r="F20109" s="39"/>
    </row>
    <row r="20110">
      <c r="D20110" s="39"/>
      <c r="E20110" s="39"/>
      <c r="F20110" s="39"/>
    </row>
    <row r="20111">
      <c r="D20111" s="39"/>
      <c r="E20111" s="39"/>
      <c r="F20111" s="39"/>
    </row>
    <row r="20112">
      <c r="D20112" s="39"/>
      <c r="E20112" s="39"/>
      <c r="F20112" s="39"/>
    </row>
    <row r="20113">
      <c r="D20113" s="39"/>
      <c r="E20113" s="39"/>
      <c r="F20113" s="39"/>
    </row>
    <row r="20114">
      <c r="D20114" s="39"/>
      <c r="E20114" s="39"/>
      <c r="F20114" s="39"/>
    </row>
    <row r="20115">
      <c r="D20115" s="39"/>
      <c r="E20115" s="39"/>
      <c r="F20115" s="39"/>
    </row>
    <row r="20116">
      <c r="D20116" s="39"/>
      <c r="E20116" s="39"/>
      <c r="F20116" s="39"/>
    </row>
    <row r="20117">
      <c r="D20117" s="39"/>
      <c r="E20117" s="39"/>
      <c r="F20117" s="39"/>
    </row>
    <row r="20118">
      <c r="D20118" s="39"/>
      <c r="E20118" s="39"/>
      <c r="F20118" s="39"/>
    </row>
    <row r="20119">
      <c r="D20119" s="39"/>
      <c r="E20119" s="39"/>
      <c r="F20119" s="39"/>
    </row>
    <row r="20120">
      <c r="D20120" s="39"/>
      <c r="E20120" s="39"/>
      <c r="F20120" s="39"/>
    </row>
    <row r="20121">
      <c r="D20121" s="39"/>
      <c r="E20121" s="39"/>
      <c r="F20121" s="39"/>
    </row>
    <row r="20122">
      <c r="D20122" s="39"/>
      <c r="E20122" s="39"/>
      <c r="F20122" s="39"/>
    </row>
    <row r="20123">
      <c r="D20123" s="39"/>
      <c r="E20123" s="39"/>
      <c r="F20123" s="39"/>
    </row>
    <row r="20124">
      <c r="D20124" s="39"/>
      <c r="E20124" s="39"/>
      <c r="F20124" s="39"/>
    </row>
    <row r="20125">
      <c r="D20125" s="39"/>
      <c r="E20125" s="39"/>
      <c r="F20125" s="39"/>
    </row>
    <row r="20126">
      <c r="D20126" s="39"/>
      <c r="E20126" s="39"/>
      <c r="F20126" s="39"/>
    </row>
    <row r="20127">
      <c r="D20127" s="39"/>
      <c r="E20127" s="39"/>
      <c r="F20127" s="39"/>
    </row>
    <row r="20128">
      <c r="D20128" s="39"/>
      <c r="E20128" s="39"/>
      <c r="F20128" s="39"/>
    </row>
    <row r="20129">
      <c r="D20129" s="39"/>
      <c r="E20129" s="39"/>
      <c r="F20129" s="39"/>
    </row>
    <row r="20130">
      <c r="D20130" s="39"/>
      <c r="E20130" s="39"/>
      <c r="F20130" s="39"/>
    </row>
    <row r="20131">
      <c r="D20131" s="39"/>
      <c r="E20131" s="39"/>
      <c r="F20131" s="39"/>
    </row>
    <row r="20132">
      <c r="D20132" s="39"/>
      <c r="E20132" s="39"/>
      <c r="F20132" s="39"/>
    </row>
    <row r="20133">
      <c r="D20133" s="39"/>
      <c r="E20133" s="39"/>
      <c r="F20133" s="39"/>
    </row>
    <row r="20134">
      <c r="D20134" s="39"/>
      <c r="E20134" s="39"/>
      <c r="F20134" s="39"/>
    </row>
    <row r="20135">
      <c r="D20135" s="39"/>
      <c r="E20135" s="39"/>
      <c r="F20135" s="39"/>
    </row>
    <row r="20136">
      <c r="D20136" s="39"/>
      <c r="E20136" s="39"/>
      <c r="F20136" s="39"/>
    </row>
    <row r="20137">
      <c r="D20137" s="39"/>
      <c r="E20137" s="39"/>
      <c r="F20137" s="39"/>
    </row>
    <row r="20138">
      <c r="D20138" s="39"/>
      <c r="E20138" s="39"/>
      <c r="F20138" s="39"/>
    </row>
    <row r="20139">
      <c r="D20139" s="39"/>
      <c r="E20139" s="39"/>
      <c r="F20139" s="39"/>
    </row>
    <row r="20140">
      <c r="D20140" s="39"/>
      <c r="E20140" s="39"/>
      <c r="F20140" s="39"/>
    </row>
    <row r="20141">
      <c r="D20141" s="39"/>
      <c r="E20141" s="39"/>
      <c r="F20141" s="39"/>
    </row>
    <row r="20142">
      <c r="D20142" s="39"/>
      <c r="E20142" s="39"/>
      <c r="F20142" s="39"/>
    </row>
    <row r="20143">
      <c r="D20143" s="39"/>
      <c r="E20143" s="39"/>
      <c r="F20143" s="39"/>
    </row>
    <row r="20144">
      <c r="D20144" s="39"/>
      <c r="E20144" s="39"/>
      <c r="F20144" s="39"/>
    </row>
    <row r="20145">
      <c r="D20145" s="39"/>
      <c r="E20145" s="39"/>
      <c r="F20145" s="39"/>
    </row>
    <row r="20146">
      <c r="D20146" s="39"/>
      <c r="E20146" s="39"/>
      <c r="F20146" s="39"/>
    </row>
    <row r="20147">
      <c r="D20147" s="39"/>
      <c r="E20147" s="39"/>
      <c r="F20147" s="39"/>
    </row>
    <row r="20148">
      <c r="D20148" s="39"/>
      <c r="E20148" s="39"/>
      <c r="F20148" s="39"/>
    </row>
    <row r="20149">
      <c r="D20149" s="39"/>
      <c r="E20149" s="39"/>
      <c r="F20149" s="39"/>
    </row>
    <row r="20150">
      <c r="D20150" s="39"/>
      <c r="E20150" s="39"/>
      <c r="F20150" s="39"/>
    </row>
    <row r="20151">
      <c r="D20151" s="39"/>
      <c r="E20151" s="39"/>
      <c r="F20151" s="39"/>
    </row>
    <row r="20152">
      <c r="D20152" s="39"/>
      <c r="E20152" s="39"/>
      <c r="F20152" s="39"/>
    </row>
    <row r="20153">
      <c r="D20153" s="39"/>
      <c r="E20153" s="39"/>
      <c r="F20153" s="39"/>
    </row>
    <row r="20154">
      <c r="D20154" s="39"/>
      <c r="E20154" s="39"/>
      <c r="F20154" s="39"/>
    </row>
    <row r="20155">
      <c r="D20155" s="39"/>
      <c r="E20155" s="39"/>
      <c r="F20155" s="39"/>
    </row>
    <row r="20156">
      <c r="D20156" s="39"/>
      <c r="E20156" s="39"/>
      <c r="F20156" s="39"/>
    </row>
    <row r="20157">
      <c r="D20157" s="39"/>
      <c r="E20157" s="39"/>
      <c r="F20157" s="39"/>
    </row>
    <row r="20158">
      <c r="D20158" s="39"/>
      <c r="E20158" s="39"/>
      <c r="F20158" s="39"/>
    </row>
    <row r="20159">
      <c r="D20159" s="39"/>
      <c r="E20159" s="39"/>
      <c r="F20159" s="39"/>
    </row>
    <row r="20160">
      <c r="D20160" s="39"/>
      <c r="E20160" s="39"/>
      <c r="F20160" s="39"/>
    </row>
    <row r="20161">
      <c r="D20161" s="39"/>
      <c r="E20161" s="39"/>
      <c r="F20161" s="39"/>
    </row>
    <row r="20162">
      <c r="D20162" s="39"/>
      <c r="E20162" s="39"/>
      <c r="F20162" s="39"/>
    </row>
    <row r="20163">
      <c r="D20163" s="39"/>
      <c r="E20163" s="39"/>
      <c r="F20163" s="39"/>
    </row>
    <row r="20164">
      <c r="D20164" s="39"/>
      <c r="E20164" s="39"/>
      <c r="F20164" s="39"/>
    </row>
    <row r="20165">
      <c r="D20165" s="39"/>
      <c r="E20165" s="39"/>
      <c r="F20165" s="39"/>
    </row>
    <row r="20166">
      <c r="D20166" s="39"/>
      <c r="E20166" s="39"/>
      <c r="F20166" s="39"/>
    </row>
    <row r="20167">
      <c r="D20167" s="39"/>
      <c r="E20167" s="39"/>
      <c r="F20167" s="39"/>
    </row>
    <row r="20168">
      <c r="D20168" s="39"/>
      <c r="E20168" s="39"/>
      <c r="F20168" s="39"/>
    </row>
    <row r="20169">
      <c r="D20169" s="39"/>
      <c r="E20169" s="39"/>
      <c r="F20169" s="39"/>
    </row>
    <row r="20170">
      <c r="D20170" s="39"/>
      <c r="E20170" s="39"/>
      <c r="F20170" s="39"/>
    </row>
    <row r="20171">
      <c r="D20171" s="39"/>
      <c r="E20171" s="39"/>
      <c r="F20171" s="39"/>
    </row>
    <row r="20172">
      <c r="D20172" s="39"/>
      <c r="E20172" s="39"/>
      <c r="F20172" s="39"/>
    </row>
    <row r="20173">
      <c r="D20173" s="39"/>
      <c r="E20173" s="39"/>
      <c r="F20173" s="39"/>
    </row>
    <row r="20174">
      <c r="D20174" s="39"/>
      <c r="E20174" s="39"/>
      <c r="F20174" s="39"/>
    </row>
    <row r="20175">
      <c r="D20175" s="39"/>
      <c r="E20175" s="39"/>
      <c r="F20175" s="39"/>
    </row>
    <row r="20176">
      <c r="D20176" s="39"/>
      <c r="E20176" s="39"/>
      <c r="F20176" s="39"/>
    </row>
    <row r="20177">
      <c r="D20177" s="39"/>
      <c r="E20177" s="39"/>
      <c r="F20177" s="39"/>
    </row>
    <row r="20178">
      <c r="D20178" s="39"/>
      <c r="E20178" s="39"/>
      <c r="F20178" s="39"/>
    </row>
    <row r="20179">
      <c r="D20179" s="39"/>
      <c r="E20179" s="39"/>
      <c r="F20179" s="39"/>
    </row>
    <row r="20180">
      <c r="D20180" s="39"/>
      <c r="E20180" s="39"/>
      <c r="F20180" s="39"/>
    </row>
    <row r="20181">
      <c r="D20181" s="39"/>
      <c r="E20181" s="39"/>
      <c r="F20181" s="39"/>
    </row>
    <row r="20182">
      <c r="D20182" s="39"/>
      <c r="E20182" s="39"/>
      <c r="F20182" s="39"/>
    </row>
    <row r="20183">
      <c r="D20183" s="39"/>
      <c r="E20183" s="39"/>
      <c r="F20183" s="39"/>
    </row>
    <row r="20184">
      <c r="D20184" s="39"/>
      <c r="E20184" s="39"/>
      <c r="F20184" s="39"/>
    </row>
    <row r="20185">
      <c r="D20185" s="39"/>
      <c r="E20185" s="39"/>
      <c r="F20185" s="39"/>
    </row>
    <row r="20186">
      <c r="D20186" s="39"/>
      <c r="E20186" s="39"/>
      <c r="F20186" s="39"/>
    </row>
    <row r="20187">
      <c r="D20187" s="39"/>
      <c r="E20187" s="39"/>
      <c r="F20187" s="39"/>
    </row>
    <row r="20188">
      <c r="D20188" s="39"/>
      <c r="E20188" s="39"/>
      <c r="F20188" s="39"/>
    </row>
    <row r="20189">
      <c r="D20189" s="39"/>
      <c r="E20189" s="39"/>
      <c r="F20189" s="39"/>
    </row>
    <row r="20190">
      <c r="D20190" s="39"/>
      <c r="E20190" s="39"/>
      <c r="F20190" s="39"/>
    </row>
    <row r="20191">
      <c r="D20191" s="39"/>
      <c r="E20191" s="39"/>
      <c r="F20191" s="39"/>
    </row>
    <row r="20192">
      <c r="D20192" s="39"/>
      <c r="E20192" s="39"/>
      <c r="F20192" s="39"/>
    </row>
    <row r="20193">
      <c r="D20193" s="39"/>
      <c r="E20193" s="39"/>
      <c r="F20193" s="39"/>
    </row>
    <row r="20194">
      <c r="D20194" s="39"/>
      <c r="E20194" s="39"/>
      <c r="F20194" s="39"/>
    </row>
    <row r="20195">
      <c r="D20195" s="39"/>
      <c r="E20195" s="39"/>
      <c r="F20195" s="39"/>
    </row>
    <row r="20196">
      <c r="D20196" s="39"/>
      <c r="E20196" s="39"/>
      <c r="F20196" s="39"/>
    </row>
    <row r="20197">
      <c r="D20197" s="39"/>
      <c r="E20197" s="39"/>
      <c r="F20197" s="39"/>
    </row>
    <row r="20198">
      <c r="D20198" s="39"/>
      <c r="E20198" s="39"/>
      <c r="F20198" s="39"/>
    </row>
    <row r="20199">
      <c r="D20199" s="39"/>
      <c r="E20199" s="39"/>
      <c r="F20199" s="39"/>
    </row>
    <row r="20200">
      <c r="D20200" s="39"/>
      <c r="E20200" s="39"/>
      <c r="F20200" s="39"/>
    </row>
    <row r="20201">
      <c r="D20201" s="39"/>
      <c r="E20201" s="39"/>
      <c r="F20201" s="39"/>
    </row>
    <row r="20202">
      <c r="D20202" s="39"/>
      <c r="E20202" s="39"/>
      <c r="F20202" s="39"/>
    </row>
    <row r="20203">
      <c r="D20203" s="39"/>
      <c r="E20203" s="39"/>
      <c r="F20203" s="39"/>
    </row>
    <row r="20204">
      <c r="D20204" s="39"/>
      <c r="E20204" s="39"/>
      <c r="F20204" s="39"/>
    </row>
    <row r="20205">
      <c r="D20205" s="39"/>
      <c r="E20205" s="39"/>
      <c r="F20205" s="39"/>
    </row>
    <row r="20206">
      <c r="D20206" s="39"/>
      <c r="E20206" s="39"/>
      <c r="F20206" s="39"/>
    </row>
    <row r="20207">
      <c r="D20207" s="39"/>
      <c r="E20207" s="39"/>
      <c r="F20207" s="39"/>
    </row>
    <row r="20208">
      <c r="D20208" s="39"/>
      <c r="E20208" s="39"/>
      <c r="F20208" s="39"/>
    </row>
    <row r="20209">
      <c r="D20209" s="39"/>
      <c r="E20209" s="39"/>
      <c r="F20209" s="39"/>
    </row>
    <row r="20210">
      <c r="D20210" s="39"/>
      <c r="E20210" s="39"/>
      <c r="F20210" s="39"/>
    </row>
    <row r="20211">
      <c r="D20211" s="39"/>
      <c r="E20211" s="39"/>
      <c r="F20211" s="39"/>
    </row>
    <row r="20212">
      <c r="D20212" s="39"/>
      <c r="E20212" s="39"/>
      <c r="F20212" s="39"/>
    </row>
    <row r="20213">
      <c r="D20213" s="39"/>
      <c r="E20213" s="39"/>
      <c r="F20213" s="39"/>
    </row>
    <row r="20214">
      <c r="D20214" s="39"/>
      <c r="E20214" s="39"/>
      <c r="F20214" s="39"/>
    </row>
    <row r="20215">
      <c r="D20215" s="39"/>
      <c r="E20215" s="39"/>
      <c r="F20215" s="39"/>
    </row>
    <row r="20216">
      <c r="D20216" s="39"/>
      <c r="E20216" s="39"/>
      <c r="F20216" s="39"/>
    </row>
    <row r="20217">
      <c r="D20217" s="39"/>
      <c r="E20217" s="39"/>
      <c r="F20217" s="39"/>
    </row>
    <row r="20218">
      <c r="D20218" s="39"/>
      <c r="E20218" s="39"/>
      <c r="F20218" s="39"/>
    </row>
    <row r="20219">
      <c r="D20219" s="39"/>
      <c r="E20219" s="39"/>
      <c r="F20219" s="39"/>
    </row>
    <row r="20220">
      <c r="D20220" s="39"/>
      <c r="E20220" s="39"/>
      <c r="F20220" s="39"/>
    </row>
    <row r="20221">
      <c r="D20221" s="39"/>
      <c r="E20221" s="39"/>
      <c r="F20221" s="39"/>
    </row>
    <row r="20222">
      <c r="D20222" s="39"/>
      <c r="E20222" s="39"/>
      <c r="F20222" s="39"/>
    </row>
    <row r="20223">
      <c r="D20223" s="39"/>
      <c r="E20223" s="39"/>
      <c r="F20223" s="39"/>
    </row>
    <row r="20224">
      <c r="D20224" s="39"/>
      <c r="E20224" s="39"/>
      <c r="F20224" s="39"/>
    </row>
    <row r="20225">
      <c r="D20225" s="39"/>
      <c r="E20225" s="39"/>
      <c r="F20225" s="39"/>
    </row>
    <row r="20226">
      <c r="D20226" s="39"/>
      <c r="E20226" s="39"/>
      <c r="F20226" s="39"/>
    </row>
    <row r="20227">
      <c r="D20227" s="39"/>
      <c r="E20227" s="39"/>
      <c r="F20227" s="39"/>
    </row>
    <row r="20228">
      <c r="D20228" s="39"/>
      <c r="E20228" s="39"/>
      <c r="F20228" s="39"/>
    </row>
    <row r="20229">
      <c r="D20229" s="39"/>
      <c r="E20229" s="39"/>
      <c r="F20229" s="39"/>
    </row>
    <row r="20230">
      <c r="D20230" s="39"/>
      <c r="E20230" s="39"/>
      <c r="F20230" s="39"/>
    </row>
    <row r="20231">
      <c r="D20231" s="39"/>
      <c r="E20231" s="39"/>
      <c r="F20231" s="39"/>
    </row>
    <row r="20232">
      <c r="D20232" s="39"/>
      <c r="E20232" s="39"/>
      <c r="F20232" s="39"/>
    </row>
    <row r="20233">
      <c r="D20233" s="39"/>
      <c r="E20233" s="39"/>
      <c r="F20233" s="39"/>
    </row>
    <row r="20234">
      <c r="D20234" s="39"/>
      <c r="E20234" s="39"/>
      <c r="F20234" s="39"/>
    </row>
    <row r="20235">
      <c r="D20235" s="39"/>
      <c r="E20235" s="39"/>
      <c r="F20235" s="39"/>
    </row>
    <row r="20236">
      <c r="D20236" s="39"/>
      <c r="E20236" s="39"/>
      <c r="F20236" s="39"/>
    </row>
    <row r="20237">
      <c r="D20237" s="39"/>
      <c r="E20237" s="39"/>
      <c r="F20237" s="39"/>
    </row>
    <row r="20238">
      <c r="D20238" s="39"/>
      <c r="E20238" s="39"/>
      <c r="F20238" s="39"/>
    </row>
    <row r="20239">
      <c r="D20239" s="39"/>
      <c r="E20239" s="39"/>
      <c r="F20239" s="39"/>
    </row>
    <row r="20240">
      <c r="D20240" s="39"/>
      <c r="E20240" s="39"/>
      <c r="F20240" s="39"/>
    </row>
    <row r="20241">
      <c r="D20241" s="39"/>
      <c r="E20241" s="39"/>
      <c r="F20241" s="39"/>
    </row>
    <row r="20242">
      <c r="D20242" s="39"/>
      <c r="E20242" s="39"/>
      <c r="F20242" s="39"/>
    </row>
    <row r="20243">
      <c r="D20243" s="39"/>
      <c r="E20243" s="39"/>
      <c r="F20243" s="39"/>
    </row>
    <row r="20244">
      <c r="D20244" s="39"/>
      <c r="E20244" s="39"/>
      <c r="F20244" s="39"/>
    </row>
    <row r="20245">
      <c r="D20245" s="39"/>
      <c r="E20245" s="39"/>
      <c r="F20245" s="39"/>
    </row>
    <row r="20246">
      <c r="D20246" s="39"/>
      <c r="E20246" s="39"/>
      <c r="F20246" s="39"/>
    </row>
    <row r="20247">
      <c r="D20247" s="39"/>
      <c r="E20247" s="39"/>
      <c r="F20247" s="39"/>
    </row>
    <row r="20248">
      <c r="D20248" s="39"/>
      <c r="E20248" s="39"/>
      <c r="F20248" s="39"/>
    </row>
    <row r="20249">
      <c r="D20249" s="39"/>
      <c r="E20249" s="39"/>
      <c r="F20249" s="39"/>
    </row>
    <row r="20250">
      <c r="D20250" s="39"/>
      <c r="E20250" s="39"/>
      <c r="F20250" s="39"/>
    </row>
    <row r="20251">
      <c r="D20251" s="39"/>
      <c r="E20251" s="39"/>
      <c r="F20251" s="39"/>
    </row>
    <row r="20252">
      <c r="D20252" s="39"/>
      <c r="E20252" s="39"/>
      <c r="F20252" s="39"/>
    </row>
    <row r="20253">
      <c r="D20253" s="39"/>
      <c r="E20253" s="39"/>
      <c r="F20253" s="39"/>
    </row>
    <row r="20254">
      <c r="D20254" s="39"/>
      <c r="E20254" s="39"/>
      <c r="F20254" s="39"/>
    </row>
    <row r="20255">
      <c r="D20255" s="39"/>
      <c r="E20255" s="39"/>
      <c r="F20255" s="39"/>
    </row>
    <row r="20256">
      <c r="D20256" s="39"/>
      <c r="E20256" s="39"/>
      <c r="F20256" s="39"/>
    </row>
    <row r="20257">
      <c r="D20257" s="39"/>
      <c r="E20257" s="39"/>
      <c r="F20257" s="39"/>
    </row>
    <row r="20258">
      <c r="D20258" s="39"/>
      <c r="E20258" s="39"/>
      <c r="F20258" s="39"/>
    </row>
    <row r="20259">
      <c r="D20259" s="39"/>
      <c r="E20259" s="39"/>
      <c r="F20259" s="39"/>
    </row>
    <row r="20260">
      <c r="D20260" s="39"/>
      <c r="E20260" s="39"/>
      <c r="F20260" s="39"/>
    </row>
    <row r="20261">
      <c r="D20261" s="39"/>
      <c r="E20261" s="39"/>
      <c r="F20261" s="39"/>
    </row>
    <row r="20262">
      <c r="D20262" s="39"/>
      <c r="E20262" s="39"/>
      <c r="F20262" s="39"/>
    </row>
    <row r="20263">
      <c r="D20263" s="39"/>
      <c r="E20263" s="39"/>
      <c r="F20263" s="39"/>
    </row>
    <row r="20264">
      <c r="D20264" s="39"/>
      <c r="E20264" s="39"/>
      <c r="F20264" s="39"/>
    </row>
    <row r="20265">
      <c r="D20265" s="39"/>
      <c r="E20265" s="39"/>
      <c r="F20265" s="39"/>
    </row>
    <row r="20266">
      <c r="D20266" s="39"/>
      <c r="E20266" s="39"/>
      <c r="F20266" s="39"/>
    </row>
    <row r="20267">
      <c r="D20267" s="39"/>
      <c r="E20267" s="39"/>
      <c r="F20267" s="39"/>
    </row>
    <row r="20268">
      <c r="D20268" s="39"/>
      <c r="E20268" s="39"/>
      <c r="F20268" s="39"/>
    </row>
    <row r="20269">
      <c r="D20269" s="39"/>
      <c r="E20269" s="39"/>
      <c r="F20269" s="39"/>
    </row>
    <row r="20270">
      <c r="D20270" s="39"/>
      <c r="E20270" s="39"/>
      <c r="F20270" s="39"/>
    </row>
    <row r="20271">
      <c r="D20271" s="39"/>
      <c r="E20271" s="39"/>
      <c r="F20271" s="39"/>
    </row>
    <row r="20272">
      <c r="D20272" s="39"/>
      <c r="E20272" s="39"/>
      <c r="F20272" s="39"/>
    </row>
    <row r="20273">
      <c r="D20273" s="39"/>
      <c r="E20273" s="39"/>
      <c r="F20273" s="39"/>
    </row>
    <row r="20274">
      <c r="D20274" s="39"/>
      <c r="E20274" s="39"/>
      <c r="F20274" s="39"/>
    </row>
    <row r="20275">
      <c r="D20275" s="39"/>
      <c r="E20275" s="39"/>
      <c r="F20275" s="39"/>
    </row>
    <row r="20276">
      <c r="D20276" s="39"/>
      <c r="E20276" s="39"/>
      <c r="F20276" s="39"/>
    </row>
    <row r="20277">
      <c r="D20277" s="39"/>
      <c r="E20277" s="39"/>
      <c r="F20277" s="39"/>
    </row>
    <row r="20278">
      <c r="D20278" s="39"/>
      <c r="E20278" s="39"/>
      <c r="F20278" s="39"/>
    </row>
    <row r="20279">
      <c r="D20279" s="39"/>
      <c r="E20279" s="39"/>
      <c r="F20279" s="39"/>
    </row>
    <row r="20280">
      <c r="D20280" s="39"/>
      <c r="E20280" s="39"/>
      <c r="F20280" s="39"/>
    </row>
    <row r="20281">
      <c r="D20281" s="39"/>
      <c r="E20281" s="39"/>
      <c r="F20281" s="39"/>
    </row>
    <row r="20282">
      <c r="D20282" s="39"/>
      <c r="E20282" s="39"/>
      <c r="F20282" s="39"/>
    </row>
    <row r="20283">
      <c r="D20283" s="39"/>
      <c r="E20283" s="39"/>
      <c r="F20283" s="39"/>
    </row>
    <row r="20284">
      <c r="D20284" s="39"/>
      <c r="E20284" s="39"/>
      <c r="F20284" s="39"/>
    </row>
    <row r="20285">
      <c r="D20285" s="39"/>
      <c r="E20285" s="39"/>
      <c r="F20285" s="39"/>
    </row>
    <row r="20286">
      <c r="D20286" s="39"/>
      <c r="E20286" s="39"/>
      <c r="F20286" s="39"/>
    </row>
    <row r="20287">
      <c r="D20287" s="39"/>
      <c r="E20287" s="39"/>
      <c r="F20287" s="39"/>
    </row>
    <row r="20288">
      <c r="D20288" s="39"/>
      <c r="E20288" s="39"/>
      <c r="F20288" s="39"/>
    </row>
    <row r="20289">
      <c r="D20289" s="39"/>
      <c r="E20289" s="39"/>
      <c r="F20289" s="39"/>
    </row>
    <row r="20290">
      <c r="D20290" s="39"/>
      <c r="E20290" s="39"/>
      <c r="F20290" s="39"/>
    </row>
    <row r="20291">
      <c r="D20291" s="39"/>
      <c r="E20291" s="39"/>
      <c r="F20291" s="39"/>
    </row>
    <row r="20292">
      <c r="D20292" s="39"/>
      <c r="E20292" s="39"/>
      <c r="F20292" s="39"/>
    </row>
    <row r="20293">
      <c r="D20293" s="39"/>
      <c r="E20293" s="39"/>
      <c r="F20293" s="39"/>
    </row>
    <row r="20294">
      <c r="D20294" s="39"/>
      <c r="E20294" s="39"/>
      <c r="F20294" s="39"/>
    </row>
    <row r="20295">
      <c r="D20295" s="39"/>
      <c r="E20295" s="39"/>
      <c r="F20295" s="39"/>
    </row>
    <row r="20296">
      <c r="D20296" s="39"/>
      <c r="E20296" s="39"/>
      <c r="F20296" s="39"/>
    </row>
    <row r="20297">
      <c r="D20297" s="39"/>
      <c r="E20297" s="39"/>
      <c r="F20297" s="39"/>
    </row>
    <row r="20298">
      <c r="D20298" s="39"/>
      <c r="E20298" s="39"/>
      <c r="F20298" s="39"/>
    </row>
    <row r="20299">
      <c r="D20299" s="39"/>
      <c r="E20299" s="39"/>
      <c r="F20299" s="39"/>
    </row>
    <row r="20300">
      <c r="D20300" s="39"/>
      <c r="E20300" s="39"/>
      <c r="F20300" s="39"/>
    </row>
    <row r="20301">
      <c r="D20301" s="39"/>
      <c r="E20301" s="39"/>
      <c r="F20301" s="39"/>
    </row>
    <row r="20302">
      <c r="D20302" s="39"/>
      <c r="E20302" s="39"/>
      <c r="F20302" s="39"/>
    </row>
    <row r="20303">
      <c r="D20303" s="39"/>
      <c r="E20303" s="39"/>
      <c r="F20303" s="39"/>
    </row>
    <row r="20304">
      <c r="D20304" s="39"/>
      <c r="E20304" s="39"/>
      <c r="F20304" s="39"/>
    </row>
    <row r="20305">
      <c r="D20305" s="39"/>
      <c r="E20305" s="39"/>
      <c r="F20305" s="39"/>
    </row>
    <row r="20306">
      <c r="D20306" s="39"/>
      <c r="E20306" s="39"/>
      <c r="F20306" s="39"/>
    </row>
    <row r="20307">
      <c r="D20307" s="39"/>
      <c r="E20307" s="39"/>
      <c r="F20307" s="39"/>
    </row>
    <row r="20308">
      <c r="D20308" s="39"/>
      <c r="E20308" s="39"/>
      <c r="F20308" s="39"/>
    </row>
    <row r="20309">
      <c r="D20309" s="39"/>
      <c r="E20309" s="39"/>
      <c r="F20309" s="39"/>
    </row>
    <row r="20310">
      <c r="D20310" s="39"/>
      <c r="E20310" s="39"/>
      <c r="F20310" s="39"/>
    </row>
    <row r="20311">
      <c r="D20311" s="39"/>
      <c r="E20311" s="39"/>
      <c r="F20311" s="39"/>
    </row>
    <row r="20312">
      <c r="D20312" s="39"/>
      <c r="E20312" s="39"/>
      <c r="F20312" s="39"/>
    </row>
    <row r="20313">
      <c r="D20313" s="39"/>
      <c r="E20313" s="39"/>
      <c r="F20313" s="39"/>
    </row>
    <row r="20314">
      <c r="D20314" s="39"/>
      <c r="E20314" s="39"/>
      <c r="F20314" s="39"/>
    </row>
    <row r="20315">
      <c r="D20315" s="39"/>
      <c r="E20315" s="39"/>
      <c r="F20315" s="39"/>
    </row>
    <row r="20316">
      <c r="D20316" s="39"/>
      <c r="E20316" s="39"/>
      <c r="F20316" s="39"/>
    </row>
    <row r="20317">
      <c r="D20317" s="39"/>
      <c r="E20317" s="39"/>
      <c r="F20317" s="39"/>
    </row>
    <row r="20318">
      <c r="D20318" s="39"/>
      <c r="E20318" s="39"/>
      <c r="F20318" s="39"/>
    </row>
    <row r="20319">
      <c r="D20319" s="39"/>
      <c r="E20319" s="39"/>
      <c r="F20319" s="39"/>
    </row>
    <row r="20320">
      <c r="D20320" s="39"/>
      <c r="E20320" s="39"/>
      <c r="F20320" s="39"/>
    </row>
    <row r="20321">
      <c r="D20321" s="39"/>
      <c r="E20321" s="39"/>
      <c r="F20321" s="39"/>
    </row>
    <row r="20322">
      <c r="D20322" s="39"/>
      <c r="E20322" s="39"/>
      <c r="F20322" s="39"/>
    </row>
    <row r="20323">
      <c r="D20323" s="39"/>
      <c r="E20323" s="39"/>
      <c r="F20323" s="39"/>
    </row>
    <row r="20324">
      <c r="D20324" s="39"/>
      <c r="E20324" s="39"/>
      <c r="F20324" s="39"/>
    </row>
    <row r="20325">
      <c r="D20325" s="39"/>
      <c r="E20325" s="39"/>
      <c r="F20325" s="39"/>
    </row>
    <row r="20326">
      <c r="D20326" s="39"/>
      <c r="E20326" s="39"/>
      <c r="F20326" s="39"/>
    </row>
    <row r="20327">
      <c r="D20327" s="39"/>
      <c r="E20327" s="39"/>
      <c r="F20327" s="39"/>
    </row>
    <row r="20328">
      <c r="D20328" s="39"/>
      <c r="E20328" s="39"/>
      <c r="F20328" s="39"/>
    </row>
    <row r="20329">
      <c r="D20329" s="39"/>
      <c r="E20329" s="39"/>
      <c r="F20329" s="39"/>
    </row>
    <row r="20330">
      <c r="D20330" s="39"/>
      <c r="E20330" s="39"/>
      <c r="F20330" s="39"/>
    </row>
    <row r="20331">
      <c r="D20331" s="39"/>
      <c r="E20331" s="39"/>
      <c r="F20331" s="39"/>
    </row>
    <row r="20332">
      <c r="D20332" s="39"/>
      <c r="E20332" s="39"/>
      <c r="F20332" s="39"/>
    </row>
    <row r="20333">
      <c r="D20333" s="39"/>
      <c r="E20333" s="39"/>
      <c r="F20333" s="39"/>
    </row>
    <row r="20334">
      <c r="D20334" s="39"/>
      <c r="E20334" s="39"/>
      <c r="F20334" s="39"/>
    </row>
    <row r="20335">
      <c r="D20335" s="39"/>
      <c r="E20335" s="39"/>
      <c r="F20335" s="39"/>
    </row>
    <row r="20336">
      <c r="D20336" s="39"/>
      <c r="E20336" s="39"/>
      <c r="F20336" s="39"/>
    </row>
    <row r="20337">
      <c r="D20337" s="39"/>
      <c r="E20337" s="39"/>
      <c r="F20337" s="39"/>
    </row>
    <row r="20338">
      <c r="D20338" s="39"/>
      <c r="E20338" s="39"/>
      <c r="F20338" s="39"/>
    </row>
    <row r="20339">
      <c r="D20339" s="39"/>
      <c r="E20339" s="39"/>
      <c r="F20339" s="39"/>
    </row>
    <row r="20340">
      <c r="D20340" s="39"/>
      <c r="E20340" s="39"/>
      <c r="F20340" s="39"/>
    </row>
    <row r="20341">
      <c r="D20341" s="39"/>
      <c r="E20341" s="39"/>
      <c r="F20341" s="39"/>
    </row>
    <row r="20342">
      <c r="D20342" s="39"/>
      <c r="E20342" s="39"/>
      <c r="F20342" s="39"/>
    </row>
    <row r="20343">
      <c r="D20343" s="39"/>
      <c r="E20343" s="39"/>
      <c r="F20343" s="39"/>
    </row>
    <row r="20344">
      <c r="D20344" s="39"/>
      <c r="E20344" s="39"/>
      <c r="F20344" s="39"/>
    </row>
    <row r="20345">
      <c r="D20345" s="39"/>
      <c r="E20345" s="39"/>
      <c r="F20345" s="39"/>
    </row>
    <row r="20346">
      <c r="D20346" s="39"/>
      <c r="E20346" s="39"/>
      <c r="F20346" s="39"/>
    </row>
    <row r="20347">
      <c r="D20347" s="39"/>
      <c r="E20347" s="39"/>
      <c r="F20347" s="39"/>
    </row>
    <row r="20348">
      <c r="D20348" s="39"/>
      <c r="E20348" s="39"/>
      <c r="F20348" s="39"/>
    </row>
    <row r="20349">
      <c r="D20349" s="39"/>
      <c r="E20349" s="39"/>
      <c r="F20349" s="39"/>
    </row>
    <row r="20350">
      <c r="D20350" s="39"/>
      <c r="E20350" s="39"/>
      <c r="F20350" s="39"/>
    </row>
    <row r="20351">
      <c r="D20351" s="39"/>
      <c r="E20351" s="39"/>
      <c r="F20351" s="39"/>
    </row>
    <row r="20352">
      <c r="D20352" s="39"/>
      <c r="E20352" s="39"/>
      <c r="F20352" s="39"/>
    </row>
    <row r="20353">
      <c r="D20353" s="39"/>
      <c r="E20353" s="39"/>
      <c r="F20353" s="39"/>
    </row>
    <row r="20354">
      <c r="D20354" s="39"/>
      <c r="E20354" s="39"/>
      <c r="F20354" s="39"/>
    </row>
    <row r="20355">
      <c r="D20355" s="39"/>
      <c r="E20355" s="39"/>
      <c r="F20355" s="39"/>
    </row>
    <row r="20356">
      <c r="D20356" s="39"/>
      <c r="E20356" s="39"/>
      <c r="F20356" s="39"/>
    </row>
    <row r="20357">
      <c r="D20357" s="39"/>
      <c r="E20357" s="39"/>
      <c r="F20357" s="39"/>
    </row>
    <row r="20358">
      <c r="D20358" s="39"/>
      <c r="E20358" s="39"/>
      <c r="F20358" s="39"/>
    </row>
    <row r="20359">
      <c r="D20359" s="39"/>
      <c r="E20359" s="39"/>
      <c r="F20359" s="39"/>
    </row>
    <row r="20360">
      <c r="D20360" s="39"/>
      <c r="E20360" s="39"/>
      <c r="F20360" s="39"/>
    </row>
    <row r="20361">
      <c r="D20361" s="39"/>
      <c r="E20361" s="39"/>
      <c r="F20361" s="39"/>
    </row>
    <row r="20362">
      <c r="D20362" s="39"/>
      <c r="E20362" s="39"/>
      <c r="F20362" s="39"/>
    </row>
    <row r="20363">
      <c r="D20363" s="39"/>
      <c r="E20363" s="39"/>
      <c r="F20363" s="39"/>
    </row>
    <row r="20364">
      <c r="D20364" s="39"/>
      <c r="E20364" s="39"/>
      <c r="F20364" s="39"/>
    </row>
    <row r="20365">
      <c r="D20365" s="39"/>
      <c r="E20365" s="39"/>
      <c r="F20365" s="39"/>
    </row>
    <row r="20366">
      <c r="D20366" s="39"/>
      <c r="E20366" s="39"/>
      <c r="F20366" s="39"/>
    </row>
    <row r="20367">
      <c r="D20367" s="39"/>
      <c r="E20367" s="39"/>
      <c r="F20367" s="39"/>
    </row>
    <row r="20368">
      <c r="D20368" s="39"/>
      <c r="E20368" s="39"/>
      <c r="F20368" s="39"/>
    </row>
    <row r="20369">
      <c r="D20369" s="39"/>
      <c r="E20369" s="39"/>
      <c r="F20369" s="39"/>
    </row>
    <row r="20370">
      <c r="D20370" s="39"/>
      <c r="E20370" s="39"/>
      <c r="F20370" s="39"/>
    </row>
    <row r="20371">
      <c r="D20371" s="39"/>
      <c r="E20371" s="39"/>
      <c r="F20371" s="39"/>
    </row>
    <row r="20372">
      <c r="D20372" s="39"/>
      <c r="E20372" s="39"/>
      <c r="F20372" s="39"/>
    </row>
    <row r="20373">
      <c r="D20373" s="39"/>
      <c r="E20373" s="39"/>
      <c r="F20373" s="39"/>
    </row>
    <row r="20374">
      <c r="D20374" s="39"/>
      <c r="E20374" s="39"/>
      <c r="F20374" s="39"/>
    </row>
    <row r="20375">
      <c r="D20375" s="39"/>
      <c r="E20375" s="39"/>
      <c r="F20375" s="39"/>
    </row>
    <row r="20376">
      <c r="D20376" s="39"/>
      <c r="E20376" s="39"/>
      <c r="F20376" s="39"/>
    </row>
    <row r="20377">
      <c r="D20377" s="39"/>
      <c r="E20377" s="39"/>
      <c r="F20377" s="39"/>
    </row>
    <row r="20378">
      <c r="D20378" s="39"/>
      <c r="E20378" s="39"/>
      <c r="F20378" s="39"/>
    </row>
    <row r="20379">
      <c r="D20379" s="39"/>
      <c r="E20379" s="39"/>
      <c r="F20379" s="39"/>
    </row>
    <row r="20380">
      <c r="D20380" s="39"/>
      <c r="E20380" s="39"/>
      <c r="F20380" s="39"/>
    </row>
    <row r="20381">
      <c r="D20381" s="39"/>
      <c r="E20381" s="39"/>
      <c r="F20381" s="39"/>
    </row>
    <row r="20382">
      <c r="D20382" s="39"/>
      <c r="E20382" s="39"/>
      <c r="F20382" s="39"/>
    </row>
    <row r="20383">
      <c r="D20383" s="39"/>
      <c r="E20383" s="39"/>
      <c r="F20383" s="39"/>
    </row>
    <row r="20384">
      <c r="D20384" s="39"/>
      <c r="E20384" s="39"/>
      <c r="F20384" s="39"/>
    </row>
    <row r="20385">
      <c r="D20385" s="39"/>
      <c r="E20385" s="39"/>
      <c r="F20385" s="39"/>
    </row>
    <row r="20386">
      <c r="D20386" s="39"/>
      <c r="E20386" s="39"/>
      <c r="F20386" s="39"/>
    </row>
    <row r="20387">
      <c r="D20387" s="39"/>
      <c r="E20387" s="39"/>
      <c r="F20387" s="39"/>
    </row>
    <row r="20388">
      <c r="D20388" s="39"/>
      <c r="E20388" s="39"/>
      <c r="F20388" s="39"/>
    </row>
    <row r="20389">
      <c r="D20389" s="39"/>
      <c r="E20389" s="39"/>
      <c r="F20389" s="39"/>
    </row>
    <row r="20390">
      <c r="D20390" s="39"/>
      <c r="E20390" s="39"/>
      <c r="F20390" s="39"/>
    </row>
    <row r="20391">
      <c r="D20391" s="39"/>
      <c r="E20391" s="39"/>
      <c r="F20391" s="39"/>
    </row>
    <row r="20392">
      <c r="D20392" s="39"/>
      <c r="E20392" s="39"/>
      <c r="F20392" s="39"/>
    </row>
    <row r="20393">
      <c r="D20393" s="39"/>
      <c r="E20393" s="39"/>
      <c r="F20393" s="39"/>
    </row>
    <row r="20394">
      <c r="D20394" s="39"/>
      <c r="E20394" s="39"/>
      <c r="F20394" s="39"/>
    </row>
    <row r="20395">
      <c r="D20395" s="39"/>
      <c r="E20395" s="39"/>
      <c r="F20395" s="39"/>
    </row>
    <row r="20396">
      <c r="D20396" s="39"/>
      <c r="E20396" s="39"/>
      <c r="F20396" s="39"/>
    </row>
    <row r="20397">
      <c r="D20397" s="39"/>
      <c r="E20397" s="39"/>
      <c r="F20397" s="39"/>
    </row>
    <row r="20398">
      <c r="D20398" s="39"/>
      <c r="E20398" s="39"/>
      <c r="F20398" s="39"/>
    </row>
    <row r="20399">
      <c r="D20399" s="39"/>
      <c r="E20399" s="39"/>
      <c r="F20399" s="39"/>
    </row>
    <row r="20400">
      <c r="D20400" s="39"/>
      <c r="E20400" s="39"/>
      <c r="F20400" s="39"/>
    </row>
    <row r="20401">
      <c r="D20401" s="39"/>
      <c r="E20401" s="39"/>
      <c r="F20401" s="39"/>
    </row>
    <row r="20402">
      <c r="D20402" s="39"/>
      <c r="E20402" s="39"/>
      <c r="F20402" s="39"/>
    </row>
    <row r="20403">
      <c r="D20403" s="39"/>
      <c r="E20403" s="39"/>
      <c r="F20403" s="39"/>
    </row>
    <row r="20404">
      <c r="D20404" s="39"/>
      <c r="E20404" s="39"/>
      <c r="F20404" s="39"/>
    </row>
    <row r="20405">
      <c r="D20405" s="39"/>
      <c r="E20405" s="39"/>
      <c r="F20405" s="39"/>
    </row>
    <row r="20406">
      <c r="D20406" s="39"/>
      <c r="E20406" s="39"/>
      <c r="F20406" s="39"/>
    </row>
    <row r="20407">
      <c r="D20407" s="39"/>
      <c r="E20407" s="39"/>
      <c r="F20407" s="39"/>
    </row>
    <row r="20408">
      <c r="D20408" s="39"/>
      <c r="E20408" s="39"/>
      <c r="F20408" s="39"/>
    </row>
    <row r="20409">
      <c r="D20409" s="39"/>
      <c r="E20409" s="39"/>
      <c r="F20409" s="39"/>
    </row>
    <row r="20410">
      <c r="D20410" s="39"/>
      <c r="E20410" s="39"/>
      <c r="F20410" s="39"/>
    </row>
    <row r="20411">
      <c r="D20411" s="39"/>
      <c r="E20411" s="39"/>
      <c r="F20411" s="39"/>
    </row>
    <row r="20412">
      <c r="D20412" s="39"/>
      <c r="E20412" s="39"/>
      <c r="F20412" s="39"/>
    </row>
    <row r="20413">
      <c r="D20413" s="39"/>
      <c r="E20413" s="39"/>
      <c r="F20413" s="39"/>
    </row>
    <row r="20414">
      <c r="D20414" s="39"/>
      <c r="E20414" s="39"/>
      <c r="F20414" s="39"/>
    </row>
    <row r="20415">
      <c r="D20415" s="39"/>
      <c r="E20415" s="39"/>
      <c r="F20415" s="39"/>
    </row>
    <row r="20416">
      <c r="D20416" s="39"/>
      <c r="E20416" s="39"/>
      <c r="F20416" s="39"/>
    </row>
    <row r="20417">
      <c r="D20417" s="39"/>
      <c r="E20417" s="39"/>
      <c r="F20417" s="39"/>
    </row>
    <row r="20418">
      <c r="D20418" s="39"/>
      <c r="E20418" s="39"/>
      <c r="F20418" s="39"/>
    </row>
    <row r="20419">
      <c r="D20419" s="39"/>
      <c r="E20419" s="39"/>
      <c r="F20419" s="39"/>
    </row>
    <row r="20420">
      <c r="D20420" s="39"/>
      <c r="E20420" s="39"/>
      <c r="F20420" s="39"/>
    </row>
    <row r="20421">
      <c r="D20421" s="39"/>
      <c r="E20421" s="39"/>
      <c r="F20421" s="39"/>
    </row>
    <row r="20422">
      <c r="D20422" s="39"/>
      <c r="E20422" s="39"/>
      <c r="F20422" s="39"/>
    </row>
    <row r="20423">
      <c r="D20423" s="39"/>
      <c r="E20423" s="39"/>
      <c r="F20423" s="39"/>
    </row>
    <row r="20424">
      <c r="D20424" s="39"/>
      <c r="E20424" s="39"/>
      <c r="F20424" s="39"/>
    </row>
    <row r="20425">
      <c r="D20425" s="39"/>
      <c r="E20425" s="39"/>
      <c r="F20425" s="39"/>
    </row>
    <row r="20426">
      <c r="D20426" s="39"/>
      <c r="E20426" s="39"/>
      <c r="F20426" s="39"/>
    </row>
    <row r="20427">
      <c r="D20427" s="39"/>
      <c r="E20427" s="39"/>
      <c r="F20427" s="39"/>
    </row>
    <row r="20428">
      <c r="D20428" s="39"/>
      <c r="E20428" s="39"/>
      <c r="F20428" s="39"/>
    </row>
    <row r="20429">
      <c r="D20429" s="39"/>
      <c r="E20429" s="39"/>
      <c r="F20429" s="39"/>
    </row>
    <row r="20430">
      <c r="D20430" s="39"/>
      <c r="E20430" s="39"/>
      <c r="F20430" s="39"/>
    </row>
    <row r="20431">
      <c r="D20431" s="39"/>
      <c r="E20431" s="39"/>
      <c r="F20431" s="39"/>
    </row>
    <row r="20432">
      <c r="D20432" s="39"/>
      <c r="E20432" s="39"/>
      <c r="F20432" s="39"/>
    </row>
    <row r="20433">
      <c r="D20433" s="39"/>
      <c r="E20433" s="39"/>
      <c r="F20433" s="39"/>
    </row>
    <row r="20434">
      <c r="D20434" s="39"/>
      <c r="E20434" s="39"/>
      <c r="F20434" s="39"/>
    </row>
    <row r="20435">
      <c r="D20435" s="39"/>
      <c r="E20435" s="39"/>
      <c r="F20435" s="39"/>
    </row>
    <row r="20436">
      <c r="D20436" s="39"/>
      <c r="E20436" s="39"/>
      <c r="F20436" s="39"/>
    </row>
    <row r="20437">
      <c r="D20437" s="39"/>
      <c r="E20437" s="39"/>
      <c r="F20437" s="39"/>
    </row>
    <row r="20438">
      <c r="D20438" s="39"/>
      <c r="E20438" s="39"/>
      <c r="F20438" s="39"/>
    </row>
    <row r="20439">
      <c r="D20439" s="39"/>
      <c r="E20439" s="39"/>
      <c r="F20439" s="39"/>
    </row>
    <row r="20440">
      <c r="D20440" s="39"/>
      <c r="E20440" s="39"/>
      <c r="F20440" s="39"/>
    </row>
    <row r="20441">
      <c r="D20441" s="39"/>
      <c r="E20441" s="39"/>
      <c r="F20441" s="39"/>
    </row>
    <row r="20442">
      <c r="D20442" s="39"/>
      <c r="E20442" s="39"/>
      <c r="F20442" s="39"/>
    </row>
    <row r="20443">
      <c r="D20443" s="39"/>
      <c r="E20443" s="39"/>
      <c r="F20443" s="39"/>
    </row>
    <row r="20444">
      <c r="D20444" s="39"/>
      <c r="E20444" s="39"/>
      <c r="F20444" s="39"/>
    </row>
    <row r="20445">
      <c r="D20445" s="39"/>
      <c r="E20445" s="39"/>
      <c r="F20445" s="39"/>
    </row>
    <row r="20446">
      <c r="D20446" s="39"/>
      <c r="E20446" s="39"/>
      <c r="F20446" s="39"/>
    </row>
    <row r="20447">
      <c r="D20447" s="39"/>
      <c r="E20447" s="39"/>
      <c r="F20447" s="39"/>
    </row>
    <row r="20448">
      <c r="D20448" s="39"/>
      <c r="E20448" s="39"/>
      <c r="F20448" s="39"/>
    </row>
    <row r="20449">
      <c r="D20449" s="39"/>
      <c r="E20449" s="39"/>
      <c r="F20449" s="39"/>
    </row>
    <row r="20450">
      <c r="D20450" s="39"/>
      <c r="E20450" s="39"/>
      <c r="F20450" s="39"/>
    </row>
    <row r="20451">
      <c r="D20451" s="39"/>
      <c r="E20451" s="39"/>
      <c r="F20451" s="39"/>
    </row>
    <row r="20452">
      <c r="D20452" s="39"/>
      <c r="E20452" s="39"/>
      <c r="F20452" s="39"/>
    </row>
    <row r="20453">
      <c r="D20453" s="39"/>
      <c r="E20453" s="39"/>
      <c r="F20453" s="39"/>
    </row>
    <row r="20454">
      <c r="D20454" s="39"/>
      <c r="E20454" s="39"/>
      <c r="F20454" s="39"/>
    </row>
    <row r="20455">
      <c r="D20455" s="39"/>
      <c r="E20455" s="39"/>
      <c r="F20455" s="39"/>
    </row>
    <row r="20456">
      <c r="D20456" s="39"/>
      <c r="E20456" s="39"/>
      <c r="F20456" s="39"/>
    </row>
    <row r="20457">
      <c r="D20457" s="39"/>
      <c r="E20457" s="39"/>
      <c r="F20457" s="39"/>
    </row>
    <row r="20458">
      <c r="D20458" s="39"/>
      <c r="E20458" s="39"/>
      <c r="F20458" s="39"/>
    </row>
    <row r="20459">
      <c r="D20459" s="39"/>
      <c r="E20459" s="39"/>
      <c r="F20459" s="39"/>
    </row>
    <row r="20460">
      <c r="D20460" s="39"/>
      <c r="E20460" s="39"/>
      <c r="F20460" s="39"/>
    </row>
    <row r="20461">
      <c r="D20461" s="39"/>
      <c r="E20461" s="39"/>
      <c r="F20461" s="39"/>
    </row>
    <row r="20462">
      <c r="D20462" s="39"/>
      <c r="E20462" s="39"/>
      <c r="F20462" s="39"/>
    </row>
    <row r="20463">
      <c r="D20463" s="39"/>
      <c r="E20463" s="39"/>
      <c r="F20463" s="39"/>
    </row>
    <row r="20464">
      <c r="D20464" s="39"/>
      <c r="E20464" s="39"/>
      <c r="F20464" s="39"/>
    </row>
    <row r="20465">
      <c r="D20465" s="39"/>
      <c r="E20465" s="39"/>
      <c r="F20465" s="39"/>
    </row>
    <row r="20466">
      <c r="D20466" s="39"/>
      <c r="E20466" s="39"/>
      <c r="F20466" s="39"/>
    </row>
    <row r="20467">
      <c r="D20467" s="39"/>
      <c r="E20467" s="39"/>
      <c r="F20467" s="39"/>
    </row>
    <row r="20468">
      <c r="D20468" s="39"/>
      <c r="E20468" s="39"/>
      <c r="F20468" s="39"/>
    </row>
    <row r="20469">
      <c r="D20469" s="39"/>
      <c r="E20469" s="39"/>
      <c r="F20469" s="39"/>
    </row>
    <row r="20470">
      <c r="D20470" s="39"/>
      <c r="E20470" s="39"/>
      <c r="F20470" s="39"/>
    </row>
    <row r="20471">
      <c r="D20471" s="39"/>
      <c r="E20471" s="39"/>
      <c r="F20471" s="39"/>
    </row>
    <row r="20472">
      <c r="D20472" s="39"/>
      <c r="E20472" s="39"/>
      <c r="F20472" s="39"/>
    </row>
    <row r="20473">
      <c r="D20473" s="39"/>
      <c r="E20473" s="39"/>
      <c r="F20473" s="39"/>
    </row>
    <row r="20474">
      <c r="D20474" s="39"/>
      <c r="E20474" s="39"/>
      <c r="F20474" s="39"/>
    </row>
    <row r="20475">
      <c r="D20475" s="39"/>
      <c r="E20475" s="39"/>
      <c r="F20475" s="39"/>
    </row>
    <row r="20476">
      <c r="D20476" s="39"/>
      <c r="E20476" s="39"/>
      <c r="F20476" s="39"/>
    </row>
    <row r="20477">
      <c r="D20477" s="39"/>
      <c r="E20477" s="39"/>
      <c r="F20477" s="39"/>
    </row>
    <row r="20478">
      <c r="D20478" s="39"/>
      <c r="E20478" s="39"/>
      <c r="F20478" s="39"/>
    </row>
    <row r="20479">
      <c r="D20479" s="39"/>
      <c r="E20479" s="39"/>
      <c r="F20479" s="39"/>
    </row>
    <row r="20480">
      <c r="D20480" s="39"/>
      <c r="E20480" s="39"/>
      <c r="F20480" s="39"/>
    </row>
    <row r="20481">
      <c r="D20481" s="39"/>
      <c r="E20481" s="39"/>
      <c r="F20481" s="39"/>
    </row>
    <row r="20482">
      <c r="D20482" s="39"/>
      <c r="E20482" s="39"/>
      <c r="F20482" s="39"/>
    </row>
    <row r="20483">
      <c r="D20483" s="39"/>
      <c r="E20483" s="39"/>
      <c r="F20483" s="39"/>
    </row>
    <row r="20484">
      <c r="D20484" s="39"/>
      <c r="E20484" s="39"/>
      <c r="F20484" s="39"/>
    </row>
    <row r="20485">
      <c r="D20485" s="39"/>
      <c r="E20485" s="39"/>
      <c r="F20485" s="39"/>
    </row>
    <row r="20486">
      <c r="D20486" s="39"/>
      <c r="E20486" s="39"/>
      <c r="F20486" s="39"/>
    </row>
    <row r="20487">
      <c r="D20487" s="39"/>
      <c r="E20487" s="39"/>
      <c r="F20487" s="39"/>
    </row>
    <row r="20488">
      <c r="D20488" s="39"/>
      <c r="E20488" s="39"/>
      <c r="F20488" s="39"/>
    </row>
    <row r="20489">
      <c r="D20489" s="39"/>
      <c r="E20489" s="39"/>
      <c r="F20489" s="39"/>
    </row>
    <row r="20490">
      <c r="D20490" s="39"/>
      <c r="E20490" s="39"/>
      <c r="F20490" s="39"/>
    </row>
    <row r="20491">
      <c r="D20491" s="39"/>
      <c r="E20491" s="39"/>
      <c r="F20491" s="39"/>
    </row>
    <row r="20492">
      <c r="D20492" s="39"/>
      <c r="E20492" s="39"/>
      <c r="F20492" s="39"/>
    </row>
    <row r="20493">
      <c r="D20493" s="39"/>
      <c r="E20493" s="39"/>
      <c r="F20493" s="39"/>
    </row>
    <row r="20494">
      <c r="D20494" s="39"/>
      <c r="E20494" s="39"/>
      <c r="F20494" s="39"/>
    </row>
    <row r="20495">
      <c r="D20495" s="39"/>
      <c r="E20495" s="39"/>
      <c r="F20495" s="39"/>
    </row>
    <row r="20496">
      <c r="D20496" s="39"/>
      <c r="E20496" s="39"/>
      <c r="F20496" s="39"/>
    </row>
    <row r="20497">
      <c r="D20497" s="39"/>
      <c r="E20497" s="39"/>
      <c r="F20497" s="39"/>
    </row>
    <row r="20498">
      <c r="D20498" s="39"/>
      <c r="E20498" s="39"/>
      <c r="F20498" s="39"/>
    </row>
    <row r="20499">
      <c r="D20499" s="39"/>
      <c r="E20499" s="39"/>
      <c r="F20499" s="39"/>
    </row>
    <row r="20500">
      <c r="D20500" s="39"/>
      <c r="E20500" s="39"/>
      <c r="F20500" s="39"/>
    </row>
    <row r="20501">
      <c r="D20501" s="39"/>
      <c r="E20501" s="39"/>
      <c r="F20501" s="39"/>
    </row>
    <row r="20502">
      <c r="D20502" s="39"/>
      <c r="E20502" s="39"/>
      <c r="F20502" s="39"/>
    </row>
    <row r="20503">
      <c r="D20503" s="39"/>
      <c r="E20503" s="39"/>
      <c r="F20503" s="39"/>
    </row>
    <row r="20504">
      <c r="D20504" s="39"/>
      <c r="E20504" s="39"/>
      <c r="F20504" s="39"/>
    </row>
    <row r="20505">
      <c r="D20505" s="39"/>
      <c r="E20505" s="39"/>
      <c r="F20505" s="39"/>
    </row>
    <row r="20506">
      <c r="D20506" s="39"/>
      <c r="E20506" s="39"/>
      <c r="F20506" s="39"/>
    </row>
    <row r="20507">
      <c r="D20507" s="39"/>
      <c r="E20507" s="39"/>
      <c r="F20507" s="39"/>
    </row>
    <row r="20508">
      <c r="D20508" s="39"/>
      <c r="E20508" s="39"/>
      <c r="F20508" s="39"/>
    </row>
    <row r="20509">
      <c r="D20509" s="39"/>
      <c r="E20509" s="39"/>
      <c r="F20509" s="39"/>
    </row>
    <row r="20510">
      <c r="D20510" s="39"/>
      <c r="E20510" s="39"/>
      <c r="F20510" s="39"/>
    </row>
    <row r="20511">
      <c r="D20511" s="39"/>
      <c r="E20511" s="39"/>
      <c r="F20511" s="39"/>
    </row>
    <row r="20512">
      <c r="D20512" s="39"/>
      <c r="E20512" s="39"/>
      <c r="F20512" s="39"/>
    </row>
    <row r="20513">
      <c r="D20513" s="39"/>
      <c r="E20513" s="39"/>
      <c r="F20513" s="39"/>
    </row>
    <row r="20514">
      <c r="D20514" s="39"/>
      <c r="E20514" s="39"/>
      <c r="F20514" s="39"/>
    </row>
    <row r="20515">
      <c r="D20515" s="39"/>
      <c r="E20515" s="39"/>
      <c r="F20515" s="39"/>
    </row>
    <row r="20516">
      <c r="D20516" s="39"/>
      <c r="E20516" s="39"/>
      <c r="F20516" s="39"/>
    </row>
    <row r="20517">
      <c r="D20517" s="39"/>
      <c r="E20517" s="39"/>
      <c r="F20517" s="39"/>
    </row>
    <row r="20518">
      <c r="D20518" s="39"/>
      <c r="E20518" s="39"/>
      <c r="F20518" s="39"/>
    </row>
    <row r="20519">
      <c r="D20519" s="39"/>
      <c r="E20519" s="39"/>
      <c r="F20519" s="39"/>
    </row>
    <row r="20520">
      <c r="D20520" s="39"/>
      <c r="E20520" s="39"/>
      <c r="F20520" s="39"/>
    </row>
    <row r="20521">
      <c r="D20521" s="39"/>
      <c r="E20521" s="39"/>
      <c r="F20521" s="39"/>
    </row>
    <row r="20522">
      <c r="D20522" s="39"/>
      <c r="E20522" s="39"/>
      <c r="F20522" s="39"/>
    </row>
    <row r="20523">
      <c r="D20523" s="39"/>
      <c r="E20523" s="39"/>
      <c r="F20523" s="39"/>
    </row>
    <row r="20524">
      <c r="D20524" s="39"/>
      <c r="E20524" s="39"/>
      <c r="F20524" s="39"/>
    </row>
    <row r="20525">
      <c r="D20525" s="39"/>
      <c r="E20525" s="39"/>
      <c r="F20525" s="39"/>
    </row>
    <row r="20526">
      <c r="D20526" s="39"/>
      <c r="E20526" s="39"/>
      <c r="F20526" s="39"/>
    </row>
    <row r="20527">
      <c r="D20527" s="39"/>
      <c r="E20527" s="39"/>
      <c r="F20527" s="39"/>
    </row>
    <row r="20528">
      <c r="D20528" s="39"/>
      <c r="E20528" s="39"/>
      <c r="F20528" s="39"/>
    </row>
    <row r="20529">
      <c r="D20529" s="39"/>
      <c r="E20529" s="39"/>
      <c r="F20529" s="39"/>
    </row>
    <row r="20530">
      <c r="D20530" s="39"/>
      <c r="E20530" s="39"/>
      <c r="F20530" s="39"/>
    </row>
    <row r="20531">
      <c r="D20531" s="39"/>
      <c r="E20531" s="39"/>
      <c r="F20531" s="39"/>
    </row>
    <row r="20532">
      <c r="D20532" s="39"/>
      <c r="E20532" s="39"/>
      <c r="F20532" s="39"/>
    </row>
    <row r="20533">
      <c r="D20533" s="39"/>
      <c r="E20533" s="39"/>
      <c r="F20533" s="39"/>
    </row>
    <row r="20534">
      <c r="D20534" s="39"/>
      <c r="E20534" s="39"/>
      <c r="F20534" s="39"/>
    </row>
    <row r="20535">
      <c r="D20535" s="39"/>
      <c r="E20535" s="39"/>
      <c r="F20535" s="39"/>
    </row>
    <row r="20536">
      <c r="D20536" s="39"/>
      <c r="E20536" s="39"/>
      <c r="F20536" s="39"/>
    </row>
    <row r="20537">
      <c r="D20537" s="39"/>
      <c r="E20537" s="39"/>
      <c r="F20537" s="39"/>
    </row>
    <row r="20538">
      <c r="D20538" s="39"/>
      <c r="E20538" s="39"/>
      <c r="F20538" s="39"/>
    </row>
    <row r="20539">
      <c r="D20539" s="39"/>
      <c r="E20539" s="39"/>
      <c r="F20539" s="39"/>
    </row>
    <row r="20540">
      <c r="D20540" s="39"/>
      <c r="E20540" s="39"/>
      <c r="F20540" s="39"/>
    </row>
    <row r="20541">
      <c r="D20541" s="39"/>
      <c r="E20541" s="39"/>
      <c r="F20541" s="39"/>
    </row>
    <row r="20542">
      <c r="D20542" s="39"/>
      <c r="E20542" s="39"/>
      <c r="F20542" s="39"/>
    </row>
    <row r="20543">
      <c r="D20543" s="39"/>
      <c r="E20543" s="39"/>
      <c r="F20543" s="39"/>
    </row>
    <row r="20544">
      <c r="D20544" s="39"/>
      <c r="E20544" s="39"/>
      <c r="F20544" s="39"/>
    </row>
    <row r="20545">
      <c r="D20545" s="39"/>
      <c r="E20545" s="39"/>
      <c r="F20545" s="39"/>
    </row>
    <row r="20546">
      <c r="D20546" s="39"/>
      <c r="E20546" s="39"/>
      <c r="F20546" s="39"/>
    </row>
    <row r="20547">
      <c r="D20547" s="39"/>
      <c r="E20547" s="39"/>
      <c r="F20547" s="39"/>
    </row>
    <row r="20548">
      <c r="D20548" s="39"/>
      <c r="E20548" s="39"/>
      <c r="F20548" s="39"/>
    </row>
    <row r="20549">
      <c r="D20549" s="39"/>
      <c r="E20549" s="39"/>
      <c r="F20549" s="39"/>
    </row>
    <row r="20550">
      <c r="D20550" s="39"/>
      <c r="E20550" s="39"/>
      <c r="F20550" s="39"/>
    </row>
    <row r="20551">
      <c r="D20551" s="39"/>
      <c r="E20551" s="39"/>
      <c r="F20551" s="39"/>
    </row>
    <row r="20552">
      <c r="D20552" s="39"/>
      <c r="E20552" s="39"/>
      <c r="F20552" s="39"/>
    </row>
    <row r="20553">
      <c r="D20553" s="39"/>
      <c r="E20553" s="39"/>
      <c r="F20553" s="39"/>
    </row>
    <row r="20554">
      <c r="D20554" s="39"/>
      <c r="E20554" s="39"/>
      <c r="F20554" s="39"/>
    </row>
    <row r="20555">
      <c r="D20555" s="39"/>
      <c r="E20555" s="39"/>
      <c r="F20555" s="39"/>
    </row>
    <row r="20556">
      <c r="D20556" s="39"/>
      <c r="E20556" s="39"/>
      <c r="F20556" s="39"/>
    </row>
    <row r="20557">
      <c r="D20557" s="39"/>
      <c r="E20557" s="39"/>
      <c r="F20557" s="39"/>
    </row>
    <row r="20558">
      <c r="D20558" s="39"/>
      <c r="E20558" s="39"/>
      <c r="F20558" s="39"/>
    </row>
    <row r="20559">
      <c r="D20559" s="39"/>
      <c r="E20559" s="39"/>
      <c r="F20559" s="39"/>
    </row>
    <row r="20560">
      <c r="D20560" s="39"/>
      <c r="E20560" s="39"/>
      <c r="F20560" s="39"/>
    </row>
    <row r="20561">
      <c r="D20561" s="39"/>
      <c r="E20561" s="39"/>
      <c r="F20561" s="39"/>
    </row>
    <row r="20562">
      <c r="D20562" s="39"/>
      <c r="E20562" s="39"/>
      <c r="F20562" s="39"/>
    </row>
    <row r="20563">
      <c r="D20563" s="39"/>
      <c r="E20563" s="39"/>
      <c r="F20563" s="39"/>
    </row>
    <row r="20564">
      <c r="D20564" s="39"/>
      <c r="E20564" s="39"/>
      <c r="F20564" s="39"/>
    </row>
    <row r="20565">
      <c r="D20565" s="39"/>
      <c r="E20565" s="39"/>
      <c r="F20565" s="39"/>
    </row>
    <row r="20566">
      <c r="D20566" s="39"/>
      <c r="E20566" s="39"/>
      <c r="F20566" s="39"/>
    </row>
    <row r="20567">
      <c r="D20567" s="39"/>
      <c r="E20567" s="39"/>
      <c r="F20567" s="39"/>
    </row>
    <row r="20568">
      <c r="D20568" s="39"/>
      <c r="E20568" s="39"/>
      <c r="F20568" s="39"/>
    </row>
    <row r="20569">
      <c r="D20569" s="39"/>
      <c r="E20569" s="39"/>
      <c r="F20569" s="39"/>
    </row>
    <row r="20570">
      <c r="D20570" s="39"/>
      <c r="E20570" s="39"/>
      <c r="F20570" s="39"/>
    </row>
    <row r="20571">
      <c r="D20571" s="39"/>
      <c r="E20571" s="39"/>
      <c r="F20571" s="39"/>
    </row>
    <row r="20572">
      <c r="D20572" s="39"/>
      <c r="E20572" s="39"/>
      <c r="F20572" s="39"/>
    </row>
    <row r="20573">
      <c r="D20573" s="39"/>
      <c r="E20573" s="39"/>
      <c r="F20573" s="39"/>
    </row>
    <row r="20574">
      <c r="D20574" s="39"/>
      <c r="E20574" s="39"/>
      <c r="F20574" s="39"/>
    </row>
    <row r="20575">
      <c r="D20575" s="39"/>
      <c r="E20575" s="39"/>
      <c r="F20575" s="39"/>
    </row>
    <row r="20576">
      <c r="D20576" s="39"/>
      <c r="E20576" s="39"/>
      <c r="F20576" s="39"/>
    </row>
    <row r="20577">
      <c r="D20577" s="39"/>
      <c r="E20577" s="39"/>
      <c r="F20577" s="39"/>
    </row>
    <row r="20578">
      <c r="D20578" s="39"/>
      <c r="E20578" s="39"/>
      <c r="F20578" s="39"/>
    </row>
    <row r="20579">
      <c r="D20579" s="39"/>
      <c r="E20579" s="39"/>
      <c r="F20579" s="39"/>
    </row>
    <row r="20580">
      <c r="D20580" s="39"/>
      <c r="E20580" s="39"/>
      <c r="F20580" s="39"/>
    </row>
    <row r="20581">
      <c r="D20581" s="39"/>
      <c r="E20581" s="39"/>
      <c r="F20581" s="39"/>
    </row>
    <row r="20582">
      <c r="D20582" s="39"/>
      <c r="E20582" s="39"/>
      <c r="F20582" s="39"/>
    </row>
    <row r="20583">
      <c r="D20583" s="39"/>
      <c r="E20583" s="39"/>
      <c r="F20583" s="39"/>
    </row>
    <row r="20584">
      <c r="D20584" s="39"/>
      <c r="E20584" s="39"/>
      <c r="F20584" s="39"/>
    </row>
    <row r="20585">
      <c r="D20585" s="39"/>
      <c r="E20585" s="39"/>
      <c r="F20585" s="39"/>
    </row>
    <row r="20586">
      <c r="D20586" s="39"/>
      <c r="E20586" s="39"/>
      <c r="F20586" s="39"/>
    </row>
    <row r="20587">
      <c r="D20587" s="39"/>
      <c r="E20587" s="39"/>
      <c r="F20587" s="39"/>
    </row>
    <row r="20588">
      <c r="D20588" s="39"/>
      <c r="E20588" s="39"/>
      <c r="F20588" s="39"/>
    </row>
    <row r="20589">
      <c r="D20589" s="39"/>
      <c r="E20589" s="39"/>
      <c r="F20589" s="39"/>
    </row>
    <row r="20590">
      <c r="D20590" s="39"/>
      <c r="E20590" s="39"/>
      <c r="F20590" s="39"/>
    </row>
    <row r="20591">
      <c r="D20591" s="39"/>
      <c r="E20591" s="39"/>
      <c r="F20591" s="39"/>
    </row>
    <row r="20592">
      <c r="D20592" s="39"/>
      <c r="E20592" s="39"/>
      <c r="F20592" s="39"/>
    </row>
    <row r="20593">
      <c r="D20593" s="39"/>
      <c r="E20593" s="39"/>
      <c r="F20593" s="39"/>
    </row>
    <row r="20594">
      <c r="D20594" s="39"/>
      <c r="E20594" s="39"/>
      <c r="F20594" s="39"/>
    </row>
    <row r="20595">
      <c r="D20595" s="39"/>
      <c r="E20595" s="39"/>
      <c r="F20595" s="39"/>
    </row>
    <row r="20596">
      <c r="D20596" s="39"/>
      <c r="E20596" s="39"/>
      <c r="F20596" s="39"/>
    </row>
    <row r="20597">
      <c r="D20597" s="39"/>
      <c r="E20597" s="39"/>
      <c r="F20597" s="39"/>
    </row>
    <row r="20598">
      <c r="D20598" s="39"/>
      <c r="E20598" s="39"/>
      <c r="F20598" s="39"/>
    </row>
    <row r="20599">
      <c r="D20599" s="39"/>
      <c r="E20599" s="39"/>
      <c r="F20599" s="39"/>
    </row>
    <row r="20600">
      <c r="D20600" s="39"/>
      <c r="E20600" s="39"/>
      <c r="F20600" s="39"/>
    </row>
    <row r="20601">
      <c r="D20601" s="39"/>
      <c r="E20601" s="39"/>
      <c r="F20601" s="39"/>
    </row>
    <row r="20602">
      <c r="D20602" s="39"/>
      <c r="E20602" s="39"/>
      <c r="F20602" s="39"/>
    </row>
    <row r="20603">
      <c r="D20603" s="39"/>
      <c r="E20603" s="39"/>
      <c r="F20603" s="39"/>
    </row>
    <row r="20604">
      <c r="D20604" s="39"/>
      <c r="E20604" s="39"/>
      <c r="F20604" s="39"/>
    </row>
    <row r="20605">
      <c r="D20605" s="39"/>
      <c r="E20605" s="39"/>
      <c r="F20605" s="39"/>
    </row>
    <row r="20606">
      <c r="D20606" s="39"/>
      <c r="E20606" s="39"/>
      <c r="F20606" s="39"/>
    </row>
    <row r="20607">
      <c r="D20607" s="39"/>
      <c r="E20607" s="39"/>
      <c r="F20607" s="39"/>
    </row>
    <row r="20608">
      <c r="D20608" s="39"/>
      <c r="E20608" s="39"/>
      <c r="F20608" s="39"/>
    </row>
    <row r="20609">
      <c r="D20609" s="39"/>
      <c r="E20609" s="39"/>
      <c r="F20609" s="39"/>
    </row>
    <row r="20610">
      <c r="D20610" s="39"/>
      <c r="E20610" s="39"/>
      <c r="F20610" s="39"/>
    </row>
    <row r="20611">
      <c r="D20611" s="39"/>
      <c r="E20611" s="39"/>
      <c r="F20611" s="39"/>
    </row>
    <row r="20612">
      <c r="D20612" s="39"/>
      <c r="E20612" s="39"/>
      <c r="F20612" s="39"/>
    </row>
    <row r="20613">
      <c r="D20613" s="39"/>
      <c r="E20613" s="39"/>
      <c r="F20613" s="39"/>
    </row>
    <row r="20614">
      <c r="D20614" s="39"/>
      <c r="E20614" s="39"/>
      <c r="F20614" s="39"/>
    </row>
    <row r="20615">
      <c r="D20615" s="39"/>
      <c r="E20615" s="39"/>
      <c r="F20615" s="39"/>
    </row>
    <row r="20616">
      <c r="D20616" s="39"/>
      <c r="E20616" s="39"/>
      <c r="F20616" s="39"/>
    </row>
    <row r="20617">
      <c r="D20617" s="39"/>
      <c r="E20617" s="39"/>
      <c r="F20617" s="39"/>
    </row>
    <row r="20618">
      <c r="D20618" s="39"/>
      <c r="E20618" s="39"/>
      <c r="F20618" s="39"/>
    </row>
    <row r="20619">
      <c r="D20619" s="39"/>
      <c r="E20619" s="39"/>
      <c r="F20619" s="39"/>
    </row>
    <row r="20620">
      <c r="D20620" s="39"/>
      <c r="E20620" s="39"/>
      <c r="F20620" s="39"/>
    </row>
    <row r="20621">
      <c r="D20621" s="39"/>
      <c r="E20621" s="39"/>
      <c r="F20621" s="39"/>
    </row>
    <row r="20622">
      <c r="D20622" s="39"/>
      <c r="E20622" s="39"/>
      <c r="F20622" s="39"/>
    </row>
    <row r="20623">
      <c r="D20623" s="39"/>
      <c r="E20623" s="39"/>
      <c r="F20623" s="39"/>
    </row>
    <row r="20624">
      <c r="D20624" s="39"/>
      <c r="E20624" s="39"/>
      <c r="F20624" s="39"/>
    </row>
    <row r="20625">
      <c r="D20625" s="39"/>
      <c r="E20625" s="39"/>
      <c r="F20625" s="39"/>
    </row>
    <row r="20626">
      <c r="D20626" s="39"/>
      <c r="E20626" s="39"/>
      <c r="F20626" s="39"/>
    </row>
    <row r="20627">
      <c r="D20627" s="39"/>
      <c r="E20627" s="39"/>
      <c r="F20627" s="39"/>
    </row>
    <row r="20628">
      <c r="D20628" s="39"/>
      <c r="E20628" s="39"/>
      <c r="F20628" s="39"/>
    </row>
    <row r="20629">
      <c r="D20629" s="39"/>
      <c r="E20629" s="39"/>
      <c r="F20629" s="39"/>
    </row>
    <row r="20630">
      <c r="D20630" s="39"/>
      <c r="E20630" s="39"/>
      <c r="F20630" s="39"/>
    </row>
    <row r="20631">
      <c r="D20631" s="39"/>
      <c r="E20631" s="39"/>
      <c r="F20631" s="39"/>
    </row>
    <row r="20632">
      <c r="D20632" s="39"/>
      <c r="E20632" s="39"/>
      <c r="F20632" s="39"/>
    </row>
    <row r="20633">
      <c r="D20633" s="39"/>
      <c r="E20633" s="39"/>
      <c r="F20633" s="39"/>
    </row>
    <row r="20634">
      <c r="D20634" s="39"/>
      <c r="E20634" s="39"/>
      <c r="F20634" s="39"/>
    </row>
    <row r="20635">
      <c r="D20635" s="39"/>
      <c r="E20635" s="39"/>
      <c r="F20635" s="39"/>
    </row>
    <row r="20636">
      <c r="D20636" s="39"/>
      <c r="E20636" s="39"/>
      <c r="F20636" s="39"/>
    </row>
    <row r="20637">
      <c r="D20637" s="39"/>
      <c r="E20637" s="39"/>
      <c r="F20637" s="39"/>
    </row>
    <row r="20638">
      <c r="D20638" s="39"/>
      <c r="E20638" s="39"/>
      <c r="F20638" s="39"/>
    </row>
    <row r="20639">
      <c r="D20639" s="39"/>
      <c r="E20639" s="39"/>
      <c r="F20639" s="39"/>
    </row>
    <row r="20640">
      <c r="D20640" s="39"/>
      <c r="E20640" s="39"/>
      <c r="F20640" s="39"/>
    </row>
    <row r="20641">
      <c r="D20641" s="39"/>
      <c r="E20641" s="39"/>
      <c r="F20641" s="39"/>
    </row>
    <row r="20642">
      <c r="D20642" s="39"/>
      <c r="E20642" s="39"/>
      <c r="F20642" s="39"/>
    </row>
    <row r="20643">
      <c r="D20643" s="39"/>
      <c r="E20643" s="39"/>
      <c r="F20643" s="39"/>
    </row>
    <row r="20644">
      <c r="D20644" s="39"/>
      <c r="E20644" s="39"/>
      <c r="F20644" s="39"/>
    </row>
    <row r="20645">
      <c r="D20645" s="39"/>
      <c r="E20645" s="39"/>
      <c r="F20645" s="39"/>
    </row>
    <row r="20646">
      <c r="D20646" s="39"/>
      <c r="E20646" s="39"/>
      <c r="F20646" s="39"/>
    </row>
    <row r="20647">
      <c r="D20647" s="39"/>
      <c r="E20647" s="39"/>
      <c r="F20647" s="39"/>
    </row>
    <row r="20648">
      <c r="D20648" s="39"/>
      <c r="E20648" s="39"/>
      <c r="F20648" s="39"/>
    </row>
    <row r="20649">
      <c r="D20649" s="39"/>
      <c r="E20649" s="39"/>
      <c r="F20649" s="39"/>
    </row>
    <row r="20650">
      <c r="D20650" s="39"/>
      <c r="E20650" s="39"/>
      <c r="F20650" s="39"/>
    </row>
    <row r="20651">
      <c r="D20651" s="39"/>
      <c r="E20651" s="39"/>
      <c r="F20651" s="39"/>
    </row>
    <row r="20652">
      <c r="D20652" s="39"/>
      <c r="E20652" s="39"/>
      <c r="F20652" s="39"/>
    </row>
    <row r="20653">
      <c r="D20653" s="39"/>
      <c r="E20653" s="39"/>
      <c r="F20653" s="39"/>
    </row>
    <row r="20654">
      <c r="D20654" s="39"/>
      <c r="E20654" s="39"/>
      <c r="F20654" s="39"/>
    </row>
    <row r="20655">
      <c r="D20655" s="39"/>
      <c r="E20655" s="39"/>
      <c r="F20655" s="39"/>
    </row>
    <row r="20656">
      <c r="D20656" s="39"/>
      <c r="E20656" s="39"/>
      <c r="F20656" s="39"/>
    </row>
    <row r="20657">
      <c r="D20657" s="39"/>
      <c r="E20657" s="39"/>
      <c r="F20657" s="39"/>
    </row>
    <row r="20658">
      <c r="D20658" s="39"/>
      <c r="E20658" s="39"/>
      <c r="F20658" s="39"/>
    </row>
    <row r="20659">
      <c r="D20659" s="39"/>
      <c r="E20659" s="39"/>
      <c r="F20659" s="39"/>
    </row>
    <row r="20660">
      <c r="D20660" s="39"/>
      <c r="E20660" s="39"/>
      <c r="F20660" s="39"/>
    </row>
    <row r="20661">
      <c r="D20661" s="39"/>
      <c r="E20661" s="39"/>
      <c r="F20661" s="39"/>
    </row>
    <row r="20662">
      <c r="D20662" s="39"/>
      <c r="E20662" s="39"/>
      <c r="F20662" s="39"/>
    </row>
    <row r="20663">
      <c r="D20663" s="39"/>
      <c r="E20663" s="39"/>
      <c r="F20663" s="39"/>
    </row>
    <row r="20664">
      <c r="D20664" s="39"/>
      <c r="E20664" s="39"/>
      <c r="F20664" s="39"/>
    </row>
    <row r="20665">
      <c r="D20665" s="39"/>
      <c r="E20665" s="39"/>
      <c r="F20665" s="39"/>
    </row>
    <row r="20666">
      <c r="D20666" s="39"/>
      <c r="E20666" s="39"/>
      <c r="F20666" s="39"/>
    </row>
    <row r="20667">
      <c r="D20667" s="39"/>
      <c r="E20667" s="39"/>
      <c r="F20667" s="39"/>
    </row>
    <row r="20668">
      <c r="D20668" s="39"/>
      <c r="E20668" s="39"/>
      <c r="F20668" s="39"/>
    </row>
    <row r="20669">
      <c r="D20669" s="39"/>
      <c r="E20669" s="39"/>
      <c r="F20669" s="39"/>
    </row>
    <row r="20670">
      <c r="D20670" s="39"/>
      <c r="E20670" s="39"/>
      <c r="F20670" s="39"/>
    </row>
    <row r="20671">
      <c r="D20671" s="39"/>
      <c r="E20671" s="39"/>
      <c r="F20671" s="39"/>
    </row>
    <row r="20672">
      <c r="D20672" s="39"/>
      <c r="E20672" s="39"/>
      <c r="F20672" s="39"/>
    </row>
    <row r="20673">
      <c r="D20673" s="39"/>
      <c r="E20673" s="39"/>
      <c r="F20673" s="39"/>
    </row>
    <row r="20674">
      <c r="D20674" s="39"/>
      <c r="E20674" s="39"/>
      <c r="F20674" s="39"/>
    </row>
    <row r="20675">
      <c r="D20675" s="39"/>
      <c r="E20675" s="39"/>
      <c r="F20675" s="39"/>
    </row>
    <row r="20676">
      <c r="D20676" s="39"/>
      <c r="E20676" s="39"/>
      <c r="F20676" s="39"/>
    </row>
    <row r="20677">
      <c r="D20677" s="39"/>
      <c r="E20677" s="39"/>
      <c r="F20677" s="39"/>
    </row>
    <row r="20678">
      <c r="D20678" s="39"/>
      <c r="E20678" s="39"/>
      <c r="F20678" s="39"/>
    </row>
    <row r="20679">
      <c r="D20679" s="39"/>
      <c r="E20679" s="39"/>
      <c r="F20679" s="39"/>
    </row>
    <row r="20680">
      <c r="D20680" s="39"/>
      <c r="E20680" s="39"/>
      <c r="F20680" s="39"/>
    </row>
    <row r="20681">
      <c r="D20681" s="39"/>
      <c r="E20681" s="39"/>
      <c r="F20681" s="39"/>
    </row>
    <row r="20682">
      <c r="D20682" s="39"/>
      <c r="E20682" s="39"/>
      <c r="F20682" s="39"/>
    </row>
    <row r="20683">
      <c r="D20683" s="39"/>
      <c r="E20683" s="39"/>
      <c r="F20683" s="39"/>
    </row>
    <row r="20684">
      <c r="D20684" s="39"/>
      <c r="E20684" s="39"/>
      <c r="F20684" s="39"/>
    </row>
    <row r="20685">
      <c r="D20685" s="39"/>
      <c r="E20685" s="39"/>
      <c r="F20685" s="39"/>
    </row>
    <row r="20686">
      <c r="D20686" s="39"/>
      <c r="E20686" s="39"/>
      <c r="F20686" s="39"/>
    </row>
    <row r="20687">
      <c r="D20687" s="39"/>
      <c r="E20687" s="39"/>
      <c r="F20687" s="39"/>
    </row>
    <row r="20688">
      <c r="D20688" s="39"/>
      <c r="E20688" s="39"/>
      <c r="F20688" s="39"/>
    </row>
    <row r="20689">
      <c r="D20689" s="39"/>
      <c r="E20689" s="39"/>
      <c r="F20689" s="39"/>
    </row>
    <row r="20690">
      <c r="D20690" s="39"/>
      <c r="E20690" s="39"/>
      <c r="F20690" s="39"/>
    </row>
    <row r="20691">
      <c r="D20691" s="39"/>
      <c r="E20691" s="39"/>
      <c r="F20691" s="39"/>
    </row>
    <row r="20692">
      <c r="D20692" s="39"/>
      <c r="E20692" s="39"/>
      <c r="F20692" s="39"/>
    </row>
    <row r="20693">
      <c r="D20693" s="39"/>
      <c r="E20693" s="39"/>
      <c r="F20693" s="39"/>
    </row>
    <row r="20694">
      <c r="D20694" s="39"/>
      <c r="E20694" s="39"/>
      <c r="F20694" s="39"/>
    </row>
    <row r="20695">
      <c r="D20695" s="39"/>
      <c r="E20695" s="39"/>
      <c r="F20695" s="39"/>
    </row>
    <row r="20696">
      <c r="D20696" s="39"/>
      <c r="E20696" s="39"/>
      <c r="F20696" s="39"/>
    </row>
    <row r="20697">
      <c r="D20697" s="39"/>
      <c r="E20697" s="39"/>
      <c r="F20697" s="39"/>
    </row>
    <row r="20698">
      <c r="D20698" s="39"/>
      <c r="E20698" s="39"/>
      <c r="F20698" s="39"/>
    </row>
    <row r="20699">
      <c r="D20699" s="39"/>
      <c r="E20699" s="39"/>
      <c r="F20699" s="39"/>
    </row>
    <row r="20700">
      <c r="D20700" s="39"/>
      <c r="E20700" s="39"/>
      <c r="F20700" s="39"/>
    </row>
    <row r="20701">
      <c r="D20701" s="39"/>
      <c r="E20701" s="39"/>
      <c r="F20701" s="39"/>
    </row>
    <row r="20702">
      <c r="D20702" s="39"/>
      <c r="E20702" s="39"/>
      <c r="F20702" s="39"/>
    </row>
    <row r="20703">
      <c r="D20703" s="39"/>
      <c r="E20703" s="39"/>
      <c r="F20703" s="39"/>
    </row>
    <row r="20704">
      <c r="D20704" s="39"/>
      <c r="E20704" s="39"/>
      <c r="F20704" s="39"/>
    </row>
    <row r="20705">
      <c r="D20705" s="39"/>
      <c r="E20705" s="39"/>
      <c r="F20705" s="39"/>
    </row>
    <row r="20706">
      <c r="D20706" s="39"/>
      <c r="E20706" s="39"/>
      <c r="F20706" s="39"/>
    </row>
    <row r="20707">
      <c r="D20707" s="39"/>
      <c r="E20707" s="39"/>
      <c r="F20707" s="39"/>
    </row>
    <row r="20708">
      <c r="D20708" s="39"/>
      <c r="E20708" s="39"/>
      <c r="F20708" s="39"/>
    </row>
    <row r="20709">
      <c r="D20709" s="39"/>
      <c r="E20709" s="39"/>
      <c r="F20709" s="39"/>
    </row>
    <row r="20710">
      <c r="D20710" s="39"/>
      <c r="E20710" s="39"/>
      <c r="F20710" s="39"/>
    </row>
    <row r="20711">
      <c r="D20711" s="39"/>
      <c r="E20711" s="39"/>
      <c r="F20711" s="39"/>
    </row>
    <row r="20712">
      <c r="D20712" s="39"/>
      <c r="E20712" s="39"/>
      <c r="F20712" s="39"/>
    </row>
    <row r="20713">
      <c r="D20713" s="39"/>
      <c r="E20713" s="39"/>
      <c r="F20713" s="39"/>
    </row>
    <row r="20714">
      <c r="D20714" s="39"/>
      <c r="E20714" s="39"/>
      <c r="F20714" s="39"/>
    </row>
    <row r="20715">
      <c r="D20715" s="39"/>
      <c r="E20715" s="39"/>
      <c r="F20715" s="39"/>
    </row>
    <row r="20716">
      <c r="D20716" s="39"/>
      <c r="E20716" s="39"/>
      <c r="F20716" s="39"/>
    </row>
    <row r="20717">
      <c r="D20717" s="39"/>
      <c r="E20717" s="39"/>
      <c r="F20717" s="39"/>
    </row>
    <row r="20718">
      <c r="D20718" s="39"/>
      <c r="E20718" s="39"/>
      <c r="F20718" s="39"/>
    </row>
    <row r="20719">
      <c r="D20719" s="39"/>
      <c r="E20719" s="39"/>
      <c r="F20719" s="39"/>
    </row>
    <row r="20720">
      <c r="D20720" s="39"/>
      <c r="E20720" s="39"/>
      <c r="F20720" s="39"/>
    </row>
    <row r="20721">
      <c r="D20721" s="39"/>
      <c r="E20721" s="39"/>
      <c r="F20721" s="39"/>
    </row>
    <row r="20722">
      <c r="D20722" s="39"/>
      <c r="E20722" s="39"/>
      <c r="F20722" s="39"/>
    </row>
    <row r="20723">
      <c r="D20723" s="39"/>
      <c r="E20723" s="39"/>
      <c r="F20723" s="39"/>
    </row>
    <row r="20724">
      <c r="D20724" s="39"/>
      <c r="E20724" s="39"/>
      <c r="F20724" s="39"/>
    </row>
    <row r="20725">
      <c r="D20725" s="39"/>
      <c r="E20725" s="39"/>
      <c r="F20725" s="39"/>
    </row>
    <row r="20726">
      <c r="D20726" s="39"/>
      <c r="E20726" s="39"/>
      <c r="F20726" s="39"/>
    </row>
    <row r="20727">
      <c r="D20727" s="39"/>
      <c r="E20727" s="39"/>
      <c r="F20727" s="39"/>
    </row>
    <row r="20728">
      <c r="D20728" s="39"/>
      <c r="E20728" s="39"/>
      <c r="F20728" s="39"/>
    </row>
    <row r="20729">
      <c r="D20729" s="39"/>
      <c r="E20729" s="39"/>
      <c r="F20729" s="39"/>
    </row>
    <row r="20730">
      <c r="D20730" s="39"/>
      <c r="E20730" s="39"/>
      <c r="F20730" s="39"/>
    </row>
    <row r="20731">
      <c r="D20731" s="39"/>
      <c r="E20731" s="39"/>
      <c r="F20731" s="39"/>
    </row>
    <row r="20732">
      <c r="D20732" s="39"/>
      <c r="E20732" s="39"/>
      <c r="F20732" s="39"/>
    </row>
    <row r="20733">
      <c r="D20733" s="39"/>
      <c r="E20733" s="39"/>
      <c r="F20733" s="39"/>
    </row>
    <row r="20734">
      <c r="D20734" s="39"/>
      <c r="E20734" s="39"/>
      <c r="F20734" s="39"/>
    </row>
    <row r="20735">
      <c r="D20735" s="39"/>
      <c r="E20735" s="39"/>
      <c r="F20735" s="39"/>
    </row>
    <row r="20736">
      <c r="D20736" s="39"/>
      <c r="E20736" s="39"/>
      <c r="F20736" s="39"/>
    </row>
    <row r="20737">
      <c r="D20737" s="39"/>
      <c r="E20737" s="39"/>
      <c r="F20737" s="39"/>
    </row>
    <row r="20738">
      <c r="D20738" s="39"/>
      <c r="E20738" s="39"/>
      <c r="F20738" s="39"/>
    </row>
    <row r="20739">
      <c r="D20739" s="39"/>
      <c r="E20739" s="39"/>
      <c r="F20739" s="39"/>
    </row>
    <row r="20740">
      <c r="D20740" s="39"/>
      <c r="E20740" s="39"/>
      <c r="F20740" s="39"/>
    </row>
    <row r="20741">
      <c r="D20741" s="39"/>
      <c r="E20741" s="39"/>
      <c r="F20741" s="39"/>
    </row>
    <row r="20742">
      <c r="D20742" s="39"/>
      <c r="E20742" s="39"/>
      <c r="F20742" s="39"/>
    </row>
    <row r="20743">
      <c r="D20743" s="39"/>
      <c r="E20743" s="39"/>
      <c r="F20743" s="39"/>
    </row>
    <row r="20744">
      <c r="D20744" s="39"/>
      <c r="E20744" s="39"/>
      <c r="F20744" s="39"/>
    </row>
    <row r="20745">
      <c r="D20745" s="39"/>
      <c r="E20745" s="39"/>
      <c r="F20745" s="39"/>
    </row>
    <row r="20746">
      <c r="D20746" s="39"/>
      <c r="E20746" s="39"/>
      <c r="F20746" s="39"/>
    </row>
    <row r="20747">
      <c r="D20747" s="39"/>
      <c r="E20747" s="39"/>
      <c r="F20747" s="39"/>
    </row>
    <row r="20748">
      <c r="D20748" s="39"/>
      <c r="E20748" s="39"/>
      <c r="F20748" s="39"/>
    </row>
    <row r="20749">
      <c r="D20749" s="39"/>
      <c r="E20749" s="39"/>
      <c r="F20749" s="39"/>
    </row>
    <row r="20750">
      <c r="D20750" s="39"/>
      <c r="E20750" s="39"/>
      <c r="F20750" s="39"/>
    </row>
    <row r="20751">
      <c r="D20751" s="39"/>
      <c r="E20751" s="39"/>
      <c r="F20751" s="39"/>
    </row>
    <row r="20752">
      <c r="D20752" s="39"/>
      <c r="E20752" s="39"/>
      <c r="F20752" s="39"/>
    </row>
    <row r="20753">
      <c r="D20753" s="39"/>
      <c r="E20753" s="39"/>
      <c r="F20753" s="39"/>
    </row>
    <row r="20754">
      <c r="D20754" s="39"/>
      <c r="E20754" s="39"/>
      <c r="F20754" s="39"/>
    </row>
    <row r="20755">
      <c r="D20755" s="39"/>
      <c r="E20755" s="39"/>
      <c r="F20755" s="39"/>
    </row>
    <row r="20756">
      <c r="D20756" s="39"/>
      <c r="E20756" s="39"/>
      <c r="F20756" s="39"/>
    </row>
    <row r="20757">
      <c r="D20757" s="39"/>
      <c r="E20757" s="39"/>
      <c r="F20757" s="39"/>
    </row>
    <row r="20758">
      <c r="D20758" s="39"/>
      <c r="E20758" s="39"/>
      <c r="F20758" s="39"/>
    </row>
    <row r="20759">
      <c r="D20759" s="39"/>
      <c r="E20759" s="39"/>
      <c r="F20759" s="39"/>
    </row>
    <row r="20760">
      <c r="D20760" s="39"/>
      <c r="E20760" s="39"/>
      <c r="F20760" s="39"/>
    </row>
    <row r="20761">
      <c r="D20761" s="39"/>
      <c r="E20761" s="39"/>
      <c r="F20761" s="39"/>
    </row>
    <row r="20762">
      <c r="D20762" s="39"/>
      <c r="E20762" s="39"/>
      <c r="F20762" s="39"/>
    </row>
    <row r="20763">
      <c r="D20763" s="39"/>
      <c r="E20763" s="39"/>
      <c r="F20763" s="39"/>
    </row>
    <row r="20764">
      <c r="D20764" s="39"/>
      <c r="E20764" s="39"/>
      <c r="F20764" s="39"/>
    </row>
    <row r="20765">
      <c r="D20765" s="39"/>
      <c r="E20765" s="39"/>
      <c r="F20765" s="39"/>
    </row>
    <row r="20766">
      <c r="D20766" s="39"/>
      <c r="E20766" s="39"/>
      <c r="F20766" s="39"/>
    </row>
    <row r="20767">
      <c r="D20767" s="39"/>
      <c r="E20767" s="39"/>
      <c r="F20767" s="39"/>
    </row>
    <row r="20768">
      <c r="D20768" s="39"/>
      <c r="E20768" s="39"/>
      <c r="F20768" s="39"/>
    </row>
    <row r="20769">
      <c r="D20769" s="39"/>
      <c r="E20769" s="39"/>
      <c r="F20769" s="39"/>
    </row>
    <row r="20770">
      <c r="D20770" s="39"/>
      <c r="E20770" s="39"/>
      <c r="F20770" s="39"/>
    </row>
    <row r="20771">
      <c r="D20771" s="39"/>
      <c r="E20771" s="39"/>
      <c r="F20771" s="39"/>
    </row>
    <row r="20772">
      <c r="D20772" s="39"/>
      <c r="E20772" s="39"/>
      <c r="F20772" s="39"/>
    </row>
    <row r="20773">
      <c r="D20773" s="39"/>
      <c r="E20773" s="39"/>
      <c r="F20773" s="39"/>
    </row>
    <row r="20774">
      <c r="D20774" s="39"/>
      <c r="E20774" s="39"/>
      <c r="F20774" s="39"/>
    </row>
    <row r="20775">
      <c r="D20775" s="39"/>
      <c r="E20775" s="39"/>
      <c r="F20775" s="39"/>
    </row>
    <row r="20776">
      <c r="D20776" s="39"/>
      <c r="E20776" s="39"/>
      <c r="F20776" s="39"/>
    </row>
    <row r="20777">
      <c r="D20777" s="39"/>
      <c r="E20777" s="39"/>
      <c r="F20777" s="39"/>
    </row>
    <row r="20778">
      <c r="D20778" s="39"/>
      <c r="E20778" s="39"/>
      <c r="F20778" s="39"/>
    </row>
    <row r="20779">
      <c r="D20779" s="39"/>
      <c r="E20779" s="39"/>
      <c r="F20779" s="39"/>
    </row>
    <row r="20780">
      <c r="D20780" s="39"/>
      <c r="E20780" s="39"/>
      <c r="F20780" s="39"/>
    </row>
    <row r="20781">
      <c r="D20781" s="39"/>
      <c r="E20781" s="39"/>
      <c r="F20781" s="39"/>
    </row>
    <row r="20782">
      <c r="D20782" s="39"/>
      <c r="E20782" s="39"/>
      <c r="F20782" s="39"/>
    </row>
    <row r="20783">
      <c r="D20783" s="39"/>
      <c r="E20783" s="39"/>
      <c r="F20783" s="39"/>
    </row>
    <row r="20784">
      <c r="D20784" s="39"/>
      <c r="E20784" s="39"/>
      <c r="F20784" s="39"/>
    </row>
    <row r="20785">
      <c r="D20785" s="39"/>
      <c r="E20785" s="39"/>
      <c r="F20785" s="39"/>
    </row>
    <row r="20786">
      <c r="D20786" s="39"/>
      <c r="E20786" s="39"/>
      <c r="F20786" s="39"/>
    </row>
    <row r="20787">
      <c r="D20787" s="39"/>
      <c r="E20787" s="39"/>
      <c r="F20787" s="39"/>
    </row>
    <row r="20788">
      <c r="D20788" s="39"/>
      <c r="E20788" s="39"/>
      <c r="F20788" s="39"/>
    </row>
    <row r="20789">
      <c r="D20789" s="39"/>
      <c r="E20789" s="39"/>
      <c r="F20789" s="39"/>
    </row>
    <row r="20790">
      <c r="D20790" s="39"/>
      <c r="E20790" s="39"/>
      <c r="F20790" s="39"/>
    </row>
    <row r="20791">
      <c r="D20791" s="39"/>
      <c r="E20791" s="39"/>
      <c r="F20791" s="39"/>
    </row>
    <row r="20792">
      <c r="D20792" s="39"/>
      <c r="E20792" s="39"/>
      <c r="F20792" s="39"/>
    </row>
    <row r="20793">
      <c r="D20793" s="39"/>
      <c r="E20793" s="39"/>
      <c r="F20793" s="39"/>
    </row>
    <row r="20794">
      <c r="D20794" s="39"/>
      <c r="E20794" s="39"/>
      <c r="F20794" s="39"/>
    </row>
    <row r="20795">
      <c r="D20795" s="39"/>
      <c r="E20795" s="39"/>
      <c r="F20795" s="39"/>
    </row>
    <row r="20796">
      <c r="D20796" s="39"/>
      <c r="E20796" s="39"/>
      <c r="F20796" s="39"/>
    </row>
    <row r="20797">
      <c r="D20797" s="39"/>
      <c r="E20797" s="39"/>
      <c r="F20797" s="39"/>
    </row>
    <row r="20798">
      <c r="D20798" s="39"/>
      <c r="E20798" s="39"/>
      <c r="F20798" s="39"/>
    </row>
    <row r="20799">
      <c r="D20799" s="39"/>
      <c r="E20799" s="39"/>
      <c r="F20799" s="39"/>
    </row>
    <row r="20800">
      <c r="D20800" s="39"/>
      <c r="E20800" s="39"/>
      <c r="F20800" s="39"/>
    </row>
    <row r="20801">
      <c r="D20801" s="39"/>
      <c r="E20801" s="39"/>
      <c r="F20801" s="39"/>
    </row>
    <row r="20802">
      <c r="D20802" s="39"/>
      <c r="E20802" s="39"/>
      <c r="F20802" s="39"/>
    </row>
    <row r="20803">
      <c r="D20803" s="39"/>
      <c r="E20803" s="39"/>
      <c r="F20803" s="39"/>
    </row>
    <row r="20804">
      <c r="D20804" s="39"/>
      <c r="E20804" s="39"/>
      <c r="F20804" s="39"/>
    </row>
    <row r="20805">
      <c r="D20805" s="39"/>
      <c r="E20805" s="39"/>
      <c r="F20805" s="39"/>
    </row>
    <row r="20806">
      <c r="D20806" s="39"/>
      <c r="E20806" s="39"/>
      <c r="F20806" s="39"/>
    </row>
    <row r="20807">
      <c r="D20807" s="39"/>
      <c r="E20807" s="39"/>
      <c r="F20807" s="39"/>
    </row>
    <row r="20808">
      <c r="D20808" s="39"/>
      <c r="E20808" s="39"/>
      <c r="F20808" s="39"/>
    </row>
    <row r="20809">
      <c r="D20809" s="39"/>
      <c r="E20809" s="39"/>
      <c r="F20809" s="39"/>
    </row>
    <row r="20810">
      <c r="D20810" s="39"/>
      <c r="E20810" s="39"/>
      <c r="F20810" s="39"/>
    </row>
    <row r="20811">
      <c r="D20811" s="39"/>
      <c r="E20811" s="39"/>
      <c r="F20811" s="39"/>
    </row>
    <row r="20812">
      <c r="D20812" s="39"/>
      <c r="E20812" s="39"/>
      <c r="F20812" s="39"/>
    </row>
    <row r="20813">
      <c r="D20813" s="39"/>
      <c r="E20813" s="39"/>
      <c r="F20813" s="39"/>
    </row>
    <row r="20814">
      <c r="D20814" s="39"/>
      <c r="E20814" s="39"/>
      <c r="F20814" s="39"/>
    </row>
    <row r="20815">
      <c r="D20815" s="39"/>
      <c r="E20815" s="39"/>
      <c r="F20815" s="39"/>
    </row>
    <row r="20816">
      <c r="D20816" s="39"/>
      <c r="E20816" s="39"/>
      <c r="F20816" s="39"/>
    </row>
    <row r="20817">
      <c r="D20817" s="39"/>
      <c r="E20817" s="39"/>
      <c r="F20817" s="39"/>
    </row>
    <row r="20818">
      <c r="D20818" s="39"/>
      <c r="E20818" s="39"/>
      <c r="F20818" s="39"/>
    </row>
    <row r="20819">
      <c r="D20819" s="39"/>
      <c r="E20819" s="39"/>
      <c r="F20819" s="39"/>
    </row>
    <row r="20820">
      <c r="D20820" s="39"/>
      <c r="E20820" s="39"/>
      <c r="F20820" s="39"/>
    </row>
    <row r="20821">
      <c r="D20821" s="39"/>
      <c r="E20821" s="39"/>
      <c r="F20821" s="39"/>
    </row>
    <row r="20822">
      <c r="D20822" s="39"/>
      <c r="E20822" s="39"/>
      <c r="F20822" s="39"/>
    </row>
    <row r="20823">
      <c r="D20823" s="39"/>
      <c r="E20823" s="39"/>
      <c r="F20823" s="39"/>
    </row>
    <row r="20824">
      <c r="D20824" s="39"/>
      <c r="E20824" s="39"/>
      <c r="F20824" s="39"/>
    </row>
    <row r="20825">
      <c r="D20825" s="39"/>
      <c r="E20825" s="39"/>
      <c r="F20825" s="39"/>
    </row>
    <row r="20826">
      <c r="D20826" s="39"/>
      <c r="E20826" s="39"/>
      <c r="F20826" s="39"/>
    </row>
    <row r="20827">
      <c r="D20827" s="39"/>
      <c r="E20827" s="39"/>
      <c r="F20827" s="39"/>
    </row>
    <row r="20828">
      <c r="D20828" s="39"/>
      <c r="E20828" s="39"/>
      <c r="F20828" s="39"/>
    </row>
    <row r="20829">
      <c r="D20829" s="39"/>
      <c r="E20829" s="39"/>
      <c r="F20829" s="39"/>
    </row>
    <row r="20830">
      <c r="D20830" s="39"/>
      <c r="E20830" s="39"/>
      <c r="F20830" s="39"/>
    </row>
    <row r="20831">
      <c r="D20831" s="39"/>
      <c r="E20831" s="39"/>
      <c r="F20831" s="39"/>
    </row>
    <row r="20832">
      <c r="D20832" s="39"/>
      <c r="E20832" s="39"/>
      <c r="F20832" s="39"/>
    </row>
    <row r="20833">
      <c r="D20833" s="39"/>
      <c r="E20833" s="39"/>
      <c r="F20833" s="39"/>
    </row>
    <row r="20834">
      <c r="D20834" s="39"/>
      <c r="E20834" s="39"/>
      <c r="F20834" s="39"/>
    </row>
    <row r="20835">
      <c r="D20835" s="39"/>
      <c r="E20835" s="39"/>
      <c r="F20835" s="39"/>
    </row>
    <row r="20836">
      <c r="D20836" s="39"/>
      <c r="E20836" s="39"/>
      <c r="F20836" s="39"/>
    </row>
    <row r="20837">
      <c r="D20837" s="39"/>
      <c r="E20837" s="39"/>
      <c r="F20837" s="39"/>
    </row>
    <row r="20838">
      <c r="D20838" s="39"/>
      <c r="E20838" s="39"/>
      <c r="F20838" s="39"/>
    </row>
    <row r="20839">
      <c r="D20839" s="39"/>
      <c r="E20839" s="39"/>
      <c r="F20839" s="39"/>
    </row>
    <row r="20840">
      <c r="D20840" s="39"/>
      <c r="E20840" s="39"/>
      <c r="F20840" s="39"/>
    </row>
    <row r="20841">
      <c r="D20841" s="39"/>
      <c r="E20841" s="39"/>
      <c r="F20841" s="39"/>
    </row>
    <row r="20842">
      <c r="D20842" s="39"/>
      <c r="E20842" s="39"/>
      <c r="F20842" s="39"/>
    </row>
    <row r="20843">
      <c r="D20843" s="39"/>
      <c r="E20843" s="39"/>
      <c r="F20843" s="39"/>
    </row>
    <row r="20844">
      <c r="D20844" s="39"/>
      <c r="E20844" s="39"/>
      <c r="F20844" s="39"/>
    </row>
    <row r="20845">
      <c r="D20845" s="39"/>
      <c r="E20845" s="39"/>
      <c r="F20845" s="39"/>
    </row>
    <row r="20846">
      <c r="D20846" s="39"/>
      <c r="E20846" s="39"/>
      <c r="F20846" s="39"/>
    </row>
    <row r="20847">
      <c r="D20847" s="39"/>
      <c r="E20847" s="39"/>
      <c r="F20847" s="39"/>
    </row>
    <row r="20848">
      <c r="D20848" s="39"/>
      <c r="E20848" s="39"/>
      <c r="F20848" s="39"/>
    </row>
    <row r="20849">
      <c r="D20849" s="39"/>
      <c r="E20849" s="39"/>
      <c r="F20849" s="39"/>
    </row>
    <row r="20850">
      <c r="D20850" s="39"/>
      <c r="E20850" s="39"/>
      <c r="F20850" s="39"/>
    </row>
    <row r="20851">
      <c r="D20851" s="39"/>
      <c r="E20851" s="39"/>
      <c r="F20851" s="39"/>
    </row>
    <row r="20852">
      <c r="D20852" s="39"/>
      <c r="E20852" s="39"/>
      <c r="F20852" s="39"/>
    </row>
    <row r="20853">
      <c r="D20853" s="39"/>
      <c r="E20853" s="39"/>
      <c r="F20853" s="39"/>
    </row>
    <row r="20854">
      <c r="D20854" s="39"/>
      <c r="E20854" s="39"/>
      <c r="F20854" s="39"/>
    </row>
    <row r="20855">
      <c r="D20855" s="39"/>
      <c r="E20855" s="39"/>
      <c r="F20855" s="39"/>
    </row>
    <row r="20856">
      <c r="D20856" s="39"/>
      <c r="E20856" s="39"/>
      <c r="F20856" s="39"/>
    </row>
    <row r="20857">
      <c r="D20857" s="39"/>
      <c r="E20857" s="39"/>
      <c r="F20857" s="39"/>
    </row>
    <row r="20858">
      <c r="D20858" s="39"/>
      <c r="E20858" s="39"/>
      <c r="F20858" s="39"/>
    </row>
    <row r="20859">
      <c r="D20859" s="39"/>
      <c r="E20859" s="39"/>
      <c r="F20859" s="39"/>
    </row>
    <row r="20860">
      <c r="D20860" s="39"/>
      <c r="E20860" s="39"/>
      <c r="F20860" s="39"/>
    </row>
    <row r="20861">
      <c r="D20861" s="39"/>
      <c r="E20861" s="39"/>
      <c r="F20861" s="39"/>
    </row>
    <row r="20862">
      <c r="D20862" s="39"/>
      <c r="E20862" s="39"/>
      <c r="F20862" s="39"/>
    </row>
    <row r="20863">
      <c r="D20863" s="39"/>
      <c r="E20863" s="39"/>
      <c r="F20863" s="39"/>
    </row>
    <row r="20864">
      <c r="D20864" s="39"/>
      <c r="E20864" s="39"/>
      <c r="F20864" s="39"/>
    </row>
    <row r="20865">
      <c r="D20865" s="39"/>
      <c r="E20865" s="39"/>
      <c r="F20865" s="39"/>
    </row>
    <row r="20866">
      <c r="D20866" s="39"/>
      <c r="E20866" s="39"/>
      <c r="F20866" s="39"/>
    </row>
    <row r="20867">
      <c r="D20867" s="39"/>
      <c r="E20867" s="39"/>
      <c r="F20867" s="39"/>
    </row>
    <row r="20868">
      <c r="D20868" s="39"/>
      <c r="E20868" s="39"/>
      <c r="F20868" s="39"/>
    </row>
    <row r="20869">
      <c r="D20869" s="39"/>
      <c r="E20869" s="39"/>
      <c r="F20869" s="39"/>
    </row>
    <row r="20870">
      <c r="D20870" s="39"/>
      <c r="E20870" s="39"/>
      <c r="F20870" s="39"/>
    </row>
    <row r="20871">
      <c r="D20871" s="39"/>
      <c r="E20871" s="39"/>
      <c r="F20871" s="39"/>
    </row>
    <row r="20872">
      <c r="D20872" s="39"/>
      <c r="E20872" s="39"/>
      <c r="F20872" s="39"/>
    </row>
    <row r="20873">
      <c r="D20873" s="39"/>
      <c r="E20873" s="39"/>
      <c r="F20873" s="39"/>
    </row>
    <row r="20874">
      <c r="D20874" s="39"/>
      <c r="E20874" s="39"/>
      <c r="F20874" s="39"/>
    </row>
    <row r="20875">
      <c r="D20875" s="39"/>
      <c r="E20875" s="39"/>
      <c r="F20875" s="39"/>
    </row>
    <row r="20876">
      <c r="D20876" s="39"/>
      <c r="E20876" s="39"/>
      <c r="F20876" s="39"/>
    </row>
    <row r="20877">
      <c r="D20877" s="39"/>
      <c r="E20877" s="39"/>
      <c r="F20877" s="39"/>
    </row>
    <row r="20878">
      <c r="D20878" s="39"/>
      <c r="E20878" s="39"/>
      <c r="F20878" s="39"/>
    </row>
    <row r="20879">
      <c r="D20879" s="39"/>
      <c r="E20879" s="39"/>
      <c r="F20879" s="39"/>
    </row>
    <row r="20880">
      <c r="D20880" s="39"/>
      <c r="E20880" s="39"/>
      <c r="F20880" s="39"/>
    </row>
    <row r="20881">
      <c r="D20881" s="39"/>
      <c r="E20881" s="39"/>
      <c r="F20881" s="39"/>
    </row>
    <row r="20882">
      <c r="D20882" s="39"/>
      <c r="E20882" s="39"/>
      <c r="F20882" s="39"/>
    </row>
    <row r="20883">
      <c r="D20883" s="39"/>
      <c r="E20883" s="39"/>
      <c r="F20883" s="39"/>
    </row>
    <row r="20884">
      <c r="D20884" s="39"/>
      <c r="E20884" s="39"/>
      <c r="F20884" s="39"/>
    </row>
    <row r="20885">
      <c r="D20885" s="39"/>
      <c r="E20885" s="39"/>
      <c r="F20885" s="39"/>
    </row>
    <row r="20886">
      <c r="D20886" s="39"/>
      <c r="E20886" s="39"/>
      <c r="F20886" s="39"/>
    </row>
    <row r="20887">
      <c r="D20887" s="39"/>
      <c r="E20887" s="39"/>
      <c r="F20887" s="39"/>
    </row>
    <row r="20888">
      <c r="D20888" s="39"/>
      <c r="E20888" s="39"/>
      <c r="F20888" s="39"/>
    </row>
    <row r="20889">
      <c r="D20889" s="39"/>
      <c r="E20889" s="39"/>
      <c r="F20889" s="39"/>
    </row>
    <row r="20890">
      <c r="D20890" s="39"/>
      <c r="E20890" s="39"/>
      <c r="F20890" s="39"/>
    </row>
    <row r="20891">
      <c r="D20891" s="39"/>
      <c r="E20891" s="39"/>
      <c r="F20891" s="39"/>
    </row>
    <row r="20892">
      <c r="D20892" s="39"/>
      <c r="E20892" s="39"/>
      <c r="F20892" s="39"/>
    </row>
    <row r="20893">
      <c r="D20893" s="39"/>
      <c r="E20893" s="39"/>
      <c r="F20893" s="39"/>
    </row>
    <row r="20894">
      <c r="D20894" s="39"/>
      <c r="E20894" s="39"/>
      <c r="F20894" s="39"/>
    </row>
    <row r="20895">
      <c r="D20895" s="39"/>
      <c r="E20895" s="39"/>
      <c r="F20895" s="39"/>
    </row>
    <row r="20896">
      <c r="D20896" s="39"/>
      <c r="E20896" s="39"/>
      <c r="F20896" s="39"/>
    </row>
    <row r="20897">
      <c r="D20897" s="39"/>
      <c r="E20897" s="39"/>
      <c r="F20897" s="39"/>
    </row>
    <row r="20898">
      <c r="D20898" s="39"/>
      <c r="E20898" s="39"/>
      <c r="F20898" s="39"/>
    </row>
    <row r="20899">
      <c r="D20899" s="39"/>
      <c r="E20899" s="39"/>
      <c r="F20899" s="39"/>
    </row>
    <row r="20900">
      <c r="D20900" s="39"/>
      <c r="E20900" s="39"/>
      <c r="F20900" s="39"/>
    </row>
    <row r="20901">
      <c r="D20901" s="39"/>
      <c r="E20901" s="39"/>
      <c r="F20901" s="39"/>
    </row>
    <row r="20902">
      <c r="D20902" s="39"/>
      <c r="E20902" s="39"/>
      <c r="F20902" s="39"/>
    </row>
    <row r="20903">
      <c r="D20903" s="39"/>
      <c r="E20903" s="39"/>
      <c r="F20903" s="39"/>
    </row>
    <row r="20904">
      <c r="D20904" s="39"/>
      <c r="E20904" s="39"/>
      <c r="F20904" s="39"/>
    </row>
    <row r="20905">
      <c r="D20905" s="39"/>
      <c r="E20905" s="39"/>
      <c r="F20905" s="39"/>
    </row>
    <row r="20906">
      <c r="D20906" s="39"/>
      <c r="E20906" s="39"/>
      <c r="F20906" s="39"/>
    </row>
    <row r="20907">
      <c r="D20907" s="39"/>
      <c r="E20907" s="39"/>
      <c r="F20907" s="39"/>
    </row>
    <row r="20908">
      <c r="D20908" s="39"/>
      <c r="E20908" s="39"/>
      <c r="F20908" s="39"/>
    </row>
    <row r="20909">
      <c r="D20909" s="39"/>
      <c r="E20909" s="39"/>
      <c r="F20909" s="39"/>
    </row>
    <row r="20910">
      <c r="D20910" s="39"/>
      <c r="E20910" s="39"/>
      <c r="F20910" s="39"/>
    </row>
    <row r="20911">
      <c r="D20911" s="39"/>
      <c r="E20911" s="39"/>
      <c r="F20911" s="39"/>
    </row>
    <row r="20912">
      <c r="D20912" s="39"/>
      <c r="E20912" s="39"/>
      <c r="F20912" s="39"/>
    </row>
    <row r="20913">
      <c r="D20913" s="39"/>
      <c r="E20913" s="39"/>
      <c r="F20913" s="39"/>
    </row>
    <row r="20914">
      <c r="D20914" s="39"/>
      <c r="E20914" s="39"/>
      <c r="F20914" s="39"/>
    </row>
    <row r="20915">
      <c r="D20915" s="39"/>
      <c r="E20915" s="39"/>
      <c r="F20915" s="39"/>
    </row>
    <row r="20916">
      <c r="D20916" s="39"/>
      <c r="E20916" s="39"/>
      <c r="F20916" s="39"/>
    </row>
    <row r="20917">
      <c r="D20917" s="39"/>
      <c r="E20917" s="39"/>
      <c r="F20917" s="39"/>
    </row>
    <row r="20918">
      <c r="D20918" s="39"/>
      <c r="E20918" s="39"/>
      <c r="F20918" s="39"/>
    </row>
    <row r="20919">
      <c r="D20919" s="39"/>
      <c r="E20919" s="39"/>
      <c r="F20919" s="39"/>
    </row>
    <row r="20920">
      <c r="D20920" s="39"/>
      <c r="E20920" s="39"/>
      <c r="F20920" s="39"/>
    </row>
    <row r="20921">
      <c r="D20921" s="39"/>
      <c r="E20921" s="39"/>
      <c r="F20921" s="39"/>
    </row>
    <row r="20922">
      <c r="D20922" s="39"/>
      <c r="E20922" s="39"/>
      <c r="F20922" s="39"/>
    </row>
    <row r="20923">
      <c r="D20923" s="39"/>
      <c r="E20923" s="39"/>
      <c r="F20923" s="39"/>
    </row>
    <row r="20924">
      <c r="D20924" s="39"/>
      <c r="E20924" s="39"/>
      <c r="F20924" s="39"/>
    </row>
    <row r="20925">
      <c r="D20925" s="39"/>
      <c r="E20925" s="39"/>
      <c r="F20925" s="39"/>
    </row>
    <row r="20926">
      <c r="D20926" s="39"/>
      <c r="E20926" s="39"/>
      <c r="F20926" s="39"/>
    </row>
    <row r="20927">
      <c r="D20927" s="39"/>
      <c r="E20927" s="39"/>
      <c r="F20927" s="39"/>
    </row>
    <row r="20928">
      <c r="D20928" s="39"/>
      <c r="E20928" s="39"/>
      <c r="F20928" s="39"/>
    </row>
    <row r="20929">
      <c r="D20929" s="39"/>
      <c r="E20929" s="39"/>
      <c r="F20929" s="39"/>
    </row>
    <row r="20930">
      <c r="D20930" s="39"/>
      <c r="E20930" s="39"/>
      <c r="F20930" s="39"/>
    </row>
    <row r="20931">
      <c r="D20931" s="39"/>
      <c r="E20931" s="39"/>
      <c r="F20931" s="39"/>
    </row>
    <row r="20932">
      <c r="D20932" s="39"/>
      <c r="E20932" s="39"/>
      <c r="F20932" s="39"/>
    </row>
    <row r="20933">
      <c r="D20933" s="39"/>
      <c r="E20933" s="39"/>
      <c r="F20933" s="39"/>
    </row>
    <row r="20934">
      <c r="D20934" s="39"/>
      <c r="E20934" s="39"/>
      <c r="F20934" s="39"/>
    </row>
    <row r="20935">
      <c r="D20935" s="39"/>
      <c r="E20935" s="39"/>
      <c r="F20935" s="39"/>
    </row>
    <row r="20936">
      <c r="D20936" s="39"/>
      <c r="E20936" s="39"/>
      <c r="F20936" s="39"/>
    </row>
    <row r="20937">
      <c r="D20937" s="39"/>
      <c r="E20937" s="39"/>
      <c r="F20937" s="39"/>
    </row>
    <row r="20938">
      <c r="D20938" s="39"/>
      <c r="E20938" s="39"/>
      <c r="F20938" s="39"/>
    </row>
    <row r="20939">
      <c r="D20939" s="39"/>
      <c r="E20939" s="39"/>
      <c r="F20939" s="39"/>
    </row>
    <row r="20940">
      <c r="D20940" s="39"/>
      <c r="E20940" s="39"/>
      <c r="F20940" s="39"/>
    </row>
    <row r="20941">
      <c r="D20941" s="39"/>
      <c r="E20941" s="39"/>
      <c r="F20941" s="39"/>
    </row>
    <row r="20942">
      <c r="D20942" s="39"/>
      <c r="E20942" s="39"/>
      <c r="F20942" s="39"/>
    </row>
    <row r="20943">
      <c r="D20943" s="39"/>
      <c r="E20943" s="39"/>
      <c r="F20943" s="39"/>
    </row>
    <row r="20944">
      <c r="D20944" s="39"/>
      <c r="E20944" s="39"/>
      <c r="F20944" s="39"/>
    </row>
    <row r="20945">
      <c r="D20945" s="39"/>
      <c r="E20945" s="39"/>
      <c r="F20945" s="39"/>
    </row>
    <row r="20946">
      <c r="D20946" s="39"/>
      <c r="E20946" s="39"/>
      <c r="F20946" s="39"/>
    </row>
    <row r="20947">
      <c r="D20947" s="39"/>
      <c r="E20947" s="39"/>
      <c r="F20947" s="39"/>
    </row>
    <row r="20948">
      <c r="D20948" s="39"/>
      <c r="E20948" s="39"/>
      <c r="F20948" s="39"/>
    </row>
    <row r="20949">
      <c r="D20949" s="39"/>
      <c r="E20949" s="39"/>
      <c r="F20949" s="39"/>
    </row>
    <row r="20950">
      <c r="D20950" s="39"/>
      <c r="E20950" s="39"/>
      <c r="F20950" s="39"/>
    </row>
    <row r="20951">
      <c r="D20951" s="39"/>
      <c r="E20951" s="39"/>
      <c r="F20951" s="39"/>
    </row>
    <row r="20952">
      <c r="D20952" s="39"/>
      <c r="E20952" s="39"/>
      <c r="F20952" s="39"/>
    </row>
    <row r="20953">
      <c r="D20953" s="39"/>
      <c r="E20953" s="39"/>
      <c r="F20953" s="39"/>
    </row>
    <row r="20954">
      <c r="D20954" s="39"/>
      <c r="E20954" s="39"/>
      <c r="F20954" s="39"/>
    </row>
    <row r="20955">
      <c r="D20955" s="39"/>
      <c r="E20955" s="39"/>
      <c r="F20955" s="39"/>
    </row>
    <row r="20956">
      <c r="D20956" s="39"/>
      <c r="E20956" s="39"/>
      <c r="F20956" s="39"/>
    </row>
    <row r="20957">
      <c r="D20957" s="39"/>
      <c r="E20957" s="39"/>
      <c r="F20957" s="39"/>
    </row>
    <row r="20958">
      <c r="D20958" s="39"/>
      <c r="E20958" s="39"/>
      <c r="F20958" s="39"/>
    </row>
    <row r="20959">
      <c r="D20959" s="39"/>
      <c r="E20959" s="39"/>
      <c r="F20959" s="39"/>
    </row>
    <row r="20960">
      <c r="D20960" s="39"/>
      <c r="E20960" s="39"/>
      <c r="F20960" s="39"/>
    </row>
    <row r="20961">
      <c r="D20961" s="39"/>
      <c r="E20961" s="39"/>
      <c r="F20961" s="39"/>
    </row>
    <row r="20962">
      <c r="D20962" s="39"/>
      <c r="E20962" s="39"/>
      <c r="F20962" s="39"/>
    </row>
    <row r="20963">
      <c r="D20963" s="39"/>
      <c r="E20963" s="39"/>
      <c r="F20963" s="39"/>
    </row>
    <row r="20964">
      <c r="D20964" s="39"/>
      <c r="E20964" s="39"/>
      <c r="F20964" s="39"/>
    </row>
    <row r="20965">
      <c r="D20965" s="39"/>
      <c r="E20965" s="39"/>
      <c r="F20965" s="39"/>
    </row>
    <row r="20966">
      <c r="D20966" s="39"/>
      <c r="E20966" s="39"/>
      <c r="F20966" s="39"/>
    </row>
    <row r="20967">
      <c r="D20967" s="39"/>
      <c r="E20967" s="39"/>
      <c r="F20967" s="39"/>
    </row>
    <row r="20968">
      <c r="D20968" s="39"/>
      <c r="E20968" s="39"/>
      <c r="F20968" s="39"/>
    </row>
    <row r="20969">
      <c r="D20969" s="39"/>
      <c r="E20969" s="39"/>
      <c r="F20969" s="39"/>
    </row>
    <row r="20970">
      <c r="D20970" s="39"/>
      <c r="E20970" s="39"/>
      <c r="F20970" s="39"/>
    </row>
    <row r="20971">
      <c r="D20971" s="39"/>
      <c r="E20971" s="39"/>
      <c r="F20971" s="39"/>
    </row>
    <row r="20972">
      <c r="D20972" s="39"/>
      <c r="E20972" s="39"/>
      <c r="F20972" s="39"/>
    </row>
    <row r="20973">
      <c r="D20973" s="39"/>
      <c r="E20973" s="39"/>
      <c r="F20973" s="39"/>
    </row>
    <row r="20974">
      <c r="D20974" s="39"/>
      <c r="E20974" s="39"/>
      <c r="F20974" s="39"/>
    </row>
    <row r="20975">
      <c r="D20975" s="39"/>
      <c r="E20975" s="39"/>
      <c r="F20975" s="39"/>
    </row>
    <row r="20976">
      <c r="D20976" s="39"/>
      <c r="E20976" s="39"/>
      <c r="F20976" s="39"/>
    </row>
    <row r="20977">
      <c r="D20977" s="39"/>
      <c r="E20977" s="39"/>
      <c r="F20977" s="39"/>
    </row>
    <row r="20978">
      <c r="D20978" s="39"/>
      <c r="E20978" s="39"/>
      <c r="F20978" s="39"/>
    </row>
    <row r="20979">
      <c r="D20979" s="39"/>
      <c r="E20979" s="39"/>
      <c r="F20979" s="39"/>
    </row>
    <row r="20980">
      <c r="D20980" s="39"/>
      <c r="E20980" s="39"/>
      <c r="F20980" s="39"/>
    </row>
    <row r="20981">
      <c r="D20981" s="39"/>
      <c r="E20981" s="39"/>
      <c r="F20981" s="39"/>
    </row>
    <row r="20982">
      <c r="D20982" s="39"/>
      <c r="E20982" s="39"/>
      <c r="F20982" s="39"/>
    </row>
    <row r="20983">
      <c r="D20983" s="39"/>
      <c r="E20983" s="39"/>
      <c r="F20983" s="39"/>
    </row>
    <row r="20984">
      <c r="D20984" s="39"/>
      <c r="E20984" s="39"/>
      <c r="F20984" s="39"/>
    </row>
    <row r="20985">
      <c r="D20985" s="39"/>
      <c r="E20985" s="39"/>
      <c r="F20985" s="39"/>
    </row>
    <row r="20986">
      <c r="D20986" s="39"/>
      <c r="E20986" s="39"/>
      <c r="F20986" s="39"/>
    </row>
    <row r="20987">
      <c r="D20987" s="39"/>
      <c r="E20987" s="39"/>
      <c r="F20987" s="39"/>
    </row>
    <row r="20988">
      <c r="D20988" s="39"/>
      <c r="E20988" s="39"/>
      <c r="F20988" s="39"/>
    </row>
    <row r="20989">
      <c r="D20989" s="39"/>
      <c r="E20989" s="39"/>
      <c r="F20989" s="39"/>
    </row>
    <row r="20990">
      <c r="D20990" s="39"/>
      <c r="E20990" s="39"/>
      <c r="F20990" s="39"/>
    </row>
    <row r="20991">
      <c r="D20991" s="39"/>
      <c r="E20991" s="39"/>
      <c r="F20991" s="39"/>
    </row>
    <row r="20992">
      <c r="D20992" s="39"/>
      <c r="E20992" s="39"/>
      <c r="F20992" s="39"/>
    </row>
    <row r="20993">
      <c r="D20993" s="39"/>
      <c r="E20993" s="39"/>
      <c r="F20993" s="39"/>
    </row>
    <row r="20994">
      <c r="D20994" s="39"/>
      <c r="E20994" s="39"/>
      <c r="F20994" s="39"/>
    </row>
    <row r="20995">
      <c r="D20995" s="39"/>
      <c r="E20995" s="39"/>
      <c r="F20995" s="39"/>
    </row>
    <row r="20996">
      <c r="D20996" s="39"/>
      <c r="E20996" s="39"/>
      <c r="F20996" s="39"/>
    </row>
    <row r="20997">
      <c r="D20997" s="39"/>
      <c r="E20997" s="39"/>
      <c r="F20997" s="39"/>
    </row>
    <row r="20998">
      <c r="D20998" s="39"/>
      <c r="E20998" s="39"/>
      <c r="F20998" s="39"/>
    </row>
    <row r="20999">
      <c r="D20999" s="39"/>
      <c r="E20999" s="39"/>
      <c r="F20999" s="39"/>
    </row>
    <row r="21000">
      <c r="D21000" s="39"/>
      <c r="E21000" s="39"/>
      <c r="F21000" s="39"/>
    </row>
    <row r="21001">
      <c r="D21001" s="39"/>
      <c r="E21001" s="39"/>
      <c r="F21001" s="39"/>
    </row>
    <row r="21002">
      <c r="D21002" s="39"/>
      <c r="E21002" s="39"/>
      <c r="F21002" s="39"/>
    </row>
    <row r="21003">
      <c r="D21003" s="39"/>
      <c r="E21003" s="39"/>
      <c r="F21003" s="39"/>
    </row>
    <row r="21004">
      <c r="D21004" s="39"/>
      <c r="E21004" s="39"/>
      <c r="F21004" s="39"/>
    </row>
    <row r="21005">
      <c r="D21005" s="39"/>
      <c r="E21005" s="39"/>
      <c r="F21005" s="39"/>
    </row>
    <row r="21006">
      <c r="D21006" s="39"/>
      <c r="E21006" s="39"/>
      <c r="F21006" s="39"/>
    </row>
    <row r="21007">
      <c r="D21007" s="39"/>
      <c r="E21007" s="39"/>
      <c r="F21007" s="39"/>
    </row>
    <row r="21008">
      <c r="D21008" s="39"/>
      <c r="E21008" s="39"/>
      <c r="F21008" s="39"/>
    </row>
    <row r="21009">
      <c r="D21009" s="39"/>
      <c r="E21009" s="39"/>
      <c r="F21009" s="39"/>
    </row>
    <row r="21010">
      <c r="D21010" s="39"/>
      <c r="E21010" s="39"/>
      <c r="F21010" s="39"/>
    </row>
    <row r="21011">
      <c r="D21011" s="39"/>
      <c r="E21011" s="39"/>
      <c r="F21011" s="39"/>
    </row>
    <row r="21012">
      <c r="D21012" s="39"/>
      <c r="E21012" s="39"/>
      <c r="F21012" s="39"/>
    </row>
    <row r="21013">
      <c r="D21013" s="39"/>
      <c r="E21013" s="39"/>
      <c r="F21013" s="39"/>
    </row>
    <row r="21014">
      <c r="D21014" s="39"/>
      <c r="E21014" s="39"/>
      <c r="F21014" s="39"/>
    </row>
    <row r="21015">
      <c r="D21015" s="39"/>
      <c r="E21015" s="39"/>
      <c r="F21015" s="39"/>
    </row>
    <row r="21016">
      <c r="D21016" s="39"/>
      <c r="E21016" s="39"/>
      <c r="F21016" s="39"/>
    </row>
    <row r="21017">
      <c r="D21017" s="39"/>
      <c r="E21017" s="39"/>
      <c r="F21017" s="39"/>
    </row>
    <row r="21018">
      <c r="D21018" s="39"/>
      <c r="E21018" s="39"/>
      <c r="F21018" s="39"/>
    </row>
    <row r="21019">
      <c r="D21019" s="39"/>
      <c r="E21019" s="39"/>
      <c r="F21019" s="39"/>
    </row>
    <row r="21020">
      <c r="D21020" s="39"/>
      <c r="E21020" s="39"/>
      <c r="F21020" s="39"/>
    </row>
    <row r="21021">
      <c r="D21021" s="39"/>
      <c r="E21021" s="39"/>
      <c r="F21021" s="39"/>
    </row>
    <row r="21022">
      <c r="D21022" s="39"/>
      <c r="E21022" s="39"/>
      <c r="F21022" s="39"/>
    </row>
    <row r="21023">
      <c r="D21023" s="39"/>
      <c r="E21023" s="39"/>
      <c r="F21023" s="39"/>
    </row>
    <row r="21024">
      <c r="D21024" s="39"/>
      <c r="E21024" s="39"/>
      <c r="F21024" s="39"/>
    </row>
    <row r="21025">
      <c r="D21025" s="39"/>
      <c r="E21025" s="39"/>
      <c r="F21025" s="39"/>
    </row>
    <row r="21026">
      <c r="D21026" s="39"/>
      <c r="E21026" s="39"/>
      <c r="F21026" s="39"/>
    </row>
    <row r="21027">
      <c r="D21027" s="39"/>
      <c r="E21027" s="39"/>
      <c r="F21027" s="39"/>
    </row>
    <row r="21028">
      <c r="D21028" s="39"/>
      <c r="E21028" s="39"/>
      <c r="F21028" s="39"/>
    </row>
    <row r="21029">
      <c r="D21029" s="39"/>
      <c r="E21029" s="39"/>
      <c r="F21029" s="39"/>
    </row>
    <row r="21030">
      <c r="D21030" s="39"/>
      <c r="E21030" s="39"/>
      <c r="F21030" s="39"/>
    </row>
    <row r="21031">
      <c r="D21031" s="39"/>
      <c r="E21031" s="39"/>
      <c r="F21031" s="39"/>
    </row>
    <row r="21032">
      <c r="D21032" s="39"/>
      <c r="E21032" s="39"/>
      <c r="F21032" s="39"/>
    </row>
    <row r="21033">
      <c r="D21033" s="39"/>
      <c r="E21033" s="39"/>
      <c r="F21033" s="39"/>
    </row>
    <row r="21034">
      <c r="D21034" s="39"/>
      <c r="E21034" s="39"/>
      <c r="F21034" s="39"/>
    </row>
    <row r="21035">
      <c r="D21035" s="39"/>
      <c r="E21035" s="39"/>
      <c r="F21035" s="39"/>
    </row>
    <row r="21036">
      <c r="D21036" s="39"/>
      <c r="E21036" s="39"/>
      <c r="F21036" s="39"/>
    </row>
    <row r="21037">
      <c r="D21037" s="39"/>
      <c r="E21037" s="39"/>
      <c r="F21037" s="39"/>
    </row>
    <row r="21038">
      <c r="D21038" s="39"/>
      <c r="E21038" s="39"/>
      <c r="F21038" s="39"/>
    </row>
    <row r="21039">
      <c r="D21039" s="39"/>
      <c r="E21039" s="39"/>
      <c r="F21039" s="39"/>
    </row>
    <row r="21040">
      <c r="D21040" s="39"/>
      <c r="E21040" s="39"/>
      <c r="F21040" s="39"/>
    </row>
    <row r="21041">
      <c r="D21041" s="39"/>
      <c r="E21041" s="39"/>
      <c r="F21041" s="39"/>
    </row>
    <row r="21042">
      <c r="D21042" s="39"/>
      <c r="E21042" s="39"/>
      <c r="F21042" s="39"/>
    </row>
    <row r="21043">
      <c r="D21043" s="39"/>
      <c r="E21043" s="39"/>
      <c r="F21043" s="39"/>
    </row>
    <row r="21044">
      <c r="D21044" s="39"/>
      <c r="E21044" s="39"/>
      <c r="F21044" s="39"/>
    </row>
    <row r="21045">
      <c r="D21045" s="39"/>
      <c r="E21045" s="39"/>
      <c r="F21045" s="39"/>
    </row>
    <row r="21046">
      <c r="D21046" s="39"/>
      <c r="E21046" s="39"/>
      <c r="F21046" s="39"/>
    </row>
    <row r="21047">
      <c r="D21047" s="39"/>
      <c r="E21047" s="39"/>
      <c r="F21047" s="39"/>
    </row>
    <row r="21048">
      <c r="D21048" s="39"/>
      <c r="E21048" s="39"/>
      <c r="F21048" s="39"/>
    </row>
    <row r="21049">
      <c r="D21049" s="39"/>
      <c r="E21049" s="39"/>
      <c r="F21049" s="39"/>
    </row>
    <row r="21050">
      <c r="D21050" s="39"/>
      <c r="E21050" s="39"/>
      <c r="F21050" s="39"/>
    </row>
    <row r="21051">
      <c r="D21051" s="39"/>
      <c r="E21051" s="39"/>
      <c r="F21051" s="39"/>
    </row>
    <row r="21052">
      <c r="D21052" s="39"/>
      <c r="E21052" s="39"/>
      <c r="F21052" s="39"/>
    </row>
    <row r="21053">
      <c r="D21053" s="39"/>
      <c r="E21053" s="39"/>
      <c r="F21053" s="39"/>
    </row>
    <row r="21054">
      <c r="D21054" s="39"/>
      <c r="E21054" s="39"/>
      <c r="F21054" s="39"/>
    </row>
    <row r="21055">
      <c r="D21055" s="39"/>
      <c r="E21055" s="39"/>
      <c r="F21055" s="39"/>
    </row>
    <row r="21056">
      <c r="D21056" s="39"/>
      <c r="E21056" s="39"/>
      <c r="F21056" s="39"/>
    </row>
    <row r="21057">
      <c r="D21057" s="39"/>
      <c r="E21057" s="39"/>
      <c r="F21057" s="39"/>
    </row>
    <row r="21058">
      <c r="D21058" s="39"/>
      <c r="E21058" s="39"/>
      <c r="F21058" s="39"/>
    </row>
    <row r="21059">
      <c r="D21059" s="39"/>
      <c r="E21059" s="39"/>
      <c r="F21059" s="39"/>
    </row>
    <row r="21060">
      <c r="D21060" s="39"/>
      <c r="E21060" s="39"/>
      <c r="F21060" s="39"/>
    </row>
    <row r="21061">
      <c r="D21061" s="39"/>
      <c r="E21061" s="39"/>
      <c r="F21061" s="39"/>
    </row>
    <row r="21062">
      <c r="D21062" s="39"/>
      <c r="E21062" s="39"/>
      <c r="F21062" s="39"/>
    </row>
    <row r="21063">
      <c r="D21063" s="39"/>
      <c r="E21063" s="39"/>
      <c r="F21063" s="39"/>
    </row>
    <row r="21064">
      <c r="D21064" s="39"/>
      <c r="E21064" s="39"/>
      <c r="F21064" s="39"/>
    </row>
    <row r="21065">
      <c r="D21065" s="39"/>
      <c r="E21065" s="39"/>
      <c r="F21065" s="39"/>
    </row>
    <row r="21066">
      <c r="D21066" s="39"/>
      <c r="E21066" s="39"/>
      <c r="F21066" s="39"/>
    </row>
    <row r="21067">
      <c r="D21067" s="39"/>
      <c r="E21067" s="39"/>
      <c r="F21067" s="39"/>
    </row>
    <row r="21068">
      <c r="D21068" s="39"/>
      <c r="E21068" s="39"/>
      <c r="F21068" s="39"/>
    </row>
    <row r="21069">
      <c r="D21069" s="39"/>
      <c r="E21069" s="39"/>
      <c r="F21069" s="39"/>
    </row>
    <row r="21070">
      <c r="D21070" s="39"/>
      <c r="E21070" s="39"/>
      <c r="F21070" s="39"/>
    </row>
    <row r="21071">
      <c r="D21071" s="39"/>
      <c r="E21071" s="39"/>
      <c r="F21071" s="39"/>
    </row>
    <row r="21072">
      <c r="D21072" s="39"/>
      <c r="E21072" s="39"/>
      <c r="F21072" s="39"/>
    </row>
    <row r="21073">
      <c r="D21073" s="39"/>
      <c r="E21073" s="39"/>
      <c r="F21073" s="39"/>
    </row>
    <row r="21074">
      <c r="D21074" s="39"/>
      <c r="E21074" s="39"/>
      <c r="F21074" s="39"/>
    </row>
    <row r="21075">
      <c r="D21075" s="39"/>
      <c r="E21075" s="39"/>
      <c r="F21075" s="39"/>
    </row>
    <row r="21076">
      <c r="D21076" s="39"/>
      <c r="E21076" s="39"/>
      <c r="F21076" s="39"/>
    </row>
    <row r="21077">
      <c r="D21077" s="39"/>
      <c r="E21077" s="39"/>
      <c r="F21077" s="39"/>
    </row>
    <row r="21078">
      <c r="D21078" s="39"/>
      <c r="E21078" s="39"/>
      <c r="F21078" s="39"/>
    </row>
    <row r="21079">
      <c r="D21079" s="39"/>
      <c r="E21079" s="39"/>
      <c r="F21079" s="39"/>
    </row>
    <row r="21080">
      <c r="D21080" s="39"/>
      <c r="E21080" s="39"/>
      <c r="F21080" s="39"/>
    </row>
    <row r="21081">
      <c r="D21081" s="39"/>
      <c r="E21081" s="39"/>
      <c r="F21081" s="39"/>
    </row>
    <row r="21082">
      <c r="D21082" s="39"/>
      <c r="E21082" s="39"/>
      <c r="F21082" s="39"/>
    </row>
    <row r="21083">
      <c r="D21083" s="39"/>
      <c r="E21083" s="39"/>
      <c r="F21083" s="39"/>
    </row>
    <row r="21084">
      <c r="D21084" s="39"/>
      <c r="E21084" s="39"/>
      <c r="F21084" s="39"/>
    </row>
    <row r="21085">
      <c r="D21085" s="39"/>
      <c r="E21085" s="39"/>
      <c r="F21085" s="39"/>
    </row>
    <row r="21086">
      <c r="D21086" s="39"/>
      <c r="E21086" s="39"/>
      <c r="F21086" s="39"/>
    </row>
    <row r="21087">
      <c r="D21087" s="39"/>
      <c r="E21087" s="39"/>
      <c r="F21087" s="39"/>
    </row>
    <row r="21088">
      <c r="D21088" s="39"/>
      <c r="E21088" s="39"/>
      <c r="F21088" s="39"/>
    </row>
    <row r="21089">
      <c r="D21089" s="39"/>
      <c r="E21089" s="39"/>
      <c r="F21089" s="39"/>
    </row>
    <row r="21090">
      <c r="D21090" s="39"/>
      <c r="E21090" s="39"/>
      <c r="F21090" s="39"/>
    </row>
    <row r="21091">
      <c r="D21091" s="39"/>
      <c r="E21091" s="39"/>
      <c r="F21091" s="39"/>
    </row>
    <row r="21092">
      <c r="D21092" s="39"/>
      <c r="E21092" s="39"/>
      <c r="F21092" s="39"/>
    </row>
    <row r="21093">
      <c r="D21093" s="39"/>
      <c r="E21093" s="39"/>
      <c r="F21093" s="39"/>
    </row>
    <row r="21094">
      <c r="D21094" s="39"/>
      <c r="E21094" s="39"/>
      <c r="F21094" s="39"/>
    </row>
    <row r="21095">
      <c r="D21095" s="39"/>
      <c r="E21095" s="39"/>
      <c r="F21095" s="39"/>
    </row>
    <row r="21096">
      <c r="D21096" s="39"/>
      <c r="E21096" s="39"/>
      <c r="F21096" s="39"/>
    </row>
    <row r="21097">
      <c r="D21097" s="39"/>
      <c r="E21097" s="39"/>
      <c r="F21097" s="39"/>
    </row>
    <row r="21098">
      <c r="D21098" s="39"/>
      <c r="E21098" s="39"/>
      <c r="F21098" s="39"/>
    </row>
    <row r="21099">
      <c r="D21099" s="39"/>
      <c r="E21099" s="39"/>
      <c r="F21099" s="39"/>
    </row>
    <row r="21100">
      <c r="D21100" s="39"/>
      <c r="E21100" s="39"/>
      <c r="F21100" s="39"/>
    </row>
    <row r="21101">
      <c r="D21101" s="39"/>
      <c r="E21101" s="39"/>
      <c r="F21101" s="39"/>
    </row>
    <row r="21102">
      <c r="D21102" s="39"/>
      <c r="E21102" s="39"/>
      <c r="F21102" s="39"/>
    </row>
    <row r="21103">
      <c r="D21103" s="39"/>
      <c r="E21103" s="39"/>
      <c r="F21103" s="39"/>
    </row>
    <row r="21104">
      <c r="D21104" s="39"/>
      <c r="E21104" s="39"/>
      <c r="F21104" s="39"/>
    </row>
    <row r="21105">
      <c r="D21105" s="39"/>
      <c r="E21105" s="39"/>
      <c r="F21105" s="39"/>
    </row>
    <row r="21106">
      <c r="D21106" s="39"/>
      <c r="E21106" s="39"/>
      <c r="F21106" s="39"/>
    </row>
    <row r="21107">
      <c r="D21107" s="39"/>
      <c r="E21107" s="39"/>
      <c r="F21107" s="39"/>
    </row>
    <row r="21108">
      <c r="D21108" s="39"/>
      <c r="E21108" s="39"/>
      <c r="F21108" s="39"/>
    </row>
    <row r="21109">
      <c r="D21109" s="39"/>
      <c r="E21109" s="39"/>
      <c r="F21109" s="39"/>
    </row>
    <row r="21110">
      <c r="D21110" s="39"/>
      <c r="E21110" s="39"/>
      <c r="F21110" s="39"/>
    </row>
    <row r="21111">
      <c r="D21111" s="39"/>
      <c r="E21111" s="39"/>
      <c r="F21111" s="39"/>
    </row>
    <row r="21112">
      <c r="D21112" s="39"/>
      <c r="E21112" s="39"/>
      <c r="F21112" s="39"/>
    </row>
    <row r="21113">
      <c r="D21113" s="39"/>
      <c r="E21113" s="39"/>
      <c r="F21113" s="39"/>
    </row>
    <row r="21114">
      <c r="D21114" s="39"/>
      <c r="E21114" s="39"/>
      <c r="F21114" s="39"/>
    </row>
    <row r="21115">
      <c r="D21115" s="39"/>
      <c r="E21115" s="39"/>
      <c r="F21115" s="39"/>
    </row>
    <row r="21116">
      <c r="D21116" s="39"/>
      <c r="E21116" s="39"/>
      <c r="F21116" s="39"/>
    </row>
    <row r="21117">
      <c r="D21117" s="39"/>
      <c r="E21117" s="39"/>
      <c r="F21117" s="39"/>
    </row>
    <row r="21118">
      <c r="D21118" s="39"/>
      <c r="E21118" s="39"/>
      <c r="F21118" s="39"/>
    </row>
    <row r="21119">
      <c r="D21119" s="39"/>
      <c r="E21119" s="39"/>
      <c r="F21119" s="39"/>
    </row>
    <row r="21120">
      <c r="D21120" s="39"/>
      <c r="E21120" s="39"/>
      <c r="F21120" s="39"/>
    </row>
    <row r="21121">
      <c r="D21121" s="39"/>
      <c r="E21121" s="39"/>
      <c r="F21121" s="39"/>
    </row>
    <row r="21122">
      <c r="D21122" s="39"/>
      <c r="E21122" s="39"/>
      <c r="F21122" s="39"/>
    </row>
    <row r="21123">
      <c r="D21123" s="39"/>
      <c r="E21123" s="39"/>
      <c r="F21123" s="39"/>
    </row>
    <row r="21124">
      <c r="D21124" s="39"/>
      <c r="E21124" s="39"/>
      <c r="F21124" s="39"/>
    </row>
    <row r="21125">
      <c r="D21125" s="39"/>
      <c r="E21125" s="39"/>
      <c r="F21125" s="39"/>
    </row>
    <row r="21126">
      <c r="D21126" s="39"/>
      <c r="E21126" s="39"/>
      <c r="F21126" s="39"/>
    </row>
    <row r="21127">
      <c r="D21127" s="39"/>
      <c r="E21127" s="39"/>
      <c r="F21127" s="39"/>
    </row>
    <row r="21128">
      <c r="D21128" s="39"/>
      <c r="E21128" s="39"/>
      <c r="F21128" s="39"/>
    </row>
    <row r="21129">
      <c r="D21129" s="39"/>
      <c r="E21129" s="39"/>
      <c r="F21129" s="39"/>
    </row>
    <row r="21130">
      <c r="D21130" s="39"/>
      <c r="E21130" s="39"/>
      <c r="F21130" s="39"/>
    </row>
    <row r="21131">
      <c r="D21131" s="39"/>
      <c r="E21131" s="39"/>
      <c r="F21131" s="39"/>
    </row>
    <row r="21132">
      <c r="D21132" s="39"/>
      <c r="E21132" s="39"/>
      <c r="F21132" s="39"/>
    </row>
    <row r="21133">
      <c r="D21133" s="39"/>
      <c r="E21133" s="39"/>
      <c r="F21133" s="39"/>
    </row>
    <row r="21134">
      <c r="D21134" s="39"/>
      <c r="E21134" s="39"/>
      <c r="F21134" s="39"/>
    </row>
    <row r="21135">
      <c r="D21135" s="39"/>
      <c r="E21135" s="39"/>
      <c r="F21135" s="39"/>
    </row>
    <row r="21136">
      <c r="D21136" s="39"/>
      <c r="E21136" s="39"/>
      <c r="F21136" s="39"/>
    </row>
    <row r="21137">
      <c r="D21137" s="39"/>
      <c r="E21137" s="39"/>
      <c r="F21137" s="39"/>
    </row>
    <row r="21138">
      <c r="D21138" s="39"/>
      <c r="E21138" s="39"/>
      <c r="F21138" s="39"/>
    </row>
    <row r="21139">
      <c r="D21139" s="39"/>
      <c r="E21139" s="39"/>
      <c r="F21139" s="39"/>
    </row>
    <row r="21140">
      <c r="D21140" s="39"/>
      <c r="E21140" s="39"/>
      <c r="F21140" s="39"/>
    </row>
    <row r="21141">
      <c r="D21141" s="39"/>
      <c r="E21141" s="39"/>
      <c r="F21141" s="39"/>
    </row>
    <row r="21142">
      <c r="D21142" s="39"/>
      <c r="E21142" s="39"/>
      <c r="F21142" s="39"/>
    </row>
    <row r="21143">
      <c r="D21143" s="39"/>
      <c r="E21143" s="39"/>
      <c r="F21143" s="39"/>
    </row>
    <row r="21144">
      <c r="D21144" s="39"/>
      <c r="E21144" s="39"/>
      <c r="F21144" s="39"/>
    </row>
    <row r="21145">
      <c r="D21145" s="39"/>
      <c r="E21145" s="39"/>
      <c r="F21145" s="39"/>
    </row>
    <row r="21146">
      <c r="D21146" s="39"/>
      <c r="E21146" s="39"/>
      <c r="F21146" s="39"/>
    </row>
    <row r="21147">
      <c r="D21147" s="39"/>
      <c r="E21147" s="39"/>
      <c r="F21147" s="39"/>
    </row>
    <row r="21148">
      <c r="D21148" s="39"/>
      <c r="E21148" s="39"/>
      <c r="F21148" s="39"/>
    </row>
    <row r="21149">
      <c r="D21149" s="39"/>
      <c r="E21149" s="39"/>
      <c r="F21149" s="39"/>
    </row>
    <row r="21150">
      <c r="D21150" s="39"/>
      <c r="E21150" s="39"/>
      <c r="F21150" s="39"/>
    </row>
    <row r="21151">
      <c r="D21151" s="39"/>
      <c r="E21151" s="39"/>
      <c r="F21151" s="39"/>
    </row>
    <row r="21152">
      <c r="D21152" s="39"/>
      <c r="E21152" s="39"/>
      <c r="F21152" s="39"/>
    </row>
    <row r="21153">
      <c r="D21153" s="39"/>
      <c r="E21153" s="39"/>
      <c r="F21153" s="39"/>
    </row>
    <row r="21154">
      <c r="D21154" s="39"/>
      <c r="E21154" s="39"/>
      <c r="F21154" s="39"/>
    </row>
    <row r="21155">
      <c r="D21155" s="39"/>
      <c r="E21155" s="39"/>
      <c r="F21155" s="39"/>
    </row>
    <row r="21156">
      <c r="D21156" s="39"/>
      <c r="E21156" s="39"/>
      <c r="F21156" s="39"/>
    </row>
    <row r="21157">
      <c r="D21157" s="39"/>
      <c r="E21157" s="39"/>
      <c r="F21157" s="39"/>
    </row>
    <row r="21158">
      <c r="D21158" s="39"/>
      <c r="E21158" s="39"/>
      <c r="F21158" s="39"/>
    </row>
    <row r="21159">
      <c r="D21159" s="39"/>
      <c r="E21159" s="39"/>
      <c r="F21159" s="39"/>
    </row>
    <row r="21160">
      <c r="D21160" s="39"/>
      <c r="E21160" s="39"/>
      <c r="F21160" s="39"/>
    </row>
    <row r="21161">
      <c r="D21161" s="39"/>
      <c r="E21161" s="39"/>
      <c r="F21161" s="39"/>
    </row>
    <row r="21162">
      <c r="D21162" s="39"/>
      <c r="E21162" s="39"/>
      <c r="F21162" s="39"/>
    </row>
    <row r="21163">
      <c r="D21163" s="39"/>
      <c r="E21163" s="39"/>
      <c r="F21163" s="39"/>
    </row>
    <row r="21164">
      <c r="D21164" s="39"/>
      <c r="E21164" s="39"/>
      <c r="F21164" s="39"/>
    </row>
    <row r="21165">
      <c r="D21165" s="39"/>
      <c r="E21165" s="39"/>
      <c r="F21165" s="39"/>
    </row>
    <row r="21166">
      <c r="D21166" s="39"/>
      <c r="E21166" s="39"/>
      <c r="F21166" s="39"/>
    </row>
    <row r="21167">
      <c r="D21167" s="39"/>
      <c r="E21167" s="39"/>
      <c r="F21167" s="39"/>
    </row>
    <row r="21168">
      <c r="D21168" s="39"/>
      <c r="E21168" s="39"/>
      <c r="F21168" s="39"/>
    </row>
    <row r="21169">
      <c r="D21169" s="39"/>
      <c r="E21169" s="39"/>
      <c r="F21169" s="39"/>
    </row>
    <row r="21170">
      <c r="D21170" s="39"/>
      <c r="E21170" s="39"/>
      <c r="F21170" s="39"/>
    </row>
    <row r="21171">
      <c r="D21171" s="39"/>
      <c r="E21171" s="39"/>
      <c r="F21171" s="39"/>
    </row>
    <row r="21172">
      <c r="D21172" s="39"/>
      <c r="E21172" s="39"/>
      <c r="F21172" s="39"/>
    </row>
    <row r="21173">
      <c r="D21173" s="39"/>
      <c r="E21173" s="39"/>
      <c r="F21173" s="39"/>
    </row>
    <row r="21174">
      <c r="D21174" s="39"/>
      <c r="E21174" s="39"/>
      <c r="F21174" s="39"/>
    </row>
    <row r="21175">
      <c r="D21175" s="39"/>
      <c r="E21175" s="39"/>
      <c r="F21175" s="39"/>
    </row>
    <row r="21176">
      <c r="D21176" s="39"/>
      <c r="E21176" s="39"/>
      <c r="F21176" s="39"/>
    </row>
    <row r="21177">
      <c r="D21177" s="39"/>
      <c r="E21177" s="39"/>
      <c r="F21177" s="39"/>
    </row>
    <row r="21178">
      <c r="D21178" s="39"/>
      <c r="E21178" s="39"/>
      <c r="F21178" s="39"/>
    </row>
    <row r="21179">
      <c r="D21179" s="39"/>
      <c r="E21179" s="39"/>
      <c r="F21179" s="39"/>
    </row>
    <row r="21180">
      <c r="D21180" s="39"/>
      <c r="E21180" s="39"/>
      <c r="F21180" s="39"/>
    </row>
    <row r="21181">
      <c r="D21181" s="39"/>
      <c r="E21181" s="39"/>
      <c r="F21181" s="39"/>
    </row>
    <row r="21182">
      <c r="D21182" s="39"/>
      <c r="E21182" s="39"/>
      <c r="F21182" s="39"/>
    </row>
    <row r="21183">
      <c r="D21183" s="39"/>
      <c r="E21183" s="39"/>
      <c r="F21183" s="39"/>
    </row>
    <row r="21184">
      <c r="D21184" s="39"/>
      <c r="E21184" s="39"/>
      <c r="F21184" s="39"/>
    </row>
    <row r="21185">
      <c r="D21185" s="39"/>
      <c r="E21185" s="39"/>
      <c r="F21185" s="39"/>
    </row>
    <row r="21186">
      <c r="D21186" s="39"/>
      <c r="E21186" s="39"/>
      <c r="F21186" s="39"/>
    </row>
    <row r="21187">
      <c r="D21187" s="39"/>
      <c r="E21187" s="39"/>
      <c r="F21187" s="39"/>
    </row>
    <row r="21188">
      <c r="D21188" s="39"/>
      <c r="E21188" s="39"/>
      <c r="F21188" s="39"/>
    </row>
    <row r="21189">
      <c r="D21189" s="39"/>
      <c r="E21189" s="39"/>
      <c r="F21189" s="39"/>
    </row>
    <row r="21190">
      <c r="D21190" s="39"/>
      <c r="E21190" s="39"/>
      <c r="F21190" s="39"/>
    </row>
    <row r="21191">
      <c r="D21191" s="39"/>
      <c r="E21191" s="39"/>
      <c r="F21191" s="39"/>
    </row>
    <row r="21192">
      <c r="D21192" s="39"/>
      <c r="E21192" s="39"/>
      <c r="F21192" s="39"/>
    </row>
    <row r="21193">
      <c r="D21193" s="39"/>
      <c r="E21193" s="39"/>
      <c r="F21193" s="39"/>
    </row>
    <row r="21194">
      <c r="D21194" s="39"/>
      <c r="E21194" s="39"/>
      <c r="F21194" s="39"/>
    </row>
    <row r="21195">
      <c r="D21195" s="39"/>
      <c r="E21195" s="39"/>
      <c r="F21195" s="39"/>
    </row>
    <row r="21196">
      <c r="D21196" s="39"/>
      <c r="E21196" s="39"/>
      <c r="F21196" s="39"/>
    </row>
    <row r="21197">
      <c r="D21197" s="39"/>
      <c r="E21197" s="39"/>
      <c r="F21197" s="39"/>
    </row>
    <row r="21198">
      <c r="D21198" s="39"/>
      <c r="E21198" s="39"/>
      <c r="F21198" s="39"/>
    </row>
    <row r="21199">
      <c r="D21199" s="39"/>
      <c r="E21199" s="39"/>
      <c r="F21199" s="39"/>
    </row>
    <row r="21200">
      <c r="D21200" s="39"/>
      <c r="E21200" s="39"/>
      <c r="F21200" s="39"/>
    </row>
    <row r="21201">
      <c r="D21201" s="39"/>
      <c r="E21201" s="39"/>
      <c r="F21201" s="39"/>
    </row>
    <row r="21202">
      <c r="D21202" s="39"/>
      <c r="E21202" s="39"/>
      <c r="F21202" s="39"/>
    </row>
    <row r="21203">
      <c r="D21203" s="39"/>
      <c r="E21203" s="39"/>
      <c r="F21203" s="39"/>
    </row>
    <row r="21204">
      <c r="D21204" s="39"/>
      <c r="E21204" s="39"/>
      <c r="F21204" s="39"/>
    </row>
    <row r="21205">
      <c r="D21205" s="39"/>
      <c r="E21205" s="39"/>
      <c r="F21205" s="39"/>
    </row>
    <row r="21206">
      <c r="D21206" s="39"/>
      <c r="E21206" s="39"/>
      <c r="F21206" s="39"/>
    </row>
    <row r="21207">
      <c r="D21207" s="39"/>
      <c r="E21207" s="39"/>
      <c r="F21207" s="39"/>
    </row>
    <row r="21208">
      <c r="D21208" s="39"/>
      <c r="E21208" s="39"/>
      <c r="F21208" s="39"/>
    </row>
    <row r="21209">
      <c r="D21209" s="39"/>
      <c r="E21209" s="39"/>
      <c r="F21209" s="39"/>
    </row>
    <row r="21210">
      <c r="D21210" s="39"/>
      <c r="E21210" s="39"/>
      <c r="F21210" s="39"/>
    </row>
    <row r="21211">
      <c r="D21211" s="39"/>
      <c r="E21211" s="39"/>
      <c r="F21211" s="39"/>
    </row>
    <row r="21212">
      <c r="D21212" s="39"/>
      <c r="E21212" s="39"/>
      <c r="F21212" s="39"/>
    </row>
    <row r="21213">
      <c r="D21213" s="39"/>
      <c r="E21213" s="39"/>
      <c r="F21213" s="39"/>
    </row>
    <row r="21214">
      <c r="D21214" s="39"/>
      <c r="E21214" s="39"/>
      <c r="F21214" s="39"/>
    </row>
    <row r="21215">
      <c r="D21215" s="39"/>
      <c r="E21215" s="39"/>
      <c r="F21215" s="39"/>
    </row>
    <row r="21216">
      <c r="D21216" s="39"/>
      <c r="E21216" s="39"/>
      <c r="F21216" s="39"/>
    </row>
    <row r="21217">
      <c r="D21217" s="39"/>
      <c r="E21217" s="39"/>
      <c r="F21217" s="39"/>
    </row>
    <row r="21218">
      <c r="D21218" s="39"/>
      <c r="E21218" s="39"/>
      <c r="F21218" s="39"/>
    </row>
    <row r="21219">
      <c r="D21219" s="39"/>
      <c r="E21219" s="39"/>
      <c r="F21219" s="39"/>
    </row>
    <row r="21220">
      <c r="D21220" s="39"/>
      <c r="E21220" s="39"/>
      <c r="F21220" s="39"/>
    </row>
    <row r="21221">
      <c r="D21221" s="39"/>
      <c r="E21221" s="39"/>
      <c r="F21221" s="39"/>
    </row>
    <row r="21222">
      <c r="D21222" s="39"/>
      <c r="E21222" s="39"/>
      <c r="F21222" s="39"/>
    </row>
    <row r="21223">
      <c r="D21223" s="39"/>
      <c r="E21223" s="39"/>
      <c r="F21223" s="39"/>
    </row>
    <row r="21224">
      <c r="D21224" s="39"/>
      <c r="E21224" s="39"/>
      <c r="F21224" s="39"/>
    </row>
    <row r="21225">
      <c r="D21225" s="39"/>
      <c r="E21225" s="39"/>
      <c r="F21225" s="39"/>
    </row>
    <row r="21226">
      <c r="D21226" s="39"/>
      <c r="E21226" s="39"/>
      <c r="F21226" s="39"/>
    </row>
    <row r="21227">
      <c r="D21227" s="39"/>
      <c r="E21227" s="39"/>
      <c r="F21227" s="39"/>
    </row>
    <row r="21228">
      <c r="D21228" s="39"/>
      <c r="E21228" s="39"/>
      <c r="F21228" s="39"/>
    </row>
    <row r="21229">
      <c r="D21229" s="39"/>
      <c r="E21229" s="39"/>
      <c r="F21229" s="39"/>
    </row>
    <row r="21230">
      <c r="D21230" s="39"/>
      <c r="E21230" s="39"/>
      <c r="F21230" s="39"/>
    </row>
    <row r="21231">
      <c r="D21231" s="39"/>
      <c r="E21231" s="39"/>
      <c r="F21231" s="39"/>
    </row>
    <row r="21232">
      <c r="D21232" s="39"/>
      <c r="E21232" s="39"/>
      <c r="F21232" s="39"/>
    </row>
    <row r="21233">
      <c r="D21233" s="39"/>
      <c r="E21233" s="39"/>
      <c r="F21233" s="39"/>
    </row>
    <row r="21234">
      <c r="D21234" s="39"/>
      <c r="E21234" s="39"/>
      <c r="F21234" s="39"/>
    </row>
    <row r="21235">
      <c r="D21235" s="39"/>
      <c r="E21235" s="39"/>
      <c r="F21235" s="39"/>
    </row>
    <row r="21236">
      <c r="D21236" s="39"/>
      <c r="E21236" s="39"/>
      <c r="F21236" s="39"/>
    </row>
    <row r="21237">
      <c r="D21237" s="39"/>
      <c r="E21237" s="39"/>
      <c r="F21237" s="39"/>
    </row>
    <row r="21238">
      <c r="D21238" s="39"/>
      <c r="E21238" s="39"/>
      <c r="F21238" s="39"/>
    </row>
    <row r="21239">
      <c r="D21239" s="39"/>
      <c r="E21239" s="39"/>
      <c r="F21239" s="39"/>
    </row>
    <row r="21240">
      <c r="D21240" s="39"/>
      <c r="E21240" s="39"/>
      <c r="F21240" s="39"/>
    </row>
    <row r="21241">
      <c r="D21241" s="39"/>
      <c r="E21241" s="39"/>
      <c r="F21241" s="39"/>
    </row>
    <row r="21242">
      <c r="D21242" s="39"/>
      <c r="E21242" s="39"/>
      <c r="F21242" s="39"/>
    </row>
    <row r="21243">
      <c r="D21243" s="39"/>
      <c r="E21243" s="39"/>
      <c r="F21243" s="39"/>
    </row>
    <row r="21244">
      <c r="D21244" s="39"/>
      <c r="E21244" s="39"/>
      <c r="F21244" s="39"/>
    </row>
    <row r="21245">
      <c r="D21245" s="39"/>
      <c r="E21245" s="39"/>
      <c r="F21245" s="39"/>
    </row>
    <row r="21246">
      <c r="D21246" s="39"/>
      <c r="E21246" s="39"/>
      <c r="F21246" s="39"/>
    </row>
    <row r="21247">
      <c r="D21247" s="39"/>
      <c r="E21247" s="39"/>
      <c r="F21247" s="39"/>
    </row>
    <row r="21248">
      <c r="D21248" s="39"/>
      <c r="E21248" s="39"/>
      <c r="F21248" s="39"/>
    </row>
    <row r="21249">
      <c r="D21249" s="39"/>
      <c r="E21249" s="39"/>
      <c r="F21249" s="39"/>
    </row>
    <row r="21250">
      <c r="D21250" s="39"/>
      <c r="E21250" s="39"/>
      <c r="F21250" s="39"/>
    </row>
    <row r="21251">
      <c r="D21251" s="39"/>
      <c r="E21251" s="39"/>
      <c r="F21251" s="39"/>
    </row>
    <row r="21252">
      <c r="D21252" s="39"/>
      <c r="E21252" s="39"/>
      <c r="F21252" s="39"/>
    </row>
    <row r="21253">
      <c r="D21253" s="39"/>
      <c r="E21253" s="39"/>
      <c r="F21253" s="39"/>
    </row>
    <row r="21254">
      <c r="D21254" s="39"/>
      <c r="E21254" s="39"/>
      <c r="F21254" s="39"/>
    </row>
    <row r="21255">
      <c r="D21255" s="39"/>
      <c r="E21255" s="39"/>
      <c r="F21255" s="39"/>
    </row>
    <row r="21256">
      <c r="D21256" s="39"/>
      <c r="E21256" s="39"/>
      <c r="F21256" s="39"/>
    </row>
    <row r="21257">
      <c r="D21257" s="39"/>
      <c r="E21257" s="39"/>
      <c r="F21257" s="39"/>
    </row>
    <row r="21258">
      <c r="D21258" s="39"/>
      <c r="E21258" s="39"/>
      <c r="F21258" s="39"/>
    </row>
    <row r="21259">
      <c r="D21259" s="39"/>
      <c r="E21259" s="39"/>
      <c r="F21259" s="39"/>
    </row>
    <row r="21260">
      <c r="D21260" s="39"/>
      <c r="E21260" s="39"/>
      <c r="F21260" s="39"/>
    </row>
    <row r="21261">
      <c r="D21261" s="39"/>
      <c r="E21261" s="39"/>
      <c r="F21261" s="39"/>
    </row>
    <row r="21262">
      <c r="D21262" s="39"/>
      <c r="E21262" s="39"/>
      <c r="F21262" s="39"/>
    </row>
    <row r="21263">
      <c r="D21263" s="39"/>
      <c r="E21263" s="39"/>
      <c r="F21263" s="39"/>
    </row>
    <row r="21264">
      <c r="D21264" s="39"/>
      <c r="E21264" s="39"/>
      <c r="F21264" s="39"/>
    </row>
    <row r="21265">
      <c r="D21265" s="39"/>
      <c r="E21265" s="39"/>
      <c r="F21265" s="39"/>
    </row>
    <row r="21266">
      <c r="D21266" s="39"/>
      <c r="E21266" s="39"/>
      <c r="F21266" s="39"/>
    </row>
    <row r="21267">
      <c r="D21267" s="39"/>
      <c r="E21267" s="39"/>
      <c r="F21267" s="39"/>
    </row>
    <row r="21268">
      <c r="D21268" s="39"/>
      <c r="E21268" s="39"/>
      <c r="F21268" s="39"/>
    </row>
    <row r="21269">
      <c r="D21269" s="39"/>
      <c r="E21269" s="39"/>
      <c r="F21269" s="39"/>
    </row>
    <row r="21270">
      <c r="D21270" s="39"/>
      <c r="E21270" s="39"/>
      <c r="F21270" s="39"/>
    </row>
    <row r="21271">
      <c r="D21271" s="39"/>
      <c r="E21271" s="39"/>
      <c r="F21271" s="39"/>
    </row>
    <row r="21272">
      <c r="D21272" s="39"/>
      <c r="E21272" s="39"/>
      <c r="F21272" s="39"/>
    </row>
    <row r="21273">
      <c r="D21273" s="39"/>
      <c r="E21273" s="39"/>
      <c r="F21273" s="39"/>
    </row>
    <row r="21274">
      <c r="D21274" s="39"/>
      <c r="E21274" s="39"/>
      <c r="F21274" s="39"/>
    </row>
    <row r="21275">
      <c r="D21275" s="39"/>
      <c r="E21275" s="39"/>
      <c r="F21275" s="39"/>
    </row>
    <row r="21276">
      <c r="D21276" s="39"/>
      <c r="E21276" s="39"/>
      <c r="F21276" s="39"/>
    </row>
    <row r="21277">
      <c r="D21277" s="39"/>
      <c r="E21277" s="39"/>
      <c r="F21277" s="39"/>
    </row>
    <row r="21278">
      <c r="D21278" s="39"/>
      <c r="E21278" s="39"/>
      <c r="F21278" s="39"/>
    </row>
    <row r="21279">
      <c r="D21279" s="39"/>
      <c r="E21279" s="39"/>
      <c r="F21279" s="39"/>
    </row>
    <row r="21280">
      <c r="D21280" s="39"/>
      <c r="E21280" s="39"/>
      <c r="F21280" s="39"/>
    </row>
    <row r="21281">
      <c r="D21281" s="39"/>
      <c r="E21281" s="39"/>
      <c r="F21281" s="39"/>
    </row>
    <row r="21282">
      <c r="D21282" s="39"/>
      <c r="E21282" s="39"/>
      <c r="F21282" s="39"/>
    </row>
    <row r="21283">
      <c r="D21283" s="39"/>
      <c r="E21283" s="39"/>
      <c r="F21283" s="39"/>
    </row>
    <row r="21284">
      <c r="D21284" s="39"/>
      <c r="E21284" s="39"/>
      <c r="F21284" s="39"/>
    </row>
    <row r="21285">
      <c r="D21285" s="39"/>
      <c r="E21285" s="39"/>
      <c r="F21285" s="39"/>
    </row>
    <row r="21286">
      <c r="D21286" s="39"/>
      <c r="E21286" s="39"/>
      <c r="F21286" s="39"/>
    </row>
    <row r="21287">
      <c r="D21287" s="39"/>
      <c r="E21287" s="39"/>
      <c r="F21287" s="39"/>
    </row>
    <row r="21288">
      <c r="D21288" s="39"/>
      <c r="E21288" s="39"/>
      <c r="F21288" s="39"/>
    </row>
    <row r="21289">
      <c r="D21289" s="39"/>
      <c r="E21289" s="39"/>
      <c r="F21289" s="39"/>
    </row>
    <row r="21290">
      <c r="D21290" s="39"/>
      <c r="E21290" s="39"/>
      <c r="F21290" s="39"/>
    </row>
    <row r="21291">
      <c r="D21291" s="39"/>
      <c r="E21291" s="39"/>
      <c r="F21291" s="39"/>
    </row>
    <row r="21292">
      <c r="D21292" s="39"/>
      <c r="E21292" s="39"/>
      <c r="F21292" s="39"/>
    </row>
    <row r="21293">
      <c r="D21293" s="39"/>
      <c r="E21293" s="39"/>
      <c r="F21293" s="39"/>
    </row>
    <row r="21294">
      <c r="D21294" s="39"/>
      <c r="E21294" s="39"/>
      <c r="F21294" s="39"/>
    </row>
    <row r="21295">
      <c r="D21295" s="39"/>
      <c r="E21295" s="39"/>
      <c r="F21295" s="39"/>
    </row>
    <row r="21296">
      <c r="D21296" s="39"/>
      <c r="E21296" s="39"/>
      <c r="F21296" s="39"/>
    </row>
    <row r="21297">
      <c r="D21297" s="39"/>
      <c r="E21297" s="39"/>
      <c r="F21297" s="39"/>
    </row>
    <row r="21298">
      <c r="D21298" s="39"/>
      <c r="E21298" s="39"/>
      <c r="F21298" s="39"/>
    </row>
    <row r="21299">
      <c r="D21299" s="39"/>
      <c r="E21299" s="39"/>
      <c r="F21299" s="39"/>
    </row>
    <row r="21300">
      <c r="D21300" s="39"/>
      <c r="E21300" s="39"/>
      <c r="F21300" s="39"/>
    </row>
    <row r="21301">
      <c r="D21301" s="39"/>
      <c r="E21301" s="39"/>
      <c r="F21301" s="39"/>
    </row>
    <row r="21302">
      <c r="D21302" s="39"/>
      <c r="E21302" s="39"/>
      <c r="F21302" s="39"/>
    </row>
    <row r="21303">
      <c r="D21303" s="39"/>
      <c r="E21303" s="39"/>
      <c r="F21303" s="39"/>
    </row>
    <row r="21304">
      <c r="D21304" s="39"/>
      <c r="E21304" s="39"/>
      <c r="F21304" s="39"/>
    </row>
    <row r="21305">
      <c r="D21305" s="39"/>
      <c r="E21305" s="39"/>
      <c r="F21305" s="39"/>
    </row>
    <row r="21306">
      <c r="D21306" s="39"/>
      <c r="E21306" s="39"/>
      <c r="F21306" s="39"/>
    </row>
    <row r="21307">
      <c r="D21307" s="39"/>
      <c r="E21307" s="39"/>
      <c r="F21307" s="39"/>
    </row>
    <row r="21308">
      <c r="D21308" s="39"/>
      <c r="E21308" s="39"/>
      <c r="F21308" s="39"/>
    </row>
    <row r="21309">
      <c r="D21309" s="39"/>
      <c r="E21309" s="39"/>
      <c r="F21309" s="39"/>
    </row>
    <row r="21310">
      <c r="D21310" s="39"/>
      <c r="E21310" s="39"/>
      <c r="F21310" s="39"/>
    </row>
    <row r="21311">
      <c r="D21311" s="39"/>
      <c r="E21311" s="39"/>
      <c r="F21311" s="39"/>
    </row>
    <row r="21312">
      <c r="D21312" s="39"/>
      <c r="E21312" s="39"/>
      <c r="F21312" s="39"/>
    </row>
    <row r="21313">
      <c r="D21313" s="39"/>
      <c r="E21313" s="39"/>
      <c r="F21313" s="39"/>
    </row>
    <row r="21314">
      <c r="D21314" s="39"/>
      <c r="E21314" s="39"/>
      <c r="F21314" s="39"/>
    </row>
    <row r="21315">
      <c r="D21315" s="39"/>
      <c r="E21315" s="39"/>
      <c r="F21315" s="39"/>
    </row>
    <row r="21316">
      <c r="D21316" s="39"/>
      <c r="E21316" s="39"/>
      <c r="F21316" s="39"/>
    </row>
    <row r="21317">
      <c r="D21317" s="39"/>
      <c r="E21317" s="39"/>
      <c r="F21317" s="39"/>
    </row>
    <row r="21318">
      <c r="D21318" s="39"/>
      <c r="E21318" s="39"/>
      <c r="F21318" s="39"/>
    </row>
    <row r="21319">
      <c r="D21319" s="39"/>
      <c r="E21319" s="39"/>
      <c r="F21319" s="39"/>
    </row>
    <row r="21320">
      <c r="D21320" s="39"/>
      <c r="E21320" s="39"/>
      <c r="F21320" s="39"/>
    </row>
    <row r="21321">
      <c r="D21321" s="39"/>
      <c r="E21321" s="39"/>
      <c r="F21321" s="39"/>
    </row>
    <row r="21322">
      <c r="D21322" s="39"/>
      <c r="E21322" s="39"/>
      <c r="F21322" s="39"/>
    </row>
    <row r="21323">
      <c r="D21323" s="39"/>
      <c r="E21323" s="39"/>
      <c r="F21323" s="39"/>
    </row>
    <row r="21324">
      <c r="D21324" s="39"/>
      <c r="E21324" s="39"/>
      <c r="F21324" s="39"/>
    </row>
    <row r="21325">
      <c r="D21325" s="39"/>
      <c r="E21325" s="39"/>
      <c r="F21325" s="39"/>
    </row>
    <row r="21326">
      <c r="D21326" s="39"/>
      <c r="E21326" s="39"/>
      <c r="F21326" s="39"/>
    </row>
    <row r="21327">
      <c r="D21327" s="39"/>
      <c r="E21327" s="39"/>
      <c r="F21327" s="39"/>
    </row>
    <row r="21328">
      <c r="D21328" s="39"/>
      <c r="E21328" s="39"/>
      <c r="F21328" s="39"/>
    </row>
    <row r="21329">
      <c r="D21329" s="39"/>
      <c r="E21329" s="39"/>
      <c r="F21329" s="39"/>
    </row>
    <row r="21330">
      <c r="D21330" s="39"/>
      <c r="E21330" s="39"/>
      <c r="F21330" s="39"/>
    </row>
    <row r="21331">
      <c r="D21331" s="39"/>
      <c r="E21331" s="39"/>
      <c r="F21331" s="39"/>
    </row>
    <row r="21332">
      <c r="D21332" s="39"/>
      <c r="E21332" s="39"/>
      <c r="F21332" s="39"/>
    </row>
    <row r="21333">
      <c r="D21333" s="39"/>
      <c r="E21333" s="39"/>
      <c r="F21333" s="39"/>
    </row>
    <row r="21334">
      <c r="D21334" s="39"/>
      <c r="E21334" s="39"/>
      <c r="F21334" s="39"/>
    </row>
    <row r="21335">
      <c r="D21335" s="39"/>
      <c r="E21335" s="39"/>
      <c r="F21335" s="39"/>
    </row>
    <row r="21336">
      <c r="D21336" s="39"/>
      <c r="E21336" s="39"/>
      <c r="F21336" s="39"/>
    </row>
    <row r="21337">
      <c r="D21337" s="39"/>
      <c r="E21337" s="39"/>
      <c r="F21337" s="39"/>
    </row>
    <row r="21338">
      <c r="D21338" s="39"/>
      <c r="E21338" s="39"/>
      <c r="F21338" s="39"/>
    </row>
    <row r="21339">
      <c r="D21339" s="39"/>
      <c r="E21339" s="39"/>
      <c r="F21339" s="39"/>
    </row>
    <row r="21340">
      <c r="D21340" s="39"/>
      <c r="E21340" s="39"/>
      <c r="F21340" s="39"/>
    </row>
    <row r="21341">
      <c r="D21341" s="39"/>
      <c r="E21341" s="39"/>
      <c r="F21341" s="39"/>
    </row>
    <row r="21342">
      <c r="D21342" s="39"/>
      <c r="E21342" s="39"/>
      <c r="F21342" s="39"/>
    </row>
    <row r="21343">
      <c r="D21343" s="39"/>
      <c r="E21343" s="39"/>
      <c r="F21343" s="39"/>
    </row>
    <row r="21344">
      <c r="D21344" s="39"/>
      <c r="E21344" s="39"/>
      <c r="F21344" s="39"/>
    </row>
    <row r="21345">
      <c r="D21345" s="39"/>
      <c r="E21345" s="39"/>
      <c r="F21345" s="39"/>
    </row>
    <row r="21346">
      <c r="D21346" s="39"/>
      <c r="E21346" s="39"/>
      <c r="F21346" s="39"/>
    </row>
    <row r="21347">
      <c r="D21347" s="39"/>
      <c r="E21347" s="39"/>
      <c r="F21347" s="39"/>
    </row>
    <row r="21348">
      <c r="D21348" s="39"/>
      <c r="E21348" s="39"/>
      <c r="F21348" s="39"/>
    </row>
    <row r="21349">
      <c r="D21349" s="39"/>
      <c r="E21349" s="39"/>
      <c r="F21349" s="39"/>
    </row>
    <row r="21350">
      <c r="D21350" s="39"/>
      <c r="E21350" s="39"/>
      <c r="F21350" s="39"/>
    </row>
    <row r="21351">
      <c r="D21351" s="39"/>
      <c r="E21351" s="39"/>
      <c r="F21351" s="39"/>
    </row>
    <row r="21352">
      <c r="D21352" s="39"/>
      <c r="E21352" s="39"/>
      <c r="F21352" s="39"/>
    </row>
    <row r="21353">
      <c r="D21353" s="39"/>
      <c r="E21353" s="39"/>
      <c r="F21353" s="39"/>
    </row>
    <row r="21354">
      <c r="D21354" s="39"/>
      <c r="E21354" s="39"/>
      <c r="F21354" s="39"/>
    </row>
    <row r="21355">
      <c r="D21355" s="39"/>
      <c r="E21355" s="39"/>
      <c r="F21355" s="39"/>
    </row>
    <row r="21356">
      <c r="D21356" s="39"/>
      <c r="E21356" s="39"/>
      <c r="F21356" s="39"/>
    </row>
    <row r="21357">
      <c r="D21357" s="39"/>
      <c r="E21357" s="39"/>
      <c r="F21357" s="39"/>
    </row>
    <row r="21358">
      <c r="D21358" s="39"/>
      <c r="E21358" s="39"/>
      <c r="F21358" s="39"/>
    </row>
    <row r="21359">
      <c r="D21359" s="39"/>
      <c r="E21359" s="39"/>
      <c r="F21359" s="39"/>
    </row>
    <row r="21360">
      <c r="D21360" s="39"/>
      <c r="E21360" s="39"/>
      <c r="F21360" s="39"/>
    </row>
    <row r="21361">
      <c r="D21361" s="39"/>
      <c r="E21361" s="39"/>
      <c r="F21361" s="39"/>
    </row>
    <row r="21362">
      <c r="D21362" s="39"/>
      <c r="E21362" s="39"/>
      <c r="F21362" s="39"/>
    </row>
    <row r="21363">
      <c r="D21363" s="39"/>
      <c r="E21363" s="39"/>
      <c r="F21363" s="39"/>
    </row>
    <row r="21364">
      <c r="D21364" s="39"/>
      <c r="E21364" s="39"/>
      <c r="F21364" s="39"/>
    </row>
    <row r="21365">
      <c r="D21365" s="39"/>
      <c r="E21365" s="39"/>
      <c r="F21365" s="39"/>
    </row>
    <row r="21366">
      <c r="D21366" s="39"/>
      <c r="E21366" s="39"/>
      <c r="F21366" s="39"/>
    </row>
    <row r="21367">
      <c r="D21367" s="39"/>
      <c r="E21367" s="39"/>
      <c r="F21367" s="39"/>
    </row>
    <row r="21368">
      <c r="D21368" s="39"/>
      <c r="E21368" s="39"/>
      <c r="F21368" s="39"/>
    </row>
    <row r="21369">
      <c r="D21369" s="39"/>
      <c r="E21369" s="39"/>
      <c r="F21369" s="39"/>
    </row>
    <row r="21370">
      <c r="D21370" s="39"/>
      <c r="E21370" s="39"/>
      <c r="F21370" s="39"/>
    </row>
    <row r="21371">
      <c r="D21371" s="39"/>
      <c r="E21371" s="39"/>
      <c r="F21371" s="39"/>
    </row>
    <row r="21372">
      <c r="D21372" s="39"/>
      <c r="E21372" s="39"/>
      <c r="F21372" s="39"/>
    </row>
    <row r="21373">
      <c r="D21373" s="39"/>
      <c r="E21373" s="39"/>
      <c r="F21373" s="39"/>
    </row>
    <row r="21374">
      <c r="D21374" s="39"/>
      <c r="E21374" s="39"/>
      <c r="F21374" s="39"/>
    </row>
    <row r="21375">
      <c r="D21375" s="39"/>
      <c r="E21375" s="39"/>
      <c r="F21375" s="39"/>
    </row>
    <row r="21376">
      <c r="D21376" s="39"/>
      <c r="E21376" s="39"/>
      <c r="F21376" s="39"/>
    </row>
    <row r="21377">
      <c r="D21377" s="39"/>
      <c r="E21377" s="39"/>
      <c r="F21377" s="39"/>
    </row>
    <row r="21378">
      <c r="D21378" s="39"/>
      <c r="E21378" s="39"/>
      <c r="F21378" s="39"/>
    </row>
    <row r="21379">
      <c r="D21379" s="39"/>
      <c r="E21379" s="39"/>
      <c r="F21379" s="39"/>
    </row>
    <row r="21380">
      <c r="D21380" s="39"/>
      <c r="E21380" s="39"/>
      <c r="F21380" s="39"/>
    </row>
    <row r="21381">
      <c r="D21381" s="39"/>
      <c r="E21381" s="39"/>
      <c r="F21381" s="39"/>
    </row>
    <row r="21382">
      <c r="D21382" s="39"/>
      <c r="E21382" s="39"/>
      <c r="F21382" s="39"/>
    </row>
    <row r="21383">
      <c r="D21383" s="39"/>
      <c r="E21383" s="39"/>
      <c r="F21383" s="39"/>
    </row>
    <row r="21384">
      <c r="D21384" s="39"/>
      <c r="E21384" s="39"/>
      <c r="F21384" s="39"/>
    </row>
    <row r="21385">
      <c r="D21385" s="39"/>
      <c r="E21385" s="39"/>
      <c r="F21385" s="39"/>
    </row>
    <row r="21386">
      <c r="D21386" s="39"/>
      <c r="E21386" s="39"/>
      <c r="F21386" s="39"/>
    </row>
    <row r="21387">
      <c r="D21387" s="39"/>
      <c r="E21387" s="39"/>
      <c r="F21387" s="39"/>
    </row>
    <row r="21388">
      <c r="D21388" s="39"/>
      <c r="E21388" s="39"/>
      <c r="F21388" s="39"/>
    </row>
    <row r="21389">
      <c r="D21389" s="39"/>
      <c r="E21389" s="39"/>
      <c r="F21389" s="39"/>
    </row>
    <row r="21390">
      <c r="D21390" s="39"/>
      <c r="E21390" s="39"/>
      <c r="F21390" s="39"/>
    </row>
    <row r="21391">
      <c r="D21391" s="39"/>
      <c r="E21391" s="39"/>
      <c r="F21391" s="39"/>
    </row>
    <row r="21392">
      <c r="D21392" s="39"/>
      <c r="E21392" s="39"/>
      <c r="F21392" s="39"/>
    </row>
    <row r="21393">
      <c r="D21393" s="39"/>
      <c r="E21393" s="39"/>
      <c r="F21393" s="39"/>
    </row>
    <row r="21394">
      <c r="D21394" s="39"/>
      <c r="E21394" s="39"/>
      <c r="F21394" s="39"/>
    </row>
    <row r="21395">
      <c r="D21395" s="39"/>
      <c r="E21395" s="39"/>
      <c r="F21395" s="39"/>
    </row>
    <row r="21396">
      <c r="D21396" s="39"/>
      <c r="E21396" s="39"/>
      <c r="F21396" s="39"/>
    </row>
    <row r="21397">
      <c r="D21397" s="39"/>
      <c r="E21397" s="39"/>
      <c r="F21397" s="39"/>
    </row>
    <row r="21398">
      <c r="D21398" s="39"/>
      <c r="E21398" s="39"/>
      <c r="F21398" s="39"/>
    </row>
    <row r="21399">
      <c r="D21399" s="39"/>
      <c r="E21399" s="39"/>
      <c r="F21399" s="39"/>
    </row>
    <row r="21400">
      <c r="D21400" s="39"/>
      <c r="E21400" s="39"/>
      <c r="F21400" s="39"/>
    </row>
    <row r="21401">
      <c r="D21401" s="39"/>
      <c r="E21401" s="39"/>
      <c r="F21401" s="39"/>
    </row>
    <row r="21402">
      <c r="D21402" s="39"/>
      <c r="E21402" s="39"/>
      <c r="F21402" s="39"/>
    </row>
    <row r="21403">
      <c r="D21403" s="39"/>
      <c r="E21403" s="39"/>
      <c r="F21403" s="39"/>
    </row>
    <row r="21404">
      <c r="D21404" s="39"/>
      <c r="E21404" s="39"/>
      <c r="F21404" s="39"/>
    </row>
    <row r="21405">
      <c r="D21405" s="39"/>
      <c r="E21405" s="39"/>
      <c r="F21405" s="39"/>
    </row>
    <row r="21406">
      <c r="D21406" s="39"/>
      <c r="E21406" s="39"/>
      <c r="F21406" s="39"/>
    </row>
    <row r="21407">
      <c r="D21407" s="39"/>
      <c r="E21407" s="39"/>
      <c r="F21407" s="39"/>
    </row>
    <row r="21408">
      <c r="D21408" s="39"/>
      <c r="E21408" s="39"/>
      <c r="F21408" s="39"/>
    </row>
    <row r="21409">
      <c r="D21409" s="39"/>
      <c r="E21409" s="39"/>
      <c r="F21409" s="39"/>
    </row>
    <row r="21410">
      <c r="D21410" s="39"/>
      <c r="E21410" s="39"/>
      <c r="F21410" s="39"/>
    </row>
    <row r="21411">
      <c r="D21411" s="39"/>
      <c r="E21411" s="39"/>
      <c r="F21411" s="39"/>
    </row>
    <row r="21412">
      <c r="D21412" s="39"/>
      <c r="E21412" s="39"/>
      <c r="F21412" s="39"/>
    </row>
    <row r="21413">
      <c r="D21413" s="39"/>
      <c r="E21413" s="39"/>
      <c r="F21413" s="39"/>
    </row>
    <row r="21414">
      <c r="D21414" s="39"/>
      <c r="E21414" s="39"/>
      <c r="F21414" s="39"/>
    </row>
    <row r="21415">
      <c r="D21415" s="39"/>
      <c r="E21415" s="39"/>
      <c r="F21415" s="39"/>
    </row>
    <row r="21416">
      <c r="D21416" s="39"/>
      <c r="E21416" s="39"/>
      <c r="F21416" s="39"/>
    </row>
    <row r="21417">
      <c r="D21417" s="39"/>
      <c r="E21417" s="39"/>
      <c r="F21417" s="39"/>
    </row>
    <row r="21418">
      <c r="D21418" s="39"/>
      <c r="E21418" s="39"/>
      <c r="F21418" s="39"/>
    </row>
    <row r="21419">
      <c r="D21419" s="39"/>
      <c r="E21419" s="39"/>
      <c r="F21419" s="39"/>
    </row>
    <row r="21420">
      <c r="D21420" s="39"/>
      <c r="E21420" s="39"/>
      <c r="F21420" s="39"/>
    </row>
    <row r="21421">
      <c r="D21421" s="39"/>
      <c r="E21421" s="39"/>
      <c r="F21421" s="39"/>
    </row>
    <row r="21422">
      <c r="D21422" s="39"/>
      <c r="E21422" s="39"/>
      <c r="F21422" s="39"/>
    </row>
    <row r="21423">
      <c r="D21423" s="39"/>
      <c r="E21423" s="39"/>
      <c r="F21423" s="39"/>
    </row>
    <row r="21424">
      <c r="D21424" s="39"/>
      <c r="E21424" s="39"/>
      <c r="F21424" s="39"/>
    </row>
    <row r="21425">
      <c r="D21425" s="39"/>
      <c r="E21425" s="39"/>
      <c r="F21425" s="39"/>
    </row>
    <row r="21426">
      <c r="D21426" s="39"/>
      <c r="E21426" s="39"/>
      <c r="F21426" s="39"/>
    </row>
    <row r="21427">
      <c r="D21427" s="39"/>
      <c r="E21427" s="39"/>
      <c r="F21427" s="39"/>
    </row>
    <row r="21428">
      <c r="D21428" s="39"/>
      <c r="E21428" s="39"/>
      <c r="F21428" s="39"/>
    </row>
    <row r="21429">
      <c r="D21429" s="39"/>
      <c r="E21429" s="39"/>
      <c r="F21429" s="39"/>
    </row>
    <row r="21430">
      <c r="D21430" s="39"/>
      <c r="E21430" s="39"/>
      <c r="F21430" s="39"/>
    </row>
    <row r="21431">
      <c r="D21431" s="39"/>
      <c r="E21431" s="39"/>
      <c r="F21431" s="39"/>
    </row>
    <row r="21432">
      <c r="D21432" s="39"/>
      <c r="E21432" s="39"/>
      <c r="F21432" s="39"/>
    </row>
    <row r="21433">
      <c r="D21433" s="39"/>
      <c r="E21433" s="39"/>
      <c r="F21433" s="39"/>
    </row>
    <row r="21434">
      <c r="D21434" s="39"/>
      <c r="E21434" s="39"/>
      <c r="F21434" s="39"/>
    </row>
    <row r="21435">
      <c r="D21435" s="39"/>
      <c r="E21435" s="39"/>
      <c r="F21435" s="39"/>
    </row>
    <row r="21436">
      <c r="D21436" s="39"/>
      <c r="E21436" s="39"/>
      <c r="F21436" s="39"/>
    </row>
    <row r="21437">
      <c r="D21437" s="39"/>
      <c r="E21437" s="39"/>
      <c r="F21437" s="39"/>
    </row>
    <row r="21438">
      <c r="D21438" s="39"/>
      <c r="E21438" s="39"/>
      <c r="F21438" s="39"/>
    </row>
    <row r="21439">
      <c r="D21439" s="39"/>
      <c r="E21439" s="39"/>
      <c r="F21439" s="39"/>
    </row>
    <row r="21440">
      <c r="D21440" s="39"/>
      <c r="E21440" s="39"/>
      <c r="F21440" s="39"/>
    </row>
    <row r="21441">
      <c r="D21441" s="39"/>
      <c r="E21441" s="39"/>
      <c r="F21441" s="39"/>
    </row>
    <row r="21442">
      <c r="D21442" s="39"/>
      <c r="E21442" s="39"/>
      <c r="F21442" s="39"/>
    </row>
    <row r="21443">
      <c r="D21443" s="39"/>
      <c r="E21443" s="39"/>
      <c r="F21443" s="39"/>
    </row>
    <row r="21444">
      <c r="D21444" s="39"/>
      <c r="E21444" s="39"/>
      <c r="F21444" s="39"/>
    </row>
    <row r="21445">
      <c r="D21445" s="39"/>
      <c r="E21445" s="39"/>
      <c r="F21445" s="39"/>
    </row>
    <row r="21446">
      <c r="D21446" s="39"/>
      <c r="E21446" s="39"/>
      <c r="F21446" s="39"/>
    </row>
    <row r="21447">
      <c r="D21447" s="39"/>
      <c r="E21447" s="39"/>
      <c r="F21447" s="39"/>
    </row>
    <row r="21448">
      <c r="D21448" s="39"/>
      <c r="E21448" s="39"/>
      <c r="F21448" s="39"/>
    </row>
    <row r="21449">
      <c r="D21449" s="39"/>
      <c r="E21449" s="39"/>
      <c r="F21449" s="39"/>
    </row>
    <row r="21450">
      <c r="D21450" s="39"/>
      <c r="E21450" s="39"/>
      <c r="F21450" s="39"/>
    </row>
    <row r="21451">
      <c r="D21451" s="39"/>
      <c r="E21451" s="39"/>
      <c r="F21451" s="39"/>
    </row>
    <row r="21452">
      <c r="D21452" s="39"/>
      <c r="E21452" s="39"/>
      <c r="F21452" s="39"/>
    </row>
    <row r="21453">
      <c r="D21453" s="39"/>
      <c r="E21453" s="39"/>
      <c r="F21453" s="39"/>
    </row>
    <row r="21454">
      <c r="D21454" s="39"/>
      <c r="E21454" s="39"/>
      <c r="F21454" s="39"/>
    </row>
    <row r="21455">
      <c r="D21455" s="39"/>
      <c r="E21455" s="39"/>
      <c r="F21455" s="39"/>
    </row>
    <row r="21456">
      <c r="D21456" s="39"/>
      <c r="E21456" s="39"/>
      <c r="F21456" s="39"/>
    </row>
    <row r="21457">
      <c r="D21457" s="39"/>
      <c r="E21457" s="39"/>
      <c r="F21457" s="39"/>
    </row>
    <row r="21458">
      <c r="D21458" s="39"/>
      <c r="E21458" s="39"/>
      <c r="F21458" s="39"/>
    </row>
    <row r="21459">
      <c r="D21459" s="39"/>
      <c r="E21459" s="39"/>
      <c r="F21459" s="39"/>
    </row>
    <row r="21460">
      <c r="D21460" s="39"/>
      <c r="E21460" s="39"/>
      <c r="F21460" s="39"/>
    </row>
    <row r="21461">
      <c r="D21461" s="39"/>
      <c r="E21461" s="39"/>
      <c r="F21461" s="39"/>
    </row>
    <row r="21462">
      <c r="D21462" s="39"/>
      <c r="E21462" s="39"/>
      <c r="F21462" s="39"/>
    </row>
    <row r="21463">
      <c r="D21463" s="39"/>
      <c r="E21463" s="39"/>
      <c r="F21463" s="39"/>
    </row>
    <row r="21464">
      <c r="D21464" s="39"/>
      <c r="E21464" s="39"/>
      <c r="F21464" s="39"/>
    </row>
    <row r="21465">
      <c r="D21465" s="39"/>
      <c r="E21465" s="39"/>
      <c r="F21465" s="39"/>
    </row>
    <row r="21466">
      <c r="D21466" s="39"/>
      <c r="E21466" s="39"/>
      <c r="F21466" s="39"/>
    </row>
    <row r="21467">
      <c r="D21467" s="39"/>
      <c r="E21467" s="39"/>
      <c r="F21467" s="39"/>
    </row>
    <row r="21468">
      <c r="D21468" s="39"/>
      <c r="E21468" s="39"/>
      <c r="F21468" s="39"/>
    </row>
    <row r="21469">
      <c r="D21469" s="39"/>
      <c r="E21469" s="39"/>
      <c r="F21469" s="39"/>
    </row>
    <row r="21470">
      <c r="D21470" s="39"/>
      <c r="E21470" s="39"/>
      <c r="F21470" s="39"/>
    </row>
    <row r="21471">
      <c r="D21471" s="39"/>
      <c r="E21471" s="39"/>
      <c r="F21471" s="39"/>
    </row>
    <row r="21472">
      <c r="D21472" s="39"/>
      <c r="E21472" s="39"/>
      <c r="F21472" s="39"/>
    </row>
    <row r="21473">
      <c r="D21473" s="39"/>
      <c r="E21473" s="39"/>
      <c r="F21473" s="39"/>
    </row>
    <row r="21474">
      <c r="D21474" s="39"/>
      <c r="E21474" s="39"/>
      <c r="F21474" s="39"/>
    </row>
    <row r="21475">
      <c r="D21475" s="39"/>
      <c r="E21475" s="39"/>
      <c r="F21475" s="39"/>
    </row>
    <row r="21476">
      <c r="D21476" s="39"/>
      <c r="E21476" s="39"/>
      <c r="F21476" s="39"/>
    </row>
    <row r="21477">
      <c r="D21477" s="39"/>
      <c r="E21477" s="39"/>
      <c r="F21477" s="39"/>
    </row>
    <row r="21478">
      <c r="D21478" s="39"/>
      <c r="E21478" s="39"/>
      <c r="F21478" s="39"/>
    </row>
    <row r="21479">
      <c r="D21479" s="39"/>
      <c r="E21479" s="39"/>
      <c r="F21479" s="39"/>
    </row>
    <row r="21480">
      <c r="D21480" s="39"/>
      <c r="E21480" s="39"/>
      <c r="F21480" s="39"/>
    </row>
    <row r="21481">
      <c r="D21481" s="39"/>
      <c r="E21481" s="39"/>
      <c r="F21481" s="39"/>
    </row>
    <row r="21482">
      <c r="D21482" s="39"/>
      <c r="E21482" s="39"/>
      <c r="F21482" s="39"/>
    </row>
    <row r="21483">
      <c r="D21483" s="39"/>
      <c r="E21483" s="39"/>
      <c r="F21483" s="39"/>
    </row>
    <row r="21484">
      <c r="D21484" s="39"/>
      <c r="E21484" s="39"/>
      <c r="F21484" s="39"/>
    </row>
    <row r="21485">
      <c r="D21485" s="39"/>
      <c r="E21485" s="39"/>
      <c r="F21485" s="39"/>
    </row>
    <row r="21486">
      <c r="D21486" s="39"/>
      <c r="E21486" s="39"/>
      <c r="F21486" s="39"/>
    </row>
    <row r="21487">
      <c r="D21487" s="39"/>
      <c r="E21487" s="39"/>
      <c r="F21487" s="39"/>
    </row>
    <row r="21488">
      <c r="D21488" s="39"/>
      <c r="E21488" s="39"/>
      <c r="F21488" s="39"/>
    </row>
    <row r="21489">
      <c r="D21489" s="39"/>
      <c r="E21489" s="39"/>
      <c r="F21489" s="39"/>
    </row>
    <row r="21490">
      <c r="D21490" s="39"/>
      <c r="E21490" s="39"/>
      <c r="F21490" s="39"/>
    </row>
    <row r="21491">
      <c r="D21491" s="39"/>
      <c r="E21491" s="39"/>
      <c r="F21491" s="39"/>
    </row>
    <row r="21492">
      <c r="D21492" s="39"/>
      <c r="E21492" s="39"/>
      <c r="F21492" s="39"/>
    </row>
    <row r="21493">
      <c r="D21493" s="39"/>
      <c r="E21493" s="39"/>
      <c r="F21493" s="39"/>
    </row>
    <row r="21494">
      <c r="D21494" s="39"/>
      <c r="E21494" s="39"/>
      <c r="F21494" s="39"/>
    </row>
    <row r="21495">
      <c r="D21495" s="39"/>
      <c r="E21495" s="39"/>
      <c r="F21495" s="39"/>
    </row>
    <row r="21496">
      <c r="D21496" s="39"/>
      <c r="E21496" s="39"/>
      <c r="F21496" s="39"/>
    </row>
    <row r="21497">
      <c r="D21497" s="39"/>
      <c r="E21497" s="39"/>
      <c r="F21497" s="39"/>
    </row>
    <row r="21498">
      <c r="D21498" s="39"/>
      <c r="E21498" s="39"/>
      <c r="F21498" s="39"/>
    </row>
    <row r="21499">
      <c r="D21499" s="39"/>
      <c r="E21499" s="39"/>
      <c r="F21499" s="39"/>
    </row>
    <row r="21500">
      <c r="D21500" s="39"/>
      <c r="E21500" s="39"/>
      <c r="F21500" s="39"/>
    </row>
    <row r="21501">
      <c r="D21501" s="39"/>
      <c r="E21501" s="39"/>
      <c r="F21501" s="39"/>
    </row>
    <row r="21502">
      <c r="D21502" s="39"/>
      <c r="E21502" s="39"/>
      <c r="F21502" s="39"/>
    </row>
    <row r="21503">
      <c r="D21503" s="39"/>
      <c r="E21503" s="39"/>
      <c r="F21503" s="39"/>
    </row>
    <row r="21504">
      <c r="D21504" s="39"/>
      <c r="E21504" s="39"/>
      <c r="F21504" s="39"/>
    </row>
    <row r="21505">
      <c r="D21505" s="39"/>
      <c r="E21505" s="39"/>
      <c r="F21505" s="39"/>
    </row>
    <row r="21506">
      <c r="D21506" s="39"/>
      <c r="E21506" s="39"/>
      <c r="F21506" s="39"/>
    </row>
    <row r="21507">
      <c r="D21507" s="39"/>
      <c r="E21507" s="39"/>
      <c r="F21507" s="39"/>
    </row>
    <row r="21508">
      <c r="D21508" s="39"/>
      <c r="E21508" s="39"/>
      <c r="F21508" s="39"/>
    </row>
    <row r="21509">
      <c r="D21509" s="39"/>
      <c r="E21509" s="39"/>
      <c r="F21509" s="39"/>
    </row>
    <row r="21510">
      <c r="D21510" s="39"/>
      <c r="E21510" s="39"/>
      <c r="F21510" s="39"/>
    </row>
    <row r="21511">
      <c r="D21511" s="39"/>
      <c r="E21511" s="39"/>
      <c r="F21511" s="39"/>
    </row>
    <row r="21512">
      <c r="D21512" s="39"/>
      <c r="E21512" s="39"/>
      <c r="F21512" s="39"/>
    </row>
    <row r="21513">
      <c r="D21513" s="39"/>
      <c r="E21513" s="39"/>
      <c r="F21513" s="39"/>
    </row>
    <row r="21514">
      <c r="D21514" s="39"/>
      <c r="E21514" s="39"/>
      <c r="F21514" s="39"/>
    </row>
    <row r="21515">
      <c r="D21515" s="39"/>
      <c r="E21515" s="39"/>
      <c r="F21515" s="39"/>
    </row>
    <row r="21516">
      <c r="D21516" s="39"/>
      <c r="E21516" s="39"/>
      <c r="F21516" s="39"/>
    </row>
    <row r="21517">
      <c r="D21517" s="39"/>
      <c r="E21517" s="39"/>
      <c r="F21517" s="39"/>
    </row>
    <row r="21518">
      <c r="D21518" s="39"/>
      <c r="E21518" s="39"/>
      <c r="F21518" s="39"/>
    </row>
    <row r="21519">
      <c r="D21519" s="39"/>
      <c r="E21519" s="39"/>
      <c r="F21519" s="39"/>
    </row>
    <row r="21520">
      <c r="D21520" s="39"/>
      <c r="E21520" s="39"/>
      <c r="F21520" s="39"/>
    </row>
    <row r="21521">
      <c r="D21521" s="39"/>
      <c r="E21521" s="39"/>
      <c r="F21521" s="39"/>
    </row>
    <row r="21522">
      <c r="D21522" s="39"/>
      <c r="E21522" s="39"/>
      <c r="F21522" s="39"/>
    </row>
    <row r="21523">
      <c r="D21523" s="39"/>
      <c r="E21523" s="39"/>
      <c r="F21523" s="39"/>
    </row>
    <row r="21524">
      <c r="D21524" s="39"/>
      <c r="E21524" s="39"/>
      <c r="F21524" s="39"/>
    </row>
    <row r="21525">
      <c r="D21525" s="39"/>
      <c r="E21525" s="39"/>
      <c r="F21525" s="39"/>
    </row>
    <row r="21526">
      <c r="D21526" s="39"/>
      <c r="E21526" s="39"/>
      <c r="F21526" s="39"/>
    </row>
    <row r="21527">
      <c r="D21527" s="39"/>
      <c r="E21527" s="39"/>
      <c r="F21527" s="39"/>
    </row>
    <row r="21528">
      <c r="D21528" s="39"/>
      <c r="E21528" s="39"/>
      <c r="F21528" s="39"/>
    </row>
    <row r="21529">
      <c r="D21529" s="39"/>
      <c r="E21529" s="39"/>
      <c r="F21529" s="39"/>
    </row>
    <row r="21530">
      <c r="D21530" s="39"/>
      <c r="E21530" s="39"/>
      <c r="F21530" s="39"/>
    </row>
    <row r="21531">
      <c r="D21531" s="39"/>
      <c r="E21531" s="39"/>
      <c r="F21531" s="39"/>
    </row>
    <row r="21532">
      <c r="D21532" s="39"/>
      <c r="E21532" s="39"/>
      <c r="F21532" s="39"/>
    </row>
    <row r="21533">
      <c r="D21533" s="39"/>
      <c r="E21533" s="39"/>
      <c r="F21533" s="39"/>
    </row>
    <row r="21534">
      <c r="D21534" s="39"/>
      <c r="E21534" s="39"/>
      <c r="F21534" s="39"/>
    </row>
    <row r="21535">
      <c r="D21535" s="39"/>
      <c r="E21535" s="39"/>
      <c r="F21535" s="39"/>
    </row>
    <row r="21536">
      <c r="D21536" s="39"/>
      <c r="E21536" s="39"/>
      <c r="F21536" s="39"/>
    </row>
    <row r="21537">
      <c r="D21537" s="39"/>
      <c r="E21537" s="39"/>
      <c r="F21537" s="39"/>
    </row>
    <row r="21538">
      <c r="D21538" s="39"/>
      <c r="E21538" s="39"/>
      <c r="F21538" s="39"/>
    </row>
    <row r="21539">
      <c r="D21539" s="39"/>
      <c r="E21539" s="39"/>
      <c r="F21539" s="39"/>
    </row>
    <row r="21540">
      <c r="D21540" s="39"/>
      <c r="E21540" s="39"/>
      <c r="F21540" s="39"/>
    </row>
    <row r="21541">
      <c r="D21541" s="39"/>
      <c r="E21541" s="39"/>
      <c r="F21541" s="39"/>
    </row>
    <row r="21542">
      <c r="D21542" s="39"/>
      <c r="E21542" s="39"/>
      <c r="F21542" s="39"/>
    </row>
    <row r="21543">
      <c r="D21543" s="39"/>
      <c r="E21543" s="39"/>
      <c r="F21543" s="39"/>
    </row>
    <row r="21544">
      <c r="D21544" s="39"/>
      <c r="E21544" s="39"/>
      <c r="F21544" s="39"/>
    </row>
    <row r="21545">
      <c r="D21545" s="39"/>
      <c r="E21545" s="39"/>
      <c r="F21545" s="39"/>
    </row>
    <row r="21546">
      <c r="D21546" s="39"/>
      <c r="E21546" s="39"/>
      <c r="F21546" s="39"/>
    </row>
    <row r="21547">
      <c r="D21547" s="39"/>
      <c r="E21547" s="39"/>
      <c r="F21547" s="39"/>
    </row>
    <row r="21548">
      <c r="D21548" s="39"/>
      <c r="E21548" s="39"/>
      <c r="F21548" s="39"/>
    </row>
    <row r="21549">
      <c r="D21549" s="39"/>
      <c r="E21549" s="39"/>
      <c r="F21549" s="39"/>
    </row>
    <row r="21550">
      <c r="D21550" s="39"/>
      <c r="E21550" s="39"/>
      <c r="F21550" s="39"/>
    </row>
    <row r="21551">
      <c r="D21551" s="39"/>
      <c r="E21551" s="39"/>
      <c r="F21551" s="39"/>
    </row>
    <row r="21552">
      <c r="D21552" s="39"/>
      <c r="E21552" s="39"/>
      <c r="F21552" s="39"/>
    </row>
    <row r="21553">
      <c r="D21553" s="39"/>
      <c r="E21553" s="39"/>
      <c r="F21553" s="39"/>
    </row>
    <row r="21554">
      <c r="D21554" s="39"/>
      <c r="E21554" s="39"/>
      <c r="F21554" s="39"/>
    </row>
    <row r="21555">
      <c r="D21555" s="39"/>
      <c r="E21555" s="39"/>
      <c r="F21555" s="39"/>
    </row>
    <row r="21556">
      <c r="D21556" s="39"/>
      <c r="E21556" s="39"/>
      <c r="F21556" s="39"/>
    </row>
    <row r="21557">
      <c r="D21557" s="39"/>
      <c r="E21557" s="39"/>
      <c r="F21557" s="39"/>
    </row>
    <row r="21558">
      <c r="D21558" s="39"/>
      <c r="E21558" s="39"/>
      <c r="F21558" s="39"/>
    </row>
    <row r="21559">
      <c r="D21559" s="39"/>
      <c r="E21559" s="39"/>
      <c r="F21559" s="39"/>
    </row>
    <row r="21560">
      <c r="D21560" s="39"/>
      <c r="E21560" s="39"/>
      <c r="F21560" s="39"/>
    </row>
    <row r="21561">
      <c r="D21561" s="39"/>
      <c r="E21561" s="39"/>
      <c r="F21561" s="39"/>
    </row>
    <row r="21562">
      <c r="D21562" s="39"/>
      <c r="E21562" s="39"/>
      <c r="F21562" s="39"/>
    </row>
    <row r="21563">
      <c r="D21563" s="39"/>
      <c r="E21563" s="39"/>
      <c r="F21563" s="39"/>
    </row>
    <row r="21564">
      <c r="D21564" s="39"/>
      <c r="E21564" s="39"/>
      <c r="F21564" s="39"/>
    </row>
    <row r="21565">
      <c r="D21565" s="39"/>
      <c r="E21565" s="39"/>
      <c r="F21565" s="39"/>
    </row>
    <row r="21566">
      <c r="D21566" s="39"/>
      <c r="E21566" s="39"/>
      <c r="F21566" s="39"/>
    </row>
    <row r="21567">
      <c r="D21567" s="39"/>
      <c r="E21567" s="39"/>
      <c r="F21567" s="39"/>
    </row>
    <row r="21568">
      <c r="D21568" s="39"/>
      <c r="E21568" s="39"/>
      <c r="F21568" s="39"/>
    </row>
    <row r="21569">
      <c r="D21569" s="39"/>
      <c r="E21569" s="39"/>
      <c r="F21569" s="39"/>
    </row>
    <row r="21570">
      <c r="D21570" s="39"/>
      <c r="E21570" s="39"/>
      <c r="F21570" s="39"/>
    </row>
    <row r="21571">
      <c r="D21571" s="39"/>
      <c r="E21571" s="39"/>
      <c r="F21571" s="39"/>
    </row>
    <row r="21572">
      <c r="D21572" s="39"/>
      <c r="E21572" s="39"/>
      <c r="F21572" s="39"/>
    </row>
    <row r="21573">
      <c r="D21573" s="39"/>
      <c r="E21573" s="39"/>
      <c r="F21573" s="39"/>
    </row>
    <row r="21574">
      <c r="D21574" s="39"/>
      <c r="E21574" s="39"/>
      <c r="F21574" s="39"/>
    </row>
    <row r="21575">
      <c r="D21575" s="39"/>
      <c r="E21575" s="39"/>
      <c r="F21575" s="39"/>
    </row>
    <row r="21576">
      <c r="D21576" s="39"/>
      <c r="E21576" s="39"/>
      <c r="F21576" s="39"/>
    </row>
    <row r="21577">
      <c r="D21577" s="39"/>
      <c r="E21577" s="39"/>
      <c r="F21577" s="39"/>
    </row>
    <row r="21578">
      <c r="D21578" s="39"/>
      <c r="E21578" s="39"/>
      <c r="F21578" s="39"/>
    </row>
    <row r="21579">
      <c r="D21579" s="39"/>
      <c r="E21579" s="39"/>
      <c r="F21579" s="39"/>
    </row>
    <row r="21580">
      <c r="D21580" s="39"/>
      <c r="E21580" s="39"/>
      <c r="F21580" s="39"/>
    </row>
    <row r="21581">
      <c r="D21581" s="39"/>
      <c r="E21581" s="39"/>
      <c r="F21581" s="39"/>
    </row>
    <row r="21582">
      <c r="D21582" s="39"/>
      <c r="E21582" s="39"/>
      <c r="F21582" s="39"/>
    </row>
    <row r="21583">
      <c r="D21583" s="39"/>
      <c r="E21583" s="39"/>
      <c r="F21583" s="39"/>
    </row>
    <row r="21584">
      <c r="D21584" s="39"/>
      <c r="E21584" s="39"/>
      <c r="F21584" s="39"/>
    </row>
    <row r="21585">
      <c r="D21585" s="39"/>
      <c r="E21585" s="39"/>
      <c r="F21585" s="39"/>
    </row>
    <row r="21586">
      <c r="D21586" s="39"/>
      <c r="E21586" s="39"/>
      <c r="F21586" s="39"/>
    </row>
    <row r="21587">
      <c r="D21587" s="39"/>
      <c r="E21587" s="39"/>
      <c r="F21587" s="39"/>
    </row>
    <row r="21588">
      <c r="D21588" s="39"/>
      <c r="E21588" s="39"/>
      <c r="F21588" s="39"/>
    </row>
    <row r="21589">
      <c r="D21589" s="39"/>
      <c r="E21589" s="39"/>
      <c r="F21589" s="39"/>
    </row>
    <row r="21590">
      <c r="D21590" s="39"/>
      <c r="E21590" s="39"/>
      <c r="F21590" s="39"/>
    </row>
    <row r="21591">
      <c r="D21591" s="39"/>
      <c r="E21591" s="39"/>
      <c r="F21591" s="39"/>
    </row>
    <row r="21592">
      <c r="D21592" s="39"/>
      <c r="E21592" s="39"/>
      <c r="F21592" s="39"/>
    </row>
    <row r="21593">
      <c r="D21593" s="39"/>
      <c r="E21593" s="39"/>
      <c r="F21593" s="39"/>
    </row>
    <row r="21594">
      <c r="D21594" s="39"/>
      <c r="E21594" s="39"/>
      <c r="F21594" s="39"/>
    </row>
    <row r="21595">
      <c r="D21595" s="39"/>
      <c r="E21595" s="39"/>
      <c r="F21595" s="39"/>
    </row>
    <row r="21596">
      <c r="D21596" s="39"/>
      <c r="E21596" s="39"/>
      <c r="F21596" s="39"/>
    </row>
    <row r="21597">
      <c r="D21597" s="39"/>
      <c r="E21597" s="39"/>
      <c r="F21597" s="39"/>
    </row>
    <row r="21598">
      <c r="D21598" s="39"/>
      <c r="E21598" s="39"/>
      <c r="F21598" s="39"/>
    </row>
    <row r="21599">
      <c r="D21599" s="39"/>
      <c r="E21599" s="39"/>
      <c r="F21599" s="39"/>
    </row>
    <row r="21600">
      <c r="D21600" s="39"/>
      <c r="E21600" s="39"/>
      <c r="F21600" s="39"/>
    </row>
    <row r="21601">
      <c r="D21601" s="39"/>
      <c r="E21601" s="39"/>
      <c r="F21601" s="39"/>
    </row>
    <row r="21602">
      <c r="D21602" s="39"/>
      <c r="E21602" s="39"/>
      <c r="F21602" s="39"/>
    </row>
    <row r="21603">
      <c r="D21603" s="39"/>
      <c r="E21603" s="39"/>
      <c r="F21603" s="39"/>
    </row>
    <row r="21604">
      <c r="D21604" s="39"/>
      <c r="E21604" s="39"/>
      <c r="F21604" s="39"/>
    </row>
    <row r="21605">
      <c r="D21605" s="39"/>
      <c r="E21605" s="39"/>
      <c r="F21605" s="39"/>
    </row>
    <row r="21606">
      <c r="D21606" s="39"/>
      <c r="E21606" s="39"/>
      <c r="F21606" s="39"/>
    </row>
    <row r="21607">
      <c r="D21607" s="39"/>
      <c r="E21607" s="39"/>
      <c r="F21607" s="39"/>
    </row>
    <row r="21608">
      <c r="D21608" s="39"/>
      <c r="E21608" s="39"/>
      <c r="F21608" s="39"/>
    </row>
    <row r="21609">
      <c r="D21609" s="39"/>
      <c r="E21609" s="39"/>
      <c r="F21609" s="39"/>
    </row>
    <row r="21610">
      <c r="D21610" s="39"/>
      <c r="E21610" s="39"/>
      <c r="F21610" s="39"/>
    </row>
    <row r="21611">
      <c r="D21611" s="39"/>
      <c r="E21611" s="39"/>
      <c r="F21611" s="39"/>
    </row>
    <row r="21612">
      <c r="D21612" s="39"/>
      <c r="E21612" s="39"/>
      <c r="F21612" s="39"/>
    </row>
    <row r="21613">
      <c r="D21613" s="39"/>
      <c r="E21613" s="39"/>
      <c r="F21613" s="39"/>
    </row>
    <row r="21614">
      <c r="D21614" s="39"/>
      <c r="E21614" s="39"/>
      <c r="F21614" s="39"/>
    </row>
    <row r="21615">
      <c r="D21615" s="39"/>
      <c r="E21615" s="39"/>
      <c r="F21615" s="39"/>
    </row>
    <row r="21616">
      <c r="D21616" s="39"/>
      <c r="E21616" s="39"/>
      <c r="F21616" s="39"/>
    </row>
    <row r="21617">
      <c r="D21617" s="39"/>
      <c r="E21617" s="39"/>
      <c r="F21617" s="39"/>
    </row>
    <row r="21618">
      <c r="D21618" s="39"/>
      <c r="E21618" s="39"/>
      <c r="F21618" s="39"/>
    </row>
    <row r="21619">
      <c r="D21619" s="39"/>
      <c r="E21619" s="39"/>
      <c r="F21619" s="39"/>
    </row>
    <row r="21620">
      <c r="D21620" s="39"/>
      <c r="E21620" s="39"/>
      <c r="F21620" s="39"/>
    </row>
    <row r="21621">
      <c r="D21621" s="39"/>
      <c r="E21621" s="39"/>
      <c r="F21621" s="39"/>
    </row>
    <row r="21622">
      <c r="D21622" s="39"/>
      <c r="E21622" s="39"/>
      <c r="F21622" s="39"/>
    </row>
    <row r="21623">
      <c r="D21623" s="39"/>
      <c r="E21623" s="39"/>
      <c r="F21623" s="39"/>
    </row>
    <row r="21624">
      <c r="D21624" s="39"/>
      <c r="E21624" s="39"/>
      <c r="F21624" s="39"/>
    </row>
    <row r="21625">
      <c r="D21625" s="39"/>
      <c r="E21625" s="39"/>
      <c r="F21625" s="39"/>
    </row>
    <row r="21626">
      <c r="D21626" s="39"/>
      <c r="E21626" s="39"/>
      <c r="F21626" s="39"/>
    </row>
    <row r="21627">
      <c r="D21627" s="39"/>
      <c r="E21627" s="39"/>
      <c r="F21627" s="39"/>
    </row>
    <row r="21628">
      <c r="D21628" s="39"/>
      <c r="E21628" s="39"/>
      <c r="F21628" s="39"/>
    </row>
    <row r="21629">
      <c r="D21629" s="39"/>
      <c r="E21629" s="39"/>
      <c r="F21629" s="39"/>
    </row>
    <row r="21630">
      <c r="D21630" s="39"/>
      <c r="E21630" s="39"/>
      <c r="F21630" s="39"/>
    </row>
    <row r="21631">
      <c r="D21631" s="39"/>
      <c r="E21631" s="39"/>
      <c r="F21631" s="39"/>
    </row>
    <row r="21632">
      <c r="D21632" s="39"/>
      <c r="E21632" s="39"/>
      <c r="F21632" s="39"/>
    </row>
    <row r="21633">
      <c r="D21633" s="39"/>
      <c r="E21633" s="39"/>
      <c r="F21633" s="39"/>
    </row>
    <row r="21634">
      <c r="D21634" s="39"/>
      <c r="E21634" s="39"/>
      <c r="F21634" s="39"/>
    </row>
    <row r="21635">
      <c r="D21635" s="39"/>
      <c r="E21635" s="39"/>
      <c r="F21635" s="39"/>
    </row>
    <row r="21636">
      <c r="D21636" s="39"/>
      <c r="E21636" s="39"/>
      <c r="F21636" s="39"/>
    </row>
    <row r="21637">
      <c r="D21637" s="39"/>
      <c r="E21637" s="39"/>
      <c r="F21637" s="39"/>
    </row>
    <row r="21638">
      <c r="D21638" s="39"/>
      <c r="E21638" s="39"/>
      <c r="F21638" s="39"/>
    </row>
    <row r="21639">
      <c r="D21639" s="39"/>
      <c r="E21639" s="39"/>
      <c r="F21639" s="39"/>
    </row>
    <row r="21640">
      <c r="D21640" s="39"/>
      <c r="E21640" s="39"/>
      <c r="F21640" s="39"/>
    </row>
    <row r="21641">
      <c r="D21641" s="39"/>
      <c r="E21641" s="39"/>
      <c r="F21641" s="39"/>
    </row>
    <row r="21642">
      <c r="D21642" s="39"/>
      <c r="E21642" s="39"/>
      <c r="F21642" s="39"/>
    </row>
    <row r="21643">
      <c r="D21643" s="39"/>
      <c r="E21643" s="39"/>
      <c r="F21643" s="39"/>
    </row>
    <row r="21644">
      <c r="D21644" s="39"/>
      <c r="E21644" s="39"/>
      <c r="F21644" s="39"/>
    </row>
    <row r="21645">
      <c r="D21645" s="39"/>
      <c r="E21645" s="39"/>
      <c r="F21645" s="39"/>
    </row>
    <row r="21646">
      <c r="D21646" s="39"/>
      <c r="E21646" s="39"/>
      <c r="F21646" s="39"/>
    </row>
    <row r="21647">
      <c r="D21647" s="39"/>
      <c r="E21647" s="39"/>
      <c r="F21647" s="39"/>
    </row>
    <row r="21648">
      <c r="D21648" s="39"/>
      <c r="E21648" s="39"/>
      <c r="F21648" s="39"/>
    </row>
    <row r="21649">
      <c r="D21649" s="39"/>
      <c r="E21649" s="39"/>
      <c r="F21649" s="39"/>
    </row>
    <row r="21650">
      <c r="D21650" s="39"/>
      <c r="E21650" s="39"/>
      <c r="F21650" s="39"/>
    </row>
    <row r="21651">
      <c r="D21651" s="39"/>
      <c r="E21651" s="39"/>
      <c r="F21651" s="39"/>
    </row>
    <row r="21652">
      <c r="D21652" s="39"/>
      <c r="E21652" s="39"/>
      <c r="F21652" s="39"/>
    </row>
    <row r="21653">
      <c r="D21653" s="39"/>
      <c r="E21653" s="39"/>
      <c r="F21653" s="39"/>
    </row>
    <row r="21654">
      <c r="D21654" s="39"/>
      <c r="E21654" s="39"/>
      <c r="F21654" s="39"/>
    </row>
    <row r="21655">
      <c r="D21655" s="39"/>
      <c r="E21655" s="39"/>
      <c r="F21655" s="39"/>
    </row>
    <row r="21656">
      <c r="D21656" s="39"/>
      <c r="E21656" s="39"/>
      <c r="F21656" s="39"/>
    </row>
    <row r="21657">
      <c r="D21657" s="39"/>
      <c r="E21657" s="39"/>
      <c r="F21657" s="39"/>
    </row>
    <row r="21658">
      <c r="D21658" s="39"/>
      <c r="E21658" s="39"/>
      <c r="F21658" s="39"/>
    </row>
    <row r="21659">
      <c r="D21659" s="39"/>
      <c r="E21659" s="39"/>
      <c r="F21659" s="39"/>
    </row>
    <row r="21660">
      <c r="D21660" s="39"/>
      <c r="E21660" s="39"/>
      <c r="F21660" s="39"/>
    </row>
    <row r="21661">
      <c r="D21661" s="39"/>
      <c r="E21661" s="39"/>
      <c r="F21661" s="39"/>
    </row>
    <row r="21662">
      <c r="D21662" s="39"/>
      <c r="E21662" s="39"/>
      <c r="F21662" s="39"/>
    </row>
    <row r="21663">
      <c r="D21663" s="39"/>
      <c r="E21663" s="39"/>
      <c r="F21663" s="39"/>
    </row>
    <row r="21664">
      <c r="D21664" s="39"/>
      <c r="E21664" s="39"/>
      <c r="F21664" s="39"/>
    </row>
    <row r="21665">
      <c r="D21665" s="39"/>
      <c r="E21665" s="39"/>
      <c r="F21665" s="39"/>
    </row>
    <row r="21666">
      <c r="D21666" s="39"/>
      <c r="E21666" s="39"/>
      <c r="F21666" s="39"/>
    </row>
    <row r="21667">
      <c r="D21667" s="39"/>
      <c r="E21667" s="39"/>
      <c r="F21667" s="39"/>
    </row>
    <row r="21668">
      <c r="D21668" s="39"/>
      <c r="E21668" s="39"/>
      <c r="F21668" s="39"/>
    </row>
    <row r="21669">
      <c r="D21669" s="39"/>
      <c r="E21669" s="39"/>
      <c r="F21669" s="39"/>
    </row>
    <row r="21670">
      <c r="D21670" s="39"/>
      <c r="E21670" s="39"/>
      <c r="F21670" s="39"/>
    </row>
    <row r="21671">
      <c r="D21671" s="39"/>
      <c r="E21671" s="39"/>
      <c r="F21671" s="39"/>
    </row>
    <row r="21672">
      <c r="D21672" s="39"/>
      <c r="E21672" s="39"/>
      <c r="F21672" s="39"/>
    </row>
    <row r="21673">
      <c r="D21673" s="39"/>
      <c r="E21673" s="39"/>
      <c r="F21673" s="39"/>
    </row>
    <row r="21674">
      <c r="D21674" s="39"/>
      <c r="E21674" s="39"/>
      <c r="F21674" s="39"/>
    </row>
    <row r="21675">
      <c r="D21675" s="39"/>
      <c r="E21675" s="39"/>
      <c r="F21675" s="39"/>
    </row>
    <row r="21676">
      <c r="D21676" s="39"/>
      <c r="E21676" s="39"/>
      <c r="F21676" s="39"/>
    </row>
    <row r="21677">
      <c r="D21677" s="39"/>
      <c r="E21677" s="39"/>
      <c r="F21677" s="39"/>
    </row>
    <row r="21678">
      <c r="D21678" s="39"/>
      <c r="E21678" s="39"/>
      <c r="F21678" s="39"/>
    </row>
    <row r="21679">
      <c r="D21679" s="39"/>
      <c r="E21679" s="39"/>
      <c r="F21679" s="39"/>
    </row>
    <row r="21680">
      <c r="D21680" s="39"/>
      <c r="E21680" s="39"/>
      <c r="F21680" s="39"/>
    </row>
    <row r="21681">
      <c r="D21681" s="39"/>
      <c r="E21681" s="39"/>
      <c r="F21681" s="39"/>
    </row>
    <row r="21682">
      <c r="D21682" s="39"/>
      <c r="E21682" s="39"/>
      <c r="F21682" s="39"/>
    </row>
    <row r="21683">
      <c r="D21683" s="39"/>
      <c r="E21683" s="39"/>
      <c r="F21683" s="39"/>
    </row>
    <row r="21684">
      <c r="D21684" s="39"/>
      <c r="E21684" s="39"/>
      <c r="F21684" s="39"/>
    </row>
    <row r="21685">
      <c r="D21685" s="39"/>
      <c r="E21685" s="39"/>
      <c r="F21685" s="39"/>
    </row>
    <row r="21686">
      <c r="D21686" s="39"/>
      <c r="E21686" s="39"/>
      <c r="F21686" s="39"/>
    </row>
    <row r="21687">
      <c r="D21687" s="39"/>
      <c r="E21687" s="39"/>
      <c r="F21687" s="39"/>
    </row>
    <row r="21688">
      <c r="D21688" s="39"/>
      <c r="E21688" s="39"/>
      <c r="F21688" s="39"/>
    </row>
    <row r="21689">
      <c r="D21689" s="39"/>
      <c r="E21689" s="39"/>
      <c r="F21689" s="39"/>
    </row>
    <row r="21690">
      <c r="D21690" s="39"/>
      <c r="E21690" s="39"/>
      <c r="F21690" s="39"/>
    </row>
    <row r="21691">
      <c r="D21691" s="39"/>
      <c r="E21691" s="39"/>
      <c r="F21691" s="39"/>
    </row>
    <row r="21692">
      <c r="D21692" s="39"/>
      <c r="E21692" s="39"/>
      <c r="F21692" s="39"/>
    </row>
    <row r="21693">
      <c r="D21693" s="39"/>
      <c r="E21693" s="39"/>
      <c r="F21693" s="39"/>
    </row>
    <row r="21694">
      <c r="D21694" s="39"/>
      <c r="E21694" s="39"/>
      <c r="F21694" s="39"/>
    </row>
    <row r="21695">
      <c r="D21695" s="39"/>
      <c r="E21695" s="39"/>
      <c r="F21695" s="39"/>
    </row>
    <row r="21696">
      <c r="D21696" s="39"/>
      <c r="E21696" s="39"/>
      <c r="F21696" s="39"/>
    </row>
    <row r="21697">
      <c r="D21697" s="39"/>
      <c r="E21697" s="39"/>
      <c r="F21697" s="39"/>
    </row>
    <row r="21698">
      <c r="D21698" s="39"/>
      <c r="E21698" s="39"/>
      <c r="F21698" s="39"/>
    </row>
    <row r="21699">
      <c r="D21699" s="39"/>
      <c r="E21699" s="39"/>
      <c r="F21699" s="39"/>
    </row>
    <row r="21700">
      <c r="D21700" s="39"/>
      <c r="E21700" s="39"/>
      <c r="F21700" s="39"/>
    </row>
    <row r="21701">
      <c r="D21701" s="39"/>
      <c r="E21701" s="39"/>
      <c r="F21701" s="39"/>
    </row>
    <row r="21702">
      <c r="D21702" s="39"/>
      <c r="E21702" s="39"/>
      <c r="F21702" s="39"/>
    </row>
    <row r="21703">
      <c r="D21703" s="39"/>
      <c r="E21703" s="39"/>
      <c r="F21703" s="39"/>
    </row>
    <row r="21704">
      <c r="D21704" s="39"/>
      <c r="E21704" s="39"/>
      <c r="F21704" s="39"/>
    </row>
    <row r="21705">
      <c r="D21705" s="39"/>
      <c r="E21705" s="39"/>
      <c r="F21705" s="39"/>
    </row>
    <row r="21706">
      <c r="D21706" s="39"/>
      <c r="E21706" s="39"/>
      <c r="F21706" s="39"/>
    </row>
    <row r="21707">
      <c r="D21707" s="39"/>
      <c r="E21707" s="39"/>
      <c r="F21707" s="39"/>
    </row>
    <row r="21708">
      <c r="D21708" s="39"/>
      <c r="E21708" s="39"/>
      <c r="F21708" s="39"/>
    </row>
    <row r="21709">
      <c r="D21709" s="39"/>
      <c r="E21709" s="39"/>
      <c r="F21709" s="39"/>
    </row>
    <row r="21710">
      <c r="D21710" s="39"/>
      <c r="E21710" s="39"/>
      <c r="F21710" s="39"/>
    </row>
    <row r="21711">
      <c r="D21711" s="39"/>
      <c r="E21711" s="39"/>
      <c r="F21711" s="39"/>
    </row>
    <row r="21712">
      <c r="D21712" s="39"/>
      <c r="E21712" s="39"/>
      <c r="F21712" s="39"/>
    </row>
    <row r="21713">
      <c r="D21713" s="39"/>
      <c r="E21713" s="39"/>
      <c r="F21713" s="39"/>
    </row>
    <row r="21714">
      <c r="D21714" s="39"/>
      <c r="E21714" s="39"/>
      <c r="F21714" s="39"/>
    </row>
    <row r="21715">
      <c r="D21715" s="39"/>
      <c r="E21715" s="39"/>
      <c r="F21715" s="39"/>
    </row>
    <row r="21716">
      <c r="D21716" s="39"/>
      <c r="E21716" s="39"/>
      <c r="F21716" s="39"/>
    </row>
    <row r="21717">
      <c r="D21717" s="39"/>
      <c r="E21717" s="39"/>
      <c r="F21717" s="39"/>
    </row>
    <row r="21718">
      <c r="D21718" s="39"/>
      <c r="E21718" s="39"/>
      <c r="F21718" s="39"/>
    </row>
    <row r="21719">
      <c r="D21719" s="39"/>
      <c r="E21719" s="39"/>
      <c r="F21719" s="39"/>
    </row>
    <row r="21720">
      <c r="D21720" s="39"/>
      <c r="E21720" s="39"/>
      <c r="F21720" s="39"/>
    </row>
    <row r="21721">
      <c r="D21721" s="39"/>
      <c r="E21721" s="39"/>
      <c r="F21721" s="39"/>
    </row>
    <row r="21722">
      <c r="D21722" s="39"/>
      <c r="E21722" s="39"/>
      <c r="F21722" s="39"/>
    </row>
    <row r="21723">
      <c r="D21723" s="39"/>
      <c r="E21723" s="39"/>
      <c r="F21723" s="39"/>
    </row>
    <row r="21724">
      <c r="D21724" s="39"/>
      <c r="E21724" s="39"/>
      <c r="F21724" s="39"/>
    </row>
    <row r="21725">
      <c r="D21725" s="39"/>
      <c r="E21725" s="39"/>
      <c r="F21725" s="39"/>
    </row>
    <row r="21726">
      <c r="D21726" s="39"/>
      <c r="E21726" s="39"/>
      <c r="F21726" s="39"/>
    </row>
    <row r="21727">
      <c r="D21727" s="39"/>
      <c r="E21727" s="39"/>
      <c r="F21727" s="39"/>
    </row>
    <row r="21728">
      <c r="D21728" s="39"/>
      <c r="E21728" s="39"/>
      <c r="F21728" s="39"/>
    </row>
    <row r="21729">
      <c r="D21729" s="39"/>
      <c r="E21729" s="39"/>
      <c r="F21729" s="39"/>
    </row>
    <row r="21730">
      <c r="D21730" s="39"/>
      <c r="E21730" s="39"/>
      <c r="F21730" s="39"/>
    </row>
    <row r="21731">
      <c r="D21731" s="39"/>
      <c r="E21731" s="39"/>
      <c r="F21731" s="39"/>
    </row>
    <row r="21732">
      <c r="D21732" s="39"/>
      <c r="E21732" s="39"/>
      <c r="F21732" s="39"/>
    </row>
    <row r="21733">
      <c r="D21733" s="39"/>
      <c r="E21733" s="39"/>
      <c r="F21733" s="39"/>
    </row>
    <row r="21734">
      <c r="D21734" s="39"/>
      <c r="E21734" s="39"/>
      <c r="F21734" s="39"/>
    </row>
    <row r="21735">
      <c r="D21735" s="39"/>
      <c r="E21735" s="39"/>
      <c r="F21735" s="39"/>
    </row>
    <row r="21736">
      <c r="D21736" s="39"/>
      <c r="E21736" s="39"/>
      <c r="F21736" s="39"/>
    </row>
    <row r="21737">
      <c r="D21737" s="39"/>
      <c r="E21737" s="39"/>
      <c r="F21737" s="39"/>
    </row>
    <row r="21738">
      <c r="D21738" s="39"/>
      <c r="E21738" s="39"/>
      <c r="F21738" s="39"/>
    </row>
    <row r="21739">
      <c r="D21739" s="39"/>
      <c r="E21739" s="39"/>
      <c r="F21739" s="39"/>
    </row>
    <row r="21740">
      <c r="D21740" s="39"/>
      <c r="E21740" s="39"/>
      <c r="F21740" s="39"/>
    </row>
    <row r="21741">
      <c r="D21741" s="39"/>
      <c r="E21741" s="39"/>
      <c r="F21741" s="39"/>
    </row>
    <row r="21742">
      <c r="D21742" s="39"/>
      <c r="E21742" s="39"/>
      <c r="F21742" s="39"/>
    </row>
    <row r="21743">
      <c r="D21743" s="39"/>
      <c r="E21743" s="39"/>
      <c r="F21743" s="39"/>
    </row>
    <row r="21744">
      <c r="D21744" s="39"/>
      <c r="E21744" s="39"/>
      <c r="F21744" s="39"/>
    </row>
    <row r="21745">
      <c r="D21745" s="39"/>
      <c r="E21745" s="39"/>
      <c r="F21745" s="39"/>
    </row>
    <row r="21746">
      <c r="D21746" s="39"/>
      <c r="E21746" s="39"/>
      <c r="F21746" s="39"/>
    </row>
    <row r="21747">
      <c r="D21747" s="39"/>
      <c r="E21747" s="39"/>
      <c r="F21747" s="39"/>
    </row>
    <row r="21748">
      <c r="D21748" s="39"/>
      <c r="E21748" s="39"/>
      <c r="F21748" s="39"/>
    </row>
    <row r="21749">
      <c r="D21749" s="39"/>
      <c r="E21749" s="39"/>
      <c r="F21749" s="39"/>
    </row>
    <row r="21750">
      <c r="D21750" s="39"/>
      <c r="E21750" s="39"/>
      <c r="F21750" s="39"/>
    </row>
    <row r="21751">
      <c r="D21751" s="39"/>
      <c r="E21751" s="39"/>
      <c r="F21751" s="39"/>
    </row>
    <row r="21752">
      <c r="D21752" s="39"/>
      <c r="E21752" s="39"/>
      <c r="F21752" s="39"/>
    </row>
    <row r="21753">
      <c r="D21753" s="39"/>
      <c r="E21753" s="39"/>
      <c r="F21753" s="39"/>
    </row>
    <row r="21754">
      <c r="D21754" s="39"/>
      <c r="E21754" s="39"/>
      <c r="F21754" s="39"/>
    </row>
    <row r="21755">
      <c r="D21755" s="39"/>
      <c r="E21755" s="39"/>
      <c r="F21755" s="39"/>
    </row>
    <row r="21756">
      <c r="D21756" s="39"/>
      <c r="E21756" s="39"/>
      <c r="F21756" s="39"/>
    </row>
    <row r="21757">
      <c r="D21757" s="39"/>
      <c r="E21757" s="39"/>
      <c r="F21757" s="39"/>
    </row>
    <row r="21758">
      <c r="D21758" s="39"/>
      <c r="E21758" s="39"/>
      <c r="F21758" s="39"/>
    </row>
    <row r="21759">
      <c r="D21759" s="39"/>
      <c r="E21759" s="39"/>
      <c r="F21759" s="39"/>
    </row>
    <row r="21760">
      <c r="D21760" s="39"/>
      <c r="E21760" s="39"/>
      <c r="F21760" s="39"/>
    </row>
    <row r="21761">
      <c r="D21761" s="39"/>
      <c r="E21761" s="39"/>
      <c r="F21761" s="39"/>
    </row>
    <row r="21762">
      <c r="D21762" s="39"/>
      <c r="E21762" s="39"/>
      <c r="F21762" s="39"/>
    </row>
    <row r="21763">
      <c r="D21763" s="39"/>
      <c r="E21763" s="39"/>
      <c r="F21763" s="39"/>
    </row>
    <row r="21764">
      <c r="D21764" s="39"/>
      <c r="E21764" s="39"/>
      <c r="F21764" s="39"/>
    </row>
    <row r="21765">
      <c r="D21765" s="39"/>
      <c r="E21765" s="39"/>
      <c r="F21765" s="39"/>
    </row>
    <row r="21766">
      <c r="D21766" s="39"/>
      <c r="E21766" s="39"/>
      <c r="F21766" s="39"/>
    </row>
    <row r="21767">
      <c r="D21767" s="39"/>
      <c r="E21767" s="39"/>
      <c r="F21767" s="39"/>
    </row>
    <row r="21768">
      <c r="D21768" s="39"/>
      <c r="E21768" s="39"/>
      <c r="F21768" s="39"/>
    </row>
    <row r="21769">
      <c r="D21769" s="39"/>
      <c r="E21769" s="39"/>
      <c r="F21769" s="39"/>
    </row>
    <row r="21770">
      <c r="D21770" s="39"/>
      <c r="E21770" s="39"/>
      <c r="F21770" s="39"/>
    </row>
    <row r="21771">
      <c r="D21771" s="39"/>
      <c r="E21771" s="39"/>
      <c r="F21771" s="39"/>
    </row>
    <row r="21772">
      <c r="D21772" s="39"/>
      <c r="E21772" s="39"/>
      <c r="F21772" s="39"/>
    </row>
    <row r="21773">
      <c r="D21773" s="39"/>
      <c r="E21773" s="39"/>
      <c r="F21773" s="39"/>
    </row>
    <row r="21774">
      <c r="D21774" s="39"/>
      <c r="E21774" s="39"/>
      <c r="F21774" s="39"/>
    </row>
    <row r="21775">
      <c r="D21775" s="39"/>
      <c r="E21775" s="39"/>
      <c r="F21775" s="39"/>
    </row>
    <row r="21776">
      <c r="D21776" s="39"/>
      <c r="E21776" s="39"/>
      <c r="F21776" s="39"/>
    </row>
    <row r="21777">
      <c r="D21777" s="39"/>
      <c r="E21777" s="39"/>
      <c r="F21777" s="39"/>
    </row>
    <row r="21778">
      <c r="D21778" s="39"/>
      <c r="E21778" s="39"/>
      <c r="F21778" s="39"/>
    </row>
    <row r="21779">
      <c r="D21779" s="39"/>
      <c r="E21779" s="39"/>
      <c r="F21779" s="39"/>
    </row>
    <row r="21780">
      <c r="D21780" s="39"/>
      <c r="E21780" s="39"/>
      <c r="F21780" s="39"/>
    </row>
    <row r="21781">
      <c r="D21781" s="39"/>
      <c r="E21781" s="39"/>
      <c r="F21781" s="39"/>
    </row>
    <row r="21782">
      <c r="D21782" s="39"/>
      <c r="E21782" s="39"/>
      <c r="F21782" s="39"/>
    </row>
    <row r="21783">
      <c r="D21783" s="39"/>
      <c r="E21783" s="39"/>
      <c r="F21783" s="39"/>
    </row>
    <row r="21784">
      <c r="D21784" s="39"/>
      <c r="E21784" s="39"/>
      <c r="F21784" s="39"/>
    </row>
    <row r="21785">
      <c r="D21785" s="39"/>
      <c r="E21785" s="39"/>
      <c r="F21785" s="39"/>
    </row>
    <row r="21786">
      <c r="D21786" s="39"/>
      <c r="E21786" s="39"/>
      <c r="F21786" s="39"/>
    </row>
    <row r="21787">
      <c r="D21787" s="39"/>
      <c r="E21787" s="39"/>
      <c r="F21787" s="39"/>
    </row>
    <row r="21788">
      <c r="D21788" s="39"/>
      <c r="E21788" s="39"/>
      <c r="F21788" s="39"/>
    </row>
    <row r="21789">
      <c r="D21789" s="39"/>
      <c r="E21789" s="39"/>
      <c r="F21789" s="39"/>
    </row>
    <row r="21790">
      <c r="D21790" s="39"/>
      <c r="E21790" s="39"/>
      <c r="F21790" s="39"/>
    </row>
    <row r="21791">
      <c r="D21791" s="39"/>
      <c r="E21791" s="39"/>
      <c r="F21791" s="39"/>
    </row>
    <row r="21792">
      <c r="D21792" s="39"/>
      <c r="E21792" s="39"/>
      <c r="F21792" s="39"/>
    </row>
    <row r="21793">
      <c r="D21793" s="39"/>
      <c r="E21793" s="39"/>
      <c r="F21793" s="39"/>
    </row>
    <row r="21794">
      <c r="D21794" s="39"/>
      <c r="E21794" s="39"/>
      <c r="F21794" s="39"/>
    </row>
    <row r="21795">
      <c r="D21795" s="39"/>
      <c r="E21795" s="39"/>
      <c r="F21795" s="39"/>
    </row>
    <row r="21796">
      <c r="D21796" s="39"/>
      <c r="E21796" s="39"/>
      <c r="F21796" s="39"/>
    </row>
    <row r="21797">
      <c r="D21797" s="39"/>
      <c r="E21797" s="39"/>
      <c r="F21797" s="39"/>
    </row>
    <row r="21798">
      <c r="D21798" s="39"/>
      <c r="E21798" s="39"/>
      <c r="F21798" s="39"/>
    </row>
    <row r="21799">
      <c r="D21799" s="39"/>
      <c r="E21799" s="39"/>
      <c r="F21799" s="39"/>
    </row>
    <row r="21800">
      <c r="D21800" s="39"/>
      <c r="E21800" s="39"/>
      <c r="F21800" s="39"/>
    </row>
    <row r="21801">
      <c r="D21801" s="39"/>
      <c r="E21801" s="39"/>
      <c r="F21801" s="39"/>
    </row>
    <row r="21802">
      <c r="D21802" s="39"/>
      <c r="E21802" s="39"/>
      <c r="F21802" s="39"/>
    </row>
    <row r="21803">
      <c r="D21803" s="39"/>
      <c r="E21803" s="39"/>
      <c r="F21803" s="39"/>
    </row>
    <row r="21804">
      <c r="D21804" s="39"/>
      <c r="E21804" s="39"/>
      <c r="F21804" s="39"/>
    </row>
    <row r="21805">
      <c r="D21805" s="39"/>
      <c r="E21805" s="39"/>
      <c r="F21805" s="39"/>
    </row>
    <row r="21806">
      <c r="D21806" s="39"/>
      <c r="E21806" s="39"/>
      <c r="F21806" s="39"/>
    </row>
    <row r="21807">
      <c r="D21807" s="39"/>
      <c r="E21807" s="39"/>
      <c r="F21807" s="39"/>
    </row>
    <row r="21808">
      <c r="D21808" s="39"/>
      <c r="E21808" s="39"/>
      <c r="F21808" s="39"/>
    </row>
    <row r="21809">
      <c r="D21809" s="39"/>
      <c r="E21809" s="39"/>
      <c r="F21809" s="39"/>
    </row>
    <row r="21810">
      <c r="D21810" s="39"/>
      <c r="E21810" s="39"/>
      <c r="F21810" s="39"/>
    </row>
    <row r="21811">
      <c r="D21811" s="39"/>
      <c r="E21811" s="39"/>
      <c r="F21811" s="39"/>
    </row>
    <row r="21812">
      <c r="D21812" s="39"/>
      <c r="E21812" s="39"/>
      <c r="F21812" s="39"/>
    </row>
    <row r="21813">
      <c r="D21813" s="39"/>
      <c r="E21813" s="39"/>
      <c r="F21813" s="39"/>
    </row>
    <row r="21814">
      <c r="D21814" s="39"/>
      <c r="E21814" s="39"/>
      <c r="F21814" s="39"/>
    </row>
    <row r="21815">
      <c r="D21815" s="39"/>
      <c r="E21815" s="39"/>
      <c r="F21815" s="39"/>
    </row>
    <row r="21816">
      <c r="D21816" s="39"/>
      <c r="E21816" s="39"/>
      <c r="F21816" s="39"/>
    </row>
    <row r="21817">
      <c r="D21817" s="39"/>
      <c r="E21817" s="39"/>
      <c r="F21817" s="39"/>
    </row>
    <row r="21818">
      <c r="D21818" s="39"/>
      <c r="E21818" s="39"/>
      <c r="F21818" s="39"/>
    </row>
    <row r="21819">
      <c r="D21819" s="39"/>
      <c r="E21819" s="39"/>
      <c r="F21819" s="39"/>
    </row>
    <row r="21820">
      <c r="D21820" s="39"/>
      <c r="E21820" s="39"/>
      <c r="F21820" s="39"/>
    </row>
    <row r="21821">
      <c r="D21821" s="39"/>
      <c r="E21821" s="39"/>
      <c r="F21821" s="39"/>
    </row>
    <row r="21822">
      <c r="D21822" s="39"/>
      <c r="E21822" s="39"/>
      <c r="F21822" s="39"/>
    </row>
    <row r="21823">
      <c r="D21823" s="39"/>
      <c r="E21823" s="39"/>
      <c r="F21823" s="39"/>
    </row>
    <row r="21824">
      <c r="D21824" s="39"/>
      <c r="E21824" s="39"/>
      <c r="F21824" s="39"/>
    </row>
    <row r="21825">
      <c r="D21825" s="39"/>
      <c r="E21825" s="39"/>
      <c r="F21825" s="39"/>
    </row>
    <row r="21826">
      <c r="D21826" s="39"/>
      <c r="E21826" s="39"/>
      <c r="F21826" s="39"/>
    </row>
    <row r="21827">
      <c r="D21827" s="39"/>
      <c r="E21827" s="39"/>
      <c r="F21827" s="39"/>
    </row>
    <row r="21828">
      <c r="D21828" s="39"/>
      <c r="E21828" s="39"/>
      <c r="F21828" s="39"/>
    </row>
    <row r="21829">
      <c r="D21829" s="39"/>
      <c r="E21829" s="39"/>
      <c r="F21829" s="39"/>
    </row>
    <row r="21830">
      <c r="D21830" s="39"/>
      <c r="E21830" s="39"/>
      <c r="F21830" s="39"/>
    </row>
    <row r="21831">
      <c r="D21831" s="39"/>
      <c r="E21831" s="39"/>
      <c r="F21831" s="39"/>
    </row>
    <row r="21832">
      <c r="D21832" s="39"/>
      <c r="E21832" s="39"/>
      <c r="F21832" s="39"/>
    </row>
    <row r="21833">
      <c r="D21833" s="39"/>
      <c r="E21833" s="39"/>
      <c r="F21833" s="39"/>
    </row>
    <row r="21834">
      <c r="D21834" s="39"/>
      <c r="E21834" s="39"/>
      <c r="F21834" s="39"/>
    </row>
    <row r="21835">
      <c r="D21835" s="39"/>
      <c r="E21835" s="39"/>
      <c r="F21835" s="39"/>
    </row>
    <row r="21836">
      <c r="D21836" s="39"/>
      <c r="E21836" s="39"/>
      <c r="F21836" s="39"/>
    </row>
    <row r="21837">
      <c r="D21837" s="39"/>
      <c r="E21837" s="39"/>
      <c r="F21837" s="39"/>
    </row>
    <row r="21838">
      <c r="D21838" s="39"/>
      <c r="E21838" s="39"/>
      <c r="F21838" s="39"/>
    </row>
    <row r="21839">
      <c r="D21839" s="39"/>
      <c r="E21839" s="39"/>
      <c r="F21839" s="39"/>
    </row>
    <row r="21840">
      <c r="D21840" s="39"/>
      <c r="E21840" s="39"/>
      <c r="F21840" s="39"/>
    </row>
    <row r="21841">
      <c r="D21841" s="39"/>
      <c r="E21841" s="39"/>
      <c r="F21841" s="39"/>
    </row>
    <row r="21842">
      <c r="D21842" s="39"/>
      <c r="E21842" s="39"/>
      <c r="F21842" s="39"/>
    </row>
    <row r="21843">
      <c r="D21843" s="39"/>
      <c r="E21843" s="39"/>
      <c r="F21843" s="39"/>
    </row>
    <row r="21844">
      <c r="D21844" s="39"/>
      <c r="E21844" s="39"/>
      <c r="F21844" s="39"/>
    </row>
    <row r="21845">
      <c r="D21845" s="39"/>
      <c r="E21845" s="39"/>
      <c r="F21845" s="39"/>
    </row>
    <row r="21846">
      <c r="D21846" s="39"/>
      <c r="E21846" s="39"/>
      <c r="F21846" s="39"/>
    </row>
    <row r="21847">
      <c r="D21847" s="39"/>
      <c r="E21847" s="39"/>
      <c r="F21847" s="39"/>
    </row>
    <row r="21848">
      <c r="D21848" s="39"/>
      <c r="E21848" s="39"/>
      <c r="F21848" s="39"/>
    </row>
    <row r="21849">
      <c r="D21849" s="39"/>
      <c r="E21849" s="39"/>
      <c r="F21849" s="39"/>
    </row>
    <row r="21850">
      <c r="D21850" s="39"/>
      <c r="E21850" s="39"/>
      <c r="F21850" s="39"/>
    </row>
    <row r="21851">
      <c r="D21851" s="39"/>
      <c r="E21851" s="39"/>
      <c r="F21851" s="39"/>
    </row>
    <row r="21852">
      <c r="D21852" s="39"/>
      <c r="E21852" s="39"/>
      <c r="F21852" s="39"/>
    </row>
    <row r="21853">
      <c r="D21853" s="39"/>
      <c r="E21853" s="39"/>
      <c r="F21853" s="39"/>
    </row>
    <row r="21854">
      <c r="D21854" s="39"/>
      <c r="E21854" s="39"/>
      <c r="F21854" s="39"/>
    </row>
    <row r="21855">
      <c r="D21855" s="39"/>
      <c r="E21855" s="39"/>
      <c r="F21855" s="39"/>
    </row>
    <row r="21856">
      <c r="D21856" s="39"/>
      <c r="E21856" s="39"/>
      <c r="F21856" s="39"/>
    </row>
    <row r="21857">
      <c r="D21857" s="39"/>
      <c r="E21857" s="39"/>
      <c r="F21857" s="39"/>
    </row>
    <row r="21858">
      <c r="D21858" s="39"/>
      <c r="E21858" s="39"/>
      <c r="F21858" s="39"/>
    </row>
    <row r="21859">
      <c r="D21859" s="39"/>
      <c r="E21859" s="39"/>
      <c r="F21859" s="39"/>
    </row>
    <row r="21860">
      <c r="D21860" s="39"/>
      <c r="E21860" s="39"/>
      <c r="F21860" s="39"/>
    </row>
    <row r="21861">
      <c r="D21861" s="39"/>
      <c r="E21861" s="39"/>
      <c r="F21861" s="39"/>
    </row>
    <row r="21862">
      <c r="D21862" s="39"/>
      <c r="E21862" s="39"/>
      <c r="F21862" s="39"/>
    </row>
    <row r="21863">
      <c r="D21863" s="39"/>
      <c r="E21863" s="39"/>
      <c r="F21863" s="39"/>
    </row>
    <row r="21864">
      <c r="D21864" s="39"/>
      <c r="E21864" s="39"/>
      <c r="F21864" s="39"/>
    </row>
    <row r="21865">
      <c r="D21865" s="39"/>
      <c r="E21865" s="39"/>
      <c r="F21865" s="39"/>
    </row>
    <row r="21866">
      <c r="D21866" s="39"/>
      <c r="E21866" s="39"/>
      <c r="F21866" s="39"/>
    </row>
    <row r="21867">
      <c r="D21867" s="39"/>
      <c r="E21867" s="39"/>
      <c r="F21867" s="39"/>
    </row>
    <row r="21868">
      <c r="D21868" s="39"/>
      <c r="E21868" s="39"/>
      <c r="F21868" s="39"/>
    </row>
    <row r="21869">
      <c r="D21869" s="39"/>
      <c r="E21869" s="39"/>
      <c r="F21869" s="39"/>
    </row>
    <row r="21870">
      <c r="D21870" s="39"/>
      <c r="E21870" s="39"/>
      <c r="F21870" s="39"/>
    </row>
    <row r="21871">
      <c r="D21871" s="39"/>
      <c r="E21871" s="39"/>
      <c r="F21871" s="39"/>
    </row>
    <row r="21872">
      <c r="D21872" s="39"/>
      <c r="E21872" s="39"/>
      <c r="F21872" s="39"/>
    </row>
    <row r="21873">
      <c r="D21873" s="39"/>
      <c r="E21873" s="39"/>
      <c r="F21873" s="39"/>
    </row>
    <row r="21874">
      <c r="D21874" s="39"/>
      <c r="E21874" s="39"/>
      <c r="F21874" s="39"/>
    </row>
    <row r="21875">
      <c r="D21875" s="39"/>
      <c r="E21875" s="39"/>
      <c r="F21875" s="39"/>
    </row>
    <row r="21876">
      <c r="D21876" s="39"/>
      <c r="E21876" s="39"/>
      <c r="F21876" s="39"/>
    </row>
    <row r="21877">
      <c r="D21877" s="39"/>
      <c r="E21877" s="39"/>
      <c r="F21877" s="39"/>
    </row>
    <row r="21878">
      <c r="D21878" s="39"/>
      <c r="E21878" s="39"/>
      <c r="F21878" s="39"/>
    </row>
    <row r="21879">
      <c r="D21879" s="39"/>
      <c r="E21879" s="39"/>
      <c r="F21879" s="39"/>
    </row>
    <row r="21880">
      <c r="D21880" s="39"/>
      <c r="E21880" s="39"/>
      <c r="F21880" s="39"/>
    </row>
    <row r="21881">
      <c r="D21881" s="39"/>
      <c r="E21881" s="39"/>
      <c r="F21881" s="39"/>
    </row>
    <row r="21882">
      <c r="D21882" s="39"/>
      <c r="E21882" s="39"/>
      <c r="F21882" s="39"/>
    </row>
    <row r="21883">
      <c r="D21883" s="39"/>
      <c r="E21883" s="39"/>
      <c r="F21883" s="39"/>
    </row>
    <row r="21884">
      <c r="D21884" s="39"/>
      <c r="E21884" s="39"/>
      <c r="F21884" s="39"/>
    </row>
    <row r="21885">
      <c r="D21885" s="39"/>
      <c r="E21885" s="39"/>
      <c r="F21885" s="39"/>
    </row>
    <row r="21886">
      <c r="D21886" s="39"/>
      <c r="E21886" s="39"/>
      <c r="F21886" s="39"/>
    </row>
    <row r="21887">
      <c r="D21887" s="39"/>
      <c r="E21887" s="39"/>
      <c r="F21887" s="39"/>
    </row>
    <row r="21888">
      <c r="D21888" s="39"/>
      <c r="E21888" s="39"/>
      <c r="F21888" s="39"/>
    </row>
    <row r="21889">
      <c r="D21889" s="39"/>
      <c r="E21889" s="39"/>
      <c r="F21889" s="39"/>
    </row>
    <row r="21890">
      <c r="D21890" s="39"/>
      <c r="E21890" s="39"/>
      <c r="F21890" s="39"/>
    </row>
    <row r="21891">
      <c r="D21891" s="39"/>
      <c r="E21891" s="39"/>
      <c r="F21891" s="39"/>
    </row>
    <row r="21892">
      <c r="D21892" s="39"/>
      <c r="E21892" s="39"/>
      <c r="F21892" s="39"/>
    </row>
    <row r="21893">
      <c r="D21893" s="39"/>
      <c r="E21893" s="39"/>
      <c r="F21893" s="39"/>
    </row>
    <row r="21894">
      <c r="D21894" s="39"/>
      <c r="E21894" s="39"/>
      <c r="F21894" s="39"/>
    </row>
    <row r="21895">
      <c r="D21895" s="39"/>
      <c r="E21895" s="39"/>
      <c r="F21895" s="39"/>
    </row>
    <row r="21896">
      <c r="D21896" s="39"/>
      <c r="E21896" s="39"/>
      <c r="F21896" s="39"/>
    </row>
    <row r="21897">
      <c r="D21897" s="39"/>
      <c r="E21897" s="39"/>
      <c r="F21897" s="39"/>
    </row>
    <row r="21898">
      <c r="D21898" s="39"/>
      <c r="E21898" s="39"/>
      <c r="F21898" s="39"/>
    </row>
    <row r="21899">
      <c r="D21899" s="39"/>
      <c r="E21899" s="39"/>
      <c r="F21899" s="39"/>
    </row>
    <row r="21900">
      <c r="D21900" s="39"/>
      <c r="E21900" s="39"/>
      <c r="F21900" s="39"/>
    </row>
    <row r="21901">
      <c r="D21901" s="39"/>
      <c r="E21901" s="39"/>
      <c r="F21901" s="39"/>
    </row>
    <row r="21902">
      <c r="D21902" s="39"/>
      <c r="E21902" s="39"/>
      <c r="F21902" s="39"/>
    </row>
    <row r="21903">
      <c r="D21903" s="39"/>
      <c r="E21903" s="39"/>
      <c r="F21903" s="39"/>
    </row>
    <row r="21904">
      <c r="D21904" s="39"/>
      <c r="E21904" s="39"/>
      <c r="F21904" s="39"/>
    </row>
    <row r="21905">
      <c r="D21905" s="39"/>
      <c r="E21905" s="39"/>
      <c r="F21905" s="39"/>
    </row>
    <row r="21906">
      <c r="D21906" s="39"/>
      <c r="E21906" s="39"/>
      <c r="F21906" s="39"/>
    </row>
    <row r="21907">
      <c r="D21907" s="39"/>
      <c r="E21907" s="39"/>
      <c r="F21907" s="39"/>
    </row>
    <row r="21908">
      <c r="D21908" s="39"/>
      <c r="E21908" s="39"/>
      <c r="F21908" s="39"/>
    </row>
    <row r="21909">
      <c r="D21909" s="39"/>
      <c r="E21909" s="39"/>
      <c r="F21909" s="39"/>
    </row>
    <row r="21910">
      <c r="D21910" s="39"/>
      <c r="E21910" s="39"/>
      <c r="F21910" s="39"/>
    </row>
    <row r="21911">
      <c r="D21911" s="39"/>
      <c r="E21911" s="39"/>
      <c r="F21911" s="39"/>
    </row>
    <row r="21912">
      <c r="D21912" s="39"/>
      <c r="E21912" s="39"/>
      <c r="F21912" s="39"/>
    </row>
    <row r="21913">
      <c r="D21913" s="39"/>
      <c r="E21913" s="39"/>
      <c r="F21913" s="39"/>
    </row>
    <row r="21914">
      <c r="D21914" s="39"/>
      <c r="E21914" s="39"/>
      <c r="F21914" s="39"/>
    </row>
    <row r="21915">
      <c r="D21915" s="39"/>
      <c r="E21915" s="39"/>
      <c r="F21915" s="39"/>
    </row>
    <row r="21916">
      <c r="D21916" s="39"/>
      <c r="E21916" s="39"/>
      <c r="F21916" s="39"/>
    </row>
    <row r="21917">
      <c r="D21917" s="39"/>
      <c r="E21917" s="39"/>
      <c r="F21917" s="39"/>
    </row>
    <row r="21918">
      <c r="D21918" s="39"/>
      <c r="E21918" s="39"/>
      <c r="F21918" s="39"/>
    </row>
    <row r="21919">
      <c r="D21919" s="39"/>
      <c r="E21919" s="39"/>
      <c r="F21919" s="39"/>
    </row>
    <row r="21920">
      <c r="D21920" s="39"/>
      <c r="E21920" s="39"/>
      <c r="F21920" s="39"/>
    </row>
    <row r="21921">
      <c r="D21921" s="39"/>
      <c r="E21921" s="39"/>
      <c r="F21921" s="39"/>
    </row>
    <row r="21922">
      <c r="D21922" s="39"/>
      <c r="E21922" s="39"/>
      <c r="F21922" s="39"/>
    </row>
    <row r="21923">
      <c r="D21923" s="39"/>
      <c r="E21923" s="39"/>
      <c r="F21923" s="39"/>
    </row>
    <row r="21924">
      <c r="D21924" s="39"/>
      <c r="E21924" s="39"/>
      <c r="F21924" s="39"/>
    </row>
    <row r="21925">
      <c r="D21925" s="39"/>
      <c r="E21925" s="39"/>
      <c r="F21925" s="39"/>
    </row>
    <row r="21926">
      <c r="D21926" s="39"/>
      <c r="E21926" s="39"/>
      <c r="F21926" s="39"/>
    </row>
    <row r="21927">
      <c r="D21927" s="39"/>
      <c r="E21927" s="39"/>
      <c r="F21927" s="39"/>
    </row>
    <row r="21928">
      <c r="D21928" s="39"/>
      <c r="E21928" s="39"/>
      <c r="F21928" s="39"/>
    </row>
    <row r="21929">
      <c r="D21929" s="39"/>
      <c r="E21929" s="39"/>
      <c r="F21929" s="39"/>
    </row>
    <row r="21930">
      <c r="D21930" s="39"/>
      <c r="E21930" s="39"/>
      <c r="F21930" s="39"/>
    </row>
    <row r="21931">
      <c r="D21931" s="39"/>
      <c r="E21931" s="39"/>
      <c r="F21931" s="39"/>
    </row>
    <row r="21932">
      <c r="D21932" s="39"/>
      <c r="E21932" s="39"/>
      <c r="F21932" s="39"/>
    </row>
    <row r="21933">
      <c r="D21933" s="39"/>
      <c r="E21933" s="39"/>
      <c r="F21933" s="39"/>
    </row>
    <row r="21934">
      <c r="D21934" s="39"/>
      <c r="E21934" s="39"/>
      <c r="F21934" s="39"/>
    </row>
    <row r="21935">
      <c r="D21935" s="39"/>
      <c r="E21935" s="39"/>
      <c r="F21935" s="39"/>
    </row>
    <row r="21936">
      <c r="D21936" s="39"/>
      <c r="E21936" s="39"/>
      <c r="F21936" s="39"/>
    </row>
    <row r="21937">
      <c r="D21937" s="39"/>
      <c r="E21937" s="39"/>
      <c r="F21937" s="39"/>
    </row>
    <row r="21938">
      <c r="D21938" s="39"/>
      <c r="E21938" s="39"/>
      <c r="F21938" s="39"/>
    </row>
    <row r="21939">
      <c r="D21939" s="39"/>
      <c r="E21939" s="39"/>
      <c r="F21939" s="39"/>
    </row>
    <row r="21940">
      <c r="D21940" s="39"/>
      <c r="E21940" s="39"/>
      <c r="F21940" s="39"/>
    </row>
    <row r="21941">
      <c r="D21941" s="39"/>
      <c r="E21941" s="39"/>
      <c r="F21941" s="39"/>
    </row>
    <row r="21942">
      <c r="D21942" s="39"/>
      <c r="E21942" s="39"/>
      <c r="F21942" s="39"/>
    </row>
    <row r="21943">
      <c r="D21943" s="39"/>
      <c r="E21943" s="39"/>
      <c r="F21943" s="39"/>
    </row>
    <row r="21944">
      <c r="D21944" s="39"/>
      <c r="E21944" s="39"/>
      <c r="F21944" s="39"/>
    </row>
    <row r="21945">
      <c r="D21945" s="39"/>
      <c r="E21945" s="39"/>
      <c r="F21945" s="39"/>
    </row>
    <row r="21946">
      <c r="D21946" s="39"/>
      <c r="E21946" s="39"/>
      <c r="F21946" s="39"/>
    </row>
    <row r="21947">
      <c r="D21947" s="39"/>
      <c r="E21947" s="39"/>
      <c r="F21947" s="39"/>
    </row>
    <row r="21948">
      <c r="D21948" s="39"/>
      <c r="E21948" s="39"/>
      <c r="F21948" s="39"/>
    </row>
    <row r="21949">
      <c r="D21949" s="39"/>
      <c r="E21949" s="39"/>
      <c r="F21949" s="39"/>
    </row>
    <row r="21950">
      <c r="D21950" s="39"/>
      <c r="E21950" s="39"/>
      <c r="F21950" s="39"/>
    </row>
    <row r="21951">
      <c r="D21951" s="39"/>
      <c r="E21951" s="39"/>
      <c r="F21951" s="39"/>
    </row>
    <row r="21952">
      <c r="D21952" s="39"/>
      <c r="E21952" s="39"/>
      <c r="F21952" s="39"/>
    </row>
    <row r="21953">
      <c r="D21953" s="39"/>
      <c r="E21953" s="39"/>
      <c r="F21953" s="39"/>
    </row>
    <row r="21954">
      <c r="D21954" s="39"/>
      <c r="E21954" s="39"/>
      <c r="F21954" s="39"/>
    </row>
    <row r="21955">
      <c r="D21955" s="39"/>
      <c r="E21955" s="39"/>
      <c r="F21955" s="39"/>
    </row>
    <row r="21956">
      <c r="D21956" s="39"/>
      <c r="E21956" s="39"/>
      <c r="F21956" s="39"/>
    </row>
    <row r="21957">
      <c r="D21957" s="39"/>
      <c r="E21957" s="39"/>
      <c r="F21957" s="39"/>
    </row>
    <row r="21958">
      <c r="D21958" s="39"/>
      <c r="E21958" s="39"/>
      <c r="F21958" s="39"/>
    </row>
    <row r="21959">
      <c r="D21959" s="39"/>
      <c r="E21959" s="39"/>
      <c r="F21959" s="39"/>
    </row>
    <row r="21960">
      <c r="D21960" s="39"/>
      <c r="E21960" s="39"/>
      <c r="F21960" s="39"/>
    </row>
    <row r="21961">
      <c r="D21961" s="39"/>
      <c r="E21961" s="39"/>
      <c r="F21961" s="39"/>
    </row>
    <row r="21962">
      <c r="D21962" s="39"/>
      <c r="E21962" s="39"/>
      <c r="F21962" s="39"/>
    </row>
    <row r="21963">
      <c r="D21963" s="39"/>
      <c r="E21963" s="39"/>
      <c r="F21963" s="39"/>
    </row>
    <row r="21964">
      <c r="D21964" s="39"/>
      <c r="E21964" s="39"/>
      <c r="F21964" s="39"/>
    </row>
    <row r="21965">
      <c r="D21965" s="39"/>
      <c r="E21965" s="39"/>
      <c r="F21965" s="39"/>
    </row>
    <row r="21966">
      <c r="D21966" s="39"/>
      <c r="E21966" s="39"/>
      <c r="F21966" s="39"/>
    </row>
    <row r="21967">
      <c r="D21967" s="39"/>
      <c r="E21967" s="39"/>
      <c r="F21967" s="39"/>
    </row>
    <row r="21968">
      <c r="D21968" s="39"/>
      <c r="E21968" s="39"/>
      <c r="F21968" s="39"/>
    </row>
    <row r="21969">
      <c r="D21969" s="39"/>
      <c r="E21969" s="39"/>
      <c r="F21969" s="39"/>
    </row>
    <row r="21970">
      <c r="D21970" s="39"/>
      <c r="E21970" s="39"/>
      <c r="F21970" s="39"/>
    </row>
    <row r="21971">
      <c r="D21971" s="39"/>
      <c r="E21971" s="39"/>
      <c r="F21971" s="39"/>
    </row>
    <row r="21972">
      <c r="D21972" s="39"/>
      <c r="E21972" s="39"/>
      <c r="F21972" s="39"/>
    </row>
    <row r="21973">
      <c r="D21973" s="39"/>
      <c r="E21973" s="39"/>
      <c r="F21973" s="39"/>
    </row>
    <row r="21974">
      <c r="D21974" s="39"/>
      <c r="E21974" s="39"/>
      <c r="F21974" s="39"/>
    </row>
    <row r="21975">
      <c r="D21975" s="39"/>
      <c r="E21975" s="39"/>
      <c r="F21975" s="39"/>
    </row>
    <row r="21976">
      <c r="D21976" s="39"/>
      <c r="E21976" s="39"/>
      <c r="F21976" s="39"/>
    </row>
    <row r="21977">
      <c r="D21977" s="39"/>
      <c r="E21977" s="39"/>
      <c r="F21977" s="39"/>
    </row>
    <row r="21978">
      <c r="D21978" s="39"/>
      <c r="E21978" s="39"/>
      <c r="F21978" s="39"/>
    </row>
    <row r="21979">
      <c r="D21979" s="39"/>
      <c r="E21979" s="39"/>
      <c r="F21979" s="39"/>
    </row>
    <row r="21980">
      <c r="D21980" s="39"/>
      <c r="E21980" s="39"/>
      <c r="F21980" s="39"/>
    </row>
    <row r="21981">
      <c r="D21981" s="39"/>
      <c r="E21981" s="39"/>
      <c r="F21981" s="39"/>
    </row>
    <row r="21982">
      <c r="D21982" s="39"/>
      <c r="E21982" s="39"/>
      <c r="F21982" s="39"/>
    </row>
    <row r="21983">
      <c r="D21983" s="39"/>
      <c r="E21983" s="39"/>
      <c r="F21983" s="39"/>
    </row>
    <row r="21984">
      <c r="D21984" s="39"/>
      <c r="E21984" s="39"/>
      <c r="F21984" s="39"/>
    </row>
    <row r="21985">
      <c r="D21985" s="39"/>
      <c r="E21985" s="39"/>
      <c r="F21985" s="39"/>
    </row>
    <row r="21986">
      <c r="D21986" s="39"/>
      <c r="E21986" s="39"/>
      <c r="F21986" s="39"/>
    </row>
    <row r="21987">
      <c r="D21987" s="39"/>
      <c r="E21987" s="39"/>
      <c r="F21987" s="39"/>
    </row>
    <row r="21988">
      <c r="D21988" s="39"/>
      <c r="E21988" s="39"/>
      <c r="F21988" s="39"/>
    </row>
    <row r="21989">
      <c r="D21989" s="39"/>
      <c r="E21989" s="39"/>
      <c r="F21989" s="39"/>
    </row>
    <row r="21990">
      <c r="D21990" s="39"/>
      <c r="E21990" s="39"/>
      <c r="F21990" s="39"/>
    </row>
    <row r="21991">
      <c r="D21991" s="39"/>
      <c r="E21991" s="39"/>
      <c r="F21991" s="39"/>
    </row>
    <row r="21992">
      <c r="D21992" s="39"/>
      <c r="E21992" s="39"/>
      <c r="F21992" s="39"/>
    </row>
    <row r="21993">
      <c r="D21993" s="39"/>
      <c r="E21993" s="39"/>
      <c r="F21993" s="39"/>
    </row>
    <row r="21994">
      <c r="D21994" s="39"/>
      <c r="E21994" s="39"/>
      <c r="F21994" s="39"/>
    </row>
    <row r="21995">
      <c r="D21995" s="39"/>
      <c r="E21995" s="39"/>
      <c r="F21995" s="39"/>
    </row>
    <row r="21996">
      <c r="D21996" s="39"/>
      <c r="E21996" s="39"/>
      <c r="F21996" s="39"/>
    </row>
    <row r="21997">
      <c r="D21997" s="39"/>
      <c r="E21997" s="39"/>
      <c r="F21997" s="39"/>
    </row>
    <row r="21998">
      <c r="D21998" s="39"/>
      <c r="E21998" s="39"/>
      <c r="F21998" s="39"/>
    </row>
    <row r="21999">
      <c r="D21999" s="39"/>
      <c r="E21999" s="39"/>
      <c r="F21999" s="39"/>
    </row>
    <row r="22000">
      <c r="D22000" s="39"/>
      <c r="E22000" s="39"/>
      <c r="F22000" s="39"/>
    </row>
    <row r="22001">
      <c r="D22001" s="39"/>
      <c r="E22001" s="39"/>
      <c r="F22001" s="39"/>
    </row>
    <row r="22002">
      <c r="D22002" s="39"/>
      <c r="E22002" s="39"/>
      <c r="F22002" s="39"/>
    </row>
    <row r="22003">
      <c r="D22003" s="39"/>
      <c r="E22003" s="39"/>
      <c r="F22003" s="39"/>
    </row>
    <row r="22004">
      <c r="D22004" s="39"/>
      <c r="E22004" s="39"/>
      <c r="F22004" s="39"/>
    </row>
    <row r="22005">
      <c r="D22005" s="39"/>
      <c r="E22005" s="39"/>
      <c r="F22005" s="39"/>
    </row>
    <row r="22006">
      <c r="D22006" s="39"/>
      <c r="E22006" s="39"/>
      <c r="F22006" s="39"/>
    </row>
    <row r="22007">
      <c r="D22007" s="39"/>
      <c r="E22007" s="39"/>
      <c r="F22007" s="39"/>
    </row>
    <row r="22008">
      <c r="D22008" s="39"/>
      <c r="E22008" s="39"/>
      <c r="F22008" s="39"/>
    </row>
    <row r="22009">
      <c r="D22009" s="39"/>
      <c r="E22009" s="39"/>
      <c r="F22009" s="39"/>
    </row>
    <row r="22010">
      <c r="D22010" s="39"/>
      <c r="E22010" s="39"/>
      <c r="F22010" s="39"/>
    </row>
    <row r="22011">
      <c r="D22011" s="39"/>
      <c r="E22011" s="39"/>
      <c r="F22011" s="39"/>
    </row>
    <row r="22012">
      <c r="D22012" s="39"/>
      <c r="E22012" s="39"/>
      <c r="F22012" s="39"/>
    </row>
    <row r="22013">
      <c r="D22013" s="39"/>
      <c r="E22013" s="39"/>
      <c r="F22013" s="39"/>
    </row>
    <row r="22014">
      <c r="D22014" s="39"/>
      <c r="E22014" s="39"/>
      <c r="F22014" s="39"/>
    </row>
    <row r="22015">
      <c r="D22015" s="39"/>
      <c r="E22015" s="39"/>
      <c r="F22015" s="39"/>
    </row>
    <row r="22016">
      <c r="D22016" s="39"/>
      <c r="E22016" s="39"/>
      <c r="F22016" s="39"/>
    </row>
    <row r="22017">
      <c r="D22017" s="39"/>
      <c r="E22017" s="39"/>
      <c r="F22017" s="39"/>
    </row>
    <row r="22018">
      <c r="D22018" s="39"/>
      <c r="E22018" s="39"/>
      <c r="F22018" s="39"/>
    </row>
    <row r="22019">
      <c r="D22019" s="39"/>
      <c r="E22019" s="39"/>
      <c r="F22019" s="39"/>
    </row>
    <row r="22020">
      <c r="D22020" s="39"/>
      <c r="E22020" s="39"/>
      <c r="F22020" s="39"/>
    </row>
    <row r="22021">
      <c r="D22021" s="39"/>
      <c r="E22021" s="39"/>
      <c r="F22021" s="39"/>
    </row>
    <row r="22022">
      <c r="D22022" s="39"/>
      <c r="E22022" s="39"/>
      <c r="F22022" s="39"/>
    </row>
    <row r="22023">
      <c r="D22023" s="39"/>
      <c r="E22023" s="39"/>
      <c r="F22023" s="39"/>
    </row>
    <row r="22024">
      <c r="D22024" s="39"/>
      <c r="E22024" s="39"/>
      <c r="F22024" s="39"/>
    </row>
    <row r="22025">
      <c r="D22025" s="39"/>
      <c r="E22025" s="39"/>
      <c r="F22025" s="39"/>
    </row>
    <row r="22026">
      <c r="D22026" s="39"/>
      <c r="E22026" s="39"/>
      <c r="F22026" s="39"/>
    </row>
    <row r="22027">
      <c r="D22027" s="39"/>
      <c r="E22027" s="39"/>
      <c r="F22027" s="39"/>
    </row>
    <row r="22028">
      <c r="D22028" s="39"/>
      <c r="E22028" s="39"/>
      <c r="F22028" s="39"/>
    </row>
    <row r="22029">
      <c r="D22029" s="39"/>
      <c r="E22029" s="39"/>
      <c r="F22029" s="39"/>
    </row>
    <row r="22030">
      <c r="D22030" s="39"/>
      <c r="E22030" s="39"/>
      <c r="F22030" s="39"/>
    </row>
    <row r="22031">
      <c r="D22031" s="39"/>
      <c r="E22031" s="39"/>
      <c r="F22031" s="39"/>
    </row>
    <row r="22032">
      <c r="D22032" s="39"/>
      <c r="E22032" s="39"/>
      <c r="F22032" s="39"/>
    </row>
    <row r="22033">
      <c r="D22033" s="39"/>
      <c r="E22033" s="39"/>
      <c r="F22033" s="39"/>
    </row>
    <row r="22034">
      <c r="D22034" s="39"/>
      <c r="E22034" s="39"/>
      <c r="F22034" s="39"/>
    </row>
    <row r="22035">
      <c r="D22035" s="39"/>
      <c r="E22035" s="39"/>
      <c r="F22035" s="39"/>
    </row>
    <row r="22036">
      <c r="D22036" s="39"/>
      <c r="E22036" s="39"/>
      <c r="F22036" s="39"/>
    </row>
    <row r="22037">
      <c r="D22037" s="39"/>
      <c r="E22037" s="39"/>
      <c r="F22037" s="39"/>
    </row>
    <row r="22038">
      <c r="D22038" s="39"/>
      <c r="E22038" s="39"/>
      <c r="F22038" s="39"/>
    </row>
    <row r="22039">
      <c r="D22039" s="39"/>
      <c r="E22039" s="39"/>
      <c r="F22039" s="39"/>
    </row>
    <row r="22040">
      <c r="D22040" s="39"/>
      <c r="E22040" s="39"/>
      <c r="F22040" s="39"/>
    </row>
    <row r="22041">
      <c r="D22041" s="39"/>
      <c r="E22041" s="39"/>
      <c r="F22041" s="39"/>
    </row>
    <row r="22042">
      <c r="D22042" s="39"/>
      <c r="E22042" s="39"/>
      <c r="F22042" s="39"/>
    </row>
    <row r="22043">
      <c r="D22043" s="39"/>
      <c r="E22043" s="39"/>
      <c r="F22043" s="39"/>
    </row>
    <row r="22044">
      <c r="D22044" s="39"/>
      <c r="E22044" s="39"/>
      <c r="F22044" s="39"/>
    </row>
    <row r="22045">
      <c r="D22045" s="39"/>
      <c r="E22045" s="39"/>
      <c r="F22045" s="39"/>
    </row>
    <row r="22046">
      <c r="D22046" s="39"/>
      <c r="E22046" s="39"/>
      <c r="F22046" s="39"/>
    </row>
    <row r="22047">
      <c r="D22047" s="39"/>
      <c r="E22047" s="39"/>
      <c r="F22047" s="39"/>
    </row>
    <row r="22048">
      <c r="D22048" s="39"/>
      <c r="E22048" s="39"/>
      <c r="F22048" s="39"/>
    </row>
    <row r="22049">
      <c r="D22049" s="39"/>
      <c r="E22049" s="39"/>
      <c r="F22049" s="39"/>
    </row>
    <row r="22050">
      <c r="D22050" s="39"/>
      <c r="E22050" s="39"/>
      <c r="F22050" s="39"/>
    </row>
    <row r="22051">
      <c r="D22051" s="39"/>
      <c r="E22051" s="39"/>
      <c r="F22051" s="39"/>
    </row>
    <row r="22052">
      <c r="D22052" s="39"/>
      <c r="E22052" s="39"/>
      <c r="F22052" s="39"/>
    </row>
    <row r="22053">
      <c r="D22053" s="39"/>
      <c r="E22053" s="39"/>
      <c r="F22053" s="39"/>
    </row>
    <row r="22054">
      <c r="D22054" s="39"/>
      <c r="E22054" s="39"/>
      <c r="F22054" s="39"/>
    </row>
    <row r="22055">
      <c r="D22055" s="39"/>
      <c r="E22055" s="39"/>
      <c r="F22055" s="39"/>
    </row>
    <row r="22056">
      <c r="D22056" s="39"/>
      <c r="E22056" s="39"/>
      <c r="F22056" s="39"/>
    </row>
    <row r="22057">
      <c r="D22057" s="39"/>
      <c r="E22057" s="39"/>
      <c r="F22057" s="39"/>
    </row>
    <row r="22058">
      <c r="D22058" s="39"/>
      <c r="E22058" s="39"/>
      <c r="F22058" s="39"/>
    </row>
    <row r="22059">
      <c r="D22059" s="39"/>
      <c r="E22059" s="39"/>
      <c r="F22059" s="39"/>
    </row>
    <row r="22060">
      <c r="D22060" s="39"/>
      <c r="E22060" s="39"/>
      <c r="F22060" s="39"/>
    </row>
    <row r="22061">
      <c r="D22061" s="39"/>
      <c r="E22061" s="39"/>
      <c r="F22061" s="39"/>
    </row>
    <row r="22062">
      <c r="D22062" s="39"/>
      <c r="E22062" s="39"/>
      <c r="F22062" s="39"/>
    </row>
    <row r="22063">
      <c r="D22063" s="39"/>
      <c r="E22063" s="39"/>
      <c r="F22063" s="39"/>
    </row>
    <row r="22064">
      <c r="D22064" s="39"/>
      <c r="E22064" s="39"/>
      <c r="F22064" s="39"/>
    </row>
    <row r="22065">
      <c r="D22065" s="39"/>
      <c r="E22065" s="39"/>
      <c r="F22065" s="39"/>
    </row>
    <row r="22066">
      <c r="D22066" s="39"/>
      <c r="E22066" s="39"/>
      <c r="F22066" s="39"/>
    </row>
    <row r="22067">
      <c r="D22067" s="39"/>
      <c r="E22067" s="39"/>
      <c r="F22067" s="39"/>
    </row>
    <row r="22068">
      <c r="D22068" s="39"/>
      <c r="E22068" s="39"/>
      <c r="F22068" s="39"/>
    </row>
    <row r="22069">
      <c r="D22069" s="39"/>
      <c r="E22069" s="39"/>
      <c r="F22069" s="39"/>
    </row>
    <row r="22070">
      <c r="D22070" s="39"/>
      <c r="E22070" s="39"/>
      <c r="F22070" s="39"/>
    </row>
    <row r="22071">
      <c r="D22071" s="39"/>
      <c r="E22071" s="39"/>
      <c r="F22071" s="39"/>
    </row>
    <row r="22072">
      <c r="D22072" s="39"/>
      <c r="E22072" s="39"/>
      <c r="F22072" s="39"/>
    </row>
    <row r="22073">
      <c r="D22073" s="39"/>
      <c r="E22073" s="39"/>
      <c r="F22073" s="39"/>
    </row>
    <row r="22074">
      <c r="D22074" s="39"/>
      <c r="E22074" s="39"/>
      <c r="F22074" s="39"/>
    </row>
    <row r="22075">
      <c r="D22075" s="39"/>
      <c r="E22075" s="39"/>
      <c r="F22075" s="39"/>
    </row>
    <row r="22076">
      <c r="D22076" s="39"/>
      <c r="E22076" s="39"/>
      <c r="F22076" s="39"/>
    </row>
    <row r="22077">
      <c r="D22077" s="39"/>
      <c r="E22077" s="39"/>
      <c r="F22077" s="39"/>
    </row>
    <row r="22078">
      <c r="D22078" s="39"/>
      <c r="E22078" s="39"/>
      <c r="F22078" s="39"/>
    </row>
    <row r="22079">
      <c r="D22079" s="39"/>
      <c r="E22079" s="39"/>
      <c r="F22079" s="39"/>
    </row>
    <row r="22080">
      <c r="D22080" s="39"/>
      <c r="E22080" s="39"/>
      <c r="F22080" s="39"/>
    </row>
    <row r="22081">
      <c r="D22081" s="39"/>
      <c r="E22081" s="39"/>
      <c r="F22081" s="39"/>
    </row>
    <row r="22082">
      <c r="D22082" s="39"/>
      <c r="E22082" s="39"/>
      <c r="F22082" s="39"/>
    </row>
    <row r="22083">
      <c r="D22083" s="39"/>
      <c r="E22083" s="39"/>
      <c r="F22083" s="39"/>
    </row>
    <row r="22084">
      <c r="D22084" s="39"/>
      <c r="E22084" s="39"/>
      <c r="F22084" s="39"/>
    </row>
    <row r="22085">
      <c r="D22085" s="39"/>
      <c r="E22085" s="39"/>
      <c r="F22085" s="39"/>
    </row>
    <row r="22086">
      <c r="D22086" s="39"/>
      <c r="E22086" s="39"/>
      <c r="F22086" s="39"/>
    </row>
    <row r="22087">
      <c r="D22087" s="39"/>
      <c r="E22087" s="39"/>
      <c r="F22087" s="39"/>
    </row>
    <row r="22088">
      <c r="D22088" s="39"/>
      <c r="E22088" s="39"/>
      <c r="F22088" s="39"/>
    </row>
    <row r="22089">
      <c r="D22089" s="39"/>
      <c r="E22089" s="39"/>
      <c r="F22089" s="39"/>
    </row>
    <row r="22090">
      <c r="D22090" s="39"/>
      <c r="E22090" s="39"/>
      <c r="F22090" s="39"/>
    </row>
    <row r="22091">
      <c r="D22091" s="39"/>
      <c r="E22091" s="39"/>
      <c r="F22091" s="39"/>
    </row>
    <row r="22092">
      <c r="D22092" s="39"/>
      <c r="E22092" s="39"/>
      <c r="F22092" s="39"/>
    </row>
    <row r="22093">
      <c r="D22093" s="39"/>
      <c r="E22093" s="39"/>
      <c r="F22093" s="39"/>
    </row>
    <row r="22094">
      <c r="D22094" s="39"/>
      <c r="E22094" s="39"/>
      <c r="F22094" s="39"/>
    </row>
    <row r="22095">
      <c r="D22095" s="39"/>
      <c r="E22095" s="39"/>
      <c r="F22095" s="39"/>
    </row>
    <row r="22096">
      <c r="D22096" s="39"/>
      <c r="E22096" s="39"/>
      <c r="F22096" s="39"/>
    </row>
    <row r="22097">
      <c r="D22097" s="39"/>
      <c r="E22097" s="39"/>
      <c r="F22097" s="39"/>
    </row>
    <row r="22098">
      <c r="D22098" s="39"/>
      <c r="E22098" s="39"/>
      <c r="F22098" s="39"/>
    </row>
    <row r="22099">
      <c r="D22099" s="39"/>
      <c r="E22099" s="39"/>
      <c r="F22099" s="39"/>
    </row>
    <row r="22100">
      <c r="D22100" s="39"/>
      <c r="E22100" s="39"/>
      <c r="F22100" s="39"/>
    </row>
    <row r="22101">
      <c r="D22101" s="39"/>
      <c r="E22101" s="39"/>
      <c r="F22101" s="39"/>
    </row>
    <row r="22102">
      <c r="D22102" s="39"/>
      <c r="E22102" s="39"/>
      <c r="F22102" s="39"/>
    </row>
    <row r="22103">
      <c r="D22103" s="39"/>
      <c r="E22103" s="39"/>
      <c r="F22103" s="39"/>
    </row>
    <row r="22104">
      <c r="D22104" s="39"/>
      <c r="E22104" s="39"/>
      <c r="F22104" s="39"/>
    </row>
    <row r="22105">
      <c r="D22105" s="39"/>
      <c r="E22105" s="39"/>
      <c r="F22105" s="39"/>
    </row>
    <row r="22106">
      <c r="D22106" s="39"/>
      <c r="E22106" s="39"/>
      <c r="F22106" s="39"/>
    </row>
    <row r="22107">
      <c r="D22107" s="39"/>
      <c r="E22107" s="39"/>
      <c r="F22107" s="39"/>
    </row>
    <row r="22108">
      <c r="D22108" s="39"/>
      <c r="E22108" s="39"/>
      <c r="F22108" s="39"/>
    </row>
    <row r="22109">
      <c r="D22109" s="39"/>
      <c r="E22109" s="39"/>
      <c r="F22109" s="39"/>
    </row>
    <row r="22110">
      <c r="D22110" s="39"/>
      <c r="E22110" s="39"/>
      <c r="F22110" s="39"/>
    </row>
    <row r="22111">
      <c r="D22111" s="39"/>
      <c r="E22111" s="39"/>
      <c r="F22111" s="39"/>
    </row>
    <row r="22112">
      <c r="D22112" s="39"/>
      <c r="E22112" s="39"/>
      <c r="F22112" s="39"/>
    </row>
    <row r="22113">
      <c r="D22113" s="39"/>
      <c r="E22113" s="39"/>
      <c r="F22113" s="39"/>
    </row>
    <row r="22114">
      <c r="D22114" s="39"/>
      <c r="E22114" s="39"/>
      <c r="F22114" s="39"/>
    </row>
    <row r="22115">
      <c r="D22115" s="39"/>
      <c r="E22115" s="39"/>
      <c r="F22115" s="39"/>
    </row>
    <row r="22116">
      <c r="D22116" s="39"/>
      <c r="E22116" s="39"/>
      <c r="F22116" s="39"/>
    </row>
    <row r="22117">
      <c r="D22117" s="39"/>
      <c r="E22117" s="39"/>
      <c r="F22117" s="39"/>
    </row>
    <row r="22118">
      <c r="D22118" s="39"/>
      <c r="E22118" s="39"/>
      <c r="F22118" s="39"/>
    </row>
    <row r="22119">
      <c r="D22119" s="39"/>
      <c r="E22119" s="39"/>
      <c r="F22119" s="39"/>
    </row>
    <row r="22120">
      <c r="D22120" s="39"/>
      <c r="E22120" s="39"/>
      <c r="F22120" s="39"/>
    </row>
    <row r="22121">
      <c r="D22121" s="39"/>
      <c r="E22121" s="39"/>
      <c r="F22121" s="39"/>
    </row>
    <row r="22122">
      <c r="D22122" s="39"/>
      <c r="E22122" s="39"/>
      <c r="F22122" s="39"/>
    </row>
    <row r="22123">
      <c r="D22123" s="39"/>
      <c r="E22123" s="39"/>
      <c r="F22123" s="39"/>
    </row>
    <row r="22124">
      <c r="D22124" s="39"/>
      <c r="E22124" s="39"/>
      <c r="F22124" s="39"/>
    </row>
    <row r="22125">
      <c r="D22125" s="39"/>
      <c r="E22125" s="39"/>
      <c r="F22125" s="39"/>
    </row>
    <row r="22126">
      <c r="D22126" s="39"/>
      <c r="E22126" s="39"/>
      <c r="F22126" s="39"/>
    </row>
    <row r="22127">
      <c r="D22127" s="39"/>
      <c r="E22127" s="39"/>
      <c r="F22127" s="39"/>
    </row>
    <row r="22128">
      <c r="D22128" s="39"/>
      <c r="E22128" s="39"/>
      <c r="F22128" s="39"/>
    </row>
    <row r="22129">
      <c r="D22129" s="39"/>
      <c r="E22129" s="39"/>
      <c r="F22129" s="39"/>
    </row>
    <row r="22130">
      <c r="D22130" s="39"/>
      <c r="E22130" s="39"/>
      <c r="F22130" s="39"/>
    </row>
    <row r="22131">
      <c r="D22131" s="39"/>
      <c r="E22131" s="39"/>
      <c r="F22131" s="39"/>
    </row>
    <row r="22132">
      <c r="D22132" s="39"/>
      <c r="E22132" s="39"/>
      <c r="F22132" s="39"/>
    </row>
    <row r="22133">
      <c r="D22133" s="39"/>
      <c r="E22133" s="39"/>
      <c r="F22133" s="39"/>
    </row>
    <row r="22134">
      <c r="D22134" s="39"/>
      <c r="E22134" s="39"/>
      <c r="F22134" s="39"/>
    </row>
    <row r="22135">
      <c r="D22135" s="39"/>
      <c r="E22135" s="39"/>
      <c r="F22135" s="39"/>
    </row>
    <row r="22136">
      <c r="D22136" s="39"/>
      <c r="E22136" s="39"/>
      <c r="F22136" s="39"/>
    </row>
    <row r="22137">
      <c r="D22137" s="39"/>
      <c r="E22137" s="39"/>
      <c r="F22137" s="39"/>
    </row>
    <row r="22138">
      <c r="D22138" s="39"/>
      <c r="E22138" s="39"/>
      <c r="F22138" s="39"/>
    </row>
    <row r="22139">
      <c r="D22139" s="39"/>
      <c r="E22139" s="39"/>
      <c r="F22139" s="39"/>
    </row>
    <row r="22140">
      <c r="D22140" s="39"/>
      <c r="E22140" s="39"/>
      <c r="F22140" s="39"/>
    </row>
    <row r="22141">
      <c r="D22141" s="39"/>
      <c r="E22141" s="39"/>
      <c r="F22141" s="39"/>
    </row>
    <row r="22142">
      <c r="D22142" s="39"/>
      <c r="E22142" s="39"/>
      <c r="F22142" s="39"/>
    </row>
    <row r="22143">
      <c r="D22143" s="39"/>
      <c r="E22143" s="39"/>
      <c r="F22143" s="39"/>
    </row>
    <row r="22144">
      <c r="D22144" s="39"/>
      <c r="E22144" s="39"/>
      <c r="F22144" s="39"/>
    </row>
    <row r="22145">
      <c r="D22145" s="39"/>
      <c r="E22145" s="39"/>
      <c r="F22145" s="39"/>
    </row>
    <row r="22146">
      <c r="D22146" s="39"/>
      <c r="E22146" s="39"/>
      <c r="F22146" s="39"/>
    </row>
    <row r="22147">
      <c r="D22147" s="39"/>
      <c r="E22147" s="39"/>
      <c r="F22147" s="39"/>
    </row>
    <row r="22148">
      <c r="D22148" s="39"/>
      <c r="E22148" s="39"/>
      <c r="F22148" s="39"/>
    </row>
    <row r="22149">
      <c r="D22149" s="39"/>
      <c r="E22149" s="39"/>
      <c r="F22149" s="39"/>
    </row>
    <row r="22150">
      <c r="D22150" s="39"/>
      <c r="E22150" s="39"/>
      <c r="F22150" s="39"/>
    </row>
    <row r="22151">
      <c r="D22151" s="39"/>
      <c r="E22151" s="39"/>
      <c r="F22151" s="39"/>
    </row>
    <row r="22152">
      <c r="D22152" s="39"/>
      <c r="E22152" s="39"/>
      <c r="F22152" s="39"/>
    </row>
    <row r="22153">
      <c r="D22153" s="39"/>
      <c r="E22153" s="39"/>
      <c r="F22153" s="39"/>
    </row>
    <row r="22154">
      <c r="D22154" s="39"/>
      <c r="E22154" s="39"/>
      <c r="F22154" s="39"/>
    </row>
    <row r="22155">
      <c r="D22155" s="39"/>
      <c r="E22155" s="39"/>
      <c r="F22155" s="39"/>
    </row>
    <row r="22156">
      <c r="D22156" s="39"/>
      <c r="E22156" s="39"/>
      <c r="F22156" s="39"/>
    </row>
    <row r="22157">
      <c r="D22157" s="39"/>
      <c r="E22157" s="39"/>
      <c r="F22157" s="39"/>
    </row>
    <row r="22158">
      <c r="D22158" s="39"/>
      <c r="E22158" s="39"/>
      <c r="F22158" s="39"/>
    </row>
    <row r="22159">
      <c r="D22159" s="39"/>
      <c r="E22159" s="39"/>
      <c r="F22159" s="39"/>
    </row>
    <row r="22160">
      <c r="D22160" s="39"/>
      <c r="E22160" s="39"/>
      <c r="F22160" s="39"/>
    </row>
    <row r="22161">
      <c r="D22161" s="39"/>
      <c r="E22161" s="39"/>
      <c r="F22161" s="39"/>
    </row>
    <row r="22162">
      <c r="D22162" s="39"/>
      <c r="E22162" s="39"/>
      <c r="F22162" s="39"/>
    </row>
    <row r="22163">
      <c r="D22163" s="39"/>
      <c r="E22163" s="39"/>
      <c r="F22163" s="39"/>
    </row>
    <row r="22164">
      <c r="D22164" s="39"/>
      <c r="E22164" s="39"/>
      <c r="F22164" s="39"/>
    </row>
    <row r="22165">
      <c r="D22165" s="39"/>
      <c r="E22165" s="39"/>
      <c r="F22165" s="39"/>
    </row>
    <row r="22166">
      <c r="D22166" s="39"/>
      <c r="E22166" s="39"/>
      <c r="F22166" s="39"/>
    </row>
    <row r="22167">
      <c r="D22167" s="39"/>
      <c r="E22167" s="39"/>
      <c r="F22167" s="39"/>
    </row>
    <row r="22168">
      <c r="D22168" s="39"/>
      <c r="E22168" s="39"/>
      <c r="F22168" s="39"/>
    </row>
    <row r="22169">
      <c r="D22169" s="39"/>
      <c r="E22169" s="39"/>
      <c r="F22169" s="39"/>
    </row>
    <row r="22170">
      <c r="D22170" s="39"/>
      <c r="E22170" s="39"/>
      <c r="F22170" s="39"/>
    </row>
    <row r="22171">
      <c r="D22171" s="39"/>
      <c r="E22171" s="39"/>
      <c r="F22171" s="39"/>
    </row>
    <row r="22172">
      <c r="D22172" s="39"/>
      <c r="E22172" s="39"/>
      <c r="F22172" s="39"/>
    </row>
    <row r="22173">
      <c r="D22173" s="39"/>
      <c r="E22173" s="39"/>
      <c r="F22173" s="39"/>
    </row>
    <row r="22174">
      <c r="D22174" s="39"/>
      <c r="E22174" s="39"/>
      <c r="F22174" s="39"/>
    </row>
    <row r="22175">
      <c r="D22175" s="39"/>
      <c r="E22175" s="39"/>
      <c r="F22175" s="39"/>
    </row>
    <row r="22176">
      <c r="D22176" s="39"/>
      <c r="E22176" s="39"/>
      <c r="F22176" s="39"/>
    </row>
    <row r="22177">
      <c r="D22177" s="39"/>
      <c r="E22177" s="39"/>
      <c r="F22177" s="39"/>
    </row>
    <row r="22178">
      <c r="D22178" s="39"/>
      <c r="E22178" s="39"/>
      <c r="F22178" s="39"/>
    </row>
    <row r="22179">
      <c r="D22179" s="39"/>
      <c r="E22179" s="39"/>
      <c r="F22179" s="39"/>
    </row>
    <row r="22180">
      <c r="D22180" s="39"/>
      <c r="E22180" s="39"/>
      <c r="F22180" s="39"/>
    </row>
    <row r="22181">
      <c r="D22181" s="39"/>
      <c r="E22181" s="39"/>
      <c r="F22181" s="39"/>
    </row>
    <row r="22182">
      <c r="D22182" s="39"/>
      <c r="E22182" s="39"/>
      <c r="F22182" s="39"/>
    </row>
    <row r="22183">
      <c r="D22183" s="39"/>
      <c r="E22183" s="39"/>
      <c r="F22183" s="39"/>
    </row>
    <row r="22184">
      <c r="D22184" s="39"/>
      <c r="E22184" s="39"/>
      <c r="F22184" s="39"/>
    </row>
    <row r="22185">
      <c r="D22185" s="39"/>
      <c r="E22185" s="39"/>
      <c r="F22185" s="39"/>
    </row>
    <row r="22186">
      <c r="D22186" s="39"/>
      <c r="E22186" s="39"/>
      <c r="F22186" s="39"/>
    </row>
    <row r="22187">
      <c r="D22187" s="39"/>
      <c r="E22187" s="39"/>
      <c r="F22187" s="39"/>
    </row>
    <row r="22188">
      <c r="D22188" s="39"/>
      <c r="E22188" s="39"/>
      <c r="F22188" s="39"/>
    </row>
    <row r="22189">
      <c r="D22189" s="39"/>
      <c r="E22189" s="39"/>
      <c r="F22189" s="39"/>
    </row>
    <row r="22190">
      <c r="D22190" s="39"/>
      <c r="E22190" s="39"/>
      <c r="F22190" s="39"/>
    </row>
    <row r="22191">
      <c r="D22191" s="39"/>
      <c r="E22191" s="39"/>
      <c r="F22191" s="39"/>
    </row>
    <row r="22192">
      <c r="D22192" s="39"/>
      <c r="E22192" s="39"/>
      <c r="F22192" s="39"/>
    </row>
    <row r="22193">
      <c r="D22193" s="39"/>
      <c r="E22193" s="39"/>
      <c r="F22193" s="39"/>
    </row>
    <row r="22194">
      <c r="D22194" s="39"/>
      <c r="E22194" s="39"/>
      <c r="F22194" s="39"/>
    </row>
    <row r="22195">
      <c r="D22195" s="39"/>
      <c r="E22195" s="39"/>
      <c r="F22195" s="39"/>
    </row>
    <row r="22196">
      <c r="D22196" s="39"/>
      <c r="E22196" s="39"/>
      <c r="F22196" s="39"/>
    </row>
    <row r="22197">
      <c r="D22197" s="39"/>
      <c r="E22197" s="39"/>
      <c r="F22197" s="39"/>
    </row>
    <row r="22198">
      <c r="D22198" s="39"/>
      <c r="E22198" s="39"/>
      <c r="F22198" s="39"/>
    </row>
    <row r="22199">
      <c r="D22199" s="39"/>
      <c r="E22199" s="39"/>
      <c r="F22199" s="39"/>
    </row>
    <row r="22200">
      <c r="D22200" s="39"/>
      <c r="E22200" s="39"/>
      <c r="F22200" s="39"/>
    </row>
    <row r="22201">
      <c r="D22201" s="39"/>
      <c r="E22201" s="39"/>
      <c r="F22201" s="39"/>
    </row>
    <row r="22202">
      <c r="D22202" s="39"/>
      <c r="E22202" s="39"/>
      <c r="F22202" s="39"/>
    </row>
    <row r="22203">
      <c r="D22203" s="39"/>
      <c r="E22203" s="39"/>
      <c r="F22203" s="39"/>
    </row>
    <row r="22204">
      <c r="D22204" s="39"/>
      <c r="E22204" s="39"/>
      <c r="F22204" s="39"/>
    </row>
    <row r="22205">
      <c r="D22205" s="39"/>
      <c r="E22205" s="39"/>
      <c r="F22205" s="39"/>
    </row>
    <row r="22206">
      <c r="D22206" s="39"/>
      <c r="E22206" s="39"/>
      <c r="F22206" s="39"/>
    </row>
    <row r="22207">
      <c r="D22207" s="39"/>
      <c r="E22207" s="39"/>
      <c r="F22207" s="39"/>
    </row>
    <row r="22208">
      <c r="D22208" s="39"/>
      <c r="E22208" s="39"/>
      <c r="F22208" s="39"/>
    </row>
    <row r="22209">
      <c r="D22209" s="39"/>
      <c r="E22209" s="39"/>
      <c r="F22209" s="39"/>
    </row>
    <row r="22210">
      <c r="D22210" s="39"/>
      <c r="E22210" s="39"/>
      <c r="F22210" s="39"/>
    </row>
    <row r="22211">
      <c r="D22211" s="39"/>
      <c r="E22211" s="39"/>
      <c r="F22211" s="39"/>
    </row>
    <row r="22212">
      <c r="D22212" s="39"/>
      <c r="E22212" s="39"/>
      <c r="F22212" s="39"/>
    </row>
    <row r="22213">
      <c r="D22213" s="39"/>
      <c r="E22213" s="39"/>
      <c r="F22213" s="39"/>
    </row>
    <row r="22214">
      <c r="D22214" s="39"/>
      <c r="E22214" s="39"/>
      <c r="F22214" s="39"/>
    </row>
    <row r="22215">
      <c r="D22215" s="39"/>
      <c r="E22215" s="39"/>
      <c r="F22215" s="39"/>
    </row>
    <row r="22216">
      <c r="D22216" s="39"/>
      <c r="E22216" s="39"/>
      <c r="F22216" s="39"/>
    </row>
    <row r="22217">
      <c r="D22217" s="39"/>
      <c r="E22217" s="39"/>
      <c r="F22217" s="39"/>
    </row>
    <row r="22218">
      <c r="D22218" s="39"/>
      <c r="E22218" s="39"/>
      <c r="F22218" s="39"/>
    </row>
    <row r="22219">
      <c r="D22219" s="39"/>
      <c r="E22219" s="39"/>
      <c r="F22219" s="39"/>
    </row>
    <row r="22220">
      <c r="D22220" s="39"/>
      <c r="E22220" s="39"/>
      <c r="F22220" s="39"/>
    </row>
    <row r="22221">
      <c r="D22221" s="39"/>
      <c r="E22221" s="39"/>
      <c r="F22221" s="39"/>
    </row>
    <row r="22222">
      <c r="D22222" s="39"/>
      <c r="E22222" s="39"/>
      <c r="F22222" s="39"/>
    </row>
    <row r="22223">
      <c r="D22223" s="39"/>
      <c r="E22223" s="39"/>
      <c r="F22223" s="39"/>
    </row>
    <row r="22224">
      <c r="D22224" s="39"/>
      <c r="E22224" s="39"/>
      <c r="F22224" s="39"/>
    </row>
    <row r="22225">
      <c r="D22225" s="39"/>
      <c r="E22225" s="39"/>
      <c r="F22225" s="39"/>
    </row>
    <row r="22226">
      <c r="D22226" s="39"/>
      <c r="E22226" s="39"/>
      <c r="F22226" s="39"/>
    </row>
    <row r="22227">
      <c r="D22227" s="39"/>
      <c r="E22227" s="39"/>
      <c r="F22227" s="39"/>
    </row>
    <row r="22228">
      <c r="D22228" s="39"/>
      <c r="E22228" s="39"/>
      <c r="F22228" s="39"/>
    </row>
    <row r="22229">
      <c r="D22229" s="39"/>
      <c r="E22229" s="39"/>
      <c r="F22229" s="39"/>
    </row>
    <row r="22230">
      <c r="D22230" s="39"/>
      <c r="E22230" s="39"/>
      <c r="F22230" s="39"/>
    </row>
    <row r="22231">
      <c r="D22231" s="39"/>
      <c r="E22231" s="39"/>
      <c r="F22231" s="39"/>
    </row>
    <row r="22232">
      <c r="D22232" s="39"/>
      <c r="E22232" s="39"/>
      <c r="F22232" s="39"/>
    </row>
    <row r="22233">
      <c r="D22233" s="39"/>
      <c r="E22233" s="39"/>
      <c r="F22233" s="39"/>
    </row>
    <row r="22234">
      <c r="D22234" s="39"/>
      <c r="E22234" s="39"/>
      <c r="F22234" s="39"/>
    </row>
    <row r="22235">
      <c r="D22235" s="39"/>
      <c r="E22235" s="39"/>
      <c r="F22235" s="39"/>
    </row>
    <row r="22236">
      <c r="D22236" s="39"/>
      <c r="E22236" s="39"/>
      <c r="F22236" s="39"/>
    </row>
    <row r="22237">
      <c r="D22237" s="39"/>
      <c r="E22237" s="39"/>
      <c r="F22237" s="39"/>
    </row>
    <row r="22238">
      <c r="D22238" s="39"/>
      <c r="E22238" s="39"/>
      <c r="F22238" s="39"/>
    </row>
    <row r="22239">
      <c r="D22239" s="39"/>
      <c r="E22239" s="39"/>
      <c r="F22239" s="39"/>
    </row>
    <row r="22240">
      <c r="D22240" s="39"/>
      <c r="E22240" s="39"/>
      <c r="F22240" s="39"/>
    </row>
    <row r="22241">
      <c r="D22241" s="39"/>
      <c r="E22241" s="39"/>
      <c r="F22241" s="39"/>
    </row>
    <row r="22242">
      <c r="D22242" s="39"/>
      <c r="E22242" s="39"/>
      <c r="F22242" s="39"/>
    </row>
    <row r="22243">
      <c r="D22243" s="39"/>
      <c r="E22243" s="39"/>
      <c r="F22243" s="39"/>
    </row>
    <row r="22244">
      <c r="D22244" s="39"/>
      <c r="E22244" s="39"/>
      <c r="F22244" s="39"/>
    </row>
    <row r="22245">
      <c r="D22245" s="39"/>
      <c r="E22245" s="39"/>
      <c r="F22245" s="39"/>
    </row>
    <row r="22246">
      <c r="D22246" s="39"/>
      <c r="E22246" s="39"/>
      <c r="F22246" s="39"/>
    </row>
    <row r="22247">
      <c r="D22247" s="39"/>
      <c r="E22247" s="39"/>
      <c r="F22247" s="39"/>
    </row>
    <row r="22248">
      <c r="D22248" s="39"/>
      <c r="E22248" s="39"/>
      <c r="F22248" s="39"/>
    </row>
    <row r="22249">
      <c r="D22249" s="39"/>
      <c r="E22249" s="39"/>
      <c r="F22249" s="39"/>
    </row>
    <row r="22250">
      <c r="D22250" s="39"/>
      <c r="E22250" s="39"/>
      <c r="F22250" s="39"/>
    </row>
    <row r="22251">
      <c r="D22251" s="39"/>
      <c r="E22251" s="39"/>
      <c r="F22251" s="39"/>
    </row>
    <row r="22252">
      <c r="D22252" s="39"/>
      <c r="E22252" s="39"/>
      <c r="F22252" s="39"/>
    </row>
    <row r="22253">
      <c r="D22253" s="39"/>
      <c r="E22253" s="39"/>
      <c r="F22253" s="39"/>
    </row>
    <row r="22254">
      <c r="D22254" s="39"/>
      <c r="E22254" s="39"/>
      <c r="F22254" s="39"/>
    </row>
    <row r="22255">
      <c r="D22255" s="39"/>
      <c r="E22255" s="39"/>
      <c r="F22255" s="39"/>
    </row>
    <row r="22256">
      <c r="D22256" s="39"/>
      <c r="E22256" s="39"/>
      <c r="F22256" s="39"/>
    </row>
    <row r="22257">
      <c r="D22257" s="39"/>
      <c r="E22257" s="39"/>
      <c r="F22257" s="39"/>
    </row>
    <row r="22258">
      <c r="D22258" s="39"/>
      <c r="E22258" s="39"/>
      <c r="F22258" s="39"/>
    </row>
    <row r="22259">
      <c r="D22259" s="39"/>
      <c r="E22259" s="39"/>
      <c r="F22259" s="39"/>
    </row>
    <row r="22260">
      <c r="D22260" s="39"/>
      <c r="E22260" s="39"/>
      <c r="F22260" s="39"/>
    </row>
    <row r="22261">
      <c r="D22261" s="39"/>
      <c r="E22261" s="39"/>
      <c r="F22261" s="39"/>
    </row>
    <row r="22262">
      <c r="D22262" s="39"/>
      <c r="E22262" s="39"/>
      <c r="F22262" s="39"/>
    </row>
    <row r="22263">
      <c r="D22263" s="39"/>
      <c r="E22263" s="39"/>
      <c r="F22263" s="39"/>
    </row>
    <row r="22264">
      <c r="D22264" s="39"/>
      <c r="E22264" s="39"/>
      <c r="F22264" s="39"/>
    </row>
    <row r="22265">
      <c r="D22265" s="39"/>
      <c r="E22265" s="39"/>
      <c r="F22265" s="39"/>
    </row>
    <row r="22266">
      <c r="D22266" s="39"/>
      <c r="E22266" s="39"/>
      <c r="F22266" s="39"/>
    </row>
    <row r="22267">
      <c r="D22267" s="39"/>
      <c r="E22267" s="39"/>
      <c r="F22267" s="39"/>
    </row>
    <row r="22268">
      <c r="D22268" s="39"/>
      <c r="E22268" s="39"/>
      <c r="F22268" s="39"/>
    </row>
    <row r="22269">
      <c r="D22269" s="39"/>
      <c r="E22269" s="39"/>
      <c r="F22269" s="39"/>
    </row>
    <row r="22270">
      <c r="D22270" s="39"/>
      <c r="E22270" s="39"/>
      <c r="F22270" s="39"/>
    </row>
    <row r="22271">
      <c r="D22271" s="39"/>
      <c r="E22271" s="39"/>
      <c r="F22271" s="39"/>
    </row>
    <row r="22272">
      <c r="D22272" s="39"/>
      <c r="E22272" s="39"/>
      <c r="F22272" s="39"/>
    </row>
    <row r="22273">
      <c r="D22273" s="39"/>
      <c r="E22273" s="39"/>
      <c r="F22273" s="39"/>
    </row>
    <row r="22274">
      <c r="D22274" s="39"/>
      <c r="E22274" s="39"/>
      <c r="F22274" s="39"/>
    </row>
    <row r="22275">
      <c r="D22275" s="39"/>
      <c r="E22275" s="39"/>
      <c r="F22275" s="39"/>
    </row>
    <row r="22276">
      <c r="D22276" s="39"/>
      <c r="E22276" s="39"/>
      <c r="F22276" s="39"/>
    </row>
    <row r="22277">
      <c r="D22277" s="39"/>
      <c r="E22277" s="39"/>
      <c r="F22277" s="39"/>
    </row>
    <row r="22278">
      <c r="D22278" s="39"/>
      <c r="E22278" s="39"/>
      <c r="F22278" s="39"/>
    </row>
    <row r="22279">
      <c r="D22279" s="39"/>
      <c r="E22279" s="39"/>
      <c r="F22279" s="39"/>
    </row>
    <row r="22280">
      <c r="D22280" s="39"/>
      <c r="E22280" s="39"/>
      <c r="F22280" s="39"/>
    </row>
    <row r="22281">
      <c r="D22281" s="39"/>
      <c r="E22281" s="39"/>
      <c r="F22281" s="39"/>
    </row>
    <row r="22282">
      <c r="D22282" s="39"/>
      <c r="E22282" s="39"/>
      <c r="F22282" s="39"/>
    </row>
    <row r="22283">
      <c r="D22283" s="39"/>
      <c r="E22283" s="39"/>
      <c r="F22283" s="39"/>
    </row>
    <row r="22284">
      <c r="D22284" s="39"/>
      <c r="E22284" s="39"/>
      <c r="F22284" s="39"/>
    </row>
    <row r="22285">
      <c r="D22285" s="39"/>
      <c r="E22285" s="39"/>
      <c r="F22285" s="39"/>
    </row>
    <row r="22286">
      <c r="D22286" s="39"/>
      <c r="E22286" s="39"/>
      <c r="F22286" s="39"/>
    </row>
    <row r="22287">
      <c r="D22287" s="39"/>
      <c r="E22287" s="39"/>
      <c r="F22287" s="39"/>
    </row>
    <row r="22288">
      <c r="D22288" s="39"/>
      <c r="E22288" s="39"/>
      <c r="F22288" s="39"/>
    </row>
    <row r="22289">
      <c r="D22289" s="39"/>
      <c r="E22289" s="39"/>
      <c r="F22289" s="39"/>
    </row>
    <row r="22290">
      <c r="D22290" s="39"/>
      <c r="E22290" s="39"/>
      <c r="F22290" s="39"/>
    </row>
    <row r="22291">
      <c r="D22291" s="39"/>
      <c r="E22291" s="39"/>
      <c r="F22291" s="39"/>
    </row>
    <row r="22292">
      <c r="D22292" s="39"/>
      <c r="E22292" s="39"/>
      <c r="F22292" s="39"/>
    </row>
    <row r="22293">
      <c r="D22293" s="39"/>
      <c r="E22293" s="39"/>
      <c r="F22293" s="39"/>
    </row>
    <row r="22294">
      <c r="D22294" s="39"/>
      <c r="E22294" s="39"/>
      <c r="F22294" s="39"/>
    </row>
    <row r="22295">
      <c r="D22295" s="39"/>
      <c r="E22295" s="39"/>
      <c r="F22295" s="39"/>
    </row>
    <row r="22296">
      <c r="D22296" s="39"/>
      <c r="E22296" s="39"/>
      <c r="F22296" s="39"/>
    </row>
    <row r="22297">
      <c r="D22297" s="39"/>
      <c r="E22297" s="39"/>
      <c r="F22297" s="39"/>
    </row>
    <row r="22298">
      <c r="D22298" s="39"/>
      <c r="E22298" s="39"/>
      <c r="F22298" s="39"/>
    </row>
    <row r="22299">
      <c r="D22299" s="39"/>
      <c r="E22299" s="39"/>
      <c r="F22299" s="39"/>
    </row>
    <row r="22300">
      <c r="D22300" s="39"/>
      <c r="E22300" s="39"/>
      <c r="F22300" s="39"/>
    </row>
    <row r="22301">
      <c r="D22301" s="39"/>
      <c r="E22301" s="39"/>
      <c r="F22301" s="39"/>
    </row>
    <row r="22302">
      <c r="D22302" s="39"/>
      <c r="E22302" s="39"/>
      <c r="F22302" s="39"/>
    </row>
    <row r="22303">
      <c r="D22303" s="39"/>
      <c r="E22303" s="39"/>
      <c r="F22303" s="39"/>
    </row>
    <row r="22304">
      <c r="D22304" s="39"/>
      <c r="E22304" s="39"/>
      <c r="F22304" s="39"/>
    </row>
    <row r="22305">
      <c r="D22305" s="39"/>
      <c r="E22305" s="39"/>
      <c r="F22305" s="39"/>
    </row>
    <row r="22306">
      <c r="D22306" s="39"/>
      <c r="E22306" s="39"/>
      <c r="F22306" s="39"/>
    </row>
    <row r="22307">
      <c r="D22307" s="39"/>
      <c r="E22307" s="39"/>
      <c r="F22307" s="39"/>
    </row>
    <row r="22308">
      <c r="D22308" s="39"/>
      <c r="E22308" s="39"/>
      <c r="F22308" s="39"/>
    </row>
    <row r="22309">
      <c r="D22309" s="39"/>
      <c r="E22309" s="39"/>
      <c r="F22309" s="39"/>
    </row>
    <row r="22310">
      <c r="D22310" s="39"/>
      <c r="E22310" s="39"/>
      <c r="F22310" s="39"/>
    </row>
    <row r="22311">
      <c r="D22311" s="39"/>
      <c r="E22311" s="39"/>
      <c r="F22311" s="39"/>
    </row>
    <row r="22312">
      <c r="D22312" s="39"/>
      <c r="E22312" s="39"/>
      <c r="F22312" s="39"/>
    </row>
    <row r="22313">
      <c r="D22313" s="39"/>
      <c r="E22313" s="39"/>
      <c r="F22313" s="39"/>
    </row>
    <row r="22314">
      <c r="D22314" s="39"/>
      <c r="E22314" s="39"/>
      <c r="F22314" s="39"/>
    </row>
    <row r="22315">
      <c r="D22315" s="39"/>
      <c r="E22315" s="39"/>
      <c r="F22315" s="39"/>
    </row>
    <row r="22316">
      <c r="D22316" s="39"/>
      <c r="E22316" s="39"/>
      <c r="F22316" s="39"/>
    </row>
    <row r="22317">
      <c r="D22317" s="39"/>
      <c r="E22317" s="39"/>
      <c r="F22317" s="39"/>
    </row>
    <row r="22318">
      <c r="D22318" s="39"/>
      <c r="E22318" s="39"/>
      <c r="F22318" s="39"/>
    </row>
    <row r="22319">
      <c r="D22319" s="39"/>
      <c r="E22319" s="39"/>
      <c r="F22319" s="39"/>
    </row>
    <row r="22320">
      <c r="D22320" s="39"/>
      <c r="E22320" s="39"/>
      <c r="F22320" s="39"/>
    </row>
    <row r="22321">
      <c r="D22321" s="39"/>
      <c r="E22321" s="39"/>
      <c r="F22321" s="39"/>
    </row>
    <row r="22322">
      <c r="D22322" s="39"/>
      <c r="E22322" s="39"/>
      <c r="F22322" s="39"/>
    </row>
    <row r="22323">
      <c r="D22323" s="39"/>
      <c r="E22323" s="39"/>
      <c r="F22323" s="39"/>
    </row>
    <row r="22324">
      <c r="D22324" s="39"/>
      <c r="E22324" s="39"/>
      <c r="F22324" s="39"/>
    </row>
    <row r="22325">
      <c r="D22325" s="39"/>
      <c r="E22325" s="39"/>
      <c r="F22325" s="39"/>
    </row>
    <row r="22326">
      <c r="D22326" s="39"/>
      <c r="E22326" s="39"/>
      <c r="F22326" s="39"/>
    </row>
    <row r="22327">
      <c r="D22327" s="39"/>
      <c r="E22327" s="39"/>
      <c r="F22327" s="39"/>
    </row>
    <row r="22328">
      <c r="D22328" s="39"/>
      <c r="E22328" s="39"/>
      <c r="F22328" s="39"/>
    </row>
    <row r="22329">
      <c r="D22329" s="39"/>
      <c r="E22329" s="39"/>
      <c r="F22329" s="39"/>
    </row>
    <row r="22330">
      <c r="D22330" s="39"/>
      <c r="E22330" s="39"/>
      <c r="F22330" s="39"/>
    </row>
    <row r="22331">
      <c r="D22331" s="39"/>
      <c r="E22331" s="39"/>
      <c r="F22331" s="39"/>
    </row>
    <row r="22332">
      <c r="D22332" s="39"/>
      <c r="E22332" s="39"/>
      <c r="F22332" s="39"/>
    </row>
    <row r="22333">
      <c r="D22333" s="39"/>
      <c r="E22333" s="39"/>
      <c r="F22333" s="39"/>
    </row>
    <row r="22334">
      <c r="D22334" s="39"/>
      <c r="E22334" s="39"/>
      <c r="F22334" s="39"/>
    </row>
    <row r="22335">
      <c r="D22335" s="39"/>
      <c r="E22335" s="39"/>
      <c r="F22335" s="39"/>
    </row>
    <row r="22336">
      <c r="D22336" s="39"/>
      <c r="E22336" s="39"/>
      <c r="F22336" s="39"/>
    </row>
    <row r="22337">
      <c r="D22337" s="39"/>
      <c r="E22337" s="39"/>
      <c r="F22337" s="39"/>
    </row>
    <row r="22338">
      <c r="D22338" s="39"/>
      <c r="E22338" s="39"/>
      <c r="F22338" s="39"/>
    </row>
    <row r="22339">
      <c r="D22339" s="39"/>
      <c r="E22339" s="39"/>
      <c r="F22339" s="39"/>
    </row>
    <row r="22340">
      <c r="D22340" s="39"/>
      <c r="E22340" s="39"/>
      <c r="F22340" s="39"/>
    </row>
    <row r="22341">
      <c r="D22341" s="39"/>
      <c r="E22341" s="39"/>
      <c r="F22341" s="39"/>
    </row>
    <row r="22342">
      <c r="D22342" s="39"/>
      <c r="E22342" s="39"/>
      <c r="F22342" s="39"/>
    </row>
    <row r="22343">
      <c r="D22343" s="39"/>
      <c r="E22343" s="39"/>
      <c r="F22343" s="39"/>
    </row>
    <row r="22344">
      <c r="D22344" s="39"/>
      <c r="E22344" s="39"/>
      <c r="F22344" s="39"/>
    </row>
    <row r="22345">
      <c r="D22345" s="39"/>
      <c r="E22345" s="39"/>
      <c r="F22345" s="39"/>
    </row>
    <row r="22346">
      <c r="D22346" s="39"/>
      <c r="E22346" s="39"/>
      <c r="F22346" s="39"/>
    </row>
    <row r="22347">
      <c r="D22347" s="39"/>
      <c r="E22347" s="39"/>
      <c r="F22347" s="39"/>
    </row>
    <row r="22348">
      <c r="D22348" s="39"/>
      <c r="E22348" s="39"/>
      <c r="F22348" s="39"/>
    </row>
    <row r="22349">
      <c r="D22349" s="39"/>
      <c r="E22349" s="39"/>
      <c r="F22349" s="39"/>
    </row>
    <row r="22350">
      <c r="D22350" s="39"/>
      <c r="E22350" s="39"/>
      <c r="F22350" s="39"/>
    </row>
    <row r="22351">
      <c r="D22351" s="39"/>
      <c r="E22351" s="39"/>
      <c r="F22351" s="39"/>
    </row>
    <row r="22352">
      <c r="D22352" s="39"/>
      <c r="E22352" s="39"/>
      <c r="F22352" s="39"/>
    </row>
    <row r="22353">
      <c r="D22353" s="39"/>
      <c r="E22353" s="39"/>
      <c r="F22353" s="39"/>
    </row>
    <row r="22354">
      <c r="D22354" s="39"/>
      <c r="E22354" s="39"/>
      <c r="F22354" s="39"/>
    </row>
    <row r="22355">
      <c r="D22355" s="39"/>
      <c r="E22355" s="39"/>
      <c r="F22355" s="39"/>
    </row>
    <row r="22356">
      <c r="D22356" s="39"/>
      <c r="E22356" s="39"/>
      <c r="F22356" s="39"/>
    </row>
    <row r="22357">
      <c r="D22357" s="39"/>
      <c r="E22357" s="39"/>
      <c r="F22357" s="39"/>
    </row>
    <row r="22358">
      <c r="D22358" s="39"/>
      <c r="E22358" s="39"/>
      <c r="F22358" s="39"/>
    </row>
    <row r="22359">
      <c r="D22359" s="39"/>
      <c r="E22359" s="39"/>
      <c r="F22359" s="39"/>
    </row>
    <row r="22360">
      <c r="D22360" s="39"/>
      <c r="E22360" s="39"/>
      <c r="F22360" s="39"/>
    </row>
    <row r="22361">
      <c r="D22361" s="39"/>
      <c r="E22361" s="39"/>
      <c r="F22361" s="39"/>
    </row>
    <row r="22362">
      <c r="D22362" s="39"/>
      <c r="E22362" s="39"/>
      <c r="F22362" s="39"/>
    </row>
    <row r="22363">
      <c r="D22363" s="39"/>
      <c r="E22363" s="39"/>
      <c r="F22363" s="39"/>
    </row>
    <row r="22364">
      <c r="D22364" s="39"/>
      <c r="E22364" s="39"/>
      <c r="F22364" s="39"/>
    </row>
    <row r="22365">
      <c r="D22365" s="39"/>
      <c r="E22365" s="39"/>
      <c r="F22365" s="39"/>
    </row>
    <row r="22366">
      <c r="D22366" s="39"/>
      <c r="E22366" s="39"/>
      <c r="F22366" s="39"/>
    </row>
    <row r="22367">
      <c r="D22367" s="39"/>
      <c r="E22367" s="39"/>
      <c r="F22367" s="39"/>
    </row>
    <row r="22368">
      <c r="D22368" s="39"/>
      <c r="E22368" s="39"/>
      <c r="F22368" s="39"/>
    </row>
    <row r="22369">
      <c r="D22369" s="39"/>
      <c r="E22369" s="39"/>
      <c r="F22369" s="39"/>
    </row>
    <row r="22370">
      <c r="D22370" s="39"/>
      <c r="E22370" s="39"/>
      <c r="F22370" s="39"/>
    </row>
    <row r="22371">
      <c r="D22371" s="39"/>
      <c r="E22371" s="39"/>
      <c r="F22371" s="39"/>
    </row>
    <row r="22372">
      <c r="D22372" s="39"/>
      <c r="E22372" s="39"/>
      <c r="F22372" s="39"/>
    </row>
    <row r="22373">
      <c r="D22373" s="39"/>
      <c r="E22373" s="39"/>
      <c r="F22373" s="39"/>
    </row>
    <row r="22374">
      <c r="D22374" s="39"/>
      <c r="E22374" s="39"/>
      <c r="F22374" s="39"/>
    </row>
    <row r="22375">
      <c r="D22375" s="39"/>
      <c r="E22375" s="39"/>
      <c r="F22375" s="39"/>
    </row>
    <row r="22376">
      <c r="D22376" s="39"/>
      <c r="E22376" s="39"/>
      <c r="F22376" s="39"/>
    </row>
    <row r="22377">
      <c r="D22377" s="39"/>
      <c r="E22377" s="39"/>
      <c r="F22377" s="39"/>
    </row>
    <row r="22378">
      <c r="D22378" s="39"/>
      <c r="E22378" s="39"/>
      <c r="F22378" s="39"/>
    </row>
    <row r="22379">
      <c r="D22379" s="39"/>
      <c r="E22379" s="39"/>
      <c r="F22379" s="39"/>
    </row>
    <row r="22380">
      <c r="D22380" s="39"/>
      <c r="E22380" s="39"/>
      <c r="F22380" s="39"/>
    </row>
    <row r="22381">
      <c r="D22381" s="39"/>
      <c r="E22381" s="39"/>
      <c r="F22381" s="39"/>
    </row>
    <row r="22382">
      <c r="D22382" s="39"/>
      <c r="E22382" s="39"/>
      <c r="F22382" s="39"/>
    </row>
    <row r="22383">
      <c r="D22383" s="39"/>
      <c r="E22383" s="39"/>
      <c r="F22383" s="39"/>
    </row>
    <row r="22384">
      <c r="D22384" s="39"/>
      <c r="E22384" s="39"/>
      <c r="F22384" s="39"/>
    </row>
    <row r="22385">
      <c r="D22385" s="39"/>
      <c r="E22385" s="39"/>
      <c r="F22385" s="39"/>
    </row>
    <row r="22386">
      <c r="D22386" s="39"/>
      <c r="E22386" s="39"/>
      <c r="F22386" s="39"/>
    </row>
    <row r="22387">
      <c r="D22387" s="39"/>
      <c r="E22387" s="39"/>
      <c r="F22387" s="39"/>
    </row>
    <row r="22388">
      <c r="D22388" s="39"/>
      <c r="E22388" s="39"/>
      <c r="F22388" s="39"/>
    </row>
    <row r="22389">
      <c r="D22389" s="39"/>
      <c r="E22389" s="39"/>
      <c r="F22389" s="39"/>
    </row>
    <row r="22390">
      <c r="D22390" s="39"/>
      <c r="E22390" s="39"/>
      <c r="F22390" s="39"/>
    </row>
    <row r="22391">
      <c r="D22391" s="39"/>
      <c r="E22391" s="39"/>
      <c r="F22391" s="39"/>
    </row>
    <row r="22392">
      <c r="D22392" s="39"/>
      <c r="E22392" s="39"/>
      <c r="F22392" s="39"/>
    </row>
    <row r="22393">
      <c r="D22393" s="39"/>
      <c r="E22393" s="39"/>
      <c r="F22393" s="39"/>
    </row>
    <row r="22394">
      <c r="D22394" s="39"/>
      <c r="E22394" s="39"/>
      <c r="F22394" s="39"/>
    </row>
    <row r="22395">
      <c r="D22395" s="39"/>
      <c r="E22395" s="39"/>
      <c r="F22395" s="39"/>
    </row>
    <row r="22396">
      <c r="D22396" s="39"/>
      <c r="E22396" s="39"/>
      <c r="F22396" s="39"/>
    </row>
    <row r="22397">
      <c r="D22397" s="39"/>
      <c r="E22397" s="39"/>
      <c r="F22397" s="39"/>
    </row>
    <row r="22398">
      <c r="D22398" s="39"/>
      <c r="E22398" s="39"/>
      <c r="F22398" s="39"/>
    </row>
    <row r="22399">
      <c r="D22399" s="39"/>
      <c r="E22399" s="39"/>
      <c r="F22399" s="39"/>
    </row>
    <row r="22400">
      <c r="D22400" s="39"/>
      <c r="E22400" s="39"/>
      <c r="F22400" s="39"/>
    </row>
    <row r="22401">
      <c r="D22401" s="39"/>
      <c r="E22401" s="39"/>
      <c r="F22401" s="39"/>
    </row>
    <row r="22402">
      <c r="D22402" s="39"/>
      <c r="E22402" s="39"/>
      <c r="F22402" s="39"/>
    </row>
    <row r="22403">
      <c r="D22403" s="39"/>
      <c r="E22403" s="39"/>
      <c r="F22403" s="39"/>
    </row>
    <row r="22404">
      <c r="D22404" s="39"/>
      <c r="E22404" s="39"/>
      <c r="F22404" s="39"/>
    </row>
    <row r="22405">
      <c r="D22405" s="39"/>
      <c r="E22405" s="39"/>
      <c r="F22405" s="39"/>
    </row>
    <row r="22406">
      <c r="D22406" s="39"/>
      <c r="E22406" s="39"/>
      <c r="F22406" s="39"/>
    </row>
    <row r="22407">
      <c r="D22407" s="39"/>
      <c r="E22407" s="39"/>
      <c r="F22407" s="39"/>
    </row>
    <row r="22408">
      <c r="D22408" s="39"/>
      <c r="E22408" s="39"/>
      <c r="F22408" s="39"/>
    </row>
    <row r="22409">
      <c r="D22409" s="39"/>
      <c r="E22409" s="39"/>
      <c r="F22409" s="39"/>
    </row>
    <row r="22410">
      <c r="D22410" s="39"/>
      <c r="E22410" s="39"/>
      <c r="F22410" s="39"/>
    </row>
    <row r="22411">
      <c r="D22411" s="39"/>
      <c r="E22411" s="39"/>
      <c r="F22411" s="39"/>
    </row>
    <row r="22412">
      <c r="D22412" s="39"/>
      <c r="E22412" s="39"/>
      <c r="F22412" s="39"/>
    </row>
    <row r="22413">
      <c r="D22413" s="39"/>
      <c r="E22413" s="39"/>
      <c r="F22413" s="39"/>
    </row>
    <row r="22414">
      <c r="D22414" s="39"/>
      <c r="E22414" s="39"/>
      <c r="F22414" s="39"/>
    </row>
    <row r="22415">
      <c r="D22415" s="39"/>
      <c r="E22415" s="39"/>
      <c r="F22415" s="39"/>
    </row>
    <row r="22416">
      <c r="D22416" s="39"/>
      <c r="E22416" s="39"/>
      <c r="F22416" s="39"/>
    </row>
    <row r="22417">
      <c r="D22417" s="39"/>
      <c r="E22417" s="39"/>
      <c r="F22417" s="39"/>
    </row>
    <row r="22418">
      <c r="D22418" s="39"/>
      <c r="E22418" s="39"/>
      <c r="F22418" s="39"/>
    </row>
    <row r="22419">
      <c r="D22419" s="39"/>
      <c r="E22419" s="39"/>
      <c r="F22419" s="39"/>
    </row>
    <row r="22420">
      <c r="D22420" s="39"/>
      <c r="E22420" s="39"/>
      <c r="F22420" s="39"/>
    </row>
    <row r="22421">
      <c r="D22421" s="39"/>
      <c r="E22421" s="39"/>
      <c r="F22421" s="39"/>
    </row>
    <row r="22422">
      <c r="D22422" s="39"/>
      <c r="E22422" s="39"/>
      <c r="F22422" s="39"/>
    </row>
    <row r="22423">
      <c r="D22423" s="39"/>
      <c r="E22423" s="39"/>
      <c r="F22423" s="39"/>
    </row>
    <row r="22424">
      <c r="D22424" s="39"/>
      <c r="E22424" s="39"/>
      <c r="F22424" s="39"/>
    </row>
    <row r="22425">
      <c r="D22425" s="39"/>
      <c r="E22425" s="39"/>
      <c r="F22425" s="39"/>
    </row>
    <row r="22426">
      <c r="D22426" s="39"/>
      <c r="E22426" s="39"/>
      <c r="F22426" s="39"/>
    </row>
    <row r="22427">
      <c r="D22427" s="39"/>
      <c r="E22427" s="39"/>
      <c r="F22427" s="39"/>
    </row>
    <row r="22428">
      <c r="D22428" s="39"/>
      <c r="E22428" s="39"/>
      <c r="F22428" s="39"/>
    </row>
    <row r="22429">
      <c r="D22429" s="39"/>
      <c r="E22429" s="39"/>
      <c r="F22429" s="39"/>
    </row>
    <row r="22430">
      <c r="D22430" s="39"/>
      <c r="E22430" s="39"/>
      <c r="F22430" s="39"/>
    </row>
    <row r="22431">
      <c r="D22431" s="39"/>
      <c r="E22431" s="39"/>
      <c r="F22431" s="39"/>
    </row>
    <row r="22432">
      <c r="D22432" s="39"/>
      <c r="E22432" s="39"/>
      <c r="F22432" s="39"/>
    </row>
    <row r="22433">
      <c r="D22433" s="39"/>
      <c r="E22433" s="39"/>
      <c r="F22433" s="39"/>
    </row>
    <row r="22434">
      <c r="D22434" s="39"/>
      <c r="E22434" s="39"/>
      <c r="F22434" s="39"/>
    </row>
    <row r="22435">
      <c r="D22435" s="39"/>
      <c r="E22435" s="39"/>
      <c r="F22435" s="39"/>
    </row>
    <row r="22436">
      <c r="D22436" s="39"/>
      <c r="E22436" s="39"/>
      <c r="F22436" s="39"/>
    </row>
    <row r="22437">
      <c r="D22437" s="39"/>
      <c r="E22437" s="39"/>
      <c r="F22437" s="39"/>
    </row>
    <row r="22438">
      <c r="D22438" s="39"/>
      <c r="E22438" s="39"/>
      <c r="F22438" s="39"/>
    </row>
    <row r="22439">
      <c r="D22439" s="39"/>
      <c r="E22439" s="39"/>
      <c r="F22439" s="39"/>
    </row>
    <row r="22440">
      <c r="D22440" s="39"/>
      <c r="E22440" s="39"/>
      <c r="F22440" s="39"/>
    </row>
    <row r="22441">
      <c r="D22441" s="39"/>
      <c r="E22441" s="39"/>
      <c r="F22441" s="39"/>
    </row>
    <row r="22442">
      <c r="D22442" s="39"/>
      <c r="E22442" s="39"/>
      <c r="F22442" s="39"/>
    </row>
    <row r="22443">
      <c r="D22443" s="39"/>
      <c r="E22443" s="39"/>
      <c r="F22443" s="39"/>
    </row>
    <row r="22444">
      <c r="D22444" s="39"/>
      <c r="E22444" s="39"/>
      <c r="F22444" s="39"/>
    </row>
    <row r="22445">
      <c r="D22445" s="39"/>
      <c r="E22445" s="39"/>
      <c r="F22445" s="39"/>
    </row>
    <row r="22446">
      <c r="D22446" s="39"/>
      <c r="E22446" s="39"/>
      <c r="F22446" s="39"/>
    </row>
    <row r="22447">
      <c r="D22447" s="39"/>
      <c r="E22447" s="39"/>
      <c r="F22447" s="39"/>
    </row>
    <row r="22448">
      <c r="D22448" s="39"/>
      <c r="E22448" s="39"/>
      <c r="F22448" s="39"/>
    </row>
    <row r="22449">
      <c r="D22449" s="39"/>
      <c r="E22449" s="39"/>
      <c r="F22449" s="39"/>
    </row>
    <row r="22450">
      <c r="D22450" s="39"/>
      <c r="E22450" s="39"/>
      <c r="F22450" s="39"/>
    </row>
    <row r="22451">
      <c r="D22451" s="39"/>
      <c r="E22451" s="39"/>
      <c r="F22451" s="39"/>
    </row>
    <row r="22452">
      <c r="D22452" s="39"/>
      <c r="E22452" s="39"/>
      <c r="F22452" s="39"/>
    </row>
    <row r="22453">
      <c r="D22453" s="39"/>
      <c r="E22453" s="39"/>
      <c r="F22453" s="39"/>
    </row>
    <row r="22454">
      <c r="D22454" s="39"/>
      <c r="E22454" s="39"/>
      <c r="F22454" s="39"/>
    </row>
    <row r="22455">
      <c r="D22455" s="39"/>
      <c r="E22455" s="39"/>
      <c r="F22455" s="39"/>
    </row>
    <row r="22456">
      <c r="D22456" s="39"/>
      <c r="E22456" s="39"/>
      <c r="F22456" s="39"/>
    </row>
    <row r="22457">
      <c r="D22457" s="39"/>
      <c r="E22457" s="39"/>
      <c r="F22457" s="39"/>
    </row>
    <row r="22458">
      <c r="D22458" s="39"/>
      <c r="E22458" s="39"/>
      <c r="F22458" s="39"/>
    </row>
    <row r="22459">
      <c r="D22459" s="39"/>
      <c r="E22459" s="39"/>
      <c r="F22459" s="39"/>
    </row>
    <row r="22460">
      <c r="D22460" s="39"/>
      <c r="E22460" s="39"/>
      <c r="F22460" s="39"/>
    </row>
    <row r="22461">
      <c r="D22461" s="39"/>
      <c r="E22461" s="39"/>
      <c r="F22461" s="39"/>
    </row>
    <row r="22462">
      <c r="D22462" s="39"/>
      <c r="E22462" s="39"/>
      <c r="F22462" s="39"/>
    </row>
    <row r="22463">
      <c r="D22463" s="39"/>
      <c r="E22463" s="39"/>
      <c r="F22463" s="39"/>
    </row>
    <row r="22464">
      <c r="D22464" s="39"/>
      <c r="E22464" s="39"/>
      <c r="F22464" s="39"/>
    </row>
    <row r="22465">
      <c r="D22465" s="39"/>
      <c r="E22465" s="39"/>
      <c r="F22465" s="39"/>
    </row>
    <row r="22466">
      <c r="D22466" s="39"/>
      <c r="E22466" s="39"/>
      <c r="F22466" s="39"/>
    </row>
    <row r="22467">
      <c r="D22467" s="39"/>
      <c r="E22467" s="39"/>
      <c r="F22467" s="39"/>
    </row>
    <row r="22468">
      <c r="D22468" s="39"/>
      <c r="E22468" s="39"/>
      <c r="F22468" s="39"/>
    </row>
    <row r="22469">
      <c r="D22469" s="39"/>
      <c r="E22469" s="39"/>
      <c r="F22469" s="39"/>
    </row>
    <row r="22470">
      <c r="D22470" s="39"/>
      <c r="E22470" s="39"/>
      <c r="F22470" s="39"/>
    </row>
    <row r="22471">
      <c r="D22471" s="39"/>
      <c r="E22471" s="39"/>
      <c r="F22471" s="39"/>
    </row>
    <row r="22472">
      <c r="D22472" s="39"/>
      <c r="E22472" s="39"/>
      <c r="F22472" s="39"/>
    </row>
    <row r="22473">
      <c r="D22473" s="39"/>
      <c r="E22473" s="39"/>
      <c r="F22473" s="39"/>
    </row>
    <row r="22474">
      <c r="D22474" s="39"/>
      <c r="E22474" s="39"/>
      <c r="F22474" s="39"/>
    </row>
    <row r="22475">
      <c r="D22475" s="39"/>
      <c r="E22475" s="39"/>
      <c r="F22475" s="39"/>
    </row>
    <row r="22476">
      <c r="D22476" s="39"/>
      <c r="E22476" s="39"/>
      <c r="F22476" s="39"/>
    </row>
    <row r="22477">
      <c r="D22477" s="39"/>
      <c r="E22477" s="39"/>
      <c r="F22477" s="39"/>
    </row>
    <row r="22478">
      <c r="D22478" s="39"/>
      <c r="E22478" s="39"/>
      <c r="F22478" s="39"/>
    </row>
    <row r="22479">
      <c r="D22479" s="39"/>
      <c r="E22479" s="39"/>
      <c r="F22479" s="39"/>
    </row>
    <row r="22480">
      <c r="D22480" s="39"/>
      <c r="E22480" s="39"/>
      <c r="F22480" s="39"/>
    </row>
    <row r="22481">
      <c r="D22481" s="39"/>
      <c r="E22481" s="39"/>
      <c r="F22481" s="39"/>
    </row>
    <row r="22482">
      <c r="D22482" s="39"/>
      <c r="E22482" s="39"/>
      <c r="F22482" s="39"/>
    </row>
    <row r="22483">
      <c r="D22483" s="39"/>
      <c r="E22483" s="39"/>
      <c r="F22483" s="39"/>
    </row>
    <row r="22484">
      <c r="D22484" s="39"/>
      <c r="E22484" s="39"/>
      <c r="F22484" s="39"/>
    </row>
    <row r="22485">
      <c r="D22485" s="39"/>
      <c r="E22485" s="39"/>
      <c r="F22485" s="39"/>
    </row>
    <row r="22486">
      <c r="D22486" s="39"/>
      <c r="E22486" s="39"/>
      <c r="F22486" s="39"/>
    </row>
    <row r="22487">
      <c r="D22487" s="39"/>
      <c r="E22487" s="39"/>
      <c r="F22487" s="39"/>
    </row>
    <row r="22488">
      <c r="D22488" s="39"/>
      <c r="E22488" s="39"/>
      <c r="F22488" s="39"/>
    </row>
    <row r="22489">
      <c r="D22489" s="39"/>
      <c r="E22489" s="39"/>
      <c r="F22489" s="39"/>
    </row>
    <row r="22490">
      <c r="D22490" s="39"/>
      <c r="E22490" s="39"/>
      <c r="F22490" s="39"/>
    </row>
    <row r="22491">
      <c r="D22491" s="39"/>
      <c r="E22491" s="39"/>
      <c r="F22491" s="39"/>
    </row>
    <row r="22492">
      <c r="D22492" s="39"/>
      <c r="E22492" s="39"/>
      <c r="F22492" s="39"/>
    </row>
    <row r="22493">
      <c r="D22493" s="39"/>
      <c r="E22493" s="39"/>
      <c r="F22493" s="39"/>
    </row>
    <row r="22494">
      <c r="D22494" s="39"/>
      <c r="E22494" s="39"/>
      <c r="F22494" s="39"/>
    </row>
    <row r="22495">
      <c r="D22495" s="39"/>
      <c r="E22495" s="39"/>
      <c r="F22495" s="39"/>
    </row>
    <row r="22496">
      <c r="D22496" s="39"/>
      <c r="E22496" s="39"/>
      <c r="F22496" s="39"/>
    </row>
    <row r="22497">
      <c r="D22497" s="39"/>
      <c r="E22497" s="39"/>
      <c r="F22497" s="39"/>
    </row>
    <row r="22498">
      <c r="D22498" s="39"/>
      <c r="E22498" s="39"/>
      <c r="F22498" s="39"/>
    </row>
    <row r="22499">
      <c r="D22499" s="39"/>
      <c r="E22499" s="39"/>
      <c r="F22499" s="39"/>
    </row>
    <row r="22500">
      <c r="D22500" s="39"/>
      <c r="E22500" s="39"/>
      <c r="F22500" s="39"/>
    </row>
    <row r="22501">
      <c r="D22501" s="39"/>
      <c r="E22501" s="39"/>
      <c r="F22501" s="39"/>
    </row>
    <row r="22502">
      <c r="D22502" s="39"/>
      <c r="E22502" s="39"/>
      <c r="F22502" s="39"/>
    </row>
    <row r="22503">
      <c r="D22503" s="39"/>
      <c r="E22503" s="39"/>
      <c r="F22503" s="39"/>
    </row>
    <row r="22504">
      <c r="D22504" s="39"/>
      <c r="E22504" s="39"/>
      <c r="F22504" s="39"/>
    </row>
    <row r="22505">
      <c r="D22505" s="39"/>
      <c r="E22505" s="39"/>
      <c r="F22505" s="39"/>
    </row>
    <row r="22506">
      <c r="D22506" s="39"/>
      <c r="E22506" s="39"/>
      <c r="F22506" s="39"/>
    </row>
    <row r="22507">
      <c r="D22507" s="39"/>
      <c r="E22507" s="39"/>
      <c r="F22507" s="39"/>
    </row>
    <row r="22508">
      <c r="D22508" s="39"/>
      <c r="E22508" s="39"/>
      <c r="F22508" s="39"/>
    </row>
    <row r="22509">
      <c r="D22509" s="39"/>
      <c r="E22509" s="39"/>
      <c r="F22509" s="39"/>
    </row>
    <row r="22510">
      <c r="D22510" s="39"/>
      <c r="E22510" s="39"/>
      <c r="F22510" s="39"/>
    </row>
    <row r="22511">
      <c r="D22511" s="39"/>
      <c r="E22511" s="39"/>
      <c r="F22511" s="39"/>
    </row>
    <row r="22512">
      <c r="D22512" s="39"/>
      <c r="E22512" s="39"/>
      <c r="F22512" s="39"/>
    </row>
    <row r="22513">
      <c r="D22513" s="39"/>
      <c r="E22513" s="39"/>
      <c r="F22513" s="39"/>
    </row>
    <row r="22514">
      <c r="D22514" s="39"/>
      <c r="E22514" s="39"/>
      <c r="F22514" s="39"/>
    </row>
    <row r="22515">
      <c r="D22515" s="39"/>
      <c r="E22515" s="39"/>
      <c r="F22515" s="39"/>
    </row>
    <row r="22516">
      <c r="D22516" s="39"/>
      <c r="E22516" s="39"/>
      <c r="F22516" s="39"/>
    </row>
    <row r="22517">
      <c r="D22517" s="39"/>
      <c r="E22517" s="39"/>
      <c r="F22517" s="39"/>
    </row>
    <row r="22518">
      <c r="D22518" s="39"/>
      <c r="E22518" s="39"/>
      <c r="F22518" s="39"/>
    </row>
    <row r="22519">
      <c r="D22519" s="39"/>
      <c r="E22519" s="39"/>
      <c r="F22519" s="39"/>
    </row>
    <row r="22520">
      <c r="D22520" s="39"/>
      <c r="E22520" s="39"/>
      <c r="F22520" s="39"/>
    </row>
    <row r="22521">
      <c r="D22521" s="39"/>
      <c r="E22521" s="39"/>
      <c r="F22521" s="39"/>
    </row>
    <row r="22522">
      <c r="D22522" s="39"/>
      <c r="E22522" s="39"/>
      <c r="F22522" s="39"/>
    </row>
    <row r="22523">
      <c r="D22523" s="39"/>
      <c r="E22523" s="39"/>
      <c r="F22523" s="39"/>
    </row>
    <row r="22524">
      <c r="D22524" s="39"/>
      <c r="E22524" s="39"/>
      <c r="F22524" s="39"/>
    </row>
    <row r="22525">
      <c r="D22525" s="39"/>
      <c r="E22525" s="39"/>
      <c r="F22525" s="39"/>
    </row>
    <row r="22526">
      <c r="D22526" s="39"/>
      <c r="E22526" s="39"/>
      <c r="F22526" s="39"/>
    </row>
    <row r="22527">
      <c r="D22527" s="39"/>
      <c r="E22527" s="39"/>
      <c r="F22527" s="39"/>
    </row>
    <row r="22528">
      <c r="D22528" s="39"/>
      <c r="E22528" s="39"/>
      <c r="F22528" s="39"/>
    </row>
    <row r="22529">
      <c r="D22529" s="39"/>
      <c r="E22529" s="39"/>
      <c r="F22529" s="39"/>
    </row>
    <row r="22530">
      <c r="D22530" s="39"/>
      <c r="E22530" s="39"/>
      <c r="F22530" s="39"/>
    </row>
    <row r="22531">
      <c r="D22531" s="39"/>
      <c r="E22531" s="39"/>
      <c r="F22531" s="39"/>
    </row>
    <row r="22532">
      <c r="D22532" s="39"/>
      <c r="E22532" s="39"/>
      <c r="F22532" s="39"/>
    </row>
    <row r="22533">
      <c r="D22533" s="39"/>
      <c r="E22533" s="39"/>
      <c r="F22533" s="39"/>
    </row>
    <row r="22534">
      <c r="D22534" s="39"/>
      <c r="E22534" s="39"/>
      <c r="F22534" s="39"/>
    </row>
    <row r="22535">
      <c r="D22535" s="39"/>
      <c r="E22535" s="39"/>
      <c r="F22535" s="39"/>
    </row>
    <row r="22536">
      <c r="D22536" s="39"/>
      <c r="E22536" s="39"/>
      <c r="F22536" s="39"/>
    </row>
    <row r="22537">
      <c r="D22537" s="39"/>
      <c r="E22537" s="39"/>
      <c r="F22537" s="39"/>
    </row>
    <row r="22538">
      <c r="D22538" s="39"/>
      <c r="E22538" s="39"/>
      <c r="F22538" s="39"/>
    </row>
    <row r="22539">
      <c r="D22539" s="39"/>
      <c r="E22539" s="39"/>
      <c r="F22539" s="39"/>
    </row>
    <row r="22540">
      <c r="D22540" s="39"/>
      <c r="E22540" s="39"/>
      <c r="F22540" s="39"/>
    </row>
    <row r="22541">
      <c r="D22541" s="39"/>
      <c r="E22541" s="39"/>
      <c r="F22541" s="39"/>
    </row>
    <row r="22542">
      <c r="D22542" s="39"/>
      <c r="E22542" s="39"/>
      <c r="F22542" s="39"/>
    </row>
    <row r="22543">
      <c r="D22543" s="39"/>
      <c r="E22543" s="39"/>
      <c r="F22543" s="39"/>
    </row>
    <row r="22544">
      <c r="D22544" s="39"/>
      <c r="E22544" s="39"/>
      <c r="F22544" s="39"/>
    </row>
    <row r="22545">
      <c r="D22545" s="39"/>
      <c r="E22545" s="39"/>
      <c r="F22545" s="39"/>
    </row>
    <row r="22546">
      <c r="D22546" s="39"/>
      <c r="E22546" s="39"/>
      <c r="F22546" s="39"/>
    </row>
    <row r="22547">
      <c r="D22547" s="39"/>
      <c r="E22547" s="39"/>
      <c r="F22547" s="39"/>
    </row>
    <row r="22548">
      <c r="D22548" s="39"/>
      <c r="E22548" s="39"/>
      <c r="F22548" s="39"/>
    </row>
    <row r="22549">
      <c r="D22549" s="39"/>
      <c r="E22549" s="39"/>
      <c r="F22549" s="39"/>
    </row>
    <row r="22550">
      <c r="D22550" s="39"/>
      <c r="E22550" s="39"/>
      <c r="F22550" s="39"/>
    </row>
    <row r="22551">
      <c r="D22551" s="39"/>
      <c r="E22551" s="39"/>
      <c r="F22551" s="39"/>
    </row>
    <row r="22552">
      <c r="D22552" s="39"/>
      <c r="E22552" s="39"/>
      <c r="F22552" s="39"/>
    </row>
    <row r="22553">
      <c r="D22553" s="39"/>
      <c r="E22553" s="39"/>
      <c r="F22553" s="39"/>
    </row>
    <row r="22554">
      <c r="D22554" s="39"/>
      <c r="E22554" s="39"/>
      <c r="F22554" s="39"/>
    </row>
    <row r="22555">
      <c r="D22555" s="39"/>
      <c r="E22555" s="39"/>
      <c r="F22555" s="39"/>
    </row>
    <row r="22556">
      <c r="D22556" s="39"/>
      <c r="E22556" s="39"/>
      <c r="F22556" s="39"/>
    </row>
    <row r="22557">
      <c r="D22557" s="39"/>
      <c r="E22557" s="39"/>
      <c r="F22557" s="39"/>
    </row>
    <row r="22558">
      <c r="D22558" s="39"/>
      <c r="E22558" s="39"/>
      <c r="F22558" s="39"/>
    </row>
    <row r="22559">
      <c r="D22559" s="39"/>
      <c r="E22559" s="39"/>
      <c r="F22559" s="39"/>
    </row>
    <row r="22560">
      <c r="D22560" s="39"/>
      <c r="E22560" s="39"/>
      <c r="F22560" s="39"/>
    </row>
    <row r="22561">
      <c r="D22561" s="39"/>
      <c r="E22561" s="39"/>
      <c r="F22561" s="39"/>
    </row>
    <row r="22562">
      <c r="D22562" s="39"/>
      <c r="E22562" s="39"/>
      <c r="F22562" s="39"/>
    </row>
    <row r="22563">
      <c r="D22563" s="39"/>
      <c r="E22563" s="39"/>
      <c r="F22563" s="39"/>
    </row>
    <row r="22564">
      <c r="D22564" s="39"/>
      <c r="E22564" s="39"/>
      <c r="F22564" s="39"/>
    </row>
    <row r="22565">
      <c r="D22565" s="39"/>
      <c r="E22565" s="39"/>
      <c r="F22565" s="39"/>
    </row>
    <row r="22566">
      <c r="D22566" s="39"/>
      <c r="E22566" s="39"/>
      <c r="F22566" s="39"/>
    </row>
    <row r="22567">
      <c r="D22567" s="39"/>
      <c r="E22567" s="39"/>
      <c r="F22567" s="39"/>
    </row>
    <row r="22568">
      <c r="D22568" s="39"/>
      <c r="E22568" s="39"/>
      <c r="F22568" s="39"/>
    </row>
    <row r="22569">
      <c r="D22569" s="39"/>
      <c r="E22569" s="39"/>
      <c r="F22569" s="39"/>
    </row>
    <row r="22570">
      <c r="D22570" s="39"/>
      <c r="E22570" s="39"/>
      <c r="F22570" s="39"/>
    </row>
    <row r="22571">
      <c r="D22571" s="39"/>
      <c r="E22571" s="39"/>
      <c r="F22571" s="39"/>
    </row>
    <row r="22572">
      <c r="D22572" s="39"/>
      <c r="E22572" s="39"/>
      <c r="F22572" s="39"/>
    </row>
    <row r="22573">
      <c r="D22573" s="39"/>
      <c r="E22573" s="39"/>
      <c r="F22573" s="39"/>
    </row>
    <row r="22574">
      <c r="D22574" s="39"/>
      <c r="E22574" s="39"/>
      <c r="F22574" s="39"/>
    </row>
    <row r="22575">
      <c r="D22575" s="39"/>
      <c r="E22575" s="39"/>
      <c r="F22575" s="39"/>
    </row>
    <row r="22576">
      <c r="D22576" s="39"/>
      <c r="E22576" s="39"/>
      <c r="F22576" s="39"/>
    </row>
    <row r="22577">
      <c r="D22577" s="39"/>
      <c r="E22577" s="39"/>
      <c r="F22577" s="39"/>
    </row>
    <row r="22578">
      <c r="D22578" s="39"/>
      <c r="E22578" s="39"/>
      <c r="F22578" s="39"/>
    </row>
    <row r="22579">
      <c r="D22579" s="39"/>
      <c r="E22579" s="39"/>
      <c r="F22579" s="39"/>
    </row>
    <row r="22580">
      <c r="D22580" s="39"/>
      <c r="E22580" s="39"/>
      <c r="F22580" s="39"/>
    </row>
    <row r="22581">
      <c r="D22581" s="39"/>
      <c r="E22581" s="39"/>
      <c r="F22581" s="39"/>
    </row>
    <row r="22582">
      <c r="D22582" s="39"/>
      <c r="E22582" s="39"/>
      <c r="F22582" s="39"/>
    </row>
    <row r="22583">
      <c r="D22583" s="39"/>
      <c r="E22583" s="39"/>
      <c r="F22583" s="39"/>
    </row>
    <row r="22584">
      <c r="D22584" s="39"/>
      <c r="E22584" s="39"/>
      <c r="F22584" s="39"/>
    </row>
    <row r="22585">
      <c r="D22585" s="39"/>
      <c r="E22585" s="39"/>
      <c r="F22585" s="39"/>
    </row>
    <row r="22586">
      <c r="D22586" s="39"/>
      <c r="E22586" s="39"/>
      <c r="F22586" s="39"/>
    </row>
    <row r="22587">
      <c r="D22587" s="39"/>
      <c r="E22587" s="39"/>
      <c r="F22587" s="39"/>
    </row>
    <row r="22588">
      <c r="D22588" s="39"/>
      <c r="E22588" s="39"/>
      <c r="F22588" s="39"/>
    </row>
    <row r="22589">
      <c r="D22589" s="39"/>
      <c r="E22589" s="39"/>
      <c r="F22589" s="39"/>
    </row>
    <row r="22590">
      <c r="D22590" s="39"/>
      <c r="E22590" s="39"/>
      <c r="F22590" s="39"/>
    </row>
    <row r="22591">
      <c r="D22591" s="39"/>
      <c r="E22591" s="39"/>
      <c r="F22591" s="39"/>
    </row>
    <row r="22592">
      <c r="D22592" s="39"/>
      <c r="E22592" s="39"/>
      <c r="F22592" s="39"/>
    </row>
    <row r="22593">
      <c r="D22593" s="39"/>
      <c r="E22593" s="39"/>
      <c r="F22593" s="39"/>
    </row>
    <row r="22594">
      <c r="D22594" s="39"/>
      <c r="E22594" s="39"/>
      <c r="F22594" s="39"/>
    </row>
    <row r="22595">
      <c r="D22595" s="39"/>
      <c r="E22595" s="39"/>
      <c r="F22595" s="39"/>
    </row>
    <row r="22596">
      <c r="D22596" s="39"/>
      <c r="E22596" s="39"/>
      <c r="F22596" s="39"/>
    </row>
    <row r="22597">
      <c r="D22597" s="39"/>
      <c r="E22597" s="39"/>
      <c r="F22597" s="39"/>
    </row>
    <row r="22598">
      <c r="D22598" s="39"/>
      <c r="E22598" s="39"/>
      <c r="F22598" s="39"/>
    </row>
    <row r="22599">
      <c r="D22599" s="39"/>
      <c r="E22599" s="39"/>
      <c r="F22599" s="39"/>
    </row>
    <row r="22600">
      <c r="D22600" s="39"/>
      <c r="E22600" s="39"/>
      <c r="F22600" s="39"/>
    </row>
    <row r="22601">
      <c r="D22601" s="39"/>
      <c r="E22601" s="39"/>
      <c r="F22601" s="39"/>
    </row>
    <row r="22602">
      <c r="D22602" s="39"/>
      <c r="E22602" s="39"/>
      <c r="F22602" s="39"/>
    </row>
    <row r="22603">
      <c r="D22603" s="39"/>
      <c r="E22603" s="39"/>
      <c r="F22603" s="39"/>
    </row>
    <row r="22604">
      <c r="D22604" s="39"/>
      <c r="E22604" s="39"/>
      <c r="F22604" s="39"/>
    </row>
    <row r="22605">
      <c r="D22605" s="39"/>
      <c r="E22605" s="39"/>
      <c r="F22605" s="39"/>
    </row>
    <row r="22606">
      <c r="D22606" s="39"/>
      <c r="E22606" s="39"/>
      <c r="F22606" s="39"/>
    </row>
    <row r="22607">
      <c r="D22607" s="39"/>
      <c r="E22607" s="39"/>
      <c r="F22607" s="39"/>
    </row>
    <row r="22608">
      <c r="D22608" s="39"/>
      <c r="E22608" s="39"/>
      <c r="F22608" s="39"/>
    </row>
    <row r="22609">
      <c r="D22609" s="39"/>
      <c r="E22609" s="39"/>
      <c r="F22609" s="39"/>
    </row>
    <row r="22610">
      <c r="D22610" s="39"/>
      <c r="E22610" s="39"/>
      <c r="F22610" s="39"/>
    </row>
    <row r="22611">
      <c r="D22611" s="39"/>
      <c r="E22611" s="39"/>
      <c r="F22611" s="39"/>
    </row>
    <row r="22612">
      <c r="D22612" s="39"/>
      <c r="E22612" s="39"/>
      <c r="F22612" s="39"/>
    </row>
    <row r="22613">
      <c r="D22613" s="39"/>
      <c r="E22613" s="39"/>
      <c r="F22613" s="39"/>
    </row>
    <row r="22614">
      <c r="D22614" s="39"/>
      <c r="E22614" s="39"/>
      <c r="F22614" s="39"/>
    </row>
    <row r="22615">
      <c r="D22615" s="39"/>
      <c r="E22615" s="39"/>
      <c r="F22615" s="39"/>
    </row>
    <row r="22616">
      <c r="D22616" s="39"/>
      <c r="E22616" s="39"/>
      <c r="F22616" s="39"/>
    </row>
    <row r="22617">
      <c r="D22617" s="39"/>
      <c r="E22617" s="39"/>
      <c r="F22617" s="39"/>
    </row>
    <row r="22618">
      <c r="D22618" s="39"/>
      <c r="E22618" s="39"/>
      <c r="F22618" s="39"/>
    </row>
    <row r="22619">
      <c r="D22619" s="39"/>
      <c r="E22619" s="39"/>
      <c r="F22619" s="39"/>
    </row>
    <row r="22620">
      <c r="D22620" s="39"/>
      <c r="E22620" s="39"/>
      <c r="F22620" s="39"/>
    </row>
    <row r="22621">
      <c r="D22621" s="39"/>
      <c r="E22621" s="39"/>
      <c r="F22621" s="39"/>
    </row>
    <row r="22622">
      <c r="D22622" s="39"/>
      <c r="E22622" s="39"/>
      <c r="F22622" s="39"/>
    </row>
    <row r="22623">
      <c r="D22623" s="39"/>
      <c r="E22623" s="39"/>
      <c r="F22623" s="39"/>
    </row>
    <row r="22624">
      <c r="D22624" s="39"/>
      <c r="E22624" s="39"/>
      <c r="F22624" s="39"/>
    </row>
    <row r="22625">
      <c r="D22625" s="39"/>
      <c r="E22625" s="39"/>
      <c r="F22625" s="39"/>
    </row>
    <row r="22626">
      <c r="D22626" s="39"/>
      <c r="E22626" s="39"/>
      <c r="F22626" s="39"/>
    </row>
    <row r="22627">
      <c r="D22627" s="39"/>
      <c r="E22627" s="39"/>
      <c r="F22627" s="39"/>
    </row>
    <row r="22628">
      <c r="D22628" s="39"/>
      <c r="E22628" s="39"/>
      <c r="F22628" s="39"/>
    </row>
    <row r="22629">
      <c r="D22629" s="39"/>
      <c r="E22629" s="39"/>
      <c r="F22629" s="39"/>
    </row>
    <row r="22630">
      <c r="D22630" s="39"/>
      <c r="E22630" s="39"/>
      <c r="F22630" s="39"/>
    </row>
    <row r="22631">
      <c r="D22631" s="39"/>
      <c r="E22631" s="39"/>
      <c r="F22631" s="39"/>
    </row>
    <row r="22632">
      <c r="D22632" s="39"/>
      <c r="E22632" s="39"/>
      <c r="F22632" s="39"/>
    </row>
    <row r="22633">
      <c r="D22633" s="39"/>
      <c r="E22633" s="39"/>
      <c r="F22633" s="39"/>
    </row>
    <row r="22634">
      <c r="D22634" s="39"/>
      <c r="E22634" s="39"/>
      <c r="F22634" s="39"/>
    </row>
    <row r="22635">
      <c r="D22635" s="39"/>
      <c r="E22635" s="39"/>
      <c r="F22635" s="39"/>
    </row>
    <row r="22636">
      <c r="D22636" s="39"/>
      <c r="E22636" s="39"/>
      <c r="F22636" s="39"/>
    </row>
    <row r="22637">
      <c r="D22637" s="39"/>
      <c r="E22637" s="39"/>
      <c r="F22637" s="39"/>
    </row>
    <row r="22638">
      <c r="D22638" s="39"/>
      <c r="E22638" s="39"/>
      <c r="F22638" s="39"/>
    </row>
    <row r="22639">
      <c r="D22639" s="39"/>
      <c r="E22639" s="39"/>
      <c r="F22639" s="39"/>
    </row>
    <row r="22640">
      <c r="D22640" s="39"/>
      <c r="E22640" s="39"/>
      <c r="F22640" s="39"/>
    </row>
    <row r="22641">
      <c r="D22641" s="39"/>
      <c r="E22641" s="39"/>
      <c r="F22641" s="39"/>
    </row>
    <row r="22642">
      <c r="D22642" s="39"/>
      <c r="E22642" s="39"/>
      <c r="F22642" s="39"/>
    </row>
    <row r="22643">
      <c r="D22643" s="39"/>
      <c r="E22643" s="39"/>
      <c r="F22643" s="39"/>
    </row>
    <row r="22644">
      <c r="D22644" s="39"/>
      <c r="E22644" s="39"/>
      <c r="F22644" s="39"/>
    </row>
    <row r="22645">
      <c r="D22645" s="39"/>
      <c r="E22645" s="39"/>
      <c r="F22645" s="39"/>
    </row>
    <row r="22646">
      <c r="D22646" s="39"/>
      <c r="E22646" s="39"/>
      <c r="F22646" s="39"/>
    </row>
    <row r="22647">
      <c r="D22647" s="39"/>
      <c r="E22647" s="39"/>
      <c r="F22647" s="39"/>
    </row>
    <row r="22648">
      <c r="D22648" s="39"/>
      <c r="E22648" s="39"/>
      <c r="F22648" s="39"/>
    </row>
    <row r="22649">
      <c r="D22649" s="39"/>
      <c r="E22649" s="39"/>
      <c r="F22649" s="39"/>
    </row>
    <row r="22650">
      <c r="D22650" s="39"/>
      <c r="E22650" s="39"/>
      <c r="F22650" s="39"/>
    </row>
    <row r="22651">
      <c r="D22651" s="39"/>
      <c r="E22651" s="39"/>
      <c r="F22651" s="39"/>
    </row>
    <row r="22652">
      <c r="D22652" s="39"/>
      <c r="E22652" s="39"/>
      <c r="F22652" s="39"/>
    </row>
    <row r="22653">
      <c r="D22653" s="39"/>
      <c r="E22653" s="39"/>
      <c r="F22653" s="39"/>
    </row>
    <row r="22654">
      <c r="D22654" s="39"/>
      <c r="E22654" s="39"/>
      <c r="F22654" s="39"/>
    </row>
    <row r="22655">
      <c r="D22655" s="39"/>
      <c r="E22655" s="39"/>
      <c r="F22655" s="39"/>
    </row>
    <row r="22656">
      <c r="D22656" s="39"/>
      <c r="E22656" s="39"/>
      <c r="F22656" s="39"/>
    </row>
    <row r="22657">
      <c r="D22657" s="39"/>
      <c r="E22657" s="39"/>
      <c r="F22657" s="39"/>
    </row>
    <row r="22658">
      <c r="D22658" s="39"/>
      <c r="E22658" s="39"/>
      <c r="F22658" s="39"/>
    </row>
    <row r="22659">
      <c r="D22659" s="39"/>
      <c r="E22659" s="39"/>
      <c r="F22659" s="39"/>
    </row>
    <row r="22660">
      <c r="D22660" s="39"/>
      <c r="E22660" s="39"/>
      <c r="F22660" s="39"/>
    </row>
    <row r="22661">
      <c r="D22661" s="39"/>
      <c r="E22661" s="39"/>
      <c r="F22661" s="39"/>
    </row>
    <row r="22662">
      <c r="D22662" s="39"/>
      <c r="E22662" s="39"/>
      <c r="F22662" s="39"/>
    </row>
    <row r="22663">
      <c r="D22663" s="39"/>
      <c r="E22663" s="39"/>
      <c r="F22663" s="39"/>
    </row>
    <row r="22664">
      <c r="D22664" s="39"/>
      <c r="E22664" s="39"/>
      <c r="F22664" s="39"/>
    </row>
    <row r="22665">
      <c r="D22665" s="39"/>
      <c r="E22665" s="39"/>
      <c r="F22665" s="39"/>
    </row>
    <row r="22666">
      <c r="D22666" s="39"/>
      <c r="E22666" s="39"/>
      <c r="F22666" s="39"/>
    </row>
    <row r="22667">
      <c r="D22667" s="39"/>
      <c r="E22667" s="39"/>
      <c r="F22667" s="39"/>
    </row>
    <row r="22668">
      <c r="D22668" s="39"/>
      <c r="E22668" s="39"/>
      <c r="F22668" s="39"/>
    </row>
    <row r="22669">
      <c r="D22669" s="39"/>
      <c r="E22669" s="39"/>
      <c r="F22669" s="39"/>
    </row>
    <row r="22670">
      <c r="D22670" s="39"/>
      <c r="E22670" s="39"/>
      <c r="F22670" s="39"/>
    </row>
    <row r="22671">
      <c r="D22671" s="39"/>
      <c r="E22671" s="39"/>
      <c r="F22671" s="39"/>
    </row>
    <row r="22672">
      <c r="D22672" s="39"/>
      <c r="E22672" s="39"/>
      <c r="F22672" s="39"/>
    </row>
    <row r="22673">
      <c r="D22673" s="39"/>
      <c r="E22673" s="39"/>
      <c r="F22673" s="39"/>
    </row>
    <row r="22674">
      <c r="D22674" s="39"/>
      <c r="E22674" s="39"/>
      <c r="F22674" s="39"/>
    </row>
    <row r="22675">
      <c r="D22675" s="39"/>
      <c r="E22675" s="39"/>
      <c r="F22675" s="39"/>
    </row>
    <row r="22676">
      <c r="D22676" s="39"/>
      <c r="E22676" s="39"/>
      <c r="F22676" s="39"/>
    </row>
    <row r="22677">
      <c r="D22677" s="39"/>
      <c r="E22677" s="39"/>
      <c r="F22677" s="39"/>
    </row>
    <row r="22678">
      <c r="D22678" s="39"/>
      <c r="E22678" s="39"/>
      <c r="F22678" s="39"/>
    </row>
    <row r="22679">
      <c r="D22679" s="39"/>
      <c r="E22679" s="39"/>
      <c r="F22679" s="39"/>
    </row>
    <row r="22680">
      <c r="D22680" s="39"/>
      <c r="E22680" s="39"/>
      <c r="F22680" s="39"/>
    </row>
    <row r="22681">
      <c r="D22681" s="39"/>
      <c r="E22681" s="39"/>
      <c r="F22681" s="39"/>
    </row>
    <row r="22682">
      <c r="D22682" s="39"/>
      <c r="E22682" s="39"/>
      <c r="F22682" s="39"/>
    </row>
    <row r="22683">
      <c r="D22683" s="39"/>
      <c r="E22683" s="39"/>
      <c r="F22683" s="39"/>
    </row>
    <row r="22684">
      <c r="D22684" s="39"/>
      <c r="E22684" s="39"/>
      <c r="F22684" s="39"/>
    </row>
    <row r="22685">
      <c r="D22685" s="39"/>
      <c r="E22685" s="39"/>
      <c r="F22685" s="39"/>
    </row>
    <row r="22686">
      <c r="D22686" s="39"/>
      <c r="E22686" s="39"/>
      <c r="F22686" s="39"/>
    </row>
    <row r="22687">
      <c r="D22687" s="39"/>
      <c r="E22687" s="39"/>
      <c r="F22687" s="39"/>
    </row>
    <row r="22688">
      <c r="D22688" s="39"/>
      <c r="E22688" s="39"/>
      <c r="F22688" s="39"/>
    </row>
    <row r="22689">
      <c r="D22689" s="39"/>
      <c r="E22689" s="39"/>
      <c r="F22689" s="39"/>
    </row>
    <row r="22690">
      <c r="D22690" s="39"/>
      <c r="E22690" s="39"/>
      <c r="F22690" s="39"/>
    </row>
    <row r="22691">
      <c r="D22691" s="39"/>
      <c r="E22691" s="39"/>
      <c r="F22691" s="39"/>
    </row>
    <row r="22692">
      <c r="D22692" s="39"/>
      <c r="E22692" s="39"/>
      <c r="F22692" s="39"/>
    </row>
    <row r="22693">
      <c r="D22693" s="39"/>
      <c r="E22693" s="39"/>
      <c r="F22693" s="39"/>
    </row>
    <row r="22694">
      <c r="D22694" s="39"/>
      <c r="E22694" s="39"/>
      <c r="F22694" s="39"/>
    </row>
    <row r="22695">
      <c r="D22695" s="39"/>
      <c r="E22695" s="39"/>
      <c r="F22695" s="39"/>
    </row>
    <row r="22696">
      <c r="D22696" s="39"/>
      <c r="E22696" s="39"/>
      <c r="F22696" s="39"/>
    </row>
    <row r="22697">
      <c r="D22697" s="39"/>
      <c r="E22697" s="39"/>
      <c r="F22697" s="39"/>
    </row>
    <row r="22698">
      <c r="D22698" s="39"/>
      <c r="E22698" s="39"/>
      <c r="F22698" s="39"/>
    </row>
    <row r="22699">
      <c r="D22699" s="39"/>
      <c r="E22699" s="39"/>
      <c r="F22699" s="39"/>
    </row>
    <row r="22700">
      <c r="D22700" s="39"/>
      <c r="E22700" s="39"/>
      <c r="F22700" s="39"/>
    </row>
    <row r="22701">
      <c r="D22701" s="39"/>
      <c r="E22701" s="39"/>
      <c r="F22701" s="39"/>
    </row>
    <row r="22702">
      <c r="D22702" s="39"/>
      <c r="E22702" s="39"/>
      <c r="F22702" s="39"/>
    </row>
    <row r="22703">
      <c r="D22703" s="39"/>
      <c r="E22703" s="39"/>
      <c r="F22703" s="39"/>
    </row>
    <row r="22704">
      <c r="D22704" s="39"/>
      <c r="E22704" s="39"/>
      <c r="F22704" s="39"/>
    </row>
    <row r="22705">
      <c r="D22705" s="39"/>
      <c r="E22705" s="39"/>
      <c r="F22705" s="39"/>
    </row>
    <row r="22706">
      <c r="D22706" s="39"/>
      <c r="E22706" s="39"/>
      <c r="F22706" s="39"/>
    </row>
    <row r="22707">
      <c r="D22707" s="39"/>
      <c r="E22707" s="39"/>
      <c r="F22707" s="39"/>
    </row>
    <row r="22708">
      <c r="D22708" s="39"/>
      <c r="E22708" s="39"/>
      <c r="F22708" s="39"/>
    </row>
    <row r="22709">
      <c r="D22709" s="39"/>
      <c r="E22709" s="39"/>
      <c r="F22709" s="39"/>
    </row>
    <row r="22710">
      <c r="D22710" s="39"/>
      <c r="E22710" s="39"/>
      <c r="F22710" s="39"/>
    </row>
    <row r="22711">
      <c r="D22711" s="39"/>
      <c r="E22711" s="39"/>
      <c r="F22711" s="39"/>
    </row>
    <row r="22712">
      <c r="D22712" s="39"/>
      <c r="E22712" s="39"/>
      <c r="F22712" s="39"/>
    </row>
    <row r="22713">
      <c r="D22713" s="39"/>
      <c r="E22713" s="39"/>
      <c r="F22713" s="39"/>
    </row>
    <row r="22714">
      <c r="D22714" s="39"/>
      <c r="E22714" s="39"/>
      <c r="F22714" s="39"/>
    </row>
    <row r="22715">
      <c r="D22715" s="39"/>
      <c r="E22715" s="39"/>
      <c r="F22715" s="39"/>
    </row>
    <row r="22716">
      <c r="D22716" s="39"/>
      <c r="E22716" s="39"/>
      <c r="F22716" s="39"/>
    </row>
    <row r="22717">
      <c r="D22717" s="39"/>
      <c r="E22717" s="39"/>
      <c r="F22717" s="39"/>
    </row>
    <row r="22718">
      <c r="D22718" s="39"/>
      <c r="E22718" s="39"/>
      <c r="F22718" s="39"/>
    </row>
    <row r="22719">
      <c r="D22719" s="39"/>
      <c r="E22719" s="39"/>
      <c r="F22719" s="39"/>
    </row>
    <row r="22720">
      <c r="D22720" s="39"/>
      <c r="E22720" s="39"/>
      <c r="F22720" s="39"/>
    </row>
    <row r="22721">
      <c r="D22721" s="39"/>
      <c r="E22721" s="39"/>
      <c r="F22721" s="39"/>
    </row>
    <row r="22722">
      <c r="D22722" s="39"/>
      <c r="E22722" s="39"/>
      <c r="F22722" s="39"/>
    </row>
    <row r="22723">
      <c r="D22723" s="39"/>
      <c r="E22723" s="39"/>
      <c r="F22723" s="39"/>
    </row>
    <row r="22724">
      <c r="D22724" s="39"/>
      <c r="E22724" s="39"/>
      <c r="F22724" s="39"/>
    </row>
    <row r="22725">
      <c r="D22725" s="39"/>
      <c r="E22725" s="39"/>
      <c r="F22725" s="39"/>
    </row>
    <row r="22726">
      <c r="D22726" s="39"/>
      <c r="E22726" s="39"/>
      <c r="F22726" s="39"/>
    </row>
    <row r="22727">
      <c r="D22727" s="39"/>
      <c r="E22727" s="39"/>
      <c r="F22727" s="39"/>
    </row>
    <row r="22728">
      <c r="D22728" s="39"/>
      <c r="E22728" s="39"/>
      <c r="F22728" s="39"/>
    </row>
    <row r="22729">
      <c r="D22729" s="39"/>
      <c r="E22729" s="39"/>
      <c r="F22729" s="39"/>
    </row>
    <row r="22730">
      <c r="D22730" s="39"/>
      <c r="E22730" s="39"/>
      <c r="F22730" s="39"/>
    </row>
    <row r="22731">
      <c r="D22731" s="39"/>
      <c r="E22731" s="39"/>
      <c r="F22731" s="39"/>
    </row>
    <row r="22732">
      <c r="D22732" s="39"/>
      <c r="E22732" s="39"/>
      <c r="F22732" s="39"/>
    </row>
    <row r="22733">
      <c r="D22733" s="39"/>
      <c r="E22733" s="39"/>
      <c r="F22733" s="39"/>
    </row>
    <row r="22734">
      <c r="D22734" s="39"/>
      <c r="E22734" s="39"/>
      <c r="F22734" s="39"/>
    </row>
    <row r="22735">
      <c r="D22735" s="39"/>
      <c r="E22735" s="39"/>
      <c r="F22735" s="39"/>
    </row>
    <row r="22736">
      <c r="D22736" s="39"/>
      <c r="E22736" s="39"/>
      <c r="F22736" s="39"/>
    </row>
    <row r="22737">
      <c r="D22737" s="39"/>
      <c r="E22737" s="39"/>
      <c r="F22737" s="39"/>
    </row>
    <row r="22738">
      <c r="D22738" s="39"/>
      <c r="E22738" s="39"/>
      <c r="F22738" s="39"/>
    </row>
    <row r="22739">
      <c r="D22739" s="39"/>
      <c r="E22739" s="39"/>
      <c r="F22739" s="39"/>
    </row>
    <row r="22740">
      <c r="D22740" s="39"/>
      <c r="E22740" s="39"/>
      <c r="F22740" s="39"/>
    </row>
    <row r="22741">
      <c r="D22741" s="39"/>
      <c r="E22741" s="39"/>
      <c r="F22741" s="39"/>
    </row>
    <row r="22742">
      <c r="D22742" s="39"/>
      <c r="E22742" s="39"/>
      <c r="F22742" s="39"/>
    </row>
    <row r="22743">
      <c r="D22743" s="39"/>
      <c r="E22743" s="39"/>
      <c r="F22743" s="39"/>
    </row>
    <row r="22744">
      <c r="D22744" s="39"/>
      <c r="E22744" s="39"/>
      <c r="F22744" s="39"/>
    </row>
    <row r="22745">
      <c r="D22745" s="39"/>
      <c r="E22745" s="39"/>
      <c r="F22745" s="39"/>
    </row>
    <row r="22746">
      <c r="D22746" s="39"/>
      <c r="E22746" s="39"/>
      <c r="F22746" s="39"/>
    </row>
    <row r="22747">
      <c r="D22747" s="39"/>
      <c r="E22747" s="39"/>
      <c r="F22747" s="39"/>
    </row>
    <row r="22748">
      <c r="D22748" s="39"/>
      <c r="E22748" s="39"/>
      <c r="F22748" s="39"/>
    </row>
    <row r="22749">
      <c r="D22749" s="39"/>
      <c r="E22749" s="39"/>
      <c r="F22749" s="39"/>
    </row>
    <row r="22750">
      <c r="D22750" s="39"/>
      <c r="E22750" s="39"/>
      <c r="F22750" s="39"/>
    </row>
    <row r="22751">
      <c r="D22751" s="39"/>
      <c r="E22751" s="39"/>
      <c r="F22751" s="39"/>
    </row>
    <row r="22752">
      <c r="D22752" s="39"/>
      <c r="E22752" s="39"/>
      <c r="F22752" s="39"/>
    </row>
    <row r="22753">
      <c r="D22753" s="39"/>
      <c r="E22753" s="39"/>
      <c r="F22753" s="39"/>
    </row>
    <row r="22754">
      <c r="D22754" s="39"/>
      <c r="E22754" s="39"/>
      <c r="F22754" s="39"/>
    </row>
    <row r="22755">
      <c r="D22755" s="39"/>
      <c r="E22755" s="39"/>
      <c r="F22755" s="39"/>
    </row>
    <row r="22756">
      <c r="D22756" s="39"/>
      <c r="E22756" s="39"/>
      <c r="F22756" s="39"/>
    </row>
    <row r="22757">
      <c r="D22757" s="39"/>
      <c r="E22757" s="39"/>
      <c r="F22757" s="39"/>
    </row>
    <row r="22758">
      <c r="D22758" s="39"/>
      <c r="E22758" s="39"/>
      <c r="F22758" s="39"/>
    </row>
    <row r="22759">
      <c r="D22759" s="39"/>
      <c r="E22759" s="39"/>
      <c r="F22759" s="39"/>
    </row>
    <row r="22760">
      <c r="D22760" s="39"/>
      <c r="E22760" s="39"/>
      <c r="F22760" s="39"/>
    </row>
    <row r="22761">
      <c r="D22761" s="39"/>
      <c r="E22761" s="39"/>
      <c r="F22761" s="39"/>
    </row>
    <row r="22762">
      <c r="D22762" s="39"/>
      <c r="E22762" s="39"/>
      <c r="F22762" s="39"/>
    </row>
    <row r="22763">
      <c r="D22763" s="39"/>
      <c r="E22763" s="39"/>
      <c r="F22763" s="39"/>
    </row>
    <row r="22764">
      <c r="D22764" s="39"/>
      <c r="E22764" s="39"/>
      <c r="F22764" s="39"/>
    </row>
    <row r="22765">
      <c r="D22765" s="39"/>
      <c r="E22765" s="39"/>
      <c r="F22765" s="39"/>
    </row>
    <row r="22766">
      <c r="D22766" s="39"/>
      <c r="E22766" s="39"/>
      <c r="F22766" s="39"/>
    </row>
    <row r="22767">
      <c r="D22767" s="39"/>
      <c r="E22767" s="39"/>
      <c r="F22767" s="39"/>
    </row>
    <row r="22768">
      <c r="D22768" s="39"/>
      <c r="E22768" s="39"/>
      <c r="F22768" s="39"/>
    </row>
    <row r="22769">
      <c r="D22769" s="39"/>
      <c r="E22769" s="39"/>
      <c r="F22769" s="39"/>
    </row>
    <row r="22770">
      <c r="D22770" s="39"/>
      <c r="E22770" s="39"/>
      <c r="F22770" s="39"/>
    </row>
    <row r="22771">
      <c r="D22771" s="39"/>
      <c r="E22771" s="39"/>
      <c r="F22771" s="39"/>
    </row>
    <row r="22772">
      <c r="D22772" s="39"/>
      <c r="E22772" s="39"/>
      <c r="F22772" s="39"/>
    </row>
    <row r="22773">
      <c r="D22773" s="39"/>
      <c r="E22773" s="39"/>
      <c r="F22773" s="39"/>
    </row>
    <row r="22774">
      <c r="D22774" s="39"/>
      <c r="E22774" s="39"/>
      <c r="F22774" s="39"/>
    </row>
    <row r="22775">
      <c r="D22775" s="39"/>
      <c r="E22775" s="39"/>
      <c r="F22775" s="39"/>
    </row>
    <row r="22776">
      <c r="D22776" s="39"/>
      <c r="E22776" s="39"/>
      <c r="F22776" s="39"/>
    </row>
    <row r="22777">
      <c r="D22777" s="39"/>
      <c r="E22777" s="39"/>
      <c r="F22777" s="39"/>
    </row>
    <row r="22778">
      <c r="D22778" s="39"/>
      <c r="E22778" s="39"/>
      <c r="F22778" s="39"/>
    </row>
    <row r="22779">
      <c r="D22779" s="39"/>
      <c r="E22779" s="39"/>
      <c r="F22779" s="39"/>
    </row>
    <row r="22780">
      <c r="D22780" s="39"/>
      <c r="E22780" s="39"/>
      <c r="F22780" s="39"/>
    </row>
    <row r="22781">
      <c r="D22781" s="39"/>
      <c r="E22781" s="39"/>
      <c r="F22781" s="39"/>
    </row>
    <row r="22782">
      <c r="D22782" s="39"/>
      <c r="E22782" s="39"/>
      <c r="F22782" s="39"/>
    </row>
    <row r="22783">
      <c r="D22783" s="39"/>
      <c r="E22783" s="39"/>
      <c r="F22783" s="39"/>
    </row>
    <row r="22784">
      <c r="D22784" s="39"/>
      <c r="E22784" s="39"/>
      <c r="F22784" s="39"/>
    </row>
    <row r="22785">
      <c r="D22785" s="39"/>
      <c r="E22785" s="39"/>
      <c r="F22785" s="39"/>
    </row>
    <row r="22786">
      <c r="D22786" s="39"/>
      <c r="E22786" s="39"/>
      <c r="F22786" s="39"/>
    </row>
    <row r="22787">
      <c r="D22787" s="39"/>
      <c r="E22787" s="39"/>
      <c r="F22787" s="39"/>
    </row>
    <row r="22788">
      <c r="D22788" s="39"/>
      <c r="E22788" s="39"/>
      <c r="F22788" s="39"/>
    </row>
    <row r="22789">
      <c r="D22789" s="39"/>
      <c r="E22789" s="39"/>
      <c r="F22789" s="39"/>
    </row>
    <row r="22790">
      <c r="D22790" s="39"/>
      <c r="E22790" s="39"/>
      <c r="F22790" s="39"/>
    </row>
    <row r="22791">
      <c r="D22791" s="39"/>
      <c r="E22791" s="39"/>
      <c r="F22791" s="39"/>
    </row>
    <row r="22792">
      <c r="D22792" s="39"/>
      <c r="E22792" s="39"/>
      <c r="F22792" s="39"/>
    </row>
    <row r="22793">
      <c r="D22793" s="39"/>
      <c r="E22793" s="39"/>
      <c r="F22793" s="39"/>
    </row>
    <row r="22794">
      <c r="D22794" s="39"/>
      <c r="E22794" s="39"/>
      <c r="F22794" s="39"/>
    </row>
    <row r="22795">
      <c r="D22795" s="39"/>
      <c r="E22795" s="39"/>
      <c r="F22795" s="39"/>
    </row>
    <row r="22796">
      <c r="D22796" s="39"/>
      <c r="E22796" s="39"/>
      <c r="F22796" s="39"/>
    </row>
    <row r="22797">
      <c r="D22797" s="39"/>
      <c r="E22797" s="39"/>
      <c r="F22797" s="39"/>
    </row>
    <row r="22798">
      <c r="D22798" s="39"/>
      <c r="E22798" s="39"/>
      <c r="F22798" s="39"/>
    </row>
    <row r="22799">
      <c r="D22799" s="39"/>
      <c r="E22799" s="39"/>
      <c r="F22799" s="39"/>
    </row>
    <row r="22800">
      <c r="D22800" s="39"/>
      <c r="E22800" s="39"/>
      <c r="F22800" s="39"/>
    </row>
    <row r="22801">
      <c r="D22801" s="39"/>
      <c r="E22801" s="39"/>
      <c r="F22801" s="39"/>
    </row>
    <row r="22802">
      <c r="D22802" s="39"/>
      <c r="E22802" s="39"/>
      <c r="F22802" s="39"/>
    </row>
    <row r="22803">
      <c r="D22803" s="39"/>
      <c r="E22803" s="39"/>
      <c r="F22803" s="39"/>
    </row>
    <row r="22804">
      <c r="D22804" s="39"/>
      <c r="E22804" s="39"/>
      <c r="F22804" s="39"/>
    </row>
    <row r="22805">
      <c r="D22805" s="39"/>
      <c r="E22805" s="39"/>
      <c r="F22805" s="39"/>
    </row>
    <row r="22806">
      <c r="D22806" s="39"/>
      <c r="E22806" s="39"/>
      <c r="F22806" s="39"/>
    </row>
    <row r="22807">
      <c r="D22807" s="39"/>
      <c r="E22807" s="39"/>
      <c r="F22807" s="39"/>
    </row>
    <row r="22808">
      <c r="D22808" s="39"/>
      <c r="E22808" s="39"/>
      <c r="F22808" s="39"/>
    </row>
    <row r="22809">
      <c r="D22809" s="39"/>
      <c r="E22809" s="39"/>
      <c r="F22809" s="39"/>
    </row>
    <row r="22810">
      <c r="D22810" s="39"/>
      <c r="E22810" s="39"/>
      <c r="F22810" s="39"/>
    </row>
    <row r="22811">
      <c r="D22811" s="39"/>
      <c r="E22811" s="39"/>
      <c r="F22811" s="39"/>
    </row>
    <row r="22812">
      <c r="D22812" s="39"/>
      <c r="E22812" s="39"/>
      <c r="F22812" s="39"/>
    </row>
    <row r="22813">
      <c r="D22813" s="39"/>
      <c r="E22813" s="39"/>
      <c r="F22813" s="39"/>
    </row>
    <row r="22814">
      <c r="D22814" s="39"/>
      <c r="E22814" s="39"/>
      <c r="F22814" s="39"/>
    </row>
    <row r="22815">
      <c r="D22815" s="39"/>
      <c r="E22815" s="39"/>
      <c r="F22815" s="39"/>
    </row>
    <row r="22816">
      <c r="D22816" s="39"/>
      <c r="E22816" s="39"/>
      <c r="F22816" s="39"/>
    </row>
    <row r="22817">
      <c r="D22817" s="39"/>
      <c r="E22817" s="39"/>
      <c r="F22817" s="39"/>
    </row>
    <row r="22818">
      <c r="D22818" s="39"/>
      <c r="E22818" s="39"/>
      <c r="F22818" s="39"/>
    </row>
    <row r="22819">
      <c r="D22819" s="39"/>
      <c r="E22819" s="39"/>
      <c r="F22819" s="39"/>
    </row>
    <row r="22820">
      <c r="D22820" s="39"/>
      <c r="E22820" s="39"/>
      <c r="F22820" s="39"/>
    </row>
    <row r="22821">
      <c r="D22821" s="39"/>
      <c r="E22821" s="39"/>
      <c r="F22821" s="39"/>
    </row>
    <row r="22822">
      <c r="D22822" s="39"/>
      <c r="E22822" s="39"/>
      <c r="F22822" s="39"/>
    </row>
    <row r="22823">
      <c r="D22823" s="39"/>
      <c r="E22823" s="39"/>
      <c r="F22823" s="39"/>
    </row>
    <row r="22824">
      <c r="D22824" s="39"/>
      <c r="E22824" s="39"/>
      <c r="F22824" s="39"/>
    </row>
    <row r="22825">
      <c r="D22825" s="39"/>
      <c r="E22825" s="39"/>
      <c r="F22825" s="39"/>
    </row>
    <row r="22826">
      <c r="D22826" s="39"/>
      <c r="E22826" s="39"/>
      <c r="F22826" s="39"/>
    </row>
    <row r="22827">
      <c r="D22827" s="39"/>
      <c r="E22827" s="39"/>
      <c r="F22827" s="39"/>
    </row>
    <row r="22828">
      <c r="D22828" s="39"/>
      <c r="E22828" s="39"/>
      <c r="F22828" s="39"/>
    </row>
    <row r="22829">
      <c r="D22829" s="39"/>
      <c r="E22829" s="39"/>
      <c r="F22829" s="39"/>
    </row>
    <row r="22830">
      <c r="D22830" s="39"/>
      <c r="E22830" s="39"/>
      <c r="F22830" s="39"/>
    </row>
    <row r="22831">
      <c r="D22831" s="39"/>
      <c r="E22831" s="39"/>
      <c r="F22831" s="39"/>
    </row>
    <row r="22832">
      <c r="D22832" s="39"/>
      <c r="E22832" s="39"/>
      <c r="F22832" s="39"/>
    </row>
    <row r="22833">
      <c r="D22833" s="39"/>
      <c r="E22833" s="39"/>
      <c r="F22833" s="39"/>
    </row>
    <row r="22834">
      <c r="D22834" s="39"/>
      <c r="E22834" s="39"/>
      <c r="F22834" s="39"/>
    </row>
    <row r="22835">
      <c r="D22835" s="39"/>
      <c r="E22835" s="39"/>
      <c r="F22835" s="39"/>
    </row>
    <row r="22836">
      <c r="D22836" s="39"/>
      <c r="E22836" s="39"/>
      <c r="F22836" s="39"/>
    </row>
    <row r="22837">
      <c r="D22837" s="39"/>
      <c r="E22837" s="39"/>
      <c r="F22837" s="39"/>
    </row>
    <row r="22838">
      <c r="D22838" s="39"/>
      <c r="E22838" s="39"/>
      <c r="F22838" s="39"/>
    </row>
    <row r="22839">
      <c r="D22839" s="39"/>
      <c r="E22839" s="39"/>
      <c r="F22839" s="39"/>
    </row>
    <row r="22840">
      <c r="D22840" s="39"/>
      <c r="E22840" s="39"/>
      <c r="F22840" s="39"/>
    </row>
    <row r="22841">
      <c r="D22841" s="39"/>
      <c r="E22841" s="39"/>
      <c r="F22841" s="39"/>
    </row>
    <row r="22842">
      <c r="D22842" s="39"/>
      <c r="E22842" s="39"/>
      <c r="F22842" s="39"/>
    </row>
    <row r="22843">
      <c r="D22843" s="39"/>
      <c r="E22843" s="39"/>
      <c r="F22843" s="39"/>
    </row>
    <row r="22844">
      <c r="D22844" s="39"/>
      <c r="E22844" s="39"/>
      <c r="F22844" s="39"/>
    </row>
    <row r="22845">
      <c r="D22845" s="39"/>
      <c r="E22845" s="39"/>
      <c r="F22845" s="39"/>
    </row>
    <row r="22846">
      <c r="D22846" s="39"/>
      <c r="E22846" s="39"/>
      <c r="F22846" s="39"/>
    </row>
    <row r="22847">
      <c r="D22847" s="39"/>
      <c r="E22847" s="39"/>
      <c r="F22847" s="39"/>
    </row>
    <row r="22848">
      <c r="D22848" s="39"/>
      <c r="E22848" s="39"/>
      <c r="F22848" s="39"/>
    </row>
    <row r="22849">
      <c r="D22849" s="39"/>
      <c r="E22849" s="39"/>
      <c r="F22849" s="39"/>
    </row>
    <row r="22850">
      <c r="D22850" s="39"/>
      <c r="E22850" s="39"/>
      <c r="F22850" s="39"/>
    </row>
    <row r="22851">
      <c r="D22851" s="39"/>
      <c r="E22851" s="39"/>
      <c r="F22851" s="39"/>
    </row>
    <row r="22852">
      <c r="D22852" s="39"/>
      <c r="E22852" s="39"/>
      <c r="F22852" s="39"/>
    </row>
    <row r="22853">
      <c r="D22853" s="39"/>
      <c r="E22853" s="39"/>
      <c r="F22853" s="39"/>
    </row>
    <row r="22854">
      <c r="D22854" s="39"/>
      <c r="E22854" s="39"/>
      <c r="F22854" s="39"/>
    </row>
    <row r="22855">
      <c r="D22855" s="39"/>
      <c r="E22855" s="39"/>
      <c r="F22855" s="39"/>
    </row>
    <row r="22856">
      <c r="D22856" s="39"/>
      <c r="E22856" s="39"/>
      <c r="F22856" s="39"/>
    </row>
    <row r="22857">
      <c r="D22857" s="39"/>
      <c r="E22857" s="39"/>
      <c r="F22857" s="39"/>
    </row>
    <row r="22858">
      <c r="D22858" s="39"/>
      <c r="E22858" s="39"/>
      <c r="F22858" s="39"/>
    </row>
    <row r="22859">
      <c r="D22859" s="39"/>
      <c r="E22859" s="39"/>
      <c r="F22859" s="39"/>
    </row>
    <row r="22860">
      <c r="D22860" s="39"/>
      <c r="E22860" s="39"/>
      <c r="F22860" s="39"/>
    </row>
    <row r="22861">
      <c r="D22861" s="39"/>
      <c r="E22861" s="39"/>
      <c r="F22861" s="39"/>
    </row>
    <row r="22862">
      <c r="D22862" s="39"/>
      <c r="E22862" s="39"/>
      <c r="F22862" s="39"/>
    </row>
    <row r="22863">
      <c r="D22863" s="39"/>
      <c r="E22863" s="39"/>
      <c r="F22863" s="39"/>
    </row>
    <row r="22864">
      <c r="D22864" s="39"/>
      <c r="E22864" s="39"/>
      <c r="F22864" s="39"/>
    </row>
    <row r="22865">
      <c r="D22865" s="39"/>
      <c r="E22865" s="39"/>
      <c r="F22865" s="39"/>
    </row>
    <row r="22866">
      <c r="D22866" s="39"/>
      <c r="E22866" s="39"/>
      <c r="F22866" s="39"/>
    </row>
    <row r="22867">
      <c r="D22867" s="39"/>
      <c r="E22867" s="39"/>
      <c r="F22867" s="39"/>
    </row>
    <row r="22868">
      <c r="D22868" s="39"/>
      <c r="E22868" s="39"/>
      <c r="F22868" s="39"/>
    </row>
    <row r="22869">
      <c r="D22869" s="39"/>
      <c r="E22869" s="39"/>
      <c r="F22869" s="39"/>
    </row>
    <row r="22870">
      <c r="D22870" s="39"/>
      <c r="E22870" s="39"/>
      <c r="F22870" s="39"/>
    </row>
    <row r="22871">
      <c r="D22871" s="39"/>
      <c r="E22871" s="39"/>
      <c r="F22871" s="39"/>
    </row>
    <row r="22872">
      <c r="D22872" s="39"/>
      <c r="E22872" s="39"/>
      <c r="F22872" s="39"/>
    </row>
    <row r="22873">
      <c r="D22873" s="39"/>
      <c r="E22873" s="39"/>
      <c r="F22873" s="39"/>
    </row>
    <row r="22874">
      <c r="D22874" s="39"/>
      <c r="E22874" s="39"/>
      <c r="F22874" s="39"/>
    </row>
    <row r="22875">
      <c r="D22875" s="39"/>
      <c r="E22875" s="39"/>
      <c r="F22875" s="39"/>
    </row>
    <row r="22876">
      <c r="D22876" s="39"/>
      <c r="E22876" s="39"/>
      <c r="F22876" s="39"/>
    </row>
    <row r="22877">
      <c r="D22877" s="39"/>
      <c r="E22877" s="39"/>
      <c r="F22877" s="39"/>
    </row>
    <row r="22878">
      <c r="D22878" s="39"/>
      <c r="E22878" s="39"/>
      <c r="F22878" s="39"/>
    </row>
    <row r="22879">
      <c r="D22879" s="39"/>
      <c r="E22879" s="39"/>
      <c r="F22879" s="39"/>
    </row>
    <row r="22880">
      <c r="D22880" s="39"/>
      <c r="E22880" s="39"/>
      <c r="F22880" s="39"/>
    </row>
    <row r="22881">
      <c r="D22881" s="39"/>
      <c r="E22881" s="39"/>
      <c r="F22881" s="39"/>
    </row>
    <row r="22882">
      <c r="D22882" s="39"/>
      <c r="E22882" s="39"/>
      <c r="F22882" s="39"/>
    </row>
    <row r="22883">
      <c r="D22883" s="39"/>
      <c r="E22883" s="39"/>
      <c r="F22883" s="39"/>
    </row>
    <row r="22884">
      <c r="D22884" s="39"/>
      <c r="E22884" s="39"/>
      <c r="F22884" s="39"/>
    </row>
    <row r="22885">
      <c r="D22885" s="39"/>
      <c r="E22885" s="39"/>
      <c r="F22885" s="39"/>
    </row>
    <row r="22886">
      <c r="D22886" s="39"/>
      <c r="E22886" s="39"/>
      <c r="F22886" s="39"/>
    </row>
    <row r="22887">
      <c r="D22887" s="39"/>
      <c r="E22887" s="39"/>
      <c r="F22887" s="39"/>
    </row>
    <row r="22888">
      <c r="D22888" s="39"/>
      <c r="E22888" s="39"/>
      <c r="F22888" s="39"/>
    </row>
    <row r="22889">
      <c r="D22889" s="39"/>
      <c r="E22889" s="39"/>
      <c r="F22889" s="39"/>
    </row>
    <row r="22890">
      <c r="D22890" s="39"/>
      <c r="E22890" s="39"/>
      <c r="F22890" s="39"/>
    </row>
    <row r="22891">
      <c r="D22891" s="39"/>
      <c r="E22891" s="39"/>
      <c r="F22891" s="39"/>
    </row>
    <row r="22892">
      <c r="D22892" s="39"/>
      <c r="E22892" s="39"/>
      <c r="F22892" s="39"/>
    </row>
    <row r="22893">
      <c r="D22893" s="39"/>
      <c r="E22893" s="39"/>
      <c r="F22893" s="39"/>
    </row>
    <row r="22894">
      <c r="D22894" s="39"/>
      <c r="E22894" s="39"/>
      <c r="F22894" s="39"/>
    </row>
    <row r="22895">
      <c r="D22895" s="39"/>
      <c r="E22895" s="39"/>
      <c r="F22895" s="39"/>
    </row>
    <row r="22896">
      <c r="D22896" s="39"/>
      <c r="E22896" s="39"/>
      <c r="F22896" s="39"/>
    </row>
    <row r="22897">
      <c r="D22897" s="39"/>
      <c r="E22897" s="39"/>
      <c r="F22897" s="39"/>
    </row>
    <row r="22898">
      <c r="D22898" s="39"/>
      <c r="E22898" s="39"/>
      <c r="F22898" s="39"/>
    </row>
    <row r="22899">
      <c r="D22899" s="39"/>
      <c r="E22899" s="39"/>
      <c r="F22899" s="39"/>
    </row>
    <row r="22900">
      <c r="D22900" s="39"/>
      <c r="E22900" s="39"/>
      <c r="F22900" s="39"/>
    </row>
    <row r="22901">
      <c r="D22901" s="39"/>
      <c r="E22901" s="39"/>
      <c r="F22901" s="39"/>
    </row>
    <row r="22902">
      <c r="D22902" s="39"/>
      <c r="E22902" s="39"/>
      <c r="F22902" s="39"/>
    </row>
    <row r="22903">
      <c r="D22903" s="39"/>
      <c r="E22903" s="39"/>
      <c r="F22903" s="39"/>
    </row>
    <row r="22904">
      <c r="D22904" s="39"/>
      <c r="E22904" s="39"/>
      <c r="F22904" s="39"/>
    </row>
    <row r="22905">
      <c r="D22905" s="39"/>
      <c r="E22905" s="39"/>
      <c r="F22905" s="39"/>
    </row>
    <row r="22906">
      <c r="D22906" s="39"/>
      <c r="E22906" s="39"/>
      <c r="F22906" s="39"/>
    </row>
    <row r="22907">
      <c r="D22907" s="39"/>
      <c r="E22907" s="39"/>
      <c r="F22907" s="39"/>
    </row>
    <row r="22908">
      <c r="D22908" s="39"/>
      <c r="E22908" s="39"/>
      <c r="F22908" s="39"/>
    </row>
    <row r="22909">
      <c r="D22909" s="39"/>
      <c r="E22909" s="39"/>
      <c r="F22909" s="39"/>
    </row>
    <row r="22910">
      <c r="D22910" s="39"/>
      <c r="E22910" s="39"/>
      <c r="F22910" s="39"/>
    </row>
    <row r="22911">
      <c r="D22911" s="39"/>
      <c r="E22911" s="39"/>
      <c r="F22911" s="39"/>
    </row>
    <row r="22912">
      <c r="D22912" s="39"/>
      <c r="E22912" s="39"/>
      <c r="F22912" s="39"/>
    </row>
    <row r="22913">
      <c r="D22913" s="39"/>
      <c r="E22913" s="39"/>
      <c r="F22913" s="39"/>
    </row>
    <row r="22914">
      <c r="D22914" s="39"/>
      <c r="E22914" s="39"/>
      <c r="F22914" s="39"/>
    </row>
    <row r="22915">
      <c r="D22915" s="39"/>
      <c r="E22915" s="39"/>
      <c r="F22915" s="39"/>
    </row>
    <row r="22916">
      <c r="D22916" s="39"/>
      <c r="E22916" s="39"/>
      <c r="F22916" s="39"/>
    </row>
    <row r="22917">
      <c r="D22917" s="39"/>
      <c r="E22917" s="39"/>
      <c r="F22917" s="39"/>
    </row>
    <row r="22918">
      <c r="D22918" s="39"/>
      <c r="E22918" s="39"/>
      <c r="F22918" s="39"/>
    </row>
    <row r="22919">
      <c r="D22919" s="39"/>
      <c r="E22919" s="39"/>
      <c r="F22919" s="39"/>
    </row>
    <row r="22920">
      <c r="D22920" s="39"/>
      <c r="E22920" s="39"/>
      <c r="F22920" s="39"/>
    </row>
    <row r="22921">
      <c r="D22921" s="39"/>
      <c r="E22921" s="39"/>
      <c r="F22921" s="39"/>
    </row>
    <row r="22922">
      <c r="D22922" s="39"/>
      <c r="E22922" s="39"/>
      <c r="F22922" s="39"/>
    </row>
    <row r="22923">
      <c r="D22923" s="39"/>
      <c r="E22923" s="39"/>
      <c r="F22923" s="39"/>
    </row>
    <row r="22924">
      <c r="D22924" s="39"/>
      <c r="E22924" s="39"/>
      <c r="F22924" s="39"/>
    </row>
    <row r="22925">
      <c r="D22925" s="39"/>
      <c r="E22925" s="39"/>
      <c r="F22925" s="39"/>
    </row>
    <row r="22926">
      <c r="D22926" s="39"/>
      <c r="E22926" s="39"/>
      <c r="F22926" s="39"/>
    </row>
    <row r="22927">
      <c r="D22927" s="39"/>
      <c r="E22927" s="39"/>
      <c r="F22927" s="39"/>
    </row>
    <row r="22928">
      <c r="D22928" s="39"/>
      <c r="E22928" s="39"/>
      <c r="F22928" s="39"/>
    </row>
    <row r="22929">
      <c r="D22929" s="39"/>
      <c r="E22929" s="39"/>
      <c r="F22929" s="39"/>
    </row>
    <row r="22930">
      <c r="D22930" s="39"/>
      <c r="E22930" s="39"/>
      <c r="F22930" s="39"/>
    </row>
    <row r="22931">
      <c r="D22931" s="39"/>
      <c r="E22931" s="39"/>
      <c r="F22931" s="39"/>
    </row>
    <row r="22932">
      <c r="D22932" s="39"/>
      <c r="E22932" s="39"/>
      <c r="F22932" s="39"/>
    </row>
    <row r="22933">
      <c r="D22933" s="39"/>
      <c r="E22933" s="39"/>
      <c r="F22933" s="39"/>
    </row>
    <row r="22934">
      <c r="D22934" s="39"/>
      <c r="E22934" s="39"/>
      <c r="F22934" s="39"/>
    </row>
    <row r="22935">
      <c r="D22935" s="39"/>
      <c r="E22935" s="39"/>
      <c r="F22935" s="39"/>
    </row>
    <row r="22936">
      <c r="D22936" s="39"/>
      <c r="E22936" s="39"/>
      <c r="F22936" s="39"/>
    </row>
    <row r="22937">
      <c r="D22937" s="39"/>
      <c r="E22937" s="39"/>
      <c r="F22937" s="39"/>
    </row>
    <row r="22938">
      <c r="D22938" s="39"/>
      <c r="E22938" s="39"/>
      <c r="F22938" s="39"/>
    </row>
    <row r="22939">
      <c r="D22939" s="39"/>
      <c r="E22939" s="39"/>
      <c r="F22939" s="39"/>
    </row>
    <row r="22940">
      <c r="D22940" s="39"/>
      <c r="E22940" s="39"/>
      <c r="F22940" s="39"/>
    </row>
    <row r="22941">
      <c r="D22941" s="39"/>
      <c r="E22941" s="39"/>
      <c r="F22941" s="39"/>
    </row>
    <row r="22942">
      <c r="D22942" s="39"/>
      <c r="E22942" s="39"/>
      <c r="F22942" s="39"/>
    </row>
    <row r="22943">
      <c r="D22943" s="39"/>
      <c r="E22943" s="39"/>
      <c r="F22943" s="39"/>
    </row>
    <row r="22944">
      <c r="D22944" s="39"/>
      <c r="E22944" s="39"/>
      <c r="F22944" s="39"/>
    </row>
    <row r="22945">
      <c r="D22945" s="39"/>
      <c r="E22945" s="39"/>
      <c r="F22945" s="39"/>
    </row>
    <row r="22946">
      <c r="D22946" s="39"/>
      <c r="E22946" s="39"/>
      <c r="F22946" s="39"/>
    </row>
    <row r="22947">
      <c r="D22947" s="39"/>
      <c r="E22947" s="39"/>
      <c r="F22947" s="39"/>
    </row>
    <row r="22948">
      <c r="D22948" s="39"/>
      <c r="E22948" s="39"/>
      <c r="F22948" s="39"/>
    </row>
    <row r="22949">
      <c r="D22949" s="39"/>
      <c r="E22949" s="39"/>
      <c r="F22949" s="39"/>
    </row>
    <row r="22950">
      <c r="D22950" s="39"/>
      <c r="E22950" s="39"/>
      <c r="F22950" s="39"/>
    </row>
    <row r="22951">
      <c r="D22951" s="39"/>
      <c r="E22951" s="39"/>
      <c r="F22951" s="39"/>
    </row>
    <row r="22952">
      <c r="D22952" s="39"/>
      <c r="E22952" s="39"/>
      <c r="F22952" s="39"/>
    </row>
    <row r="22953">
      <c r="D22953" s="39"/>
      <c r="E22953" s="39"/>
      <c r="F22953" s="39"/>
    </row>
    <row r="22954">
      <c r="D22954" s="39"/>
      <c r="E22954" s="39"/>
      <c r="F22954" s="39"/>
    </row>
    <row r="22955">
      <c r="D22955" s="39"/>
      <c r="E22955" s="39"/>
      <c r="F22955" s="39"/>
    </row>
    <row r="22956">
      <c r="D22956" s="39"/>
      <c r="E22956" s="39"/>
      <c r="F22956" s="39"/>
    </row>
    <row r="22957">
      <c r="D22957" s="39"/>
      <c r="E22957" s="39"/>
      <c r="F22957" s="39"/>
    </row>
    <row r="22958">
      <c r="D22958" s="39"/>
      <c r="E22958" s="39"/>
      <c r="F22958" s="39"/>
    </row>
    <row r="22959">
      <c r="D22959" s="39"/>
      <c r="E22959" s="39"/>
      <c r="F22959" s="39"/>
    </row>
    <row r="22960">
      <c r="D22960" s="39"/>
      <c r="E22960" s="39"/>
      <c r="F22960" s="39"/>
    </row>
    <row r="22961">
      <c r="D22961" s="39"/>
      <c r="E22961" s="39"/>
      <c r="F22961" s="39"/>
    </row>
    <row r="22962">
      <c r="D22962" s="39"/>
      <c r="E22962" s="39"/>
      <c r="F22962" s="39"/>
    </row>
    <row r="22963">
      <c r="D22963" s="39"/>
      <c r="E22963" s="39"/>
      <c r="F22963" s="39"/>
    </row>
    <row r="22964">
      <c r="D22964" s="39"/>
      <c r="E22964" s="39"/>
      <c r="F22964" s="39"/>
    </row>
    <row r="22965">
      <c r="D22965" s="39"/>
      <c r="E22965" s="39"/>
      <c r="F22965" s="39"/>
    </row>
    <row r="22966">
      <c r="D22966" s="39"/>
      <c r="E22966" s="39"/>
      <c r="F22966" s="39"/>
    </row>
    <row r="22967">
      <c r="D22967" s="39"/>
      <c r="E22967" s="39"/>
      <c r="F22967" s="39"/>
    </row>
    <row r="22968">
      <c r="D22968" s="39"/>
      <c r="E22968" s="39"/>
      <c r="F22968" s="39"/>
    </row>
    <row r="22969">
      <c r="D22969" s="39"/>
      <c r="E22969" s="39"/>
      <c r="F22969" s="39"/>
    </row>
    <row r="22970">
      <c r="D22970" s="39"/>
      <c r="E22970" s="39"/>
      <c r="F22970" s="39"/>
    </row>
    <row r="22971">
      <c r="D22971" s="39"/>
      <c r="E22971" s="39"/>
      <c r="F22971" s="39"/>
    </row>
    <row r="22972">
      <c r="D22972" s="39"/>
      <c r="E22972" s="39"/>
      <c r="F22972" s="39"/>
    </row>
    <row r="22973">
      <c r="D22973" s="39"/>
      <c r="E22973" s="39"/>
      <c r="F22973" s="39"/>
    </row>
    <row r="22974">
      <c r="D22974" s="39"/>
      <c r="E22974" s="39"/>
      <c r="F22974" s="39"/>
    </row>
    <row r="22975">
      <c r="D22975" s="39"/>
      <c r="E22975" s="39"/>
      <c r="F22975" s="39"/>
    </row>
    <row r="22976">
      <c r="D22976" s="39"/>
      <c r="E22976" s="39"/>
      <c r="F22976" s="39"/>
    </row>
    <row r="22977">
      <c r="D22977" s="39"/>
      <c r="E22977" s="39"/>
      <c r="F22977" s="39"/>
    </row>
    <row r="22978">
      <c r="D22978" s="39"/>
      <c r="E22978" s="39"/>
      <c r="F22978" s="39"/>
    </row>
    <row r="22979">
      <c r="D22979" s="39"/>
      <c r="E22979" s="39"/>
      <c r="F22979" s="39"/>
    </row>
    <row r="22980">
      <c r="D22980" s="39"/>
      <c r="E22980" s="39"/>
      <c r="F22980" s="39"/>
    </row>
    <row r="22981">
      <c r="D22981" s="39"/>
      <c r="E22981" s="39"/>
      <c r="F22981" s="39"/>
    </row>
    <row r="22982">
      <c r="D22982" s="39"/>
      <c r="E22982" s="39"/>
      <c r="F22982" s="39"/>
    </row>
    <row r="22983">
      <c r="D22983" s="39"/>
      <c r="E22983" s="39"/>
      <c r="F22983" s="39"/>
    </row>
    <row r="22984">
      <c r="D22984" s="39"/>
      <c r="E22984" s="39"/>
      <c r="F22984" s="39"/>
    </row>
    <row r="22985">
      <c r="D22985" s="39"/>
      <c r="E22985" s="39"/>
      <c r="F22985" s="39"/>
    </row>
    <row r="22986">
      <c r="D22986" s="39"/>
      <c r="E22986" s="39"/>
      <c r="F22986" s="39"/>
    </row>
    <row r="22987">
      <c r="D22987" s="39"/>
      <c r="E22987" s="39"/>
      <c r="F22987" s="39"/>
    </row>
    <row r="22988">
      <c r="D22988" s="39"/>
      <c r="E22988" s="39"/>
      <c r="F22988" s="39"/>
    </row>
    <row r="22989">
      <c r="D22989" s="39"/>
      <c r="E22989" s="39"/>
      <c r="F22989" s="39"/>
    </row>
    <row r="22990">
      <c r="D22990" s="39"/>
      <c r="E22990" s="39"/>
      <c r="F22990" s="39"/>
    </row>
    <row r="22991">
      <c r="D22991" s="39"/>
      <c r="E22991" s="39"/>
      <c r="F22991" s="39"/>
    </row>
    <row r="22992">
      <c r="D22992" s="39"/>
      <c r="E22992" s="39"/>
      <c r="F22992" s="39"/>
    </row>
    <row r="22993">
      <c r="D22993" s="39"/>
      <c r="E22993" s="39"/>
      <c r="F22993" s="39"/>
    </row>
    <row r="22994">
      <c r="D22994" s="39"/>
      <c r="E22994" s="39"/>
      <c r="F22994" s="39"/>
    </row>
    <row r="22995">
      <c r="D22995" s="39"/>
      <c r="E22995" s="39"/>
      <c r="F22995" s="39"/>
    </row>
    <row r="22996">
      <c r="D22996" s="39"/>
      <c r="E22996" s="39"/>
      <c r="F22996" s="39"/>
    </row>
    <row r="22997">
      <c r="D22997" s="39"/>
      <c r="E22997" s="39"/>
      <c r="F22997" s="39"/>
    </row>
    <row r="22998">
      <c r="D22998" s="39"/>
      <c r="E22998" s="39"/>
      <c r="F22998" s="39"/>
    </row>
    <row r="22999">
      <c r="D22999" s="39"/>
      <c r="E22999" s="39"/>
      <c r="F22999" s="39"/>
    </row>
    <row r="23000">
      <c r="D23000" s="39"/>
      <c r="E23000" s="39"/>
      <c r="F23000" s="39"/>
    </row>
    <row r="23001">
      <c r="D23001" s="39"/>
      <c r="E23001" s="39"/>
      <c r="F23001" s="39"/>
    </row>
    <row r="23002">
      <c r="D23002" s="39"/>
      <c r="E23002" s="39"/>
      <c r="F23002" s="39"/>
    </row>
    <row r="23003">
      <c r="D23003" s="39"/>
      <c r="E23003" s="39"/>
      <c r="F23003" s="39"/>
    </row>
    <row r="23004">
      <c r="D23004" s="39"/>
      <c r="E23004" s="39"/>
      <c r="F23004" s="39"/>
    </row>
    <row r="23005">
      <c r="D23005" s="39"/>
      <c r="E23005" s="39"/>
      <c r="F23005" s="39"/>
    </row>
    <row r="23006">
      <c r="D23006" s="39"/>
      <c r="E23006" s="39"/>
      <c r="F23006" s="39"/>
    </row>
    <row r="23007">
      <c r="D23007" s="39"/>
      <c r="E23007" s="39"/>
      <c r="F23007" s="39"/>
    </row>
    <row r="23008">
      <c r="D23008" s="39"/>
      <c r="E23008" s="39"/>
      <c r="F23008" s="39"/>
    </row>
    <row r="23009">
      <c r="D23009" s="39"/>
      <c r="E23009" s="39"/>
      <c r="F23009" s="39"/>
    </row>
    <row r="23010">
      <c r="D23010" s="39"/>
      <c r="E23010" s="39"/>
      <c r="F23010" s="39"/>
    </row>
    <row r="23011">
      <c r="D23011" s="39"/>
      <c r="E23011" s="39"/>
      <c r="F23011" s="39"/>
    </row>
    <row r="23012">
      <c r="D23012" s="39"/>
      <c r="E23012" s="39"/>
      <c r="F23012" s="39"/>
    </row>
    <row r="23013">
      <c r="D23013" s="39"/>
      <c r="E23013" s="39"/>
      <c r="F23013" s="39"/>
    </row>
    <row r="23014">
      <c r="D23014" s="39"/>
      <c r="E23014" s="39"/>
      <c r="F23014" s="39"/>
    </row>
    <row r="23015">
      <c r="D23015" s="39"/>
      <c r="E23015" s="39"/>
      <c r="F23015" s="39"/>
    </row>
    <row r="23016">
      <c r="D23016" s="39"/>
      <c r="E23016" s="39"/>
      <c r="F23016" s="39"/>
    </row>
    <row r="23017">
      <c r="D23017" s="39"/>
      <c r="E23017" s="39"/>
      <c r="F23017" s="39"/>
    </row>
    <row r="23018">
      <c r="D23018" s="39"/>
      <c r="E23018" s="39"/>
      <c r="F23018" s="39"/>
    </row>
    <row r="23019">
      <c r="D23019" s="39"/>
      <c r="E23019" s="39"/>
      <c r="F23019" s="39"/>
    </row>
    <row r="23020">
      <c r="D23020" s="39"/>
      <c r="E23020" s="39"/>
      <c r="F23020" s="39"/>
    </row>
    <row r="23021">
      <c r="D23021" s="39"/>
      <c r="E23021" s="39"/>
      <c r="F23021" s="39"/>
    </row>
    <row r="23022">
      <c r="D23022" s="39"/>
      <c r="E23022" s="39"/>
      <c r="F23022" s="39"/>
    </row>
    <row r="23023">
      <c r="D23023" s="39"/>
      <c r="E23023" s="39"/>
      <c r="F23023" s="39"/>
    </row>
    <row r="23024">
      <c r="D23024" s="39"/>
      <c r="E23024" s="39"/>
      <c r="F23024" s="39"/>
    </row>
    <row r="23025">
      <c r="D23025" s="39"/>
      <c r="E23025" s="39"/>
      <c r="F23025" s="39"/>
    </row>
    <row r="23026">
      <c r="D23026" s="39"/>
      <c r="E23026" s="39"/>
      <c r="F23026" s="39"/>
    </row>
    <row r="23027">
      <c r="D23027" s="39"/>
      <c r="E23027" s="39"/>
      <c r="F23027" s="39"/>
    </row>
    <row r="23028">
      <c r="D23028" s="39"/>
      <c r="E23028" s="39"/>
      <c r="F23028" s="39"/>
    </row>
    <row r="23029">
      <c r="D23029" s="39"/>
      <c r="E23029" s="39"/>
      <c r="F23029" s="39"/>
    </row>
    <row r="23030">
      <c r="D23030" s="39"/>
      <c r="E23030" s="39"/>
      <c r="F23030" s="39"/>
    </row>
    <row r="23031">
      <c r="D23031" s="39"/>
      <c r="E23031" s="39"/>
      <c r="F23031" s="39"/>
    </row>
    <row r="23032">
      <c r="D23032" s="39"/>
      <c r="E23032" s="39"/>
      <c r="F23032" s="39"/>
    </row>
    <row r="23033">
      <c r="D23033" s="39"/>
      <c r="E23033" s="39"/>
      <c r="F23033" s="39"/>
    </row>
    <row r="23034">
      <c r="D23034" s="39"/>
      <c r="E23034" s="39"/>
      <c r="F23034" s="39"/>
    </row>
    <row r="23035">
      <c r="D23035" s="39"/>
      <c r="E23035" s="39"/>
      <c r="F23035" s="39"/>
    </row>
    <row r="23036">
      <c r="D23036" s="39"/>
      <c r="E23036" s="39"/>
      <c r="F23036" s="39"/>
    </row>
    <row r="23037">
      <c r="D23037" s="39"/>
      <c r="E23037" s="39"/>
      <c r="F23037" s="39"/>
    </row>
    <row r="23038">
      <c r="D23038" s="39"/>
      <c r="E23038" s="39"/>
      <c r="F23038" s="39"/>
    </row>
    <row r="23039">
      <c r="D23039" s="39"/>
      <c r="E23039" s="39"/>
      <c r="F23039" s="39"/>
    </row>
    <row r="23040">
      <c r="D23040" s="39"/>
      <c r="E23040" s="39"/>
      <c r="F23040" s="39"/>
    </row>
    <row r="23041">
      <c r="D23041" s="39"/>
      <c r="E23041" s="39"/>
      <c r="F23041" s="39"/>
    </row>
    <row r="23042">
      <c r="D23042" s="39"/>
      <c r="E23042" s="39"/>
      <c r="F23042" s="39"/>
    </row>
    <row r="23043">
      <c r="D23043" s="39"/>
      <c r="E23043" s="39"/>
      <c r="F23043" s="39"/>
    </row>
    <row r="23044">
      <c r="D23044" s="39"/>
      <c r="E23044" s="39"/>
      <c r="F23044" s="39"/>
    </row>
    <row r="23045">
      <c r="D23045" s="39"/>
      <c r="E23045" s="39"/>
      <c r="F23045" s="39"/>
    </row>
    <row r="23046">
      <c r="D23046" s="39"/>
      <c r="E23046" s="39"/>
      <c r="F23046" s="39"/>
    </row>
    <row r="23047">
      <c r="D23047" s="39"/>
      <c r="E23047" s="39"/>
      <c r="F23047" s="39"/>
    </row>
    <row r="23048">
      <c r="D23048" s="39"/>
      <c r="E23048" s="39"/>
      <c r="F23048" s="39"/>
    </row>
    <row r="23049">
      <c r="D23049" s="39"/>
      <c r="E23049" s="39"/>
      <c r="F23049" s="39"/>
    </row>
    <row r="23050">
      <c r="D23050" s="39"/>
      <c r="E23050" s="39"/>
      <c r="F23050" s="39"/>
    </row>
    <row r="23051">
      <c r="D23051" s="39"/>
      <c r="E23051" s="39"/>
      <c r="F23051" s="39"/>
    </row>
    <row r="23052">
      <c r="D23052" s="39"/>
      <c r="E23052" s="39"/>
      <c r="F23052" s="39"/>
    </row>
    <row r="23053">
      <c r="D23053" s="39"/>
      <c r="E23053" s="39"/>
      <c r="F23053" s="39"/>
    </row>
    <row r="23054">
      <c r="D23054" s="39"/>
      <c r="E23054" s="39"/>
      <c r="F23054" s="39"/>
    </row>
    <row r="23055">
      <c r="D23055" s="39"/>
      <c r="E23055" s="39"/>
      <c r="F23055" s="39"/>
    </row>
    <row r="23056">
      <c r="D23056" s="39"/>
      <c r="E23056" s="39"/>
      <c r="F23056" s="39"/>
    </row>
    <row r="23057">
      <c r="D23057" s="39"/>
      <c r="E23057" s="39"/>
      <c r="F23057" s="39"/>
    </row>
    <row r="23058">
      <c r="D23058" s="39"/>
      <c r="E23058" s="39"/>
      <c r="F23058" s="39"/>
    </row>
    <row r="23059">
      <c r="D23059" s="39"/>
      <c r="E23059" s="39"/>
      <c r="F23059" s="39"/>
    </row>
    <row r="23060">
      <c r="D23060" s="39"/>
      <c r="E23060" s="39"/>
      <c r="F23060" s="39"/>
    </row>
    <row r="23061">
      <c r="D23061" s="39"/>
      <c r="E23061" s="39"/>
      <c r="F23061" s="39"/>
    </row>
    <row r="23062">
      <c r="D23062" s="39"/>
      <c r="E23062" s="39"/>
      <c r="F23062" s="39"/>
    </row>
    <row r="23063">
      <c r="D23063" s="39"/>
      <c r="E23063" s="39"/>
      <c r="F23063" s="39"/>
    </row>
    <row r="23064">
      <c r="D23064" s="39"/>
      <c r="E23064" s="39"/>
      <c r="F23064" s="39"/>
    </row>
    <row r="23065">
      <c r="D23065" s="39"/>
      <c r="E23065" s="39"/>
      <c r="F23065" s="39"/>
    </row>
    <row r="23066">
      <c r="D23066" s="39"/>
      <c r="E23066" s="39"/>
      <c r="F23066" s="39"/>
    </row>
    <row r="23067">
      <c r="D23067" s="39"/>
      <c r="E23067" s="39"/>
      <c r="F23067" s="39"/>
    </row>
    <row r="23068">
      <c r="D23068" s="39"/>
      <c r="E23068" s="39"/>
      <c r="F23068" s="39"/>
    </row>
    <row r="23069">
      <c r="D23069" s="39"/>
      <c r="E23069" s="39"/>
      <c r="F23069" s="39"/>
    </row>
    <row r="23070">
      <c r="D23070" s="39"/>
      <c r="E23070" s="39"/>
      <c r="F23070" s="39"/>
    </row>
    <row r="23071">
      <c r="D23071" s="39"/>
      <c r="E23071" s="39"/>
      <c r="F23071" s="39"/>
    </row>
    <row r="23072">
      <c r="D23072" s="39"/>
      <c r="E23072" s="39"/>
      <c r="F23072" s="39"/>
    </row>
    <row r="23073">
      <c r="D23073" s="39"/>
      <c r="E23073" s="39"/>
      <c r="F23073" s="39"/>
    </row>
    <row r="23074">
      <c r="D23074" s="39"/>
      <c r="E23074" s="39"/>
      <c r="F23074" s="39"/>
    </row>
    <row r="23075">
      <c r="D23075" s="39"/>
      <c r="E23075" s="39"/>
      <c r="F23075" s="39"/>
    </row>
    <row r="23076">
      <c r="D23076" s="39"/>
      <c r="E23076" s="39"/>
      <c r="F23076" s="39"/>
    </row>
    <row r="23077">
      <c r="D23077" s="39"/>
      <c r="E23077" s="39"/>
      <c r="F23077" s="39"/>
    </row>
    <row r="23078">
      <c r="D23078" s="39"/>
      <c r="E23078" s="39"/>
      <c r="F23078" s="39"/>
    </row>
    <row r="23079">
      <c r="D23079" s="39"/>
      <c r="E23079" s="39"/>
      <c r="F23079" s="39"/>
    </row>
    <row r="23080">
      <c r="D23080" s="39"/>
      <c r="E23080" s="39"/>
      <c r="F23080" s="39"/>
    </row>
    <row r="23081">
      <c r="D23081" s="39"/>
      <c r="E23081" s="39"/>
      <c r="F23081" s="39"/>
    </row>
    <row r="23082">
      <c r="D23082" s="39"/>
      <c r="E23082" s="39"/>
      <c r="F23082" s="39"/>
    </row>
    <row r="23083">
      <c r="D23083" s="39"/>
      <c r="E23083" s="39"/>
      <c r="F23083" s="39"/>
    </row>
    <row r="23084">
      <c r="D23084" s="39"/>
      <c r="E23084" s="39"/>
      <c r="F23084" s="39"/>
    </row>
    <row r="23085">
      <c r="D23085" s="39"/>
      <c r="E23085" s="39"/>
      <c r="F23085" s="39"/>
    </row>
    <row r="23086">
      <c r="D23086" s="39"/>
      <c r="E23086" s="39"/>
      <c r="F23086" s="39"/>
    </row>
    <row r="23087">
      <c r="D23087" s="39"/>
      <c r="E23087" s="39"/>
      <c r="F23087" s="39"/>
    </row>
    <row r="23088">
      <c r="D23088" s="39"/>
      <c r="E23088" s="39"/>
      <c r="F23088" s="39"/>
    </row>
    <row r="23089">
      <c r="D23089" s="39"/>
      <c r="E23089" s="39"/>
      <c r="F23089" s="39"/>
    </row>
    <row r="23090">
      <c r="D23090" s="39"/>
      <c r="E23090" s="39"/>
      <c r="F23090" s="39"/>
    </row>
    <row r="23091">
      <c r="D23091" s="39"/>
      <c r="E23091" s="39"/>
      <c r="F23091" s="39"/>
    </row>
    <row r="23092">
      <c r="D23092" s="39"/>
      <c r="E23092" s="39"/>
      <c r="F23092" s="39"/>
    </row>
    <row r="23093">
      <c r="D23093" s="39"/>
      <c r="E23093" s="39"/>
      <c r="F23093" s="39"/>
    </row>
    <row r="23094">
      <c r="D23094" s="39"/>
      <c r="E23094" s="39"/>
      <c r="F23094" s="39"/>
    </row>
    <row r="23095">
      <c r="D23095" s="39"/>
      <c r="E23095" s="39"/>
      <c r="F23095" s="39"/>
    </row>
    <row r="23096">
      <c r="D23096" s="39"/>
      <c r="E23096" s="39"/>
      <c r="F23096" s="39"/>
    </row>
    <row r="23097">
      <c r="D23097" s="39"/>
      <c r="E23097" s="39"/>
      <c r="F23097" s="39"/>
    </row>
    <row r="23098">
      <c r="D23098" s="39"/>
      <c r="E23098" s="39"/>
      <c r="F23098" s="39"/>
    </row>
    <row r="23099">
      <c r="D23099" s="39"/>
      <c r="E23099" s="39"/>
      <c r="F23099" s="39"/>
    </row>
    <row r="23100">
      <c r="D23100" s="39"/>
      <c r="E23100" s="39"/>
      <c r="F23100" s="39"/>
    </row>
    <row r="23101">
      <c r="D23101" s="39"/>
      <c r="E23101" s="39"/>
      <c r="F23101" s="39"/>
    </row>
    <row r="23102">
      <c r="D23102" s="39"/>
      <c r="E23102" s="39"/>
      <c r="F23102" s="39"/>
    </row>
    <row r="23103">
      <c r="D23103" s="39"/>
      <c r="E23103" s="39"/>
      <c r="F23103" s="39"/>
    </row>
    <row r="23104">
      <c r="D23104" s="39"/>
      <c r="E23104" s="39"/>
      <c r="F23104" s="39"/>
    </row>
    <row r="23105">
      <c r="D23105" s="39"/>
      <c r="E23105" s="39"/>
      <c r="F23105" s="39"/>
    </row>
    <row r="23106">
      <c r="D23106" s="39"/>
      <c r="E23106" s="39"/>
      <c r="F23106" s="39"/>
    </row>
    <row r="23107">
      <c r="D23107" s="39"/>
      <c r="E23107" s="39"/>
      <c r="F23107" s="39"/>
    </row>
    <row r="23108">
      <c r="D23108" s="39"/>
      <c r="E23108" s="39"/>
      <c r="F23108" s="39"/>
    </row>
    <row r="23109">
      <c r="D23109" s="39"/>
      <c r="E23109" s="39"/>
      <c r="F23109" s="39"/>
    </row>
    <row r="23110">
      <c r="D23110" s="39"/>
      <c r="E23110" s="39"/>
      <c r="F23110" s="39"/>
    </row>
    <row r="23111">
      <c r="D23111" s="39"/>
      <c r="E23111" s="39"/>
      <c r="F23111" s="39"/>
    </row>
    <row r="23112">
      <c r="D23112" s="39"/>
      <c r="E23112" s="39"/>
      <c r="F23112" s="39"/>
    </row>
    <row r="23113">
      <c r="D23113" s="39"/>
      <c r="E23113" s="39"/>
      <c r="F23113" s="39"/>
    </row>
    <row r="23114">
      <c r="D23114" s="39"/>
      <c r="E23114" s="39"/>
      <c r="F23114" s="39"/>
    </row>
    <row r="23115">
      <c r="D23115" s="39"/>
      <c r="E23115" s="39"/>
      <c r="F23115" s="39"/>
    </row>
    <row r="23116">
      <c r="D23116" s="39"/>
      <c r="E23116" s="39"/>
      <c r="F23116" s="39"/>
    </row>
    <row r="23117">
      <c r="D23117" s="39"/>
      <c r="E23117" s="39"/>
      <c r="F23117" s="39"/>
    </row>
    <row r="23118">
      <c r="D23118" s="39"/>
      <c r="E23118" s="39"/>
      <c r="F23118" s="39"/>
    </row>
    <row r="23119">
      <c r="D23119" s="39"/>
      <c r="E23119" s="39"/>
      <c r="F23119" s="39"/>
    </row>
    <row r="23120">
      <c r="D23120" s="39"/>
      <c r="E23120" s="39"/>
      <c r="F23120" s="39"/>
    </row>
    <row r="23121">
      <c r="D23121" s="39"/>
      <c r="E23121" s="39"/>
      <c r="F23121" s="39"/>
    </row>
    <row r="23122">
      <c r="D23122" s="39"/>
      <c r="E23122" s="39"/>
      <c r="F23122" s="39"/>
    </row>
    <row r="23123">
      <c r="D23123" s="39"/>
      <c r="E23123" s="39"/>
      <c r="F23123" s="39"/>
    </row>
    <row r="23124">
      <c r="D23124" s="39"/>
      <c r="E23124" s="39"/>
      <c r="F23124" s="39"/>
    </row>
    <row r="23125">
      <c r="D23125" s="39"/>
      <c r="E23125" s="39"/>
      <c r="F23125" s="39"/>
    </row>
    <row r="23126">
      <c r="D23126" s="39"/>
      <c r="E23126" s="39"/>
      <c r="F23126" s="39"/>
    </row>
    <row r="23127">
      <c r="D23127" s="39"/>
      <c r="E23127" s="39"/>
      <c r="F23127" s="39"/>
    </row>
    <row r="23128">
      <c r="D23128" s="39"/>
      <c r="E23128" s="39"/>
      <c r="F23128" s="39"/>
    </row>
    <row r="23129">
      <c r="D23129" s="39"/>
      <c r="E23129" s="39"/>
      <c r="F23129" s="39"/>
    </row>
    <row r="23130">
      <c r="D23130" s="39"/>
      <c r="E23130" s="39"/>
      <c r="F23130" s="39"/>
    </row>
    <row r="23131">
      <c r="D23131" s="39"/>
      <c r="E23131" s="39"/>
      <c r="F23131" s="39"/>
    </row>
    <row r="23132">
      <c r="D23132" s="39"/>
      <c r="E23132" s="39"/>
      <c r="F23132" s="39"/>
    </row>
    <row r="23133">
      <c r="D23133" s="39"/>
      <c r="E23133" s="39"/>
      <c r="F23133" s="39"/>
    </row>
    <row r="23134">
      <c r="D23134" s="39"/>
      <c r="E23134" s="39"/>
      <c r="F23134" s="39"/>
    </row>
    <row r="23135">
      <c r="D23135" s="39"/>
      <c r="E23135" s="39"/>
      <c r="F23135" s="39"/>
    </row>
    <row r="23136">
      <c r="D23136" s="39"/>
      <c r="E23136" s="39"/>
      <c r="F23136" s="39"/>
    </row>
    <row r="23137">
      <c r="D23137" s="39"/>
      <c r="E23137" s="39"/>
      <c r="F23137" s="39"/>
    </row>
    <row r="23138">
      <c r="D23138" s="39"/>
      <c r="E23138" s="39"/>
      <c r="F23138" s="39"/>
    </row>
    <row r="23139">
      <c r="D23139" s="39"/>
      <c r="E23139" s="39"/>
      <c r="F23139" s="39"/>
    </row>
    <row r="23140">
      <c r="D23140" s="39"/>
      <c r="E23140" s="39"/>
      <c r="F23140" s="39"/>
    </row>
    <row r="23141">
      <c r="D23141" s="39"/>
      <c r="E23141" s="39"/>
      <c r="F23141" s="39"/>
    </row>
    <row r="23142">
      <c r="D23142" s="39"/>
      <c r="E23142" s="39"/>
      <c r="F23142" s="39"/>
    </row>
    <row r="23143">
      <c r="D23143" s="39"/>
      <c r="E23143" s="39"/>
      <c r="F23143" s="39"/>
    </row>
    <row r="23144">
      <c r="D23144" s="39"/>
      <c r="E23144" s="39"/>
      <c r="F23144" s="39"/>
    </row>
    <row r="23145">
      <c r="D23145" s="39"/>
      <c r="E23145" s="39"/>
      <c r="F23145" s="39"/>
    </row>
    <row r="23146">
      <c r="D23146" s="39"/>
      <c r="E23146" s="39"/>
      <c r="F23146" s="39"/>
    </row>
    <row r="23147">
      <c r="D23147" s="39"/>
      <c r="E23147" s="39"/>
      <c r="F23147" s="39"/>
    </row>
    <row r="23148">
      <c r="D23148" s="39"/>
      <c r="E23148" s="39"/>
      <c r="F23148" s="39"/>
    </row>
    <row r="23149">
      <c r="D23149" s="39"/>
      <c r="E23149" s="39"/>
      <c r="F23149" s="39"/>
    </row>
    <row r="23150">
      <c r="D23150" s="39"/>
      <c r="E23150" s="39"/>
      <c r="F23150" s="39"/>
    </row>
    <row r="23151">
      <c r="D23151" s="39"/>
      <c r="E23151" s="39"/>
      <c r="F23151" s="39"/>
    </row>
    <row r="23152">
      <c r="D23152" s="39"/>
      <c r="E23152" s="39"/>
      <c r="F23152" s="39"/>
    </row>
    <row r="23153">
      <c r="D23153" s="39"/>
      <c r="E23153" s="39"/>
      <c r="F23153" s="39"/>
    </row>
    <row r="23154">
      <c r="D23154" s="39"/>
      <c r="E23154" s="39"/>
      <c r="F23154" s="39"/>
    </row>
    <row r="23155">
      <c r="D23155" s="39"/>
      <c r="E23155" s="39"/>
      <c r="F23155" s="39"/>
    </row>
    <row r="23156">
      <c r="D23156" s="39"/>
      <c r="E23156" s="39"/>
      <c r="F23156" s="39"/>
    </row>
    <row r="23157">
      <c r="D23157" s="39"/>
      <c r="E23157" s="39"/>
      <c r="F23157" s="39"/>
    </row>
    <row r="23158">
      <c r="D23158" s="39"/>
      <c r="E23158" s="39"/>
      <c r="F23158" s="39"/>
    </row>
    <row r="23159">
      <c r="D23159" s="39"/>
      <c r="E23159" s="39"/>
      <c r="F23159" s="39"/>
    </row>
    <row r="23160">
      <c r="D23160" s="39"/>
      <c r="E23160" s="39"/>
      <c r="F23160" s="39"/>
    </row>
    <row r="23161">
      <c r="D23161" s="39"/>
      <c r="E23161" s="39"/>
      <c r="F23161" s="39"/>
    </row>
    <row r="23162">
      <c r="D23162" s="39"/>
      <c r="E23162" s="39"/>
      <c r="F23162" s="39"/>
    </row>
    <row r="23163">
      <c r="D23163" s="39"/>
      <c r="E23163" s="39"/>
      <c r="F23163" s="39"/>
    </row>
    <row r="23164">
      <c r="D23164" s="39"/>
      <c r="E23164" s="39"/>
      <c r="F23164" s="39"/>
    </row>
    <row r="23165">
      <c r="D23165" s="39"/>
      <c r="E23165" s="39"/>
      <c r="F23165" s="39"/>
    </row>
    <row r="23166">
      <c r="D23166" s="39"/>
      <c r="E23166" s="39"/>
      <c r="F23166" s="39"/>
    </row>
    <row r="23167">
      <c r="D23167" s="39"/>
      <c r="E23167" s="39"/>
      <c r="F23167" s="39"/>
    </row>
    <row r="23168">
      <c r="D23168" s="39"/>
      <c r="E23168" s="39"/>
      <c r="F23168" s="39"/>
    </row>
    <row r="23169">
      <c r="D23169" s="39"/>
      <c r="E23169" s="39"/>
      <c r="F23169" s="39"/>
    </row>
    <row r="23170">
      <c r="D23170" s="39"/>
      <c r="E23170" s="39"/>
      <c r="F23170" s="39"/>
    </row>
    <row r="23171">
      <c r="D23171" s="39"/>
      <c r="E23171" s="39"/>
      <c r="F23171" s="39"/>
    </row>
    <row r="23172">
      <c r="D23172" s="39"/>
      <c r="E23172" s="39"/>
      <c r="F23172" s="39"/>
    </row>
    <row r="23173">
      <c r="D23173" s="39"/>
      <c r="E23173" s="39"/>
      <c r="F23173" s="39"/>
    </row>
    <row r="23174">
      <c r="D23174" s="39"/>
      <c r="E23174" s="39"/>
      <c r="F23174" s="39"/>
    </row>
    <row r="23175">
      <c r="D23175" s="39"/>
      <c r="E23175" s="39"/>
      <c r="F23175" s="39"/>
    </row>
    <row r="23176">
      <c r="D23176" s="39"/>
      <c r="E23176" s="39"/>
      <c r="F23176" s="39"/>
    </row>
    <row r="23177">
      <c r="D23177" s="39"/>
      <c r="E23177" s="39"/>
      <c r="F23177" s="39"/>
    </row>
    <row r="23178">
      <c r="D23178" s="39"/>
      <c r="E23178" s="39"/>
      <c r="F23178" s="39"/>
    </row>
    <row r="23179">
      <c r="D23179" s="39"/>
      <c r="E23179" s="39"/>
      <c r="F23179" s="39"/>
    </row>
    <row r="23180">
      <c r="D23180" s="39"/>
      <c r="E23180" s="39"/>
      <c r="F23180" s="39"/>
    </row>
    <row r="23181">
      <c r="D23181" s="39"/>
      <c r="E23181" s="39"/>
      <c r="F23181" s="39"/>
    </row>
    <row r="23182">
      <c r="D23182" s="39"/>
      <c r="E23182" s="39"/>
      <c r="F23182" s="39"/>
    </row>
    <row r="23183">
      <c r="D23183" s="39"/>
      <c r="E23183" s="39"/>
      <c r="F23183" s="39"/>
    </row>
    <row r="23184">
      <c r="D23184" s="39"/>
      <c r="E23184" s="39"/>
      <c r="F23184" s="39"/>
    </row>
    <row r="23185">
      <c r="D23185" s="39"/>
      <c r="E23185" s="39"/>
      <c r="F23185" s="39"/>
    </row>
    <row r="23186">
      <c r="D23186" s="39"/>
      <c r="E23186" s="39"/>
      <c r="F23186" s="39"/>
    </row>
    <row r="23187">
      <c r="D23187" s="39"/>
      <c r="E23187" s="39"/>
      <c r="F23187" s="39"/>
    </row>
    <row r="23188">
      <c r="D23188" s="39"/>
      <c r="E23188" s="39"/>
      <c r="F23188" s="39"/>
    </row>
    <row r="23189">
      <c r="D23189" s="39"/>
      <c r="E23189" s="39"/>
      <c r="F23189" s="39"/>
    </row>
    <row r="23190">
      <c r="D23190" s="39"/>
      <c r="E23190" s="39"/>
      <c r="F23190" s="39"/>
    </row>
    <row r="23191">
      <c r="D23191" s="39"/>
      <c r="E23191" s="39"/>
      <c r="F23191" s="39"/>
    </row>
    <row r="23192">
      <c r="D23192" s="39"/>
      <c r="E23192" s="39"/>
      <c r="F23192" s="39"/>
    </row>
    <row r="23193">
      <c r="D23193" s="39"/>
      <c r="E23193" s="39"/>
      <c r="F23193" s="39"/>
    </row>
    <row r="23194">
      <c r="D23194" s="39"/>
      <c r="E23194" s="39"/>
      <c r="F23194" s="39"/>
    </row>
    <row r="23195">
      <c r="D23195" s="39"/>
      <c r="E23195" s="39"/>
      <c r="F23195" s="39"/>
    </row>
    <row r="23196">
      <c r="D23196" s="39"/>
      <c r="E23196" s="39"/>
      <c r="F23196" s="39"/>
    </row>
    <row r="23197">
      <c r="D23197" s="39"/>
      <c r="E23197" s="39"/>
      <c r="F23197" s="39"/>
    </row>
    <row r="23198">
      <c r="D23198" s="39"/>
      <c r="E23198" s="39"/>
      <c r="F23198" s="39"/>
    </row>
    <row r="23199">
      <c r="D23199" s="39"/>
      <c r="E23199" s="39"/>
      <c r="F23199" s="39"/>
    </row>
    <row r="23200">
      <c r="D23200" s="39"/>
      <c r="E23200" s="39"/>
      <c r="F23200" s="39"/>
    </row>
    <row r="23201">
      <c r="D23201" s="39"/>
      <c r="E23201" s="39"/>
      <c r="F23201" s="39"/>
    </row>
    <row r="23202">
      <c r="D23202" s="39"/>
      <c r="E23202" s="39"/>
      <c r="F23202" s="39"/>
    </row>
    <row r="23203">
      <c r="D23203" s="39"/>
      <c r="E23203" s="39"/>
      <c r="F23203" s="39"/>
    </row>
    <row r="23204">
      <c r="D23204" s="39"/>
      <c r="E23204" s="39"/>
      <c r="F23204" s="39"/>
    </row>
    <row r="23205">
      <c r="D23205" s="39"/>
      <c r="E23205" s="39"/>
      <c r="F23205" s="39"/>
    </row>
    <row r="23206">
      <c r="D23206" s="39"/>
      <c r="E23206" s="39"/>
      <c r="F23206" s="39"/>
    </row>
    <row r="23207">
      <c r="D23207" s="39"/>
      <c r="E23207" s="39"/>
      <c r="F23207" s="39"/>
    </row>
    <row r="23208">
      <c r="D23208" s="39"/>
      <c r="E23208" s="39"/>
      <c r="F23208" s="39"/>
    </row>
    <row r="23209">
      <c r="D23209" s="39"/>
      <c r="E23209" s="39"/>
      <c r="F23209" s="39"/>
    </row>
    <row r="23210">
      <c r="D23210" s="39"/>
      <c r="E23210" s="39"/>
      <c r="F23210" s="39"/>
    </row>
    <row r="23211">
      <c r="D23211" s="39"/>
      <c r="E23211" s="39"/>
      <c r="F23211" s="39"/>
    </row>
    <row r="23212">
      <c r="D23212" s="39"/>
      <c r="E23212" s="39"/>
      <c r="F23212" s="39"/>
    </row>
    <row r="23213">
      <c r="D23213" s="39"/>
      <c r="E23213" s="39"/>
      <c r="F23213" s="39"/>
    </row>
    <row r="23214">
      <c r="D23214" s="39"/>
      <c r="E23214" s="39"/>
      <c r="F23214" s="39"/>
    </row>
    <row r="23215">
      <c r="D23215" s="39"/>
      <c r="E23215" s="39"/>
      <c r="F23215" s="39"/>
    </row>
    <row r="23216">
      <c r="D23216" s="39"/>
      <c r="E23216" s="39"/>
      <c r="F23216" s="39"/>
    </row>
    <row r="23217">
      <c r="D23217" s="39"/>
      <c r="E23217" s="39"/>
      <c r="F23217" s="39"/>
    </row>
    <row r="23218">
      <c r="D23218" s="39"/>
      <c r="E23218" s="39"/>
      <c r="F23218" s="39"/>
    </row>
    <row r="23219">
      <c r="D23219" s="39"/>
      <c r="E23219" s="39"/>
      <c r="F23219" s="39"/>
    </row>
    <row r="23220">
      <c r="D23220" s="39"/>
      <c r="E23220" s="39"/>
      <c r="F23220" s="39"/>
    </row>
    <row r="23221">
      <c r="D23221" s="39"/>
      <c r="E23221" s="39"/>
      <c r="F23221" s="39"/>
    </row>
    <row r="23222">
      <c r="D23222" s="39"/>
      <c r="E23222" s="39"/>
      <c r="F23222" s="39"/>
    </row>
    <row r="23223">
      <c r="D23223" s="39"/>
      <c r="E23223" s="39"/>
      <c r="F23223" s="39"/>
    </row>
    <row r="23224">
      <c r="D23224" s="39"/>
      <c r="E23224" s="39"/>
      <c r="F23224" s="39"/>
    </row>
    <row r="23225">
      <c r="D23225" s="39"/>
      <c r="E23225" s="39"/>
      <c r="F23225" s="39"/>
    </row>
    <row r="23226">
      <c r="D23226" s="39"/>
      <c r="E23226" s="39"/>
      <c r="F23226" s="39"/>
    </row>
    <row r="23227">
      <c r="D23227" s="39"/>
      <c r="E23227" s="39"/>
      <c r="F23227" s="39"/>
    </row>
    <row r="23228">
      <c r="D23228" s="39"/>
      <c r="E23228" s="39"/>
      <c r="F23228" s="39"/>
    </row>
    <row r="23229">
      <c r="D23229" s="39"/>
      <c r="E23229" s="39"/>
      <c r="F23229" s="39"/>
    </row>
    <row r="23230">
      <c r="D23230" s="39"/>
      <c r="E23230" s="39"/>
      <c r="F23230" s="39"/>
    </row>
    <row r="23231">
      <c r="D23231" s="39"/>
      <c r="E23231" s="39"/>
      <c r="F23231" s="39"/>
    </row>
    <row r="23232">
      <c r="D23232" s="39"/>
      <c r="E23232" s="39"/>
      <c r="F23232" s="39"/>
    </row>
    <row r="23233">
      <c r="D23233" s="39"/>
      <c r="E23233" s="39"/>
      <c r="F23233" s="39"/>
    </row>
    <row r="23234">
      <c r="D23234" s="39"/>
      <c r="E23234" s="39"/>
      <c r="F23234" s="39"/>
    </row>
    <row r="23235">
      <c r="D23235" s="39"/>
      <c r="E23235" s="39"/>
      <c r="F23235" s="39"/>
    </row>
    <row r="23236">
      <c r="D23236" s="39"/>
      <c r="E23236" s="39"/>
      <c r="F23236" s="39"/>
    </row>
    <row r="23237">
      <c r="D23237" s="39"/>
      <c r="E23237" s="39"/>
      <c r="F23237" s="39"/>
    </row>
    <row r="23238">
      <c r="D23238" s="39"/>
      <c r="E23238" s="39"/>
      <c r="F23238" s="39"/>
    </row>
    <row r="23239">
      <c r="D23239" s="39"/>
      <c r="E23239" s="39"/>
      <c r="F23239" s="39"/>
    </row>
    <row r="23240">
      <c r="D23240" s="39"/>
      <c r="E23240" s="39"/>
      <c r="F23240" s="39"/>
    </row>
    <row r="23241">
      <c r="D23241" s="39"/>
      <c r="E23241" s="39"/>
      <c r="F23241" s="39"/>
    </row>
    <row r="23242">
      <c r="D23242" s="39"/>
      <c r="E23242" s="39"/>
      <c r="F23242" s="39"/>
    </row>
    <row r="23243">
      <c r="D23243" s="39"/>
      <c r="E23243" s="39"/>
      <c r="F23243" s="39"/>
    </row>
    <row r="23244">
      <c r="D23244" s="39"/>
      <c r="E23244" s="39"/>
      <c r="F23244" s="39"/>
    </row>
    <row r="23245">
      <c r="D23245" s="39"/>
      <c r="E23245" s="39"/>
      <c r="F23245" s="39"/>
    </row>
    <row r="23246">
      <c r="D23246" s="39"/>
      <c r="E23246" s="39"/>
      <c r="F23246" s="39"/>
    </row>
    <row r="23247">
      <c r="D23247" s="39"/>
      <c r="E23247" s="39"/>
      <c r="F23247" s="39"/>
    </row>
    <row r="23248">
      <c r="D23248" s="39"/>
      <c r="E23248" s="39"/>
      <c r="F23248" s="39"/>
    </row>
    <row r="23249">
      <c r="D23249" s="39"/>
      <c r="E23249" s="39"/>
      <c r="F23249" s="39"/>
    </row>
    <row r="23250">
      <c r="D23250" s="39"/>
      <c r="E23250" s="39"/>
      <c r="F23250" s="39"/>
    </row>
    <row r="23251">
      <c r="D23251" s="39"/>
      <c r="E23251" s="39"/>
      <c r="F23251" s="39"/>
    </row>
    <row r="23252">
      <c r="D23252" s="39"/>
      <c r="E23252" s="39"/>
      <c r="F23252" s="39"/>
    </row>
    <row r="23253">
      <c r="D23253" s="39"/>
      <c r="E23253" s="39"/>
      <c r="F23253" s="39"/>
    </row>
    <row r="23254">
      <c r="D23254" s="39"/>
      <c r="E23254" s="39"/>
      <c r="F23254" s="39"/>
    </row>
    <row r="23255">
      <c r="D23255" s="39"/>
      <c r="E23255" s="39"/>
      <c r="F23255" s="39"/>
    </row>
    <row r="23256">
      <c r="D23256" s="39"/>
      <c r="E23256" s="39"/>
      <c r="F23256" s="39"/>
    </row>
    <row r="23257">
      <c r="D23257" s="39"/>
      <c r="E23257" s="39"/>
      <c r="F23257" s="39"/>
    </row>
    <row r="23258">
      <c r="D23258" s="39"/>
      <c r="E23258" s="39"/>
      <c r="F23258" s="39"/>
    </row>
    <row r="23259">
      <c r="D23259" s="39"/>
      <c r="E23259" s="39"/>
      <c r="F23259" s="39"/>
    </row>
    <row r="23260">
      <c r="D23260" s="39"/>
      <c r="E23260" s="39"/>
      <c r="F23260" s="39"/>
    </row>
    <row r="23261">
      <c r="D23261" s="39"/>
      <c r="E23261" s="39"/>
      <c r="F23261" s="39"/>
    </row>
    <row r="23262">
      <c r="D23262" s="39"/>
      <c r="E23262" s="39"/>
      <c r="F23262" s="39"/>
    </row>
    <row r="23263">
      <c r="D23263" s="39"/>
      <c r="E23263" s="39"/>
      <c r="F23263" s="39"/>
    </row>
    <row r="23264">
      <c r="D23264" s="39"/>
      <c r="E23264" s="39"/>
      <c r="F23264" s="39"/>
    </row>
    <row r="23265">
      <c r="D23265" s="39"/>
      <c r="E23265" s="39"/>
      <c r="F23265" s="39"/>
    </row>
    <row r="23266">
      <c r="D23266" s="39"/>
      <c r="E23266" s="39"/>
      <c r="F23266" s="39"/>
    </row>
    <row r="23267">
      <c r="D23267" s="39"/>
      <c r="E23267" s="39"/>
      <c r="F23267" s="39"/>
    </row>
    <row r="23268">
      <c r="D23268" s="39"/>
      <c r="E23268" s="39"/>
      <c r="F23268" s="39"/>
    </row>
    <row r="23269">
      <c r="D23269" s="39"/>
      <c r="E23269" s="39"/>
      <c r="F23269" s="39"/>
    </row>
    <row r="23270">
      <c r="D23270" s="39"/>
      <c r="E23270" s="39"/>
      <c r="F23270" s="39"/>
    </row>
    <row r="23271">
      <c r="D23271" s="39"/>
      <c r="E23271" s="39"/>
      <c r="F23271" s="39"/>
    </row>
    <row r="23272">
      <c r="D23272" s="39"/>
      <c r="E23272" s="39"/>
      <c r="F23272" s="39"/>
    </row>
    <row r="23273">
      <c r="D23273" s="39"/>
      <c r="E23273" s="39"/>
      <c r="F23273" s="39"/>
    </row>
    <row r="23274">
      <c r="D23274" s="39"/>
      <c r="E23274" s="39"/>
      <c r="F23274" s="39"/>
    </row>
    <row r="23275">
      <c r="D23275" s="39"/>
      <c r="E23275" s="39"/>
      <c r="F23275" s="39"/>
    </row>
    <row r="23276">
      <c r="D23276" s="39"/>
      <c r="E23276" s="39"/>
      <c r="F23276" s="39"/>
    </row>
    <row r="23277">
      <c r="D23277" s="39"/>
      <c r="E23277" s="39"/>
      <c r="F23277" s="39"/>
    </row>
    <row r="23278">
      <c r="D23278" s="39"/>
      <c r="E23278" s="39"/>
      <c r="F23278" s="39"/>
    </row>
    <row r="23279">
      <c r="D23279" s="39"/>
      <c r="E23279" s="39"/>
      <c r="F23279" s="39"/>
    </row>
    <row r="23280">
      <c r="D23280" s="39"/>
      <c r="E23280" s="39"/>
      <c r="F23280" s="39"/>
    </row>
    <row r="23281">
      <c r="D23281" s="39"/>
      <c r="E23281" s="39"/>
      <c r="F23281" s="39"/>
    </row>
    <row r="23282">
      <c r="D23282" s="39"/>
      <c r="E23282" s="39"/>
      <c r="F23282" s="39"/>
    </row>
    <row r="23283">
      <c r="D23283" s="39"/>
      <c r="E23283" s="39"/>
      <c r="F23283" s="39"/>
    </row>
    <row r="23284">
      <c r="D23284" s="39"/>
      <c r="E23284" s="39"/>
      <c r="F23284" s="39"/>
    </row>
    <row r="23285">
      <c r="D23285" s="39"/>
      <c r="E23285" s="39"/>
      <c r="F23285" s="39"/>
    </row>
    <row r="23286">
      <c r="D23286" s="39"/>
      <c r="E23286" s="39"/>
      <c r="F23286" s="39"/>
    </row>
    <row r="23287">
      <c r="D23287" s="39"/>
      <c r="E23287" s="39"/>
      <c r="F23287" s="39"/>
    </row>
    <row r="23288">
      <c r="D23288" s="39"/>
      <c r="E23288" s="39"/>
      <c r="F23288" s="39"/>
    </row>
    <row r="23289">
      <c r="D23289" s="39"/>
      <c r="E23289" s="39"/>
      <c r="F23289" s="39"/>
    </row>
    <row r="23290">
      <c r="D23290" s="39"/>
      <c r="E23290" s="39"/>
      <c r="F23290" s="39"/>
    </row>
    <row r="23291">
      <c r="D23291" s="39"/>
      <c r="E23291" s="39"/>
      <c r="F23291" s="39"/>
    </row>
    <row r="23292">
      <c r="D23292" s="39"/>
      <c r="E23292" s="39"/>
      <c r="F23292" s="39"/>
    </row>
    <row r="23293">
      <c r="D23293" s="39"/>
      <c r="E23293" s="39"/>
      <c r="F23293" s="39"/>
    </row>
    <row r="23294">
      <c r="D23294" s="39"/>
      <c r="E23294" s="39"/>
      <c r="F23294" s="39"/>
    </row>
    <row r="23295">
      <c r="D23295" s="39"/>
      <c r="E23295" s="39"/>
      <c r="F23295" s="39"/>
    </row>
    <row r="23296">
      <c r="D23296" s="39"/>
      <c r="E23296" s="39"/>
      <c r="F23296" s="39"/>
    </row>
    <row r="23297">
      <c r="D23297" s="39"/>
      <c r="E23297" s="39"/>
      <c r="F23297" s="39"/>
    </row>
    <row r="23298">
      <c r="D23298" s="39"/>
      <c r="E23298" s="39"/>
      <c r="F23298" s="39"/>
    </row>
    <row r="23299">
      <c r="D23299" s="39"/>
      <c r="E23299" s="39"/>
      <c r="F23299" s="39"/>
    </row>
    <row r="23300">
      <c r="D23300" s="39"/>
      <c r="E23300" s="39"/>
      <c r="F23300" s="39"/>
    </row>
    <row r="23301">
      <c r="D23301" s="39"/>
      <c r="E23301" s="39"/>
      <c r="F23301" s="39"/>
    </row>
    <row r="23302">
      <c r="D23302" s="39"/>
      <c r="E23302" s="39"/>
      <c r="F23302" s="39"/>
    </row>
    <row r="23303">
      <c r="D23303" s="39"/>
      <c r="E23303" s="39"/>
      <c r="F23303" s="39"/>
    </row>
    <row r="23304">
      <c r="D23304" s="39"/>
      <c r="E23304" s="39"/>
      <c r="F23304" s="39"/>
    </row>
    <row r="23305">
      <c r="D23305" s="39"/>
      <c r="E23305" s="39"/>
      <c r="F23305" s="39"/>
    </row>
    <row r="23306">
      <c r="D23306" s="39"/>
      <c r="E23306" s="39"/>
      <c r="F23306" s="39"/>
    </row>
    <row r="23307">
      <c r="D23307" s="39"/>
      <c r="E23307" s="39"/>
      <c r="F23307" s="39"/>
    </row>
    <row r="23308">
      <c r="D23308" s="39"/>
      <c r="E23308" s="39"/>
      <c r="F23308" s="39"/>
    </row>
    <row r="23309">
      <c r="D23309" s="39"/>
      <c r="E23309" s="39"/>
      <c r="F23309" s="39"/>
    </row>
    <row r="23310">
      <c r="D23310" s="39"/>
      <c r="E23310" s="39"/>
      <c r="F23310" s="39"/>
    </row>
    <row r="23311">
      <c r="D23311" s="39"/>
      <c r="E23311" s="39"/>
      <c r="F23311" s="39"/>
    </row>
    <row r="23312">
      <c r="D23312" s="39"/>
      <c r="E23312" s="39"/>
      <c r="F23312" s="39"/>
    </row>
    <row r="23313">
      <c r="D23313" s="39"/>
      <c r="E23313" s="39"/>
      <c r="F23313" s="39"/>
    </row>
    <row r="23314">
      <c r="D23314" s="39"/>
      <c r="E23314" s="39"/>
      <c r="F23314" s="39"/>
    </row>
    <row r="23315">
      <c r="D23315" s="39"/>
      <c r="E23315" s="39"/>
      <c r="F23315" s="39"/>
    </row>
    <row r="23316">
      <c r="D23316" s="39"/>
      <c r="E23316" s="39"/>
      <c r="F23316" s="39"/>
    </row>
    <row r="23317">
      <c r="D23317" s="39"/>
      <c r="E23317" s="39"/>
      <c r="F23317" s="39"/>
    </row>
    <row r="23318">
      <c r="D23318" s="39"/>
      <c r="E23318" s="39"/>
      <c r="F23318" s="39"/>
    </row>
    <row r="23319">
      <c r="D23319" s="39"/>
      <c r="E23319" s="39"/>
      <c r="F23319" s="39"/>
    </row>
    <row r="23320">
      <c r="D23320" s="39"/>
      <c r="E23320" s="39"/>
      <c r="F23320" s="39"/>
    </row>
    <row r="23321">
      <c r="D23321" s="39"/>
      <c r="E23321" s="39"/>
      <c r="F23321" s="39"/>
    </row>
    <row r="23322">
      <c r="D23322" s="39"/>
      <c r="E23322" s="39"/>
      <c r="F23322" s="39"/>
    </row>
    <row r="23323">
      <c r="D23323" s="39"/>
      <c r="E23323" s="39"/>
      <c r="F23323" s="39"/>
    </row>
    <row r="23324">
      <c r="D23324" s="39"/>
      <c r="E23324" s="39"/>
      <c r="F23324" s="39"/>
    </row>
    <row r="23325">
      <c r="D23325" s="39"/>
      <c r="E23325" s="39"/>
      <c r="F23325" s="39"/>
    </row>
    <row r="23326">
      <c r="D23326" s="39"/>
      <c r="E23326" s="39"/>
      <c r="F23326" s="39"/>
    </row>
    <row r="23327">
      <c r="D23327" s="39"/>
      <c r="E23327" s="39"/>
      <c r="F23327" s="39"/>
    </row>
    <row r="23328">
      <c r="D23328" s="39"/>
      <c r="E23328" s="39"/>
      <c r="F23328" s="39"/>
    </row>
    <row r="23329">
      <c r="D23329" s="39"/>
      <c r="E23329" s="39"/>
      <c r="F23329" s="39"/>
    </row>
    <row r="23330">
      <c r="D23330" s="39"/>
      <c r="E23330" s="39"/>
      <c r="F23330" s="39"/>
    </row>
    <row r="23331">
      <c r="D23331" s="39"/>
      <c r="E23331" s="39"/>
      <c r="F23331" s="39"/>
    </row>
    <row r="23332">
      <c r="D23332" s="39"/>
      <c r="E23332" s="39"/>
      <c r="F23332" s="39"/>
    </row>
    <row r="23333">
      <c r="D23333" s="39"/>
      <c r="E23333" s="39"/>
      <c r="F23333" s="39"/>
    </row>
    <row r="23334">
      <c r="D23334" s="39"/>
      <c r="E23334" s="39"/>
      <c r="F23334" s="39"/>
    </row>
    <row r="23335">
      <c r="D23335" s="39"/>
      <c r="E23335" s="39"/>
      <c r="F23335" s="39"/>
    </row>
    <row r="23336">
      <c r="D23336" s="39"/>
      <c r="E23336" s="39"/>
      <c r="F23336" s="39"/>
    </row>
    <row r="23337">
      <c r="D23337" s="39"/>
      <c r="E23337" s="39"/>
      <c r="F23337" s="39"/>
    </row>
    <row r="23338">
      <c r="D23338" s="39"/>
      <c r="E23338" s="39"/>
      <c r="F23338" s="39"/>
    </row>
    <row r="23339">
      <c r="D23339" s="39"/>
      <c r="E23339" s="39"/>
      <c r="F23339" s="39"/>
    </row>
    <row r="23340">
      <c r="D23340" s="39"/>
      <c r="E23340" s="39"/>
      <c r="F23340" s="39"/>
    </row>
    <row r="23341">
      <c r="D23341" s="39"/>
      <c r="E23341" s="39"/>
      <c r="F23341" s="39"/>
    </row>
    <row r="23342">
      <c r="D23342" s="39"/>
      <c r="E23342" s="39"/>
      <c r="F23342" s="39"/>
    </row>
    <row r="23343">
      <c r="D23343" s="39"/>
      <c r="E23343" s="39"/>
      <c r="F23343" s="39"/>
    </row>
    <row r="23344">
      <c r="D23344" s="39"/>
      <c r="E23344" s="39"/>
      <c r="F23344" s="39"/>
    </row>
    <row r="23345">
      <c r="D23345" s="39"/>
      <c r="E23345" s="39"/>
      <c r="F23345" s="39"/>
    </row>
    <row r="23346">
      <c r="D23346" s="39"/>
      <c r="E23346" s="39"/>
      <c r="F23346" s="39"/>
    </row>
    <row r="23347">
      <c r="D23347" s="39"/>
      <c r="E23347" s="39"/>
      <c r="F23347" s="39"/>
    </row>
    <row r="23348">
      <c r="D23348" s="39"/>
      <c r="E23348" s="39"/>
      <c r="F23348" s="39"/>
    </row>
    <row r="23349">
      <c r="D23349" s="39"/>
      <c r="E23349" s="39"/>
      <c r="F23349" s="39"/>
    </row>
    <row r="23350">
      <c r="D23350" s="39"/>
      <c r="E23350" s="39"/>
      <c r="F23350" s="39"/>
    </row>
    <row r="23351">
      <c r="D23351" s="39"/>
      <c r="E23351" s="39"/>
      <c r="F23351" s="39"/>
    </row>
    <row r="23352">
      <c r="D23352" s="39"/>
      <c r="E23352" s="39"/>
      <c r="F23352" s="39"/>
    </row>
    <row r="23353">
      <c r="D23353" s="39"/>
      <c r="E23353" s="39"/>
      <c r="F23353" s="39"/>
    </row>
    <row r="23354">
      <c r="D23354" s="39"/>
      <c r="E23354" s="39"/>
      <c r="F23354" s="39"/>
    </row>
    <row r="23355">
      <c r="D23355" s="39"/>
      <c r="E23355" s="39"/>
      <c r="F23355" s="39"/>
    </row>
    <row r="23356">
      <c r="D23356" s="39"/>
      <c r="E23356" s="39"/>
      <c r="F23356" s="39"/>
    </row>
    <row r="23357">
      <c r="D23357" s="39"/>
      <c r="E23357" s="39"/>
      <c r="F23357" s="39"/>
    </row>
    <row r="23358">
      <c r="D23358" s="39"/>
      <c r="E23358" s="39"/>
      <c r="F23358" s="39"/>
    </row>
    <row r="23359">
      <c r="D23359" s="39"/>
      <c r="E23359" s="39"/>
      <c r="F23359" s="39"/>
    </row>
    <row r="23360">
      <c r="D23360" s="39"/>
      <c r="E23360" s="39"/>
      <c r="F23360" s="39"/>
    </row>
    <row r="23361">
      <c r="D23361" s="39"/>
      <c r="E23361" s="39"/>
      <c r="F23361" s="39"/>
    </row>
    <row r="23362">
      <c r="D23362" s="39"/>
      <c r="E23362" s="39"/>
      <c r="F23362" s="39"/>
    </row>
    <row r="23363">
      <c r="D23363" s="39"/>
      <c r="E23363" s="39"/>
      <c r="F23363" s="39"/>
    </row>
    <row r="23364">
      <c r="D23364" s="39"/>
      <c r="E23364" s="39"/>
      <c r="F23364" s="39"/>
    </row>
    <row r="23365">
      <c r="D23365" s="39"/>
      <c r="E23365" s="39"/>
      <c r="F23365" s="39"/>
    </row>
    <row r="23366">
      <c r="D23366" s="39"/>
      <c r="E23366" s="39"/>
      <c r="F23366" s="39"/>
    </row>
    <row r="23367">
      <c r="D23367" s="39"/>
      <c r="E23367" s="39"/>
      <c r="F23367" s="39"/>
    </row>
    <row r="23368">
      <c r="D23368" s="39"/>
      <c r="E23368" s="39"/>
      <c r="F23368" s="39"/>
    </row>
    <row r="23369">
      <c r="D23369" s="39"/>
      <c r="E23369" s="39"/>
      <c r="F23369" s="39"/>
    </row>
    <row r="23370">
      <c r="D23370" s="39"/>
      <c r="E23370" s="39"/>
      <c r="F23370" s="39"/>
    </row>
    <row r="23371">
      <c r="D23371" s="39"/>
      <c r="E23371" s="39"/>
      <c r="F23371" s="39"/>
    </row>
    <row r="23372">
      <c r="D23372" s="39"/>
      <c r="E23372" s="39"/>
      <c r="F23372" s="39"/>
    </row>
    <row r="23373">
      <c r="D23373" s="39"/>
      <c r="E23373" s="39"/>
      <c r="F23373" s="39"/>
    </row>
    <row r="23374">
      <c r="D23374" s="39"/>
      <c r="E23374" s="39"/>
      <c r="F23374" s="39"/>
    </row>
    <row r="23375">
      <c r="D23375" s="39"/>
      <c r="E23375" s="39"/>
      <c r="F23375" s="39"/>
    </row>
    <row r="23376">
      <c r="D23376" s="39"/>
      <c r="E23376" s="39"/>
      <c r="F23376" s="39"/>
    </row>
    <row r="23377">
      <c r="D23377" s="39"/>
      <c r="E23377" s="39"/>
      <c r="F23377" s="39"/>
    </row>
    <row r="23378">
      <c r="D23378" s="39"/>
      <c r="E23378" s="39"/>
      <c r="F23378" s="39"/>
    </row>
    <row r="23379">
      <c r="D23379" s="39"/>
      <c r="E23379" s="39"/>
      <c r="F23379" s="39"/>
    </row>
    <row r="23380">
      <c r="D23380" s="39"/>
      <c r="E23380" s="39"/>
      <c r="F23380" s="39"/>
    </row>
    <row r="23381">
      <c r="D23381" s="39"/>
      <c r="E23381" s="39"/>
      <c r="F23381" s="39"/>
    </row>
    <row r="23382">
      <c r="D23382" s="39"/>
      <c r="E23382" s="39"/>
      <c r="F23382" s="39"/>
    </row>
    <row r="23383">
      <c r="D23383" s="39"/>
      <c r="E23383" s="39"/>
      <c r="F23383" s="39"/>
    </row>
    <row r="23384">
      <c r="D23384" s="39"/>
      <c r="E23384" s="39"/>
      <c r="F23384" s="39"/>
    </row>
    <row r="23385">
      <c r="D23385" s="39"/>
      <c r="E23385" s="39"/>
      <c r="F23385" s="39"/>
    </row>
    <row r="23386">
      <c r="D23386" s="39"/>
      <c r="E23386" s="39"/>
      <c r="F23386" s="39"/>
    </row>
    <row r="23387">
      <c r="D23387" s="39"/>
      <c r="E23387" s="39"/>
      <c r="F23387" s="39"/>
    </row>
    <row r="23388">
      <c r="D23388" s="39"/>
      <c r="E23388" s="39"/>
      <c r="F23388" s="39"/>
    </row>
    <row r="23389">
      <c r="D23389" s="39"/>
      <c r="E23389" s="39"/>
      <c r="F23389" s="39"/>
    </row>
    <row r="23390">
      <c r="D23390" s="39"/>
      <c r="E23390" s="39"/>
      <c r="F23390" s="39"/>
    </row>
    <row r="23391">
      <c r="D23391" s="39"/>
      <c r="E23391" s="39"/>
      <c r="F23391" s="39"/>
    </row>
    <row r="23392">
      <c r="D23392" s="39"/>
      <c r="E23392" s="39"/>
      <c r="F23392" s="39"/>
    </row>
    <row r="23393">
      <c r="D23393" s="39"/>
      <c r="E23393" s="39"/>
      <c r="F23393" s="39"/>
    </row>
    <row r="23394">
      <c r="D23394" s="39"/>
      <c r="E23394" s="39"/>
      <c r="F23394" s="39"/>
    </row>
    <row r="23395">
      <c r="D23395" s="39"/>
      <c r="E23395" s="39"/>
      <c r="F23395" s="39"/>
    </row>
    <row r="23396">
      <c r="D23396" s="39"/>
      <c r="E23396" s="39"/>
      <c r="F23396" s="39"/>
    </row>
    <row r="23397">
      <c r="D23397" s="39"/>
      <c r="E23397" s="39"/>
      <c r="F23397" s="39"/>
    </row>
    <row r="23398">
      <c r="D23398" s="39"/>
      <c r="E23398" s="39"/>
      <c r="F23398" s="39"/>
    </row>
    <row r="23399">
      <c r="D23399" s="39"/>
      <c r="E23399" s="39"/>
      <c r="F23399" s="39"/>
    </row>
    <row r="23400">
      <c r="D23400" s="39"/>
      <c r="E23400" s="39"/>
      <c r="F23400" s="39"/>
    </row>
    <row r="23401">
      <c r="D23401" s="39"/>
      <c r="E23401" s="39"/>
      <c r="F23401" s="39"/>
    </row>
    <row r="23402">
      <c r="D23402" s="39"/>
      <c r="E23402" s="39"/>
      <c r="F23402" s="39"/>
    </row>
    <row r="23403">
      <c r="D23403" s="39"/>
      <c r="E23403" s="39"/>
      <c r="F23403" s="39"/>
    </row>
    <row r="23404">
      <c r="D23404" s="39"/>
      <c r="E23404" s="39"/>
      <c r="F23404" s="39"/>
    </row>
    <row r="23405">
      <c r="D23405" s="39"/>
      <c r="E23405" s="39"/>
      <c r="F23405" s="39"/>
    </row>
    <row r="23406">
      <c r="D23406" s="39"/>
      <c r="E23406" s="39"/>
      <c r="F23406" s="39"/>
    </row>
    <row r="23407">
      <c r="D23407" s="39"/>
      <c r="E23407" s="39"/>
      <c r="F23407" s="39"/>
    </row>
    <row r="23408">
      <c r="D23408" s="39"/>
      <c r="E23408" s="39"/>
      <c r="F23408" s="39"/>
    </row>
    <row r="23409">
      <c r="D23409" s="39"/>
      <c r="E23409" s="39"/>
      <c r="F23409" s="39"/>
    </row>
    <row r="23410">
      <c r="D23410" s="39"/>
      <c r="E23410" s="39"/>
      <c r="F23410" s="39"/>
    </row>
    <row r="23411">
      <c r="D23411" s="39"/>
      <c r="E23411" s="39"/>
      <c r="F23411" s="39"/>
    </row>
    <row r="23412">
      <c r="D23412" s="39"/>
      <c r="E23412" s="39"/>
      <c r="F23412" s="39"/>
    </row>
    <row r="23413">
      <c r="D23413" s="39"/>
      <c r="E23413" s="39"/>
      <c r="F23413" s="39"/>
    </row>
    <row r="23414">
      <c r="D23414" s="39"/>
      <c r="E23414" s="39"/>
      <c r="F23414" s="39"/>
    </row>
    <row r="23415">
      <c r="D23415" s="39"/>
      <c r="E23415" s="39"/>
      <c r="F23415" s="39"/>
    </row>
    <row r="23416">
      <c r="D23416" s="39"/>
      <c r="E23416" s="39"/>
      <c r="F23416" s="39"/>
    </row>
    <row r="23417">
      <c r="D23417" s="39"/>
      <c r="E23417" s="39"/>
      <c r="F23417" s="39"/>
    </row>
    <row r="23418">
      <c r="D23418" s="39"/>
      <c r="E23418" s="39"/>
      <c r="F23418" s="39"/>
    </row>
    <row r="23419">
      <c r="D23419" s="39"/>
      <c r="E23419" s="39"/>
      <c r="F23419" s="39"/>
    </row>
    <row r="23420">
      <c r="D23420" s="39"/>
      <c r="E23420" s="39"/>
      <c r="F23420" s="39"/>
    </row>
    <row r="23421">
      <c r="D23421" s="39"/>
      <c r="E23421" s="39"/>
      <c r="F23421" s="39"/>
    </row>
    <row r="23422">
      <c r="D23422" s="39"/>
      <c r="E23422" s="39"/>
      <c r="F23422" s="39"/>
    </row>
    <row r="23423">
      <c r="D23423" s="39"/>
      <c r="E23423" s="39"/>
      <c r="F23423" s="39"/>
    </row>
    <row r="23424">
      <c r="D23424" s="39"/>
      <c r="E23424" s="39"/>
      <c r="F23424" s="39"/>
    </row>
    <row r="23425">
      <c r="D23425" s="39"/>
      <c r="E23425" s="39"/>
      <c r="F23425" s="39"/>
    </row>
    <row r="23426">
      <c r="D23426" s="39"/>
      <c r="E23426" s="39"/>
      <c r="F23426" s="39"/>
    </row>
    <row r="23427">
      <c r="D23427" s="39"/>
      <c r="E23427" s="39"/>
      <c r="F23427" s="39"/>
    </row>
    <row r="23428">
      <c r="D23428" s="39"/>
      <c r="E23428" s="39"/>
      <c r="F23428" s="39"/>
    </row>
    <row r="23429">
      <c r="D23429" s="39"/>
      <c r="E23429" s="39"/>
      <c r="F23429" s="39"/>
    </row>
    <row r="23430">
      <c r="D23430" s="39"/>
      <c r="E23430" s="39"/>
      <c r="F23430" s="39"/>
    </row>
    <row r="23431">
      <c r="D23431" s="39"/>
      <c r="E23431" s="39"/>
      <c r="F23431" s="39"/>
    </row>
    <row r="23432">
      <c r="D23432" s="39"/>
      <c r="E23432" s="39"/>
      <c r="F23432" s="39"/>
    </row>
    <row r="23433">
      <c r="D23433" s="39"/>
      <c r="E23433" s="39"/>
      <c r="F23433" s="39"/>
    </row>
    <row r="23434">
      <c r="D23434" s="39"/>
      <c r="E23434" s="39"/>
      <c r="F23434" s="39"/>
    </row>
    <row r="23435">
      <c r="D23435" s="39"/>
      <c r="E23435" s="39"/>
      <c r="F23435" s="39"/>
    </row>
    <row r="23436">
      <c r="D23436" s="39"/>
      <c r="E23436" s="39"/>
      <c r="F23436" s="39"/>
    </row>
    <row r="23437">
      <c r="D23437" s="39"/>
      <c r="E23437" s="39"/>
      <c r="F23437" s="39"/>
    </row>
    <row r="23438">
      <c r="D23438" s="39"/>
      <c r="E23438" s="39"/>
      <c r="F23438" s="39"/>
    </row>
    <row r="23439">
      <c r="D23439" s="39"/>
      <c r="E23439" s="39"/>
      <c r="F23439" s="39"/>
    </row>
    <row r="23440">
      <c r="D23440" s="39"/>
      <c r="E23440" s="39"/>
      <c r="F23440" s="39"/>
    </row>
    <row r="23441">
      <c r="D23441" s="39"/>
      <c r="E23441" s="39"/>
      <c r="F23441" s="39"/>
    </row>
    <row r="23442">
      <c r="D23442" s="39"/>
      <c r="E23442" s="39"/>
      <c r="F23442" s="39"/>
    </row>
    <row r="23443">
      <c r="D23443" s="39"/>
      <c r="E23443" s="39"/>
      <c r="F23443" s="39"/>
    </row>
    <row r="23444">
      <c r="D23444" s="39"/>
      <c r="E23444" s="39"/>
      <c r="F23444" s="39"/>
    </row>
    <row r="23445">
      <c r="D23445" s="39"/>
      <c r="E23445" s="39"/>
      <c r="F23445" s="39"/>
    </row>
    <row r="23446">
      <c r="D23446" s="39"/>
      <c r="E23446" s="39"/>
      <c r="F23446" s="39"/>
    </row>
    <row r="23447">
      <c r="D23447" s="39"/>
      <c r="E23447" s="39"/>
      <c r="F23447" s="39"/>
    </row>
    <row r="23448">
      <c r="D23448" s="39"/>
      <c r="E23448" s="39"/>
      <c r="F23448" s="39"/>
    </row>
    <row r="23449">
      <c r="D23449" s="39"/>
      <c r="E23449" s="39"/>
      <c r="F23449" s="39"/>
    </row>
    <row r="23450">
      <c r="D23450" s="39"/>
      <c r="E23450" s="39"/>
      <c r="F23450" s="39"/>
    </row>
    <row r="23451">
      <c r="D23451" s="39"/>
      <c r="E23451" s="39"/>
      <c r="F23451" s="39"/>
    </row>
    <row r="23452">
      <c r="D23452" s="39"/>
      <c r="E23452" s="39"/>
      <c r="F23452" s="39"/>
    </row>
    <row r="23453">
      <c r="D23453" s="39"/>
      <c r="E23453" s="39"/>
      <c r="F23453" s="39"/>
    </row>
    <row r="23454">
      <c r="D23454" s="39"/>
      <c r="E23454" s="39"/>
      <c r="F23454" s="39"/>
    </row>
    <row r="23455">
      <c r="D23455" s="39"/>
      <c r="E23455" s="39"/>
      <c r="F23455" s="39"/>
    </row>
    <row r="23456">
      <c r="D23456" s="39"/>
      <c r="E23456" s="39"/>
      <c r="F23456" s="39"/>
    </row>
    <row r="23457">
      <c r="D23457" s="39"/>
      <c r="E23457" s="39"/>
      <c r="F23457" s="39"/>
    </row>
    <row r="23458">
      <c r="D23458" s="39"/>
      <c r="E23458" s="39"/>
      <c r="F23458" s="39"/>
    </row>
    <row r="23459">
      <c r="D23459" s="39"/>
      <c r="E23459" s="39"/>
      <c r="F23459" s="39"/>
    </row>
    <row r="23460">
      <c r="D23460" s="39"/>
      <c r="E23460" s="39"/>
      <c r="F23460" s="39"/>
    </row>
    <row r="23461">
      <c r="D23461" s="39"/>
      <c r="E23461" s="39"/>
      <c r="F23461" s="39"/>
    </row>
    <row r="23462">
      <c r="D23462" s="39"/>
      <c r="E23462" s="39"/>
      <c r="F23462" s="39"/>
    </row>
    <row r="23463">
      <c r="D23463" s="39"/>
      <c r="E23463" s="39"/>
      <c r="F23463" s="39"/>
    </row>
    <row r="23464">
      <c r="D23464" s="39"/>
      <c r="E23464" s="39"/>
      <c r="F23464" s="39"/>
    </row>
    <row r="23465">
      <c r="D23465" s="39"/>
      <c r="E23465" s="39"/>
      <c r="F23465" s="39"/>
    </row>
    <row r="23466">
      <c r="D23466" s="39"/>
      <c r="E23466" s="39"/>
      <c r="F23466" s="39"/>
    </row>
    <row r="23467">
      <c r="D23467" s="39"/>
      <c r="E23467" s="39"/>
      <c r="F23467" s="39"/>
    </row>
    <row r="23468">
      <c r="D23468" s="39"/>
      <c r="E23468" s="39"/>
      <c r="F23468" s="39"/>
    </row>
    <row r="23469">
      <c r="D23469" s="39"/>
      <c r="E23469" s="39"/>
      <c r="F23469" s="39"/>
    </row>
    <row r="23470">
      <c r="D23470" s="39"/>
      <c r="E23470" s="39"/>
      <c r="F23470" s="39"/>
    </row>
    <row r="23471">
      <c r="D23471" s="39"/>
      <c r="E23471" s="39"/>
      <c r="F23471" s="39"/>
    </row>
    <row r="23472">
      <c r="D23472" s="39"/>
      <c r="E23472" s="39"/>
      <c r="F23472" s="39"/>
    </row>
    <row r="23473">
      <c r="D23473" s="39"/>
      <c r="E23473" s="39"/>
      <c r="F23473" s="39"/>
    </row>
    <row r="23474">
      <c r="D23474" s="39"/>
      <c r="E23474" s="39"/>
      <c r="F23474" s="39"/>
    </row>
    <row r="23475">
      <c r="D23475" s="39"/>
      <c r="E23475" s="39"/>
      <c r="F23475" s="39"/>
    </row>
    <row r="23476">
      <c r="D23476" s="39"/>
      <c r="E23476" s="39"/>
      <c r="F23476" s="39"/>
    </row>
    <row r="23477">
      <c r="D23477" s="39"/>
      <c r="E23477" s="39"/>
      <c r="F23477" s="39"/>
    </row>
    <row r="23478">
      <c r="D23478" s="39"/>
      <c r="E23478" s="39"/>
      <c r="F23478" s="39"/>
    </row>
    <row r="23479">
      <c r="D23479" s="39"/>
      <c r="E23479" s="39"/>
      <c r="F23479" s="39"/>
    </row>
    <row r="23480">
      <c r="D23480" s="39"/>
      <c r="E23480" s="39"/>
      <c r="F23480" s="39"/>
    </row>
    <row r="23481">
      <c r="D23481" s="39"/>
      <c r="E23481" s="39"/>
      <c r="F23481" s="39"/>
    </row>
    <row r="23482">
      <c r="D23482" s="39"/>
      <c r="E23482" s="39"/>
      <c r="F23482" s="39"/>
    </row>
    <row r="23483">
      <c r="D23483" s="39"/>
      <c r="E23483" s="39"/>
      <c r="F23483" s="39"/>
    </row>
    <row r="23484">
      <c r="D23484" s="39"/>
      <c r="E23484" s="39"/>
      <c r="F23484" s="39"/>
    </row>
    <row r="23485">
      <c r="D23485" s="39"/>
      <c r="E23485" s="39"/>
      <c r="F23485" s="39"/>
    </row>
    <row r="23486">
      <c r="D23486" s="39"/>
      <c r="E23486" s="39"/>
      <c r="F23486" s="39"/>
    </row>
    <row r="23487">
      <c r="D23487" s="39"/>
      <c r="E23487" s="39"/>
      <c r="F23487" s="39"/>
    </row>
    <row r="23488">
      <c r="D23488" s="39"/>
      <c r="E23488" s="39"/>
      <c r="F23488" s="39"/>
    </row>
    <row r="23489">
      <c r="D23489" s="39"/>
      <c r="E23489" s="39"/>
      <c r="F23489" s="39"/>
    </row>
    <row r="23490">
      <c r="D23490" s="39"/>
      <c r="E23490" s="39"/>
      <c r="F23490" s="39"/>
    </row>
    <row r="23491">
      <c r="D23491" s="39"/>
      <c r="E23491" s="39"/>
      <c r="F23491" s="39"/>
    </row>
    <row r="23492">
      <c r="D23492" s="39"/>
      <c r="E23492" s="39"/>
      <c r="F23492" s="39"/>
    </row>
    <row r="23493">
      <c r="D23493" s="39"/>
      <c r="E23493" s="39"/>
      <c r="F23493" s="39"/>
    </row>
    <row r="23494">
      <c r="D23494" s="39"/>
      <c r="E23494" s="39"/>
      <c r="F23494" s="39"/>
    </row>
    <row r="23495">
      <c r="D23495" s="39"/>
      <c r="E23495" s="39"/>
      <c r="F23495" s="39"/>
    </row>
    <row r="23496">
      <c r="D23496" s="39"/>
      <c r="E23496" s="39"/>
      <c r="F23496" s="39"/>
    </row>
    <row r="23497">
      <c r="D23497" s="39"/>
      <c r="E23497" s="39"/>
      <c r="F23497" s="39"/>
    </row>
    <row r="23498">
      <c r="D23498" s="39"/>
      <c r="E23498" s="39"/>
      <c r="F23498" s="39"/>
    </row>
    <row r="23499">
      <c r="D23499" s="39"/>
      <c r="E23499" s="39"/>
      <c r="F23499" s="39"/>
    </row>
    <row r="23500">
      <c r="D23500" s="39"/>
      <c r="E23500" s="39"/>
      <c r="F23500" s="39"/>
    </row>
    <row r="23501">
      <c r="D23501" s="39"/>
      <c r="E23501" s="39"/>
      <c r="F23501" s="39"/>
    </row>
    <row r="23502">
      <c r="D23502" s="39"/>
      <c r="E23502" s="39"/>
      <c r="F23502" s="39"/>
    </row>
    <row r="23503">
      <c r="D23503" s="39"/>
      <c r="E23503" s="39"/>
      <c r="F23503" s="39"/>
    </row>
    <row r="23504">
      <c r="D23504" s="39"/>
      <c r="E23504" s="39"/>
      <c r="F23504" s="39"/>
    </row>
    <row r="23505">
      <c r="D23505" s="39"/>
      <c r="E23505" s="39"/>
      <c r="F23505" s="39"/>
    </row>
    <row r="23506">
      <c r="D23506" s="39"/>
      <c r="E23506" s="39"/>
      <c r="F23506" s="39"/>
    </row>
    <row r="23507">
      <c r="D23507" s="39"/>
      <c r="E23507" s="39"/>
      <c r="F23507" s="39"/>
    </row>
    <row r="23508">
      <c r="D23508" s="39"/>
      <c r="E23508" s="39"/>
      <c r="F23508" s="39"/>
    </row>
    <row r="23509">
      <c r="D23509" s="39"/>
      <c r="E23509" s="39"/>
      <c r="F23509" s="39"/>
    </row>
    <row r="23510">
      <c r="D23510" s="39"/>
      <c r="E23510" s="39"/>
      <c r="F23510" s="39"/>
    </row>
    <row r="23511">
      <c r="D23511" s="39"/>
      <c r="E23511" s="39"/>
      <c r="F23511" s="39"/>
    </row>
    <row r="23512">
      <c r="D23512" s="39"/>
      <c r="E23512" s="39"/>
      <c r="F23512" s="39"/>
    </row>
    <row r="23513">
      <c r="D23513" s="39"/>
      <c r="E23513" s="39"/>
      <c r="F23513" s="39"/>
    </row>
    <row r="23514">
      <c r="D23514" s="39"/>
      <c r="E23514" s="39"/>
      <c r="F23514" s="39"/>
    </row>
    <row r="23515">
      <c r="D23515" s="39"/>
      <c r="E23515" s="39"/>
      <c r="F23515" s="39"/>
    </row>
    <row r="23516">
      <c r="D23516" s="39"/>
      <c r="E23516" s="39"/>
      <c r="F23516" s="39"/>
    </row>
    <row r="23517">
      <c r="D23517" s="39"/>
      <c r="E23517" s="39"/>
      <c r="F23517" s="39"/>
    </row>
    <row r="23518">
      <c r="D23518" s="39"/>
      <c r="E23518" s="39"/>
      <c r="F23518" s="39"/>
    </row>
    <row r="23519">
      <c r="D23519" s="39"/>
      <c r="E23519" s="39"/>
      <c r="F23519" s="39"/>
    </row>
    <row r="23520">
      <c r="D23520" s="39"/>
      <c r="E23520" s="39"/>
      <c r="F23520" s="39"/>
    </row>
    <row r="23521">
      <c r="D23521" s="39"/>
      <c r="E23521" s="39"/>
      <c r="F23521" s="39"/>
    </row>
    <row r="23522">
      <c r="D23522" s="39"/>
      <c r="E23522" s="39"/>
      <c r="F23522" s="39"/>
    </row>
    <row r="23523">
      <c r="D23523" s="39"/>
      <c r="E23523" s="39"/>
      <c r="F23523" s="39"/>
    </row>
    <row r="23524">
      <c r="D23524" s="39"/>
      <c r="E23524" s="39"/>
      <c r="F23524" s="39"/>
    </row>
    <row r="23525">
      <c r="D23525" s="39"/>
      <c r="E23525" s="39"/>
      <c r="F23525" s="39"/>
    </row>
    <row r="23526">
      <c r="D23526" s="39"/>
      <c r="E23526" s="39"/>
      <c r="F23526" s="39"/>
    </row>
    <row r="23527">
      <c r="D23527" s="39"/>
      <c r="E23527" s="39"/>
      <c r="F23527" s="39"/>
    </row>
    <row r="23528">
      <c r="D23528" s="39"/>
      <c r="E23528" s="39"/>
      <c r="F23528" s="39"/>
    </row>
    <row r="23529">
      <c r="D23529" s="39"/>
      <c r="E23529" s="39"/>
      <c r="F23529" s="39"/>
    </row>
    <row r="23530">
      <c r="D23530" s="39"/>
      <c r="E23530" s="39"/>
      <c r="F23530" s="39"/>
    </row>
    <row r="23531">
      <c r="D23531" s="39"/>
      <c r="E23531" s="39"/>
      <c r="F23531" s="39"/>
    </row>
    <row r="23532">
      <c r="D23532" s="39"/>
      <c r="E23532" s="39"/>
      <c r="F23532" s="39"/>
    </row>
    <row r="23533">
      <c r="D23533" s="39"/>
      <c r="E23533" s="39"/>
      <c r="F23533" s="39"/>
    </row>
    <row r="23534">
      <c r="D23534" s="39"/>
      <c r="E23534" s="39"/>
      <c r="F23534" s="39"/>
    </row>
    <row r="23535">
      <c r="D23535" s="39"/>
      <c r="E23535" s="39"/>
      <c r="F23535" s="39"/>
    </row>
    <row r="23536">
      <c r="D23536" s="39"/>
      <c r="E23536" s="39"/>
      <c r="F23536" s="39"/>
    </row>
    <row r="23537">
      <c r="D23537" s="39"/>
      <c r="E23537" s="39"/>
      <c r="F23537" s="39"/>
    </row>
    <row r="23538">
      <c r="D23538" s="39"/>
      <c r="E23538" s="39"/>
      <c r="F23538" s="39"/>
    </row>
    <row r="23539">
      <c r="D23539" s="39"/>
      <c r="E23539" s="39"/>
      <c r="F23539" s="39"/>
    </row>
    <row r="23540">
      <c r="D23540" s="39"/>
      <c r="E23540" s="39"/>
      <c r="F23540" s="39"/>
    </row>
    <row r="23541">
      <c r="D23541" s="39"/>
      <c r="E23541" s="39"/>
      <c r="F23541" s="39"/>
    </row>
    <row r="23542">
      <c r="D23542" s="39"/>
      <c r="E23542" s="39"/>
      <c r="F23542" s="39"/>
    </row>
    <row r="23543">
      <c r="D23543" s="39"/>
      <c r="E23543" s="39"/>
      <c r="F23543" s="39"/>
    </row>
    <row r="23544">
      <c r="D23544" s="39"/>
      <c r="E23544" s="39"/>
      <c r="F23544" s="39"/>
    </row>
    <row r="23545">
      <c r="D23545" s="39"/>
      <c r="E23545" s="39"/>
      <c r="F23545" s="39"/>
    </row>
    <row r="23546">
      <c r="D23546" s="39"/>
      <c r="E23546" s="39"/>
      <c r="F23546" s="39"/>
    </row>
    <row r="23547">
      <c r="D23547" s="39"/>
      <c r="E23547" s="39"/>
      <c r="F23547" s="39"/>
    </row>
    <row r="23548">
      <c r="D23548" s="39"/>
      <c r="E23548" s="39"/>
      <c r="F23548" s="39"/>
    </row>
    <row r="23549">
      <c r="D23549" s="39"/>
      <c r="E23549" s="39"/>
      <c r="F23549" s="39"/>
    </row>
    <row r="23550">
      <c r="D23550" s="39"/>
      <c r="E23550" s="39"/>
      <c r="F23550" s="39"/>
    </row>
    <row r="23551">
      <c r="D23551" s="39"/>
      <c r="E23551" s="39"/>
      <c r="F23551" s="39"/>
    </row>
    <row r="23552">
      <c r="D23552" s="39"/>
      <c r="E23552" s="39"/>
      <c r="F23552" s="39"/>
    </row>
    <row r="23553">
      <c r="D23553" s="39"/>
      <c r="E23553" s="39"/>
      <c r="F23553" s="39"/>
    </row>
    <row r="23554">
      <c r="D23554" s="39"/>
      <c r="E23554" s="39"/>
      <c r="F23554" s="39"/>
    </row>
    <row r="23555">
      <c r="D23555" s="39"/>
      <c r="E23555" s="39"/>
      <c r="F23555" s="39"/>
    </row>
    <row r="23556">
      <c r="D23556" s="39"/>
      <c r="E23556" s="39"/>
      <c r="F23556" s="39"/>
    </row>
    <row r="23557">
      <c r="D23557" s="39"/>
      <c r="E23557" s="39"/>
      <c r="F23557" s="39"/>
    </row>
    <row r="23558">
      <c r="D23558" s="39"/>
      <c r="E23558" s="39"/>
      <c r="F23558" s="39"/>
    </row>
    <row r="23559">
      <c r="D23559" s="39"/>
      <c r="E23559" s="39"/>
      <c r="F23559" s="39"/>
    </row>
    <row r="23560">
      <c r="D23560" s="39"/>
      <c r="E23560" s="39"/>
      <c r="F23560" s="39"/>
    </row>
    <row r="23561">
      <c r="D23561" s="39"/>
      <c r="E23561" s="39"/>
      <c r="F23561" s="39"/>
    </row>
    <row r="23562">
      <c r="D23562" s="39"/>
      <c r="E23562" s="39"/>
      <c r="F23562" s="39"/>
    </row>
    <row r="23563">
      <c r="D23563" s="39"/>
      <c r="E23563" s="39"/>
      <c r="F23563" s="39"/>
    </row>
    <row r="23564">
      <c r="D23564" s="39"/>
      <c r="E23564" s="39"/>
      <c r="F23564" s="39"/>
    </row>
    <row r="23565">
      <c r="D23565" s="39"/>
      <c r="E23565" s="39"/>
      <c r="F23565" s="39"/>
    </row>
    <row r="23566">
      <c r="D23566" s="39"/>
      <c r="E23566" s="39"/>
      <c r="F23566" s="39"/>
    </row>
    <row r="23567">
      <c r="D23567" s="39"/>
      <c r="E23567" s="39"/>
      <c r="F23567" s="39"/>
    </row>
    <row r="23568">
      <c r="D23568" s="39"/>
      <c r="E23568" s="39"/>
      <c r="F23568" s="39"/>
    </row>
    <row r="23569">
      <c r="D23569" s="39"/>
      <c r="E23569" s="39"/>
      <c r="F23569" s="39"/>
    </row>
    <row r="23570">
      <c r="D23570" s="39"/>
      <c r="E23570" s="39"/>
      <c r="F23570" s="39"/>
    </row>
    <row r="23571">
      <c r="D23571" s="39"/>
      <c r="E23571" s="39"/>
      <c r="F23571" s="39"/>
    </row>
    <row r="23572">
      <c r="D23572" s="39"/>
      <c r="E23572" s="39"/>
      <c r="F23572" s="39"/>
    </row>
    <row r="23573">
      <c r="D23573" s="39"/>
      <c r="E23573" s="39"/>
      <c r="F23573" s="39"/>
    </row>
    <row r="23574">
      <c r="D23574" s="39"/>
      <c r="E23574" s="39"/>
      <c r="F23574" s="39"/>
    </row>
    <row r="23575">
      <c r="D23575" s="39"/>
      <c r="E23575" s="39"/>
      <c r="F23575" s="39"/>
    </row>
    <row r="23576">
      <c r="D23576" s="39"/>
      <c r="E23576" s="39"/>
      <c r="F23576" s="39"/>
    </row>
    <row r="23577">
      <c r="D23577" s="39"/>
      <c r="E23577" s="39"/>
      <c r="F23577" s="39"/>
    </row>
    <row r="23578">
      <c r="D23578" s="39"/>
      <c r="E23578" s="39"/>
      <c r="F23578" s="39"/>
    </row>
    <row r="23579">
      <c r="D23579" s="39"/>
      <c r="E23579" s="39"/>
      <c r="F23579" s="39"/>
    </row>
    <row r="23580">
      <c r="D23580" s="39"/>
      <c r="E23580" s="39"/>
      <c r="F23580" s="39"/>
    </row>
    <row r="23581">
      <c r="D23581" s="39"/>
      <c r="E23581" s="39"/>
      <c r="F23581" s="39"/>
    </row>
    <row r="23582">
      <c r="D23582" s="39"/>
      <c r="E23582" s="39"/>
      <c r="F23582" s="39"/>
    </row>
    <row r="23583">
      <c r="D23583" s="39"/>
      <c r="E23583" s="39"/>
      <c r="F23583" s="39"/>
    </row>
    <row r="23584">
      <c r="D23584" s="39"/>
      <c r="E23584" s="39"/>
      <c r="F23584" s="39"/>
    </row>
    <row r="23585">
      <c r="D23585" s="39"/>
      <c r="E23585" s="39"/>
      <c r="F23585" s="39"/>
    </row>
    <row r="23586">
      <c r="D23586" s="39"/>
      <c r="E23586" s="39"/>
      <c r="F23586" s="39"/>
    </row>
    <row r="23587">
      <c r="D23587" s="39"/>
      <c r="E23587" s="39"/>
      <c r="F23587" s="39"/>
    </row>
    <row r="23588">
      <c r="D23588" s="39"/>
      <c r="E23588" s="39"/>
      <c r="F23588" s="39"/>
    </row>
    <row r="23589">
      <c r="D23589" s="39"/>
      <c r="E23589" s="39"/>
      <c r="F23589" s="39"/>
    </row>
    <row r="23590">
      <c r="D23590" s="39"/>
      <c r="E23590" s="39"/>
      <c r="F23590" s="39"/>
    </row>
    <row r="23591">
      <c r="D23591" s="39"/>
      <c r="E23591" s="39"/>
      <c r="F23591" s="39"/>
    </row>
    <row r="23592">
      <c r="D23592" s="39"/>
      <c r="E23592" s="39"/>
      <c r="F23592" s="39"/>
    </row>
    <row r="23593">
      <c r="D23593" s="39"/>
      <c r="E23593" s="39"/>
      <c r="F23593" s="39"/>
    </row>
    <row r="23594">
      <c r="D23594" s="39"/>
      <c r="E23594" s="39"/>
      <c r="F23594" s="39"/>
    </row>
    <row r="23595">
      <c r="D23595" s="39"/>
      <c r="E23595" s="39"/>
      <c r="F23595" s="39"/>
    </row>
    <row r="23596">
      <c r="D23596" s="39"/>
      <c r="E23596" s="39"/>
      <c r="F23596" s="39"/>
    </row>
    <row r="23597">
      <c r="D23597" s="39"/>
      <c r="E23597" s="39"/>
      <c r="F23597" s="39"/>
    </row>
    <row r="23598">
      <c r="D23598" s="39"/>
      <c r="E23598" s="39"/>
      <c r="F23598" s="39"/>
    </row>
    <row r="23599">
      <c r="D23599" s="39"/>
      <c r="E23599" s="39"/>
      <c r="F23599" s="39"/>
    </row>
    <row r="23600">
      <c r="D23600" s="39"/>
      <c r="E23600" s="39"/>
      <c r="F23600" s="39"/>
    </row>
    <row r="23601">
      <c r="D23601" s="39"/>
      <c r="E23601" s="39"/>
      <c r="F23601" s="39"/>
    </row>
    <row r="23602">
      <c r="D23602" s="39"/>
      <c r="E23602" s="39"/>
      <c r="F23602" s="39"/>
    </row>
    <row r="23603">
      <c r="D23603" s="39"/>
      <c r="E23603" s="39"/>
      <c r="F23603" s="39"/>
    </row>
    <row r="23604">
      <c r="D23604" s="39"/>
      <c r="E23604" s="39"/>
      <c r="F23604" s="39"/>
    </row>
    <row r="23605">
      <c r="D23605" s="39"/>
      <c r="E23605" s="39"/>
      <c r="F23605" s="39"/>
    </row>
    <row r="23606">
      <c r="D23606" s="39"/>
      <c r="E23606" s="39"/>
      <c r="F23606" s="39"/>
    </row>
    <row r="23607">
      <c r="D23607" s="39"/>
      <c r="E23607" s="39"/>
      <c r="F23607" s="39"/>
    </row>
    <row r="23608">
      <c r="D23608" s="39"/>
      <c r="E23608" s="39"/>
      <c r="F23608" s="39"/>
    </row>
    <row r="23609">
      <c r="D23609" s="39"/>
      <c r="E23609" s="39"/>
      <c r="F23609" s="39"/>
    </row>
    <row r="23610">
      <c r="D23610" s="39"/>
      <c r="E23610" s="39"/>
      <c r="F23610" s="39"/>
    </row>
    <row r="23611">
      <c r="D23611" s="39"/>
      <c r="E23611" s="39"/>
      <c r="F23611" s="39"/>
    </row>
    <row r="23612">
      <c r="D23612" s="39"/>
      <c r="E23612" s="39"/>
      <c r="F23612" s="39"/>
    </row>
    <row r="23613">
      <c r="D23613" s="39"/>
      <c r="E23613" s="39"/>
      <c r="F23613" s="39"/>
    </row>
    <row r="23614">
      <c r="D23614" s="39"/>
      <c r="E23614" s="39"/>
      <c r="F23614" s="39"/>
    </row>
    <row r="23615">
      <c r="D23615" s="39"/>
      <c r="E23615" s="39"/>
      <c r="F23615" s="39"/>
    </row>
    <row r="23616">
      <c r="D23616" s="39"/>
      <c r="E23616" s="39"/>
      <c r="F23616" s="39"/>
    </row>
    <row r="23617">
      <c r="D23617" s="39"/>
      <c r="E23617" s="39"/>
      <c r="F23617" s="39"/>
    </row>
    <row r="23618">
      <c r="D23618" s="39"/>
      <c r="E23618" s="39"/>
      <c r="F23618" s="39"/>
    </row>
    <row r="23619">
      <c r="D23619" s="39"/>
      <c r="E23619" s="39"/>
      <c r="F23619" s="39"/>
    </row>
    <row r="23620">
      <c r="D23620" s="39"/>
      <c r="E23620" s="39"/>
      <c r="F23620" s="39"/>
    </row>
    <row r="23621">
      <c r="D23621" s="39"/>
      <c r="E23621" s="39"/>
      <c r="F23621" s="39"/>
    </row>
    <row r="23622">
      <c r="D23622" s="39"/>
      <c r="E23622" s="39"/>
      <c r="F23622" s="39"/>
    </row>
    <row r="23623">
      <c r="D23623" s="39"/>
      <c r="E23623" s="39"/>
      <c r="F23623" s="39"/>
    </row>
    <row r="23624">
      <c r="D23624" s="39"/>
      <c r="E23624" s="39"/>
      <c r="F23624" s="39"/>
    </row>
    <row r="23625">
      <c r="D23625" s="39"/>
      <c r="E23625" s="39"/>
      <c r="F23625" s="39"/>
    </row>
    <row r="23626">
      <c r="D23626" s="39"/>
      <c r="E23626" s="39"/>
      <c r="F23626" s="39"/>
    </row>
    <row r="23627">
      <c r="D23627" s="39"/>
      <c r="E23627" s="39"/>
      <c r="F23627" s="39"/>
    </row>
    <row r="23628">
      <c r="D23628" s="39"/>
      <c r="E23628" s="39"/>
      <c r="F23628" s="39"/>
    </row>
    <row r="23629">
      <c r="D23629" s="39"/>
      <c r="E23629" s="39"/>
      <c r="F23629" s="39"/>
    </row>
    <row r="23630">
      <c r="D23630" s="39"/>
      <c r="E23630" s="39"/>
      <c r="F23630" s="39"/>
    </row>
    <row r="23631">
      <c r="D23631" s="39"/>
      <c r="E23631" s="39"/>
      <c r="F23631" s="39"/>
    </row>
    <row r="23632">
      <c r="D23632" s="39"/>
      <c r="E23632" s="39"/>
      <c r="F23632" s="39"/>
    </row>
    <row r="23633">
      <c r="D23633" s="39"/>
      <c r="E23633" s="39"/>
      <c r="F23633" s="39"/>
    </row>
    <row r="23634">
      <c r="D23634" s="39"/>
      <c r="E23634" s="39"/>
      <c r="F23634" s="39"/>
    </row>
    <row r="23635">
      <c r="D23635" s="39"/>
      <c r="E23635" s="39"/>
      <c r="F23635" s="39"/>
    </row>
    <row r="23636">
      <c r="D23636" s="39"/>
      <c r="E23636" s="39"/>
      <c r="F23636" s="39"/>
    </row>
    <row r="23637">
      <c r="D23637" s="39"/>
      <c r="E23637" s="39"/>
      <c r="F23637" s="39"/>
    </row>
    <row r="23638">
      <c r="D23638" s="39"/>
      <c r="E23638" s="39"/>
      <c r="F23638" s="39"/>
    </row>
    <row r="23639">
      <c r="D23639" s="39"/>
      <c r="E23639" s="39"/>
      <c r="F23639" s="39"/>
    </row>
    <row r="23640">
      <c r="D23640" s="39"/>
      <c r="E23640" s="39"/>
      <c r="F23640" s="39"/>
    </row>
    <row r="23641">
      <c r="D23641" s="39"/>
      <c r="E23641" s="39"/>
      <c r="F23641" s="39"/>
    </row>
    <row r="23642">
      <c r="D23642" s="39"/>
      <c r="E23642" s="39"/>
      <c r="F23642" s="39"/>
    </row>
    <row r="23643">
      <c r="D23643" s="39"/>
      <c r="E23643" s="39"/>
      <c r="F23643" s="39"/>
    </row>
    <row r="23644">
      <c r="D23644" s="39"/>
      <c r="E23644" s="39"/>
      <c r="F23644" s="39"/>
    </row>
    <row r="23645">
      <c r="D23645" s="39"/>
      <c r="E23645" s="39"/>
      <c r="F23645" s="39"/>
    </row>
    <row r="23646">
      <c r="D23646" s="39"/>
      <c r="E23646" s="39"/>
      <c r="F23646" s="39"/>
    </row>
    <row r="23647">
      <c r="D23647" s="39"/>
      <c r="E23647" s="39"/>
      <c r="F23647" s="39"/>
    </row>
    <row r="23648">
      <c r="D23648" s="39"/>
      <c r="E23648" s="39"/>
      <c r="F23648" s="39"/>
    </row>
    <row r="23649">
      <c r="D23649" s="39"/>
      <c r="E23649" s="39"/>
      <c r="F23649" s="39"/>
    </row>
    <row r="23650">
      <c r="D23650" s="39"/>
      <c r="E23650" s="39"/>
      <c r="F23650" s="39"/>
    </row>
    <row r="23651">
      <c r="D23651" s="39"/>
      <c r="E23651" s="39"/>
      <c r="F23651" s="39"/>
    </row>
    <row r="23652">
      <c r="D23652" s="39"/>
      <c r="E23652" s="39"/>
      <c r="F23652" s="39"/>
    </row>
    <row r="23653">
      <c r="D23653" s="39"/>
      <c r="E23653" s="39"/>
      <c r="F23653" s="39"/>
    </row>
    <row r="23654">
      <c r="D23654" s="39"/>
      <c r="E23654" s="39"/>
      <c r="F23654" s="39"/>
    </row>
    <row r="23655">
      <c r="D23655" s="39"/>
      <c r="E23655" s="39"/>
      <c r="F23655" s="39"/>
    </row>
    <row r="23656">
      <c r="D23656" s="39"/>
      <c r="E23656" s="39"/>
      <c r="F23656" s="39"/>
    </row>
    <row r="23657">
      <c r="D23657" s="39"/>
      <c r="E23657" s="39"/>
      <c r="F23657" s="39"/>
    </row>
    <row r="23658">
      <c r="D23658" s="39"/>
      <c r="E23658" s="39"/>
      <c r="F23658" s="39"/>
    </row>
    <row r="23659">
      <c r="D23659" s="39"/>
      <c r="E23659" s="39"/>
      <c r="F23659" s="39"/>
    </row>
    <row r="23660">
      <c r="D23660" s="39"/>
      <c r="E23660" s="39"/>
      <c r="F23660" s="39"/>
    </row>
    <row r="23661">
      <c r="D23661" s="39"/>
      <c r="E23661" s="39"/>
      <c r="F23661" s="39"/>
    </row>
    <row r="23662">
      <c r="D23662" s="39"/>
      <c r="E23662" s="39"/>
      <c r="F23662" s="39"/>
    </row>
    <row r="23663">
      <c r="D23663" s="39"/>
      <c r="E23663" s="39"/>
      <c r="F23663" s="39"/>
    </row>
    <row r="23664">
      <c r="D23664" s="39"/>
      <c r="E23664" s="39"/>
      <c r="F23664" s="39"/>
    </row>
    <row r="23665">
      <c r="D23665" s="39"/>
      <c r="E23665" s="39"/>
      <c r="F23665" s="39"/>
    </row>
    <row r="23666">
      <c r="D23666" s="39"/>
      <c r="E23666" s="39"/>
      <c r="F23666" s="39"/>
    </row>
    <row r="23667">
      <c r="D23667" s="39"/>
      <c r="E23667" s="39"/>
      <c r="F23667" s="39"/>
    </row>
    <row r="23668">
      <c r="D23668" s="39"/>
      <c r="E23668" s="39"/>
      <c r="F23668" s="39"/>
    </row>
    <row r="23669">
      <c r="D23669" s="39"/>
      <c r="E23669" s="39"/>
      <c r="F23669" s="39"/>
    </row>
    <row r="23670">
      <c r="D23670" s="39"/>
      <c r="E23670" s="39"/>
      <c r="F23670" s="39"/>
    </row>
    <row r="23671">
      <c r="D23671" s="39"/>
      <c r="E23671" s="39"/>
      <c r="F23671" s="39"/>
    </row>
    <row r="23672">
      <c r="D23672" s="39"/>
      <c r="E23672" s="39"/>
      <c r="F23672" s="39"/>
    </row>
    <row r="23673">
      <c r="D23673" s="39"/>
      <c r="E23673" s="39"/>
      <c r="F23673" s="39"/>
    </row>
    <row r="23674">
      <c r="D23674" s="39"/>
      <c r="E23674" s="39"/>
      <c r="F23674" s="39"/>
    </row>
    <row r="23675">
      <c r="D23675" s="39"/>
      <c r="E23675" s="39"/>
      <c r="F23675" s="39"/>
    </row>
    <row r="23676">
      <c r="D23676" s="39"/>
      <c r="E23676" s="39"/>
      <c r="F23676" s="39"/>
    </row>
    <row r="23677">
      <c r="D23677" s="39"/>
      <c r="E23677" s="39"/>
      <c r="F23677" s="39"/>
    </row>
    <row r="23678">
      <c r="D23678" s="39"/>
      <c r="E23678" s="39"/>
      <c r="F23678" s="39"/>
    </row>
    <row r="23679">
      <c r="D23679" s="39"/>
      <c r="E23679" s="39"/>
      <c r="F23679" s="39"/>
    </row>
    <row r="23680">
      <c r="D23680" s="39"/>
      <c r="E23680" s="39"/>
      <c r="F23680" s="39"/>
    </row>
    <row r="23681">
      <c r="D23681" s="39"/>
      <c r="E23681" s="39"/>
      <c r="F23681" s="39"/>
    </row>
    <row r="23682">
      <c r="D23682" s="39"/>
      <c r="E23682" s="39"/>
      <c r="F23682" s="39"/>
    </row>
    <row r="23683">
      <c r="D23683" s="39"/>
      <c r="E23683" s="39"/>
      <c r="F23683" s="39"/>
    </row>
    <row r="23684">
      <c r="D23684" s="39"/>
      <c r="E23684" s="39"/>
      <c r="F23684" s="39"/>
    </row>
    <row r="23685">
      <c r="D23685" s="39"/>
      <c r="E23685" s="39"/>
      <c r="F23685" s="39"/>
    </row>
    <row r="23686">
      <c r="D23686" s="39"/>
      <c r="E23686" s="39"/>
      <c r="F23686" s="39"/>
    </row>
    <row r="23687">
      <c r="D23687" s="39"/>
      <c r="E23687" s="39"/>
      <c r="F23687" s="39"/>
    </row>
    <row r="23688">
      <c r="D23688" s="39"/>
      <c r="E23688" s="39"/>
      <c r="F23688" s="39"/>
    </row>
    <row r="23689">
      <c r="D23689" s="39"/>
      <c r="E23689" s="39"/>
      <c r="F23689" s="39"/>
    </row>
    <row r="23690">
      <c r="D23690" s="39"/>
      <c r="E23690" s="39"/>
      <c r="F23690" s="39"/>
    </row>
    <row r="23691">
      <c r="D23691" s="39"/>
      <c r="E23691" s="39"/>
      <c r="F23691" s="39"/>
    </row>
    <row r="23692">
      <c r="D23692" s="39"/>
      <c r="E23692" s="39"/>
      <c r="F23692" s="39"/>
    </row>
    <row r="23693">
      <c r="D23693" s="39"/>
      <c r="E23693" s="39"/>
      <c r="F23693" s="39"/>
    </row>
    <row r="23694">
      <c r="D23694" s="39"/>
      <c r="E23694" s="39"/>
      <c r="F23694" s="39"/>
    </row>
    <row r="23695">
      <c r="D23695" s="39"/>
      <c r="E23695" s="39"/>
      <c r="F23695" s="39"/>
    </row>
    <row r="23696">
      <c r="D23696" s="39"/>
      <c r="E23696" s="39"/>
      <c r="F23696" s="39"/>
    </row>
    <row r="23697">
      <c r="D23697" s="39"/>
      <c r="E23697" s="39"/>
      <c r="F23697" s="39"/>
    </row>
    <row r="23698">
      <c r="D23698" s="39"/>
      <c r="E23698" s="39"/>
      <c r="F23698" s="39"/>
    </row>
    <row r="23699">
      <c r="D23699" s="39"/>
      <c r="E23699" s="39"/>
      <c r="F23699" s="39"/>
    </row>
    <row r="23700">
      <c r="D23700" s="39"/>
      <c r="E23700" s="39"/>
      <c r="F23700" s="39"/>
    </row>
    <row r="23701">
      <c r="D23701" s="39"/>
      <c r="E23701" s="39"/>
      <c r="F23701" s="39"/>
    </row>
    <row r="23702">
      <c r="D23702" s="39"/>
      <c r="E23702" s="39"/>
      <c r="F23702" s="39"/>
    </row>
    <row r="23703">
      <c r="D23703" s="39"/>
      <c r="E23703" s="39"/>
      <c r="F23703" s="39"/>
    </row>
    <row r="23704">
      <c r="D23704" s="39"/>
      <c r="E23704" s="39"/>
      <c r="F23704" s="39"/>
    </row>
    <row r="23705">
      <c r="D23705" s="39"/>
      <c r="E23705" s="39"/>
      <c r="F23705" s="39"/>
    </row>
    <row r="23706">
      <c r="D23706" s="39"/>
      <c r="E23706" s="39"/>
      <c r="F23706" s="39"/>
    </row>
    <row r="23707">
      <c r="D23707" s="39"/>
      <c r="E23707" s="39"/>
      <c r="F23707" s="39"/>
    </row>
    <row r="23708">
      <c r="D23708" s="39"/>
      <c r="E23708" s="39"/>
      <c r="F23708" s="39"/>
    </row>
    <row r="23709">
      <c r="D23709" s="39"/>
      <c r="E23709" s="39"/>
      <c r="F23709" s="39"/>
    </row>
    <row r="23710">
      <c r="D23710" s="39"/>
      <c r="E23710" s="39"/>
      <c r="F23710" s="39"/>
    </row>
    <row r="23711">
      <c r="D23711" s="39"/>
      <c r="E23711" s="39"/>
      <c r="F23711" s="39"/>
    </row>
    <row r="23712">
      <c r="D23712" s="39"/>
      <c r="E23712" s="39"/>
      <c r="F23712" s="39"/>
    </row>
    <row r="23713">
      <c r="D23713" s="39"/>
      <c r="E23713" s="39"/>
      <c r="F23713" s="39"/>
    </row>
    <row r="23714">
      <c r="D23714" s="39"/>
      <c r="E23714" s="39"/>
      <c r="F23714" s="39"/>
    </row>
    <row r="23715">
      <c r="D23715" s="39"/>
      <c r="E23715" s="39"/>
      <c r="F23715" s="39"/>
    </row>
    <row r="23716">
      <c r="D23716" s="39"/>
      <c r="E23716" s="39"/>
      <c r="F23716" s="39"/>
    </row>
    <row r="23717">
      <c r="D23717" s="39"/>
      <c r="E23717" s="39"/>
      <c r="F23717" s="39"/>
    </row>
    <row r="23718">
      <c r="D23718" s="39"/>
      <c r="E23718" s="39"/>
      <c r="F23718" s="39"/>
    </row>
    <row r="23719">
      <c r="D23719" s="39"/>
      <c r="E23719" s="39"/>
      <c r="F23719" s="39"/>
    </row>
    <row r="23720">
      <c r="D23720" s="39"/>
      <c r="E23720" s="39"/>
      <c r="F23720" s="39"/>
    </row>
    <row r="23721">
      <c r="D23721" s="39"/>
      <c r="E23721" s="39"/>
      <c r="F23721" s="39"/>
    </row>
    <row r="23722">
      <c r="D23722" s="39"/>
      <c r="E23722" s="39"/>
      <c r="F23722" s="39"/>
    </row>
    <row r="23723">
      <c r="D23723" s="39"/>
      <c r="E23723" s="39"/>
      <c r="F23723" s="39"/>
    </row>
    <row r="23724">
      <c r="D23724" s="39"/>
      <c r="E23724" s="39"/>
      <c r="F23724" s="39"/>
    </row>
    <row r="23725">
      <c r="D23725" s="39"/>
      <c r="E23725" s="39"/>
      <c r="F23725" s="39"/>
    </row>
    <row r="23726">
      <c r="D23726" s="39"/>
      <c r="E23726" s="39"/>
      <c r="F23726" s="39"/>
    </row>
    <row r="23727">
      <c r="D23727" s="39"/>
      <c r="E23727" s="39"/>
      <c r="F23727" s="39"/>
    </row>
    <row r="23728">
      <c r="D23728" s="39"/>
      <c r="E23728" s="39"/>
      <c r="F23728" s="39"/>
    </row>
    <row r="23729">
      <c r="D23729" s="39"/>
      <c r="E23729" s="39"/>
      <c r="F23729" s="39"/>
    </row>
    <row r="23730">
      <c r="D23730" s="39"/>
      <c r="E23730" s="39"/>
      <c r="F23730" s="39"/>
    </row>
    <row r="23731">
      <c r="D23731" s="39"/>
      <c r="E23731" s="39"/>
      <c r="F23731" s="39"/>
    </row>
    <row r="23732">
      <c r="D23732" s="39"/>
      <c r="E23732" s="39"/>
      <c r="F23732" s="39"/>
    </row>
    <row r="23733">
      <c r="D23733" s="39"/>
      <c r="E23733" s="39"/>
      <c r="F23733" s="39"/>
    </row>
    <row r="23734">
      <c r="D23734" s="39"/>
      <c r="E23734" s="39"/>
      <c r="F23734" s="39"/>
    </row>
    <row r="23735">
      <c r="D23735" s="39"/>
      <c r="E23735" s="39"/>
      <c r="F23735" s="39"/>
    </row>
    <row r="23736">
      <c r="D23736" s="39"/>
      <c r="E23736" s="39"/>
      <c r="F23736" s="39"/>
    </row>
    <row r="23737">
      <c r="D23737" s="39"/>
      <c r="E23737" s="39"/>
      <c r="F23737" s="39"/>
    </row>
    <row r="23738">
      <c r="D23738" s="39"/>
      <c r="E23738" s="39"/>
      <c r="F23738" s="39"/>
    </row>
    <row r="23739">
      <c r="D23739" s="39"/>
      <c r="E23739" s="39"/>
      <c r="F23739" s="39"/>
    </row>
    <row r="23740">
      <c r="D23740" s="39"/>
      <c r="E23740" s="39"/>
      <c r="F23740" s="39"/>
    </row>
    <row r="23741">
      <c r="D23741" s="39"/>
      <c r="E23741" s="39"/>
      <c r="F23741" s="39"/>
    </row>
    <row r="23742">
      <c r="D23742" s="39"/>
      <c r="E23742" s="39"/>
      <c r="F23742" s="39"/>
    </row>
    <row r="23743">
      <c r="D23743" s="39"/>
      <c r="E23743" s="39"/>
      <c r="F23743" s="39"/>
    </row>
    <row r="23744">
      <c r="D23744" s="39"/>
      <c r="E23744" s="39"/>
      <c r="F23744" s="39"/>
    </row>
    <row r="23745">
      <c r="D23745" s="39"/>
      <c r="E23745" s="39"/>
      <c r="F23745" s="39"/>
    </row>
    <row r="23746">
      <c r="D23746" s="39"/>
      <c r="E23746" s="39"/>
      <c r="F23746" s="39"/>
    </row>
    <row r="23747">
      <c r="D23747" s="39"/>
      <c r="E23747" s="39"/>
      <c r="F23747" s="39"/>
    </row>
    <row r="23748">
      <c r="D23748" s="39"/>
      <c r="E23748" s="39"/>
      <c r="F23748" s="39"/>
    </row>
    <row r="23749">
      <c r="D23749" s="39"/>
      <c r="E23749" s="39"/>
      <c r="F23749" s="39"/>
    </row>
    <row r="23750">
      <c r="D23750" s="39"/>
      <c r="E23750" s="39"/>
      <c r="F23750" s="39"/>
    </row>
    <row r="23751">
      <c r="D23751" s="39"/>
      <c r="E23751" s="39"/>
      <c r="F23751" s="39"/>
    </row>
    <row r="23752">
      <c r="D23752" s="39"/>
      <c r="E23752" s="39"/>
      <c r="F23752" s="39"/>
    </row>
    <row r="23753">
      <c r="D23753" s="39"/>
      <c r="E23753" s="39"/>
      <c r="F23753" s="39"/>
    </row>
    <row r="23754">
      <c r="D23754" s="39"/>
      <c r="E23754" s="39"/>
      <c r="F23754" s="39"/>
    </row>
    <row r="23755">
      <c r="D23755" s="39"/>
      <c r="E23755" s="39"/>
      <c r="F23755" s="39"/>
    </row>
    <row r="23756">
      <c r="D23756" s="39"/>
      <c r="E23756" s="39"/>
      <c r="F23756" s="39"/>
    </row>
    <row r="23757">
      <c r="D23757" s="39"/>
      <c r="E23757" s="39"/>
      <c r="F23757" s="39"/>
    </row>
    <row r="23758">
      <c r="D23758" s="39"/>
      <c r="E23758" s="39"/>
      <c r="F23758" s="39"/>
    </row>
    <row r="23759">
      <c r="D23759" s="39"/>
      <c r="E23759" s="39"/>
      <c r="F23759" s="39"/>
    </row>
    <row r="23760">
      <c r="D23760" s="39"/>
      <c r="E23760" s="39"/>
      <c r="F23760" s="39"/>
    </row>
    <row r="23761">
      <c r="D23761" s="39"/>
      <c r="E23761" s="39"/>
      <c r="F23761" s="39"/>
    </row>
    <row r="23762">
      <c r="D23762" s="39"/>
      <c r="E23762" s="39"/>
      <c r="F23762" s="39"/>
    </row>
    <row r="23763">
      <c r="D23763" s="39"/>
      <c r="E23763" s="39"/>
      <c r="F23763" s="39"/>
    </row>
    <row r="23764">
      <c r="D23764" s="39"/>
      <c r="E23764" s="39"/>
      <c r="F23764" s="39"/>
    </row>
    <row r="23765">
      <c r="D23765" s="39"/>
      <c r="E23765" s="39"/>
      <c r="F23765" s="39"/>
    </row>
    <row r="23766">
      <c r="D23766" s="39"/>
      <c r="E23766" s="39"/>
      <c r="F23766" s="39"/>
    </row>
    <row r="23767">
      <c r="D23767" s="39"/>
      <c r="E23767" s="39"/>
      <c r="F23767" s="39"/>
    </row>
    <row r="23768">
      <c r="D23768" s="39"/>
      <c r="E23768" s="39"/>
      <c r="F23768" s="39"/>
    </row>
    <row r="23769">
      <c r="D23769" s="39"/>
      <c r="E23769" s="39"/>
      <c r="F23769" s="39"/>
    </row>
    <row r="23770">
      <c r="D23770" s="39"/>
      <c r="E23770" s="39"/>
      <c r="F23770" s="39"/>
    </row>
    <row r="23771">
      <c r="D23771" s="39"/>
      <c r="E23771" s="39"/>
      <c r="F23771" s="39"/>
    </row>
    <row r="23772">
      <c r="D23772" s="39"/>
      <c r="E23772" s="39"/>
      <c r="F23772" s="39"/>
    </row>
    <row r="23773">
      <c r="D23773" s="39"/>
      <c r="E23773" s="39"/>
      <c r="F23773" s="39"/>
    </row>
    <row r="23774">
      <c r="D23774" s="39"/>
      <c r="E23774" s="39"/>
      <c r="F23774" s="39"/>
    </row>
    <row r="23775">
      <c r="D23775" s="39"/>
      <c r="E23775" s="39"/>
      <c r="F23775" s="39"/>
    </row>
    <row r="23776">
      <c r="D23776" s="39"/>
      <c r="E23776" s="39"/>
      <c r="F23776" s="39"/>
    </row>
    <row r="23777">
      <c r="D23777" s="39"/>
      <c r="E23777" s="39"/>
      <c r="F23777" s="39"/>
    </row>
    <row r="23778">
      <c r="D23778" s="39"/>
      <c r="E23778" s="39"/>
      <c r="F23778" s="39"/>
    </row>
    <row r="23779">
      <c r="D23779" s="39"/>
      <c r="E23779" s="39"/>
      <c r="F23779" s="39"/>
    </row>
    <row r="23780">
      <c r="D23780" s="39"/>
      <c r="E23780" s="39"/>
      <c r="F23780" s="39"/>
    </row>
    <row r="23781">
      <c r="D23781" s="39"/>
      <c r="E23781" s="39"/>
      <c r="F23781" s="39"/>
    </row>
    <row r="23782">
      <c r="D23782" s="39"/>
      <c r="E23782" s="39"/>
      <c r="F23782" s="39"/>
    </row>
    <row r="23783">
      <c r="D23783" s="39"/>
      <c r="E23783" s="39"/>
      <c r="F23783" s="39"/>
    </row>
    <row r="23784">
      <c r="D23784" s="39"/>
      <c r="E23784" s="39"/>
      <c r="F23784" s="39"/>
    </row>
    <row r="23785">
      <c r="D23785" s="39"/>
      <c r="E23785" s="39"/>
      <c r="F23785" s="39"/>
    </row>
    <row r="23786">
      <c r="D23786" s="39"/>
      <c r="E23786" s="39"/>
      <c r="F23786" s="39"/>
    </row>
    <row r="23787">
      <c r="D23787" s="39"/>
      <c r="E23787" s="39"/>
      <c r="F23787" s="39"/>
    </row>
    <row r="23788">
      <c r="D23788" s="39"/>
      <c r="E23788" s="39"/>
      <c r="F23788" s="39"/>
    </row>
    <row r="23789">
      <c r="D23789" s="39"/>
      <c r="E23789" s="39"/>
      <c r="F23789" s="39"/>
    </row>
    <row r="23790">
      <c r="D23790" s="39"/>
      <c r="E23790" s="39"/>
      <c r="F23790" s="39"/>
    </row>
    <row r="23791">
      <c r="D23791" s="39"/>
      <c r="E23791" s="39"/>
      <c r="F23791" s="39"/>
    </row>
    <row r="23792">
      <c r="D23792" s="39"/>
      <c r="E23792" s="39"/>
      <c r="F23792" s="39"/>
    </row>
    <row r="23793">
      <c r="D23793" s="39"/>
      <c r="E23793" s="39"/>
      <c r="F23793" s="39"/>
    </row>
    <row r="23794">
      <c r="D23794" s="39"/>
      <c r="E23794" s="39"/>
      <c r="F23794" s="39"/>
    </row>
    <row r="23795">
      <c r="D23795" s="39"/>
      <c r="E23795" s="39"/>
      <c r="F23795" s="39"/>
    </row>
    <row r="23796">
      <c r="D23796" s="39"/>
      <c r="E23796" s="39"/>
      <c r="F23796" s="39"/>
    </row>
    <row r="23797">
      <c r="D23797" s="39"/>
      <c r="E23797" s="39"/>
      <c r="F23797" s="39"/>
    </row>
    <row r="23798">
      <c r="D23798" s="39"/>
      <c r="E23798" s="39"/>
      <c r="F23798" s="39"/>
    </row>
    <row r="23799">
      <c r="D23799" s="39"/>
      <c r="E23799" s="39"/>
      <c r="F23799" s="39"/>
    </row>
    <row r="23800">
      <c r="D23800" s="39"/>
      <c r="E23800" s="39"/>
      <c r="F23800" s="39"/>
    </row>
    <row r="23801">
      <c r="D23801" s="39"/>
      <c r="E23801" s="39"/>
      <c r="F23801" s="39"/>
    </row>
    <row r="23802">
      <c r="D23802" s="39"/>
      <c r="E23802" s="39"/>
      <c r="F23802" s="39"/>
    </row>
    <row r="23803">
      <c r="D23803" s="39"/>
      <c r="E23803" s="39"/>
      <c r="F23803" s="39"/>
    </row>
    <row r="23804">
      <c r="D23804" s="39"/>
      <c r="E23804" s="39"/>
      <c r="F23804" s="39"/>
    </row>
    <row r="23805">
      <c r="D23805" s="39"/>
      <c r="E23805" s="39"/>
      <c r="F23805" s="39"/>
    </row>
    <row r="23806">
      <c r="D23806" s="39"/>
      <c r="E23806" s="39"/>
      <c r="F23806" s="39"/>
    </row>
    <row r="23807">
      <c r="D23807" s="39"/>
      <c r="E23807" s="39"/>
      <c r="F23807" s="39"/>
    </row>
    <row r="23808">
      <c r="D23808" s="39"/>
      <c r="E23808" s="39"/>
      <c r="F23808" s="39"/>
    </row>
    <row r="23809">
      <c r="D23809" s="39"/>
      <c r="E23809" s="39"/>
      <c r="F23809" s="39"/>
    </row>
    <row r="23810">
      <c r="D23810" s="39"/>
      <c r="E23810" s="39"/>
      <c r="F23810" s="39"/>
    </row>
    <row r="23811">
      <c r="D23811" s="39"/>
      <c r="E23811" s="39"/>
      <c r="F23811" s="39"/>
    </row>
    <row r="23812">
      <c r="D23812" s="39"/>
      <c r="E23812" s="39"/>
      <c r="F23812" s="39"/>
    </row>
    <row r="23813">
      <c r="D23813" s="39"/>
      <c r="E23813" s="39"/>
      <c r="F23813" s="39"/>
    </row>
    <row r="23814">
      <c r="D23814" s="39"/>
      <c r="E23814" s="39"/>
      <c r="F23814" s="39"/>
    </row>
    <row r="23815">
      <c r="D23815" s="39"/>
      <c r="E23815" s="39"/>
      <c r="F23815" s="39"/>
    </row>
    <row r="23816">
      <c r="D23816" s="39"/>
      <c r="E23816" s="39"/>
      <c r="F23816" s="39"/>
    </row>
    <row r="23817">
      <c r="D23817" s="39"/>
      <c r="E23817" s="39"/>
      <c r="F23817" s="39"/>
    </row>
    <row r="23818">
      <c r="D23818" s="39"/>
      <c r="E23818" s="39"/>
      <c r="F23818" s="39"/>
    </row>
    <row r="23819">
      <c r="D23819" s="39"/>
      <c r="E23819" s="39"/>
      <c r="F23819" s="39"/>
    </row>
    <row r="23820">
      <c r="D23820" s="39"/>
      <c r="E23820" s="39"/>
      <c r="F23820" s="39"/>
    </row>
    <row r="23821">
      <c r="D23821" s="39"/>
      <c r="E23821" s="39"/>
      <c r="F23821" s="39"/>
    </row>
    <row r="23822">
      <c r="D23822" s="39"/>
      <c r="E23822" s="39"/>
      <c r="F23822" s="39"/>
    </row>
    <row r="23823">
      <c r="D23823" s="39"/>
      <c r="E23823" s="39"/>
      <c r="F23823" s="39"/>
    </row>
    <row r="23824">
      <c r="D23824" s="39"/>
      <c r="E23824" s="39"/>
      <c r="F23824" s="39"/>
    </row>
    <row r="23825">
      <c r="D23825" s="39"/>
      <c r="E23825" s="39"/>
      <c r="F23825" s="39"/>
    </row>
    <row r="23826">
      <c r="D23826" s="39"/>
      <c r="E23826" s="39"/>
      <c r="F23826" s="39"/>
    </row>
    <row r="23827">
      <c r="D23827" s="39"/>
      <c r="E23827" s="39"/>
      <c r="F23827" s="39"/>
    </row>
    <row r="23828">
      <c r="D23828" s="39"/>
      <c r="E23828" s="39"/>
      <c r="F23828" s="39"/>
    </row>
    <row r="23829">
      <c r="D23829" s="39"/>
      <c r="E23829" s="39"/>
      <c r="F23829" s="39"/>
    </row>
    <row r="23830">
      <c r="D23830" s="39"/>
      <c r="E23830" s="39"/>
      <c r="F23830" s="39"/>
    </row>
    <row r="23831">
      <c r="D23831" s="39"/>
      <c r="E23831" s="39"/>
      <c r="F23831" s="39"/>
    </row>
    <row r="23832">
      <c r="D23832" s="39"/>
      <c r="E23832" s="39"/>
      <c r="F23832" s="39"/>
    </row>
    <row r="23833">
      <c r="D23833" s="39"/>
      <c r="E23833" s="39"/>
      <c r="F23833" s="39"/>
    </row>
    <row r="23834">
      <c r="D23834" s="39"/>
      <c r="E23834" s="39"/>
      <c r="F23834" s="39"/>
    </row>
    <row r="23835">
      <c r="D23835" s="39"/>
      <c r="E23835" s="39"/>
      <c r="F23835" s="39"/>
    </row>
    <row r="23836">
      <c r="D23836" s="39"/>
      <c r="E23836" s="39"/>
      <c r="F23836" s="39"/>
    </row>
    <row r="23837">
      <c r="D23837" s="39"/>
      <c r="E23837" s="39"/>
      <c r="F23837" s="39"/>
    </row>
    <row r="23838">
      <c r="D23838" s="39"/>
      <c r="E23838" s="39"/>
      <c r="F23838" s="39"/>
    </row>
    <row r="23839">
      <c r="D23839" s="39"/>
      <c r="E23839" s="39"/>
      <c r="F23839" s="39"/>
    </row>
    <row r="23840">
      <c r="D23840" s="39"/>
      <c r="E23840" s="39"/>
      <c r="F23840" s="39"/>
    </row>
    <row r="23841">
      <c r="D23841" s="39"/>
      <c r="E23841" s="39"/>
      <c r="F23841" s="39"/>
    </row>
    <row r="23842">
      <c r="D23842" s="39"/>
      <c r="E23842" s="39"/>
      <c r="F23842" s="39"/>
    </row>
    <row r="23843">
      <c r="D23843" s="39"/>
      <c r="E23843" s="39"/>
      <c r="F23843" s="39"/>
    </row>
    <row r="23844">
      <c r="D23844" s="39"/>
      <c r="E23844" s="39"/>
      <c r="F23844" s="39"/>
    </row>
    <row r="23845">
      <c r="D23845" s="39"/>
      <c r="E23845" s="39"/>
      <c r="F23845" s="39"/>
    </row>
    <row r="23846">
      <c r="D23846" s="39"/>
      <c r="E23846" s="39"/>
      <c r="F23846" s="39"/>
    </row>
    <row r="23847">
      <c r="D23847" s="39"/>
      <c r="E23847" s="39"/>
      <c r="F23847" s="39"/>
    </row>
    <row r="23848">
      <c r="D23848" s="39"/>
      <c r="E23848" s="39"/>
      <c r="F23848" s="39"/>
    </row>
    <row r="23849">
      <c r="D23849" s="39"/>
      <c r="E23849" s="39"/>
      <c r="F23849" s="39"/>
    </row>
    <row r="23850">
      <c r="D23850" s="39"/>
      <c r="E23850" s="39"/>
      <c r="F23850" s="39"/>
    </row>
    <row r="23851">
      <c r="D23851" s="39"/>
      <c r="E23851" s="39"/>
      <c r="F23851" s="39"/>
    </row>
    <row r="23852">
      <c r="D23852" s="39"/>
      <c r="E23852" s="39"/>
      <c r="F23852" s="39"/>
    </row>
    <row r="23853">
      <c r="D23853" s="39"/>
      <c r="E23853" s="39"/>
      <c r="F23853" s="39"/>
    </row>
    <row r="23854">
      <c r="D23854" s="39"/>
      <c r="E23854" s="39"/>
      <c r="F23854" s="39"/>
    </row>
    <row r="23855">
      <c r="D23855" s="39"/>
      <c r="E23855" s="39"/>
      <c r="F23855" s="39"/>
    </row>
    <row r="23856">
      <c r="D23856" s="39"/>
      <c r="E23856" s="39"/>
      <c r="F23856" s="39"/>
    </row>
    <row r="23857">
      <c r="D23857" s="39"/>
      <c r="E23857" s="39"/>
      <c r="F23857" s="39"/>
    </row>
    <row r="23858">
      <c r="D23858" s="39"/>
      <c r="E23858" s="39"/>
      <c r="F23858" s="39"/>
    </row>
    <row r="23859">
      <c r="D23859" s="39"/>
      <c r="E23859" s="39"/>
      <c r="F23859" s="39"/>
    </row>
    <row r="23860">
      <c r="D23860" s="39"/>
      <c r="E23860" s="39"/>
      <c r="F23860" s="39"/>
    </row>
    <row r="23861">
      <c r="D23861" s="39"/>
      <c r="E23861" s="39"/>
      <c r="F23861" s="39"/>
    </row>
    <row r="23862">
      <c r="D23862" s="39"/>
      <c r="E23862" s="39"/>
      <c r="F23862" s="39"/>
    </row>
    <row r="23863">
      <c r="D23863" s="39"/>
      <c r="E23863" s="39"/>
      <c r="F23863" s="39"/>
    </row>
    <row r="23864">
      <c r="D23864" s="39"/>
      <c r="E23864" s="39"/>
      <c r="F23864" s="39"/>
    </row>
    <row r="23865">
      <c r="D23865" s="39"/>
      <c r="E23865" s="39"/>
      <c r="F23865" s="39"/>
    </row>
    <row r="23866">
      <c r="D23866" s="39"/>
      <c r="E23866" s="39"/>
      <c r="F23866" s="39"/>
    </row>
    <row r="23867">
      <c r="D23867" s="39"/>
      <c r="E23867" s="39"/>
      <c r="F23867" s="39"/>
    </row>
    <row r="23868">
      <c r="D23868" s="39"/>
      <c r="E23868" s="39"/>
      <c r="F23868" s="39"/>
    </row>
    <row r="23869">
      <c r="D23869" s="39"/>
      <c r="E23869" s="39"/>
      <c r="F23869" s="39"/>
    </row>
    <row r="23870">
      <c r="D23870" s="39"/>
      <c r="E23870" s="39"/>
      <c r="F23870" s="39"/>
    </row>
    <row r="23871">
      <c r="D23871" s="39"/>
      <c r="E23871" s="39"/>
      <c r="F23871" s="39"/>
    </row>
    <row r="23872">
      <c r="D23872" s="39"/>
      <c r="E23872" s="39"/>
      <c r="F23872" s="39"/>
    </row>
    <row r="23873">
      <c r="D23873" s="39"/>
      <c r="E23873" s="39"/>
      <c r="F23873" s="39"/>
    </row>
    <row r="23874">
      <c r="D23874" s="39"/>
      <c r="E23874" s="39"/>
      <c r="F23874" s="39"/>
    </row>
    <row r="23875">
      <c r="D23875" s="39"/>
      <c r="E23875" s="39"/>
      <c r="F23875" s="39"/>
    </row>
    <row r="23876">
      <c r="D23876" s="39"/>
      <c r="E23876" s="39"/>
      <c r="F23876" s="39"/>
    </row>
    <row r="23877">
      <c r="D23877" s="39"/>
      <c r="E23877" s="39"/>
      <c r="F23877" s="39"/>
    </row>
    <row r="23878">
      <c r="D23878" s="39"/>
      <c r="E23878" s="39"/>
      <c r="F23878" s="39"/>
    </row>
    <row r="23879">
      <c r="D23879" s="39"/>
      <c r="E23879" s="39"/>
      <c r="F23879" s="39"/>
    </row>
    <row r="23880">
      <c r="D23880" s="39"/>
      <c r="E23880" s="39"/>
      <c r="F23880" s="39"/>
    </row>
    <row r="23881">
      <c r="D23881" s="39"/>
      <c r="E23881" s="39"/>
      <c r="F23881" s="39"/>
    </row>
    <row r="23882">
      <c r="D23882" s="39"/>
      <c r="E23882" s="39"/>
      <c r="F23882" s="39"/>
    </row>
    <row r="23883">
      <c r="D23883" s="39"/>
      <c r="E23883" s="39"/>
      <c r="F23883" s="39"/>
    </row>
    <row r="23884">
      <c r="D23884" s="39"/>
      <c r="E23884" s="39"/>
      <c r="F23884" s="39"/>
    </row>
    <row r="23885">
      <c r="D23885" s="39"/>
      <c r="E23885" s="39"/>
      <c r="F23885" s="39"/>
    </row>
    <row r="23886">
      <c r="D23886" s="39"/>
      <c r="E23886" s="39"/>
      <c r="F23886" s="39"/>
    </row>
    <row r="23887">
      <c r="D23887" s="39"/>
      <c r="E23887" s="39"/>
      <c r="F23887" s="39"/>
    </row>
    <row r="23888">
      <c r="D23888" s="39"/>
      <c r="E23888" s="39"/>
      <c r="F23888" s="39"/>
    </row>
    <row r="23889">
      <c r="D23889" s="39"/>
      <c r="E23889" s="39"/>
      <c r="F23889" s="39"/>
    </row>
    <row r="23890">
      <c r="D23890" s="39"/>
      <c r="E23890" s="39"/>
      <c r="F23890" s="39"/>
    </row>
    <row r="23891">
      <c r="D23891" s="39"/>
      <c r="E23891" s="39"/>
      <c r="F23891" s="39"/>
    </row>
    <row r="23892">
      <c r="D23892" s="39"/>
      <c r="E23892" s="39"/>
      <c r="F23892" s="39"/>
    </row>
    <row r="23893">
      <c r="D23893" s="39"/>
      <c r="E23893" s="39"/>
      <c r="F23893" s="39"/>
    </row>
    <row r="23894">
      <c r="D23894" s="39"/>
      <c r="E23894" s="39"/>
      <c r="F23894" s="39"/>
    </row>
    <row r="23895">
      <c r="D23895" s="39"/>
      <c r="E23895" s="39"/>
      <c r="F23895" s="39"/>
    </row>
    <row r="23896">
      <c r="D23896" s="39"/>
      <c r="E23896" s="39"/>
      <c r="F23896" s="39"/>
    </row>
    <row r="23897">
      <c r="D23897" s="39"/>
      <c r="E23897" s="39"/>
      <c r="F23897" s="39"/>
    </row>
    <row r="23898">
      <c r="D23898" s="39"/>
      <c r="E23898" s="39"/>
      <c r="F23898" s="39"/>
    </row>
    <row r="23899">
      <c r="D23899" s="39"/>
      <c r="E23899" s="39"/>
      <c r="F23899" s="39"/>
    </row>
    <row r="23900">
      <c r="D23900" s="39"/>
      <c r="E23900" s="39"/>
      <c r="F23900" s="39"/>
    </row>
    <row r="23901">
      <c r="D23901" s="39"/>
      <c r="E23901" s="39"/>
      <c r="F23901" s="39"/>
    </row>
    <row r="23902">
      <c r="D23902" s="39"/>
      <c r="E23902" s="39"/>
      <c r="F23902" s="39"/>
    </row>
    <row r="23903">
      <c r="D23903" s="39"/>
      <c r="E23903" s="39"/>
      <c r="F23903" s="39"/>
    </row>
    <row r="23904">
      <c r="D23904" s="39"/>
      <c r="E23904" s="39"/>
      <c r="F23904" s="39"/>
    </row>
    <row r="23905">
      <c r="D23905" s="39"/>
      <c r="E23905" s="39"/>
      <c r="F23905" s="39"/>
    </row>
    <row r="23906">
      <c r="D23906" s="39"/>
      <c r="E23906" s="39"/>
      <c r="F23906" s="39"/>
    </row>
    <row r="23907">
      <c r="D23907" s="39"/>
      <c r="E23907" s="39"/>
      <c r="F23907" s="39"/>
    </row>
    <row r="23908">
      <c r="D23908" s="39"/>
      <c r="E23908" s="39"/>
      <c r="F23908" s="39"/>
    </row>
    <row r="23909">
      <c r="D23909" s="39"/>
      <c r="E23909" s="39"/>
      <c r="F23909" s="39"/>
    </row>
    <row r="23910">
      <c r="D23910" s="39"/>
      <c r="E23910" s="39"/>
      <c r="F23910" s="39"/>
    </row>
    <row r="23911">
      <c r="D23911" s="39"/>
      <c r="E23911" s="39"/>
      <c r="F23911" s="39"/>
    </row>
    <row r="23912">
      <c r="D23912" s="39"/>
      <c r="E23912" s="39"/>
      <c r="F23912" s="39"/>
    </row>
    <row r="23913">
      <c r="D23913" s="39"/>
      <c r="E23913" s="39"/>
      <c r="F23913" s="39"/>
    </row>
    <row r="23914">
      <c r="D23914" s="39"/>
      <c r="E23914" s="39"/>
      <c r="F23914" s="39"/>
    </row>
    <row r="23915">
      <c r="D23915" s="39"/>
      <c r="E23915" s="39"/>
      <c r="F23915" s="39"/>
    </row>
    <row r="23916">
      <c r="D23916" s="39"/>
      <c r="E23916" s="39"/>
      <c r="F23916" s="39"/>
    </row>
    <row r="23917">
      <c r="D23917" s="39"/>
      <c r="E23917" s="39"/>
      <c r="F23917" s="39"/>
    </row>
    <row r="23918">
      <c r="D23918" s="39"/>
      <c r="E23918" s="39"/>
      <c r="F23918" s="39"/>
    </row>
    <row r="23919">
      <c r="D23919" s="39"/>
      <c r="E23919" s="39"/>
      <c r="F23919" s="39"/>
    </row>
    <row r="23920">
      <c r="D23920" s="39"/>
      <c r="E23920" s="39"/>
      <c r="F23920" s="39"/>
    </row>
    <row r="23921">
      <c r="D23921" s="39"/>
      <c r="E23921" s="39"/>
      <c r="F23921" s="39"/>
    </row>
    <row r="23922">
      <c r="D23922" s="39"/>
      <c r="E23922" s="39"/>
      <c r="F23922" s="39"/>
    </row>
    <row r="23923">
      <c r="D23923" s="39"/>
      <c r="E23923" s="39"/>
      <c r="F23923" s="39"/>
    </row>
    <row r="23924">
      <c r="D23924" s="39"/>
      <c r="E23924" s="39"/>
      <c r="F23924" s="39"/>
    </row>
    <row r="23925">
      <c r="D23925" s="39"/>
      <c r="E23925" s="39"/>
      <c r="F23925" s="39"/>
    </row>
    <row r="23926">
      <c r="D23926" s="39"/>
      <c r="E23926" s="39"/>
      <c r="F23926" s="39"/>
    </row>
    <row r="23927">
      <c r="D23927" s="39"/>
      <c r="E23927" s="39"/>
      <c r="F23927" s="39"/>
    </row>
    <row r="23928">
      <c r="D23928" s="39"/>
      <c r="E23928" s="39"/>
      <c r="F23928" s="39"/>
    </row>
    <row r="23929">
      <c r="D23929" s="39"/>
      <c r="E23929" s="39"/>
      <c r="F23929" s="39"/>
    </row>
    <row r="23930">
      <c r="D23930" s="39"/>
      <c r="E23930" s="39"/>
      <c r="F23930" s="39"/>
    </row>
    <row r="23931">
      <c r="D23931" s="39"/>
      <c r="E23931" s="39"/>
      <c r="F23931" s="39"/>
    </row>
    <row r="23932">
      <c r="D23932" s="39"/>
      <c r="E23932" s="39"/>
      <c r="F23932" s="39"/>
    </row>
    <row r="23933">
      <c r="D23933" s="39"/>
      <c r="E23933" s="39"/>
      <c r="F23933" s="39"/>
    </row>
    <row r="23934">
      <c r="D23934" s="39"/>
      <c r="E23934" s="39"/>
      <c r="F23934" s="39"/>
    </row>
    <row r="23935">
      <c r="D23935" s="39"/>
      <c r="E23935" s="39"/>
      <c r="F23935" s="39"/>
    </row>
    <row r="23936">
      <c r="D23936" s="39"/>
      <c r="E23936" s="39"/>
      <c r="F23936" s="39"/>
    </row>
    <row r="23937">
      <c r="D23937" s="39"/>
      <c r="E23937" s="39"/>
      <c r="F23937" s="39"/>
    </row>
    <row r="23938">
      <c r="D23938" s="39"/>
      <c r="E23938" s="39"/>
      <c r="F23938" s="39"/>
    </row>
    <row r="23939">
      <c r="D23939" s="39"/>
      <c r="E23939" s="39"/>
      <c r="F23939" s="39"/>
    </row>
    <row r="23940">
      <c r="D23940" s="39"/>
      <c r="E23940" s="39"/>
      <c r="F23940" s="39"/>
    </row>
    <row r="23941">
      <c r="D23941" s="39"/>
      <c r="E23941" s="39"/>
      <c r="F23941" s="39"/>
    </row>
    <row r="23942">
      <c r="D23942" s="39"/>
      <c r="E23942" s="39"/>
      <c r="F23942" s="39"/>
    </row>
    <row r="23943">
      <c r="D23943" s="39"/>
      <c r="E23943" s="39"/>
      <c r="F23943" s="39"/>
    </row>
    <row r="23944">
      <c r="D23944" s="39"/>
      <c r="E23944" s="39"/>
      <c r="F23944" s="39"/>
    </row>
    <row r="23945">
      <c r="D23945" s="39"/>
      <c r="E23945" s="39"/>
      <c r="F23945" s="39"/>
    </row>
    <row r="23946">
      <c r="D23946" s="39"/>
      <c r="E23946" s="39"/>
      <c r="F23946" s="39"/>
    </row>
    <row r="23947">
      <c r="D23947" s="39"/>
      <c r="E23947" s="39"/>
      <c r="F23947" s="39"/>
    </row>
    <row r="23948">
      <c r="D23948" s="39"/>
      <c r="E23948" s="39"/>
      <c r="F23948" s="39"/>
    </row>
    <row r="23949">
      <c r="D23949" s="39"/>
      <c r="E23949" s="39"/>
      <c r="F23949" s="39"/>
    </row>
    <row r="23950">
      <c r="D23950" s="39"/>
      <c r="E23950" s="39"/>
      <c r="F23950" s="39"/>
    </row>
    <row r="23951">
      <c r="D23951" s="39"/>
      <c r="E23951" s="39"/>
      <c r="F23951" s="39"/>
    </row>
    <row r="23952">
      <c r="D23952" s="39"/>
      <c r="E23952" s="39"/>
      <c r="F23952" s="39"/>
    </row>
    <row r="23953">
      <c r="D23953" s="39"/>
      <c r="E23953" s="39"/>
      <c r="F23953" s="39"/>
    </row>
    <row r="23954">
      <c r="D23954" s="39"/>
      <c r="E23954" s="39"/>
      <c r="F23954" s="39"/>
    </row>
    <row r="23955">
      <c r="D23955" s="39"/>
      <c r="E23955" s="39"/>
      <c r="F23955" s="39"/>
    </row>
    <row r="23956">
      <c r="D23956" s="39"/>
      <c r="E23956" s="39"/>
      <c r="F23956" s="39"/>
    </row>
    <row r="23957">
      <c r="D23957" s="39"/>
      <c r="E23957" s="39"/>
      <c r="F23957" s="39"/>
    </row>
    <row r="23958">
      <c r="D23958" s="39"/>
      <c r="E23958" s="39"/>
      <c r="F23958" s="39"/>
    </row>
    <row r="23959">
      <c r="D23959" s="39"/>
      <c r="E23959" s="39"/>
      <c r="F23959" s="39"/>
    </row>
    <row r="23960">
      <c r="D23960" s="39"/>
      <c r="E23960" s="39"/>
      <c r="F23960" s="39"/>
    </row>
    <row r="23961">
      <c r="D23961" s="39"/>
      <c r="E23961" s="39"/>
      <c r="F23961" s="39"/>
    </row>
    <row r="23962">
      <c r="D23962" s="39"/>
      <c r="E23962" s="39"/>
      <c r="F23962" s="39"/>
    </row>
    <row r="23963">
      <c r="D23963" s="39"/>
      <c r="E23963" s="39"/>
      <c r="F23963" s="39"/>
    </row>
    <row r="23964">
      <c r="D23964" s="39"/>
      <c r="E23964" s="39"/>
      <c r="F23964" s="39"/>
    </row>
    <row r="23965">
      <c r="D23965" s="39"/>
      <c r="E23965" s="39"/>
      <c r="F23965" s="39"/>
    </row>
    <row r="23966">
      <c r="D23966" s="39"/>
      <c r="E23966" s="39"/>
      <c r="F23966" s="39"/>
    </row>
    <row r="23967">
      <c r="D23967" s="39"/>
      <c r="E23967" s="39"/>
      <c r="F23967" s="39"/>
    </row>
    <row r="23968">
      <c r="D23968" s="39"/>
      <c r="E23968" s="39"/>
      <c r="F23968" s="39"/>
    </row>
    <row r="23969">
      <c r="D23969" s="39"/>
      <c r="E23969" s="39"/>
      <c r="F23969" s="39"/>
    </row>
    <row r="23970">
      <c r="D23970" s="39"/>
      <c r="E23970" s="39"/>
      <c r="F23970" s="39"/>
    </row>
    <row r="23971">
      <c r="D23971" s="39"/>
      <c r="E23971" s="39"/>
      <c r="F23971" s="39"/>
    </row>
    <row r="23972">
      <c r="D23972" s="39"/>
      <c r="E23972" s="39"/>
      <c r="F23972" s="39"/>
    </row>
    <row r="23973">
      <c r="D23973" s="39"/>
      <c r="E23973" s="39"/>
      <c r="F23973" s="39"/>
    </row>
    <row r="23974">
      <c r="D23974" s="39"/>
      <c r="E23974" s="39"/>
      <c r="F23974" s="39"/>
    </row>
    <row r="23975">
      <c r="D23975" s="39"/>
      <c r="E23975" s="39"/>
      <c r="F23975" s="39"/>
    </row>
    <row r="23976">
      <c r="D23976" s="39"/>
      <c r="E23976" s="39"/>
      <c r="F23976" s="39"/>
    </row>
    <row r="23977">
      <c r="D23977" s="39"/>
      <c r="E23977" s="39"/>
      <c r="F23977" s="39"/>
    </row>
    <row r="23978">
      <c r="D23978" s="39"/>
      <c r="E23978" s="39"/>
      <c r="F23978" s="39"/>
    </row>
    <row r="23979">
      <c r="D23979" s="39"/>
      <c r="E23979" s="39"/>
      <c r="F23979" s="39"/>
    </row>
    <row r="23980">
      <c r="D23980" s="39"/>
      <c r="E23980" s="39"/>
      <c r="F23980" s="39"/>
    </row>
    <row r="23981">
      <c r="D23981" s="39"/>
      <c r="E23981" s="39"/>
      <c r="F23981" s="39"/>
    </row>
    <row r="23982">
      <c r="D23982" s="39"/>
      <c r="E23982" s="39"/>
      <c r="F23982" s="39"/>
    </row>
    <row r="23983">
      <c r="D23983" s="39"/>
      <c r="E23983" s="39"/>
      <c r="F23983" s="39"/>
    </row>
    <row r="23984">
      <c r="D23984" s="39"/>
      <c r="E23984" s="39"/>
      <c r="F23984" s="39"/>
    </row>
    <row r="23985">
      <c r="D23985" s="39"/>
      <c r="E23985" s="39"/>
      <c r="F23985" s="39"/>
    </row>
    <row r="23986">
      <c r="D23986" s="39"/>
      <c r="E23986" s="39"/>
      <c r="F23986" s="39"/>
    </row>
    <row r="23987">
      <c r="D23987" s="39"/>
      <c r="E23987" s="39"/>
      <c r="F23987" s="39"/>
    </row>
    <row r="23988">
      <c r="D23988" s="39"/>
      <c r="E23988" s="39"/>
      <c r="F23988" s="39"/>
    </row>
    <row r="23989">
      <c r="D23989" s="39"/>
      <c r="E23989" s="39"/>
      <c r="F23989" s="39"/>
    </row>
    <row r="23990">
      <c r="D23990" s="39"/>
      <c r="E23990" s="39"/>
      <c r="F23990" s="39"/>
    </row>
    <row r="23991">
      <c r="D23991" s="39"/>
      <c r="E23991" s="39"/>
      <c r="F23991" s="39"/>
    </row>
    <row r="23992">
      <c r="D23992" s="39"/>
      <c r="E23992" s="39"/>
      <c r="F23992" s="39"/>
    </row>
    <row r="23993">
      <c r="D23993" s="39"/>
      <c r="E23993" s="39"/>
      <c r="F23993" s="39"/>
    </row>
    <row r="23994">
      <c r="D23994" s="39"/>
      <c r="E23994" s="39"/>
      <c r="F23994" s="39"/>
    </row>
    <row r="23995">
      <c r="D23995" s="39"/>
      <c r="E23995" s="39"/>
      <c r="F23995" s="39"/>
    </row>
    <row r="23996">
      <c r="D23996" s="39"/>
      <c r="E23996" s="39"/>
      <c r="F23996" s="39"/>
    </row>
    <row r="23997">
      <c r="D23997" s="39"/>
      <c r="E23997" s="39"/>
      <c r="F23997" s="39"/>
    </row>
    <row r="23998">
      <c r="D23998" s="39"/>
      <c r="E23998" s="39"/>
      <c r="F23998" s="39"/>
    </row>
    <row r="23999">
      <c r="D23999" s="39"/>
      <c r="E23999" s="39"/>
      <c r="F23999" s="39"/>
    </row>
    <row r="24000">
      <c r="D24000" s="39"/>
      <c r="E24000" s="39"/>
      <c r="F24000" s="39"/>
    </row>
    <row r="24001">
      <c r="D24001" s="39"/>
      <c r="E24001" s="39"/>
      <c r="F24001" s="39"/>
    </row>
    <row r="24002">
      <c r="D24002" s="39"/>
      <c r="E24002" s="39"/>
      <c r="F24002" s="39"/>
    </row>
    <row r="24003">
      <c r="D24003" s="39"/>
      <c r="E24003" s="39"/>
      <c r="F24003" s="39"/>
    </row>
    <row r="24004">
      <c r="D24004" s="39"/>
      <c r="E24004" s="39"/>
      <c r="F24004" s="39"/>
    </row>
    <row r="24005">
      <c r="D24005" s="39"/>
      <c r="E24005" s="39"/>
      <c r="F24005" s="39"/>
    </row>
    <row r="24006">
      <c r="D24006" s="39"/>
      <c r="E24006" s="39"/>
      <c r="F24006" s="39"/>
    </row>
    <row r="24007">
      <c r="D24007" s="39"/>
      <c r="E24007" s="39"/>
      <c r="F24007" s="39"/>
    </row>
    <row r="24008">
      <c r="D24008" s="39"/>
      <c r="E24008" s="39"/>
      <c r="F24008" s="39"/>
    </row>
    <row r="24009">
      <c r="D24009" s="39"/>
      <c r="E24009" s="39"/>
      <c r="F24009" s="39"/>
    </row>
    <row r="24010">
      <c r="D24010" s="39"/>
      <c r="E24010" s="39"/>
      <c r="F24010" s="39"/>
    </row>
    <row r="24011">
      <c r="D24011" s="39"/>
      <c r="E24011" s="39"/>
      <c r="F24011" s="39"/>
    </row>
    <row r="24012">
      <c r="D24012" s="39"/>
      <c r="E24012" s="39"/>
      <c r="F24012" s="39"/>
    </row>
    <row r="24013">
      <c r="D24013" s="39"/>
      <c r="E24013" s="39"/>
      <c r="F24013" s="39"/>
    </row>
    <row r="24014">
      <c r="D24014" s="39"/>
      <c r="E24014" s="39"/>
      <c r="F24014" s="39"/>
    </row>
    <row r="24015">
      <c r="D24015" s="39"/>
      <c r="E24015" s="39"/>
      <c r="F24015" s="39"/>
    </row>
    <row r="24016">
      <c r="D24016" s="39"/>
      <c r="E24016" s="39"/>
      <c r="F24016" s="39"/>
    </row>
    <row r="24017">
      <c r="D24017" s="39"/>
      <c r="E24017" s="39"/>
      <c r="F24017" s="39"/>
    </row>
    <row r="24018">
      <c r="D24018" s="39"/>
      <c r="E24018" s="39"/>
      <c r="F24018" s="39"/>
    </row>
    <row r="24019">
      <c r="D24019" s="39"/>
      <c r="E24019" s="39"/>
      <c r="F24019" s="39"/>
    </row>
    <row r="24020">
      <c r="D24020" s="39"/>
      <c r="E24020" s="39"/>
      <c r="F24020" s="39"/>
    </row>
    <row r="24021">
      <c r="D24021" s="39"/>
      <c r="E24021" s="39"/>
      <c r="F24021" s="39"/>
    </row>
    <row r="24022">
      <c r="D24022" s="39"/>
      <c r="E24022" s="39"/>
      <c r="F24022" s="39"/>
    </row>
    <row r="24023">
      <c r="D24023" s="39"/>
      <c r="E24023" s="39"/>
      <c r="F24023" s="39"/>
    </row>
    <row r="24024">
      <c r="D24024" s="39"/>
      <c r="E24024" s="39"/>
      <c r="F24024" s="39"/>
    </row>
    <row r="24025">
      <c r="D24025" s="39"/>
      <c r="E24025" s="39"/>
      <c r="F24025" s="39"/>
    </row>
    <row r="24026">
      <c r="D24026" s="39"/>
      <c r="E24026" s="39"/>
      <c r="F24026" s="39"/>
    </row>
    <row r="24027">
      <c r="D24027" s="39"/>
      <c r="E24027" s="39"/>
      <c r="F24027" s="39"/>
    </row>
    <row r="24028">
      <c r="D24028" s="39"/>
      <c r="E24028" s="39"/>
      <c r="F24028" s="39"/>
    </row>
    <row r="24029">
      <c r="D24029" s="39"/>
      <c r="E24029" s="39"/>
      <c r="F24029" s="39"/>
    </row>
    <row r="24030">
      <c r="D24030" s="39"/>
      <c r="E24030" s="39"/>
      <c r="F24030" s="39"/>
    </row>
    <row r="24031">
      <c r="D24031" s="39"/>
      <c r="E24031" s="39"/>
      <c r="F24031" s="39"/>
    </row>
    <row r="24032">
      <c r="D24032" s="39"/>
      <c r="E24032" s="39"/>
      <c r="F24032" s="39"/>
    </row>
    <row r="24033">
      <c r="D24033" s="39"/>
      <c r="E24033" s="39"/>
      <c r="F24033" s="39"/>
    </row>
    <row r="24034">
      <c r="D24034" s="39"/>
      <c r="E24034" s="39"/>
      <c r="F24034" s="39"/>
    </row>
    <row r="24035">
      <c r="D24035" s="39"/>
      <c r="E24035" s="39"/>
      <c r="F24035" s="39"/>
    </row>
    <row r="24036">
      <c r="D24036" s="39"/>
      <c r="E24036" s="39"/>
      <c r="F24036" s="39"/>
    </row>
    <row r="24037">
      <c r="D24037" s="39"/>
      <c r="E24037" s="39"/>
      <c r="F24037" s="39"/>
    </row>
    <row r="24038">
      <c r="D24038" s="39"/>
      <c r="E24038" s="39"/>
      <c r="F24038" s="39"/>
    </row>
    <row r="24039">
      <c r="D24039" s="39"/>
      <c r="E24039" s="39"/>
      <c r="F24039" s="39"/>
    </row>
    <row r="24040">
      <c r="D24040" s="39"/>
      <c r="E24040" s="39"/>
      <c r="F24040" s="39"/>
    </row>
    <row r="24041">
      <c r="D24041" s="39"/>
      <c r="E24041" s="39"/>
      <c r="F24041" s="39"/>
    </row>
    <row r="24042">
      <c r="D24042" s="39"/>
      <c r="E24042" s="39"/>
      <c r="F24042" s="39"/>
    </row>
    <row r="24043">
      <c r="D24043" s="39"/>
      <c r="E24043" s="39"/>
      <c r="F24043" s="39"/>
    </row>
    <row r="24044">
      <c r="D24044" s="39"/>
      <c r="E24044" s="39"/>
      <c r="F24044" s="39"/>
    </row>
    <row r="24045">
      <c r="D24045" s="39"/>
      <c r="E24045" s="39"/>
      <c r="F24045" s="39"/>
    </row>
    <row r="24046">
      <c r="D24046" s="39"/>
      <c r="E24046" s="39"/>
      <c r="F24046" s="39"/>
    </row>
    <row r="24047">
      <c r="D24047" s="39"/>
      <c r="E24047" s="39"/>
      <c r="F24047" s="39"/>
    </row>
    <row r="24048">
      <c r="D24048" s="39"/>
      <c r="E24048" s="39"/>
      <c r="F24048" s="39"/>
    </row>
    <row r="24049">
      <c r="D24049" s="39"/>
      <c r="E24049" s="39"/>
      <c r="F24049" s="39"/>
    </row>
    <row r="24050">
      <c r="D24050" s="39"/>
      <c r="E24050" s="39"/>
      <c r="F24050" s="39"/>
    </row>
    <row r="24051">
      <c r="D24051" s="39"/>
      <c r="E24051" s="39"/>
      <c r="F24051" s="39"/>
    </row>
    <row r="24052">
      <c r="D24052" s="39"/>
      <c r="E24052" s="39"/>
      <c r="F24052" s="39"/>
    </row>
    <row r="24053">
      <c r="D24053" s="39"/>
      <c r="E24053" s="39"/>
      <c r="F24053" s="39"/>
    </row>
    <row r="24054">
      <c r="D24054" s="39"/>
      <c r="E24054" s="39"/>
      <c r="F24054" s="39"/>
    </row>
    <row r="24055">
      <c r="D24055" s="39"/>
      <c r="E24055" s="39"/>
      <c r="F24055" s="39"/>
    </row>
    <row r="24056">
      <c r="D24056" s="39"/>
      <c r="E24056" s="39"/>
      <c r="F24056" s="39"/>
    </row>
    <row r="24057">
      <c r="D24057" s="39"/>
      <c r="E24057" s="39"/>
      <c r="F24057" s="39"/>
    </row>
    <row r="24058">
      <c r="D24058" s="39"/>
      <c r="E24058" s="39"/>
      <c r="F24058" s="39"/>
    </row>
    <row r="24059">
      <c r="D24059" s="39"/>
      <c r="E24059" s="39"/>
      <c r="F24059" s="39"/>
    </row>
    <row r="24060">
      <c r="D24060" s="39"/>
      <c r="E24060" s="39"/>
      <c r="F24060" s="39"/>
    </row>
    <row r="24061">
      <c r="D24061" s="39"/>
      <c r="E24061" s="39"/>
      <c r="F24061" s="39"/>
    </row>
    <row r="24062">
      <c r="D24062" s="39"/>
      <c r="E24062" s="39"/>
      <c r="F24062" s="39"/>
    </row>
    <row r="24063">
      <c r="D24063" s="39"/>
      <c r="E24063" s="39"/>
      <c r="F24063" s="39"/>
    </row>
    <row r="24064">
      <c r="D24064" s="39"/>
      <c r="E24064" s="39"/>
      <c r="F24064" s="39"/>
    </row>
    <row r="24065">
      <c r="D24065" s="39"/>
      <c r="E24065" s="39"/>
      <c r="F24065" s="39"/>
    </row>
    <row r="24066">
      <c r="D24066" s="39"/>
      <c r="E24066" s="39"/>
      <c r="F24066" s="39"/>
    </row>
    <row r="24067">
      <c r="D24067" s="39"/>
      <c r="E24067" s="39"/>
      <c r="F24067" s="39"/>
    </row>
    <row r="24068">
      <c r="D24068" s="39"/>
      <c r="E24068" s="39"/>
      <c r="F24068" s="39"/>
    </row>
    <row r="24069">
      <c r="D24069" s="39"/>
      <c r="E24069" s="39"/>
      <c r="F24069" s="39"/>
    </row>
    <row r="24070">
      <c r="D24070" s="39"/>
      <c r="E24070" s="39"/>
      <c r="F24070" s="39"/>
    </row>
    <row r="24071">
      <c r="D24071" s="39"/>
      <c r="E24071" s="39"/>
      <c r="F24071" s="39"/>
    </row>
    <row r="24072">
      <c r="D24072" s="39"/>
      <c r="E24072" s="39"/>
      <c r="F24072" s="39"/>
    </row>
    <row r="24073">
      <c r="D24073" s="39"/>
      <c r="E24073" s="39"/>
      <c r="F24073" s="39"/>
    </row>
    <row r="24074">
      <c r="D24074" s="39"/>
      <c r="E24074" s="39"/>
      <c r="F24074" s="39"/>
    </row>
    <row r="24075">
      <c r="D24075" s="39"/>
      <c r="E24075" s="39"/>
      <c r="F24075" s="39"/>
    </row>
    <row r="24076">
      <c r="D24076" s="39"/>
      <c r="E24076" s="39"/>
      <c r="F24076" s="39"/>
    </row>
    <row r="24077">
      <c r="D24077" s="39"/>
      <c r="E24077" s="39"/>
      <c r="F24077" s="39"/>
    </row>
    <row r="24078">
      <c r="D24078" s="39"/>
      <c r="E24078" s="39"/>
      <c r="F24078" s="39"/>
    </row>
    <row r="24079">
      <c r="D24079" s="39"/>
      <c r="E24079" s="39"/>
      <c r="F24079" s="39"/>
    </row>
    <row r="24080">
      <c r="D24080" s="39"/>
      <c r="E24080" s="39"/>
      <c r="F24080" s="39"/>
    </row>
    <row r="24081">
      <c r="D24081" s="39"/>
      <c r="E24081" s="39"/>
      <c r="F24081" s="39"/>
    </row>
    <row r="24082">
      <c r="D24082" s="39"/>
      <c r="E24082" s="39"/>
      <c r="F24082" s="39"/>
    </row>
    <row r="24083">
      <c r="D24083" s="39"/>
      <c r="E24083" s="39"/>
      <c r="F24083" s="39"/>
    </row>
    <row r="24084">
      <c r="D24084" s="39"/>
      <c r="E24084" s="39"/>
      <c r="F24084" s="39"/>
    </row>
    <row r="24085">
      <c r="D24085" s="39"/>
      <c r="E24085" s="39"/>
      <c r="F24085" s="39"/>
    </row>
    <row r="24086">
      <c r="D24086" s="39"/>
      <c r="E24086" s="39"/>
      <c r="F24086" s="39"/>
    </row>
    <row r="24087">
      <c r="D24087" s="39"/>
      <c r="E24087" s="39"/>
      <c r="F24087" s="39"/>
    </row>
    <row r="24088">
      <c r="D24088" s="39"/>
      <c r="E24088" s="39"/>
      <c r="F24088" s="39"/>
    </row>
    <row r="24089">
      <c r="D24089" s="39"/>
      <c r="E24089" s="39"/>
      <c r="F24089" s="39"/>
    </row>
    <row r="24090">
      <c r="D24090" s="39"/>
      <c r="E24090" s="39"/>
      <c r="F24090" s="39"/>
    </row>
    <row r="24091">
      <c r="D24091" s="39"/>
      <c r="E24091" s="39"/>
      <c r="F24091" s="39"/>
    </row>
    <row r="24092">
      <c r="D24092" s="39"/>
      <c r="E24092" s="39"/>
      <c r="F24092" s="39"/>
    </row>
    <row r="24093">
      <c r="D24093" s="39"/>
      <c r="E24093" s="39"/>
      <c r="F24093" s="39"/>
    </row>
    <row r="24094">
      <c r="D24094" s="39"/>
      <c r="E24094" s="39"/>
      <c r="F24094" s="39"/>
    </row>
    <row r="24095">
      <c r="D24095" s="39"/>
      <c r="E24095" s="39"/>
      <c r="F24095" s="39"/>
    </row>
    <row r="24096">
      <c r="D24096" s="39"/>
      <c r="E24096" s="39"/>
      <c r="F24096" s="39"/>
    </row>
    <row r="24097">
      <c r="D24097" s="39"/>
      <c r="E24097" s="39"/>
      <c r="F24097" s="39"/>
    </row>
    <row r="24098">
      <c r="D24098" s="39"/>
      <c r="E24098" s="39"/>
      <c r="F24098" s="39"/>
    </row>
    <row r="24099">
      <c r="D24099" s="39"/>
      <c r="E24099" s="39"/>
      <c r="F24099" s="39"/>
    </row>
    <row r="24100">
      <c r="D24100" s="39"/>
      <c r="E24100" s="39"/>
      <c r="F24100" s="39"/>
    </row>
    <row r="24101">
      <c r="D24101" s="39"/>
      <c r="E24101" s="39"/>
      <c r="F24101" s="39"/>
    </row>
    <row r="24102">
      <c r="D24102" s="39"/>
      <c r="E24102" s="39"/>
      <c r="F24102" s="39"/>
    </row>
    <row r="24103">
      <c r="D24103" s="39"/>
      <c r="E24103" s="39"/>
      <c r="F24103" s="39"/>
    </row>
    <row r="24104">
      <c r="D24104" s="39"/>
      <c r="E24104" s="39"/>
      <c r="F24104" s="39"/>
    </row>
    <row r="24105">
      <c r="D24105" s="39"/>
      <c r="E24105" s="39"/>
      <c r="F24105" s="39"/>
    </row>
    <row r="24106">
      <c r="D24106" s="39"/>
      <c r="E24106" s="39"/>
      <c r="F24106" s="39"/>
    </row>
    <row r="24107">
      <c r="D24107" s="39"/>
      <c r="E24107" s="39"/>
      <c r="F24107" s="39"/>
    </row>
    <row r="24108">
      <c r="D24108" s="39"/>
      <c r="E24108" s="39"/>
      <c r="F24108" s="39"/>
    </row>
    <row r="24109">
      <c r="D24109" s="39"/>
      <c r="E24109" s="39"/>
      <c r="F24109" s="39"/>
    </row>
    <row r="24110">
      <c r="D24110" s="39"/>
      <c r="E24110" s="39"/>
      <c r="F24110" s="39"/>
    </row>
    <row r="24111">
      <c r="D24111" s="39"/>
      <c r="E24111" s="39"/>
      <c r="F24111" s="39"/>
    </row>
    <row r="24112">
      <c r="D24112" s="39"/>
      <c r="E24112" s="39"/>
      <c r="F24112" s="39"/>
    </row>
    <row r="24113">
      <c r="D24113" s="39"/>
      <c r="E24113" s="39"/>
      <c r="F24113" s="39"/>
    </row>
    <row r="24114">
      <c r="D24114" s="39"/>
      <c r="E24114" s="39"/>
      <c r="F24114" s="39"/>
    </row>
    <row r="24115">
      <c r="D24115" s="39"/>
      <c r="E24115" s="39"/>
      <c r="F24115" s="39"/>
    </row>
    <row r="24116">
      <c r="D24116" s="39"/>
      <c r="E24116" s="39"/>
      <c r="F24116" s="39"/>
    </row>
    <row r="24117">
      <c r="D24117" s="39"/>
      <c r="E24117" s="39"/>
      <c r="F24117" s="39"/>
    </row>
    <row r="24118">
      <c r="D24118" s="39"/>
      <c r="E24118" s="39"/>
      <c r="F24118" s="39"/>
    </row>
    <row r="24119">
      <c r="D24119" s="39"/>
      <c r="E24119" s="39"/>
      <c r="F24119" s="39"/>
    </row>
    <row r="24120">
      <c r="D24120" s="39"/>
      <c r="E24120" s="39"/>
      <c r="F24120" s="39"/>
    </row>
    <row r="24121">
      <c r="D24121" s="39"/>
      <c r="E24121" s="39"/>
      <c r="F24121" s="39"/>
    </row>
    <row r="24122">
      <c r="D24122" s="39"/>
      <c r="E24122" s="39"/>
      <c r="F24122" s="39"/>
    </row>
    <row r="24123">
      <c r="D24123" s="39"/>
      <c r="E24123" s="39"/>
      <c r="F24123" s="39"/>
    </row>
    <row r="24124">
      <c r="D24124" s="39"/>
      <c r="E24124" s="39"/>
      <c r="F24124" s="39"/>
    </row>
    <row r="24125">
      <c r="D24125" s="39"/>
      <c r="E24125" s="39"/>
      <c r="F24125" s="39"/>
    </row>
    <row r="24126">
      <c r="D24126" s="39"/>
      <c r="E24126" s="39"/>
      <c r="F24126" s="39"/>
    </row>
    <row r="24127">
      <c r="D24127" s="39"/>
      <c r="E24127" s="39"/>
      <c r="F24127" s="39"/>
    </row>
    <row r="24128">
      <c r="D24128" s="39"/>
      <c r="E24128" s="39"/>
      <c r="F24128" s="39"/>
    </row>
    <row r="24129">
      <c r="D24129" s="39"/>
      <c r="E24129" s="39"/>
      <c r="F24129" s="39"/>
    </row>
    <row r="24130">
      <c r="D24130" s="39"/>
      <c r="E24130" s="39"/>
      <c r="F24130" s="39"/>
    </row>
    <row r="24131">
      <c r="D24131" s="39"/>
      <c r="E24131" s="39"/>
      <c r="F24131" s="39"/>
    </row>
    <row r="24132">
      <c r="D24132" s="39"/>
      <c r="E24132" s="39"/>
      <c r="F24132" s="39"/>
    </row>
    <row r="24133">
      <c r="D24133" s="39"/>
      <c r="E24133" s="39"/>
      <c r="F24133" s="39"/>
    </row>
    <row r="24134">
      <c r="D24134" s="39"/>
      <c r="E24134" s="39"/>
      <c r="F24134" s="39"/>
    </row>
    <row r="24135">
      <c r="D24135" s="39"/>
      <c r="E24135" s="39"/>
      <c r="F24135" s="39"/>
    </row>
    <row r="24136">
      <c r="D24136" s="39"/>
      <c r="E24136" s="39"/>
      <c r="F24136" s="39"/>
    </row>
    <row r="24137">
      <c r="D24137" s="39"/>
      <c r="E24137" s="39"/>
      <c r="F24137" s="39"/>
    </row>
    <row r="24138">
      <c r="D24138" s="39"/>
      <c r="E24138" s="39"/>
      <c r="F24138" s="39"/>
    </row>
    <row r="24139">
      <c r="D24139" s="39"/>
      <c r="E24139" s="39"/>
      <c r="F24139" s="39"/>
    </row>
    <row r="24140">
      <c r="D24140" s="39"/>
      <c r="E24140" s="39"/>
      <c r="F24140" s="39"/>
    </row>
    <row r="24141">
      <c r="D24141" s="39"/>
      <c r="E24141" s="39"/>
      <c r="F24141" s="39"/>
    </row>
    <row r="24142">
      <c r="D24142" s="39"/>
      <c r="E24142" s="39"/>
      <c r="F24142" s="39"/>
    </row>
    <row r="24143">
      <c r="D24143" s="39"/>
      <c r="E24143" s="39"/>
      <c r="F24143" s="39"/>
    </row>
    <row r="24144">
      <c r="D24144" s="39"/>
      <c r="E24144" s="39"/>
      <c r="F24144" s="39"/>
    </row>
    <row r="24145">
      <c r="D24145" s="39"/>
      <c r="E24145" s="39"/>
      <c r="F24145" s="39"/>
    </row>
    <row r="24146">
      <c r="D24146" s="39"/>
      <c r="E24146" s="39"/>
      <c r="F24146" s="39"/>
    </row>
    <row r="24147">
      <c r="D24147" s="39"/>
      <c r="E24147" s="39"/>
      <c r="F24147" s="39"/>
    </row>
    <row r="24148">
      <c r="D24148" s="39"/>
      <c r="E24148" s="39"/>
      <c r="F24148" s="39"/>
    </row>
    <row r="24149">
      <c r="D24149" s="39"/>
      <c r="E24149" s="39"/>
      <c r="F24149" s="39"/>
    </row>
    <row r="24150">
      <c r="D24150" s="39"/>
      <c r="E24150" s="39"/>
      <c r="F24150" s="39"/>
    </row>
    <row r="24151">
      <c r="D24151" s="39"/>
      <c r="E24151" s="39"/>
      <c r="F24151" s="39"/>
    </row>
    <row r="24152">
      <c r="D24152" s="39"/>
      <c r="E24152" s="39"/>
      <c r="F24152" s="39"/>
    </row>
    <row r="24153">
      <c r="D24153" s="39"/>
      <c r="E24153" s="39"/>
      <c r="F24153" s="39"/>
    </row>
    <row r="24154">
      <c r="D24154" s="39"/>
      <c r="E24154" s="39"/>
      <c r="F24154" s="39"/>
    </row>
    <row r="24155">
      <c r="D24155" s="39"/>
      <c r="E24155" s="39"/>
      <c r="F24155" s="39"/>
    </row>
    <row r="24156">
      <c r="D24156" s="39"/>
      <c r="E24156" s="39"/>
      <c r="F24156" s="39"/>
    </row>
    <row r="24157">
      <c r="D24157" s="39"/>
      <c r="E24157" s="39"/>
      <c r="F24157" s="39"/>
    </row>
    <row r="24158">
      <c r="D24158" s="39"/>
      <c r="E24158" s="39"/>
      <c r="F24158" s="39"/>
    </row>
    <row r="24159">
      <c r="D24159" s="39"/>
      <c r="E24159" s="39"/>
      <c r="F24159" s="39"/>
    </row>
    <row r="24160">
      <c r="D24160" s="39"/>
      <c r="E24160" s="39"/>
      <c r="F24160" s="39"/>
    </row>
    <row r="24161">
      <c r="D24161" s="39"/>
      <c r="E24161" s="39"/>
      <c r="F24161" s="39"/>
    </row>
    <row r="24162">
      <c r="D24162" s="39"/>
      <c r="E24162" s="39"/>
      <c r="F24162" s="39"/>
    </row>
    <row r="24163">
      <c r="D24163" s="39"/>
      <c r="E24163" s="39"/>
      <c r="F24163" s="39"/>
    </row>
    <row r="24164">
      <c r="D24164" s="39"/>
      <c r="E24164" s="39"/>
      <c r="F24164" s="39"/>
    </row>
    <row r="24165">
      <c r="D24165" s="39"/>
      <c r="E24165" s="39"/>
      <c r="F24165" s="39"/>
    </row>
    <row r="24166">
      <c r="D24166" s="39"/>
      <c r="E24166" s="39"/>
      <c r="F24166" s="39"/>
    </row>
    <row r="24167">
      <c r="D24167" s="39"/>
      <c r="E24167" s="39"/>
      <c r="F24167" s="39"/>
    </row>
    <row r="24168">
      <c r="D24168" s="39"/>
      <c r="E24168" s="39"/>
      <c r="F24168" s="39"/>
    </row>
    <row r="24169">
      <c r="D24169" s="39"/>
      <c r="E24169" s="39"/>
      <c r="F24169" s="39"/>
    </row>
    <row r="24170">
      <c r="D24170" s="39"/>
      <c r="E24170" s="39"/>
      <c r="F24170" s="39"/>
    </row>
    <row r="24171">
      <c r="D24171" s="39"/>
      <c r="E24171" s="39"/>
      <c r="F24171" s="39"/>
    </row>
    <row r="24172">
      <c r="D24172" s="39"/>
      <c r="E24172" s="39"/>
      <c r="F24172" s="39"/>
    </row>
    <row r="24173">
      <c r="D24173" s="39"/>
      <c r="E24173" s="39"/>
      <c r="F24173" s="39"/>
    </row>
    <row r="24174">
      <c r="D24174" s="39"/>
      <c r="E24174" s="39"/>
      <c r="F24174" s="39"/>
    </row>
    <row r="24175">
      <c r="D24175" s="39"/>
      <c r="E24175" s="39"/>
      <c r="F24175" s="39"/>
    </row>
    <row r="24176">
      <c r="D24176" s="39"/>
      <c r="E24176" s="39"/>
      <c r="F24176" s="39"/>
    </row>
    <row r="24177">
      <c r="D24177" s="39"/>
      <c r="E24177" s="39"/>
      <c r="F24177" s="39"/>
    </row>
    <row r="24178">
      <c r="D24178" s="39"/>
      <c r="E24178" s="39"/>
      <c r="F24178" s="39"/>
    </row>
    <row r="24179">
      <c r="D24179" s="39"/>
      <c r="E24179" s="39"/>
      <c r="F24179" s="39"/>
    </row>
    <row r="24180">
      <c r="D24180" s="39"/>
      <c r="E24180" s="39"/>
      <c r="F24180" s="39"/>
    </row>
    <row r="24181">
      <c r="D24181" s="39"/>
      <c r="E24181" s="39"/>
      <c r="F24181" s="39"/>
    </row>
    <row r="24182">
      <c r="D24182" s="39"/>
      <c r="E24182" s="39"/>
      <c r="F24182" s="39"/>
    </row>
    <row r="24183">
      <c r="D24183" s="39"/>
      <c r="E24183" s="39"/>
      <c r="F24183" s="39"/>
    </row>
    <row r="24184">
      <c r="D24184" s="39"/>
      <c r="E24184" s="39"/>
      <c r="F24184" s="39"/>
    </row>
    <row r="24185">
      <c r="D24185" s="39"/>
      <c r="E24185" s="39"/>
      <c r="F24185" s="39"/>
    </row>
    <row r="24186">
      <c r="D24186" s="39"/>
      <c r="E24186" s="39"/>
      <c r="F24186" s="39"/>
    </row>
    <row r="24187">
      <c r="D24187" s="39"/>
      <c r="E24187" s="39"/>
      <c r="F24187" s="39"/>
    </row>
    <row r="24188">
      <c r="D24188" s="39"/>
      <c r="E24188" s="39"/>
      <c r="F24188" s="39"/>
    </row>
    <row r="24189">
      <c r="D24189" s="39"/>
      <c r="E24189" s="39"/>
      <c r="F24189" s="39"/>
    </row>
    <row r="24190">
      <c r="D24190" s="39"/>
      <c r="E24190" s="39"/>
      <c r="F24190" s="39"/>
    </row>
    <row r="24191">
      <c r="D24191" s="39"/>
      <c r="E24191" s="39"/>
      <c r="F24191" s="39"/>
    </row>
    <row r="24192">
      <c r="D24192" s="39"/>
      <c r="E24192" s="39"/>
      <c r="F24192" s="39"/>
    </row>
    <row r="24193">
      <c r="D24193" s="39"/>
      <c r="E24193" s="39"/>
      <c r="F24193" s="39"/>
    </row>
    <row r="24194">
      <c r="D24194" s="39"/>
      <c r="E24194" s="39"/>
      <c r="F24194" s="39"/>
    </row>
    <row r="24195">
      <c r="D24195" s="39"/>
      <c r="E24195" s="39"/>
      <c r="F24195" s="39"/>
    </row>
    <row r="24196">
      <c r="D24196" s="39"/>
      <c r="E24196" s="39"/>
      <c r="F24196" s="39"/>
    </row>
    <row r="24197">
      <c r="D24197" s="39"/>
      <c r="E24197" s="39"/>
      <c r="F24197" s="39"/>
    </row>
    <row r="24198">
      <c r="D24198" s="39"/>
      <c r="E24198" s="39"/>
      <c r="F24198" s="39"/>
    </row>
    <row r="24199">
      <c r="D24199" s="39"/>
      <c r="E24199" s="39"/>
      <c r="F24199" s="39"/>
    </row>
    <row r="24200">
      <c r="D24200" s="39"/>
      <c r="E24200" s="39"/>
      <c r="F24200" s="39"/>
    </row>
    <row r="24201">
      <c r="D24201" s="39"/>
      <c r="E24201" s="39"/>
      <c r="F24201" s="39"/>
    </row>
    <row r="24202">
      <c r="D24202" s="39"/>
      <c r="E24202" s="39"/>
      <c r="F24202" s="39"/>
    </row>
    <row r="24203">
      <c r="D24203" s="39"/>
      <c r="E24203" s="39"/>
      <c r="F24203" s="39"/>
    </row>
    <row r="24204">
      <c r="D24204" s="39"/>
      <c r="E24204" s="39"/>
      <c r="F24204" s="39"/>
    </row>
    <row r="24205">
      <c r="D24205" s="39"/>
      <c r="E24205" s="39"/>
      <c r="F24205" s="39"/>
    </row>
    <row r="24206">
      <c r="D24206" s="39"/>
      <c r="E24206" s="39"/>
      <c r="F24206" s="39"/>
    </row>
    <row r="24207">
      <c r="D24207" s="39"/>
      <c r="E24207" s="39"/>
      <c r="F24207" s="39"/>
    </row>
    <row r="24208">
      <c r="D24208" s="39"/>
      <c r="E24208" s="39"/>
      <c r="F24208" s="39"/>
    </row>
    <row r="24209">
      <c r="D24209" s="39"/>
      <c r="E24209" s="39"/>
      <c r="F24209" s="39"/>
    </row>
    <row r="24210">
      <c r="D24210" s="39"/>
      <c r="E24210" s="39"/>
      <c r="F24210" s="39"/>
    </row>
    <row r="24211">
      <c r="D24211" s="39"/>
      <c r="E24211" s="39"/>
      <c r="F24211" s="39"/>
    </row>
    <row r="24212">
      <c r="D24212" s="39"/>
      <c r="E24212" s="39"/>
      <c r="F24212" s="39"/>
    </row>
    <row r="24213">
      <c r="D24213" s="39"/>
      <c r="E24213" s="39"/>
      <c r="F24213" s="39"/>
    </row>
    <row r="24214">
      <c r="D24214" s="39"/>
      <c r="E24214" s="39"/>
      <c r="F24214" s="39"/>
    </row>
    <row r="24215">
      <c r="D24215" s="39"/>
      <c r="E24215" s="39"/>
      <c r="F24215" s="39"/>
    </row>
    <row r="24216">
      <c r="D24216" s="39"/>
      <c r="E24216" s="39"/>
      <c r="F24216" s="39"/>
    </row>
    <row r="24217">
      <c r="D24217" s="39"/>
      <c r="E24217" s="39"/>
      <c r="F24217" s="39"/>
    </row>
    <row r="24218">
      <c r="D24218" s="39"/>
      <c r="E24218" s="39"/>
      <c r="F24218" s="39"/>
    </row>
    <row r="24219">
      <c r="D24219" s="39"/>
      <c r="E24219" s="39"/>
      <c r="F24219" s="39"/>
    </row>
    <row r="24220">
      <c r="D24220" s="39"/>
      <c r="E24220" s="39"/>
      <c r="F24220" s="39"/>
    </row>
    <row r="24221">
      <c r="D24221" s="39"/>
      <c r="E24221" s="39"/>
      <c r="F24221" s="39"/>
    </row>
    <row r="24222">
      <c r="D24222" s="39"/>
      <c r="E24222" s="39"/>
      <c r="F24222" s="39"/>
    </row>
    <row r="24223">
      <c r="D24223" s="39"/>
      <c r="E24223" s="39"/>
      <c r="F24223" s="39"/>
    </row>
    <row r="24224">
      <c r="D24224" s="39"/>
      <c r="E24224" s="39"/>
      <c r="F24224" s="39"/>
    </row>
    <row r="24225">
      <c r="D24225" s="39"/>
      <c r="E24225" s="39"/>
      <c r="F24225" s="39"/>
    </row>
    <row r="24226">
      <c r="D24226" s="39"/>
      <c r="E24226" s="39"/>
      <c r="F24226" s="39"/>
    </row>
    <row r="24227">
      <c r="D24227" s="39"/>
      <c r="E24227" s="39"/>
      <c r="F24227" s="39"/>
    </row>
    <row r="24228">
      <c r="D24228" s="39"/>
      <c r="E24228" s="39"/>
      <c r="F24228" s="39"/>
    </row>
    <row r="24229">
      <c r="D24229" s="39"/>
      <c r="E24229" s="39"/>
      <c r="F24229" s="39"/>
    </row>
    <row r="24230">
      <c r="D24230" s="39"/>
      <c r="E24230" s="39"/>
      <c r="F24230" s="39"/>
    </row>
    <row r="24231">
      <c r="D24231" s="39"/>
      <c r="E24231" s="39"/>
      <c r="F24231" s="39"/>
    </row>
    <row r="24232">
      <c r="D24232" s="39"/>
      <c r="E24232" s="39"/>
      <c r="F24232" s="39"/>
    </row>
    <row r="24233">
      <c r="D24233" s="39"/>
      <c r="E24233" s="39"/>
      <c r="F24233" s="39"/>
    </row>
    <row r="24234">
      <c r="D24234" s="39"/>
      <c r="E24234" s="39"/>
      <c r="F24234" s="39"/>
    </row>
    <row r="24235">
      <c r="D24235" s="39"/>
      <c r="E24235" s="39"/>
      <c r="F24235" s="39"/>
    </row>
    <row r="24236">
      <c r="D24236" s="39"/>
      <c r="E24236" s="39"/>
      <c r="F24236" s="39"/>
    </row>
    <row r="24237">
      <c r="D24237" s="39"/>
      <c r="E24237" s="39"/>
      <c r="F24237" s="39"/>
    </row>
    <row r="24238">
      <c r="D24238" s="39"/>
      <c r="E24238" s="39"/>
      <c r="F24238" s="39"/>
    </row>
    <row r="24239">
      <c r="D24239" s="39"/>
      <c r="E24239" s="39"/>
      <c r="F24239" s="39"/>
    </row>
    <row r="24240">
      <c r="D24240" s="39"/>
      <c r="E24240" s="39"/>
      <c r="F24240" s="39"/>
    </row>
    <row r="24241">
      <c r="D24241" s="39"/>
      <c r="E24241" s="39"/>
      <c r="F24241" s="39"/>
    </row>
    <row r="24242">
      <c r="D24242" s="39"/>
      <c r="E24242" s="39"/>
      <c r="F24242" s="39"/>
    </row>
    <row r="24243">
      <c r="D24243" s="39"/>
      <c r="E24243" s="39"/>
      <c r="F24243" s="39"/>
    </row>
    <row r="24244">
      <c r="D24244" s="39"/>
      <c r="E24244" s="39"/>
      <c r="F24244" s="39"/>
    </row>
    <row r="24245">
      <c r="D24245" s="39"/>
      <c r="E24245" s="39"/>
      <c r="F24245" s="39"/>
    </row>
    <row r="24246">
      <c r="D24246" s="39"/>
      <c r="E24246" s="39"/>
      <c r="F24246" s="39"/>
    </row>
    <row r="24247">
      <c r="D24247" s="39"/>
      <c r="E24247" s="39"/>
      <c r="F24247" s="39"/>
    </row>
    <row r="24248">
      <c r="D24248" s="39"/>
      <c r="E24248" s="39"/>
      <c r="F24248" s="39"/>
    </row>
    <row r="24249">
      <c r="D24249" s="39"/>
      <c r="E24249" s="39"/>
      <c r="F24249" s="39"/>
    </row>
    <row r="24250">
      <c r="D24250" s="39"/>
      <c r="E24250" s="39"/>
      <c r="F24250" s="39"/>
    </row>
    <row r="24251">
      <c r="D24251" s="39"/>
      <c r="E24251" s="39"/>
      <c r="F24251" s="39"/>
    </row>
    <row r="24252">
      <c r="D24252" s="39"/>
      <c r="E24252" s="39"/>
      <c r="F24252" s="39"/>
    </row>
    <row r="24253">
      <c r="D24253" s="39"/>
      <c r="E24253" s="39"/>
      <c r="F24253" s="39"/>
    </row>
    <row r="24254">
      <c r="D24254" s="39"/>
      <c r="E24254" s="39"/>
      <c r="F24254" s="39"/>
    </row>
    <row r="24255">
      <c r="D24255" s="39"/>
      <c r="E24255" s="39"/>
      <c r="F24255" s="39"/>
    </row>
    <row r="24256">
      <c r="D24256" s="39"/>
      <c r="E24256" s="39"/>
      <c r="F24256" s="39"/>
    </row>
    <row r="24257">
      <c r="D24257" s="39"/>
      <c r="E24257" s="39"/>
      <c r="F24257" s="39"/>
    </row>
    <row r="24258">
      <c r="D24258" s="39"/>
      <c r="E24258" s="39"/>
      <c r="F24258" s="39"/>
    </row>
    <row r="24259">
      <c r="D24259" s="39"/>
      <c r="E24259" s="39"/>
      <c r="F24259" s="39"/>
    </row>
    <row r="24260">
      <c r="D24260" s="39"/>
      <c r="E24260" s="39"/>
      <c r="F24260" s="39"/>
    </row>
    <row r="24261">
      <c r="D24261" s="39"/>
      <c r="E24261" s="39"/>
      <c r="F24261" s="39"/>
    </row>
    <row r="24262">
      <c r="D24262" s="39"/>
      <c r="E24262" s="39"/>
      <c r="F24262" s="39"/>
    </row>
    <row r="24263">
      <c r="D24263" s="39"/>
      <c r="E24263" s="39"/>
      <c r="F24263" s="39"/>
    </row>
    <row r="24264">
      <c r="D24264" s="39"/>
      <c r="E24264" s="39"/>
      <c r="F24264" s="39"/>
    </row>
    <row r="24265">
      <c r="D24265" s="39"/>
      <c r="E24265" s="39"/>
      <c r="F24265" s="39"/>
    </row>
    <row r="24266">
      <c r="D24266" s="39"/>
      <c r="E24266" s="39"/>
      <c r="F24266" s="39"/>
    </row>
    <row r="24267">
      <c r="D24267" s="39"/>
      <c r="E24267" s="39"/>
      <c r="F24267" s="39"/>
    </row>
    <row r="24268">
      <c r="D24268" s="39"/>
      <c r="E24268" s="39"/>
      <c r="F24268" s="39"/>
    </row>
    <row r="24269">
      <c r="D24269" s="39"/>
      <c r="E24269" s="39"/>
      <c r="F24269" s="39"/>
    </row>
    <row r="24270">
      <c r="D24270" s="39"/>
      <c r="E24270" s="39"/>
      <c r="F24270" s="39"/>
    </row>
    <row r="24271">
      <c r="D24271" s="39"/>
      <c r="E24271" s="39"/>
      <c r="F24271" s="39"/>
    </row>
    <row r="24272">
      <c r="D24272" s="39"/>
      <c r="E24272" s="39"/>
      <c r="F24272" s="39"/>
    </row>
    <row r="24273">
      <c r="D24273" s="39"/>
      <c r="E24273" s="39"/>
      <c r="F24273" s="39"/>
    </row>
    <row r="24274">
      <c r="D24274" s="39"/>
      <c r="E24274" s="39"/>
      <c r="F24274" s="39"/>
    </row>
    <row r="24275">
      <c r="D24275" s="39"/>
      <c r="E24275" s="39"/>
      <c r="F24275" s="39"/>
    </row>
    <row r="24276">
      <c r="D24276" s="39"/>
      <c r="E24276" s="39"/>
      <c r="F24276" s="39"/>
    </row>
    <row r="24277">
      <c r="D24277" s="39"/>
      <c r="E24277" s="39"/>
      <c r="F24277" s="39"/>
    </row>
    <row r="24278">
      <c r="D24278" s="39"/>
      <c r="E24278" s="39"/>
      <c r="F24278" s="39"/>
    </row>
    <row r="24279">
      <c r="D24279" s="39"/>
      <c r="E24279" s="39"/>
      <c r="F24279" s="39"/>
    </row>
    <row r="24280">
      <c r="D24280" s="39"/>
      <c r="E24280" s="39"/>
      <c r="F24280" s="39"/>
    </row>
    <row r="24281">
      <c r="D24281" s="39"/>
      <c r="E24281" s="39"/>
      <c r="F24281" s="39"/>
    </row>
    <row r="24282">
      <c r="D24282" s="39"/>
      <c r="E24282" s="39"/>
      <c r="F24282" s="39"/>
    </row>
    <row r="24283">
      <c r="D24283" s="39"/>
      <c r="E24283" s="39"/>
      <c r="F24283" s="39"/>
    </row>
    <row r="24284">
      <c r="D24284" s="39"/>
      <c r="E24284" s="39"/>
      <c r="F24284" s="39"/>
    </row>
    <row r="24285">
      <c r="D24285" s="39"/>
      <c r="E24285" s="39"/>
      <c r="F24285" s="39"/>
    </row>
    <row r="24286">
      <c r="D24286" s="39"/>
      <c r="E24286" s="39"/>
      <c r="F24286" s="39"/>
    </row>
    <row r="24287">
      <c r="D24287" s="39"/>
      <c r="E24287" s="39"/>
      <c r="F24287" s="39"/>
    </row>
    <row r="24288">
      <c r="D24288" s="39"/>
      <c r="E24288" s="39"/>
      <c r="F24288" s="39"/>
    </row>
    <row r="24289">
      <c r="D24289" s="39"/>
      <c r="E24289" s="39"/>
      <c r="F24289" s="39"/>
    </row>
    <row r="24290">
      <c r="D24290" s="39"/>
      <c r="E24290" s="39"/>
      <c r="F24290" s="39"/>
    </row>
    <row r="24291">
      <c r="D24291" s="39"/>
      <c r="E24291" s="39"/>
      <c r="F24291" s="39"/>
    </row>
    <row r="24292">
      <c r="D24292" s="39"/>
      <c r="E24292" s="39"/>
      <c r="F24292" s="39"/>
    </row>
    <row r="24293">
      <c r="D24293" s="39"/>
      <c r="E24293" s="39"/>
      <c r="F24293" s="39"/>
    </row>
    <row r="24294">
      <c r="D24294" s="39"/>
      <c r="E24294" s="39"/>
      <c r="F24294" s="39"/>
    </row>
    <row r="24295">
      <c r="D24295" s="39"/>
      <c r="E24295" s="39"/>
      <c r="F24295" s="39"/>
    </row>
    <row r="24296">
      <c r="D24296" s="39"/>
      <c r="E24296" s="39"/>
      <c r="F24296" s="39"/>
    </row>
    <row r="24297">
      <c r="D24297" s="39"/>
      <c r="E24297" s="39"/>
      <c r="F24297" s="39"/>
    </row>
    <row r="24298">
      <c r="D24298" s="39"/>
      <c r="E24298" s="39"/>
      <c r="F24298" s="39"/>
    </row>
    <row r="24299">
      <c r="D24299" s="39"/>
      <c r="E24299" s="39"/>
      <c r="F24299" s="39"/>
    </row>
    <row r="24300">
      <c r="D24300" s="39"/>
      <c r="E24300" s="39"/>
      <c r="F24300" s="39"/>
    </row>
    <row r="24301">
      <c r="D24301" s="39"/>
      <c r="E24301" s="39"/>
      <c r="F24301" s="39"/>
    </row>
    <row r="24302">
      <c r="D24302" s="39"/>
      <c r="E24302" s="39"/>
      <c r="F24302" s="39"/>
    </row>
    <row r="24303">
      <c r="D24303" s="39"/>
      <c r="E24303" s="39"/>
      <c r="F24303" s="39"/>
    </row>
    <row r="24304">
      <c r="D24304" s="39"/>
      <c r="E24304" s="39"/>
      <c r="F24304" s="39"/>
    </row>
    <row r="24305">
      <c r="D24305" s="39"/>
      <c r="E24305" s="39"/>
      <c r="F24305" s="39"/>
    </row>
    <row r="24306">
      <c r="D24306" s="39"/>
      <c r="E24306" s="39"/>
      <c r="F24306" s="39"/>
    </row>
    <row r="24307">
      <c r="D24307" s="39"/>
      <c r="E24307" s="39"/>
      <c r="F24307" s="39"/>
    </row>
    <row r="24308">
      <c r="D24308" s="39"/>
      <c r="E24308" s="39"/>
      <c r="F24308" s="39"/>
    </row>
    <row r="24309">
      <c r="D24309" s="39"/>
      <c r="E24309" s="39"/>
      <c r="F24309" s="39"/>
    </row>
    <row r="24310">
      <c r="D24310" s="39"/>
      <c r="E24310" s="39"/>
      <c r="F24310" s="39"/>
    </row>
    <row r="24311">
      <c r="D24311" s="39"/>
      <c r="E24311" s="39"/>
      <c r="F24311" s="39"/>
    </row>
    <row r="24312">
      <c r="D24312" s="39"/>
      <c r="E24312" s="39"/>
      <c r="F24312" s="39"/>
    </row>
    <row r="24313">
      <c r="D24313" s="39"/>
      <c r="E24313" s="39"/>
      <c r="F24313" s="39"/>
    </row>
    <row r="24314">
      <c r="D24314" s="39"/>
      <c r="E24314" s="39"/>
      <c r="F24314" s="39"/>
    </row>
    <row r="24315">
      <c r="D24315" s="39"/>
      <c r="E24315" s="39"/>
      <c r="F24315" s="39"/>
    </row>
    <row r="24316">
      <c r="D24316" s="39"/>
      <c r="E24316" s="39"/>
      <c r="F24316" s="39"/>
    </row>
    <row r="24317">
      <c r="D24317" s="39"/>
      <c r="E24317" s="39"/>
      <c r="F24317" s="39"/>
    </row>
    <row r="24318">
      <c r="D24318" s="39"/>
      <c r="E24318" s="39"/>
      <c r="F24318" s="39"/>
    </row>
    <row r="24319">
      <c r="D24319" s="39"/>
      <c r="E24319" s="39"/>
      <c r="F24319" s="39"/>
    </row>
    <row r="24320">
      <c r="D24320" s="39"/>
      <c r="E24320" s="39"/>
      <c r="F24320" s="39"/>
    </row>
    <row r="24321">
      <c r="D24321" s="39"/>
      <c r="E24321" s="39"/>
      <c r="F24321" s="39"/>
    </row>
    <row r="24322">
      <c r="D24322" s="39"/>
      <c r="E24322" s="39"/>
      <c r="F24322" s="39"/>
    </row>
    <row r="24323">
      <c r="D24323" s="39"/>
      <c r="E24323" s="39"/>
      <c r="F24323" s="39"/>
    </row>
    <row r="24324">
      <c r="D24324" s="39"/>
      <c r="E24324" s="39"/>
      <c r="F24324" s="39"/>
    </row>
    <row r="24325">
      <c r="D24325" s="39"/>
      <c r="E24325" s="39"/>
      <c r="F24325" s="39"/>
    </row>
    <row r="24326">
      <c r="D24326" s="39"/>
      <c r="E24326" s="39"/>
      <c r="F24326" s="39"/>
    </row>
    <row r="24327">
      <c r="D24327" s="39"/>
      <c r="E24327" s="39"/>
      <c r="F24327" s="39"/>
    </row>
    <row r="24328">
      <c r="D24328" s="39"/>
      <c r="E24328" s="39"/>
      <c r="F24328" s="39"/>
    </row>
    <row r="24329">
      <c r="D24329" s="39"/>
      <c r="E24329" s="39"/>
      <c r="F24329" s="39"/>
    </row>
    <row r="24330">
      <c r="D24330" s="39"/>
      <c r="E24330" s="39"/>
      <c r="F24330" s="39"/>
    </row>
    <row r="24331">
      <c r="D24331" s="39"/>
      <c r="E24331" s="39"/>
      <c r="F24331" s="39"/>
    </row>
    <row r="24332">
      <c r="D24332" s="39"/>
      <c r="E24332" s="39"/>
      <c r="F24332" s="39"/>
    </row>
    <row r="24333">
      <c r="D24333" s="39"/>
      <c r="E24333" s="39"/>
      <c r="F24333" s="39"/>
    </row>
    <row r="24334">
      <c r="D24334" s="39"/>
      <c r="E24334" s="39"/>
      <c r="F24334" s="39"/>
    </row>
    <row r="24335">
      <c r="D24335" s="39"/>
      <c r="E24335" s="39"/>
      <c r="F24335" s="39"/>
    </row>
    <row r="24336">
      <c r="D24336" s="39"/>
      <c r="E24336" s="39"/>
      <c r="F24336" s="39"/>
    </row>
    <row r="24337">
      <c r="D24337" s="39"/>
      <c r="E24337" s="39"/>
      <c r="F24337" s="39"/>
    </row>
    <row r="24338">
      <c r="D24338" s="39"/>
      <c r="E24338" s="39"/>
      <c r="F24338" s="39"/>
    </row>
    <row r="24339">
      <c r="D24339" s="39"/>
      <c r="E24339" s="39"/>
      <c r="F24339" s="39"/>
    </row>
    <row r="24340">
      <c r="D24340" s="39"/>
      <c r="E24340" s="39"/>
      <c r="F24340" s="39"/>
    </row>
    <row r="24341">
      <c r="D24341" s="39"/>
      <c r="E24341" s="39"/>
      <c r="F24341" s="39"/>
    </row>
    <row r="24342">
      <c r="D24342" s="39"/>
      <c r="E24342" s="39"/>
      <c r="F24342" s="39"/>
    </row>
    <row r="24343">
      <c r="D24343" s="39"/>
      <c r="E24343" s="39"/>
      <c r="F24343" s="39"/>
    </row>
    <row r="24344">
      <c r="D24344" s="39"/>
      <c r="E24344" s="39"/>
      <c r="F24344" s="39"/>
    </row>
    <row r="24345">
      <c r="D24345" s="39"/>
      <c r="E24345" s="39"/>
      <c r="F24345" s="39"/>
    </row>
    <row r="24346">
      <c r="D24346" s="39"/>
      <c r="E24346" s="39"/>
      <c r="F24346" s="39"/>
    </row>
    <row r="24347">
      <c r="D24347" s="39"/>
      <c r="E24347" s="39"/>
      <c r="F24347" s="39"/>
    </row>
    <row r="24348">
      <c r="D24348" s="39"/>
      <c r="E24348" s="39"/>
      <c r="F24348" s="39"/>
    </row>
    <row r="24349">
      <c r="D24349" s="39"/>
      <c r="E24349" s="39"/>
      <c r="F24349" s="39"/>
    </row>
    <row r="24350">
      <c r="D24350" s="39"/>
      <c r="E24350" s="39"/>
      <c r="F24350" s="39"/>
    </row>
    <row r="24351">
      <c r="D24351" s="39"/>
      <c r="E24351" s="39"/>
      <c r="F24351" s="39"/>
    </row>
    <row r="24352">
      <c r="D24352" s="39"/>
      <c r="E24352" s="39"/>
      <c r="F24352" s="39"/>
    </row>
    <row r="24353">
      <c r="D24353" s="39"/>
      <c r="E24353" s="39"/>
      <c r="F24353" s="39"/>
    </row>
    <row r="24354">
      <c r="D24354" s="39"/>
      <c r="E24354" s="39"/>
      <c r="F24354" s="39"/>
    </row>
    <row r="24355">
      <c r="D24355" s="39"/>
      <c r="E24355" s="39"/>
      <c r="F24355" s="39"/>
    </row>
    <row r="24356">
      <c r="D24356" s="39"/>
      <c r="E24356" s="39"/>
      <c r="F24356" s="39"/>
    </row>
    <row r="24357">
      <c r="D24357" s="39"/>
      <c r="E24357" s="39"/>
      <c r="F24357" s="39"/>
    </row>
    <row r="24358">
      <c r="D24358" s="39"/>
      <c r="E24358" s="39"/>
      <c r="F24358" s="39"/>
    </row>
    <row r="24359">
      <c r="D24359" s="39"/>
      <c r="E24359" s="39"/>
      <c r="F24359" s="39"/>
    </row>
    <row r="24360">
      <c r="D24360" s="39"/>
      <c r="E24360" s="39"/>
      <c r="F24360" s="39"/>
    </row>
    <row r="24361">
      <c r="D24361" s="39"/>
      <c r="E24361" s="39"/>
      <c r="F24361" s="39"/>
    </row>
    <row r="24362">
      <c r="D24362" s="39"/>
      <c r="E24362" s="39"/>
      <c r="F24362" s="39"/>
    </row>
    <row r="24363">
      <c r="D24363" s="39"/>
      <c r="E24363" s="39"/>
      <c r="F24363" s="39"/>
    </row>
    <row r="24364">
      <c r="D24364" s="39"/>
      <c r="E24364" s="39"/>
      <c r="F24364" s="39"/>
    </row>
    <row r="24365">
      <c r="D24365" s="39"/>
      <c r="E24365" s="39"/>
      <c r="F24365" s="39"/>
    </row>
    <row r="24366">
      <c r="D24366" s="39"/>
      <c r="E24366" s="39"/>
      <c r="F24366" s="39"/>
    </row>
    <row r="24367">
      <c r="D24367" s="39"/>
      <c r="E24367" s="39"/>
      <c r="F24367" s="39"/>
    </row>
    <row r="24368">
      <c r="D24368" s="39"/>
      <c r="E24368" s="39"/>
      <c r="F24368" s="39"/>
    </row>
    <row r="24369">
      <c r="D24369" s="39"/>
      <c r="E24369" s="39"/>
      <c r="F24369" s="39"/>
    </row>
    <row r="24370">
      <c r="D24370" s="39"/>
      <c r="E24370" s="39"/>
      <c r="F24370" s="39"/>
    </row>
    <row r="24371">
      <c r="D24371" s="39"/>
      <c r="E24371" s="39"/>
      <c r="F24371" s="39"/>
    </row>
    <row r="24372">
      <c r="D24372" s="39"/>
      <c r="E24372" s="39"/>
      <c r="F24372" s="39"/>
    </row>
    <row r="24373">
      <c r="D24373" s="39"/>
      <c r="E24373" s="39"/>
      <c r="F24373" s="39"/>
    </row>
    <row r="24374">
      <c r="D24374" s="39"/>
      <c r="E24374" s="39"/>
      <c r="F24374" s="39"/>
    </row>
    <row r="24375">
      <c r="D24375" s="39"/>
      <c r="E24375" s="39"/>
      <c r="F24375" s="39"/>
    </row>
    <row r="24376">
      <c r="D24376" s="39"/>
      <c r="E24376" s="39"/>
      <c r="F24376" s="39"/>
    </row>
    <row r="24377">
      <c r="D24377" s="39"/>
      <c r="E24377" s="39"/>
      <c r="F24377" s="39"/>
    </row>
    <row r="24378">
      <c r="D24378" s="39"/>
      <c r="E24378" s="39"/>
      <c r="F24378" s="39"/>
    </row>
    <row r="24379">
      <c r="D24379" s="39"/>
      <c r="E24379" s="39"/>
      <c r="F24379" s="39"/>
    </row>
    <row r="24380">
      <c r="D24380" s="39"/>
      <c r="E24380" s="39"/>
      <c r="F24380" s="39"/>
    </row>
    <row r="24381">
      <c r="D24381" s="39"/>
      <c r="E24381" s="39"/>
      <c r="F24381" s="39"/>
    </row>
    <row r="24382">
      <c r="D24382" s="39"/>
      <c r="E24382" s="39"/>
      <c r="F24382" s="39"/>
    </row>
    <row r="24383">
      <c r="D24383" s="39"/>
      <c r="E24383" s="39"/>
      <c r="F24383" s="39"/>
    </row>
    <row r="24384">
      <c r="D24384" s="39"/>
      <c r="E24384" s="39"/>
      <c r="F24384" s="39"/>
    </row>
    <row r="24385">
      <c r="D24385" s="39"/>
      <c r="E24385" s="39"/>
      <c r="F24385" s="39"/>
    </row>
    <row r="24386">
      <c r="D24386" s="39"/>
      <c r="E24386" s="39"/>
      <c r="F24386" s="39"/>
    </row>
    <row r="24387">
      <c r="D24387" s="39"/>
      <c r="E24387" s="39"/>
      <c r="F24387" s="39"/>
    </row>
    <row r="24388">
      <c r="D24388" s="39"/>
      <c r="E24388" s="39"/>
      <c r="F24388" s="39"/>
    </row>
    <row r="24389">
      <c r="D24389" s="39"/>
      <c r="E24389" s="39"/>
      <c r="F24389" s="39"/>
    </row>
    <row r="24390">
      <c r="D24390" s="39"/>
      <c r="E24390" s="39"/>
      <c r="F24390" s="39"/>
    </row>
    <row r="24391">
      <c r="D24391" s="39"/>
      <c r="E24391" s="39"/>
      <c r="F24391" s="39"/>
    </row>
    <row r="24392">
      <c r="D24392" s="39"/>
      <c r="E24392" s="39"/>
      <c r="F24392" s="39"/>
    </row>
    <row r="24393">
      <c r="D24393" s="39"/>
      <c r="E24393" s="39"/>
      <c r="F24393" s="39"/>
    </row>
    <row r="24394">
      <c r="D24394" s="39"/>
      <c r="E24394" s="39"/>
      <c r="F24394" s="39"/>
    </row>
    <row r="24395">
      <c r="D24395" s="39"/>
      <c r="E24395" s="39"/>
      <c r="F24395" s="39"/>
    </row>
    <row r="24396">
      <c r="D24396" s="39"/>
      <c r="E24396" s="39"/>
      <c r="F24396" s="39"/>
    </row>
    <row r="24397">
      <c r="D24397" s="39"/>
      <c r="E24397" s="39"/>
      <c r="F24397" s="39"/>
    </row>
    <row r="24398">
      <c r="D24398" s="39"/>
      <c r="E24398" s="39"/>
      <c r="F24398" s="39"/>
    </row>
    <row r="24399">
      <c r="D24399" s="39"/>
      <c r="E24399" s="39"/>
      <c r="F24399" s="39"/>
    </row>
    <row r="24400">
      <c r="D24400" s="39"/>
      <c r="E24400" s="39"/>
      <c r="F24400" s="39"/>
    </row>
    <row r="24401">
      <c r="D24401" s="39"/>
      <c r="E24401" s="39"/>
      <c r="F24401" s="39"/>
    </row>
    <row r="24402">
      <c r="D24402" s="39"/>
      <c r="E24402" s="39"/>
      <c r="F24402" s="39"/>
    </row>
    <row r="24403">
      <c r="D24403" s="39"/>
      <c r="E24403" s="39"/>
      <c r="F24403" s="39"/>
    </row>
    <row r="24404">
      <c r="D24404" s="39"/>
      <c r="E24404" s="39"/>
      <c r="F24404" s="39"/>
    </row>
    <row r="24405">
      <c r="D24405" s="39"/>
      <c r="E24405" s="39"/>
      <c r="F24405" s="39"/>
    </row>
    <row r="24406">
      <c r="D24406" s="39"/>
      <c r="E24406" s="39"/>
      <c r="F24406" s="39"/>
    </row>
    <row r="24407">
      <c r="D24407" s="39"/>
      <c r="E24407" s="39"/>
      <c r="F24407" s="39"/>
    </row>
    <row r="24408">
      <c r="D24408" s="39"/>
      <c r="E24408" s="39"/>
      <c r="F24408" s="39"/>
    </row>
    <row r="24409">
      <c r="D24409" s="39"/>
      <c r="E24409" s="39"/>
      <c r="F24409" s="39"/>
    </row>
    <row r="24410">
      <c r="D24410" s="39"/>
      <c r="E24410" s="39"/>
      <c r="F24410" s="39"/>
    </row>
    <row r="24411">
      <c r="D24411" s="39"/>
      <c r="E24411" s="39"/>
      <c r="F24411" s="39"/>
    </row>
    <row r="24412">
      <c r="D24412" s="39"/>
      <c r="E24412" s="39"/>
      <c r="F24412" s="39"/>
    </row>
    <row r="24413">
      <c r="D24413" s="39"/>
      <c r="E24413" s="39"/>
      <c r="F24413" s="39"/>
    </row>
    <row r="24414">
      <c r="D24414" s="39"/>
      <c r="E24414" s="39"/>
      <c r="F24414" s="39"/>
    </row>
    <row r="24415">
      <c r="D24415" s="39"/>
      <c r="E24415" s="39"/>
      <c r="F24415" s="39"/>
    </row>
    <row r="24416">
      <c r="D24416" s="39"/>
      <c r="E24416" s="39"/>
      <c r="F24416" s="39"/>
    </row>
    <row r="24417">
      <c r="D24417" s="39"/>
      <c r="E24417" s="39"/>
      <c r="F24417" s="39"/>
    </row>
    <row r="24418">
      <c r="D24418" s="39"/>
      <c r="E24418" s="39"/>
      <c r="F24418" s="39"/>
    </row>
    <row r="24419">
      <c r="D24419" s="39"/>
      <c r="E24419" s="39"/>
      <c r="F24419" s="39"/>
    </row>
    <row r="24420">
      <c r="D24420" s="39"/>
      <c r="E24420" s="39"/>
      <c r="F24420" s="39"/>
    </row>
    <row r="24421">
      <c r="D24421" s="39"/>
      <c r="E24421" s="39"/>
      <c r="F24421" s="39"/>
    </row>
    <row r="24422">
      <c r="D24422" s="39"/>
      <c r="E24422" s="39"/>
      <c r="F24422" s="39"/>
    </row>
    <row r="24423">
      <c r="D24423" s="39"/>
      <c r="E24423" s="39"/>
      <c r="F24423" s="39"/>
    </row>
    <row r="24424">
      <c r="D24424" s="39"/>
      <c r="E24424" s="39"/>
      <c r="F24424" s="39"/>
    </row>
    <row r="24425">
      <c r="D24425" s="39"/>
      <c r="E24425" s="39"/>
      <c r="F24425" s="39"/>
    </row>
    <row r="24426">
      <c r="D24426" s="39"/>
      <c r="E24426" s="39"/>
      <c r="F24426" s="39"/>
    </row>
    <row r="24427">
      <c r="D24427" s="39"/>
      <c r="E24427" s="39"/>
      <c r="F24427" s="39"/>
    </row>
    <row r="24428">
      <c r="D24428" s="39"/>
      <c r="E24428" s="39"/>
      <c r="F24428" s="39"/>
    </row>
    <row r="24429">
      <c r="D24429" s="39"/>
      <c r="E24429" s="39"/>
      <c r="F24429" s="39"/>
    </row>
    <row r="24430">
      <c r="D24430" s="39"/>
      <c r="E24430" s="39"/>
      <c r="F24430" s="39"/>
    </row>
    <row r="24431">
      <c r="D24431" s="39"/>
      <c r="E24431" s="39"/>
      <c r="F24431" s="39"/>
    </row>
    <row r="24432">
      <c r="D24432" s="39"/>
      <c r="E24432" s="39"/>
      <c r="F24432" s="39"/>
    </row>
    <row r="24433">
      <c r="D24433" s="39"/>
      <c r="E24433" s="39"/>
      <c r="F24433" s="39"/>
    </row>
    <row r="24434">
      <c r="D24434" s="39"/>
      <c r="E24434" s="39"/>
      <c r="F24434" s="39"/>
    </row>
    <row r="24435">
      <c r="D24435" s="39"/>
      <c r="E24435" s="39"/>
      <c r="F24435" s="39"/>
    </row>
    <row r="24436">
      <c r="D24436" s="39"/>
      <c r="E24436" s="39"/>
      <c r="F24436" s="39"/>
    </row>
    <row r="24437">
      <c r="D24437" s="39"/>
      <c r="E24437" s="39"/>
      <c r="F24437" s="39"/>
    </row>
    <row r="24438">
      <c r="D24438" s="39"/>
      <c r="E24438" s="39"/>
      <c r="F24438" s="39"/>
    </row>
    <row r="24439">
      <c r="D24439" s="39"/>
      <c r="E24439" s="39"/>
      <c r="F24439" s="39"/>
    </row>
    <row r="24440">
      <c r="D24440" s="39"/>
      <c r="E24440" s="39"/>
      <c r="F24440" s="39"/>
    </row>
    <row r="24441">
      <c r="D24441" s="39"/>
      <c r="E24441" s="39"/>
      <c r="F24441" s="39"/>
    </row>
    <row r="24442">
      <c r="D24442" s="39"/>
      <c r="E24442" s="39"/>
      <c r="F24442" s="39"/>
    </row>
    <row r="24443">
      <c r="D24443" s="39"/>
      <c r="E24443" s="39"/>
      <c r="F24443" s="39"/>
    </row>
    <row r="24444">
      <c r="D24444" s="39"/>
      <c r="E24444" s="39"/>
      <c r="F24444" s="39"/>
    </row>
    <row r="24445">
      <c r="D24445" s="39"/>
      <c r="E24445" s="39"/>
      <c r="F24445" s="39"/>
    </row>
    <row r="24446">
      <c r="D24446" s="39"/>
      <c r="E24446" s="39"/>
      <c r="F24446" s="39"/>
    </row>
    <row r="24447">
      <c r="D24447" s="39"/>
      <c r="E24447" s="39"/>
      <c r="F24447" s="39"/>
    </row>
    <row r="24448">
      <c r="D24448" s="39"/>
      <c r="E24448" s="39"/>
      <c r="F24448" s="39"/>
    </row>
    <row r="24449">
      <c r="D24449" s="39"/>
      <c r="E24449" s="39"/>
      <c r="F24449" s="39"/>
    </row>
    <row r="24450">
      <c r="D24450" s="39"/>
      <c r="E24450" s="39"/>
      <c r="F24450" s="39"/>
    </row>
    <row r="24451">
      <c r="D24451" s="39"/>
      <c r="E24451" s="39"/>
      <c r="F24451" s="39"/>
    </row>
    <row r="24452">
      <c r="D24452" s="39"/>
      <c r="E24452" s="39"/>
      <c r="F24452" s="39"/>
    </row>
    <row r="24453">
      <c r="D24453" s="39"/>
      <c r="E24453" s="39"/>
      <c r="F24453" s="39"/>
    </row>
    <row r="24454">
      <c r="D24454" s="39"/>
      <c r="E24454" s="39"/>
      <c r="F24454" s="39"/>
    </row>
    <row r="24455">
      <c r="D24455" s="39"/>
      <c r="E24455" s="39"/>
      <c r="F24455" s="39"/>
    </row>
    <row r="24456">
      <c r="D24456" s="39"/>
      <c r="E24456" s="39"/>
      <c r="F24456" s="39"/>
    </row>
    <row r="24457">
      <c r="D24457" s="39"/>
      <c r="E24457" s="39"/>
      <c r="F24457" s="39"/>
    </row>
    <row r="24458">
      <c r="D24458" s="39"/>
      <c r="E24458" s="39"/>
      <c r="F24458" s="39"/>
    </row>
    <row r="24459">
      <c r="D24459" s="39"/>
      <c r="E24459" s="39"/>
      <c r="F24459" s="39"/>
    </row>
    <row r="24460">
      <c r="D24460" s="39"/>
      <c r="E24460" s="39"/>
      <c r="F24460" s="39"/>
    </row>
    <row r="24461">
      <c r="D24461" s="39"/>
      <c r="E24461" s="39"/>
      <c r="F24461" s="39"/>
    </row>
    <row r="24462">
      <c r="D24462" s="39"/>
      <c r="E24462" s="39"/>
      <c r="F24462" s="39"/>
    </row>
    <row r="24463">
      <c r="D24463" s="39"/>
      <c r="E24463" s="39"/>
      <c r="F24463" s="39"/>
    </row>
    <row r="24464">
      <c r="D24464" s="39"/>
      <c r="E24464" s="39"/>
      <c r="F24464" s="39"/>
    </row>
    <row r="24465">
      <c r="D24465" s="39"/>
      <c r="E24465" s="39"/>
      <c r="F24465" s="39"/>
    </row>
    <row r="24466">
      <c r="D24466" s="39"/>
      <c r="E24466" s="39"/>
      <c r="F24466" s="39"/>
    </row>
    <row r="24467">
      <c r="D24467" s="39"/>
      <c r="E24467" s="39"/>
      <c r="F24467" s="39"/>
    </row>
    <row r="24468">
      <c r="D24468" s="39"/>
      <c r="E24468" s="39"/>
      <c r="F24468" s="39"/>
    </row>
    <row r="24469">
      <c r="D24469" s="39"/>
      <c r="E24469" s="39"/>
      <c r="F24469" s="39"/>
    </row>
    <row r="24470">
      <c r="D24470" s="39"/>
      <c r="E24470" s="39"/>
      <c r="F24470" s="39"/>
    </row>
    <row r="24471">
      <c r="D24471" s="39"/>
      <c r="E24471" s="39"/>
      <c r="F24471" s="39"/>
    </row>
    <row r="24472">
      <c r="D24472" s="39"/>
      <c r="E24472" s="39"/>
      <c r="F24472" s="39"/>
    </row>
    <row r="24473">
      <c r="D24473" s="39"/>
      <c r="E24473" s="39"/>
      <c r="F24473" s="39"/>
    </row>
    <row r="24474">
      <c r="D24474" s="39"/>
      <c r="E24474" s="39"/>
      <c r="F24474" s="39"/>
    </row>
    <row r="24475">
      <c r="D24475" s="39"/>
      <c r="E24475" s="39"/>
      <c r="F24475" s="39"/>
    </row>
    <row r="24476">
      <c r="D24476" s="39"/>
      <c r="E24476" s="39"/>
      <c r="F24476" s="39"/>
    </row>
    <row r="24477">
      <c r="D24477" s="39"/>
      <c r="E24477" s="39"/>
      <c r="F24477" s="39"/>
    </row>
    <row r="24478">
      <c r="D24478" s="39"/>
      <c r="E24478" s="39"/>
      <c r="F24478" s="39"/>
    </row>
    <row r="24479">
      <c r="D24479" s="39"/>
      <c r="E24479" s="39"/>
      <c r="F24479" s="39"/>
    </row>
    <row r="24480">
      <c r="D24480" s="39"/>
      <c r="E24480" s="39"/>
      <c r="F24480" s="39"/>
    </row>
    <row r="24481">
      <c r="D24481" s="39"/>
      <c r="E24481" s="39"/>
      <c r="F24481" s="39"/>
    </row>
    <row r="24482">
      <c r="D24482" s="39"/>
      <c r="E24482" s="39"/>
      <c r="F24482" s="39"/>
    </row>
    <row r="24483">
      <c r="D24483" s="39"/>
      <c r="E24483" s="39"/>
      <c r="F24483" s="39"/>
    </row>
    <row r="24484">
      <c r="D24484" s="39"/>
      <c r="E24484" s="39"/>
      <c r="F24484" s="39"/>
    </row>
    <row r="24485">
      <c r="D24485" s="39"/>
      <c r="E24485" s="39"/>
      <c r="F24485" s="39"/>
    </row>
    <row r="24486">
      <c r="D24486" s="39"/>
      <c r="E24486" s="39"/>
      <c r="F24486" s="39"/>
    </row>
    <row r="24487">
      <c r="D24487" s="39"/>
      <c r="E24487" s="39"/>
      <c r="F24487" s="39"/>
    </row>
    <row r="24488">
      <c r="D24488" s="39"/>
      <c r="E24488" s="39"/>
      <c r="F24488" s="39"/>
    </row>
    <row r="24489">
      <c r="D24489" s="39"/>
      <c r="E24489" s="39"/>
      <c r="F24489" s="39"/>
    </row>
    <row r="24490">
      <c r="D24490" s="39"/>
      <c r="E24490" s="39"/>
      <c r="F24490" s="39"/>
    </row>
    <row r="24491">
      <c r="D24491" s="39"/>
      <c r="E24491" s="39"/>
      <c r="F24491" s="39"/>
    </row>
    <row r="24492">
      <c r="D24492" s="39"/>
      <c r="E24492" s="39"/>
      <c r="F24492" s="39"/>
    </row>
    <row r="24493">
      <c r="D24493" s="39"/>
      <c r="E24493" s="39"/>
      <c r="F24493" s="39"/>
    </row>
    <row r="24494">
      <c r="D24494" s="39"/>
      <c r="E24494" s="39"/>
      <c r="F24494" s="39"/>
    </row>
    <row r="24495">
      <c r="D24495" s="39"/>
      <c r="E24495" s="39"/>
      <c r="F24495" s="39"/>
    </row>
    <row r="24496">
      <c r="D24496" s="39"/>
      <c r="E24496" s="39"/>
      <c r="F24496" s="39"/>
    </row>
    <row r="24497">
      <c r="D24497" s="39"/>
      <c r="E24497" s="39"/>
      <c r="F24497" s="39"/>
    </row>
    <row r="24498">
      <c r="D24498" s="39"/>
      <c r="E24498" s="39"/>
      <c r="F24498" s="39"/>
    </row>
    <row r="24499">
      <c r="D24499" s="39"/>
      <c r="E24499" s="39"/>
      <c r="F24499" s="39"/>
    </row>
    <row r="24500">
      <c r="D24500" s="39"/>
      <c r="E24500" s="39"/>
      <c r="F24500" s="39"/>
    </row>
    <row r="24501">
      <c r="D24501" s="39"/>
      <c r="E24501" s="39"/>
      <c r="F24501" s="39"/>
    </row>
    <row r="24502">
      <c r="D24502" s="39"/>
      <c r="E24502" s="39"/>
      <c r="F24502" s="39"/>
    </row>
    <row r="24503">
      <c r="D24503" s="39"/>
      <c r="E24503" s="39"/>
      <c r="F24503" s="39"/>
    </row>
    <row r="24504">
      <c r="D24504" s="39"/>
      <c r="E24504" s="39"/>
      <c r="F24504" s="39"/>
    </row>
    <row r="24505">
      <c r="D24505" s="39"/>
      <c r="E24505" s="39"/>
      <c r="F24505" s="39"/>
    </row>
    <row r="24506">
      <c r="D24506" s="39"/>
      <c r="E24506" s="39"/>
      <c r="F24506" s="39"/>
    </row>
    <row r="24507">
      <c r="D24507" s="39"/>
      <c r="E24507" s="39"/>
      <c r="F24507" s="39"/>
    </row>
    <row r="24508">
      <c r="D24508" s="39"/>
      <c r="E24508" s="39"/>
      <c r="F24508" s="39"/>
    </row>
    <row r="24509">
      <c r="D24509" s="39"/>
      <c r="E24509" s="39"/>
      <c r="F24509" s="39"/>
    </row>
    <row r="24510">
      <c r="D24510" s="39"/>
      <c r="E24510" s="39"/>
      <c r="F24510" s="39"/>
    </row>
    <row r="24511">
      <c r="D24511" s="39"/>
      <c r="E24511" s="39"/>
      <c r="F24511" s="39"/>
    </row>
    <row r="24512">
      <c r="D24512" s="39"/>
      <c r="E24512" s="39"/>
      <c r="F24512" s="39"/>
    </row>
    <row r="24513">
      <c r="D24513" s="39"/>
      <c r="E24513" s="39"/>
      <c r="F24513" s="39"/>
    </row>
    <row r="24514">
      <c r="D24514" s="39"/>
      <c r="E24514" s="39"/>
      <c r="F24514" s="39"/>
    </row>
    <row r="24515">
      <c r="D24515" s="39"/>
      <c r="E24515" s="39"/>
      <c r="F24515" s="39"/>
    </row>
    <row r="24516">
      <c r="D24516" s="39"/>
      <c r="E24516" s="39"/>
      <c r="F24516" s="39"/>
    </row>
    <row r="24517">
      <c r="D24517" s="39"/>
      <c r="E24517" s="39"/>
      <c r="F24517" s="39"/>
    </row>
    <row r="24518">
      <c r="D24518" s="39"/>
      <c r="E24518" s="39"/>
      <c r="F24518" s="39"/>
    </row>
    <row r="24519">
      <c r="D24519" s="39"/>
      <c r="E24519" s="39"/>
      <c r="F24519" s="39"/>
    </row>
    <row r="24520">
      <c r="D24520" s="39"/>
      <c r="E24520" s="39"/>
      <c r="F24520" s="39"/>
    </row>
    <row r="24521">
      <c r="D24521" s="39"/>
      <c r="E24521" s="39"/>
      <c r="F24521" s="39"/>
    </row>
    <row r="24522">
      <c r="D24522" s="39"/>
      <c r="E24522" s="39"/>
      <c r="F24522" s="39"/>
    </row>
    <row r="24523">
      <c r="D24523" s="39"/>
      <c r="E24523" s="39"/>
      <c r="F24523" s="39"/>
    </row>
    <row r="24524">
      <c r="D24524" s="39"/>
      <c r="E24524" s="39"/>
      <c r="F24524" s="39"/>
    </row>
    <row r="24525">
      <c r="D24525" s="39"/>
      <c r="E24525" s="39"/>
      <c r="F24525" s="39"/>
    </row>
    <row r="24526">
      <c r="D24526" s="39"/>
      <c r="E24526" s="39"/>
      <c r="F24526" s="39"/>
    </row>
    <row r="24527">
      <c r="D24527" s="39"/>
      <c r="E24527" s="39"/>
      <c r="F24527" s="39"/>
    </row>
    <row r="24528">
      <c r="D24528" s="39"/>
      <c r="E24528" s="39"/>
      <c r="F24528" s="39"/>
    </row>
    <row r="24529">
      <c r="D24529" s="39"/>
      <c r="E24529" s="39"/>
      <c r="F24529" s="39"/>
    </row>
    <row r="24530">
      <c r="D24530" s="39"/>
      <c r="E24530" s="39"/>
      <c r="F24530" s="39"/>
    </row>
    <row r="24531">
      <c r="D24531" s="39"/>
      <c r="E24531" s="39"/>
      <c r="F24531" s="39"/>
    </row>
    <row r="24532">
      <c r="D24532" s="39"/>
      <c r="E24532" s="39"/>
      <c r="F24532" s="39"/>
    </row>
    <row r="24533">
      <c r="D24533" s="39"/>
      <c r="E24533" s="39"/>
      <c r="F24533" s="39"/>
    </row>
    <row r="24534">
      <c r="D24534" s="39"/>
      <c r="E24534" s="39"/>
      <c r="F24534" s="39"/>
    </row>
    <row r="24535">
      <c r="D24535" s="39"/>
      <c r="E24535" s="39"/>
      <c r="F24535" s="39"/>
    </row>
    <row r="24536">
      <c r="D24536" s="39"/>
      <c r="E24536" s="39"/>
      <c r="F24536" s="39"/>
    </row>
    <row r="24537">
      <c r="D24537" s="39"/>
      <c r="E24537" s="39"/>
      <c r="F24537" s="39"/>
    </row>
    <row r="24538">
      <c r="D24538" s="39"/>
      <c r="E24538" s="39"/>
      <c r="F24538" s="39"/>
    </row>
    <row r="24539">
      <c r="D24539" s="39"/>
      <c r="E24539" s="39"/>
      <c r="F24539" s="39"/>
    </row>
    <row r="24540">
      <c r="D24540" s="39"/>
      <c r="E24540" s="39"/>
      <c r="F24540" s="39"/>
    </row>
    <row r="24541">
      <c r="D24541" s="39"/>
      <c r="E24541" s="39"/>
      <c r="F24541" s="39"/>
    </row>
    <row r="24542">
      <c r="D24542" s="39"/>
      <c r="E24542" s="39"/>
      <c r="F24542" s="39"/>
    </row>
    <row r="24543">
      <c r="D24543" s="39"/>
      <c r="E24543" s="39"/>
      <c r="F24543" s="39"/>
    </row>
    <row r="24544">
      <c r="D24544" s="39"/>
      <c r="E24544" s="39"/>
      <c r="F24544" s="39"/>
    </row>
    <row r="24545">
      <c r="D24545" s="39"/>
      <c r="E24545" s="39"/>
      <c r="F24545" s="39"/>
    </row>
    <row r="24546">
      <c r="D24546" s="39"/>
      <c r="E24546" s="39"/>
      <c r="F24546" s="39"/>
    </row>
    <row r="24547">
      <c r="D24547" s="39"/>
      <c r="E24547" s="39"/>
      <c r="F24547" s="39"/>
    </row>
    <row r="24548">
      <c r="D24548" s="39"/>
      <c r="E24548" s="39"/>
      <c r="F24548" s="39"/>
    </row>
    <row r="24549">
      <c r="D24549" s="39"/>
      <c r="E24549" s="39"/>
      <c r="F24549" s="39"/>
    </row>
    <row r="24550">
      <c r="D24550" s="39"/>
      <c r="E24550" s="39"/>
      <c r="F24550" s="39"/>
    </row>
    <row r="24551">
      <c r="D24551" s="39"/>
      <c r="E24551" s="39"/>
      <c r="F24551" s="39"/>
    </row>
    <row r="24552">
      <c r="D24552" s="39"/>
      <c r="E24552" s="39"/>
      <c r="F24552" s="39"/>
    </row>
    <row r="24553">
      <c r="D24553" s="39"/>
      <c r="E24553" s="39"/>
      <c r="F24553" s="39"/>
    </row>
    <row r="24554">
      <c r="D24554" s="39"/>
      <c r="E24554" s="39"/>
      <c r="F24554" s="39"/>
    </row>
    <row r="24555">
      <c r="D24555" s="39"/>
      <c r="E24555" s="39"/>
      <c r="F24555" s="39"/>
    </row>
    <row r="24556">
      <c r="D24556" s="39"/>
      <c r="E24556" s="39"/>
      <c r="F24556" s="39"/>
    </row>
    <row r="24557">
      <c r="D24557" s="39"/>
      <c r="E24557" s="39"/>
      <c r="F24557" s="39"/>
    </row>
    <row r="24558">
      <c r="D24558" s="39"/>
      <c r="E24558" s="39"/>
      <c r="F24558" s="39"/>
    </row>
    <row r="24559">
      <c r="D24559" s="39"/>
      <c r="E24559" s="39"/>
      <c r="F24559" s="39"/>
    </row>
    <row r="24560">
      <c r="D24560" s="39"/>
      <c r="E24560" s="39"/>
      <c r="F24560" s="39"/>
    </row>
    <row r="24561">
      <c r="D24561" s="39"/>
      <c r="E24561" s="39"/>
      <c r="F24561" s="39"/>
    </row>
    <row r="24562">
      <c r="D24562" s="39"/>
      <c r="E24562" s="39"/>
      <c r="F24562" s="39"/>
    </row>
    <row r="24563">
      <c r="D24563" s="39"/>
      <c r="E24563" s="39"/>
      <c r="F24563" s="39"/>
    </row>
    <row r="24564">
      <c r="D24564" s="39"/>
      <c r="E24564" s="39"/>
      <c r="F24564" s="39"/>
    </row>
    <row r="24565">
      <c r="D24565" s="39"/>
      <c r="E24565" s="39"/>
      <c r="F24565" s="39"/>
    </row>
    <row r="24566">
      <c r="D24566" s="39"/>
      <c r="E24566" s="39"/>
      <c r="F24566" s="39"/>
    </row>
    <row r="24567">
      <c r="D24567" s="39"/>
      <c r="E24567" s="39"/>
      <c r="F24567" s="39"/>
    </row>
    <row r="24568">
      <c r="D24568" s="39"/>
      <c r="E24568" s="39"/>
      <c r="F24568" s="39"/>
    </row>
    <row r="24569">
      <c r="D24569" s="39"/>
      <c r="E24569" s="39"/>
      <c r="F24569" s="39"/>
    </row>
    <row r="24570">
      <c r="D24570" s="39"/>
      <c r="E24570" s="39"/>
      <c r="F24570" s="39"/>
    </row>
    <row r="24571">
      <c r="D24571" s="39"/>
      <c r="E24571" s="39"/>
      <c r="F24571" s="39"/>
    </row>
    <row r="24572">
      <c r="D24572" s="39"/>
      <c r="E24572" s="39"/>
      <c r="F24572" s="39"/>
    </row>
    <row r="24573">
      <c r="D24573" s="39"/>
      <c r="E24573" s="39"/>
      <c r="F24573" s="39"/>
    </row>
    <row r="24574">
      <c r="D24574" s="39"/>
      <c r="E24574" s="39"/>
      <c r="F24574" s="39"/>
    </row>
    <row r="24575">
      <c r="D24575" s="39"/>
      <c r="E24575" s="39"/>
      <c r="F24575" s="39"/>
    </row>
    <row r="24576">
      <c r="D24576" s="39"/>
      <c r="E24576" s="39"/>
      <c r="F24576" s="39"/>
    </row>
    <row r="24577">
      <c r="D24577" s="39"/>
      <c r="E24577" s="39"/>
      <c r="F24577" s="39"/>
    </row>
    <row r="24578">
      <c r="D24578" s="39"/>
      <c r="E24578" s="39"/>
      <c r="F24578" s="39"/>
    </row>
    <row r="24579">
      <c r="D24579" s="39"/>
      <c r="E24579" s="39"/>
      <c r="F24579" s="39"/>
    </row>
    <row r="24580">
      <c r="D24580" s="39"/>
      <c r="E24580" s="39"/>
      <c r="F24580" s="39"/>
    </row>
    <row r="24581">
      <c r="D24581" s="39"/>
      <c r="E24581" s="39"/>
      <c r="F24581" s="39"/>
    </row>
    <row r="24582">
      <c r="D24582" s="39"/>
      <c r="E24582" s="39"/>
      <c r="F24582" s="39"/>
    </row>
    <row r="24583">
      <c r="D24583" s="39"/>
      <c r="E24583" s="39"/>
      <c r="F24583" s="39"/>
    </row>
    <row r="24584">
      <c r="D24584" s="39"/>
      <c r="E24584" s="39"/>
      <c r="F24584" s="39"/>
    </row>
    <row r="24585">
      <c r="D24585" s="39"/>
      <c r="E24585" s="39"/>
      <c r="F24585" s="39"/>
    </row>
    <row r="24586">
      <c r="D24586" s="39"/>
      <c r="E24586" s="39"/>
      <c r="F24586" s="39"/>
    </row>
    <row r="24587">
      <c r="D24587" s="39"/>
      <c r="E24587" s="39"/>
      <c r="F24587" s="39"/>
    </row>
    <row r="24588">
      <c r="D24588" s="39"/>
      <c r="E24588" s="39"/>
      <c r="F24588" s="39"/>
    </row>
    <row r="24589">
      <c r="D24589" s="39"/>
      <c r="E24589" s="39"/>
      <c r="F24589" s="39"/>
    </row>
    <row r="24590">
      <c r="D24590" s="39"/>
      <c r="E24590" s="39"/>
      <c r="F24590" s="39"/>
    </row>
    <row r="24591">
      <c r="D24591" s="39"/>
      <c r="E24591" s="39"/>
      <c r="F24591" s="39"/>
    </row>
    <row r="24592">
      <c r="D24592" s="39"/>
      <c r="E24592" s="39"/>
      <c r="F24592" s="39"/>
    </row>
    <row r="24593">
      <c r="D24593" s="39"/>
      <c r="E24593" s="39"/>
      <c r="F24593" s="39"/>
    </row>
    <row r="24594">
      <c r="D24594" s="39"/>
      <c r="E24594" s="39"/>
      <c r="F24594" s="39"/>
    </row>
    <row r="24595">
      <c r="D24595" s="39"/>
      <c r="E24595" s="39"/>
      <c r="F24595" s="39"/>
    </row>
    <row r="24596">
      <c r="D24596" s="39"/>
      <c r="E24596" s="39"/>
      <c r="F24596" s="39"/>
    </row>
    <row r="24597">
      <c r="D24597" s="39"/>
      <c r="E24597" s="39"/>
      <c r="F24597" s="39"/>
    </row>
    <row r="24598">
      <c r="D24598" s="39"/>
      <c r="E24598" s="39"/>
      <c r="F24598" s="39"/>
    </row>
    <row r="24599">
      <c r="D24599" s="39"/>
      <c r="E24599" s="39"/>
      <c r="F24599" s="39"/>
    </row>
    <row r="24600">
      <c r="D24600" s="39"/>
      <c r="E24600" s="39"/>
      <c r="F24600" s="39"/>
    </row>
    <row r="24601">
      <c r="D24601" s="39"/>
      <c r="E24601" s="39"/>
      <c r="F24601" s="39"/>
    </row>
    <row r="24602">
      <c r="D24602" s="39"/>
      <c r="E24602" s="39"/>
      <c r="F24602" s="39"/>
    </row>
    <row r="24603">
      <c r="D24603" s="39"/>
      <c r="E24603" s="39"/>
      <c r="F24603" s="39"/>
    </row>
    <row r="24604">
      <c r="D24604" s="39"/>
      <c r="E24604" s="39"/>
      <c r="F24604" s="39"/>
    </row>
    <row r="24605">
      <c r="D24605" s="39"/>
      <c r="E24605" s="39"/>
      <c r="F24605" s="39"/>
    </row>
    <row r="24606">
      <c r="D24606" s="39"/>
      <c r="E24606" s="39"/>
      <c r="F24606" s="39"/>
    </row>
    <row r="24607">
      <c r="D24607" s="39"/>
      <c r="E24607" s="39"/>
      <c r="F24607" s="39"/>
    </row>
    <row r="24608">
      <c r="D24608" s="39"/>
      <c r="E24608" s="39"/>
      <c r="F24608" s="39"/>
    </row>
    <row r="24609">
      <c r="D24609" s="39"/>
      <c r="E24609" s="39"/>
      <c r="F24609" s="39"/>
    </row>
    <row r="24610">
      <c r="D24610" s="39"/>
      <c r="E24610" s="39"/>
      <c r="F24610" s="39"/>
    </row>
    <row r="24611">
      <c r="D24611" s="39"/>
      <c r="E24611" s="39"/>
      <c r="F24611" s="39"/>
    </row>
    <row r="24612">
      <c r="D24612" s="39"/>
      <c r="E24612" s="39"/>
      <c r="F24612" s="39"/>
    </row>
    <row r="24613">
      <c r="D24613" s="39"/>
      <c r="E24613" s="39"/>
      <c r="F24613" s="39"/>
    </row>
    <row r="24614">
      <c r="D24614" s="39"/>
      <c r="E24614" s="39"/>
      <c r="F24614" s="39"/>
    </row>
    <row r="24615">
      <c r="D24615" s="39"/>
      <c r="E24615" s="39"/>
      <c r="F24615" s="39"/>
    </row>
    <row r="24616">
      <c r="D24616" s="39"/>
      <c r="E24616" s="39"/>
      <c r="F24616" s="39"/>
    </row>
    <row r="24617">
      <c r="D24617" s="39"/>
      <c r="E24617" s="39"/>
      <c r="F24617" s="39"/>
    </row>
    <row r="24618">
      <c r="D24618" s="39"/>
      <c r="E24618" s="39"/>
      <c r="F24618" s="39"/>
    </row>
    <row r="24619">
      <c r="D24619" s="39"/>
      <c r="E24619" s="39"/>
      <c r="F24619" s="39"/>
    </row>
    <row r="24620">
      <c r="D24620" s="39"/>
      <c r="E24620" s="39"/>
      <c r="F24620" s="39"/>
    </row>
    <row r="24621">
      <c r="D24621" s="39"/>
      <c r="E24621" s="39"/>
      <c r="F24621" s="39"/>
    </row>
    <row r="24622">
      <c r="D24622" s="39"/>
      <c r="E24622" s="39"/>
      <c r="F24622" s="39"/>
    </row>
    <row r="24623">
      <c r="D24623" s="39"/>
      <c r="E24623" s="39"/>
      <c r="F24623" s="39"/>
    </row>
    <row r="24624">
      <c r="D24624" s="39"/>
      <c r="E24624" s="39"/>
      <c r="F24624" s="39"/>
    </row>
    <row r="24625">
      <c r="D24625" s="39"/>
      <c r="E24625" s="39"/>
      <c r="F24625" s="39"/>
    </row>
    <row r="24626">
      <c r="D24626" s="39"/>
      <c r="E24626" s="39"/>
      <c r="F24626" s="39"/>
    </row>
    <row r="24627">
      <c r="D24627" s="39"/>
      <c r="E24627" s="39"/>
      <c r="F24627" s="39"/>
    </row>
    <row r="24628">
      <c r="D24628" s="39"/>
      <c r="E24628" s="39"/>
      <c r="F24628" s="39"/>
    </row>
    <row r="24629">
      <c r="D24629" s="39"/>
      <c r="E24629" s="39"/>
      <c r="F24629" s="39"/>
    </row>
    <row r="24630">
      <c r="D24630" s="39"/>
      <c r="E24630" s="39"/>
      <c r="F24630" s="39"/>
    </row>
    <row r="24631">
      <c r="D24631" s="39"/>
      <c r="E24631" s="39"/>
      <c r="F24631" s="39"/>
    </row>
    <row r="24632">
      <c r="D24632" s="39"/>
      <c r="E24632" s="39"/>
      <c r="F24632" s="39"/>
    </row>
    <row r="24633">
      <c r="D24633" s="39"/>
      <c r="E24633" s="39"/>
      <c r="F24633" s="39"/>
    </row>
    <row r="24634">
      <c r="D24634" s="39"/>
      <c r="E24634" s="39"/>
      <c r="F24634" s="39"/>
    </row>
    <row r="24635">
      <c r="D24635" s="39"/>
      <c r="E24635" s="39"/>
      <c r="F24635" s="39"/>
    </row>
    <row r="24636">
      <c r="D24636" s="39"/>
      <c r="E24636" s="39"/>
      <c r="F24636" s="39"/>
    </row>
    <row r="24637">
      <c r="D24637" s="39"/>
      <c r="E24637" s="39"/>
      <c r="F24637" s="39"/>
    </row>
    <row r="24638">
      <c r="D24638" s="39"/>
      <c r="E24638" s="39"/>
      <c r="F24638" s="39"/>
    </row>
    <row r="24639">
      <c r="D24639" s="39"/>
      <c r="E24639" s="39"/>
      <c r="F24639" s="39"/>
    </row>
    <row r="24640">
      <c r="D24640" s="39"/>
      <c r="E24640" s="39"/>
      <c r="F24640" s="39"/>
    </row>
    <row r="24641">
      <c r="D24641" s="39"/>
      <c r="E24641" s="39"/>
      <c r="F24641" s="39"/>
    </row>
    <row r="24642">
      <c r="D24642" s="39"/>
      <c r="E24642" s="39"/>
      <c r="F24642" s="39"/>
    </row>
    <row r="24643">
      <c r="D24643" s="39"/>
      <c r="E24643" s="39"/>
      <c r="F24643" s="39"/>
    </row>
    <row r="24644">
      <c r="D24644" s="39"/>
      <c r="E24644" s="39"/>
      <c r="F24644" s="39"/>
    </row>
    <row r="24645">
      <c r="D24645" s="39"/>
      <c r="E24645" s="39"/>
      <c r="F24645" s="39"/>
    </row>
    <row r="24646">
      <c r="D24646" s="39"/>
      <c r="E24646" s="39"/>
      <c r="F24646" s="39"/>
    </row>
    <row r="24647">
      <c r="D24647" s="39"/>
      <c r="E24647" s="39"/>
      <c r="F24647" s="39"/>
    </row>
    <row r="24648">
      <c r="D24648" s="39"/>
      <c r="E24648" s="39"/>
      <c r="F24648" s="39"/>
    </row>
    <row r="24649">
      <c r="D24649" s="39"/>
      <c r="E24649" s="39"/>
      <c r="F24649" s="39"/>
    </row>
    <row r="24650">
      <c r="D24650" s="39"/>
      <c r="E24650" s="39"/>
      <c r="F24650" s="39"/>
    </row>
    <row r="24651">
      <c r="D24651" s="39"/>
      <c r="E24651" s="39"/>
      <c r="F24651" s="39"/>
    </row>
    <row r="24652">
      <c r="D24652" s="39"/>
      <c r="E24652" s="39"/>
      <c r="F24652" s="39"/>
    </row>
    <row r="24653">
      <c r="D24653" s="39"/>
      <c r="E24653" s="39"/>
      <c r="F24653" s="39"/>
    </row>
    <row r="24654">
      <c r="D24654" s="39"/>
      <c r="E24654" s="39"/>
      <c r="F24654" s="39"/>
    </row>
    <row r="24655">
      <c r="D24655" s="39"/>
      <c r="E24655" s="39"/>
      <c r="F24655" s="39"/>
    </row>
    <row r="24656">
      <c r="D24656" s="39"/>
      <c r="E24656" s="39"/>
      <c r="F24656" s="39"/>
    </row>
    <row r="24657">
      <c r="D24657" s="39"/>
      <c r="E24657" s="39"/>
      <c r="F24657" s="39"/>
    </row>
    <row r="24658">
      <c r="D24658" s="39"/>
      <c r="E24658" s="39"/>
      <c r="F24658" s="39"/>
    </row>
    <row r="24659">
      <c r="D24659" s="39"/>
      <c r="E24659" s="39"/>
      <c r="F24659" s="39"/>
    </row>
    <row r="24660">
      <c r="D24660" s="39"/>
      <c r="E24660" s="39"/>
      <c r="F24660" s="39"/>
    </row>
    <row r="24661">
      <c r="D24661" s="39"/>
      <c r="E24661" s="39"/>
      <c r="F24661" s="39"/>
    </row>
    <row r="24662">
      <c r="D24662" s="39"/>
      <c r="E24662" s="39"/>
      <c r="F24662" s="39"/>
    </row>
    <row r="24663">
      <c r="D24663" s="39"/>
      <c r="E24663" s="39"/>
      <c r="F24663" s="39"/>
    </row>
    <row r="24664">
      <c r="D24664" s="39"/>
      <c r="E24664" s="39"/>
      <c r="F24664" s="39"/>
    </row>
    <row r="24665">
      <c r="D24665" s="39"/>
      <c r="E24665" s="39"/>
      <c r="F24665" s="39"/>
    </row>
    <row r="24666">
      <c r="D24666" s="39"/>
      <c r="E24666" s="39"/>
      <c r="F24666" s="39"/>
    </row>
    <row r="24667">
      <c r="D24667" s="39"/>
      <c r="E24667" s="39"/>
      <c r="F24667" s="39"/>
    </row>
    <row r="24668">
      <c r="D24668" s="39"/>
      <c r="E24668" s="39"/>
      <c r="F24668" s="39"/>
    </row>
    <row r="24669">
      <c r="D24669" s="39"/>
      <c r="E24669" s="39"/>
      <c r="F24669" s="39"/>
    </row>
    <row r="24670">
      <c r="D24670" s="39"/>
      <c r="E24670" s="39"/>
      <c r="F24670" s="39"/>
    </row>
    <row r="24671">
      <c r="D24671" s="39"/>
      <c r="E24671" s="39"/>
      <c r="F24671" s="39"/>
    </row>
    <row r="24672">
      <c r="D24672" s="39"/>
      <c r="E24672" s="39"/>
      <c r="F24672" s="39"/>
    </row>
    <row r="24673">
      <c r="D24673" s="39"/>
      <c r="E24673" s="39"/>
      <c r="F24673" s="39"/>
    </row>
    <row r="24674">
      <c r="D24674" s="39"/>
      <c r="E24674" s="39"/>
      <c r="F24674" s="39"/>
    </row>
    <row r="24675">
      <c r="D24675" s="39"/>
      <c r="E24675" s="39"/>
      <c r="F24675" s="39"/>
    </row>
    <row r="24676">
      <c r="D24676" s="39"/>
      <c r="E24676" s="39"/>
      <c r="F24676" s="39"/>
    </row>
    <row r="24677">
      <c r="D24677" s="39"/>
      <c r="E24677" s="39"/>
      <c r="F24677" s="39"/>
    </row>
    <row r="24678">
      <c r="D24678" s="39"/>
      <c r="E24678" s="39"/>
      <c r="F24678" s="39"/>
    </row>
    <row r="24679">
      <c r="D24679" s="39"/>
      <c r="E24679" s="39"/>
      <c r="F24679" s="39"/>
    </row>
    <row r="24680">
      <c r="D24680" s="39"/>
      <c r="E24680" s="39"/>
      <c r="F24680" s="39"/>
    </row>
    <row r="24681">
      <c r="D24681" s="39"/>
      <c r="E24681" s="39"/>
      <c r="F24681" s="39"/>
    </row>
    <row r="24682">
      <c r="D24682" s="39"/>
      <c r="E24682" s="39"/>
      <c r="F24682" s="39"/>
    </row>
    <row r="24683">
      <c r="D24683" s="39"/>
      <c r="E24683" s="39"/>
      <c r="F24683" s="39"/>
    </row>
    <row r="24684">
      <c r="D24684" s="39"/>
      <c r="E24684" s="39"/>
      <c r="F24684" s="39"/>
    </row>
    <row r="24685">
      <c r="D24685" s="39"/>
      <c r="E24685" s="39"/>
      <c r="F24685" s="39"/>
    </row>
    <row r="24686">
      <c r="D24686" s="39"/>
      <c r="E24686" s="39"/>
      <c r="F24686" s="39"/>
    </row>
    <row r="24687">
      <c r="D24687" s="39"/>
      <c r="E24687" s="39"/>
      <c r="F24687" s="39"/>
    </row>
    <row r="24688">
      <c r="D24688" s="39"/>
      <c r="E24688" s="39"/>
      <c r="F24688" s="39"/>
    </row>
    <row r="24689">
      <c r="D24689" s="39"/>
      <c r="E24689" s="39"/>
      <c r="F24689" s="39"/>
    </row>
    <row r="24690">
      <c r="D24690" s="39"/>
      <c r="E24690" s="39"/>
      <c r="F24690" s="39"/>
    </row>
    <row r="24691">
      <c r="D24691" s="39"/>
      <c r="E24691" s="39"/>
      <c r="F24691" s="39"/>
    </row>
    <row r="24692">
      <c r="D24692" s="39"/>
      <c r="E24692" s="39"/>
      <c r="F24692" s="39"/>
    </row>
    <row r="24693">
      <c r="D24693" s="39"/>
      <c r="E24693" s="39"/>
      <c r="F24693" s="39"/>
    </row>
    <row r="24694">
      <c r="D24694" s="39"/>
      <c r="E24694" s="39"/>
      <c r="F24694" s="39"/>
    </row>
    <row r="24695">
      <c r="D24695" s="39"/>
      <c r="E24695" s="39"/>
      <c r="F24695" s="39"/>
    </row>
    <row r="24696">
      <c r="D24696" s="39"/>
      <c r="E24696" s="39"/>
      <c r="F24696" s="39"/>
    </row>
    <row r="24697">
      <c r="D24697" s="39"/>
      <c r="E24697" s="39"/>
      <c r="F24697" s="39"/>
    </row>
    <row r="24698">
      <c r="D24698" s="39"/>
      <c r="E24698" s="39"/>
      <c r="F24698" s="39"/>
    </row>
    <row r="24699">
      <c r="D24699" s="39"/>
      <c r="E24699" s="39"/>
      <c r="F24699" s="39"/>
    </row>
    <row r="24700">
      <c r="D24700" s="39"/>
      <c r="E24700" s="39"/>
      <c r="F24700" s="39"/>
    </row>
    <row r="24701">
      <c r="D24701" s="39"/>
      <c r="E24701" s="39"/>
      <c r="F24701" s="39"/>
    </row>
    <row r="24702">
      <c r="D24702" s="39"/>
      <c r="E24702" s="39"/>
      <c r="F24702" s="39"/>
    </row>
    <row r="24703">
      <c r="D24703" s="39"/>
      <c r="E24703" s="39"/>
      <c r="F24703" s="39"/>
    </row>
    <row r="24704">
      <c r="D24704" s="39"/>
      <c r="E24704" s="39"/>
      <c r="F24704" s="39"/>
    </row>
    <row r="24705">
      <c r="D24705" s="39"/>
      <c r="E24705" s="39"/>
      <c r="F24705" s="39"/>
    </row>
    <row r="24706">
      <c r="D24706" s="39"/>
      <c r="E24706" s="39"/>
      <c r="F24706" s="39"/>
    </row>
    <row r="24707">
      <c r="D24707" s="39"/>
      <c r="E24707" s="39"/>
      <c r="F24707" s="39"/>
    </row>
    <row r="24708">
      <c r="D24708" s="39"/>
      <c r="E24708" s="39"/>
      <c r="F24708" s="39"/>
    </row>
    <row r="24709">
      <c r="D24709" s="39"/>
      <c r="E24709" s="39"/>
      <c r="F24709" s="39"/>
    </row>
    <row r="24710">
      <c r="D24710" s="39"/>
      <c r="E24710" s="39"/>
      <c r="F24710" s="39"/>
    </row>
    <row r="24711">
      <c r="D24711" s="39"/>
      <c r="E24711" s="39"/>
      <c r="F24711" s="39"/>
    </row>
    <row r="24712">
      <c r="D24712" s="39"/>
      <c r="E24712" s="39"/>
      <c r="F24712" s="39"/>
    </row>
    <row r="24713">
      <c r="D24713" s="39"/>
      <c r="E24713" s="39"/>
      <c r="F24713" s="39"/>
    </row>
    <row r="24714">
      <c r="D24714" s="39"/>
      <c r="E24714" s="39"/>
      <c r="F24714" s="39"/>
    </row>
    <row r="24715">
      <c r="D24715" s="39"/>
      <c r="E24715" s="39"/>
      <c r="F24715" s="39"/>
    </row>
    <row r="24716">
      <c r="D24716" s="39"/>
      <c r="E24716" s="39"/>
      <c r="F24716" s="39"/>
    </row>
    <row r="24717">
      <c r="D24717" s="39"/>
      <c r="E24717" s="39"/>
      <c r="F24717" s="39"/>
    </row>
    <row r="24718">
      <c r="D24718" s="39"/>
      <c r="E24718" s="39"/>
      <c r="F24718" s="39"/>
    </row>
    <row r="24719">
      <c r="D24719" s="39"/>
      <c r="E24719" s="39"/>
      <c r="F24719" s="39"/>
    </row>
    <row r="24720">
      <c r="D24720" s="39"/>
      <c r="E24720" s="39"/>
      <c r="F24720" s="39"/>
    </row>
    <row r="24721">
      <c r="D24721" s="39"/>
      <c r="E24721" s="39"/>
      <c r="F24721" s="39"/>
    </row>
    <row r="24722">
      <c r="D24722" s="39"/>
      <c r="E24722" s="39"/>
      <c r="F24722" s="39"/>
    </row>
    <row r="24723">
      <c r="D24723" s="39"/>
      <c r="E24723" s="39"/>
      <c r="F24723" s="39"/>
    </row>
    <row r="24724">
      <c r="D24724" s="39"/>
      <c r="E24724" s="39"/>
      <c r="F24724" s="39"/>
    </row>
    <row r="24725">
      <c r="D24725" s="39"/>
      <c r="E24725" s="39"/>
      <c r="F24725" s="39"/>
    </row>
    <row r="24726">
      <c r="D24726" s="39"/>
      <c r="E24726" s="39"/>
      <c r="F24726" s="39"/>
    </row>
    <row r="24727">
      <c r="D24727" s="39"/>
      <c r="E24727" s="39"/>
      <c r="F24727" s="39"/>
    </row>
    <row r="24728">
      <c r="D24728" s="39"/>
      <c r="E24728" s="39"/>
      <c r="F24728" s="39"/>
    </row>
    <row r="24729">
      <c r="D24729" s="39"/>
      <c r="E24729" s="39"/>
      <c r="F24729" s="39"/>
    </row>
    <row r="24730">
      <c r="D24730" s="39"/>
      <c r="E24730" s="39"/>
      <c r="F24730" s="39"/>
    </row>
    <row r="24731">
      <c r="D24731" s="39"/>
      <c r="E24731" s="39"/>
      <c r="F24731" s="39"/>
    </row>
    <row r="24732">
      <c r="D24732" s="39"/>
      <c r="E24732" s="39"/>
      <c r="F24732" s="39"/>
    </row>
    <row r="24733">
      <c r="D24733" s="39"/>
      <c r="E24733" s="39"/>
      <c r="F24733" s="39"/>
    </row>
    <row r="24734">
      <c r="D24734" s="39"/>
      <c r="E24734" s="39"/>
      <c r="F24734" s="39"/>
    </row>
    <row r="24735">
      <c r="D24735" s="39"/>
      <c r="E24735" s="39"/>
      <c r="F24735" s="39"/>
    </row>
    <row r="24736">
      <c r="D24736" s="39"/>
      <c r="E24736" s="39"/>
      <c r="F24736" s="39"/>
    </row>
    <row r="24737">
      <c r="D24737" s="39"/>
      <c r="E24737" s="39"/>
      <c r="F24737" s="39"/>
    </row>
    <row r="24738">
      <c r="D24738" s="39"/>
      <c r="E24738" s="39"/>
      <c r="F24738" s="39"/>
    </row>
    <row r="24739">
      <c r="D24739" s="39"/>
      <c r="E24739" s="39"/>
      <c r="F24739" s="39"/>
    </row>
    <row r="24740">
      <c r="D24740" s="39"/>
      <c r="E24740" s="39"/>
      <c r="F24740" s="39"/>
    </row>
    <row r="24741">
      <c r="D24741" s="39"/>
      <c r="E24741" s="39"/>
      <c r="F24741" s="39"/>
    </row>
    <row r="24742">
      <c r="D24742" s="39"/>
      <c r="E24742" s="39"/>
      <c r="F24742" s="39"/>
    </row>
    <row r="24743">
      <c r="D24743" s="39"/>
      <c r="E24743" s="39"/>
      <c r="F24743" s="39"/>
    </row>
    <row r="24744">
      <c r="D24744" s="39"/>
      <c r="E24744" s="39"/>
      <c r="F24744" s="39"/>
    </row>
    <row r="24745">
      <c r="D24745" s="39"/>
      <c r="E24745" s="39"/>
      <c r="F24745" s="39"/>
    </row>
    <row r="24746">
      <c r="D24746" s="39"/>
      <c r="E24746" s="39"/>
      <c r="F24746" s="39"/>
    </row>
    <row r="24747">
      <c r="D24747" s="39"/>
      <c r="E24747" s="39"/>
      <c r="F24747" s="39"/>
    </row>
    <row r="24748">
      <c r="D24748" s="39"/>
      <c r="E24748" s="39"/>
      <c r="F24748" s="39"/>
    </row>
    <row r="24749">
      <c r="D24749" s="39"/>
      <c r="E24749" s="39"/>
      <c r="F24749" s="39"/>
    </row>
    <row r="24750">
      <c r="D24750" s="39"/>
      <c r="E24750" s="39"/>
      <c r="F24750" s="39"/>
    </row>
    <row r="24751">
      <c r="D24751" s="39"/>
      <c r="E24751" s="39"/>
      <c r="F24751" s="39"/>
    </row>
    <row r="24752">
      <c r="D24752" s="39"/>
      <c r="E24752" s="39"/>
      <c r="F24752" s="39"/>
    </row>
    <row r="24753">
      <c r="D24753" s="39"/>
      <c r="E24753" s="39"/>
      <c r="F24753" s="39"/>
    </row>
    <row r="24754">
      <c r="D24754" s="39"/>
      <c r="E24754" s="39"/>
      <c r="F24754" s="39"/>
    </row>
    <row r="24755">
      <c r="D24755" s="39"/>
      <c r="E24755" s="39"/>
      <c r="F24755" s="39"/>
    </row>
    <row r="24756">
      <c r="D24756" s="39"/>
      <c r="E24756" s="39"/>
      <c r="F24756" s="39"/>
    </row>
    <row r="24757">
      <c r="D24757" s="39"/>
      <c r="E24757" s="39"/>
      <c r="F24757" s="39"/>
    </row>
    <row r="24758">
      <c r="D24758" s="39"/>
      <c r="E24758" s="39"/>
      <c r="F24758" s="39"/>
    </row>
    <row r="24759">
      <c r="D24759" s="39"/>
      <c r="E24759" s="39"/>
      <c r="F24759" s="39"/>
    </row>
    <row r="24760">
      <c r="D24760" s="39"/>
      <c r="E24760" s="39"/>
      <c r="F24760" s="39"/>
    </row>
    <row r="24761">
      <c r="D24761" s="39"/>
      <c r="E24761" s="39"/>
      <c r="F24761" s="39"/>
    </row>
    <row r="24762">
      <c r="D24762" s="39"/>
      <c r="E24762" s="39"/>
      <c r="F24762" s="39"/>
    </row>
    <row r="24763">
      <c r="D24763" s="39"/>
      <c r="E24763" s="39"/>
      <c r="F24763" s="39"/>
    </row>
    <row r="24764">
      <c r="D24764" s="39"/>
      <c r="E24764" s="39"/>
      <c r="F24764" s="39"/>
    </row>
    <row r="24765">
      <c r="D24765" s="39"/>
      <c r="E24765" s="39"/>
      <c r="F24765" s="39"/>
    </row>
    <row r="24766">
      <c r="D24766" s="39"/>
      <c r="E24766" s="39"/>
      <c r="F24766" s="39"/>
    </row>
    <row r="24767">
      <c r="D24767" s="39"/>
      <c r="E24767" s="39"/>
      <c r="F24767" s="39"/>
    </row>
    <row r="24768">
      <c r="D24768" s="39"/>
      <c r="E24768" s="39"/>
      <c r="F24768" s="39"/>
    </row>
    <row r="24769">
      <c r="D24769" s="39"/>
      <c r="E24769" s="39"/>
      <c r="F24769" s="39"/>
    </row>
    <row r="24770">
      <c r="D24770" s="39"/>
      <c r="E24770" s="39"/>
      <c r="F24770" s="39"/>
    </row>
    <row r="24771">
      <c r="D24771" s="39"/>
      <c r="E24771" s="39"/>
      <c r="F24771" s="39"/>
    </row>
    <row r="24772">
      <c r="D24772" s="39"/>
      <c r="E24772" s="39"/>
      <c r="F24772" s="39"/>
    </row>
    <row r="24773">
      <c r="D24773" s="39"/>
      <c r="E24773" s="39"/>
      <c r="F24773" s="39"/>
    </row>
    <row r="24774">
      <c r="D24774" s="39"/>
      <c r="E24774" s="39"/>
      <c r="F24774" s="39"/>
    </row>
    <row r="24775">
      <c r="D24775" s="39"/>
      <c r="E24775" s="39"/>
      <c r="F24775" s="39"/>
    </row>
    <row r="24776">
      <c r="D24776" s="39"/>
      <c r="E24776" s="39"/>
      <c r="F24776" s="39"/>
    </row>
    <row r="24777">
      <c r="D24777" s="39"/>
      <c r="E24777" s="39"/>
      <c r="F24777" s="39"/>
    </row>
    <row r="24778">
      <c r="D24778" s="39"/>
      <c r="E24778" s="39"/>
      <c r="F24778" s="39"/>
    </row>
    <row r="24779">
      <c r="D24779" s="39"/>
      <c r="E24779" s="39"/>
      <c r="F24779" s="39"/>
    </row>
    <row r="24780">
      <c r="D24780" s="39"/>
      <c r="E24780" s="39"/>
      <c r="F24780" s="39"/>
    </row>
    <row r="24781">
      <c r="D24781" s="39"/>
      <c r="E24781" s="39"/>
      <c r="F24781" s="39"/>
    </row>
    <row r="24782">
      <c r="D24782" s="39"/>
      <c r="E24782" s="39"/>
      <c r="F24782" s="39"/>
    </row>
    <row r="24783">
      <c r="D24783" s="39"/>
      <c r="E24783" s="39"/>
      <c r="F24783" s="39"/>
    </row>
    <row r="24784">
      <c r="D24784" s="39"/>
      <c r="E24784" s="39"/>
      <c r="F24784" s="39"/>
    </row>
    <row r="24785">
      <c r="D24785" s="39"/>
      <c r="E24785" s="39"/>
      <c r="F24785" s="39"/>
    </row>
    <row r="24786">
      <c r="D24786" s="39"/>
      <c r="E24786" s="39"/>
      <c r="F24786" s="39"/>
    </row>
    <row r="24787">
      <c r="D24787" s="39"/>
      <c r="E24787" s="39"/>
      <c r="F24787" s="39"/>
    </row>
    <row r="24788">
      <c r="D24788" s="39"/>
      <c r="E24788" s="39"/>
      <c r="F24788" s="39"/>
    </row>
    <row r="24789">
      <c r="D24789" s="39"/>
      <c r="E24789" s="39"/>
      <c r="F24789" s="39"/>
    </row>
    <row r="24790">
      <c r="D24790" s="39"/>
      <c r="E24790" s="39"/>
      <c r="F24790" s="39"/>
    </row>
    <row r="24791">
      <c r="D24791" s="39"/>
      <c r="E24791" s="39"/>
      <c r="F24791" s="39"/>
    </row>
    <row r="24792">
      <c r="D24792" s="39"/>
      <c r="E24792" s="39"/>
      <c r="F24792" s="39"/>
    </row>
    <row r="24793">
      <c r="D24793" s="39"/>
      <c r="E24793" s="39"/>
      <c r="F24793" s="39"/>
    </row>
    <row r="24794">
      <c r="D24794" s="39"/>
      <c r="E24794" s="39"/>
      <c r="F24794" s="39"/>
    </row>
    <row r="24795">
      <c r="D24795" s="39"/>
      <c r="E24795" s="39"/>
      <c r="F24795" s="39"/>
    </row>
    <row r="24796">
      <c r="D24796" s="39"/>
      <c r="E24796" s="39"/>
      <c r="F24796" s="39"/>
    </row>
    <row r="24797">
      <c r="D24797" s="39"/>
      <c r="E24797" s="39"/>
      <c r="F24797" s="39"/>
    </row>
    <row r="24798">
      <c r="D24798" s="39"/>
      <c r="E24798" s="39"/>
      <c r="F24798" s="39"/>
    </row>
    <row r="24799">
      <c r="D24799" s="39"/>
      <c r="E24799" s="39"/>
      <c r="F24799" s="39"/>
    </row>
    <row r="24800">
      <c r="D24800" s="39"/>
      <c r="E24800" s="39"/>
      <c r="F24800" s="39"/>
    </row>
    <row r="24801">
      <c r="D24801" s="39"/>
      <c r="E24801" s="39"/>
      <c r="F24801" s="39"/>
    </row>
    <row r="24802">
      <c r="D24802" s="39"/>
      <c r="E24802" s="39"/>
      <c r="F24802" s="39"/>
    </row>
    <row r="24803">
      <c r="D24803" s="39"/>
      <c r="E24803" s="39"/>
      <c r="F24803" s="39"/>
    </row>
    <row r="24804">
      <c r="D24804" s="39"/>
      <c r="E24804" s="39"/>
      <c r="F24804" s="39"/>
    </row>
    <row r="24805">
      <c r="D24805" s="39"/>
      <c r="E24805" s="39"/>
      <c r="F24805" s="39"/>
    </row>
    <row r="24806">
      <c r="D24806" s="39"/>
      <c r="E24806" s="39"/>
      <c r="F24806" s="39"/>
    </row>
    <row r="24807">
      <c r="D24807" s="39"/>
      <c r="E24807" s="39"/>
      <c r="F24807" s="39"/>
    </row>
    <row r="24808">
      <c r="D24808" s="39"/>
      <c r="E24808" s="39"/>
      <c r="F24808" s="39"/>
    </row>
    <row r="24809">
      <c r="D24809" s="39"/>
      <c r="E24809" s="39"/>
      <c r="F24809" s="39"/>
    </row>
    <row r="24810">
      <c r="D24810" s="39"/>
      <c r="E24810" s="39"/>
      <c r="F24810" s="39"/>
    </row>
    <row r="24811">
      <c r="D24811" s="39"/>
      <c r="E24811" s="39"/>
      <c r="F24811" s="39"/>
    </row>
    <row r="24812">
      <c r="D24812" s="39"/>
      <c r="E24812" s="39"/>
      <c r="F24812" s="39"/>
    </row>
    <row r="24813">
      <c r="D24813" s="39"/>
      <c r="E24813" s="39"/>
      <c r="F24813" s="39"/>
    </row>
    <row r="24814">
      <c r="D24814" s="39"/>
      <c r="E24814" s="39"/>
      <c r="F24814" s="39"/>
    </row>
    <row r="24815">
      <c r="D24815" s="39"/>
      <c r="E24815" s="39"/>
      <c r="F24815" s="39"/>
    </row>
    <row r="24816">
      <c r="D24816" s="39"/>
      <c r="E24816" s="39"/>
      <c r="F24816" s="39"/>
    </row>
    <row r="24817">
      <c r="D24817" s="39"/>
      <c r="E24817" s="39"/>
      <c r="F24817" s="39"/>
    </row>
    <row r="24818">
      <c r="D24818" s="39"/>
      <c r="E24818" s="39"/>
      <c r="F24818" s="39"/>
    </row>
    <row r="24819">
      <c r="D24819" s="39"/>
      <c r="E24819" s="39"/>
      <c r="F24819" s="39"/>
    </row>
    <row r="24820">
      <c r="D24820" s="39"/>
      <c r="E24820" s="39"/>
      <c r="F24820" s="39"/>
    </row>
    <row r="24821">
      <c r="D24821" s="39"/>
      <c r="E24821" s="39"/>
      <c r="F24821" s="39"/>
    </row>
    <row r="24822">
      <c r="D24822" s="39"/>
      <c r="E24822" s="39"/>
      <c r="F24822" s="39"/>
    </row>
    <row r="24823">
      <c r="D24823" s="39"/>
      <c r="E24823" s="39"/>
      <c r="F24823" s="39"/>
    </row>
    <row r="24824">
      <c r="D24824" s="39"/>
      <c r="E24824" s="39"/>
      <c r="F24824" s="39"/>
    </row>
    <row r="24825">
      <c r="D24825" s="39"/>
      <c r="E24825" s="39"/>
      <c r="F24825" s="39"/>
    </row>
    <row r="24826">
      <c r="D24826" s="39"/>
      <c r="E24826" s="39"/>
      <c r="F24826" s="39"/>
    </row>
    <row r="24827">
      <c r="D24827" s="39"/>
      <c r="E24827" s="39"/>
      <c r="F24827" s="39"/>
    </row>
    <row r="24828">
      <c r="D24828" s="39"/>
      <c r="E24828" s="39"/>
      <c r="F24828" s="39"/>
    </row>
    <row r="24829">
      <c r="D24829" s="39"/>
      <c r="E24829" s="39"/>
      <c r="F24829" s="39"/>
    </row>
    <row r="24830">
      <c r="D24830" s="39"/>
      <c r="E24830" s="39"/>
      <c r="F24830" s="39"/>
    </row>
    <row r="24831">
      <c r="D24831" s="39"/>
      <c r="E24831" s="39"/>
      <c r="F24831" s="39"/>
    </row>
    <row r="24832">
      <c r="D24832" s="39"/>
      <c r="E24832" s="39"/>
      <c r="F24832" s="39"/>
    </row>
    <row r="24833">
      <c r="D24833" s="39"/>
      <c r="E24833" s="39"/>
      <c r="F24833" s="39"/>
    </row>
    <row r="24834">
      <c r="D24834" s="39"/>
      <c r="E24834" s="39"/>
      <c r="F24834" s="39"/>
    </row>
    <row r="24835">
      <c r="D24835" s="39"/>
      <c r="E24835" s="39"/>
      <c r="F24835" s="39"/>
    </row>
    <row r="24836">
      <c r="D24836" s="39"/>
      <c r="E24836" s="39"/>
      <c r="F24836" s="39"/>
    </row>
    <row r="24837">
      <c r="D24837" s="39"/>
      <c r="E24837" s="39"/>
      <c r="F24837" s="39"/>
    </row>
    <row r="24838">
      <c r="D24838" s="39"/>
      <c r="E24838" s="39"/>
      <c r="F24838" s="39"/>
    </row>
    <row r="24839">
      <c r="D24839" s="39"/>
      <c r="E24839" s="39"/>
      <c r="F24839" s="39"/>
    </row>
    <row r="24840">
      <c r="D24840" s="39"/>
      <c r="E24840" s="39"/>
      <c r="F24840" s="39"/>
    </row>
    <row r="24841">
      <c r="D24841" s="39"/>
      <c r="E24841" s="39"/>
      <c r="F24841" s="39"/>
    </row>
    <row r="24842">
      <c r="D24842" s="39"/>
      <c r="E24842" s="39"/>
      <c r="F24842" s="39"/>
    </row>
    <row r="24843">
      <c r="D24843" s="39"/>
      <c r="E24843" s="39"/>
      <c r="F24843" s="39"/>
    </row>
    <row r="24844">
      <c r="D24844" s="39"/>
      <c r="E24844" s="39"/>
      <c r="F24844" s="39"/>
    </row>
    <row r="24845">
      <c r="D24845" s="39"/>
      <c r="E24845" s="39"/>
      <c r="F24845" s="39"/>
    </row>
    <row r="24846">
      <c r="D24846" s="39"/>
      <c r="E24846" s="39"/>
      <c r="F24846" s="39"/>
    </row>
    <row r="24847">
      <c r="D24847" s="39"/>
      <c r="E24847" s="39"/>
      <c r="F24847" s="39"/>
    </row>
    <row r="24848">
      <c r="D24848" s="39"/>
      <c r="E24848" s="39"/>
      <c r="F24848" s="39"/>
    </row>
    <row r="24849">
      <c r="D24849" s="39"/>
      <c r="E24849" s="39"/>
      <c r="F24849" s="39"/>
    </row>
    <row r="24850">
      <c r="D24850" s="39"/>
      <c r="E24850" s="39"/>
      <c r="F24850" s="39"/>
    </row>
    <row r="24851">
      <c r="D24851" s="39"/>
      <c r="E24851" s="39"/>
      <c r="F24851" s="39"/>
    </row>
    <row r="24852">
      <c r="D24852" s="39"/>
      <c r="E24852" s="39"/>
      <c r="F24852" s="39"/>
    </row>
    <row r="24853">
      <c r="D24853" s="39"/>
      <c r="E24853" s="39"/>
      <c r="F24853" s="39"/>
    </row>
    <row r="24854">
      <c r="D24854" s="39"/>
      <c r="E24854" s="39"/>
      <c r="F24854" s="39"/>
    </row>
    <row r="24855">
      <c r="D24855" s="39"/>
      <c r="E24855" s="39"/>
      <c r="F24855" s="39"/>
    </row>
    <row r="24856">
      <c r="D24856" s="39"/>
      <c r="E24856" s="39"/>
      <c r="F24856" s="39"/>
    </row>
    <row r="24857">
      <c r="D24857" s="39"/>
      <c r="E24857" s="39"/>
      <c r="F24857" s="39"/>
    </row>
    <row r="24858">
      <c r="D24858" s="39"/>
      <c r="E24858" s="39"/>
      <c r="F24858" s="39"/>
    </row>
    <row r="24859">
      <c r="D24859" s="39"/>
      <c r="E24859" s="39"/>
      <c r="F24859" s="39"/>
    </row>
    <row r="24860">
      <c r="D24860" s="39"/>
      <c r="E24860" s="39"/>
      <c r="F24860" s="39"/>
    </row>
    <row r="24861">
      <c r="D24861" s="39"/>
      <c r="E24861" s="39"/>
      <c r="F24861" s="39"/>
    </row>
    <row r="24862">
      <c r="D24862" s="39"/>
      <c r="E24862" s="39"/>
      <c r="F24862" s="39"/>
    </row>
    <row r="24863">
      <c r="D24863" s="39"/>
      <c r="E24863" s="39"/>
      <c r="F24863" s="39"/>
    </row>
    <row r="24864">
      <c r="D24864" s="39"/>
      <c r="E24864" s="39"/>
      <c r="F24864" s="39"/>
    </row>
    <row r="24865">
      <c r="D24865" s="39"/>
      <c r="E24865" s="39"/>
      <c r="F24865" s="39"/>
    </row>
    <row r="24866">
      <c r="D24866" s="39"/>
      <c r="E24866" s="39"/>
      <c r="F24866" s="39"/>
    </row>
    <row r="24867">
      <c r="D24867" s="39"/>
      <c r="E24867" s="39"/>
      <c r="F24867" s="39"/>
    </row>
    <row r="24868">
      <c r="D24868" s="39"/>
      <c r="E24868" s="39"/>
      <c r="F24868" s="39"/>
    </row>
    <row r="24869">
      <c r="D24869" s="39"/>
      <c r="E24869" s="39"/>
      <c r="F24869" s="39"/>
    </row>
    <row r="24870">
      <c r="D24870" s="39"/>
      <c r="E24870" s="39"/>
      <c r="F24870" s="39"/>
    </row>
    <row r="24871">
      <c r="D24871" s="39"/>
      <c r="E24871" s="39"/>
      <c r="F24871" s="39"/>
    </row>
    <row r="24872">
      <c r="D24872" s="39"/>
      <c r="E24872" s="39"/>
      <c r="F24872" s="39"/>
    </row>
    <row r="24873">
      <c r="D24873" s="39"/>
      <c r="E24873" s="39"/>
      <c r="F24873" s="39"/>
    </row>
    <row r="24874">
      <c r="D24874" s="39"/>
      <c r="E24874" s="39"/>
      <c r="F24874" s="39"/>
    </row>
    <row r="24875">
      <c r="D24875" s="39"/>
      <c r="E24875" s="39"/>
      <c r="F24875" s="39"/>
    </row>
    <row r="24876">
      <c r="D24876" s="39"/>
      <c r="E24876" s="39"/>
      <c r="F24876" s="39"/>
    </row>
    <row r="24877">
      <c r="D24877" s="39"/>
      <c r="E24877" s="39"/>
      <c r="F24877" s="39"/>
    </row>
    <row r="24878">
      <c r="D24878" s="39"/>
      <c r="E24878" s="39"/>
      <c r="F24878" s="39"/>
    </row>
    <row r="24879">
      <c r="D24879" s="39"/>
      <c r="E24879" s="39"/>
      <c r="F24879" s="39"/>
    </row>
    <row r="24880">
      <c r="D24880" s="39"/>
      <c r="E24880" s="39"/>
      <c r="F24880" s="39"/>
    </row>
    <row r="24881">
      <c r="D24881" s="39"/>
      <c r="E24881" s="39"/>
      <c r="F24881" s="39"/>
    </row>
    <row r="24882">
      <c r="D24882" s="39"/>
      <c r="E24882" s="39"/>
      <c r="F24882" s="39"/>
    </row>
    <row r="24883">
      <c r="D24883" s="39"/>
      <c r="E24883" s="39"/>
      <c r="F24883" s="39"/>
    </row>
    <row r="24884">
      <c r="D24884" s="39"/>
      <c r="E24884" s="39"/>
      <c r="F24884" s="39"/>
    </row>
    <row r="24885">
      <c r="D24885" s="39"/>
      <c r="E24885" s="39"/>
      <c r="F24885" s="39"/>
    </row>
    <row r="24886">
      <c r="D24886" s="39"/>
      <c r="E24886" s="39"/>
      <c r="F24886" s="39"/>
    </row>
    <row r="24887">
      <c r="D24887" s="39"/>
      <c r="E24887" s="39"/>
      <c r="F24887" s="39"/>
    </row>
    <row r="24888">
      <c r="D24888" s="39"/>
      <c r="E24888" s="39"/>
      <c r="F24888" s="39"/>
    </row>
    <row r="24889">
      <c r="D24889" s="39"/>
      <c r="E24889" s="39"/>
      <c r="F24889" s="39"/>
    </row>
    <row r="24890">
      <c r="D24890" s="39"/>
      <c r="E24890" s="39"/>
      <c r="F24890" s="39"/>
    </row>
    <row r="24891">
      <c r="D24891" s="39"/>
      <c r="E24891" s="39"/>
      <c r="F24891" s="39"/>
    </row>
    <row r="24892">
      <c r="D24892" s="39"/>
      <c r="E24892" s="39"/>
      <c r="F24892" s="39"/>
    </row>
    <row r="24893">
      <c r="D24893" s="39"/>
      <c r="E24893" s="39"/>
      <c r="F24893" s="39"/>
    </row>
    <row r="24894">
      <c r="D24894" s="39"/>
      <c r="E24894" s="39"/>
      <c r="F24894" s="39"/>
    </row>
    <row r="24895">
      <c r="D24895" s="39"/>
      <c r="E24895" s="39"/>
      <c r="F24895" s="39"/>
    </row>
    <row r="24896">
      <c r="D24896" s="39"/>
      <c r="E24896" s="39"/>
      <c r="F24896" s="39"/>
    </row>
    <row r="24897">
      <c r="D24897" s="39"/>
      <c r="E24897" s="39"/>
      <c r="F24897" s="39"/>
    </row>
    <row r="24898">
      <c r="D24898" s="39"/>
      <c r="E24898" s="39"/>
      <c r="F24898" s="39"/>
    </row>
    <row r="24899">
      <c r="D24899" s="39"/>
      <c r="E24899" s="39"/>
      <c r="F24899" s="39"/>
    </row>
    <row r="24900">
      <c r="D24900" s="39"/>
      <c r="E24900" s="39"/>
      <c r="F24900" s="39"/>
    </row>
    <row r="24901">
      <c r="D24901" s="39"/>
      <c r="E24901" s="39"/>
      <c r="F24901" s="39"/>
    </row>
    <row r="24902">
      <c r="D24902" s="39"/>
      <c r="E24902" s="39"/>
      <c r="F24902" s="39"/>
    </row>
    <row r="24903">
      <c r="D24903" s="39"/>
      <c r="E24903" s="39"/>
      <c r="F24903" s="39"/>
    </row>
    <row r="24904">
      <c r="D24904" s="39"/>
      <c r="E24904" s="39"/>
      <c r="F24904" s="39"/>
    </row>
    <row r="24905">
      <c r="D24905" s="39"/>
      <c r="E24905" s="39"/>
      <c r="F24905" s="39"/>
    </row>
    <row r="24906">
      <c r="D24906" s="39"/>
      <c r="E24906" s="39"/>
      <c r="F24906" s="39"/>
    </row>
    <row r="24907">
      <c r="D24907" s="39"/>
      <c r="E24907" s="39"/>
      <c r="F24907" s="39"/>
    </row>
    <row r="24908">
      <c r="D24908" s="39"/>
      <c r="E24908" s="39"/>
      <c r="F24908" s="39"/>
    </row>
    <row r="24909">
      <c r="D24909" s="39"/>
      <c r="E24909" s="39"/>
      <c r="F24909" s="39"/>
    </row>
    <row r="24910">
      <c r="D24910" s="39"/>
      <c r="E24910" s="39"/>
      <c r="F24910" s="39"/>
    </row>
    <row r="24911">
      <c r="D24911" s="39"/>
      <c r="E24911" s="39"/>
      <c r="F24911" s="39"/>
    </row>
    <row r="24912">
      <c r="D24912" s="39"/>
      <c r="E24912" s="39"/>
      <c r="F24912" s="39"/>
    </row>
    <row r="24913">
      <c r="D24913" s="39"/>
      <c r="E24913" s="39"/>
      <c r="F24913" s="39"/>
    </row>
    <row r="24914">
      <c r="D24914" s="39"/>
      <c r="E24914" s="39"/>
      <c r="F24914" s="39"/>
    </row>
    <row r="24915">
      <c r="D24915" s="39"/>
      <c r="E24915" s="39"/>
      <c r="F24915" s="39"/>
    </row>
    <row r="24916">
      <c r="D24916" s="39"/>
      <c r="E24916" s="39"/>
      <c r="F24916" s="39"/>
    </row>
    <row r="24917">
      <c r="D24917" s="39"/>
      <c r="E24917" s="39"/>
      <c r="F24917" s="39"/>
    </row>
    <row r="24918">
      <c r="D24918" s="39"/>
      <c r="E24918" s="39"/>
      <c r="F24918" s="39"/>
    </row>
    <row r="24919">
      <c r="D24919" s="39"/>
      <c r="E24919" s="39"/>
      <c r="F24919" s="39"/>
    </row>
    <row r="24920">
      <c r="D24920" s="39"/>
      <c r="E24920" s="39"/>
      <c r="F24920" s="39"/>
    </row>
    <row r="24921">
      <c r="D24921" s="39"/>
      <c r="E24921" s="39"/>
      <c r="F24921" s="39"/>
    </row>
    <row r="24922">
      <c r="D24922" s="39"/>
      <c r="E24922" s="39"/>
      <c r="F24922" s="39"/>
    </row>
    <row r="24923">
      <c r="D24923" s="39"/>
      <c r="E24923" s="39"/>
      <c r="F24923" s="39"/>
    </row>
    <row r="24924">
      <c r="D24924" s="39"/>
      <c r="E24924" s="39"/>
      <c r="F24924" s="39"/>
    </row>
    <row r="24925">
      <c r="D24925" s="39"/>
      <c r="E24925" s="39"/>
      <c r="F24925" s="39"/>
    </row>
    <row r="24926">
      <c r="D24926" s="39"/>
      <c r="E24926" s="39"/>
      <c r="F24926" s="39"/>
    </row>
    <row r="24927">
      <c r="D24927" s="39"/>
      <c r="E24927" s="39"/>
      <c r="F24927" s="39"/>
    </row>
    <row r="24928">
      <c r="D24928" s="39"/>
      <c r="E24928" s="39"/>
      <c r="F24928" s="39"/>
    </row>
    <row r="24929">
      <c r="D24929" s="39"/>
      <c r="E24929" s="39"/>
      <c r="F24929" s="39"/>
    </row>
    <row r="24930">
      <c r="D24930" s="39"/>
      <c r="E24930" s="39"/>
      <c r="F24930" s="39"/>
    </row>
    <row r="24931">
      <c r="D24931" s="39"/>
      <c r="E24931" s="39"/>
      <c r="F24931" s="39"/>
    </row>
    <row r="24932">
      <c r="D24932" s="39"/>
      <c r="E24932" s="39"/>
      <c r="F24932" s="39"/>
    </row>
    <row r="24933">
      <c r="D24933" s="39"/>
      <c r="E24933" s="39"/>
      <c r="F24933" s="39"/>
    </row>
    <row r="24934">
      <c r="D24934" s="39"/>
      <c r="E24934" s="39"/>
      <c r="F24934" s="39"/>
    </row>
    <row r="24935">
      <c r="D24935" s="39"/>
      <c r="E24935" s="39"/>
      <c r="F24935" s="39"/>
    </row>
    <row r="24936">
      <c r="D24936" s="39"/>
      <c r="E24936" s="39"/>
      <c r="F24936" s="39"/>
    </row>
    <row r="24937">
      <c r="D24937" s="39"/>
      <c r="E24937" s="39"/>
      <c r="F24937" s="39"/>
    </row>
    <row r="24938">
      <c r="D24938" s="39"/>
      <c r="E24938" s="39"/>
      <c r="F24938" s="39"/>
    </row>
    <row r="24939">
      <c r="D24939" s="39"/>
      <c r="E24939" s="39"/>
      <c r="F24939" s="39"/>
    </row>
    <row r="24940">
      <c r="D24940" s="39"/>
      <c r="E24940" s="39"/>
      <c r="F24940" s="39"/>
    </row>
    <row r="24941">
      <c r="D24941" s="39"/>
      <c r="E24941" s="39"/>
      <c r="F24941" s="39"/>
    </row>
    <row r="24942">
      <c r="D24942" s="39"/>
      <c r="E24942" s="39"/>
      <c r="F24942" s="39"/>
    </row>
    <row r="24943">
      <c r="D24943" s="39"/>
      <c r="E24943" s="39"/>
      <c r="F24943" s="39"/>
    </row>
    <row r="24944">
      <c r="D24944" s="39"/>
      <c r="E24944" s="39"/>
      <c r="F24944" s="39"/>
    </row>
    <row r="24945">
      <c r="D24945" s="39"/>
      <c r="E24945" s="39"/>
      <c r="F24945" s="39"/>
    </row>
    <row r="24946">
      <c r="D24946" s="39"/>
      <c r="E24946" s="39"/>
      <c r="F24946" s="39"/>
    </row>
    <row r="24947">
      <c r="D24947" s="39"/>
      <c r="E24947" s="39"/>
      <c r="F24947" s="39"/>
    </row>
    <row r="24948">
      <c r="D24948" s="39"/>
      <c r="E24948" s="39"/>
      <c r="F24948" s="39"/>
    </row>
    <row r="24949">
      <c r="D24949" s="39"/>
      <c r="E24949" s="39"/>
      <c r="F24949" s="39"/>
    </row>
    <row r="24950">
      <c r="D24950" s="39"/>
      <c r="E24950" s="39"/>
      <c r="F24950" s="39"/>
    </row>
    <row r="24951">
      <c r="D24951" s="39"/>
      <c r="E24951" s="39"/>
      <c r="F24951" s="39"/>
    </row>
    <row r="24952">
      <c r="D24952" s="39"/>
      <c r="E24952" s="39"/>
      <c r="F24952" s="39"/>
    </row>
    <row r="24953">
      <c r="D24953" s="39"/>
      <c r="E24953" s="39"/>
      <c r="F24953" s="39"/>
    </row>
    <row r="24954">
      <c r="D24954" s="39"/>
      <c r="E24954" s="39"/>
      <c r="F24954" s="39"/>
    </row>
    <row r="24955">
      <c r="D24955" s="39"/>
      <c r="E24955" s="39"/>
      <c r="F24955" s="39"/>
    </row>
    <row r="24956">
      <c r="D24956" s="39"/>
      <c r="E24956" s="39"/>
      <c r="F24956" s="39"/>
    </row>
    <row r="24957">
      <c r="D24957" s="39"/>
      <c r="E24957" s="39"/>
      <c r="F24957" s="39"/>
    </row>
    <row r="24958">
      <c r="D24958" s="39"/>
      <c r="E24958" s="39"/>
      <c r="F24958" s="39"/>
    </row>
    <row r="24959">
      <c r="D24959" s="39"/>
      <c r="E24959" s="39"/>
      <c r="F24959" s="39"/>
    </row>
    <row r="24960">
      <c r="D24960" s="39"/>
      <c r="E24960" s="39"/>
      <c r="F24960" s="39"/>
    </row>
    <row r="24961">
      <c r="D24961" s="39"/>
      <c r="E24961" s="39"/>
      <c r="F24961" s="39"/>
    </row>
    <row r="24962">
      <c r="D24962" s="39"/>
      <c r="E24962" s="39"/>
      <c r="F24962" s="39"/>
    </row>
    <row r="24963">
      <c r="D24963" s="39"/>
      <c r="E24963" s="39"/>
      <c r="F24963" s="39"/>
    </row>
    <row r="24964">
      <c r="D24964" s="39"/>
      <c r="E24964" s="39"/>
      <c r="F24964" s="39"/>
    </row>
    <row r="24965">
      <c r="D24965" s="39"/>
      <c r="E24965" s="39"/>
      <c r="F24965" s="39"/>
    </row>
    <row r="24966">
      <c r="D24966" s="39"/>
      <c r="E24966" s="39"/>
      <c r="F24966" s="39"/>
    </row>
    <row r="24967">
      <c r="D24967" s="39"/>
      <c r="E24967" s="39"/>
      <c r="F24967" s="39"/>
    </row>
    <row r="24968">
      <c r="D24968" s="39"/>
      <c r="E24968" s="39"/>
      <c r="F24968" s="39"/>
    </row>
    <row r="24969">
      <c r="D24969" s="39"/>
      <c r="E24969" s="39"/>
      <c r="F24969" s="39"/>
    </row>
    <row r="24970">
      <c r="D24970" s="39"/>
      <c r="E24970" s="39"/>
      <c r="F24970" s="39"/>
    </row>
    <row r="24971">
      <c r="D24971" s="39"/>
      <c r="E24971" s="39"/>
      <c r="F24971" s="39"/>
    </row>
    <row r="24972">
      <c r="D24972" s="39"/>
      <c r="E24972" s="39"/>
      <c r="F24972" s="39"/>
    </row>
    <row r="24973">
      <c r="D24973" s="39"/>
      <c r="E24973" s="39"/>
      <c r="F24973" s="39"/>
    </row>
    <row r="24974">
      <c r="D24974" s="39"/>
      <c r="E24974" s="39"/>
      <c r="F24974" s="39"/>
    </row>
    <row r="24975">
      <c r="D24975" s="39"/>
      <c r="E24975" s="39"/>
      <c r="F24975" s="39"/>
    </row>
    <row r="24976">
      <c r="D24976" s="39"/>
      <c r="E24976" s="39"/>
      <c r="F24976" s="39"/>
    </row>
    <row r="24977">
      <c r="D24977" s="39"/>
      <c r="E24977" s="39"/>
      <c r="F24977" s="39"/>
    </row>
    <row r="24978">
      <c r="D24978" s="39"/>
      <c r="E24978" s="39"/>
      <c r="F24978" s="39"/>
    </row>
    <row r="24979">
      <c r="D24979" s="39"/>
      <c r="E24979" s="39"/>
      <c r="F24979" s="39"/>
    </row>
    <row r="24980">
      <c r="D24980" s="39"/>
      <c r="E24980" s="39"/>
      <c r="F24980" s="39"/>
    </row>
    <row r="24981">
      <c r="D24981" s="39"/>
      <c r="E24981" s="39"/>
      <c r="F24981" s="39"/>
    </row>
    <row r="24982">
      <c r="D24982" s="39"/>
      <c r="E24982" s="39"/>
      <c r="F24982" s="39"/>
    </row>
    <row r="24983">
      <c r="D24983" s="39"/>
      <c r="E24983" s="39"/>
      <c r="F24983" s="39"/>
    </row>
    <row r="24984">
      <c r="D24984" s="39"/>
      <c r="E24984" s="39"/>
      <c r="F24984" s="39"/>
    </row>
    <row r="24985">
      <c r="D24985" s="39"/>
      <c r="E24985" s="39"/>
      <c r="F24985" s="39"/>
    </row>
    <row r="24986">
      <c r="D24986" s="39"/>
      <c r="E24986" s="39"/>
      <c r="F24986" s="39"/>
    </row>
    <row r="24987">
      <c r="D24987" s="39"/>
      <c r="E24987" s="39"/>
      <c r="F24987" s="39"/>
    </row>
    <row r="24988">
      <c r="D24988" s="39"/>
      <c r="E24988" s="39"/>
      <c r="F24988" s="39"/>
    </row>
    <row r="24989">
      <c r="D24989" s="39"/>
      <c r="E24989" s="39"/>
      <c r="F24989" s="39"/>
    </row>
    <row r="24990">
      <c r="D24990" s="39"/>
      <c r="E24990" s="39"/>
      <c r="F24990" s="39"/>
    </row>
    <row r="24991">
      <c r="D24991" s="39"/>
      <c r="E24991" s="39"/>
      <c r="F24991" s="39"/>
    </row>
    <row r="24992">
      <c r="D24992" s="39"/>
      <c r="E24992" s="39"/>
      <c r="F24992" s="39"/>
    </row>
    <row r="24993">
      <c r="D24993" s="39"/>
      <c r="E24993" s="39"/>
      <c r="F24993" s="39"/>
    </row>
    <row r="24994">
      <c r="D24994" s="39"/>
      <c r="E24994" s="39"/>
      <c r="F24994" s="39"/>
    </row>
    <row r="24995">
      <c r="D24995" s="39"/>
      <c r="E24995" s="39"/>
      <c r="F24995" s="39"/>
    </row>
    <row r="24996">
      <c r="D24996" s="39"/>
      <c r="E24996" s="39"/>
      <c r="F24996" s="39"/>
    </row>
    <row r="24997">
      <c r="D24997" s="39"/>
      <c r="E24997" s="39"/>
      <c r="F24997" s="39"/>
    </row>
    <row r="24998">
      <c r="D24998" s="39"/>
      <c r="E24998" s="39"/>
      <c r="F24998" s="39"/>
    </row>
    <row r="24999">
      <c r="D24999" s="39"/>
      <c r="E24999" s="39"/>
      <c r="F24999" s="39"/>
    </row>
    <row r="25000">
      <c r="D25000" s="39"/>
      <c r="E25000" s="39"/>
      <c r="F25000" s="39"/>
    </row>
    <row r="25001">
      <c r="D25001" s="39"/>
      <c r="E25001" s="39"/>
      <c r="F25001" s="39"/>
    </row>
    <row r="25002">
      <c r="D25002" s="39"/>
      <c r="E25002" s="39"/>
      <c r="F25002" s="39"/>
    </row>
    <row r="25003">
      <c r="D25003" s="39"/>
      <c r="E25003" s="39"/>
      <c r="F25003" s="39"/>
    </row>
    <row r="25004">
      <c r="D25004" s="39"/>
      <c r="E25004" s="39"/>
      <c r="F25004" s="39"/>
    </row>
    <row r="25005">
      <c r="D25005" s="39"/>
      <c r="E25005" s="39"/>
      <c r="F25005" s="39"/>
    </row>
    <row r="25006">
      <c r="D25006" s="39"/>
      <c r="E25006" s="39"/>
      <c r="F25006" s="39"/>
    </row>
    <row r="25007">
      <c r="D25007" s="39"/>
      <c r="E25007" s="39"/>
      <c r="F25007" s="39"/>
    </row>
    <row r="25008">
      <c r="D25008" s="39"/>
      <c r="E25008" s="39"/>
      <c r="F25008" s="39"/>
    </row>
    <row r="25009">
      <c r="D25009" s="39"/>
      <c r="E25009" s="39"/>
      <c r="F25009" s="39"/>
    </row>
    <row r="25010">
      <c r="D25010" s="39"/>
      <c r="E25010" s="39"/>
      <c r="F25010" s="39"/>
    </row>
    <row r="25011">
      <c r="D25011" s="39"/>
      <c r="E25011" s="39"/>
      <c r="F25011" s="39"/>
    </row>
    <row r="25012">
      <c r="D25012" s="39"/>
      <c r="E25012" s="39"/>
      <c r="F25012" s="39"/>
    </row>
    <row r="25013">
      <c r="D25013" s="39"/>
      <c r="E25013" s="39"/>
      <c r="F25013" s="39"/>
    </row>
    <row r="25014">
      <c r="D25014" s="39"/>
      <c r="E25014" s="39"/>
      <c r="F25014" s="39"/>
    </row>
    <row r="25015">
      <c r="D25015" s="39"/>
      <c r="E25015" s="39"/>
      <c r="F25015" s="39"/>
    </row>
    <row r="25016">
      <c r="D25016" s="39"/>
      <c r="E25016" s="39"/>
      <c r="F25016" s="39"/>
    </row>
    <row r="25017">
      <c r="D25017" s="39"/>
      <c r="E25017" s="39"/>
      <c r="F25017" s="39"/>
    </row>
    <row r="25018">
      <c r="D25018" s="39"/>
      <c r="E25018" s="39"/>
      <c r="F25018" s="39"/>
    </row>
    <row r="25019">
      <c r="D25019" s="39"/>
      <c r="E25019" s="39"/>
      <c r="F25019" s="39"/>
    </row>
    <row r="25020">
      <c r="D25020" s="39"/>
      <c r="E25020" s="39"/>
      <c r="F25020" s="39"/>
    </row>
    <row r="25021">
      <c r="D25021" s="39"/>
      <c r="E25021" s="39"/>
      <c r="F25021" s="39"/>
    </row>
    <row r="25022">
      <c r="D25022" s="39"/>
      <c r="E25022" s="39"/>
      <c r="F25022" s="39"/>
    </row>
    <row r="25023">
      <c r="D25023" s="39"/>
      <c r="E25023" s="39"/>
      <c r="F25023" s="39"/>
    </row>
    <row r="25024">
      <c r="D25024" s="39"/>
      <c r="E25024" s="39"/>
      <c r="F25024" s="39"/>
    </row>
    <row r="25025">
      <c r="D25025" s="39"/>
      <c r="E25025" s="39"/>
      <c r="F25025" s="39"/>
    </row>
    <row r="25026">
      <c r="D25026" s="39"/>
      <c r="E25026" s="39"/>
      <c r="F25026" s="39"/>
    </row>
    <row r="25027">
      <c r="D25027" s="39"/>
      <c r="E25027" s="39"/>
      <c r="F25027" s="39"/>
    </row>
    <row r="25028">
      <c r="D25028" s="39"/>
      <c r="E25028" s="39"/>
      <c r="F25028" s="39"/>
    </row>
    <row r="25029">
      <c r="D25029" s="39"/>
      <c r="E25029" s="39"/>
      <c r="F25029" s="39"/>
    </row>
    <row r="25030">
      <c r="D25030" s="39"/>
      <c r="E25030" s="39"/>
      <c r="F25030" s="39"/>
    </row>
    <row r="25031">
      <c r="D25031" s="39"/>
      <c r="E25031" s="39"/>
      <c r="F25031" s="39"/>
    </row>
    <row r="25032">
      <c r="D25032" s="39"/>
      <c r="E25032" s="39"/>
      <c r="F25032" s="39"/>
    </row>
    <row r="25033">
      <c r="D25033" s="39"/>
      <c r="E25033" s="39"/>
      <c r="F25033" s="39"/>
    </row>
    <row r="25034">
      <c r="D25034" s="39"/>
      <c r="E25034" s="39"/>
      <c r="F25034" s="39"/>
    </row>
    <row r="25035">
      <c r="D25035" s="39"/>
      <c r="E25035" s="39"/>
      <c r="F25035" s="39"/>
    </row>
    <row r="25036">
      <c r="D25036" s="39"/>
      <c r="E25036" s="39"/>
      <c r="F25036" s="39"/>
    </row>
    <row r="25037">
      <c r="D25037" s="39"/>
      <c r="E25037" s="39"/>
      <c r="F25037" s="39"/>
    </row>
    <row r="25038">
      <c r="D25038" s="39"/>
      <c r="E25038" s="39"/>
      <c r="F25038" s="39"/>
    </row>
    <row r="25039">
      <c r="D25039" s="39"/>
      <c r="E25039" s="39"/>
      <c r="F25039" s="39"/>
    </row>
    <row r="25040">
      <c r="D25040" s="39"/>
      <c r="E25040" s="39"/>
      <c r="F25040" s="39"/>
    </row>
    <row r="25041">
      <c r="D25041" s="39"/>
      <c r="E25041" s="39"/>
      <c r="F25041" s="39"/>
    </row>
    <row r="25042">
      <c r="D25042" s="39"/>
      <c r="E25042" s="39"/>
      <c r="F25042" s="39"/>
    </row>
    <row r="25043">
      <c r="D25043" s="39"/>
      <c r="E25043" s="39"/>
      <c r="F25043" s="39"/>
    </row>
    <row r="25044">
      <c r="D25044" s="39"/>
      <c r="E25044" s="39"/>
      <c r="F25044" s="39"/>
    </row>
    <row r="25045">
      <c r="D25045" s="39"/>
      <c r="E25045" s="39"/>
      <c r="F25045" s="39"/>
    </row>
    <row r="25046">
      <c r="D25046" s="39"/>
      <c r="E25046" s="39"/>
      <c r="F25046" s="39"/>
    </row>
    <row r="25047">
      <c r="D25047" s="39"/>
      <c r="E25047" s="39"/>
      <c r="F25047" s="39"/>
    </row>
    <row r="25048">
      <c r="D25048" s="39"/>
      <c r="E25048" s="39"/>
      <c r="F25048" s="39"/>
    </row>
    <row r="25049">
      <c r="D25049" s="39"/>
      <c r="E25049" s="39"/>
      <c r="F25049" s="39"/>
    </row>
    <row r="25050">
      <c r="D25050" s="39"/>
      <c r="E25050" s="39"/>
      <c r="F25050" s="39"/>
    </row>
    <row r="25051">
      <c r="D25051" s="39"/>
      <c r="E25051" s="39"/>
      <c r="F25051" s="39"/>
    </row>
    <row r="25052">
      <c r="D25052" s="39"/>
      <c r="E25052" s="39"/>
      <c r="F25052" s="39"/>
    </row>
    <row r="25053">
      <c r="D25053" s="39"/>
      <c r="E25053" s="39"/>
      <c r="F25053" s="39"/>
    </row>
    <row r="25054">
      <c r="D25054" s="39"/>
      <c r="E25054" s="39"/>
      <c r="F25054" s="39"/>
    </row>
    <row r="25055">
      <c r="D25055" s="39"/>
      <c r="E25055" s="39"/>
      <c r="F25055" s="39"/>
    </row>
    <row r="25056">
      <c r="D25056" s="39"/>
      <c r="E25056" s="39"/>
      <c r="F25056" s="39"/>
    </row>
    <row r="25057">
      <c r="D25057" s="39"/>
      <c r="E25057" s="39"/>
      <c r="F25057" s="39"/>
    </row>
    <row r="25058">
      <c r="D25058" s="39"/>
      <c r="E25058" s="39"/>
      <c r="F25058" s="39"/>
    </row>
    <row r="25059">
      <c r="D25059" s="39"/>
      <c r="E25059" s="39"/>
      <c r="F25059" s="39"/>
    </row>
    <row r="25060">
      <c r="D25060" s="39"/>
      <c r="E25060" s="39"/>
      <c r="F25060" s="39"/>
    </row>
    <row r="25061">
      <c r="D25061" s="39"/>
      <c r="E25061" s="39"/>
      <c r="F25061" s="39"/>
    </row>
    <row r="25062">
      <c r="D25062" s="39"/>
      <c r="E25062" s="39"/>
      <c r="F25062" s="39"/>
    </row>
    <row r="25063">
      <c r="D25063" s="39"/>
      <c r="E25063" s="39"/>
      <c r="F25063" s="39"/>
    </row>
    <row r="25064">
      <c r="D25064" s="39"/>
      <c r="E25064" s="39"/>
      <c r="F25064" s="39"/>
    </row>
    <row r="25065">
      <c r="D25065" s="39"/>
      <c r="E25065" s="39"/>
      <c r="F25065" s="39"/>
    </row>
    <row r="25066">
      <c r="D25066" s="39"/>
      <c r="E25066" s="39"/>
      <c r="F25066" s="39"/>
    </row>
    <row r="25067">
      <c r="D25067" s="39"/>
      <c r="E25067" s="39"/>
      <c r="F25067" s="39"/>
    </row>
    <row r="25068">
      <c r="D25068" s="39"/>
      <c r="E25068" s="39"/>
      <c r="F25068" s="39"/>
    </row>
    <row r="25069">
      <c r="D25069" s="39"/>
      <c r="E25069" s="39"/>
      <c r="F25069" s="39"/>
    </row>
    <row r="25070">
      <c r="D25070" s="39"/>
      <c r="E25070" s="39"/>
      <c r="F25070" s="39"/>
    </row>
    <row r="25071">
      <c r="D25071" s="39"/>
      <c r="E25071" s="39"/>
      <c r="F25071" s="39"/>
    </row>
    <row r="25072">
      <c r="D25072" s="39"/>
      <c r="E25072" s="39"/>
      <c r="F25072" s="39"/>
    </row>
    <row r="25073">
      <c r="D25073" s="39"/>
      <c r="E25073" s="39"/>
      <c r="F25073" s="39"/>
    </row>
    <row r="25074">
      <c r="D25074" s="39"/>
      <c r="E25074" s="39"/>
      <c r="F25074" s="39"/>
    </row>
    <row r="25075">
      <c r="D25075" s="39"/>
      <c r="E25075" s="39"/>
      <c r="F25075" s="39"/>
    </row>
    <row r="25076">
      <c r="D25076" s="39"/>
      <c r="E25076" s="39"/>
      <c r="F25076" s="39"/>
    </row>
    <row r="25077">
      <c r="D25077" s="39"/>
      <c r="E25077" s="39"/>
      <c r="F25077" s="39"/>
    </row>
    <row r="25078">
      <c r="D25078" s="39"/>
      <c r="E25078" s="39"/>
      <c r="F25078" s="39"/>
    </row>
    <row r="25079">
      <c r="D25079" s="39"/>
      <c r="E25079" s="39"/>
      <c r="F25079" s="39"/>
    </row>
    <row r="25080">
      <c r="D25080" s="39"/>
      <c r="E25080" s="39"/>
      <c r="F25080" s="39"/>
    </row>
    <row r="25081">
      <c r="D25081" s="39"/>
      <c r="E25081" s="39"/>
      <c r="F25081" s="39"/>
    </row>
    <row r="25082">
      <c r="D25082" s="39"/>
      <c r="E25082" s="39"/>
      <c r="F25082" s="39"/>
    </row>
    <row r="25083">
      <c r="D25083" s="39"/>
      <c r="E25083" s="39"/>
      <c r="F25083" s="39"/>
    </row>
    <row r="25084">
      <c r="D25084" s="39"/>
      <c r="E25084" s="39"/>
      <c r="F25084" s="39"/>
    </row>
    <row r="25085">
      <c r="D25085" s="39"/>
      <c r="E25085" s="39"/>
      <c r="F25085" s="39"/>
    </row>
    <row r="25086">
      <c r="D25086" s="39"/>
      <c r="E25086" s="39"/>
      <c r="F25086" s="39"/>
    </row>
    <row r="25087">
      <c r="D25087" s="39"/>
      <c r="E25087" s="39"/>
      <c r="F25087" s="39"/>
    </row>
    <row r="25088">
      <c r="D25088" s="39"/>
      <c r="E25088" s="39"/>
      <c r="F25088" s="39"/>
    </row>
    <row r="25089">
      <c r="D25089" s="39"/>
      <c r="E25089" s="39"/>
      <c r="F25089" s="39"/>
    </row>
    <row r="25090">
      <c r="D25090" s="39"/>
      <c r="E25090" s="39"/>
      <c r="F25090" s="39"/>
    </row>
    <row r="25091">
      <c r="D25091" s="39"/>
      <c r="E25091" s="39"/>
      <c r="F25091" s="39"/>
    </row>
    <row r="25092">
      <c r="D25092" s="39"/>
      <c r="E25092" s="39"/>
      <c r="F25092" s="39"/>
    </row>
    <row r="25093">
      <c r="D25093" s="39"/>
      <c r="E25093" s="39"/>
      <c r="F25093" s="39"/>
    </row>
    <row r="25094">
      <c r="D25094" s="39"/>
      <c r="E25094" s="39"/>
      <c r="F25094" s="39"/>
    </row>
    <row r="25095">
      <c r="D25095" s="39"/>
      <c r="E25095" s="39"/>
      <c r="F25095" s="39"/>
    </row>
    <row r="25096">
      <c r="D25096" s="39"/>
      <c r="E25096" s="39"/>
      <c r="F25096" s="39"/>
    </row>
    <row r="25097">
      <c r="D25097" s="39"/>
      <c r="E25097" s="39"/>
      <c r="F25097" s="39"/>
    </row>
    <row r="25098">
      <c r="D25098" s="39"/>
      <c r="E25098" s="39"/>
      <c r="F25098" s="39"/>
    </row>
    <row r="25099">
      <c r="D25099" s="39"/>
      <c r="E25099" s="39"/>
      <c r="F25099" s="39"/>
    </row>
    <row r="25100">
      <c r="D25100" s="39"/>
      <c r="E25100" s="39"/>
      <c r="F25100" s="39"/>
    </row>
    <row r="25101">
      <c r="D25101" s="39"/>
      <c r="E25101" s="39"/>
      <c r="F25101" s="39"/>
    </row>
    <row r="25102">
      <c r="D25102" s="39"/>
      <c r="E25102" s="39"/>
      <c r="F25102" s="39"/>
    </row>
    <row r="25103">
      <c r="D25103" s="39"/>
      <c r="E25103" s="39"/>
      <c r="F25103" s="39"/>
    </row>
    <row r="25104">
      <c r="D25104" s="39"/>
      <c r="E25104" s="39"/>
      <c r="F25104" s="39"/>
    </row>
    <row r="25105">
      <c r="D25105" s="39"/>
      <c r="E25105" s="39"/>
      <c r="F25105" s="39"/>
    </row>
    <row r="25106">
      <c r="D25106" s="39"/>
      <c r="E25106" s="39"/>
      <c r="F25106" s="39"/>
    </row>
    <row r="25107">
      <c r="D25107" s="39"/>
      <c r="E25107" s="39"/>
      <c r="F25107" s="39"/>
    </row>
    <row r="25108">
      <c r="D25108" s="39"/>
      <c r="E25108" s="39"/>
      <c r="F25108" s="39"/>
    </row>
    <row r="25109">
      <c r="D25109" s="39"/>
      <c r="E25109" s="39"/>
      <c r="F25109" s="39"/>
    </row>
    <row r="25110">
      <c r="D25110" s="39"/>
      <c r="E25110" s="39"/>
      <c r="F25110" s="39"/>
    </row>
    <row r="25111">
      <c r="D25111" s="39"/>
      <c r="E25111" s="39"/>
      <c r="F25111" s="39"/>
    </row>
    <row r="25112">
      <c r="D25112" s="39"/>
      <c r="E25112" s="39"/>
      <c r="F25112" s="39"/>
    </row>
    <row r="25113">
      <c r="D25113" s="39"/>
      <c r="E25113" s="39"/>
      <c r="F25113" s="39"/>
    </row>
    <row r="25114">
      <c r="D25114" s="39"/>
      <c r="E25114" s="39"/>
      <c r="F25114" s="39"/>
    </row>
    <row r="25115">
      <c r="D25115" s="39"/>
      <c r="E25115" s="39"/>
      <c r="F25115" s="39"/>
    </row>
    <row r="25116">
      <c r="D25116" s="39"/>
      <c r="E25116" s="39"/>
      <c r="F25116" s="39"/>
    </row>
    <row r="25117">
      <c r="D25117" s="39"/>
      <c r="E25117" s="39"/>
      <c r="F25117" s="39"/>
    </row>
    <row r="25118">
      <c r="D25118" s="39"/>
      <c r="E25118" s="39"/>
      <c r="F25118" s="39"/>
    </row>
    <row r="25119">
      <c r="D25119" s="39"/>
      <c r="E25119" s="39"/>
      <c r="F25119" s="39"/>
    </row>
    <row r="25120">
      <c r="D25120" s="39"/>
      <c r="E25120" s="39"/>
      <c r="F25120" s="39"/>
    </row>
    <row r="25121">
      <c r="D25121" s="39"/>
      <c r="E25121" s="39"/>
      <c r="F25121" s="39"/>
    </row>
    <row r="25122">
      <c r="D25122" s="39"/>
      <c r="E25122" s="39"/>
      <c r="F25122" s="39"/>
    </row>
    <row r="25123">
      <c r="D25123" s="39"/>
      <c r="E25123" s="39"/>
      <c r="F25123" s="39"/>
    </row>
    <row r="25124">
      <c r="D25124" s="39"/>
      <c r="E25124" s="39"/>
      <c r="F25124" s="39"/>
    </row>
    <row r="25125">
      <c r="D25125" s="39"/>
      <c r="E25125" s="39"/>
      <c r="F25125" s="39"/>
    </row>
    <row r="25126">
      <c r="D25126" s="39"/>
      <c r="E25126" s="39"/>
      <c r="F25126" s="39"/>
    </row>
    <row r="25127">
      <c r="D25127" s="39"/>
      <c r="E25127" s="39"/>
      <c r="F25127" s="39"/>
    </row>
    <row r="25128">
      <c r="D25128" s="39"/>
      <c r="E25128" s="39"/>
      <c r="F25128" s="39"/>
    </row>
    <row r="25129">
      <c r="D25129" s="39"/>
      <c r="E25129" s="39"/>
      <c r="F25129" s="39"/>
    </row>
    <row r="25130">
      <c r="D25130" s="39"/>
      <c r="E25130" s="39"/>
      <c r="F25130" s="39"/>
    </row>
    <row r="25131">
      <c r="D25131" s="39"/>
      <c r="E25131" s="39"/>
      <c r="F25131" s="39"/>
    </row>
    <row r="25132">
      <c r="D25132" s="39"/>
      <c r="E25132" s="39"/>
      <c r="F25132" s="39"/>
    </row>
    <row r="25133">
      <c r="D25133" s="39"/>
      <c r="E25133" s="39"/>
      <c r="F25133" s="39"/>
    </row>
    <row r="25134">
      <c r="D25134" s="39"/>
      <c r="E25134" s="39"/>
      <c r="F25134" s="39"/>
    </row>
    <row r="25135">
      <c r="D25135" s="39"/>
      <c r="E25135" s="39"/>
      <c r="F25135" s="39"/>
    </row>
    <row r="25136">
      <c r="D25136" s="39"/>
      <c r="E25136" s="39"/>
      <c r="F25136" s="39"/>
    </row>
    <row r="25137">
      <c r="D25137" s="39"/>
      <c r="E25137" s="39"/>
      <c r="F25137" s="39"/>
    </row>
    <row r="25138">
      <c r="D25138" s="39"/>
      <c r="E25138" s="39"/>
      <c r="F25138" s="39"/>
    </row>
    <row r="25139">
      <c r="D25139" s="39"/>
      <c r="E25139" s="39"/>
      <c r="F25139" s="39"/>
    </row>
    <row r="25140">
      <c r="D25140" s="39"/>
      <c r="E25140" s="39"/>
      <c r="F25140" s="39"/>
    </row>
    <row r="25141">
      <c r="D25141" s="39"/>
      <c r="E25141" s="39"/>
      <c r="F25141" s="39"/>
    </row>
    <row r="25142">
      <c r="D25142" s="39"/>
      <c r="E25142" s="39"/>
      <c r="F25142" s="39"/>
    </row>
    <row r="25143">
      <c r="D25143" s="39"/>
      <c r="E25143" s="39"/>
      <c r="F25143" s="39"/>
    </row>
    <row r="25144">
      <c r="D25144" s="39"/>
      <c r="E25144" s="39"/>
      <c r="F25144" s="39"/>
    </row>
    <row r="25145">
      <c r="D25145" s="39"/>
      <c r="E25145" s="39"/>
      <c r="F25145" s="39"/>
    </row>
    <row r="25146">
      <c r="D25146" s="39"/>
      <c r="E25146" s="39"/>
      <c r="F25146" s="39"/>
    </row>
    <row r="25147">
      <c r="D25147" s="39"/>
      <c r="E25147" s="39"/>
      <c r="F25147" s="39"/>
    </row>
    <row r="25148">
      <c r="D25148" s="39"/>
      <c r="E25148" s="39"/>
      <c r="F25148" s="39"/>
    </row>
    <row r="25149">
      <c r="D25149" s="39"/>
      <c r="E25149" s="39"/>
      <c r="F25149" s="39"/>
    </row>
    <row r="25150">
      <c r="D25150" s="39"/>
      <c r="E25150" s="39"/>
      <c r="F25150" s="39"/>
    </row>
    <row r="25151">
      <c r="D25151" s="39"/>
      <c r="E25151" s="39"/>
      <c r="F25151" s="39"/>
    </row>
    <row r="25152">
      <c r="D25152" s="39"/>
      <c r="E25152" s="39"/>
      <c r="F25152" s="39"/>
    </row>
    <row r="25153">
      <c r="D25153" s="39"/>
      <c r="E25153" s="39"/>
      <c r="F25153" s="39"/>
    </row>
    <row r="25154">
      <c r="D25154" s="39"/>
      <c r="E25154" s="39"/>
      <c r="F25154" s="39"/>
    </row>
    <row r="25155">
      <c r="D25155" s="39"/>
      <c r="E25155" s="39"/>
      <c r="F25155" s="39"/>
    </row>
    <row r="25156">
      <c r="D25156" s="39"/>
      <c r="E25156" s="39"/>
      <c r="F25156" s="39"/>
    </row>
    <row r="25157">
      <c r="D25157" s="39"/>
      <c r="E25157" s="39"/>
      <c r="F25157" s="39"/>
    </row>
    <row r="25158">
      <c r="D25158" s="39"/>
      <c r="E25158" s="39"/>
      <c r="F25158" s="39"/>
    </row>
    <row r="25159">
      <c r="D25159" s="39"/>
      <c r="E25159" s="39"/>
      <c r="F25159" s="39"/>
    </row>
    <row r="25160">
      <c r="D25160" s="39"/>
      <c r="E25160" s="39"/>
      <c r="F25160" s="39"/>
    </row>
    <row r="25161">
      <c r="D25161" s="39"/>
      <c r="E25161" s="39"/>
      <c r="F25161" s="39"/>
    </row>
    <row r="25162">
      <c r="D25162" s="39"/>
      <c r="E25162" s="39"/>
      <c r="F25162" s="39"/>
    </row>
    <row r="25163">
      <c r="D25163" s="39"/>
      <c r="E25163" s="39"/>
      <c r="F25163" s="39"/>
    </row>
    <row r="25164">
      <c r="D25164" s="39"/>
      <c r="E25164" s="39"/>
      <c r="F25164" s="39"/>
    </row>
    <row r="25165">
      <c r="D25165" s="39"/>
      <c r="E25165" s="39"/>
      <c r="F25165" s="39"/>
    </row>
    <row r="25166">
      <c r="D25166" s="39"/>
      <c r="E25166" s="39"/>
      <c r="F25166" s="39"/>
    </row>
    <row r="25167">
      <c r="D25167" s="39"/>
      <c r="E25167" s="39"/>
      <c r="F25167" s="39"/>
    </row>
    <row r="25168">
      <c r="D25168" s="39"/>
      <c r="E25168" s="39"/>
      <c r="F25168" s="39"/>
    </row>
    <row r="25169">
      <c r="D25169" s="39"/>
      <c r="E25169" s="39"/>
      <c r="F25169" s="39"/>
    </row>
    <row r="25170">
      <c r="D25170" s="39"/>
      <c r="E25170" s="39"/>
      <c r="F25170" s="39"/>
    </row>
    <row r="25171">
      <c r="D25171" s="39"/>
      <c r="E25171" s="39"/>
      <c r="F25171" s="39"/>
    </row>
    <row r="25172">
      <c r="D25172" s="39"/>
      <c r="E25172" s="39"/>
      <c r="F25172" s="39"/>
    </row>
    <row r="25173">
      <c r="D25173" s="39"/>
      <c r="E25173" s="39"/>
      <c r="F25173" s="39"/>
    </row>
    <row r="25174">
      <c r="D25174" s="39"/>
      <c r="E25174" s="39"/>
      <c r="F25174" s="39"/>
    </row>
    <row r="25175">
      <c r="D25175" s="39"/>
      <c r="E25175" s="39"/>
      <c r="F25175" s="39"/>
    </row>
    <row r="25176">
      <c r="D25176" s="39"/>
      <c r="E25176" s="39"/>
      <c r="F25176" s="39"/>
    </row>
    <row r="25177">
      <c r="D25177" s="39"/>
      <c r="E25177" s="39"/>
      <c r="F25177" s="39"/>
    </row>
    <row r="25178">
      <c r="D25178" s="39"/>
      <c r="E25178" s="39"/>
      <c r="F25178" s="39"/>
    </row>
    <row r="25179">
      <c r="D25179" s="39"/>
      <c r="E25179" s="39"/>
      <c r="F25179" s="39"/>
    </row>
    <row r="25180">
      <c r="D25180" s="39"/>
      <c r="E25180" s="39"/>
      <c r="F25180" s="39"/>
    </row>
    <row r="25181">
      <c r="D25181" s="39"/>
      <c r="E25181" s="39"/>
      <c r="F25181" s="39"/>
    </row>
    <row r="25182">
      <c r="D25182" s="39"/>
      <c r="E25182" s="39"/>
      <c r="F25182" s="39"/>
    </row>
    <row r="25183">
      <c r="D25183" s="39"/>
      <c r="E25183" s="39"/>
      <c r="F25183" s="39"/>
    </row>
    <row r="25184">
      <c r="D25184" s="39"/>
      <c r="E25184" s="39"/>
      <c r="F25184" s="39"/>
    </row>
    <row r="25185">
      <c r="D25185" s="39"/>
      <c r="E25185" s="39"/>
      <c r="F25185" s="39"/>
    </row>
    <row r="25186">
      <c r="D25186" s="39"/>
      <c r="E25186" s="39"/>
      <c r="F25186" s="39"/>
    </row>
    <row r="25187">
      <c r="D25187" s="39"/>
      <c r="E25187" s="39"/>
      <c r="F25187" s="39"/>
    </row>
    <row r="25188">
      <c r="D25188" s="39"/>
      <c r="E25188" s="39"/>
      <c r="F25188" s="39"/>
    </row>
    <row r="25189">
      <c r="D25189" s="39"/>
      <c r="E25189" s="39"/>
      <c r="F25189" s="39"/>
    </row>
    <row r="25190">
      <c r="D25190" s="39"/>
      <c r="E25190" s="39"/>
      <c r="F25190" s="39"/>
    </row>
    <row r="25191">
      <c r="D25191" s="39"/>
      <c r="E25191" s="39"/>
      <c r="F25191" s="39"/>
    </row>
    <row r="25192">
      <c r="D25192" s="39"/>
      <c r="E25192" s="39"/>
      <c r="F25192" s="39"/>
    </row>
    <row r="25193">
      <c r="D25193" s="39"/>
      <c r="E25193" s="39"/>
      <c r="F25193" s="39"/>
    </row>
    <row r="25194">
      <c r="D25194" s="39"/>
      <c r="E25194" s="39"/>
      <c r="F25194" s="39"/>
    </row>
    <row r="25195">
      <c r="D25195" s="39"/>
      <c r="E25195" s="39"/>
      <c r="F25195" s="39"/>
    </row>
    <row r="25196">
      <c r="D25196" s="39"/>
      <c r="E25196" s="39"/>
      <c r="F25196" s="39"/>
    </row>
    <row r="25197">
      <c r="D25197" s="39"/>
      <c r="E25197" s="39"/>
      <c r="F25197" s="39"/>
    </row>
    <row r="25198">
      <c r="D25198" s="39"/>
      <c r="E25198" s="39"/>
      <c r="F25198" s="39"/>
    </row>
    <row r="25199">
      <c r="D25199" s="39"/>
      <c r="E25199" s="39"/>
      <c r="F25199" s="39"/>
    </row>
    <row r="25200">
      <c r="D25200" s="39"/>
      <c r="E25200" s="39"/>
      <c r="F25200" s="39"/>
    </row>
    <row r="25201">
      <c r="D25201" s="39"/>
      <c r="E25201" s="39"/>
      <c r="F25201" s="39"/>
    </row>
    <row r="25202">
      <c r="D25202" s="39"/>
      <c r="E25202" s="39"/>
      <c r="F25202" s="39"/>
    </row>
    <row r="25203">
      <c r="D25203" s="39"/>
      <c r="E25203" s="39"/>
      <c r="F25203" s="39"/>
    </row>
    <row r="25204">
      <c r="D25204" s="39"/>
      <c r="E25204" s="39"/>
      <c r="F25204" s="39"/>
    </row>
    <row r="25205">
      <c r="D25205" s="39"/>
      <c r="E25205" s="39"/>
      <c r="F25205" s="39"/>
    </row>
    <row r="25206">
      <c r="D25206" s="39"/>
      <c r="E25206" s="39"/>
      <c r="F25206" s="39"/>
    </row>
    <row r="25207">
      <c r="D25207" s="39"/>
      <c r="E25207" s="39"/>
      <c r="F25207" s="39"/>
    </row>
    <row r="25208">
      <c r="D25208" s="39"/>
      <c r="E25208" s="39"/>
      <c r="F25208" s="39"/>
    </row>
    <row r="25209">
      <c r="D25209" s="39"/>
      <c r="E25209" s="39"/>
      <c r="F25209" s="39"/>
    </row>
    <row r="25210">
      <c r="D25210" s="39"/>
      <c r="E25210" s="39"/>
      <c r="F25210" s="39"/>
    </row>
    <row r="25211">
      <c r="D25211" s="39"/>
      <c r="E25211" s="39"/>
      <c r="F25211" s="39"/>
    </row>
    <row r="25212">
      <c r="D25212" s="39"/>
      <c r="E25212" s="39"/>
      <c r="F25212" s="39"/>
    </row>
    <row r="25213">
      <c r="D25213" s="39"/>
      <c r="E25213" s="39"/>
      <c r="F25213" s="39"/>
    </row>
    <row r="25214">
      <c r="D25214" s="39"/>
      <c r="E25214" s="39"/>
      <c r="F25214" s="39"/>
    </row>
    <row r="25215">
      <c r="D25215" s="39"/>
      <c r="E25215" s="39"/>
      <c r="F25215" s="39"/>
    </row>
    <row r="25216">
      <c r="D25216" s="39"/>
      <c r="E25216" s="39"/>
      <c r="F25216" s="39"/>
    </row>
    <row r="25217">
      <c r="D25217" s="39"/>
      <c r="E25217" s="39"/>
      <c r="F25217" s="39"/>
    </row>
    <row r="25218">
      <c r="D25218" s="39"/>
      <c r="E25218" s="39"/>
      <c r="F25218" s="39"/>
    </row>
    <row r="25219">
      <c r="D25219" s="39"/>
      <c r="E25219" s="39"/>
      <c r="F25219" s="39"/>
    </row>
    <row r="25220">
      <c r="D25220" s="39"/>
      <c r="E25220" s="39"/>
      <c r="F25220" s="39"/>
    </row>
    <row r="25221">
      <c r="D25221" s="39"/>
      <c r="E25221" s="39"/>
      <c r="F25221" s="39"/>
    </row>
    <row r="25222">
      <c r="D25222" s="39"/>
      <c r="E25222" s="39"/>
      <c r="F25222" s="39"/>
    </row>
    <row r="25223">
      <c r="D25223" s="39"/>
      <c r="E25223" s="39"/>
      <c r="F25223" s="39"/>
    </row>
    <row r="25224">
      <c r="D25224" s="39"/>
      <c r="E25224" s="39"/>
      <c r="F25224" s="39"/>
    </row>
    <row r="25225">
      <c r="D25225" s="39"/>
      <c r="E25225" s="39"/>
      <c r="F25225" s="39"/>
    </row>
    <row r="25226">
      <c r="D25226" s="39"/>
      <c r="E25226" s="39"/>
      <c r="F25226" s="39"/>
    </row>
    <row r="25227">
      <c r="D25227" s="39"/>
      <c r="E25227" s="39"/>
      <c r="F25227" s="39"/>
    </row>
    <row r="25228">
      <c r="D25228" s="39"/>
      <c r="E25228" s="39"/>
      <c r="F25228" s="39"/>
    </row>
    <row r="25229">
      <c r="D25229" s="39"/>
      <c r="E25229" s="39"/>
      <c r="F25229" s="39"/>
    </row>
    <row r="25230">
      <c r="D25230" s="39"/>
      <c r="E25230" s="39"/>
      <c r="F25230" s="39"/>
    </row>
    <row r="25231">
      <c r="D25231" s="39"/>
      <c r="E25231" s="39"/>
      <c r="F25231" s="39"/>
    </row>
    <row r="25232">
      <c r="D25232" s="39"/>
      <c r="E25232" s="39"/>
      <c r="F25232" s="39"/>
    </row>
    <row r="25233">
      <c r="D25233" s="39"/>
      <c r="E25233" s="39"/>
      <c r="F25233" s="39"/>
    </row>
    <row r="25234">
      <c r="D25234" s="39"/>
      <c r="E25234" s="39"/>
      <c r="F25234" s="39"/>
    </row>
    <row r="25235">
      <c r="D25235" s="39"/>
      <c r="E25235" s="39"/>
      <c r="F25235" s="39"/>
    </row>
    <row r="25236">
      <c r="D25236" s="39"/>
      <c r="E25236" s="39"/>
      <c r="F25236" s="39"/>
    </row>
    <row r="25237">
      <c r="D25237" s="39"/>
      <c r="E25237" s="39"/>
      <c r="F25237" s="39"/>
    </row>
    <row r="25238">
      <c r="D25238" s="39"/>
      <c r="E25238" s="39"/>
      <c r="F25238" s="39"/>
    </row>
    <row r="25239">
      <c r="D25239" s="39"/>
      <c r="E25239" s="39"/>
      <c r="F25239" s="39"/>
    </row>
    <row r="25240">
      <c r="D25240" s="39"/>
      <c r="E25240" s="39"/>
      <c r="F25240" s="39"/>
    </row>
    <row r="25241">
      <c r="D25241" s="39"/>
      <c r="E25241" s="39"/>
      <c r="F25241" s="39"/>
    </row>
    <row r="25242">
      <c r="D25242" s="39"/>
      <c r="E25242" s="39"/>
      <c r="F25242" s="39"/>
    </row>
    <row r="25243">
      <c r="D25243" s="39"/>
      <c r="E25243" s="39"/>
      <c r="F25243" s="39"/>
    </row>
    <row r="25244">
      <c r="D25244" s="39"/>
      <c r="E25244" s="39"/>
      <c r="F25244" s="39"/>
    </row>
    <row r="25245">
      <c r="D25245" s="39"/>
      <c r="E25245" s="39"/>
      <c r="F25245" s="39"/>
    </row>
    <row r="25246">
      <c r="D25246" s="39"/>
      <c r="E25246" s="39"/>
      <c r="F25246" s="39"/>
    </row>
    <row r="25247">
      <c r="D25247" s="39"/>
      <c r="E25247" s="39"/>
      <c r="F25247" s="39"/>
    </row>
    <row r="25248">
      <c r="D25248" s="39"/>
      <c r="E25248" s="39"/>
      <c r="F25248" s="39"/>
    </row>
    <row r="25249">
      <c r="D25249" s="39"/>
      <c r="E25249" s="39"/>
      <c r="F25249" s="39"/>
    </row>
    <row r="25250">
      <c r="D25250" s="39"/>
      <c r="E25250" s="39"/>
      <c r="F25250" s="39"/>
    </row>
    <row r="25251">
      <c r="D25251" s="39"/>
      <c r="E25251" s="39"/>
      <c r="F25251" s="39"/>
    </row>
    <row r="25252">
      <c r="D25252" s="39"/>
      <c r="E25252" s="39"/>
      <c r="F25252" s="39"/>
    </row>
    <row r="25253">
      <c r="D25253" s="39"/>
      <c r="E25253" s="39"/>
      <c r="F25253" s="39"/>
    </row>
    <row r="25254">
      <c r="D25254" s="39"/>
      <c r="E25254" s="39"/>
      <c r="F25254" s="39"/>
    </row>
    <row r="25255">
      <c r="D25255" s="39"/>
      <c r="E25255" s="39"/>
      <c r="F25255" s="39"/>
    </row>
    <row r="25256">
      <c r="D25256" s="39"/>
      <c r="E25256" s="39"/>
      <c r="F25256" s="39"/>
    </row>
    <row r="25257">
      <c r="D25257" s="39"/>
      <c r="E25257" s="39"/>
      <c r="F25257" s="39"/>
    </row>
    <row r="25258">
      <c r="D25258" s="39"/>
      <c r="E25258" s="39"/>
      <c r="F25258" s="39"/>
    </row>
    <row r="25259">
      <c r="D25259" s="39"/>
      <c r="E25259" s="39"/>
      <c r="F25259" s="39"/>
    </row>
    <row r="25260">
      <c r="D25260" s="39"/>
      <c r="E25260" s="39"/>
      <c r="F25260" s="39"/>
    </row>
    <row r="25261">
      <c r="D25261" s="39"/>
      <c r="E25261" s="39"/>
      <c r="F25261" s="39"/>
    </row>
    <row r="25262">
      <c r="D25262" s="39"/>
      <c r="E25262" s="39"/>
      <c r="F25262" s="39"/>
    </row>
    <row r="25263">
      <c r="D25263" s="39"/>
      <c r="E25263" s="39"/>
      <c r="F25263" s="39"/>
    </row>
    <row r="25264">
      <c r="D25264" s="39"/>
      <c r="E25264" s="39"/>
      <c r="F25264" s="39"/>
    </row>
    <row r="25265">
      <c r="D25265" s="39"/>
      <c r="E25265" s="39"/>
      <c r="F25265" s="39"/>
    </row>
    <row r="25266">
      <c r="D25266" s="39"/>
      <c r="E25266" s="39"/>
      <c r="F25266" s="39"/>
    </row>
    <row r="25267">
      <c r="D25267" s="39"/>
      <c r="E25267" s="39"/>
      <c r="F25267" s="39"/>
    </row>
    <row r="25268">
      <c r="D25268" s="39"/>
      <c r="E25268" s="39"/>
      <c r="F25268" s="39"/>
    </row>
    <row r="25269">
      <c r="D25269" s="39"/>
      <c r="E25269" s="39"/>
      <c r="F25269" s="39"/>
    </row>
    <row r="25270">
      <c r="D25270" s="39"/>
      <c r="E25270" s="39"/>
      <c r="F25270" s="39"/>
    </row>
    <row r="25271">
      <c r="D25271" s="39"/>
      <c r="E25271" s="39"/>
      <c r="F25271" s="39"/>
    </row>
    <row r="25272">
      <c r="D25272" s="39"/>
      <c r="E25272" s="39"/>
      <c r="F25272" s="39"/>
    </row>
    <row r="25273">
      <c r="D25273" s="39"/>
      <c r="E25273" s="39"/>
      <c r="F25273" s="39"/>
    </row>
    <row r="25274">
      <c r="D25274" s="39"/>
      <c r="E25274" s="39"/>
      <c r="F25274" s="39"/>
    </row>
    <row r="25275">
      <c r="D25275" s="39"/>
      <c r="E25275" s="39"/>
      <c r="F25275" s="39"/>
    </row>
    <row r="25276">
      <c r="D25276" s="39"/>
      <c r="E25276" s="39"/>
      <c r="F25276" s="39"/>
    </row>
    <row r="25277">
      <c r="D25277" s="39"/>
      <c r="E25277" s="39"/>
      <c r="F25277" s="39"/>
    </row>
    <row r="25278">
      <c r="D25278" s="39"/>
      <c r="E25278" s="39"/>
      <c r="F25278" s="39"/>
    </row>
    <row r="25279">
      <c r="D25279" s="39"/>
      <c r="E25279" s="39"/>
      <c r="F25279" s="39"/>
    </row>
    <row r="25280">
      <c r="D25280" s="39"/>
      <c r="E25280" s="39"/>
      <c r="F25280" s="39"/>
    </row>
    <row r="25281">
      <c r="D25281" s="39"/>
      <c r="E25281" s="39"/>
      <c r="F25281" s="39"/>
    </row>
    <row r="25282">
      <c r="D25282" s="39"/>
      <c r="E25282" s="39"/>
      <c r="F25282" s="39"/>
    </row>
    <row r="25283">
      <c r="D25283" s="39"/>
      <c r="E25283" s="39"/>
      <c r="F25283" s="39"/>
    </row>
    <row r="25284">
      <c r="D25284" s="39"/>
      <c r="E25284" s="39"/>
      <c r="F25284" s="39"/>
    </row>
    <row r="25285">
      <c r="D25285" s="39"/>
      <c r="E25285" s="39"/>
      <c r="F25285" s="39"/>
    </row>
    <row r="25286">
      <c r="D25286" s="39"/>
      <c r="E25286" s="39"/>
      <c r="F25286" s="39"/>
    </row>
    <row r="25287">
      <c r="D25287" s="39"/>
      <c r="E25287" s="39"/>
      <c r="F25287" s="39"/>
    </row>
    <row r="25288">
      <c r="D25288" s="39"/>
      <c r="E25288" s="39"/>
      <c r="F25288" s="39"/>
    </row>
    <row r="25289">
      <c r="D25289" s="39"/>
      <c r="E25289" s="39"/>
      <c r="F25289" s="39"/>
    </row>
    <row r="25290">
      <c r="D25290" s="39"/>
      <c r="E25290" s="39"/>
      <c r="F25290" s="39"/>
    </row>
    <row r="25291">
      <c r="D25291" s="39"/>
      <c r="E25291" s="39"/>
      <c r="F25291" s="39"/>
    </row>
    <row r="25292">
      <c r="D25292" s="39"/>
      <c r="E25292" s="39"/>
      <c r="F25292" s="39"/>
    </row>
    <row r="25293">
      <c r="D25293" s="39"/>
      <c r="E25293" s="39"/>
      <c r="F25293" s="39"/>
    </row>
    <row r="25294">
      <c r="D25294" s="39"/>
      <c r="E25294" s="39"/>
      <c r="F25294" s="39"/>
    </row>
    <row r="25295">
      <c r="D25295" s="39"/>
      <c r="E25295" s="39"/>
      <c r="F25295" s="39"/>
    </row>
    <row r="25296">
      <c r="D25296" s="39"/>
      <c r="E25296" s="39"/>
      <c r="F25296" s="39"/>
    </row>
    <row r="25297">
      <c r="D25297" s="39"/>
      <c r="E25297" s="39"/>
      <c r="F25297" s="39"/>
    </row>
    <row r="25298">
      <c r="D25298" s="39"/>
      <c r="E25298" s="39"/>
      <c r="F25298" s="39"/>
    </row>
    <row r="25299">
      <c r="D25299" s="39"/>
      <c r="E25299" s="39"/>
      <c r="F25299" s="39"/>
    </row>
    <row r="25300">
      <c r="D25300" s="39"/>
      <c r="E25300" s="39"/>
      <c r="F25300" s="39"/>
    </row>
    <row r="25301">
      <c r="D25301" s="39"/>
      <c r="E25301" s="39"/>
      <c r="F25301" s="39"/>
    </row>
    <row r="25302">
      <c r="D25302" s="39"/>
      <c r="E25302" s="39"/>
      <c r="F25302" s="39"/>
    </row>
    <row r="25303">
      <c r="D25303" s="39"/>
      <c r="E25303" s="39"/>
      <c r="F25303" s="39"/>
    </row>
    <row r="25304">
      <c r="D25304" s="39"/>
      <c r="E25304" s="39"/>
      <c r="F25304" s="39"/>
    </row>
    <row r="25305">
      <c r="D25305" s="39"/>
      <c r="E25305" s="39"/>
      <c r="F25305" s="39"/>
    </row>
    <row r="25306">
      <c r="D25306" s="39"/>
      <c r="E25306" s="39"/>
      <c r="F25306" s="39"/>
    </row>
    <row r="25307">
      <c r="D25307" s="39"/>
      <c r="E25307" s="39"/>
      <c r="F25307" s="39"/>
    </row>
    <row r="25308">
      <c r="D25308" s="39"/>
      <c r="E25308" s="39"/>
      <c r="F25308" s="39"/>
    </row>
    <row r="25309">
      <c r="D25309" s="39"/>
      <c r="E25309" s="39"/>
      <c r="F25309" s="39"/>
    </row>
    <row r="25310">
      <c r="D25310" s="39"/>
      <c r="E25310" s="39"/>
      <c r="F25310" s="39"/>
    </row>
    <row r="25311">
      <c r="D25311" s="39"/>
      <c r="E25311" s="39"/>
      <c r="F25311" s="39"/>
    </row>
    <row r="25312">
      <c r="D25312" s="39"/>
      <c r="E25312" s="39"/>
      <c r="F25312" s="39"/>
    </row>
    <row r="25313">
      <c r="D25313" s="39"/>
      <c r="E25313" s="39"/>
      <c r="F25313" s="39"/>
    </row>
    <row r="25314">
      <c r="D25314" s="39"/>
      <c r="E25314" s="39"/>
      <c r="F25314" s="39"/>
    </row>
    <row r="25315">
      <c r="D25315" s="39"/>
      <c r="E25315" s="39"/>
      <c r="F25315" s="39"/>
    </row>
    <row r="25316">
      <c r="D25316" s="39"/>
      <c r="E25316" s="39"/>
      <c r="F25316" s="39"/>
    </row>
    <row r="25317">
      <c r="D25317" s="39"/>
      <c r="E25317" s="39"/>
      <c r="F25317" s="39"/>
    </row>
    <row r="25318">
      <c r="D25318" s="39"/>
      <c r="E25318" s="39"/>
      <c r="F25318" s="39"/>
    </row>
    <row r="25319">
      <c r="D25319" s="39"/>
      <c r="E25319" s="39"/>
      <c r="F25319" s="39"/>
    </row>
    <row r="25320">
      <c r="D25320" s="39"/>
      <c r="E25320" s="39"/>
      <c r="F25320" s="39"/>
    </row>
    <row r="25321">
      <c r="D25321" s="39"/>
      <c r="E25321" s="39"/>
      <c r="F25321" s="39"/>
    </row>
    <row r="25322">
      <c r="D25322" s="39"/>
      <c r="E25322" s="39"/>
      <c r="F25322" s="39"/>
    </row>
    <row r="25323">
      <c r="D25323" s="39"/>
      <c r="E25323" s="39"/>
      <c r="F25323" s="39"/>
    </row>
    <row r="25324">
      <c r="D25324" s="39"/>
      <c r="E25324" s="39"/>
      <c r="F25324" s="39"/>
    </row>
    <row r="25325">
      <c r="D25325" s="39"/>
      <c r="E25325" s="39"/>
      <c r="F25325" s="39"/>
    </row>
    <row r="25326">
      <c r="D25326" s="39"/>
      <c r="E25326" s="39"/>
      <c r="F25326" s="39"/>
    </row>
    <row r="25327">
      <c r="D25327" s="39"/>
      <c r="E25327" s="39"/>
      <c r="F25327" s="39"/>
    </row>
    <row r="25328">
      <c r="D25328" s="39"/>
      <c r="E25328" s="39"/>
      <c r="F25328" s="39"/>
    </row>
    <row r="25329">
      <c r="D25329" s="39"/>
      <c r="E25329" s="39"/>
      <c r="F25329" s="39"/>
    </row>
    <row r="25330">
      <c r="D25330" s="39"/>
      <c r="E25330" s="39"/>
      <c r="F25330" s="39"/>
    </row>
    <row r="25331">
      <c r="D25331" s="39"/>
      <c r="E25331" s="39"/>
      <c r="F25331" s="39"/>
    </row>
    <row r="25332">
      <c r="D25332" s="39"/>
      <c r="E25332" s="39"/>
      <c r="F25332" s="39"/>
    </row>
    <row r="25333">
      <c r="D25333" s="39"/>
      <c r="E25333" s="39"/>
      <c r="F25333" s="39"/>
    </row>
    <row r="25334">
      <c r="D25334" s="39"/>
      <c r="E25334" s="39"/>
      <c r="F25334" s="39"/>
    </row>
    <row r="25335">
      <c r="D25335" s="39"/>
      <c r="E25335" s="39"/>
      <c r="F25335" s="39"/>
    </row>
    <row r="25336">
      <c r="D25336" s="39"/>
      <c r="E25336" s="39"/>
      <c r="F25336" s="39"/>
    </row>
    <row r="25337">
      <c r="D25337" s="39"/>
      <c r="E25337" s="39"/>
      <c r="F25337" s="39"/>
    </row>
    <row r="25338">
      <c r="D25338" s="39"/>
      <c r="E25338" s="39"/>
      <c r="F25338" s="39"/>
    </row>
    <row r="25339">
      <c r="D25339" s="39"/>
      <c r="E25339" s="39"/>
      <c r="F25339" s="39"/>
    </row>
    <row r="25340">
      <c r="D25340" s="39"/>
      <c r="E25340" s="39"/>
      <c r="F25340" s="39"/>
    </row>
    <row r="25341">
      <c r="D25341" s="39"/>
      <c r="E25341" s="39"/>
      <c r="F25341" s="39"/>
    </row>
    <row r="25342">
      <c r="D25342" s="39"/>
      <c r="E25342" s="39"/>
      <c r="F25342" s="39"/>
    </row>
    <row r="25343">
      <c r="D25343" s="39"/>
      <c r="E25343" s="39"/>
      <c r="F25343" s="39"/>
    </row>
    <row r="25344">
      <c r="D25344" s="39"/>
      <c r="E25344" s="39"/>
      <c r="F25344" s="39"/>
    </row>
    <row r="25345">
      <c r="D25345" s="39"/>
      <c r="E25345" s="39"/>
      <c r="F25345" s="39"/>
    </row>
    <row r="25346">
      <c r="D25346" s="39"/>
      <c r="E25346" s="39"/>
      <c r="F25346" s="39"/>
    </row>
    <row r="25347">
      <c r="D25347" s="39"/>
      <c r="E25347" s="39"/>
      <c r="F25347" s="39"/>
    </row>
    <row r="25348">
      <c r="D25348" s="39"/>
      <c r="E25348" s="39"/>
      <c r="F25348" s="39"/>
    </row>
    <row r="25349">
      <c r="D25349" s="39"/>
      <c r="E25349" s="39"/>
      <c r="F25349" s="39"/>
    </row>
    <row r="25350">
      <c r="D25350" s="39"/>
      <c r="E25350" s="39"/>
      <c r="F25350" s="39"/>
    </row>
    <row r="25351">
      <c r="D25351" s="39"/>
      <c r="E25351" s="39"/>
      <c r="F25351" s="39"/>
    </row>
    <row r="25352">
      <c r="D25352" s="39"/>
      <c r="E25352" s="39"/>
      <c r="F25352" s="39"/>
    </row>
    <row r="25353">
      <c r="D25353" s="39"/>
      <c r="E25353" s="39"/>
      <c r="F25353" s="39"/>
    </row>
    <row r="25354">
      <c r="D25354" s="39"/>
      <c r="E25354" s="39"/>
      <c r="F25354" s="39"/>
    </row>
    <row r="25355">
      <c r="D25355" s="39"/>
      <c r="E25355" s="39"/>
      <c r="F25355" s="39"/>
    </row>
    <row r="25356">
      <c r="D25356" s="39"/>
      <c r="E25356" s="39"/>
      <c r="F25356" s="39"/>
    </row>
    <row r="25357">
      <c r="D25357" s="39"/>
      <c r="E25357" s="39"/>
      <c r="F25357" s="39"/>
    </row>
    <row r="25358">
      <c r="D25358" s="39"/>
      <c r="E25358" s="39"/>
      <c r="F25358" s="39"/>
    </row>
    <row r="25359">
      <c r="D25359" s="39"/>
      <c r="E25359" s="39"/>
      <c r="F25359" s="39"/>
    </row>
    <row r="25360">
      <c r="D25360" s="39"/>
      <c r="E25360" s="39"/>
      <c r="F25360" s="39"/>
    </row>
    <row r="25361">
      <c r="D25361" s="39"/>
      <c r="E25361" s="39"/>
      <c r="F25361" s="39"/>
    </row>
    <row r="25362">
      <c r="D25362" s="39"/>
      <c r="E25362" s="39"/>
      <c r="F25362" s="39"/>
    </row>
    <row r="25363">
      <c r="D25363" s="39"/>
      <c r="E25363" s="39"/>
      <c r="F25363" s="39"/>
    </row>
    <row r="25364">
      <c r="D25364" s="39"/>
      <c r="E25364" s="39"/>
      <c r="F25364" s="39"/>
    </row>
    <row r="25365">
      <c r="D25365" s="39"/>
      <c r="E25365" s="39"/>
      <c r="F25365" s="39"/>
    </row>
    <row r="25366">
      <c r="D25366" s="39"/>
      <c r="E25366" s="39"/>
      <c r="F25366" s="39"/>
    </row>
    <row r="25367">
      <c r="D25367" s="39"/>
      <c r="E25367" s="39"/>
      <c r="F25367" s="39"/>
    </row>
    <row r="25368">
      <c r="D25368" s="39"/>
      <c r="E25368" s="39"/>
      <c r="F25368" s="39"/>
    </row>
    <row r="25369">
      <c r="D25369" s="39"/>
      <c r="E25369" s="39"/>
      <c r="F25369" s="39"/>
    </row>
    <row r="25370">
      <c r="D25370" s="39"/>
      <c r="E25370" s="39"/>
      <c r="F25370" s="39"/>
    </row>
    <row r="25371">
      <c r="D25371" s="39"/>
      <c r="E25371" s="39"/>
      <c r="F25371" s="39"/>
    </row>
    <row r="25372">
      <c r="D25372" s="39"/>
      <c r="E25372" s="39"/>
      <c r="F25372" s="39"/>
    </row>
    <row r="25373">
      <c r="D25373" s="39"/>
      <c r="E25373" s="39"/>
      <c r="F25373" s="39"/>
    </row>
    <row r="25374">
      <c r="D25374" s="39"/>
      <c r="E25374" s="39"/>
      <c r="F25374" s="39"/>
    </row>
    <row r="25375">
      <c r="D25375" s="39"/>
      <c r="E25375" s="39"/>
      <c r="F25375" s="39"/>
    </row>
    <row r="25376">
      <c r="D25376" s="39"/>
      <c r="E25376" s="39"/>
      <c r="F25376" s="39"/>
    </row>
    <row r="25377">
      <c r="D25377" s="39"/>
      <c r="E25377" s="39"/>
      <c r="F25377" s="39"/>
    </row>
    <row r="25378">
      <c r="D25378" s="39"/>
      <c r="E25378" s="39"/>
      <c r="F25378" s="39"/>
    </row>
    <row r="25379">
      <c r="D25379" s="39"/>
      <c r="E25379" s="39"/>
      <c r="F25379" s="39"/>
    </row>
    <row r="25380">
      <c r="D25380" s="39"/>
      <c r="E25380" s="39"/>
      <c r="F25380" s="39"/>
    </row>
    <row r="25381">
      <c r="D25381" s="39"/>
      <c r="E25381" s="39"/>
      <c r="F25381" s="39"/>
    </row>
    <row r="25382">
      <c r="D25382" s="39"/>
      <c r="E25382" s="39"/>
      <c r="F25382" s="39"/>
    </row>
    <row r="25383">
      <c r="D25383" s="39"/>
      <c r="E25383" s="39"/>
      <c r="F25383" s="39"/>
    </row>
    <row r="25384">
      <c r="D25384" s="39"/>
      <c r="E25384" s="39"/>
      <c r="F25384" s="39"/>
    </row>
    <row r="25385">
      <c r="D25385" s="39"/>
      <c r="E25385" s="39"/>
      <c r="F25385" s="39"/>
    </row>
    <row r="25386">
      <c r="D25386" s="39"/>
      <c r="E25386" s="39"/>
      <c r="F25386" s="39"/>
    </row>
    <row r="25387">
      <c r="D25387" s="39"/>
      <c r="E25387" s="39"/>
      <c r="F25387" s="39"/>
    </row>
    <row r="25388">
      <c r="D25388" s="39"/>
      <c r="E25388" s="39"/>
      <c r="F25388" s="39"/>
    </row>
    <row r="25389">
      <c r="D25389" s="39"/>
      <c r="E25389" s="39"/>
      <c r="F25389" s="39"/>
    </row>
    <row r="25390">
      <c r="D25390" s="39"/>
      <c r="E25390" s="39"/>
      <c r="F25390" s="39"/>
    </row>
    <row r="25391">
      <c r="D25391" s="39"/>
      <c r="E25391" s="39"/>
      <c r="F25391" s="39"/>
    </row>
    <row r="25392">
      <c r="D25392" s="39"/>
      <c r="E25392" s="39"/>
      <c r="F25392" s="39"/>
    </row>
    <row r="25393">
      <c r="D25393" s="39"/>
      <c r="E25393" s="39"/>
      <c r="F25393" s="39"/>
    </row>
    <row r="25394">
      <c r="D25394" s="39"/>
      <c r="E25394" s="39"/>
      <c r="F25394" s="39"/>
    </row>
    <row r="25395">
      <c r="D25395" s="39"/>
      <c r="E25395" s="39"/>
      <c r="F25395" s="39"/>
    </row>
    <row r="25396">
      <c r="D25396" s="39"/>
      <c r="E25396" s="39"/>
      <c r="F25396" s="39"/>
    </row>
    <row r="25397">
      <c r="D25397" s="39"/>
      <c r="E25397" s="39"/>
      <c r="F25397" s="39"/>
    </row>
    <row r="25398">
      <c r="D25398" s="39"/>
      <c r="E25398" s="39"/>
      <c r="F25398" s="39"/>
    </row>
    <row r="25399">
      <c r="D25399" s="39"/>
      <c r="E25399" s="39"/>
      <c r="F25399" s="39"/>
    </row>
    <row r="25400">
      <c r="D25400" s="39"/>
      <c r="E25400" s="39"/>
      <c r="F25400" s="39"/>
    </row>
    <row r="25401">
      <c r="D25401" s="39"/>
      <c r="E25401" s="39"/>
      <c r="F25401" s="39"/>
    </row>
    <row r="25402">
      <c r="D25402" s="39"/>
      <c r="E25402" s="39"/>
      <c r="F25402" s="39"/>
    </row>
    <row r="25403">
      <c r="D25403" s="39"/>
      <c r="E25403" s="39"/>
      <c r="F25403" s="39"/>
    </row>
    <row r="25404">
      <c r="D25404" s="39"/>
      <c r="E25404" s="39"/>
      <c r="F25404" s="39"/>
    </row>
    <row r="25405">
      <c r="D25405" s="39"/>
      <c r="E25405" s="39"/>
      <c r="F25405" s="39"/>
    </row>
    <row r="25406">
      <c r="D25406" s="39"/>
      <c r="E25406" s="39"/>
      <c r="F25406" s="39"/>
    </row>
    <row r="25407">
      <c r="D25407" s="39"/>
      <c r="E25407" s="39"/>
      <c r="F25407" s="39"/>
    </row>
    <row r="25408">
      <c r="D25408" s="39"/>
      <c r="E25408" s="39"/>
      <c r="F25408" s="39"/>
    </row>
    <row r="25409">
      <c r="D25409" s="39"/>
      <c r="E25409" s="39"/>
      <c r="F25409" s="39"/>
    </row>
    <row r="25410">
      <c r="D25410" s="39"/>
      <c r="E25410" s="39"/>
      <c r="F25410" s="39"/>
    </row>
    <row r="25411">
      <c r="D25411" s="39"/>
      <c r="E25411" s="39"/>
      <c r="F25411" s="39"/>
    </row>
    <row r="25412">
      <c r="D25412" s="39"/>
      <c r="E25412" s="39"/>
      <c r="F25412" s="39"/>
    </row>
    <row r="25413">
      <c r="D25413" s="39"/>
      <c r="E25413" s="39"/>
      <c r="F25413" s="39"/>
    </row>
    <row r="25414">
      <c r="D25414" s="39"/>
      <c r="E25414" s="39"/>
      <c r="F25414" s="39"/>
    </row>
    <row r="25415">
      <c r="D25415" s="39"/>
      <c r="E25415" s="39"/>
      <c r="F25415" s="39"/>
    </row>
    <row r="25416">
      <c r="D25416" s="39"/>
      <c r="E25416" s="39"/>
      <c r="F25416" s="39"/>
    </row>
    <row r="25417">
      <c r="D25417" s="39"/>
      <c r="E25417" s="39"/>
      <c r="F25417" s="39"/>
    </row>
    <row r="25418">
      <c r="D25418" s="39"/>
      <c r="E25418" s="39"/>
      <c r="F25418" s="39"/>
    </row>
    <row r="25419">
      <c r="D25419" s="39"/>
      <c r="E25419" s="39"/>
      <c r="F25419" s="39"/>
    </row>
    <row r="25420">
      <c r="D25420" s="39"/>
      <c r="E25420" s="39"/>
      <c r="F25420" s="39"/>
    </row>
    <row r="25421">
      <c r="D25421" s="39"/>
      <c r="E25421" s="39"/>
      <c r="F25421" s="39"/>
    </row>
    <row r="25422">
      <c r="D25422" s="39"/>
      <c r="E25422" s="39"/>
      <c r="F25422" s="39"/>
    </row>
    <row r="25423">
      <c r="D25423" s="39"/>
      <c r="E25423" s="39"/>
      <c r="F25423" s="39"/>
    </row>
    <row r="25424">
      <c r="D25424" s="39"/>
      <c r="E25424" s="39"/>
      <c r="F25424" s="39"/>
    </row>
    <row r="25425">
      <c r="D25425" s="39"/>
      <c r="E25425" s="39"/>
      <c r="F25425" s="39"/>
    </row>
    <row r="25426">
      <c r="D25426" s="39"/>
      <c r="E25426" s="39"/>
      <c r="F25426" s="39"/>
    </row>
    <row r="25427">
      <c r="D25427" s="39"/>
      <c r="E25427" s="39"/>
      <c r="F25427" s="39"/>
    </row>
    <row r="25428">
      <c r="D25428" s="39"/>
      <c r="E25428" s="39"/>
      <c r="F25428" s="39"/>
    </row>
    <row r="25429">
      <c r="D25429" s="39"/>
      <c r="E25429" s="39"/>
      <c r="F25429" s="39"/>
    </row>
    <row r="25430">
      <c r="D25430" s="39"/>
      <c r="E25430" s="39"/>
      <c r="F25430" s="39"/>
    </row>
    <row r="25431">
      <c r="D25431" s="39"/>
      <c r="E25431" s="39"/>
      <c r="F25431" s="39"/>
    </row>
    <row r="25432">
      <c r="D25432" s="39"/>
      <c r="E25432" s="39"/>
      <c r="F25432" s="39"/>
    </row>
    <row r="25433">
      <c r="D25433" s="39"/>
      <c r="E25433" s="39"/>
      <c r="F25433" s="39"/>
    </row>
    <row r="25434">
      <c r="D25434" s="39"/>
      <c r="E25434" s="39"/>
      <c r="F25434" s="39"/>
    </row>
    <row r="25435">
      <c r="D25435" s="39"/>
      <c r="E25435" s="39"/>
      <c r="F25435" s="39"/>
    </row>
    <row r="25436">
      <c r="D25436" s="39"/>
      <c r="E25436" s="39"/>
      <c r="F25436" s="39"/>
    </row>
    <row r="25437">
      <c r="D25437" s="39"/>
      <c r="E25437" s="39"/>
      <c r="F25437" s="39"/>
    </row>
    <row r="25438">
      <c r="D25438" s="39"/>
      <c r="E25438" s="39"/>
      <c r="F25438" s="39"/>
    </row>
    <row r="25439">
      <c r="D25439" s="39"/>
      <c r="E25439" s="39"/>
      <c r="F25439" s="39"/>
    </row>
    <row r="25440">
      <c r="D25440" s="39"/>
      <c r="E25440" s="39"/>
      <c r="F25440" s="39"/>
    </row>
    <row r="25441">
      <c r="D25441" s="39"/>
      <c r="E25441" s="39"/>
      <c r="F25441" s="39"/>
    </row>
    <row r="25442">
      <c r="D25442" s="39"/>
      <c r="E25442" s="39"/>
      <c r="F25442" s="39"/>
    </row>
    <row r="25443">
      <c r="D25443" s="39"/>
      <c r="E25443" s="39"/>
      <c r="F25443" s="39"/>
    </row>
    <row r="25444">
      <c r="D25444" s="39"/>
      <c r="E25444" s="39"/>
      <c r="F25444" s="39"/>
    </row>
    <row r="25445">
      <c r="D25445" s="39"/>
      <c r="E25445" s="39"/>
      <c r="F25445" s="39"/>
    </row>
    <row r="25446">
      <c r="D25446" s="39"/>
      <c r="E25446" s="39"/>
      <c r="F25446" s="39"/>
    </row>
    <row r="25447">
      <c r="D25447" s="39"/>
      <c r="E25447" s="39"/>
      <c r="F25447" s="39"/>
    </row>
    <row r="25448">
      <c r="D25448" s="39"/>
      <c r="E25448" s="39"/>
      <c r="F25448" s="39"/>
    </row>
    <row r="25449">
      <c r="D25449" s="39"/>
      <c r="E25449" s="39"/>
      <c r="F25449" s="39"/>
    </row>
    <row r="25450">
      <c r="D25450" s="39"/>
      <c r="E25450" s="39"/>
      <c r="F25450" s="39"/>
    </row>
    <row r="25451">
      <c r="D25451" s="39"/>
      <c r="E25451" s="39"/>
      <c r="F25451" s="39"/>
    </row>
    <row r="25452">
      <c r="D25452" s="39"/>
      <c r="E25452" s="39"/>
      <c r="F25452" s="39"/>
    </row>
    <row r="25453">
      <c r="D25453" s="39"/>
      <c r="E25453" s="39"/>
      <c r="F25453" s="39"/>
    </row>
    <row r="25454">
      <c r="D25454" s="39"/>
      <c r="E25454" s="39"/>
      <c r="F25454" s="39"/>
    </row>
    <row r="25455">
      <c r="D25455" s="39"/>
      <c r="E25455" s="39"/>
      <c r="F25455" s="39"/>
    </row>
    <row r="25456">
      <c r="D25456" s="39"/>
      <c r="E25456" s="39"/>
      <c r="F25456" s="39"/>
    </row>
    <row r="25457">
      <c r="D25457" s="39"/>
      <c r="E25457" s="39"/>
      <c r="F25457" s="39"/>
    </row>
    <row r="25458">
      <c r="D25458" s="39"/>
      <c r="E25458" s="39"/>
      <c r="F25458" s="39"/>
    </row>
    <row r="25459">
      <c r="D25459" s="39"/>
      <c r="E25459" s="39"/>
      <c r="F25459" s="39"/>
    </row>
    <row r="25460">
      <c r="D25460" s="39"/>
      <c r="E25460" s="39"/>
      <c r="F25460" s="39"/>
    </row>
    <row r="25461">
      <c r="D25461" s="39"/>
      <c r="E25461" s="39"/>
      <c r="F25461" s="39"/>
    </row>
    <row r="25462">
      <c r="D25462" s="39"/>
      <c r="E25462" s="39"/>
      <c r="F25462" s="39"/>
    </row>
    <row r="25463">
      <c r="D25463" s="39"/>
      <c r="E25463" s="39"/>
      <c r="F25463" s="39"/>
    </row>
    <row r="25464">
      <c r="D25464" s="39"/>
      <c r="E25464" s="39"/>
      <c r="F25464" s="39"/>
    </row>
    <row r="25465">
      <c r="D25465" s="39"/>
      <c r="E25465" s="39"/>
      <c r="F25465" s="39"/>
    </row>
    <row r="25466">
      <c r="D25466" s="39"/>
      <c r="E25466" s="39"/>
      <c r="F25466" s="39"/>
    </row>
    <row r="25467">
      <c r="D25467" s="39"/>
      <c r="E25467" s="39"/>
      <c r="F25467" s="39"/>
    </row>
    <row r="25468">
      <c r="D25468" s="39"/>
      <c r="E25468" s="39"/>
      <c r="F25468" s="39"/>
    </row>
    <row r="25469">
      <c r="D25469" s="39"/>
      <c r="E25469" s="39"/>
      <c r="F25469" s="39"/>
    </row>
    <row r="25470">
      <c r="D25470" s="39"/>
      <c r="E25470" s="39"/>
      <c r="F25470" s="39"/>
    </row>
    <row r="25471">
      <c r="D25471" s="39"/>
      <c r="E25471" s="39"/>
      <c r="F25471" s="39"/>
    </row>
    <row r="25472">
      <c r="D25472" s="39"/>
      <c r="E25472" s="39"/>
      <c r="F25472" s="39"/>
    </row>
    <row r="25473">
      <c r="D25473" s="39"/>
      <c r="E25473" s="39"/>
      <c r="F25473" s="39"/>
    </row>
    <row r="25474">
      <c r="D25474" s="39"/>
      <c r="E25474" s="39"/>
      <c r="F25474" s="39"/>
    </row>
    <row r="25475">
      <c r="D25475" s="39"/>
      <c r="E25475" s="39"/>
      <c r="F25475" s="39"/>
    </row>
    <row r="25476">
      <c r="D25476" s="39"/>
      <c r="E25476" s="39"/>
      <c r="F25476" s="39"/>
    </row>
    <row r="25477">
      <c r="D25477" s="39"/>
      <c r="E25477" s="39"/>
      <c r="F25477" s="39"/>
    </row>
    <row r="25478">
      <c r="D25478" s="39"/>
      <c r="E25478" s="39"/>
      <c r="F25478" s="39"/>
    </row>
    <row r="25479">
      <c r="D25479" s="39"/>
      <c r="E25479" s="39"/>
      <c r="F25479" s="39"/>
    </row>
    <row r="25480">
      <c r="D25480" s="39"/>
      <c r="E25480" s="39"/>
      <c r="F25480" s="39"/>
    </row>
    <row r="25481">
      <c r="D25481" s="39"/>
      <c r="E25481" s="39"/>
      <c r="F25481" s="39"/>
    </row>
    <row r="25482">
      <c r="D25482" s="39"/>
      <c r="E25482" s="39"/>
      <c r="F25482" s="39"/>
    </row>
    <row r="25483">
      <c r="D25483" s="39"/>
      <c r="E25483" s="39"/>
      <c r="F25483" s="39"/>
    </row>
    <row r="25484">
      <c r="D25484" s="39"/>
      <c r="E25484" s="39"/>
      <c r="F25484" s="39"/>
    </row>
    <row r="25485">
      <c r="D25485" s="39"/>
      <c r="E25485" s="39"/>
      <c r="F25485" s="39"/>
    </row>
    <row r="25486">
      <c r="D25486" s="39"/>
      <c r="E25486" s="39"/>
      <c r="F25486" s="39"/>
    </row>
    <row r="25487">
      <c r="D25487" s="39"/>
      <c r="E25487" s="39"/>
      <c r="F25487" s="39"/>
    </row>
    <row r="25488">
      <c r="D25488" s="39"/>
      <c r="E25488" s="39"/>
      <c r="F25488" s="39"/>
    </row>
    <row r="25489">
      <c r="D25489" s="39"/>
      <c r="E25489" s="39"/>
      <c r="F25489" s="39"/>
    </row>
    <row r="25490">
      <c r="D25490" s="39"/>
      <c r="E25490" s="39"/>
      <c r="F25490" s="39"/>
    </row>
    <row r="25491">
      <c r="D25491" s="39"/>
      <c r="E25491" s="39"/>
      <c r="F25491" s="39"/>
    </row>
    <row r="25492">
      <c r="D25492" s="39"/>
      <c r="E25492" s="39"/>
      <c r="F25492" s="39"/>
    </row>
    <row r="25493">
      <c r="D25493" s="39"/>
      <c r="E25493" s="39"/>
      <c r="F25493" s="39"/>
    </row>
    <row r="25494">
      <c r="D25494" s="39"/>
      <c r="E25494" s="39"/>
      <c r="F25494" s="39"/>
    </row>
    <row r="25495">
      <c r="D25495" s="39"/>
      <c r="E25495" s="39"/>
      <c r="F25495" s="39"/>
    </row>
    <row r="25496">
      <c r="D25496" s="39"/>
      <c r="E25496" s="39"/>
      <c r="F25496" s="39"/>
    </row>
    <row r="25497">
      <c r="D25497" s="39"/>
      <c r="E25497" s="39"/>
      <c r="F25497" s="39"/>
    </row>
    <row r="25498">
      <c r="D25498" s="39"/>
      <c r="E25498" s="39"/>
      <c r="F25498" s="39"/>
    </row>
    <row r="25499">
      <c r="D25499" s="39"/>
      <c r="E25499" s="39"/>
      <c r="F25499" s="39"/>
    </row>
    <row r="25500">
      <c r="D25500" s="39"/>
      <c r="E25500" s="39"/>
      <c r="F25500" s="39"/>
    </row>
    <row r="25501">
      <c r="D25501" s="39"/>
      <c r="E25501" s="39"/>
      <c r="F25501" s="39"/>
    </row>
    <row r="25502">
      <c r="D25502" s="39"/>
      <c r="E25502" s="39"/>
      <c r="F25502" s="39"/>
    </row>
    <row r="25503">
      <c r="D25503" s="39"/>
      <c r="E25503" s="39"/>
      <c r="F25503" s="39"/>
    </row>
    <row r="25504">
      <c r="D25504" s="39"/>
      <c r="E25504" s="39"/>
      <c r="F25504" s="39"/>
    </row>
    <row r="25505">
      <c r="D25505" s="39"/>
      <c r="E25505" s="39"/>
      <c r="F25505" s="39"/>
    </row>
    <row r="25506">
      <c r="D25506" s="39"/>
      <c r="E25506" s="39"/>
      <c r="F25506" s="39"/>
    </row>
    <row r="25507">
      <c r="D25507" s="39"/>
      <c r="E25507" s="39"/>
      <c r="F25507" s="39"/>
    </row>
    <row r="25508">
      <c r="D25508" s="39"/>
      <c r="E25508" s="39"/>
      <c r="F25508" s="39"/>
    </row>
    <row r="25509">
      <c r="D25509" s="39"/>
      <c r="E25509" s="39"/>
      <c r="F25509" s="39"/>
    </row>
    <row r="25510">
      <c r="D25510" s="39"/>
      <c r="E25510" s="39"/>
      <c r="F25510" s="39"/>
    </row>
    <row r="25511">
      <c r="D25511" s="39"/>
      <c r="E25511" s="39"/>
      <c r="F25511" s="39"/>
    </row>
    <row r="25512">
      <c r="D25512" s="39"/>
      <c r="E25512" s="39"/>
      <c r="F25512" s="39"/>
    </row>
    <row r="25513">
      <c r="D25513" s="39"/>
      <c r="E25513" s="39"/>
      <c r="F25513" s="39"/>
    </row>
    <row r="25514">
      <c r="D25514" s="39"/>
      <c r="E25514" s="39"/>
      <c r="F25514" s="39"/>
    </row>
    <row r="25515">
      <c r="D25515" s="39"/>
      <c r="E25515" s="39"/>
      <c r="F25515" s="39"/>
    </row>
    <row r="25516">
      <c r="D25516" s="39"/>
      <c r="E25516" s="39"/>
      <c r="F25516" s="39"/>
    </row>
    <row r="25517">
      <c r="D25517" s="39"/>
      <c r="E25517" s="39"/>
      <c r="F25517" s="39"/>
    </row>
    <row r="25518">
      <c r="D25518" s="39"/>
      <c r="E25518" s="39"/>
      <c r="F25518" s="39"/>
    </row>
    <row r="25519">
      <c r="D25519" s="39"/>
      <c r="E25519" s="39"/>
      <c r="F25519" s="39"/>
    </row>
    <row r="25520">
      <c r="D25520" s="39"/>
      <c r="E25520" s="39"/>
      <c r="F25520" s="39"/>
    </row>
    <row r="25521">
      <c r="D25521" s="39"/>
      <c r="E25521" s="39"/>
      <c r="F25521" s="39"/>
    </row>
    <row r="25522">
      <c r="D25522" s="39"/>
      <c r="E25522" s="39"/>
      <c r="F25522" s="39"/>
    </row>
    <row r="25523">
      <c r="D25523" s="39"/>
      <c r="E25523" s="39"/>
      <c r="F25523" s="39"/>
    </row>
    <row r="25524">
      <c r="D25524" s="39"/>
      <c r="E25524" s="39"/>
      <c r="F25524" s="39"/>
    </row>
    <row r="25525">
      <c r="D25525" s="39"/>
      <c r="E25525" s="39"/>
      <c r="F25525" s="39"/>
    </row>
    <row r="25526">
      <c r="D25526" s="39"/>
      <c r="E25526" s="39"/>
      <c r="F25526" s="39"/>
    </row>
    <row r="25527">
      <c r="D25527" s="39"/>
      <c r="E25527" s="39"/>
      <c r="F25527" s="39"/>
    </row>
    <row r="25528">
      <c r="D25528" s="39"/>
      <c r="E25528" s="39"/>
      <c r="F25528" s="39"/>
    </row>
    <row r="25529">
      <c r="D25529" s="39"/>
      <c r="E25529" s="39"/>
      <c r="F25529" s="39"/>
    </row>
    <row r="25530">
      <c r="D25530" s="39"/>
      <c r="E25530" s="39"/>
      <c r="F25530" s="39"/>
    </row>
    <row r="25531">
      <c r="D25531" s="39"/>
      <c r="E25531" s="39"/>
      <c r="F25531" s="39"/>
    </row>
    <row r="25532">
      <c r="D25532" s="39"/>
      <c r="E25532" s="39"/>
      <c r="F25532" s="39"/>
    </row>
    <row r="25533">
      <c r="D25533" s="39"/>
      <c r="E25533" s="39"/>
      <c r="F25533" s="39"/>
    </row>
    <row r="25534">
      <c r="D25534" s="39"/>
      <c r="E25534" s="39"/>
      <c r="F25534" s="39"/>
    </row>
    <row r="25535">
      <c r="D25535" s="39"/>
      <c r="E25535" s="39"/>
      <c r="F25535" s="39"/>
    </row>
    <row r="25536">
      <c r="D25536" s="39"/>
      <c r="E25536" s="39"/>
      <c r="F25536" s="39"/>
    </row>
    <row r="25537">
      <c r="D25537" s="39"/>
      <c r="E25537" s="39"/>
      <c r="F25537" s="39"/>
    </row>
    <row r="25538">
      <c r="D25538" s="39"/>
      <c r="E25538" s="39"/>
      <c r="F25538" s="39"/>
    </row>
    <row r="25539">
      <c r="D25539" s="39"/>
      <c r="E25539" s="39"/>
      <c r="F25539" s="39"/>
    </row>
    <row r="25540">
      <c r="D25540" s="39"/>
      <c r="E25540" s="39"/>
      <c r="F25540" s="39"/>
    </row>
    <row r="25541">
      <c r="D25541" s="39"/>
      <c r="E25541" s="39"/>
      <c r="F25541" s="39"/>
    </row>
    <row r="25542">
      <c r="D25542" s="39"/>
      <c r="E25542" s="39"/>
      <c r="F25542" s="39"/>
    </row>
    <row r="25543">
      <c r="D25543" s="39"/>
      <c r="E25543" s="39"/>
      <c r="F25543" s="39"/>
    </row>
    <row r="25544">
      <c r="D25544" s="39"/>
      <c r="E25544" s="39"/>
      <c r="F25544" s="39"/>
    </row>
    <row r="25545">
      <c r="D25545" s="39"/>
      <c r="E25545" s="39"/>
      <c r="F25545" s="39"/>
    </row>
    <row r="25546">
      <c r="D25546" s="39"/>
      <c r="E25546" s="39"/>
      <c r="F25546" s="39"/>
    </row>
    <row r="25547">
      <c r="D25547" s="39"/>
      <c r="E25547" s="39"/>
      <c r="F25547" s="39"/>
    </row>
    <row r="25548">
      <c r="D25548" s="39"/>
      <c r="E25548" s="39"/>
      <c r="F25548" s="39"/>
    </row>
    <row r="25549">
      <c r="D25549" s="39"/>
      <c r="E25549" s="39"/>
      <c r="F25549" s="39"/>
    </row>
    <row r="25550">
      <c r="D25550" s="39"/>
      <c r="E25550" s="39"/>
      <c r="F25550" s="39"/>
    </row>
    <row r="25551">
      <c r="D25551" s="39"/>
      <c r="E25551" s="39"/>
      <c r="F25551" s="39"/>
    </row>
    <row r="25552">
      <c r="D25552" s="39"/>
      <c r="E25552" s="39"/>
      <c r="F25552" s="39"/>
    </row>
    <row r="25553">
      <c r="D25553" s="39"/>
      <c r="E25553" s="39"/>
      <c r="F25553" s="39"/>
    </row>
    <row r="25554">
      <c r="D25554" s="39"/>
      <c r="E25554" s="39"/>
      <c r="F25554" s="39"/>
    </row>
    <row r="25555">
      <c r="D25555" s="39"/>
      <c r="E25555" s="39"/>
      <c r="F25555" s="39"/>
    </row>
    <row r="25556">
      <c r="D25556" s="39"/>
      <c r="E25556" s="39"/>
      <c r="F25556" s="39"/>
    </row>
    <row r="25557">
      <c r="D25557" s="39"/>
      <c r="E25557" s="39"/>
      <c r="F25557" s="39"/>
    </row>
    <row r="25558">
      <c r="D25558" s="39"/>
      <c r="E25558" s="39"/>
      <c r="F25558" s="39"/>
    </row>
    <row r="25559">
      <c r="D25559" s="39"/>
      <c r="E25559" s="39"/>
      <c r="F25559" s="39"/>
    </row>
    <row r="25560">
      <c r="D25560" s="39"/>
      <c r="E25560" s="39"/>
      <c r="F25560" s="39"/>
    </row>
    <row r="25561">
      <c r="D25561" s="39"/>
      <c r="E25561" s="39"/>
      <c r="F25561" s="39"/>
    </row>
    <row r="25562">
      <c r="D25562" s="39"/>
      <c r="E25562" s="39"/>
      <c r="F25562" s="39"/>
    </row>
    <row r="25563">
      <c r="D25563" s="39"/>
      <c r="E25563" s="39"/>
      <c r="F25563" s="39"/>
    </row>
    <row r="25564">
      <c r="D25564" s="39"/>
      <c r="E25564" s="39"/>
      <c r="F25564" s="39"/>
    </row>
    <row r="25565">
      <c r="D25565" s="39"/>
      <c r="E25565" s="39"/>
      <c r="F25565" s="39"/>
    </row>
    <row r="25566">
      <c r="D25566" s="39"/>
      <c r="E25566" s="39"/>
      <c r="F25566" s="39"/>
    </row>
    <row r="25567">
      <c r="D25567" s="39"/>
      <c r="E25567" s="39"/>
      <c r="F25567" s="39"/>
    </row>
    <row r="25568">
      <c r="D25568" s="39"/>
      <c r="E25568" s="39"/>
      <c r="F25568" s="39"/>
    </row>
    <row r="25569">
      <c r="D25569" s="39"/>
      <c r="E25569" s="39"/>
      <c r="F25569" s="39"/>
    </row>
    <row r="25570">
      <c r="D25570" s="39"/>
      <c r="E25570" s="39"/>
      <c r="F25570" s="39"/>
    </row>
    <row r="25571">
      <c r="D25571" s="39"/>
      <c r="E25571" s="39"/>
      <c r="F25571" s="39"/>
    </row>
    <row r="25572">
      <c r="D25572" s="39"/>
      <c r="E25572" s="39"/>
      <c r="F25572" s="39"/>
    </row>
    <row r="25573">
      <c r="D25573" s="39"/>
      <c r="E25573" s="39"/>
      <c r="F25573" s="39"/>
    </row>
    <row r="25574">
      <c r="D25574" s="39"/>
      <c r="E25574" s="39"/>
      <c r="F25574" s="39"/>
    </row>
    <row r="25575">
      <c r="D25575" s="39"/>
      <c r="E25575" s="39"/>
      <c r="F25575" s="39"/>
    </row>
    <row r="25576">
      <c r="D25576" s="39"/>
      <c r="E25576" s="39"/>
      <c r="F25576" s="39"/>
    </row>
    <row r="25577">
      <c r="D25577" s="39"/>
      <c r="E25577" s="39"/>
      <c r="F25577" s="39"/>
    </row>
    <row r="25578">
      <c r="D25578" s="39"/>
      <c r="E25578" s="39"/>
      <c r="F25578" s="39"/>
    </row>
    <row r="25579">
      <c r="D25579" s="39"/>
      <c r="E25579" s="39"/>
      <c r="F25579" s="39"/>
    </row>
    <row r="25580">
      <c r="D25580" s="39"/>
      <c r="E25580" s="39"/>
      <c r="F25580" s="39"/>
    </row>
    <row r="25581">
      <c r="D25581" s="39"/>
      <c r="E25581" s="39"/>
      <c r="F25581" s="39"/>
    </row>
    <row r="25582">
      <c r="D25582" s="39"/>
      <c r="E25582" s="39"/>
      <c r="F25582" s="39"/>
    </row>
    <row r="25583">
      <c r="D25583" s="39"/>
      <c r="E25583" s="39"/>
      <c r="F25583" s="39"/>
    </row>
    <row r="25584">
      <c r="D25584" s="39"/>
      <c r="E25584" s="39"/>
      <c r="F25584" s="39"/>
    </row>
    <row r="25585">
      <c r="D25585" s="39"/>
      <c r="E25585" s="39"/>
      <c r="F25585" s="39"/>
    </row>
    <row r="25586">
      <c r="D25586" s="39"/>
      <c r="E25586" s="39"/>
      <c r="F25586" s="39"/>
    </row>
    <row r="25587">
      <c r="D25587" s="39"/>
      <c r="E25587" s="39"/>
      <c r="F25587" s="39"/>
    </row>
    <row r="25588">
      <c r="D25588" s="39"/>
      <c r="E25588" s="39"/>
      <c r="F25588" s="39"/>
    </row>
    <row r="25589">
      <c r="D25589" s="39"/>
      <c r="E25589" s="39"/>
      <c r="F25589" s="39"/>
    </row>
    <row r="25590">
      <c r="D25590" s="39"/>
      <c r="E25590" s="39"/>
      <c r="F25590" s="39"/>
    </row>
    <row r="25591">
      <c r="D25591" s="39"/>
      <c r="E25591" s="39"/>
      <c r="F25591" s="39"/>
    </row>
    <row r="25592">
      <c r="D25592" s="39"/>
      <c r="E25592" s="39"/>
      <c r="F25592" s="39"/>
    </row>
    <row r="25593">
      <c r="D25593" s="39"/>
      <c r="E25593" s="39"/>
      <c r="F25593" s="39"/>
    </row>
    <row r="25594">
      <c r="D25594" s="39"/>
      <c r="E25594" s="39"/>
      <c r="F25594" s="39"/>
    </row>
    <row r="25595">
      <c r="D25595" s="39"/>
      <c r="E25595" s="39"/>
      <c r="F25595" s="39"/>
    </row>
    <row r="25596">
      <c r="D25596" s="39"/>
      <c r="E25596" s="39"/>
      <c r="F25596" s="39"/>
    </row>
    <row r="25597">
      <c r="D25597" s="39"/>
      <c r="E25597" s="39"/>
      <c r="F25597" s="39"/>
    </row>
    <row r="25598">
      <c r="D25598" s="39"/>
      <c r="E25598" s="39"/>
      <c r="F25598" s="39"/>
    </row>
    <row r="25599">
      <c r="D25599" s="39"/>
      <c r="E25599" s="39"/>
      <c r="F25599" s="39"/>
    </row>
    <row r="25600">
      <c r="D25600" s="39"/>
      <c r="E25600" s="39"/>
      <c r="F25600" s="39"/>
    </row>
    <row r="25601">
      <c r="D25601" s="39"/>
      <c r="E25601" s="39"/>
      <c r="F25601" s="39"/>
    </row>
    <row r="25602">
      <c r="D25602" s="39"/>
      <c r="E25602" s="39"/>
      <c r="F25602" s="39"/>
    </row>
    <row r="25603">
      <c r="D25603" s="39"/>
      <c r="E25603" s="39"/>
      <c r="F25603" s="39"/>
    </row>
    <row r="25604">
      <c r="D25604" s="39"/>
      <c r="E25604" s="39"/>
      <c r="F25604" s="39"/>
    </row>
    <row r="25605">
      <c r="D25605" s="39"/>
      <c r="E25605" s="39"/>
      <c r="F25605" s="39"/>
    </row>
    <row r="25606">
      <c r="D25606" s="39"/>
      <c r="E25606" s="39"/>
      <c r="F25606" s="39"/>
    </row>
    <row r="25607">
      <c r="D25607" s="39"/>
      <c r="E25607" s="39"/>
      <c r="F25607" s="39"/>
    </row>
    <row r="25608">
      <c r="D25608" s="39"/>
      <c r="E25608" s="39"/>
      <c r="F25608" s="39"/>
    </row>
    <row r="25609">
      <c r="D25609" s="39"/>
      <c r="E25609" s="39"/>
      <c r="F25609" s="39"/>
    </row>
    <row r="25610">
      <c r="D25610" s="39"/>
      <c r="E25610" s="39"/>
      <c r="F25610" s="39"/>
    </row>
    <row r="25611">
      <c r="D25611" s="39"/>
      <c r="E25611" s="39"/>
      <c r="F25611" s="39"/>
    </row>
    <row r="25612">
      <c r="D25612" s="39"/>
      <c r="E25612" s="39"/>
      <c r="F25612" s="39"/>
    </row>
    <row r="25613">
      <c r="D25613" s="39"/>
      <c r="E25613" s="39"/>
      <c r="F25613" s="39"/>
    </row>
    <row r="25614">
      <c r="D25614" s="39"/>
      <c r="E25614" s="39"/>
      <c r="F25614" s="39"/>
    </row>
    <row r="25615">
      <c r="D25615" s="39"/>
      <c r="E25615" s="39"/>
      <c r="F25615" s="39"/>
    </row>
    <row r="25616">
      <c r="D25616" s="39"/>
      <c r="E25616" s="39"/>
      <c r="F25616" s="39"/>
    </row>
    <row r="25617">
      <c r="D25617" s="39"/>
      <c r="E25617" s="39"/>
      <c r="F25617" s="39"/>
    </row>
    <row r="25618">
      <c r="D25618" s="39"/>
      <c r="E25618" s="39"/>
      <c r="F25618" s="39"/>
    </row>
    <row r="25619">
      <c r="D25619" s="39"/>
      <c r="E25619" s="39"/>
      <c r="F25619" s="39"/>
    </row>
    <row r="25620">
      <c r="D25620" s="39"/>
      <c r="E25620" s="39"/>
      <c r="F25620" s="39"/>
    </row>
    <row r="25621">
      <c r="D25621" s="39"/>
      <c r="E25621" s="39"/>
      <c r="F25621" s="39"/>
    </row>
    <row r="25622">
      <c r="D25622" s="39"/>
      <c r="E25622" s="39"/>
      <c r="F25622" s="39"/>
    </row>
    <row r="25623">
      <c r="D25623" s="39"/>
      <c r="E25623" s="39"/>
      <c r="F25623" s="39"/>
    </row>
    <row r="25624">
      <c r="D25624" s="39"/>
      <c r="E25624" s="39"/>
      <c r="F25624" s="39"/>
    </row>
    <row r="25625">
      <c r="D25625" s="39"/>
      <c r="E25625" s="39"/>
      <c r="F25625" s="39"/>
    </row>
    <row r="25626">
      <c r="D25626" s="39"/>
      <c r="E25626" s="39"/>
      <c r="F25626" s="39"/>
    </row>
    <row r="25627">
      <c r="D25627" s="39"/>
      <c r="E25627" s="39"/>
      <c r="F25627" s="39"/>
    </row>
    <row r="25628">
      <c r="D25628" s="39"/>
      <c r="E25628" s="39"/>
      <c r="F25628" s="39"/>
    </row>
    <row r="25629">
      <c r="D25629" s="39"/>
      <c r="E25629" s="39"/>
      <c r="F25629" s="39"/>
    </row>
    <row r="25630">
      <c r="D25630" s="39"/>
      <c r="E25630" s="39"/>
      <c r="F25630" s="39"/>
    </row>
    <row r="25631">
      <c r="D25631" s="39"/>
      <c r="E25631" s="39"/>
      <c r="F25631" s="39"/>
    </row>
    <row r="25632">
      <c r="D25632" s="39"/>
      <c r="E25632" s="39"/>
      <c r="F25632" s="39"/>
    </row>
    <row r="25633">
      <c r="D25633" s="39"/>
      <c r="E25633" s="39"/>
      <c r="F25633" s="39"/>
    </row>
    <row r="25634">
      <c r="D25634" s="39"/>
      <c r="E25634" s="39"/>
      <c r="F25634" s="39"/>
    </row>
    <row r="25635">
      <c r="D25635" s="39"/>
      <c r="E25635" s="39"/>
      <c r="F25635" s="39"/>
    </row>
    <row r="25636">
      <c r="D25636" s="39"/>
      <c r="E25636" s="39"/>
      <c r="F25636" s="39"/>
    </row>
    <row r="25637">
      <c r="D25637" s="39"/>
      <c r="E25637" s="39"/>
      <c r="F25637" s="39"/>
    </row>
    <row r="25638">
      <c r="D25638" s="39"/>
      <c r="E25638" s="39"/>
      <c r="F25638" s="39"/>
    </row>
    <row r="25639">
      <c r="D25639" s="39"/>
      <c r="E25639" s="39"/>
      <c r="F25639" s="39"/>
    </row>
    <row r="25640">
      <c r="D25640" s="39"/>
      <c r="E25640" s="39"/>
      <c r="F25640" s="39"/>
    </row>
    <row r="25641">
      <c r="D25641" s="39"/>
      <c r="E25641" s="39"/>
      <c r="F25641" s="39"/>
    </row>
    <row r="25642">
      <c r="D25642" s="39"/>
      <c r="E25642" s="39"/>
      <c r="F25642" s="39"/>
    </row>
    <row r="25643">
      <c r="D25643" s="39"/>
      <c r="E25643" s="39"/>
      <c r="F25643" s="39"/>
    </row>
    <row r="25644">
      <c r="D25644" s="39"/>
      <c r="E25644" s="39"/>
      <c r="F25644" s="39"/>
    </row>
    <row r="25645">
      <c r="D25645" s="39"/>
      <c r="E25645" s="39"/>
      <c r="F25645" s="39"/>
    </row>
    <row r="25646">
      <c r="D25646" s="39"/>
      <c r="E25646" s="39"/>
      <c r="F25646" s="39"/>
    </row>
    <row r="25647">
      <c r="D25647" s="39"/>
      <c r="E25647" s="39"/>
      <c r="F25647" s="39"/>
    </row>
    <row r="25648">
      <c r="D25648" s="39"/>
      <c r="E25648" s="39"/>
      <c r="F25648" s="39"/>
    </row>
    <row r="25649">
      <c r="D25649" s="39"/>
      <c r="E25649" s="39"/>
      <c r="F25649" s="39"/>
    </row>
    <row r="25650">
      <c r="D25650" s="39"/>
      <c r="E25650" s="39"/>
      <c r="F25650" s="39"/>
    </row>
    <row r="25651">
      <c r="D25651" s="39"/>
      <c r="E25651" s="39"/>
      <c r="F25651" s="39"/>
    </row>
    <row r="25652">
      <c r="D25652" s="39"/>
      <c r="E25652" s="39"/>
      <c r="F25652" s="39"/>
    </row>
    <row r="25653">
      <c r="D25653" s="39"/>
      <c r="E25653" s="39"/>
      <c r="F25653" s="39"/>
    </row>
    <row r="25654">
      <c r="D25654" s="39"/>
      <c r="E25654" s="39"/>
      <c r="F25654" s="39"/>
    </row>
    <row r="25655">
      <c r="D25655" s="39"/>
      <c r="E25655" s="39"/>
      <c r="F25655" s="39"/>
    </row>
    <row r="25656">
      <c r="D25656" s="39"/>
      <c r="E25656" s="39"/>
      <c r="F25656" s="39"/>
    </row>
    <row r="25657">
      <c r="D25657" s="39"/>
      <c r="E25657" s="39"/>
      <c r="F25657" s="39"/>
    </row>
    <row r="25658">
      <c r="D25658" s="39"/>
      <c r="E25658" s="39"/>
      <c r="F25658" s="39"/>
    </row>
    <row r="25659">
      <c r="D25659" s="39"/>
      <c r="E25659" s="39"/>
      <c r="F25659" s="39"/>
    </row>
    <row r="25660">
      <c r="D25660" s="39"/>
      <c r="E25660" s="39"/>
      <c r="F25660" s="39"/>
    </row>
    <row r="25661">
      <c r="D25661" s="39"/>
      <c r="E25661" s="39"/>
      <c r="F25661" s="39"/>
    </row>
    <row r="25662">
      <c r="D25662" s="39"/>
      <c r="E25662" s="39"/>
      <c r="F25662" s="39"/>
    </row>
    <row r="25663">
      <c r="D25663" s="39"/>
      <c r="E25663" s="39"/>
      <c r="F25663" s="39"/>
    </row>
    <row r="25664">
      <c r="D25664" s="39"/>
      <c r="E25664" s="39"/>
      <c r="F25664" s="39"/>
    </row>
    <row r="25665">
      <c r="D25665" s="39"/>
      <c r="E25665" s="39"/>
      <c r="F25665" s="39"/>
    </row>
    <row r="25666">
      <c r="D25666" s="39"/>
      <c r="E25666" s="39"/>
      <c r="F25666" s="39"/>
    </row>
    <row r="25667">
      <c r="D25667" s="39"/>
      <c r="E25667" s="39"/>
      <c r="F25667" s="39"/>
    </row>
    <row r="25668">
      <c r="D25668" s="39"/>
      <c r="E25668" s="39"/>
      <c r="F25668" s="39"/>
    </row>
    <row r="25669">
      <c r="D25669" s="39"/>
      <c r="E25669" s="39"/>
      <c r="F25669" s="39"/>
    </row>
    <row r="25670">
      <c r="D25670" s="39"/>
      <c r="E25670" s="39"/>
      <c r="F25670" s="39"/>
    </row>
    <row r="25671">
      <c r="D25671" s="39"/>
      <c r="E25671" s="39"/>
      <c r="F25671" s="39"/>
    </row>
    <row r="25672">
      <c r="D25672" s="39"/>
      <c r="E25672" s="39"/>
      <c r="F25672" s="39"/>
    </row>
    <row r="25673">
      <c r="D25673" s="39"/>
      <c r="E25673" s="39"/>
      <c r="F25673" s="39"/>
    </row>
    <row r="25674">
      <c r="D25674" s="39"/>
      <c r="E25674" s="39"/>
      <c r="F25674" s="39"/>
    </row>
    <row r="25675">
      <c r="D25675" s="39"/>
      <c r="E25675" s="39"/>
      <c r="F25675" s="39"/>
    </row>
    <row r="25676">
      <c r="D25676" s="39"/>
      <c r="E25676" s="39"/>
      <c r="F25676" s="39"/>
    </row>
    <row r="25677">
      <c r="D25677" s="39"/>
      <c r="E25677" s="39"/>
      <c r="F25677" s="39"/>
    </row>
    <row r="25678">
      <c r="D25678" s="39"/>
      <c r="E25678" s="39"/>
      <c r="F25678" s="39"/>
    </row>
    <row r="25679">
      <c r="D25679" s="39"/>
      <c r="E25679" s="39"/>
      <c r="F25679" s="39"/>
    </row>
    <row r="25680">
      <c r="D25680" s="39"/>
      <c r="E25680" s="39"/>
      <c r="F25680" s="39"/>
    </row>
    <row r="25681">
      <c r="D25681" s="39"/>
      <c r="E25681" s="39"/>
      <c r="F25681" s="39"/>
    </row>
    <row r="25682">
      <c r="D25682" s="39"/>
      <c r="E25682" s="39"/>
      <c r="F25682" s="39"/>
    </row>
    <row r="25683">
      <c r="D25683" s="39"/>
      <c r="E25683" s="39"/>
      <c r="F25683" s="39"/>
    </row>
    <row r="25684">
      <c r="D25684" s="39"/>
      <c r="E25684" s="39"/>
      <c r="F25684" s="39"/>
    </row>
    <row r="25685">
      <c r="D25685" s="39"/>
      <c r="E25685" s="39"/>
      <c r="F25685" s="39"/>
    </row>
    <row r="25686">
      <c r="D25686" s="39"/>
      <c r="E25686" s="39"/>
      <c r="F25686" s="39"/>
    </row>
    <row r="25687">
      <c r="D25687" s="39"/>
      <c r="E25687" s="39"/>
      <c r="F25687" s="39"/>
    </row>
    <row r="25688">
      <c r="D25688" s="39"/>
      <c r="E25688" s="39"/>
      <c r="F25688" s="39"/>
    </row>
    <row r="25689">
      <c r="D25689" s="39"/>
      <c r="E25689" s="39"/>
      <c r="F25689" s="39"/>
    </row>
    <row r="25690">
      <c r="D25690" s="39"/>
      <c r="E25690" s="39"/>
      <c r="F25690" s="39"/>
    </row>
    <row r="25691">
      <c r="D25691" s="39"/>
      <c r="E25691" s="39"/>
      <c r="F25691" s="39"/>
    </row>
    <row r="25692">
      <c r="D25692" s="39"/>
      <c r="E25692" s="39"/>
      <c r="F25692" s="39"/>
    </row>
    <row r="25693">
      <c r="D25693" s="39"/>
      <c r="E25693" s="39"/>
      <c r="F25693" s="39"/>
    </row>
    <row r="25694">
      <c r="D25694" s="39"/>
      <c r="E25694" s="39"/>
      <c r="F25694" s="39"/>
    </row>
    <row r="25695">
      <c r="D25695" s="39"/>
      <c r="E25695" s="39"/>
      <c r="F25695" s="39"/>
    </row>
    <row r="25696">
      <c r="D25696" s="39"/>
      <c r="E25696" s="39"/>
      <c r="F25696" s="39"/>
    </row>
    <row r="25697">
      <c r="D25697" s="39"/>
      <c r="E25697" s="39"/>
      <c r="F25697" s="39"/>
    </row>
    <row r="25698">
      <c r="D25698" s="39"/>
      <c r="E25698" s="39"/>
      <c r="F25698" s="39"/>
    </row>
    <row r="25699">
      <c r="D25699" s="39"/>
      <c r="E25699" s="39"/>
      <c r="F25699" s="39"/>
    </row>
    <row r="25700">
      <c r="D25700" s="39"/>
      <c r="E25700" s="39"/>
      <c r="F25700" s="39"/>
    </row>
    <row r="25701">
      <c r="D25701" s="39"/>
      <c r="E25701" s="39"/>
      <c r="F25701" s="39"/>
    </row>
    <row r="25702">
      <c r="D25702" s="39"/>
      <c r="E25702" s="39"/>
      <c r="F25702" s="39"/>
    </row>
    <row r="25703">
      <c r="D25703" s="39"/>
      <c r="E25703" s="39"/>
      <c r="F25703" s="39"/>
    </row>
    <row r="25704">
      <c r="D25704" s="39"/>
      <c r="E25704" s="39"/>
      <c r="F25704" s="39"/>
    </row>
    <row r="25705">
      <c r="D25705" s="39"/>
      <c r="E25705" s="39"/>
      <c r="F25705" s="39"/>
    </row>
    <row r="25706">
      <c r="D25706" s="39"/>
      <c r="E25706" s="39"/>
      <c r="F25706" s="39"/>
    </row>
    <row r="25707">
      <c r="D25707" s="39"/>
      <c r="E25707" s="39"/>
      <c r="F25707" s="39"/>
    </row>
    <row r="25708">
      <c r="D25708" s="39"/>
      <c r="E25708" s="39"/>
      <c r="F25708" s="39"/>
    </row>
    <row r="25709">
      <c r="D25709" s="39"/>
      <c r="E25709" s="39"/>
      <c r="F25709" s="39"/>
    </row>
    <row r="25710">
      <c r="D25710" s="39"/>
      <c r="E25710" s="39"/>
      <c r="F25710" s="39"/>
    </row>
    <row r="25711">
      <c r="D25711" s="39"/>
      <c r="E25711" s="39"/>
      <c r="F25711" s="39"/>
    </row>
    <row r="25712">
      <c r="D25712" s="39"/>
      <c r="E25712" s="39"/>
      <c r="F25712" s="39"/>
    </row>
    <row r="25713">
      <c r="D25713" s="39"/>
      <c r="E25713" s="39"/>
      <c r="F25713" s="39"/>
    </row>
    <row r="25714">
      <c r="D25714" s="39"/>
      <c r="E25714" s="39"/>
      <c r="F25714" s="39"/>
    </row>
    <row r="25715">
      <c r="D25715" s="39"/>
      <c r="E25715" s="39"/>
      <c r="F25715" s="39"/>
    </row>
    <row r="25716">
      <c r="D25716" s="39"/>
      <c r="E25716" s="39"/>
      <c r="F25716" s="39"/>
    </row>
    <row r="25717">
      <c r="D25717" s="39"/>
      <c r="E25717" s="39"/>
      <c r="F25717" s="39"/>
    </row>
    <row r="25718">
      <c r="D25718" s="39"/>
      <c r="E25718" s="39"/>
      <c r="F25718" s="39"/>
    </row>
    <row r="25719">
      <c r="D25719" s="39"/>
      <c r="E25719" s="39"/>
      <c r="F25719" s="39"/>
    </row>
    <row r="25720">
      <c r="D25720" s="39"/>
      <c r="E25720" s="39"/>
      <c r="F25720" s="39"/>
    </row>
    <row r="25721">
      <c r="D25721" s="39"/>
      <c r="E25721" s="39"/>
      <c r="F25721" s="39"/>
    </row>
    <row r="25722">
      <c r="D25722" s="39"/>
      <c r="E25722" s="39"/>
      <c r="F25722" s="39"/>
    </row>
    <row r="25723">
      <c r="D25723" s="39"/>
      <c r="E25723" s="39"/>
      <c r="F25723" s="39"/>
    </row>
    <row r="25724">
      <c r="D25724" s="39"/>
      <c r="E25724" s="39"/>
      <c r="F25724" s="39"/>
    </row>
    <row r="25725">
      <c r="D25725" s="39"/>
      <c r="E25725" s="39"/>
      <c r="F25725" s="39"/>
    </row>
    <row r="25726">
      <c r="D25726" s="39"/>
      <c r="E25726" s="39"/>
      <c r="F25726" s="39"/>
    </row>
    <row r="25727">
      <c r="D25727" s="39"/>
      <c r="E25727" s="39"/>
      <c r="F25727" s="39"/>
    </row>
    <row r="25728">
      <c r="D25728" s="39"/>
      <c r="E25728" s="39"/>
      <c r="F25728" s="39"/>
    </row>
    <row r="25729">
      <c r="D25729" s="39"/>
      <c r="E25729" s="39"/>
      <c r="F25729" s="39"/>
    </row>
    <row r="25730">
      <c r="D25730" s="39"/>
      <c r="E25730" s="39"/>
      <c r="F25730" s="39"/>
    </row>
    <row r="25731">
      <c r="D25731" s="39"/>
      <c r="E25731" s="39"/>
      <c r="F25731" s="39"/>
    </row>
    <row r="25732">
      <c r="D25732" s="39"/>
      <c r="E25732" s="39"/>
      <c r="F25732" s="39"/>
    </row>
    <row r="25733">
      <c r="D25733" s="39"/>
      <c r="E25733" s="39"/>
      <c r="F25733" s="39"/>
    </row>
    <row r="25734">
      <c r="D25734" s="39"/>
      <c r="E25734" s="39"/>
      <c r="F25734" s="39"/>
    </row>
    <row r="25735">
      <c r="D25735" s="39"/>
      <c r="E25735" s="39"/>
      <c r="F25735" s="39"/>
    </row>
    <row r="25736">
      <c r="D25736" s="39"/>
      <c r="E25736" s="39"/>
      <c r="F25736" s="39"/>
    </row>
    <row r="25737">
      <c r="D25737" s="39"/>
      <c r="E25737" s="39"/>
      <c r="F25737" s="39"/>
    </row>
    <row r="25738">
      <c r="D25738" s="39"/>
      <c r="E25738" s="39"/>
      <c r="F25738" s="39"/>
    </row>
    <row r="25739">
      <c r="D25739" s="39"/>
      <c r="E25739" s="39"/>
      <c r="F25739" s="39"/>
    </row>
    <row r="25740">
      <c r="D25740" s="39"/>
      <c r="E25740" s="39"/>
      <c r="F25740" s="39"/>
    </row>
    <row r="25741">
      <c r="D25741" s="39"/>
      <c r="E25741" s="39"/>
      <c r="F25741" s="39"/>
    </row>
    <row r="25742">
      <c r="D25742" s="39"/>
      <c r="E25742" s="39"/>
      <c r="F25742" s="39"/>
    </row>
    <row r="25743">
      <c r="D25743" s="39"/>
      <c r="E25743" s="39"/>
      <c r="F25743" s="39"/>
    </row>
    <row r="25744">
      <c r="D25744" s="39"/>
      <c r="E25744" s="39"/>
      <c r="F25744" s="39"/>
    </row>
    <row r="25745">
      <c r="D25745" s="39"/>
      <c r="E25745" s="39"/>
      <c r="F25745" s="39"/>
    </row>
    <row r="25746">
      <c r="D25746" s="39"/>
      <c r="E25746" s="39"/>
      <c r="F25746" s="39"/>
    </row>
    <row r="25747">
      <c r="D25747" s="39"/>
      <c r="E25747" s="39"/>
      <c r="F25747" s="39"/>
    </row>
    <row r="25748">
      <c r="D25748" s="39"/>
      <c r="E25748" s="39"/>
      <c r="F25748" s="39"/>
    </row>
    <row r="25749">
      <c r="D25749" s="39"/>
      <c r="E25749" s="39"/>
      <c r="F25749" s="39"/>
    </row>
    <row r="25750">
      <c r="D25750" s="39"/>
      <c r="E25750" s="39"/>
      <c r="F25750" s="39"/>
    </row>
    <row r="25751">
      <c r="D25751" s="39"/>
      <c r="E25751" s="39"/>
      <c r="F25751" s="39"/>
    </row>
    <row r="25752">
      <c r="D25752" s="39"/>
      <c r="E25752" s="39"/>
      <c r="F25752" s="39"/>
    </row>
    <row r="25753">
      <c r="D25753" s="39"/>
      <c r="E25753" s="39"/>
      <c r="F25753" s="39"/>
    </row>
    <row r="25754">
      <c r="D25754" s="39"/>
      <c r="E25754" s="39"/>
      <c r="F25754" s="39"/>
    </row>
    <row r="25755">
      <c r="D25755" s="39"/>
      <c r="E25755" s="39"/>
      <c r="F25755" s="39"/>
    </row>
    <row r="25756">
      <c r="D25756" s="39"/>
      <c r="E25756" s="39"/>
      <c r="F25756" s="39"/>
    </row>
    <row r="25757">
      <c r="D25757" s="39"/>
      <c r="E25757" s="39"/>
      <c r="F25757" s="39"/>
    </row>
    <row r="25758">
      <c r="D25758" s="39"/>
      <c r="E25758" s="39"/>
      <c r="F25758" s="39"/>
    </row>
    <row r="25759">
      <c r="D25759" s="39"/>
      <c r="E25759" s="39"/>
      <c r="F25759" s="39"/>
    </row>
    <row r="25760">
      <c r="D25760" s="39"/>
      <c r="E25760" s="39"/>
      <c r="F25760" s="39"/>
    </row>
    <row r="25761">
      <c r="D25761" s="39"/>
      <c r="E25761" s="39"/>
      <c r="F25761" s="39"/>
    </row>
    <row r="25762">
      <c r="D25762" s="39"/>
      <c r="E25762" s="39"/>
      <c r="F25762" s="39"/>
    </row>
    <row r="25763">
      <c r="D25763" s="39"/>
      <c r="E25763" s="39"/>
      <c r="F25763" s="39"/>
    </row>
    <row r="25764">
      <c r="D25764" s="39"/>
      <c r="E25764" s="39"/>
      <c r="F25764" s="39"/>
    </row>
    <row r="25765">
      <c r="D25765" s="39"/>
      <c r="E25765" s="39"/>
      <c r="F25765" s="39"/>
    </row>
    <row r="25766">
      <c r="D25766" s="39"/>
      <c r="E25766" s="39"/>
      <c r="F25766" s="39"/>
    </row>
    <row r="25767">
      <c r="D25767" s="39"/>
      <c r="E25767" s="39"/>
      <c r="F25767" s="39"/>
    </row>
    <row r="25768">
      <c r="D25768" s="39"/>
      <c r="E25768" s="39"/>
      <c r="F25768" s="39"/>
    </row>
    <row r="25769">
      <c r="D25769" s="39"/>
      <c r="E25769" s="39"/>
      <c r="F25769" s="39"/>
    </row>
    <row r="25770">
      <c r="D25770" s="39"/>
      <c r="E25770" s="39"/>
      <c r="F25770" s="39"/>
    </row>
    <row r="25771">
      <c r="D25771" s="39"/>
      <c r="E25771" s="39"/>
      <c r="F25771" s="39"/>
    </row>
    <row r="25772">
      <c r="D25772" s="39"/>
      <c r="E25772" s="39"/>
      <c r="F25772" s="39"/>
    </row>
    <row r="25773">
      <c r="D25773" s="39"/>
      <c r="E25773" s="39"/>
      <c r="F25773" s="39"/>
    </row>
    <row r="25774">
      <c r="D25774" s="39"/>
      <c r="E25774" s="39"/>
      <c r="F25774" s="39"/>
    </row>
    <row r="25775">
      <c r="D25775" s="39"/>
      <c r="E25775" s="39"/>
      <c r="F25775" s="39"/>
    </row>
    <row r="25776">
      <c r="D25776" s="39"/>
      <c r="E25776" s="39"/>
      <c r="F25776" s="39"/>
    </row>
    <row r="25777">
      <c r="D25777" s="39"/>
      <c r="E25777" s="39"/>
      <c r="F25777" s="39"/>
    </row>
    <row r="25778">
      <c r="D25778" s="39"/>
      <c r="E25778" s="39"/>
      <c r="F25778" s="39"/>
    </row>
    <row r="25779">
      <c r="D25779" s="39"/>
      <c r="E25779" s="39"/>
      <c r="F25779" s="39"/>
    </row>
    <row r="25780">
      <c r="D25780" s="39"/>
      <c r="E25780" s="39"/>
      <c r="F25780" s="39"/>
    </row>
    <row r="25781">
      <c r="D25781" s="39"/>
      <c r="E25781" s="39"/>
      <c r="F25781" s="39"/>
    </row>
    <row r="25782">
      <c r="D25782" s="39"/>
      <c r="E25782" s="39"/>
      <c r="F25782" s="39"/>
    </row>
    <row r="25783">
      <c r="D25783" s="39"/>
      <c r="E25783" s="39"/>
      <c r="F25783" s="39"/>
    </row>
    <row r="25784">
      <c r="D25784" s="39"/>
      <c r="E25784" s="39"/>
      <c r="F25784" s="39"/>
    </row>
    <row r="25785">
      <c r="D25785" s="39"/>
      <c r="E25785" s="39"/>
      <c r="F25785" s="39"/>
    </row>
    <row r="25786">
      <c r="D25786" s="39"/>
      <c r="E25786" s="39"/>
      <c r="F25786" s="39"/>
    </row>
    <row r="25787">
      <c r="D25787" s="39"/>
      <c r="E25787" s="39"/>
      <c r="F25787" s="39"/>
    </row>
    <row r="25788">
      <c r="D25788" s="39"/>
      <c r="E25788" s="39"/>
      <c r="F25788" s="39"/>
    </row>
    <row r="25789">
      <c r="D25789" s="39"/>
      <c r="E25789" s="39"/>
      <c r="F25789" s="39"/>
    </row>
    <row r="25790">
      <c r="D25790" s="39"/>
      <c r="E25790" s="39"/>
      <c r="F25790" s="39"/>
    </row>
    <row r="25791">
      <c r="D25791" s="39"/>
      <c r="E25791" s="39"/>
      <c r="F25791" s="39"/>
    </row>
    <row r="25792">
      <c r="D25792" s="39"/>
      <c r="E25792" s="39"/>
      <c r="F25792" s="39"/>
    </row>
    <row r="25793">
      <c r="D25793" s="39"/>
      <c r="E25793" s="39"/>
      <c r="F25793" s="39"/>
    </row>
    <row r="25794">
      <c r="D25794" s="39"/>
      <c r="E25794" s="39"/>
      <c r="F25794" s="39"/>
    </row>
    <row r="25795">
      <c r="D25795" s="39"/>
      <c r="E25795" s="39"/>
      <c r="F25795" s="39"/>
    </row>
    <row r="25796">
      <c r="D25796" s="39"/>
      <c r="E25796" s="39"/>
      <c r="F25796" s="39"/>
    </row>
    <row r="25797">
      <c r="D25797" s="39"/>
      <c r="E25797" s="39"/>
      <c r="F25797" s="39"/>
    </row>
    <row r="25798">
      <c r="D25798" s="39"/>
      <c r="E25798" s="39"/>
      <c r="F25798" s="39"/>
    </row>
    <row r="25799">
      <c r="D25799" s="39"/>
      <c r="E25799" s="39"/>
      <c r="F25799" s="39"/>
    </row>
    <row r="25800">
      <c r="D25800" s="39"/>
      <c r="E25800" s="39"/>
      <c r="F25800" s="39"/>
    </row>
    <row r="25801">
      <c r="D25801" s="39"/>
      <c r="E25801" s="39"/>
      <c r="F25801" s="39"/>
    </row>
    <row r="25802">
      <c r="D25802" s="39"/>
      <c r="E25802" s="39"/>
      <c r="F25802" s="39"/>
    </row>
    <row r="25803">
      <c r="D25803" s="39"/>
      <c r="E25803" s="39"/>
      <c r="F25803" s="39"/>
    </row>
    <row r="25804">
      <c r="D25804" s="39"/>
      <c r="E25804" s="39"/>
      <c r="F25804" s="39"/>
    </row>
    <row r="25805">
      <c r="D25805" s="39"/>
      <c r="E25805" s="39"/>
      <c r="F25805" s="39"/>
    </row>
    <row r="25806">
      <c r="D25806" s="39"/>
      <c r="E25806" s="39"/>
      <c r="F25806" s="39"/>
    </row>
    <row r="25807">
      <c r="D25807" s="39"/>
      <c r="E25807" s="39"/>
      <c r="F25807" s="39"/>
    </row>
    <row r="25808">
      <c r="D25808" s="39"/>
      <c r="E25808" s="39"/>
      <c r="F25808" s="39"/>
    </row>
    <row r="25809">
      <c r="D25809" s="39"/>
      <c r="E25809" s="39"/>
      <c r="F25809" s="39"/>
    </row>
    <row r="25810">
      <c r="D25810" s="39"/>
      <c r="E25810" s="39"/>
      <c r="F25810" s="39"/>
    </row>
    <row r="25811">
      <c r="D25811" s="39"/>
      <c r="E25811" s="39"/>
      <c r="F25811" s="39"/>
    </row>
    <row r="25812">
      <c r="D25812" s="39"/>
      <c r="E25812" s="39"/>
      <c r="F25812" s="39"/>
    </row>
    <row r="25813">
      <c r="D25813" s="39"/>
      <c r="E25813" s="39"/>
      <c r="F25813" s="39"/>
    </row>
    <row r="25814">
      <c r="D25814" s="39"/>
      <c r="E25814" s="39"/>
      <c r="F25814" s="39"/>
    </row>
    <row r="25815">
      <c r="D25815" s="39"/>
      <c r="E25815" s="39"/>
      <c r="F25815" s="39"/>
    </row>
    <row r="25816">
      <c r="D25816" s="39"/>
      <c r="E25816" s="39"/>
      <c r="F25816" s="39"/>
    </row>
    <row r="25817">
      <c r="D25817" s="39"/>
      <c r="E25817" s="39"/>
      <c r="F25817" s="39"/>
    </row>
    <row r="25818">
      <c r="D25818" s="39"/>
      <c r="E25818" s="39"/>
      <c r="F25818" s="39"/>
    </row>
    <row r="25819">
      <c r="D25819" s="39"/>
      <c r="E25819" s="39"/>
      <c r="F25819" s="39"/>
    </row>
    <row r="25820">
      <c r="D25820" s="39"/>
      <c r="E25820" s="39"/>
      <c r="F25820" s="39"/>
    </row>
    <row r="25821">
      <c r="D25821" s="39"/>
      <c r="E25821" s="39"/>
      <c r="F25821" s="39"/>
    </row>
    <row r="25822">
      <c r="D25822" s="39"/>
      <c r="E25822" s="39"/>
      <c r="F25822" s="39"/>
    </row>
    <row r="25823">
      <c r="D25823" s="39"/>
      <c r="E25823" s="39"/>
      <c r="F25823" s="39"/>
    </row>
    <row r="25824">
      <c r="D25824" s="39"/>
      <c r="E25824" s="39"/>
      <c r="F25824" s="39"/>
    </row>
    <row r="25825">
      <c r="D25825" s="39"/>
      <c r="E25825" s="39"/>
      <c r="F25825" s="39"/>
    </row>
    <row r="25826">
      <c r="D25826" s="39"/>
      <c r="E25826" s="39"/>
      <c r="F25826" s="39"/>
    </row>
    <row r="25827">
      <c r="D25827" s="39"/>
      <c r="E25827" s="39"/>
      <c r="F25827" s="39"/>
    </row>
    <row r="25828">
      <c r="D25828" s="39"/>
      <c r="E25828" s="39"/>
      <c r="F25828" s="39"/>
    </row>
    <row r="25829">
      <c r="D25829" s="39"/>
      <c r="E25829" s="39"/>
      <c r="F25829" s="39"/>
    </row>
    <row r="25830">
      <c r="D25830" s="39"/>
      <c r="E25830" s="39"/>
      <c r="F25830" s="39"/>
    </row>
    <row r="25831">
      <c r="D25831" s="39"/>
      <c r="E25831" s="39"/>
      <c r="F25831" s="39"/>
    </row>
    <row r="25832">
      <c r="D25832" s="39"/>
      <c r="E25832" s="39"/>
      <c r="F25832" s="39"/>
    </row>
    <row r="25833">
      <c r="D25833" s="39"/>
      <c r="E25833" s="39"/>
      <c r="F25833" s="39"/>
    </row>
    <row r="25834">
      <c r="D25834" s="39"/>
      <c r="E25834" s="39"/>
      <c r="F25834" s="39"/>
    </row>
    <row r="25835">
      <c r="D25835" s="39"/>
      <c r="E25835" s="39"/>
      <c r="F25835" s="39"/>
    </row>
    <row r="25836">
      <c r="D25836" s="39"/>
      <c r="E25836" s="39"/>
      <c r="F25836" s="39"/>
    </row>
    <row r="25837">
      <c r="D25837" s="39"/>
      <c r="E25837" s="39"/>
      <c r="F25837" s="39"/>
    </row>
    <row r="25838">
      <c r="D25838" s="39"/>
      <c r="E25838" s="39"/>
      <c r="F25838" s="39"/>
    </row>
    <row r="25839">
      <c r="D25839" s="39"/>
      <c r="E25839" s="39"/>
      <c r="F25839" s="39"/>
    </row>
    <row r="25840">
      <c r="D25840" s="39"/>
      <c r="E25840" s="39"/>
      <c r="F25840" s="39"/>
    </row>
    <row r="25841">
      <c r="D25841" s="39"/>
      <c r="E25841" s="39"/>
      <c r="F25841" s="39"/>
    </row>
    <row r="25842">
      <c r="D25842" s="39"/>
      <c r="E25842" s="39"/>
      <c r="F25842" s="39"/>
    </row>
    <row r="25843">
      <c r="D25843" s="39"/>
      <c r="E25843" s="39"/>
      <c r="F25843" s="39"/>
    </row>
    <row r="25844">
      <c r="D25844" s="39"/>
      <c r="E25844" s="39"/>
      <c r="F25844" s="39"/>
    </row>
    <row r="25845">
      <c r="D25845" s="39"/>
      <c r="E25845" s="39"/>
      <c r="F25845" s="39"/>
    </row>
    <row r="25846">
      <c r="D25846" s="39"/>
      <c r="E25846" s="39"/>
      <c r="F25846" s="39"/>
    </row>
    <row r="25847">
      <c r="D25847" s="39"/>
      <c r="E25847" s="39"/>
      <c r="F25847" s="39"/>
    </row>
    <row r="25848">
      <c r="D25848" s="39"/>
      <c r="E25848" s="39"/>
      <c r="F25848" s="39"/>
    </row>
    <row r="25849">
      <c r="D25849" s="39"/>
      <c r="E25849" s="39"/>
      <c r="F25849" s="39"/>
    </row>
    <row r="25850">
      <c r="D25850" s="39"/>
      <c r="E25850" s="39"/>
      <c r="F25850" s="39"/>
    </row>
    <row r="25851">
      <c r="D25851" s="39"/>
      <c r="E25851" s="39"/>
      <c r="F25851" s="39"/>
    </row>
    <row r="25852">
      <c r="D25852" s="39"/>
      <c r="E25852" s="39"/>
      <c r="F25852" s="39"/>
    </row>
    <row r="25853">
      <c r="D25853" s="39"/>
      <c r="E25853" s="39"/>
      <c r="F25853" s="39"/>
    </row>
    <row r="25854">
      <c r="D25854" s="39"/>
      <c r="E25854" s="39"/>
      <c r="F25854" s="39"/>
    </row>
    <row r="25855">
      <c r="D25855" s="39"/>
      <c r="E25855" s="39"/>
      <c r="F25855" s="39"/>
    </row>
    <row r="25856">
      <c r="D25856" s="39"/>
      <c r="E25856" s="39"/>
      <c r="F25856" s="39"/>
    </row>
    <row r="25857">
      <c r="D25857" s="39"/>
      <c r="E25857" s="39"/>
      <c r="F25857" s="39"/>
    </row>
    <row r="25858">
      <c r="D25858" s="39"/>
      <c r="E25858" s="39"/>
      <c r="F25858" s="39"/>
    </row>
    <row r="25859">
      <c r="D25859" s="39"/>
      <c r="E25859" s="39"/>
      <c r="F25859" s="39"/>
    </row>
    <row r="25860">
      <c r="D25860" s="39"/>
      <c r="E25860" s="39"/>
      <c r="F25860" s="39"/>
    </row>
    <row r="25861">
      <c r="D25861" s="39"/>
      <c r="E25861" s="39"/>
      <c r="F25861" s="39"/>
    </row>
    <row r="25862">
      <c r="D25862" s="39"/>
      <c r="E25862" s="39"/>
      <c r="F25862" s="39"/>
    </row>
    <row r="25863">
      <c r="D25863" s="39"/>
      <c r="E25863" s="39"/>
      <c r="F25863" s="39"/>
    </row>
    <row r="25864">
      <c r="D25864" s="39"/>
      <c r="E25864" s="39"/>
      <c r="F25864" s="39"/>
    </row>
    <row r="25865">
      <c r="D25865" s="39"/>
      <c r="E25865" s="39"/>
      <c r="F25865" s="39"/>
    </row>
    <row r="25866">
      <c r="D25866" s="39"/>
      <c r="E25866" s="39"/>
      <c r="F25866" s="39"/>
    </row>
    <row r="25867">
      <c r="D25867" s="39"/>
      <c r="E25867" s="39"/>
      <c r="F25867" s="39"/>
    </row>
    <row r="25868">
      <c r="D25868" s="39"/>
      <c r="E25868" s="39"/>
      <c r="F25868" s="39"/>
    </row>
    <row r="25869">
      <c r="D25869" s="39"/>
      <c r="E25869" s="39"/>
      <c r="F25869" s="39"/>
    </row>
    <row r="25870">
      <c r="D25870" s="39"/>
      <c r="E25870" s="39"/>
      <c r="F25870" s="39"/>
    </row>
    <row r="25871">
      <c r="D25871" s="39"/>
      <c r="E25871" s="39"/>
      <c r="F25871" s="39"/>
    </row>
    <row r="25872">
      <c r="D25872" s="39"/>
      <c r="E25872" s="39"/>
      <c r="F25872" s="39"/>
    </row>
    <row r="25873">
      <c r="D25873" s="39"/>
      <c r="E25873" s="39"/>
      <c r="F25873" s="39"/>
    </row>
    <row r="25874">
      <c r="D25874" s="39"/>
      <c r="E25874" s="39"/>
      <c r="F25874" s="39"/>
    </row>
    <row r="25875">
      <c r="D25875" s="39"/>
      <c r="E25875" s="39"/>
      <c r="F25875" s="39"/>
    </row>
    <row r="25876">
      <c r="D25876" s="39"/>
      <c r="E25876" s="39"/>
      <c r="F25876" s="39"/>
    </row>
    <row r="25877">
      <c r="D25877" s="39"/>
      <c r="E25877" s="39"/>
      <c r="F25877" s="39"/>
    </row>
    <row r="25878">
      <c r="D25878" s="39"/>
      <c r="E25878" s="39"/>
      <c r="F25878" s="39"/>
    </row>
    <row r="25879">
      <c r="D25879" s="39"/>
      <c r="E25879" s="39"/>
      <c r="F25879" s="39"/>
    </row>
    <row r="25880">
      <c r="D25880" s="39"/>
      <c r="E25880" s="39"/>
      <c r="F25880" s="39"/>
    </row>
    <row r="25881">
      <c r="D25881" s="39"/>
      <c r="E25881" s="39"/>
      <c r="F25881" s="39"/>
    </row>
    <row r="25882">
      <c r="D25882" s="39"/>
      <c r="E25882" s="39"/>
      <c r="F25882" s="39"/>
    </row>
    <row r="25883">
      <c r="D25883" s="39"/>
      <c r="E25883" s="39"/>
      <c r="F25883" s="39"/>
    </row>
    <row r="25884">
      <c r="D25884" s="39"/>
      <c r="E25884" s="39"/>
      <c r="F25884" s="39"/>
    </row>
    <row r="25885">
      <c r="D25885" s="39"/>
      <c r="E25885" s="39"/>
      <c r="F25885" s="39"/>
    </row>
    <row r="25886">
      <c r="D25886" s="39"/>
      <c r="E25886" s="39"/>
      <c r="F25886" s="39"/>
    </row>
    <row r="25887">
      <c r="D25887" s="39"/>
      <c r="E25887" s="39"/>
      <c r="F25887" s="39"/>
    </row>
    <row r="25888">
      <c r="D25888" s="39"/>
      <c r="E25888" s="39"/>
      <c r="F25888" s="39"/>
    </row>
    <row r="25889">
      <c r="D25889" s="39"/>
      <c r="E25889" s="39"/>
      <c r="F25889" s="39"/>
    </row>
    <row r="25890">
      <c r="D25890" s="39"/>
      <c r="E25890" s="39"/>
      <c r="F25890" s="39"/>
    </row>
    <row r="25891">
      <c r="D25891" s="39"/>
      <c r="E25891" s="39"/>
      <c r="F25891" s="39"/>
    </row>
    <row r="25892">
      <c r="D25892" s="39"/>
      <c r="E25892" s="39"/>
      <c r="F25892" s="39"/>
    </row>
    <row r="25893">
      <c r="D25893" s="39"/>
      <c r="E25893" s="39"/>
      <c r="F25893" s="39"/>
    </row>
    <row r="25894">
      <c r="D25894" s="39"/>
      <c r="E25894" s="39"/>
      <c r="F25894" s="39"/>
    </row>
    <row r="25895">
      <c r="D25895" s="39"/>
      <c r="E25895" s="39"/>
      <c r="F25895" s="39"/>
    </row>
    <row r="25896">
      <c r="D25896" s="39"/>
      <c r="E25896" s="39"/>
      <c r="F25896" s="39"/>
    </row>
    <row r="25897">
      <c r="D25897" s="39"/>
      <c r="E25897" s="39"/>
      <c r="F25897" s="39"/>
    </row>
    <row r="25898">
      <c r="D25898" s="39"/>
      <c r="E25898" s="39"/>
      <c r="F25898" s="39"/>
    </row>
    <row r="25899">
      <c r="D25899" s="39"/>
      <c r="E25899" s="39"/>
      <c r="F25899" s="39"/>
    </row>
    <row r="25900">
      <c r="D25900" s="39"/>
      <c r="E25900" s="39"/>
      <c r="F25900" s="39"/>
    </row>
    <row r="25901">
      <c r="D25901" s="39"/>
      <c r="E25901" s="39"/>
      <c r="F25901" s="39"/>
    </row>
    <row r="25902">
      <c r="D25902" s="39"/>
      <c r="E25902" s="39"/>
      <c r="F25902" s="39"/>
    </row>
    <row r="25903">
      <c r="D25903" s="39"/>
      <c r="E25903" s="39"/>
      <c r="F25903" s="39"/>
    </row>
    <row r="25904">
      <c r="D25904" s="39"/>
      <c r="E25904" s="39"/>
      <c r="F25904" s="39"/>
    </row>
    <row r="25905">
      <c r="D25905" s="39"/>
      <c r="E25905" s="39"/>
      <c r="F25905" s="39"/>
    </row>
    <row r="25906">
      <c r="D25906" s="39"/>
      <c r="E25906" s="39"/>
      <c r="F25906" s="39"/>
    </row>
    <row r="25907">
      <c r="D25907" s="39"/>
      <c r="E25907" s="39"/>
      <c r="F25907" s="39"/>
    </row>
    <row r="25908">
      <c r="D25908" s="39"/>
      <c r="E25908" s="39"/>
      <c r="F25908" s="39"/>
    </row>
    <row r="25909">
      <c r="D25909" s="39"/>
      <c r="E25909" s="39"/>
      <c r="F25909" s="39"/>
    </row>
    <row r="25910">
      <c r="D25910" s="39"/>
      <c r="E25910" s="39"/>
      <c r="F25910" s="39"/>
    </row>
    <row r="25911">
      <c r="D25911" s="39"/>
      <c r="E25911" s="39"/>
      <c r="F25911" s="39"/>
    </row>
    <row r="25912">
      <c r="D25912" s="39"/>
      <c r="E25912" s="39"/>
      <c r="F25912" s="39"/>
    </row>
    <row r="25913">
      <c r="D25913" s="39"/>
      <c r="E25913" s="39"/>
      <c r="F25913" s="39"/>
    </row>
    <row r="25914">
      <c r="D25914" s="39"/>
      <c r="E25914" s="39"/>
      <c r="F25914" s="39"/>
    </row>
    <row r="25915">
      <c r="D25915" s="39"/>
      <c r="E25915" s="39"/>
      <c r="F25915" s="39"/>
    </row>
    <row r="25916">
      <c r="D25916" s="39"/>
      <c r="E25916" s="39"/>
      <c r="F25916" s="39"/>
    </row>
    <row r="25917">
      <c r="D25917" s="39"/>
      <c r="E25917" s="39"/>
      <c r="F25917" s="39"/>
    </row>
    <row r="25918">
      <c r="D25918" s="39"/>
      <c r="E25918" s="39"/>
      <c r="F25918" s="39"/>
    </row>
    <row r="25919">
      <c r="D25919" s="39"/>
      <c r="E25919" s="39"/>
      <c r="F25919" s="39"/>
    </row>
    <row r="25920">
      <c r="D25920" s="39"/>
      <c r="E25920" s="39"/>
      <c r="F25920" s="39"/>
    </row>
    <row r="25921">
      <c r="D25921" s="39"/>
      <c r="E25921" s="39"/>
      <c r="F25921" s="39"/>
    </row>
    <row r="25922">
      <c r="D25922" s="39"/>
      <c r="E25922" s="39"/>
      <c r="F25922" s="39"/>
    </row>
    <row r="25923">
      <c r="D25923" s="39"/>
      <c r="E25923" s="39"/>
      <c r="F25923" s="39"/>
    </row>
    <row r="25924">
      <c r="D25924" s="39"/>
      <c r="E25924" s="39"/>
      <c r="F25924" s="39"/>
    </row>
    <row r="25925">
      <c r="D25925" s="39"/>
      <c r="E25925" s="39"/>
      <c r="F25925" s="39"/>
    </row>
    <row r="25926">
      <c r="D25926" s="39"/>
      <c r="E25926" s="39"/>
      <c r="F25926" s="39"/>
    </row>
    <row r="25927">
      <c r="D25927" s="39"/>
      <c r="E25927" s="39"/>
      <c r="F25927" s="39"/>
    </row>
    <row r="25928">
      <c r="D25928" s="39"/>
      <c r="E25928" s="39"/>
      <c r="F25928" s="39"/>
    </row>
    <row r="25929">
      <c r="D25929" s="39"/>
      <c r="E25929" s="39"/>
      <c r="F25929" s="39"/>
    </row>
    <row r="25930">
      <c r="D25930" s="39"/>
      <c r="E25930" s="39"/>
      <c r="F25930" s="39"/>
    </row>
    <row r="25931">
      <c r="D25931" s="39"/>
      <c r="E25931" s="39"/>
      <c r="F25931" s="39"/>
    </row>
    <row r="25932">
      <c r="D25932" s="39"/>
      <c r="E25932" s="39"/>
      <c r="F25932" s="39"/>
    </row>
    <row r="25933">
      <c r="D25933" s="39"/>
      <c r="E25933" s="39"/>
      <c r="F25933" s="39"/>
    </row>
    <row r="25934">
      <c r="D25934" s="39"/>
      <c r="E25934" s="39"/>
      <c r="F25934" s="39"/>
    </row>
    <row r="25935">
      <c r="D25935" s="39"/>
      <c r="E25935" s="39"/>
      <c r="F25935" s="39"/>
    </row>
    <row r="25936">
      <c r="D25936" s="39"/>
      <c r="E25936" s="39"/>
      <c r="F25936" s="39"/>
    </row>
    <row r="25937">
      <c r="D25937" s="39"/>
      <c r="E25937" s="39"/>
      <c r="F25937" s="39"/>
    </row>
    <row r="25938">
      <c r="D25938" s="39"/>
      <c r="E25938" s="39"/>
      <c r="F25938" s="39"/>
    </row>
    <row r="25939">
      <c r="D25939" s="39"/>
      <c r="E25939" s="39"/>
      <c r="F25939" s="39"/>
    </row>
    <row r="25940">
      <c r="D25940" s="39"/>
      <c r="E25940" s="39"/>
      <c r="F25940" s="39"/>
    </row>
    <row r="25941">
      <c r="D25941" s="39"/>
      <c r="E25941" s="39"/>
      <c r="F25941" s="39"/>
    </row>
    <row r="25942">
      <c r="D25942" s="39"/>
      <c r="E25942" s="39"/>
      <c r="F25942" s="39"/>
    </row>
    <row r="25943">
      <c r="D25943" s="39"/>
      <c r="E25943" s="39"/>
      <c r="F25943" s="39"/>
    </row>
    <row r="25944">
      <c r="D25944" s="39"/>
      <c r="E25944" s="39"/>
      <c r="F25944" s="39"/>
    </row>
    <row r="25945">
      <c r="D25945" s="39"/>
      <c r="E25945" s="39"/>
      <c r="F25945" s="39"/>
    </row>
    <row r="25946">
      <c r="D25946" s="39"/>
      <c r="E25946" s="39"/>
      <c r="F25946" s="39"/>
    </row>
    <row r="25947">
      <c r="D25947" s="39"/>
      <c r="E25947" s="39"/>
      <c r="F25947" s="39"/>
    </row>
    <row r="25948">
      <c r="D25948" s="39"/>
      <c r="E25948" s="39"/>
      <c r="F25948" s="39"/>
    </row>
    <row r="25949">
      <c r="D25949" s="39"/>
      <c r="E25949" s="39"/>
      <c r="F25949" s="39"/>
    </row>
    <row r="25950">
      <c r="D25950" s="39"/>
      <c r="E25950" s="39"/>
      <c r="F25950" s="39"/>
    </row>
    <row r="25951">
      <c r="D25951" s="39"/>
      <c r="E25951" s="39"/>
      <c r="F25951" s="39"/>
    </row>
    <row r="25952">
      <c r="D25952" s="39"/>
      <c r="E25952" s="39"/>
      <c r="F25952" s="39"/>
    </row>
    <row r="25953">
      <c r="D25953" s="39"/>
      <c r="E25953" s="39"/>
      <c r="F25953" s="39"/>
    </row>
    <row r="25954">
      <c r="D25954" s="39"/>
      <c r="E25954" s="39"/>
      <c r="F25954" s="39"/>
    </row>
    <row r="25955">
      <c r="D25955" s="39"/>
      <c r="E25955" s="39"/>
      <c r="F25955" s="39"/>
    </row>
    <row r="25956">
      <c r="D25956" s="39"/>
      <c r="E25956" s="39"/>
      <c r="F25956" s="39"/>
    </row>
    <row r="25957">
      <c r="D25957" s="39"/>
      <c r="E25957" s="39"/>
      <c r="F25957" s="39"/>
    </row>
    <row r="25958">
      <c r="D25958" s="39"/>
      <c r="E25958" s="39"/>
      <c r="F25958" s="39"/>
    </row>
    <row r="25959">
      <c r="D25959" s="39"/>
      <c r="E25959" s="39"/>
      <c r="F25959" s="39"/>
    </row>
    <row r="25960">
      <c r="D25960" s="39"/>
      <c r="E25960" s="39"/>
      <c r="F25960" s="39"/>
    </row>
    <row r="25961">
      <c r="D25961" s="39"/>
      <c r="E25961" s="39"/>
      <c r="F25961" s="39"/>
    </row>
    <row r="25962">
      <c r="D25962" s="39"/>
      <c r="E25962" s="39"/>
      <c r="F25962" s="39"/>
    </row>
    <row r="25963">
      <c r="D25963" s="39"/>
      <c r="E25963" s="39"/>
      <c r="F25963" s="39"/>
    </row>
    <row r="25964">
      <c r="D25964" s="39"/>
      <c r="E25964" s="39"/>
      <c r="F25964" s="39"/>
    </row>
    <row r="25965">
      <c r="D25965" s="39"/>
      <c r="E25965" s="39"/>
      <c r="F25965" s="39"/>
    </row>
    <row r="25966">
      <c r="D25966" s="39"/>
      <c r="E25966" s="39"/>
      <c r="F25966" s="39"/>
    </row>
    <row r="25967">
      <c r="D25967" s="39"/>
      <c r="E25967" s="39"/>
      <c r="F25967" s="39"/>
    </row>
    <row r="25968">
      <c r="D25968" s="39"/>
      <c r="E25968" s="39"/>
      <c r="F25968" s="39"/>
    </row>
    <row r="25969">
      <c r="D25969" s="39"/>
      <c r="E25969" s="39"/>
      <c r="F25969" s="39"/>
    </row>
    <row r="25970">
      <c r="D25970" s="39"/>
      <c r="E25970" s="39"/>
      <c r="F25970" s="39"/>
    </row>
    <row r="25971">
      <c r="D25971" s="39"/>
      <c r="E25971" s="39"/>
      <c r="F25971" s="39"/>
    </row>
    <row r="25972">
      <c r="D25972" s="39"/>
      <c r="E25972" s="39"/>
      <c r="F25972" s="39"/>
    </row>
    <row r="25973">
      <c r="D25973" s="39"/>
      <c r="E25973" s="39"/>
      <c r="F25973" s="39"/>
    </row>
    <row r="25974">
      <c r="D25974" s="39"/>
      <c r="E25974" s="39"/>
      <c r="F25974" s="39"/>
    </row>
    <row r="25975">
      <c r="D25975" s="39"/>
      <c r="E25975" s="39"/>
      <c r="F25975" s="39"/>
    </row>
    <row r="25976">
      <c r="D25976" s="39"/>
      <c r="E25976" s="39"/>
      <c r="F25976" s="39"/>
    </row>
    <row r="25977">
      <c r="D25977" s="39"/>
      <c r="E25977" s="39"/>
      <c r="F25977" s="39"/>
    </row>
    <row r="25978">
      <c r="D25978" s="39"/>
      <c r="E25978" s="39"/>
      <c r="F25978" s="39"/>
    </row>
    <row r="25979">
      <c r="D25979" s="39"/>
      <c r="E25979" s="39"/>
      <c r="F25979" s="39"/>
    </row>
    <row r="25980">
      <c r="D25980" s="39"/>
      <c r="E25980" s="39"/>
      <c r="F25980" s="39"/>
    </row>
    <row r="25981">
      <c r="D25981" s="39"/>
      <c r="E25981" s="39"/>
      <c r="F25981" s="39"/>
    </row>
    <row r="25982">
      <c r="D25982" s="39"/>
      <c r="E25982" s="39"/>
      <c r="F25982" s="39"/>
    </row>
    <row r="25983">
      <c r="D25983" s="39"/>
      <c r="E25983" s="39"/>
      <c r="F25983" s="39"/>
    </row>
    <row r="25984">
      <c r="D25984" s="39"/>
      <c r="E25984" s="39"/>
      <c r="F25984" s="39"/>
    </row>
    <row r="25985">
      <c r="D25985" s="39"/>
      <c r="E25985" s="39"/>
      <c r="F25985" s="39"/>
    </row>
    <row r="25986">
      <c r="D25986" s="39"/>
      <c r="E25986" s="39"/>
      <c r="F25986" s="39"/>
    </row>
    <row r="25987">
      <c r="D25987" s="39"/>
      <c r="E25987" s="39"/>
      <c r="F25987" s="39"/>
    </row>
    <row r="25988">
      <c r="D25988" s="39"/>
      <c r="E25988" s="39"/>
      <c r="F25988" s="39"/>
    </row>
    <row r="25989">
      <c r="D25989" s="39"/>
      <c r="E25989" s="39"/>
      <c r="F25989" s="39"/>
    </row>
    <row r="25990">
      <c r="D25990" s="39"/>
      <c r="E25990" s="39"/>
      <c r="F25990" s="39"/>
    </row>
    <row r="25991">
      <c r="D25991" s="39"/>
      <c r="E25991" s="39"/>
      <c r="F25991" s="39"/>
    </row>
    <row r="25992">
      <c r="D25992" s="39"/>
      <c r="E25992" s="39"/>
      <c r="F25992" s="39"/>
    </row>
    <row r="25993">
      <c r="D25993" s="39"/>
      <c r="E25993" s="39"/>
      <c r="F25993" s="39"/>
    </row>
    <row r="25994">
      <c r="D25994" s="39"/>
      <c r="E25994" s="39"/>
      <c r="F25994" s="39"/>
    </row>
    <row r="25995">
      <c r="D25995" s="39"/>
      <c r="E25995" s="39"/>
      <c r="F25995" s="39"/>
    </row>
    <row r="25996">
      <c r="D25996" s="39"/>
      <c r="E25996" s="39"/>
      <c r="F25996" s="39"/>
    </row>
    <row r="25997">
      <c r="D25997" s="39"/>
      <c r="E25997" s="39"/>
      <c r="F25997" s="39"/>
    </row>
    <row r="25998">
      <c r="D25998" s="39"/>
      <c r="E25998" s="39"/>
      <c r="F25998" s="39"/>
    </row>
    <row r="25999">
      <c r="D25999" s="39"/>
      <c r="E25999" s="39"/>
      <c r="F25999" s="39"/>
    </row>
    <row r="26000">
      <c r="D26000" s="39"/>
      <c r="E26000" s="39"/>
      <c r="F26000" s="39"/>
    </row>
    <row r="26001">
      <c r="D26001" s="39"/>
      <c r="E26001" s="39"/>
      <c r="F26001" s="39"/>
    </row>
    <row r="26002">
      <c r="D26002" s="39"/>
      <c r="E26002" s="39"/>
      <c r="F26002" s="39"/>
    </row>
    <row r="26003">
      <c r="D26003" s="39"/>
      <c r="E26003" s="39"/>
      <c r="F26003" s="39"/>
    </row>
    <row r="26004">
      <c r="D26004" s="39"/>
      <c r="E26004" s="39"/>
      <c r="F26004" s="39"/>
    </row>
    <row r="26005">
      <c r="D26005" s="39"/>
      <c r="E26005" s="39"/>
      <c r="F26005" s="39"/>
    </row>
    <row r="26006">
      <c r="D26006" s="39"/>
      <c r="E26006" s="39"/>
      <c r="F26006" s="39"/>
    </row>
    <row r="26007">
      <c r="D26007" s="39"/>
      <c r="E26007" s="39"/>
      <c r="F26007" s="39"/>
    </row>
    <row r="26008">
      <c r="D26008" s="39"/>
      <c r="E26008" s="39"/>
      <c r="F26008" s="39"/>
    </row>
    <row r="26009">
      <c r="D26009" s="39"/>
      <c r="E26009" s="39"/>
      <c r="F26009" s="39"/>
    </row>
    <row r="26010">
      <c r="D26010" s="39"/>
      <c r="E26010" s="39"/>
      <c r="F26010" s="39"/>
    </row>
    <row r="26011">
      <c r="D26011" s="39"/>
      <c r="E26011" s="39"/>
      <c r="F26011" s="39"/>
    </row>
    <row r="26012">
      <c r="D26012" s="39"/>
      <c r="E26012" s="39"/>
      <c r="F26012" s="39"/>
    </row>
    <row r="26013">
      <c r="D26013" s="39"/>
      <c r="E26013" s="39"/>
      <c r="F26013" s="39"/>
    </row>
    <row r="26014">
      <c r="D26014" s="39"/>
      <c r="E26014" s="39"/>
      <c r="F26014" s="39"/>
    </row>
    <row r="26015">
      <c r="D26015" s="39"/>
      <c r="E26015" s="39"/>
      <c r="F26015" s="39"/>
    </row>
    <row r="26016">
      <c r="D26016" s="39"/>
      <c r="E26016" s="39"/>
      <c r="F26016" s="39"/>
    </row>
    <row r="26017">
      <c r="D26017" s="39"/>
      <c r="E26017" s="39"/>
      <c r="F26017" s="39"/>
    </row>
    <row r="26018">
      <c r="D26018" s="39"/>
      <c r="E26018" s="39"/>
      <c r="F26018" s="39"/>
    </row>
    <row r="26019">
      <c r="D26019" s="39"/>
      <c r="E26019" s="39"/>
      <c r="F26019" s="39"/>
    </row>
    <row r="26020">
      <c r="D26020" s="39"/>
      <c r="E26020" s="39"/>
      <c r="F26020" s="39"/>
    </row>
    <row r="26021">
      <c r="D26021" s="39"/>
      <c r="E26021" s="39"/>
      <c r="F26021" s="39"/>
    </row>
    <row r="26022">
      <c r="D26022" s="39"/>
      <c r="E26022" s="39"/>
      <c r="F26022" s="39"/>
    </row>
    <row r="26023">
      <c r="D26023" s="39"/>
      <c r="E26023" s="39"/>
      <c r="F26023" s="39"/>
    </row>
    <row r="26024">
      <c r="D26024" s="39"/>
      <c r="E26024" s="39"/>
      <c r="F26024" s="39"/>
    </row>
    <row r="26025">
      <c r="D26025" s="39"/>
      <c r="E26025" s="39"/>
      <c r="F26025" s="39"/>
    </row>
    <row r="26026">
      <c r="D26026" s="39"/>
      <c r="E26026" s="39"/>
      <c r="F26026" s="39"/>
    </row>
    <row r="26027">
      <c r="D26027" s="39"/>
      <c r="E26027" s="39"/>
      <c r="F26027" s="39"/>
    </row>
    <row r="26028">
      <c r="D26028" s="39"/>
      <c r="E26028" s="39"/>
      <c r="F26028" s="39"/>
    </row>
    <row r="26029">
      <c r="D26029" s="39"/>
      <c r="E26029" s="39"/>
      <c r="F26029" s="39"/>
    </row>
    <row r="26030">
      <c r="D26030" s="39"/>
      <c r="E26030" s="39"/>
      <c r="F26030" s="39"/>
    </row>
    <row r="26031">
      <c r="D26031" s="39"/>
      <c r="E26031" s="39"/>
      <c r="F26031" s="39"/>
    </row>
    <row r="26032">
      <c r="D26032" s="39"/>
      <c r="E26032" s="39"/>
      <c r="F26032" s="39"/>
    </row>
    <row r="26033">
      <c r="D26033" s="39"/>
      <c r="E26033" s="39"/>
      <c r="F26033" s="39"/>
    </row>
    <row r="26034">
      <c r="D26034" s="39"/>
      <c r="E26034" s="39"/>
      <c r="F26034" s="39"/>
    </row>
    <row r="26035">
      <c r="D26035" s="39"/>
      <c r="E26035" s="39"/>
      <c r="F26035" s="39"/>
    </row>
    <row r="26036">
      <c r="D26036" s="39"/>
      <c r="E26036" s="39"/>
      <c r="F26036" s="39"/>
    </row>
    <row r="26037">
      <c r="D26037" s="39"/>
      <c r="E26037" s="39"/>
      <c r="F26037" s="39"/>
    </row>
    <row r="26038">
      <c r="D26038" s="39"/>
      <c r="E26038" s="39"/>
      <c r="F26038" s="39"/>
    </row>
    <row r="26039">
      <c r="D26039" s="39"/>
      <c r="E26039" s="39"/>
      <c r="F26039" s="39"/>
    </row>
    <row r="26040">
      <c r="D26040" s="39"/>
      <c r="E26040" s="39"/>
      <c r="F26040" s="39"/>
    </row>
    <row r="26041">
      <c r="D26041" s="39"/>
      <c r="E26041" s="39"/>
      <c r="F26041" s="39"/>
    </row>
    <row r="26042">
      <c r="D26042" s="39"/>
      <c r="E26042" s="39"/>
      <c r="F26042" s="39"/>
    </row>
    <row r="26043">
      <c r="D26043" s="39"/>
      <c r="E26043" s="39"/>
      <c r="F26043" s="39"/>
    </row>
    <row r="26044">
      <c r="D26044" s="39"/>
      <c r="E26044" s="39"/>
      <c r="F26044" s="39"/>
    </row>
    <row r="26045">
      <c r="D26045" s="39"/>
      <c r="E26045" s="39"/>
      <c r="F26045" s="39"/>
    </row>
    <row r="26046">
      <c r="D26046" s="39"/>
      <c r="E26046" s="39"/>
      <c r="F26046" s="39"/>
    </row>
    <row r="26047">
      <c r="D26047" s="39"/>
      <c r="E26047" s="39"/>
      <c r="F26047" s="39"/>
    </row>
    <row r="26048">
      <c r="D26048" s="39"/>
      <c r="E26048" s="39"/>
      <c r="F26048" s="39"/>
    </row>
    <row r="26049">
      <c r="D26049" s="39"/>
      <c r="E26049" s="39"/>
      <c r="F26049" s="39"/>
    </row>
    <row r="26050">
      <c r="D26050" s="39"/>
      <c r="E26050" s="39"/>
      <c r="F26050" s="39"/>
    </row>
    <row r="26051">
      <c r="D26051" s="39"/>
      <c r="E26051" s="39"/>
      <c r="F26051" s="39"/>
    </row>
    <row r="26052">
      <c r="D26052" s="39"/>
      <c r="E26052" s="39"/>
      <c r="F26052" s="39"/>
    </row>
    <row r="26053">
      <c r="D26053" s="39"/>
      <c r="E26053" s="39"/>
      <c r="F26053" s="39"/>
    </row>
    <row r="26054">
      <c r="D26054" s="39"/>
      <c r="E26054" s="39"/>
      <c r="F26054" s="39"/>
    </row>
    <row r="26055">
      <c r="D26055" s="39"/>
      <c r="E26055" s="39"/>
      <c r="F26055" s="39"/>
    </row>
    <row r="26056">
      <c r="D26056" s="39"/>
      <c r="E26056" s="39"/>
      <c r="F26056" s="39"/>
    </row>
    <row r="26057">
      <c r="D26057" s="39"/>
      <c r="E26057" s="39"/>
      <c r="F26057" s="39"/>
    </row>
    <row r="26058">
      <c r="D26058" s="39"/>
      <c r="E26058" s="39"/>
      <c r="F26058" s="39"/>
    </row>
    <row r="26059">
      <c r="D26059" s="39"/>
      <c r="E26059" s="39"/>
      <c r="F26059" s="39"/>
    </row>
    <row r="26060">
      <c r="D26060" s="39"/>
      <c r="E26060" s="39"/>
      <c r="F26060" s="39"/>
    </row>
    <row r="26061">
      <c r="D26061" s="39"/>
      <c r="E26061" s="39"/>
      <c r="F26061" s="39"/>
    </row>
    <row r="26062">
      <c r="D26062" s="39"/>
      <c r="E26062" s="39"/>
      <c r="F26062" s="39"/>
    </row>
    <row r="26063">
      <c r="D26063" s="39"/>
      <c r="E26063" s="39"/>
      <c r="F26063" s="39"/>
    </row>
    <row r="26064">
      <c r="D26064" s="39"/>
      <c r="E26064" s="39"/>
      <c r="F26064" s="39"/>
    </row>
    <row r="26065">
      <c r="D26065" s="39"/>
      <c r="E26065" s="39"/>
      <c r="F26065" s="39"/>
    </row>
    <row r="26066">
      <c r="D26066" s="39"/>
      <c r="E26066" s="39"/>
      <c r="F26066" s="39"/>
    </row>
    <row r="26067">
      <c r="D26067" s="39"/>
      <c r="E26067" s="39"/>
      <c r="F26067" s="39"/>
    </row>
    <row r="26068">
      <c r="D26068" s="39"/>
      <c r="E26068" s="39"/>
      <c r="F26068" s="39"/>
    </row>
    <row r="26069">
      <c r="D26069" s="39"/>
      <c r="E26069" s="39"/>
      <c r="F26069" s="39"/>
    </row>
    <row r="26070">
      <c r="D26070" s="39"/>
      <c r="E26070" s="39"/>
      <c r="F26070" s="39"/>
    </row>
    <row r="26071">
      <c r="D26071" s="39"/>
      <c r="E26071" s="39"/>
      <c r="F26071" s="39"/>
    </row>
    <row r="26072">
      <c r="D26072" s="39"/>
      <c r="E26072" s="39"/>
      <c r="F26072" s="39"/>
    </row>
    <row r="26073">
      <c r="D26073" s="39"/>
      <c r="E26073" s="39"/>
      <c r="F26073" s="39"/>
    </row>
    <row r="26074">
      <c r="D26074" s="39"/>
      <c r="E26074" s="39"/>
      <c r="F26074" s="39"/>
    </row>
    <row r="26075">
      <c r="D26075" s="39"/>
      <c r="E26075" s="39"/>
      <c r="F26075" s="39"/>
    </row>
    <row r="26076">
      <c r="D26076" s="39"/>
      <c r="E26076" s="39"/>
      <c r="F26076" s="39"/>
    </row>
    <row r="26077">
      <c r="D26077" s="39"/>
      <c r="E26077" s="39"/>
      <c r="F26077" s="39"/>
    </row>
    <row r="26078">
      <c r="D26078" s="39"/>
      <c r="E26078" s="39"/>
      <c r="F26078" s="39"/>
    </row>
    <row r="26079">
      <c r="D26079" s="39"/>
      <c r="E26079" s="39"/>
      <c r="F26079" s="39"/>
    </row>
    <row r="26080">
      <c r="D26080" s="39"/>
      <c r="E26080" s="39"/>
      <c r="F26080" s="39"/>
    </row>
    <row r="26081">
      <c r="D26081" s="39"/>
      <c r="E26081" s="39"/>
      <c r="F26081" s="39"/>
    </row>
    <row r="26082">
      <c r="D26082" s="39"/>
      <c r="E26082" s="39"/>
      <c r="F26082" s="39"/>
    </row>
    <row r="26083">
      <c r="D26083" s="39"/>
      <c r="E26083" s="39"/>
      <c r="F26083" s="39"/>
    </row>
    <row r="26084">
      <c r="D26084" s="39"/>
      <c r="E26084" s="39"/>
      <c r="F26084" s="39"/>
    </row>
    <row r="26085">
      <c r="D26085" s="39"/>
      <c r="E26085" s="39"/>
      <c r="F26085" s="39"/>
    </row>
    <row r="26086">
      <c r="D26086" s="39"/>
      <c r="E26086" s="39"/>
      <c r="F26086" s="39"/>
    </row>
    <row r="26087">
      <c r="D26087" s="39"/>
      <c r="E26087" s="39"/>
      <c r="F26087" s="39"/>
    </row>
    <row r="26088">
      <c r="D26088" s="39"/>
      <c r="E26088" s="39"/>
      <c r="F26088" s="39"/>
    </row>
    <row r="26089">
      <c r="D26089" s="39"/>
      <c r="E26089" s="39"/>
      <c r="F26089" s="39"/>
    </row>
    <row r="26090">
      <c r="D26090" s="39"/>
      <c r="E26090" s="39"/>
      <c r="F26090" s="39"/>
    </row>
    <row r="26091">
      <c r="D26091" s="39"/>
      <c r="E26091" s="39"/>
      <c r="F26091" s="39"/>
    </row>
    <row r="26092">
      <c r="D26092" s="39"/>
      <c r="E26092" s="39"/>
      <c r="F26092" s="39"/>
    </row>
    <row r="26093">
      <c r="D26093" s="39"/>
      <c r="E26093" s="39"/>
      <c r="F26093" s="39"/>
    </row>
    <row r="26094">
      <c r="D26094" s="39"/>
      <c r="E26094" s="39"/>
      <c r="F26094" s="39"/>
    </row>
    <row r="26095">
      <c r="D26095" s="39"/>
      <c r="E26095" s="39"/>
      <c r="F26095" s="39"/>
    </row>
    <row r="26096">
      <c r="D26096" s="39"/>
      <c r="E26096" s="39"/>
      <c r="F26096" s="39"/>
    </row>
    <row r="26097">
      <c r="D26097" s="39"/>
      <c r="E26097" s="39"/>
      <c r="F26097" s="39"/>
    </row>
    <row r="26098">
      <c r="D26098" s="39"/>
      <c r="E26098" s="39"/>
      <c r="F26098" s="39"/>
    </row>
    <row r="26099">
      <c r="D26099" s="39"/>
      <c r="E26099" s="39"/>
      <c r="F26099" s="39"/>
    </row>
    <row r="26100">
      <c r="D26100" s="39"/>
      <c r="E26100" s="39"/>
      <c r="F26100" s="39"/>
    </row>
    <row r="26101">
      <c r="D26101" s="39"/>
      <c r="E26101" s="39"/>
      <c r="F26101" s="39"/>
    </row>
    <row r="26102">
      <c r="D26102" s="39"/>
      <c r="E26102" s="39"/>
      <c r="F26102" s="39"/>
    </row>
    <row r="26103">
      <c r="D26103" s="39"/>
      <c r="E26103" s="39"/>
      <c r="F26103" s="39"/>
    </row>
    <row r="26104">
      <c r="D26104" s="39"/>
      <c r="E26104" s="39"/>
      <c r="F26104" s="39"/>
    </row>
    <row r="26105">
      <c r="D26105" s="39"/>
      <c r="E26105" s="39"/>
      <c r="F26105" s="39"/>
    </row>
    <row r="26106">
      <c r="D26106" s="39"/>
      <c r="E26106" s="39"/>
      <c r="F26106" s="39"/>
    </row>
    <row r="26107">
      <c r="D26107" s="39"/>
      <c r="E26107" s="39"/>
      <c r="F26107" s="39"/>
    </row>
    <row r="26108">
      <c r="D26108" s="39"/>
      <c r="E26108" s="39"/>
      <c r="F26108" s="39"/>
    </row>
    <row r="26109">
      <c r="D26109" s="39"/>
      <c r="E26109" s="39"/>
      <c r="F26109" s="39"/>
    </row>
    <row r="26110">
      <c r="D26110" s="39"/>
      <c r="E26110" s="39"/>
      <c r="F26110" s="39"/>
    </row>
    <row r="26111">
      <c r="D26111" s="39"/>
      <c r="E26111" s="39"/>
      <c r="F26111" s="39"/>
    </row>
    <row r="26112">
      <c r="D26112" s="39"/>
      <c r="E26112" s="39"/>
      <c r="F26112" s="39"/>
    </row>
    <row r="26113">
      <c r="D26113" s="39"/>
      <c r="E26113" s="39"/>
      <c r="F26113" s="39"/>
    </row>
    <row r="26114">
      <c r="D26114" s="39"/>
      <c r="E26114" s="39"/>
      <c r="F26114" s="39"/>
    </row>
    <row r="26115">
      <c r="D26115" s="39"/>
      <c r="E26115" s="39"/>
      <c r="F26115" s="39"/>
    </row>
    <row r="26116">
      <c r="D26116" s="39"/>
      <c r="E26116" s="39"/>
      <c r="F26116" s="39"/>
    </row>
    <row r="26117">
      <c r="D26117" s="39"/>
      <c r="E26117" s="39"/>
      <c r="F26117" s="39"/>
    </row>
    <row r="26118">
      <c r="D26118" s="39"/>
      <c r="E26118" s="39"/>
      <c r="F26118" s="39"/>
    </row>
    <row r="26119">
      <c r="D26119" s="39"/>
      <c r="E26119" s="39"/>
      <c r="F26119" s="39"/>
    </row>
    <row r="26120">
      <c r="D26120" s="39"/>
      <c r="E26120" s="39"/>
      <c r="F26120" s="39"/>
    </row>
    <row r="26121">
      <c r="D26121" s="39"/>
      <c r="E26121" s="39"/>
      <c r="F26121" s="39"/>
    </row>
    <row r="26122">
      <c r="D26122" s="39"/>
      <c r="E26122" s="39"/>
      <c r="F26122" s="39"/>
    </row>
    <row r="26123">
      <c r="D26123" s="39"/>
      <c r="E26123" s="39"/>
      <c r="F26123" s="39"/>
    </row>
    <row r="26124">
      <c r="D26124" s="39"/>
      <c r="E26124" s="39"/>
      <c r="F26124" s="39"/>
    </row>
    <row r="26125">
      <c r="D26125" s="39"/>
      <c r="E26125" s="39"/>
      <c r="F26125" s="39"/>
    </row>
    <row r="26126">
      <c r="D26126" s="39"/>
      <c r="E26126" s="39"/>
      <c r="F26126" s="39"/>
    </row>
    <row r="26127">
      <c r="D26127" s="39"/>
      <c r="E26127" s="39"/>
      <c r="F26127" s="39"/>
    </row>
    <row r="26128">
      <c r="D26128" s="39"/>
      <c r="E26128" s="39"/>
      <c r="F26128" s="39"/>
    </row>
    <row r="26129">
      <c r="D26129" s="39"/>
      <c r="E26129" s="39"/>
      <c r="F26129" s="39"/>
    </row>
    <row r="26130">
      <c r="D26130" s="39"/>
      <c r="E26130" s="39"/>
      <c r="F26130" s="39"/>
    </row>
    <row r="26131">
      <c r="D26131" s="39"/>
      <c r="E26131" s="39"/>
      <c r="F26131" s="39"/>
    </row>
    <row r="26132">
      <c r="D26132" s="39"/>
      <c r="E26132" s="39"/>
      <c r="F26132" s="39"/>
    </row>
    <row r="26133">
      <c r="D26133" s="39"/>
      <c r="E26133" s="39"/>
      <c r="F26133" s="39"/>
    </row>
    <row r="26134">
      <c r="D26134" s="39"/>
      <c r="E26134" s="39"/>
      <c r="F26134" s="39"/>
    </row>
    <row r="26135">
      <c r="D26135" s="39"/>
      <c r="E26135" s="39"/>
      <c r="F26135" s="39"/>
    </row>
    <row r="26136">
      <c r="D26136" s="39"/>
      <c r="E26136" s="39"/>
      <c r="F26136" s="39"/>
    </row>
    <row r="26137">
      <c r="D26137" s="39"/>
      <c r="E26137" s="39"/>
      <c r="F26137" s="39"/>
    </row>
    <row r="26138">
      <c r="D26138" s="39"/>
      <c r="E26138" s="39"/>
      <c r="F26138" s="39"/>
    </row>
    <row r="26139">
      <c r="D26139" s="39"/>
      <c r="E26139" s="39"/>
      <c r="F26139" s="39"/>
    </row>
    <row r="26140">
      <c r="D26140" s="39"/>
      <c r="E26140" s="39"/>
      <c r="F26140" s="39"/>
    </row>
    <row r="26141">
      <c r="D26141" s="39"/>
      <c r="E26141" s="39"/>
      <c r="F26141" s="39"/>
    </row>
    <row r="26142">
      <c r="D26142" s="39"/>
      <c r="E26142" s="39"/>
      <c r="F26142" s="39"/>
    </row>
    <row r="26143">
      <c r="D26143" s="39"/>
      <c r="E26143" s="39"/>
      <c r="F26143" s="39"/>
    </row>
    <row r="26144">
      <c r="D26144" s="39"/>
      <c r="E26144" s="39"/>
      <c r="F26144" s="39"/>
    </row>
    <row r="26145">
      <c r="D26145" s="39"/>
      <c r="E26145" s="39"/>
      <c r="F26145" s="39"/>
    </row>
    <row r="26146">
      <c r="D26146" s="39"/>
      <c r="E26146" s="39"/>
      <c r="F26146" s="39"/>
    </row>
    <row r="26147">
      <c r="D26147" s="39"/>
      <c r="E26147" s="39"/>
      <c r="F26147" s="39"/>
    </row>
    <row r="26148">
      <c r="D26148" s="39"/>
      <c r="E26148" s="39"/>
      <c r="F26148" s="39"/>
    </row>
    <row r="26149">
      <c r="D26149" s="39"/>
      <c r="E26149" s="39"/>
      <c r="F26149" s="39"/>
    </row>
    <row r="26150">
      <c r="D26150" s="39"/>
      <c r="E26150" s="39"/>
      <c r="F26150" s="39"/>
    </row>
    <row r="26151">
      <c r="D26151" s="39"/>
      <c r="E26151" s="39"/>
      <c r="F26151" s="39"/>
    </row>
    <row r="26152">
      <c r="D26152" s="39"/>
      <c r="E26152" s="39"/>
      <c r="F26152" s="39"/>
    </row>
    <row r="26153">
      <c r="D26153" s="39"/>
      <c r="E26153" s="39"/>
      <c r="F26153" s="39"/>
    </row>
    <row r="26154">
      <c r="D26154" s="39"/>
      <c r="E26154" s="39"/>
      <c r="F26154" s="39"/>
    </row>
    <row r="26155">
      <c r="D26155" s="39"/>
      <c r="E26155" s="39"/>
      <c r="F26155" s="39"/>
    </row>
    <row r="26156">
      <c r="D26156" s="39"/>
      <c r="E26156" s="39"/>
      <c r="F26156" s="39"/>
    </row>
    <row r="26157">
      <c r="D26157" s="39"/>
      <c r="E26157" s="39"/>
      <c r="F26157" s="39"/>
    </row>
    <row r="26158">
      <c r="D26158" s="39"/>
      <c r="E26158" s="39"/>
      <c r="F26158" s="39"/>
    </row>
    <row r="26159">
      <c r="D26159" s="39"/>
      <c r="E26159" s="39"/>
      <c r="F26159" s="39"/>
    </row>
    <row r="26160">
      <c r="D26160" s="39"/>
      <c r="E26160" s="39"/>
      <c r="F26160" s="39"/>
    </row>
    <row r="26161">
      <c r="D26161" s="39"/>
      <c r="E26161" s="39"/>
      <c r="F26161" s="39"/>
    </row>
    <row r="26162">
      <c r="D26162" s="39"/>
      <c r="E26162" s="39"/>
      <c r="F26162" s="39"/>
    </row>
    <row r="26163">
      <c r="D26163" s="39"/>
      <c r="E26163" s="39"/>
      <c r="F26163" s="39"/>
    </row>
    <row r="26164">
      <c r="D26164" s="39"/>
      <c r="E26164" s="39"/>
      <c r="F26164" s="39"/>
    </row>
    <row r="26165">
      <c r="D26165" s="39"/>
      <c r="E26165" s="39"/>
      <c r="F26165" s="39"/>
    </row>
    <row r="26166">
      <c r="D26166" s="39"/>
      <c r="E26166" s="39"/>
      <c r="F26166" s="39"/>
    </row>
    <row r="26167">
      <c r="D26167" s="39"/>
      <c r="E26167" s="39"/>
      <c r="F26167" s="39"/>
    </row>
    <row r="26168">
      <c r="D26168" s="39"/>
      <c r="E26168" s="39"/>
      <c r="F26168" s="39"/>
    </row>
    <row r="26169">
      <c r="D26169" s="39"/>
      <c r="E26169" s="39"/>
      <c r="F26169" s="39"/>
    </row>
    <row r="26170">
      <c r="D26170" s="39"/>
      <c r="E26170" s="39"/>
      <c r="F26170" s="39"/>
    </row>
    <row r="26171">
      <c r="D26171" s="39"/>
      <c r="E26171" s="39"/>
      <c r="F26171" s="39"/>
    </row>
    <row r="26172">
      <c r="D26172" s="39"/>
      <c r="E26172" s="39"/>
      <c r="F26172" s="39"/>
    </row>
    <row r="26173">
      <c r="D26173" s="39"/>
      <c r="E26173" s="39"/>
      <c r="F26173" s="39"/>
    </row>
    <row r="26174">
      <c r="D26174" s="39"/>
      <c r="E26174" s="39"/>
      <c r="F26174" s="39"/>
    </row>
    <row r="26175">
      <c r="D26175" s="39"/>
      <c r="E26175" s="39"/>
      <c r="F26175" s="39"/>
    </row>
    <row r="26176">
      <c r="D26176" s="39"/>
      <c r="E26176" s="39"/>
      <c r="F26176" s="39"/>
    </row>
    <row r="26177">
      <c r="D26177" s="39"/>
      <c r="E26177" s="39"/>
      <c r="F26177" s="39"/>
    </row>
    <row r="26178">
      <c r="D26178" s="39"/>
      <c r="E26178" s="39"/>
      <c r="F26178" s="39"/>
    </row>
    <row r="26179">
      <c r="D26179" s="39"/>
      <c r="E26179" s="39"/>
      <c r="F26179" s="39"/>
    </row>
    <row r="26180">
      <c r="D26180" s="39"/>
      <c r="E26180" s="39"/>
      <c r="F26180" s="39"/>
    </row>
    <row r="26181">
      <c r="D26181" s="39"/>
      <c r="E26181" s="39"/>
      <c r="F26181" s="39"/>
    </row>
    <row r="26182">
      <c r="D26182" s="39"/>
      <c r="E26182" s="39"/>
      <c r="F26182" s="39"/>
    </row>
    <row r="26183">
      <c r="D26183" s="39"/>
      <c r="E26183" s="39"/>
      <c r="F26183" s="39"/>
    </row>
    <row r="26184">
      <c r="D26184" s="39"/>
      <c r="E26184" s="39"/>
      <c r="F26184" s="39"/>
    </row>
    <row r="26185">
      <c r="D26185" s="39"/>
      <c r="E26185" s="39"/>
      <c r="F26185" s="39"/>
    </row>
    <row r="26186">
      <c r="D26186" s="39"/>
      <c r="E26186" s="39"/>
      <c r="F26186" s="39"/>
    </row>
    <row r="26187">
      <c r="D26187" s="39"/>
      <c r="E26187" s="39"/>
      <c r="F26187" s="39"/>
    </row>
    <row r="26188">
      <c r="D26188" s="39"/>
      <c r="E26188" s="39"/>
      <c r="F26188" s="39"/>
    </row>
    <row r="26189">
      <c r="D26189" s="39"/>
      <c r="E26189" s="39"/>
      <c r="F26189" s="39"/>
    </row>
    <row r="26190">
      <c r="D26190" s="39"/>
      <c r="E26190" s="39"/>
      <c r="F26190" s="39"/>
    </row>
    <row r="26191">
      <c r="D26191" s="39"/>
      <c r="E26191" s="39"/>
      <c r="F26191" s="39"/>
    </row>
    <row r="26192">
      <c r="D26192" s="39"/>
      <c r="E26192" s="39"/>
      <c r="F26192" s="39"/>
    </row>
    <row r="26193">
      <c r="D26193" s="39"/>
      <c r="E26193" s="39"/>
      <c r="F26193" s="39"/>
    </row>
    <row r="26194">
      <c r="D26194" s="39"/>
      <c r="E26194" s="39"/>
      <c r="F26194" s="39"/>
    </row>
    <row r="26195">
      <c r="D26195" s="39"/>
      <c r="E26195" s="39"/>
      <c r="F26195" s="39"/>
    </row>
    <row r="26196">
      <c r="D26196" s="39"/>
      <c r="E26196" s="39"/>
      <c r="F26196" s="39"/>
    </row>
    <row r="26197">
      <c r="D26197" s="39"/>
      <c r="E26197" s="39"/>
      <c r="F26197" s="39"/>
    </row>
    <row r="26198">
      <c r="D26198" s="39"/>
      <c r="E26198" s="39"/>
      <c r="F26198" s="39"/>
    </row>
    <row r="26199">
      <c r="D26199" s="39"/>
      <c r="E26199" s="39"/>
      <c r="F26199" s="39"/>
    </row>
    <row r="26200">
      <c r="D26200" s="39"/>
      <c r="E26200" s="39"/>
      <c r="F26200" s="39"/>
    </row>
    <row r="26201">
      <c r="D26201" s="39"/>
      <c r="E26201" s="39"/>
      <c r="F26201" s="39"/>
    </row>
    <row r="26202">
      <c r="D26202" s="39"/>
      <c r="E26202" s="39"/>
      <c r="F26202" s="39"/>
    </row>
    <row r="26203">
      <c r="D26203" s="39"/>
      <c r="E26203" s="39"/>
      <c r="F26203" s="39"/>
    </row>
    <row r="26204">
      <c r="D26204" s="39"/>
      <c r="E26204" s="39"/>
      <c r="F26204" s="39"/>
    </row>
    <row r="26205">
      <c r="D26205" s="39"/>
      <c r="E26205" s="39"/>
      <c r="F26205" s="39"/>
    </row>
    <row r="26206">
      <c r="D26206" s="39"/>
      <c r="E26206" s="39"/>
      <c r="F26206" s="39"/>
    </row>
    <row r="26207">
      <c r="D26207" s="39"/>
      <c r="E26207" s="39"/>
      <c r="F26207" s="39"/>
    </row>
    <row r="26208">
      <c r="D26208" s="39"/>
      <c r="E26208" s="39"/>
      <c r="F26208" s="39"/>
    </row>
    <row r="26209">
      <c r="D26209" s="39"/>
      <c r="E26209" s="39"/>
      <c r="F26209" s="39"/>
    </row>
    <row r="26210">
      <c r="D26210" s="39"/>
      <c r="E26210" s="39"/>
      <c r="F26210" s="39"/>
    </row>
    <row r="26211">
      <c r="D26211" s="39"/>
      <c r="E26211" s="39"/>
      <c r="F26211" s="39"/>
    </row>
    <row r="26212">
      <c r="D26212" s="39"/>
      <c r="E26212" s="39"/>
      <c r="F26212" s="39"/>
    </row>
    <row r="26213">
      <c r="D26213" s="39"/>
      <c r="E26213" s="39"/>
      <c r="F26213" s="39"/>
    </row>
    <row r="26214">
      <c r="D26214" s="39"/>
      <c r="E26214" s="39"/>
      <c r="F26214" s="39"/>
    </row>
    <row r="26215">
      <c r="D26215" s="39"/>
      <c r="E26215" s="39"/>
      <c r="F26215" s="39"/>
    </row>
    <row r="26216">
      <c r="D26216" s="39"/>
      <c r="E26216" s="39"/>
      <c r="F26216" s="39"/>
    </row>
    <row r="26217">
      <c r="D26217" s="39"/>
      <c r="E26217" s="39"/>
      <c r="F26217" s="39"/>
    </row>
    <row r="26218">
      <c r="D26218" s="39"/>
      <c r="E26218" s="39"/>
      <c r="F26218" s="39"/>
    </row>
    <row r="26219">
      <c r="D26219" s="39"/>
      <c r="E26219" s="39"/>
      <c r="F26219" s="39"/>
    </row>
    <row r="26220">
      <c r="D26220" s="39"/>
      <c r="E26220" s="39"/>
      <c r="F26220" s="39"/>
    </row>
    <row r="26221">
      <c r="D26221" s="39"/>
      <c r="E26221" s="39"/>
      <c r="F26221" s="39"/>
    </row>
    <row r="26222">
      <c r="D26222" s="39"/>
      <c r="E26222" s="39"/>
      <c r="F26222" s="39"/>
    </row>
    <row r="26223">
      <c r="D26223" s="39"/>
      <c r="E26223" s="39"/>
      <c r="F26223" s="39"/>
    </row>
    <row r="26224">
      <c r="D26224" s="39"/>
      <c r="E26224" s="39"/>
      <c r="F26224" s="39"/>
    </row>
    <row r="26225">
      <c r="D26225" s="39"/>
      <c r="E26225" s="39"/>
      <c r="F26225" s="39"/>
    </row>
    <row r="26226">
      <c r="D26226" s="39"/>
      <c r="E26226" s="39"/>
      <c r="F26226" s="39"/>
    </row>
    <row r="26227">
      <c r="D26227" s="39"/>
      <c r="E26227" s="39"/>
      <c r="F26227" s="39"/>
    </row>
    <row r="26228">
      <c r="D26228" s="39"/>
      <c r="E26228" s="39"/>
      <c r="F26228" s="39"/>
    </row>
    <row r="26229">
      <c r="D26229" s="39"/>
      <c r="E26229" s="39"/>
      <c r="F26229" s="39"/>
    </row>
    <row r="26230">
      <c r="D26230" s="39"/>
      <c r="E26230" s="39"/>
      <c r="F26230" s="39"/>
    </row>
    <row r="26231">
      <c r="D26231" s="39"/>
      <c r="E26231" s="39"/>
      <c r="F26231" s="39"/>
    </row>
    <row r="26232">
      <c r="D26232" s="39"/>
      <c r="E26232" s="39"/>
      <c r="F26232" s="39"/>
    </row>
    <row r="26233">
      <c r="D26233" s="39"/>
      <c r="E26233" s="39"/>
      <c r="F26233" s="39"/>
    </row>
    <row r="26234">
      <c r="D26234" s="39"/>
      <c r="E26234" s="39"/>
      <c r="F26234" s="39"/>
    </row>
    <row r="26235">
      <c r="D26235" s="39"/>
      <c r="E26235" s="39"/>
      <c r="F26235" s="39"/>
    </row>
    <row r="26236">
      <c r="D26236" s="39"/>
      <c r="E26236" s="39"/>
      <c r="F26236" s="39"/>
    </row>
    <row r="26237">
      <c r="D26237" s="39"/>
      <c r="E26237" s="39"/>
      <c r="F26237" s="39"/>
    </row>
    <row r="26238">
      <c r="D26238" s="39"/>
      <c r="E26238" s="39"/>
      <c r="F26238" s="39"/>
    </row>
    <row r="26239">
      <c r="D26239" s="39"/>
      <c r="E26239" s="39"/>
      <c r="F26239" s="39"/>
    </row>
    <row r="26240">
      <c r="D26240" s="39"/>
      <c r="E26240" s="39"/>
      <c r="F26240" s="39"/>
    </row>
    <row r="26241">
      <c r="D26241" s="39"/>
      <c r="E26241" s="39"/>
      <c r="F26241" s="39"/>
    </row>
    <row r="26242">
      <c r="D26242" s="39"/>
      <c r="E26242" s="39"/>
      <c r="F26242" s="39"/>
    </row>
    <row r="26243">
      <c r="D26243" s="39"/>
      <c r="E26243" s="39"/>
      <c r="F26243" s="39"/>
    </row>
    <row r="26244">
      <c r="D26244" s="39"/>
      <c r="E26244" s="39"/>
      <c r="F26244" s="39"/>
    </row>
    <row r="26245">
      <c r="D26245" s="39"/>
      <c r="E26245" s="39"/>
      <c r="F26245" s="39"/>
    </row>
    <row r="26246">
      <c r="D26246" s="39"/>
      <c r="E26246" s="39"/>
      <c r="F26246" s="39"/>
    </row>
    <row r="26247">
      <c r="D26247" s="39"/>
      <c r="E26247" s="39"/>
      <c r="F26247" s="39"/>
    </row>
    <row r="26248">
      <c r="D26248" s="39"/>
      <c r="E26248" s="39"/>
      <c r="F26248" s="39"/>
    </row>
    <row r="26249">
      <c r="D26249" s="39"/>
      <c r="E26249" s="39"/>
      <c r="F26249" s="39"/>
    </row>
    <row r="26250">
      <c r="D26250" s="39"/>
      <c r="E26250" s="39"/>
      <c r="F26250" s="39"/>
    </row>
    <row r="26251">
      <c r="D26251" s="39"/>
      <c r="E26251" s="39"/>
      <c r="F26251" s="39"/>
    </row>
    <row r="26252">
      <c r="D26252" s="39"/>
      <c r="E26252" s="39"/>
      <c r="F26252" s="39"/>
    </row>
    <row r="26253">
      <c r="D26253" s="39"/>
      <c r="E26253" s="39"/>
      <c r="F26253" s="39"/>
    </row>
    <row r="26254">
      <c r="D26254" s="39"/>
      <c r="E26254" s="39"/>
      <c r="F26254" s="39"/>
    </row>
    <row r="26255">
      <c r="D26255" s="39"/>
      <c r="E26255" s="39"/>
      <c r="F26255" s="39"/>
    </row>
    <row r="26256">
      <c r="D26256" s="39"/>
      <c r="E26256" s="39"/>
      <c r="F26256" s="39"/>
    </row>
    <row r="26257">
      <c r="D26257" s="39"/>
      <c r="E26257" s="39"/>
      <c r="F26257" s="39"/>
    </row>
    <row r="26258">
      <c r="D26258" s="39"/>
      <c r="E26258" s="39"/>
      <c r="F26258" s="39"/>
    </row>
    <row r="26259">
      <c r="D26259" s="39"/>
      <c r="E26259" s="39"/>
      <c r="F26259" s="39"/>
    </row>
    <row r="26260">
      <c r="D26260" s="39"/>
      <c r="E26260" s="39"/>
      <c r="F26260" s="39"/>
    </row>
    <row r="26261">
      <c r="D26261" s="39"/>
      <c r="E26261" s="39"/>
      <c r="F26261" s="39"/>
    </row>
    <row r="26262">
      <c r="D26262" s="39"/>
      <c r="E26262" s="39"/>
      <c r="F26262" s="39"/>
    </row>
    <row r="26263">
      <c r="D26263" s="39"/>
      <c r="E26263" s="39"/>
      <c r="F26263" s="39"/>
    </row>
    <row r="26264">
      <c r="D26264" s="39"/>
      <c r="E26264" s="39"/>
      <c r="F26264" s="39"/>
    </row>
    <row r="26265">
      <c r="D26265" s="39"/>
      <c r="E26265" s="39"/>
      <c r="F26265" s="39"/>
    </row>
    <row r="26266">
      <c r="D26266" s="39"/>
      <c r="E26266" s="39"/>
      <c r="F26266" s="39"/>
    </row>
    <row r="26267">
      <c r="D26267" s="39"/>
      <c r="E26267" s="39"/>
      <c r="F26267" s="39"/>
    </row>
    <row r="26268">
      <c r="D26268" s="39"/>
      <c r="E26268" s="39"/>
      <c r="F26268" s="39"/>
    </row>
    <row r="26269">
      <c r="D26269" s="39"/>
      <c r="E26269" s="39"/>
      <c r="F26269" s="39"/>
    </row>
    <row r="26270">
      <c r="D26270" s="39"/>
      <c r="E26270" s="39"/>
      <c r="F26270" s="39"/>
    </row>
    <row r="26271">
      <c r="D26271" s="39"/>
      <c r="E26271" s="39"/>
      <c r="F26271" s="39"/>
    </row>
    <row r="26272">
      <c r="D26272" s="39"/>
      <c r="E26272" s="39"/>
      <c r="F26272" s="39"/>
    </row>
    <row r="26273">
      <c r="D26273" s="39"/>
      <c r="E26273" s="39"/>
      <c r="F26273" s="39"/>
    </row>
    <row r="26274">
      <c r="D26274" s="39"/>
      <c r="E26274" s="39"/>
      <c r="F26274" s="39"/>
    </row>
    <row r="26275">
      <c r="D26275" s="39"/>
      <c r="E26275" s="39"/>
      <c r="F26275" s="39"/>
    </row>
    <row r="26276">
      <c r="D26276" s="39"/>
      <c r="E26276" s="39"/>
      <c r="F26276" s="39"/>
    </row>
    <row r="26277">
      <c r="D26277" s="39"/>
      <c r="E26277" s="39"/>
      <c r="F26277" s="39"/>
    </row>
    <row r="26278">
      <c r="D26278" s="39"/>
      <c r="E26278" s="39"/>
      <c r="F26278" s="39"/>
    </row>
    <row r="26279">
      <c r="D26279" s="39"/>
      <c r="E26279" s="39"/>
      <c r="F26279" s="39"/>
    </row>
    <row r="26280">
      <c r="D26280" s="39"/>
      <c r="E26280" s="39"/>
      <c r="F26280" s="39"/>
    </row>
    <row r="26281">
      <c r="D26281" s="39"/>
      <c r="E26281" s="39"/>
      <c r="F26281" s="39"/>
    </row>
    <row r="26282">
      <c r="D26282" s="39"/>
      <c r="E26282" s="39"/>
      <c r="F26282" s="39"/>
    </row>
    <row r="26283">
      <c r="D26283" s="39"/>
      <c r="E26283" s="39"/>
      <c r="F26283" s="39"/>
    </row>
    <row r="26284">
      <c r="D26284" s="39"/>
      <c r="E26284" s="39"/>
      <c r="F26284" s="39"/>
    </row>
    <row r="26285">
      <c r="D26285" s="39"/>
      <c r="E26285" s="39"/>
      <c r="F26285" s="39"/>
    </row>
    <row r="26286">
      <c r="D26286" s="39"/>
      <c r="E26286" s="39"/>
      <c r="F26286" s="39"/>
    </row>
    <row r="26287">
      <c r="D26287" s="39"/>
      <c r="E26287" s="39"/>
      <c r="F26287" s="39"/>
    </row>
    <row r="26288">
      <c r="D26288" s="39"/>
      <c r="E26288" s="39"/>
      <c r="F26288" s="39"/>
    </row>
    <row r="26289">
      <c r="D26289" s="39"/>
      <c r="E26289" s="39"/>
      <c r="F26289" s="39"/>
    </row>
    <row r="26290">
      <c r="D26290" s="39"/>
      <c r="E26290" s="39"/>
      <c r="F26290" s="39"/>
    </row>
    <row r="26291">
      <c r="D26291" s="39"/>
      <c r="E26291" s="39"/>
      <c r="F26291" s="39"/>
    </row>
    <row r="26292">
      <c r="D26292" s="39"/>
      <c r="E26292" s="39"/>
      <c r="F26292" s="39"/>
    </row>
    <row r="26293">
      <c r="D26293" s="39"/>
      <c r="E26293" s="39"/>
      <c r="F26293" s="39"/>
    </row>
    <row r="26294">
      <c r="D26294" s="39"/>
      <c r="E26294" s="39"/>
      <c r="F26294" s="39"/>
    </row>
    <row r="26295">
      <c r="D26295" s="39"/>
      <c r="E26295" s="39"/>
      <c r="F26295" s="39"/>
    </row>
    <row r="26296">
      <c r="D26296" s="39"/>
      <c r="E26296" s="39"/>
      <c r="F26296" s="39"/>
    </row>
    <row r="26297">
      <c r="D26297" s="39"/>
      <c r="E26297" s="39"/>
      <c r="F26297" s="39"/>
    </row>
    <row r="26298">
      <c r="D26298" s="39"/>
      <c r="E26298" s="39"/>
      <c r="F26298" s="39"/>
    </row>
    <row r="26299">
      <c r="D26299" s="39"/>
      <c r="E26299" s="39"/>
      <c r="F26299" s="39"/>
    </row>
    <row r="26300">
      <c r="D26300" s="39"/>
      <c r="E26300" s="39"/>
      <c r="F26300" s="39"/>
    </row>
    <row r="26301">
      <c r="D26301" s="39"/>
      <c r="E26301" s="39"/>
      <c r="F26301" s="39"/>
    </row>
    <row r="26302">
      <c r="D26302" s="39"/>
      <c r="E26302" s="39"/>
      <c r="F26302" s="39"/>
    </row>
    <row r="26303">
      <c r="D26303" s="39"/>
      <c r="E26303" s="39"/>
      <c r="F26303" s="39"/>
    </row>
    <row r="26304">
      <c r="D26304" s="39"/>
      <c r="E26304" s="39"/>
      <c r="F26304" s="39"/>
    </row>
    <row r="26305">
      <c r="D26305" s="39"/>
      <c r="E26305" s="39"/>
      <c r="F26305" s="39"/>
    </row>
    <row r="26306">
      <c r="D26306" s="39"/>
      <c r="E26306" s="39"/>
      <c r="F26306" s="39"/>
    </row>
    <row r="26307">
      <c r="D26307" s="39"/>
      <c r="E26307" s="39"/>
      <c r="F26307" s="39"/>
    </row>
    <row r="26308">
      <c r="D26308" s="39"/>
      <c r="E26308" s="39"/>
      <c r="F26308" s="39"/>
    </row>
    <row r="26309">
      <c r="D26309" s="39"/>
      <c r="E26309" s="39"/>
      <c r="F26309" s="39"/>
    </row>
    <row r="26310">
      <c r="D26310" s="39"/>
      <c r="E26310" s="39"/>
      <c r="F26310" s="39"/>
    </row>
    <row r="26311">
      <c r="D26311" s="39"/>
      <c r="E26311" s="39"/>
      <c r="F26311" s="39"/>
    </row>
    <row r="26312">
      <c r="D26312" s="39"/>
      <c r="E26312" s="39"/>
      <c r="F26312" s="39"/>
    </row>
    <row r="26313">
      <c r="D26313" s="39"/>
      <c r="E26313" s="39"/>
      <c r="F26313" s="39"/>
    </row>
    <row r="26314">
      <c r="D26314" s="39"/>
      <c r="E26314" s="39"/>
      <c r="F26314" s="39"/>
    </row>
    <row r="26315">
      <c r="D26315" s="39"/>
      <c r="E26315" s="39"/>
      <c r="F26315" s="39"/>
    </row>
    <row r="26316">
      <c r="D26316" s="39"/>
      <c r="E26316" s="39"/>
      <c r="F26316" s="39"/>
    </row>
    <row r="26317">
      <c r="D26317" s="39"/>
      <c r="E26317" s="39"/>
      <c r="F26317" s="39"/>
    </row>
    <row r="26318">
      <c r="D26318" s="39"/>
      <c r="E26318" s="39"/>
      <c r="F26318" s="39"/>
    </row>
    <row r="26319">
      <c r="D26319" s="39"/>
      <c r="E26319" s="39"/>
      <c r="F26319" s="39"/>
    </row>
    <row r="26320">
      <c r="D26320" s="39"/>
      <c r="E26320" s="39"/>
      <c r="F26320" s="39"/>
    </row>
    <row r="26321">
      <c r="D26321" s="39"/>
      <c r="E26321" s="39"/>
      <c r="F26321" s="39"/>
    </row>
    <row r="26322">
      <c r="D26322" s="39"/>
      <c r="E26322" s="39"/>
      <c r="F26322" s="39"/>
    </row>
    <row r="26323">
      <c r="D26323" s="39"/>
      <c r="E26323" s="39"/>
      <c r="F26323" s="39"/>
    </row>
    <row r="26324">
      <c r="D26324" s="39"/>
      <c r="E26324" s="39"/>
      <c r="F26324" s="39"/>
    </row>
    <row r="26325">
      <c r="D26325" s="39"/>
      <c r="E26325" s="39"/>
      <c r="F26325" s="39"/>
    </row>
    <row r="26326">
      <c r="D26326" s="39"/>
      <c r="E26326" s="39"/>
      <c r="F26326" s="39"/>
    </row>
    <row r="26327">
      <c r="D26327" s="39"/>
      <c r="E26327" s="39"/>
      <c r="F26327" s="39"/>
    </row>
    <row r="26328">
      <c r="D26328" s="39"/>
      <c r="E26328" s="39"/>
      <c r="F26328" s="39"/>
    </row>
    <row r="26329">
      <c r="D26329" s="39"/>
      <c r="E26329" s="39"/>
      <c r="F26329" s="39"/>
    </row>
    <row r="26330">
      <c r="D26330" s="39"/>
      <c r="E26330" s="39"/>
      <c r="F26330" s="39"/>
    </row>
    <row r="26331">
      <c r="D26331" s="39"/>
      <c r="E26331" s="39"/>
      <c r="F26331" s="39"/>
    </row>
    <row r="26332">
      <c r="D26332" s="39"/>
      <c r="E26332" s="39"/>
      <c r="F26332" s="39"/>
    </row>
    <row r="26333">
      <c r="D26333" s="39"/>
      <c r="E26333" s="39"/>
      <c r="F26333" s="39"/>
    </row>
    <row r="26334">
      <c r="D26334" s="39"/>
      <c r="E26334" s="39"/>
      <c r="F26334" s="39"/>
    </row>
    <row r="26335">
      <c r="D26335" s="39"/>
      <c r="E26335" s="39"/>
      <c r="F26335" s="39"/>
    </row>
    <row r="26336">
      <c r="D26336" s="39"/>
      <c r="E26336" s="39"/>
      <c r="F26336" s="39"/>
    </row>
    <row r="26337">
      <c r="D26337" s="39"/>
      <c r="E26337" s="39"/>
      <c r="F26337" s="39"/>
    </row>
    <row r="26338">
      <c r="D26338" s="39"/>
      <c r="E26338" s="39"/>
      <c r="F26338" s="39"/>
    </row>
    <row r="26339">
      <c r="D26339" s="39"/>
      <c r="E26339" s="39"/>
      <c r="F26339" s="39"/>
    </row>
    <row r="26340">
      <c r="D26340" s="39"/>
      <c r="E26340" s="39"/>
      <c r="F26340" s="39"/>
    </row>
    <row r="26341">
      <c r="D26341" s="39"/>
      <c r="E26341" s="39"/>
      <c r="F26341" s="39"/>
    </row>
    <row r="26342">
      <c r="D26342" s="39"/>
      <c r="E26342" s="39"/>
      <c r="F26342" s="39"/>
    </row>
    <row r="26343">
      <c r="D26343" s="39"/>
      <c r="E26343" s="39"/>
      <c r="F26343" s="39"/>
    </row>
    <row r="26344">
      <c r="D26344" s="39"/>
      <c r="E26344" s="39"/>
      <c r="F26344" s="39"/>
    </row>
    <row r="26345">
      <c r="D26345" s="39"/>
      <c r="E26345" s="39"/>
      <c r="F26345" s="39"/>
    </row>
    <row r="26346">
      <c r="D26346" s="39"/>
      <c r="E26346" s="39"/>
      <c r="F26346" s="39"/>
    </row>
    <row r="26347">
      <c r="D26347" s="39"/>
      <c r="E26347" s="39"/>
      <c r="F26347" s="39"/>
    </row>
    <row r="26348">
      <c r="D26348" s="39"/>
      <c r="E26348" s="39"/>
      <c r="F26348" s="39"/>
    </row>
    <row r="26349">
      <c r="D26349" s="39"/>
      <c r="E26349" s="39"/>
      <c r="F26349" s="39"/>
    </row>
    <row r="26350">
      <c r="D26350" s="39"/>
      <c r="E26350" s="39"/>
      <c r="F26350" s="39"/>
    </row>
    <row r="26351">
      <c r="D26351" s="39"/>
      <c r="E26351" s="39"/>
      <c r="F26351" s="39"/>
    </row>
    <row r="26352">
      <c r="D26352" s="39"/>
      <c r="E26352" s="39"/>
      <c r="F26352" s="39"/>
    </row>
    <row r="26353">
      <c r="D26353" s="39"/>
      <c r="E26353" s="39"/>
      <c r="F26353" s="39"/>
    </row>
    <row r="26354">
      <c r="D26354" s="39"/>
      <c r="E26354" s="39"/>
      <c r="F26354" s="39"/>
    </row>
    <row r="26355">
      <c r="D26355" s="39"/>
      <c r="E26355" s="39"/>
      <c r="F26355" s="39"/>
    </row>
    <row r="26356">
      <c r="D26356" s="39"/>
      <c r="E26356" s="39"/>
      <c r="F26356" s="39"/>
    </row>
    <row r="26357">
      <c r="D26357" s="39"/>
      <c r="E26357" s="39"/>
      <c r="F26357" s="39"/>
    </row>
    <row r="26358">
      <c r="D26358" s="39"/>
      <c r="E26358" s="39"/>
      <c r="F26358" s="39"/>
    </row>
    <row r="26359">
      <c r="D26359" s="39"/>
      <c r="E26359" s="39"/>
      <c r="F26359" s="39"/>
    </row>
    <row r="26360">
      <c r="D26360" s="39"/>
      <c r="E26360" s="39"/>
      <c r="F26360" s="39"/>
    </row>
    <row r="26361">
      <c r="D26361" s="39"/>
      <c r="E26361" s="39"/>
      <c r="F26361" s="39"/>
    </row>
    <row r="26362">
      <c r="D26362" s="39"/>
      <c r="E26362" s="39"/>
      <c r="F26362" s="39"/>
    </row>
    <row r="26363">
      <c r="D26363" s="39"/>
      <c r="E26363" s="39"/>
      <c r="F26363" s="39"/>
    </row>
    <row r="26364">
      <c r="D26364" s="39"/>
      <c r="E26364" s="39"/>
      <c r="F26364" s="39"/>
    </row>
    <row r="26365">
      <c r="D26365" s="39"/>
      <c r="E26365" s="39"/>
      <c r="F26365" s="39"/>
    </row>
    <row r="26366">
      <c r="D26366" s="39"/>
      <c r="E26366" s="39"/>
      <c r="F26366" s="39"/>
    </row>
    <row r="26367">
      <c r="D26367" s="39"/>
      <c r="E26367" s="39"/>
      <c r="F26367" s="39"/>
    </row>
    <row r="26368">
      <c r="D26368" s="39"/>
      <c r="E26368" s="39"/>
      <c r="F26368" s="39"/>
    </row>
    <row r="26369">
      <c r="D26369" s="39"/>
      <c r="E26369" s="39"/>
      <c r="F26369" s="39"/>
    </row>
    <row r="26370">
      <c r="D26370" s="39"/>
      <c r="E26370" s="39"/>
      <c r="F26370" s="39"/>
    </row>
    <row r="26371">
      <c r="D26371" s="39"/>
      <c r="E26371" s="39"/>
      <c r="F26371" s="39"/>
    </row>
    <row r="26372">
      <c r="D26372" s="39"/>
      <c r="E26372" s="39"/>
      <c r="F26372" s="39"/>
    </row>
    <row r="26373">
      <c r="D26373" s="39"/>
      <c r="E26373" s="39"/>
      <c r="F26373" s="39"/>
    </row>
    <row r="26374">
      <c r="D26374" s="39"/>
      <c r="E26374" s="39"/>
      <c r="F26374" s="39"/>
    </row>
    <row r="26375">
      <c r="D26375" s="39"/>
      <c r="E26375" s="39"/>
      <c r="F26375" s="39"/>
    </row>
    <row r="26376">
      <c r="D26376" s="39"/>
      <c r="E26376" s="39"/>
      <c r="F26376" s="39"/>
    </row>
    <row r="26377">
      <c r="D26377" s="39"/>
      <c r="E26377" s="39"/>
      <c r="F26377" s="39"/>
    </row>
    <row r="26378">
      <c r="D26378" s="39"/>
      <c r="E26378" s="39"/>
      <c r="F26378" s="39"/>
    </row>
    <row r="26379">
      <c r="D26379" s="39"/>
      <c r="E26379" s="39"/>
      <c r="F26379" s="39"/>
    </row>
    <row r="26380">
      <c r="D26380" s="39"/>
      <c r="E26380" s="39"/>
      <c r="F26380" s="39"/>
    </row>
    <row r="26381">
      <c r="D26381" s="39"/>
      <c r="E26381" s="39"/>
      <c r="F26381" s="39"/>
    </row>
    <row r="26382">
      <c r="D26382" s="39"/>
      <c r="E26382" s="39"/>
      <c r="F26382" s="39"/>
    </row>
    <row r="26383">
      <c r="D26383" s="39"/>
      <c r="E26383" s="39"/>
      <c r="F26383" s="39"/>
    </row>
    <row r="26384">
      <c r="D26384" s="39"/>
      <c r="E26384" s="39"/>
      <c r="F26384" s="39"/>
    </row>
    <row r="26385">
      <c r="D26385" s="39"/>
      <c r="E26385" s="39"/>
      <c r="F26385" s="39"/>
    </row>
    <row r="26386">
      <c r="D26386" s="39"/>
      <c r="E26386" s="39"/>
      <c r="F26386" s="39"/>
    </row>
    <row r="26387">
      <c r="D26387" s="39"/>
      <c r="E26387" s="39"/>
      <c r="F26387" s="39"/>
    </row>
    <row r="26388">
      <c r="D26388" s="39"/>
      <c r="E26388" s="39"/>
      <c r="F26388" s="39"/>
    </row>
    <row r="26389">
      <c r="D26389" s="39"/>
      <c r="E26389" s="39"/>
      <c r="F26389" s="39"/>
    </row>
    <row r="26390">
      <c r="D26390" s="39"/>
      <c r="E26390" s="39"/>
      <c r="F26390" s="39"/>
    </row>
    <row r="26391">
      <c r="D26391" s="39"/>
      <c r="E26391" s="39"/>
      <c r="F26391" s="39"/>
    </row>
    <row r="26392">
      <c r="D26392" s="39"/>
      <c r="E26392" s="39"/>
      <c r="F26392" s="39"/>
    </row>
    <row r="26393">
      <c r="D26393" s="39"/>
      <c r="E26393" s="39"/>
      <c r="F26393" s="39"/>
    </row>
    <row r="26394">
      <c r="D26394" s="39"/>
      <c r="E26394" s="39"/>
      <c r="F26394" s="39"/>
    </row>
    <row r="26395">
      <c r="D26395" s="39"/>
      <c r="E26395" s="39"/>
      <c r="F26395" s="39"/>
    </row>
    <row r="26396">
      <c r="D26396" s="39"/>
      <c r="E26396" s="39"/>
      <c r="F26396" s="39"/>
    </row>
    <row r="26397">
      <c r="D26397" s="39"/>
      <c r="E26397" s="39"/>
      <c r="F26397" s="39"/>
    </row>
    <row r="26398">
      <c r="D26398" s="39"/>
      <c r="E26398" s="39"/>
      <c r="F26398" s="39"/>
    </row>
    <row r="26399">
      <c r="D26399" s="39"/>
      <c r="E26399" s="39"/>
      <c r="F26399" s="39"/>
    </row>
    <row r="26400">
      <c r="D26400" s="39"/>
      <c r="E26400" s="39"/>
      <c r="F26400" s="39"/>
    </row>
    <row r="26401">
      <c r="D26401" s="39"/>
      <c r="E26401" s="39"/>
      <c r="F26401" s="39"/>
    </row>
    <row r="26402">
      <c r="D26402" s="39"/>
      <c r="E26402" s="39"/>
      <c r="F26402" s="39"/>
    </row>
    <row r="26403">
      <c r="D26403" s="39"/>
      <c r="E26403" s="39"/>
      <c r="F26403" s="39"/>
    </row>
    <row r="26404">
      <c r="D26404" s="39"/>
      <c r="E26404" s="39"/>
      <c r="F26404" s="39"/>
    </row>
    <row r="26405">
      <c r="D26405" s="39"/>
      <c r="E26405" s="39"/>
      <c r="F26405" s="39"/>
    </row>
    <row r="26406">
      <c r="D26406" s="39"/>
      <c r="E26406" s="39"/>
      <c r="F26406" s="39"/>
    </row>
    <row r="26407">
      <c r="D26407" s="39"/>
      <c r="E26407" s="39"/>
      <c r="F26407" s="39"/>
    </row>
    <row r="26408">
      <c r="D26408" s="39"/>
      <c r="E26408" s="39"/>
      <c r="F26408" s="39"/>
    </row>
    <row r="26409">
      <c r="D26409" s="39"/>
      <c r="E26409" s="39"/>
      <c r="F26409" s="39"/>
    </row>
    <row r="26410">
      <c r="D26410" s="39"/>
      <c r="E26410" s="39"/>
      <c r="F26410" s="39"/>
    </row>
    <row r="26411">
      <c r="D26411" s="39"/>
      <c r="E26411" s="39"/>
      <c r="F26411" s="39"/>
    </row>
    <row r="26412">
      <c r="D26412" s="39"/>
      <c r="E26412" s="39"/>
      <c r="F26412" s="39"/>
    </row>
    <row r="26413">
      <c r="D26413" s="39"/>
      <c r="E26413" s="39"/>
      <c r="F26413" s="39"/>
    </row>
    <row r="26414">
      <c r="D26414" s="39"/>
      <c r="E26414" s="39"/>
      <c r="F26414" s="39"/>
    </row>
    <row r="26415">
      <c r="D26415" s="39"/>
      <c r="E26415" s="39"/>
      <c r="F26415" s="39"/>
    </row>
    <row r="26416">
      <c r="D26416" s="39"/>
      <c r="E26416" s="39"/>
      <c r="F26416" s="39"/>
    </row>
    <row r="26417">
      <c r="D26417" s="39"/>
      <c r="E26417" s="39"/>
      <c r="F26417" s="39"/>
    </row>
    <row r="26418">
      <c r="D26418" s="39"/>
      <c r="E26418" s="39"/>
      <c r="F26418" s="39"/>
    </row>
    <row r="26419">
      <c r="D26419" s="39"/>
      <c r="E26419" s="39"/>
      <c r="F26419" s="39"/>
    </row>
    <row r="26420">
      <c r="D26420" s="39"/>
      <c r="E26420" s="39"/>
      <c r="F26420" s="39"/>
    </row>
    <row r="26421">
      <c r="D26421" s="39"/>
      <c r="E26421" s="39"/>
      <c r="F26421" s="39"/>
    </row>
    <row r="26422">
      <c r="D26422" s="39"/>
      <c r="E26422" s="39"/>
      <c r="F26422" s="39"/>
    </row>
    <row r="26423">
      <c r="D26423" s="39"/>
      <c r="E26423" s="39"/>
      <c r="F26423" s="39"/>
    </row>
    <row r="26424">
      <c r="D26424" s="39"/>
      <c r="E26424" s="39"/>
      <c r="F26424" s="39"/>
    </row>
    <row r="26425">
      <c r="D26425" s="39"/>
      <c r="E26425" s="39"/>
      <c r="F26425" s="39"/>
    </row>
    <row r="26426">
      <c r="D26426" s="39"/>
      <c r="E26426" s="39"/>
      <c r="F26426" s="39"/>
    </row>
    <row r="26427">
      <c r="D26427" s="39"/>
      <c r="E26427" s="39"/>
      <c r="F26427" s="39"/>
    </row>
    <row r="26428">
      <c r="D26428" s="39"/>
      <c r="E26428" s="39"/>
      <c r="F26428" s="39"/>
    </row>
    <row r="26429">
      <c r="D26429" s="39"/>
      <c r="E26429" s="39"/>
      <c r="F26429" s="39"/>
    </row>
    <row r="26430">
      <c r="D26430" s="39"/>
      <c r="E26430" s="39"/>
      <c r="F26430" s="39"/>
    </row>
    <row r="26431">
      <c r="D26431" s="39"/>
      <c r="E26431" s="39"/>
      <c r="F26431" s="39"/>
    </row>
    <row r="26432">
      <c r="D26432" s="39"/>
      <c r="E26432" s="39"/>
      <c r="F26432" s="39"/>
    </row>
    <row r="26433">
      <c r="D26433" s="39"/>
      <c r="E26433" s="39"/>
      <c r="F26433" s="39"/>
    </row>
    <row r="26434">
      <c r="D26434" s="39"/>
      <c r="E26434" s="39"/>
      <c r="F26434" s="39"/>
    </row>
    <row r="26435">
      <c r="D26435" s="39"/>
      <c r="E26435" s="39"/>
      <c r="F26435" s="39"/>
    </row>
    <row r="26436">
      <c r="D26436" s="39"/>
      <c r="E26436" s="39"/>
      <c r="F26436" s="39"/>
    </row>
    <row r="26437">
      <c r="D26437" s="39"/>
      <c r="E26437" s="39"/>
      <c r="F26437" s="39"/>
    </row>
    <row r="26438">
      <c r="D26438" s="39"/>
      <c r="E26438" s="39"/>
      <c r="F26438" s="39"/>
    </row>
    <row r="26439">
      <c r="D26439" s="39"/>
      <c r="E26439" s="39"/>
      <c r="F26439" s="39"/>
    </row>
    <row r="26440">
      <c r="D26440" s="39"/>
      <c r="E26440" s="39"/>
      <c r="F26440" s="39"/>
    </row>
    <row r="26441">
      <c r="D26441" s="39"/>
      <c r="E26441" s="39"/>
      <c r="F26441" s="39"/>
    </row>
    <row r="26442">
      <c r="D26442" s="39"/>
      <c r="E26442" s="39"/>
      <c r="F26442" s="39"/>
    </row>
    <row r="26443">
      <c r="D26443" s="39"/>
      <c r="E26443" s="39"/>
      <c r="F26443" s="39"/>
    </row>
    <row r="26444">
      <c r="D26444" s="39"/>
      <c r="E26444" s="39"/>
      <c r="F26444" s="39"/>
    </row>
    <row r="26445">
      <c r="D26445" s="39"/>
      <c r="E26445" s="39"/>
      <c r="F26445" s="39"/>
    </row>
    <row r="26446">
      <c r="D26446" s="39"/>
      <c r="E26446" s="39"/>
      <c r="F26446" s="39"/>
    </row>
    <row r="26447">
      <c r="D26447" s="39"/>
      <c r="E26447" s="39"/>
      <c r="F26447" s="39"/>
    </row>
    <row r="26448">
      <c r="D26448" s="39"/>
      <c r="E26448" s="39"/>
      <c r="F26448" s="39"/>
    </row>
    <row r="26449">
      <c r="D26449" s="39"/>
      <c r="E26449" s="39"/>
      <c r="F26449" s="39"/>
    </row>
    <row r="26450">
      <c r="D26450" s="39"/>
      <c r="E26450" s="39"/>
      <c r="F26450" s="39"/>
    </row>
    <row r="26451">
      <c r="D26451" s="39"/>
      <c r="E26451" s="39"/>
      <c r="F26451" s="39"/>
    </row>
    <row r="26452">
      <c r="D26452" s="39"/>
      <c r="E26452" s="39"/>
      <c r="F26452" s="39"/>
    </row>
    <row r="26453">
      <c r="D26453" s="39"/>
      <c r="E26453" s="39"/>
      <c r="F26453" s="39"/>
    </row>
    <row r="26454">
      <c r="D26454" s="39"/>
      <c r="E26454" s="39"/>
      <c r="F26454" s="39"/>
    </row>
    <row r="26455">
      <c r="D26455" s="39"/>
      <c r="E26455" s="39"/>
      <c r="F26455" s="39"/>
    </row>
    <row r="26456">
      <c r="D26456" s="39"/>
      <c r="E26456" s="39"/>
      <c r="F26456" s="39"/>
    </row>
    <row r="26457">
      <c r="D26457" s="39"/>
      <c r="E26457" s="39"/>
      <c r="F26457" s="39"/>
    </row>
    <row r="26458">
      <c r="D26458" s="39"/>
      <c r="E26458" s="39"/>
      <c r="F26458" s="39"/>
    </row>
    <row r="26459">
      <c r="D26459" s="39"/>
      <c r="E26459" s="39"/>
      <c r="F26459" s="39"/>
    </row>
    <row r="26460">
      <c r="D26460" s="39"/>
      <c r="E26460" s="39"/>
      <c r="F26460" s="39"/>
    </row>
    <row r="26461">
      <c r="D26461" s="39"/>
      <c r="E26461" s="39"/>
      <c r="F26461" s="39"/>
    </row>
    <row r="26462">
      <c r="D26462" s="39"/>
      <c r="E26462" s="39"/>
      <c r="F26462" s="39"/>
    </row>
    <row r="26463">
      <c r="D26463" s="39"/>
      <c r="E26463" s="39"/>
      <c r="F26463" s="39"/>
    </row>
    <row r="26464">
      <c r="D26464" s="39"/>
      <c r="E26464" s="39"/>
      <c r="F26464" s="39"/>
    </row>
    <row r="26465">
      <c r="D26465" s="39"/>
      <c r="E26465" s="39"/>
      <c r="F26465" s="39"/>
    </row>
    <row r="26466">
      <c r="D26466" s="39"/>
      <c r="E26466" s="39"/>
      <c r="F26466" s="39"/>
    </row>
    <row r="26467">
      <c r="D26467" s="39"/>
      <c r="E26467" s="39"/>
      <c r="F26467" s="39"/>
    </row>
    <row r="26468">
      <c r="D26468" s="39"/>
      <c r="E26468" s="39"/>
      <c r="F26468" s="39"/>
    </row>
    <row r="26469">
      <c r="D26469" s="39"/>
      <c r="E26469" s="39"/>
      <c r="F26469" s="39"/>
    </row>
    <row r="26470">
      <c r="D26470" s="39"/>
      <c r="E26470" s="39"/>
      <c r="F26470" s="39"/>
    </row>
    <row r="26471">
      <c r="D26471" s="39"/>
      <c r="E26471" s="39"/>
      <c r="F26471" s="39"/>
    </row>
    <row r="26472">
      <c r="D26472" s="39"/>
      <c r="E26472" s="39"/>
      <c r="F26472" s="39"/>
    </row>
    <row r="26473">
      <c r="D26473" s="39"/>
      <c r="E26473" s="39"/>
      <c r="F26473" s="39"/>
    </row>
    <row r="26474">
      <c r="D26474" s="39"/>
      <c r="E26474" s="39"/>
      <c r="F26474" s="39"/>
    </row>
    <row r="26475">
      <c r="D26475" s="39"/>
      <c r="E26475" s="39"/>
      <c r="F26475" s="39"/>
    </row>
    <row r="26476">
      <c r="D26476" s="39"/>
      <c r="E26476" s="39"/>
      <c r="F26476" s="39"/>
    </row>
    <row r="26477">
      <c r="D26477" s="39"/>
      <c r="E26477" s="39"/>
      <c r="F26477" s="39"/>
    </row>
    <row r="26478">
      <c r="D26478" s="39"/>
      <c r="E26478" s="39"/>
      <c r="F26478" s="39"/>
    </row>
    <row r="26479">
      <c r="D26479" s="39"/>
      <c r="E26479" s="39"/>
      <c r="F26479" s="39"/>
    </row>
    <row r="26480">
      <c r="D26480" s="39"/>
      <c r="E26480" s="39"/>
      <c r="F26480" s="39"/>
    </row>
    <row r="26481">
      <c r="D26481" s="39"/>
      <c r="E26481" s="39"/>
      <c r="F26481" s="39"/>
    </row>
    <row r="26482">
      <c r="D26482" s="39"/>
      <c r="E26482" s="39"/>
      <c r="F26482" s="39"/>
    </row>
    <row r="26483">
      <c r="D26483" s="39"/>
      <c r="E26483" s="39"/>
      <c r="F26483" s="39"/>
    </row>
    <row r="26484">
      <c r="D26484" s="39"/>
      <c r="E26484" s="39"/>
      <c r="F26484" s="39"/>
    </row>
    <row r="26485">
      <c r="D26485" s="39"/>
      <c r="E26485" s="39"/>
      <c r="F26485" s="39"/>
    </row>
    <row r="26486">
      <c r="D26486" s="39"/>
      <c r="E26486" s="39"/>
      <c r="F26486" s="39"/>
    </row>
    <row r="26487">
      <c r="D26487" s="39"/>
      <c r="E26487" s="39"/>
      <c r="F26487" s="39"/>
    </row>
    <row r="26488">
      <c r="D26488" s="39"/>
      <c r="E26488" s="39"/>
      <c r="F26488" s="39"/>
    </row>
    <row r="26489">
      <c r="D26489" s="39"/>
      <c r="E26489" s="39"/>
      <c r="F26489" s="39"/>
    </row>
    <row r="26490">
      <c r="D26490" s="39"/>
      <c r="E26490" s="39"/>
      <c r="F26490" s="39"/>
    </row>
    <row r="26491">
      <c r="D26491" s="39"/>
      <c r="E26491" s="39"/>
      <c r="F26491" s="39"/>
    </row>
    <row r="26492">
      <c r="D26492" s="39"/>
      <c r="E26492" s="39"/>
      <c r="F26492" s="39"/>
    </row>
    <row r="26493">
      <c r="D26493" s="39"/>
      <c r="E26493" s="39"/>
      <c r="F26493" s="39"/>
    </row>
    <row r="26494">
      <c r="D26494" s="39"/>
      <c r="E26494" s="39"/>
      <c r="F26494" s="39"/>
    </row>
    <row r="26495">
      <c r="D26495" s="39"/>
      <c r="E26495" s="39"/>
      <c r="F26495" s="39"/>
    </row>
    <row r="26496">
      <c r="D26496" s="39"/>
      <c r="E26496" s="39"/>
      <c r="F26496" s="39"/>
    </row>
    <row r="26497">
      <c r="D26497" s="39"/>
      <c r="E26497" s="39"/>
      <c r="F26497" s="39"/>
    </row>
    <row r="26498">
      <c r="D26498" s="39"/>
      <c r="E26498" s="39"/>
      <c r="F26498" s="39"/>
    </row>
    <row r="26499">
      <c r="D26499" s="39"/>
      <c r="E26499" s="39"/>
      <c r="F26499" s="39"/>
    </row>
    <row r="26500">
      <c r="D26500" s="39"/>
      <c r="E26500" s="39"/>
      <c r="F26500" s="39"/>
    </row>
    <row r="26501">
      <c r="D26501" s="39"/>
      <c r="E26501" s="39"/>
      <c r="F26501" s="39"/>
    </row>
    <row r="26502">
      <c r="D26502" s="39"/>
      <c r="E26502" s="39"/>
      <c r="F26502" s="39"/>
    </row>
    <row r="26503">
      <c r="D26503" s="39"/>
      <c r="E26503" s="39"/>
      <c r="F26503" s="39"/>
    </row>
    <row r="26504">
      <c r="D26504" s="39"/>
      <c r="E26504" s="39"/>
      <c r="F26504" s="39"/>
    </row>
    <row r="26505">
      <c r="D26505" s="39"/>
      <c r="E26505" s="39"/>
      <c r="F26505" s="39"/>
    </row>
    <row r="26506">
      <c r="D26506" s="39"/>
      <c r="E26506" s="39"/>
      <c r="F26506" s="39"/>
    </row>
    <row r="26507">
      <c r="D26507" s="39"/>
      <c r="E26507" s="39"/>
      <c r="F26507" s="39"/>
    </row>
    <row r="26508">
      <c r="D26508" s="39"/>
      <c r="E26508" s="39"/>
      <c r="F26508" s="39"/>
    </row>
    <row r="26509">
      <c r="D26509" s="39"/>
      <c r="E26509" s="39"/>
      <c r="F26509" s="39"/>
    </row>
    <row r="26510">
      <c r="D26510" s="39"/>
      <c r="E26510" s="39"/>
      <c r="F26510" s="39"/>
    </row>
    <row r="26511">
      <c r="D26511" s="39"/>
      <c r="E26511" s="39"/>
      <c r="F26511" s="39"/>
    </row>
    <row r="26512">
      <c r="D26512" s="39"/>
      <c r="E26512" s="39"/>
      <c r="F26512" s="39"/>
    </row>
    <row r="26513">
      <c r="D26513" s="39"/>
      <c r="E26513" s="39"/>
      <c r="F26513" s="39"/>
    </row>
    <row r="26514">
      <c r="D26514" s="39"/>
      <c r="E26514" s="39"/>
      <c r="F26514" s="39"/>
    </row>
    <row r="26515">
      <c r="D26515" s="39"/>
      <c r="E26515" s="39"/>
      <c r="F26515" s="39"/>
    </row>
    <row r="26516">
      <c r="D26516" s="39"/>
      <c r="E26516" s="39"/>
      <c r="F26516" s="39"/>
    </row>
    <row r="26517">
      <c r="D26517" s="39"/>
      <c r="E26517" s="39"/>
      <c r="F26517" s="39"/>
    </row>
    <row r="26518">
      <c r="D26518" s="39"/>
      <c r="E26518" s="39"/>
      <c r="F26518" s="39"/>
    </row>
    <row r="26519">
      <c r="D26519" s="39"/>
      <c r="E26519" s="39"/>
      <c r="F26519" s="39"/>
    </row>
    <row r="26520">
      <c r="D26520" s="39"/>
      <c r="E26520" s="39"/>
      <c r="F26520" s="39"/>
    </row>
    <row r="26521">
      <c r="D26521" s="39"/>
      <c r="E26521" s="39"/>
      <c r="F26521" s="39"/>
    </row>
    <row r="26522">
      <c r="D26522" s="39"/>
      <c r="E26522" s="39"/>
      <c r="F26522" s="39"/>
    </row>
    <row r="26523">
      <c r="D26523" s="39"/>
      <c r="E26523" s="39"/>
      <c r="F26523" s="39"/>
    </row>
    <row r="26524">
      <c r="D26524" s="39"/>
      <c r="E26524" s="39"/>
      <c r="F26524" s="39"/>
    </row>
    <row r="26525">
      <c r="D26525" s="39"/>
      <c r="E26525" s="39"/>
      <c r="F26525" s="39"/>
    </row>
    <row r="26526">
      <c r="D26526" s="39"/>
      <c r="E26526" s="39"/>
      <c r="F26526" s="39"/>
    </row>
    <row r="26527">
      <c r="D26527" s="39"/>
      <c r="E26527" s="39"/>
      <c r="F26527" s="39"/>
    </row>
    <row r="26528">
      <c r="D26528" s="39"/>
      <c r="E26528" s="39"/>
      <c r="F26528" s="39"/>
    </row>
    <row r="26529">
      <c r="D26529" s="39"/>
      <c r="E26529" s="39"/>
      <c r="F26529" s="39"/>
    </row>
    <row r="26530">
      <c r="D26530" s="39"/>
      <c r="E26530" s="39"/>
      <c r="F26530" s="39"/>
    </row>
    <row r="26531">
      <c r="D26531" s="39"/>
      <c r="E26531" s="39"/>
      <c r="F26531" s="39"/>
    </row>
    <row r="26532">
      <c r="D26532" s="39"/>
      <c r="E26532" s="39"/>
      <c r="F26532" s="39"/>
    </row>
    <row r="26533">
      <c r="D26533" s="39"/>
      <c r="E26533" s="39"/>
      <c r="F26533" s="39"/>
    </row>
    <row r="26534">
      <c r="D26534" s="39"/>
      <c r="E26534" s="39"/>
      <c r="F26534" s="39"/>
    </row>
    <row r="26535">
      <c r="D26535" s="39"/>
      <c r="E26535" s="39"/>
      <c r="F26535" s="39"/>
    </row>
    <row r="26536">
      <c r="D26536" s="39"/>
      <c r="E26536" s="39"/>
      <c r="F26536" s="39"/>
    </row>
    <row r="26537">
      <c r="D26537" s="39"/>
      <c r="E26537" s="39"/>
      <c r="F26537" s="39"/>
    </row>
    <row r="26538">
      <c r="D26538" s="39"/>
      <c r="E26538" s="39"/>
      <c r="F26538" s="39"/>
    </row>
    <row r="26539">
      <c r="D26539" s="39"/>
      <c r="E26539" s="39"/>
      <c r="F26539" s="39"/>
    </row>
    <row r="26540">
      <c r="D26540" s="39"/>
      <c r="E26540" s="39"/>
      <c r="F26540" s="39"/>
    </row>
    <row r="26541">
      <c r="D26541" s="39"/>
      <c r="E26541" s="39"/>
      <c r="F26541" s="39"/>
    </row>
    <row r="26542">
      <c r="D26542" s="39"/>
      <c r="E26542" s="39"/>
      <c r="F26542" s="39"/>
    </row>
    <row r="26543">
      <c r="D26543" s="39"/>
      <c r="E26543" s="39"/>
      <c r="F26543" s="39"/>
    </row>
    <row r="26544">
      <c r="D26544" s="39"/>
      <c r="E26544" s="39"/>
      <c r="F26544" s="39"/>
    </row>
    <row r="26545">
      <c r="D26545" s="39"/>
      <c r="E26545" s="39"/>
      <c r="F26545" s="39"/>
    </row>
    <row r="26546">
      <c r="D26546" s="39"/>
      <c r="E26546" s="39"/>
      <c r="F26546" s="39"/>
    </row>
    <row r="26547">
      <c r="D26547" s="39"/>
      <c r="E26547" s="39"/>
      <c r="F26547" s="39"/>
    </row>
    <row r="26548">
      <c r="D26548" s="39"/>
      <c r="E26548" s="39"/>
      <c r="F26548" s="39"/>
    </row>
    <row r="26549">
      <c r="D26549" s="39"/>
      <c r="E26549" s="39"/>
      <c r="F26549" s="39"/>
    </row>
    <row r="26550">
      <c r="D26550" s="39"/>
      <c r="E26550" s="39"/>
      <c r="F26550" s="39"/>
    </row>
    <row r="26551">
      <c r="D26551" s="39"/>
      <c r="E26551" s="39"/>
      <c r="F26551" s="39"/>
    </row>
    <row r="26552">
      <c r="D26552" s="39"/>
      <c r="E26552" s="39"/>
      <c r="F26552" s="39"/>
    </row>
    <row r="26553">
      <c r="D26553" s="39"/>
      <c r="E26553" s="39"/>
      <c r="F26553" s="39"/>
    </row>
    <row r="26554">
      <c r="D26554" s="39"/>
      <c r="E26554" s="39"/>
      <c r="F26554" s="39"/>
    </row>
    <row r="26555">
      <c r="D26555" s="39"/>
      <c r="E26555" s="39"/>
      <c r="F26555" s="39"/>
    </row>
    <row r="26556">
      <c r="D26556" s="39"/>
      <c r="E26556" s="39"/>
      <c r="F26556" s="39"/>
    </row>
    <row r="26557">
      <c r="D26557" s="39"/>
      <c r="E26557" s="39"/>
      <c r="F26557" s="39"/>
    </row>
    <row r="26558">
      <c r="D26558" s="39"/>
      <c r="E26558" s="39"/>
      <c r="F26558" s="39"/>
    </row>
    <row r="26559">
      <c r="D26559" s="39"/>
      <c r="E26559" s="39"/>
      <c r="F26559" s="39"/>
    </row>
    <row r="26560">
      <c r="D26560" s="39"/>
      <c r="E26560" s="39"/>
      <c r="F26560" s="39"/>
    </row>
    <row r="26561">
      <c r="D26561" s="39"/>
      <c r="E26561" s="39"/>
      <c r="F26561" s="39"/>
    </row>
    <row r="26562">
      <c r="D26562" s="39"/>
      <c r="E26562" s="39"/>
      <c r="F26562" s="39"/>
    </row>
    <row r="26563">
      <c r="D26563" s="39"/>
      <c r="E26563" s="39"/>
      <c r="F26563" s="39"/>
    </row>
    <row r="26564">
      <c r="D26564" s="39"/>
      <c r="E26564" s="39"/>
      <c r="F26564" s="39"/>
    </row>
    <row r="26565">
      <c r="D26565" s="39"/>
      <c r="E26565" s="39"/>
      <c r="F26565" s="39"/>
    </row>
    <row r="26566">
      <c r="D26566" s="39"/>
      <c r="E26566" s="39"/>
      <c r="F26566" s="39"/>
    </row>
    <row r="26567">
      <c r="D26567" s="39"/>
      <c r="E26567" s="39"/>
      <c r="F26567" s="39"/>
    </row>
    <row r="26568">
      <c r="D26568" s="39"/>
      <c r="E26568" s="39"/>
      <c r="F26568" s="39"/>
    </row>
    <row r="26569">
      <c r="D26569" s="39"/>
      <c r="E26569" s="39"/>
      <c r="F26569" s="39"/>
    </row>
    <row r="26570">
      <c r="D26570" s="39"/>
      <c r="E26570" s="39"/>
      <c r="F26570" s="39"/>
    </row>
    <row r="26571">
      <c r="D26571" s="39"/>
      <c r="E26571" s="39"/>
      <c r="F26571" s="39"/>
    </row>
    <row r="26572">
      <c r="D26572" s="39"/>
      <c r="E26572" s="39"/>
      <c r="F26572" s="39"/>
    </row>
    <row r="26573">
      <c r="D26573" s="39"/>
      <c r="E26573" s="39"/>
      <c r="F26573" s="39"/>
    </row>
    <row r="26574">
      <c r="D26574" s="39"/>
      <c r="E26574" s="39"/>
      <c r="F26574" s="39"/>
    </row>
    <row r="26575">
      <c r="D26575" s="39"/>
      <c r="E26575" s="39"/>
      <c r="F26575" s="39"/>
    </row>
    <row r="26576">
      <c r="D26576" s="39"/>
      <c r="E26576" s="39"/>
      <c r="F26576" s="39"/>
    </row>
    <row r="26577">
      <c r="D26577" s="39"/>
      <c r="E26577" s="39"/>
      <c r="F26577" s="39"/>
    </row>
    <row r="26578">
      <c r="D26578" s="39"/>
      <c r="E26578" s="39"/>
      <c r="F26578" s="39"/>
    </row>
    <row r="26579">
      <c r="D26579" s="39"/>
      <c r="E26579" s="39"/>
      <c r="F26579" s="39"/>
    </row>
    <row r="26580">
      <c r="D26580" s="39"/>
      <c r="E26580" s="39"/>
      <c r="F26580" s="39"/>
    </row>
    <row r="26581">
      <c r="D26581" s="39"/>
      <c r="E26581" s="39"/>
      <c r="F26581" s="39"/>
    </row>
    <row r="26582">
      <c r="D26582" s="39"/>
      <c r="E26582" s="39"/>
      <c r="F26582" s="39"/>
    </row>
    <row r="26583">
      <c r="D26583" s="39"/>
      <c r="E26583" s="39"/>
      <c r="F26583" s="39"/>
    </row>
    <row r="26584">
      <c r="D26584" s="39"/>
      <c r="E26584" s="39"/>
      <c r="F26584" s="39"/>
    </row>
    <row r="26585">
      <c r="D26585" s="39"/>
      <c r="E26585" s="39"/>
      <c r="F26585" s="39"/>
    </row>
    <row r="26586">
      <c r="D26586" s="39"/>
      <c r="E26586" s="39"/>
      <c r="F26586" s="39"/>
    </row>
    <row r="26587">
      <c r="D26587" s="39"/>
      <c r="E26587" s="39"/>
      <c r="F26587" s="39"/>
    </row>
    <row r="26588">
      <c r="D26588" s="39"/>
      <c r="E26588" s="39"/>
      <c r="F26588" s="39"/>
    </row>
    <row r="26589">
      <c r="D26589" s="39"/>
      <c r="E26589" s="39"/>
      <c r="F26589" s="39"/>
    </row>
    <row r="26590">
      <c r="D26590" s="39"/>
      <c r="E26590" s="39"/>
      <c r="F26590" s="39"/>
    </row>
    <row r="26591">
      <c r="D26591" s="39"/>
      <c r="E26591" s="39"/>
      <c r="F26591" s="39"/>
    </row>
    <row r="26592">
      <c r="D26592" s="39"/>
      <c r="E26592" s="39"/>
      <c r="F26592" s="39"/>
    </row>
    <row r="26593">
      <c r="D26593" s="39"/>
      <c r="E26593" s="39"/>
      <c r="F26593" s="39"/>
    </row>
    <row r="26594">
      <c r="D26594" s="39"/>
      <c r="E26594" s="39"/>
      <c r="F26594" s="39"/>
    </row>
    <row r="26595">
      <c r="D26595" s="39"/>
      <c r="E26595" s="39"/>
      <c r="F26595" s="39"/>
    </row>
    <row r="26596">
      <c r="D26596" s="39"/>
      <c r="E26596" s="39"/>
      <c r="F26596" s="39"/>
    </row>
    <row r="26597">
      <c r="D26597" s="39"/>
      <c r="E26597" s="39"/>
      <c r="F26597" s="39"/>
    </row>
    <row r="26598">
      <c r="D26598" s="39"/>
      <c r="E26598" s="39"/>
      <c r="F26598" s="39"/>
    </row>
    <row r="26599">
      <c r="D26599" s="39"/>
      <c r="E26599" s="39"/>
      <c r="F26599" s="39"/>
    </row>
    <row r="26600">
      <c r="D26600" s="39"/>
      <c r="E26600" s="39"/>
      <c r="F26600" s="39"/>
    </row>
    <row r="26601">
      <c r="D26601" s="39"/>
      <c r="E26601" s="39"/>
      <c r="F26601" s="39"/>
    </row>
    <row r="26602">
      <c r="D26602" s="39"/>
      <c r="E26602" s="39"/>
      <c r="F26602" s="39"/>
    </row>
    <row r="26603">
      <c r="D26603" s="39"/>
      <c r="E26603" s="39"/>
      <c r="F26603" s="39"/>
    </row>
    <row r="26604">
      <c r="D26604" s="39"/>
      <c r="E26604" s="39"/>
      <c r="F26604" s="39"/>
    </row>
    <row r="26605">
      <c r="D26605" s="39"/>
      <c r="E26605" s="39"/>
      <c r="F26605" s="39"/>
    </row>
    <row r="26606">
      <c r="D26606" s="39"/>
      <c r="E26606" s="39"/>
      <c r="F26606" s="39"/>
    </row>
    <row r="26607">
      <c r="D26607" s="39"/>
      <c r="E26607" s="39"/>
      <c r="F26607" s="39"/>
    </row>
    <row r="26608">
      <c r="D26608" s="39"/>
      <c r="E26608" s="39"/>
      <c r="F26608" s="39"/>
    </row>
    <row r="26609">
      <c r="D26609" s="39"/>
      <c r="E26609" s="39"/>
      <c r="F26609" s="39"/>
    </row>
    <row r="26610">
      <c r="D26610" s="39"/>
      <c r="E26610" s="39"/>
      <c r="F26610" s="39"/>
    </row>
    <row r="26611">
      <c r="D26611" s="39"/>
      <c r="E26611" s="39"/>
      <c r="F26611" s="39"/>
    </row>
    <row r="26612">
      <c r="D26612" s="39"/>
      <c r="E26612" s="39"/>
      <c r="F26612" s="39"/>
    </row>
    <row r="26613">
      <c r="D26613" s="39"/>
      <c r="E26613" s="39"/>
      <c r="F26613" s="39"/>
    </row>
    <row r="26614">
      <c r="D26614" s="39"/>
      <c r="E26614" s="39"/>
      <c r="F26614" s="39"/>
    </row>
    <row r="26615">
      <c r="D26615" s="39"/>
      <c r="E26615" s="39"/>
      <c r="F26615" s="39"/>
    </row>
    <row r="26616">
      <c r="D26616" s="39"/>
      <c r="E26616" s="39"/>
      <c r="F26616" s="39"/>
    </row>
    <row r="26617">
      <c r="D26617" s="39"/>
      <c r="E26617" s="39"/>
      <c r="F26617" s="39"/>
    </row>
    <row r="26618">
      <c r="D26618" s="39"/>
      <c r="E26618" s="39"/>
      <c r="F26618" s="39"/>
    </row>
    <row r="26619">
      <c r="D26619" s="39"/>
      <c r="E26619" s="39"/>
      <c r="F26619" s="39"/>
    </row>
    <row r="26620">
      <c r="D26620" s="39"/>
      <c r="E26620" s="39"/>
      <c r="F26620" s="39"/>
    </row>
    <row r="26621">
      <c r="D26621" s="39"/>
      <c r="E26621" s="39"/>
      <c r="F26621" s="39"/>
    </row>
    <row r="26622">
      <c r="D26622" s="39"/>
      <c r="E26622" s="39"/>
      <c r="F26622" s="39"/>
    </row>
    <row r="26623">
      <c r="D26623" s="39"/>
      <c r="E26623" s="39"/>
      <c r="F26623" s="39"/>
    </row>
    <row r="26624">
      <c r="D26624" s="39"/>
      <c r="E26624" s="39"/>
      <c r="F26624" s="39"/>
    </row>
    <row r="26625">
      <c r="D26625" s="39"/>
      <c r="E26625" s="39"/>
      <c r="F26625" s="39"/>
    </row>
    <row r="26626">
      <c r="D26626" s="39"/>
      <c r="E26626" s="39"/>
      <c r="F26626" s="39"/>
    </row>
    <row r="26627">
      <c r="D26627" s="39"/>
      <c r="E26627" s="39"/>
      <c r="F26627" s="39"/>
    </row>
    <row r="26628">
      <c r="D26628" s="39"/>
      <c r="E26628" s="39"/>
      <c r="F26628" s="39"/>
    </row>
    <row r="26629">
      <c r="D26629" s="39"/>
      <c r="E26629" s="39"/>
      <c r="F26629" s="39"/>
    </row>
    <row r="26630">
      <c r="D26630" s="39"/>
      <c r="E26630" s="39"/>
      <c r="F26630" s="39"/>
    </row>
    <row r="26631">
      <c r="D26631" s="39"/>
      <c r="E26631" s="39"/>
      <c r="F26631" s="39"/>
    </row>
    <row r="26632">
      <c r="D26632" s="39"/>
      <c r="E26632" s="39"/>
      <c r="F26632" s="39"/>
    </row>
    <row r="26633">
      <c r="D26633" s="39"/>
      <c r="E26633" s="39"/>
      <c r="F26633" s="39"/>
    </row>
    <row r="26634">
      <c r="D26634" s="39"/>
      <c r="E26634" s="39"/>
      <c r="F26634" s="39"/>
    </row>
    <row r="26635">
      <c r="D26635" s="39"/>
      <c r="E26635" s="39"/>
      <c r="F26635" s="39"/>
    </row>
    <row r="26636">
      <c r="D26636" s="39"/>
      <c r="E26636" s="39"/>
      <c r="F26636" s="39"/>
    </row>
    <row r="26637">
      <c r="D26637" s="39"/>
      <c r="E26637" s="39"/>
      <c r="F26637" s="39"/>
    </row>
    <row r="26638">
      <c r="D26638" s="39"/>
      <c r="E26638" s="39"/>
      <c r="F26638" s="39"/>
    </row>
    <row r="26639">
      <c r="D26639" s="39"/>
      <c r="E26639" s="39"/>
      <c r="F26639" s="39"/>
    </row>
    <row r="26640">
      <c r="D26640" s="39"/>
      <c r="E26640" s="39"/>
      <c r="F26640" s="39"/>
    </row>
    <row r="26641">
      <c r="D26641" s="39"/>
      <c r="E26641" s="39"/>
      <c r="F26641" s="39"/>
    </row>
    <row r="26642">
      <c r="D26642" s="39"/>
      <c r="E26642" s="39"/>
      <c r="F26642" s="39"/>
    </row>
    <row r="26643">
      <c r="D26643" s="39"/>
      <c r="E26643" s="39"/>
      <c r="F26643" s="39"/>
    </row>
    <row r="26644">
      <c r="D26644" s="39"/>
      <c r="E26644" s="39"/>
      <c r="F26644" s="39"/>
    </row>
    <row r="26645">
      <c r="D26645" s="39"/>
      <c r="E26645" s="39"/>
      <c r="F26645" s="39"/>
    </row>
    <row r="26646">
      <c r="D26646" s="39"/>
      <c r="E26646" s="39"/>
      <c r="F26646" s="39"/>
    </row>
    <row r="26647">
      <c r="D26647" s="39"/>
      <c r="E26647" s="39"/>
      <c r="F26647" s="39"/>
    </row>
    <row r="26648">
      <c r="D26648" s="39"/>
      <c r="E26648" s="39"/>
      <c r="F26648" s="39"/>
    </row>
    <row r="26649">
      <c r="D26649" s="39"/>
      <c r="E26649" s="39"/>
      <c r="F26649" s="39"/>
    </row>
    <row r="26650">
      <c r="D26650" s="39"/>
      <c r="E26650" s="39"/>
      <c r="F26650" s="39"/>
    </row>
    <row r="26651">
      <c r="D26651" s="39"/>
      <c r="E26651" s="39"/>
      <c r="F26651" s="39"/>
    </row>
    <row r="26652">
      <c r="D26652" s="39"/>
      <c r="E26652" s="39"/>
      <c r="F26652" s="39"/>
    </row>
    <row r="26653">
      <c r="D26653" s="39"/>
      <c r="E26653" s="39"/>
      <c r="F26653" s="39"/>
    </row>
    <row r="26654">
      <c r="D26654" s="39"/>
      <c r="E26654" s="39"/>
      <c r="F26654" s="39"/>
    </row>
    <row r="26655">
      <c r="D26655" s="39"/>
      <c r="E26655" s="39"/>
      <c r="F26655" s="39"/>
    </row>
    <row r="26656">
      <c r="D26656" s="39"/>
      <c r="E26656" s="39"/>
      <c r="F26656" s="39"/>
    </row>
    <row r="26657">
      <c r="D26657" s="39"/>
      <c r="E26657" s="39"/>
      <c r="F26657" s="39"/>
    </row>
    <row r="26658">
      <c r="D26658" s="39"/>
      <c r="E26658" s="39"/>
      <c r="F26658" s="39"/>
    </row>
    <row r="26659">
      <c r="D26659" s="39"/>
      <c r="E26659" s="39"/>
      <c r="F26659" s="39"/>
    </row>
    <row r="26660">
      <c r="D26660" s="39"/>
      <c r="E26660" s="39"/>
      <c r="F26660" s="39"/>
    </row>
    <row r="26661">
      <c r="D26661" s="39"/>
      <c r="E26661" s="39"/>
      <c r="F26661" s="39"/>
    </row>
    <row r="26662">
      <c r="D26662" s="39"/>
      <c r="E26662" s="39"/>
      <c r="F26662" s="39"/>
    </row>
    <row r="26663">
      <c r="D26663" s="39"/>
      <c r="E26663" s="39"/>
      <c r="F26663" s="39"/>
    </row>
    <row r="26664">
      <c r="D26664" s="39"/>
      <c r="E26664" s="39"/>
      <c r="F26664" s="39"/>
    </row>
    <row r="26665">
      <c r="D26665" s="39"/>
      <c r="E26665" s="39"/>
      <c r="F26665" s="39"/>
    </row>
    <row r="26666">
      <c r="D26666" s="39"/>
      <c r="E26666" s="39"/>
      <c r="F26666" s="39"/>
    </row>
    <row r="26667">
      <c r="D26667" s="39"/>
      <c r="E26667" s="39"/>
      <c r="F26667" s="39"/>
    </row>
    <row r="26668">
      <c r="D26668" s="39"/>
      <c r="E26668" s="39"/>
      <c r="F26668" s="39"/>
    </row>
    <row r="26669">
      <c r="D26669" s="39"/>
      <c r="E26669" s="39"/>
      <c r="F26669" s="39"/>
    </row>
    <row r="26670">
      <c r="D26670" s="39"/>
      <c r="E26670" s="39"/>
      <c r="F26670" s="39"/>
    </row>
    <row r="26671">
      <c r="D26671" s="39"/>
      <c r="E26671" s="39"/>
      <c r="F26671" s="39"/>
    </row>
    <row r="26672">
      <c r="D26672" s="39"/>
      <c r="E26672" s="39"/>
      <c r="F26672" s="39"/>
    </row>
    <row r="26673">
      <c r="D26673" s="39"/>
      <c r="E26673" s="39"/>
      <c r="F26673" s="39"/>
    </row>
    <row r="26674">
      <c r="D26674" s="39"/>
      <c r="E26674" s="39"/>
      <c r="F26674" s="39"/>
    </row>
    <row r="26675">
      <c r="D26675" s="39"/>
      <c r="E26675" s="39"/>
      <c r="F26675" s="39"/>
    </row>
    <row r="26676">
      <c r="D26676" s="39"/>
      <c r="E26676" s="39"/>
      <c r="F26676" s="39"/>
    </row>
    <row r="26677">
      <c r="D26677" s="39"/>
      <c r="E26677" s="39"/>
      <c r="F26677" s="39"/>
    </row>
    <row r="26678">
      <c r="D26678" s="39"/>
      <c r="E26678" s="39"/>
      <c r="F26678" s="39"/>
    </row>
    <row r="26679">
      <c r="D26679" s="39"/>
      <c r="E26679" s="39"/>
      <c r="F26679" s="39"/>
    </row>
    <row r="26680">
      <c r="D26680" s="39"/>
      <c r="E26680" s="39"/>
      <c r="F26680" s="39"/>
    </row>
    <row r="26681">
      <c r="D26681" s="39"/>
      <c r="E26681" s="39"/>
      <c r="F26681" s="39"/>
    </row>
    <row r="26682">
      <c r="D26682" s="39"/>
      <c r="E26682" s="39"/>
      <c r="F26682" s="39"/>
    </row>
    <row r="26683">
      <c r="D26683" s="39"/>
      <c r="E26683" s="39"/>
      <c r="F26683" s="39"/>
    </row>
    <row r="26684">
      <c r="D26684" s="39"/>
      <c r="E26684" s="39"/>
      <c r="F26684" s="39"/>
    </row>
    <row r="26685">
      <c r="D26685" s="39"/>
      <c r="E26685" s="39"/>
      <c r="F26685" s="39"/>
    </row>
    <row r="26686">
      <c r="D26686" s="39"/>
      <c r="E26686" s="39"/>
      <c r="F26686" s="39"/>
    </row>
    <row r="26687">
      <c r="D26687" s="39"/>
      <c r="E26687" s="39"/>
      <c r="F26687" s="39"/>
    </row>
    <row r="26688">
      <c r="D26688" s="39"/>
      <c r="E26688" s="39"/>
      <c r="F26688" s="39"/>
    </row>
    <row r="26689">
      <c r="D26689" s="39"/>
      <c r="E26689" s="39"/>
      <c r="F26689" s="39"/>
    </row>
    <row r="26690">
      <c r="D26690" s="39"/>
      <c r="E26690" s="39"/>
      <c r="F26690" s="39"/>
    </row>
    <row r="26691">
      <c r="D26691" s="39"/>
      <c r="E26691" s="39"/>
      <c r="F26691" s="39"/>
    </row>
    <row r="26692">
      <c r="D26692" s="39"/>
      <c r="E26692" s="39"/>
      <c r="F26692" s="39"/>
    </row>
    <row r="26693">
      <c r="D26693" s="39"/>
      <c r="E26693" s="39"/>
      <c r="F26693" s="39"/>
    </row>
    <row r="26694">
      <c r="D26694" s="39"/>
      <c r="E26694" s="39"/>
      <c r="F26694" s="39"/>
    </row>
    <row r="26695">
      <c r="D26695" s="39"/>
      <c r="E26695" s="39"/>
      <c r="F26695" s="39"/>
    </row>
    <row r="26696">
      <c r="D26696" s="39"/>
      <c r="E26696" s="39"/>
      <c r="F26696" s="39"/>
    </row>
    <row r="26697">
      <c r="D26697" s="39"/>
      <c r="E26697" s="39"/>
      <c r="F26697" s="39"/>
    </row>
    <row r="26698">
      <c r="D26698" s="39"/>
      <c r="E26698" s="39"/>
      <c r="F26698" s="39"/>
    </row>
    <row r="26699">
      <c r="D26699" s="39"/>
      <c r="E26699" s="39"/>
      <c r="F26699" s="39"/>
    </row>
    <row r="26700">
      <c r="D26700" s="39"/>
      <c r="E26700" s="39"/>
      <c r="F26700" s="39"/>
    </row>
    <row r="26701">
      <c r="D26701" s="39"/>
      <c r="E26701" s="39"/>
      <c r="F26701" s="39"/>
    </row>
    <row r="26702">
      <c r="D26702" s="39"/>
      <c r="E26702" s="39"/>
      <c r="F26702" s="39"/>
    </row>
    <row r="26703">
      <c r="D26703" s="39"/>
      <c r="E26703" s="39"/>
      <c r="F26703" s="39"/>
    </row>
    <row r="26704">
      <c r="D26704" s="39"/>
      <c r="E26704" s="39"/>
      <c r="F26704" s="39"/>
    </row>
    <row r="26705">
      <c r="D26705" s="39"/>
      <c r="E26705" s="39"/>
      <c r="F26705" s="39"/>
    </row>
    <row r="26706">
      <c r="D26706" s="39"/>
      <c r="E26706" s="39"/>
      <c r="F26706" s="39"/>
    </row>
    <row r="26707">
      <c r="D26707" s="39"/>
      <c r="E26707" s="39"/>
      <c r="F26707" s="39"/>
    </row>
    <row r="26708">
      <c r="D26708" s="39"/>
      <c r="E26708" s="39"/>
      <c r="F26708" s="39"/>
    </row>
    <row r="26709">
      <c r="D26709" s="39"/>
      <c r="E26709" s="39"/>
      <c r="F26709" s="39"/>
    </row>
    <row r="26710">
      <c r="D26710" s="39"/>
      <c r="E26710" s="39"/>
      <c r="F26710" s="39"/>
    </row>
    <row r="26711">
      <c r="D26711" s="39"/>
      <c r="E26711" s="39"/>
      <c r="F26711" s="39"/>
    </row>
    <row r="26712">
      <c r="D26712" s="39"/>
      <c r="E26712" s="39"/>
      <c r="F26712" s="39"/>
    </row>
    <row r="26713">
      <c r="D26713" s="39"/>
      <c r="E26713" s="39"/>
      <c r="F26713" s="39"/>
    </row>
    <row r="26714">
      <c r="D26714" s="39"/>
      <c r="E26714" s="39"/>
      <c r="F26714" s="39"/>
    </row>
    <row r="26715">
      <c r="D26715" s="39"/>
      <c r="E26715" s="39"/>
      <c r="F26715" s="39"/>
    </row>
    <row r="26716">
      <c r="D26716" s="39"/>
      <c r="E26716" s="39"/>
      <c r="F26716" s="39"/>
    </row>
    <row r="26717">
      <c r="D26717" s="39"/>
      <c r="E26717" s="39"/>
      <c r="F26717" s="39"/>
    </row>
    <row r="26718">
      <c r="D26718" s="39"/>
      <c r="E26718" s="39"/>
      <c r="F26718" s="39"/>
    </row>
    <row r="26719">
      <c r="D26719" s="39"/>
      <c r="E26719" s="39"/>
      <c r="F26719" s="39"/>
    </row>
    <row r="26720">
      <c r="D26720" s="39"/>
      <c r="E26720" s="39"/>
      <c r="F26720" s="39"/>
    </row>
    <row r="26721">
      <c r="D26721" s="39"/>
      <c r="E26721" s="39"/>
      <c r="F26721" s="39"/>
    </row>
    <row r="26722">
      <c r="D26722" s="39"/>
      <c r="E26722" s="39"/>
      <c r="F26722" s="39"/>
    </row>
    <row r="26723">
      <c r="D26723" s="39"/>
      <c r="E26723" s="39"/>
      <c r="F26723" s="39"/>
    </row>
    <row r="26724">
      <c r="D26724" s="39"/>
      <c r="E26724" s="39"/>
      <c r="F26724" s="39"/>
    </row>
    <row r="26725">
      <c r="D26725" s="39"/>
      <c r="E26725" s="39"/>
      <c r="F26725" s="39"/>
    </row>
    <row r="26726">
      <c r="D26726" s="39"/>
      <c r="E26726" s="39"/>
      <c r="F26726" s="39"/>
    </row>
    <row r="26727">
      <c r="D26727" s="39"/>
      <c r="E26727" s="39"/>
      <c r="F26727" s="39"/>
    </row>
    <row r="26728">
      <c r="D26728" s="39"/>
      <c r="E26728" s="39"/>
      <c r="F26728" s="39"/>
    </row>
    <row r="26729">
      <c r="D26729" s="39"/>
      <c r="E26729" s="39"/>
      <c r="F26729" s="39"/>
    </row>
    <row r="26730">
      <c r="D26730" s="39"/>
      <c r="E26730" s="39"/>
      <c r="F26730" s="39"/>
    </row>
    <row r="26731">
      <c r="D26731" s="39"/>
      <c r="E26731" s="39"/>
      <c r="F26731" s="39"/>
    </row>
    <row r="26732">
      <c r="D26732" s="39"/>
      <c r="E26732" s="39"/>
      <c r="F26732" s="39"/>
    </row>
    <row r="26733">
      <c r="D26733" s="39"/>
      <c r="E26733" s="39"/>
      <c r="F26733" s="39"/>
    </row>
    <row r="26734">
      <c r="D26734" s="39"/>
      <c r="E26734" s="39"/>
      <c r="F26734" s="39"/>
    </row>
    <row r="26735">
      <c r="D26735" s="39"/>
      <c r="E26735" s="39"/>
      <c r="F26735" s="39"/>
    </row>
    <row r="26736">
      <c r="D26736" s="39"/>
      <c r="E26736" s="39"/>
      <c r="F26736" s="39"/>
    </row>
    <row r="26737">
      <c r="D26737" s="39"/>
      <c r="E26737" s="39"/>
      <c r="F26737" s="39"/>
    </row>
    <row r="26738">
      <c r="D26738" s="39"/>
      <c r="E26738" s="39"/>
      <c r="F26738" s="39"/>
    </row>
    <row r="26739">
      <c r="D26739" s="39"/>
      <c r="E26739" s="39"/>
      <c r="F26739" s="39"/>
    </row>
    <row r="26740">
      <c r="D26740" s="39"/>
      <c r="E26740" s="39"/>
      <c r="F26740" s="39"/>
    </row>
    <row r="26741">
      <c r="D26741" s="39"/>
      <c r="E26741" s="39"/>
      <c r="F26741" s="39"/>
    </row>
    <row r="26742">
      <c r="D26742" s="39"/>
      <c r="E26742" s="39"/>
      <c r="F26742" s="39"/>
    </row>
    <row r="26743">
      <c r="D26743" s="39"/>
      <c r="E26743" s="39"/>
      <c r="F26743" s="39"/>
    </row>
    <row r="26744">
      <c r="D26744" s="39"/>
      <c r="E26744" s="39"/>
      <c r="F26744" s="39"/>
    </row>
    <row r="26745">
      <c r="D26745" s="39"/>
      <c r="E26745" s="39"/>
      <c r="F26745" s="39"/>
    </row>
    <row r="26746">
      <c r="D26746" s="39"/>
      <c r="E26746" s="39"/>
      <c r="F26746" s="39"/>
    </row>
    <row r="26747">
      <c r="D26747" s="39"/>
      <c r="E26747" s="39"/>
      <c r="F26747" s="39"/>
    </row>
    <row r="26748">
      <c r="D26748" s="39"/>
      <c r="E26748" s="39"/>
      <c r="F26748" s="39"/>
    </row>
    <row r="26749">
      <c r="D26749" s="39"/>
      <c r="E26749" s="39"/>
      <c r="F26749" s="39"/>
    </row>
    <row r="26750">
      <c r="D26750" s="39"/>
      <c r="E26750" s="39"/>
      <c r="F26750" s="39"/>
    </row>
    <row r="26751">
      <c r="D26751" s="39"/>
      <c r="E26751" s="39"/>
      <c r="F26751" s="39"/>
    </row>
    <row r="26752">
      <c r="D26752" s="39"/>
      <c r="E26752" s="39"/>
      <c r="F26752" s="39"/>
    </row>
    <row r="26753">
      <c r="D26753" s="39"/>
      <c r="E26753" s="39"/>
      <c r="F26753" s="39"/>
    </row>
    <row r="26754">
      <c r="D26754" s="39"/>
      <c r="E26754" s="39"/>
      <c r="F26754" s="39"/>
    </row>
    <row r="26755">
      <c r="D26755" s="39"/>
      <c r="E26755" s="39"/>
      <c r="F26755" s="39"/>
    </row>
    <row r="26756">
      <c r="D26756" s="39"/>
      <c r="E26756" s="39"/>
      <c r="F26756" s="39"/>
    </row>
    <row r="26757">
      <c r="D26757" s="39"/>
      <c r="E26757" s="39"/>
      <c r="F26757" s="39"/>
    </row>
    <row r="26758">
      <c r="D26758" s="39"/>
      <c r="E26758" s="39"/>
      <c r="F26758" s="39"/>
    </row>
    <row r="26759">
      <c r="D26759" s="39"/>
      <c r="E26759" s="39"/>
      <c r="F26759" s="39"/>
    </row>
    <row r="26760">
      <c r="D26760" s="39"/>
      <c r="E26760" s="39"/>
      <c r="F26760" s="39"/>
    </row>
    <row r="26761">
      <c r="D26761" s="39"/>
      <c r="E26761" s="39"/>
      <c r="F26761" s="39"/>
    </row>
    <row r="26762">
      <c r="D26762" s="39"/>
      <c r="E26762" s="39"/>
      <c r="F26762" s="39"/>
    </row>
    <row r="26763">
      <c r="D26763" s="39"/>
      <c r="E26763" s="39"/>
      <c r="F26763" s="39"/>
    </row>
    <row r="26764">
      <c r="D26764" s="39"/>
      <c r="E26764" s="39"/>
      <c r="F26764" s="39"/>
    </row>
    <row r="26765">
      <c r="D26765" s="39"/>
      <c r="E26765" s="39"/>
      <c r="F26765" s="39"/>
    </row>
    <row r="26766">
      <c r="D26766" s="39"/>
      <c r="E26766" s="39"/>
      <c r="F26766" s="39"/>
    </row>
    <row r="26767">
      <c r="D26767" s="39"/>
      <c r="E26767" s="39"/>
      <c r="F26767" s="39"/>
    </row>
    <row r="26768">
      <c r="D26768" s="39"/>
      <c r="E26768" s="39"/>
      <c r="F26768" s="39"/>
    </row>
    <row r="26769">
      <c r="D26769" s="39"/>
      <c r="E26769" s="39"/>
      <c r="F26769" s="39"/>
    </row>
    <row r="26770">
      <c r="D26770" s="39"/>
      <c r="E26770" s="39"/>
      <c r="F26770" s="39"/>
    </row>
    <row r="26771">
      <c r="D26771" s="39"/>
      <c r="E26771" s="39"/>
      <c r="F26771" s="39"/>
    </row>
    <row r="26772">
      <c r="D26772" s="39"/>
      <c r="E26772" s="39"/>
      <c r="F26772" s="39"/>
    </row>
    <row r="26773">
      <c r="D26773" s="39"/>
      <c r="E26773" s="39"/>
      <c r="F26773" s="39"/>
    </row>
    <row r="26774">
      <c r="D26774" s="39"/>
      <c r="E26774" s="39"/>
      <c r="F26774" s="39"/>
    </row>
    <row r="26775">
      <c r="D26775" s="39"/>
      <c r="E26775" s="39"/>
      <c r="F26775" s="39"/>
    </row>
    <row r="26776">
      <c r="D26776" s="39"/>
      <c r="E26776" s="39"/>
      <c r="F26776" s="39"/>
    </row>
    <row r="26777">
      <c r="D26777" s="39"/>
      <c r="E26777" s="39"/>
      <c r="F26777" s="39"/>
    </row>
    <row r="26778">
      <c r="D26778" s="39"/>
      <c r="E26778" s="39"/>
      <c r="F26778" s="39"/>
    </row>
    <row r="26779">
      <c r="D26779" s="39"/>
      <c r="E26779" s="39"/>
      <c r="F26779" s="39"/>
    </row>
    <row r="26780">
      <c r="D26780" s="39"/>
      <c r="E26780" s="39"/>
      <c r="F26780" s="39"/>
    </row>
    <row r="26781">
      <c r="D26781" s="39"/>
      <c r="E26781" s="39"/>
      <c r="F26781" s="39"/>
    </row>
    <row r="26782">
      <c r="D26782" s="39"/>
      <c r="E26782" s="39"/>
      <c r="F26782" s="39"/>
    </row>
    <row r="26783">
      <c r="D26783" s="39"/>
      <c r="E26783" s="39"/>
      <c r="F26783" s="39"/>
    </row>
    <row r="26784">
      <c r="D26784" s="39"/>
      <c r="E26784" s="39"/>
      <c r="F26784" s="39"/>
    </row>
    <row r="26785">
      <c r="D26785" s="39"/>
      <c r="E26785" s="39"/>
      <c r="F26785" s="39"/>
    </row>
    <row r="26786">
      <c r="D26786" s="39"/>
      <c r="E26786" s="39"/>
      <c r="F26786" s="39"/>
    </row>
    <row r="26787">
      <c r="D26787" s="39"/>
      <c r="E26787" s="39"/>
      <c r="F26787" s="39"/>
    </row>
    <row r="26788">
      <c r="D26788" s="39"/>
      <c r="E26788" s="39"/>
      <c r="F26788" s="39"/>
    </row>
    <row r="26789">
      <c r="D26789" s="39"/>
      <c r="E26789" s="39"/>
      <c r="F26789" s="39"/>
    </row>
    <row r="26790">
      <c r="D26790" s="39"/>
      <c r="E26790" s="39"/>
      <c r="F26790" s="39"/>
    </row>
    <row r="26791">
      <c r="D26791" s="39"/>
      <c r="E26791" s="39"/>
      <c r="F26791" s="39"/>
    </row>
    <row r="26792">
      <c r="D26792" s="39"/>
      <c r="E26792" s="39"/>
      <c r="F26792" s="39"/>
    </row>
    <row r="26793">
      <c r="D26793" s="39"/>
      <c r="E26793" s="39"/>
      <c r="F26793" s="39"/>
    </row>
    <row r="26794">
      <c r="D26794" s="39"/>
      <c r="E26794" s="39"/>
      <c r="F26794" s="39"/>
    </row>
    <row r="26795">
      <c r="D26795" s="39"/>
      <c r="E26795" s="39"/>
      <c r="F26795" s="39"/>
    </row>
    <row r="26796">
      <c r="D26796" s="39"/>
      <c r="E26796" s="39"/>
      <c r="F26796" s="39"/>
    </row>
    <row r="26797">
      <c r="D26797" s="39"/>
      <c r="E26797" s="39"/>
      <c r="F26797" s="39"/>
    </row>
    <row r="26798">
      <c r="D26798" s="39"/>
      <c r="E26798" s="39"/>
      <c r="F26798" s="39"/>
    </row>
    <row r="26799">
      <c r="D26799" s="39"/>
      <c r="E26799" s="39"/>
      <c r="F26799" s="39"/>
    </row>
    <row r="26800">
      <c r="D26800" s="39"/>
      <c r="E26800" s="39"/>
      <c r="F26800" s="39"/>
    </row>
    <row r="26801">
      <c r="D26801" s="39"/>
      <c r="E26801" s="39"/>
      <c r="F26801" s="39"/>
    </row>
    <row r="26802">
      <c r="D26802" s="39"/>
      <c r="E26802" s="39"/>
      <c r="F26802" s="39"/>
    </row>
    <row r="26803">
      <c r="D26803" s="39"/>
      <c r="E26803" s="39"/>
      <c r="F26803" s="39"/>
    </row>
    <row r="26804">
      <c r="D26804" s="39"/>
      <c r="E26804" s="39"/>
      <c r="F26804" s="39"/>
    </row>
    <row r="26805">
      <c r="D26805" s="39"/>
      <c r="E26805" s="39"/>
      <c r="F26805" s="39"/>
    </row>
    <row r="26806">
      <c r="D26806" s="39"/>
      <c r="E26806" s="39"/>
      <c r="F26806" s="39"/>
    </row>
    <row r="26807">
      <c r="D26807" s="39"/>
      <c r="E26807" s="39"/>
      <c r="F26807" s="39"/>
    </row>
    <row r="26808">
      <c r="D26808" s="39"/>
      <c r="E26808" s="39"/>
      <c r="F26808" s="39"/>
    </row>
    <row r="26809">
      <c r="D26809" s="39"/>
      <c r="E26809" s="39"/>
      <c r="F26809" s="39"/>
    </row>
    <row r="26810">
      <c r="D26810" s="39"/>
      <c r="E26810" s="39"/>
      <c r="F26810" s="39"/>
    </row>
    <row r="26811">
      <c r="D26811" s="39"/>
      <c r="E26811" s="39"/>
      <c r="F26811" s="39"/>
    </row>
    <row r="26812">
      <c r="D26812" s="39"/>
      <c r="E26812" s="39"/>
      <c r="F26812" s="39"/>
    </row>
    <row r="26813">
      <c r="D26813" s="39"/>
      <c r="E26813" s="39"/>
      <c r="F26813" s="39"/>
    </row>
    <row r="26814">
      <c r="D26814" s="39"/>
      <c r="E26814" s="39"/>
      <c r="F26814" s="39"/>
    </row>
    <row r="26815">
      <c r="D26815" s="39"/>
      <c r="E26815" s="39"/>
      <c r="F26815" s="39"/>
    </row>
    <row r="26816">
      <c r="D26816" s="39"/>
      <c r="E26816" s="39"/>
      <c r="F26816" s="39"/>
    </row>
    <row r="26817">
      <c r="D26817" s="39"/>
      <c r="E26817" s="39"/>
      <c r="F26817" s="39"/>
    </row>
    <row r="26818">
      <c r="D26818" s="39"/>
      <c r="E26818" s="39"/>
      <c r="F26818" s="39"/>
    </row>
    <row r="26819">
      <c r="D26819" s="39"/>
      <c r="E26819" s="39"/>
      <c r="F26819" s="39"/>
    </row>
    <row r="26820">
      <c r="D26820" s="39"/>
      <c r="E26820" s="39"/>
      <c r="F26820" s="39"/>
    </row>
    <row r="26821">
      <c r="D26821" s="39"/>
      <c r="E26821" s="39"/>
      <c r="F26821" s="39"/>
    </row>
    <row r="26822">
      <c r="D26822" s="39"/>
      <c r="E26822" s="39"/>
      <c r="F26822" s="39"/>
    </row>
    <row r="26823">
      <c r="D26823" s="39"/>
      <c r="E26823" s="39"/>
      <c r="F26823" s="39"/>
    </row>
    <row r="26824">
      <c r="D26824" s="39"/>
      <c r="E26824" s="39"/>
      <c r="F26824" s="39"/>
    </row>
    <row r="26825">
      <c r="D26825" s="39"/>
      <c r="E26825" s="39"/>
      <c r="F26825" s="39"/>
    </row>
    <row r="26826">
      <c r="D26826" s="39"/>
      <c r="E26826" s="39"/>
      <c r="F26826" s="39"/>
    </row>
    <row r="26827">
      <c r="D26827" s="39"/>
      <c r="E26827" s="39"/>
      <c r="F26827" s="39"/>
    </row>
    <row r="26828">
      <c r="D26828" s="39"/>
      <c r="E26828" s="39"/>
      <c r="F26828" s="39"/>
    </row>
    <row r="26829">
      <c r="D26829" s="39"/>
      <c r="E26829" s="39"/>
      <c r="F26829" s="39"/>
    </row>
    <row r="26830">
      <c r="D26830" s="39"/>
      <c r="E26830" s="39"/>
      <c r="F26830" s="39"/>
    </row>
    <row r="26831">
      <c r="D26831" s="39"/>
      <c r="E26831" s="39"/>
      <c r="F26831" s="39"/>
    </row>
    <row r="26832">
      <c r="D26832" s="39"/>
      <c r="E26832" s="39"/>
      <c r="F26832" s="39"/>
    </row>
    <row r="26833">
      <c r="D26833" s="39"/>
      <c r="E26833" s="39"/>
      <c r="F26833" s="39"/>
    </row>
    <row r="26834">
      <c r="D26834" s="39"/>
      <c r="E26834" s="39"/>
      <c r="F26834" s="39"/>
    </row>
    <row r="26835">
      <c r="D26835" s="39"/>
      <c r="E26835" s="39"/>
      <c r="F26835" s="39"/>
    </row>
    <row r="26836">
      <c r="D26836" s="39"/>
      <c r="E26836" s="39"/>
      <c r="F26836" s="39"/>
    </row>
    <row r="26837">
      <c r="D26837" s="39"/>
      <c r="E26837" s="39"/>
      <c r="F26837" s="39"/>
    </row>
    <row r="26838">
      <c r="D26838" s="39"/>
      <c r="E26838" s="39"/>
      <c r="F26838" s="39"/>
    </row>
    <row r="26839">
      <c r="D26839" s="39"/>
      <c r="E26839" s="39"/>
      <c r="F26839" s="39"/>
    </row>
    <row r="26840">
      <c r="D26840" s="39"/>
      <c r="E26840" s="39"/>
      <c r="F26840" s="39"/>
    </row>
    <row r="26841">
      <c r="D26841" s="39"/>
      <c r="E26841" s="39"/>
      <c r="F26841" s="39"/>
    </row>
    <row r="26842">
      <c r="D26842" s="39"/>
      <c r="E26842" s="39"/>
      <c r="F26842" s="39"/>
    </row>
    <row r="26843">
      <c r="D26843" s="39"/>
      <c r="E26843" s="39"/>
      <c r="F26843" s="39"/>
    </row>
    <row r="26844">
      <c r="D26844" s="39"/>
      <c r="E26844" s="39"/>
      <c r="F26844" s="39"/>
    </row>
    <row r="26845">
      <c r="D26845" s="39"/>
      <c r="E26845" s="39"/>
      <c r="F26845" s="39"/>
    </row>
    <row r="26846">
      <c r="D26846" s="39"/>
      <c r="E26846" s="39"/>
      <c r="F26846" s="39"/>
    </row>
    <row r="26847">
      <c r="D26847" s="39"/>
      <c r="E26847" s="39"/>
      <c r="F26847" s="39"/>
    </row>
    <row r="26848">
      <c r="D26848" s="39"/>
      <c r="E26848" s="39"/>
      <c r="F26848" s="39"/>
    </row>
    <row r="26849">
      <c r="D26849" s="39"/>
      <c r="E26849" s="39"/>
      <c r="F26849" s="39"/>
    </row>
    <row r="26850">
      <c r="D26850" s="39"/>
      <c r="E26850" s="39"/>
      <c r="F26850" s="39"/>
    </row>
    <row r="26851">
      <c r="D26851" s="39"/>
      <c r="E26851" s="39"/>
      <c r="F26851" s="39"/>
    </row>
    <row r="26852">
      <c r="D26852" s="39"/>
      <c r="E26852" s="39"/>
      <c r="F26852" s="39"/>
    </row>
    <row r="26853">
      <c r="D26853" s="39"/>
      <c r="E26853" s="39"/>
      <c r="F26853" s="39"/>
    </row>
    <row r="26854">
      <c r="D26854" s="39"/>
      <c r="E26854" s="39"/>
      <c r="F26854" s="39"/>
    </row>
    <row r="26855">
      <c r="D26855" s="39"/>
      <c r="E26855" s="39"/>
      <c r="F26855" s="39"/>
    </row>
    <row r="26856">
      <c r="D26856" s="39"/>
      <c r="E26856" s="39"/>
      <c r="F26856" s="39"/>
    </row>
    <row r="26857">
      <c r="D26857" s="39"/>
      <c r="E26857" s="39"/>
      <c r="F26857" s="39"/>
    </row>
    <row r="26858">
      <c r="D26858" s="39"/>
      <c r="E26858" s="39"/>
      <c r="F26858" s="39"/>
    </row>
    <row r="26859">
      <c r="D26859" s="39"/>
      <c r="E26859" s="39"/>
      <c r="F26859" s="39"/>
    </row>
    <row r="26860">
      <c r="D26860" s="39"/>
      <c r="E26860" s="39"/>
      <c r="F26860" s="39"/>
    </row>
    <row r="26861">
      <c r="D26861" s="39"/>
      <c r="E26861" s="39"/>
      <c r="F26861" s="39"/>
    </row>
    <row r="26862">
      <c r="D26862" s="39"/>
      <c r="E26862" s="39"/>
      <c r="F26862" s="39"/>
    </row>
    <row r="26863">
      <c r="D26863" s="39"/>
      <c r="E26863" s="39"/>
      <c r="F26863" s="39"/>
    </row>
    <row r="26864">
      <c r="D26864" s="39"/>
      <c r="E26864" s="39"/>
      <c r="F26864" s="39"/>
    </row>
    <row r="26865">
      <c r="D26865" s="39"/>
      <c r="E26865" s="39"/>
      <c r="F26865" s="39"/>
    </row>
    <row r="26866">
      <c r="D26866" s="39"/>
      <c r="E26866" s="39"/>
      <c r="F26866" s="39"/>
    </row>
    <row r="26867">
      <c r="D26867" s="39"/>
      <c r="E26867" s="39"/>
      <c r="F26867" s="39"/>
    </row>
    <row r="26868">
      <c r="D26868" s="39"/>
      <c r="E26868" s="39"/>
      <c r="F26868" s="39"/>
    </row>
    <row r="26869">
      <c r="D26869" s="39"/>
      <c r="E26869" s="39"/>
      <c r="F26869" s="39"/>
    </row>
    <row r="26870">
      <c r="D26870" s="39"/>
      <c r="E26870" s="39"/>
      <c r="F26870" s="39"/>
    </row>
    <row r="26871">
      <c r="D26871" s="39"/>
      <c r="E26871" s="39"/>
      <c r="F26871" s="39"/>
    </row>
    <row r="26872">
      <c r="D26872" s="39"/>
      <c r="E26872" s="39"/>
      <c r="F26872" s="39"/>
    </row>
    <row r="26873">
      <c r="D26873" s="39"/>
      <c r="E26873" s="39"/>
      <c r="F26873" s="39"/>
    </row>
    <row r="26874">
      <c r="D26874" s="39"/>
      <c r="E26874" s="39"/>
      <c r="F26874" s="39"/>
    </row>
    <row r="26875">
      <c r="D26875" s="39"/>
      <c r="E26875" s="39"/>
      <c r="F26875" s="39"/>
    </row>
    <row r="26876">
      <c r="D26876" s="39"/>
      <c r="E26876" s="39"/>
      <c r="F26876" s="39"/>
    </row>
    <row r="26877">
      <c r="D26877" s="39"/>
      <c r="E26877" s="39"/>
      <c r="F26877" s="39"/>
    </row>
    <row r="26878">
      <c r="D26878" s="39"/>
      <c r="E26878" s="39"/>
      <c r="F26878" s="39"/>
    </row>
    <row r="26879">
      <c r="D26879" s="39"/>
      <c r="E26879" s="39"/>
      <c r="F26879" s="39"/>
    </row>
    <row r="26880">
      <c r="D26880" s="39"/>
      <c r="E26880" s="39"/>
      <c r="F26880" s="39"/>
    </row>
    <row r="26881">
      <c r="D26881" s="39"/>
      <c r="E26881" s="39"/>
      <c r="F26881" s="39"/>
    </row>
    <row r="26882">
      <c r="D26882" s="39"/>
      <c r="E26882" s="39"/>
      <c r="F26882" s="39"/>
    </row>
    <row r="26883">
      <c r="D26883" s="39"/>
      <c r="E26883" s="39"/>
      <c r="F26883" s="39"/>
    </row>
    <row r="26884">
      <c r="D26884" s="39"/>
      <c r="E26884" s="39"/>
      <c r="F26884" s="39"/>
    </row>
    <row r="26885">
      <c r="D26885" s="39"/>
      <c r="E26885" s="39"/>
      <c r="F26885" s="39"/>
    </row>
    <row r="26886">
      <c r="D26886" s="39"/>
      <c r="E26886" s="39"/>
      <c r="F26886" s="39"/>
    </row>
    <row r="26887">
      <c r="D26887" s="39"/>
      <c r="E26887" s="39"/>
      <c r="F26887" s="39"/>
    </row>
    <row r="26888">
      <c r="D26888" s="39"/>
      <c r="E26888" s="39"/>
      <c r="F26888" s="39"/>
    </row>
    <row r="26889">
      <c r="D26889" s="39"/>
      <c r="E26889" s="39"/>
      <c r="F26889" s="39"/>
    </row>
    <row r="26890">
      <c r="D26890" s="39"/>
      <c r="E26890" s="39"/>
      <c r="F26890" s="39"/>
    </row>
    <row r="26891">
      <c r="D26891" s="39"/>
      <c r="E26891" s="39"/>
      <c r="F26891" s="39"/>
    </row>
    <row r="26892">
      <c r="D26892" s="39"/>
      <c r="E26892" s="39"/>
      <c r="F26892" s="39"/>
    </row>
    <row r="26893">
      <c r="D26893" s="39"/>
      <c r="E26893" s="39"/>
      <c r="F26893" s="39"/>
    </row>
    <row r="26894">
      <c r="D26894" s="39"/>
      <c r="E26894" s="39"/>
      <c r="F26894" s="39"/>
    </row>
    <row r="26895">
      <c r="D26895" s="39"/>
      <c r="E26895" s="39"/>
      <c r="F26895" s="39"/>
    </row>
    <row r="26896">
      <c r="D26896" s="39"/>
      <c r="E26896" s="39"/>
      <c r="F26896" s="39"/>
    </row>
    <row r="26897">
      <c r="D26897" s="39"/>
      <c r="E26897" s="39"/>
      <c r="F26897" s="39"/>
    </row>
    <row r="26898">
      <c r="D26898" s="39"/>
      <c r="E26898" s="39"/>
      <c r="F26898" s="39"/>
    </row>
    <row r="26899">
      <c r="D26899" s="39"/>
      <c r="E26899" s="39"/>
      <c r="F26899" s="39"/>
    </row>
    <row r="26900">
      <c r="D26900" s="39"/>
      <c r="E26900" s="39"/>
      <c r="F26900" s="39"/>
    </row>
    <row r="26901">
      <c r="D26901" s="39"/>
      <c r="E26901" s="39"/>
      <c r="F26901" s="39"/>
    </row>
    <row r="26902">
      <c r="D26902" s="39"/>
      <c r="E26902" s="39"/>
      <c r="F26902" s="39"/>
    </row>
    <row r="26903">
      <c r="D26903" s="39"/>
      <c r="E26903" s="39"/>
      <c r="F26903" s="39"/>
    </row>
    <row r="26904">
      <c r="D26904" s="39"/>
      <c r="E26904" s="39"/>
      <c r="F26904" s="39"/>
    </row>
    <row r="26905">
      <c r="D26905" s="39"/>
      <c r="E26905" s="39"/>
      <c r="F26905" s="39"/>
    </row>
    <row r="26906">
      <c r="D26906" s="39"/>
      <c r="E26906" s="39"/>
      <c r="F26906" s="39"/>
    </row>
    <row r="26907">
      <c r="D26907" s="39"/>
      <c r="E26907" s="39"/>
      <c r="F26907" s="39"/>
    </row>
    <row r="26908">
      <c r="D26908" s="39"/>
      <c r="E26908" s="39"/>
      <c r="F26908" s="39"/>
    </row>
    <row r="26909">
      <c r="D26909" s="39"/>
      <c r="E26909" s="39"/>
      <c r="F26909" s="39"/>
    </row>
    <row r="26910">
      <c r="D26910" s="39"/>
      <c r="E26910" s="39"/>
      <c r="F26910" s="39"/>
    </row>
    <row r="26911">
      <c r="D26911" s="39"/>
      <c r="E26911" s="39"/>
      <c r="F26911" s="39"/>
    </row>
    <row r="26912">
      <c r="D26912" s="39"/>
      <c r="E26912" s="39"/>
      <c r="F26912" s="39"/>
    </row>
    <row r="26913">
      <c r="D26913" s="39"/>
      <c r="E26913" s="39"/>
      <c r="F26913" s="39"/>
    </row>
    <row r="26914">
      <c r="D26914" s="39"/>
      <c r="E26914" s="39"/>
      <c r="F26914" s="39"/>
    </row>
    <row r="26915">
      <c r="D26915" s="39"/>
      <c r="E26915" s="39"/>
      <c r="F26915" s="39"/>
    </row>
    <row r="26916">
      <c r="D26916" s="39"/>
      <c r="E26916" s="39"/>
      <c r="F26916" s="39"/>
    </row>
    <row r="26917">
      <c r="D26917" s="39"/>
      <c r="E26917" s="39"/>
      <c r="F26917" s="39"/>
    </row>
    <row r="26918">
      <c r="D26918" s="39"/>
      <c r="E26918" s="39"/>
      <c r="F26918" s="39"/>
    </row>
    <row r="26919">
      <c r="D26919" s="39"/>
      <c r="E26919" s="39"/>
      <c r="F26919" s="39"/>
    </row>
    <row r="26920">
      <c r="D26920" s="39"/>
      <c r="E26920" s="39"/>
      <c r="F26920" s="39"/>
    </row>
    <row r="26921">
      <c r="D26921" s="39"/>
      <c r="E26921" s="39"/>
      <c r="F26921" s="39"/>
    </row>
    <row r="26922">
      <c r="D26922" s="39"/>
      <c r="E26922" s="39"/>
      <c r="F26922" s="39"/>
    </row>
    <row r="26923">
      <c r="D26923" s="39"/>
      <c r="E26923" s="39"/>
      <c r="F26923" s="39"/>
    </row>
    <row r="26924">
      <c r="D26924" s="39"/>
      <c r="E26924" s="39"/>
      <c r="F26924" s="39"/>
    </row>
    <row r="26925">
      <c r="D26925" s="39"/>
      <c r="E26925" s="39"/>
      <c r="F26925" s="39"/>
    </row>
    <row r="26926">
      <c r="D26926" s="39"/>
      <c r="E26926" s="39"/>
      <c r="F26926" s="39"/>
    </row>
    <row r="26927">
      <c r="D26927" s="39"/>
      <c r="E26927" s="39"/>
      <c r="F26927" s="39"/>
    </row>
    <row r="26928">
      <c r="D26928" s="39"/>
      <c r="E26928" s="39"/>
      <c r="F26928" s="39"/>
    </row>
    <row r="26929">
      <c r="D26929" s="39"/>
      <c r="E26929" s="39"/>
      <c r="F26929" s="39"/>
    </row>
    <row r="26930">
      <c r="D26930" s="39"/>
      <c r="E26930" s="39"/>
      <c r="F26930" s="39"/>
    </row>
    <row r="26931">
      <c r="D26931" s="39"/>
      <c r="E26931" s="39"/>
      <c r="F26931" s="39"/>
    </row>
    <row r="26932">
      <c r="D26932" s="39"/>
      <c r="E26932" s="39"/>
      <c r="F26932" s="39"/>
    </row>
    <row r="26933">
      <c r="D26933" s="39"/>
      <c r="E26933" s="39"/>
      <c r="F26933" s="39"/>
    </row>
    <row r="26934">
      <c r="D26934" s="39"/>
      <c r="E26934" s="39"/>
      <c r="F26934" s="39"/>
    </row>
    <row r="26935">
      <c r="D26935" s="39"/>
      <c r="E26935" s="39"/>
      <c r="F26935" s="39"/>
    </row>
    <row r="26936">
      <c r="D26936" s="39"/>
      <c r="E26936" s="39"/>
      <c r="F26936" s="39"/>
    </row>
    <row r="26937">
      <c r="D26937" s="39"/>
      <c r="E26937" s="39"/>
      <c r="F26937" s="39"/>
    </row>
    <row r="26938">
      <c r="D26938" s="39"/>
      <c r="E26938" s="39"/>
      <c r="F26938" s="39"/>
    </row>
    <row r="26939">
      <c r="D26939" s="39"/>
      <c r="E26939" s="39"/>
      <c r="F26939" s="39"/>
    </row>
    <row r="26940">
      <c r="D26940" s="39"/>
      <c r="E26940" s="39"/>
      <c r="F26940" s="39"/>
    </row>
    <row r="26941">
      <c r="D26941" s="39"/>
      <c r="E26941" s="39"/>
      <c r="F26941" s="39"/>
    </row>
    <row r="26942">
      <c r="D26942" s="39"/>
      <c r="E26942" s="39"/>
      <c r="F26942" s="39"/>
    </row>
    <row r="26943">
      <c r="D26943" s="39"/>
      <c r="E26943" s="39"/>
      <c r="F26943" s="39"/>
    </row>
    <row r="26944">
      <c r="D26944" s="39"/>
      <c r="E26944" s="39"/>
      <c r="F26944" s="39"/>
    </row>
    <row r="26945">
      <c r="D26945" s="39"/>
      <c r="E26945" s="39"/>
      <c r="F26945" s="39"/>
    </row>
    <row r="26946">
      <c r="D26946" s="39"/>
      <c r="E26946" s="39"/>
      <c r="F26946" s="39"/>
    </row>
    <row r="26947">
      <c r="D26947" s="39"/>
      <c r="E26947" s="39"/>
      <c r="F26947" s="39"/>
    </row>
    <row r="26948">
      <c r="D26948" s="39"/>
      <c r="E26948" s="39"/>
      <c r="F26948" s="39"/>
    </row>
    <row r="26949">
      <c r="D26949" s="39"/>
      <c r="E26949" s="39"/>
      <c r="F26949" s="39"/>
    </row>
    <row r="26950">
      <c r="D26950" s="39"/>
      <c r="E26950" s="39"/>
      <c r="F26950" s="39"/>
    </row>
    <row r="26951">
      <c r="D26951" s="39"/>
      <c r="E26951" s="39"/>
      <c r="F26951" s="39"/>
    </row>
    <row r="26952">
      <c r="D26952" s="39"/>
      <c r="E26952" s="39"/>
      <c r="F26952" s="39"/>
    </row>
    <row r="26953">
      <c r="D26953" s="39"/>
      <c r="E26953" s="39"/>
      <c r="F26953" s="39"/>
    </row>
    <row r="26954">
      <c r="D26954" s="39"/>
      <c r="E26954" s="39"/>
      <c r="F26954" s="39"/>
    </row>
    <row r="26955">
      <c r="D26955" s="39"/>
      <c r="E26955" s="39"/>
      <c r="F26955" s="39"/>
    </row>
    <row r="26956">
      <c r="D26956" s="39"/>
      <c r="E26956" s="39"/>
      <c r="F26956" s="39"/>
    </row>
    <row r="26957">
      <c r="D26957" s="39"/>
      <c r="E26957" s="39"/>
      <c r="F26957" s="39"/>
    </row>
    <row r="26958">
      <c r="D26958" s="39"/>
      <c r="E26958" s="39"/>
      <c r="F26958" s="39"/>
    </row>
    <row r="26959">
      <c r="D26959" s="39"/>
      <c r="E26959" s="39"/>
      <c r="F26959" s="39"/>
    </row>
    <row r="26960">
      <c r="D26960" s="39"/>
      <c r="E26960" s="39"/>
      <c r="F26960" s="39"/>
    </row>
    <row r="26961">
      <c r="D26961" s="39"/>
      <c r="E26961" s="39"/>
      <c r="F26961" s="39"/>
    </row>
    <row r="26962">
      <c r="D26962" s="39"/>
      <c r="E26962" s="39"/>
      <c r="F26962" s="39"/>
    </row>
    <row r="26963">
      <c r="D26963" s="39"/>
      <c r="E26963" s="39"/>
      <c r="F26963" s="39"/>
    </row>
    <row r="26964">
      <c r="D26964" s="39"/>
      <c r="E26964" s="39"/>
      <c r="F26964" s="39"/>
    </row>
    <row r="26965">
      <c r="D26965" s="39"/>
      <c r="E26965" s="39"/>
      <c r="F26965" s="39"/>
    </row>
    <row r="26966">
      <c r="D26966" s="39"/>
      <c r="E26966" s="39"/>
      <c r="F26966" s="39"/>
    </row>
    <row r="26967">
      <c r="D26967" s="39"/>
      <c r="E26967" s="39"/>
      <c r="F26967" s="39"/>
    </row>
    <row r="26968">
      <c r="D26968" s="39"/>
      <c r="E26968" s="39"/>
      <c r="F26968" s="39"/>
    </row>
    <row r="26969">
      <c r="D26969" s="39"/>
      <c r="E26969" s="39"/>
      <c r="F26969" s="39"/>
    </row>
    <row r="26970">
      <c r="D26970" s="39"/>
      <c r="E26970" s="39"/>
      <c r="F26970" s="39"/>
    </row>
    <row r="26971">
      <c r="D26971" s="39"/>
      <c r="E26971" s="39"/>
      <c r="F26971" s="39"/>
    </row>
    <row r="26972">
      <c r="D26972" s="39"/>
      <c r="E26972" s="39"/>
      <c r="F26972" s="39"/>
    </row>
    <row r="26973">
      <c r="D26973" s="39"/>
      <c r="E26973" s="39"/>
      <c r="F26973" s="39"/>
    </row>
    <row r="26974">
      <c r="D26974" s="39"/>
      <c r="E26974" s="39"/>
      <c r="F26974" s="39"/>
    </row>
    <row r="26975">
      <c r="D26975" s="39"/>
      <c r="E26975" s="39"/>
      <c r="F26975" s="39"/>
    </row>
    <row r="26976">
      <c r="D26976" s="39"/>
      <c r="E26976" s="39"/>
      <c r="F26976" s="39"/>
    </row>
    <row r="26977">
      <c r="D26977" s="39"/>
      <c r="E26977" s="39"/>
      <c r="F26977" s="39"/>
    </row>
    <row r="26978">
      <c r="D26978" s="39"/>
      <c r="E26978" s="39"/>
      <c r="F26978" s="39"/>
    </row>
    <row r="26979">
      <c r="D26979" s="39"/>
      <c r="E26979" s="39"/>
      <c r="F26979" s="39"/>
    </row>
    <row r="26980">
      <c r="D26980" s="39"/>
      <c r="E26980" s="39"/>
      <c r="F26980" s="39"/>
    </row>
    <row r="26981">
      <c r="D26981" s="39"/>
      <c r="E26981" s="39"/>
      <c r="F26981" s="39"/>
    </row>
    <row r="26982">
      <c r="D26982" s="39"/>
      <c r="E26982" s="39"/>
      <c r="F26982" s="39"/>
    </row>
    <row r="26983">
      <c r="D26983" s="39"/>
      <c r="E26983" s="39"/>
      <c r="F26983" s="39"/>
    </row>
    <row r="26984">
      <c r="D26984" s="39"/>
      <c r="E26984" s="39"/>
      <c r="F26984" s="39"/>
    </row>
    <row r="26985">
      <c r="D26985" s="39"/>
      <c r="E26985" s="39"/>
      <c r="F26985" s="39"/>
    </row>
    <row r="26986">
      <c r="D26986" s="39"/>
      <c r="E26986" s="39"/>
      <c r="F26986" s="39"/>
    </row>
    <row r="26987">
      <c r="D26987" s="39"/>
      <c r="E26987" s="39"/>
      <c r="F26987" s="39"/>
    </row>
    <row r="26988">
      <c r="D26988" s="39"/>
      <c r="E26988" s="39"/>
      <c r="F26988" s="39"/>
    </row>
    <row r="26989">
      <c r="D26989" s="39"/>
      <c r="E26989" s="39"/>
      <c r="F26989" s="39"/>
    </row>
    <row r="26990">
      <c r="D26990" s="39"/>
      <c r="E26990" s="39"/>
      <c r="F26990" s="39"/>
    </row>
    <row r="26991">
      <c r="D26991" s="39"/>
      <c r="E26991" s="39"/>
      <c r="F26991" s="39"/>
    </row>
    <row r="26992">
      <c r="D26992" s="39"/>
      <c r="E26992" s="39"/>
      <c r="F26992" s="39"/>
    </row>
    <row r="26993">
      <c r="D26993" s="39"/>
      <c r="E26993" s="39"/>
      <c r="F26993" s="39"/>
    </row>
    <row r="26994">
      <c r="D26994" s="39"/>
      <c r="E26994" s="39"/>
      <c r="F26994" s="39"/>
    </row>
    <row r="26995">
      <c r="D26995" s="39"/>
      <c r="E26995" s="39"/>
      <c r="F26995" s="39"/>
    </row>
    <row r="26996">
      <c r="D26996" s="39"/>
      <c r="E26996" s="39"/>
      <c r="F26996" s="39"/>
    </row>
    <row r="26997">
      <c r="D26997" s="39"/>
      <c r="E26997" s="39"/>
      <c r="F26997" s="39"/>
    </row>
    <row r="26998">
      <c r="D26998" s="39"/>
      <c r="E26998" s="39"/>
      <c r="F26998" s="39"/>
    </row>
    <row r="26999">
      <c r="D26999" s="39"/>
      <c r="E26999" s="39"/>
      <c r="F26999" s="39"/>
    </row>
    <row r="27000">
      <c r="D27000" s="39"/>
      <c r="E27000" s="39"/>
      <c r="F27000" s="39"/>
    </row>
    <row r="27001">
      <c r="D27001" s="39"/>
      <c r="E27001" s="39"/>
      <c r="F27001" s="39"/>
    </row>
    <row r="27002">
      <c r="D27002" s="39"/>
      <c r="E27002" s="39"/>
      <c r="F27002" s="39"/>
    </row>
    <row r="27003">
      <c r="D27003" s="39"/>
      <c r="E27003" s="39"/>
      <c r="F27003" s="39"/>
    </row>
    <row r="27004">
      <c r="D27004" s="39"/>
      <c r="E27004" s="39"/>
      <c r="F27004" s="39"/>
    </row>
    <row r="27005">
      <c r="D27005" s="39"/>
      <c r="E27005" s="39"/>
      <c r="F27005" s="39"/>
    </row>
    <row r="27006">
      <c r="D27006" s="39"/>
      <c r="E27006" s="39"/>
      <c r="F27006" s="39"/>
    </row>
    <row r="27007">
      <c r="D27007" s="39"/>
      <c r="E27007" s="39"/>
      <c r="F27007" s="39"/>
    </row>
    <row r="27008">
      <c r="D27008" s="39"/>
      <c r="E27008" s="39"/>
      <c r="F27008" s="39"/>
    </row>
    <row r="27009">
      <c r="D27009" s="39"/>
      <c r="E27009" s="39"/>
      <c r="F27009" s="39"/>
    </row>
    <row r="27010">
      <c r="D27010" s="39"/>
      <c r="E27010" s="39"/>
      <c r="F27010" s="39"/>
    </row>
    <row r="27011">
      <c r="D27011" s="39"/>
      <c r="E27011" s="39"/>
      <c r="F27011" s="39"/>
    </row>
    <row r="27012">
      <c r="D27012" s="39"/>
      <c r="E27012" s="39"/>
      <c r="F27012" s="39"/>
    </row>
    <row r="27013">
      <c r="D27013" s="39"/>
      <c r="E27013" s="39"/>
      <c r="F27013" s="39"/>
    </row>
    <row r="27014">
      <c r="D27014" s="39"/>
      <c r="E27014" s="39"/>
      <c r="F27014" s="39"/>
    </row>
    <row r="27015">
      <c r="D27015" s="39"/>
      <c r="E27015" s="39"/>
      <c r="F27015" s="39"/>
    </row>
    <row r="27016">
      <c r="D27016" s="39"/>
      <c r="E27016" s="39"/>
      <c r="F27016" s="39"/>
    </row>
    <row r="27017">
      <c r="D27017" s="39"/>
      <c r="E27017" s="39"/>
      <c r="F27017" s="39"/>
    </row>
    <row r="27018">
      <c r="D27018" s="39"/>
      <c r="E27018" s="39"/>
      <c r="F27018" s="39"/>
    </row>
    <row r="27019">
      <c r="D27019" s="39"/>
      <c r="E27019" s="39"/>
      <c r="F27019" s="39"/>
    </row>
    <row r="27020">
      <c r="D27020" s="39"/>
      <c r="E27020" s="39"/>
      <c r="F27020" s="39"/>
    </row>
    <row r="27021">
      <c r="D27021" s="39"/>
      <c r="E27021" s="39"/>
      <c r="F27021" s="39"/>
    </row>
    <row r="27022">
      <c r="D27022" s="39"/>
      <c r="E27022" s="39"/>
      <c r="F27022" s="39"/>
    </row>
    <row r="27023">
      <c r="D27023" s="39"/>
      <c r="E27023" s="39"/>
      <c r="F27023" s="39"/>
    </row>
    <row r="27024">
      <c r="D27024" s="39"/>
      <c r="E27024" s="39"/>
      <c r="F27024" s="39"/>
    </row>
    <row r="27025">
      <c r="D27025" s="39"/>
      <c r="E27025" s="39"/>
      <c r="F27025" s="39"/>
    </row>
    <row r="27026">
      <c r="D27026" s="39"/>
      <c r="E27026" s="39"/>
      <c r="F27026" s="39"/>
    </row>
    <row r="27027">
      <c r="D27027" s="39"/>
      <c r="E27027" s="39"/>
      <c r="F27027" s="39"/>
    </row>
    <row r="27028">
      <c r="D27028" s="39"/>
      <c r="E27028" s="39"/>
      <c r="F27028" s="39"/>
    </row>
    <row r="27029">
      <c r="D27029" s="39"/>
      <c r="E27029" s="39"/>
      <c r="F27029" s="39"/>
    </row>
    <row r="27030">
      <c r="D27030" s="39"/>
      <c r="E27030" s="39"/>
      <c r="F27030" s="39"/>
    </row>
    <row r="27031">
      <c r="D27031" s="39"/>
      <c r="E27031" s="39"/>
      <c r="F27031" s="39"/>
    </row>
    <row r="27032">
      <c r="D27032" s="39"/>
      <c r="E27032" s="39"/>
      <c r="F27032" s="39"/>
    </row>
    <row r="27033">
      <c r="D27033" s="39"/>
      <c r="E27033" s="39"/>
      <c r="F27033" s="39"/>
    </row>
    <row r="27034">
      <c r="D27034" s="39"/>
      <c r="E27034" s="39"/>
      <c r="F27034" s="39"/>
    </row>
    <row r="27035">
      <c r="D27035" s="39"/>
      <c r="E27035" s="39"/>
      <c r="F27035" s="39"/>
    </row>
    <row r="27036">
      <c r="D27036" s="39"/>
      <c r="E27036" s="39"/>
      <c r="F27036" s="39"/>
    </row>
    <row r="27037">
      <c r="D27037" s="39"/>
      <c r="E27037" s="39"/>
      <c r="F27037" s="39"/>
    </row>
    <row r="27038">
      <c r="D27038" s="39"/>
      <c r="E27038" s="39"/>
      <c r="F27038" s="39"/>
    </row>
    <row r="27039">
      <c r="D27039" s="39"/>
      <c r="E27039" s="39"/>
      <c r="F27039" s="39"/>
    </row>
    <row r="27040">
      <c r="D27040" s="39"/>
      <c r="E27040" s="39"/>
      <c r="F27040" s="39"/>
    </row>
    <row r="27041">
      <c r="D27041" s="39"/>
      <c r="E27041" s="39"/>
      <c r="F27041" s="39"/>
    </row>
    <row r="27042">
      <c r="D27042" s="39"/>
      <c r="E27042" s="39"/>
      <c r="F27042" s="39"/>
    </row>
    <row r="27043">
      <c r="D27043" s="39"/>
      <c r="E27043" s="39"/>
      <c r="F27043" s="39"/>
    </row>
    <row r="27044">
      <c r="D27044" s="39"/>
      <c r="E27044" s="39"/>
      <c r="F27044" s="39"/>
    </row>
    <row r="27045">
      <c r="D27045" s="39"/>
      <c r="E27045" s="39"/>
      <c r="F27045" s="39"/>
    </row>
    <row r="27046">
      <c r="D27046" s="39"/>
      <c r="E27046" s="39"/>
      <c r="F27046" s="39"/>
    </row>
    <row r="27047">
      <c r="D27047" s="39"/>
      <c r="E27047" s="39"/>
      <c r="F27047" s="39"/>
    </row>
    <row r="27048">
      <c r="D27048" s="39"/>
      <c r="E27048" s="39"/>
      <c r="F27048" s="39"/>
    </row>
    <row r="27049">
      <c r="D27049" s="39"/>
      <c r="E27049" s="39"/>
      <c r="F27049" s="39"/>
    </row>
    <row r="27050">
      <c r="D27050" s="39"/>
      <c r="E27050" s="39"/>
      <c r="F27050" s="39"/>
    </row>
    <row r="27051">
      <c r="D27051" s="39"/>
      <c r="E27051" s="39"/>
      <c r="F27051" s="39"/>
    </row>
    <row r="27052">
      <c r="D27052" s="39"/>
      <c r="E27052" s="39"/>
      <c r="F27052" s="39"/>
    </row>
    <row r="27053">
      <c r="D27053" s="39"/>
      <c r="E27053" s="39"/>
      <c r="F27053" s="39"/>
    </row>
    <row r="27054">
      <c r="D27054" s="39"/>
      <c r="E27054" s="39"/>
      <c r="F27054" s="39"/>
    </row>
    <row r="27055">
      <c r="D27055" s="39"/>
      <c r="E27055" s="39"/>
      <c r="F27055" s="39"/>
    </row>
    <row r="27056">
      <c r="D27056" s="39"/>
      <c r="E27056" s="39"/>
      <c r="F27056" s="39"/>
    </row>
    <row r="27057">
      <c r="D27057" s="39"/>
      <c r="E27057" s="39"/>
      <c r="F27057" s="39"/>
    </row>
    <row r="27058">
      <c r="D27058" s="39"/>
      <c r="E27058" s="39"/>
      <c r="F27058" s="39"/>
    </row>
    <row r="27059">
      <c r="D27059" s="39"/>
      <c r="E27059" s="39"/>
      <c r="F27059" s="39"/>
    </row>
    <row r="27060">
      <c r="D27060" s="39"/>
      <c r="E27060" s="39"/>
      <c r="F27060" s="39"/>
    </row>
    <row r="27061">
      <c r="D27061" s="39"/>
      <c r="E27061" s="39"/>
      <c r="F27061" s="39"/>
    </row>
    <row r="27062">
      <c r="D27062" s="39"/>
      <c r="E27062" s="39"/>
      <c r="F27062" s="39"/>
    </row>
    <row r="27063">
      <c r="D27063" s="39"/>
      <c r="E27063" s="39"/>
      <c r="F27063" s="39"/>
    </row>
    <row r="27064">
      <c r="D27064" s="39"/>
      <c r="E27064" s="39"/>
      <c r="F27064" s="39"/>
    </row>
    <row r="27065">
      <c r="D27065" s="39"/>
      <c r="E27065" s="39"/>
      <c r="F27065" s="39"/>
    </row>
    <row r="27066">
      <c r="D27066" s="39"/>
      <c r="E27066" s="39"/>
      <c r="F27066" s="39"/>
    </row>
    <row r="27067">
      <c r="D27067" s="39"/>
      <c r="E27067" s="39"/>
      <c r="F27067" s="39"/>
    </row>
    <row r="27068">
      <c r="D27068" s="39"/>
      <c r="E27068" s="39"/>
      <c r="F27068" s="39"/>
    </row>
    <row r="27069">
      <c r="D27069" s="39"/>
      <c r="E27069" s="39"/>
      <c r="F27069" s="39"/>
    </row>
    <row r="27070">
      <c r="D27070" s="39"/>
      <c r="E27070" s="39"/>
      <c r="F27070" s="39"/>
    </row>
    <row r="27071">
      <c r="D27071" s="39"/>
      <c r="E27071" s="39"/>
      <c r="F27071" s="39"/>
    </row>
    <row r="27072">
      <c r="D27072" s="39"/>
      <c r="E27072" s="39"/>
      <c r="F27072" s="39"/>
    </row>
    <row r="27073">
      <c r="D27073" s="39"/>
      <c r="E27073" s="39"/>
      <c r="F27073" s="39"/>
    </row>
    <row r="27074">
      <c r="D27074" s="39"/>
      <c r="E27074" s="39"/>
      <c r="F27074" s="39"/>
    </row>
    <row r="27075">
      <c r="D27075" s="39"/>
      <c r="E27075" s="39"/>
      <c r="F27075" s="39"/>
    </row>
    <row r="27076">
      <c r="D27076" s="39"/>
      <c r="E27076" s="39"/>
      <c r="F27076" s="39"/>
    </row>
    <row r="27077">
      <c r="D27077" s="39"/>
      <c r="E27077" s="39"/>
      <c r="F27077" s="39"/>
    </row>
    <row r="27078">
      <c r="D27078" s="39"/>
      <c r="E27078" s="39"/>
      <c r="F27078" s="39"/>
    </row>
    <row r="27079">
      <c r="D27079" s="39"/>
      <c r="E27079" s="39"/>
      <c r="F27079" s="39"/>
    </row>
    <row r="27080">
      <c r="D27080" s="39"/>
      <c r="E27080" s="39"/>
      <c r="F27080" s="39"/>
    </row>
    <row r="27081">
      <c r="D27081" s="39"/>
      <c r="E27081" s="39"/>
      <c r="F27081" s="39"/>
    </row>
    <row r="27082">
      <c r="D27082" s="39"/>
      <c r="E27082" s="39"/>
      <c r="F27082" s="39"/>
    </row>
    <row r="27083">
      <c r="D27083" s="39"/>
      <c r="E27083" s="39"/>
      <c r="F27083" s="39"/>
    </row>
    <row r="27084">
      <c r="D27084" s="39"/>
      <c r="E27084" s="39"/>
      <c r="F27084" s="39"/>
    </row>
    <row r="27085">
      <c r="D27085" s="39"/>
      <c r="E27085" s="39"/>
      <c r="F27085" s="39"/>
    </row>
    <row r="27086">
      <c r="D27086" s="39"/>
      <c r="E27086" s="39"/>
      <c r="F27086" s="39"/>
    </row>
    <row r="27087">
      <c r="D27087" s="39"/>
      <c r="E27087" s="39"/>
      <c r="F27087" s="39"/>
    </row>
    <row r="27088">
      <c r="D27088" s="39"/>
      <c r="E27088" s="39"/>
      <c r="F27088" s="39"/>
    </row>
    <row r="27089">
      <c r="D27089" s="39"/>
      <c r="E27089" s="39"/>
      <c r="F27089" s="39"/>
    </row>
    <row r="27090">
      <c r="D27090" s="39"/>
      <c r="E27090" s="39"/>
      <c r="F27090" s="39"/>
    </row>
    <row r="27091">
      <c r="D27091" s="39"/>
      <c r="E27091" s="39"/>
      <c r="F27091" s="39"/>
    </row>
    <row r="27092">
      <c r="D27092" s="39"/>
      <c r="E27092" s="39"/>
      <c r="F27092" s="39"/>
    </row>
    <row r="27093">
      <c r="D27093" s="39"/>
      <c r="E27093" s="39"/>
      <c r="F27093" s="39"/>
    </row>
    <row r="27094">
      <c r="D27094" s="39"/>
      <c r="E27094" s="39"/>
      <c r="F27094" s="39"/>
    </row>
    <row r="27095">
      <c r="D27095" s="39"/>
      <c r="E27095" s="39"/>
      <c r="F27095" s="39"/>
    </row>
    <row r="27096">
      <c r="D27096" s="39"/>
      <c r="E27096" s="39"/>
      <c r="F27096" s="39"/>
    </row>
    <row r="27097">
      <c r="D27097" s="39"/>
      <c r="E27097" s="39"/>
      <c r="F27097" s="39"/>
    </row>
    <row r="27098">
      <c r="D27098" s="39"/>
      <c r="E27098" s="39"/>
      <c r="F27098" s="39"/>
    </row>
    <row r="27099">
      <c r="D27099" s="39"/>
      <c r="E27099" s="39"/>
      <c r="F27099" s="39"/>
    </row>
    <row r="27100">
      <c r="D27100" s="39"/>
      <c r="E27100" s="39"/>
      <c r="F27100" s="39"/>
    </row>
    <row r="27101">
      <c r="D27101" s="39"/>
      <c r="E27101" s="39"/>
      <c r="F27101" s="39"/>
    </row>
    <row r="27102">
      <c r="D27102" s="39"/>
      <c r="E27102" s="39"/>
      <c r="F27102" s="39"/>
    </row>
    <row r="27103">
      <c r="D27103" s="39"/>
      <c r="E27103" s="39"/>
      <c r="F27103" s="39"/>
    </row>
    <row r="27104">
      <c r="D27104" s="39"/>
      <c r="E27104" s="39"/>
      <c r="F27104" s="39"/>
    </row>
    <row r="27105">
      <c r="D27105" s="39"/>
      <c r="E27105" s="39"/>
      <c r="F27105" s="39"/>
    </row>
    <row r="27106">
      <c r="D27106" s="39"/>
      <c r="E27106" s="39"/>
      <c r="F27106" s="39"/>
    </row>
    <row r="27107">
      <c r="D27107" s="39"/>
      <c r="E27107" s="39"/>
      <c r="F27107" s="39"/>
    </row>
    <row r="27108">
      <c r="D27108" s="39"/>
      <c r="E27108" s="39"/>
      <c r="F27108" s="39"/>
    </row>
    <row r="27109">
      <c r="D27109" s="39"/>
      <c r="E27109" s="39"/>
      <c r="F27109" s="39"/>
    </row>
    <row r="27110">
      <c r="D27110" s="39"/>
      <c r="E27110" s="39"/>
      <c r="F27110" s="39"/>
    </row>
    <row r="27111">
      <c r="D27111" s="39"/>
      <c r="E27111" s="39"/>
      <c r="F27111" s="39"/>
    </row>
    <row r="27112">
      <c r="D27112" s="39"/>
      <c r="E27112" s="39"/>
      <c r="F27112" s="39"/>
    </row>
    <row r="27113">
      <c r="D27113" s="39"/>
      <c r="E27113" s="39"/>
      <c r="F27113" s="39"/>
    </row>
    <row r="27114">
      <c r="D27114" s="39"/>
      <c r="E27114" s="39"/>
      <c r="F27114" s="39"/>
    </row>
    <row r="27115">
      <c r="D27115" s="39"/>
      <c r="E27115" s="39"/>
      <c r="F27115" s="39"/>
    </row>
    <row r="27116">
      <c r="D27116" s="39"/>
      <c r="E27116" s="39"/>
      <c r="F27116" s="39"/>
    </row>
    <row r="27117">
      <c r="D27117" s="39"/>
      <c r="E27117" s="39"/>
      <c r="F27117" s="39"/>
    </row>
    <row r="27118">
      <c r="D27118" s="39"/>
      <c r="E27118" s="39"/>
      <c r="F27118" s="39"/>
    </row>
    <row r="27119">
      <c r="D27119" s="39"/>
      <c r="E27119" s="39"/>
      <c r="F27119" s="39"/>
    </row>
    <row r="27120">
      <c r="D27120" s="39"/>
      <c r="E27120" s="39"/>
      <c r="F27120" s="39"/>
    </row>
    <row r="27121">
      <c r="D27121" s="39"/>
      <c r="E27121" s="39"/>
      <c r="F27121" s="39"/>
    </row>
    <row r="27122">
      <c r="D27122" s="39"/>
      <c r="E27122" s="39"/>
      <c r="F27122" s="39"/>
    </row>
    <row r="27123">
      <c r="D27123" s="39"/>
      <c r="E27123" s="39"/>
      <c r="F27123" s="39"/>
    </row>
    <row r="27124">
      <c r="D27124" s="39"/>
      <c r="E27124" s="39"/>
      <c r="F27124" s="39"/>
    </row>
    <row r="27125">
      <c r="D27125" s="39"/>
      <c r="E27125" s="39"/>
      <c r="F27125" s="39"/>
    </row>
    <row r="27126">
      <c r="D27126" s="39"/>
      <c r="E27126" s="39"/>
      <c r="F27126" s="39"/>
    </row>
    <row r="27127">
      <c r="D27127" s="39"/>
      <c r="E27127" s="39"/>
      <c r="F27127" s="39"/>
    </row>
    <row r="27128">
      <c r="D27128" s="39"/>
      <c r="E27128" s="39"/>
      <c r="F27128" s="39"/>
    </row>
    <row r="27129">
      <c r="D27129" s="39"/>
      <c r="E27129" s="39"/>
      <c r="F27129" s="39"/>
    </row>
    <row r="27130">
      <c r="D27130" s="39"/>
      <c r="E27130" s="39"/>
      <c r="F27130" s="39"/>
    </row>
    <row r="27131">
      <c r="D27131" s="39"/>
      <c r="E27131" s="39"/>
      <c r="F27131" s="39"/>
    </row>
    <row r="27132">
      <c r="D27132" s="39"/>
      <c r="E27132" s="39"/>
      <c r="F27132" s="39"/>
    </row>
    <row r="27133">
      <c r="D27133" s="39"/>
      <c r="E27133" s="39"/>
      <c r="F27133" s="39"/>
    </row>
    <row r="27134">
      <c r="D27134" s="39"/>
      <c r="E27134" s="39"/>
      <c r="F27134" s="39"/>
    </row>
    <row r="27135">
      <c r="D27135" s="39"/>
      <c r="E27135" s="39"/>
      <c r="F27135" s="39"/>
    </row>
    <row r="27136">
      <c r="D27136" s="39"/>
      <c r="E27136" s="39"/>
      <c r="F27136" s="39"/>
    </row>
    <row r="27137">
      <c r="D27137" s="39"/>
      <c r="E27137" s="39"/>
      <c r="F27137" s="39"/>
    </row>
    <row r="27138">
      <c r="D27138" s="39"/>
      <c r="E27138" s="39"/>
      <c r="F27138" s="39"/>
    </row>
    <row r="27139">
      <c r="D27139" s="39"/>
      <c r="E27139" s="39"/>
      <c r="F27139" s="39"/>
    </row>
    <row r="27140">
      <c r="D27140" s="39"/>
      <c r="E27140" s="39"/>
      <c r="F27140" s="39"/>
    </row>
    <row r="27141">
      <c r="D27141" s="39"/>
      <c r="E27141" s="39"/>
      <c r="F27141" s="39"/>
    </row>
    <row r="27142">
      <c r="D27142" s="39"/>
      <c r="E27142" s="39"/>
      <c r="F27142" s="39"/>
    </row>
    <row r="27143">
      <c r="D27143" s="39"/>
      <c r="E27143" s="39"/>
      <c r="F27143" s="39"/>
    </row>
    <row r="27144">
      <c r="D27144" s="39"/>
      <c r="E27144" s="39"/>
      <c r="F27144" s="39"/>
    </row>
    <row r="27145">
      <c r="D27145" s="39"/>
      <c r="E27145" s="39"/>
      <c r="F27145" s="39"/>
    </row>
    <row r="27146">
      <c r="D27146" s="39"/>
      <c r="E27146" s="39"/>
      <c r="F27146" s="39"/>
    </row>
    <row r="27147">
      <c r="D27147" s="39"/>
      <c r="E27147" s="39"/>
      <c r="F27147" s="39"/>
    </row>
    <row r="27148">
      <c r="D27148" s="39"/>
      <c r="E27148" s="39"/>
      <c r="F27148" s="39"/>
    </row>
    <row r="27149">
      <c r="D27149" s="39"/>
      <c r="E27149" s="39"/>
      <c r="F27149" s="39"/>
    </row>
    <row r="27150">
      <c r="D27150" s="39"/>
      <c r="E27150" s="39"/>
      <c r="F27150" s="39"/>
    </row>
    <row r="27151">
      <c r="D27151" s="39"/>
      <c r="E27151" s="39"/>
      <c r="F27151" s="39"/>
    </row>
    <row r="27152">
      <c r="D27152" s="39"/>
      <c r="E27152" s="39"/>
      <c r="F27152" s="39"/>
    </row>
    <row r="27153">
      <c r="D27153" s="39"/>
      <c r="E27153" s="39"/>
      <c r="F27153" s="39"/>
    </row>
    <row r="27154">
      <c r="D27154" s="39"/>
      <c r="E27154" s="39"/>
      <c r="F27154" s="39"/>
    </row>
    <row r="27155">
      <c r="D27155" s="39"/>
      <c r="E27155" s="39"/>
      <c r="F27155" s="39"/>
    </row>
    <row r="27156">
      <c r="D27156" s="39"/>
      <c r="E27156" s="39"/>
      <c r="F27156" s="39"/>
    </row>
    <row r="27157">
      <c r="D27157" s="39"/>
      <c r="E27157" s="39"/>
      <c r="F27157" s="39"/>
    </row>
    <row r="27158">
      <c r="D27158" s="39"/>
      <c r="E27158" s="39"/>
      <c r="F27158" s="39"/>
    </row>
    <row r="27159">
      <c r="D27159" s="39"/>
      <c r="E27159" s="39"/>
      <c r="F27159" s="39"/>
    </row>
    <row r="27160">
      <c r="D27160" s="39"/>
      <c r="E27160" s="39"/>
      <c r="F27160" s="39"/>
    </row>
    <row r="27161">
      <c r="D27161" s="39"/>
      <c r="E27161" s="39"/>
      <c r="F27161" s="39"/>
    </row>
    <row r="27162">
      <c r="D27162" s="39"/>
      <c r="E27162" s="39"/>
      <c r="F27162" s="39"/>
    </row>
    <row r="27163">
      <c r="D27163" s="39"/>
      <c r="E27163" s="39"/>
      <c r="F27163" s="39"/>
    </row>
    <row r="27164">
      <c r="D27164" s="39"/>
      <c r="E27164" s="39"/>
      <c r="F27164" s="39"/>
    </row>
    <row r="27165">
      <c r="D27165" s="39"/>
      <c r="E27165" s="39"/>
      <c r="F27165" s="39"/>
    </row>
    <row r="27166">
      <c r="D27166" s="39"/>
      <c r="E27166" s="39"/>
      <c r="F27166" s="39"/>
    </row>
    <row r="27167">
      <c r="D27167" s="39"/>
      <c r="E27167" s="39"/>
      <c r="F27167" s="39"/>
    </row>
    <row r="27168">
      <c r="D27168" s="39"/>
      <c r="E27168" s="39"/>
      <c r="F27168" s="39"/>
    </row>
    <row r="27169">
      <c r="D27169" s="39"/>
      <c r="E27169" s="39"/>
      <c r="F27169" s="39"/>
    </row>
    <row r="27170">
      <c r="D27170" s="39"/>
      <c r="E27170" s="39"/>
      <c r="F27170" s="39"/>
    </row>
    <row r="27171">
      <c r="D27171" s="39"/>
      <c r="E27171" s="39"/>
      <c r="F27171" s="39"/>
    </row>
    <row r="27172">
      <c r="D27172" s="39"/>
      <c r="E27172" s="39"/>
      <c r="F27172" s="39"/>
    </row>
    <row r="27173">
      <c r="D27173" s="39"/>
      <c r="E27173" s="39"/>
      <c r="F27173" s="39"/>
    </row>
    <row r="27174">
      <c r="D27174" s="39"/>
      <c r="E27174" s="39"/>
      <c r="F27174" s="39"/>
    </row>
    <row r="27175">
      <c r="D27175" s="39"/>
      <c r="E27175" s="39"/>
      <c r="F27175" s="39"/>
    </row>
    <row r="27176">
      <c r="D27176" s="39"/>
      <c r="E27176" s="39"/>
      <c r="F27176" s="39"/>
    </row>
    <row r="27177">
      <c r="D27177" s="39"/>
      <c r="E27177" s="39"/>
      <c r="F27177" s="39"/>
    </row>
    <row r="27178">
      <c r="D27178" s="39"/>
      <c r="E27178" s="39"/>
      <c r="F27178" s="39"/>
    </row>
    <row r="27179">
      <c r="D27179" s="39"/>
      <c r="E27179" s="39"/>
      <c r="F27179" s="39"/>
    </row>
    <row r="27180">
      <c r="D27180" s="39"/>
      <c r="E27180" s="39"/>
      <c r="F27180" s="39"/>
    </row>
    <row r="27181">
      <c r="D27181" s="39"/>
      <c r="E27181" s="39"/>
      <c r="F27181" s="39"/>
    </row>
    <row r="27182">
      <c r="D27182" s="39"/>
      <c r="E27182" s="39"/>
      <c r="F27182" s="39"/>
    </row>
    <row r="27183">
      <c r="D27183" s="39"/>
      <c r="E27183" s="39"/>
      <c r="F27183" s="39"/>
    </row>
    <row r="27184">
      <c r="D27184" s="39"/>
      <c r="E27184" s="39"/>
      <c r="F27184" s="39"/>
    </row>
    <row r="27185">
      <c r="D27185" s="39"/>
      <c r="E27185" s="39"/>
      <c r="F27185" s="39"/>
    </row>
    <row r="27186">
      <c r="D27186" s="39"/>
      <c r="E27186" s="39"/>
      <c r="F27186" s="39"/>
    </row>
    <row r="27187">
      <c r="D27187" s="39"/>
      <c r="E27187" s="39"/>
      <c r="F27187" s="39"/>
    </row>
    <row r="27188">
      <c r="D27188" s="39"/>
      <c r="E27188" s="39"/>
      <c r="F27188" s="39"/>
    </row>
    <row r="27189">
      <c r="D27189" s="39"/>
      <c r="E27189" s="39"/>
      <c r="F27189" s="39"/>
    </row>
    <row r="27190">
      <c r="D27190" s="39"/>
      <c r="E27190" s="39"/>
      <c r="F27190" s="39"/>
    </row>
    <row r="27191">
      <c r="D27191" s="39"/>
      <c r="E27191" s="39"/>
      <c r="F27191" s="39"/>
    </row>
    <row r="27192">
      <c r="D27192" s="39"/>
      <c r="E27192" s="39"/>
      <c r="F27192" s="39"/>
    </row>
    <row r="27193">
      <c r="D27193" s="39"/>
      <c r="E27193" s="39"/>
      <c r="F27193" s="39"/>
    </row>
    <row r="27194">
      <c r="D27194" s="39"/>
      <c r="E27194" s="39"/>
      <c r="F27194" s="39"/>
    </row>
    <row r="27195">
      <c r="D27195" s="39"/>
      <c r="E27195" s="39"/>
      <c r="F27195" s="39"/>
    </row>
    <row r="27196">
      <c r="D27196" s="39"/>
      <c r="E27196" s="39"/>
      <c r="F27196" s="39"/>
    </row>
    <row r="27197">
      <c r="D27197" s="39"/>
      <c r="E27197" s="39"/>
      <c r="F27197" s="39"/>
    </row>
    <row r="27198">
      <c r="D27198" s="39"/>
      <c r="E27198" s="39"/>
      <c r="F27198" s="39"/>
    </row>
    <row r="27199">
      <c r="D27199" s="39"/>
      <c r="E27199" s="39"/>
      <c r="F27199" s="39"/>
    </row>
    <row r="27200">
      <c r="D27200" s="39"/>
      <c r="E27200" s="39"/>
      <c r="F27200" s="39"/>
    </row>
    <row r="27201">
      <c r="D27201" s="39"/>
      <c r="E27201" s="39"/>
      <c r="F27201" s="39"/>
    </row>
    <row r="27202">
      <c r="D27202" s="39"/>
      <c r="E27202" s="39"/>
      <c r="F27202" s="39"/>
    </row>
    <row r="27203">
      <c r="D27203" s="39"/>
      <c r="E27203" s="39"/>
      <c r="F27203" s="39"/>
    </row>
    <row r="27204">
      <c r="D27204" s="39"/>
      <c r="E27204" s="39"/>
      <c r="F27204" s="39"/>
    </row>
    <row r="27205">
      <c r="D27205" s="39"/>
      <c r="E27205" s="39"/>
      <c r="F27205" s="39"/>
    </row>
    <row r="27206">
      <c r="D27206" s="39"/>
      <c r="E27206" s="39"/>
      <c r="F27206" s="39"/>
    </row>
    <row r="27207">
      <c r="D27207" s="39"/>
      <c r="E27207" s="39"/>
      <c r="F27207" s="39"/>
    </row>
    <row r="27208">
      <c r="D27208" s="39"/>
      <c r="E27208" s="39"/>
      <c r="F27208" s="39"/>
    </row>
    <row r="27209">
      <c r="D27209" s="39"/>
      <c r="E27209" s="39"/>
      <c r="F27209" s="39"/>
    </row>
    <row r="27210">
      <c r="D27210" s="39"/>
      <c r="E27210" s="39"/>
      <c r="F27210" s="39"/>
    </row>
    <row r="27211">
      <c r="D27211" s="39"/>
      <c r="E27211" s="39"/>
      <c r="F27211" s="39"/>
    </row>
    <row r="27212">
      <c r="D27212" s="39"/>
      <c r="E27212" s="39"/>
      <c r="F27212" s="39"/>
    </row>
    <row r="27213">
      <c r="D27213" s="39"/>
      <c r="E27213" s="39"/>
      <c r="F27213" s="39"/>
    </row>
    <row r="27214">
      <c r="D27214" s="39"/>
      <c r="E27214" s="39"/>
      <c r="F27214" s="39"/>
    </row>
    <row r="27215">
      <c r="D27215" s="39"/>
      <c r="E27215" s="39"/>
      <c r="F27215" s="39"/>
    </row>
    <row r="27216">
      <c r="D27216" s="39"/>
      <c r="E27216" s="39"/>
      <c r="F27216" s="39"/>
    </row>
    <row r="27217">
      <c r="D27217" s="39"/>
      <c r="E27217" s="39"/>
      <c r="F27217" s="39"/>
    </row>
    <row r="27218">
      <c r="D27218" s="39"/>
      <c r="E27218" s="39"/>
      <c r="F27218" s="39"/>
    </row>
    <row r="27219">
      <c r="D27219" s="39"/>
      <c r="E27219" s="39"/>
      <c r="F27219" s="39"/>
    </row>
    <row r="27220">
      <c r="D27220" s="39"/>
      <c r="E27220" s="39"/>
      <c r="F27220" s="39"/>
    </row>
    <row r="27221">
      <c r="D27221" s="39"/>
      <c r="E27221" s="39"/>
      <c r="F27221" s="39"/>
    </row>
    <row r="27222">
      <c r="D27222" s="39"/>
      <c r="E27222" s="39"/>
      <c r="F27222" s="39"/>
    </row>
    <row r="27223">
      <c r="D27223" s="39"/>
      <c r="E27223" s="39"/>
      <c r="F27223" s="39"/>
    </row>
    <row r="27224">
      <c r="D27224" s="39"/>
      <c r="E27224" s="39"/>
      <c r="F27224" s="39"/>
    </row>
    <row r="27225">
      <c r="D27225" s="39"/>
      <c r="E27225" s="39"/>
      <c r="F27225" s="39"/>
    </row>
    <row r="27226">
      <c r="D27226" s="39"/>
      <c r="E27226" s="39"/>
      <c r="F27226" s="39"/>
    </row>
    <row r="27227">
      <c r="D27227" s="39"/>
      <c r="E27227" s="39"/>
      <c r="F27227" s="39"/>
    </row>
    <row r="27228">
      <c r="D27228" s="39"/>
      <c r="E27228" s="39"/>
      <c r="F27228" s="39"/>
    </row>
    <row r="27229">
      <c r="D27229" s="39"/>
      <c r="E27229" s="39"/>
      <c r="F27229" s="39"/>
    </row>
    <row r="27230">
      <c r="D27230" s="39"/>
      <c r="E27230" s="39"/>
      <c r="F27230" s="39"/>
    </row>
    <row r="27231">
      <c r="D27231" s="39"/>
      <c r="E27231" s="39"/>
      <c r="F27231" s="39"/>
    </row>
    <row r="27232">
      <c r="D27232" s="39"/>
      <c r="E27232" s="39"/>
      <c r="F27232" s="39"/>
    </row>
    <row r="27233">
      <c r="D27233" s="39"/>
      <c r="E27233" s="39"/>
      <c r="F27233" s="39"/>
    </row>
    <row r="27234">
      <c r="D27234" s="39"/>
      <c r="E27234" s="39"/>
      <c r="F27234" s="39"/>
    </row>
    <row r="27235">
      <c r="D27235" s="39"/>
      <c r="E27235" s="39"/>
      <c r="F27235" s="39"/>
    </row>
    <row r="27236">
      <c r="D27236" s="39"/>
      <c r="E27236" s="39"/>
      <c r="F27236" s="39"/>
    </row>
    <row r="27237">
      <c r="D27237" s="39"/>
      <c r="E27237" s="39"/>
      <c r="F27237" s="39"/>
    </row>
    <row r="27238">
      <c r="D27238" s="39"/>
      <c r="E27238" s="39"/>
      <c r="F27238" s="39"/>
    </row>
    <row r="27239">
      <c r="D27239" s="39"/>
      <c r="E27239" s="39"/>
      <c r="F27239" s="39"/>
    </row>
    <row r="27240">
      <c r="D27240" s="39"/>
      <c r="E27240" s="39"/>
      <c r="F27240" s="39"/>
    </row>
    <row r="27241">
      <c r="D27241" s="39"/>
      <c r="E27241" s="39"/>
      <c r="F27241" s="39"/>
    </row>
    <row r="27242">
      <c r="D27242" s="39"/>
      <c r="E27242" s="39"/>
      <c r="F27242" s="39"/>
    </row>
    <row r="27243">
      <c r="D27243" s="39"/>
      <c r="E27243" s="39"/>
      <c r="F27243" s="39"/>
    </row>
    <row r="27244">
      <c r="D27244" s="39"/>
      <c r="E27244" s="39"/>
      <c r="F27244" s="39"/>
    </row>
    <row r="27245">
      <c r="D27245" s="39"/>
      <c r="E27245" s="39"/>
      <c r="F27245" s="39"/>
    </row>
    <row r="27246">
      <c r="D27246" s="39"/>
      <c r="E27246" s="39"/>
      <c r="F27246" s="39"/>
    </row>
    <row r="27247">
      <c r="D27247" s="39"/>
      <c r="E27247" s="39"/>
      <c r="F27247" s="39"/>
    </row>
    <row r="27248">
      <c r="D27248" s="39"/>
      <c r="E27248" s="39"/>
      <c r="F27248" s="39"/>
    </row>
    <row r="27249">
      <c r="D27249" s="39"/>
      <c r="E27249" s="39"/>
      <c r="F27249" s="39"/>
    </row>
    <row r="27250">
      <c r="D27250" s="39"/>
      <c r="E27250" s="39"/>
      <c r="F27250" s="39"/>
    </row>
    <row r="27251">
      <c r="D27251" s="39"/>
      <c r="E27251" s="39"/>
      <c r="F27251" s="39"/>
    </row>
    <row r="27252">
      <c r="D27252" s="39"/>
      <c r="E27252" s="39"/>
      <c r="F27252" s="39"/>
    </row>
    <row r="27253">
      <c r="D27253" s="39"/>
      <c r="E27253" s="39"/>
      <c r="F27253" s="39"/>
    </row>
    <row r="27254">
      <c r="D27254" s="39"/>
      <c r="E27254" s="39"/>
      <c r="F27254" s="39"/>
    </row>
    <row r="27255">
      <c r="D27255" s="39"/>
      <c r="E27255" s="39"/>
      <c r="F27255" s="39"/>
    </row>
    <row r="27256">
      <c r="D27256" s="39"/>
      <c r="E27256" s="39"/>
      <c r="F27256" s="39"/>
    </row>
    <row r="27257">
      <c r="D27257" s="39"/>
      <c r="E27257" s="39"/>
      <c r="F27257" s="39"/>
    </row>
    <row r="27258">
      <c r="D27258" s="39"/>
      <c r="E27258" s="39"/>
      <c r="F27258" s="39"/>
    </row>
    <row r="27259">
      <c r="D27259" s="39"/>
      <c r="E27259" s="39"/>
      <c r="F27259" s="39"/>
    </row>
    <row r="27260">
      <c r="D27260" s="39"/>
      <c r="E27260" s="39"/>
      <c r="F27260" s="39"/>
    </row>
    <row r="27261">
      <c r="D27261" s="39"/>
      <c r="E27261" s="39"/>
      <c r="F27261" s="39"/>
    </row>
    <row r="27262">
      <c r="D27262" s="39"/>
      <c r="E27262" s="39"/>
      <c r="F27262" s="39"/>
    </row>
    <row r="27263">
      <c r="D27263" s="39"/>
      <c r="E27263" s="39"/>
      <c r="F27263" s="39"/>
    </row>
    <row r="27264">
      <c r="D27264" s="39"/>
      <c r="E27264" s="39"/>
      <c r="F27264" s="39"/>
    </row>
    <row r="27265">
      <c r="D27265" s="39"/>
      <c r="E27265" s="39"/>
      <c r="F27265" s="39"/>
    </row>
    <row r="27266">
      <c r="D27266" s="39"/>
      <c r="E27266" s="39"/>
      <c r="F27266" s="39"/>
    </row>
    <row r="27267">
      <c r="D27267" s="39"/>
      <c r="E27267" s="39"/>
      <c r="F27267" s="39"/>
    </row>
    <row r="27268">
      <c r="D27268" s="39"/>
      <c r="E27268" s="39"/>
      <c r="F27268" s="39"/>
    </row>
    <row r="27269">
      <c r="D27269" s="39"/>
      <c r="E27269" s="39"/>
      <c r="F27269" s="39"/>
    </row>
    <row r="27270">
      <c r="D27270" s="39"/>
      <c r="E27270" s="39"/>
      <c r="F27270" s="39"/>
    </row>
    <row r="27271">
      <c r="D27271" s="39"/>
      <c r="E27271" s="39"/>
      <c r="F27271" s="39"/>
    </row>
    <row r="27272">
      <c r="D27272" s="39"/>
      <c r="E27272" s="39"/>
      <c r="F27272" s="39"/>
    </row>
    <row r="27273">
      <c r="D27273" s="39"/>
      <c r="E27273" s="39"/>
      <c r="F27273" s="39"/>
    </row>
    <row r="27274">
      <c r="D27274" s="39"/>
      <c r="E27274" s="39"/>
      <c r="F27274" s="39"/>
    </row>
    <row r="27275">
      <c r="D27275" s="39"/>
      <c r="E27275" s="39"/>
      <c r="F27275" s="39"/>
    </row>
    <row r="27276">
      <c r="D27276" s="39"/>
      <c r="E27276" s="39"/>
      <c r="F27276" s="39"/>
    </row>
    <row r="27277">
      <c r="D27277" s="39"/>
      <c r="E27277" s="39"/>
      <c r="F27277" s="39"/>
    </row>
    <row r="27278">
      <c r="D27278" s="39"/>
      <c r="E27278" s="39"/>
      <c r="F27278" s="39"/>
    </row>
    <row r="27279">
      <c r="D27279" s="39"/>
      <c r="E27279" s="39"/>
      <c r="F27279" s="39"/>
    </row>
    <row r="27280">
      <c r="D27280" s="39"/>
      <c r="E27280" s="39"/>
      <c r="F27280" s="39"/>
    </row>
    <row r="27281">
      <c r="D27281" s="39"/>
      <c r="E27281" s="39"/>
      <c r="F27281" s="39"/>
    </row>
    <row r="27282">
      <c r="D27282" s="39"/>
      <c r="E27282" s="39"/>
      <c r="F27282" s="39"/>
    </row>
    <row r="27283">
      <c r="D27283" s="39"/>
      <c r="E27283" s="39"/>
      <c r="F27283" s="39"/>
    </row>
    <row r="27284">
      <c r="D27284" s="39"/>
      <c r="E27284" s="39"/>
      <c r="F27284" s="39"/>
    </row>
    <row r="27285">
      <c r="D27285" s="39"/>
      <c r="E27285" s="39"/>
      <c r="F27285" s="39"/>
    </row>
    <row r="27286">
      <c r="D27286" s="39"/>
      <c r="E27286" s="39"/>
      <c r="F27286" s="39"/>
    </row>
    <row r="27287">
      <c r="D27287" s="39"/>
      <c r="E27287" s="39"/>
      <c r="F27287" s="39"/>
    </row>
    <row r="27288">
      <c r="D27288" s="39"/>
      <c r="E27288" s="39"/>
      <c r="F27288" s="39"/>
    </row>
    <row r="27289">
      <c r="D27289" s="39"/>
      <c r="E27289" s="39"/>
      <c r="F27289" s="39"/>
    </row>
    <row r="27290">
      <c r="D27290" s="39"/>
      <c r="E27290" s="39"/>
      <c r="F27290" s="39"/>
    </row>
    <row r="27291">
      <c r="D27291" s="39"/>
      <c r="E27291" s="39"/>
      <c r="F27291" s="39"/>
    </row>
    <row r="27292">
      <c r="D27292" s="39"/>
      <c r="E27292" s="39"/>
      <c r="F27292" s="39"/>
    </row>
    <row r="27293">
      <c r="D27293" s="39"/>
      <c r="E27293" s="39"/>
      <c r="F27293" s="39"/>
    </row>
    <row r="27294">
      <c r="D27294" s="39"/>
      <c r="E27294" s="39"/>
      <c r="F27294" s="39"/>
    </row>
    <row r="27295">
      <c r="D27295" s="39"/>
      <c r="E27295" s="39"/>
      <c r="F27295" s="39"/>
    </row>
    <row r="27296">
      <c r="D27296" s="39"/>
      <c r="E27296" s="39"/>
      <c r="F27296" s="39"/>
    </row>
    <row r="27297">
      <c r="D27297" s="39"/>
      <c r="E27297" s="39"/>
      <c r="F27297" s="39"/>
    </row>
    <row r="27298">
      <c r="D27298" s="39"/>
      <c r="E27298" s="39"/>
      <c r="F27298" s="39"/>
    </row>
    <row r="27299">
      <c r="D27299" s="39"/>
      <c r="E27299" s="39"/>
      <c r="F27299" s="39"/>
    </row>
    <row r="27300">
      <c r="D27300" s="39"/>
      <c r="E27300" s="39"/>
      <c r="F27300" s="39"/>
    </row>
    <row r="27301">
      <c r="D27301" s="39"/>
      <c r="E27301" s="39"/>
      <c r="F27301" s="39"/>
    </row>
    <row r="27302">
      <c r="D27302" s="39"/>
      <c r="E27302" s="39"/>
      <c r="F27302" s="39"/>
    </row>
    <row r="27303">
      <c r="D27303" s="39"/>
      <c r="E27303" s="39"/>
      <c r="F27303" s="39"/>
    </row>
    <row r="27304">
      <c r="D27304" s="39"/>
      <c r="E27304" s="39"/>
      <c r="F27304" s="39"/>
    </row>
    <row r="27305">
      <c r="D27305" s="39"/>
      <c r="E27305" s="39"/>
      <c r="F27305" s="39"/>
    </row>
    <row r="27306">
      <c r="D27306" s="39"/>
      <c r="E27306" s="39"/>
      <c r="F27306" s="39"/>
    </row>
    <row r="27307">
      <c r="D27307" s="39"/>
      <c r="E27307" s="39"/>
      <c r="F27307" s="39"/>
    </row>
    <row r="27308">
      <c r="D27308" s="39"/>
      <c r="E27308" s="39"/>
      <c r="F27308" s="39"/>
    </row>
    <row r="27309">
      <c r="D27309" s="39"/>
      <c r="E27309" s="39"/>
      <c r="F27309" s="39"/>
    </row>
    <row r="27310">
      <c r="D27310" s="39"/>
      <c r="E27310" s="39"/>
      <c r="F27310" s="39"/>
    </row>
    <row r="27311">
      <c r="D27311" s="39"/>
      <c r="E27311" s="39"/>
      <c r="F27311" s="39"/>
    </row>
    <row r="27312">
      <c r="D27312" s="39"/>
      <c r="E27312" s="39"/>
      <c r="F27312" s="39"/>
    </row>
    <row r="27313">
      <c r="D27313" s="39"/>
      <c r="E27313" s="39"/>
      <c r="F27313" s="39"/>
    </row>
    <row r="27314">
      <c r="D27314" s="39"/>
      <c r="E27314" s="39"/>
      <c r="F27314" s="39"/>
    </row>
    <row r="27315">
      <c r="D27315" s="39"/>
      <c r="E27315" s="39"/>
      <c r="F27315" s="39"/>
    </row>
    <row r="27316">
      <c r="D27316" s="39"/>
      <c r="E27316" s="39"/>
      <c r="F27316" s="39"/>
    </row>
    <row r="27317">
      <c r="D27317" s="39"/>
      <c r="E27317" s="39"/>
      <c r="F27317" s="39"/>
    </row>
    <row r="27318">
      <c r="D27318" s="39"/>
      <c r="E27318" s="39"/>
      <c r="F27318" s="39"/>
    </row>
    <row r="27319">
      <c r="D27319" s="39"/>
      <c r="E27319" s="39"/>
      <c r="F27319" s="39"/>
    </row>
    <row r="27320">
      <c r="D27320" s="39"/>
      <c r="E27320" s="39"/>
      <c r="F27320" s="39"/>
    </row>
    <row r="27321">
      <c r="D27321" s="39"/>
      <c r="E27321" s="39"/>
      <c r="F27321" s="39"/>
    </row>
    <row r="27322">
      <c r="D27322" s="39"/>
      <c r="E27322" s="39"/>
      <c r="F27322" s="39"/>
    </row>
    <row r="27323">
      <c r="D27323" s="39"/>
      <c r="E27323" s="39"/>
      <c r="F27323" s="39"/>
    </row>
    <row r="27324">
      <c r="D27324" s="39"/>
      <c r="E27324" s="39"/>
      <c r="F27324" s="39"/>
    </row>
    <row r="27325">
      <c r="D27325" s="39"/>
      <c r="E27325" s="39"/>
      <c r="F27325" s="39"/>
    </row>
    <row r="27326">
      <c r="D27326" s="39"/>
      <c r="E27326" s="39"/>
      <c r="F27326" s="39"/>
    </row>
    <row r="27327">
      <c r="D27327" s="39"/>
      <c r="E27327" s="39"/>
      <c r="F27327" s="39"/>
    </row>
    <row r="27328">
      <c r="D27328" s="39"/>
      <c r="E27328" s="39"/>
      <c r="F27328" s="39"/>
    </row>
    <row r="27329">
      <c r="D27329" s="39"/>
      <c r="E27329" s="39"/>
      <c r="F27329" s="39"/>
    </row>
    <row r="27330">
      <c r="D27330" s="39"/>
      <c r="E27330" s="39"/>
      <c r="F27330" s="39"/>
    </row>
    <row r="27331">
      <c r="D27331" s="39"/>
      <c r="E27331" s="39"/>
      <c r="F27331" s="39"/>
    </row>
    <row r="27332">
      <c r="D27332" s="39"/>
      <c r="E27332" s="39"/>
      <c r="F27332" s="39"/>
    </row>
    <row r="27333">
      <c r="D27333" s="39"/>
      <c r="E27333" s="39"/>
      <c r="F27333" s="39"/>
    </row>
    <row r="27334">
      <c r="D27334" s="39"/>
      <c r="E27334" s="39"/>
      <c r="F27334" s="39"/>
    </row>
    <row r="27335">
      <c r="D27335" s="39"/>
      <c r="E27335" s="39"/>
      <c r="F27335" s="39"/>
    </row>
    <row r="27336">
      <c r="D27336" s="39"/>
      <c r="E27336" s="39"/>
      <c r="F27336" s="39"/>
    </row>
    <row r="27337">
      <c r="D27337" s="39"/>
      <c r="E27337" s="39"/>
      <c r="F27337" s="39"/>
    </row>
    <row r="27338">
      <c r="D27338" s="39"/>
      <c r="E27338" s="39"/>
      <c r="F27338" s="39"/>
    </row>
    <row r="27339">
      <c r="D27339" s="39"/>
      <c r="E27339" s="39"/>
      <c r="F27339" s="39"/>
    </row>
    <row r="27340">
      <c r="D27340" s="39"/>
      <c r="E27340" s="39"/>
      <c r="F27340" s="39"/>
    </row>
    <row r="27341">
      <c r="D27341" s="39"/>
      <c r="E27341" s="39"/>
      <c r="F27341" s="39"/>
    </row>
    <row r="27342">
      <c r="D27342" s="39"/>
      <c r="E27342" s="39"/>
      <c r="F27342" s="39"/>
    </row>
    <row r="27343">
      <c r="D27343" s="39"/>
      <c r="E27343" s="39"/>
      <c r="F27343" s="39"/>
    </row>
    <row r="27344">
      <c r="D27344" s="39"/>
      <c r="E27344" s="39"/>
      <c r="F27344" s="39"/>
    </row>
    <row r="27345">
      <c r="D27345" s="39"/>
      <c r="E27345" s="39"/>
      <c r="F27345" s="39"/>
    </row>
    <row r="27346">
      <c r="D27346" s="39"/>
      <c r="E27346" s="39"/>
      <c r="F27346" s="39"/>
    </row>
    <row r="27347">
      <c r="D27347" s="39"/>
      <c r="E27347" s="39"/>
      <c r="F27347" s="39"/>
    </row>
    <row r="27348">
      <c r="D27348" s="39"/>
      <c r="E27348" s="39"/>
      <c r="F27348" s="39"/>
    </row>
    <row r="27349">
      <c r="D27349" s="39"/>
      <c r="E27349" s="39"/>
      <c r="F27349" s="39"/>
    </row>
    <row r="27350">
      <c r="D27350" s="39"/>
      <c r="E27350" s="39"/>
      <c r="F27350" s="39"/>
    </row>
    <row r="27351">
      <c r="D27351" s="39"/>
      <c r="E27351" s="39"/>
      <c r="F27351" s="39"/>
    </row>
    <row r="27352">
      <c r="D27352" s="39"/>
      <c r="E27352" s="39"/>
      <c r="F27352" s="39"/>
    </row>
    <row r="27353">
      <c r="D27353" s="39"/>
      <c r="E27353" s="39"/>
      <c r="F27353" s="39"/>
    </row>
    <row r="27354">
      <c r="D27354" s="39"/>
      <c r="E27354" s="39"/>
      <c r="F27354" s="39"/>
    </row>
    <row r="27355">
      <c r="D27355" s="39"/>
      <c r="E27355" s="39"/>
      <c r="F27355" s="39"/>
    </row>
    <row r="27356">
      <c r="D27356" s="39"/>
      <c r="E27356" s="39"/>
      <c r="F27356" s="39"/>
    </row>
    <row r="27357">
      <c r="D27357" s="39"/>
      <c r="E27357" s="39"/>
      <c r="F27357" s="39"/>
    </row>
    <row r="27358">
      <c r="D27358" s="39"/>
      <c r="E27358" s="39"/>
      <c r="F27358" s="39"/>
    </row>
    <row r="27359">
      <c r="D27359" s="39"/>
      <c r="E27359" s="39"/>
      <c r="F27359" s="39"/>
    </row>
    <row r="27360">
      <c r="D27360" s="39"/>
      <c r="E27360" s="39"/>
      <c r="F27360" s="39"/>
    </row>
    <row r="27361">
      <c r="D27361" s="39"/>
      <c r="E27361" s="39"/>
      <c r="F27361" s="39"/>
    </row>
    <row r="27362">
      <c r="D27362" s="39"/>
      <c r="E27362" s="39"/>
      <c r="F27362" s="39"/>
    </row>
    <row r="27363">
      <c r="D27363" s="39"/>
      <c r="E27363" s="39"/>
      <c r="F27363" s="39"/>
    </row>
    <row r="27364">
      <c r="D27364" s="39"/>
      <c r="E27364" s="39"/>
      <c r="F27364" s="39"/>
    </row>
    <row r="27365">
      <c r="D27365" s="39"/>
      <c r="E27365" s="39"/>
      <c r="F27365" s="39"/>
    </row>
    <row r="27366">
      <c r="D27366" s="39"/>
      <c r="E27366" s="39"/>
      <c r="F27366" s="39"/>
    </row>
    <row r="27367">
      <c r="D27367" s="39"/>
      <c r="E27367" s="39"/>
      <c r="F27367" s="39"/>
    </row>
    <row r="27368">
      <c r="D27368" s="39"/>
      <c r="E27368" s="39"/>
      <c r="F27368" s="39"/>
    </row>
    <row r="27369">
      <c r="D27369" s="39"/>
      <c r="E27369" s="39"/>
      <c r="F27369" s="39"/>
    </row>
    <row r="27370">
      <c r="D27370" s="39"/>
      <c r="E27370" s="39"/>
      <c r="F27370" s="39"/>
    </row>
    <row r="27371">
      <c r="D27371" s="39"/>
      <c r="E27371" s="39"/>
      <c r="F27371" s="39"/>
    </row>
    <row r="27372">
      <c r="D27372" s="39"/>
      <c r="E27372" s="39"/>
      <c r="F27372" s="39"/>
    </row>
    <row r="27373">
      <c r="D27373" s="39"/>
      <c r="E27373" s="39"/>
      <c r="F27373" s="39"/>
    </row>
    <row r="27374">
      <c r="D27374" s="39"/>
      <c r="E27374" s="39"/>
      <c r="F27374" s="39"/>
    </row>
    <row r="27375">
      <c r="D27375" s="39"/>
      <c r="E27375" s="39"/>
      <c r="F27375" s="39"/>
    </row>
    <row r="27376">
      <c r="D27376" s="39"/>
      <c r="E27376" s="39"/>
      <c r="F27376" s="39"/>
    </row>
    <row r="27377">
      <c r="D27377" s="39"/>
      <c r="E27377" s="39"/>
      <c r="F27377" s="39"/>
    </row>
    <row r="27378">
      <c r="D27378" s="39"/>
      <c r="E27378" s="39"/>
      <c r="F27378" s="39"/>
    </row>
    <row r="27379">
      <c r="D27379" s="39"/>
      <c r="E27379" s="39"/>
      <c r="F27379" s="39"/>
    </row>
    <row r="27380">
      <c r="D27380" s="39"/>
      <c r="E27380" s="39"/>
      <c r="F27380" s="39"/>
    </row>
    <row r="27381">
      <c r="D27381" s="39"/>
      <c r="E27381" s="39"/>
      <c r="F27381" s="39"/>
    </row>
    <row r="27382">
      <c r="D27382" s="39"/>
      <c r="E27382" s="39"/>
      <c r="F27382" s="39"/>
    </row>
    <row r="27383">
      <c r="D27383" s="39"/>
      <c r="E27383" s="39"/>
      <c r="F27383" s="39"/>
    </row>
    <row r="27384">
      <c r="D27384" s="39"/>
      <c r="E27384" s="39"/>
      <c r="F27384" s="39"/>
    </row>
    <row r="27385">
      <c r="D27385" s="39"/>
      <c r="E27385" s="39"/>
      <c r="F27385" s="39"/>
    </row>
    <row r="27386">
      <c r="D27386" s="39"/>
      <c r="E27386" s="39"/>
      <c r="F27386" s="39"/>
    </row>
    <row r="27387">
      <c r="D27387" s="39"/>
      <c r="E27387" s="39"/>
      <c r="F27387" s="39"/>
    </row>
    <row r="27388">
      <c r="D27388" s="39"/>
      <c r="E27388" s="39"/>
      <c r="F27388" s="39"/>
    </row>
    <row r="27389">
      <c r="D27389" s="39"/>
      <c r="E27389" s="39"/>
      <c r="F27389" s="39"/>
    </row>
    <row r="27390">
      <c r="D27390" s="39"/>
      <c r="E27390" s="39"/>
      <c r="F27390" s="39"/>
    </row>
    <row r="27391">
      <c r="D27391" s="39"/>
      <c r="E27391" s="39"/>
      <c r="F27391" s="39"/>
    </row>
    <row r="27392">
      <c r="D27392" s="39"/>
      <c r="E27392" s="39"/>
      <c r="F27392" s="39"/>
    </row>
    <row r="27393">
      <c r="D27393" s="39"/>
      <c r="E27393" s="39"/>
      <c r="F27393" s="39"/>
    </row>
    <row r="27394">
      <c r="D27394" s="39"/>
      <c r="E27394" s="39"/>
      <c r="F27394" s="39"/>
    </row>
    <row r="27395">
      <c r="D27395" s="39"/>
      <c r="E27395" s="39"/>
      <c r="F27395" s="39"/>
    </row>
    <row r="27396">
      <c r="D27396" s="39"/>
      <c r="E27396" s="39"/>
      <c r="F27396" s="39"/>
    </row>
    <row r="27397">
      <c r="D27397" s="39"/>
      <c r="E27397" s="39"/>
      <c r="F27397" s="39"/>
    </row>
    <row r="27398">
      <c r="D27398" s="39"/>
      <c r="E27398" s="39"/>
      <c r="F27398" s="39"/>
    </row>
    <row r="27399">
      <c r="D27399" s="39"/>
      <c r="E27399" s="39"/>
      <c r="F27399" s="39"/>
    </row>
    <row r="27400">
      <c r="D27400" s="39"/>
      <c r="E27400" s="39"/>
      <c r="F27400" s="39"/>
    </row>
    <row r="27401">
      <c r="D27401" s="39"/>
      <c r="E27401" s="39"/>
      <c r="F27401" s="39"/>
    </row>
    <row r="27402">
      <c r="D27402" s="39"/>
      <c r="E27402" s="39"/>
      <c r="F27402" s="39"/>
    </row>
    <row r="27403">
      <c r="D27403" s="39"/>
      <c r="E27403" s="39"/>
      <c r="F27403" s="39"/>
    </row>
    <row r="27404">
      <c r="D27404" s="39"/>
      <c r="E27404" s="39"/>
      <c r="F27404" s="39"/>
    </row>
    <row r="27405">
      <c r="D27405" s="39"/>
      <c r="E27405" s="39"/>
      <c r="F27405" s="39"/>
    </row>
    <row r="27406">
      <c r="D27406" s="39"/>
      <c r="E27406" s="39"/>
      <c r="F27406" s="39"/>
    </row>
    <row r="27407">
      <c r="D27407" s="39"/>
      <c r="E27407" s="39"/>
      <c r="F27407" s="39"/>
    </row>
    <row r="27408">
      <c r="D27408" s="39"/>
      <c r="E27408" s="39"/>
      <c r="F27408" s="39"/>
    </row>
    <row r="27409">
      <c r="D27409" s="39"/>
      <c r="E27409" s="39"/>
      <c r="F27409" s="39"/>
    </row>
    <row r="27410">
      <c r="D27410" s="39"/>
      <c r="E27410" s="39"/>
      <c r="F27410" s="39"/>
    </row>
    <row r="27411">
      <c r="D27411" s="39"/>
      <c r="E27411" s="39"/>
      <c r="F27411" s="39"/>
    </row>
    <row r="27412">
      <c r="D27412" s="39"/>
      <c r="E27412" s="39"/>
      <c r="F27412" s="39"/>
    </row>
    <row r="27413">
      <c r="D27413" s="39"/>
      <c r="E27413" s="39"/>
      <c r="F27413" s="39"/>
    </row>
    <row r="27414">
      <c r="D27414" s="39"/>
      <c r="E27414" s="39"/>
      <c r="F27414" s="39"/>
    </row>
    <row r="27415">
      <c r="D27415" s="39"/>
      <c r="E27415" s="39"/>
      <c r="F27415" s="39"/>
    </row>
    <row r="27416">
      <c r="D27416" s="39"/>
      <c r="E27416" s="39"/>
      <c r="F27416" s="39"/>
    </row>
    <row r="27417">
      <c r="D27417" s="39"/>
      <c r="E27417" s="39"/>
      <c r="F27417" s="39"/>
    </row>
    <row r="27418">
      <c r="D27418" s="39"/>
      <c r="E27418" s="39"/>
      <c r="F27418" s="39"/>
    </row>
    <row r="27419">
      <c r="D27419" s="39"/>
      <c r="E27419" s="39"/>
      <c r="F27419" s="39"/>
    </row>
    <row r="27420">
      <c r="D27420" s="39"/>
      <c r="E27420" s="39"/>
      <c r="F27420" s="39"/>
    </row>
    <row r="27421">
      <c r="D27421" s="39"/>
      <c r="E27421" s="39"/>
      <c r="F27421" s="39"/>
    </row>
    <row r="27422">
      <c r="D27422" s="39"/>
      <c r="E27422" s="39"/>
      <c r="F27422" s="39"/>
    </row>
    <row r="27423">
      <c r="D27423" s="39"/>
      <c r="E27423" s="39"/>
      <c r="F27423" s="39"/>
    </row>
    <row r="27424">
      <c r="D27424" s="39"/>
      <c r="E27424" s="39"/>
      <c r="F27424" s="39"/>
    </row>
    <row r="27425">
      <c r="D27425" s="39"/>
      <c r="E27425" s="39"/>
      <c r="F27425" s="39"/>
    </row>
    <row r="27426">
      <c r="D27426" s="39"/>
      <c r="E27426" s="39"/>
      <c r="F27426" s="39"/>
    </row>
    <row r="27427">
      <c r="D27427" s="39"/>
      <c r="E27427" s="39"/>
      <c r="F27427" s="39"/>
    </row>
    <row r="27428">
      <c r="D27428" s="39"/>
      <c r="E27428" s="39"/>
      <c r="F27428" s="39"/>
    </row>
    <row r="27429">
      <c r="D27429" s="39"/>
      <c r="E27429" s="39"/>
      <c r="F27429" s="39"/>
    </row>
    <row r="27430">
      <c r="D27430" s="39"/>
      <c r="E27430" s="39"/>
      <c r="F27430" s="39"/>
    </row>
    <row r="27431">
      <c r="D27431" s="39"/>
      <c r="E27431" s="39"/>
      <c r="F27431" s="39"/>
    </row>
    <row r="27432">
      <c r="D27432" s="39"/>
      <c r="E27432" s="39"/>
      <c r="F27432" s="39"/>
    </row>
    <row r="27433">
      <c r="D27433" s="39"/>
      <c r="E27433" s="39"/>
      <c r="F27433" s="39"/>
    </row>
    <row r="27434">
      <c r="D27434" s="39"/>
      <c r="E27434" s="39"/>
      <c r="F27434" s="39"/>
    </row>
    <row r="27435">
      <c r="D27435" s="39"/>
      <c r="E27435" s="39"/>
      <c r="F27435" s="39"/>
    </row>
    <row r="27436">
      <c r="D27436" s="39"/>
      <c r="E27436" s="39"/>
      <c r="F27436" s="39"/>
    </row>
    <row r="27437">
      <c r="D27437" s="39"/>
      <c r="E27437" s="39"/>
      <c r="F27437" s="39"/>
    </row>
    <row r="27438">
      <c r="D27438" s="39"/>
      <c r="E27438" s="39"/>
      <c r="F27438" s="39"/>
    </row>
    <row r="27439">
      <c r="D27439" s="39"/>
      <c r="E27439" s="39"/>
      <c r="F27439" s="39"/>
    </row>
    <row r="27440">
      <c r="D27440" s="39"/>
      <c r="E27440" s="39"/>
      <c r="F27440" s="39"/>
    </row>
    <row r="27441">
      <c r="D27441" s="39"/>
      <c r="E27441" s="39"/>
      <c r="F27441" s="39"/>
    </row>
    <row r="27442">
      <c r="D27442" s="39"/>
      <c r="E27442" s="39"/>
      <c r="F27442" s="39"/>
    </row>
    <row r="27443">
      <c r="D27443" s="39"/>
      <c r="E27443" s="39"/>
      <c r="F27443" s="39"/>
    </row>
    <row r="27444">
      <c r="D27444" s="39"/>
      <c r="E27444" s="39"/>
      <c r="F27444" s="39"/>
    </row>
    <row r="27445">
      <c r="D27445" s="39"/>
      <c r="E27445" s="39"/>
      <c r="F27445" s="39"/>
    </row>
    <row r="27446">
      <c r="D27446" s="39"/>
      <c r="E27446" s="39"/>
      <c r="F27446" s="39"/>
    </row>
    <row r="27447">
      <c r="D27447" s="39"/>
      <c r="E27447" s="39"/>
      <c r="F27447" s="39"/>
    </row>
    <row r="27448">
      <c r="D27448" s="39"/>
      <c r="E27448" s="39"/>
      <c r="F27448" s="39"/>
    </row>
    <row r="27449">
      <c r="D27449" s="39"/>
      <c r="E27449" s="39"/>
      <c r="F27449" s="39"/>
    </row>
    <row r="27450">
      <c r="D27450" s="39"/>
      <c r="E27450" s="39"/>
      <c r="F27450" s="39"/>
    </row>
    <row r="27451">
      <c r="D27451" s="39"/>
      <c r="E27451" s="39"/>
      <c r="F27451" s="39"/>
    </row>
    <row r="27452">
      <c r="D27452" s="39"/>
      <c r="E27452" s="39"/>
      <c r="F27452" s="39"/>
    </row>
    <row r="27453">
      <c r="D27453" s="39"/>
      <c r="E27453" s="39"/>
      <c r="F27453" s="39"/>
    </row>
    <row r="27454">
      <c r="D27454" s="39"/>
      <c r="E27454" s="39"/>
      <c r="F27454" s="39"/>
    </row>
    <row r="27455">
      <c r="D27455" s="39"/>
      <c r="E27455" s="39"/>
      <c r="F27455" s="39"/>
    </row>
    <row r="27456">
      <c r="D27456" s="39"/>
      <c r="E27456" s="39"/>
      <c r="F27456" s="39"/>
    </row>
    <row r="27457">
      <c r="D27457" s="39"/>
      <c r="E27457" s="39"/>
      <c r="F27457" s="39"/>
    </row>
    <row r="27458">
      <c r="D27458" s="39"/>
      <c r="E27458" s="39"/>
      <c r="F27458" s="39"/>
    </row>
    <row r="27459">
      <c r="D27459" s="39"/>
      <c r="E27459" s="39"/>
      <c r="F27459" s="39"/>
    </row>
    <row r="27460">
      <c r="D27460" s="39"/>
      <c r="E27460" s="39"/>
      <c r="F27460" s="39"/>
    </row>
    <row r="27461">
      <c r="D27461" s="39"/>
      <c r="E27461" s="39"/>
      <c r="F27461" s="39"/>
    </row>
    <row r="27462">
      <c r="D27462" s="39"/>
      <c r="E27462" s="39"/>
      <c r="F27462" s="39"/>
    </row>
    <row r="27463">
      <c r="D27463" s="39"/>
      <c r="E27463" s="39"/>
      <c r="F27463" s="39"/>
    </row>
    <row r="27464">
      <c r="D27464" s="39"/>
      <c r="E27464" s="39"/>
      <c r="F27464" s="39"/>
    </row>
    <row r="27465">
      <c r="D27465" s="39"/>
      <c r="E27465" s="39"/>
      <c r="F27465" s="39"/>
    </row>
    <row r="27466">
      <c r="D27466" s="39"/>
      <c r="E27466" s="39"/>
      <c r="F27466" s="39"/>
    </row>
    <row r="27467">
      <c r="D27467" s="39"/>
      <c r="E27467" s="39"/>
      <c r="F27467" s="39"/>
    </row>
    <row r="27468">
      <c r="D27468" s="39"/>
      <c r="E27468" s="39"/>
      <c r="F27468" s="39"/>
    </row>
    <row r="27469">
      <c r="D27469" s="39"/>
      <c r="E27469" s="39"/>
      <c r="F27469" s="39"/>
    </row>
    <row r="27470">
      <c r="D27470" s="39"/>
      <c r="E27470" s="39"/>
      <c r="F27470" s="39"/>
    </row>
    <row r="27471">
      <c r="D27471" s="39"/>
      <c r="E27471" s="39"/>
      <c r="F27471" s="39"/>
    </row>
    <row r="27472">
      <c r="D27472" s="39"/>
      <c r="E27472" s="39"/>
      <c r="F27472" s="39"/>
    </row>
    <row r="27473">
      <c r="D27473" s="39"/>
      <c r="E27473" s="39"/>
      <c r="F27473" s="39"/>
    </row>
    <row r="27474">
      <c r="D27474" s="39"/>
      <c r="E27474" s="39"/>
      <c r="F27474" s="39"/>
    </row>
    <row r="27475">
      <c r="D27475" s="39"/>
      <c r="E27475" s="39"/>
      <c r="F27475" s="39"/>
    </row>
    <row r="27476">
      <c r="D27476" s="39"/>
      <c r="E27476" s="39"/>
      <c r="F27476" s="39"/>
    </row>
    <row r="27477">
      <c r="D27477" s="39"/>
      <c r="E27477" s="39"/>
      <c r="F27477" s="39"/>
    </row>
    <row r="27478">
      <c r="D27478" s="39"/>
      <c r="E27478" s="39"/>
      <c r="F27478" s="39"/>
    </row>
    <row r="27479">
      <c r="D27479" s="39"/>
      <c r="E27479" s="39"/>
      <c r="F27479" s="39"/>
    </row>
    <row r="27480">
      <c r="D27480" s="39"/>
      <c r="E27480" s="39"/>
      <c r="F27480" s="39"/>
    </row>
    <row r="27481">
      <c r="D27481" s="39"/>
      <c r="E27481" s="39"/>
      <c r="F27481" s="39"/>
    </row>
    <row r="27482">
      <c r="D27482" s="39"/>
      <c r="E27482" s="39"/>
      <c r="F27482" s="39"/>
    </row>
    <row r="27483">
      <c r="D27483" s="39"/>
      <c r="E27483" s="39"/>
      <c r="F27483" s="39"/>
    </row>
    <row r="27484">
      <c r="D27484" s="39"/>
      <c r="E27484" s="39"/>
      <c r="F27484" s="39"/>
    </row>
    <row r="27485">
      <c r="D27485" s="39"/>
      <c r="E27485" s="39"/>
      <c r="F27485" s="39"/>
    </row>
    <row r="27486">
      <c r="D27486" s="39"/>
      <c r="E27486" s="39"/>
      <c r="F27486" s="39"/>
    </row>
    <row r="27487">
      <c r="D27487" s="39"/>
      <c r="E27487" s="39"/>
      <c r="F27487" s="39"/>
    </row>
    <row r="27488">
      <c r="D27488" s="39"/>
      <c r="E27488" s="39"/>
      <c r="F27488" s="39"/>
    </row>
    <row r="27489">
      <c r="D27489" s="39"/>
      <c r="E27489" s="39"/>
      <c r="F27489" s="39"/>
    </row>
    <row r="27490">
      <c r="D27490" s="39"/>
      <c r="E27490" s="39"/>
      <c r="F27490" s="39"/>
    </row>
    <row r="27491">
      <c r="D27491" s="39"/>
      <c r="E27491" s="39"/>
      <c r="F27491" s="39"/>
    </row>
    <row r="27492">
      <c r="D27492" s="39"/>
      <c r="E27492" s="39"/>
      <c r="F27492" s="39"/>
    </row>
    <row r="27493">
      <c r="D27493" s="39"/>
      <c r="E27493" s="39"/>
      <c r="F27493" s="39"/>
    </row>
    <row r="27494">
      <c r="D27494" s="39"/>
      <c r="E27494" s="39"/>
      <c r="F27494" s="39"/>
    </row>
    <row r="27495">
      <c r="D27495" s="39"/>
      <c r="E27495" s="39"/>
      <c r="F27495" s="39"/>
    </row>
    <row r="27496">
      <c r="D27496" s="39"/>
      <c r="E27496" s="39"/>
      <c r="F27496" s="39"/>
    </row>
    <row r="27497">
      <c r="D27497" s="39"/>
      <c r="E27497" s="39"/>
      <c r="F27497" s="39"/>
    </row>
    <row r="27498">
      <c r="D27498" s="39"/>
      <c r="E27498" s="39"/>
      <c r="F27498" s="39"/>
    </row>
    <row r="27499">
      <c r="D27499" s="39"/>
      <c r="E27499" s="39"/>
      <c r="F27499" s="39"/>
    </row>
    <row r="27500">
      <c r="D27500" s="39"/>
      <c r="E27500" s="39"/>
      <c r="F27500" s="39"/>
    </row>
    <row r="27501">
      <c r="D27501" s="39"/>
      <c r="E27501" s="39"/>
      <c r="F27501" s="39"/>
    </row>
    <row r="27502">
      <c r="D27502" s="39"/>
      <c r="E27502" s="39"/>
      <c r="F27502" s="39"/>
    </row>
    <row r="27503">
      <c r="D27503" s="39"/>
      <c r="E27503" s="39"/>
      <c r="F27503" s="39"/>
    </row>
    <row r="27504">
      <c r="D27504" s="39"/>
      <c r="E27504" s="39"/>
      <c r="F27504" s="39"/>
    </row>
    <row r="27505">
      <c r="D27505" s="39"/>
      <c r="E27505" s="39"/>
      <c r="F27505" s="39"/>
    </row>
    <row r="27506">
      <c r="D27506" s="39"/>
      <c r="E27506" s="39"/>
      <c r="F27506" s="39"/>
    </row>
    <row r="27507">
      <c r="D27507" s="39"/>
      <c r="E27507" s="39"/>
      <c r="F27507" s="39"/>
    </row>
    <row r="27508">
      <c r="D27508" s="39"/>
      <c r="E27508" s="39"/>
      <c r="F27508" s="39"/>
    </row>
    <row r="27509">
      <c r="D27509" s="39"/>
      <c r="E27509" s="39"/>
      <c r="F27509" s="39"/>
    </row>
    <row r="27510">
      <c r="D27510" s="39"/>
      <c r="E27510" s="39"/>
      <c r="F27510" s="39"/>
    </row>
    <row r="27511">
      <c r="D27511" s="39"/>
      <c r="E27511" s="39"/>
      <c r="F27511" s="39"/>
    </row>
    <row r="27512">
      <c r="D27512" s="39"/>
      <c r="E27512" s="39"/>
      <c r="F27512" s="39"/>
    </row>
    <row r="27513">
      <c r="D27513" s="39"/>
      <c r="E27513" s="39"/>
      <c r="F27513" s="39"/>
    </row>
    <row r="27514">
      <c r="D27514" s="39"/>
      <c r="E27514" s="39"/>
      <c r="F27514" s="39"/>
    </row>
    <row r="27515">
      <c r="D27515" s="39"/>
      <c r="E27515" s="39"/>
      <c r="F27515" s="39"/>
    </row>
    <row r="27516">
      <c r="D27516" s="39"/>
      <c r="E27516" s="39"/>
      <c r="F27516" s="39"/>
    </row>
    <row r="27517">
      <c r="D27517" s="39"/>
      <c r="E27517" s="39"/>
      <c r="F27517" s="39"/>
    </row>
    <row r="27518">
      <c r="D27518" s="39"/>
      <c r="E27518" s="39"/>
      <c r="F27518" s="39"/>
    </row>
    <row r="27519">
      <c r="D27519" s="39"/>
      <c r="E27519" s="39"/>
      <c r="F27519" s="39"/>
    </row>
    <row r="27520">
      <c r="D27520" s="39"/>
      <c r="E27520" s="39"/>
      <c r="F27520" s="39"/>
    </row>
    <row r="27521">
      <c r="D27521" s="39"/>
      <c r="E27521" s="39"/>
      <c r="F27521" s="39"/>
    </row>
    <row r="27522">
      <c r="D27522" s="39"/>
      <c r="E27522" s="39"/>
      <c r="F27522" s="39"/>
    </row>
    <row r="27523">
      <c r="D27523" s="39"/>
      <c r="E27523" s="39"/>
      <c r="F27523" s="39"/>
    </row>
    <row r="27524">
      <c r="D27524" s="39"/>
      <c r="E27524" s="39"/>
      <c r="F27524" s="39"/>
    </row>
    <row r="27525">
      <c r="D27525" s="39"/>
      <c r="E27525" s="39"/>
      <c r="F27525" s="39"/>
    </row>
    <row r="27526">
      <c r="D27526" s="39"/>
      <c r="E27526" s="39"/>
      <c r="F27526" s="39"/>
    </row>
    <row r="27527">
      <c r="D27527" s="39"/>
      <c r="E27527" s="39"/>
      <c r="F27527" s="39"/>
    </row>
    <row r="27528">
      <c r="D27528" s="39"/>
      <c r="E27528" s="39"/>
      <c r="F27528" s="39"/>
    </row>
    <row r="27529">
      <c r="D27529" s="39"/>
      <c r="E27529" s="39"/>
      <c r="F27529" s="39"/>
    </row>
    <row r="27530">
      <c r="D27530" s="39"/>
      <c r="E27530" s="39"/>
      <c r="F27530" s="39"/>
    </row>
    <row r="27531">
      <c r="D27531" s="39"/>
      <c r="E27531" s="39"/>
      <c r="F27531" s="39"/>
    </row>
    <row r="27532">
      <c r="D27532" s="39"/>
      <c r="E27532" s="39"/>
      <c r="F27532" s="39"/>
    </row>
    <row r="27533">
      <c r="D27533" s="39"/>
      <c r="E27533" s="39"/>
      <c r="F27533" s="39"/>
    </row>
    <row r="27534">
      <c r="D27534" s="39"/>
      <c r="E27534" s="39"/>
      <c r="F27534" s="39"/>
    </row>
    <row r="27535">
      <c r="D27535" s="39"/>
      <c r="E27535" s="39"/>
      <c r="F27535" s="39"/>
    </row>
    <row r="27536">
      <c r="D27536" s="39"/>
      <c r="E27536" s="39"/>
      <c r="F27536" s="39"/>
    </row>
    <row r="27537">
      <c r="D27537" s="39"/>
      <c r="E27537" s="39"/>
      <c r="F27537" s="39"/>
    </row>
    <row r="27538">
      <c r="D27538" s="39"/>
      <c r="E27538" s="39"/>
      <c r="F27538" s="39"/>
    </row>
    <row r="27539">
      <c r="D27539" s="39"/>
      <c r="E27539" s="39"/>
      <c r="F27539" s="39"/>
    </row>
    <row r="27540">
      <c r="D27540" s="39"/>
      <c r="E27540" s="39"/>
      <c r="F27540" s="39"/>
    </row>
    <row r="27541">
      <c r="D27541" s="39"/>
      <c r="E27541" s="39"/>
      <c r="F27541" s="39"/>
    </row>
    <row r="27542">
      <c r="D27542" s="39"/>
      <c r="E27542" s="39"/>
      <c r="F27542" s="39"/>
    </row>
    <row r="27543">
      <c r="D27543" s="39"/>
      <c r="E27543" s="39"/>
      <c r="F27543" s="39"/>
    </row>
    <row r="27544">
      <c r="D27544" s="39"/>
      <c r="E27544" s="39"/>
      <c r="F27544" s="39"/>
    </row>
    <row r="27545">
      <c r="D27545" s="39"/>
      <c r="E27545" s="39"/>
      <c r="F27545" s="39"/>
    </row>
    <row r="27546">
      <c r="D27546" s="39"/>
      <c r="E27546" s="39"/>
      <c r="F27546" s="39"/>
    </row>
    <row r="27547">
      <c r="D27547" s="39"/>
      <c r="E27547" s="39"/>
      <c r="F27547" s="39"/>
    </row>
    <row r="27548">
      <c r="D27548" s="39"/>
      <c r="E27548" s="39"/>
      <c r="F27548" s="39"/>
    </row>
    <row r="27549">
      <c r="D27549" s="39"/>
      <c r="E27549" s="39"/>
      <c r="F27549" s="39"/>
    </row>
    <row r="27550">
      <c r="D27550" s="39"/>
      <c r="E27550" s="39"/>
      <c r="F27550" s="39"/>
    </row>
    <row r="27551">
      <c r="D27551" s="39"/>
      <c r="E27551" s="39"/>
      <c r="F27551" s="39"/>
    </row>
    <row r="27552">
      <c r="D27552" s="39"/>
      <c r="E27552" s="39"/>
      <c r="F27552" s="39"/>
    </row>
    <row r="27553">
      <c r="D27553" s="39"/>
      <c r="E27553" s="39"/>
      <c r="F27553" s="39"/>
    </row>
    <row r="27554">
      <c r="D27554" s="39"/>
      <c r="E27554" s="39"/>
      <c r="F27554" s="39"/>
    </row>
    <row r="27555">
      <c r="D27555" s="39"/>
      <c r="E27555" s="39"/>
      <c r="F27555" s="39"/>
    </row>
    <row r="27556">
      <c r="D27556" s="39"/>
      <c r="E27556" s="39"/>
      <c r="F27556" s="39"/>
    </row>
    <row r="27557">
      <c r="D27557" s="39"/>
      <c r="E27557" s="39"/>
      <c r="F27557" s="39"/>
    </row>
    <row r="27558">
      <c r="D27558" s="39"/>
      <c r="E27558" s="39"/>
      <c r="F27558" s="39"/>
    </row>
    <row r="27559">
      <c r="D27559" s="39"/>
      <c r="E27559" s="39"/>
      <c r="F27559" s="39"/>
    </row>
    <row r="27560">
      <c r="D27560" s="39"/>
      <c r="E27560" s="39"/>
      <c r="F27560" s="39"/>
    </row>
    <row r="27561">
      <c r="D27561" s="39"/>
      <c r="E27561" s="39"/>
      <c r="F27561" s="39"/>
    </row>
    <row r="27562">
      <c r="D27562" s="39"/>
      <c r="E27562" s="39"/>
      <c r="F27562" s="39"/>
    </row>
    <row r="27563">
      <c r="D27563" s="39"/>
      <c r="E27563" s="39"/>
      <c r="F27563" s="39"/>
    </row>
    <row r="27564">
      <c r="D27564" s="39"/>
      <c r="E27564" s="39"/>
      <c r="F27564" s="39"/>
    </row>
    <row r="27565">
      <c r="D27565" s="39"/>
      <c r="E27565" s="39"/>
      <c r="F27565" s="39"/>
    </row>
    <row r="27566">
      <c r="D27566" s="39"/>
      <c r="E27566" s="39"/>
      <c r="F27566" s="39"/>
    </row>
    <row r="27567">
      <c r="D27567" s="39"/>
      <c r="E27567" s="39"/>
      <c r="F27567" s="39"/>
    </row>
    <row r="27568">
      <c r="D27568" s="39"/>
      <c r="E27568" s="39"/>
      <c r="F27568" s="39"/>
    </row>
    <row r="27569">
      <c r="D27569" s="39"/>
      <c r="E27569" s="39"/>
      <c r="F27569" s="39"/>
    </row>
    <row r="27570">
      <c r="D27570" s="39"/>
      <c r="E27570" s="39"/>
      <c r="F27570" s="39"/>
    </row>
    <row r="27571">
      <c r="D27571" s="39"/>
      <c r="E27571" s="39"/>
      <c r="F27571" s="39"/>
    </row>
    <row r="27572">
      <c r="D27572" s="39"/>
      <c r="E27572" s="39"/>
      <c r="F27572" s="39"/>
    </row>
    <row r="27573">
      <c r="D27573" s="39"/>
      <c r="E27573" s="39"/>
      <c r="F27573" s="39"/>
    </row>
    <row r="27574">
      <c r="D27574" s="39"/>
      <c r="E27574" s="39"/>
      <c r="F27574" s="39"/>
    </row>
    <row r="27575">
      <c r="D27575" s="39"/>
      <c r="E27575" s="39"/>
      <c r="F27575" s="39"/>
    </row>
    <row r="27576">
      <c r="D27576" s="39"/>
      <c r="E27576" s="39"/>
      <c r="F27576" s="39"/>
    </row>
    <row r="27577">
      <c r="D27577" s="39"/>
      <c r="E27577" s="39"/>
      <c r="F27577" s="39"/>
    </row>
    <row r="27578">
      <c r="D27578" s="39"/>
      <c r="E27578" s="39"/>
      <c r="F27578" s="39"/>
    </row>
    <row r="27579">
      <c r="D27579" s="39"/>
      <c r="E27579" s="39"/>
      <c r="F27579" s="39"/>
    </row>
    <row r="27580">
      <c r="D27580" s="39"/>
      <c r="E27580" s="39"/>
      <c r="F27580" s="39"/>
    </row>
    <row r="27581">
      <c r="D27581" s="39"/>
      <c r="E27581" s="39"/>
      <c r="F27581" s="39"/>
    </row>
    <row r="27582">
      <c r="D27582" s="39"/>
      <c r="E27582" s="39"/>
      <c r="F27582" s="39"/>
    </row>
    <row r="27583">
      <c r="D27583" s="39"/>
      <c r="E27583" s="39"/>
      <c r="F27583" s="39"/>
    </row>
    <row r="27584">
      <c r="D27584" s="39"/>
      <c r="E27584" s="39"/>
      <c r="F27584" s="39"/>
    </row>
    <row r="27585">
      <c r="D27585" s="39"/>
      <c r="E27585" s="39"/>
      <c r="F27585" s="39"/>
    </row>
    <row r="27586">
      <c r="D27586" s="39"/>
      <c r="E27586" s="39"/>
      <c r="F27586" s="39"/>
    </row>
    <row r="27587">
      <c r="D27587" s="39"/>
      <c r="E27587" s="39"/>
      <c r="F27587" s="39"/>
    </row>
    <row r="27588">
      <c r="D27588" s="39"/>
      <c r="E27588" s="39"/>
      <c r="F27588" s="39"/>
    </row>
    <row r="27589">
      <c r="D27589" s="39"/>
      <c r="E27589" s="39"/>
      <c r="F27589" s="39"/>
    </row>
    <row r="27590">
      <c r="D27590" s="39"/>
      <c r="E27590" s="39"/>
      <c r="F27590" s="39"/>
    </row>
    <row r="27591">
      <c r="D27591" s="39"/>
      <c r="E27591" s="39"/>
      <c r="F27591" s="39"/>
    </row>
    <row r="27592">
      <c r="D27592" s="39"/>
      <c r="E27592" s="39"/>
      <c r="F27592" s="39"/>
    </row>
    <row r="27593">
      <c r="D27593" s="39"/>
      <c r="E27593" s="39"/>
      <c r="F27593" s="39"/>
    </row>
    <row r="27594">
      <c r="D27594" s="39"/>
      <c r="E27594" s="39"/>
      <c r="F27594" s="39"/>
    </row>
    <row r="27595">
      <c r="D27595" s="39"/>
      <c r="E27595" s="39"/>
      <c r="F27595" s="39"/>
    </row>
    <row r="27596">
      <c r="D27596" s="39"/>
      <c r="E27596" s="39"/>
      <c r="F27596" s="39"/>
    </row>
    <row r="27597">
      <c r="D27597" s="39"/>
      <c r="E27597" s="39"/>
      <c r="F27597" s="39"/>
    </row>
    <row r="27598">
      <c r="D27598" s="39"/>
      <c r="E27598" s="39"/>
      <c r="F27598" s="39"/>
    </row>
    <row r="27599">
      <c r="D27599" s="39"/>
      <c r="E27599" s="39"/>
      <c r="F27599" s="39"/>
    </row>
    <row r="27600">
      <c r="D27600" s="39"/>
      <c r="E27600" s="39"/>
      <c r="F27600" s="39"/>
    </row>
    <row r="27601">
      <c r="D27601" s="39"/>
      <c r="E27601" s="39"/>
      <c r="F27601" s="39"/>
    </row>
    <row r="27602">
      <c r="D27602" s="39"/>
      <c r="E27602" s="39"/>
      <c r="F27602" s="39"/>
    </row>
    <row r="27603">
      <c r="D27603" s="39"/>
      <c r="E27603" s="39"/>
      <c r="F27603" s="39"/>
    </row>
    <row r="27604">
      <c r="D27604" s="39"/>
      <c r="E27604" s="39"/>
      <c r="F27604" s="39"/>
    </row>
    <row r="27605">
      <c r="D27605" s="39"/>
      <c r="E27605" s="39"/>
      <c r="F27605" s="39"/>
    </row>
    <row r="27606">
      <c r="D27606" s="39"/>
      <c r="E27606" s="39"/>
      <c r="F27606" s="39"/>
    </row>
    <row r="27607">
      <c r="D27607" s="39"/>
      <c r="E27607" s="39"/>
      <c r="F27607" s="39"/>
    </row>
    <row r="27608">
      <c r="D27608" s="39"/>
      <c r="E27608" s="39"/>
      <c r="F27608" s="39"/>
    </row>
    <row r="27609">
      <c r="D27609" s="39"/>
      <c r="E27609" s="39"/>
      <c r="F27609" s="39"/>
    </row>
    <row r="27610">
      <c r="D27610" s="39"/>
      <c r="E27610" s="39"/>
      <c r="F27610" s="39"/>
    </row>
    <row r="27611">
      <c r="D27611" s="39"/>
      <c r="E27611" s="39"/>
      <c r="F27611" s="39"/>
    </row>
    <row r="27612">
      <c r="D27612" s="39"/>
      <c r="E27612" s="39"/>
      <c r="F27612" s="39"/>
    </row>
    <row r="27613">
      <c r="D27613" s="39"/>
      <c r="E27613" s="39"/>
      <c r="F27613" s="39"/>
    </row>
    <row r="27614">
      <c r="D27614" s="39"/>
      <c r="E27614" s="39"/>
      <c r="F27614" s="39"/>
    </row>
    <row r="27615">
      <c r="D27615" s="39"/>
      <c r="E27615" s="39"/>
      <c r="F27615" s="39"/>
    </row>
    <row r="27616">
      <c r="D27616" s="39"/>
      <c r="E27616" s="39"/>
      <c r="F27616" s="39"/>
    </row>
    <row r="27617">
      <c r="D27617" s="39"/>
      <c r="E27617" s="39"/>
      <c r="F27617" s="39"/>
    </row>
    <row r="27618">
      <c r="D27618" s="39"/>
      <c r="E27618" s="39"/>
      <c r="F27618" s="39"/>
    </row>
    <row r="27619">
      <c r="D27619" s="39"/>
      <c r="E27619" s="39"/>
      <c r="F27619" s="39"/>
    </row>
    <row r="27620">
      <c r="D27620" s="39"/>
      <c r="E27620" s="39"/>
      <c r="F27620" s="39"/>
    </row>
    <row r="27621">
      <c r="D27621" s="39"/>
      <c r="E27621" s="39"/>
      <c r="F27621" s="39"/>
    </row>
    <row r="27622">
      <c r="D27622" s="39"/>
      <c r="E27622" s="39"/>
      <c r="F27622" s="39"/>
    </row>
    <row r="27623">
      <c r="D27623" s="39"/>
      <c r="E27623" s="39"/>
      <c r="F27623" s="39"/>
    </row>
    <row r="27624">
      <c r="D27624" s="39"/>
      <c r="E27624" s="39"/>
      <c r="F27624" s="39"/>
    </row>
    <row r="27625">
      <c r="D27625" s="39"/>
      <c r="E27625" s="39"/>
      <c r="F27625" s="39"/>
    </row>
    <row r="27626">
      <c r="D27626" s="39"/>
      <c r="E27626" s="39"/>
      <c r="F27626" s="39"/>
    </row>
    <row r="27627">
      <c r="D27627" s="39"/>
      <c r="E27627" s="39"/>
      <c r="F27627" s="39"/>
    </row>
    <row r="27628">
      <c r="D27628" s="39"/>
      <c r="E27628" s="39"/>
      <c r="F27628" s="39"/>
    </row>
    <row r="27629">
      <c r="D27629" s="39"/>
      <c r="E27629" s="39"/>
      <c r="F27629" s="39"/>
    </row>
    <row r="27630">
      <c r="D27630" s="39"/>
      <c r="E27630" s="39"/>
      <c r="F27630" s="39"/>
    </row>
    <row r="27631">
      <c r="D27631" s="39"/>
      <c r="E27631" s="39"/>
      <c r="F27631" s="39"/>
    </row>
    <row r="27632">
      <c r="D27632" s="39"/>
      <c r="E27632" s="39"/>
      <c r="F27632" s="39"/>
    </row>
    <row r="27633">
      <c r="D27633" s="39"/>
      <c r="E27633" s="39"/>
      <c r="F27633" s="39"/>
    </row>
    <row r="27634">
      <c r="D27634" s="39"/>
      <c r="E27634" s="39"/>
      <c r="F27634" s="39"/>
    </row>
    <row r="27635">
      <c r="D27635" s="39"/>
      <c r="E27635" s="39"/>
      <c r="F27635" s="39"/>
    </row>
    <row r="27636">
      <c r="D27636" s="39"/>
      <c r="E27636" s="39"/>
      <c r="F27636" s="39"/>
    </row>
    <row r="27637">
      <c r="D27637" s="39"/>
      <c r="E27637" s="39"/>
      <c r="F27637" s="39"/>
    </row>
    <row r="27638">
      <c r="D27638" s="39"/>
      <c r="E27638" s="39"/>
      <c r="F27638" s="39"/>
    </row>
    <row r="27639">
      <c r="D27639" s="39"/>
      <c r="E27639" s="39"/>
      <c r="F27639" s="39"/>
    </row>
    <row r="27640">
      <c r="D27640" s="39"/>
      <c r="E27640" s="39"/>
      <c r="F27640" s="39"/>
    </row>
    <row r="27641">
      <c r="D27641" s="39"/>
      <c r="E27641" s="39"/>
      <c r="F27641" s="39"/>
    </row>
    <row r="27642">
      <c r="D27642" s="39"/>
      <c r="E27642" s="39"/>
      <c r="F27642" s="39"/>
    </row>
    <row r="27643">
      <c r="D27643" s="39"/>
      <c r="E27643" s="39"/>
      <c r="F27643" s="39"/>
    </row>
    <row r="27644">
      <c r="D27644" s="39"/>
      <c r="E27644" s="39"/>
      <c r="F27644" s="39"/>
    </row>
    <row r="27645">
      <c r="D27645" s="39"/>
      <c r="E27645" s="39"/>
      <c r="F27645" s="39"/>
    </row>
    <row r="27646">
      <c r="D27646" s="39"/>
      <c r="E27646" s="39"/>
      <c r="F27646" s="39"/>
    </row>
    <row r="27647">
      <c r="D27647" s="39"/>
      <c r="E27647" s="39"/>
      <c r="F27647" s="39"/>
    </row>
    <row r="27648">
      <c r="D27648" s="39"/>
      <c r="E27648" s="39"/>
      <c r="F27648" s="39"/>
    </row>
    <row r="27649">
      <c r="D27649" s="39"/>
      <c r="E27649" s="39"/>
      <c r="F27649" s="39"/>
    </row>
    <row r="27650">
      <c r="D27650" s="39"/>
      <c r="E27650" s="39"/>
      <c r="F27650" s="39"/>
    </row>
    <row r="27651">
      <c r="D27651" s="39"/>
      <c r="E27651" s="39"/>
      <c r="F27651" s="39"/>
    </row>
    <row r="27652">
      <c r="D27652" s="39"/>
      <c r="E27652" s="39"/>
      <c r="F27652" s="39"/>
    </row>
    <row r="27653">
      <c r="D27653" s="39"/>
      <c r="E27653" s="39"/>
      <c r="F27653" s="39"/>
    </row>
    <row r="27654">
      <c r="D27654" s="39"/>
      <c r="E27654" s="39"/>
      <c r="F27654" s="39"/>
    </row>
    <row r="27655">
      <c r="D27655" s="39"/>
      <c r="E27655" s="39"/>
      <c r="F27655" s="39"/>
    </row>
    <row r="27656">
      <c r="D27656" s="39"/>
      <c r="E27656" s="39"/>
      <c r="F27656" s="39"/>
    </row>
    <row r="27657">
      <c r="D27657" s="39"/>
      <c r="E27657" s="39"/>
      <c r="F27657" s="39"/>
    </row>
    <row r="27658">
      <c r="D27658" s="39"/>
      <c r="E27658" s="39"/>
      <c r="F27658" s="39"/>
    </row>
    <row r="27659">
      <c r="D27659" s="39"/>
      <c r="E27659" s="39"/>
      <c r="F27659" s="39"/>
    </row>
    <row r="27660">
      <c r="D27660" s="39"/>
      <c r="E27660" s="39"/>
      <c r="F27660" s="39"/>
    </row>
    <row r="27661">
      <c r="D27661" s="39"/>
      <c r="E27661" s="39"/>
      <c r="F27661" s="39"/>
    </row>
    <row r="27662">
      <c r="D27662" s="39"/>
      <c r="E27662" s="39"/>
      <c r="F27662" s="39"/>
    </row>
    <row r="27663">
      <c r="D27663" s="39"/>
      <c r="E27663" s="39"/>
      <c r="F27663" s="39"/>
    </row>
    <row r="27664">
      <c r="D27664" s="39"/>
      <c r="E27664" s="39"/>
      <c r="F27664" s="39"/>
    </row>
    <row r="27665">
      <c r="D27665" s="39"/>
      <c r="E27665" s="39"/>
      <c r="F27665" s="39"/>
    </row>
    <row r="27666">
      <c r="D27666" s="39"/>
      <c r="E27666" s="39"/>
      <c r="F27666" s="39"/>
    </row>
    <row r="27667">
      <c r="D27667" s="39"/>
      <c r="E27667" s="39"/>
      <c r="F27667" s="39"/>
    </row>
    <row r="27668">
      <c r="D27668" s="39"/>
      <c r="E27668" s="39"/>
      <c r="F27668" s="39"/>
    </row>
    <row r="27669">
      <c r="D27669" s="39"/>
      <c r="E27669" s="39"/>
      <c r="F27669" s="39"/>
    </row>
    <row r="27670">
      <c r="D27670" s="39"/>
      <c r="E27670" s="39"/>
      <c r="F27670" s="39"/>
    </row>
    <row r="27671">
      <c r="D27671" s="39"/>
      <c r="E27671" s="39"/>
      <c r="F27671" s="39"/>
    </row>
    <row r="27672">
      <c r="D27672" s="39"/>
      <c r="E27672" s="39"/>
      <c r="F27672" s="39"/>
    </row>
    <row r="27673">
      <c r="D27673" s="39"/>
      <c r="E27673" s="39"/>
      <c r="F27673" s="39"/>
    </row>
    <row r="27674">
      <c r="D27674" s="39"/>
      <c r="E27674" s="39"/>
      <c r="F27674" s="39"/>
    </row>
    <row r="27675">
      <c r="D27675" s="39"/>
      <c r="E27675" s="39"/>
      <c r="F27675" s="39"/>
    </row>
    <row r="27676">
      <c r="D27676" s="39"/>
      <c r="E27676" s="39"/>
      <c r="F27676" s="39"/>
    </row>
    <row r="27677">
      <c r="D27677" s="39"/>
      <c r="E27677" s="39"/>
      <c r="F27677" s="39"/>
    </row>
    <row r="27678">
      <c r="D27678" s="39"/>
      <c r="E27678" s="39"/>
      <c r="F27678" s="39"/>
    </row>
    <row r="27679">
      <c r="D27679" s="39"/>
      <c r="E27679" s="39"/>
      <c r="F27679" s="39"/>
    </row>
    <row r="27680">
      <c r="D27680" s="39"/>
      <c r="E27680" s="39"/>
      <c r="F27680" s="39"/>
    </row>
    <row r="27681">
      <c r="D27681" s="39"/>
      <c r="E27681" s="39"/>
      <c r="F27681" s="39"/>
    </row>
    <row r="27682">
      <c r="D27682" s="39"/>
      <c r="E27682" s="39"/>
      <c r="F27682" s="39"/>
    </row>
    <row r="27683">
      <c r="D27683" s="39"/>
      <c r="E27683" s="39"/>
      <c r="F27683" s="39"/>
    </row>
    <row r="27684">
      <c r="D27684" s="39"/>
      <c r="E27684" s="39"/>
      <c r="F27684" s="39"/>
    </row>
    <row r="27685">
      <c r="D27685" s="39"/>
      <c r="E27685" s="39"/>
      <c r="F27685" s="39"/>
    </row>
    <row r="27686">
      <c r="D27686" s="39"/>
      <c r="E27686" s="39"/>
      <c r="F27686" s="39"/>
    </row>
    <row r="27687">
      <c r="D27687" s="39"/>
      <c r="E27687" s="39"/>
      <c r="F27687" s="39"/>
    </row>
    <row r="27688">
      <c r="D27688" s="39"/>
      <c r="E27688" s="39"/>
      <c r="F27688" s="39"/>
    </row>
    <row r="27689">
      <c r="D27689" s="39"/>
      <c r="E27689" s="39"/>
      <c r="F27689" s="39"/>
    </row>
    <row r="27690">
      <c r="D27690" s="39"/>
      <c r="E27690" s="39"/>
      <c r="F27690" s="39"/>
    </row>
    <row r="27691">
      <c r="D27691" s="39"/>
      <c r="E27691" s="39"/>
      <c r="F27691" s="39"/>
    </row>
    <row r="27692">
      <c r="D27692" s="39"/>
      <c r="E27692" s="39"/>
      <c r="F27692" s="39"/>
    </row>
    <row r="27693">
      <c r="D27693" s="39"/>
      <c r="E27693" s="39"/>
      <c r="F27693" s="39"/>
    </row>
    <row r="27694">
      <c r="D27694" s="39"/>
      <c r="E27694" s="39"/>
      <c r="F27694" s="39"/>
    </row>
    <row r="27695">
      <c r="D27695" s="39"/>
      <c r="E27695" s="39"/>
      <c r="F27695" s="39"/>
    </row>
    <row r="27696">
      <c r="D27696" s="39"/>
      <c r="E27696" s="39"/>
      <c r="F27696" s="39"/>
    </row>
    <row r="27697">
      <c r="D27697" s="39"/>
      <c r="E27697" s="39"/>
      <c r="F27697" s="39"/>
    </row>
    <row r="27698">
      <c r="D27698" s="39"/>
      <c r="E27698" s="39"/>
      <c r="F27698" s="39"/>
    </row>
    <row r="27699">
      <c r="D27699" s="39"/>
      <c r="E27699" s="39"/>
      <c r="F27699" s="39"/>
    </row>
    <row r="27700">
      <c r="D27700" s="39"/>
      <c r="E27700" s="39"/>
      <c r="F27700" s="39"/>
    </row>
    <row r="27701">
      <c r="D27701" s="39"/>
      <c r="E27701" s="39"/>
      <c r="F27701" s="39"/>
    </row>
    <row r="27702">
      <c r="D27702" s="39"/>
      <c r="E27702" s="39"/>
      <c r="F27702" s="39"/>
    </row>
    <row r="27703">
      <c r="D27703" s="39"/>
      <c r="E27703" s="39"/>
      <c r="F27703" s="39"/>
    </row>
    <row r="27704">
      <c r="D27704" s="39"/>
      <c r="E27704" s="39"/>
      <c r="F27704" s="39"/>
    </row>
    <row r="27705">
      <c r="D27705" s="39"/>
      <c r="E27705" s="39"/>
      <c r="F27705" s="39"/>
    </row>
    <row r="27706">
      <c r="D27706" s="39"/>
      <c r="E27706" s="39"/>
      <c r="F27706" s="39"/>
    </row>
    <row r="27707">
      <c r="D27707" s="39"/>
      <c r="E27707" s="39"/>
      <c r="F27707" s="39"/>
    </row>
    <row r="27708">
      <c r="D27708" s="39"/>
      <c r="E27708" s="39"/>
      <c r="F27708" s="39"/>
    </row>
    <row r="27709">
      <c r="D27709" s="39"/>
      <c r="E27709" s="39"/>
      <c r="F27709" s="39"/>
    </row>
    <row r="27710">
      <c r="D27710" s="39"/>
      <c r="E27710" s="39"/>
      <c r="F27710" s="39"/>
    </row>
    <row r="27711">
      <c r="D27711" s="39"/>
      <c r="E27711" s="39"/>
      <c r="F27711" s="39"/>
    </row>
    <row r="27712">
      <c r="D27712" s="39"/>
      <c r="E27712" s="39"/>
      <c r="F27712" s="39"/>
    </row>
    <row r="27713">
      <c r="D27713" s="39"/>
      <c r="E27713" s="39"/>
      <c r="F27713" s="39"/>
    </row>
    <row r="27714">
      <c r="D27714" s="39"/>
      <c r="E27714" s="39"/>
      <c r="F27714" s="39"/>
    </row>
    <row r="27715">
      <c r="D27715" s="39"/>
      <c r="E27715" s="39"/>
      <c r="F27715" s="39"/>
    </row>
    <row r="27716">
      <c r="D27716" s="39"/>
      <c r="E27716" s="39"/>
      <c r="F27716" s="39"/>
    </row>
    <row r="27717">
      <c r="D27717" s="39"/>
      <c r="E27717" s="39"/>
      <c r="F27717" s="39"/>
    </row>
    <row r="27718">
      <c r="D27718" s="39"/>
      <c r="E27718" s="39"/>
      <c r="F27718" s="39"/>
    </row>
    <row r="27719">
      <c r="D27719" s="39"/>
      <c r="E27719" s="39"/>
      <c r="F27719" s="39"/>
    </row>
    <row r="27720">
      <c r="D27720" s="39"/>
      <c r="E27720" s="39"/>
      <c r="F27720" s="39"/>
    </row>
    <row r="27721">
      <c r="D27721" s="39"/>
      <c r="E27721" s="39"/>
      <c r="F27721" s="39"/>
    </row>
    <row r="27722">
      <c r="D27722" s="39"/>
      <c r="E27722" s="39"/>
      <c r="F27722" s="39"/>
    </row>
    <row r="27723">
      <c r="D27723" s="39"/>
      <c r="E27723" s="39"/>
      <c r="F27723" s="39"/>
    </row>
    <row r="27724">
      <c r="D27724" s="39"/>
      <c r="E27724" s="39"/>
      <c r="F27724" s="39"/>
    </row>
    <row r="27725">
      <c r="D27725" s="39"/>
      <c r="E27725" s="39"/>
      <c r="F27725" s="39"/>
    </row>
    <row r="27726">
      <c r="D27726" s="39"/>
      <c r="E27726" s="39"/>
      <c r="F27726" s="39"/>
    </row>
    <row r="27727">
      <c r="D27727" s="39"/>
      <c r="E27727" s="39"/>
      <c r="F27727" s="39"/>
    </row>
    <row r="27728">
      <c r="D27728" s="39"/>
      <c r="E27728" s="39"/>
      <c r="F27728" s="39"/>
    </row>
    <row r="27729">
      <c r="D27729" s="39"/>
      <c r="E27729" s="39"/>
      <c r="F27729" s="39"/>
    </row>
    <row r="27730">
      <c r="D27730" s="39"/>
      <c r="E27730" s="39"/>
      <c r="F27730" s="39"/>
    </row>
    <row r="27731">
      <c r="D27731" s="39"/>
      <c r="E27731" s="39"/>
      <c r="F27731" s="39"/>
    </row>
    <row r="27732">
      <c r="D27732" s="39"/>
      <c r="E27732" s="39"/>
      <c r="F27732" s="39"/>
    </row>
    <row r="27733">
      <c r="D27733" s="39"/>
      <c r="E27733" s="39"/>
      <c r="F27733" s="39"/>
    </row>
    <row r="27734">
      <c r="D27734" s="39"/>
      <c r="E27734" s="39"/>
      <c r="F27734" s="39"/>
    </row>
    <row r="27735">
      <c r="D27735" s="39"/>
      <c r="E27735" s="39"/>
      <c r="F27735" s="39"/>
    </row>
    <row r="27736">
      <c r="D27736" s="39"/>
      <c r="E27736" s="39"/>
      <c r="F27736" s="39"/>
    </row>
    <row r="27737">
      <c r="D27737" s="39"/>
      <c r="E27737" s="39"/>
      <c r="F27737" s="39"/>
    </row>
    <row r="27738">
      <c r="D27738" s="39"/>
      <c r="E27738" s="39"/>
      <c r="F27738" s="39"/>
    </row>
    <row r="27739">
      <c r="D27739" s="39"/>
      <c r="E27739" s="39"/>
      <c r="F27739" s="39"/>
    </row>
    <row r="27740">
      <c r="D27740" s="39"/>
      <c r="E27740" s="39"/>
      <c r="F27740" s="39"/>
    </row>
    <row r="27741">
      <c r="D27741" s="39"/>
      <c r="E27741" s="39"/>
      <c r="F27741" s="39"/>
    </row>
    <row r="27742">
      <c r="D27742" s="39"/>
      <c r="E27742" s="39"/>
      <c r="F27742" s="39"/>
    </row>
    <row r="27743">
      <c r="D27743" s="39"/>
      <c r="E27743" s="39"/>
      <c r="F27743" s="39"/>
    </row>
    <row r="27744">
      <c r="D27744" s="39"/>
      <c r="E27744" s="39"/>
      <c r="F27744" s="39"/>
    </row>
    <row r="27745">
      <c r="D27745" s="39"/>
      <c r="E27745" s="39"/>
      <c r="F27745" s="39"/>
    </row>
    <row r="27746">
      <c r="D27746" s="39"/>
      <c r="E27746" s="39"/>
      <c r="F27746" s="39"/>
    </row>
    <row r="27747">
      <c r="D27747" s="39"/>
      <c r="E27747" s="39"/>
      <c r="F27747" s="39"/>
    </row>
    <row r="27748">
      <c r="D27748" s="39"/>
      <c r="E27748" s="39"/>
      <c r="F27748" s="39"/>
    </row>
    <row r="27749">
      <c r="D27749" s="39"/>
      <c r="E27749" s="39"/>
      <c r="F27749" s="39"/>
    </row>
    <row r="27750">
      <c r="D27750" s="39"/>
      <c r="E27750" s="39"/>
      <c r="F27750" s="39"/>
    </row>
    <row r="27751">
      <c r="D27751" s="39"/>
      <c r="E27751" s="39"/>
      <c r="F27751" s="39"/>
    </row>
    <row r="27752">
      <c r="D27752" s="39"/>
      <c r="E27752" s="39"/>
      <c r="F27752" s="39"/>
    </row>
    <row r="27753">
      <c r="D27753" s="39"/>
      <c r="E27753" s="39"/>
      <c r="F27753" s="39"/>
    </row>
    <row r="27754">
      <c r="D27754" s="39"/>
      <c r="E27754" s="39"/>
      <c r="F27754" s="39"/>
    </row>
    <row r="27755">
      <c r="D27755" s="39"/>
      <c r="E27755" s="39"/>
      <c r="F27755" s="39"/>
    </row>
    <row r="27756">
      <c r="D27756" s="39"/>
      <c r="E27756" s="39"/>
      <c r="F27756" s="39"/>
    </row>
    <row r="27757">
      <c r="D27757" s="39"/>
      <c r="E27757" s="39"/>
      <c r="F27757" s="39"/>
    </row>
    <row r="27758">
      <c r="D27758" s="39"/>
      <c r="E27758" s="39"/>
      <c r="F27758" s="39"/>
    </row>
    <row r="27759">
      <c r="D27759" s="39"/>
      <c r="E27759" s="39"/>
      <c r="F27759" s="39"/>
    </row>
    <row r="27760">
      <c r="D27760" s="39"/>
      <c r="E27760" s="39"/>
      <c r="F27760" s="39"/>
    </row>
    <row r="27761">
      <c r="D27761" s="39"/>
      <c r="E27761" s="39"/>
      <c r="F27761" s="39"/>
    </row>
    <row r="27762">
      <c r="D27762" s="39"/>
      <c r="E27762" s="39"/>
      <c r="F27762" s="39"/>
    </row>
    <row r="27763">
      <c r="D27763" s="39"/>
      <c r="E27763" s="39"/>
      <c r="F27763" s="39"/>
    </row>
    <row r="27764">
      <c r="D27764" s="39"/>
      <c r="E27764" s="39"/>
      <c r="F27764" s="39"/>
    </row>
    <row r="27765">
      <c r="D27765" s="39"/>
      <c r="E27765" s="39"/>
      <c r="F27765" s="39"/>
    </row>
    <row r="27766">
      <c r="D27766" s="39"/>
      <c r="E27766" s="39"/>
      <c r="F27766" s="39"/>
    </row>
    <row r="27767">
      <c r="D27767" s="39"/>
      <c r="E27767" s="39"/>
      <c r="F27767" s="39"/>
    </row>
    <row r="27768">
      <c r="D27768" s="39"/>
      <c r="E27768" s="39"/>
      <c r="F27768" s="39"/>
    </row>
    <row r="27769">
      <c r="D27769" s="39"/>
      <c r="E27769" s="39"/>
      <c r="F27769" s="39"/>
    </row>
    <row r="27770">
      <c r="D27770" s="39"/>
      <c r="E27770" s="39"/>
      <c r="F27770" s="39"/>
    </row>
    <row r="27771">
      <c r="D27771" s="39"/>
      <c r="E27771" s="39"/>
      <c r="F27771" s="39"/>
    </row>
    <row r="27772">
      <c r="D27772" s="39"/>
      <c r="E27772" s="39"/>
      <c r="F27772" s="39"/>
    </row>
    <row r="27773">
      <c r="D27773" s="39"/>
      <c r="E27773" s="39"/>
      <c r="F27773" s="39"/>
    </row>
    <row r="27774">
      <c r="D27774" s="39"/>
      <c r="E27774" s="39"/>
      <c r="F27774" s="39"/>
    </row>
    <row r="27775">
      <c r="D27775" s="39"/>
      <c r="E27775" s="39"/>
      <c r="F27775" s="39"/>
    </row>
    <row r="27776">
      <c r="D27776" s="39"/>
      <c r="E27776" s="39"/>
      <c r="F27776" s="39"/>
    </row>
    <row r="27777">
      <c r="D27777" s="39"/>
      <c r="E27777" s="39"/>
      <c r="F27777" s="39"/>
    </row>
    <row r="27778">
      <c r="D27778" s="39"/>
      <c r="E27778" s="39"/>
      <c r="F27778" s="39"/>
    </row>
    <row r="27779">
      <c r="D27779" s="39"/>
      <c r="E27779" s="39"/>
      <c r="F27779" s="39"/>
    </row>
    <row r="27780">
      <c r="D27780" s="39"/>
      <c r="E27780" s="39"/>
      <c r="F27780" s="39"/>
    </row>
    <row r="27781">
      <c r="D27781" s="39"/>
      <c r="E27781" s="39"/>
      <c r="F27781" s="39"/>
    </row>
    <row r="27782">
      <c r="D27782" s="39"/>
      <c r="E27782" s="39"/>
      <c r="F27782" s="39"/>
    </row>
    <row r="27783">
      <c r="D27783" s="39"/>
      <c r="E27783" s="39"/>
      <c r="F27783" s="39"/>
    </row>
    <row r="27784">
      <c r="D27784" s="39"/>
      <c r="E27784" s="39"/>
      <c r="F27784" s="39"/>
    </row>
    <row r="27785">
      <c r="D27785" s="39"/>
      <c r="E27785" s="39"/>
      <c r="F27785" s="39"/>
    </row>
    <row r="27786">
      <c r="D27786" s="39"/>
      <c r="E27786" s="39"/>
      <c r="F27786" s="39"/>
    </row>
    <row r="27787">
      <c r="D27787" s="39"/>
      <c r="E27787" s="39"/>
      <c r="F27787" s="39"/>
    </row>
    <row r="27788">
      <c r="D27788" s="39"/>
      <c r="E27788" s="39"/>
      <c r="F27788" s="39"/>
    </row>
    <row r="27789">
      <c r="D27789" s="39"/>
      <c r="E27789" s="39"/>
      <c r="F27789" s="39"/>
    </row>
    <row r="27790">
      <c r="D27790" s="39"/>
      <c r="E27790" s="39"/>
      <c r="F27790" s="39"/>
    </row>
    <row r="27791">
      <c r="D27791" s="39"/>
      <c r="E27791" s="39"/>
      <c r="F27791" s="39"/>
    </row>
    <row r="27792">
      <c r="D27792" s="39"/>
      <c r="E27792" s="39"/>
      <c r="F27792" s="39"/>
    </row>
    <row r="27793">
      <c r="D27793" s="39"/>
      <c r="E27793" s="39"/>
      <c r="F27793" s="39"/>
    </row>
    <row r="27794">
      <c r="D27794" s="39"/>
      <c r="E27794" s="39"/>
      <c r="F27794" s="39"/>
    </row>
    <row r="27795">
      <c r="D27795" s="39"/>
      <c r="E27795" s="39"/>
      <c r="F27795" s="39"/>
    </row>
    <row r="27796">
      <c r="D27796" s="39"/>
      <c r="E27796" s="39"/>
      <c r="F27796" s="39"/>
    </row>
    <row r="27797">
      <c r="D27797" s="39"/>
      <c r="E27797" s="39"/>
      <c r="F27797" s="39"/>
    </row>
    <row r="27798">
      <c r="D27798" s="39"/>
      <c r="E27798" s="39"/>
      <c r="F27798" s="39"/>
    </row>
    <row r="27799">
      <c r="D27799" s="39"/>
      <c r="E27799" s="39"/>
      <c r="F27799" s="39"/>
    </row>
    <row r="27800">
      <c r="D27800" s="39"/>
      <c r="E27800" s="39"/>
      <c r="F27800" s="39"/>
    </row>
    <row r="27801">
      <c r="D27801" s="39"/>
      <c r="E27801" s="39"/>
      <c r="F27801" s="39"/>
    </row>
    <row r="27802">
      <c r="D27802" s="39"/>
      <c r="E27802" s="39"/>
      <c r="F27802" s="39"/>
    </row>
    <row r="27803">
      <c r="D27803" s="39"/>
      <c r="E27803" s="39"/>
      <c r="F27803" s="39"/>
    </row>
    <row r="27804">
      <c r="D27804" s="39"/>
      <c r="E27804" s="39"/>
      <c r="F27804" s="39"/>
    </row>
    <row r="27805">
      <c r="D27805" s="39"/>
      <c r="E27805" s="39"/>
      <c r="F27805" s="39"/>
    </row>
    <row r="27806">
      <c r="D27806" s="39"/>
      <c r="E27806" s="39"/>
      <c r="F27806" s="39"/>
    </row>
    <row r="27807">
      <c r="D27807" s="39"/>
      <c r="E27807" s="39"/>
      <c r="F27807" s="39"/>
    </row>
    <row r="27808">
      <c r="D27808" s="39"/>
      <c r="E27808" s="39"/>
      <c r="F27808" s="39"/>
    </row>
    <row r="27809">
      <c r="D27809" s="39"/>
      <c r="E27809" s="39"/>
      <c r="F27809" s="39"/>
    </row>
    <row r="27810">
      <c r="D27810" s="39"/>
      <c r="E27810" s="39"/>
      <c r="F27810" s="39"/>
    </row>
    <row r="27811">
      <c r="D27811" s="39"/>
      <c r="E27811" s="39"/>
      <c r="F27811" s="39"/>
    </row>
    <row r="27812">
      <c r="D27812" s="39"/>
      <c r="E27812" s="39"/>
      <c r="F27812" s="39"/>
    </row>
    <row r="27813">
      <c r="D27813" s="39"/>
      <c r="E27813" s="39"/>
      <c r="F27813" s="39"/>
    </row>
    <row r="27814">
      <c r="D27814" s="39"/>
      <c r="E27814" s="39"/>
      <c r="F27814" s="39"/>
    </row>
    <row r="27815">
      <c r="D27815" s="39"/>
      <c r="E27815" s="39"/>
      <c r="F27815" s="39"/>
    </row>
    <row r="27816">
      <c r="D27816" s="39"/>
      <c r="E27816" s="39"/>
      <c r="F27816" s="39"/>
    </row>
    <row r="27817">
      <c r="D27817" s="39"/>
      <c r="E27817" s="39"/>
      <c r="F27817" s="39"/>
    </row>
    <row r="27818">
      <c r="D27818" s="39"/>
      <c r="E27818" s="39"/>
      <c r="F27818" s="39"/>
    </row>
    <row r="27819">
      <c r="D27819" s="39"/>
      <c r="E27819" s="39"/>
      <c r="F27819" s="39"/>
    </row>
    <row r="27820">
      <c r="D27820" s="39"/>
      <c r="E27820" s="39"/>
      <c r="F27820" s="39"/>
    </row>
    <row r="27821">
      <c r="D27821" s="39"/>
      <c r="E27821" s="39"/>
      <c r="F27821" s="39"/>
    </row>
    <row r="27822">
      <c r="D27822" s="39"/>
      <c r="E27822" s="39"/>
      <c r="F27822" s="39"/>
    </row>
    <row r="27823">
      <c r="D27823" s="39"/>
      <c r="E27823" s="39"/>
      <c r="F27823" s="39"/>
    </row>
    <row r="27824">
      <c r="D27824" s="39"/>
      <c r="E27824" s="39"/>
      <c r="F27824" s="39"/>
    </row>
    <row r="27825">
      <c r="D27825" s="39"/>
      <c r="E27825" s="39"/>
      <c r="F27825" s="39"/>
    </row>
    <row r="27826">
      <c r="D27826" s="39"/>
      <c r="E27826" s="39"/>
      <c r="F27826" s="39"/>
    </row>
    <row r="27827">
      <c r="D27827" s="39"/>
      <c r="E27827" s="39"/>
      <c r="F27827" s="39"/>
    </row>
    <row r="27828">
      <c r="D27828" s="39"/>
      <c r="E27828" s="39"/>
      <c r="F27828" s="39"/>
    </row>
    <row r="27829">
      <c r="D27829" s="39"/>
      <c r="E27829" s="39"/>
      <c r="F27829" s="39"/>
    </row>
    <row r="27830">
      <c r="D27830" s="39"/>
      <c r="E27830" s="39"/>
      <c r="F27830" s="39"/>
    </row>
    <row r="27831">
      <c r="D27831" s="39"/>
      <c r="E27831" s="39"/>
      <c r="F27831" s="39"/>
    </row>
    <row r="27832">
      <c r="D27832" s="39"/>
      <c r="E27832" s="39"/>
      <c r="F27832" s="39"/>
    </row>
    <row r="27833">
      <c r="D27833" s="39"/>
      <c r="E27833" s="39"/>
      <c r="F27833" s="39"/>
    </row>
    <row r="27834">
      <c r="D27834" s="39"/>
      <c r="E27834" s="39"/>
      <c r="F27834" s="39"/>
    </row>
    <row r="27835">
      <c r="D27835" s="39"/>
      <c r="E27835" s="39"/>
      <c r="F27835" s="39"/>
    </row>
    <row r="27836">
      <c r="D27836" s="39"/>
      <c r="E27836" s="39"/>
      <c r="F27836" s="39"/>
    </row>
    <row r="27837">
      <c r="D27837" s="39"/>
      <c r="E27837" s="39"/>
      <c r="F27837" s="39"/>
    </row>
    <row r="27838">
      <c r="D27838" s="39"/>
      <c r="E27838" s="39"/>
      <c r="F27838" s="39"/>
    </row>
    <row r="27839">
      <c r="D27839" s="39"/>
      <c r="E27839" s="39"/>
      <c r="F27839" s="39"/>
    </row>
    <row r="27840">
      <c r="D27840" s="39"/>
      <c r="E27840" s="39"/>
      <c r="F27840" s="39"/>
    </row>
    <row r="27841">
      <c r="D27841" s="39"/>
      <c r="E27841" s="39"/>
      <c r="F27841" s="39"/>
    </row>
    <row r="27842">
      <c r="D27842" s="39"/>
      <c r="E27842" s="39"/>
      <c r="F27842" s="39"/>
    </row>
    <row r="27843">
      <c r="D27843" s="39"/>
      <c r="E27843" s="39"/>
      <c r="F27843" s="39"/>
    </row>
    <row r="27844">
      <c r="D27844" s="39"/>
      <c r="E27844" s="39"/>
      <c r="F27844" s="39"/>
    </row>
    <row r="27845">
      <c r="D27845" s="39"/>
      <c r="E27845" s="39"/>
      <c r="F27845" s="39"/>
    </row>
    <row r="27846">
      <c r="D27846" s="39"/>
      <c r="E27846" s="39"/>
      <c r="F27846" s="39"/>
    </row>
    <row r="27847">
      <c r="D27847" s="39"/>
      <c r="E27847" s="39"/>
      <c r="F27847" s="39"/>
    </row>
    <row r="27848">
      <c r="D27848" s="39"/>
      <c r="E27848" s="39"/>
      <c r="F27848" s="39"/>
    </row>
    <row r="27849">
      <c r="D27849" s="39"/>
      <c r="E27849" s="39"/>
      <c r="F27849" s="39"/>
    </row>
    <row r="27850">
      <c r="D27850" s="39"/>
      <c r="E27850" s="39"/>
      <c r="F27850" s="39"/>
    </row>
    <row r="27851">
      <c r="D27851" s="39"/>
      <c r="E27851" s="39"/>
      <c r="F27851" s="39"/>
    </row>
    <row r="27852">
      <c r="D27852" s="39"/>
      <c r="E27852" s="39"/>
      <c r="F27852" s="39"/>
    </row>
    <row r="27853">
      <c r="D27853" s="39"/>
      <c r="E27853" s="39"/>
      <c r="F27853" s="39"/>
    </row>
    <row r="27854">
      <c r="D27854" s="39"/>
      <c r="E27854" s="39"/>
      <c r="F27854" s="39"/>
    </row>
    <row r="27855">
      <c r="D27855" s="39"/>
      <c r="E27855" s="39"/>
      <c r="F27855" s="39"/>
    </row>
    <row r="27856">
      <c r="D27856" s="39"/>
      <c r="E27856" s="39"/>
      <c r="F27856" s="39"/>
    </row>
    <row r="27857">
      <c r="D27857" s="39"/>
      <c r="E27857" s="39"/>
      <c r="F27857" s="39"/>
    </row>
    <row r="27858">
      <c r="D27858" s="39"/>
      <c r="E27858" s="39"/>
      <c r="F27858" s="39"/>
    </row>
    <row r="27859">
      <c r="D27859" s="39"/>
      <c r="E27859" s="39"/>
      <c r="F27859" s="39"/>
    </row>
    <row r="27860">
      <c r="D27860" s="39"/>
      <c r="E27860" s="39"/>
      <c r="F27860" s="39"/>
    </row>
    <row r="27861">
      <c r="D27861" s="39"/>
      <c r="E27861" s="39"/>
      <c r="F27861" s="39"/>
    </row>
    <row r="27862">
      <c r="D27862" s="39"/>
      <c r="E27862" s="39"/>
      <c r="F27862" s="39"/>
    </row>
    <row r="27863">
      <c r="D27863" s="39"/>
      <c r="E27863" s="39"/>
      <c r="F27863" s="39"/>
    </row>
    <row r="27864">
      <c r="D27864" s="39"/>
      <c r="E27864" s="39"/>
      <c r="F27864" s="39"/>
    </row>
    <row r="27865">
      <c r="D27865" s="39"/>
      <c r="E27865" s="39"/>
      <c r="F27865" s="39"/>
    </row>
    <row r="27866">
      <c r="D27866" s="39"/>
      <c r="E27866" s="39"/>
      <c r="F27866" s="39"/>
    </row>
    <row r="27867">
      <c r="D27867" s="39"/>
      <c r="E27867" s="39"/>
      <c r="F27867" s="39"/>
    </row>
    <row r="27868">
      <c r="D27868" s="39"/>
      <c r="E27868" s="39"/>
      <c r="F27868" s="39"/>
    </row>
    <row r="27869">
      <c r="D27869" s="39"/>
      <c r="E27869" s="39"/>
      <c r="F27869" s="39"/>
    </row>
    <row r="27870">
      <c r="D27870" s="39"/>
      <c r="E27870" s="39"/>
      <c r="F27870" s="39"/>
    </row>
    <row r="27871">
      <c r="D27871" s="39"/>
      <c r="E27871" s="39"/>
      <c r="F27871" s="39"/>
    </row>
    <row r="27872">
      <c r="D27872" s="39"/>
      <c r="E27872" s="39"/>
      <c r="F27872" s="39"/>
    </row>
    <row r="27873">
      <c r="D27873" s="39"/>
      <c r="E27873" s="39"/>
      <c r="F27873" s="39"/>
    </row>
    <row r="27874">
      <c r="D27874" s="39"/>
      <c r="E27874" s="39"/>
      <c r="F27874" s="39"/>
    </row>
    <row r="27875">
      <c r="D27875" s="39"/>
      <c r="E27875" s="39"/>
      <c r="F27875" s="39"/>
    </row>
    <row r="27876">
      <c r="D27876" s="39"/>
      <c r="E27876" s="39"/>
      <c r="F27876" s="39"/>
    </row>
    <row r="27877">
      <c r="D27877" s="39"/>
      <c r="E27877" s="39"/>
      <c r="F27877" s="39"/>
    </row>
    <row r="27878">
      <c r="D27878" s="39"/>
      <c r="E27878" s="39"/>
      <c r="F27878" s="39"/>
    </row>
    <row r="27879">
      <c r="D27879" s="39"/>
      <c r="E27879" s="39"/>
      <c r="F27879" s="39"/>
    </row>
    <row r="27880">
      <c r="D27880" s="39"/>
      <c r="E27880" s="39"/>
      <c r="F27880" s="39"/>
    </row>
    <row r="27881">
      <c r="D27881" s="39"/>
      <c r="E27881" s="39"/>
      <c r="F27881" s="39"/>
    </row>
    <row r="27882">
      <c r="D27882" s="39"/>
      <c r="E27882" s="39"/>
      <c r="F27882" s="39"/>
    </row>
    <row r="27883">
      <c r="D27883" s="39"/>
      <c r="E27883" s="39"/>
      <c r="F27883" s="39"/>
    </row>
    <row r="27884">
      <c r="D27884" s="39"/>
      <c r="E27884" s="39"/>
      <c r="F27884" s="39"/>
    </row>
    <row r="27885">
      <c r="D27885" s="39"/>
      <c r="E27885" s="39"/>
      <c r="F27885" s="39"/>
    </row>
    <row r="27886">
      <c r="D27886" s="39"/>
      <c r="E27886" s="39"/>
      <c r="F27886" s="39"/>
    </row>
    <row r="27887">
      <c r="D27887" s="39"/>
      <c r="E27887" s="39"/>
      <c r="F27887" s="39"/>
    </row>
    <row r="27888">
      <c r="D27888" s="39"/>
      <c r="E27888" s="39"/>
      <c r="F27888" s="39"/>
    </row>
    <row r="27889">
      <c r="D27889" s="39"/>
      <c r="E27889" s="39"/>
      <c r="F27889" s="39"/>
    </row>
    <row r="27890">
      <c r="D27890" s="39"/>
      <c r="E27890" s="39"/>
      <c r="F27890" s="39"/>
    </row>
    <row r="27891">
      <c r="D27891" s="39"/>
      <c r="E27891" s="39"/>
      <c r="F27891" s="39"/>
    </row>
    <row r="27892">
      <c r="D27892" s="39"/>
      <c r="E27892" s="39"/>
      <c r="F27892" s="39"/>
    </row>
    <row r="27893">
      <c r="D27893" s="39"/>
      <c r="E27893" s="39"/>
      <c r="F27893" s="39"/>
    </row>
    <row r="27894">
      <c r="D27894" s="39"/>
      <c r="E27894" s="39"/>
      <c r="F27894" s="39"/>
    </row>
    <row r="27895">
      <c r="D27895" s="39"/>
      <c r="E27895" s="39"/>
      <c r="F27895" s="39"/>
    </row>
    <row r="27896">
      <c r="D27896" s="39"/>
      <c r="E27896" s="39"/>
      <c r="F27896" s="39"/>
    </row>
    <row r="27897">
      <c r="D27897" s="39"/>
      <c r="E27897" s="39"/>
      <c r="F27897" s="39"/>
    </row>
    <row r="27898">
      <c r="D27898" s="39"/>
      <c r="E27898" s="39"/>
      <c r="F27898" s="39"/>
    </row>
    <row r="27899">
      <c r="D27899" s="39"/>
      <c r="E27899" s="39"/>
      <c r="F27899" s="39"/>
    </row>
    <row r="27900">
      <c r="D27900" s="39"/>
      <c r="E27900" s="39"/>
      <c r="F27900" s="39"/>
    </row>
    <row r="27901">
      <c r="D27901" s="39"/>
      <c r="E27901" s="39"/>
      <c r="F27901" s="39"/>
    </row>
    <row r="27902">
      <c r="D27902" s="39"/>
      <c r="E27902" s="39"/>
      <c r="F27902" s="39"/>
    </row>
    <row r="27903">
      <c r="D27903" s="39"/>
      <c r="E27903" s="39"/>
      <c r="F27903" s="39"/>
    </row>
    <row r="27904">
      <c r="D27904" s="39"/>
      <c r="E27904" s="39"/>
      <c r="F27904" s="39"/>
    </row>
    <row r="27905">
      <c r="D27905" s="39"/>
      <c r="E27905" s="39"/>
      <c r="F27905" s="39"/>
    </row>
    <row r="27906">
      <c r="D27906" s="39"/>
      <c r="E27906" s="39"/>
      <c r="F27906" s="39"/>
    </row>
    <row r="27907">
      <c r="D27907" s="39"/>
      <c r="E27907" s="39"/>
      <c r="F27907" s="39"/>
    </row>
    <row r="27908">
      <c r="D27908" s="39"/>
      <c r="E27908" s="39"/>
      <c r="F27908" s="39"/>
    </row>
    <row r="27909">
      <c r="D27909" s="39"/>
      <c r="E27909" s="39"/>
      <c r="F27909" s="39"/>
    </row>
    <row r="27910">
      <c r="D27910" s="39"/>
      <c r="E27910" s="39"/>
      <c r="F27910" s="39"/>
    </row>
    <row r="27911">
      <c r="D27911" s="39"/>
      <c r="E27911" s="39"/>
      <c r="F27911" s="39"/>
    </row>
    <row r="27912">
      <c r="D27912" s="39"/>
      <c r="E27912" s="39"/>
      <c r="F27912" s="39"/>
    </row>
    <row r="27913">
      <c r="D27913" s="39"/>
      <c r="E27913" s="39"/>
      <c r="F27913" s="39"/>
    </row>
    <row r="27914">
      <c r="D27914" s="39"/>
      <c r="E27914" s="39"/>
      <c r="F27914" s="39"/>
    </row>
    <row r="27915">
      <c r="D27915" s="39"/>
      <c r="E27915" s="39"/>
      <c r="F27915" s="39"/>
    </row>
    <row r="27916">
      <c r="D27916" s="39"/>
      <c r="E27916" s="39"/>
      <c r="F27916" s="39"/>
    </row>
    <row r="27917">
      <c r="D27917" s="39"/>
      <c r="E27917" s="39"/>
      <c r="F27917" s="39"/>
    </row>
    <row r="27918">
      <c r="D27918" s="39"/>
      <c r="E27918" s="39"/>
      <c r="F27918" s="39"/>
    </row>
    <row r="27919">
      <c r="D27919" s="39"/>
      <c r="E27919" s="39"/>
      <c r="F27919" s="39"/>
    </row>
    <row r="27920">
      <c r="D27920" s="39"/>
      <c r="E27920" s="39"/>
      <c r="F27920" s="39"/>
    </row>
    <row r="27921">
      <c r="D27921" s="39"/>
      <c r="E27921" s="39"/>
      <c r="F27921" s="39"/>
    </row>
    <row r="27922">
      <c r="D27922" s="39"/>
      <c r="E27922" s="39"/>
      <c r="F27922" s="39"/>
    </row>
    <row r="27923">
      <c r="D27923" s="39"/>
      <c r="E27923" s="39"/>
      <c r="F27923" s="39"/>
    </row>
    <row r="27924">
      <c r="D27924" s="39"/>
      <c r="E27924" s="39"/>
      <c r="F27924" s="39"/>
    </row>
    <row r="27925">
      <c r="D27925" s="39"/>
      <c r="E27925" s="39"/>
      <c r="F27925" s="39"/>
    </row>
    <row r="27926">
      <c r="D27926" s="39"/>
      <c r="E27926" s="39"/>
      <c r="F27926" s="39"/>
    </row>
    <row r="27927">
      <c r="D27927" s="39"/>
      <c r="E27927" s="39"/>
      <c r="F27927" s="39"/>
    </row>
    <row r="27928">
      <c r="D27928" s="39"/>
      <c r="E27928" s="39"/>
      <c r="F27928" s="39"/>
    </row>
    <row r="27929">
      <c r="D27929" s="39"/>
      <c r="E27929" s="39"/>
      <c r="F27929" s="39"/>
    </row>
    <row r="27930">
      <c r="D27930" s="39"/>
      <c r="E27930" s="39"/>
      <c r="F27930" s="39"/>
    </row>
    <row r="27931">
      <c r="D27931" s="39"/>
      <c r="E27931" s="39"/>
      <c r="F27931" s="39"/>
    </row>
    <row r="27932">
      <c r="D27932" s="39"/>
      <c r="E27932" s="39"/>
      <c r="F27932" s="39"/>
    </row>
    <row r="27933">
      <c r="D27933" s="39"/>
      <c r="E27933" s="39"/>
      <c r="F27933" s="39"/>
    </row>
    <row r="27934">
      <c r="D27934" s="39"/>
      <c r="E27934" s="39"/>
      <c r="F27934" s="39"/>
    </row>
    <row r="27935">
      <c r="D27935" s="39"/>
      <c r="E27935" s="39"/>
      <c r="F27935" s="39"/>
    </row>
    <row r="27936">
      <c r="D27936" s="39"/>
      <c r="E27936" s="39"/>
      <c r="F27936" s="39"/>
    </row>
    <row r="27937">
      <c r="D27937" s="39"/>
      <c r="E27937" s="39"/>
      <c r="F27937" s="39"/>
    </row>
    <row r="27938">
      <c r="D27938" s="39"/>
      <c r="E27938" s="39"/>
      <c r="F27938" s="39"/>
    </row>
    <row r="27939">
      <c r="D27939" s="39"/>
      <c r="E27939" s="39"/>
      <c r="F27939" s="39"/>
    </row>
    <row r="27940">
      <c r="D27940" s="39"/>
      <c r="E27940" s="39"/>
      <c r="F27940" s="39"/>
    </row>
    <row r="27941">
      <c r="D27941" s="39"/>
      <c r="E27941" s="39"/>
      <c r="F27941" s="39"/>
    </row>
    <row r="27942">
      <c r="D27942" s="39"/>
      <c r="E27942" s="39"/>
      <c r="F27942" s="39"/>
    </row>
    <row r="27943">
      <c r="D27943" s="39"/>
      <c r="E27943" s="39"/>
      <c r="F27943" s="39"/>
    </row>
    <row r="27944">
      <c r="D27944" s="39"/>
      <c r="E27944" s="39"/>
      <c r="F27944" s="39"/>
    </row>
    <row r="27945">
      <c r="D27945" s="39"/>
      <c r="E27945" s="39"/>
      <c r="F27945" s="39"/>
    </row>
    <row r="27946">
      <c r="D27946" s="39"/>
      <c r="E27946" s="39"/>
      <c r="F27946" s="39"/>
    </row>
    <row r="27947">
      <c r="D27947" s="39"/>
      <c r="E27947" s="39"/>
      <c r="F27947" s="39"/>
    </row>
    <row r="27948">
      <c r="D27948" s="39"/>
      <c r="E27948" s="39"/>
      <c r="F27948" s="39"/>
    </row>
    <row r="27949">
      <c r="D27949" s="39"/>
      <c r="E27949" s="39"/>
      <c r="F27949" s="39"/>
    </row>
    <row r="27950">
      <c r="D27950" s="39"/>
      <c r="E27950" s="39"/>
      <c r="F27950" s="39"/>
    </row>
    <row r="27951">
      <c r="D27951" s="39"/>
      <c r="E27951" s="39"/>
      <c r="F27951" s="39"/>
    </row>
    <row r="27952">
      <c r="D27952" s="39"/>
      <c r="E27952" s="39"/>
      <c r="F27952" s="39"/>
    </row>
    <row r="27953">
      <c r="D27953" s="39"/>
      <c r="E27953" s="39"/>
      <c r="F27953" s="39"/>
    </row>
    <row r="27954">
      <c r="D27954" s="39"/>
      <c r="E27954" s="39"/>
      <c r="F27954" s="39"/>
    </row>
    <row r="27955">
      <c r="D27955" s="39"/>
      <c r="E27955" s="39"/>
      <c r="F27955" s="39"/>
    </row>
    <row r="27956">
      <c r="D27956" s="39"/>
      <c r="E27956" s="39"/>
      <c r="F27956" s="39"/>
    </row>
    <row r="27957">
      <c r="D27957" s="39"/>
      <c r="E27957" s="39"/>
      <c r="F27957" s="39"/>
    </row>
    <row r="27958">
      <c r="D27958" s="39"/>
      <c r="E27958" s="39"/>
      <c r="F27958" s="39"/>
    </row>
    <row r="27959">
      <c r="D27959" s="39"/>
      <c r="E27959" s="39"/>
      <c r="F27959" s="39"/>
    </row>
    <row r="27960">
      <c r="D27960" s="39"/>
      <c r="E27960" s="39"/>
      <c r="F27960" s="39"/>
    </row>
    <row r="27961">
      <c r="D27961" s="39"/>
      <c r="E27961" s="39"/>
      <c r="F27961" s="39"/>
    </row>
    <row r="27962">
      <c r="D27962" s="39"/>
      <c r="E27962" s="39"/>
      <c r="F27962" s="39"/>
    </row>
    <row r="27963">
      <c r="D27963" s="39"/>
      <c r="E27963" s="39"/>
      <c r="F27963" s="39"/>
    </row>
    <row r="27964">
      <c r="D27964" s="39"/>
      <c r="E27964" s="39"/>
      <c r="F27964" s="39"/>
    </row>
    <row r="27965">
      <c r="D27965" s="39"/>
      <c r="E27965" s="39"/>
      <c r="F27965" s="39"/>
    </row>
    <row r="27966">
      <c r="D27966" s="39"/>
      <c r="E27966" s="39"/>
      <c r="F27966" s="39"/>
    </row>
    <row r="27967">
      <c r="D27967" s="39"/>
      <c r="E27967" s="39"/>
      <c r="F27967" s="39"/>
    </row>
    <row r="27968">
      <c r="D27968" s="39"/>
      <c r="E27968" s="39"/>
      <c r="F27968" s="39"/>
    </row>
    <row r="27969">
      <c r="D27969" s="39"/>
      <c r="E27969" s="39"/>
      <c r="F27969" s="39"/>
    </row>
    <row r="27970">
      <c r="D27970" s="39"/>
      <c r="E27970" s="39"/>
      <c r="F27970" s="39"/>
    </row>
    <row r="27971">
      <c r="D27971" s="39"/>
      <c r="E27971" s="39"/>
      <c r="F27971" s="39"/>
    </row>
    <row r="27972">
      <c r="D27972" s="39"/>
      <c r="E27972" s="39"/>
      <c r="F27972" s="39"/>
    </row>
    <row r="27973">
      <c r="D27973" s="39"/>
      <c r="E27973" s="39"/>
      <c r="F27973" s="39"/>
    </row>
    <row r="27974">
      <c r="D27974" s="39"/>
      <c r="E27974" s="39"/>
      <c r="F27974" s="39"/>
    </row>
    <row r="27975">
      <c r="D27975" s="39"/>
      <c r="E27975" s="39"/>
      <c r="F27975" s="39"/>
    </row>
    <row r="27976">
      <c r="D27976" s="39"/>
      <c r="E27976" s="39"/>
      <c r="F27976" s="39"/>
    </row>
    <row r="27977">
      <c r="D27977" s="39"/>
      <c r="E27977" s="39"/>
      <c r="F27977" s="39"/>
    </row>
    <row r="27978">
      <c r="D27978" s="39"/>
      <c r="E27978" s="39"/>
      <c r="F27978" s="39"/>
    </row>
    <row r="27979">
      <c r="D27979" s="39"/>
      <c r="E27979" s="39"/>
      <c r="F27979" s="39"/>
    </row>
    <row r="27980">
      <c r="D27980" s="39"/>
      <c r="E27980" s="39"/>
      <c r="F27980" s="39"/>
    </row>
    <row r="27981">
      <c r="D27981" s="39"/>
      <c r="E27981" s="39"/>
      <c r="F27981" s="39"/>
    </row>
    <row r="27982">
      <c r="D27982" s="39"/>
      <c r="E27982" s="39"/>
      <c r="F27982" s="39"/>
    </row>
    <row r="27983">
      <c r="D27983" s="39"/>
      <c r="E27983" s="39"/>
      <c r="F27983" s="39"/>
    </row>
    <row r="27984">
      <c r="D27984" s="39"/>
      <c r="E27984" s="39"/>
      <c r="F27984" s="39"/>
    </row>
    <row r="27985">
      <c r="D27985" s="39"/>
      <c r="E27985" s="39"/>
      <c r="F27985" s="39"/>
    </row>
    <row r="27986">
      <c r="D27986" s="39"/>
      <c r="E27986" s="39"/>
      <c r="F27986" s="39"/>
    </row>
    <row r="27987">
      <c r="D27987" s="39"/>
      <c r="E27987" s="39"/>
      <c r="F27987" s="39"/>
    </row>
    <row r="27988">
      <c r="D27988" s="39"/>
      <c r="E27988" s="39"/>
      <c r="F27988" s="39"/>
    </row>
    <row r="27989">
      <c r="D27989" s="39"/>
      <c r="E27989" s="39"/>
      <c r="F27989" s="39"/>
    </row>
    <row r="27990">
      <c r="D27990" s="39"/>
      <c r="E27990" s="39"/>
      <c r="F27990" s="39"/>
    </row>
    <row r="27991">
      <c r="D27991" s="39"/>
      <c r="E27991" s="39"/>
      <c r="F27991" s="39"/>
    </row>
    <row r="27992">
      <c r="D27992" s="39"/>
      <c r="E27992" s="39"/>
      <c r="F27992" s="39"/>
    </row>
    <row r="27993">
      <c r="D27993" s="39"/>
      <c r="E27993" s="39"/>
      <c r="F27993" s="39"/>
    </row>
    <row r="27994">
      <c r="D27994" s="39"/>
      <c r="E27994" s="39"/>
      <c r="F27994" s="39"/>
    </row>
    <row r="27995">
      <c r="D27995" s="39"/>
      <c r="E27995" s="39"/>
      <c r="F27995" s="39"/>
    </row>
    <row r="27996">
      <c r="D27996" s="39"/>
      <c r="E27996" s="39"/>
      <c r="F27996" s="39"/>
    </row>
    <row r="27997">
      <c r="D27997" s="39"/>
      <c r="E27997" s="39"/>
      <c r="F27997" s="39"/>
    </row>
    <row r="27998">
      <c r="D27998" s="39"/>
      <c r="E27998" s="39"/>
      <c r="F27998" s="39"/>
    </row>
    <row r="27999">
      <c r="D27999" s="39"/>
      <c r="E27999" s="39"/>
      <c r="F27999" s="39"/>
    </row>
    <row r="28000">
      <c r="D28000" s="39"/>
      <c r="E28000" s="39"/>
      <c r="F28000" s="39"/>
    </row>
    <row r="28001">
      <c r="D28001" s="39"/>
      <c r="E28001" s="39"/>
      <c r="F28001" s="39"/>
    </row>
    <row r="28002">
      <c r="D28002" s="39"/>
      <c r="E28002" s="39"/>
      <c r="F28002" s="39"/>
    </row>
    <row r="28003">
      <c r="D28003" s="39"/>
      <c r="E28003" s="39"/>
      <c r="F28003" s="39"/>
    </row>
    <row r="28004">
      <c r="D28004" s="39"/>
      <c r="E28004" s="39"/>
      <c r="F28004" s="39"/>
    </row>
    <row r="28005">
      <c r="D28005" s="39"/>
      <c r="E28005" s="39"/>
      <c r="F28005" s="39"/>
    </row>
    <row r="28006">
      <c r="D28006" s="39"/>
      <c r="E28006" s="39"/>
      <c r="F28006" s="39"/>
    </row>
    <row r="28007">
      <c r="D28007" s="39"/>
      <c r="E28007" s="39"/>
      <c r="F28007" s="39"/>
    </row>
    <row r="28008">
      <c r="D28008" s="39"/>
      <c r="E28008" s="39"/>
      <c r="F28008" s="39"/>
    </row>
    <row r="28009">
      <c r="D28009" s="39"/>
      <c r="E28009" s="39"/>
      <c r="F28009" s="39"/>
    </row>
    <row r="28010">
      <c r="D28010" s="39"/>
      <c r="E28010" s="39"/>
      <c r="F28010" s="39"/>
    </row>
    <row r="28011">
      <c r="D28011" s="39"/>
      <c r="E28011" s="39"/>
      <c r="F28011" s="39"/>
    </row>
    <row r="28012">
      <c r="D28012" s="39"/>
      <c r="E28012" s="39"/>
      <c r="F28012" s="39"/>
    </row>
    <row r="28013">
      <c r="D28013" s="39"/>
      <c r="E28013" s="39"/>
      <c r="F28013" s="39"/>
    </row>
    <row r="28014">
      <c r="D28014" s="39"/>
      <c r="E28014" s="39"/>
      <c r="F28014" s="39"/>
    </row>
    <row r="28015">
      <c r="D28015" s="39"/>
      <c r="E28015" s="39"/>
      <c r="F28015" s="39"/>
    </row>
    <row r="28016">
      <c r="D28016" s="39"/>
      <c r="E28016" s="39"/>
      <c r="F28016" s="39"/>
    </row>
    <row r="28017">
      <c r="D28017" s="39"/>
      <c r="E28017" s="39"/>
      <c r="F28017" s="39"/>
    </row>
    <row r="28018">
      <c r="D28018" s="39"/>
      <c r="E28018" s="39"/>
      <c r="F28018" s="39"/>
    </row>
    <row r="28019">
      <c r="D28019" s="39"/>
      <c r="E28019" s="39"/>
      <c r="F28019" s="39"/>
    </row>
    <row r="28020">
      <c r="D28020" s="39"/>
      <c r="E28020" s="39"/>
      <c r="F28020" s="39"/>
    </row>
    <row r="28021">
      <c r="D28021" s="39"/>
      <c r="E28021" s="39"/>
      <c r="F28021" s="39"/>
    </row>
    <row r="28022">
      <c r="D28022" s="39"/>
      <c r="E28022" s="39"/>
      <c r="F28022" s="39"/>
    </row>
    <row r="28023">
      <c r="D28023" s="39"/>
      <c r="E28023" s="39"/>
      <c r="F28023" s="39"/>
    </row>
    <row r="28024">
      <c r="D28024" s="39"/>
      <c r="E28024" s="39"/>
      <c r="F28024" s="39"/>
    </row>
    <row r="28025">
      <c r="D28025" s="39"/>
      <c r="E28025" s="39"/>
      <c r="F28025" s="39"/>
    </row>
    <row r="28026">
      <c r="D28026" s="39"/>
      <c r="E28026" s="39"/>
      <c r="F28026" s="39"/>
    </row>
    <row r="28027">
      <c r="D28027" s="39"/>
      <c r="E28027" s="39"/>
      <c r="F28027" s="39"/>
    </row>
    <row r="28028">
      <c r="D28028" s="39"/>
      <c r="E28028" s="39"/>
      <c r="F28028" s="39"/>
    </row>
    <row r="28029">
      <c r="D28029" s="39"/>
      <c r="E28029" s="39"/>
      <c r="F28029" s="39"/>
    </row>
    <row r="28030">
      <c r="D28030" s="39"/>
      <c r="E28030" s="39"/>
      <c r="F28030" s="39"/>
    </row>
    <row r="28031">
      <c r="D28031" s="39"/>
      <c r="E28031" s="39"/>
      <c r="F28031" s="39"/>
    </row>
    <row r="28032">
      <c r="D28032" s="39"/>
      <c r="E28032" s="39"/>
      <c r="F28032" s="39"/>
    </row>
    <row r="28033">
      <c r="D28033" s="39"/>
      <c r="E28033" s="39"/>
      <c r="F28033" s="39"/>
    </row>
    <row r="28034">
      <c r="D28034" s="39"/>
      <c r="E28034" s="39"/>
      <c r="F28034" s="39"/>
    </row>
    <row r="28035">
      <c r="D28035" s="39"/>
      <c r="E28035" s="39"/>
      <c r="F28035" s="39"/>
    </row>
    <row r="28036">
      <c r="D28036" s="39"/>
      <c r="E28036" s="39"/>
      <c r="F28036" s="39"/>
    </row>
    <row r="28037">
      <c r="D28037" s="39"/>
      <c r="E28037" s="39"/>
      <c r="F28037" s="39"/>
    </row>
    <row r="28038">
      <c r="D28038" s="39"/>
      <c r="E28038" s="39"/>
      <c r="F28038" s="39"/>
    </row>
    <row r="28039">
      <c r="D28039" s="39"/>
      <c r="E28039" s="39"/>
      <c r="F28039" s="39"/>
    </row>
    <row r="28040">
      <c r="D28040" s="39"/>
      <c r="E28040" s="39"/>
      <c r="F28040" s="39"/>
    </row>
    <row r="28041">
      <c r="D28041" s="39"/>
      <c r="E28041" s="39"/>
      <c r="F28041" s="39"/>
    </row>
    <row r="28042">
      <c r="D28042" s="39"/>
      <c r="E28042" s="39"/>
      <c r="F28042" s="39"/>
    </row>
    <row r="28043">
      <c r="D28043" s="39"/>
      <c r="E28043" s="39"/>
      <c r="F28043" s="39"/>
    </row>
    <row r="28044">
      <c r="D28044" s="39"/>
      <c r="E28044" s="39"/>
      <c r="F28044" s="39"/>
    </row>
    <row r="28045">
      <c r="D28045" s="39"/>
      <c r="E28045" s="39"/>
      <c r="F28045" s="39"/>
    </row>
    <row r="28046">
      <c r="D28046" s="39"/>
      <c r="E28046" s="39"/>
      <c r="F28046" s="39"/>
    </row>
    <row r="28047">
      <c r="D28047" s="39"/>
      <c r="E28047" s="39"/>
      <c r="F28047" s="39"/>
    </row>
    <row r="28048">
      <c r="D28048" s="39"/>
      <c r="E28048" s="39"/>
      <c r="F28048" s="39"/>
    </row>
    <row r="28049">
      <c r="D28049" s="39"/>
      <c r="E28049" s="39"/>
      <c r="F28049" s="39"/>
    </row>
    <row r="28050">
      <c r="D28050" s="39"/>
      <c r="E28050" s="39"/>
      <c r="F28050" s="39"/>
    </row>
    <row r="28051">
      <c r="D28051" s="39"/>
      <c r="E28051" s="39"/>
      <c r="F28051" s="39"/>
    </row>
    <row r="28052">
      <c r="D28052" s="39"/>
      <c r="E28052" s="39"/>
      <c r="F28052" s="39"/>
    </row>
    <row r="28053">
      <c r="D28053" s="39"/>
      <c r="E28053" s="39"/>
      <c r="F28053" s="39"/>
    </row>
    <row r="28054">
      <c r="D28054" s="39"/>
      <c r="E28054" s="39"/>
      <c r="F28054" s="39"/>
    </row>
    <row r="28055">
      <c r="D28055" s="39"/>
      <c r="E28055" s="39"/>
      <c r="F28055" s="39"/>
    </row>
    <row r="28056">
      <c r="D28056" s="39"/>
      <c r="E28056" s="39"/>
      <c r="F28056" s="39"/>
    </row>
    <row r="28057">
      <c r="D28057" s="39"/>
      <c r="E28057" s="39"/>
      <c r="F28057" s="39"/>
    </row>
    <row r="28058">
      <c r="D28058" s="39"/>
      <c r="E28058" s="39"/>
      <c r="F28058" s="39"/>
    </row>
    <row r="28059">
      <c r="D28059" s="39"/>
      <c r="E28059" s="39"/>
      <c r="F28059" s="39"/>
    </row>
    <row r="28060">
      <c r="D28060" s="39"/>
      <c r="E28060" s="39"/>
      <c r="F28060" s="39"/>
    </row>
    <row r="28061">
      <c r="D28061" s="39"/>
      <c r="E28061" s="39"/>
      <c r="F28061" s="39"/>
    </row>
    <row r="28062">
      <c r="D28062" s="39"/>
      <c r="E28062" s="39"/>
      <c r="F28062" s="39"/>
    </row>
    <row r="28063">
      <c r="D28063" s="39"/>
      <c r="E28063" s="39"/>
      <c r="F28063" s="39"/>
    </row>
    <row r="28064">
      <c r="D28064" s="39"/>
      <c r="E28064" s="39"/>
      <c r="F28064" s="39"/>
    </row>
    <row r="28065">
      <c r="D28065" s="39"/>
      <c r="E28065" s="39"/>
      <c r="F28065" s="39"/>
    </row>
    <row r="28066">
      <c r="D28066" s="39"/>
      <c r="E28066" s="39"/>
      <c r="F28066" s="39"/>
    </row>
    <row r="28067">
      <c r="D28067" s="39"/>
      <c r="E28067" s="39"/>
      <c r="F28067" s="39"/>
    </row>
    <row r="28068">
      <c r="D28068" s="39"/>
      <c r="E28068" s="39"/>
      <c r="F28068" s="39"/>
    </row>
    <row r="28069">
      <c r="D28069" s="39"/>
      <c r="E28069" s="39"/>
      <c r="F28069" s="39"/>
    </row>
    <row r="28070">
      <c r="D28070" s="39"/>
      <c r="E28070" s="39"/>
      <c r="F28070" s="39"/>
    </row>
    <row r="28071">
      <c r="D28071" s="39"/>
      <c r="E28071" s="39"/>
      <c r="F28071" s="39"/>
    </row>
    <row r="28072">
      <c r="D28072" s="39"/>
      <c r="E28072" s="39"/>
      <c r="F28072" s="39"/>
    </row>
    <row r="28073">
      <c r="D28073" s="39"/>
      <c r="E28073" s="39"/>
      <c r="F28073" s="39"/>
    </row>
    <row r="28074">
      <c r="D28074" s="39"/>
      <c r="E28074" s="39"/>
      <c r="F28074" s="39"/>
    </row>
    <row r="28075">
      <c r="D28075" s="39"/>
      <c r="E28075" s="39"/>
      <c r="F28075" s="39"/>
    </row>
    <row r="28076">
      <c r="D28076" s="39"/>
      <c r="E28076" s="39"/>
      <c r="F28076" s="39"/>
    </row>
    <row r="28077">
      <c r="D28077" s="39"/>
      <c r="E28077" s="39"/>
      <c r="F28077" s="39"/>
    </row>
    <row r="28078">
      <c r="D28078" s="39"/>
      <c r="E28078" s="39"/>
      <c r="F28078" s="39"/>
    </row>
    <row r="28079">
      <c r="D28079" s="39"/>
      <c r="E28079" s="39"/>
      <c r="F28079" s="39"/>
    </row>
    <row r="28080">
      <c r="D28080" s="39"/>
      <c r="E28080" s="39"/>
      <c r="F28080" s="39"/>
    </row>
    <row r="28081">
      <c r="D28081" s="39"/>
      <c r="E28081" s="39"/>
      <c r="F28081" s="39"/>
    </row>
    <row r="28082">
      <c r="D28082" s="39"/>
      <c r="E28082" s="39"/>
      <c r="F28082" s="39"/>
    </row>
    <row r="28083">
      <c r="D28083" s="39"/>
      <c r="E28083" s="39"/>
      <c r="F28083" s="39"/>
    </row>
    <row r="28084">
      <c r="D28084" s="39"/>
      <c r="E28084" s="39"/>
      <c r="F28084" s="39"/>
    </row>
    <row r="28085">
      <c r="D28085" s="39"/>
      <c r="E28085" s="39"/>
      <c r="F28085" s="39"/>
    </row>
    <row r="28086">
      <c r="D28086" s="39"/>
      <c r="E28086" s="39"/>
      <c r="F28086" s="39"/>
    </row>
    <row r="28087">
      <c r="D28087" s="39"/>
      <c r="E28087" s="39"/>
      <c r="F28087" s="39"/>
    </row>
    <row r="28088">
      <c r="D28088" s="39"/>
      <c r="E28088" s="39"/>
      <c r="F28088" s="39"/>
    </row>
    <row r="28089">
      <c r="D28089" s="39"/>
      <c r="E28089" s="39"/>
      <c r="F28089" s="39"/>
    </row>
    <row r="28090">
      <c r="D28090" s="39"/>
      <c r="E28090" s="39"/>
      <c r="F28090" s="39"/>
    </row>
    <row r="28091">
      <c r="D28091" s="39"/>
      <c r="E28091" s="39"/>
      <c r="F28091" s="39"/>
    </row>
    <row r="28092">
      <c r="D28092" s="39"/>
      <c r="E28092" s="39"/>
      <c r="F28092" s="39"/>
    </row>
    <row r="28093">
      <c r="D28093" s="39"/>
      <c r="E28093" s="39"/>
      <c r="F28093" s="39"/>
    </row>
    <row r="28094">
      <c r="D28094" s="39"/>
      <c r="E28094" s="39"/>
      <c r="F28094" s="39"/>
    </row>
    <row r="28095">
      <c r="D28095" s="39"/>
      <c r="E28095" s="39"/>
      <c r="F28095" s="39"/>
    </row>
    <row r="28096">
      <c r="D28096" s="39"/>
      <c r="E28096" s="39"/>
      <c r="F28096" s="39"/>
    </row>
    <row r="28097">
      <c r="D28097" s="39"/>
      <c r="E28097" s="39"/>
      <c r="F28097" s="39"/>
    </row>
    <row r="28098">
      <c r="D28098" s="39"/>
      <c r="E28098" s="39"/>
      <c r="F28098" s="39"/>
    </row>
    <row r="28099">
      <c r="D28099" s="39"/>
      <c r="E28099" s="39"/>
      <c r="F28099" s="39"/>
    </row>
    <row r="28100">
      <c r="D28100" s="39"/>
      <c r="E28100" s="39"/>
      <c r="F28100" s="39"/>
    </row>
    <row r="28101">
      <c r="D28101" s="39"/>
      <c r="E28101" s="39"/>
      <c r="F28101" s="39"/>
    </row>
    <row r="28102">
      <c r="D28102" s="39"/>
      <c r="E28102" s="39"/>
      <c r="F28102" s="39"/>
    </row>
    <row r="28103">
      <c r="D28103" s="39"/>
      <c r="E28103" s="39"/>
      <c r="F28103" s="39"/>
    </row>
    <row r="28104">
      <c r="D28104" s="39"/>
      <c r="E28104" s="39"/>
      <c r="F28104" s="39"/>
    </row>
    <row r="28105">
      <c r="D28105" s="39"/>
      <c r="E28105" s="39"/>
      <c r="F28105" s="39"/>
    </row>
    <row r="28106">
      <c r="D28106" s="39"/>
      <c r="E28106" s="39"/>
      <c r="F28106" s="39"/>
    </row>
    <row r="28107">
      <c r="D28107" s="39"/>
      <c r="E28107" s="39"/>
      <c r="F28107" s="39"/>
    </row>
    <row r="28108">
      <c r="D28108" s="39"/>
      <c r="E28108" s="39"/>
      <c r="F28108" s="39"/>
    </row>
    <row r="28109">
      <c r="D28109" s="39"/>
      <c r="E28109" s="39"/>
      <c r="F28109" s="39"/>
    </row>
    <row r="28110">
      <c r="D28110" s="39"/>
      <c r="E28110" s="39"/>
      <c r="F28110" s="39"/>
    </row>
    <row r="28111">
      <c r="D28111" s="39"/>
      <c r="E28111" s="39"/>
      <c r="F28111" s="39"/>
    </row>
    <row r="28112">
      <c r="D28112" s="39"/>
      <c r="E28112" s="39"/>
      <c r="F28112" s="39"/>
    </row>
    <row r="28113">
      <c r="D28113" s="39"/>
      <c r="E28113" s="39"/>
      <c r="F28113" s="39"/>
    </row>
    <row r="28114">
      <c r="D28114" s="39"/>
      <c r="E28114" s="39"/>
      <c r="F28114" s="39"/>
    </row>
    <row r="28115">
      <c r="D28115" s="39"/>
      <c r="E28115" s="39"/>
      <c r="F28115" s="39"/>
    </row>
    <row r="28116">
      <c r="D28116" s="39"/>
      <c r="E28116" s="39"/>
      <c r="F28116" s="39"/>
    </row>
    <row r="28117">
      <c r="D28117" s="39"/>
      <c r="E28117" s="39"/>
      <c r="F28117" s="39"/>
    </row>
    <row r="28118">
      <c r="D28118" s="39"/>
      <c r="E28118" s="39"/>
      <c r="F28118" s="39"/>
    </row>
    <row r="28119">
      <c r="D28119" s="39"/>
      <c r="E28119" s="39"/>
      <c r="F28119" s="39"/>
    </row>
    <row r="28120">
      <c r="D28120" s="39"/>
      <c r="E28120" s="39"/>
      <c r="F28120" s="39"/>
    </row>
    <row r="28121">
      <c r="D28121" s="39"/>
      <c r="E28121" s="39"/>
      <c r="F28121" s="39"/>
    </row>
    <row r="28122">
      <c r="D28122" s="39"/>
      <c r="E28122" s="39"/>
      <c r="F28122" s="39"/>
    </row>
    <row r="28123">
      <c r="D28123" s="39"/>
      <c r="E28123" s="39"/>
      <c r="F28123" s="39"/>
    </row>
    <row r="28124">
      <c r="D28124" s="39"/>
      <c r="E28124" s="39"/>
      <c r="F28124" s="39"/>
    </row>
    <row r="28125">
      <c r="D28125" s="39"/>
      <c r="E28125" s="39"/>
      <c r="F28125" s="39"/>
    </row>
    <row r="28126">
      <c r="D28126" s="39"/>
      <c r="E28126" s="39"/>
      <c r="F28126" s="39"/>
    </row>
    <row r="28127">
      <c r="D28127" s="39"/>
      <c r="E28127" s="39"/>
      <c r="F28127" s="39"/>
    </row>
    <row r="28128">
      <c r="D28128" s="39"/>
      <c r="E28128" s="39"/>
      <c r="F28128" s="39"/>
    </row>
    <row r="28129">
      <c r="D28129" s="39"/>
      <c r="E28129" s="39"/>
      <c r="F28129" s="39"/>
    </row>
    <row r="28130">
      <c r="D28130" s="39"/>
      <c r="E28130" s="39"/>
      <c r="F28130" s="39"/>
    </row>
    <row r="28131">
      <c r="D28131" s="39"/>
      <c r="E28131" s="39"/>
      <c r="F28131" s="39"/>
    </row>
    <row r="28132">
      <c r="D28132" s="39"/>
      <c r="E28132" s="39"/>
      <c r="F28132" s="39"/>
    </row>
    <row r="28133">
      <c r="D28133" s="39"/>
      <c r="E28133" s="39"/>
      <c r="F28133" s="39"/>
    </row>
    <row r="28134">
      <c r="D28134" s="39"/>
      <c r="E28134" s="39"/>
      <c r="F28134" s="39"/>
    </row>
    <row r="28135">
      <c r="D28135" s="39"/>
      <c r="E28135" s="39"/>
      <c r="F28135" s="39"/>
    </row>
    <row r="28136">
      <c r="D28136" s="39"/>
      <c r="E28136" s="39"/>
      <c r="F28136" s="39"/>
    </row>
    <row r="28137">
      <c r="D28137" s="39"/>
      <c r="E28137" s="39"/>
      <c r="F28137" s="39"/>
    </row>
    <row r="28138">
      <c r="D28138" s="39"/>
      <c r="E28138" s="39"/>
      <c r="F28138" s="39"/>
    </row>
    <row r="28139">
      <c r="D28139" s="39"/>
      <c r="E28139" s="39"/>
      <c r="F28139" s="39"/>
    </row>
    <row r="28140">
      <c r="D28140" s="39"/>
      <c r="E28140" s="39"/>
      <c r="F28140" s="39"/>
    </row>
    <row r="28141">
      <c r="D28141" s="39"/>
      <c r="E28141" s="39"/>
      <c r="F28141" s="39"/>
    </row>
    <row r="28142">
      <c r="D28142" s="39"/>
      <c r="E28142" s="39"/>
      <c r="F28142" s="39"/>
    </row>
    <row r="28143">
      <c r="D28143" s="39"/>
      <c r="E28143" s="39"/>
      <c r="F28143" s="39"/>
    </row>
    <row r="28144">
      <c r="D28144" s="39"/>
      <c r="E28144" s="39"/>
      <c r="F28144" s="39"/>
    </row>
    <row r="28145">
      <c r="D28145" s="39"/>
      <c r="E28145" s="39"/>
      <c r="F28145" s="39"/>
    </row>
    <row r="28146">
      <c r="D28146" s="39"/>
      <c r="E28146" s="39"/>
      <c r="F28146" s="39"/>
    </row>
    <row r="28147">
      <c r="D28147" s="39"/>
      <c r="E28147" s="39"/>
      <c r="F28147" s="39"/>
    </row>
    <row r="28148">
      <c r="D28148" s="39"/>
      <c r="E28148" s="39"/>
      <c r="F28148" s="39"/>
    </row>
    <row r="28149">
      <c r="D28149" s="39"/>
      <c r="E28149" s="39"/>
      <c r="F28149" s="39"/>
    </row>
    <row r="28150">
      <c r="D28150" s="39"/>
      <c r="E28150" s="39"/>
      <c r="F28150" s="39"/>
    </row>
    <row r="28151">
      <c r="D28151" s="39"/>
      <c r="E28151" s="39"/>
      <c r="F28151" s="39"/>
    </row>
    <row r="28152">
      <c r="D28152" s="39"/>
      <c r="E28152" s="39"/>
      <c r="F28152" s="39"/>
    </row>
    <row r="28153">
      <c r="D28153" s="39"/>
      <c r="E28153" s="39"/>
      <c r="F28153" s="39"/>
    </row>
    <row r="28154">
      <c r="D28154" s="39"/>
      <c r="E28154" s="39"/>
      <c r="F28154" s="39"/>
    </row>
    <row r="28155">
      <c r="D28155" s="39"/>
      <c r="E28155" s="39"/>
      <c r="F28155" s="39"/>
    </row>
    <row r="28156">
      <c r="D28156" s="39"/>
      <c r="E28156" s="39"/>
      <c r="F28156" s="39"/>
    </row>
    <row r="28157">
      <c r="D28157" s="39"/>
      <c r="E28157" s="39"/>
      <c r="F28157" s="39"/>
    </row>
    <row r="28158">
      <c r="D28158" s="39"/>
      <c r="E28158" s="39"/>
      <c r="F28158" s="39"/>
    </row>
    <row r="28159">
      <c r="D28159" s="39"/>
      <c r="E28159" s="39"/>
      <c r="F28159" s="39"/>
    </row>
    <row r="28160">
      <c r="D28160" s="39"/>
      <c r="E28160" s="39"/>
      <c r="F28160" s="39"/>
    </row>
    <row r="28161">
      <c r="D28161" s="39"/>
      <c r="E28161" s="39"/>
      <c r="F28161" s="39"/>
    </row>
    <row r="28162">
      <c r="D28162" s="39"/>
      <c r="E28162" s="39"/>
      <c r="F28162" s="39"/>
    </row>
    <row r="28163">
      <c r="D28163" s="39"/>
      <c r="E28163" s="39"/>
      <c r="F28163" s="39"/>
    </row>
    <row r="28164">
      <c r="D28164" s="39"/>
      <c r="E28164" s="39"/>
      <c r="F28164" s="39"/>
    </row>
    <row r="28165">
      <c r="D28165" s="39"/>
      <c r="E28165" s="39"/>
      <c r="F28165" s="39"/>
    </row>
    <row r="28166">
      <c r="D28166" s="39"/>
      <c r="E28166" s="39"/>
      <c r="F28166" s="39"/>
    </row>
    <row r="28167">
      <c r="D28167" s="39"/>
      <c r="E28167" s="39"/>
      <c r="F28167" s="39"/>
    </row>
    <row r="28168">
      <c r="D28168" s="39"/>
      <c r="E28168" s="39"/>
      <c r="F28168" s="39"/>
    </row>
    <row r="28169">
      <c r="D28169" s="39"/>
      <c r="E28169" s="39"/>
      <c r="F28169" s="39"/>
    </row>
    <row r="28170">
      <c r="D28170" s="39"/>
      <c r="E28170" s="39"/>
      <c r="F28170" s="39"/>
    </row>
    <row r="28171">
      <c r="D28171" s="39"/>
      <c r="E28171" s="39"/>
      <c r="F28171" s="39"/>
    </row>
    <row r="28172">
      <c r="D28172" s="39"/>
      <c r="E28172" s="39"/>
      <c r="F28172" s="39"/>
    </row>
    <row r="28173">
      <c r="D28173" s="39"/>
      <c r="E28173" s="39"/>
      <c r="F28173" s="39"/>
    </row>
    <row r="28174">
      <c r="D28174" s="39"/>
      <c r="E28174" s="39"/>
      <c r="F28174" s="39"/>
    </row>
    <row r="28175">
      <c r="D28175" s="39"/>
      <c r="E28175" s="39"/>
      <c r="F28175" s="39"/>
    </row>
    <row r="28176">
      <c r="D28176" s="39"/>
      <c r="E28176" s="39"/>
      <c r="F28176" s="39"/>
    </row>
    <row r="28177">
      <c r="D28177" s="39"/>
      <c r="E28177" s="39"/>
      <c r="F28177" s="39"/>
    </row>
    <row r="28178">
      <c r="D28178" s="39"/>
      <c r="E28178" s="39"/>
      <c r="F28178" s="39"/>
    </row>
    <row r="28179">
      <c r="D28179" s="39"/>
      <c r="E28179" s="39"/>
      <c r="F28179" s="39"/>
    </row>
    <row r="28180">
      <c r="D28180" s="39"/>
      <c r="E28180" s="39"/>
      <c r="F28180" s="39"/>
    </row>
    <row r="28181">
      <c r="D28181" s="39"/>
      <c r="E28181" s="39"/>
      <c r="F28181" s="39"/>
    </row>
    <row r="28182">
      <c r="D28182" s="39"/>
      <c r="E28182" s="39"/>
      <c r="F28182" s="39"/>
    </row>
    <row r="28183">
      <c r="D28183" s="39"/>
      <c r="E28183" s="39"/>
      <c r="F28183" s="39"/>
    </row>
    <row r="28184">
      <c r="D28184" s="39"/>
      <c r="E28184" s="39"/>
      <c r="F28184" s="39"/>
    </row>
    <row r="28185">
      <c r="D28185" s="39"/>
      <c r="E28185" s="39"/>
      <c r="F28185" s="39"/>
    </row>
    <row r="28186">
      <c r="D28186" s="39"/>
      <c r="E28186" s="39"/>
      <c r="F28186" s="39"/>
    </row>
    <row r="28187">
      <c r="D28187" s="39"/>
      <c r="E28187" s="39"/>
      <c r="F28187" s="39"/>
    </row>
    <row r="28188">
      <c r="D28188" s="39"/>
      <c r="E28188" s="39"/>
      <c r="F28188" s="39"/>
    </row>
    <row r="28189">
      <c r="D28189" s="39"/>
      <c r="E28189" s="39"/>
      <c r="F28189" s="39"/>
    </row>
    <row r="28190">
      <c r="D28190" s="39"/>
      <c r="E28190" s="39"/>
      <c r="F28190" s="39"/>
    </row>
    <row r="28191">
      <c r="D28191" s="39"/>
      <c r="E28191" s="39"/>
      <c r="F28191" s="39"/>
    </row>
    <row r="28192">
      <c r="D28192" s="39"/>
      <c r="E28192" s="39"/>
      <c r="F28192" s="39"/>
    </row>
    <row r="28193">
      <c r="D28193" s="39"/>
      <c r="E28193" s="39"/>
      <c r="F28193" s="39"/>
    </row>
    <row r="28194">
      <c r="D28194" s="39"/>
      <c r="E28194" s="39"/>
      <c r="F28194" s="39"/>
    </row>
    <row r="28195">
      <c r="D28195" s="39"/>
      <c r="E28195" s="39"/>
      <c r="F28195" s="39"/>
    </row>
    <row r="28196">
      <c r="D28196" s="39"/>
      <c r="E28196" s="39"/>
      <c r="F28196" s="39"/>
    </row>
    <row r="28197">
      <c r="D28197" s="39"/>
      <c r="E28197" s="39"/>
      <c r="F28197" s="39"/>
    </row>
    <row r="28198">
      <c r="D28198" s="39"/>
      <c r="E28198" s="39"/>
      <c r="F28198" s="39"/>
    </row>
    <row r="28199">
      <c r="D28199" s="39"/>
      <c r="E28199" s="39"/>
      <c r="F28199" s="39"/>
    </row>
    <row r="28200">
      <c r="D28200" s="39"/>
      <c r="E28200" s="39"/>
      <c r="F28200" s="39"/>
    </row>
    <row r="28201">
      <c r="D28201" s="39"/>
      <c r="E28201" s="39"/>
      <c r="F28201" s="39"/>
    </row>
    <row r="28202">
      <c r="D28202" s="39"/>
      <c r="E28202" s="39"/>
      <c r="F28202" s="39"/>
    </row>
    <row r="28203">
      <c r="D28203" s="39"/>
      <c r="E28203" s="39"/>
      <c r="F28203" s="39"/>
    </row>
    <row r="28204">
      <c r="D28204" s="39"/>
      <c r="E28204" s="39"/>
      <c r="F28204" s="39"/>
    </row>
    <row r="28205">
      <c r="D28205" s="39"/>
      <c r="E28205" s="39"/>
      <c r="F28205" s="39"/>
    </row>
    <row r="28206">
      <c r="D28206" s="39"/>
      <c r="E28206" s="39"/>
      <c r="F28206" s="39"/>
    </row>
    <row r="28207">
      <c r="D28207" s="39"/>
      <c r="E28207" s="39"/>
      <c r="F28207" s="39"/>
    </row>
    <row r="28208">
      <c r="D28208" s="39"/>
      <c r="E28208" s="39"/>
      <c r="F28208" s="39"/>
    </row>
    <row r="28209">
      <c r="D28209" s="39"/>
      <c r="E28209" s="39"/>
      <c r="F28209" s="39"/>
    </row>
    <row r="28210">
      <c r="D28210" s="39"/>
      <c r="E28210" s="39"/>
      <c r="F28210" s="39"/>
    </row>
    <row r="28211">
      <c r="D28211" s="39"/>
      <c r="E28211" s="39"/>
      <c r="F28211" s="39"/>
    </row>
    <row r="28212">
      <c r="D28212" s="39"/>
      <c r="E28212" s="39"/>
      <c r="F28212" s="39"/>
    </row>
    <row r="28213">
      <c r="D28213" s="39"/>
      <c r="E28213" s="39"/>
      <c r="F28213" s="39"/>
    </row>
    <row r="28214">
      <c r="D28214" s="39"/>
      <c r="E28214" s="39"/>
      <c r="F28214" s="39"/>
    </row>
    <row r="28215">
      <c r="D28215" s="39"/>
      <c r="E28215" s="39"/>
      <c r="F28215" s="39"/>
    </row>
    <row r="28216">
      <c r="D28216" s="39"/>
      <c r="E28216" s="39"/>
      <c r="F28216" s="39"/>
    </row>
    <row r="28217">
      <c r="D28217" s="39"/>
      <c r="E28217" s="39"/>
      <c r="F28217" s="39"/>
    </row>
    <row r="28218">
      <c r="D28218" s="39"/>
      <c r="E28218" s="39"/>
      <c r="F28218" s="39"/>
    </row>
    <row r="28219">
      <c r="D28219" s="39"/>
      <c r="E28219" s="39"/>
      <c r="F28219" s="39"/>
    </row>
    <row r="28220">
      <c r="D28220" s="39"/>
      <c r="E28220" s="39"/>
      <c r="F28220" s="39"/>
    </row>
    <row r="28221">
      <c r="D28221" s="39"/>
      <c r="E28221" s="39"/>
      <c r="F28221" s="39"/>
    </row>
    <row r="28222">
      <c r="D28222" s="39"/>
      <c r="E28222" s="39"/>
      <c r="F28222" s="39"/>
    </row>
    <row r="28223">
      <c r="D28223" s="39"/>
      <c r="E28223" s="39"/>
      <c r="F28223" s="39"/>
    </row>
    <row r="28224">
      <c r="D28224" s="39"/>
      <c r="E28224" s="39"/>
      <c r="F28224" s="39"/>
    </row>
    <row r="28225">
      <c r="D28225" s="39"/>
      <c r="E28225" s="39"/>
      <c r="F28225" s="39"/>
    </row>
    <row r="28226">
      <c r="D28226" s="39"/>
      <c r="E28226" s="39"/>
      <c r="F28226" s="39"/>
    </row>
    <row r="28227">
      <c r="D28227" s="39"/>
      <c r="E28227" s="39"/>
      <c r="F28227" s="39"/>
    </row>
    <row r="28228">
      <c r="D28228" s="39"/>
      <c r="E28228" s="39"/>
      <c r="F28228" s="39"/>
    </row>
    <row r="28229">
      <c r="D28229" s="39"/>
      <c r="E28229" s="39"/>
      <c r="F28229" s="39"/>
    </row>
    <row r="28230">
      <c r="D28230" s="39"/>
      <c r="E28230" s="39"/>
      <c r="F28230" s="39"/>
    </row>
    <row r="28231">
      <c r="D28231" s="39"/>
      <c r="E28231" s="39"/>
      <c r="F28231" s="39"/>
    </row>
    <row r="28232">
      <c r="D28232" s="39"/>
      <c r="E28232" s="39"/>
      <c r="F28232" s="39"/>
    </row>
    <row r="28233">
      <c r="D28233" s="39"/>
      <c r="E28233" s="39"/>
      <c r="F28233" s="39"/>
    </row>
    <row r="28234">
      <c r="D28234" s="39"/>
      <c r="E28234" s="39"/>
      <c r="F28234" s="39"/>
    </row>
    <row r="28235">
      <c r="D28235" s="39"/>
      <c r="E28235" s="39"/>
      <c r="F28235" s="39"/>
    </row>
    <row r="28236">
      <c r="D28236" s="39"/>
      <c r="E28236" s="39"/>
      <c r="F28236" s="39"/>
    </row>
    <row r="28237">
      <c r="D28237" s="39"/>
      <c r="E28237" s="39"/>
      <c r="F28237" s="39"/>
    </row>
    <row r="28238">
      <c r="D28238" s="39"/>
      <c r="E28238" s="39"/>
      <c r="F28238" s="39"/>
    </row>
    <row r="28239">
      <c r="D28239" s="39"/>
      <c r="E28239" s="39"/>
      <c r="F28239" s="39"/>
    </row>
    <row r="28240">
      <c r="D28240" s="39"/>
      <c r="E28240" s="39"/>
      <c r="F28240" s="39"/>
    </row>
    <row r="28241">
      <c r="D28241" s="39"/>
      <c r="E28241" s="39"/>
      <c r="F28241" s="39"/>
    </row>
    <row r="28242">
      <c r="D28242" s="39"/>
      <c r="E28242" s="39"/>
      <c r="F28242" s="39"/>
    </row>
    <row r="28243">
      <c r="D28243" s="39"/>
      <c r="E28243" s="39"/>
      <c r="F28243" s="39"/>
    </row>
    <row r="28244">
      <c r="D28244" s="39"/>
      <c r="E28244" s="39"/>
      <c r="F28244" s="39"/>
    </row>
    <row r="28245">
      <c r="D28245" s="39"/>
      <c r="E28245" s="39"/>
      <c r="F28245" s="39"/>
    </row>
    <row r="28246">
      <c r="D28246" s="39"/>
      <c r="E28246" s="39"/>
      <c r="F28246" s="39"/>
    </row>
    <row r="28247">
      <c r="D28247" s="39"/>
      <c r="E28247" s="39"/>
      <c r="F28247" s="39"/>
    </row>
    <row r="28248">
      <c r="D28248" s="39"/>
      <c r="E28248" s="39"/>
      <c r="F28248" s="39"/>
    </row>
    <row r="28249">
      <c r="D28249" s="39"/>
      <c r="E28249" s="39"/>
      <c r="F28249" s="39"/>
    </row>
    <row r="28250">
      <c r="D28250" s="39"/>
      <c r="E28250" s="39"/>
      <c r="F28250" s="39"/>
    </row>
    <row r="28251">
      <c r="D28251" s="39"/>
      <c r="E28251" s="39"/>
      <c r="F28251" s="39"/>
    </row>
    <row r="28252">
      <c r="D28252" s="39"/>
      <c r="E28252" s="39"/>
      <c r="F28252" s="39"/>
    </row>
    <row r="28253">
      <c r="D28253" s="39"/>
      <c r="E28253" s="39"/>
      <c r="F28253" s="39"/>
    </row>
    <row r="28254">
      <c r="D28254" s="39"/>
      <c r="E28254" s="39"/>
      <c r="F28254" s="39"/>
    </row>
    <row r="28255">
      <c r="D28255" s="39"/>
      <c r="E28255" s="39"/>
      <c r="F28255" s="39"/>
    </row>
    <row r="28256">
      <c r="D28256" s="39"/>
      <c r="E28256" s="39"/>
      <c r="F28256" s="39"/>
    </row>
    <row r="28257">
      <c r="D28257" s="39"/>
      <c r="E28257" s="39"/>
      <c r="F28257" s="39"/>
    </row>
    <row r="28258">
      <c r="D28258" s="39"/>
      <c r="E28258" s="39"/>
      <c r="F28258" s="39"/>
    </row>
    <row r="28259">
      <c r="D28259" s="39"/>
      <c r="E28259" s="39"/>
      <c r="F28259" s="39"/>
    </row>
    <row r="28260">
      <c r="D28260" s="39"/>
      <c r="E28260" s="39"/>
      <c r="F28260" s="39"/>
    </row>
    <row r="28261">
      <c r="D28261" s="39"/>
      <c r="E28261" s="39"/>
      <c r="F28261" s="39"/>
    </row>
    <row r="28262">
      <c r="D28262" s="39"/>
      <c r="E28262" s="39"/>
      <c r="F28262" s="39"/>
    </row>
    <row r="28263">
      <c r="D28263" s="39"/>
      <c r="E28263" s="39"/>
      <c r="F28263" s="39"/>
    </row>
    <row r="28264">
      <c r="D28264" s="39"/>
      <c r="E28264" s="39"/>
      <c r="F28264" s="39"/>
    </row>
    <row r="28265">
      <c r="D28265" s="39"/>
      <c r="E28265" s="39"/>
      <c r="F28265" s="39"/>
    </row>
    <row r="28266">
      <c r="D28266" s="39"/>
      <c r="E28266" s="39"/>
      <c r="F28266" s="39"/>
    </row>
    <row r="28267">
      <c r="D28267" s="39"/>
      <c r="E28267" s="39"/>
      <c r="F28267" s="39"/>
    </row>
    <row r="28268">
      <c r="D28268" s="39"/>
      <c r="E28268" s="39"/>
      <c r="F28268" s="39"/>
    </row>
    <row r="28269">
      <c r="D28269" s="39"/>
      <c r="E28269" s="39"/>
      <c r="F28269" s="39"/>
    </row>
    <row r="28270">
      <c r="D28270" s="39"/>
      <c r="E28270" s="39"/>
      <c r="F28270" s="39"/>
    </row>
    <row r="28271">
      <c r="D28271" s="39"/>
      <c r="E28271" s="39"/>
      <c r="F28271" s="39"/>
    </row>
    <row r="28272">
      <c r="D28272" s="39"/>
      <c r="E28272" s="39"/>
      <c r="F28272" s="39"/>
    </row>
    <row r="28273">
      <c r="D28273" s="39"/>
      <c r="E28273" s="39"/>
      <c r="F28273" s="39"/>
    </row>
    <row r="28274">
      <c r="D28274" s="39"/>
      <c r="E28274" s="39"/>
      <c r="F28274" s="39"/>
    </row>
    <row r="28275">
      <c r="D28275" s="39"/>
      <c r="E28275" s="39"/>
      <c r="F28275" s="39"/>
    </row>
    <row r="28276">
      <c r="D28276" s="39"/>
      <c r="E28276" s="39"/>
      <c r="F28276" s="39"/>
    </row>
    <row r="28277">
      <c r="D28277" s="39"/>
      <c r="E28277" s="39"/>
      <c r="F28277" s="39"/>
    </row>
    <row r="28278">
      <c r="D28278" s="39"/>
      <c r="E28278" s="39"/>
      <c r="F28278" s="39"/>
    </row>
    <row r="28279">
      <c r="D28279" s="39"/>
      <c r="E28279" s="39"/>
      <c r="F28279" s="39"/>
    </row>
    <row r="28280">
      <c r="D28280" s="39"/>
      <c r="E28280" s="39"/>
      <c r="F28280" s="39"/>
    </row>
    <row r="28281">
      <c r="D28281" s="39"/>
      <c r="E28281" s="39"/>
      <c r="F28281" s="39"/>
    </row>
    <row r="28282">
      <c r="D28282" s="39"/>
      <c r="E28282" s="39"/>
      <c r="F28282" s="39"/>
    </row>
    <row r="28283">
      <c r="D28283" s="39"/>
      <c r="E28283" s="39"/>
      <c r="F28283" s="39"/>
    </row>
    <row r="28284">
      <c r="D28284" s="39"/>
      <c r="E28284" s="39"/>
      <c r="F28284" s="39"/>
    </row>
    <row r="28285">
      <c r="D28285" s="39"/>
      <c r="E28285" s="39"/>
      <c r="F28285" s="39"/>
    </row>
    <row r="28286">
      <c r="D28286" s="39"/>
      <c r="E28286" s="39"/>
      <c r="F28286" s="39"/>
    </row>
    <row r="28287">
      <c r="D28287" s="39"/>
      <c r="E28287" s="39"/>
      <c r="F28287" s="39"/>
    </row>
    <row r="28288">
      <c r="D28288" s="39"/>
      <c r="E28288" s="39"/>
      <c r="F28288" s="39"/>
    </row>
    <row r="28289">
      <c r="D28289" s="39"/>
      <c r="E28289" s="39"/>
      <c r="F28289" s="39"/>
    </row>
    <row r="28290">
      <c r="D28290" s="39"/>
      <c r="E28290" s="39"/>
      <c r="F28290" s="39"/>
    </row>
    <row r="28291">
      <c r="D28291" s="39"/>
      <c r="E28291" s="39"/>
      <c r="F28291" s="39"/>
    </row>
    <row r="28292">
      <c r="D28292" s="39"/>
      <c r="E28292" s="39"/>
      <c r="F28292" s="39"/>
    </row>
    <row r="28293">
      <c r="D28293" s="39"/>
      <c r="E28293" s="39"/>
      <c r="F28293" s="39"/>
    </row>
    <row r="28294">
      <c r="D28294" s="39"/>
      <c r="E28294" s="39"/>
      <c r="F28294" s="39"/>
    </row>
    <row r="28295">
      <c r="D28295" s="39"/>
      <c r="E28295" s="39"/>
      <c r="F28295" s="39"/>
    </row>
    <row r="28296">
      <c r="D28296" s="39"/>
      <c r="E28296" s="39"/>
      <c r="F28296" s="39"/>
    </row>
    <row r="28297">
      <c r="D28297" s="39"/>
      <c r="E28297" s="39"/>
      <c r="F28297" s="39"/>
    </row>
    <row r="28298">
      <c r="D28298" s="39"/>
      <c r="E28298" s="39"/>
      <c r="F28298" s="39"/>
    </row>
    <row r="28299">
      <c r="D28299" s="39"/>
      <c r="E28299" s="39"/>
      <c r="F28299" s="39"/>
    </row>
    <row r="28300">
      <c r="D28300" s="39"/>
      <c r="E28300" s="39"/>
      <c r="F28300" s="39"/>
    </row>
    <row r="28301">
      <c r="D28301" s="39"/>
      <c r="E28301" s="39"/>
      <c r="F28301" s="39"/>
    </row>
    <row r="28302">
      <c r="D28302" s="39"/>
      <c r="E28302" s="39"/>
      <c r="F28302" s="39"/>
    </row>
    <row r="28303">
      <c r="D28303" s="39"/>
      <c r="E28303" s="39"/>
      <c r="F28303" s="39"/>
    </row>
    <row r="28304">
      <c r="D28304" s="39"/>
      <c r="E28304" s="39"/>
      <c r="F28304" s="39"/>
    </row>
    <row r="28305">
      <c r="D28305" s="39"/>
      <c r="E28305" s="39"/>
      <c r="F28305" s="39"/>
    </row>
    <row r="28306">
      <c r="D28306" s="39"/>
      <c r="E28306" s="39"/>
      <c r="F28306" s="39"/>
    </row>
    <row r="28307">
      <c r="D28307" s="39"/>
      <c r="E28307" s="39"/>
      <c r="F28307" s="39"/>
    </row>
    <row r="28308">
      <c r="D28308" s="39"/>
      <c r="E28308" s="39"/>
      <c r="F28308" s="39"/>
    </row>
    <row r="28309">
      <c r="D28309" s="39"/>
      <c r="E28309" s="39"/>
      <c r="F28309" s="39"/>
    </row>
    <row r="28310">
      <c r="D28310" s="39"/>
      <c r="E28310" s="39"/>
      <c r="F28310" s="39"/>
    </row>
    <row r="28311">
      <c r="D28311" s="39"/>
      <c r="E28311" s="39"/>
      <c r="F28311" s="39"/>
    </row>
    <row r="28312">
      <c r="D28312" s="39"/>
      <c r="E28312" s="39"/>
      <c r="F28312" s="39"/>
    </row>
    <row r="28313">
      <c r="D28313" s="39"/>
      <c r="E28313" s="39"/>
      <c r="F28313" s="39"/>
    </row>
    <row r="28314">
      <c r="D28314" s="39"/>
      <c r="E28314" s="39"/>
      <c r="F28314" s="39"/>
    </row>
    <row r="28315">
      <c r="D28315" s="39"/>
      <c r="E28315" s="39"/>
      <c r="F28315" s="39"/>
    </row>
    <row r="28316">
      <c r="D28316" s="39"/>
      <c r="E28316" s="39"/>
      <c r="F28316" s="39"/>
    </row>
    <row r="28317">
      <c r="D28317" s="39"/>
      <c r="E28317" s="39"/>
      <c r="F28317" s="39"/>
    </row>
    <row r="28318">
      <c r="D28318" s="39"/>
      <c r="E28318" s="39"/>
      <c r="F28318" s="39"/>
    </row>
    <row r="28319">
      <c r="D28319" s="39"/>
      <c r="E28319" s="39"/>
      <c r="F28319" s="39"/>
    </row>
    <row r="28320">
      <c r="D28320" s="39"/>
      <c r="E28320" s="39"/>
      <c r="F28320" s="39"/>
    </row>
    <row r="28321">
      <c r="D28321" s="39"/>
      <c r="E28321" s="39"/>
      <c r="F28321" s="39"/>
    </row>
    <row r="28322">
      <c r="D28322" s="39"/>
      <c r="E28322" s="39"/>
      <c r="F28322" s="39"/>
    </row>
    <row r="28323">
      <c r="D28323" s="39"/>
      <c r="E28323" s="39"/>
      <c r="F28323" s="39"/>
    </row>
    <row r="28324">
      <c r="D28324" s="39"/>
      <c r="E28324" s="39"/>
      <c r="F28324" s="39"/>
    </row>
    <row r="28325">
      <c r="D28325" s="39"/>
      <c r="E28325" s="39"/>
      <c r="F28325" s="39"/>
    </row>
    <row r="28326">
      <c r="D28326" s="39"/>
      <c r="E28326" s="39"/>
      <c r="F28326" s="39"/>
    </row>
    <row r="28327">
      <c r="D28327" s="39"/>
      <c r="E28327" s="39"/>
      <c r="F28327" s="39"/>
    </row>
    <row r="28328">
      <c r="D28328" s="39"/>
      <c r="E28328" s="39"/>
      <c r="F28328" s="39"/>
    </row>
    <row r="28329">
      <c r="D28329" s="39"/>
      <c r="E28329" s="39"/>
      <c r="F28329" s="39"/>
    </row>
    <row r="28330">
      <c r="D28330" s="39"/>
      <c r="E28330" s="39"/>
      <c r="F28330" s="39"/>
    </row>
    <row r="28331">
      <c r="D28331" s="39"/>
      <c r="E28331" s="39"/>
      <c r="F28331" s="39"/>
    </row>
    <row r="28332">
      <c r="D28332" s="39"/>
      <c r="E28332" s="39"/>
      <c r="F28332" s="39"/>
    </row>
    <row r="28333">
      <c r="D28333" s="39"/>
      <c r="E28333" s="39"/>
      <c r="F28333" s="39"/>
    </row>
    <row r="28334">
      <c r="D28334" s="39"/>
      <c r="E28334" s="39"/>
      <c r="F28334" s="39"/>
    </row>
    <row r="28335">
      <c r="D28335" s="39"/>
      <c r="E28335" s="39"/>
      <c r="F28335" s="39"/>
    </row>
    <row r="28336">
      <c r="D28336" s="39"/>
      <c r="E28336" s="39"/>
      <c r="F28336" s="39"/>
    </row>
    <row r="28337">
      <c r="D28337" s="39"/>
      <c r="E28337" s="39"/>
      <c r="F28337" s="39"/>
    </row>
    <row r="28338">
      <c r="D28338" s="39"/>
      <c r="E28338" s="39"/>
      <c r="F28338" s="39"/>
    </row>
    <row r="28339">
      <c r="D28339" s="39"/>
      <c r="E28339" s="39"/>
      <c r="F28339" s="39"/>
    </row>
    <row r="28340">
      <c r="D28340" s="39"/>
      <c r="E28340" s="39"/>
      <c r="F28340" s="39"/>
    </row>
    <row r="28341">
      <c r="D28341" s="39"/>
      <c r="E28341" s="39"/>
      <c r="F28341" s="39"/>
    </row>
    <row r="28342">
      <c r="D28342" s="39"/>
      <c r="E28342" s="39"/>
      <c r="F28342" s="39"/>
    </row>
    <row r="28343">
      <c r="D28343" s="39"/>
      <c r="E28343" s="39"/>
      <c r="F28343" s="39"/>
    </row>
    <row r="28344">
      <c r="D28344" s="39"/>
      <c r="E28344" s="39"/>
      <c r="F28344" s="39"/>
    </row>
    <row r="28345">
      <c r="D28345" s="39"/>
      <c r="E28345" s="39"/>
      <c r="F28345" s="39"/>
    </row>
    <row r="28346">
      <c r="D28346" s="39"/>
      <c r="E28346" s="39"/>
      <c r="F28346" s="39"/>
    </row>
    <row r="28347">
      <c r="D28347" s="39"/>
      <c r="E28347" s="39"/>
      <c r="F28347" s="39"/>
    </row>
    <row r="28348">
      <c r="D28348" s="39"/>
      <c r="E28348" s="39"/>
      <c r="F28348" s="39"/>
    </row>
    <row r="28349">
      <c r="D28349" s="39"/>
      <c r="E28349" s="39"/>
      <c r="F28349" s="39"/>
    </row>
    <row r="28350">
      <c r="D28350" s="39"/>
      <c r="E28350" s="39"/>
      <c r="F28350" s="39"/>
    </row>
    <row r="28351">
      <c r="D28351" s="39"/>
      <c r="E28351" s="39"/>
      <c r="F28351" s="39"/>
    </row>
    <row r="28352">
      <c r="D28352" s="39"/>
      <c r="E28352" s="39"/>
      <c r="F28352" s="39"/>
    </row>
    <row r="28353">
      <c r="D28353" s="39"/>
      <c r="E28353" s="39"/>
      <c r="F28353" s="39"/>
    </row>
    <row r="28354">
      <c r="D28354" s="39"/>
      <c r="E28354" s="39"/>
      <c r="F28354" s="39"/>
    </row>
    <row r="28355">
      <c r="D28355" s="39"/>
      <c r="E28355" s="39"/>
      <c r="F28355" s="39"/>
    </row>
    <row r="28356">
      <c r="D28356" s="39"/>
      <c r="E28356" s="39"/>
      <c r="F28356" s="39"/>
    </row>
    <row r="28357">
      <c r="D28357" s="39"/>
      <c r="E28357" s="39"/>
      <c r="F28357" s="39"/>
    </row>
    <row r="28358">
      <c r="D28358" s="39"/>
      <c r="E28358" s="39"/>
      <c r="F28358" s="39"/>
    </row>
    <row r="28359">
      <c r="D28359" s="39"/>
      <c r="E28359" s="39"/>
      <c r="F28359" s="39"/>
    </row>
    <row r="28360">
      <c r="D28360" s="39"/>
      <c r="E28360" s="39"/>
      <c r="F28360" s="39"/>
    </row>
    <row r="28361">
      <c r="D28361" s="39"/>
      <c r="E28361" s="39"/>
      <c r="F28361" s="39"/>
    </row>
    <row r="28362">
      <c r="D28362" s="39"/>
      <c r="E28362" s="39"/>
      <c r="F28362" s="39"/>
    </row>
    <row r="28363">
      <c r="D28363" s="39"/>
      <c r="E28363" s="39"/>
      <c r="F28363" s="39"/>
    </row>
    <row r="28364">
      <c r="D28364" s="39"/>
      <c r="E28364" s="39"/>
      <c r="F28364" s="39"/>
    </row>
    <row r="28365">
      <c r="D28365" s="39"/>
      <c r="E28365" s="39"/>
      <c r="F28365" s="39"/>
    </row>
    <row r="28366">
      <c r="D28366" s="39"/>
      <c r="E28366" s="39"/>
      <c r="F28366" s="39"/>
    </row>
    <row r="28367">
      <c r="D28367" s="39"/>
      <c r="E28367" s="39"/>
      <c r="F28367" s="39"/>
    </row>
    <row r="28368">
      <c r="D28368" s="39"/>
      <c r="E28368" s="39"/>
      <c r="F28368" s="39"/>
    </row>
    <row r="28369">
      <c r="D28369" s="39"/>
      <c r="E28369" s="39"/>
      <c r="F28369" s="39"/>
    </row>
    <row r="28370">
      <c r="D28370" s="39"/>
      <c r="E28370" s="39"/>
      <c r="F28370" s="39"/>
    </row>
    <row r="28371">
      <c r="D28371" s="39"/>
      <c r="E28371" s="39"/>
      <c r="F28371" s="39"/>
    </row>
    <row r="28372">
      <c r="D28372" s="39"/>
      <c r="E28372" s="39"/>
      <c r="F28372" s="39"/>
    </row>
    <row r="28373">
      <c r="D28373" s="39"/>
      <c r="E28373" s="39"/>
      <c r="F28373" s="39"/>
    </row>
    <row r="28374">
      <c r="D28374" s="39"/>
      <c r="E28374" s="39"/>
      <c r="F28374" s="39"/>
    </row>
    <row r="28375">
      <c r="D28375" s="39"/>
      <c r="E28375" s="39"/>
      <c r="F28375" s="39"/>
    </row>
    <row r="28376">
      <c r="D28376" s="39"/>
      <c r="E28376" s="39"/>
      <c r="F28376" s="39"/>
    </row>
    <row r="28377">
      <c r="D28377" s="39"/>
      <c r="E28377" s="39"/>
      <c r="F28377" s="39"/>
    </row>
    <row r="28378">
      <c r="D28378" s="39"/>
      <c r="E28378" s="39"/>
      <c r="F28378" s="39"/>
    </row>
    <row r="28379">
      <c r="D28379" s="39"/>
      <c r="E28379" s="39"/>
      <c r="F28379" s="39"/>
    </row>
    <row r="28380">
      <c r="D28380" s="39"/>
      <c r="E28380" s="39"/>
      <c r="F28380" s="39"/>
    </row>
    <row r="28381">
      <c r="D28381" s="39"/>
      <c r="E28381" s="39"/>
      <c r="F28381" s="39"/>
    </row>
    <row r="28382">
      <c r="D28382" s="39"/>
      <c r="E28382" s="39"/>
      <c r="F28382" s="39"/>
    </row>
    <row r="28383">
      <c r="D28383" s="39"/>
      <c r="E28383" s="39"/>
      <c r="F28383" s="39"/>
    </row>
    <row r="28384">
      <c r="D28384" s="39"/>
      <c r="E28384" s="39"/>
      <c r="F28384" s="39"/>
    </row>
    <row r="28385">
      <c r="D28385" s="39"/>
      <c r="E28385" s="39"/>
      <c r="F28385" s="39"/>
    </row>
    <row r="28386">
      <c r="D28386" s="39"/>
      <c r="E28386" s="39"/>
      <c r="F28386" s="39"/>
    </row>
    <row r="28387">
      <c r="D28387" s="39"/>
      <c r="E28387" s="39"/>
      <c r="F28387" s="39"/>
    </row>
    <row r="28388">
      <c r="D28388" s="39"/>
      <c r="E28388" s="39"/>
      <c r="F28388" s="39"/>
    </row>
    <row r="28389">
      <c r="D28389" s="39"/>
      <c r="E28389" s="39"/>
      <c r="F28389" s="39"/>
    </row>
    <row r="28390">
      <c r="D28390" s="39"/>
      <c r="E28390" s="39"/>
      <c r="F28390" s="39"/>
    </row>
    <row r="28391">
      <c r="D28391" s="39"/>
      <c r="E28391" s="39"/>
      <c r="F28391" s="39"/>
    </row>
    <row r="28392">
      <c r="D28392" s="39"/>
      <c r="E28392" s="39"/>
      <c r="F28392" s="39"/>
    </row>
    <row r="28393">
      <c r="D28393" s="39"/>
      <c r="E28393" s="39"/>
      <c r="F28393" s="39"/>
    </row>
    <row r="28394">
      <c r="D28394" s="39"/>
      <c r="E28394" s="39"/>
      <c r="F28394" s="39"/>
    </row>
    <row r="28395">
      <c r="D28395" s="39"/>
      <c r="E28395" s="39"/>
      <c r="F28395" s="39"/>
    </row>
    <row r="28396">
      <c r="D28396" s="39"/>
      <c r="E28396" s="39"/>
      <c r="F28396" s="39"/>
    </row>
    <row r="28397">
      <c r="D28397" s="39"/>
      <c r="E28397" s="39"/>
      <c r="F28397" s="39"/>
    </row>
    <row r="28398">
      <c r="D28398" s="39"/>
      <c r="E28398" s="39"/>
      <c r="F28398" s="39"/>
    </row>
    <row r="28399">
      <c r="D28399" s="39"/>
      <c r="E28399" s="39"/>
      <c r="F28399" s="39"/>
    </row>
    <row r="28400">
      <c r="D28400" s="39"/>
      <c r="E28400" s="39"/>
      <c r="F28400" s="39"/>
    </row>
    <row r="28401">
      <c r="D28401" s="39"/>
      <c r="E28401" s="39"/>
      <c r="F28401" s="39"/>
    </row>
    <row r="28402">
      <c r="D28402" s="39"/>
      <c r="E28402" s="39"/>
      <c r="F28402" s="39"/>
    </row>
    <row r="28403">
      <c r="D28403" s="39"/>
      <c r="E28403" s="39"/>
      <c r="F28403" s="39"/>
    </row>
    <row r="28404">
      <c r="D28404" s="39"/>
      <c r="E28404" s="39"/>
      <c r="F28404" s="39"/>
    </row>
    <row r="28405">
      <c r="D28405" s="39"/>
      <c r="E28405" s="39"/>
      <c r="F28405" s="39"/>
    </row>
    <row r="28406">
      <c r="D28406" s="39"/>
      <c r="E28406" s="39"/>
      <c r="F28406" s="39"/>
    </row>
    <row r="28407">
      <c r="D28407" s="39"/>
      <c r="E28407" s="39"/>
      <c r="F28407" s="39"/>
    </row>
    <row r="28408">
      <c r="D28408" s="39"/>
      <c r="E28408" s="39"/>
      <c r="F28408" s="39"/>
    </row>
    <row r="28409">
      <c r="D28409" s="39"/>
      <c r="E28409" s="39"/>
      <c r="F28409" s="39"/>
    </row>
    <row r="28410">
      <c r="D28410" s="39"/>
      <c r="E28410" s="39"/>
      <c r="F28410" s="39"/>
    </row>
    <row r="28411">
      <c r="D28411" s="39"/>
      <c r="E28411" s="39"/>
      <c r="F28411" s="39"/>
    </row>
    <row r="28412">
      <c r="D28412" s="39"/>
      <c r="E28412" s="39"/>
      <c r="F28412" s="39"/>
    </row>
    <row r="28413">
      <c r="D28413" s="39"/>
      <c r="E28413" s="39"/>
      <c r="F28413" s="39"/>
    </row>
    <row r="28414">
      <c r="D28414" s="39"/>
      <c r="E28414" s="39"/>
      <c r="F28414" s="39"/>
    </row>
    <row r="28415">
      <c r="D28415" s="39"/>
      <c r="E28415" s="39"/>
      <c r="F28415" s="39"/>
    </row>
    <row r="28416">
      <c r="D28416" s="39"/>
      <c r="E28416" s="39"/>
      <c r="F28416" s="39"/>
    </row>
    <row r="28417">
      <c r="D28417" s="39"/>
      <c r="E28417" s="39"/>
      <c r="F28417" s="39"/>
    </row>
    <row r="28418">
      <c r="D28418" s="39"/>
      <c r="E28418" s="39"/>
      <c r="F28418" s="39"/>
    </row>
    <row r="28419">
      <c r="D28419" s="39"/>
      <c r="E28419" s="39"/>
      <c r="F28419" s="39"/>
    </row>
    <row r="28420">
      <c r="D28420" s="39"/>
      <c r="E28420" s="39"/>
      <c r="F28420" s="39"/>
    </row>
    <row r="28421">
      <c r="D28421" s="39"/>
      <c r="E28421" s="39"/>
      <c r="F28421" s="39"/>
    </row>
    <row r="28422">
      <c r="D28422" s="39"/>
      <c r="E28422" s="39"/>
      <c r="F28422" s="39"/>
    </row>
    <row r="28423">
      <c r="D28423" s="39"/>
      <c r="E28423" s="39"/>
      <c r="F28423" s="39"/>
    </row>
    <row r="28424">
      <c r="D28424" s="39"/>
      <c r="E28424" s="39"/>
      <c r="F28424" s="39"/>
    </row>
    <row r="28425">
      <c r="D28425" s="39"/>
      <c r="E28425" s="39"/>
      <c r="F28425" s="39"/>
    </row>
    <row r="28426">
      <c r="D28426" s="39"/>
      <c r="E28426" s="39"/>
      <c r="F28426" s="39"/>
    </row>
    <row r="28427">
      <c r="D28427" s="39"/>
      <c r="E28427" s="39"/>
      <c r="F28427" s="39"/>
    </row>
    <row r="28428">
      <c r="D28428" s="39"/>
      <c r="E28428" s="39"/>
      <c r="F28428" s="39"/>
    </row>
    <row r="28429">
      <c r="D28429" s="39"/>
      <c r="E28429" s="39"/>
      <c r="F28429" s="39"/>
    </row>
    <row r="28430">
      <c r="D28430" s="39"/>
      <c r="E28430" s="39"/>
      <c r="F28430" s="39"/>
    </row>
    <row r="28431">
      <c r="D28431" s="39"/>
      <c r="E28431" s="39"/>
      <c r="F28431" s="39"/>
    </row>
    <row r="28432">
      <c r="D28432" s="39"/>
      <c r="E28432" s="39"/>
      <c r="F28432" s="39"/>
    </row>
    <row r="28433">
      <c r="D28433" s="39"/>
      <c r="E28433" s="39"/>
      <c r="F28433" s="39"/>
    </row>
    <row r="28434">
      <c r="D28434" s="39"/>
      <c r="E28434" s="39"/>
      <c r="F28434" s="39"/>
    </row>
    <row r="28435">
      <c r="D28435" s="39"/>
      <c r="E28435" s="39"/>
      <c r="F28435" s="39"/>
    </row>
    <row r="28436">
      <c r="D28436" s="39"/>
      <c r="E28436" s="39"/>
      <c r="F28436" s="39"/>
    </row>
    <row r="28437">
      <c r="D28437" s="39"/>
      <c r="E28437" s="39"/>
      <c r="F28437" s="39"/>
    </row>
    <row r="28438">
      <c r="D28438" s="39"/>
      <c r="E28438" s="39"/>
      <c r="F28438" s="39"/>
    </row>
    <row r="28439">
      <c r="D28439" s="39"/>
      <c r="E28439" s="39"/>
      <c r="F28439" s="39"/>
    </row>
    <row r="28440">
      <c r="D28440" s="39"/>
      <c r="E28440" s="39"/>
      <c r="F28440" s="39"/>
    </row>
    <row r="28441">
      <c r="D28441" s="39"/>
      <c r="E28441" s="39"/>
      <c r="F28441" s="39"/>
    </row>
    <row r="28442">
      <c r="D28442" s="39"/>
      <c r="E28442" s="39"/>
      <c r="F28442" s="39"/>
    </row>
    <row r="28443">
      <c r="D28443" s="39"/>
      <c r="E28443" s="39"/>
      <c r="F28443" s="39"/>
    </row>
    <row r="28444">
      <c r="D28444" s="39"/>
      <c r="E28444" s="39"/>
      <c r="F28444" s="39"/>
    </row>
    <row r="28445">
      <c r="D28445" s="39"/>
      <c r="E28445" s="39"/>
      <c r="F28445" s="39"/>
    </row>
    <row r="28446">
      <c r="D28446" s="39"/>
      <c r="E28446" s="39"/>
      <c r="F28446" s="39"/>
    </row>
    <row r="28447">
      <c r="D28447" s="39"/>
      <c r="E28447" s="39"/>
      <c r="F28447" s="39"/>
    </row>
    <row r="28448">
      <c r="D28448" s="39"/>
      <c r="E28448" s="39"/>
      <c r="F28448" s="39"/>
    </row>
    <row r="28449">
      <c r="D28449" s="39"/>
      <c r="E28449" s="39"/>
      <c r="F28449" s="39"/>
    </row>
    <row r="28450">
      <c r="D28450" s="39"/>
      <c r="E28450" s="39"/>
      <c r="F28450" s="39"/>
    </row>
    <row r="28451">
      <c r="D28451" s="39"/>
      <c r="E28451" s="39"/>
      <c r="F28451" s="39"/>
    </row>
    <row r="28452">
      <c r="D28452" s="39"/>
      <c r="E28452" s="39"/>
      <c r="F28452" s="39"/>
    </row>
    <row r="28453">
      <c r="D28453" s="39"/>
      <c r="E28453" s="39"/>
      <c r="F28453" s="39"/>
    </row>
    <row r="28454">
      <c r="D28454" s="39"/>
      <c r="E28454" s="39"/>
      <c r="F28454" s="39"/>
    </row>
    <row r="28455">
      <c r="D28455" s="39"/>
      <c r="E28455" s="39"/>
      <c r="F28455" s="39"/>
    </row>
    <row r="28456">
      <c r="D28456" s="39"/>
      <c r="E28456" s="39"/>
      <c r="F28456" s="39"/>
    </row>
    <row r="28457">
      <c r="D28457" s="39"/>
      <c r="E28457" s="39"/>
      <c r="F28457" s="39"/>
    </row>
    <row r="28458">
      <c r="D28458" s="39"/>
      <c r="E28458" s="39"/>
      <c r="F28458" s="39"/>
    </row>
    <row r="28459">
      <c r="D28459" s="39"/>
      <c r="E28459" s="39"/>
      <c r="F28459" s="39"/>
    </row>
    <row r="28460">
      <c r="D28460" s="39"/>
      <c r="E28460" s="39"/>
      <c r="F28460" s="39"/>
    </row>
    <row r="28461">
      <c r="D28461" s="39"/>
      <c r="E28461" s="39"/>
      <c r="F28461" s="39"/>
    </row>
    <row r="28462">
      <c r="D28462" s="39"/>
      <c r="E28462" s="39"/>
      <c r="F28462" s="39"/>
    </row>
    <row r="28463">
      <c r="D28463" s="39"/>
      <c r="E28463" s="39"/>
      <c r="F28463" s="39"/>
    </row>
    <row r="28464">
      <c r="D28464" s="39"/>
      <c r="E28464" s="39"/>
      <c r="F28464" s="39"/>
    </row>
    <row r="28465">
      <c r="D28465" s="39"/>
      <c r="E28465" s="39"/>
      <c r="F28465" s="39"/>
    </row>
    <row r="28466">
      <c r="D28466" s="39"/>
      <c r="E28466" s="39"/>
      <c r="F28466" s="39"/>
    </row>
    <row r="28467">
      <c r="D28467" s="39"/>
      <c r="E28467" s="39"/>
      <c r="F28467" s="39"/>
    </row>
    <row r="28468">
      <c r="D28468" s="39"/>
      <c r="E28468" s="39"/>
      <c r="F28468" s="39"/>
    </row>
    <row r="28469">
      <c r="D28469" s="39"/>
      <c r="E28469" s="39"/>
      <c r="F28469" s="39"/>
    </row>
    <row r="28470">
      <c r="D28470" s="39"/>
      <c r="E28470" s="39"/>
      <c r="F28470" s="39"/>
    </row>
    <row r="28471">
      <c r="D28471" s="39"/>
      <c r="E28471" s="39"/>
      <c r="F28471" s="39"/>
    </row>
    <row r="28472">
      <c r="D28472" s="39"/>
      <c r="E28472" s="39"/>
      <c r="F28472" s="39"/>
    </row>
    <row r="28473">
      <c r="D28473" s="39"/>
      <c r="E28473" s="39"/>
      <c r="F28473" s="39"/>
    </row>
    <row r="28474">
      <c r="D28474" s="39"/>
      <c r="E28474" s="39"/>
      <c r="F28474" s="39"/>
    </row>
    <row r="28475">
      <c r="D28475" s="39"/>
      <c r="E28475" s="39"/>
      <c r="F28475" s="39"/>
    </row>
    <row r="28476">
      <c r="D28476" s="39"/>
      <c r="E28476" s="39"/>
      <c r="F28476" s="39"/>
    </row>
    <row r="28477">
      <c r="D28477" s="39"/>
      <c r="E28477" s="39"/>
      <c r="F28477" s="39"/>
    </row>
    <row r="28478">
      <c r="D28478" s="39"/>
      <c r="E28478" s="39"/>
      <c r="F28478" s="39"/>
    </row>
    <row r="28479">
      <c r="D28479" s="39"/>
      <c r="E28479" s="39"/>
      <c r="F28479" s="39"/>
    </row>
    <row r="28480">
      <c r="D28480" s="39"/>
      <c r="E28480" s="39"/>
      <c r="F28480" s="39"/>
    </row>
    <row r="28481">
      <c r="D28481" s="39"/>
      <c r="E28481" s="39"/>
      <c r="F28481" s="39"/>
    </row>
    <row r="28482">
      <c r="D28482" s="39"/>
      <c r="E28482" s="39"/>
      <c r="F28482" s="39"/>
    </row>
    <row r="28483">
      <c r="D28483" s="39"/>
      <c r="E28483" s="39"/>
      <c r="F28483" s="39"/>
    </row>
    <row r="28484">
      <c r="D28484" s="39"/>
      <c r="E28484" s="39"/>
      <c r="F28484" s="39"/>
    </row>
    <row r="28485">
      <c r="D28485" s="39"/>
      <c r="E28485" s="39"/>
      <c r="F28485" s="39"/>
    </row>
    <row r="28486">
      <c r="D28486" s="39"/>
      <c r="E28486" s="39"/>
      <c r="F28486" s="39"/>
    </row>
    <row r="28487">
      <c r="D28487" s="39"/>
      <c r="E28487" s="39"/>
      <c r="F28487" s="39"/>
    </row>
    <row r="28488">
      <c r="D28488" s="39"/>
      <c r="E28488" s="39"/>
      <c r="F28488" s="39"/>
    </row>
    <row r="28489">
      <c r="D28489" s="39"/>
      <c r="E28489" s="39"/>
      <c r="F28489" s="39"/>
    </row>
    <row r="28490">
      <c r="D28490" s="39"/>
      <c r="E28490" s="39"/>
      <c r="F28490" s="39"/>
    </row>
    <row r="28491">
      <c r="D28491" s="39"/>
      <c r="E28491" s="39"/>
      <c r="F28491" s="39"/>
    </row>
    <row r="28492">
      <c r="D28492" s="39"/>
      <c r="E28492" s="39"/>
      <c r="F28492" s="39"/>
    </row>
    <row r="28493">
      <c r="D28493" s="39"/>
      <c r="E28493" s="39"/>
      <c r="F28493" s="39"/>
    </row>
    <row r="28494">
      <c r="D28494" s="39"/>
      <c r="E28494" s="39"/>
      <c r="F28494" s="39"/>
    </row>
    <row r="28495">
      <c r="D28495" s="39"/>
      <c r="E28495" s="39"/>
      <c r="F28495" s="39"/>
    </row>
    <row r="28496">
      <c r="D28496" s="39"/>
      <c r="E28496" s="39"/>
      <c r="F28496" s="39"/>
    </row>
    <row r="28497">
      <c r="D28497" s="39"/>
      <c r="E28497" s="39"/>
      <c r="F28497" s="39"/>
    </row>
    <row r="28498">
      <c r="D28498" s="39"/>
      <c r="E28498" s="39"/>
      <c r="F28498" s="39"/>
    </row>
    <row r="28499">
      <c r="D28499" s="39"/>
      <c r="E28499" s="39"/>
      <c r="F28499" s="39"/>
    </row>
    <row r="28500">
      <c r="D28500" s="39"/>
      <c r="E28500" s="39"/>
      <c r="F28500" s="39"/>
    </row>
    <row r="28501">
      <c r="D28501" s="39"/>
      <c r="E28501" s="39"/>
      <c r="F28501" s="39"/>
    </row>
    <row r="28502">
      <c r="D28502" s="39"/>
      <c r="E28502" s="39"/>
      <c r="F28502" s="39"/>
    </row>
    <row r="28503">
      <c r="D28503" s="39"/>
      <c r="E28503" s="39"/>
      <c r="F28503" s="39"/>
    </row>
    <row r="28504">
      <c r="D28504" s="39"/>
      <c r="E28504" s="39"/>
      <c r="F28504" s="39"/>
    </row>
    <row r="28505">
      <c r="D28505" s="39"/>
      <c r="E28505" s="39"/>
      <c r="F28505" s="39"/>
    </row>
    <row r="28506">
      <c r="D28506" s="39"/>
      <c r="E28506" s="39"/>
      <c r="F28506" s="39"/>
    </row>
    <row r="28507">
      <c r="D28507" s="39"/>
      <c r="E28507" s="39"/>
      <c r="F28507" s="39"/>
    </row>
    <row r="28508">
      <c r="D28508" s="39"/>
      <c r="E28508" s="39"/>
      <c r="F28508" s="39"/>
    </row>
    <row r="28509">
      <c r="D28509" s="39"/>
      <c r="E28509" s="39"/>
      <c r="F28509" s="39"/>
    </row>
    <row r="28510">
      <c r="D28510" s="39"/>
      <c r="E28510" s="39"/>
      <c r="F28510" s="39"/>
    </row>
    <row r="28511">
      <c r="D28511" s="39"/>
      <c r="E28511" s="39"/>
      <c r="F28511" s="39"/>
    </row>
    <row r="28512">
      <c r="D28512" s="39"/>
      <c r="E28512" s="39"/>
      <c r="F28512" s="39"/>
    </row>
    <row r="28513">
      <c r="D28513" s="39"/>
      <c r="E28513" s="39"/>
      <c r="F28513" s="39"/>
    </row>
    <row r="28514">
      <c r="D28514" s="39"/>
      <c r="E28514" s="39"/>
      <c r="F28514" s="39"/>
    </row>
    <row r="28515">
      <c r="D28515" s="39"/>
      <c r="E28515" s="39"/>
      <c r="F28515" s="39"/>
    </row>
    <row r="28516">
      <c r="D28516" s="39"/>
      <c r="E28516" s="39"/>
      <c r="F28516" s="39"/>
    </row>
    <row r="28517">
      <c r="D28517" s="39"/>
      <c r="E28517" s="39"/>
      <c r="F28517" s="39"/>
    </row>
    <row r="28518">
      <c r="D28518" s="39"/>
      <c r="E28518" s="39"/>
      <c r="F28518" s="39"/>
    </row>
    <row r="28519">
      <c r="D28519" s="39"/>
      <c r="E28519" s="39"/>
      <c r="F28519" s="39"/>
    </row>
    <row r="28520">
      <c r="D28520" s="39"/>
      <c r="E28520" s="39"/>
      <c r="F28520" s="39"/>
    </row>
    <row r="28521">
      <c r="D28521" s="39"/>
      <c r="E28521" s="39"/>
      <c r="F28521" s="39"/>
    </row>
    <row r="28522">
      <c r="D28522" s="39"/>
      <c r="E28522" s="39"/>
      <c r="F28522" s="39"/>
    </row>
    <row r="28523">
      <c r="D28523" s="39"/>
      <c r="E28523" s="39"/>
      <c r="F28523" s="39"/>
    </row>
    <row r="28524">
      <c r="D28524" s="39"/>
      <c r="E28524" s="39"/>
      <c r="F28524" s="39"/>
    </row>
    <row r="28525">
      <c r="D28525" s="39"/>
      <c r="E28525" s="39"/>
      <c r="F28525" s="39"/>
    </row>
    <row r="28526">
      <c r="D28526" s="39"/>
      <c r="E28526" s="39"/>
      <c r="F28526" s="39"/>
    </row>
    <row r="28527">
      <c r="D28527" s="39"/>
      <c r="E28527" s="39"/>
      <c r="F28527" s="39"/>
    </row>
    <row r="28528">
      <c r="D28528" s="39"/>
      <c r="E28528" s="39"/>
      <c r="F28528" s="39"/>
    </row>
    <row r="28529">
      <c r="D28529" s="39"/>
      <c r="E28529" s="39"/>
      <c r="F28529" s="39"/>
    </row>
    <row r="28530">
      <c r="D28530" s="39"/>
      <c r="E28530" s="39"/>
      <c r="F28530" s="39"/>
    </row>
    <row r="28531">
      <c r="D28531" s="39"/>
      <c r="E28531" s="39"/>
      <c r="F28531" s="39"/>
    </row>
    <row r="28532">
      <c r="D28532" s="39"/>
      <c r="E28532" s="39"/>
      <c r="F28532" s="39"/>
    </row>
    <row r="28533">
      <c r="D28533" s="39"/>
      <c r="E28533" s="39"/>
      <c r="F28533" s="39"/>
    </row>
    <row r="28534">
      <c r="D28534" s="39"/>
      <c r="E28534" s="39"/>
      <c r="F28534" s="39"/>
    </row>
    <row r="28535">
      <c r="D28535" s="39"/>
      <c r="E28535" s="39"/>
      <c r="F28535" s="39"/>
    </row>
    <row r="28536">
      <c r="D28536" s="39"/>
      <c r="E28536" s="39"/>
      <c r="F28536" s="39"/>
    </row>
    <row r="28537">
      <c r="D28537" s="39"/>
      <c r="E28537" s="39"/>
      <c r="F28537" s="39"/>
    </row>
    <row r="28538">
      <c r="D28538" s="39"/>
      <c r="E28538" s="39"/>
      <c r="F28538" s="39"/>
    </row>
    <row r="28539">
      <c r="D28539" s="39"/>
      <c r="E28539" s="39"/>
      <c r="F28539" s="39"/>
    </row>
    <row r="28540">
      <c r="D28540" s="39"/>
      <c r="E28540" s="39"/>
      <c r="F28540" s="39"/>
    </row>
    <row r="28541">
      <c r="D28541" s="39"/>
      <c r="E28541" s="39"/>
      <c r="F28541" s="39"/>
    </row>
    <row r="28542">
      <c r="D28542" s="39"/>
      <c r="E28542" s="39"/>
      <c r="F28542" s="39"/>
    </row>
    <row r="28543">
      <c r="D28543" s="39"/>
      <c r="E28543" s="39"/>
      <c r="F28543" s="39"/>
    </row>
    <row r="28544">
      <c r="D28544" s="39"/>
      <c r="E28544" s="39"/>
      <c r="F28544" s="39"/>
    </row>
    <row r="28545">
      <c r="D28545" s="39"/>
      <c r="E28545" s="39"/>
      <c r="F28545" s="39"/>
    </row>
    <row r="28546">
      <c r="D28546" s="39"/>
      <c r="E28546" s="39"/>
      <c r="F28546" s="39"/>
    </row>
    <row r="28547">
      <c r="D28547" s="39"/>
      <c r="E28547" s="39"/>
      <c r="F28547" s="39"/>
    </row>
    <row r="28548">
      <c r="D28548" s="39"/>
      <c r="E28548" s="39"/>
      <c r="F28548" s="39"/>
    </row>
    <row r="28549">
      <c r="D28549" s="39"/>
      <c r="E28549" s="39"/>
      <c r="F28549" s="39"/>
    </row>
    <row r="28550">
      <c r="D28550" s="39"/>
      <c r="E28550" s="39"/>
      <c r="F28550" s="39"/>
    </row>
    <row r="28551">
      <c r="D28551" s="39"/>
      <c r="E28551" s="39"/>
      <c r="F28551" s="39"/>
    </row>
    <row r="28552">
      <c r="D28552" s="39"/>
      <c r="E28552" s="39"/>
      <c r="F28552" s="39"/>
    </row>
    <row r="28553">
      <c r="D28553" s="39"/>
      <c r="E28553" s="39"/>
      <c r="F28553" s="39"/>
    </row>
    <row r="28554">
      <c r="D28554" s="39"/>
      <c r="E28554" s="39"/>
      <c r="F28554" s="39"/>
    </row>
    <row r="28555">
      <c r="D28555" s="39"/>
      <c r="E28555" s="39"/>
      <c r="F28555" s="39"/>
    </row>
    <row r="28556">
      <c r="D28556" s="39"/>
      <c r="E28556" s="39"/>
      <c r="F28556" s="39"/>
    </row>
    <row r="28557">
      <c r="D28557" s="39"/>
      <c r="E28557" s="39"/>
      <c r="F28557" s="39"/>
    </row>
    <row r="28558">
      <c r="D28558" s="39"/>
      <c r="E28558" s="39"/>
      <c r="F28558" s="39"/>
    </row>
    <row r="28559">
      <c r="D28559" s="39"/>
      <c r="E28559" s="39"/>
      <c r="F28559" s="39"/>
    </row>
    <row r="28560">
      <c r="D28560" s="39"/>
      <c r="E28560" s="39"/>
      <c r="F28560" s="39"/>
    </row>
    <row r="28561">
      <c r="D28561" s="39"/>
      <c r="E28561" s="39"/>
      <c r="F28561" s="39"/>
    </row>
    <row r="28562">
      <c r="D28562" s="39"/>
      <c r="E28562" s="39"/>
      <c r="F28562" s="39"/>
    </row>
    <row r="28563">
      <c r="D28563" s="39"/>
      <c r="E28563" s="39"/>
      <c r="F28563" s="39"/>
    </row>
    <row r="28564">
      <c r="D28564" s="39"/>
      <c r="E28564" s="39"/>
      <c r="F28564" s="39"/>
    </row>
    <row r="28565">
      <c r="D28565" s="39"/>
      <c r="E28565" s="39"/>
      <c r="F28565" s="39"/>
    </row>
    <row r="28566">
      <c r="D28566" s="39"/>
      <c r="E28566" s="39"/>
      <c r="F28566" s="39"/>
    </row>
    <row r="28567">
      <c r="D28567" s="39"/>
      <c r="E28567" s="39"/>
      <c r="F28567" s="39"/>
    </row>
    <row r="28568">
      <c r="D28568" s="39"/>
      <c r="E28568" s="39"/>
      <c r="F28568" s="39"/>
    </row>
    <row r="28569">
      <c r="D28569" s="39"/>
      <c r="E28569" s="39"/>
      <c r="F28569" s="39"/>
    </row>
    <row r="28570">
      <c r="D28570" s="39"/>
      <c r="E28570" s="39"/>
      <c r="F28570" s="39"/>
    </row>
    <row r="28571">
      <c r="D28571" s="39"/>
      <c r="E28571" s="39"/>
      <c r="F28571" s="39"/>
    </row>
    <row r="28572">
      <c r="D28572" s="39"/>
      <c r="E28572" s="39"/>
      <c r="F28572" s="39"/>
    </row>
    <row r="28573">
      <c r="D28573" s="39"/>
      <c r="E28573" s="39"/>
      <c r="F28573" s="39"/>
    </row>
    <row r="28574">
      <c r="D28574" s="39"/>
      <c r="E28574" s="39"/>
      <c r="F28574" s="39"/>
    </row>
    <row r="28575">
      <c r="D28575" s="39"/>
      <c r="E28575" s="39"/>
      <c r="F28575" s="39"/>
    </row>
    <row r="28576">
      <c r="D28576" s="39"/>
      <c r="E28576" s="39"/>
      <c r="F28576" s="39"/>
    </row>
    <row r="28577">
      <c r="D28577" s="39"/>
      <c r="E28577" s="39"/>
      <c r="F28577" s="39"/>
    </row>
    <row r="28578">
      <c r="D28578" s="39"/>
      <c r="E28578" s="39"/>
      <c r="F28578" s="39"/>
    </row>
    <row r="28579">
      <c r="D28579" s="39"/>
      <c r="E28579" s="39"/>
      <c r="F28579" s="39"/>
    </row>
    <row r="28580">
      <c r="D28580" s="39"/>
      <c r="E28580" s="39"/>
      <c r="F28580" s="39"/>
    </row>
    <row r="28581">
      <c r="D28581" s="39"/>
      <c r="E28581" s="39"/>
      <c r="F28581" s="39"/>
    </row>
    <row r="28582">
      <c r="D28582" s="39"/>
      <c r="E28582" s="39"/>
      <c r="F28582" s="39"/>
    </row>
    <row r="28583">
      <c r="D28583" s="39"/>
      <c r="E28583" s="39"/>
      <c r="F28583" s="39"/>
    </row>
    <row r="28584">
      <c r="D28584" s="39"/>
      <c r="E28584" s="39"/>
      <c r="F28584" s="39"/>
    </row>
    <row r="28585">
      <c r="D28585" s="39"/>
      <c r="E28585" s="39"/>
      <c r="F28585" s="39"/>
    </row>
    <row r="28586">
      <c r="D28586" s="39"/>
      <c r="E28586" s="39"/>
      <c r="F28586" s="39"/>
    </row>
    <row r="28587">
      <c r="D28587" s="39"/>
      <c r="E28587" s="39"/>
      <c r="F28587" s="39"/>
    </row>
    <row r="28588">
      <c r="D28588" s="39"/>
      <c r="E28588" s="39"/>
      <c r="F28588" s="39"/>
    </row>
    <row r="28589">
      <c r="D28589" s="39"/>
      <c r="E28589" s="39"/>
      <c r="F28589" s="39"/>
    </row>
    <row r="28590">
      <c r="D28590" s="39"/>
      <c r="E28590" s="39"/>
      <c r="F28590" s="39"/>
    </row>
    <row r="28591">
      <c r="D28591" s="39"/>
      <c r="E28591" s="39"/>
      <c r="F28591" s="39"/>
    </row>
    <row r="28592">
      <c r="D28592" s="39"/>
      <c r="E28592" s="39"/>
      <c r="F28592" s="39"/>
    </row>
    <row r="28593">
      <c r="D28593" s="39"/>
      <c r="E28593" s="39"/>
      <c r="F28593" s="39"/>
    </row>
    <row r="28594">
      <c r="D28594" s="39"/>
      <c r="E28594" s="39"/>
      <c r="F28594" s="39"/>
    </row>
    <row r="28595">
      <c r="D28595" s="39"/>
      <c r="E28595" s="39"/>
      <c r="F28595" s="39"/>
    </row>
    <row r="28596">
      <c r="D28596" s="39"/>
      <c r="E28596" s="39"/>
      <c r="F28596" s="39"/>
    </row>
    <row r="28597">
      <c r="D28597" s="39"/>
      <c r="E28597" s="39"/>
      <c r="F28597" s="39"/>
    </row>
    <row r="28598">
      <c r="D28598" s="39"/>
      <c r="E28598" s="39"/>
      <c r="F28598" s="39"/>
    </row>
    <row r="28599">
      <c r="D28599" s="39"/>
      <c r="E28599" s="39"/>
      <c r="F28599" s="39"/>
    </row>
    <row r="28600">
      <c r="D28600" s="39"/>
      <c r="E28600" s="39"/>
      <c r="F28600" s="39"/>
    </row>
    <row r="28601">
      <c r="D28601" s="39"/>
      <c r="E28601" s="39"/>
      <c r="F28601" s="39"/>
    </row>
    <row r="28602">
      <c r="D28602" s="39"/>
      <c r="E28602" s="39"/>
      <c r="F28602" s="39"/>
    </row>
    <row r="28603">
      <c r="D28603" s="39"/>
      <c r="E28603" s="39"/>
      <c r="F28603" s="39"/>
    </row>
    <row r="28604">
      <c r="D28604" s="39"/>
      <c r="E28604" s="39"/>
      <c r="F28604" s="39"/>
    </row>
    <row r="28605">
      <c r="D28605" s="39"/>
      <c r="E28605" s="39"/>
      <c r="F28605" s="39"/>
    </row>
    <row r="28606">
      <c r="D28606" s="39"/>
      <c r="E28606" s="39"/>
      <c r="F28606" s="39"/>
    </row>
    <row r="28607">
      <c r="D28607" s="39"/>
      <c r="E28607" s="39"/>
      <c r="F28607" s="39"/>
    </row>
    <row r="28608">
      <c r="D28608" s="39"/>
      <c r="E28608" s="39"/>
      <c r="F28608" s="39"/>
    </row>
    <row r="28609">
      <c r="D28609" s="39"/>
      <c r="E28609" s="39"/>
      <c r="F28609" s="39"/>
    </row>
    <row r="28610">
      <c r="D28610" s="39"/>
      <c r="E28610" s="39"/>
      <c r="F28610" s="39"/>
    </row>
    <row r="28611">
      <c r="D28611" s="39"/>
      <c r="E28611" s="39"/>
      <c r="F28611" s="39"/>
    </row>
    <row r="28612">
      <c r="D28612" s="39"/>
      <c r="E28612" s="39"/>
      <c r="F28612" s="39"/>
    </row>
    <row r="28613">
      <c r="D28613" s="39"/>
      <c r="E28613" s="39"/>
      <c r="F28613" s="39"/>
    </row>
    <row r="28614">
      <c r="D28614" s="39"/>
      <c r="E28614" s="39"/>
      <c r="F28614" s="39"/>
    </row>
    <row r="28615">
      <c r="D28615" s="39"/>
      <c r="E28615" s="39"/>
      <c r="F28615" s="39"/>
    </row>
    <row r="28616">
      <c r="D28616" s="39"/>
      <c r="E28616" s="39"/>
      <c r="F28616" s="39"/>
    </row>
    <row r="28617">
      <c r="D28617" s="39"/>
      <c r="E28617" s="39"/>
      <c r="F28617" s="39"/>
    </row>
    <row r="28618">
      <c r="D28618" s="39"/>
      <c r="E28618" s="39"/>
      <c r="F28618" s="39"/>
    </row>
    <row r="28619">
      <c r="D28619" s="39"/>
      <c r="E28619" s="39"/>
      <c r="F28619" s="39"/>
    </row>
    <row r="28620">
      <c r="D28620" s="39"/>
      <c r="E28620" s="39"/>
      <c r="F28620" s="39"/>
    </row>
    <row r="28621">
      <c r="D28621" s="39"/>
      <c r="E28621" s="39"/>
      <c r="F28621" s="39"/>
    </row>
    <row r="28622">
      <c r="D28622" s="39"/>
      <c r="E28622" s="39"/>
      <c r="F28622" s="39"/>
    </row>
    <row r="28623">
      <c r="D28623" s="39"/>
      <c r="E28623" s="39"/>
      <c r="F28623" s="39"/>
    </row>
    <row r="28624">
      <c r="D28624" s="39"/>
      <c r="E28624" s="39"/>
      <c r="F28624" s="39"/>
    </row>
    <row r="28625">
      <c r="D28625" s="39"/>
      <c r="E28625" s="39"/>
      <c r="F28625" s="39"/>
    </row>
    <row r="28626">
      <c r="D28626" s="39"/>
      <c r="E28626" s="39"/>
      <c r="F28626" s="39"/>
    </row>
    <row r="28627">
      <c r="D28627" s="39"/>
      <c r="E28627" s="39"/>
      <c r="F28627" s="39"/>
    </row>
    <row r="28628">
      <c r="D28628" s="39"/>
      <c r="E28628" s="39"/>
      <c r="F28628" s="39"/>
    </row>
    <row r="28629">
      <c r="D28629" s="39"/>
      <c r="E28629" s="39"/>
      <c r="F28629" s="39"/>
    </row>
    <row r="28630">
      <c r="D28630" s="39"/>
      <c r="E28630" s="39"/>
      <c r="F28630" s="39"/>
    </row>
    <row r="28631">
      <c r="D28631" s="39"/>
      <c r="E28631" s="39"/>
      <c r="F28631" s="39"/>
    </row>
    <row r="28632">
      <c r="D28632" s="39"/>
      <c r="E28632" s="39"/>
      <c r="F28632" s="39"/>
    </row>
    <row r="28633">
      <c r="D28633" s="39"/>
      <c r="E28633" s="39"/>
      <c r="F28633" s="39"/>
    </row>
    <row r="28634">
      <c r="D28634" s="39"/>
      <c r="E28634" s="39"/>
      <c r="F28634" s="39"/>
    </row>
    <row r="28635">
      <c r="D28635" s="39"/>
      <c r="E28635" s="39"/>
      <c r="F28635" s="39"/>
    </row>
    <row r="28636">
      <c r="D28636" s="39"/>
      <c r="E28636" s="39"/>
      <c r="F28636" s="39"/>
    </row>
    <row r="28637">
      <c r="D28637" s="39"/>
      <c r="E28637" s="39"/>
      <c r="F28637" s="39"/>
    </row>
    <row r="28638">
      <c r="D28638" s="39"/>
      <c r="E28638" s="39"/>
      <c r="F28638" s="39"/>
    </row>
    <row r="28639">
      <c r="D28639" s="39"/>
      <c r="E28639" s="39"/>
      <c r="F28639" s="39"/>
    </row>
    <row r="28640">
      <c r="D28640" s="39"/>
      <c r="E28640" s="39"/>
      <c r="F28640" s="39"/>
    </row>
    <row r="28641">
      <c r="D28641" s="39"/>
      <c r="E28641" s="39"/>
      <c r="F28641" s="39"/>
    </row>
    <row r="28642">
      <c r="D28642" s="39"/>
      <c r="E28642" s="39"/>
      <c r="F28642" s="39"/>
    </row>
    <row r="28643">
      <c r="D28643" s="39"/>
      <c r="E28643" s="39"/>
      <c r="F28643" s="39"/>
    </row>
    <row r="28644">
      <c r="D28644" s="39"/>
      <c r="E28644" s="39"/>
      <c r="F28644" s="39"/>
    </row>
    <row r="28645">
      <c r="D28645" s="39"/>
      <c r="E28645" s="39"/>
      <c r="F28645" s="39"/>
    </row>
    <row r="28646">
      <c r="D28646" s="39"/>
      <c r="E28646" s="39"/>
      <c r="F28646" s="39"/>
    </row>
    <row r="28647">
      <c r="D28647" s="39"/>
      <c r="E28647" s="39"/>
      <c r="F28647" s="39"/>
    </row>
    <row r="28648">
      <c r="D28648" s="39"/>
      <c r="E28648" s="39"/>
      <c r="F28648" s="39"/>
    </row>
    <row r="28649">
      <c r="D28649" s="39"/>
      <c r="E28649" s="39"/>
      <c r="F28649" s="39"/>
    </row>
    <row r="28650">
      <c r="D28650" s="39"/>
      <c r="E28650" s="39"/>
      <c r="F28650" s="39"/>
    </row>
    <row r="28651">
      <c r="D28651" s="39"/>
      <c r="E28651" s="39"/>
      <c r="F28651" s="39"/>
    </row>
    <row r="28652">
      <c r="D28652" s="39"/>
      <c r="E28652" s="39"/>
      <c r="F28652" s="39"/>
    </row>
    <row r="28653">
      <c r="D28653" s="39"/>
      <c r="E28653" s="39"/>
      <c r="F28653" s="39"/>
    </row>
    <row r="28654">
      <c r="D28654" s="39"/>
      <c r="E28654" s="39"/>
      <c r="F28654" s="39"/>
    </row>
    <row r="28655">
      <c r="D28655" s="39"/>
      <c r="E28655" s="39"/>
      <c r="F28655" s="39"/>
    </row>
    <row r="28656">
      <c r="D28656" s="39"/>
      <c r="E28656" s="39"/>
      <c r="F28656" s="39"/>
    </row>
    <row r="28657">
      <c r="D28657" s="39"/>
      <c r="E28657" s="39"/>
      <c r="F28657" s="39"/>
    </row>
    <row r="28658">
      <c r="D28658" s="39"/>
      <c r="E28658" s="39"/>
      <c r="F28658" s="39"/>
    </row>
    <row r="28659">
      <c r="D28659" s="39"/>
      <c r="E28659" s="39"/>
      <c r="F28659" s="39"/>
    </row>
    <row r="28660">
      <c r="D28660" s="39"/>
      <c r="E28660" s="39"/>
      <c r="F28660" s="39"/>
    </row>
    <row r="28661">
      <c r="D28661" s="39"/>
      <c r="E28661" s="39"/>
      <c r="F28661" s="39"/>
    </row>
    <row r="28662">
      <c r="D28662" s="39"/>
      <c r="E28662" s="39"/>
      <c r="F28662" s="39"/>
    </row>
    <row r="28663">
      <c r="D28663" s="39"/>
      <c r="E28663" s="39"/>
      <c r="F28663" s="39"/>
    </row>
    <row r="28664">
      <c r="D28664" s="39"/>
      <c r="E28664" s="39"/>
      <c r="F28664" s="39"/>
    </row>
    <row r="28665">
      <c r="D28665" s="39"/>
      <c r="E28665" s="39"/>
      <c r="F28665" s="39"/>
    </row>
    <row r="28666">
      <c r="D28666" s="39"/>
      <c r="E28666" s="39"/>
      <c r="F28666" s="39"/>
    </row>
    <row r="28667">
      <c r="D28667" s="39"/>
      <c r="E28667" s="39"/>
      <c r="F28667" s="39"/>
    </row>
    <row r="28668">
      <c r="D28668" s="39"/>
      <c r="E28668" s="39"/>
      <c r="F28668" s="39"/>
    </row>
    <row r="28669">
      <c r="D28669" s="39"/>
      <c r="E28669" s="39"/>
      <c r="F28669" s="39"/>
    </row>
    <row r="28670">
      <c r="D28670" s="39"/>
      <c r="E28670" s="39"/>
      <c r="F28670" s="39"/>
    </row>
    <row r="28671">
      <c r="D28671" s="39"/>
      <c r="E28671" s="39"/>
      <c r="F28671" s="39"/>
    </row>
    <row r="28672">
      <c r="D28672" s="39"/>
      <c r="E28672" s="39"/>
      <c r="F28672" s="39"/>
    </row>
    <row r="28673">
      <c r="D28673" s="39"/>
      <c r="E28673" s="39"/>
      <c r="F28673" s="39"/>
    </row>
    <row r="28674">
      <c r="D28674" s="39"/>
      <c r="E28674" s="39"/>
      <c r="F28674" s="39"/>
    </row>
    <row r="28675">
      <c r="D28675" s="39"/>
      <c r="E28675" s="39"/>
      <c r="F28675" s="39"/>
    </row>
    <row r="28676">
      <c r="D28676" s="39"/>
      <c r="E28676" s="39"/>
      <c r="F28676" s="39"/>
    </row>
    <row r="28677">
      <c r="D28677" s="39"/>
      <c r="E28677" s="39"/>
      <c r="F28677" s="39"/>
    </row>
    <row r="28678">
      <c r="D28678" s="39"/>
      <c r="E28678" s="39"/>
      <c r="F28678" s="39"/>
    </row>
    <row r="28679">
      <c r="D28679" s="39"/>
      <c r="E28679" s="39"/>
      <c r="F28679" s="39"/>
    </row>
    <row r="28680">
      <c r="D28680" s="39"/>
      <c r="E28680" s="39"/>
      <c r="F28680" s="39"/>
    </row>
    <row r="28681">
      <c r="D28681" s="39"/>
      <c r="E28681" s="39"/>
      <c r="F28681" s="39"/>
    </row>
    <row r="28682">
      <c r="D28682" s="39"/>
      <c r="E28682" s="39"/>
      <c r="F28682" s="39"/>
    </row>
    <row r="28683">
      <c r="D28683" s="39"/>
      <c r="E28683" s="39"/>
      <c r="F28683" s="39"/>
    </row>
    <row r="28684">
      <c r="D28684" s="39"/>
      <c r="E28684" s="39"/>
      <c r="F28684" s="39"/>
    </row>
    <row r="28685">
      <c r="D28685" s="39"/>
      <c r="E28685" s="39"/>
      <c r="F28685" s="39"/>
    </row>
    <row r="28686">
      <c r="D28686" s="39"/>
      <c r="E28686" s="39"/>
      <c r="F28686" s="39"/>
    </row>
    <row r="28687">
      <c r="D28687" s="39"/>
      <c r="E28687" s="39"/>
      <c r="F28687" s="39"/>
    </row>
    <row r="28688">
      <c r="D28688" s="39"/>
      <c r="E28688" s="39"/>
      <c r="F28688" s="39"/>
    </row>
    <row r="28689">
      <c r="D28689" s="39"/>
      <c r="E28689" s="39"/>
      <c r="F28689" s="39"/>
    </row>
    <row r="28690">
      <c r="D28690" s="39"/>
      <c r="E28690" s="39"/>
      <c r="F28690" s="39"/>
    </row>
    <row r="28691">
      <c r="D28691" s="39"/>
      <c r="E28691" s="39"/>
      <c r="F28691" s="39"/>
    </row>
    <row r="28692">
      <c r="D28692" s="39"/>
      <c r="E28692" s="39"/>
      <c r="F28692" s="39"/>
    </row>
    <row r="28693">
      <c r="D28693" s="39"/>
      <c r="E28693" s="39"/>
      <c r="F28693" s="39"/>
    </row>
    <row r="28694">
      <c r="D28694" s="39"/>
      <c r="E28694" s="39"/>
      <c r="F28694" s="39"/>
    </row>
    <row r="28695">
      <c r="D28695" s="39"/>
      <c r="E28695" s="39"/>
      <c r="F28695" s="39"/>
    </row>
    <row r="28696">
      <c r="D28696" s="39"/>
      <c r="E28696" s="39"/>
      <c r="F28696" s="39"/>
    </row>
    <row r="28697">
      <c r="D28697" s="39"/>
      <c r="E28697" s="39"/>
      <c r="F28697" s="39"/>
    </row>
    <row r="28698">
      <c r="D28698" s="39"/>
      <c r="E28698" s="39"/>
      <c r="F28698" s="39"/>
    </row>
    <row r="28699">
      <c r="D28699" s="39"/>
      <c r="E28699" s="39"/>
      <c r="F28699" s="39"/>
    </row>
    <row r="28700">
      <c r="D28700" s="39"/>
      <c r="E28700" s="39"/>
      <c r="F28700" s="39"/>
    </row>
    <row r="28701">
      <c r="D28701" s="39"/>
      <c r="E28701" s="39"/>
      <c r="F28701" s="39"/>
    </row>
    <row r="28702">
      <c r="D28702" s="39"/>
      <c r="E28702" s="39"/>
      <c r="F28702" s="39"/>
    </row>
    <row r="28703">
      <c r="D28703" s="39"/>
      <c r="E28703" s="39"/>
      <c r="F28703" s="39"/>
    </row>
    <row r="28704">
      <c r="D28704" s="39"/>
      <c r="E28704" s="39"/>
      <c r="F28704" s="39"/>
    </row>
    <row r="28705">
      <c r="D28705" s="39"/>
      <c r="E28705" s="39"/>
      <c r="F28705" s="39"/>
    </row>
    <row r="28706">
      <c r="D28706" s="39"/>
      <c r="E28706" s="39"/>
      <c r="F28706" s="39"/>
    </row>
    <row r="28707">
      <c r="D28707" s="39"/>
      <c r="E28707" s="39"/>
      <c r="F28707" s="39"/>
    </row>
    <row r="28708">
      <c r="D28708" s="39"/>
      <c r="E28708" s="39"/>
      <c r="F28708" s="39"/>
    </row>
    <row r="28709">
      <c r="D28709" s="39"/>
      <c r="E28709" s="39"/>
      <c r="F28709" s="39"/>
    </row>
    <row r="28710">
      <c r="D28710" s="39"/>
      <c r="E28710" s="39"/>
      <c r="F28710" s="39"/>
    </row>
    <row r="28711">
      <c r="D28711" s="39"/>
      <c r="E28711" s="39"/>
      <c r="F28711" s="39"/>
    </row>
    <row r="28712">
      <c r="D28712" s="39"/>
      <c r="E28712" s="39"/>
      <c r="F28712" s="39"/>
    </row>
    <row r="28713">
      <c r="D28713" s="39"/>
      <c r="E28713" s="39"/>
      <c r="F28713" s="39"/>
    </row>
    <row r="28714">
      <c r="D28714" s="39"/>
      <c r="E28714" s="39"/>
      <c r="F28714" s="39"/>
    </row>
    <row r="28715">
      <c r="D28715" s="39"/>
      <c r="E28715" s="39"/>
      <c r="F28715" s="39"/>
    </row>
    <row r="28716">
      <c r="D28716" s="39"/>
      <c r="E28716" s="39"/>
      <c r="F28716" s="39"/>
    </row>
    <row r="28717">
      <c r="D28717" s="39"/>
      <c r="E28717" s="39"/>
      <c r="F28717" s="39"/>
    </row>
    <row r="28718">
      <c r="D28718" s="39"/>
      <c r="E28718" s="39"/>
      <c r="F28718" s="39"/>
    </row>
    <row r="28719">
      <c r="D28719" s="39"/>
      <c r="E28719" s="39"/>
      <c r="F28719" s="39"/>
    </row>
    <row r="28720">
      <c r="D28720" s="39"/>
      <c r="E28720" s="39"/>
      <c r="F28720" s="39"/>
    </row>
    <row r="28721">
      <c r="D28721" s="39"/>
      <c r="E28721" s="39"/>
      <c r="F28721" s="39"/>
    </row>
    <row r="28722">
      <c r="D28722" s="39"/>
      <c r="E28722" s="39"/>
      <c r="F28722" s="39"/>
    </row>
    <row r="28723">
      <c r="D28723" s="39"/>
      <c r="E28723" s="39"/>
      <c r="F28723" s="39"/>
    </row>
    <row r="28724">
      <c r="D28724" s="39"/>
      <c r="E28724" s="39"/>
      <c r="F28724" s="39"/>
    </row>
    <row r="28725">
      <c r="D28725" s="39"/>
      <c r="E28725" s="39"/>
      <c r="F28725" s="39"/>
    </row>
    <row r="28726">
      <c r="D28726" s="39"/>
      <c r="E28726" s="39"/>
      <c r="F28726" s="39"/>
    </row>
    <row r="28727">
      <c r="D28727" s="39"/>
      <c r="E28727" s="39"/>
      <c r="F28727" s="39"/>
    </row>
    <row r="28728">
      <c r="D28728" s="39"/>
      <c r="E28728" s="39"/>
      <c r="F28728" s="39"/>
    </row>
    <row r="28729">
      <c r="D28729" s="39"/>
      <c r="E28729" s="39"/>
      <c r="F28729" s="39"/>
    </row>
    <row r="28730">
      <c r="D28730" s="39"/>
      <c r="E28730" s="39"/>
      <c r="F28730" s="39"/>
    </row>
    <row r="28731">
      <c r="D28731" s="39"/>
      <c r="E28731" s="39"/>
      <c r="F28731" s="39"/>
    </row>
    <row r="28732">
      <c r="D28732" s="39"/>
      <c r="E28732" s="39"/>
      <c r="F28732" s="39"/>
    </row>
    <row r="28733">
      <c r="D28733" s="39"/>
      <c r="E28733" s="39"/>
      <c r="F28733" s="39"/>
    </row>
    <row r="28734">
      <c r="D28734" s="39"/>
      <c r="E28734" s="39"/>
      <c r="F28734" s="39"/>
    </row>
    <row r="28735">
      <c r="D28735" s="39"/>
      <c r="E28735" s="39"/>
      <c r="F28735" s="39"/>
    </row>
    <row r="28736">
      <c r="D28736" s="39"/>
      <c r="E28736" s="39"/>
      <c r="F28736" s="39"/>
    </row>
    <row r="28737">
      <c r="D28737" s="39"/>
      <c r="E28737" s="39"/>
      <c r="F28737" s="39"/>
    </row>
    <row r="28738">
      <c r="D28738" s="39"/>
      <c r="E28738" s="39"/>
      <c r="F28738" s="39"/>
    </row>
    <row r="28739">
      <c r="D28739" s="39"/>
      <c r="E28739" s="39"/>
      <c r="F28739" s="39"/>
    </row>
    <row r="28740">
      <c r="D28740" s="39"/>
      <c r="E28740" s="39"/>
      <c r="F28740" s="39"/>
    </row>
    <row r="28741">
      <c r="D28741" s="39"/>
      <c r="E28741" s="39"/>
      <c r="F28741" s="39"/>
    </row>
    <row r="28742">
      <c r="D28742" s="39"/>
      <c r="E28742" s="39"/>
      <c r="F28742" s="39"/>
    </row>
    <row r="28743">
      <c r="D28743" s="39"/>
      <c r="E28743" s="39"/>
      <c r="F28743" s="39"/>
    </row>
    <row r="28744">
      <c r="D28744" s="39"/>
      <c r="E28744" s="39"/>
      <c r="F28744" s="39"/>
    </row>
    <row r="28745">
      <c r="D28745" s="39"/>
      <c r="E28745" s="39"/>
      <c r="F28745" s="39"/>
    </row>
    <row r="28746">
      <c r="D28746" s="39"/>
      <c r="E28746" s="39"/>
      <c r="F28746" s="39"/>
    </row>
    <row r="28747">
      <c r="D28747" s="39"/>
      <c r="E28747" s="39"/>
      <c r="F28747" s="39"/>
    </row>
    <row r="28748">
      <c r="D28748" s="39"/>
      <c r="E28748" s="39"/>
      <c r="F28748" s="39"/>
    </row>
    <row r="28749">
      <c r="D28749" s="39"/>
      <c r="E28749" s="39"/>
      <c r="F28749" s="39"/>
    </row>
    <row r="28750">
      <c r="D28750" s="39"/>
      <c r="E28750" s="39"/>
      <c r="F28750" s="39"/>
    </row>
    <row r="28751">
      <c r="D28751" s="39"/>
      <c r="E28751" s="39"/>
      <c r="F28751" s="39"/>
    </row>
    <row r="28752">
      <c r="D28752" s="39"/>
      <c r="E28752" s="39"/>
      <c r="F28752" s="39"/>
    </row>
    <row r="28753">
      <c r="D28753" s="39"/>
      <c r="E28753" s="39"/>
      <c r="F28753" s="39"/>
    </row>
    <row r="28754">
      <c r="D28754" s="39"/>
      <c r="E28754" s="39"/>
      <c r="F28754" s="39"/>
    </row>
    <row r="28755">
      <c r="D28755" s="39"/>
      <c r="E28755" s="39"/>
      <c r="F28755" s="39"/>
    </row>
    <row r="28756">
      <c r="D28756" s="39"/>
      <c r="E28756" s="39"/>
      <c r="F28756" s="39"/>
    </row>
    <row r="28757">
      <c r="D28757" s="39"/>
      <c r="E28757" s="39"/>
      <c r="F28757" s="39"/>
    </row>
    <row r="28758">
      <c r="D28758" s="39"/>
      <c r="E28758" s="39"/>
      <c r="F28758" s="39"/>
    </row>
    <row r="28759">
      <c r="D28759" s="39"/>
      <c r="E28759" s="39"/>
      <c r="F28759" s="39"/>
    </row>
    <row r="28760">
      <c r="D28760" s="39"/>
      <c r="E28760" s="39"/>
      <c r="F28760" s="39"/>
    </row>
    <row r="28761">
      <c r="D28761" s="39"/>
      <c r="E28761" s="39"/>
      <c r="F28761" s="39"/>
    </row>
    <row r="28762">
      <c r="D28762" s="39"/>
      <c r="E28762" s="39"/>
      <c r="F28762" s="39"/>
    </row>
    <row r="28763">
      <c r="D28763" s="39"/>
      <c r="E28763" s="39"/>
      <c r="F28763" s="39"/>
    </row>
    <row r="28764">
      <c r="D28764" s="39"/>
      <c r="E28764" s="39"/>
      <c r="F28764" s="39"/>
    </row>
    <row r="28765">
      <c r="D28765" s="39"/>
      <c r="E28765" s="39"/>
      <c r="F28765" s="39"/>
    </row>
    <row r="28766">
      <c r="D28766" s="39"/>
      <c r="E28766" s="39"/>
      <c r="F28766" s="39"/>
    </row>
    <row r="28767">
      <c r="D28767" s="39"/>
      <c r="E28767" s="39"/>
      <c r="F28767" s="39"/>
    </row>
    <row r="28768">
      <c r="D28768" s="39"/>
      <c r="E28768" s="39"/>
      <c r="F28768" s="39"/>
    </row>
    <row r="28769">
      <c r="D28769" s="39"/>
      <c r="E28769" s="39"/>
      <c r="F28769" s="39"/>
    </row>
    <row r="28770">
      <c r="D28770" s="39"/>
      <c r="E28770" s="39"/>
      <c r="F28770" s="39"/>
    </row>
    <row r="28771">
      <c r="D28771" s="39"/>
      <c r="E28771" s="39"/>
      <c r="F28771" s="39"/>
    </row>
    <row r="28772">
      <c r="D28772" s="39"/>
      <c r="E28772" s="39"/>
      <c r="F28772" s="39"/>
    </row>
    <row r="28773">
      <c r="D28773" s="39"/>
      <c r="E28773" s="39"/>
      <c r="F28773" s="39"/>
    </row>
    <row r="28774">
      <c r="D28774" s="39"/>
      <c r="E28774" s="39"/>
      <c r="F28774" s="39"/>
    </row>
    <row r="28775">
      <c r="D28775" s="39"/>
      <c r="E28775" s="39"/>
      <c r="F28775" s="39"/>
    </row>
    <row r="28776">
      <c r="D28776" s="39"/>
      <c r="E28776" s="39"/>
      <c r="F28776" s="39"/>
    </row>
    <row r="28777">
      <c r="D28777" s="39"/>
      <c r="E28777" s="39"/>
      <c r="F28777" s="39"/>
    </row>
    <row r="28778">
      <c r="D28778" s="39"/>
      <c r="E28778" s="39"/>
      <c r="F28778" s="39"/>
    </row>
    <row r="28779">
      <c r="D28779" s="39"/>
      <c r="E28779" s="39"/>
      <c r="F28779" s="39"/>
    </row>
    <row r="28780">
      <c r="D28780" s="39"/>
      <c r="E28780" s="39"/>
      <c r="F28780" s="39"/>
    </row>
    <row r="28781">
      <c r="D28781" s="39"/>
      <c r="E28781" s="39"/>
      <c r="F28781" s="39"/>
    </row>
    <row r="28782">
      <c r="D28782" s="39"/>
      <c r="E28782" s="39"/>
      <c r="F28782" s="39"/>
    </row>
    <row r="28783">
      <c r="D28783" s="39"/>
      <c r="E28783" s="39"/>
      <c r="F28783" s="39"/>
    </row>
    <row r="28784">
      <c r="D28784" s="39"/>
      <c r="E28784" s="39"/>
      <c r="F28784" s="39"/>
    </row>
    <row r="28785">
      <c r="D28785" s="39"/>
      <c r="E28785" s="39"/>
      <c r="F28785" s="39"/>
    </row>
    <row r="28786">
      <c r="D28786" s="39"/>
      <c r="E28786" s="39"/>
      <c r="F28786" s="39"/>
    </row>
    <row r="28787">
      <c r="D28787" s="39"/>
      <c r="E28787" s="39"/>
      <c r="F28787" s="39"/>
    </row>
    <row r="28788">
      <c r="D28788" s="39"/>
      <c r="E28788" s="39"/>
      <c r="F28788" s="39"/>
    </row>
    <row r="28789">
      <c r="D28789" s="39"/>
      <c r="E28789" s="39"/>
      <c r="F28789" s="39"/>
    </row>
    <row r="28790">
      <c r="D28790" s="39"/>
      <c r="E28790" s="39"/>
      <c r="F28790" s="39"/>
    </row>
    <row r="28791">
      <c r="D28791" s="39"/>
      <c r="E28791" s="39"/>
      <c r="F28791" s="39"/>
    </row>
    <row r="28792">
      <c r="D28792" s="39"/>
      <c r="E28792" s="39"/>
      <c r="F28792" s="39"/>
    </row>
    <row r="28793">
      <c r="D28793" s="39"/>
      <c r="E28793" s="39"/>
      <c r="F28793" s="39"/>
    </row>
    <row r="28794">
      <c r="D28794" s="39"/>
      <c r="E28794" s="39"/>
      <c r="F28794" s="39"/>
    </row>
    <row r="28795">
      <c r="D28795" s="39"/>
      <c r="E28795" s="39"/>
      <c r="F28795" s="39"/>
    </row>
    <row r="28796">
      <c r="D28796" s="39"/>
      <c r="E28796" s="39"/>
      <c r="F28796" s="39"/>
    </row>
    <row r="28797">
      <c r="D28797" s="39"/>
      <c r="E28797" s="39"/>
      <c r="F28797" s="39"/>
    </row>
    <row r="28798">
      <c r="D28798" s="39"/>
      <c r="E28798" s="39"/>
      <c r="F28798" s="39"/>
    </row>
    <row r="28799">
      <c r="D28799" s="39"/>
      <c r="E28799" s="39"/>
      <c r="F28799" s="39"/>
    </row>
    <row r="28800">
      <c r="D28800" s="39"/>
      <c r="E28800" s="39"/>
      <c r="F28800" s="39"/>
    </row>
    <row r="28801">
      <c r="D28801" s="39"/>
      <c r="E28801" s="39"/>
      <c r="F28801" s="39"/>
    </row>
    <row r="28802">
      <c r="D28802" s="39"/>
      <c r="E28802" s="39"/>
      <c r="F28802" s="39"/>
    </row>
    <row r="28803">
      <c r="D28803" s="39"/>
      <c r="E28803" s="39"/>
      <c r="F28803" s="39"/>
    </row>
    <row r="28804">
      <c r="D28804" s="39"/>
      <c r="E28804" s="39"/>
      <c r="F28804" s="39"/>
    </row>
    <row r="28805">
      <c r="D28805" s="39"/>
      <c r="E28805" s="39"/>
      <c r="F28805" s="39"/>
    </row>
    <row r="28806">
      <c r="D28806" s="39"/>
      <c r="E28806" s="39"/>
      <c r="F28806" s="39"/>
    </row>
    <row r="28807">
      <c r="D28807" s="39"/>
      <c r="E28807" s="39"/>
      <c r="F28807" s="39"/>
    </row>
    <row r="28808">
      <c r="D28808" s="39"/>
      <c r="E28808" s="39"/>
      <c r="F28808" s="39"/>
    </row>
    <row r="28809">
      <c r="D28809" s="39"/>
      <c r="E28809" s="39"/>
      <c r="F28809" s="39"/>
    </row>
    <row r="28810">
      <c r="D28810" s="39"/>
      <c r="E28810" s="39"/>
      <c r="F28810" s="39"/>
    </row>
    <row r="28811">
      <c r="D28811" s="39"/>
      <c r="E28811" s="39"/>
      <c r="F28811" s="39"/>
    </row>
    <row r="28812">
      <c r="D28812" s="39"/>
      <c r="E28812" s="39"/>
      <c r="F28812" s="39"/>
    </row>
    <row r="28813">
      <c r="D28813" s="39"/>
      <c r="E28813" s="39"/>
      <c r="F28813" s="39"/>
    </row>
    <row r="28814">
      <c r="D28814" s="39"/>
      <c r="E28814" s="39"/>
      <c r="F28814" s="39"/>
    </row>
    <row r="28815">
      <c r="D28815" s="39"/>
      <c r="E28815" s="39"/>
      <c r="F28815" s="39"/>
    </row>
    <row r="28816">
      <c r="D28816" s="39"/>
      <c r="E28816" s="39"/>
      <c r="F28816" s="39"/>
    </row>
    <row r="28817">
      <c r="D28817" s="39"/>
      <c r="E28817" s="39"/>
      <c r="F28817" s="39"/>
    </row>
    <row r="28818">
      <c r="D28818" s="39"/>
      <c r="E28818" s="39"/>
      <c r="F28818" s="39"/>
    </row>
    <row r="28819">
      <c r="D28819" s="39"/>
      <c r="E28819" s="39"/>
      <c r="F28819" s="39"/>
    </row>
    <row r="28820">
      <c r="D28820" s="39"/>
      <c r="E28820" s="39"/>
      <c r="F28820" s="39"/>
    </row>
    <row r="28821">
      <c r="D28821" s="39"/>
      <c r="E28821" s="39"/>
      <c r="F28821" s="39"/>
    </row>
    <row r="28822">
      <c r="D28822" s="39"/>
      <c r="E28822" s="39"/>
      <c r="F28822" s="39"/>
    </row>
    <row r="28823">
      <c r="D28823" s="39"/>
      <c r="E28823" s="39"/>
      <c r="F28823" s="39"/>
    </row>
    <row r="28824">
      <c r="D28824" s="39"/>
      <c r="E28824" s="39"/>
      <c r="F28824" s="39"/>
    </row>
    <row r="28825">
      <c r="D28825" s="39"/>
      <c r="E28825" s="39"/>
      <c r="F28825" s="39"/>
    </row>
    <row r="28826">
      <c r="D28826" s="39"/>
      <c r="E28826" s="39"/>
      <c r="F28826" s="39"/>
    </row>
    <row r="28827">
      <c r="D28827" s="39"/>
      <c r="E28827" s="39"/>
      <c r="F28827" s="39"/>
    </row>
    <row r="28828">
      <c r="D28828" s="39"/>
      <c r="E28828" s="39"/>
      <c r="F28828" s="39"/>
    </row>
    <row r="28829">
      <c r="D28829" s="39"/>
      <c r="E28829" s="39"/>
      <c r="F28829" s="39"/>
    </row>
    <row r="28830">
      <c r="D28830" s="39"/>
      <c r="E28830" s="39"/>
      <c r="F28830" s="39"/>
    </row>
    <row r="28831">
      <c r="D28831" s="39"/>
      <c r="E28831" s="39"/>
      <c r="F28831" s="39"/>
    </row>
    <row r="28832">
      <c r="D28832" s="39"/>
      <c r="E28832" s="39"/>
      <c r="F28832" s="39"/>
    </row>
    <row r="28833">
      <c r="D28833" s="39"/>
      <c r="E28833" s="39"/>
      <c r="F28833" s="39"/>
    </row>
    <row r="28834">
      <c r="D28834" s="39"/>
      <c r="E28834" s="39"/>
      <c r="F28834" s="39"/>
    </row>
    <row r="28835">
      <c r="D28835" s="39"/>
      <c r="E28835" s="39"/>
      <c r="F28835" s="39"/>
    </row>
    <row r="28836">
      <c r="D28836" s="39"/>
      <c r="E28836" s="39"/>
      <c r="F28836" s="39"/>
    </row>
    <row r="28837">
      <c r="D28837" s="39"/>
      <c r="E28837" s="39"/>
      <c r="F28837" s="39"/>
    </row>
    <row r="28838">
      <c r="D28838" s="39"/>
      <c r="E28838" s="39"/>
      <c r="F28838" s="39"/>
    </row>
    <row r="28839">
      <c r="D28839" s="39"/>
      <c r="E28839" s="39"/>
      <c r="F28839" s="39"/>
    </row>
    <row r="28840">
      <c r="D28840" s="39"/>
      <c r="E28840" s="39"/>
      <c r="F28840" s="39"/>
    </row>
    <row r="28841">
      <c r="D28841" s="39"/>
      <c r="E28841" s="39"/>
      <c r="F28841" s="39"/>
    </row>
    <row r="28842">
      <c r="D28842" s="39"/>
      <c r="E28842" s="39"/>
      <c r="F28842" s="39"/>
    </row>
    <row r="28843">
      <c r="D28843" s="39"/>
      <c r="E28843" s="39"/>
      <c r="F28843" s="39"/>
    </row>
    <row r="28844">
      <c r="D28844" s="39"/>
      <c r="E28844" s="39"/>
      <c r="F28844" s="39"/>
    </row>
    <row r="28845">
      <c r="D28845" s="39"/>
      <c r="E28845" s="39"/>
      <c r="F28845" s="39"/>
    </row>
    <row r="28846">
      <c r="D28846" s="39"/>
      <c r="E28846" s="39"/>
      <c r="F28846" s="39"/>
    </row>
    <row r="28847">
      <c r="D28847" s="39"/>
      <c r="E28847" s="39"/>
      <c r="F28847" s="39"/>
    </row>
    <row r="28848">
      <c r="D28848" s="39"/>
      <c r="E28848" s="39"/>
      <c r="F28848" s="39"/>
    </row>
    <row r="28849">
      <c r="D28849" s="39"/>
      <c r="E28849" s="39"/>
      <c r="F28849" s="39"/>
    </row>
    <row r="28850">
      <c r="D28850" s="39"/>
      <c r="E28850" s="39"/>
      <c r="F28850" s="39"/>
    </row>
    <row r="28851">
      <c r="D28851" s="39"/>
      <c r="E28851" s="39"/>
      <c r="F28851" s="39"/>
    </row>
    <row r="28852">
      <c r="D28852" s="39"/>
      <c r="E28852" s="39"/>
      <c r="F28852" s="39"/>
    </row>
    <row r="28853">
      <c r="D28853" s="39"/>
      <c r="E28853" s="39"/>
      <c r="F28853" s="39"/>
    </row>
    <row r="28854">
      <c r="D28854" s="39"/>
      <c r="E28854" s="39"/>
      <c r="F28854" s="39"/>
    </row>
    <row r="28855">
      <c r="D28855" s="39"/>
      <c r="E28855" s="39"/>
      <c r="F28855" s="39"/>
    </row>
    <row r="28856">
      <c r="D28856" s="39"/>
      <c r="E28856" s="39"/>
      <c r="F28856" s="39"/>
    </row>
    <row r="28857">
      <c r="D28857" s="39"/>
      <c r="E28857" s="39"/>
      <c r="F28857" s="39"/>
    </row>
    <row r="28858">
      <c r="D28858" s="39"/>
      <c r="E28858" s="39"/>
      <c r="F28858" s="39"/>
    </row>
    <row r="28859">
      <c r="D28859" s="39"/>
      <c r="E28859" s="39"/>
      <c r="F28859" s="39"/>
    </row>
    <row r="28860">
      <c r="D28860" s="39"/>
      <c r="E28860" s="39"/>
      <c r="F28860" s="39"/>
    </row>
    <row r="28861">
      <c r="D28861" s="39"/>
      <c r="E28861" s="39"/>
      <c r="F28861" s="39"/>
    </row>
    <row r="28862">
      <c r="D28862" s="39"/>
      <c r="E28862" s="39"/>
      <c r="F28862" s="39"/>
    </row>
    <row r="28863">
      <c r="D28863" s="39"/>
      <c r="E28863" s="39"/>
      <c r="F28863" s="39"/>
    </row>
    <row r="28864">
      <c r="D28864" s="39"/>
      <c r="E28864" s="39"/>
      <c r="F28864" s="39"/>
    </row>
    <row r="28865">
      <c r="D28865" s="39"/>
      <c r="E28865" s="39"/>
      <c r="F28865" s="39"/>
    </row>
    <row r="28866">
      <c r="D28866" s="39"/>
      <c r="E28866" s="39"/>
      <c r="F28866" s="39"/>
    </row>
    <row r="28867">
      <c r="D28867" s="39"/>
      <c r="E28867" s="39"/>
      <c r="F28867" s="39"/>
    </row>
    <row r="28868">
      <c r="D28868" s="39"/>
      <c r="E28868" s="39"/>
      <c r="F28868" s="39"/>
    </row>
    <row r="28869">
      <c r="D28869" s="39"/>
      <c r="E28869" s="39"/>
      <c r="F28869" s="39"/>
    </row>
    <row r="28870">
      <c r="D28870" s="39"/>
      <c r="E28870" s="39"/>
      <c r="F28870" s="39"/>
    </row>
    <row r="28871">
      <c r="D28871" s="39"/>
      <c r="E28871" s="39"/>
      <c r="F28871" s="39"/>
    </row>
    <row r="28872">
      <c r="D28872" s="39"/>
      <c r="E28872" s="39"/>
      <c r="F28872" s="39"/>
    </row>
    <row r="28873">
      <c r="D28873" s="39"/>
      <c r="E28873" s="39"/>
      <c r="F28873" s="39"/>
    </row>
    <row r="28874">
      <c r="D28874" s="39"/>
      <c r="E28874" s="39"/>
      <c r="F28874" s="39"/>
    </row>
    <row r="28875">
      <c r="D28875" s="39"/>
      <c r="E28875" s="39"/>
      <c r="F28875" s="39"/>
    </row>
    <row r="28876">
      <c r="D28876" s="39"/>
      <c r="E28876" s="39"/>
      <c r="F28876" s="39"/>
    </row>
    <row r="28877">
      <c r="D28877" s="39"/>
      <c r="E28877" s="39"/>
      <c r="F28877" s="39"/>
    </row>
    <row r="28878">
      <c r="D28878" s="39"/>
      <c r="E28878" s="39"/>
      <c r="F28878" s="39"/>
    </row>
    <row r="28879">
      <c r="D28879" s="39"/>
      <c r="E28879" s="39"/>
      <c r="F28879" s="39"/>
    </row>
    <row r="28880">
      <c r="D28880" s="39"/>
      <c r="E28880" s="39"/>
      <c r="F28880" s="39"/>
    </row>
    <row r="28881">
      <c r="D28881" s="39"/>
      <c r="E28881" s="39"/>
      <c r="F28881" s="39"/>
    </row>
    <row r="28882">
      <c r="D28882" s="39"/>
      <c r="E28882" s="39"/>
      <c r="F28882" s="39"/>
    </row>
    <row r="28883">
      <c r="D28883" s="39"/>
      <c r="E28883" s="39"/>
      <c r="F28883" s="39"/>
    </row>
    <row r="28884">
      <c r="D28884" s="39"/>
      <c r="E28884" s="39"/>
      <c r="F28884" s="39"/>
    </row>
    <row r="28885">
      <c r="D28885" s="39"/>
      <c r="E28885" s="39"/>
      <c r="F28885" s="39"/>
    </row>
    <row r="28886">
      <c r="D28886" s="39"/>
      <c r="E28886" s="39"/>
      <c r="F28886" s="39"/>
    </row>
    <row r="28887">
      <c r="D28887" s="39"/>
      <c r="E28887" s="39"/>
      <c r="F28887" s="39"/>
    </row>
    <row r="28888">
      <c r="D28888" s="39"/>
      <c r="E28888" s="39"/>
      <c r="F28888" s="39"/>
    </row>
    <row r="28889">
      <c r="D28889" s="39"/>
      <c r="E28889" s="39"/>
      <c r="F28889" s="39"/>
    </row>
    <row r="28890">
      <c r="D28890" s="39"/>
      <c r="E28890" s="39"/>
      <c r="F28890" s="39"/>
    </row>
    <row r="28891">
      <c r="D28891" s="39"/>
      <c r="E28891" s="39"/>
      <c r="F28891" s="39"/>
    </row>
    <row r="28892">
      <c r="D28892" s="39"/>
      <c r="E28892" s="39"/>
      <c r="F28892" s="39"/>
    </row>
    <row r="28893">
      <c r="D28893" s="39"/>
      <c r="E28893" s="39"/>
      <c r="F28893" s="39"/>
    </row>
    <row r="28894">
      <c r="D28894" s="39"/>
      <c r="E28894" s="39"/>
      <c r="F28894" s="39"/>
    </row>
    <row r="28895">
      <c r="D28895" s="39"/>
      <c r="E28895" s="39"/>
      <c r="F28895" s="39"/>
    </row>
    <row r="28896">
      <c r="D28896" s="39"/>
      <c r="E28896" s="39"/>
      <c r="F28896" s="39"/>
    </row>
    <row r="28897">
      <c r="D28897" s="39"/>
      <c r="E28897" s="39"/>
      <c r="F28897" s="39"/>
    </row>
    <row r="28898">
      <c r="D28898" s="39"/>
      <c r="E28898" s="39"/>
      <c r="F28898" s="39"/>
    </row>
    <row r="28899">
      <c r="D28899" s="39"/>
      <c r="E28899" s="39"/>
      <c r="F28899" s="39"/>
    </row>
    <row r="28900">
      <c r="D28900" s="39"/>
      <c r="E28900" s="39"/>
      <c r="F28900" s="39"/>
    </row>
    <row r="28901">
      <c r="D28901" s="39"/>
      <c r="E28901" s="39"/>
      <c r="F28901" s="39"/>
    </row>
    <row r="28902">
      <c r="D28902" s="39"/>
      <c r="E28902" s="39"/>
      <c r="F28902" s="39"/>
    </row>
    <row r="28903">
      <c r="D28903" s="39"/>
      <c r="E28903" s="39"/>
      <c r="F28903" s="39"/>
    </row>
    <row r="28904">
      <c r="D28904" s="39"/>
      <c r="E28904" s="39"/>
      <c r="F28904" s="39"/>
    </row>
    <row r="28905">
      <c r="D28905" s="39"/>
      <c r="E28905" s="39"/>
      <c r="F28905" s="39"/>
    </row>
    <row r="28906">
      <c r="D28906" s="39"/>
      <c r="E28906" s="39"/>
      <c r="F28906" s="39"/>
    </row>
    <row r="28907">
      <c r="D28907" s="39"/>
      <c r="E28907" s="39"/>
      <c r="F28907" s="39"/>
    </row>
    <row r="28908">
      <c r="D28908" s="39"/>
      <c r="E28908" s="39"/>
      <c r="F28908" s="39"/>
    </row>
    <row r="28909">
      <c r="D28909" s="39"/>
      <c r="E28909" s="39"/>
      <c r="F28909" s="39"/>
    </row>
    <row r="28910">
      <c r="D28910" s="39"/>
      <c r="E28910" s="39"/>
      <c r="F28910" s="39"/>
    </row>
    <row r="28911">
      <c r="D28911" s="39"/>
      <c r="E28911" s="39"/>
      <c r="F28911" s="39"/>
    </row>
    <row r="28912">
      <c r="D28912" s="39"/>
      <c r="E28912" s="39"/>
      <c r="F28912" s="39"/>
    </row>
    <row r="28913">
      <c r="D28913" s="39"/>
      <c r="E28913" s="39"/>
      <c r="F28913" s="39"/>
    </row>
    <row r="28914">
      <c r="D28914" s="39"/>
      <c r="E28914" s="39"/>
      <c r="F28914" s="39"/>
    </row>
    <row r="28915">
      <c r="D28915" s="39"/>
      <c r="E28915" s="39"/>
      <c r="F28915" s="39"/>
    </row>
    <row r="28916">
      <c r="D28916" s="39"/>
      <c r="E28916" s="39"/>
      <c r="F28916" s="39"/>
    </row>
    <row r="28917">
      <c r="D28917" s="39"/>
      <c r="E28917" s="39"/>
      <c r="F28917" s="39"/>
    </row>
    <row r="28918">
      <c r="D28918" s="39"/>
      <c r="E28918" s="39"/>
      <c r="F28918" s="39"/>
    </row>
    <row r="28919">
      <c r="D28919" s="39"/>
      <c r="E28919" s="39"/>
      <c r="F28919" s="39"/>
    </row>
    <row r="28920">
      <c r="D28920" s="39"/>
      <c r="E28920" s="39"/>
      <c r="F28920" s="39"/>
    </row>
    <row r="28921">
      <c r="D28921" s="39"/>
      <c r="E28921" s="39"/>
      <c r="F28921" s="39"/>
    </row>
    <row r="28922">
      <c r="D28922" s="39"/>
      <c r="E28922" s="39"/>
      <c r="F28922" s="39"/>
    </row>
    <row r="28923">
      <c r="D28923" s="39"/>
      <c r="E28923" s="39"/>
      <c r="F28923" s="39"/>
    </row>
    <row r="28924">
      <c r="D28924" s="39"/>
      <c r="E28924" s="39"/>
      <c r="F28924" s="39"/>
    </row>
    <row r="28925">
      <c r="D28925" s="39"/>
      <c r="E28925" s="39"/>
      <c r="F28925" s="39"/>
    </row>
    <row r="28926">
      <c r="D28926" s="39"/>
      <c r="E28926" s="39"/>
      <c r="F28926" s="39"/>
    </row>
    <row r="28927">
      <c r="D28927" s="39"/>
      <c r="E28927" s="39"/>
      <c r="F28927" s="39"/>
    </row>
    <row r="28928">
      <c r="D28928" s="39"/>
      <c r="E28928" s="39"/>
      <c r="F28928" s="39"/>
    </row>
    <row r="28929">
      <c r="D28929" s="39"/>
      <c r="E28929" s="39"/>
      <c r="F28929" s="39"/>
    </row>
    <row r="28930">
      <c r="D28930" s="39"/>
      <c r="E28930" s="39"/>
      <c r="F28930" s="39"/>
    </row>
    <row r="28931">
      <c r="D28931" s="39"/>
      <c r="E28931" s="39"/>
      <c r="F28931" s="39"/>
    </row>
    <row r="28932">
      <c r="D28932" s="39"/>
      <c r="E28932" s="39"/>
      <c r="F28932" s="39"/>
    </row>
    <row r="28933">
      <c r="D28933" s="39"/>
      <c r="E28933" s="39"/>
      <c r="F28933" s="39"/>
    </row>
    <row r="28934">
      <c r="D28934" s="39"/>
      <c r="E28934" s="39"/>
      <c r="F28934" s="39"/>
    </row>
    <row r="28935">
      <c r="D28935" s="39"/>
      <c r="E28935" s="39"/>
      <c r="F28935" s="39"/>
    </row>
    <row r="28936">
      <c r="D28936" s="39"/>
      <c r="E28936" s="39"/>
      <c r="F28936" s="39"/>
    </row>
    <row r="28937">
      <c r="D28937" s="39"/>
      <c r="E28937" s="39"/>
      <c r="F28937" s="39"/>
    </row>
    <row r="28938">
      <c r="D28938" s="39"/>
      <c r="E28938" s="39"/>
      <c r="F28938" s="39"/>
    </row>
    <row r="28939">
      <c r="D28939" s="39"/>
      <c r="E28939" s="39"/>
      <c r="F28939" s="39"/>
    </row>
    <row r="28940">
      <c r="D28940" s="39"/>
      <c r="E28940" s="39"/>
      <c r="F28940" s="39"/>
    </row>
    <row r="28941">
      <c r="D28941" s="39"/>
      <c r="E28941" s="39"/>
      <c r="F28941" s="39"/>
    </row>
    <row r="28942">
      <c r="D28942" s="39"/>
      <c r="E28942" s="39"/>
      <c r="F28942" s="39"/>
    </row>
    <row r="28943">
      <c r="D28943" s="39"/>
      <c r="E28943" s="39"/>
      <c r="F28943" s="39"/>
    </row>
    <row r="28944">
      <c r="D28944" s="39"/>
      <c r="E28944" s="39"/>
      <c r="F28944" s="39"/>
    </row>
    <row r="28945">
      <c r="D28945" s="39"/>
      <c r="E28945" s="39"/>
      <c r="F28945" s="39"/>
    </row>
    <row r="28946">
      <c r="D28946" s="39"/>
      <c r="E28946" s="39"/>
      <c r="F28946" s="39"/>
    </row>
    <row r="28947">
      <c r="D28947" s="39"/>
      <c r="E28947" s="39"/>
      <c r="F28947" s="39"/>
    </row>
    <row r="28948">
      <c r="D28948" s="39"/>
      <c r="E28948" s="39"/>
      <c r="F28948" s="39"/>
    </row>
    <row r="28949">
      <c r="D28949" s="39"/>
      <c r="E28949" s="39"/>
      <c r="F28949" s="39"/>
    </row>
    <row r="28950">
      <c r="D28950" s="39"/>
      <c r="E28950" s="39"/>
      <c r="F28950" s="39"/>
    </row>
    <row r="28951">
      <c r="D28951" s="39"/>
      <c r="E28951" s="39"/>
      <c r="F28951" s="39"/>
    </row>
    <row r="28952">
      <c r="D28952" s="39"/>
      <c r="E28952" s="39"/>
      <c r="F28952" s="39"/>
    </row>
    <row r="28953">
      <c r="D28953" s="39"/>
      <c r="E28953" s="39"/>
      <c r="F28953" s="39"/>
    </row>
    <row r="28954">
      <c r="D28954" s="39"/>
      <c r="E28954" s="39"/>
      <c r="F28954" s="39"/>
    </row>
    <row r="28955">
      <c r="D28955" s="39"/>
      <c r="E28955" s="39"/>
      <c r="F28955" s="39"/>
    </row>
    <row r="28956">
      <c r="D28956" s="39"/>
      <c r="E28956" s="39"/>
      <c r="F28956" s="39"/>
    </row>
    <row r="28957">
      <c r="D28957" s="39"/>
      <c r="E28957" s="39"/>
      <c r="F28957" s="39"/>
    </row>
    <row r="28958">
      <c r="D28958" s="39"/>
      <c r="E28958" s="39"/>
      <c r="F28958" s="39"/>
    </row>
    <row r="28959">
      <c r="D28959" s="39"/>
      <c r="E28959" s="39"/>
      <c r="F28959" s="39"/>
    </row>
    <row r="28960">
      <c r="D28960" s="39"/>
      <c r="E28960" s="39"/>
      <c r="F28960" s="39"/>
    </row>
    <row r="28961">
      <c r="D28961" s="39"/>
      <c r="E28961" s="39"/>
      <c r="F28961" s="39"/>
    </row>
    <row r="28962">
      <c r="D28962" s="39"/>
      <c r="E28962" s="39"/>
      <c r="F28962" s="39"/>
    </row>
    <row r="28963">
      <c r="D28963" s="39"/>
      <c r="E28963" s="39"/>
      <c r="F28963" s="39"/>
    </row>
    <row r="28964">
      <c r="D28964" s="39"/>
      <c r="E28964" s="39"/>
      <c r="F28964" s="39"/>
    </row>
    <row r="28965">
      <c r="D28965" s="39"/>
      <c r="E28965" s="39"/>
      <c r="F28965" s="39"/>
    </row>
    <row r="28966">
      <c r="D28966" s="39"/>
      <c r="E28966" s="39"/>
      <c r="F28966" s="39"/>
    </row>
    <row r="28967">
      <c r="D28967" s="39"/>
      <c r="E28967" s="39"/>
      <c r="F28967" s="39"/>
    </row>
    <row r="28968">
      <c r="D28968" s="39"/>
      <c r="E28968" s="39"/>
      <c r="F28968" s="39"/>
    </row>
    <row r="28969">
      <c r="D28969" s="39"/>
      <c r="E28969" s="39"/>
      <c r="F28969" s="39"/>
    </row>
    <row r="28970">
      <c r="D28970" s="39"/>
      <c r="E28970" s="39"/>
      <c r="F28970" s="39"/>
    </row>
    <row r="28971">
      <c r="D28971" s="39"/>
      <c r="E28971" s="39"/>
      <c r="F28971" s="39"/>
    </row>
    <row r="28972">
      <c r="D28972" s="39"/>
      <c r="E28972" s="39"/>
      <c r="F28972" s="39"/>
    </row>
    <row r="28973">
      <c r="D28973" s="39"/>
      <c r="E28973" s="39"/>
      <c r="F28973" s="39"/>
    </row>
    <row r="28974">
      <c r="D28974" s="39"/>
      <c r="E28974" s="39"/>
      <c r="F28974" s="39"/>
    </row>
    <row r="28975">
      <c r="D28975" s="39"/>
      <c r="E28975" s="39"/>
      <c r="F28975" s="39"/>
    </row>
    <row r="28976">
      <c r="D28976" s="39"/>
      <c r="E28976" s="39"/>
      <c r="F28976" s="39"/>
    </row>
    <row r="28977">
      <c r="D28977" s="39"/>
      <c r="E28977" s="39"/>
      <c r="F28977" s="39"/>
    </row>
    <row r="28978">
      <c r="D28978" s="39"/>
      <c r="E28978" s="39"/>
      <c r="F28978" s="39"/>
    </row>
    <row r="28979">
      <c r="D28979" s="39"/>
      <c r="E28979" s="39"/>
      <c r="F28979" s="39"/>
    </row>
    <row r="28980">
      <c r="D28980" s="39"/>
      <c r="E28980" s="39"/>
      <c r="F28980" s="39"/>
    </row>
    <row r="28981">
      <c r="D28981" s="39"/>
      <c r="E28981" s="39"/>
      <c r="F28981" s="39"/>
    </row>
    <row r="28982">
      <c r="D28982" s="39"/>
      <c r="E28982" s="39"/>
      <c r="F28982" s="39"/>
    </row>
    <row r="28983">
      <c r="D28983" s="39"/>
      <c r="E28983" s="39"/>
      <c r="F28983" s="39"/>
    </row>
    <row r="28984">
      <c r="D28984" s="39"/>
      <c r="E28984" s="39"/>
      <c r="F28984" s="39"/>
    </row>
    <row r="28985">
      <c r="D28985" s="39"/>
      <c r="E28985" s="39"/>
      <c r="F28985" s="39"/>
    </row>
    <row r="28986">
      <c r="D28986" s="39"/>
      <c r="E28986" s="39"/>
      <c r="F28986" s="39"/>
    </row>
    <row r="28987">
      <c r="D28987" s="39"/>
      <c r="E28987" s="39"/>
      <c r="F28987" s="39"/>
    </row>
    <row r="28988">
      <c r="D28988" s="39"/>
      <c r="E28988" s="39"/>
      <c r="F28988" s="39"/>
    </row>
    <row r="28989">
      <c r="D28989" s="39"/>
      <c r="E28989" s="39"/>
      <c r="F28989" s="39"/>
    </row>
    <row r="28990">
      <c r="D28990" s="39"/>
      <c r="E28990" s="39"/>
      <c r="F28990" s="39"/>
    </row>
    <row r="28991">
      <c r="D28991" s="39"/>
      <c r="E28991" s="39"/>
      <c r="F28991" s="39"/>
    </row>
    <row r="28992">
      <c r="D28992" s="39"/>
      <c r="E28992" s="39"/>
      <c r="F28992" s="39"/>
    </row>
    <row r="28993">
      <c r="D28993" s="39"/>
      <c r="E28993" s="39"/>
      <c r="F28993" s="39"/>
    </row>
    <row r="28994">
      <c r="D28994" s="39"/>
      <c r="E28994" s="39"/>
      <c r="F28994" s="39"/>
    </row>
    <row r="28995">
      <c r="D28995" s="39"/>
      <c r="E28995" s="39"/>
      <c r="F28995" s="39"/>
    </row>
    <row r="28996">
      <c r="D28996" s="39"/>
      <c r="E28996" s="39"/>
      <c r="F28996" s="39"/>
    </row>
    <row r="28997">
      <c r="D28997" s="39"/>
      <c r="E28997" s="39"/>
      <c r="F28997" s="39"/>
    </row>
    <row r="28998">
      <c r="D28998" s="39"/>
      <c r="E28998" s="39"/>
      <c r="F28998" s="39"/>
    </row>
    <row r="28999">
      <c r="D28999" s="39"/>
      <c r="E28999" s="39"/>
      <c r="F28999" s="39"/>
    </row>
    <row r="29000">
      <c r="D29000" s="39"/>
      <c r="E29000" s="39"/>
      <c r="F29000" s="39"/>
    </row>
    <row r="29001">
      <c r="D29001" s="39"/>
      <c r="E29001" s="39"/>
      <c r="F29001" s="39"/>
    </row>
    <row r="29002">
      <c r="D29002" s="39"/>
      <c r="E29002" s="39"/>
      <c r="F29002" s="39"/>
    </row>
    <row r="29003">
      <c r="D29003" s="39"/>
      <c r="E29003" s="39"/>
      <c r="F29003" s="39"/>
    </row>
    <row r="29004">
      <c r="D29004" s="39"/>
      <c r="E29004" s="39"/>
      <c r="F29004" s="39"/>
    </row>
    <row r="29005">
      <c r="D29005" s="39"/>
      <c r="E29005" s="39"/>
      <c r="F29005" s="39"/>
    </row>
    <row r="29006">
      <c r="D29006" s="39"/>
      <c r="E29006" s="39"/>
      <c r="F29006" s="39"/>
    </row>
    <row r="29007">
      <c r="D29007" s="39"/>
      <c r="E29007" s="39"/>
      <c r="F29007" s="39"/>
    </row>
    <row r="29008">
      <c r="D29008" s="39"/>
      <c r="E29008" s="39"/>
      <c r="F29008" s="39"/>
    </row>
    <row r="29009">
      <c r="D29009" s="39"/>
      <c r="E29009" s="39"/>
      <c r="F29009" s="39"/>
    </row>
    <row r="29010">
      <c r="D29010" s="39"/>
      <c r="E29010" s="39"/>
      <c r="F29010" s="39"/>
    </row>
    <row r="29011">
      <c r="D29011" s="39"/>
      <c r="E29011" s="39"/>
      <c r="F29011" s="39"/>
    </row>
    <row r="29012">
      <c r="D29012" s="39"/>
      <c r="E29012" s="39"/>
      <c r="F29012" s="39"/>
    </row>
    <row r="29013">
      <c r="D29013" s="39"/>
      <c r="E29013" s="39"/>
      <c r="F29013" s="39"/>
    </row>
    <row r="29014">
      <c r="D29014" s="39"/>
      <c r="E29014" s="39"/>
      <c r="F29014" s="39"/>
    </row>
    <row r="29015">
      <c r="D29015" s="39"/>
      <c r="E29015" s="39"/>
      <c r="F29015" s="39"/>
    </row>
    <row r="29016">
      <c r="D29016" s="39"/>
      <c r="E29016" s="39"/>
      <c r="F29016" s="39"/>
    </row>
    <row r="29017">
      <c r="D29017" s="39"/>
      <c r="E29017" s="39"/>
      <c r="F29017" s="39"/>
    </row>
    <row r="29018">
      <c r="D29018" s="39"/>
      <c r="E29018" s="39"/>
      <c r="F29018" s="39"/>
    </row>
    <row r="29019">
      <c r="D29019" s="39"/>
      <c r="E29019" s="39"/>
      <c r="F29019" s="39"/>
    </row>
    <row r="29020">
      <c r="D29020" s="39"/>
      <c r="E29020" s="39"/>
      <c r="F29020" s="39"/>
    </row>
    <row r="29021">
      <c r="D29021" s="39"/>
      <c r="E29021" s="39"/>
      <c r="F29021" s="39"/>
    </row>
    <row r="29022">
      <c r="D29022" s="39"/>
      <c r="E29022" s="39"/>
      <c r="F29022" s="39"/>
    </row>
    <row r="29023">
      <c r="D29023" s="39"/>
      <c r="E29023" s="39"/>
      <c r="F29023" s="39"/>
    </row>
    <row r="29024">
      <c r="D29024" s="39"/>
      <c r="E29024" s="39"/>
      <c r="F29024" s="39"/>
    </row>
    <row r="29025">
      <c r="D29025" s="39"/>
      <c r="E29025" s="39"/>
      <c r="F29025" s="39"/>
    </row>
    <row r="29026">
      <c r="D29026" s="39"/>
      <c r="E29026" s="39"/>
      <c r="F29026" s="39"/>
    </row>
    <row r="29027">
      <c r="D29027" s="39"/>
      <c r="E29027" s="39"/>
      <c r="F29027" s="39"/>
    </row>
    <row r="29028">
      <c r="D29028" s="39"/>
      <c r="E29028" s="39"/>
      <c r="F29028" s="39"/>
    </row>
    <row r="29029">
      <c r="D29029" s="39"/>
      <c r="E29029" s="39"/>
      <c r="F29029" s="39"/>
    </row>
    <row r="29030">
      <c r="D29030" s="39"/>
      <c r="E29030" s="39"/>
      <c r="F29030" s="39"/>
    </row>
    <row r="29031">
      <c r="D29031" s="39"/>
      <c r="E29031" s="39"/>
      <c r="F29031" s="39"/>
    </row>
    <row r="29032">
      <c r="D29032" s="39"/>
      <c r="E29032" s="39"/>
      <c r="F29032" s="39"/>
    </row>
    <row r="29033">
      <c r="D29033" s="39"/>
      <c r="E29033" s="39"/>
      <c r="F29033" s="39"/>
    </row>
    <row r="29034">
      <c r="D29034" s="39"/>
      <c r="E29034" s="39"/>
      <c r="F29034" s="39"/>
    </row>
    <row r="29035">
      <c r="D29035" s="39"/>
      <c r="E29035" s="39"/>
      <c r="F29035" s="39"/>
    </row>
    <row r="29036">
      <c r="D29036" s="39"/>
      <c r="E29036" s="39"/>
      <c r="F29036" s="39"/>
    </row>
    <row r="29037">
      <c r="D29037" s="39"/>
      <c r="E29037" s="39"/>
      <c r="F29037" s="39"/>
    </row>
    <row r="29038">
      <c r="D29038" s="39"/>
      <c r="E29038" s="39"/>
      <c r="F29038" s="39"/>
    </row>
    <row r="29039">
      <c r="D29039" s="39"/>
      <c r="E29039" s="39"/>
      <c r="F29039" s="39"/>
    </row>
    <row r="29040">
      <c r="D29040" s="39"/>
      <c r="E29040" s="39"/>
      <c r="F29040" s="39"/>
    </row>
    <row r="29041">
      <c r="D29041" s="39"/>
      <c r="E29041" s="39"/>
      <c r="F29041" s="39"/>
    </row>
    <row r="29042">
      <c r="D29042" s="39"/>
      <c r="E29042" s="39"/>
      <c r="F29042" s="39"/>
    </row>
    <row r="29043">
      <c r="D29043" s="39"/>
      <c r="E29043" s="39"/>
      <c r="F29043" s="39"/>
    </row>
    <row r="29044">
      <c r="D29044" s="39"/>
      <c r="E29044" s="39"/>
      <c r="F29044" s="39"/>
    </row>
    <row r="29045">
      <c r="D29045" s="39"/>
      <c r="E29045" s="39"/>
      <c r="F29045" s="39"/>
    </row>
    <row r="29046">
      <c r="D29046" s="39"/>
      <c r="E29046" s="39"/>
      <c r="F29046" s="39"/>
    </row>
    <row r="29047">
      <c r="D29047" s="39"/>
      <c r="E29047" s="39"/>
      <c r="F29047" s="39"/>
    </row>
    <row r="29048">
      <c r="D29048" s="39"/>
      <c r="E29048" s="39"/>
      <c r="F29048" s="39"/>
    </row>
    <row r="29049">
      <c r="D29049" s="39"/>
      <c r="E29049" s="39"/>
      <c r="F29049" s="39"/>
    </row>
    <row r="29050">
      <c r="D29050" s="39"/>
      <c r="E29050" s="39"/>
      <c r="F29050" s="39"/>
    </row>
    <row r="29051">
      <c r="D29051" s="39"/>
      <c r="E29051" s="39"/>
      <c r="F29051" s="39"/>
    </row>
    <row r="29052">
      <c r="D29052" s="39"/>
      <c r="E29052" s="39"/>
      <c r="F29052" s="39"/>
    </row>
    <row r="29053">
      <c r="D29053" s="39"/>
      <c r="E29053" s="39"/>
      <c r="F29053" s="39"/>
    </row>
    <row r="29054">
      <c r="D29054" s="39"/>
      <c r="E29054" s="39"/>
      <c r="F29054" s="39"/>
    </row>
    <row r="29055">
      <c r="D29055" s="39"/>
      <c r="E29055" s="39"/>
      <c r="F29055" s="39"/>
    </row>
    <row r="29056">
      <c r="D29056" s="39"/>
      <c r="E29056" s="39"/>
      <c r="F29056" s="39"/>
    </row>
    <row r="29057">
      <c r="D29057" s="39"/>
      <c r="E29057" s="39"/>
      <c r="F29057" s="39"/>
    </row>
    <row r="29058">
      <c r="D29058" s="39"/>
      <c r="E29058" s="39"/>
      <c r="F29058" s="39"/>
    </row>
    <row r="29059">
      <c r="D29059" s="39"/>
      <c r="E29059" s="39"/>
      <c r="F29059" s="39"/>
    </row>
    <row r="29060">
      <c r="D29060" s="39"/>
      <c r="E29060" s="39"/>
      <c r="F29060" s="39"/>
    </row>
    <row r="29061">
      <c r="D29061" s="39"/>
      <c r="E29061" s="39"/>
      <c r="F29061" s="39"/>
    </row>
    <row r="29062">
      <c r="D29062" s="39"/>
      <c r="E29062" s="39"/>
      <c r="F29062" s="39"/>
    </row>
    <row r="29063">
      <c r="D29063" s="39"/>
      <c r="E29063" s="39"/>
      <c r="F29063" s="39"/>
    </row>
    <row r="29064">
      <c r="D29064" s="39"/>
      <c r="E29064" s="39"/>
      <c r="F29064" s="39"/>
    </row>
    <row r="29065">
      <c r="D29065" s="39"/>
      <c r="E29065" s="39"/>
      <c r="F29065" s="39"/>
    </row>
    <row r="29066">
      <c r="D29066" s="39"/>
      <c r="E29066" s="39"/>
      <c r="F29066" s="39"/>
    </row>
    <row r="29067">
      <c r="D29067" s="39"/>
      <c r="E29067" s="39"/>
      <c r="F29067" s="39"/>
    </row>
    <row r="29068">
      <c r="D29068" s="39"/>
      <c r="E29068" s="39"/>
      <c r="F29068" s="39"/>
    </row>
    <row r="29069">
      <c r="D29069" s="39"/>
      <c r="E29069" s="39"/>
      <c r="F29069" s="39"/>
    </row>
    <row r="29070">
      <c r="D29070" s="39"/>
      <c r="E29070" s="39"/>
      <c r="F29070" s="39"/>
    </row>
    <row r="29071">
      <c r="D29071" s="39"/>
      <c r="E29071" s="39"/>
      <c r="F29071" s="39"/>
    </row>
    <row r="29072">
      <c r="D29072" s="39"/>
      <c r="E29072" s="39"/>
      <c r="F29072" s="39"/>
    </row>
    <row r="29073">
      <c r="D29073" s="39"/>
      <c r="E29073" s="39"/>
      <c r="F29073" s="39"/>
    </row>
    <row r="29074">
      <c r="D29074" s="39"/>
      <c r="E29074" s="39"/>
      <c r="F29074" s="39"/>
    </row>
    <row r="29075">
      <c r="D29075" s="39"/>
      <c r="E29075" s="39"/>
      <c r="F29075" s="39"/>
    </row>
    <row r="29076">
      <c r="D29076" s="39"/>
      <c r="E29076" s="39"/>
      <c r="F29076" s="39"/>
    </row>
    <row r="29077">
      <c r="D29077" s="39"/>
      <c r="E29077" s="39"/>
      <c r="F29077" s="39"/>
    </row>
    <row r="29078">
      <c r="D29078" s="39"/>
      <c r="E29078" s="39"/>
      <c r="F29078" s="39"/>
    </row>
    <row r="29079">
      <c r="D29079" s="39"/>
      <c r="E29079" s="39"/>
      <c r="F29079" s="39"/>
    </row>
    <row r="29080">
      <c r="D29080" s="39"/>
      <c r="E29080" s="39"/>
      <c r="F29080" s="39"/>
    </row>
    <row r="29081">
      <c r="D29081" s="39"/>
      <c r="E29081" s="39"/>
      <c r="F29081" s="39"/>
    </row>
    <row r="29082">
      <c r="D29082" s="39"/>
      <c r="E29082" s="39"/>
      <c r="F29082" s="39"/>
    </row>
    <row r="29083">
      <c r="D29083" s="39"/>
      <c r="E29083" s="39"/>
      <c r="F29083" s="39"/>
    </row>
    <row r="29084">
      <c r="D29084" s="39"/>
      <c r="E29084" s="39"/>
      <c r="F29084" s="39"/>
    </row>
    <row r="29085">
      <c r="D29085" s="39"/>
      <c r="E29085" s="39"/>
      <c r="F29085" s="39"/>
    </row>
    <row r="29086">
      <c r="D29086" s="39"/>
      <c r="E29086" s="39"/>
      <c r="F29086" s="39"/>
    </row>
    <row r="29087">
      <c r="D29087" s="39"/>
      <c r="E29087" s="39"/>
      <c r="F29087" s="39"/>
    </row>
    <row r="29088">
      <c r="D29088" s="39"/>
      <c r="E29088" s="39"/>
      <c r="F29088" s="39"/>
    </row>
    <row r="29089">
      <c r="D29089" s="39"/>
      <c r="E29089" s="39"/>
      <c r="F29089" s="39"/>
    </row>
    <row r="29090">
      <c r="D29090" s="39"/>
      <c r="E29090" s="39"/>
      <c r="F29090" s="39"/>
    </row>
    <row r="29091">
      <c r="D29091" s="39"/>
      <c r="E29091" s="39"/>
      <c r="F29091" s="39"/>
    </row>
    <row r="29092">
      <c r="D29092" s="39"/>
      <c r="E29092" s="39"/>
      <c r="F29092" s="39"/>
    </row>
    <row r="29093">
      <c r="D29093" s="39"/>
      <c r="E29093" s="39"/>
      <c r="F29093" s="39"/>
    </row>
    <row r="29094">
      <c r="D29094" s="39"/>
      <c r="E29094" s="39"/>
      <c r="F29094" s="39"/>
    </row>
    <row r="29095">
      <c r="D29095" s="39"/>
      <c r="E29095" s="39"/>
      <c r="F29095" s="39"/>
    </row>
    <row r="29096">
      <c r="D29096" s="39"/>
      <c r="E29096" s="39"/>
      <c r="F29096" s="39"/>
    </row>
    <row r="29097">
      <c r="D29097" s="39"/>
      <c r="E29097" s="39"/>
      <c r="F29097" s="39"/>
    </row>
    <row r="29098">
      <c r="D29098" s="39"/>
      <c r="E29098" s="39"/>
      <c r="F29098" s="39"/>
    </row>
    <row r="29099">
      <c r="D29099" s="39"/>
      <c r="E29099" s="39"/>
      <c r="F29099" s="39"/>
    </row>
    <row r="29100">
      <c r="D29100" s="39"/>
      <c r="E29100" s="39"/>
      <c r="F29100" s="39"/>
    </row>
    <row r="29101">
      <c r="D29101" s="39"/>
      <c r="E29101" s="39"/>
      <c r="F29101" s="39"/>
    </row>
    <row r="29102">
      <c r="D29102" s="39"/>
      <c r="E29102" s="39"/>
      <c r="F29102" s="39"/>
    </row>
    <row r="29103">
      <c r="D29103" s="39"/>
      <c r="E29103" s="39"/>
      <c r="F29103" s="39"/>
    </row>
    <row r="29104">
      <c r="D29104" s="39"/>
      <c r="E29104" s="39"/>
      <c r="F29104" s="39"/>
    </row>
    <row r="29105">
      <c r="D29105" s="39"/>
      <c r="E29105" s="39"/>
      <c r="F29105" s="39"/>
    </row>
    <row r="29106">
      <c r="D29106" s="39"/>
      <c r="E29106" s="39"/>
      <c r="F29106" s="39"/>
    </row>
    <row r="29107">
      <c r="D29107" s="39"/>
      <c r="E29107" s="39"/>
      <c r="F29107" s="39"/>
    </row>
    <row r="29108">
      <c r="D29108" s="39"/>
      <c r="E29108" s="39"/>
      <c r="F29108" s="39"/>
    </row>
    <row r="29109">
      <c r="D29109" s="39"/>
      <c r="E29109" s="39"/>
      <c r="F29109" s="39"/>
    </row>
    <row r="29110">
      <c r="D29110" s="39"/>
      <c r="E29110" s="39"/>
      <c r="F29110" s="39"/>
    </row>
    <row r="29111">
      <c r="D29111" s="39"/>
      <c r="E29111" s="39"/>
      <c r="F29111" s="39"/>
    </row>
    <row r="29112">
      <c r="D29112" s="39"/>
      <c r="E29112" s="39"/>
      <c r="F29112" s="39"/>
    </row>
    <row r="29113">
      <c r="D29113" s="39"/>
      <c r="E29113" s="39"/>
      <c r="F29113" s="39"/>
    </row>
    <row r="29114">
      <c r="D29114" s="39"/>
      <c r="E29114" s="39"/>
      <c r="F29114" s="39"/>
    </row>
    <row r="29115">
      <c r="D29115" s="39"/>
      <c r="E29115" s="39"/>
      <c r="F29115" s="39"/>
    </row>
    <row r="29116">
      <c r="D29116" s="39"/>
      <c r="E29116" s="39"/>
      <c r="F29116" s="39"/>
    </row>
    <row r="29117">
      <c r="D29117" s="39"/>
      <c r="E29117" s="39"/>
      <c r="F29117" s="39"/>
    </row>
    <row r="29118">
      <c r="D29118" s="39"/>
      <c r="E29118" s="39"/>
      <c r="F29118" s="39"/>
    </row>
    <row r="29119">
      <c r="D29119" s="39"/>
      <c r="E29119" s="39"/>
      <c r="F29119" s="39"/>
    </row>
    <row r="29120">
      <c r="D29120" s="39"/>
      <c r="E29120" s="39"/>
      <c r="F29120" s="39"/>
    </row>
    <row r="29121">
      <c r="D29121" s="39"/>
      <c r="E29121" s="39"/>
      <c r="F29121" s="39"/>
    </row>
    <row r="29122">
      <c r="D29122" s="39"/>
      <c r="E29122" s="39"/>
      <c r="F29122" s="39"/>
    </row>
    <row r="29123">
      <c r="D29123" s="39"/>
      <c r="E29123" s="39"/>
      <c r="F29123" s="39"/>
    </row>
    <row r="29124">
      <c r="D29124" s="39"/>
      <c r="E29124" s="39"/>
      <c r="F29124" s="39"/>
    </row>
    <row r="29125">
      <c r="D29125" s="39"/>
      <c r="E29125" s="39"/>
      <c r="F29125" s="39"/>
    </row>
    <row r="29126">
      <c r="D29126" s="39"/>
      <c r="E29126" s="39"/>
      <c r="F29126" s="39"/>
    </row>
    <row r="29127">
      <c r="D29127" s="39"/>
      <c r="E29127" s="39"/>
      <c r="F29127" s="39"/>
    </row>
    <row r="29128">
      <c r="D29128" s="39"/>
      <c r="E29128" s="39"/>
      <c r="F29128" s="39"/>
    </row>
    <row r="29129">
      <c r="D29129" s="39"/>
      <c r="E29129" s="39"/>
      <c r="F29129" s="39"/>
    </row>
    <row r="29130">
      <c r="D29130" s="39"/>
      <c r="E29130" s="39"/>
      <c r="F29130" s="39"/>
    </row>
    <row r="29131">
      <c r="D29131" s="39"/>
      <c r="E29131" s="39"/>
      <c r="F29131" s="39"/>
    </row>
    <row r="29132">
      <c r="D29132" s="39"/>
      <c r="E29132" s="39"/>
      <c r="F29132" s="39"/>
    </row>
    <row r="29133">
      <c r="D29133" s="39"/>
      <c r="E29133" s="39"/>
      <c r="F29133" s="39"/>
    </row>
    <row r="29134">
      <c r="D29134" s="39"/>
      <c r="E29134" s="39"/>
      <c r="F29134" s="39"/>
    </row>
    <row r="29135">
      <c r="D29135" s="39"/>
      <c r="E29135" s="39"/>
      <c r="F29135" s="39"/>
    </row>
    <row r="29136">
      <c r="D29136" s="39"/>
      <c r="E29136" s="39"/>
      <c r="F29136" s="39"/>
    </row>
    <row r="29137">
      <c r="D29137" s="39"/>
      <c r="E29137" s="39"/>
      <c r="F29137" s="39"/>
    </row>
    <row r="29138">
      <c r="D29138" s="39"/>
      <c r="E29138" s="39"/>
      <c r="F29138" s="39"/>
    </row>
    <row r="29139">
      <c r="D29139" s="39"/>
      <c r="E29139" s="39"/>
      <c r="F29139" s="39"/>
    </row>
    <row r="29140">
      <c r="D29140" s="39"/>
      <c r="E29140" s="39"/>
      <c r="F29140" s="39"/>
    </row>
    <row r="29141">
      <c r="D29141" s="39"/>
      <c r="E29141" s="39"/>
      <c r="F29141" s="39"/>
    </row>
    <row r="29142">
      <c r="D29142" s="39"/>
      <c r="E29142" s="39"/>
      <c r="F29142" s="39"/>
    </row>
    <row r="29143">
      <c r="D29143" s="39"/>
      <c r="E29143" s="39"/>
      <c r="F29143" s="39"/>
    </row>
    <row r="29144">
      <c r="D29144" s="39"/>
      <c r="E29144" s="39"/>
      <c r="F29144" s="39"/>
    </row>
    <row r="29145">
      <c r="D29145" s="39"/>
      <c r="E29145" s="39"/>
      <c r="F29145" s="39"/>
    </row>
    <row r="29146">
      <c r="D29146" s="39"/>
      <c r="E29146" s="39"/>
      <c r="F29146" s="39"/>
    </row>
    <row r="29147">
      <c r="D29147" s="39"/>
      <c r="E29147" s="39"/>
      <c r="F29147" s="39"/>
    </row>
    <row r="29148">
      <c r="D29148" s="39"/>
      <c r="E29148" s="39"/>
      <c r="F29148" s="39"/>
    </row>
    <row r="29149">
      <c r="D29149" s="39"/>
      <c r="E29149" s="39"/>
      <c r="F29149" s="39"/>
    </row>
    <row r="29150">
      <c r="D29150" s="39"/>
      <c r="E29150" s="39"/>
      <c r="F29150" s="39"/>
    </row>
    <row r="29151">
      <c r="D29151" s="39"/>
      <c r="E29151" s="39"/>
      <c r="F29151" s="39"/>
    </row>
    <row r="29152">
      <c r="D29152" s="39"/>
      <c r="E29152" s="39"/>
      <c r="F29152" s="39"/>
    </row>
    <row r="29153">
      <c r="D29153" s="39"/>
      <c r="E29153" s="39"/>
      <c r="F29153" s="39"/>
    </row>
    <row r="29154">
      <c r="D29154" s="39"/>
      <c r="E29154" s="39"/>
      <c r="F29154" s="39"/>
    </row>
    <row r="29155">
      <c r="D29155" s="39"/>
      <c r="E29155" s="39"/>
      <c r="F29155" s="39"/>
    </row>
    <row r="29156">
      <c r="D29156" s="39"/>
      <c r="E29156" s="39"/>
      <c r="F29156" s="39"/>
    </row>
    <row r="29157">
      <c r="D29157" s="39"/>
      <c r="E29157" s="39"/>
      <c r="F29157" s="39"/>
    </row>
    <row r="29158">
      <c r="D29158" s="39"/>
      <c r="E29158" s="39"/>
      <c r="F29158" s="39"/>
    </row>
    <row r="29159">
      <c r="D29159" s="39"/>
      <c r="E29159" s="39"/>
      <c r="F29159" s="39"/>
    </row>
    <row r="29160">
      <c r="D29160" s="39"/>
      <c r="E29160" s="39"/>
      <c r="F29160" s="39"/>
    </row>
    <row r="29161">
      <c r="D29161" s="39"/>
      <c r="E29161" s="39"/>
      <c r="F29161" s="39"/>
    </row>
    <row r="29162">
      <c r="D29162" s="39"/>
      <c r="E29162" s="39"/>
      <c r="F29162" s="39"/>
    </row>
    <row r="29163">
      <c r="D29163" s="39"/>
      <c r="E29163" s="39"/>
      <c r="F29163" s="39"/>
    </row>
    <row r="29164">
      <c r="D29164" s="39"/>
      <c r="E29164" s="39"/>
      <c r="F29164" s="39"/>
    </row>
    <row r="29165">
      <c r="D29165" s="39"/>
      <c r="E29165" s="39"/>
      <c r="F29165" s="39"/>
    </row>
    <row r="29166">
      <c r="D29166" s="39"/>
      <c r="E29166" s="39"/>
      <c r="F29166" s="39"/>
    </row>
    <row r="29167">
      <c r="D29167" s="39"/>
      <c r="E29167" s="39"/>
      <c r="F29167" s="39"/>
    </row>
    <row r="29168">
      <c r="D29168" s="39"/>
      <c r="E29168" s="39"/>
      <c r="F29168" s="39"/>
    </row>
    <row r="29169">
      <c r="D29169" s="39"/>
      <c r="E29169" s="39"/>
      <c r="F29169" s="39"/>
    </row>
    <row r="29170">
      <c r="D29170" s="39"/>
      <c r="E29170" s="39"/>
      <c r="F29170" s="39"/>
    </row>
    <row r="29171">
      <c r="D29171" s="39"/>
      <c r="E29171" s="39"/>
      <c r="F29171" s="39"/>
    </row>
    <row r="29172">
      <c r="D29172" s="39"/>
      <c r="E29172" s="39"/>
      <c r="F29172" s="39"/>
    </row>
    <row r="29173">
      <c r="D29173" s="39"/>
      <c r="E29173" s="39"/>
      <c r="F29173" s="39"/>
    </row>
    <row r="29174">
      <c r="D29174" s="39"/>
      <c r="E29174" s="39"/>
      <c r="F29174" s="39"/>
    </row>
    <row r="29175">
      <c r="D29175" s="39"/>
      <c r="E29175" s="39"/>
      <c r="F29175" s="39"/>
    </row>
    <row r="29176">
      <c r="D29176" s="39"/>
      <c r="E29176" s="39"/>
      <c r="F29176" s="39"/>
    </row>
    <row r="29177">
      <c r="D29177" s="39"/>
      <c r="E29177" s="39"/>
      <c r="F29177" s="39"/>
    </row>
    <row r="29178">
      <c r="D29178" s="39"/>
      <c r="E29178" s="39"/>
      <c r="F29178" s="39"/>
    </row>
    <row r="29179">
      <c r="D29179" s="39"/>
      <c r="E29179" s="39"/>
      <c r="F29179" s="39"/>
    </row>
    <row r="29180">
      <c r="D29180" s="39"/>
      <c r="E29180" s="39"/>
      <c r="F29180" s="39"/>
    </row>
    <row r="29181">
      <c r="D29181" s="39"/>
      <c r="E29181" s="39"/>
      <c r="F29181" s="39"/>
    </row>
    <row r="29182">
      <c r="D29182" s="39"/>
      <c r="E29182" s="39"/>
      <c r="F29182" s="39"/>
    </row>
    <row r="29183">
      <c r="D29183" s="39"/>
      <c r="E29183" s="39"/>
      <c r="F29183" s="39"/>
    </row>
    <row r="29184">
      <c r="D29184" s="39"/>
      <c r="E29184" s="39"/>
      <c r="F29184" s="39"/>
    </row>
    <row r="29185">
      <c r="D29185" s="39"/>
      <c r="E29185" s="39"/>
      <c r="F29185" s="39"/>
    </row>
    <row r="29186">
      <c r="D29186" s="39"/>
      <c r="E29186" s="39"/>
      <c r="F29186" s="39"/>
    </row>
    <row r="29187">
      <c r="D29187" s="39"/>
      <c r="E29187" s="39"/>
      <c r="F29187" s="39"/>
    </row>
    <row r="29188">
      <c r="D29188" s="39"/>
      <c r="E29188" s="39"/>
      <c r="F29188" s="39"/>
    </row>
    <row r="29189">
      <c r="D29189" s="39"/>
      <c r="E29189" s="39"/>
      <c r="F29189" s="39"/>
    </row>
    <row r="29190">
      <c r="D29190" s="39"/>
      <c r="E29190" s="39"/>
      <c r="F29190" s="39"/>
    </row>
    <row r="29191">
      <c r="D29191" s="39"/>
      <c r="E29191" s="39"/>
      <c r="F29191" s="39"/>
    </row>
    <row r="29192">
      <c r="D29192" s="39"/>
      <c r="E29192" s="39"/>
      <c r="F29192" s="39"/>
    </row>
    <row r="29193">
      <c r="D29193" s="39"/>
      <c r="E29193" s="39"/>
      <c r="F29193" s="39"/>
    </row>
    <row r="29194">
      <c r="D29194" s="39"/>
      <c r="E29194" s="39"/>
      <c r="F29194" s="39"/>
    </row>
    <row r="29195">
      <c r="D29195" s="39"/>
      <c r="E29195" s="39"/>
      <c r="F29195" s="39"/>
    </row>
    <row r="29196">
      <c r="D29196" s="39"/>
      <c r="E29196" s="39"/>
      <c r="F29196" s="39"/>
    </row>
    <row r="29197">
      <c r="D29197" s="39"/>
      <c r="E29197" s="39"/>
      <c r="F29197" s="39"/>
    </row>
    <row r="29198">
      <c r="D29198" s="39"/>
      <c r="E29198" s="39"/>
      <c r="F29198" s="39"/>
    </row>
    <row r="29199">
      <c r="D29199" s="39"/>
      <c r="E29199" s="39"/>
      <c r="F29199" s="39"/>
    </row>
    <row r="29200">
      <c r="D29200" s="39"/>
      <c r="E29200" s="39"/>
      <c r="F29200" s="39"/>
    </row>
    <row r="29201">
      <c r="D29201" s="39"/>
      <c r="E29201" s="39"/>
      <c r="F29201" s="39"/>
    </row>
    <row r="29202">
      <c r="D29202" s="39"/>
      <c r="E29202" s="39"/>
      <c r="F29202" s="39"/>
    </row>
    <row r="29203">
      <c r="D29203" s="39"/>
      <c r="E29203" s="39"/>
      <c r="F29203" s="39"/>
    </row>
    <row r="29204">
      <c r="D29204" s="39"/>
      <c r="E29204" s="39"/>
      <c r="F29204" s="39"/>
    </row>
    <row r="29205">
      <c r="D29205" s="39"/>
      <c r="E29205" s="39"/>
      <c r="F29205" s="39"/>
    </row>
    <row r="29206">
      <c r="D29206" s="39"/>
      <c r="E29206" s="39"/>
      <c r="F29206" s="39"/>
    </row>
    <row r="29207">
      <c r="D29207" s="39"/>
      <c r="E29207" s="39"/>
      <c r="F29207" s="39"/>
    </row>
    <row r="29208">
      <c r="D29208" s="39"/>
      <c r="E29208" s="39"/>
      <c r="F29208" s="39"/>
    </row>
    <row r="29209">
      <c r="D29209" s="39"/>
      <c r="E29209" s="39"/>
      <c r="F29209" s="39"/>
    </row>
    <row r="29210">
      <c r="D29210" s="39"/>
      <c r="E29210" s="39"/>
      <c r="F29210" s="39"/>
    </row>
    <row r="29211">
      <c r="D29211" s="39"/>
      <c r="E29211" s="39"/>
      <c r="F29211" s="39"/>
    </row>
    <row r="29212">
      <c r="D29212" s="39"/>
      <c r="E29212" s="39"/>
      <c r="F29212" s="39"/>
    </row>
    <row r="29213">
      <c r="D29213" s="39"/>
      <c r="E29213" s="39"/>
      <c r="F29213" s="39"/>
    </row>
    <row r="29214">
      <c r="D29214" s="39"/>
      <c r="E29214" s="39"/>
      <c r="F29214" s="39"/>
    </row>
    <row r="29215">
      <c r="D29215" s="39"/>
      <c r="E29215" s="39"/>
      <c r="F29215" s="39"/>
    </row>
    <row r="29216">
      <c r="D29216" s="39"/>
      <c r="E29216" s="39"/>
      <c r="F29216" s="39"/>
    </row>
    <row r="29217">
      <c r="D29217" s="39"/>
      <c r="E29217" s="39"/>
      <c r="F29217" s="39"/>
    </row>
    <row r="29218">
      <c r="D29218" s="39"/>
      <c r="E29218" s="39"/>
      <c r="F29218" s="39"/>
    </row>
    <row r="29219">
      <c r="D29219" s="39"/>
      <c r="E29219" s="39"/>
      <c r="F29219" s="39"/>
    </row>
    <row r="29220">
      <c r="D29220" s="39"/>
      <c r="E29220" s="39"/>
      <c r="F29220" s="39"/>
    </row>
    <row r="29221">
      <c r="D29221" s="39"/>
      <c r="E29221" s="39"/>
      <c r="F29221" s="39"/>
    </row>
    <row r="29222">
      <c r="D29222" s="39"/>
      <c r="E29222" s="39"/>
      <c r="F29222" s="39"/>
    </row>
    <row r="29223">
      <c r="D29223" s="39"/>
      <c r="E29223" s="39"/>
      <c r="F29223" s="39"/>
    </row>
    <row r="29224">
      <c r="D29224" s="39"/>
      <c r="E29224" s="39"/>
      <c r="F29224" s="39"/>
    </row>
    <row r="29225">
      <c r="D29225" s="39"/>
      <c r="E29225" s="39"/>
      <c r="F29225" s="39"/>
    </row>
    <row r="29226">
      <c r="D29226" s="39"/>
      <c r="E29226" s="39"/>
      <c r="F29226" s="39"/>
    </row>
    <row r="29227">
      <c r="D29227" s="39"/>
      <c r="E29227" s="39"/>
      <c r="F29227" s="39"/>
    </row>
    <row r="29228">
      <c r="D29228" s="39"/>
      <c r="E29228" s="39"/>
      <c r="F29228" s="39"/>
    </row>
    <row r="29229">
      <c r="D29229" s="39"/>
      <c r="E29229" s="39"/>
      <c r="F29229" s="39"/>
    </row>
    <row r="29230">
      <c r="D29230" s="39"/>
      <c r="E29230" s="39"/>
      <c r="F29230" s="39"/>
    </row>
    <row r="29231">
      <c r="D29231" s="39"/>
      <c r="E29231" s="39"/>
      <c r="F29231" s="39"/>
    </row>
    <row r="29232">
      <c r="D29232" s="39"/>
      <c r="E29232" s="39"/>
      <c r="F29232" s="39"/>
    </row>
    <row r="29233">
      <c r="D29233" s="39"/>
      <c r="E29233" s="39"/>
      <c r="F29233" s="39"/>
    </row>
    <row r="29234">
      <c r="D29234" s="39"/>
      <c r="E29234" s="39"/>
      <c r="F29234" s="39"/>
    </row>
    <row r="29235">
      <c r="D29235" s="39"/>
      <c r="E29235" s="39"/>
      <c r="F29235" s="39"/>
    </row>
    <row r="29236">
      <c r="D29236" s="39"/>
      <c r="E29236" s="39"/>
      <c r="F29236" s="39"/>
    </row>
    <row r="29237">
      <c r="D29237" s="39"/>
      <c r="E29237" s="39"/>
      <c r="F29237" s="39"/>
    </row>
    <row r="29238">
      <c r="D29238" s="39"/>
      <c r="E29238" s="39"/>
      <c r="F29238" s="39"/>
    </row>
    <row r="29239">
      <c r="D29239" s="39"/>
      <c r="E29239" s="39"/>
      <c r="F29239" s="39"/>
    </row>
    <row r="29240">
      <c r="D29240" s="39"/>
      <c r="E29240" s="39"/>
      <c r="F29240" s="39"/>
    </row>
    <row r="29241">
      <c r="D29241" s="39"/>
      <c r="E29241" s="39"/>
      <c r="F29241" s="39"/>
    </row>
    <row r="29242">
      <c r="D29242" s="39"/>
      <c r="E29242" s="39"/>
      <c r="F29242" s="39"/>
    </row>
    <row r="29243">
      <c r="D29243" s="39"/>
      <c r="E29243" s="39"/>
      <c r="F29243" s="39"/>
    </row>
    <row r="29244">
      <c r="D29244" s="39"/>
      <c r="E29244" s="39"/>
      <c r="F29244" s="39"/>
    </row>
    <row r="29245">
      <c r="D29245" s="39"/>
      <c r="E29245" s="39"/>
      <c r="F29245" s="39"/>
    </row>
    <row r="29246">
      <c r="D29246" s="39"/>
      <c r="E29246" s="39"/>
      <c r="F29246" s="39"/>
    </row>
    <row r="29247">
      <c r="D29247" s="39"/>
      <c r="E29247" s="39"/>
      <c r="F29247" s="39"/>
    </row>
    <row r="29248">
      <c r="D29248" s="39"/>
      <c r="E29248" s="39"/>
      <c r="F29248" s="39"/>
    </row>
    <row r="29249">
      <c r="D29249" s="39"/>
      <c r="E29249" s="39"/>
      <c r="F29249" s="39"/>
    </row>
    <row r="29250">
      <c r="D29250" s="39"/>
      <c r="E29250" s="39"/>
      <c r="F29250" s="39"/>
    </row>
    <row r="29251">
      <c r="D29251" s="39"/>
      <c r="E29251" s="39"/>
      <c r="F29251" s="39"/>
    </row>
    <row r="29252">
      <c r="D29252" s="39"/>
      <c r="E29252" s="39"/>
      <c r="F29252" s="39"/>
    </row>
    <row r="29253">
      <c r="D29253" s="39"/>
      <c r="E29253" s="39"/>
      <c r="F29253" s="39"/>
    </row>
    <row r="29254">
      <c r="D29254" s="39"/>
      <c r="E29254" s="39"/>
      <c r="F29254" s="39"/>
    </row>
    <row r="29255">
      <c r="D29255" s="39"/>
      <c r="E29255" s="39"/>
      <c r="F29255" s="39"/>
    </row>
    <row r="29256">
      <c r="D29256" s="39"/>
      <c r="E29256" s="39"/>
      <c r="F29256" s="39"/>
    </row>
    <row r="29257">
      <c r="D29257" s="39"/>
      <c r="E29257" s="39"/>
      <c r="F29257" s="39"/>
    </row>
    <row r="29258">
      <c r="D29258" s="39"/>
      <c r="E29258" s="39"/>
      <c r="F29258" s="39"/>
    </row>
    <row r="29259">
      <c r="D29259" s="39"/>
      <c r="E29259" s="39"/>
      <c r="F29259" s="39"/>
    </row>
    <row r="29260">
      <c r="D29260" s="39"/>
      <c r="E29260" s="39"/>
      <c r="F29260" s="39"/>
    </row>
    <row r="29261">
      <c r="D29261" s="39"/>
      <c r="E29261" s="39"/>
      <c r="F29261" s="39"/>
    </row>
    <row r="29262">
      <c r="D29262" s="39"/>
      <c r="E29262" s="39"/>
      <c r="F29262" s="39"/>
    </row>
    <row r="29263">
      <c r="D29263" s="39"/>
      <c r="E29263" s="39"/>
      <c r="F29263" s="39"/>
    </row>
    <row r="29264">
      <c r="D29264" s="39"/>
      <c r="E29264" s="39"/>
      <c r="F29264" s="39"/>
    </row>
    <row r="29265">
      <c r="D29265" s="39"/>
      <c r="E29265" s="39"/>
      <c r="F29265" s="39"/>
    </row>
    <row r="29266">
      <c r="D29266" s="39"/>
      <c r="E29266" s="39"/>
      <c r="F29266" s="39"/>
    </row>
    <row r="29267">
      <c r="D29267" s="39"/>
      <c r="E29267" s="39"/>
      <c r="F29267" s="39"/>
    </row>
    <row r="29268">
      <c r="D29268" s="39"/>
      <c r="E29268" s="39"/>
      <c r="F29268" s="39"/>
    </row>
    <row r="29269">
      <c r="D29269" s="39"/>
      <c r="E29269" s="39"/>
      <c r="F29269" s="39"/>
    </row>
    <row r="29270">
      <c r="D29270" s="39"/>
      <c r="E29270" s="39"/>
      <c r="F29270" s="39"/>
    </row>
    <row r="29271">
      <c r="D29271" s="39"/>
      <c r="E29271" s="39"/>
      <c r="F29271" s="39"/>
    </row>
    <row r="29272">
      <c r="D29272" s="39"/>
      <c r="E29272" s="39"/>
      <c r="F29272" s="39"/>
    </row>
    <row r="29273">
      <c r="D29273" s="39"/>
      <c r="E29273" s="39"/>
      <c r="F29273" s="39"/>
    </row>
    <row r="29274">
      <c r="D29274" s="39"/>
      <c r="E29274" s="39"/>
      <c r="F29274" s="39"/>
    </row>
    <row r="29275">
      <c r="D29275" s="39"/>
      <c r="E29275" s="39"/>
      <c r="F29275" s="39"/>
    </row>
    <row r="29276">
      <c r="D29276" s="39"/>
      <c r="E29276" s="39"/>
      <c r="F29276" s="39"/>
    </row>
    <row r="29277">
      <c r="D29277" s="39"/>
      <c r="E29277" s="39"/>
      <c r="F29277" s="39"/>
    </row>
    <row r="29278">
      <c r="D29278" s="39"/>
      <c r="E29278" s="39"/>
      <c r="F29278" s="39"/>
    </row>
    <row r="29279">
      <c r="D29279" s="39"/>
      <c r="E29279" s="39"/>
      <c r="F29279" s="39"/>
    </row>
    <row r="29280">
      <c r="D29280" s="39"/>
      <c r="E29280" s="39"/>
      <c r="F29280" s="39"/>
    </row>
    <row r="29281">
      <c r="D29281" s="39"/>
      <c r="E29281" s="39"/>
      <c r="F29281" s="39"/>
    </row>
    <row r="29282">
      <c r="D29282" s="39"/>
      <c r="E29282" s="39"/>
      <c r="F29282" s="39"/>
    </row>
    <row r="29283">
      <c r="D29283" s="39"/>
      <c r="E29283" s="39"/>
      <c r="F29283" s="39"/>
    </row>
    <row r="29284">
      <c r="D29284" s="39"/>
      <c r="E29284" s="39"/>
      <c r="F29284" s="39"/>
    </row>
    <row r="29285">
      <c r="D29285" s="39"/>
      <c r="E29285" s="39"/>
      <c r="F29285" s="39"/>
    </row>
    <row r="29286">
      <c r="D29286" s="39"/>
      <c r="E29286" s="39"/>
      <c r="F29286" s="39"/>
    </row>
    <row r="29287">
      <c r="D29287" s="39"/>
      <c r="E29287" s="39"/>
      <c r="F29287" s="39"/>
    </row>
    <row r="29288">
      <c r="D29288" s="39"/>
      <c r="E29288" s="39"/>
      <c r="F29288" s="39"/>
    </row>
    <row r="29289">
      <c r="D29289" s="39"/>
      <c r="E29289" s="39"/>
      <c r="F29289" s="39"/>
    </row>
    <row r="29290">
      <c r="D29290" s="39"/>
      <c r="E29290" s="39"/>
      <c r="F29290" s="39"/>
    </row>
    <row r="29291">
      <c r="D29291" s="39"/>
      <c r="E29291" s="39"/>
      <c r="F29291" s="39"/>
    </row>
    <row r="29292">
      <c r="D29292" s="39"/>
      <c r="E29292" s="39"/>
      <c r="F29292" s="39"/>
    </row>
    <row r="29293">
      <c r="D29293" s="39"/>
      <c r="E29293" s="39"/>
      <c r="F29293" s="39"/>
    </row>
    <row r="29294">
      <c r="D29294" s="39"/>
      <c r="E29294" s="39"/>
      <c r="F29294" s="39"/>
    </row>
    <row r="29295">
      <c r="D29295" s="39"/>
      <c r="E29295" s="39"/>
      <c r="F29295" s="39"/>
    </row>
    <row r="29296">
      <c r="D29296" s="39"/>
      <c r="E29296" s="39"/>
      <c r="F29296" s="39"/>
    </row>
    <row r="29297">
      <c r="D29297" s="39"/>
      <c r="E29297" s="39"/>
      <c r="F29297" s="39"/>
    </row>
    <row r="29298">
      <c r="D29298" s="39"/>
      <c r="E29298" s="39"/>
      <c r="F29298" s="39"/>
    </row>
    <row r="29299">
      <c r="D29299" s="39"/>
      <c r="E29299" s="39"/>
      <c r="F29299" s="39"/>
    </row>
    <row r="29300">
      <c r="D29300" s="39"/>
      <c r="E29300" s="39"/>
      <c r="F29300" s="39"/>
    </row>
    <row r="29301">
      <c r="D29301" s="39"/>
      <c r="E29301" s="39"/>
      <c r="F29301" s="39"/>
    </row>
    <row r="29302">
      <c r="D29302" s="39"/>
      <c r="E29302" s="39"/>
      <c r="F29302" s="39"/>
    </row>
    <row r="29303">
      <c r="D29303" s="39"/>
      <c r="E29303" s="39"/>
      <c r="F29303" s="39"/>
    </row>
    <row r="29304">
      <c r="D29304" s="39"/>
      <c r="E29304" s="39"/>
      <c r="F29304" s="39"/>
    </row>
    <row r="29305">
      <c r="D29305" s="39"/>
      <c r="E29305" s="39"/>
      <c r="F29305" s="39"/>
    </row>
    <row r="29306">
      <c r="D29306" s="39"/>
      <c r="E29306" s="39"/>
      <c r="F29306" s="39"/>
    </row>
    <row r="29307">
      <c r="D29307" s="39"/>
      <c r="E29307" s="39"/>
      <c r="F29307" s="39"/>
    </row>
    <row r="29308">
      <c r="D29308" s="39"/>
      <c r="E29308" s="39"/>
      <c r="F29308" s="39"/>
    </row>
    <row r="29309">
      <c r="D29309" s="39"/>
      <c r="E29309" s="39"/>
      <c r="F29309" s="39"/>
    </row>
    <row r="29310">
      <c r="D29310" s="39"/>
      <c r="E29310" s="39"/>
      <c r="F29310" s="39"/>
    </row>
    <row r="29311">
      <c r="D29311" s="39"/>
      <c r="E29311" s="39"/>
      <c r="F29311" s="39"/>
    </row>
    <row r="29312">
      <c r="D29312" s="39"/>
      <c r="E29312" s="39"/>
      <c r="F29312" s="39"/>
    </row>
    <row r="29313">
      <c r="D29313" s="39"/>
      <c r="E29313" s="39"/>
      <c r="F29313" s="39"/>
    </row>
    <row r="29314">
      <c r="D29314" s="39"/>
      <c r="E29314" s="39"/>
      <c r="F29314" s="39"/>
    </row>
    <row r="29315">
      <c r="D29315" s="39"/>
      <c r="E29315" s="39"/>
      <c r="F29315" s="39"/>
    </row>
    <row r="29316">
      <c r="D29316" s="39"/>
      <c r="E29316" s="39"/>
      <c r="F29316" s="39"/>
    </row>
    <row r="29317">
      <c r="D29317" s="39"/>
      <c r="E29317" s="39"/>
      <c r="F29317" s="39"/>
    </row>
    <row r="29318">
      <c r="D29318" s="39"/>
      <c r="E29318" s="39"/>
      <c r="F29318" s="39"/>
    </row>
    <row r="29319">
      <c r="D29319" s="39"/>
      <c r="E29319" s="39"/>
      <c r="F29319" s="39"/>
    </row>
    <row r="29320">
      <c r="D29320" s="39"/>
      <c r="E29320" s="39"/>
      <c r="F29320" s="39"/>
    </row>
    <row r="29321">
      <c r="D29321" s="39"/>
      <c r="E29321" s="39"/>
      <c r="F29321" s="39"/>
    </row>
    <row r="29322">
      <c r="D29322" s="39"/>
      <c r="E29322" s="39"/>
      <c r="F29322" s="39"/>
    </row>
    <row r="29323">
      <c r="D29323" s="39"/>
      <c r="E29323" s="39"/>
      <c r="F29323" s="39"/>
    </row>
    <row r="29324">
      <c r="D29324" s="39"/>
      <c r="E29324" s="39"/>
      <c r="F29324" s="39"/>
    </row>
    <row r="29325">
      <c r="D29325" s="39"/>
      <c r="E29325" s="39"/>
      <c r="F29325" s="39"/>
    </row>
    <row r="29326">
      <c r="D29326" s="39"/>
      <c r="E29326" s="39"/>
      <c r="F29326" s="39"/>
    </row>
    <row r="29327">
      <c r="D29327" s="39"/>
      <c r="E29327" s="39"/>
      <c r="F29327" s="39"/>
    </row>
    <row r="29328">
      <c r="D29328" s="39"/>
      <c r="E29328" s="39"/>
      <c r="F29328" s="39"/>
    </row>
    <row r="29329">
      <c r="D29329" s="39"/>
      <c r="E29329" s="39"/>
      <c r="F29329" s="39"/>
    </row>
    <row r="29330">
      <c r="D29330" s="39"/>
      <c r="E29330" s="39"/>
      <c r="F29330" s="39"/>
    </row>
    <row r="29331">
      <c r="D29331" s="39"/>
      <c r="E29331" s="39"/>
      <c r="F29331" s="39"/>
    </row>
    <row r="29332">
      <c r="D29332" s="39"/>
      <c r="E29332" s="39"/>
      <c r="F29332" s="39"/>
    </row>
    <row r="29333">
      <c r="D29333" s="39"/>
      <c r="E29333" s="39"/>
      <c r="F29333" s="39"/>
    </row>
    <row r="29334">
      <c r="D29334" s="39"/>
      <c r="E29334" s="39"/>
      <c r="F29334" s="39"/>
    </row>
    <row r="29335">
      <c r="D29335" s="39"/>
      <c r="E29335" s="39"/>
      <c r="F29335" s="39"/>
    </row>
    <row r="29336">
      <c r="D29336" s="39"/>
      <c r="E29336" s="39"/>
      <c r="F29336" s="39"/>
    </row>
    <row r="29337">
      <c r="D29337" s="39"/>
      <c r="E29337" s="39"/>
      <c r="F29337" s="39"/>
    </row>
    <row r="29338">
      <c r="D29338" s="39"/>
      <c r="E29338" s="39"/>
      <c r="F29338" s="39"/>
    </row>
    <row r="29339">
      <c r="D29339" s="39"/>
      <c r="E29339" s="39"/>
      <c r="F29339" s="39"/>
    </row>
    <row r="29340">
      <c r="D29340" s="39"/>
      <c r="E29340" s="39"/>
      <c r="F29340" s="39"/>
    </row>
    <row r="29341">
      <c r="D29341" s="39"/>
      <c r="E29341" s="39"/>
      <c r="F29341" s="39"/>
    </row>
    <row r="29342">
      <c r="D29342" s="39"/>
      <c r="E29342" s="39"/>
      <c r="F29342" s="39"/>
    </row>
    <row r="29343">
      <c r="D29343" s="39"/>
      <c r="E29343" s="39"/>
      <c r="F29343" s="39"/>
    </row>
    <row r="29344">
      <c r="D29344" s="39"/>
      <c r="E29344" s="39"/>
      <c r="F29344" s="39"/>
    </row>
    <row r="29345">
      <c r="D29345" s="39"/>
      <c r="E29345" s="39"/>
      <c r="F29345" s="39"/>
    </row>
    <row r="29346">
      <c r="D29346" s="39"/>
      <c r="E29346" s="39"/>
      <c r="F29346" s="39"/>
    </row>
    <row r="29347">
      <c r="D29347" s="39"/>
      <c r="E29347" s="39"/>
      <c r="F29347" s="39"/>
    </row>
    <row r="29348">
      <c r="D29348" s="39"/>
      <c r="E29348" s="39"/>
      <c r="F29348" s="39"/>
    </row>
    <row r="29349">
      <c r="D29349" s="39"/>
      <c r="E29349" s="39"/>
      <c r="F29349" s="39"/>
    </row>
    <row r="29350">
      <c r="D29350" s="39"/>
      <c r="E29350" s="39"/>
      <c r="F29350" s="39"/>
    </row>
    <row r="29351">
      <c r="D29351" s="39"/>
      <c r="E29351" s="39"/>
      <c r="F29351" s="39"/>
    </row>
    <row r="29352">
      <c r="D29352" s="39"/>
      <c r="E29352" s="39"/>
      <c r="F29352" s="39"/>
    </row>
    <row r="29353">
      <c r="D29353" s="39"/>
      <c r="E29353" s="39"/>
      <c r="F29353" s="39"/>
    </row>
    <row r="29354">
      <c r="D29354" s="39"/>
      <c r="E29354" s="39"/>
      <c r="F29354" s="39"/>
    </row>
    <row r="29355">
      <c r="D29355" s="39"/>
      <c r="E29355" s="39"/>
      <c r="F29355" s="39"/>
    </row>
    <row r="29356">
      <c r="D29356" s="39"/>
      <c r="E29356" s="39"/>
      <c r="F29356" s="39"/>
    </row>
    <row r="29357">
      <c r="D29357" s="39"/>
      <c r="E29357" s="39"/>
      <c r="F29357" s="39"/>
    </row>
    <row r="29358">
      <c r="D29358" s="39"/>
      <c r="E29358" s="39"/>
      <c r="F29358" s="39"/>
    </row>
    <row r="29359">
      <c r="D29359" s="39"/>
      <c r="E29359" s="39"/>
      <c r="F29359" s="39"/>
    </row>
    <row r="29360">
      <c r="D29360" s="39"/>
      <c r="E29360" s="39"/>
      <c r="F29360" s="39"/>
    </row>
    <row r="29361">
      <c r="D29361" s="39"/>
      <c r="E29361" s="39"/>
      <c r="F29361" s="39"/>
    </row>
    <row r="29362">
      <c r="D29362" s="39"/>
      <c r="E29362" s="39"/>
      <c r="F29362" s="39"/>
    </row>
    <row r="29363">
      <c r="D29363" s="39"/>
      <c r="E29363" s="39"/>
      <c r="F29363" s="39"/>
    </row>
    <row r="29364">
      <c r="D29364" s="39"/>
      <c r="E29364" s="39"/>
      <c r="F29364" s="39"/>
    </row>
    <row r="29365">
      <c r="D29365" s="39"/>
      <c r="E29365" s="39"/>
      <c r="F29365" s="39"/>
    </row>
    <row r="29366">
      <c r="D29366" s="39"/>
      <c r="E29366" s="39"/>
      <c r="F29366" s="39"/>
    </row>
    <row r="29367">
      <c r="D29367" s="39"/>
      <c r="E29367" s="39"/>
      <c r="F29367" s="39"/>
    </row>
    <row r="29368">
      <c r="D29368" s="39"/>
      <c r="E29368" s="39"/>
      <c r="F29368" s="39"/>
    </row>
    <row r="29369">
      <c r="D29369" s="39"/>
      <c r="E29369" s="39"/>
      <c r="F29369" s="39"/>
    </row>
    <row r="29370">
      <c r="D29370" s="39"/>
      <c r="E29370" s="39"/>
      <c r="F29370" s="39"/>
    </row>
    <row r="29371">
      <c r="D29371" s="39"/>
      <c r="E29371" s="39"/>
      <c r="F29371" s="39"/>
    </row>
    <row r="29372">
      <c r="D29372" s="39"/>
      <c r="E29372" s="39"/>
      <c r="F29372" s="39"/>
    </row>
    <row r="29373">
      <c r="D29373" s="39"/>
      <c r="E29373" s="39"/>
      <c r="F29373" s="39"/>
    </row>
    <row r="29374">
      <c r="D29374" s="39"/>
      <c r="E29374" s="39"/>
      <c r="F29374" s="39"/>
    </row>
    <row r="29375">
      <c r="D29375" s="39"/>
      <c r="E29375" s="39"/>
      <c r="F29375" s="39"/>
    </row>
    <row r="29376">
      <c r="D29376" s="39"/>
      <c r="E29376" s="39"/>
      <c r="F29376" s="39"/>
    </row>
    <row r="29377">
      <c r="D29377" s="39"/>
      <c r="E29377" s="39"/>
      <c r="F29377" s="39"/>
    </row>
    <row r="29378">
      <c r="D29378" s="39"/>
      <c r="E29378" s="39"/>
      <c r="F29378" s="39"/>
    </row>
    <row r="29379">
      <c r="D29379" s="39"/>
      <c r="E29379" s="39"/>
      <c r="F29379" s="39"/>
    </row>
    <row r="29380">
      <c r="D29380" s="39"/>
      <c r="E29380" s="39"/>
      <c r="F29380" s="39"/>
    </row>
    <row r="29381">
      <c r="D29381" s="39"/>
      <c r="E29381" s="39"/>
      <c r="F29381" s="39"/>
    </row>
    <row r="29382">
      <c r="D29382" s="39"/>
      <c r="E29382" s="39"/>
      <c r="F29382" s="39"/>
    </row>
    <row r="29383">
      <c r="D29383" s="39"/>
      <c r="E29383" s="39"/>
      <c r="F29383" s="39"/>
    </row>
    <row r="29384">
      <c r="D29384" s="39"/>
      <c r="E29384" s="39"/>
      <c r="F29384" s="39"/>
    </row>
    <row r="29385">
      <c r="D29385" s="39"/>
      <c r="E29385" s="39"/>
      <c r="F29385" s="39"/>
    </row>
    <row r="29386">
      <c r="D29386" s="39"/>
      <c r="E29386" s="39"/>
      <c r="F29386" s="39"/>
    </row>
    <row r="29387">
      <c r="D29387" s="39"/>
      <c r="E29387" s="39"/>
      <c r="F29387" s="39"/>
    </row>
    <row r="29388">
      <c r="D29388" s="39"/>
      <c r="E29388" s="39"/>
      <c r="F29388" s="39"/>
    </row>
    <row r="29389">
      <c r="D29389" s="39"/>
      <c r="E29389" s="39"/>
      <c r="F29389" s="39"/>
    </row>
    <row r="29390">
      <c r="D29390" s="39"/>
      <c r="E29390" s="39"/>
      <c r="F29390" s="39"/>
    </row>
    <row r="29391">
      <c r="D29391" s="39"/>
      <c r="E29391" s="39"/>
      <c r="F29391" s="39"/>
    </row>
    <row r="29392">
      <c r="D29392" s="39"/>
      <c r="E29392" s="39"/>
      <c r="F29392" s="39"/>
    </row>
    <row r="29393">
      <c r="D29393" s="39"/>
      <c r="E29393" s="39"/>
      <c r="F29393" s="39"/>
    </row>
    <row r="29394">
      <c r="D29394" s="39"/>
      <c r="E29394" s="39"/>
      <c r="F29394" s="39"/>
    </row>
    <row r="29395">
      <c r="D29395" s="39"/>
      <c r="E29395" s="39"/>
      <c r="F29395" s="39"/>
    </row>
    <row r="29396">
      <c r="D29396" s="39"/>
      <c r="E29396" s="39"/>
      <c r="F29396" s="39"/>
    </row>
    <row r="29397">
      <c r="D29397" s="39"/>
      <c r="E29397" s="39"/>
      <c r="F29397" s="39"/>
    </row>
    <row r="29398">
      <c r="D29398" s="39"/>
      <c r="E29398" s="39"/>
      <c r="F29398" s="39"/>
    </row>
    <row r="29399">
      <c r="D29399" s="39"/>
      <c r="E29399" s="39"/>
      <c r="F29399" s="39"/>
    </row>
    <row r="29400">
      <c r="D29400" s="39"/>
      <c r="E29400" s="39"/>
      <c r="F29400" s="39"/>
    </row>
    <row r="29401">
      <c r="D29401" s="39"/>
      <c r="E29401" s="39"/>
      <c r="F29401" s="39"/>
    </row>
    <row r="29402">
      <c r="D29402" s="39"/>
      <c r="E29402" s="39"/>
      <c r="F29402" s="39"/>
    </row>
    <row r="29403">
      <c r="D29403" s="39"/>
      <c r="E29403" s="39"/>
      <c r="F29403" s="39"/>
    </row>
    <row r="29404">
      <c r="D29404" s="39"/>
      <c r="E29404" s="39"/>
      <c r="F29404" s="39"/>
    </row>
    <row r="29405">
      <c r="D29405" s="39"/>
      <c r="E29405" s="39"/>
      <c r="F29405" s="39"/>
    </row>
    <row r="29406">
      <c r="D29406" s="39"/>
      <c r="E29406" s="39"/>
      <c r="F29406" s="39"/>
    </row>
    <row r="29407">
      <c r="D29407" s="39"/>
      <c r="E29407" s="39"/>
      <c r="F29407" s="39"/>
    </row>
    <row r="29408">
      <c r="D29408" s="39"/>
      <c r="E29408" s="39"/>
      <c r="F29408" s="39"/>
    </row>
    <row r="29409">
      <c r="D29409" s="39"/>
      <c r="E29409" s="39"/>
      <c r="F29409" s="39"/>
    </row>
    <row r="29410">
      <c r="D29410" s="39"/>
      <c r="E29410" s="39"/>
      <c r="F29410" s="39"/>
    </row>
    <row r="29411">
      <c r="D29411" s="39"/>
      <c r="E29411" s="39"/>
      <c r="F29411" s="39"/>
    </row>
    <row r="29412">
      <c r="D29412" s="39"/>
      <c r="E29412" s="39"/>
      <c r="F29412" s="39"/>
    </row>
    <row r="29413">
      <c r="D29413" s="39"/>
      <c r="E29413" s="39"/>
      <c r="F29413" s="39"/>
    </row>
    <row r="29414">
      <c r="D29414" s="39"/>
      <c r="E29414" s="39"/>
      <c r="F29414" s="39"/>
    </row>
    <row r="29415">
      <c r="D29415" s="39"/>
      <c r="E29415" s="39"/>
      <c r="F29415" s="39"/>
    </row>
    <row r="29416">
      <c r="D29416" s="39"/>
      <c r="E29416" s="39"/>
      <c r="F29416" s="39"/>
    </row>
    <row r="29417">
      <c r="D29417" s="39"/>
      <c r="E29417" s="39"/>
      <c r="F29417" s="39"/>
    </row>
    <row r="29418">
      <c r="D29418" s="39"/>
      <c r="E29418" s="39"/>
      <c r="F29418" s="39"/>
    </row>
    <row r="29419">
      <c r="D29419" s="39"/>
      <c r="E29419" s="39"/>
      <c r="F29419" s="39"/>
    </row>
    <row r="29420">
      <c r="D29420" s="39"/>
      <c r="E29420" s="39"/>
      <c r="F29420" s="39"/>
    </row>
    <row r="29421">
      <c r="D29421" s="39"/>
      <c r="E29421" s="39"/>
      <c r="F29421" s="39"/>
    </row>
    <row r="29422">
      <c r="D29422" s="39"/>
      <c r="E29422" s="39"/>
      <c r="F29422" s="39"/>
    </row>
    <row r="29423">
      <c r="D29423" s="39"/>
      <c r="E29423" s="39"/>
      <c r="F29423" s="39"/>
    </row>
    <row r="29424">
      <c r="D29424" s="39"/>
      <c r="E29424" s="39"/>
      <c r="F29424" s="39"/>
    </row>
    <row r="29425">
      <c r="D29425" s="39"/>
      <c r="E29425" s="39"/>
      <c r="F29425" s="39"/>
    </row>
    <row r="29426">
      <c r="D29426" s="39"/>
      <c r="E29426" s="39"/>
      <c r="F29426" s="39"/>
    </row>
    <row r="29427">
      <c r="D29427" s="39"/>
      <c r="E29427" s="39"/>
      <c r="F29427" s="39"/>
    </row>
    <row r="29428">
      <c r="D29428" s="39"/>
      <c r="E29428" s="39"/>
      <c r="F29428" s="39"/>
    </row>
    <row r="29429">
      <c r="D29429" s="39"/>
      <c r="E29429" s="39"/>
      <c r="F29429" s="39"/>
    </row>
    <row r="29430">
      <c r="D29430" s="39"/>
      <c r="E29430" s="39"/>
      <c r="F29430" s="39"/>
    </row>
    <row r="29431">
      <c r="D29431" s="39"/>
      <c r="E29431" s="39"/>
      <c r="F29431" s="39"/>
    </row>
    <row r="29432">
      <c r="D29432" s="39"/>
      <c r="E29432" s="39"/>
      <c r="F29432" s="39"/>
    </row>
    <row r="29433">
      <c r="D29433" s="39"/>
      <c r="E29433" s="39"/>
      <c r="F29433" s="39"/>
    </row>
    <row r="29434">
      <c r="D29434" s="39"/>
      <c r="E29434" s="39"/>
      <c r="F29434" s="39"/>
    </row>
    <row r="29435">
      <c r="D29435" s="39"/>
      <c r="E29435" s="39"/>
      <c r="F29435" s="39"/>
    </row>
    <row r="29436">
      <c r="D29436" s="39"/>
      <c r="E29436" s="39"/>
      <c r="F29436" s="39"/>
    </row>
    <row r="29437">
      <c r="D29437" s="39"/>
      <c r="E29437" s="39"/>
      <c r="F29437" s="39"/>
    </row>
    <row r="29438">
      <c r="D29438" s="39"/>
      <c r="E29438" s="39"/>
      <c r="F29438" s="39"/>
    </row>
    <row r="29439">
      <c r="D29439" s="39"/>
      <c r="E29439" s="39"/>
      <c r="F29439" s="39"/>
    </row>
    <row r="29440">
      <c r="D29440" s="39"/>
      <c r="E29440" s="39"/>
      <c r="F29440" s="39"/>
    </row>
    <row r="29441">
      <c r="D29441" s="39"/>
      <c r="E29441" s="39"/>
      <c r="F29441" s="39"/>
    </row>
    <row r="29442">
      <c r="D29442" s="39"/>
      <c r="E29442" s="39"/>
      <c r="F29442" s="39"/>
    </row>
    <row r="29443">
      <c r="D29443" s="39"/>
      <c r="E29443" s="39"/>
      <c r="F29443" s="39"/>
    </row>
    <row r="29444">
      <c r="D29444" s="39"/>
      <c r="E29444" s="39"/>
      <c r="F29444" s="39"/>
    </row>
    <row r="29445">
      <c r="D29445" s="39"/>
      <c r="E29445" s="39"/>
      <c r="F29445" s="39"/>
    </row>
    <row r="29446">
      <c r="D29446" s="39"/>
      <c r="E29446" s="39"/>
      <c r="F29446" s="39"/>
    </row>
    <row r="29447">
      <c r="D29447" s="39"/>
      <c r="E29447" s="39"/>
      <c r="F29447" s="39"/>
    </row>
    <row r="29448">
      <c r="D29448" s="39"/>
      <c r="E29448" s="39"/>
      <c r="F29448" s="39"/>
    </row>
    <row r="29449">
      <c r="D29449" s="39"/>
      <c r="E29449" s="39"/>
      <c r="F29449" s="39"/>
    </row>
    <row r="29450">
      <c r="D29450" s="39"/>
      <c r="E29450" s="39"/>
      <c r="F29450" s="39"/>
    </row>
    <row r="29451">
      <c r="D29451" s="39"/>
      <c r="E29451" s="39"/>
      <c r="F29451" s="39"/>
    </row>
    <row r="29452">
      <c r="D29452" s="39"/>
      <c r="E29452" s="39"/>
      <c r="F29452" s="39"/>
    </row>
    <row r="29453">
      <c r="D29453" s="39"/>
      <c r="E29453" s="39"/>
      <c r="F29453" s="39"/>
    </row>
    <row r="29454">
      <c r="D29454" s="39"/>
      <c r="E29454" s="39"/>
      <c r="F29454" s="39"/>
    </row>
    <row r="29455">
      <c r="D29455" s="39"/>
      <c r="E29455" s="39"/>
      <c r="F29455" s="39"/>
    </row>
    <row r="29456">
      <c r="D29456" s="39"/>
      <c r="E29456" s="39"/>
      <c r="F29456" s="39"/>
    </row>
    <row r="29457">
      <c r="D29457" s="39"/>
      <c r="E29457" s="39"/>
      <c r="F29457" s="39"/>
    </row>
    <row r="29458">
      <c r="D29458" s="39"/>
      <c r="E29458" s="39"/>
      <c r="F29458" s="39"/>
    </row>
    <row r="29459">
      <c r="D29459" s="39"/>
      <c r="E29459" s="39"/>
      <c r="F29459" s="39"/>
    </row>
    <row r="29460">
      <c r="D29460" s="39"/>
      <c r="E29460" s="39"/>
      <c r="F29460" s="39"/>
    </row>
    <row r="29461">
      <c r="D29461" s="39"/>
      <c r="E29461" s="39"/>
      <c r="F29461" s="39"/>
    </row>
    <row r="29462">
      <c r="D29462" s="39"/>
      <c r="E29462" s="39"/>
      <c r="F29462" s="39"/>
    </row>
    <row r="29463">
      <c r="D29463" s="39"/>
      <c r="E29463" s="39"/>
      <c r="F29463" s="39"/>
    </row>
    <row r="29464">
      <c r="D29464" s="39"/>
      <c r="E29464" s="39"/>
      <c r="F29464" s="39"/>
    </row>
    <row r="29465">
      <c r="D29465" s="39"/>
      <c r="E29465" s="39"/>
      <c r="F29465" s="39"/>
    </row>
    <row r="29466">
      <c r="D29466" s="39"/>
      <c r="E29466" s="39"/>
      <c r="F29466" s="39"/>
    </row>
    <row r="29467">
      <c r="D29467" s="39"/>
      <c r="E29467" s="39"/>
      <c r="F29467" s="39"/>
    </row>
    <row r="29468">
      <c r="D29468" s="39"/>
      <c r="E29468" s="39"/>
      <c r="F29468" s="39"/>
    </row>
    <row r="29469">
      <c r="D29469" s="39"/>
      <c r="E29469" s="39"/>
      <c r="F29469" s="39"/>
    </row>
    <row r="29470">
      <c r="D29470" s="39"/>
      <c r="E29470" s="39"/>
      <c r="F29470" s="39"/>
    </row>
    <row r="29471">
      <c r="D29471" s="39"/>
      <c r="E29471" s="39"/>
      <c r="F29471" s="39"/>
    </row>
    <row r="29472">
      <c r="D29472" s="39"/>
      <c r="E29472" s="39"/>
      <c r="F29472" s="39"/>
    </row>
    <row r="29473">
      <c r="D29473" s="39"/>
      <c r="E29473" s="39"/>
      <c r="F29473" s="39"/>
    </row>
    <row r="29474">
      <c r="D29474" s="39"/>
      <c r="E29474" s="39"/>
      <c r="F29474" s="39"/>
    </row>
    <row r="29475">
      <c r="D29475" s="39"/>
      <c r="E29475" s="39"/>
      <c r="F29475" s="39"/>
    </row>
    <row r="29476">
      <c r="D29476" s="39"/>
      <c r="E29476" s="39"/>
      <c r="F29476" s="39"/>
    </row>
    <row r="29477">
      <c r="D29477" s="39"/>
      <c r="E29477" s="39"/>
      <c r="F29477" s="39"/>
    </row>
    <row r="29478">
      <c r="D29478" s="39"/>
      <c r="E29478" s="39"/>
      <c r="F29478" s="39"/>
    </row>
    <row r="29479">
      <c r="D29479" s="39"/>
      <c r="E29479" s="39"/>
      <c r="F29479" s="39"/>
    </row>
    <row r="29480">
      <c r="D29480" s="39"/>
      <c r="E29480" s="39"/>
      <c r="F29480" s="39"/>
    </row>
    <row r="29481">
      <c r="D29481" s="39"/>
      <c r="E29481" s="39"/>
      <c r="F29481" s="39"/>
    </row>
    <row r="29482">
      <c r="D29482" s="39"/>
      <c r="E29482" s="39"/>
      <c r="F29482" s="39"/>
    </row>
    <row r="29483">
      <c r="D29483" s="39"/>
      <c r="E29483" s="39"/>
      <c r="F29483" s="39"/>
    </row>
    <row r="29484">
      <c r="D29484" s="39"/>
      <c r="E29484" s="39"/>
      <c r="F29484" s="39"/>
    </row>
    <row r="29485">
      <c r="D29485" s="39"/>
      <c r="E29485" s="39"/>
      <c r="F29485" s="39"/>
    </row>
    <row r="29486">
      <c r="D29486" s="39"/>
      <c r="E29486" s="39"/>
      <c r="F29486" s="39"/>
    </row>
    <row r="29487">
      <c r="D29487" s="39"/>
      <c r="E29487" s="39"/>
      <c r="F29487" s="39"/>
    </row>
    <row r="29488">
      <c r="D29488" s="39"/>
      <c r="E29488" s="39"/>
      <c r="F29488" s="39"/>
    </row>
    <row r="29489">
      <c r="D29489" s="39"/>
      <c r="E29489" s="39"/>
      <c r="F29489" s="39"/>
    </row>
    <row r="29490">
      <c r="D29490" s="39"/>
      <c r="E29490" s="39"/>
      <c r="F29490" s="39"/>
    </row>
    <row r="29491">
      <c r="D29491" s="39"/>
      <c r="E29491" s="39"/>
      <c r="F29491" s="39"/>
    </row>
    <row r="29492">
      <c r="D29492" s="39"/>
      <c r="E29492" s="39"/>
      <c r="F29492" s="39"/>
    </row>
    <row r="29493">
      <c r="D29493" s="39"/>
      <c r="E29493" s="39"/>
      <c r="F29493" s="39"/>
    </row>
    <row r="29494">
      <c r="D29494" s="39"/>
      <c r="E29494" s="39"/>
      <c r="F29494" s="39"/>
    </row>
    <row r="29495">
      <c r="D29495" s="39"/>
      <c r="E29495" s="39"/>
      <c r="F29495" s="39"/>
    </row>
    <row r="29496">
      <c r="D29496" s="39"/>
      <c r="E29496" s="39"/>
      <c r="F29496" s="39"/>
    </row>
    <row r="29497">
      <c r="D29497" s="39"/>
      <c r="E29497" s="39"/>
      <c r="F29497" s="39"/>
    </row>
    <row r="29498">
      <c r="D29498" s="39"/>
      <c r="E29498" s="39"/>
      <c r="F29498" s="39"/>
    </row>
    <row r="29499">
      <c r="D29499" s="39"/>
      <c r="E29499" s="39"/>
      <c r="F29499" s="39"/>
    </row>
    <row r="29500">
      <c r="D29500" s="39"/>
      <c r="E29500" s="39"/>
      <c r="F29500" s="39"/>
    </row>
    <row r="29501">
      <c r="D29501" s="39"/>
      <c r="E29501" s="39"/>
      <c r="F29501" s="39"/>
    </row>
    <row r="29502">
      <c r="D29502" s="39"/>
      <c r="E29502" s="39"/>
      <c r="F29502" s="39"/>
    </row>
    <row r="29503">
      <c r="D29503" s="39"/>
      <c r="E29503" s="39"/>
      <c r="F29503" s="39"/>
    </row>
    <row r="29504">
      <c r="D29504" s="39"/>
      <c r="E29504" s="39"/>
      <c r="F29504" s="39"/>
    </row>
    <row r="29505">
      <c r="D29505" s="39"/>
      <c r="E29505" s="39"/>
      <c r="F29505" s="39"/>
    </row>
    <row r="29506">
      <c r="D29506" s="39"/>
      <c r="E29506" s="39"/>
      <c r="F29506" s="39"/>
    </row>
    <row r="29507">
      <c r="D29507" s="39"/>
      <c r="E29507" s="39"/>
      <c r="F29507" s="39"/>
    </row>
    <row r="29508">
      <c r="D29508" s="39"/>
      <c r="E29508" s="39"/>
      <c r="F29508" s="39"/>
    </row>
    <row r="29509">
      <c r="D29509" s="39"/>
      <c r="E29509" s="39"/>
      <c r="F29509" s="39"/>
    </row>
    <row r="29510">
      <c r="D29510" s="39"/>
      <c r="E29510" s="39"/>
      <c r="F29510" s="39"/>
    </row>
    <row r="29511">
      <c r="D29511" s="39"/>
      <c r="E29511" s="39"/>
      <c r="F29511" s="39"/>
    </row>
    <row r="29512">
      <c r="D29512" s="39"/>
      <c r="E29512" s="39"/>
      <c r="F29512" s="39"/>
    </row>
    <row r="29513">
      <c r="D29513" s="39"/>
      <c r="E29513" s="39"/>
      <c r="F29513" s="39"/>
    </row>
    <row r="29514">
      <c r="D29514" s="39"/>
      <c r="E29514" s="39"/>
      <c r="F29514" s="39"/>
    </row>
    <row r="29515">
      <c r="D29515" s="39"/>
      <c r="E29515" s="39"/>
      <c r="F29515" s="39"/>
    </row>
    <row r="29516">
      <c r="D29516" s="39"/>
      <c r="E29516" s="39"/>
      <c r="F29516" s="39"/>
    </row>
    <row r="29517">
      <c r="D29517" s="39"/>
      <c r="E29517" s="39"/>
      <c r="F29517" s="39"/>
    </row>
    <row r="29518">
      <c r="D29518" s="39"/>
      <c r="E29518" s="39"/>
      <c r="F29518" s="39"/>
    </row>
    <row r="29519">
      <c r="D29519" s="39"/>
      <c r="E29519" s="39"/>
      <c r="F29519" s="39"/>
    </row>
    <row r="29520">
      <c r="D29520" s="39"/>
      <c r="E29520" s="39"/>
      <c r="F29520" s="39"/>
    </row>
    <row r="29521">
      <c r="D29521" s="39"/>
      <c r="E29521" s="39"/>
      <c r="F29521" s="39"/>
    </row>
    <row r="29522">
      <c r="D29522" s="39"/>
      <c r="E29522" s="39"/>
      <c r="F29522" s="39"/>
    </row>
    <row r="29523">
      <c r="D29523" s="39"/>
      <c r="E29523" s="39"/>
      <c r="F29523" s="39"/>
    </row>
    <row r="29524">
      <c r="D29524" s="39"/>
      <c r="E29524" s="39"/>
      <c r="F29524" s="39"/>
    </row>
    <row r="29525">
      <c r="D29525" s="39"/>
      <c r="E29525" s="39"/>
      <c r="F29525" s="39"/>
    </row>
    <row r="29526">
      <c r="D29526" s="39"/>
      <c r="E29526" s="39"/>
      <c r="F29526" s="39"/>
    </row>
    <row r="29527">
      <c r="D29527" s="39"/>
      <c r="E29527" s="39"/>
      <c r="F29527" s="39"/>
    </row>
    <row r="29528">
      <c r="D29528" s="39"/>
      <c r="E29528" s="39"/>
      <c r="F29528" s="39"/>
    </row>
    <row r="29529">
      <c r="D29529" s="39"/>
      <c r="E29529" s="39"/>
      <c r="F29529" s="39"/>
    </row>
    <row r="29530">
      <c r="D29530" s="39"/>
      <c r="E29530" s="39"/>
      <c r="F29530" s="39"/>
    </row>
    <row r="29531">
      <c r="D29531" s="39"/>
      <c r="E29531" s="39"/>
      <c r="F29531" s="39"/>
    </row>
    <row r="29532">
      <c r="D29532" s="39"/>
      <c r="E29532" s="39"/>
      <c r="F29532" s="39"/>
    </row>
    <row r="29533">
      <c r="D29533" s="39"/>
      <c r="E29533" s="39"/>
      <c r="F29533" s="39"/>
    </row>
    <row r="29534">
      <c r="D29534" s="39"/>
      <c r="E29534" s="39"/>
      <c r="F29534" s="39"/>
    </row>
    <row r="29535">
      <c r="D29535" s="39"/>
      <c r="E29535" s="39"/>
      <c r="F29535" s="39"/>
    </row>
    <row r="29536">
      <c r="D29536" s="39"/>
      <c r="E29536" s="39"/>
      <c r="F29536" s="39"/>
    </row>
    <row r="29537">
      <c r="D29537" s="39"/>
      <c r="E29537" s="39"/>
      <c r="F29537" s="39"/>
    </row>
    <row r="29538">
      <c r="D29538" s="39"/>
      <c r="E29538" s="39"/>
      <c r="F29538" s="39"/>
    </row>
    <row r="29539">
      <c r="D29539" s="39"/>
      <c r="E29539" s="39"/>
      <c r="F29539" s="39"/>
    </row>
    <row r="29540">
      <c r="D29540" s="39"/>
      <c r="E29540" s="39"/>
      <c r="F29540" s="39"/>
    </row>
    <row r="29541">
      <c r="D29541" s="39"/>
      <c r="E29541" s="39"/>
      <c r="F29541" s="39"/>
    </row>
    <row r="29542">
      <c r="D29542" s="39"/>
      <c r="E29542" s="39"/>
      <c r="F29542" s="39"/>
    </row>
    <row r="29543">
      <c r="D29543" s="39"/>
      <c r="E29543" s="39"/>
      <c r="F29543" s="39"/>
    </row>
    <row r="29544">
      <c r="D29544" s="39"/>
      <c r="E29544" s="39"/>
      <c r="F29544" s="39"/>
    </row>
    <row r="29545">
      <c r="D29545" s="39"/>
      <c r="E29545" s="39"/>
      <c r="F29545" s="39"/>
    </row>
    <row r="29546">
      <c r="D29546" s="39"/>
      <c r="E29546" s="39"/>
      <c r="F29546" s="39"/>
    </row>
    <row r="29547">
      <c r="D29547" s="39"/>
      <c r="E29547" s="39"/>
      <c r="F29547" s="39"/>
    </row>
    <row r="29548">
      <c r="D29548" s="39"/>
      <c r="E29548" s="39"/>
      <c r="F29548" s="39"/>
    </row>
    <row r="29549">
      <c r="D29549" s="39"/>
      <c r="E29549" s="39"/>
      <c r="F29549" s="39"/>
    </row>
    <row r="29550">
      <c r="D29550" s="39"/>
      <c r="E29550" s="39"/>
      <c r="F29550" s="39"/>
    </row>
    <row r="29551">
      <c r="D29551" s="39"/>
      <c r="E29551" s="39"/>
      <c r="F29551" s="39"/>
    </row>
    <row r="29552">
      <c r="D29552" s="39"/>
      <c r="E29552" s="39"/>
      <c r="F29552" s="39"/>
    </row>
    <row r="29553">
      <c r="D29553" s="39"/>
      <c r="E29553" s="39"/>
      <c r="F29553" s="39"/>
    </row>
    <row r="29554">
      <c r="D29554" s="39"/>
      <c r="E29554" s="39"/>
      <c r="F29554" s="39"/>
    </row>
    <row r="29555">
      <c r="D29555" s="39"/>
      <c r="E29555" s="39"/>
      <c r="F29555" s="39"/>
    </row>
    <row r="29556">
      <c r="D29556" s="39"/>
      <c r="E29556" s="39"/>
      <c r="F29556" s="39"/>
    </row>
    <row r="29557">
      <c r="D29557" s="39"/>
      <c r="E29557" s="39"/>
      <c r="F29557" s="39"/>
    </row>
    <row r="29558">
      <c r="D29558" s="39"/>
      <c r="E29558" s="39"/>
      <c r="F29558" s="39"/>
    </row>
    <row r="29559">
      <c r="D29559" s="39"/>
      <c r="E29559" s="39"/>
      <c r="F29559" s="39"/>
    </row>
    <row r="29560">
      <c r="D29560" s="39"/>
      <c r="E29560" s="39"/>
      <c r="F29560" s="39"/>
    </row>
    <row r="29561">
      <c r="D29561" s="39"/>
      <c r="E29561" s="39"/>
      <c r="F29561" s="39"/>
    </row>
    <row r="29562">
      <c r="D29562" s="39"/>
      <c r="E29562" s="39"/>
      <c r="F29562" s="39"/>
    </row>
    <row r="29563">
      <c r="D29563" s="39"/>
      <c r="E29563" s="39"/>
      <c r="F29563" s="39"/>
    </row>
    <row r="29564">
      <c r="D29564" s="39"/>
      <c r="E29564" s="39"/>
      <c r="F29564" s="39"/>
    </row>
    <row r="29565">
      <c r="D29565" s="39"/>
      <c r="E29565" s="39"/>
      <c r="F29565" s="39"/>
    </row>
    <row r="29566">
      <c r="D29566" s="39"/>
      <c r="E29566" s="39"/>
      <c r="F29566" s="39"/>
    </row>
    <row r="29567">
      <c r="D29567" s="39"/>
      <c r="E29567" s="39"/>
      <c r="F29567" s="39"/>
    </row>
    <row r="29568">
      <c r="D29568" s="39"/>
      <c r="E29568" s="39"/>
      <c r="F29568" s="39"/>
    </row>
    <row r="29569">
      <c r="D29569" s="39"/>
      <c r="E29569" s="39"/>
      <c r="F29569" s="39"/>
    </row>
    <row r="29570">
      <c r="D29570" s="39"/>
      <c r="E29570" s="39"/>
      <c r="F29570" s="39"/>
    </row>
    <row r="29571">
      <c r="D29571" s="39"/>
      <c r="E29571" s="39"/>
      <c r="F29571" s="39"/>
    </row>
    <row r="29572">
      <c r="D29572" s="39"/>
      <c r="E29572" s="39"/>
      <c r="F29572" s="39"/>
    </row>
    <row r="29573">
      <c r="D29573" s="39"/>
      <c r="E29573" s="39"/>
      <c r="F29573" s="39"/>
    </row>
    <row r="29574">
      <c r="D29574" s="39"/>
      <c r="E29574" s="39"/>
      <c r="F29574" s="39"/>
    </row>
    <row r="29575">
      <c r="D29575" s="39"/>
      <c r="E29575" s="39"/>
      <c r="F29575" s="39"/>
    </row>
    <row r="29576">
      <c r="D29576" s="39"/>
      <c r="E29576" s="39"/>
      <c r="F29576" s="39"/>
    </row>
    <row r="29577">
      <c r="D29577" s="39"/>
      <c r="E29577" s="39"/>
      <c r="F29577" s="39"/>
    </row>
    <row r="29578">
      <c r="D29578" s="39"/>
      <c r="E29578" s="39"/>
      <c r="F29578" s="39"/>
    </row>
    <row r="29579">
      <c r="D29579" s="39"/>
      <c r="E29579" s="39"/>
      <c r="F29579" s="39"/>
    </row>
    <row r="29580">
      <c r="D29580" s="39"/>
      <c r="E29580" s="39"/>
      <c r="F29580" s="39"/>
    </row>
    <row r="29581">
      <c r="D29581" s="39"/>
      <c r="E29581" s="39"/>
      <c r="F29581" s="39"/>
    </row>
    <row r="29582">
      <c r="D29582" s="39"/>
      <c r="E29582" s="39"/>
      <c r="F29582" s="39"/>
    </row>
    <row r="29583">
      <c r="D29583" s="39"/>
      <c r="E29583" s="39"/>
      <c r="F29583" s="39"/>
    </row>
    <row r="29584">
      <c r="D29584" s="39"/>
      <c r="E29584" s="39"/>
      <c r="F29584" s="39"/>
    </row>
    <row r="29585">
      <c r="D29585" s="39"/>
      <c r="E29585" s="39"/>
      <c r="F29585" s="39"/>
    </row>
    <row r="29586">
      <c r="D29586" s="39"/>
      <c r="E29586" s="39"/>
      <c r="F29586" s="39"/>
    </row>
    <row r="29587">
      <c r="D29587" s="39"/>
      <c r="E29587" s="39"/>
      <c r="F29587" s="39"/>
    </row>
    <row r="29588">
      <c r="D29588" s="39"/>
      <c r="E29588" s="39"/>
      <c r="F29588" s="39"/>
    </row>
    <row r="29589">
      <c r="D29589" s="39"/>
      <c r="E29589" s="39"/>
      <c r="F29589" s="39"/>
    </row>
    <row r="29590">
      <c r="D29590" s="39"/>
      <c r="E29590" s="39"/>
      <c r="F29590" s="39"/>
    </row>
    <row r="29591">
      <c r="D29591" s="39"/>
      <c r="E29591" s="39"/>
      <c r="F29591" s="39"/>
    </row>
    <row r="29592">
      <c r="D29592" s="39"/>
      <c r="E29592" s="39"/>
      <c r="F29592" s="39"/>
    </row>
    <row r="29593">
      <c r="D29593" s="39"/>
      <c r="E29593" s="39"/>
      <c r="F29593" s="39"/>
    </row>
    <row r="29594">
      <c r="D29594" s="39"/>
      <c r="E29594" s="39"/>
      <c r="F29594" s="39"/>
    </row>
    <row r="29595">
      <c r="D29595" s="39"/>
      <c r="E29595" s="39"/>
      <c r="F29595" s="39"/>
    </row>
    <row r="29596">
      <c r="D29596" s="39"/>
      <c r="E29596" s="39"/>
      <c r="F29596" s="39"/>
    </row>
    <row r="29597">
      <c r="D29597" s="39"/>
      <c r="E29597" s="39"/>
      <c r="F29597" s="39"/>
    </row>
    <row r="29598">
      <c r="D29598" s="39"/>
      <c r="E29598" s="39"/>
      <c r="F29598" s="39"/>
    </row>
    <row r="29599">
      <c r="D29599" s="39"/>
      <c r="E29599" s="39"/>
      <c r="F29599" s="39"/>
    </row>
    <row r="29600">
      <c r="D29600" s="39"/>
      <c r="E29600" s="39"/>
      <c r="F29600" s="39"/>
    </row>
    <row r="29601">
      <c r="D29601" s="39"/>
      <c r="E29601" s="39"/>
      <c r="F29601" s="39"/>
    </row>
    <row r="29602">
      <c r="D29602" s="39"/>
      <c r="E29602" s="39"/>
      <c r="F29602" s="39"/>
    </row>
    <row r="29603">
      <c r="D29603" s="39"/>
      <c r="E29603" s="39"/>
      <c r="F29603" s="39"/>
    </row>
    <row r="29604">
      <c r="D29604" s="39"/>
      <c r="E29604" s="39"/>
      <c r="F29604" s="39"/>
    </row>
    <row r="29605">
      <c r="D29605" s="39"/>
      <c r="E29605" s="39"/>
      <c r="F29605" s="39"/>
    </row>
    <row r="29606">
      <c r="D29606" s="39"/>
      <c r="E29606" s="39"/>
      <c r="F29606" s="39"/>
    </row>
    <row r="29607">
      <c r="D29607" s="39"/>
      <c r="E29607" s="39"/>
      <c r="F29607" s="39"/>
    </row>
    <row r="29608">
      <c r="D29608" s="39"/>
      <c r="E29608" s="39"/>
      <c r="F29608" s="39"/>
    </row>
    <row r="29609">
      <c r="D29609" s="39"/>
      <c r="E29609" s="39"/>
      <c r="F29609" s="39"/>
    </row>
    <row r="29610">
      <c r="D29610" s="39"/>
      <c r="E29610" s="39"/>
      <c r="F29610" s="39"/>
    </row>
    <row r="29611">
      <c r="D29611" s="39"/>
      <c r="E29611" s="39"/>
      <c r="F29611" s="39"/>
    </row>
    <row r="29612">
      <c r="D29612" s="39"/>
      <c r="E29612" s="39"/>
      <c r="F29612" s="39"/>
    </row>
    <row r="29613">
      <c r="D29613" s="39"/>
      <c r="E29613" s="39"/>
      <c r="F29613" s="39"/>
    </row>
    <row r="29614">
      <c r="D29614" s="39"/>
      <c r="E29614" s="39"/>
      <c r="F29614" s="39"/>
    </row>
    <row r="29615">
      <c r="D29615" s="39"/>
      <c r="E29615" s="39"/>
      <c r="F29615" s="39"/>
    </row>
    <row r="29616">
      <c r="D29616" s="39"/>
      <c r="E29616" s="39"/>
      <c r="F29616" s="39"/>
    </row>
    <row r="29617">
      <c r="D29617" s="39"/>
      <c r="E29617" s="39"/>
      <c r="F29617" s="39"/>
    </row>
    <row r="29618">
      <c r="D29618" s="39"/>
      <c r="E29618" s="39"/>
      <c r="F29618" s="39"/>
    </row>
    <row r="29619">
      <c r="D29619" s="39"/>
      <c r="E29619" s="39"/>
      <c r="F29619" s="39"/>
    </row>
    <row r="29620">
      <c r="D29620" s="39"/>
      <c r="E29620" s="39"/>
      <c r="F29620" s="39"/>
    </row>
    <row r="29621">
      <c r="D29621" s="39"/>
      <c r="E29621" s="39"/>
      <c r="F29621" s="39"/>
    </row>
    <row r="29622">
      <c r="D29622" s="39"/>
      <c r="E29622" s="39"/>
      <c r="F29622" s="39"/>
    </row>
    <row r="29623">
      <c r="D29623" s="39"/>
      <c r="E29623" s="39"/>
      <c r="F29623" s="39"/>
    </row>
    <row r="29624">
      <c r="D29624" s="39"/>
      <c r="E29624" s="39"/>
      <c r="F29624" s="39"/>
    </row>
    <row r="29625">
      <c r="D29625" s="39"/>
      <c r="E29625" s="39"/>
      <c r="F29625" s="39"/>
    </row>
    <row r="29626">
      <c r="D29626" s="39"/>
      <c r="E29626" s="39"/>
      <c r="F29626" s="39"/>
    </row>
    <row r="29627">
      <c r="D29627" s="39"/>
      <c r="E29627" s="39"/>
      <c r="F29627" s="39"/>
    </row>
    <row r="29628">
      <c r="D29628" s="39"/>
      <c r="E29628" s="39"/>
      <c r="F29628" s="39"/>
    </row>
    <row r="29629">
      <c r="D29629" s="39"/>
      <c r="E29629" s="39"/>
      <c r="F29629" s="39"/>
    </row>
    <row r="29630">
      <c r="D29630" s="39"/>
      <c r="E29630" s="39"/>
      <c r="F29630" s="39"/>
    </row>
    <row r="29631">
      <c r="D29631" s="39"/>
      <c r="E29631" s="39"/>
      <c r="F29631" s="39"/>
    </row>
    <row r="29632">
      <c r="D29632" s="39"/>
      <c r="E29632" s="39"/>
      <c r="F29632" s="39"/>
    </row>
    <row r="29633">
      <c r="D29633" s="39"/>
      <c r="E29633" s="39"/>
      <c r="F29633" s="39"/>
    </row>
    <row r="29634">
      <c r="D29634" s="39"/>
      <c r="E29634" s="39"/>
      <c r="F29634" s="39"/>
    </row>
    <row r="29635">
      <c r="D29635" s="39"/>
      <c r="E29635" s="39"/>
      <c r="F29635" s="39"/>
    </row>
    <row r="29636">
      <c r="D29636" s="39"/>
      <c r="E29636" s="39"/>
      <c r="F29636" s="39"/>
    </row>
    <row r="29637">
      <c r="D29637" s="39"/>
      <c r="E29637" s="39"/>
      <c r="F29637" s="39"/>
    </row>
    <row r="29638">
      <c r="D29638" s="39"/>
      <c r="E29638" s="39"/>
      <c r="F29638" s="39"/>
    </row>
    <row r="29639">
      <c r="D29639" s="39"/>
      <c r="E29639" s="39"/>
      <c r="F29639" s="39"/>
    </row>
    <row r="29640">
      <c r="D29640" s="39"/>
      <c r="E29640" s="39"/>
      <c r="F29640" s="39"/>
    </row>
    <row r="29641">
      <c r="D29641" s="39"/>
      <c r="E29641" s="39"/>
      <c r="F29641" s="39"/>
    </row>
    <row r="29642">
      <c r="D29642" s="39"/>
      <c r="E29642" s="39"/>
      <c r="F29642" s="39"/>
    </row>
    <row r="29643">
      <c r="D29643" s="39"/>
      <c r="E29643" s="39"/>
      <c r="F29643" s="39"/>
    </row>
    <row r="29644">
      <c r="D29644" s="39"/>
      <c r="E29644" s="39"/>
      <c r="F29644" s="39"/>
    </row>
    <row r="29645">
      <c r="D29645" s="39"/>
      <c r="E29645" s="39"/>
      <c r="F29645" s="39"/>
    </row>
    <row r="29646">
      <c r="D29646" s="39"/>
      <c r="E29646" s="39"/>
      <c r="F29646" s="39"/>
    </row>
    <row r="29647">
      <c r="D29647" s="39"/>
      <c r="E29647" s="39"/>
      <c r="F29647" s="39"/>
    </row>
    <row r="29648">
      <c r="D29648" s="39"/>
      <c r="E29648" s="39"/>
      <c r="F29648" s="39"/>
    </row>
    <row r="29649">
      <c r="D29649" s="39"/>
      <c r="E29649" s="39"/>
      <c r="F29649" s="39"/>
    </row>
    <row r="29650">
      <c r="D29650" s="39"/>
      <c r="E29650" s="39"/>
      <c r="F29650" s="39"/>
    </row>
    <row r="29651">
      <c r="D29651" s="39"/>
      <c r="E29651" s="39"/>
      <c r="F29651" s="39"/>
    </row>
    <row r="29652">
      <c r="D29652" s="39"/>
      <c r="E29652" s="39"/>
      <c r="F29652" s="39"/>
    </row>
    <row r="29653">
      <c r="D29653" s="39"/>
      <c r="E29653" s="39"/>
      <c r="F29653" s="39"/>
    </row>
    <row r="29654">
      <c r="D29654" s="39"/>
      <c r="E29654" s="39"/>
      <c r="F29654" s="39"/>
    </row>
    <row r="29655">
      <c r="D29655" s="39"/>
      <c r="E29655" s="39"/>
      <c r="F29655" s="39"/>
    </row>
    <row r="29656">
      <c r="D29656" s="39"/>
      <c r="E29656" s="39"/>
      <c r="F29656" s="39"/>
    </row>
    <row r="29657">
      <c r="D29657" s="39"/>
      <c r="E29657" s="39"/>
      <c r="F29657" s="39"/>
    </row>
    <row r="29658">
      <c r="D29658" s="39"/>
      <c r="E29658" s="39"/>
      <c r="F29658" s="39"/>
    </row>
    <row r="29659">
      <c r="D29659" s="39"/>
      <c r="E29659" s="39"/>
      <c r="F29659" s="39"/>
    </row>
    <row r="29660">
      <c r="D29660" s="39"/>
      <c r="E29660" s="39"/>
      <c r="F29660" s="39"/>
    </row>
    <row r="29661">
      <c r="D29661" s="39"/>
      <c r="E29661" s="39"/>
      <c r="F29661" s="39"/>
    </row>
    <row r="29662">
      <c r="D29662" s="39"/>
      <c r="E29662" s="39"/>
      <c r="F29662" s="39"/>
    </row>
    <row r="29663">
      <c r="D29663" s="39"/>
      <c r="E29663" s="39"/>
      <c r="F29663" s="39"/>
    </row>
    <row r="29664">
      <c r="D29664" s="39"/>
      <c r="E29664" s="39"/>
      <c r="F29664" s="39"/>
    </row>
    <row r="29665">
      <c r="D29665" s="39"/>
      <c r="E29665" s="39"/>
      <c r="F29665" s="39"/>
    </row>
    <row r="29666">
      <c r="D29666" s="39"/>
      <c r="E29666" s="39"/>
      <c r="F29666" s="39"/>
    </row>
    <row r="29667">
      <c r="D29667" s="39"/>
      <c r="E29667" s="39"/>
      <c r="F29667" s="39"/>
    </row>
    <row r="29668">
      <c r="D29668" s="39"/>
      <c r="E29668" s="39"/>
      <c r="F29668" s="39"/>
    </row>
    <row r="29669">
      <c r="D29669" s="39"/>
      <c r="E29669" s="39"/>
      <c r="F29669" s="39"/>
    </row>
    <row r="29670">
      <c r="D29670" s="39"/>
      <c r="E29670" s="39"/>
      <c r="F29670" s="39"/>
    </row>
    <row r="29671">
      <c r="D29671" s="39"/>
      <c r="E29671" s="39"/>
      <c r="F29671" s="39"/>
    </row>
    <row r="29672">
      <c r="D29672" s="39"/>
      <c r="E29672" s="39"/>
      <c r="F29672" s="39"/>
    </row>
    <row r="29673">
      <c r="D29673" s="39"/>
      <c r="E29673" s="39"/>
      <c r="F29673" s="39"/>
    </row>
    <row r="29674">
      <c r="D29674" s="39"/>
      <c r="E29674" s="39"/>
      <c r="F29674" s="39"/>
    </row>
    <row r="29675">
      <c r="D29675" s="39"/>
      <c r="E29675" s="39"/>
      <c r="F29675" s="39"/>
    </row>
    <row r="29676">
      <c r="D29676" s="39"/>
      <c r="E29676" s="39"/>
      <c r="F29676" s="39"/>
    </row>
    <row r="29677">
      <c r="D29677" s="39"/>
      <c r="E29677" s="39"/>
      <c r="F29677" s="39"/>
    </row>
    <row r="29678">
      <c r="D29678" s="39"/>
      <c r="E29678" s="39"/>
      <c r="F29678" s="39"/>
    </row>
    <row r="29679">
      <c r="D29679" s="39"/>
      <c r="E29679" s="39"/>
      <c r="F29679" s="39"/>
    </row>
    <row r="29680">
      <c r="D29680" s="39"/>
      <c r="E29680" s="39"/>
      <c r="F29680" s="39"/>
    </row>
    <row r="29681">
      <c r="D29681" s="39"/>
      <c r="E29681" s="39"/>
      <c r="F29681" s="39"/>
    </row>
    <row r="29682">
      <c r="D29682" s="39"/>
      <c r="E29682" s="39"/>
      <c r="F29682" s="39"/>
    </row>
    <row r="29683">
      <c r="D29683" s="39"/>
      <c r="E29683" s="39"/>
      <c r="F29683" s="39"/>
    </row>
    <row r="29684">
      <c r="D29684" s="39"/>
      <c r="E29684" s="39"/>
      <c r="F29684" s="39"/>
    </row>
    <row r="29685">
      <c r="D29685" s="39"/>
      <c r="E29685" s="39"/>
      <c r="F29685" s="39"/>
    </row>
    <row r="29686">
      <c r="D29686" s="39"/>
      <c r="E29686" s="39"/>
      <c r="F29686" s="39"/>
    </row>
    <row r="29687">
      <c r="D29687" s="39"/>
      <c r="E29687" s="39"/>
      <c r="F29687" s="39"/>
    </row>
    <row r="29688">
      <c r="D29688" s="39"/>
      <c r="E29688" s="39"/>
      <c r="F29688" s="39"/>
    </row>
    <row r="29689">
      <c r="D29689" s="39"/>
      <c r="E29689" s="39"/>
      <c r="F29689" s="39"/>
    </row>
    <row r="29690">
      <c r="D29690" s="39"/>
      <c r="E29690" s="39"/>
      <c r="F29690" s="39"/>
    </row>
    <row r="29691">
      <c r="D29691" s="39"/>
      <c r="E29691" s="39"/>
      <c r="F29691" s="39"/>
    </row>
    <row r="29692">
      <c r="D29692" s="39"/>
      <c r="E29692" s="39"/>
      <c r="F29692" s="39"/>
    </row>
    <row r="29693">
      <c r="D29693" s="39"/>
      <c r="E29693" s="39"/>
      <c r="F29693" s="39"/>
    </row>
    <row r="29694">
      <c r="D29694" s="39"/>
      <c r="E29694" s="39"/>
      <c r="F29694" s="39"/>
    </row>
    <row r="29695">
      <c r="D29695" s="39"/>
      <c r="E29695" s="39"/>
      <c r="F29695" s="39"/>
    </row>
    <row r="29696">
      <c r="D29696" s="39"/>
      <c r="E29696" s="39"/>
      <c r="F29696" s="39"/>
    </row>
    <row r="29697">
      <c r="D29697" s="39"/>
      <c r="E29697" s="39"/>
      <c r="F29697" s="39"/>
    </row>
    <row r="29698">
      <c r="D29698" s="39"/>
      <c r="E29698" s="39"/>
      <c r="F29698" s="39"/>
    </row>
    <row r="29699">
      <c r="D29699" s="39"/>
      <c r="E29699" s="39"/>
      <c r="F29699" s="39"/>
    </row>
    <row r="29700">
      <c r="D29700" s="39"/>
      <c r="E29700" s="39"/>
      <c r="F29700" s="39"/>
    </row>
    <row r="29701">
      <c r="D29701" s="39"/>
      <c r="E29701" s="39"/>
      <c r="F29701" s="39"/>
    </row>
    <row r="29702">
      <c r="D29702" s="39"/>
      <c r="E29702" s="39"/>
      <c r="F29702" s="39"/>
    </row>
    <row r="29703">
      <c r="D29703" s="39"/>
      <c r="E29703" s="39"/>
      <c r="F29703" s="39"/>
    </row>
    <row r="29704">
      <c r="D29704" s="39"/>
      <c r="E29704" s="39"/>
      <c r="F29704" s="39"/>
    </row>
    <row r="29705">
      <c r="D29705" s="39"/>
      <c r="E29705" s="39"/>
      <c r="F29705" s="39"/>
    </row>
    <row r="29706">
      <c r="D29706" s="39"/>
      <c r="E29706" s="39"/>
      <c r="F29706" s="39"/>
    </row>
    <row r="29707">
      <c r="D29707" s="39"/>
      <c r="E29707" s="39"/>
      <c r="F29707" s="39"/>
    </row>
    <row r="29708">
      <c r="D29708" s="39"/>
      <c r="E29708" s="39"/>
      <c r="F29708" s="39"/>
    </row>
    <row r="29709">
      <c r="D29709" s="39"/>
      <c r="E29709" s="39"/>
      <c r="F29709" s="39"/>
    </row>
    <row r="29710">
      <c r="D29710" s="39"/>
      <c r="E29710" s="39"/>
      <c r="F29710" s="39"/>
    </row>
    <row r="29711">
      <c r="D29711" s="39"/>
      <c r="E29711" s="39"/>
      <c r="F29711" s="39"/>
    </row>
    <row r="29712">
      <c r="D29712" s="39"/>
      <c r="E29712" s="39"/>
      <c r="F29712" s="39"/>
    </row>
    <row r="29713">
      <c r="D29713" s="39"/>
      <c r="E29713" s="39"/>
      <c r="F29713" s="39"/>
    </row>
    <row r="29714">
      <c r="D29714" s="39"/>
      <c r="E29714" s="39"/>
      <c r="F29714" s="39"/>
    </row>
    <row r="29715">
      <c r="D29715" s="39"/>
      <c r="E29715" s="39"/>
      <c r="F29715" s="39"/>
    </row>
    <row r="29716">
      <c r="D29716" s="39"/>
      <c r="E29716" s="39"/>
      <c r="F29716" s="39"/>
    </row>
    <row r="29717">
      <c r="D29717" s="39"/>
      <c r="E29717" s="39"/>
      <c r="F29717" s="39"/>
    </row>
    <row r="29718">
      <c r="D29718" s="39"/>
      <c r="E29718" s="39"/>
      <c r="F29718" s="39"/>
    </row>
    <row r="29719">
      <c r="D29719" s="39"/>
      <c r="E29719" s="39"/>
      <c r="F29719" s="39"/>
    </row>
    <row r="29720">
      <c r="D29720" s="39"/>
      <c r="E29720" s="39"/>
      <c r="F29720" s="39"/>
    </row>
    <row r="29721">
      <c r="D29721" s="39"/>
      <c r="E29721" s="39"/>
      <c r="F29721" s="39"/>
    </row>
    <row r="29722">
      <c r="D29722" s="39"/>
      <c r="E29722" s="39"/>
      <c r="F29722" s="39"/>
    </row>
    <row r="29723">
      <c r="D29723" s="39"/>
      <c r="E29723" s="39"/>
      <c r="F29723" s="39"/>
    </row>
    <row r="29724">
      <c r="D29724" s="39"/>
      <c r="E29724" s="39"/>
      <c r="F29724" s="39"/>
    </row>
    <row r="29725">
      <c r="D29725" s="39"/>
      <c r="E29725" s="39"/>
      <c r="F29725" s="39"/>
    </row>
    <row r="29726">
      <c r="D29726" s="39"/>
      <c r="E29726" s="39"/>
      <c r="F29726" s="39"/>
    </row>
    <row r="29727">
      <c r="D29727" s="39"/>
      <c r="E29727" s="39"/>
      <c r="F29727" s="39"/>
    </row>
    <row r="29728">
      <c r="D29728" s="39"/>
      <c r="E29728" s="39"/>
      <c r="F29728" s="39"/>
    </row>
    <row r="29729">
      <c r="D29729" s="39"/>
      <c r="E29729" s="39"/>
      <c r="F29729" s="39"/>
    </row>
    <row r="29730">
      <c r="D29730" s="39"/>
      <c r="E29730" s="39"/>
      <c r="F29730" s="39"/>
    </row>
    <row r="29731">
      <c r="D29731" s="39"/>
      <c r="E29731" s="39"/>
      <c r="F29731" s="39"/>
    </row>
    <row r="29732">
      <c r="D29732" s="39"/>
      <c r="E29732" s="39"/>
      <c r="F29732" s="39"/>
    </row>
    <row r="29733">
      <c r="D29733" s="39"/>
      <c r="E29733" s="39"/>
      <c r="F29733" s="39"/>
    </row>
    <row r="29734">
      <c r="D29734" s="39"/>
      <c r="E29734" s="39"/>
      <c r="F29734" s="39"/>
    </row>
    <row r="29735">
      <c r="D29735" s="39"/>
      <c r="E29735" s="39"/>
      <c r="F29735" s="39"/>
    </row>
    <row r="29736">
      <c r="D29736" s="39"/>
      <c r="E29736" s="39"/>
      <c r="F29736" s="39"/>
    </row>
    <row r="29737">
      <c r="D29737" s="39"/>
      <c r="E29737" s="39"/>
      <c r="F29737" s="39"/>
    </row>
    <row r="29738">
      <c r="D29738" s="39"/>
      <c r="E29738" s="39"/>
      <c r="F29738" s="39"/>
    </row>
    <row r="29739">
      <c r="D29739" s="39"/>
      <c r="E29739" s="39"/>
      <c r="F29739" s="39"/>
    </row>
    <row r="29740">
      <c r="D29740" s="39"/>
      <c r="E29740" s="39"/>
      <c r="F29740" s="39"/>
    </row>
    <row r="29741">
      <c r="D29741" s="39"/>
      <c r="E29741" s="39"/>
      <c r="F29741" s="39"/>
    </row>
    <row r="29742">
      <c r="D29742" s="39"/>
      <c r="E29742" s="39"/>
      <c r="F29742" s="39"/>
    </row>
    <row r="29743">
      <c r="D29743" s="39"/>
      <c r="E29743" s="39"/>
      <c r="F29743" s="39"/>
    </row>
    <row r="29744">
      <c r="D29744" s="39"/>
      <c r="E29744" s="39"/>
      <c r="F29744" s="39"/>
    </row>
    <row r="29745">
      <c r="D29745" s="39"/>
      <c r="E29745" s="39"/>
      <c r="F29745" s="39"/>
    </row>
    <row r="29746">
      <c r="D29746" s="39"/>
      <c r="E29746" s="39"/>
      <c r="F29746" s="39"/>
    </row>
    <row r="29747">
      <c r="D29747" s="39"/>
      <c r="E29747" s="39"/>
      <c r="F29747" s="39"/>
    </row>
    <row r="29748">
      <c r="D29748" s="39"/>
      <c r="E29748" s="39"/>
      <c r="F29748" s="39"/>
    </row>
    <row r="29749">
      <c r="D29749" s="39"/>
      <c r="E29749" s="39"/>
      <c r="F29749" s="39"/>
    </row>
    <row r="29750">
      <c r="D29750" s="39"/>
      <c r="E29750" s="39"/>
      <c r="F29750" s="39"/>
    </row>
    <row r="29751">
      <c r="D29751" s="39"/>
      <c r="E29751" s="39"/>
      <c r="F29751" s="39"/>
    </row>
    <row r="29752">
      <c r="D29752" s="39"/>
      <c r="E29752" s="39"/>
      <c r="F29752" s="39"/>
    </row>
    <row r="29753">
      <c r="D29753" s="39"/>
      <c r="E29753" s="39"/>
      <c r="F29753" s="39"/>
    </row>
    <row r="29754">
      <c r="D29754" s="39"/>
      <c r="E29754" s="39"/>
      <c r="F29754" s="39"/>
    </row>
    <row r="29755">
      <c r="D29755" s="39"/>
      <c r="E29755" s="39"/>
      <c r="F29755" s="39"/>
    </row>
    <row r="29756">
      <c r="D29756" s="39"/>
      <c r="E29756" s="39"/>
      <c r="F29756" s="39"/>
    </row>
    <row r="29757">
      <c r="D29757" s="39"/>
      <c r="E29757" s="39"/>
      <c r="F29757" s="39"/>
    </row>
    <row r="29758">
      <c r="D29758" s="39"/>
      <c r="E29758" s="39"/>
      <c r="F29758" s="39"/>
    </row>
    <row r="29759">
      <c r="D29759" s="39"/>
      <c r="E29759" s="39"/>
      <c r="F29759" s="39"/>
    </row>
    <row r="29760">
      <c r="D29760" s="39"/>
      <c r="E29760" s="39"/>
      <c r="F29760" s="39"/>
    </row>
    <row r="29761">
      <c r="D29761" s="39"/>
      <c r="E29761" s="39"/>
      <c r="F29761" s="39"/>
    </row>
    <row r="29762">
      <c r="D29762" s="39"/>
      <c r="E29762" s="39"/>
      <c r="F29762" s="39"/>
    </row>
    <row r="29763">
      <c r="D29763" s="39"/>
      <c r="E29763" s="39"/>
      <c r="F29763" s="39"/>
    </row>
    <row r="29764">
      <c r="D29764" s="39"/>
      <c r="E29764" s="39"/>
      <c r="F29764" s="39"/>
    </row>
    <row r="29765">
      <c r="D29765" s="39"/>
      <c r="E29765" s="39"/>
      <c r="F29765" s="39"/>
    </row>
    <row r="29766">
      <c r="D29766" s="39"/>
      <c r="E29766" s="39"/>
      <c r="F29766" s="39"/>
    </row>
    <row r="29767">
      <c r="D29767" s="39"/>
      <c r="E29767" s="39"/>
      <c r="F29767" s="39"/>
    </row>
    <row r="29768">
      <c r="D29768" s="39"/>
      <c r="E29768" s="39"/>
      <c r="F29768" s="39"/>
    </row>
    <row r="29769">
      <c r="D29769" s="39"/>
      <c r="E29769" s="39"/>
      <c r="F29769" s="39"/>
    </row>
    <row r="29770">
      <c r="D29770" s="39"/>
      <c r="E29770" s="39"/>
      <c r="F29770" s="39"/>
    </row>
    <row r="29771">
      <c r="D29771" s="39"/>
      <c r="E29771" s="39"/>
      <c r="F29771" s="39"/>
    </row>
    <row r="29772">
      <c r="D29772" s="39"/>
      <c r="E29772" s="39"/>
      <c r="F29772" s="39"/>
    </row>
    <row r="29773">
      <c r="D29773" s="39"/>
      <c r="E29773" s="39"/>
      <c r="F29773" s="39"/>
    </row>
    <row r="29774">
      <c r="D29774" s="39"/>
      <c r="E29774" s="39"/>
      <c r="F29774" s="39"/>
    </row>
    <row r="29775">
      <c r="D29775" s="39"/>
      <c r="E29775" s="39"/>
      <c r="F29775" s="39"/>
    </row>
    <row r="29776">
      <c r="D29776" s="39"/>
      <c r="E29776" s="39"/>
      <c r="F29776" s="39"/>
    </row>
    <row r="29777">
      <c r="D29777" s="39"/>
      <c r="E29777" s="39"/>
      <c r="F29777" s="39"/>
    </row>
    <row r="29778">
      <c r="D29778" s="39"/>
      <c r="E29778" s="39"/>
      <c r="F29778" s="39"/>
    </row>
    <row r="29779">
      <c r="D29779" s="39"/>
      <c r="E29779" s="39"/>
      <c r="F29779" s="39"/>
    </row>
    <row r="29780">
      <c r="D29780" s="39"/>
      <c r="E29780" s="39"/>
      <c r="F29780" s="39"/>
    </row>
    <row r="29781">
      <c r="D29781" s="39"/>
      <c r="E29781" s="39"/>
      <c r="F29781" s="39"/>
    </row>
    <row r="29782">
      <c r="D29782" s="39"/>
      <c r="E29782" s="39"/>
      <c r="F29782" s="39"/>
    </row>
    <row r="29783">
      <c r="D29783" s="39"/>
      <c r="E29783" s="39"/>
      <c r="F29783" s="39"/>
    </row>
    <row r="29784">
      <c r="D29784" s="39"/>
      <c r="E29784" s="39"/>
      <c r="F29784" s="39"/>
    </row>
    <row r="29785">
      <c r="D29785" s="39"/>
      <c r="E29785" s="39"/>
      <c r="F29785" s="39"/>
    </row>
    <row r="29786">
      <c r="D29786" s="39"/>
      <c r="E29786" s="39"/>
      <c r="F29786" s="39"/>
    </row>
    <row r="29787">
      <c r="D29787" s="39"/>
      <c r="E29787" s="39"/>
      <c r="F29787" s="39"/>
    </row>
    <row r="29788">
      <c r="D29788" s="39"/>
      <c r="E29788" s="39"/>
      <c r="F29788" s="39"/>
    </row>
    <row r="29789">
      <c r="D29789" s="39"/>
      <c r="E29789" s="39"/>
      <c r="F29789" s="39"/>
    </row>
    <row r="29790">
      <c r="D29790" s="39"/>
      <c r="E29790" s="39"/>
      <c r="F29790" s="39"/>
    </row>
    <row r="29791">
      <c r="D29791" s="39"/>
      <c r="E29791" s="39"/>
      <c r="F29791" s="39"/>
    </row>
    <row r="29792">
      <c r="D29792" s="39"/>
      <c r="E29792" s="39"/>
      <c r="F29792" s="39"/>
    </row>
    <row r="29793">
      <c r="D29793" s="39"/>
      <c r="E29793" s="39"/>
      <c r="F29793" s="39"/>
    </row>
    <row r="29794">
      <c r="D29794" s="39"/>
      <c r="E29794" s="39"/>
      <c r="F29794" s="39"/>
    </row>
    <row r="29795">
      <c r="D29795" s="39"/>
      <c r="E29795" s="39"/>
      <c r="F29795" s="39"/>
    </row>
    <row r="29796">
      <c r="D29796" s="39"/>
      <c r="E29796" s="39"/>
      <c r="F29796" s="39"/>
    </row>
    <row r="29797">
      <c r="D29797" s="39"/>
      <c r="E29797" s="39"/>
      <c r="F29797" s="39"/>
    </row>
    <row r="29798">
      <c r="D29798" s="39"/>
      <c r="E29798" s="39"/>
      <c r="F29798" s="39"/>
    </row>
    <row r="29799">
      <c r="D29799" s="39"/>
      <c r="E29799" s="39"/>
      <c r="F29799" s="39"/>
    </row>
    <row r="29800">
      <c r="D29800" s="39"/>
      <c r="E29800" s="39"/>
      <c r="F29800" s="39"/>
    </row>
    <row r="29801">
      <c r="D29801" s="39"/>
      <c r="E29801" s="39"/>
      <c r="F29801" s="39"/>
    </row>
    <row r="29802">
      <c r="D29802" s="39"/>
      <c r="E29802" s="39"/>
      <c r="F29802" s="39"/>
    </row>
    <row r="29803">
      <c r="D29803" s="39"/>
      <c r="E29803" s="39"/>
      <c r="F29803" s="39"/>
    </row>
    <row r="29804">
      <c r="D29804" s="39"/>
      <c r="E29804" s="39"/>
      <c r="F29804" s="39"/>
    </row>
    <row r="29805">
      <c r="D29805" s="39"/>
      <c r="E29805" s="39"/>
      <c r="F29805" s="39"/>
    </row>
    <row r="29806">
      <c r="D29806" s="39"/>
      <c r="E29806" s="39"/>
      <c r="F29806" s="39"/>
    </row>
    <row r="29807">
      <c r="D29807" s="39"/>
      <c r="E29807" s="39"/>
      <c r="F29807" s="39"/>
    </row>
    <row r="29808">
      <c r="D29808" s="39"/>
      <c r="E29808" s="39"/>
      <c r="F29808" s="39"/>
    </row>
    <row r="29809">
      <c r="D29809" s="39"/>
      <c r="E29809" s="39"/>
      <c r="F29809" s="39"/>
    </row>
    <row r="29810">
      <c r="D29810" s="39"/>
      <c r="E29810" s="39"/>
      <c r="F29810" s="39"/>
    </row>
    <row r="29811">
      <c r="D29811" s="39"/>
      <c r="E29811" s="39"/>
      <c r="F29811" s="39"/>
    </row>
    <row r="29812">
      <c r="D29812" s="39"/>
      <c r="E29812" s="39"/>
      <c r="F29812" s="39"/>
    </row>
    <row r="29813">
      <c r="D29813" s="39"/>
      <c r="E29813" s="39"/>
      <c r="F29813" s="39"/>
    </row>
    <row r="29814">
      <c r="D29814" s="39"/>
      <c r="E29814" s="39"/>
      <c r="F29814" s="39"/>
    </row>
    <row r="29815">
      <c r="D29815" s="39"/>
      <c r="E29815" s="39"/>
      <c r="F29815" s="39"/>
    </row>
    <row r="29816">
      <c r="D29816" s="39"/>
      <c r="E29816" s="39"/>
      <c r="F29816" s="39"/>
    </row>
    <row r="29817">
      <c r="D29817" s="39"/>
      <c r="E29817" s="39"/>
      <c r="F29817" s="39"/>
    </row>
    <row r="29818">
      <c r="D29818" s="39"/>
      <c r="E29818" s="39"/>
      <c r="F29818" s="39"/>
    </row>
    <row r="29819">
      <c r="D29819" s="39"/>
      <c r="E29819" s="39"/>
      <c r="F29819" s="39"/>
    </row>
    <row r="29820">
      <c r="D29820" s="39"/>
      <c r="E29820" s="39"/>
      <c r="F29820" s="39"/>
    </row>
    <row r="29821">
      <c r="D29821" s="39"/>
      <c r="E29821" s="39"/>
      <c r="F29821" s="39"/>
    </row>
    <row r="29822">
      <c r="D29822" s="39"/>
      <c r="E29822" s="39"/>
      <c r="F29822" s="39"/>
    </row>
    <row r="29823">
      <c r="D29823" s="39"/>
      <c r="E29823" s="39"/>
      <c r="F29823" s="39"/>
    </row>
    <row r="29824">
      <c r="D29824" s="39"/>
      <c r="E29824" s="39"/>
      <c r="F29824" s="39"/>
    </row>
    <row r="29825">
      <c r="D29825" s="39"/>
      <c r="E29825" s="39"/>
      <c r="F29825" s="39"/>
    </row>
    <row r="29826">
      <c r="D29826" s="39"/>
      <c r="E29826" s="39"/>
      <c r="F29826" s="39"/>
    </row>
    <row r="29827">
      <c r="D29827" s="39"/>
      <c r="E29827" s="39"/>
      <c r="F29827" s="39"/>
    </row>
    <row r="29828">
      <c r="D29828" s="39"/>
      <c r="E29828" s="39"/>
      <c r="F29828" s="39"/>
    </row>
    <row r="29829">
      <c r="D29829" s="39"/>
      <c r="E29829" s="39"/>
      <c r="F29829" s="39"/>
    </row>
    <row r="29830">
      <c r="D29830" s="39"/>
      <c r="E29830" s="39"/>
      <c r="F29830" s="39"/>
    </row>
    <row r="29831">
      <c r="D29831" s="39"/>
      <c r="E29831" s="39"/>
      <c r="F29831" s="39"/>
    </row>
    <row r="29832">
      <c r="D29832" s="39"/>
      <c r="E29832" s="39"/>
      <c r="F29832" s="39"/>
    </row>
    <row r="29833">
      <c r="D29833" s="39"/>
      <c r="E29833" s="39"/>
      <c r="F29833" s="39"/>
    </row>
    <row r="29834">
      <c r="D29834" s="39"/>
      <c r="E29834" s="39"/>
      <c r="F29834" s="39"/>
    </row>
    <row r="29835">
      <c r="D29835" s="39"/>
      <c r="E29835" s="39"/>
      <c r="F29835" s="39"/>
    </row>
    <row r="29836">
      <c r="D29836" s="39"/>
      <c r="E29836" s="39"/>
      <c r="F29836" s="39"/>
    </row>
    <row r="29837">
      <c r="D29837" s="39"/>
      <c r="E29837" s="39"/>
      <c r="F29837" s="39"/>
    </row>
    <row r="29838">
      <c r="D29838" s="39"/>
      <c r="E29838" s="39"/>
      <c r="F29838" s="39"/>
    </row>
    <row r="29839">
      <c r="D29839" s="39"/>
      <c r="E29839" s="39"/>
      <c r="F29839" s="39"/>
    </row>
    <row r="29840">
      <c r="D29840" s="39"/>
      <c r="E29840" s="39"/>
      <c r="F29840" s="39"/>
    </row>
    <row r="29841">
      <c r="D29841" s="39"/>
      <c r="E29841" s="39"/>
      <c r="F29841" s="39"/>
    </row>
    <row r="29842">
      <c r="D29842" s="39"/>
      <c r="E29842" s="39"/>
      <c r="F29842" s="39"/>
    </row>
    <row r="29843">
      <c r="D29843" s="39"/>
      <c r="E29843" s="39"/>
      <c r="F29843" s="39"/>
    </row>
    <row r="29844">
      <c r="D29844" s="39"/>
      <c r="E29844" s="39"/>
      <c r="F29844" s="39"/>
    </row>
    <row r="29845">
      <c r="D29845" s="39"/>
      <c r="E29845" s="39"/>
      <c r="F29845" s="39"/>
    </row>
    <row r="29846">
      <c r="D29846" s="39"/>
      <c r="E29846" s="39"/>
      <c r="F29846" s="39"/>
    </row>
    <row r="29847">
      <c r="D29847" s="39"/>
      <c r="E29847" s="39"/>
      <c r="F29847" s="39"/>
    </row>
    <row r="29848">
      <c r="D29848" s="39"/>
      <c r="E29848" s="39"/>
      <c r="F29848" s="39"/>
    </row>
    <row r="29849">
      <c r="D29849" s="39"/>
      <c r="E29849" s="39"/>
      <c r="F29849" s="39"/>
    </row>
    <row r="29850">
      <c r="D29850" s="39"/>
      <c r="E29850" s="39"/>
      <c r="F29850" s="39"/>
    </row>
    <row r="29851">
      <c r="D29851" s="39"/>
      <c r="E29851" s="39"/>
      <c r="F29851" s="39"/>
    </row>
    <row r="29852">
      <c r="D29852" s="39"/>
      <c r="E29852" s="39"/>
      <c r="F29852" s="39"/>
    </row>
    <row r="29853">
      <c r="D29853" s="39"/>
      <c r="E29853" s="39"/>
      <c r="F29853" s="39"/>
    </row>
    <row r="29854">
      <c r="D29854" s="39"/>
      <c r="E29854" s="39"/>
      <c r="F29854" s="39"/>
    </row>
    <row r="29855">
      <c r="D29855" s="39"/>
      <c r="E29855" s="39"/>
      <c r="F29855" s="39"/>
    </row>
    <row r="29856">
      <c r="D29856" s="39"/>
      <c r="E29856" s="39"/>
      <c r="F29856" s="39"/>
    </row>
    <row r="29857">
      <c r="D29857" s="39"/>
      <c r="E29857" s="39"/>
      <c r="F29857" s="39"/>
    </row>
    <row r="29858">
      <c r="D29858" s="39"/>
      <c r="E29858" s="39"/>
      <c r="F29858" s="39"/>
    </row>
    <row r="29859">
      <c r="D29859" s="39"/>
      <c r="E29859" s="39"/>
      <c r="F29859" s="39"/>
    </row>
    <row r="29860">
      <c r="D29860" s="39"/>
      <c r="E29860" s="39"/>
      <c r="F29860" s="39"/>
    </row>
    <row r="29861">
      <c r="D29861" s="39"/>
      <c r="E29861" s="39"/>
      <c r="F29861" s="39"/>
    </row>
    <row r="29862">
      <c r="D29862" s="39"/>
      <c r="E29862" s="39"/>
      <c r="F29862" s="39"/>
    </row>
    <row r="29863">
      <c r="D29863" s="39"/>
      <c r="E29863" s="39"/>
      <c r="F29863" s="39"/>
    </row>
    <row r="29864">
      <c r="D29864" s="39"/>
      <c r="E29864" s="39"/>
      <c r="F29864" s="39"/>
    </row>
    <row r="29865">
      <c r="D29865" s="39"/>
      <c r="E29865" s="39"/>
      <c r="F29865" s="39"/>
    </row>
    <row r="29866">
      <c r="D29866" s="39"/>
      <c r="E29866" s="39"/>
      <c r="F29866" s="39"/>
    </row>
    <row r="29867">
      <c r="D29867" s="39"/>
      <c r="E29867" s="39"/>
      <c r="F29867" s="39"/>
    </row>
    <row r="29868">
      <c r="D29868" s="39"/>
      <c r="E29868" s="39"/>
      <c r="F29868" s="39"/>
    </row>
    <row r="29869">
      <c r="D29869" s="39"/>
      <c r="E29869" s="39"/>
      <c r="F29869" s="39"/>
    </row>
    <row r="29870">
      <c r="D29870" s="39"/>
      <c r="E29870" s="39"/>
      <c r="F29870" s="39"/>
    </row>
    <row r="29871">
      <c r="D29871" s="39"/>
      <c r="E29871" s="39"/>
      <c r="F29871" s="39"/>
    </row>
    <row r="29872">
      <c r="D29872" s="39"/>
      <c r="E29872" s="39"/>
      <c r="F29872" s="39"/>
    </row>
    <row r="29873">
      <c r="D29873" s="39"/>
      <c r="E29873" s="39"/>
      <c r="F29873" s="39"/>
    </row>
    <row r="29874">
      <c r="D29874" s="39"/>
      <c r="E29874" s="39"/>
      <c r="F29874" s="39"/>
    </row>
    <row r="29875">
      <c r="D29875" s="39"/>
      <c r="E29875" s="39"/>
      <c r="F29875" s="39"/>
    </row>
    <row r="29876">
      <c r="D29876" s="39"/>
      <c r="E29876" s="39"/>
      <c r="F29876" s="39"/>
    </row>
    <row r="29877">
      <c r="D29877" s="39"/>
      <c r="E29877" s="39"/>
      <c r="F29877" s="39"/>
    </row>
    <row r="29878">
      <c r="D29878" s="39"/>
      <c r="E29878" s="39"/>
      <c r="F29878" s="39"/>
    </row>
    <row r="29879">
      <c r="D29879" s="39"/>
      <c r="E29879" s="39"/>
      <c r="F29879" s="39"/>
    </row>
    <row r="29880">
      <c r="D29880" s="39"/>
      <c r="E29880" s="39"/>
      <c r="F29880" s="39"/>
    </row>
    <row r="29881">
      <c r="D29881" s="39"/>
      <c r="E29881" s="39"/>
      <c r="F29881" s="39"/>
    </row>
    <row r="29882">
      <c r="D29882" s="39"/>
      <c r="E29882" s="39"/>
      <c r="F29882" s="39"/>
    </row>
    <row r="29883">
      <c r="D29883" s="39"/>
      <c r="E29883" s="39"/>
      <c r="F29883" s="39"/>
    </row>
    <row r="29884">
      <c r="D29884" s="39"/>
      <c r="E29884" s="39"/>
      <c r="F29884" s="39"/>
    </row>
    <row r="29885">
      <c r="D29885" s="39"/>
      <c r="E29885" s="39"/>
      <c r="F29885" s="39"/>
    </row>
    <row r="29886">
      <c r="D29886" s="39"/>
      <c r="E29886" s="39"/>
      <c r="F29886" s="39"/>
    </row>
    <row r="29887">
      <c r="D29887" s="39"/>
      <c r="E29887" s="39"/>
      <c r="F29887" s="39"/>
    </row>
    <row r="29888">
      <c r="D29888" s="39"/>
      <c r="E29888" s="39"/>
      <c r="F29888" s="39"/>
    </row>
    <row r="29889">
      <c r="D29889" s="39"/>
      <c r="E29889" s="39"/>
      <c r="F29889" s="39"/>
    </row>
    <row r="29890">
      <c r="D29890" s="39"/>
      <c r="E29890" s="39"/>
      <c r="F29890" s="39"/>
    </row>
    <row r="29891">
      <c r="D29891" s="39"/>
      <c r="E29891" s="39"/>
      <c r="F29891" s="39"/>
    </row>
    <row r="29892">
      <c r="D29892" s="39"/>
      <c r="E29892" s="39"/>
      <c r="F29892" s="39"/>
    </row>
    <row r="29893">
      <c r="D29893" s="39"/>
      <c r="E29893" s="39"/>
      <c r="F29893" s="39"/>
    </row>
    <row r="29894">
      <c r="D29894" s="39"/>
      <c r="E29894" s="39"/>
      <c r="F29894" s="39"/>
    </row>
    <row r="29895">
      <c r="D29895" s="39"/>
      <c r="E29895" s="39"/>
      <c r="F29895" s="39"/>
    </row>
    <row r="29896">
      <c r="D29896" s="39"/>
      <c r="E29896" s="39"/>
      <c r="F29896" s="39"/>
    </row>
    <row r="29897">
      <c r="D29897" s="39"/>
      <c r="E29897" s="39"/>
      <c r="F29897" s="39"/>
    </row>
    <row r="29898">
      <c r="D29898" s="39"/>
      <c r="E29898" s="39"/>
      <c r="F29898" s="39"/>
    </row>
    <row r="29899">
      <c r="D29899" s="39"/>
      <c r="E29899" s="39"/>
      <c r="F29899" s="39"/>
    </row>
    <row r="29900">
      <c r="D29900" s="39"/>
      <c r="E29900" s="39"/>
      <c r="F29900" s="39"/>
    </row>
    <row r="29901">
      <c r="D29901" s="39"/>
      <c r="E29901" s="39"/>
      <c r="F29901" s="39"/>
    </row>
    <row r="29902">
      <c r="D29902" s="39"/>
      <c r="E29902" s="39"/>
      <c r="F29902" s="39"/>
    </row>
    <row r="29903">
      <c r="D29903" s="39"/>
      <c r="E29903" s="39"/>
      <c r="F29903" s="39"/>
    </row>
    <row r="29904">
      <c r="D29904" s="39"/>
      <c r="E29904" s="39"/>
      <c r="F29904" s="39"/>
    </row>
    <row r="29905">
      <c r="D29905" s="39"/>
      <c r="E29905" s="39"/>
      <c r="F29905" s="39"/>
    </row>
    <row r="29906">
      <c r="D29906" s="39"/>
      <c r="E29906" s="39"/>
      <c r="F29906" s="39"/>
    </row>
    <row r="29907">
      <c r="D29907" s="39"/>
      <c r="E29907" s="39"/>
      <c r="F29907" s="39"/>
    </row>
    <row r="29908">
      <c r="D29908" s="39"/>
      <c r="E29908" s="39"/>
      <c r="F29908" s="39"/>
    </row>
    <row r="29909">
      <c r="D29909" s="39"/>
      <c r="E29909" s="39"/>
      <c r="F29909" s="39"/>
    </row>
    <row r="29910">
      <c r="D29910" s="39"/>
      <c r="E29910" s="39"/>
      <c r="F29910" s="39"/>
    </row>
    <row r="29911">
      <c r="D29911" s="39"/>
      <c r="E29911" s="39"/>
      <c r="F29911" s="39"/>
    </row>
    <row r="29912">
      <c r="D29912" s="39"/>
      <c r="E29912" s="39"/>
      <c r="F29912" s="39"/>
    </row>
    <row r="29913">
      <c r="D29913" s="39"/>
      <c r="E29913" s="39"/>
      <c r="F29913" s="39"/>
    </row>
    <row r="29914">
      <c r="D29914" s="39"/>
      <c r="E29914" s="39"/>
      <c r="F29914" s="39"/>
    </row>
    <row r="29915">
      <c r="D29915" s="39"/>
      <c r="E29915" s="39"/>
      <c r="F29915" s="39"/>
    </row>
    <row r="29916">
      <c r="D29916" s="39"/>
      <c r="E29916" s="39"/>
      <c r="F29916" s="39"/>
    </row>
    <row r="29917">
      <c r="D29917" s="39"/>
      <c r="E29917" s="39"/>
      <c r="F29917" s="39"/>
    </row>
    <row r="29918">
      <c r="D29918" s="39"/>
      <c r="E29918" s="39"/>
      <c r="F29918" s="39"/>
    </row>
    <row r="29919">
      <c r="D29919" s="39"/>
      <c r="E29919" s="39"/>
      <c r="F29919" s="39"/>
    </row>
    <row r="29920">
      <c r="D29920" s="39"/>
      <c r="E29920" s="39"/>
      <c r="F29920" s="39"/>
    </row>
    <row r="29921">
      <c r="D29921" s="39"/>
      <c r="E29921" s="39"/>
      <c r="F29921" s="39"/>
    </row>
    <row r="29922">
      <c r="D29922" s="39"/>
      <c r="E29922" s="39"/>
      <c r="F29922" s="39"/>
    </row>
    <row r="29923">
      <c r="D29923" s="39"/>
      <c r="E29923" s="39"/>
      <c r="F29923" s="39"/>
    </row>
    <row r="29924">
      <c r="D29924" s="39"/>
      <c r="E29924" s="39"/>
      <c r="F29924" s="39"/>
    </row>
    <row r="29925">
      <c r="D29925" s="39"/>
      <c r="E29925" s="39"/>
      <c r="F29925" s="39"/>
    </row>
    <row r="29926">
      <c r="D29926" s="39"/>
      <c r="E29926" s="39"/>
      <c r="F29926" s="39"/>
    </row>
    <row r="29927">
      <c r="D29927" s="39"/>
      <c r="E29927" s="39"/>
      <c r="F29927" s="39"/>
    </row>
    <row r="29928">
      <c r="D29928" s="39"/>
      <c r="E29928" s="39"/>
      <c r="F29928" s="39"/>
    </row>
    <row r="29929">
      <c r="D29929" s="39"/>
      <c r="E29929" s="39"/>
      <c r="F29929" s="39"/>
    </row>
    <row r="29930">
      <c r="D29930" s="39"/>
      <c r="E29930" s="39"/>
      <c r="F29930" s="39"/>
    </row>
    <row r="29931">
      <c r="D29931" s="39"/>
      <c r="E29931" s="39"/>
      <c r="F29931" s="39"/>
    </row>
    <row r="29932">
      <c r="D29932" s="39"/>
      <c r="E29932" s="39"/>
      <c r="F29932" s="39"/>
    </row>
    <row r="29933">
      <c r="D29933" s="39"/>
      <c r="E29933" s="39"/>
      <c r="F29933" s="39"/>
    </row>
    <row r="29934">
      <c r="D29934" s="39"/>
      <c r="E29934" s="39"/>
      <c r="F29934" s="39"/>
    </row>
    <row r="29935">
      <c r="D29935" s="39"/>
      <c r="E29935" s="39"/>
      <c r="F29935" s="39"/>
    </row>
    <row r="29936">
      <c r="D29936" s="39"/>
      <c r="E29936" s="39"/>
      <c r="F29936" s="39"/>
    </row>
    <row r="29937">
      <c r="D29937" s="39"/>
      <c r="E29937" s="39"/>
      <c r="F29937" s="39"/>
    </row>
    <row r="29938">
      <c r="D29938" s="39"/>
      <c r="E29938" s="39"/>
      <c r="F29938" s="39"/>
    </row>
    <row r="29939">
      <c r="D29939" s="39"/>
      <c r="E29939" s="39"/>
      <c r="F29939" s="39"/>
    </row>
    <row r="29940">
      <c r="D29940" s="39"/>
      <c r="E29940" s="39"/>
      <c r="F29940" s="39"/>
    </row>
    <row r="29941">
      <c r="D29941" s="39"/>
      <c r="E29941" s="39"/>
      <c r="F29941" s="39"/>
    </row>
    <row r="29942">
      <c r="D29942" s="39"/>
      <c r="E29942" s="39"/>
      <c r="F29942" s="39"/>
    </row>
    <row r="29943">
      <c r="D29943" s="39"/>
      <c r="E29943" s="39"/>
      <c r="F29943" s="39"/>
    </row>
    <row r="29944">
      <c r="D29944" s="39"/>
      <c r="E29944" s="39"/>
      <c r="F29944" s="39"/>
    </row>
    <row r="29945">
      <c r="D29945" s="39"/>
      <c r="E29945" s="39"/>
      <c r="F29945" s="39"/>
    </row>
    <row r="29946">
      <c r="D29946" s="39"/>
      <c r="E29946" s="39"/>
      <c r="F29946" s="39"/>
    </row>
    <row r="29947">
      <c r="D29947" s="39"/>
      <c r="E29947" s="39"/>
      <c r="F29947" s="39"/>
    </row>
    <row r="29948">
      <c r="D29948" s="39"/>
      <c r="E29948" s="39"/>
      <c r="F29948" s="39"/>
    </row>
    <row r="29949">
      <c r="D29949" s="39"/>
      <c r="E29949" s="39"/>
      <c r="F29949" s="39"/>
    </row>
    <row r="29950">
      <c r="D29950" s="39"/>
      <c r="E29950" s="39"/>
      <c r="F29950" s="39"/>
    </row>
    <row r="29951">
      <c r="D29951" s="39"/>
      <c r="E29951" s="39"/>
      <c r="F29951" s="39"/>
    </row>
    <row r="29952">
      <c r="D29952" s="39"/>
      <c r="E29952" s="39"/>
      <c r="F29952" s="39"/>
    </row>
    <row r="29953">
      <c r="D29953" s="39"/>
      <c r="E29953" s="39"/>
      <c r="F29953" s="39"/>
    </row>
    <row r="29954">
      <c r="D29954" s="39"/>
      <c r="E29954" s="39"/>
      <c r="F29954" s="39"/>
    </row>
    <row r="29955">
      <c r="D29955" s="39"/>
      <c r="E29955" s="39"/>
      <c r="F29955" s="39"/>
    </row>
    <row r="29956">
      <c r="D29956" s="39"/>
      <c r="E29956" s="39"/>
      <c r="F29956" s="39"/>
    </row>
    <row r="29957">
      <c r="D29957" s="39"/>
      <c r="E29957" s="39"/>
      <c r="F29957" s="39"/>
    </row>
    <row r="29958">
      <c r="D29958" s="39"/>
      <c r="E29958" s="39"/>
      <c r="F29958" s="39"/>
    </row>
    <row r="29959">
      <c r="D29959" s="39"/>
      <c r="E29959" s="39"/>
      <c r="F29959" s="39"/>
    </row>
    <row r="29960">
      <c r="D29960" s="39"/>
      <c r="E29960" s="39"/>
      <c r="F29960" s="39"/>
    </row>
    <row r="29961">
      <c r="D29961" s="39"/>
      <c r="E29961" s="39"/>
      <c r="F29961" s="39"/>
    </row>
    <row r="29962">
      <c r="D29962" s="39"/>
      <c r="E29962" s="39"/>
      <c r="F29962" s="39"/>
    </row>
    <row r="29963">
      <c r="D29963" s="39"/>
      <c r="E29963" s="39"/>
      <c r="F29963" s="39"/>
    </row>
    <row r="29964">
      <c r="D29964" s="39"/>
      <c r="E29964" s="39"/>
      <c r="F29964" s="39"/>
    </row>
    <row r="29965">
      <c r="D29965" s="39"/>
      <c r="E29965" s="39"/>
      <c r="F29965" s="39"/>
    </row>
    <row r="29966">
      <c r="D29966" s="39"/>
      <c r="E29966" s="39"/>
      <c r="F29966" s="39"/>
    </row>
    <row r="29967">
      <c r="D29967" s="39"/>
      <c r="E29967" s="39"/>
      <c r="F29967" s="39"/>
    </row>
    <row r="29968">
      <c r="D29968" s="39"/>
      <c r="E29968" s="39"/>
      <c r="F29968" s="39"/>
    </row>
    <row r="29969">
      <c r="D29969" s="39"/>
      <c r="E29969" s="39"/>
      <c r="F29969" s="39"/>
    </row>
    <row r="29970">
      <c r="D29970" s="39"/>
      <c r="E29970" s="39"/>
      <c r="F29970" s="39"/>
    </row>
    <row r="29971">
      <c r="D29971" s="39"/>
      <c r="E29971" s="39"/>
      <c r="F29971" s="39"/>
    </row>
    <row r="29972">
      <c r="D29972" s="39"/>
      <c r="E29972" s="39"/>
      <c r="F29972" s="39"/>
    </row>
    <row r="29973">
      <c r="D29973" s="39"/>
      <c r="E29973" s="39"/>
      <c r="F29973" s="39"/>
    </row>
    <row r="29974">
      <c r="D29974" s="39"/>
      <c r="E29974" s="39"/>
      <c r="F29974" s="39"/>
    </row>
    <row r="29975">
      <c r="D29975" s="39"/>
      <c r="E29975" s="39"/>
      <c r="F29975" s="39"/>
    </row>
    <row r="29976">
      <c r="D29976" s="39"/>
      <c r="E29976" s="39"/>
      <c r="F29976" s="39"/>
    </row>
    <row r="29977">
      <c r="D29977" s="39"/>
      <c r="E29977" s="39"/>
      <c r="F29977" s="39"/>
    </row>
    <row r="29978">
      <c r="D29978" s="39"/>
      <c r="E29978" s="39"/>
      <c r="F29978" s="39"/>
    </row>
    <row r="29979">
      <c r="D29979" s="39"/>
      <c r="E29979" s="39"/>
      <c r="F29979" s="39"/>
    </row>
    <row r="29980">
      <c r="D29980" s="39"/>
      <c r="E29980" s="39"/>
      <c r="F29980" s="39"/>
    </row>
    <row r="29981">
      <c r="D29981" s="39"/>
      <c r="E29981" s="39"/>
      <c r="F29981" s="39"/>
    </row>
    <row r="29982">
      <c r="D29982" s="39"/>
      <c r="E29982" s="39"/>
      <c r="F29982" s="39"/>
    </row>
    <row r="29983">
      <c r="D29983" s="39"/>
      <c r="E29983" s="39"/>
      <c r="F29983" s="39"/>
    </row>
    <row r="29984">
      <c r="D29984" s="39"/>
      <c r="E29984" s="39"/>
      <c r="F29984" s="39"/>
    </row>
    <row r="29985">
      <c r="D29985" s="39"/>
      <c r="E29985" s="39"/>
      <c r="F29985" s="39"/>
    </row>
    <row r="29986">
      <c r="D29986" s="39"/>
      <c r="E29986" s="39"/>
      <c r="F29986" s="39"/>
    </row>
    <row r="29987">
      <c r="D29987" s="39"/>
      <c r="E29987" s="39"/>
      <c r="F29987" s="39"/>
    </row>
    <row r="29988">
      <c r="D29988" s="39"/>
      <c r="E29988" s="39"/>
      <c r="F29988" s="39"/>
    </row>
    <row r="29989">
      <c r="D29989" s="39"/>
      <c r="E29989" s="39"/>
      <c r="F29989" s="39"/>
    </row>
    <row r="29990">
      <c r="D29990" s="39"/>
      <c r="E29990" s="39"/>
      <c r="F29990" s="39"/>
    </row>
    <row r="29991">
      <c r="D29991" s="39"/>
      <c r="E29991" s="39"/>
      <c r="F29991" s="39"/>
    </row>
    <row r="29992">
      <c r="D29992" s="39"/>
      <c r="E29992" s="39"/>
      <c r="F29992" s="39"/>
    </row>
    <row r="29993">
      <c r="D29993" s="39"/>
      <c r="E29993" s="39"/>
      <c r="F29993" s="39"/>
    </row>
    <row r="29994">
      <c r="D29994" s="39"/>
      <c r="E29994" s="39"/>
      <c r="F29994" s="39"/>
    </row>
    <row r="29995">
      <c r="D29995" s="39"/>
      <c r="E29995" s="39"/>
      <c r="F29995" s="39"/>
    </row>
    <row r="29996">
      <c r="D29996" s="39"/>
      <c r="E29996" s="39"/>
      <c r="F29996" s="39"/>
    </row>
    <row r="29997">
      <c r="D29997" s="39"/>
      <c r="E29997" s="39"/>
      <c r="F29997" s="39"/>
    </row>
    <row r="29998">
      <c r="D29998" s="39"/>
      <c r="E29998" s="39"/>
      <c r="F29998" s="39"/>
    </row>
    <row r="29999">
      <c r="D29999" s="39"/>
      <c r="E29999" s="39"/>
      <c r="F29999" s="39"/>
    </row>
    <row r="30000">
      <c r="D30000" s="39"/>
      <c r="E30000" s="39"/>
      <c r="F30000" s="39"/>
    </row>
    <row r="30001">
      <c r="D30001" s="39"/>
      <c r="E30001" s="39"/>
      <c r="F30001" s="39"/>
    </row>
    <row r="30002">
      <c r="D30002" s="39"/>
      <c r="E30002" s="39"/>
      <c r="F30002" s="39"/>
    </row>
    <row r="30003">
      <c r="D30003" s="39"/>
      <c r="E30003" s="39"/>
      <c r="F30003" s="39"/>
    </row>
    <row r="30004">
      <c r="D30004" s="39"/>
      <c r="E30004" s="39"/>
      <c r="F30004" s="39"/>
    </row>
    <row r="30005">
      <c r="D30005" s="39"/>
      <c r="E30005" s="39"/>
      <c r="F30005" s="39"/>
    </row>
    <row r="30006">
      <c r="D30006" s="39"/>
      <c r="E30006" s="39"/>
      <c r="F30006" s="39"/>
    </row>
    <row r="30007">
      <c r="D30007" s="39"/>
      <c r="E30007" s="39"/>
      <c r="F30007" s="39"/>
    </row>
    <row r="30008">
      <c r="D30008" s="39"/>
      <c r="E30008" s="39"/>
      <c r="F30008" s="39"/>
    </row>
    <row r="30009">
      <c r="D30009" s="39"/>
      <c r="E30009" s="39"/>
      <c r="F30009" s="39"/>
    </row>
    <row r="30010">
      <c r="D30010" s="39"/>
      <c r="E30010" s="39"/>
      <c r="F30010" s="39"/>
    </row>
    <row r="30011">
      <c r="D30011" s="39"/>
      <c r="E30011" s="39"/>
      <c r="F30011" s="39"/>
    </row>
    <row r="30012">
      <c r="D30012" s="39"/>
      <c r="E30012" s="39"/>
      <c r="F30012" s="39"/>
    </row>
    <row r="30013">
      <c r="D30013" s="39"/>
      <c r="E30013" s="39"/>
      <c r="F30013" s="39"/>
    </row>
    <row r="30014">
      <c r="D30014" s="39"/>
      <c r="E30014" s="39"/>
      <c r="F30014" s="39"/>
    </row>
    <row r="30015">
      <c r="D30015" s="39"/>
      <c r="E30015" s="39"/>
      <c r="F30015" s="39"/>
    </row>
    <row r="30016">
      <c r="D30016" s="39"/>
      <c r="E30016" s="39"/>
      <c r="F30016" s="39"/>
    </row>
    <row r="30017">
      <c r="D30017" s="39"/>
      <c r="E30017" s="39"/>
      <c r="F30017" s="39"/>
    </row>
    <row r="30018">
      <c r="D30018" s="39"/>
      <c r="E30018" s="39"/>
      <c r="F30018" s="39"/>
    </row>
    <row r="30019">
      <c r="D30019" s="39"/>
      <c r="E30019" s="39"/>
      <c r="F30019" s="39"/>
    </row>
    <row r="30020">
      <c r="D30020" s="39"/>
      <c r="E30020" s="39"/>
      <c r="F30020" s="39"/>
    </row>
    <row r="30021">
      <c r="D30021" s="39"/>
      <c r="E30021" s="39"/>
      <c r="F30021" s="39"/>
    </row>
    <row r="30022">
      <c r="D30022" s="39"/>
      <c r="E30022" s="39"/>
      <c r="F30022" s="39"/>
    </row>
    <row r="30023">
      <c r="D30023" s="39"/>
      <c r="E30023" s="39"/>
      <c r="F30023" s="39"/>
    </row>
    <row r="30024">
      <c r="D30024" s="39"/>
      <c r="E30024" s="39"/>
      <c r="F30024" s="39"/>
    </row>
    <row r="30025">
      <c r="D30025" s="39"/>
      <c r="E30025" s="39"/>
      <c r="F30025" s="39"/>
    </row>
    <row r="30026">
      <c r="D30026" s="39"/>
      <c r="E30026" s="39"/>
      <c r="F30026" s="39"/>
    </row>
    <row r="30027">
      <c r="D30027" s="39"/>
      <c r="E30027" s="39"/>
      <c r="F30027" s="39"/>
    </row>
    <row r="30028">
      <c r="D30028" s="39"/>
      <c r="E30028" s="39"/>
      <c r="F30028" s="39"/>
    </row>
    <row r="30029">
      <c r="D30029" s="39"/>
      <c r="E30029" s="39"/>
      <c r="F30029" s="39"/>
    </row>
    <row r="30030">
      <c r="D30030" s="39"/>
      <c r="E30030" s="39"/>
      <c r="F30030" s="39"/>
    </row>
    <row r="30031">
      <c r="D30031" s="39"/>
      <c r="E30031" s="39"/>
      <c r="F30031" s="39"/>
    </row>
    <row r="30032">
      <c r="D30032" s="39"/>
      <c r="E30032" s="39"/>
      <c r="F30032" s="39"/>
    </row>
    <row r="30033">
      <c r="D30033" s="39"/>
      <c r="E30033" s="39"/>
      <c r="F30033" s="39"/>
    </row>
    <row r="30034">
      <c r="D30034" s="39"/>
      <c r="E30034" s="39"/>
      <c r="F30034" s="39"/>
    </row>
    <row r="30035">
      <c r="D30035" s="39"/>
      <c r="E30035" s="39"/>
      <c r="F30035" s="39"/>
    </row>
    <row r="30036">
      <c r="D30036" s="39"/>
      <c r="E30036" s="39"/>
      <c r="F30036" s="39"/>
    </row>
    <row r="30037">
      <c r="D30037" s="39"/>
      <c r="E30037" s="39"/>
      <c r="F30037" s="39"/>
    </row>
    <row r="30038">
      <c r="D30038" s="39"/>
      <c r="E30038" s="39"/>
      <c r="F30038" s="39"/>
    </row>
    <row r="30039">
      <c r="D30039" s="39"/>
      <c r="E30039" s="39"/>
      <c r="F30039" s="39"/>
    </row>
    <row r="30040">
      <c r="D30040" s="39"/>
      <c r="E30040" s="39"/>
      <c r="F30040" s="39"/>
    </row>
    <row r="30041">
      <c r="D30041" s="39"/>
      <c r="E30041" s="39"/>
      <c r="F30041" s="39"/>
    </row>
    <row r="30042">
      <c r="D30042" s="39"/>
      <c r="E30042" s="39"/>
      <c r="F30042" s="39"/>
    </row>
    <row r="30043">
      <c r="D30043" s="39"/>
      <c r="E30043" s="39"/>
      <c r="F30043" s="39"/>
    </row>
    <row r="30044">
      <c r="D30044" s="39"/>
      <c r="E30044" s="39"/>
      <c r="F30044" s="39"/>
    </row>
    <row r="30045">
      <c r="D30045" s="39"/>
      <c r="E30045" s="39"/>
      <c r="F30045" s="39"/>
    </row>
    <row r="30046">
      <c r="D30046" s="39"/>
      <c r="E30046" s="39"/>
      <c r="F30046" s="39"/>
    </row>
    <row r="30047">
      <c r="D30047" s="39"/>
      <c r="E30047" s="39"/>
      <c r="F30047" s="39"/>
    </row>
    <row r="30048">
      <c r="D30048" s="39"/>
      <c r="E30048" s="39"/>
      <c r="F30048" s="39"/>
    </row>
    <row r="30049">
      <c r="D30049" s="39"/>
      <c r="E30049" s="39"/>
      <c r="F30049" s="39"/>
    </row>
    <row r="30050">
      <c r="D30050" s="39"/>
      <c r="E30050" s="39"/>
      <c r="F30050" s="39"/>
    </row>
    <row r="30051">
      <c r="D30051" s="39"/>
      <c r="E30051" s="39"/>
      <c r="F30051" s="39"/>
    </row>
    <row r="30052">
      <c r="D30052" s="39"/>
      <c r="E30052" s="39"/>
      <c r="F30052" s="39"/>
    </row>
    <row r="30053">
      <c r="D30053" s="39"/>
      <c r="E30053" s="39"/>
      <c r="F30053" s="39"/>
    </row>
    <row r="30054">
      <c r="D30054" s="39"/>
      <c r="E30054" s="39"/>
      <c r="F30054" s="39"/>
    </row>
    <row r="30055">
      <c r="D30055" s="39"/>
      <c r="E30055" s="39"/>
      <c r="F30055" s="39"/>
    </row>
    <row r="30056">
      <c r="D30056" s="39"/>
      <c r="E30056" s="39"/>
      <c r="F30056" s="39"/>
    </row>
    <row r="30057">
      <c r="D30057" s="39"/>
      <c r="E30057" s="39"/>
      <c r="F30057" s="39"/>
    </row>
    <row r="30058">
      <c r="D30058" s="39"/>
      <c r="E30058" s="39"/>
      <c r="F30058" s="39"/>
    </row>
    <row r="30059">
      <c r="D30059" s="39"/>
      <c r="E30059" s="39"/>
      <c r="F30059" s="39"/>
    </row>
    <row r="30060">
      <c r="D30060" s="39"/>
      <c r="E30060" s="39"/>
      <c r="F30060" s="39"/>
    </row>
    <row r="30061">
      <c r="D30061" s="39"/>
      <c r="E30061" s="39"/>
      <c r="F30061" s="39"/>
    </row>
    <row r="30062">
      <c r="D30062" s="39"/>
      <c r="E30062" s="39"/>
      <c r="F30062" s="39"/>
    </row>
    <row r="30063">
      <c r="D30063" s="39"/>
      <c r="E30063" s="39"/>
      <c r="F30063" s="39"/>
    </row>
    <row r="30064">
      <c r="D30064" s="39"/>
      <c r="E30064" s="39"/>
      <c r="F30064" s="39"/>
    </row>
    <row r="30065">
      <c r="D30065" s="39"/>
      <c r="E30065" s="39"/>
      <c r="F30065" s="39"/>
    </row>
    <row r="30066">
      <c r="D30066" s="39"/>
      <c r="E30066" s="39"/>
      <c r="F30066" s="39"/>
    </row>
    <row r="30067">
      <c r="D30067" s="39"/>
      <c r="E30067" s="39"/>
      <c r="F30067" s="39"/>
    </row>
    <row r="30068">
      <c r="D30068" s="39"/>
      <c r="E30068" s="39"/>
      <c r="F30068" s="39"/>
    </row>
    <row r="30069">
      <c r="D30069" s="39"/>
      <c r="E30069" s="39"/>
      <c r="F30069" s="39"/>
    </row>
    <row r="30070">
      <c r="D30070" s="39"/>
      <c r="E30070" s="39"/>
      <c r="F30070" s="39"/>
    </row>
    <row r="30071">
      <c r="D30071" s="39"/>
      <c r="E30071" s="39"/>
      <c r="F30071" s="39"/>
    </row>
    <row r="30072">
      <c r="D30072" s="39"/>
      <c r="E30072" s="39"/>
      <c r="F30072" s="39"/>
    </row>
    <row r="30073">
      <c r="D30073" s="39"/>
      <c r="E30073" s="39"/>
      <c r="F30073" s="39"/>
    </row>
    <row r="30074">
      <c r="D30074" s="39"/>
      <c r="E30074" s="39"/>
      <c r="F30074" s="39"/>
    </row>
    <row r="30075">
      <c r="D30075" s="39"/>
      <c r="E30075" s="39"/>
      <c r="F30075" s="39"/>
    </row>
    <row r="30076">
      <c r="D30076" s="39"/>
      <c r="E30076" s="39"/>
      <c r="F30076" s="39"/>
    </row>
    <row r="30077">
      <c r="D30077" s="39"/>
      <c r="E30077" s="39"/>
      <c r="F30077" s="39"/>
    </row>
    <row r="30078">
      <c r="D30078" s="39"/>
      <c r="E30078" s="39"/>
      <c r="F30078" s="39"/>
    </row>
    <row r="30079">
      <c r="D30079" s="39"/>
      <c r="E30079" s="39"/>
      <c r="F30079" s="39"/>
    </row>
    <row r="30080">
      <c r="D30080" s="39"/>
      <c r="E30080" s="39"/>
      <c r="F30080" s="39"/>
    </row>
    <row r="30081">
      <c r="D30081" s="39"/>
      <c r="E30081" s="39"/>
      <c r="F30081" s="39"/>
    </row>
    <row r="30082">
      <c r="D30082" s="39"/>
      <c r="E30082" s="39"/>
      <c r="F30082" s="39"/>
    </row>
    <row r="30083">
      <c r="D30083" s="39"/>
      <c r="E30083" s="39"/>
      <c r="F30083" s="39"/>
    </row>
    <row r="30084">
      <c r="D30084" s="39"/>
      <c r="E30084" s="39"/>
      <c r="F30084" s="39"/>
    </row>
    <row r="30085">
      <c r="D30085" s="39"/>
      <c r="E30085" s="39"/>
      <c r="F30085" s="39"/>
    </row>
    <row r="30086">
      <c r="D30086" s="39"/>
      <c r="E30086" s="39"/>
      <c r="F30086" s="39"/>
    </row>
    <row r="30087">
      <c r="D30087" s="39"/>
      <c r="E30087" s="39"/>
      <c r="F30087" s="39"/>
    </row>
    <row r="30088">
      <c r="D30088" s="39"/>
      <c r="E30088" s="39"/>
      <c r="F30088" s="39"/>
    </row>
    <row r="30089">
      <c r="D30089" s="39"/>
      <c r="E30089" s="39"/>
      <c r="F30089" s="39"/>
    </row>
    <row r="30090">
      <c r="D30090" s="39"/>
      <c r="E30090" s="39"/>
      <c r="F30090" s="39"/>
    </row>
    <row r="30091">
      <c r="D30091" s="39"/>
      <c r="E30091" s="39"/>
      <c r="F30091" s="39"/>
    </row>
    <row r="30092">
      <c r="D30092" s="39"/>
      <c r="E30092" s="39"/>
      <c r="F30092" s="39"/>
    </row>
    <row r="30093">
      <c r="D30093" s="39"/>
      <c r="E30093" s="39"/>
      <c r="F30093" s="39"/>
    </row>
    <row r="30094">
      <c r="D30094" s="39"/>
      <c r="E30094" s="39"/>
      <c r="F30094" s="39"/>
    </row>
    <row r="30095">
      <c r="D30095" s="39"/>
      <c r="E30095" s="39"/>
      <c r="F30095" s="39"/>
    </row>
    <row r="30096">
      <c r="D30096" s="39"/>
      <c r="E30096" s="39"/>
      <c r="F30096" s="39"/>
    </row>
    <row r="30097">
      <c r="D30097" s="39"/>
      <c r="E30097" s="39"/>
      <c r="F30097" s="39"/>
    </row>
    <row r="30098">
      <c r="D30098" s="39"/>
      <c r="E30098" s="39"/>
      <c r="F30098" s="39"/>
    </row>
    <row r="30099">
      <c r="D30099" s="39"/>
      <c r="E30099" s="39"/>
      <c r="F30099" s="39"/>
    </row>
    <row r="30100">
      <c r="D30100" s="39"/>
      <c r="E30100" s="39"/>
      <c r="F30100" s="39"/>
    </row>
    <row r="30101">
      <c r="D30101" s="39"/>
      <c r="E30101" s="39"/>
      <c r="F30101" s="39"/>
    </row>
    <row r="30102">
      <c r="D30102" s="39"/>
      <c r="E30102" s="39"/>
      <c r="F30102" s="39"/>
    </row>
    <row r="30103">
      <c r="D30103" s="39"/>
      <c r="E30103" s="39"/>
      <c r="F30103" s="39"/>
    </row>
    <row r="30104">
      <c r="D30104" s="39"/>
      <c r="E30104" s="39"/>
      <c r="F30104" s="39"/>
    </row>
    <row r="30105">
      <c r="D30105" s="39"/>
      <c r="E30105" s="39"/>
      <c r="F30105" s="39"/>
    </row>
    <row r="30106">
      <c r="D30106" s="39"/>
      <c r="E30106" s="39"/>
      <c r="F30106" s="39"/>
    </row>
    <row r="30107">
      <c r="D30107" s="39"/>
      <c r="E30107" s="39"/>
      <c r="F30107" s="39"/>
    </row>
    <row r="30108">
      <c r="D30108" s="39"/>
      <c r="E30108" s="39"/>
      <c r="F30108" s="39"/>
    </row>
    <row r="30109">
      <c r="D30109" s="39"/>
      <c r="E30109" s="39"/>
      <c r="F30109" s="39"/>
    </row>
    <row r="30110">
      <c r="D30110" s="39"/>
      <c r="E30110" s="39"/>
      <c r="F30110" s="39"/>
    </row>
    <row r="30111">
      <c r="D30111" s="39"/>
      <c r="E30111" s="39"/>
      <c r="F30111" s="39"/>
    </row>
    <row r="30112">
      <c r="D30112" s="39"/>
      <c r="E30112" s="39"/>
      <c r="F30112" s="39"/>
    </row>
    <row r="30113">
      <c r="D30113" s="39"/>
      <c r="E30113" s="39"/>
      <c r="F30113" s="39"/>
    </row>
    <row r="30114">
      <c r="D30114" s="39"/>
      <c r="E30114" s="39"/>
      <c r="F30114" s="39"/>
    </row>
    <row r="30115">
      <c r="D30115" s="39"/>
      <c r="E30115" s="39"/>
      <c r="F30115" s="39"/>
    </row>
    <row r="30116">
      <c r="D30116" s="39"/>
      <c r="E30116" s="39"/>
      <c r="F30116" s="39"/>
    </row>
    <row r="30117">
      <c r="D30117" s="39"/>
      <c r="E30117" s="39"/>
      <c r="F30117" s="39"/>
    </row>
    <row r="30118">
      <c r="D30118" s="39"/>
      <c r="E30118" s="39"/>
      <c r="F30118" s="39"/>
    </row>
    <row r="30119">
      <c r="D30119" s="39"/>
      <c r="E30119" s="39"/>
      <c r="F30119" s="39"/>
    </row>
    <row r="30120">
      <c r="D30120" s="39"/>
      <c r="E30120" s="39"/>
      <c r="F30120" s="39"/>
    </row>
    <row r="30121">
      <c r="D30121" s="39"/>
      <c r="E30121" s="39"/>
      <c r="F30121" s="39"/>
    </row>
    <row r="30122">
      <c r="D30122" s="39"/>
      <c r="E30122" s="39"/>
      <c r="F30122" s="39"/>
    </row>
    <row r="30123">
      <c r="D30123" s="39"/>
      <c r="E30123" s="39"/>
      <c r="F30123" s="39"/>
    </row>
    <row r="30124">
      <c r="D30124" s="39"/>
      <c r="E30124" s="39"/>
      <c r="F30124" s="39"/>
    </row>
    <row r="30125">
      <c r="D30125" s="39"/>
      <c r="E30125" s="39"/>
      <c r="F30125" s="39"/>
    </row>
    <row r="30126">
      <c r="D30126" s="39"/>
      <c r="E30126" s="39"/>
      <c r="F30126" s="39"/>
    </row>
    <row r="30127">
      <c r="D30127" s="39"/>
      <c r="E30127" s="39"/>
      <c r="F30127" s="39"/>
    </row>
    <row r="30128">
      <c r="D30128" s="39"/>
      <c r="E30128" s="39"/>
      <c r="F30128" s="39"/>
    </row>
    <row r="30129">
      <c r="D30129" s="39"/>
      <c r="E30129" s="39"/>
      <c r="F30129" s="39"/>
    </row>
    <row r="30130">
      <c r="D30130" s="39"/>
      <c r="E30130" s="39"/>
      <c r="F30130" s="39"/>
    </row>
    <row r="30131">
      <c r="D30131" s="39"/>
      <c r="E30131" s="39"/>
      <c r="F30131" s="39"/>
    </row>
    <row r="30132">
      <c r="D30132" s="39"/>
      <c r="E30132" s="39"/>
      <c r="F30132" s="39"/>
    </row>
    <row r="30133">
      <c r="D30133" s="39"/>
      <c r="E30133" s="39"/>
      <c r="F30133" s="39"/>
    </row>
    <row r="30134">
      <c r="D30134" s="39"/>
      <c r="E30134" s="39"/>
      <c r="F30134" s="39"/>
    </row>
    <row r="30135">
      <c r="D30135" s="39"/>
      <c r="E30135" s="39"/>
      <c r="F30135" s="39"/>
    </row>
    <row r="30136">
      <c r="D30136" s="39"/>
      <c r="E30136" s="39"/>
      <c r="F30136" s="39"/>
    </row>
    <row r="30137">
      <c r="D30137" s="39"/>
      <c r="E30137" s="39"/>
      <c r="F30137" s="39"/>
    </row>
    <row r="30138">
      <c r="D30138" s="39"/>
      <c r="E30138" s="39"/>
      <c r="F30138" s="39"/>
    </row>
    <row r="30139">
      <c r="D30139" s="39"/>
      <c r="E30139" s="39"/>
      <c r="F30139" s="39"/>
    </row>
    <row r="30140">
      <c r="D30140" s="39"/>
      <c r="E30140" s="39"/>
      <c r="F30140" s="39"/>
    </row>
    <row r="30141">
      <c r="D30141" s="39"/>
      <c r="E30141" s="39"/>
      <c r="F30141" s="39"/>
    </row>
    <row r="30142">
      <c r="D30142" s="39"/>
      <c r="E30142" s="39"/>
      <c r="F30142" s="39"/>
    </row>
    <row r="30143">
      <c r="D30143" s="39"/>
      <c r="E30143" s="39"/>
      <c r="F30143" s="39"/>
    </row>
    <row r="30144">
      <c r="D30144" s="39"/>
      <c r="E30144" s="39"/>
      <c r="F30144" s="39"/>
    </row>
    <row r="30145">
      <c r="D30145" s="39"/>
      <c r="E30145" s="39"/>
      <c r="F30145" s="39"/>
    </row>
    <row r="30146">
      <c r="D30146" s="39"/>
      <c r="E30146" s="39"/>
      <c r="F30146" s="39"/>
    </row>
    <row r="30147">
      <c r="D30147" s="39"/>
      <c r="E30147" s="39"/>
      <c r="F30147" s="39"/>
    </row>
    <row r="30148">
      <c r="D30148" s="39"/>
      <c r="E30148" s="39"/>
      <c r="F30148" s="39"/>
    </row>
    <row r="30149">
      <c r="D30149" s="39"/>
      <c r="E30149" s="39"/>
      <c r="F30149" s="39"/>
    </row>
    <row r="30150">
      <c r="D30150" s="39"/>
      <c r="E30150" s="39"/>
      <c r="F30150" s="39"/>
    </row>
    <row r="30151">
      <c r="D30151" s="39"/>
      <c r="E30151" s="39"/>
      <c r="F30151" s="39"/>
    </row>
    <row r="30152">
      <c r="D30152" s="39"/>
      <c r="E30152" s="39"/>
      <c r="F30152" s="39"/>
    </row>
    <row r="30153">
      <c r="D30153" s="39"/>
      <c r="E30153" s="39"/>
      <c r="F30153" s="39"/>
    </row>
    <row r="30154">
      <c r="D30154" s="39"/>
      <c r="E30154" s="39"/>
      <c r="F30154" s="39"/>
    </row>
    <row r="30155">
      <c r="D30155" s="39"/>
      <c r="E30155" s="39"/>
      <c r="F30155" s="39"/>
    </row>
    <row r="30156">
      <c r="D30156" s="39"/>
      <c r="E30156" s="39"/>
      <c r="F30156" s="39"/>
    </row>
    <row r="30157">
      <c r="D30157" s="39"/>
      <c r="E30157" s="39"/>
      <c r="F30157" s="39"/>
    </row>
    <row r="30158">
      <c r="D30158" s="39"/>
      <c r="E30158" s="39"/>
      <c r="F30158" s="39"/>
    </row>
    <row r="30159">
      <c r="D30159" s="39"/>
      <c r="E30159" s="39"/>
      <c r="F30159" s="39"/>
    </row>
    <row r="30160">
      <c r="D30160" s="39"/>
      <c r="E30160" s="39"/>
      <c r="F30160" s="39"/>
    </row>
    <row r="30161">
      <c r="D30161" s="39"/>
      <c r="E30161" s="39"/>
      <c r="F30161" s="39"/>
    </row>
    <row r="30162">
      <c r="D30162" s="39"/>
      <c r="E30162" s="39"/>
      <c r="F30162" s="39"/>
    </row>
    <row r="30163">
      <c r="D30163" s="39"/>
      <c r="E30163" s="39"/>
      <c r="F30163" s="39"/>
    </row>
    <row r="30164">
      <c r="D30164" s="39"/>
      <c r="E30164" s="39"/>
      <c r="F30164" s="39"/>
    </row>
    <row r="30165">
      <c r="D30165" s="39"/>
      <c r="E30165" s="39"/>
      <c r="F30165" s="39"/>
    </row>
    <row r="30166">
      <c r="D30166" s="39"/>
      <c r="E30166" s="39"/>
      <c r="F30166" s="39"/>
    </row>
    <row r="30167">
      <c r="D30167" s="39"/>
      <c r="E30167" s="39"/>
      <c r="F30167" s="39"/>
    </row>
    <row r="30168">
      <c r="D30168" s="39"/>
      <c r="E30168" s="39"/>
      <c r="F30168" s="39"/>
    </row>
    <row r="30169">
      <c r="D30169" s="39"/>
      <c r="E30169" s="39"/>
      <c r="F30169" s="39"/>
    </row>
    <row r="30170">
      <c r="D30170" s="39"/>
      <c r="E30170" s="39"/>
      <c r="F30170" s="39"/>
    </row>
    <row r="30171">
      <c r="D30171" s="39"/>
      <c r="E30171" s="39"/>
      <c r="F30171" s="39"/>
    </row>
    <row r="30172">
      <c r="D30172" s="39"/>
      <c r="E30172" s="39"/>
      <c r="F30172" s="39"/>
    </row>
    <row r="30173">
      <c r="D30173" s="39"/>
      <c r="E30173" s="39"/>
      <c r="F30173" s="39"/>
    </row>
    <row r="30174">
      <c r="D30174" s="39"/>
      <c r="E30174" s="39"/>
      <c r="F30174" s="39"/>
    </row>
    <row r="30175">
      <c r="D30175" s="39"/>
      <c r="E30175" s="39"/>
      <c r="F30175" s="39"/>
    </row>
    <row r="30176">
      <c r="D30176" s="39"/>
      <c r="E30176" s="39"/>
      <c r="F30176" s="39"/>
    </row>
    <row r="30177">
      <c r="D30177" s="39"/>
      <c r="E30177" s="39"/>
      <c r="F30177" s="39"/>
    </row>
    <row r="30178">
      <c r="D30178" s="39"/>
      <c r="E30178" s="39"/>
      <c r="F30178" s="39"/>
    </row>
    <row r="30179">
      <c r="D30179" s="39"/>
      <c r="E30179" s="39"/>
      <c r="F30179" s="39"/>
    </row>
    <row r="30180">
      <c r="D30180" s="39"/>
      <c r="E30180" s="39"/>
      <c r="F30180" s="39"/>
    </row>
    <row r="30181">
      <c r="D30181" s="39"/>
      <c r="E30181" s="39"/>
      <c r="F30181" s="39"/>
    </row>
    <row r="30182">
      <c r="D30182" s="39"/>
      <c r="E30182" s="39"/>
      <c r="F30182" s="39"/>
    </row>
    <row r="30183">
      <c r="D30183" s="39"/>
      <c r="E30183" s="39"/>
      <c r="F30183" s="39"/>
    </row>
    <row r="30184">
      <c r="D30184" s="39"/>
      <c r="E30184" s="39"/>
      <c r="F30184" s="39"/>
    </row>
    <row r="30185">
      <c r="D30185" s="39"/>
      <c r="E30185" s="39"/>
      <c r="F30185" s="39"/>
    </row>
    <row r="30186">
      <c r="D30186" s="39"/>
      <c r="E30186" s="39"/>
      <c r="F30186" s="39"/>
    </row>
    <row r="30187">
      <c r="D30187" s="39"/>
      <c r="E30187" s="39"/>
      <c r="F30187" s="39"/>
    </row>
    <row r="30188">
      <c r="D30188" s="39"/>
      <c r="E30188" s="39"/>
      <c r="F30188" s="39"/>
    </row>
    <row r="30189">
      <c r="D30189" s="39"/>
      <c r="E30189" s="39"/>
      <c r="F30189" s="39"/>
    </row>
    <row r="30190">
      <c r="D30190" s="39"/>
      <c r="E30190" s="39"/>
      <c r="F30190" s="39"/>
    </row>
    <row r="30191">
      <c r="D30191" s="39"/>
      <c r="E30191" s="39"/>
      <c r="F30191" s="39"/>
    </row>
    <row r="30192">
      <c r="D30192" s="39"/>
      <c r="E30192" s="39"/>
      <c r="F30192" s="39"/>
    </row>
    <row r="30193">
      <c r="D30193" s="39"/>
      <c r="E30193" s="39"/>
      <c r="F30193" s="39"/>
    </row>
    <row r="30194">
      <c r="D30194" s="39"/>
      <c r="E30194" s="39"/>
      <c r="F30194" s="39"/>
    </row>
    <row r="30195">
      <c r="D30195" s="39"/>
      <c r="E30195" s="39"/>
      <c r="F30195" s="39"/>
    </row>
    <row r="30196">
      <c r="D30196" s="39"/>
      <c r="E30196" s="39"/>
      <c r="F30196" s="39"/>
    </row>
    <row r="30197">
      <c r="D30197" s="39"/>
      <c r="E30197" s="39"/>
      <c r="F30197" s="39"/>
    </row>
    <row r="30198">
      <c r="D30198" s="39"/>
      <c r="E30198" s="39"/>
      <c r="F30198" s="39"/>
    </row>
    <row r="30199">
      <c r="D30199" s="39"/>
      <c r="E30199" s="39"/>
      <c r="F30199" s="39"/>
    </row>
    <row r="30200">
      <c r="D30200" s="39"/>
      <c r="E30200" s="39"/>
      <c r="F30200" s="39"/>
    </row>
    <row r="30201">
      <c r="D30201" s="39"/>
      <c r="E30201" s="39"/>
      <c r="F30201" s="39"/>
    </row>
    <row r="30202">
      <c r="D30202" s="39"/>
      <c r="E30202" s="39"/>
      <c r="F30202" s="39"/>
    </row>
    <row r="30203">
      <c r="D30203" s="39"/>
      <c r="E30203" s="39"/>
      <c r="F30203" s="39"/>
    </row>
    <row r="30204">
      <c r="D30204" s="39"/>
      <c r="E30204" s="39"/>
      <c r="F30204" s="39"/>
    </row>
    <row r="30205">
      <c r="D30205" s="39"/>
      <c r="E30205" s="39"/>
      <c r="F30205" s="39"/>
    </row>
    <row r="30206">
      <c r="D30206" s="39"/>
      <c r="E30206" s="39"/>
      <c r="F30206" s="39"/>
    </row>
    <row r="30207">
      <c r="D30207" s="39"/>
      <c r="E30207" s="39"/>
      <c r="F30207" s="39"/>
    </row>
    <row r="30208">
      <c r="D30208" s="39"/>
      <c r="E30208" s="39"/>
      <c r="F30208" s="39"/>
    </row>
    <row r="30209">
      <c r="D30209" s="39"/>
      <c r="E30209" s="39"/>
      <c r="F30209" s="39"/>
    </row>
    <row r="30210">
      <c r="D30210" s="39"/>
      <c r="E30210" s="39"/>
      <c r="F30210" s="39"/>
    </row>
    <row r="30211">
      <c r="D30211" s="39"/>
      <c r="E30211" s="39"/>
      <c r="F30211" s="39"/>
    </row>
    <row r="30212">
      <c r="D30212" s="39"/>
      <c r="E30212" s="39"/>
      <c r="F30212" s="39"/>
    </row>
    <row r="30213">
      <c r="D30213" s="39"/>
      <c r="E30213" s="39"/>
      <c r="F30213" s="39"/>
    </row>
    <row r="30214">
      <c r="D30214" s="39"/>
      <c r="E30214" s="39"/>
      <c r="F30214" s="39"/>
    </row>
    <row r="30215">
      <c r="D30215" s="39"/>
      <c r="E30215" s="39"/>
      <c r="F30215" s="39"/>
    </row>
    <row r="30216">
      <c r="D30216" s="39"/>
      <c r="E30216" s="39"/>
      <c r="F30216" s="39"/>
    </row>
    <row r="30217">
      <c r="D30217" s="39"/>
      <c r="E30217" s="39"/>
      <c r="F30217" s="39"/>
    </row>
    <row r="30218">
      <c r="D30218" s="39"/>
      <c r="E30218" s="39"/>
      <c r="F30218" s="39"/>
    </row>
    <row r="30219">
      <c r="D30219" s="39"/>
      <c r="E30219" s="39"/>
      <c r="F30219" s="39"/>
    </row>
    <row r="30220">
      <c r="D30220" s="39"/>
      <c r="E30220" s="39"/>
      <c r="F30220" s="39"/>
    </row>
    <row r="30221">
      <c r="D30221" s="39"/>
      <c r="E30221" s="39"/>
      <c r="F30221" s="39"/>
    </row>
    <row r="30222">
      <c r="D30222" s="39"/>
      <c r="E30222" s="39"/>
      <c r="F30222" s="39"/>
    </row>
    <row r="30223">
      <c r="D30223" s="39"/>
      <c r="E30223" s="39"/>
      <c r="F30223" s="39"/>
    </row>
    <row r="30224">
      <c r="D30224" s="39"/>
      <c r="E30224" s="39"/>
      <c r="F30224" s="39"/>
    </row>
    <row r="30225">
      <c r="D30225" s="39"/>
      <c r="E30225" s="39"/>
      <c r="F30225" s="39"/>
    </row>
    <row r="30226">
      <c r="D30226" s="39"/>
      <c r="E30226" s="39"/>
      <c r="F30226" s="39"/>
    </row>
    <row r="30227">
      <c r="D30227" s="39"/>
      <c r="E30227" s="39"/>
      <c r="F30227" s="39"/>
    </row>
    <row r="30228">
      <c r="D30228" s="39"/>
      <c r="E30228" s="39"/>
      <c r="F30228" s="39"/>
    </row>
    <row r="30229">
      <c r="D30229" s="39"/>
      <c r="E30229" s="39"/>
      <c r="F30229" s="39"/>
    </row>
    <row r="30230">
      <c r="D30230" s="39"/>
      <c r="E30230" s="39"/>
      <c r="F30230" s="39"/>
    </row>
    <row r="30231">
      <c r="D30231" s="39"/>
      <c r="E30231" s="39"/>
      <c r="F30231" s="39"/>
    </row>
    <row r="30232">
      <c r="D30232" s="39"/>
      <c r="E30232" s="39"/>
      <c r="F30232" s="39"/>
    </row>
    <row r="30233">
      <c r="D30233" s="39"/>
      <c r="E30233" s="39"/>
      <c r="F30233" s="39"/>
    </row>
    <row r="30234">
      <c r="D30234" s="39"/>
      <c r="E30234" s="39"/>
      <c r="F30234" s="39"/>
    </row>
    <row r="30235">
      <c r="D30235" s="39"/>
      <c r="E30235" s="39"/>
      <c r="F30235" s="39"/>
    </row>
    <row r="30236">
      <c r="D30236" s="39"/>
      <c r="E30236" s="39"/>
      <c r="F30236" s="39"/>
    </row>
    <row r="30237">
      <c r="D30237" s="39"/>
      <c r="E30237" s="39"/>
      <c r="F30237" s="39"/>
    </row>
    <row r="30238">
      <c r="D30238" s="39"/>
      <c r="E30238" s="39"/>
      <c r="F30238" s="39"/>
    </row>
    <row r="30239">
      <c r="D30239" s="39"/>
      <c r="E30239" s="39"/>
      <c r="F30239" s="39"/>
    </row>
    <row r="30240">
      <c r="D30240" s="39"/>
      <c r="E30240" s="39"/>
      <c r="F30240" s="39"/>
    </row>
    <row r="30241">
      <c r="D30241" s="39"/>
      <c r="E30241" s="39"/>
      <c r="F30241" s="39"/>
    </row>
    <row r="30242">
      <c r="D30242" s="39"/>
      <c r="E30242" s="39"/>
      <c r="F30242" s="39"/>
    </row>
    <row r="30243">
      <c r="D30243" s="39"/>
      <c r="E30243" s="39"/>
      <c r="F30243" s="39"/>
    </row>
    <row r="30244">
      <c r="D30244" s="39"/>
      <c r="E30244" s="39"/>
      <c r="F30244" s="39"/>
    </row>
    <row r="30245">
      <c r="D30245" s="39"/>
      <c r="E30245" s="39"/>
      <c r="F30245" s="39"/>
    </row>
    <row r="30246">
      <c r="D30246" s="39"/>
      <c r="E30246" s="39"/>
      <c r="F30246" s="39"/>
    </row>
    <row r="30247">
      <c r="D30247" s="39"/>
      <c r="E30247" s="39"/>
      <c r="F30247" s="39"/>
    </row>
    <row r="30248">
      <c r="D30248" s="39"/>
      <c r="E30248" s="39"/>
      <c r="F30248" s="39"/>
    </row>
    <row r="30249">
      <c r="D30249" s="39"/>
      <c r="E30249" s="39"/>
      <c r="F30249" s="39"/>
    </row>
    <row r="30250">
      <c r="D30250" s="39"/>
      <c r="E30250" s="39"/>
      <c r="F30250" s="39"/>
    </row>
    <row r="30251">
      <c r="D30251" s="39"/>
      <c r="E30251" s="39"/>
      <c r="F30251" s="39"/>
    </row>
    <row r="30252">
      <c r="D30252" s="39"/>
      <c r="E30252" s="39"/>
      <c r="F30252" s="39"/>
    </row>
    <row r="30253">
      <c r="D30253" s="39"/>
      <c r="E30253" s="39"/>
      <c r="F30253" s="39"/>
    </row>
    <row r="30254">
      <c r="D30254" s="39"/>
      <c r="E30254" s="39"/>
      <c r="F30254" s="39"/>
    </row>
    <row r="30255">
      <c r="D30255" s="39"/>
      <c r="E30255" s="39"/>
      <c r="F30255" s="39"/>
    </row>
    <row r="30256">
      <c r="D30256" s="39"/>
      <c r="E30256" s="39"/>
      <c r="F30256" s="39"/>
    </row>
    <row r="30257">
      <c r="D30257" s="39"/>
      <c r="E30257" s="39"/>
      <c r="F30257" s="39"/>
    </row>
    <row r="30258">
      <c r="D30258" s="39"/>
      <c r="E30258" s="39"/>
      <c r="F30258" s="39"/>
    </row>
    <row r="30259">
      <c r="D30259" s="39"/>
      <c r="E30259" s="39"/>
      <c r="F30259" s="39"/>
    </row>
    <row r="30260">
      <c r="D30260" s="39"/>
      <c r="E30260" s="39"/>
      <c r="F30260" s="39"/>
    </row>
    <row r="30261">
      <c r="D30261" s="39"/>
      <c r="E30261" s="39"/>
      <c r="F30261" s="39"/>
    </row>
    <row r="30262">
      <c r="D30262" s="39"/>
      <c r="E30262" s="39"/>
      <c r="F30262" s="39"/>
    </row>
    <row r="30263">
      <c r="D30263" s="39"/>
      <c r="E30263" s="39"/>
      <c r="F30263" s="39"/>
    </row>
    <row r="30264">
      <c r="D30264" s="39"/>
      <c r="E30264" s="39"/>
      <c r="F30264" s="39"/>
    </row>
    <row r="30265">
      <c r="D30265" s="39"/>
      <c r="E30265" s="39"/>
      <c r="F30265" s="39"/>
    </row>
    <row r="30266">
      <c r="D30266" s="39"/>
      <c r="E30266" s="39"/>
      <c r="F30266" s="39"/>
    </row>
    <row r="30267">
      <c r="D30267" s="39"/>
      <c r="E30267" s="39"/>
      <c r="F30267" s="39"/>
    </row>
    <row r="30268">
      <c r="D30268" s="39"/>
      <c r="E30268" s="39"/>
      <c r="F30268" s="39"/>
    </row>
    <row r="30269">
      <c r="D30269" s="39"/>
      <c r="E30269" s="39"/>
      <c r="F30269" s="39"/>
    </row>
    <row r="30270">
      <c r="D30270" s="39"/>
      <c r="E30270" s="39"/>
      <c r="F30270" s="39"/>
    </row>
    <row r="30271">
      <c r="D30271" s="39"/>
      <c r="E30271" s="39"/>
      <c r="F30271" s="39"/>
    </row>
    <row r="30272">
      <c r="D30272" s="39"/>
      <c r="E30272" s="39"/>
      <c r="F30272" s="39"/>
    </row>
    <row r="30273">
      <c r="D30273" s="39"/>
      <c r="E30273" s="39"/>
      <c r="F30273" s="39"/>
    </row>
    <row r="30274">
      <c r="D30274" s="39"/>
      <c r="E30274" s="39"/>
      <c r="F30274" s="39"/>
    </row>
    <row r="30275">
      <c r="D30275" s="39"/>
      <c r="E30275" s="39"/>
      <c r="F30275" s="39"/>
    </row>
    <row r="30276">
      <c r="D30276" s="39"/>
      <c r="E30276" s="39"/>
      <c r="F30276" s="39"/>
    </row>
    <row r="30277">
      <c r="D30277" s="39"/>
      <c r="E30277" s="39"/>
      <c r="F30277" s="39"/>
    </row>
    <row r="30278">
      <c r="D30278" s="39"/>
      <c r="E30278" s="39"/>
      <c r="F30278" s="39"/>
    </row>
    <row r="30279">
      <c r="D30279" s="39"/>
      <c r="E30279" s="39"/>
      <c r="F30279" s="39"/>
    </row>
    <row r="30280">
      <c r="D30280" s="39"/>
      <c r="E30280" s="39"/>
      <c r="F30280" s="39"/>
    </row>
    <row r="30281">
      <c r="D30281" s="39"/>
      <c r="E30281" s="39"/>
      <c r="F30281" s="39"/>
    </row>
    <row r="30282">
      <c r="D30282" s="39"/>
      <c r="E30282" s="39"/>
      <c r="F30282" s="39"/>
    </row>
    <row r="30283">
      <c r="D30283" s="39"/>
      <c r="E30283" s="39"/>
      <c r="F30283" s="39"/>
    </row>
    <row r="30284">
      <c r="D30284" s="39"/>
      <c r="E30284" s="39"/>
      <c r="F30284" s="39"/>
    </row>
    <row r="30285">
      <c r="D30285" s="39"/>
      <c r="E30285" s="39"/>
      <c r="F30285" s="39"/>
    </row>
    <row r="30286">
      <c r="D30286" s="39"/>
      <c r="E30286" s="39"/>
      <c r="F30286" s="39"/>
    </row>
    <row r="30287">
      <c r="D30287" s="39"/>
      <c r="E30287" s="39"/>
      <c r="F30287" s="39"/>
    </row>
    <row r="30288">
      <c r="D30288" s="39"/>
      <c r="E30288" s="39"/>
      <c r="F30288" s="39"/>
    </row>
    <row r="30289">
      <c r="D30289" s="39"/>
      <c r="E30289" s="39"/>
      <c r="F30289" s="39"/>
    </row>
    <row r="30290">
      <c r="D30290" s="39"/>
      <c r="E30290" s="39"/>
      <c r="F30290" s="39"/>
    </row>
    <row r="30291">
      <c r="D30291" s="39"/>
      <c r="E30291" s="39"/>
      <c r="F30291" s="39"/>
    </row>
    <row r="30292">
      <c r="D30292" s="39"/>
      <c r="E30292" s="39"/>
      <c r="F30292" s="39"/>
    </row>
    <row r="30293">
      <c r="D30293" s="39"/>
      <c r="E30293" s="39"/>
      <c r="F30293" s="39"/>
    </row>
    <row r="30294">
      <c r="D30294" s="39"/>
      <c r="E30294" s="39"/>
      <c r="F30294" s="39"/>
    </row>
    <row r="30295">
      <c r="D30295" s="39"/>
      <c r="E30295" s="39"/>
      <c r="F30295" s="39"/>
    </row>
    <row r="30296">
      <c r="D30296" s="39"/>
      <c r="E30296" s="39"/>
      <c r="F30296" s="39"/>
    </row>
    <row r="30297">
      <c r="D30297" s="39"/>
      <c r="E30297" s="39"/>
      <c r="F30297" s="39"/>
    </row>
    <row r="30298">
      <c r="D30298" s="39"/>
      <c r="E30298" s="39"/>
      <c r="F30298" s="39"/>
    </row>
    <row r="30299">
      <c r="D30299" s="39"/>
      <c r="E30299" s="39"/>
      <c r="F30299" s="39"/>
    </row>
    <row r="30300">
      <c r="D30300" s="39"/>
      <c r="E30300" s="39"/>
      <c r="F30300" s="39"/>
    </row>
    <row r="30301">
      <c r="D30301" s="39"/>
      <c r="E30301" s="39"/>
      <c r="F30301" s="39"/>
    </row>
    <row r="30302">
      <c r="D30302" s="39"/>
      <c r="E30302" s="39"/>
      <c r="F30302" s="39"/>
    </row>
    <row r="30303">
      <c r="D30303" s="39"/>
      <c r="E30303" s="39"/>
      <c r="F30303" s="39"/>
    </row>
    <row r="30304">
      <c r="D30304" s="39"/>
      <c r="E30304" s="39"/>
      <c r="F30304" s="39"/>
    </row>
    <row r="30305">
      <c r="D30305" s="39"/>
      <c r="E30305" s="39"/>
      <c r="F30305" s="39"/>
    </row>
    <row r="30306">
      <c r="D30306" s="39"/>
      <c r="E30306" s="39"/>
      <c r="F30306" s="39"/>
    </row>
    <row r="30307">
      <c r="D30307" s="39"/>
      <c r="E30307" s="39"/>
      <c r="F30307" s="39"/>
    </row>
    <row r="30308">
      <c r="D30308" s="39"/>
      <c r="E30308" s="39"/>
      <c r="F30308" s="39"/>
    </row>
    <row r="30309">
      <c r="D30309" s="39"/>
      <c r="E30309" s="39"/>
      <c r="F30309" s="39"/>
    </row>
    <row r="30310">
      <c r="D30310" s="39"/>
      <c r="E30310" s="39"/>
      <c r="F30310" s="39"/>
    </row>
    <row r="30311">
      <c r="D30311" s="39"/>
      <c r="E30311" s="39"/>
      <c r="F30311" s="39"/>
    </row>
    <row r="30312">
      <c r="D30312" s="39"/>
      <c r="E30312" s="39"/>
      <c r="F30312" s="39"/>
    </row>
    <row r="30313">
      <c r="D30313" s="39"/>
      <c r="E30313" s="39"/>
      <c r="F30313" s="39"/>
    </row>
    <row r="30314">
      <c r="D30314" s="39"/>
      <c r="E30314" s="39"/>
      <c r="F30314" s="39"/>
    </row>
    <row r="30315">
      <c r="D30315" s="39"/>
      <c r="E30315" s="39"/>
      <c r="F30315" s="39"/>
    </row>
    <row r="30316">
      <c r="D30316" s="39"/>
      <c r="E30316" s="39"/>
      <c r="F30316" s="39"/>
    </row>
    <row r="30317">
      <c r="D30317" s="39"/>
      <c r="E30317" s="39"/>
      <c r="F30317" s="39"/>
    </row>
    <row r="30318">
      <c r="D30318" s="39"/>
      <c r="E30318" s="39"/>
      <c r="F30318" s="39"/>
    </row>
    <row r="30319">
      <c r="D30319" s="39"/>
      <c r="E30319" s="39"/>
      <c r="F30319" s="39"/>
    </row>
    <row r="30320">
      <c r="D30320" s="39"/>
      <c r="E30320" s="39"/>
      <c r="F30320" s="39"/>
    </row>
    <row r="30321">
      <c r="D30321" s="39"/>
      <c r="E30321" s="39"/>
      <c r="F30321" s="39"/>
    </row>
    <row r="30322">
      <c r="D30322" s="39"/>
      <c r="E30322" s="39"/>
      <c r="F30322" s="39"/>
    </row>
    <row r="30323">
      <c r="D30323" s="39"/>
      <c r="E30323" s="39"/>
      <c r="F30323" s="39"/>
    </row>
    <row r="30324">
      <c r="D30324" s="39"/>
      <c r="E30324" s="39"/>
      <c r="F30324" s="39"/>
    </row>
    <row r="30325">
      <c r="D30325" s="39"/>
      <c r="E30325" s="39"/>
      <c r="F30325" s="39"/>
    </row>
    <row r="30326">
      <c r="D30326" s="39"/>
      <c r="E30326" s="39"/>
      <c r="F30326" s="39"/>
    </row>
    <row r="30327">
      <c r="D30327" s="39"/>
      <c r="E30327" s="39"/>
      <c r="F30327" s="39"/>
    </row>
    <row r="30328">
      <c r="D30328" s="39"/>
      <c r="E30328" s="39"/>
      <c r="F30328" s="39"/>
    </row>
    <row r="30329">
      <c r="D30329" s="39"/>
      <c r="E30329" s="39"/>
      <c r="F30329" s="39"/>
    </row>
    <row r="30330">
      <c r="D30330" s="39"/>
      <c r="E30330" s="39"/>
      <c r="F30330" s="39"/>
    </row>
    <row r="30331">
      <c r="D30331" s="39"/>
      <c r="E30331" s="39"/>
      <c r="F30331" s="39"/>
    </row>
    <row r="30332">
      <c r="D30332" s="39"/>
      <c r="E30332" s="39"/>
      <c r="F30332" s="39"/>
    </row>
    <row r="30333">
      <c r="D30333" s="39"/>
      <c r="E30333" s="39"/>
      <c r="F30333" s="39"/>
    </row>
    <row r="30334">
      <c r="D30334" s="39"/>
      <c r="E30334" s="39"/>
      <c r="F30334" s="39"/>
    </row>
    <row r="30335">
      <c r="D30335" s="39"/>
      <c r="E30335" s="39"/>
      <c r="F30335" s="39"/>
    </row>
    <row r="30336">
      <c r="D30336" s="39"/>
      <c r="E30336" s="39"/>
      <c r="F30336" s="39"/>
    </row>
    <row r="30337">
      <c r="D30337" s="39"/>
      <c r="E30337" s="39"/>
      <c r="F30337" s="39"/>
    </row>
    <row r="30338">
      <c r="D30338" s="39"/>
      <c r="E30338" s="39"/>
      <c r="F30338" s="39"/>
    </row>
    <row r="30339">
      <c r="D30339" s="39"/>
      <c r="E30339" s="39"/>
      <c r="F30339" s="39"/>
    </row>
    <row r="30340">
      <c r="D30340" s="39"/>
      <c r="E30340" s="39"/>
      <c r="F30340" s="39"/>
    </row>
    <row r="30341">
      <c r="D30341" s="39"/>
      <c r="E30341" s="39"/>
      <c r="F30341" s="39"/>
    </row>
    <row r="30342">
      <c r="D30342" s="39"/>
      <c r="E30342" s="39"/>
      <c r="F30342" s="39"/>
    </row>
    <row r="30343">
      <c r="D30343" s="39"/>
      <c r="E30343" s="39"/>
      <c r="F30343" s="39"/>
    </row>
    <row r="30344">
      <c r="D30344" s="39"/>
      <c r="E30344" s="39"/>
      <c r="F30344" s="39"/>
    </row>
    <row r="30345">
      <c r="D30345" s="39"/>
      <c r="E30345" s="39"/>
      <c r="F30345" s="39"/>
    </row>
    <row r="30346">
      <c r="D30346" s="39"/>
      <c r="E30346" s="39"/>
      <c r="F30346" s="39"/>
    </row>
    <row r="30347">
      <c r="D30347" s="39"/>
      <c r="E30347" s="39"/>
      <c r="F30347" s="39"/>
    </row>
    <row r="30348">
      <c r="D30348" s="39"/>
      <c r="E30348" s="39"/>
      <c r="F30348" s="39"/>
    </row>
    <row r="30349">
      <c r="D30349" s="39"/>
      <c r="E30349" s="39"/>
      <c r="F30349" s="39"/>
    </row>
    <row r="30350">
      <c r="D30350" s="39"/>
      <c r="E30350" s="39"/>
      <c r="F30350" s="39"/>
    </row>
    <row r="30351">
      <c r="D30351" s="39"/>
      <c r="E30351" s="39"/>
      <c r="F30351" s="39"/>
    </row>
    <row r="30352">
      <c r="D30352" s="39"/>
      <c r="E30352" s="39"/>
      <c r="F30352" s="39"/>
    </row>
    <row r="30353">
      <c r="D30353" s="39"/>
      <c r="E30353" s="39"/>
      <c r="F30353" s="39"/>
    </row>
    <row r="30354">
      <c r="D30354" s="39"/>
      <c r="E30354" s="39"/>
      <c r="F30354" s="39"/>
    </row>
    <row r="30355">
      <c r="D30355" s="39"/>
      <c r="E30355" s="39"/>
      <c r="F30355" s="39"/>
    </row>
    <row r="30356">
      <c r="D30356" s="39"/>
      <c r="E30356" s="39"/>
      <c r="F30356" s="39"/>
    </row>
    <row r="30357">
      <c r="D30357" s="39"/>
      <c r="E30357" s="39"/>
      <c r="F30357" s="39"/>
    </row>
    <row r="30358">
      <c r="D30358" s="39"/>
      <c r="E30358" s="39"/>
      <c r="F30358" s="39"/>
    </row>
    <row r="30359">
      <c r="D30359" s="39"/>
      <c r="E30359" s="39"/>
      <c r="F30359" s="39"/>
    </row>
    <row r="30360">
      <c r="D30360" s="39"/>
      <c r="E30360" s="39"/>
      <c r="F30360" s="39"/>
    </row>
    <row r="30361">
      <c r="D30361" s="39"/>
      <c r="E30361" s="39"/>
      <c r="F30361" s="39"/>
    </row>
    <row r="30362">
      <c r="D30362" s="39"/>
      <c r="E30362" s="39"/>
      <c r="F30362" s="39"/>
    </row>
    <row r="30363">
      <c r="D30363" s="39"/>
      <c r="E30363" s="39"/>
      <c r="F30363" s="39"/>
    </row>
    <row r="30364">
      <c r="D30364" s="39"/>
      <c r="E30364" s="39"/>
      <c r="F30364" s="39"/>
    </row>
    <row r="30365">
      <c r="D30365" s="39"/>
      <c r="E30365" s="39"/>
      <c r="F30365" s="39"/>
    </row>
    <row r="30366">
      <c r="D30366" s="39"/>
      <c r="E30366" s="39"/>
      <c r="F30366" s="39"/>
    </row>
    <row r="30367">
      <c r="D30367" s="39"/>
      <c r="E30367" s="39"/>
      <c r="F30367" s="39"/>
    </row>
    <row r="30368">
      <c r="D30368" s="39"/>
      <c r="E30368" s="39"/>
      <c r="F30368" s="39"/>
    </row>
    <row r="30369">
      <c r="D30369" s="39"/>
      <c r="E30369" s="39"/>
      <c r="F30369" s="39"/>
    </row>
    <row r="30370">
      <c r="D30370" s="39"/>
      <c r="E30370" s="39"/>
      <c r="F30370" s="39"/>
    </row>
    <row r="30371">
      <c r="D30371" s="39"/>
      <c r="E30371" s="39"/>
      <c r="F30371" s="39"/>
    </row>
    <row r="30372">
      <c r="D30372" s="39"/>
      <c r="E30372" s="39"/>
      <c r="F30372" s="39"/>
    </row>
    <row r="30373">
      <c r="D30373" s="39"/>
      <c r="E30373" s="39"/>
      <c r="F30373" s="39"/>
    </row>
    <row r="30374">
      <c r="D30374" s="39"/>
      <c r="E30374" s="39"/>
      <c r="F30374" s="39"/>
    </row>
    <row r="30375">
      <c r="D30375" s="39"/>
      <c r="E30375" s="39"/>
      <c r="F30375" s="39"/>
    </row>
    <row r="30376">
      <c r="D30376" s="39"/>
      <c r="E30376" s="39"/>
      <c r="F30376" s="39"/>
    </row>
    <row r="30377">
      <c r="D30377" s="39"/>
      <c r="E30377" s="39"/>
      <c r="F30377" s="39"/>
    </row>
    <row r="30378">
      <c r="D30378" s="39"/>
      <c r="E30378" s="39"/>
      <c r="F30378" s="39"/>
    </row>
    <row r="30379">
      <c r="D30379" s="39"/>
      <c r="E30379" s="39"/>
      <c r="F30379" s="39"/>
    </row>
    <row r="30380">
      <c r="D30380" s="39"/>
      <c r="E30380" s="39"/>
      <c r="F30380" s="39"/>
    </row>
    <row r="30381">
      <c r="D30381" s="39"/>
      <c r="E30381" s="39"/>
      <c r="F30381" s="39"/>
    </row>
    <row r="30382">
      <c r="D30382" s="39"/>
      <c r="E30382" s="39"/>
      <c r="F30382" s="39"/>
    </row>
    <row r="30383">
      <c r="D30383" s="39"/>
      <c r="E30383" s="39"/>
      <c r="F30383" s="39"/>
    </row>
    <row r="30384">
      <c r="D30384" s="39"/>
      <c r="E30384" s="39"/>
      <c r="F30384" s="39"/>
    </row>
    <row r="30385">
      <c r="D30385" s="39"/>
      <c r="E30385" s="39"/>
      <c r="F30385" s="39"/>
    </row>
    <row r="30386">
      <c r="D30386" s="39"/>
      <c r="E30386" s="39"/>
      <c r="F30386" s="39"/>
    </row>
    <row r="30387">
      <c r="D30387" s="39"/>
      <c r="E30387" s="39"/>
      <c r="F30387" s="39"/>
    </row>
    <row r="30388">
      <c r="D30388" s="39"/>
      <c r="E30388" s="39"/>
      <c r="F30388" s="39"/>
    </row>
    <row r="30389">
      <c r="D30389" s="39"/>
      <c r="E30389" s="39"/>
      <c r="F30389" s="39"/>
    </row>
    <row r="30390">
      <c r="D30390" s="39"/>
      <c r="E30390" s="39"/>
      <c r="F30390" s="39"/>
    </row>
    <row r="30391">
      <c r="D30391" s="39"/>
      <c r="E30391" s="39"/>
      <c r="F30391" s="39"/>
    </row>
    <row r="30392">
      <c r="D30392" s="39"/>
      <c r="E30392" s="39"/>
      <c r="F30392" s="39"/>
    </row>
    <row r="30393">
      <c r="D30393" s="39"/>
      <c r="E30393" s="39"/>
      <c r="F30393" s="39"/>
    </row>
    <row r="30394">
      <c r="D30394" s="39"/>
      <c r="E30394" s="39"/>
      <c r="F30394" s="39"/>
    </row>
    <row r="30395">
      <c r="D30395" s="39"/>
      <c r="E30395" s="39"/>
      <c r="F30395" s="39"/>
    </row>
    <row r="30396">
      <c r="D30396" s="39"/>
      <c r="E30396" s="39"/>
      <c r="F30396" s="39"/>
    </row>
    <row r="30397">
      <c r="D30397" s="39"/>
      <c r="E30397" s="39"/>
      <c r="F30397" s="39"/>
    </row>
    <row r="30398">
      <c r="D30398" s="39"/>
      <c r="E30398" s="39"/>
      <c r="F30398" s="39"/>
    </row>
    <row r="30399">
      <c r="D30399" s="39"/>
      <c r="E30399" s="39"/>
      <c r="F30399" s="39"/>
    </row>
    <row r="30400">
      <c r="D30400" s="39"/>
      <c r="E30400" s="39"/>
      <c r="F30400" s="39"/>
    </row>
    <row r="30401">
      <c r="D30401" s="39"/>
      <c r="E30401" s="39"/>
      <c r="F30401" s="39"/>
    </row>
    <row r="30402">
      <c r="D30402" s="39"/>
      <c r="E30402" s="39"/>
      <c r="F30402" s="39"/>
    </row>
    <row r="30403">
      <c r="D30403" s="39"/>
      <c r="E30403" s="39"/>
      <c r="F30403" s="39"/>
    </row>
    <row r="30404">
      <c r="D30404" s="39"/>
      <c r="E30404" s="39"/>
      <c r="F30404" s="39"/>
    </row>
    <row r="30405">
      <c r="D30405" s="39"/>
      <c r="E30405" s="39"/>
      <c r="F30405" s="39"/>
    </row>
    <row r="30406">
      <c r="D30406" s="39"/>
      <c r="E30406" s="39"/>
      <c r="F30406" s="39"/>
    </row>
    <row r="30407">
      <c r="D30407" s="39"/>
      <c r="E30407" s="39"/>
      <c r="F30407" s="39"/>
    </row>
    <row r="30408">
      <c r="D30408" s="39"/>
      <c r="E30408" s="39"/>
      <c r="F30408" s="39"/>
    </row>
    <row r="30409">
      <c r="D30409" s="39"/>
      <c r="E30409" s="39"/>
      <c r="F30409" s="39"/>
    </row>
    <row r="30410">
      <c r="D30410" s="39"/>
      <c r="E30410" s="39"/>
      <c r="F30410" s="39"/>
    </row>
    <row r="30411">
      <c r="D30411" s="39"/>
      <c r="E30411" s="39"/>
      <c r="F30411" s="39"/>
    </row>
    <row r="30412">
      <c r="D30412" s="39"/>
      <c r="E30412" s="39"/>
      <c r="F30412" s="39"/>
    </row>
    <row r="30413">
      <c r="D30413" s="39"/>
      <c r="E30413" s="39"/>
      <c r="F30413" s="39"/>
    </row>
    <row r="30414">
      <c r="D30414" s="39"/>
      <c r="E30414" s="39"/>
      <c r="F30414" s="39"/>
    </row>
    <row r="30415">
      <c r="D30415" s="39"/>
      <c r="E30415" s="39"/>
      <c r="F30415" s="39"/>
    </row>
    <row r="30416">
      <c r="D30416" s="39"/>
      <c r="E30416" s="39"/>
      <c r="F30416" s="39"/>
    </row>
    <row r="30417">
      <c r="D30417" s="39"/>
      <c r="E30417" s="39"/>
      <c r="F30417" s="39"/>
    </row>
    <row r="30418">
      <c r="D30418" s="39"/>
      <c r="E30418" s="39"/>
      <c r="F30418" s="39"/>
    </row>
    <row r="30419">
      <c r="D30419" s="39"/>
      <c r="E30419" s="39"/>
      <c r="F30419" s="39"/>
    </row>
    <row r="30420">
      <c r="D30420" s="39"/>
      <c r="E30420" s="39"/>
      <c r="F30420" s="39"/>
    </row>
    <row r="30421">
      <c r="D30421" s="39"/>
      <c r="E30421" s="39"/>
      <c r="F30421" s="39"/>
    </row>
    <row r="30422">
      <c r="D30422" s="39"/>
      <c r="E30422" s="39"/>
      <c r="F30422" s="39"/>
    </row>
    <row r="30423">
      <c r="D30423" s="39"/>
      <c r="E30423" s="39"/>
      <c r="F30423" s="39"/>
    </row>
    <row r="30424">
      <c r="D30424" s="39"/>
      <c r="E30424" s="39"/>
      <c r="F30424" s="39"/>
    </row>
    <row r="30425">
      <c r="D30425" s="39"/>
      <c r="E30425" s="39"/>
      <c r="F30425" s="39"/>
    </row>
    <row r="30426">
      <c r="D30426" s="39"/>
      <c r="E30426" s="39"/>
      <c r="F30426" s="39"/>
    </row>
    <row r="30427">
      <c r="D30427" s="39"/>
      <c r="E30427" s="39"/>
      <c r="F30427" s="39"/>
    </row>
    <row r="30428">
      <c r="D30428" s="39"/>
      <c r="E30428" s="39"/>
      <c r="F30428" s="39"/>
    </row>
    <row r="30429">
      <c r="D30429" s="39"/>
      <c r="E30429" s="39"/>
      <c r="F30429" s="39"/>
    </row>
    <row r="30430">
      <c r="D30430" s="39"/>
      <c r="E30430" s="39"/>
      <c r="F30430" s="39"/>
    </row>
    <row r="30431">
      <c r="D30431" s="39"/>
      <c r="E30431" s="39"/>
      <c r="F30431" s="39"/>
    </row>
    <row r="30432">
      <c r="D30432" s="39"/>
      <c r="E30432" s="39"/>
      <c r="F30432" s="39"/>
    </row>
    <row r="30433">
      <c r="D30433" s="39"/>
      <c r="E30433" s="39"/>
      <c r="F30433" s="39"/>
    </row>
    <row r="30434">
      <c r="D30434" s="39"/>
      <c r="E30434" s="39"/>
      <c r="F30434" s="39"/>
    </row>
    <row r="30435">
      <c r="D30435" s="39"/>
      <c r="E30435" s="39"/>
      <c r="F30435" s="39"/>
    </row>
    <row r="30436">
      <c r="D30436" s="39"/>
      <c r="E30436" s="39"/>
      <c r="F30436" s="39"/>
    </row>
    <row r="30437">
      <c r="D30437" s="39"/>
      <c r="E30437" s="39"/>
      <c r="F30437" s="39"/>
    </row>
    <row r="30438">
      <c r="D30438" s="39"/>
      <c r="E30438" s="39"/>
      <c r="F30438" s="39"/>
    </row>
    <row r="30439">
      <c r="D30439" s="39"/>
      <c r="E30439" s="39"/>
      <c r="F30439" s="39"/>
    </row>
    <row r="30440">
      <c r="D30440" s="39"/>
      <c r="E30440" s="39"/>
      <c r="F30440" s="39"/>
    </row>
    <row r="30441">
      <c r="D30441" s="39"/>
      <c r="E30441" s="39"/>
      <c r="F30441" s="39"/>
    </row>
    <row r="30442">
      <c r="D30442" s="39"/>
      <c r="E30442" s="39"/>
      <c r="F30442" s="39"/>
    </row>
    <row r="30443">
      <c r="D30443" s="39"/>
      <c r="E30443" s="39"/>
      <c r="F30443" s="39"/>
    </row>
    <row r="30444">
      <c r="D30444" s="39"/>
      <c r="E30444" s="39"/>
      <c r="F30444" s="39"/>
    </row>
    <row r="30445">
      <c r="D30445" s="39"/>
      <c r="E30445" s="39"/>
      <c r="F30445" s="39"/>
    </row>
    <row r="30446">
      <c r="D30446" s="39"/>
      <c r="E30446" s="39"/>
      <c r="F30446" s="39"/>
    </row>
    <row r="30447">
      <c r="D30447" s="39"/>
      <c r="E30447" s="39"/>
      <c r="F30447" s="39"/>
    </row>
    <row r="30448">
      <c r="D30448" s="39"/>
      <c r="E30448" s="39"/>
      <c r="F30448" s="39"/>
    </row>
    <row r="30449">
      <c r="D30449" s="39"/>
      <c r="E30449" s="39"/>
      <c r="F30449" s="39"/>
    </row>
    <row r="30450">
      <c r="D30450" s="39"/>
      <c r="E30450" s="39"/>
      <c r="F30450" s="39"/>
    </row>
    <row r="30451">
      <c r="D30451" s="39"/>
      <c r="E30451" s="39"/>
      <c r="F30451" s="39"/>
    </row>
    <row r="30452">
      <c r="D30452" s="39"/>
      <c r="E30452" s="39"/>
      <c r="F30452" s="39"/>
    </row>
    <row r="30453">
      <c r="D30453" s="39"/>
      <c r="E30453" s="39"/>
      <c r="F30453" s="39"/>
    </row>
    <row r="30454">
      <c r="D30454" s="39"/>
      <c r="E30454" s="39"/>
      <c r="F30454" s="39"/>
    </row>
    <row r="30455">
      <c r="D30455" s="39"/>
      <c r="E30455" s="39"/>
      <c r="F30455" s="39"/>
    </row>
    <row r="30456">
      <c r="D30456" s="39"/>
      <c r="E30456" s="39"/>
      <c r="F30456" s="39"/>
    </row>
    <row r="30457">
      <c r="D30457" s="39"/>
      <c r="E30457" s="39"/>
      <c r="F30457" s="39"/>
    </row>
    <row r="30458">
      <c r="D30458" s="39"/>
      <c r="E30458" s="39"/>
      <c r="F30458" s="39"/>
    </row>
    <row r="30459">
      <c r="D30459" s="39"/>
      <c r="E30459" s="39"/>
      <c r="F30459" s="39"/>
    </row>
    <row r="30460">
      <c r="D30460" s="39"/>
      <c r="E30460" s="39"/>
      <c r="F30460" s="39"/>
    </row>
    <row r="30461">
      <c r="D30461" s="39"/>
      <c r="E30461" s="39"/>
      <c r="F30461" s="39"/>
    </row>
    <row r="30462">
      <c r="D30462" s="39"/>
      <c r="E30462" s="39"/>
      <c r="F30462" s="39"/>
    </row>
    <row r="30463">
      <c r="D30463" s="39"/>
      <c r="E30463" s="39"/>
      <c r="F30463" s="39"/>
    </row>
    <row r="30464">
      <c r="D30464" s="39"/>
      <c r="E30464" s="39"/>
      <c r="F30464" s="39"/>
    </row>
    <row r="30465">
      <c r="D30465" s="39"/>
      <c r="E30465" s="39"/>
      <c r="F30465" s="39"/>
    </row>
    <row r="30466">
      <c r="D30466" s="39"/>
      <c r="E30466" s="39"/>
      <c r="F30466" s="39"/>
    </row>
    <row r="30467">
      <c r="D30467" s="39"/>
      <c r="E30467" s="39"/>
      <c r="F30467" s="39"/>
    </row>
    <row r="30468">
      <c r="D30468" s="39"/>
      <c r="E30468" s="39"/>
      <c r="F30468" s="39"/>
    </row>
    <row r="30469">
      <c r="D30469" s="39"/>
      <c r="E30469" s="39"/>
      <c r="F30469" s="39"/>
    </row>
    <row r="30470">
      <c r="D30470" s="39"/>
      <c r="E30470" s="39"/>
      <c r="F30470" s="39"/>
    </row>
    <row r="30471">
      <c r="D30471" s="39"/>
      <c r="E30471" s="39"/>
      <c r="F30471" s="39"/>
    </row>
    <row r="30472">
      <c r="D30472" s="39"/>
      <c r="E30472" s="39"/>
      <c r="F30472" s="39"/>
    </row>
    <row r="30473">
      <c r="D30473" s="39"/>
      <c r="E30473" s="39"/>
      <c r="F30473" s="39"/>
    </row>
    <row r="30474">
      <c r="D30474" s="39"/>
      <c r="E30474" s="39"/>
      <c r="F30474" s="39"/>
    </row>
    <row r="30475">
      <c r="D30475" s="39"/>
      <c r="E30475" s="39"/>
      <c r="F30475" s="39"/>
    </row>
    <row r="30476">
      <c r="D30476" s="39"/>
      <c r="E30476" s="39"/>
      <c r="F30476" s="39"/>
    </row>
    <row r="30477">
      <c r="D30477" s="39"/>
      <c r="E30477" s="39"/>
      <c r="F30477" s="39"/>
    </row>
    <row r="30478">
      <c r="D30478" s="39"/>
      <c r="E30478" s="39"/>
      <c r="F30478" s="39"/>
    </row>
    <row r="30479">
      <c r="D30479" s="39"/>
      <c r="E30479" s="39"/>
      <c r="F30479" s="39"/>
    </row>
    <row r="30480">
      <c r="D30480" s="39"/>
      <c r="E30480" s="39"/>
      <c r="F30480" s="39"/>
    </row>
    <row r="30481">
      <c r="D30481" s="39"/>
      <c r="E30481" s="39"/>
      <c r="F30481" s="39"/>
    </row>
    <row r="30482">
      <c r="D30482" s="39"/>
      <c r="E30482" s="39"/>
      <c r="F30482" s="39"/>
    </row>
    <row r="30483">
      <c r="D30483" s="39"/>
      <c r="E30483" s="39"/>
      <c r="F30483" s="39"/>
    </row>
    <row r="30484">
      <c r="D30484" s="39"/>
      <c r="E30484" s="39"/>
      <c r="F30484" s="39"/>
    </row>
    <row r="30485">
      <c r="D30485" s="39"/>
      <c r="E30485" s="39"/>
      <c r="F30485" s="39"/>
    </row>
    <row r="30486">
      <c r="D30486" s="39"/>
      <c r="E30486" s="39"/>
      <c r="F30486" s="39"/>
    </row>
    <row r="30487">
      <c r="D30487" s="39"/>
      <c r="E30487" s="39"/>
      <c r="F30487" s="39"/>
    </row>
    <row r="30488">
      <c r="D30488" s="39"/>
      <c r="E30488" s="39"/>
      <c r="F30488" s="39"/>
    </row>
    <row r="30489">
      <c r="D30489" s="39"/>
      <c r="E30489" s="39"/>
      <c r="F30489" s="39"/>
    </row>
    <row r="30490">
      <c r="D30490" s="39"/>
      <c r="E30490" s="39"/>
      <c r="F30490" s="39"/>
    </row>
    <row r="30491">
      <c r="D30491" s="39"/>
      <c r="E30491" s="39"/>
      <c r="F30491" s="39"/>
    </row>
    <row r="30492">
      <c r="D30492" s="39"/>
      <c r="E30492" s="39"/>
      <c r="F30492" s="39"/>
    </row>
    <row r="30493">
      <c r="D30493" s="39"/>
      <c r="E30493" s="39"/>
      <c r="F30493" s="39"/>
    </row>
    <row r="30494">
      <c r="D30494" s="39"/>
      <c r="E30494" s="39"/>
      <c r="F30494" s="39"/>
    </row>
    <row r="30495">
      <c r="D30495" s="39"/>
      <c r="E30495" s="39"/>
      <c r="F30495" s="39"/>
    </row>
    <row r="30496">
      <c r="D30496" s="39"/>
      <c r="E30496" s="39"/>
      <c r="F30496" s="39"/>
    </row>
    <row r="30497">
      <c r="D30497" s="39"/>
      <c r="E30497" s="39"/>
      <c r="F30497" s="39"/>
    </row>
    <row r="30498">
      <c r="D30498" s="39"/>
      <c r="E30498" s="39"/>
      <c r="F30498" s="39"/>
    </row>
    <row r="30499">
      <c r="D30499" s="39"/>
      <c r="E30499" s="39"/>
      <c r="F30499" s="39"/>
    </row>
    <row r="30500">
      <c r="D30500" s="39"/>
      <c r="E30500" s="39"/>
      <c r="F30500" s="39"/>
    </row>
    <row r="30501">
      <c r="D30501" s="39"/>
      <c r="E30501" s="39"/>
      <c r="F30501" s="39"/>
    </row>
    <row r="30502">
      <c r="D30502" s="39"/>
      <c r="E30502" s="39"/>
      <c r="F30502" s="39"/>
    </row>
    <row r="30503">
      <c r="D30503" s="39"/>
      <c r="E30503" s="39"/>
      <c r="F30503" s="39"/>
    </row>
    <row r="30504">
      <c r="D30504" s="39"/>
      <c r="E30504" s="39"/>
      <c r="F30504" s="39"/>
    </row>
    <row r="30505">
      <c r="D30505" s="39"/>
      <c r="E30505" s="39"/>
      <c r="F30505" s="39"/>
    </row>
    <row r="30506">
      <c r="D30506" s="39"/>
      <c r="E30506" s="39"/>
      <c r="F30506" s="39"/>
    </row>
    <row r="30507">
      <c r="D30507" s="39"/>
      <c r="E30507" s="39"/>
      <c r="F30507" s="39"/>
    </row>
    <row r="30508">
      <c r="D30508" s="39"/>
      <c r="E30508" s="39"/>
      <c r="F30508" s="39"/>
    </row>
    <row r="30509">
      <c r="D30509" s="39"/>
      <c r="E30509" s="39"/>
      <c r="F30509" s="39"/>
    </row>
    <row r="30510">
      <c r="D30510" s="39"/>
      <c r="E30510" s="39"/>
      <c r="F30510" s="39"/>
    </row>
    <row r="30511">
      <c r="D30511" s="39"/>
      <c r="E30511" s="39"/>
      <c r="F30511" s="39"/>
    </row>
    <row r="30512">
      <c r="D30512" s="39"/>
      <c r="E30512" s="39"/>
      <c r="F30512" s="39"/>
    </row>
    <row r="30513">
      <c r="D30513" s="39"/>
      <c r="E30513" s="39"/>
      <c r="F30513" s="39"/>
    </row>
    <row r="30514">
      <c r="D30514" s="39"/>
      <c r="E30514" s="39"/>
      <c r="F30514" s="39"/>
    </row>
    <row r="30515">
      <c r="D30515" s="39"/>
      <c r="E30515" s="39"/>
      <c r="F30515" s="39"/>
    </row>
    <row r="30516">
      <c r="D30516" s="39"/>
      <c r="E30516" s="39"/>
      <c r="F30516" s="39"/>
    </row>
    <row r="30517">
      <c r="D30517" s="39"/>
      <c r="E30517" s="39"/>
      <c r="F30517" s="39"/>
    </row>
    <row r="30518">
      <c r="D30518" s="39"/>
      <c r="E30518" s="39"/>
      <c r="F30518" s="39"/>
    </row>
    <row r="30519">
      <c r="D30519" s="39"/>
      <c r="E30519" s="39"/>
      <c r="F30519" s="39"/>
    </row>
    <row r="30520">
      <c r="D30520" s="39"/>
      <c r="E30520" s="39"/>
      <c r="F30520" s="39"/>
    </row>
    <row r="30521">
      <c r="D30521" s="39"/>
      <c r="E30521" s="39"/>
      <c r="F30521" s="39"/>
    </row>
    <row r="30522">
      <c r="D30522" s="39"/>
      <c r="E30522" s="39"/>
      <c r="F30522" s="39"/>
    </row>
    <row r="30523">
      <c r="D30523" s="39"/>
      <c r="E30523" s="39"/>
      <c r="F30523" s="39"/>
    </row>
    <row r="30524">
      <c r="D30524" s="39"/>
      <c r="E30524" s="39"/>
      <c r="F30524" s="39"/>
    </row>
    <row r="30525">
      <c r="D30525" s="39"/>
      <c r="E30525" s="39"/>
      <c r="F30525" s="39"/>
    </row>
    <row r="30526">
      <c r="D30526" s="39"/>
      <c r="E30526" s="39"/>
      <c r="F30526" s="39"/>
    </row>
    <row r="30527">
      <c r="D30527" s="39"/>
      <c r="E30527" s="39"/>
      <c r="F30527" s="39"/>
    </row>
    <row r="30528">
      <c r="D30528" s="39"/>
      <c r="E30528" s="39"/>
      <c r="F30528" s="39"/>
    </row>
    <row r="30529">
      <c r="D30529" s="39"/>
      <c r="E30529" s="39"/>
      <c r="F30529" s="39"/>
    </row>
    <row r="30530">
      <c r="D30530" s="39"/>
      <c r="E30530" s="39"/>
      <c r="F30530" s="39"/>
    </row>
    <row r="30531">
      <c r="D30531" s="39"/>
      <c r="E30531" s="39"/>
      <c r="F30531" s="39"/>
    </row>
    <row r="30532">
      <c r="D30532" s="39"/>
      <c r="E30532" s="39"/>
      <c r="F30532" s="39"/>
    </row>
    <row r="30533">
      <c r="D30533" s="39"/>
      <c r="E30533" s="39"/>
      <c r="F30533" s="39"/>
    </row>
    <row r="30534">
      <c r="D30534" s="39"/>
      <c r="E30534" s="39"/>
      <c r="F30534" s="39"/>
    </row>
    <row r="30535">
      <c r="D30535" s="39"/>
      <c r="E30535" s="39"/>
      <c r="F30535" s="39"/>
    </row>
    <row r="30536">
      <c r="D30536" s="39"/>
      <c r="E30536" s="39"/>
      <c r="F30536" s="39"/>
    </row>
    <row r="30537">
      <c r="D30537" s="39"/>
      <c r="E30537" s="39"/>
      <c r="F30537" s="39"/>
    </row>
    <row r="30538">
      <c r="D30538" s="39"/>
      <c r="E30538" s="39"/>
      <c r="F30538" s="39"/>
    </row>
    <row r="30539">
      <c r="D30539" s="39"/>
      <c r="E30539" s="39"/>
      <c r="F30539" s="39"/>
    </row>
    <row r="30540">
      <c r="D30540" s="39"/>
      <c r="E30540" s="39"/>
      <c r="F30540" s="39"/>
    </row>
    <row r="30541">
      <c r="D30541" s="39"/>
      <c r="E30541" s="39"/>
      <c r="F30541" s="39"/>
    </row>
    <row r="30542">
      <c r="D30542" s="39"/>
      <c r="E30542" s="39"/>
      <c r="F30542" s="39"/>
    </row>
    <row r="30543">
      <c r="D30543" s="39"/>
      <c r="E30543" s="39"/>
      <c r="F30543" s="39"/>
    </row>
    <row r="30544">
      <c r="D30544" s="39"/>
      <c r="E30544" s="39"/>
      <c r="F30544" s="39"/>
    </row>
    <row r="30545">
      <c r="D30545" s="39"/>
      <c r="E30545" s="39"/>
      <c r="F30545" s="39"/>
    </row>
    <row r="30546">
      <c r="D30546" s="39"/>
      <c r="E30546" s="39"/>
      <c r="F30546" s="39"/>
    </row>
    <row r="30547">
      <c r="D30547" s="39"/>
      <c r="E30547" s="39"/>
      <c r="F30547" s="39"/>
    </row>
    <row r="30548">
      <c r="D30548" s="39"/>
      <c r="E30548" s="39"/>
      <c r="F30548" s="39"/>
    </row>
    <row r="30549">
      <c r="D30549" s="39"/>
      <c r="E30549" s="39"/>
      <c r="F30549" s="39"/>
    </row>
    <row r="30550">
      <c r="D30550" s="39"/>
      <c r="E30550" s="39"/>
      <c r="F30550" s="39"/>
    </row>
    <row r="30551">
      <c r="D30551" s="39"/>
      <c r="E30551" s="39"/>
      <c r="F30551" s="39"/>
    </row>
    <row r="30552">
      <c r="D30552" s="39"/>
      <c r="E30552" s="39"/>
      <c r="F30552" s="39"/>
    </row>
    <row r="30553">
      <c r="D30553" s="39"/>
      <c r="E30553" s="39"/>
      <c r="F30553" s="39"/>
    </row>
    <row r="30554">
      <c r="D30554" s="39"/>
      <c r="E30554" s="39"/>
      <c r="F30554" s="39"/>
    </row>
    <row r="30555">
      <c r="D30555" s="39"/>
      <c r="E30555" s="39"/>
      <c r="F30555" s="39"/>
    </row>
    <row r="30556">
      <c r="D30556" s="39"/>
      <c r="E30556" s="39"/>
      <c r="F30556" s="39"/>
    </row>
    <row r="30557">
      <c r="D30557" s="39"/>
      <c r="E30557" s="39"/>
      <c r="F30557" s="39"/>
    </row>
    <row r="30558">
      <c r="D30558" s="39"/>
      <c r="E30558" s="39"/>
      <c r="F30558" s="39"/>
    </row>
    <row r="30559">
      <c r="D30559" s="39"/>
      <c r="E30559" s="39"/>
      <c r="F30559" s="39"/>
    </row>
    <row r="30560">
      <c r="D30560" s="39"/>
      <c r="E30560" s="39"/>
      <c r="F30560" s="39"/>
    </row>
    <row r="30561">
      <c r="D30561" s="39"/>
      <c r="E30561" s="39"/>
      <c r="F30561" s="39"/>
    </row>
    <row r="30562">
      <c r="D30562" s="39"/>
      <c r="E30562" s="39"/>
      <c r="F30562" s="39"/>
    </row>
    <row r="30563">
      <c r="D30563" s="39"/>
      <c r="E30563" s="39"/>
      <c r="F30563" s="39"/>
    </row>
    <row r="30564">
      <c r="D30564" s="39"/>
      <c r="E30564" s="39"/>
      <c r="F30564" s="39"/>
    </row>
    <row r="30565">
      <c r="D30565" s="39"/>
      <c r="E30565" s="39"/>
      <c r="F30565" s="39"/>
    </row>
    <row r="30566">
      <c r="D30566" s="39"/>
      <c r="E30566" s="39"/>
      <c r="F30566" s="39"/>
    </row>
    <row r="30567">
      <c r="D30567" s="39"/>
      <c r="E30567" s="39"/>
      <c r="F30567" s="39"/>
    </row>
    <row r="30568">
      <c r="D30568" s="39"/>
      <c r="E30568" s="39"/>
      <c r="F30568" s="39"/>
    </row>
    <row r="30569">
      <c r="D30569" s="39"/>
      <c r="E30569" s="39"/>
      <c r="F30569" s="39"/>
    </row>
    <row r="30570">
      <c r="D30570" s="39"/>
      <c r="E30570" s="39"/>
      <c r="F30570" s="39"/>
    </row>
    <row r="30571">
      <c r="D30571" s="39"/>
      <c r="E30571" s="39"/>
      <c r="F30571" s="39"/>
    </row>
    <row r="30572">
      <c r="D30572" s="39"/>
      <c r="E30572" s="39"/>
      <c r="F30572" s="39"/>
    </row>
    <row r="30573">
      <c r="D30573" s="39"/>
      <c r="E30573" s="39"/>
      <c r="F30573" s="39"/>
    </row>
    <row r="30574">
      <c r="D30574" s="39"/>
      <c r="E30574" s="39"/>
      <c r="F30574" s="39"/>
    </row>
    <row r="30575">
      <c r="D30575" s="39"/>
      <c r="E30575" s="39"/>
      <c r="F30575" s="39"/>
    </row>
    <row r="30576">
      <c r="D30576" s="39"/>
      <c r="E30576" s="39"/>
      <c r="F30576" s="39"/>
    </row>
    <row r="30577">
      <c r="D30577" s="39"/>
      <c r="E30577" s="39"/>
      <c r="F30577" s="39"/>
    </row>
    <row r="30578">
      <c r="D30578" s="39"/>
      <c r="E30578" s="39"/>
      <c r="F30578" s="39"/>
    </row>
    <row r="30579">
      <c r="D30579" s="39"/>
      <c r="E30579" s="39"/>
      <c r="F30579" s="39"/>
    </row>
    <row r="30580">
      <c r="D30580" s="39"/>
      <c r="E30580" s="39"/>
      <c r="F30580" s="39"/>
    </row>
    <row r="30581">
      <c r="D30581" s="39"/>
      <c r="E30581" s="39"/>
      <c r="F30581" s="39"/>
    </row>
    <row r="30582">
      <c r="D30582" s="39"/>
      <c r="E30582" s="39"/>
      <c r="F30582" s="39"/>
    </row>
    <row r="30583">
      <c r="D30583" s="39"/>
      <c r="E30583" s="39"/>
      <c r="F30583" s="39"/>
    </row>
    <row r="30584">
      <c r="D30584" s="39"/>
      <c r="E30584" s="39"/>
      <c r="F30584" s="39"/>
    </row>
    <row r="30585">
      <c r="D30585" s="39"/>
      <c r="E30585" s="39"/>
      <c r="F30585" s="39"/>
    </row>
    <row r="30586">
      <c r="D30586" s="39"/>
      <c r="E30586" s="39"/>
      <c r="F30586" s="39"/>
    </row>
    <row r="30587">
      <c r="D30587" s="39"/>
      <c r="E30587" s="39"/>
      <c r="F30587" s="39"/>
    </row>
    <row r="30588">
      <c r="D30588" s="39"/>
      <c r="E30588" s="39"/>
      <c r="F30588" s="39"/>
    </row>
    <row r="30589">
      <c r="D30589" s="39"/>
      <c r="E30589" s="39"/>
      <c r="F30589" s="39"/>
    </row>
    <row r="30590">
      <c r="D30590" s="39"/>
      <c r="E30590" s="39"/>
      <c r="F30590" s="39"/>
    </row>
    <row r="30591">
      <c r="D30591" s="39"/>
      <c r="E30591" s="39"/>
      <c r="F30591" s="39"/>
    </row>
    <row r="30592">
      <c r="D30592" s="39"/>
      <c r="E30592" s="39"/>
      <c r="F30592" s="39"/>
    </row>
    <row r="30593">
      <c r="D30593" s="39"/>
      <c r="E30593" s="39"/>
      <c r="F30593" s="39"/>
    </row>
    <row r="30594">
      <c r="D30594" s="39"/>
      <c r="E30594" s="39"/>
      <c r="F30594" s="39"/>
    </row>
    <row r="30595">
      <c r="D30595" s="39"/>
      <c r="E30595" s="39"/>
      <c r="F30595" s="39"/>
    </row>
    <row r="30596">
      <c r="D30596" s="39"/>
      <c r="E30596" s="39"/>
      <c r="F30596" s="39"/>
    </row>
    <row r="30597">
      <c r="D30597" s="39"/>
      <c r="E30597" s="39"/>
      <c r="F30597" s="39"/>
    </row>
    <row r="30598">
      <c r="D30598" s="39"/>
      <c r="E30598" s="39"/>
      <c r="F30598" s="39"/>
    </row>
    <row r="30599">
      <c r="D30599" s="39"/>
      <c r="E30599" s="39"/>
      <c r="F30599" s="39"/>
    </row>
    <row r="30600">
      <c r="D30600" s="39"/>
      <c r="E30600" s="39"/>
      <c r="F30600" s="39"/>
    </row>
    <row r="30601">
      <c r="D30601" s="39"/>
      <c r="E30601" s="39"/>
      <c r="F30601" s="39"/>
    </row>
    <row r="30602">
      <c r="D30602" s="39"/>
      <c r="E30602" s="39"/>
      <c r="F30602" s="39"/>
    </row>
    <row r="30603">
      <c r="D30603" s="39"/>
      <c r="E30603" s="39"/>
      <c r="F30603" s="39"/>
    </row>
    <row r="30604">
      <c r="D30604" s="39"/>
      <c r="E30604" s="39"/>
      <c r="F30604" s="39"/>
    </row>
    <row r="30605">
      <c r="D30605" s="39"/>
      <c r="E30605" s="39"/>
      <c r="F30605" s="39"/>
    </row>
    <row r="30606">
      <c r="D30606" s="39"/>
      <c r="E30606" s="39"/>
      <c r="F30606" s="39"/>
    </row>
    <row r="30607">
      <c r="D30607" s="39"/>
      <c r="E30607" s="39"/>
      <c r="F30607" s="39"/>
    </row>
    <row r="30608">
      <c r="D30608" s="39"/>
      <c r="E30608" s="39"/>
      <c r="F30608" s="39"/>
    </row>
    <row r="30609">
      <c r="D30609" s="39"/>
      <c r="E30609" s="39"/>
      <c r="F30609" s="39"/>
    </row>
    <row r="30610">
      <c r="D30610" s="39"/>
      <c r="E30610" s="39"/>
      <c r="F30610" s="39"/>
    </row>
    <row r="30611">
      <c r="D30611" s="39"/>
      <c r="E30611" s="39"/>
      <c r="F30611" s="39"/>
    </row>
    <row r="30612">
      <c r="D30612" s="39"/>
      <c r="E30612" s="39"/>
      <c r="F30612" s="39"/>
    </row>
    <row r="30613">
      <c r="D30613" s="39"/>
      <c r="E30613" s="39"/>
      <c r="F30613" s="39"/>
    </row>
    <row r="30614">
      <c r="D30614" s="39"/>
      <c r="E30614" s="39"/>
      <c r="F30614" s="39"/>
    </row>
    <row r="30615">
      <c r="D30615" s="39"/>
      <c r="E30615" s="39"/>
      <c r="F30615" s="39"/>
    </row>
    <row r="30616">
      <c r="D30616" s="39"/>
      <c r="E30616" s="39"/>
      <c r="F30616" s="39"/>
    </row>
    <row r="30617">
      <c r="D30617" s="39"/>
      <c r="E30617" s="39"/>
      <c r="F30617" s="39"/>
    </row>
    <row r="30618">
      <c r="D30618" s="39"/>
      <c r="E30618" s="39"/>
      <c r="F30618" s="39"/>
    </row>
    <row r="30619">
      <c r="D30619" s="39"/>
      <c r="E30619" s="39"/>
      <c r="F30619" s="39"/>
    </row>
    <row r="30620">
      <c r="D30620" s="39"/>
      <c r="E30620" s="39"/>
      <c r="F30620" s="39"/>
    </row>
    <row r="30621">
      <c r="D30621" s="39"/>
      <c r="E30621" s="39"/>
      <c r="F30621" s="39"/>
    </row>
    <row r="30622">
      <c r="D30622" s="39"/>
      <c r="E30622" s="39"/>
      <c r="F30622" s="39"/>
    </row>
    <row r="30623">
      <c r="D30623" s="39"/>
      <c r="E30623" s="39"/>
      <c r="F30623" s="39"/>
    </row>
    <row r="30624">
      <c r="D30624" s="39"/>
      <c r="E30624" s="39"/>
      <c r="F30624" s="39"/>
    </row>
    <row r="30625">
      <c r="D30625" s="39"/>
      <c r="E30625" s="39"/>
      <c r="F30625" s="39"/>
    </row>
    <row r="30626">
      <c r="D30626" s="39"/>
      <c r="E30626" s="39"/>
      <c r="F30626" s="39"/>
    </row>
    <row r="30627">
      <c r="D30627" s="39"/>
      <c r="E30627" s="39"/>
      <c r="F30627" s="39"/>
    </row>
    <row r="30628">
      <c r="D30628" s="39"/>
      <c r="E30628" s="39"/>
      <c r="F30628" s="39"/>
    </row>
    <row r="30629">
      <c r="D30629" s="39"/>
      <c r="E30629" s="39"/>
      <c r="F30629" s="39"/>
    </row>
    <row r="30630">
      <c r="D30630" s="39"/>
      <c r="E30630" s="39"/>
      <c r="F30630" s="39"/>
    </row>
    <row r="30631">
      <c r="D30631" s="39"/>
      <c r="E30631" s="39"/>
      <c r="F30631" s="39"/>
    </row>
    <row r="30632">
      <c r="D30632" s="39"/>
      <c r="E30632" s="39"/>
      <c r="F30632" s="39"/>
    </row>
    <row r="30633">
      <c r="D30633" s="39"/>
      <c r="E30633" s="39"/>
      <c r="F30633" s="39"/>
    </row>
    <row r="30634">
      <c r="D30634" s="39"/>
      <c r="E30634" s="39"/>
      <c r="F30634" s="39"/>
    </row>
    <row r="30635">
      <c r="D30635" s="39"/>
      <c r="E30635" s="39"/>
      <c r="F30635" s="39"/>
    </row>
    <row r="30636">
      <c r="D30636" s="39"/>
      <c r="E30636" s="39"/>
      <c r="F30636" s="39"/>
    </row>
    <row r="30637">
      <c r="D30637" s="39"/>
      <c r="E30637" s="39"/>
      <c r="F30637" s="39"/>
    </row>
    <row r="30638">
      <c r="D30638" s="39"/>
      <c r="E30638" s="39"/>
      <c r="F30638" s="39"/>
    </row>
    <row r="30639">
      <c r="D30639" s="39"/>
      <c r="E30639" s="39"/>
      <c r="F30639" s="39"/>
    </row>
    <row r="30640">
      <c r="D30640" s="39"/>
      <c r="E30640" s="39"/>
      <c r="F30640" s="39"/>
    </row>
    <row r="30641">
      <c r="D30641" s="39"/>
      <c r="E30641" s="39"/>
      <c r="F30641" s="39"/>
    </row>
    <row r="30642">
      <c r="D30642" s="39"/>
      <c r="E30642" s="39"/>
      <c r="F30642" s="39"/>
    </row>
    <row r="30643">
      <c r="D30643" s="39"/>
      <c r="E30643" s="39"/>
      <c r="F30643" s="39"/>
    </row>
    <row r="30644">
      <c r="D30644" s="39"/>
      <c r="E30644" s="39"/>
      <c r="F30644" s="39"/>
    </row>
    <row r="30645">
      <c r="D30645" s="39"/>
      <c r="E30645" s="39"/>
      <c r="F30645" s="39"/>
    </row>
    <row r="30646">
      <c r="D30646" s="39"/>
      <c r="E30646" s="39"/>
      <c r="F30646" s="39"/>
    </row>
    <row r="30647">
      <c r="D30647" s="39"/>
      <c r="E30647" s="39"/>
      <c r="F30647" s="39"/>
    </row>
    <row r="30648">
      <c r="D30648" s="39"/>
      <c r="E30648" s="39"/>
      <c r="F30648" s="39"/>
    </row>
    <row r="30649">
      <c r="D30649" s="39"/>
      <c r="E30649" s="39"/>
      <c r="F30649" s="39"/>
    </row>
    <row r="30650">
      <c r="D30650" s="39"/>
      <c r="E30650" s="39"/>
      <c r="F30650" s="39"/>
    </row>
    <row r="30651">
      <c r="D30651" s="39"/>
      <c r="E30651" s="39"/>
      <c r="F30651" s="39"/>
    </row>
    <row r="30652">
      <c r="D30652" s="39"/>
      <c r="E30652" s="39"/>
      <c r="F30652" s="39"/>
    </row>
    <row r="30653">
      <c r="D30653" s="39"/>
      <c r="E30653" s="39"/>
      <c r="F30653" s="39"/>
    </row>
    <row r="30654">
      <c r="D30654" s="39"/>
      <c r="E30654" s="39"/>
      <c r="F30654" s="39"/>
    </row>
    <row r="30655">
      <c r="D30655" s="39"/>
      <c r="E30655" s="39"/>
      <c r="F30655" s="39"/>
    </row>
    <row r="30656">
      <c r="D30656" s="39"/>
      <c r="E30656" s="39"/>
      <c r="F30656" s="39"/>
    </row>
    <row r="30657">
      <c r="D30657" s="39"/>
      <c r="E30657" s="39"/>
      <c r="F30657" s="39"/>
    </row>
    <row r="30658">
      <c r="D30658" s="39"/>
      <c r="E30658" s="39"/>
      <c r="F30658" s="39"/>
    </row>
    <row r="30659">
      <c r="D30659" s="39"/>
      <c r="E30659" s="39"/>
      <c r="F30659" s="39"/>
    </row>
    <row r="30660">
      <c r="D30660" s="39"/>
      <c r="E30660" s="39"/>
      <c r="F30660" s="39"/>
    </row>
    <row r="30661">
      <c r="D30661" s="39"/>
      <c r="E30661" s="39"/>
      <c r="F30661" s="39"/>
    </row>
    <row r="30662">
      <c r="D30662" s="39"/>
      <c r="E30662" s="39"/>
      <c r="F30662" s="39"/>
    </row>
    <row r="30663">
      <c r="D30663" s="39"/>
      <c r="E30663" s="39"/>
      <c r="F30663" s="39"/>
    </row>
    <row r="30664">
      <c r="D30664" s="39"/>
      <c r="E30664" s="39"/>
      <c r="F30664" s="39"/>
    </row>
    <row r="30665">
      <c r="D30665" s="39"/>
      <c r="E30665" s="39"/>
      <c r="F30665" s="39"/>
    </row>
    <row r="30666">
      <c r="D30666" s="39"/>
      <c r="E30666" s="39"/>
      <c r="F30666" s="39"/>
    </row>
    <row r="30667">
      <c r="D30667" s="39"/>
      <c r="E30667" s="39"/>
      <c r="F30667" s="39"/>
    </row>
    <row r="30668">
      <c r="D30668" s="39"/>
      <c r="E30668" s="39"/>
      <c r="F30668" s="39"/>
    </row>
    <row r="30669">
      <c r="D30669" s="39"/>
      <c r="E30669" s="39"/>
      <c r="F30669" s="39"/>
    </row>
    <row r="30670">
      <c r="D30670" s="39"/>
      <c r="E30670" s="39"/>
      <c r="F30670" s="39"/>
    </row>
    <row r="30671">
      <c r="D30671" s="39"/>
      <c r="E30671" s="39"/>
      <c r="F30671" s="39"/>
    </row>
    <row r="30672">
      <c r="D30672" s="39"/>
      <c r="E30672" s="39"/>
      <c r="F30672" s="39"/>
    </row>
    <row r="30673">
      <c r="D30673" s="39"/>
      <c r="E30673" s="39"/>
      <c r="F30673" s="39"/>
    </row>
    <row r="30674">
      <c r="D30674" s="39"/>
      <c r="E30674" s="39"/>
      <c r="F30674" s="39"/>
    </row>
    <row r="30675">
      <c r="D30675" s="39"/>
      <c r="E30675" s="39"/>
      <c r="F30675" s="39"/>
    </row>
    <row r="30676">
      <c r="D30676" s="39"/>
      <c r="E30676" s="39"/>
      <c r="F30676" s="39"/>
    </row>
    <row r="30677">
      <c r="D30677" s="39"/>
      <c r="E30677" s="39"/>
      <c r="F30677" s="39"/>
    </row>
    <row r="30678">
      <c r="D30678" s="39"/>
      <c r="E30678" s="39"/>
      <c r="F30678" s="39"/>
    </row>
    <row r="30679">
      <c r="D30679" s="39"/>
      <c r="E30679" s="39"/>
      <c r="F30679" s="39"/>
    </row>
    <row r="30680">
      <c r="D30680" s="39"/>
      <c r="E30680" s="39"/>
      <c r="F30680" s="39"/>
    </row>
    <row r="30681">
      <c r="D30681" s="39"/>
      <c r="E30681" s="39"/>
      <c r="F30681" s="39"/>
    </row>
    <row r="30682">
      <c r="D30682" s="39"/>
      <c r="E30682" s="39"/>
      <c r="F30682" s="39"/>
    </row>
    <row r="30683">
      <c r="D30683" s="39"/>
      <c r="E30683" s="39"/>
      <c r="F30683" s="39"/>
    </row>
    <row r="30684">
      <c r="D30684" s="39"/>
      <c r="E30684" s="39"/>
      <c r="F30684" s="39"/>
    </row>
    <row r="30685">
      <c r="D30685" s="39"/>
      <c r="E30685" s="39"/>
      <c r="F30685" s="39"/>
    </row>
    <row r="30686">
      <c r="D30686" s="39"/>
      <c r="E30686" s="39"/>
      <c r="F30686" s="39"/>
    </row>
    <row r="30687">
      <c r="D30687" s="39"/>
      <c r="E30687" s="39"/>
      <c r="F30687" s="39"/>
    </row>
    <row r="30688">
      <c r="D30688" s="39"/>
      <c r="E30688" s="39"/>
      <c r="F30688" s="39"/>
    </row>
    <row r="30689">
      <c r="D30689" s="39"/>
      <c r="E30689" s="39"/>
      <c r="F30689" s="39"/>
    </row>
    <row r="30690">
      <c r="D30690" s="39"/>
      <c r="E30690" s="39"/>
      <c r="F30690" s="39"/>
    </row>
    <row r="30691">
      <c r="D30691" s="39"/>
      <c r="E30691" s="39"/>
      <c r="F30691" s="39"/>
    </row>
    <row r="30692">
      <c r="D30692" s="39"/>
      <c r="E30692" s="39"/>
      <c r="F30692" s="39"/>
    </row>
    <row r="30693">
      <c r="D30693" s="39"/>
      <c r="E30693" s="39"/>
      <c r="F30693" s="39"/>
    </row>
    <row r="30694">
      <c r="D30694" s="39"/>
      <c r="E30694" s="39"/>
      <c r="F30694" s="39"/>
    </row>
    <row r="30695">
      <c r="D30695" s="39"/>
      <c r="E30695" s="39"/>
      <c r="F30695" s="39"/>
    </row>
    <row r="30696">
      <c r="D30696" s="39"/>
      <c r="E30696" s="39"/>
      <c r="F30696" s="39"/>
    </row>
    <row r="30697">
      <c r="D30697" s="39"/>
      <c r="E30697" s="39"/>
      <c r="F30697" s="39"/>
    </row>
    <row r="30698">
      <c r="D30698" s="39"/>
      <c r="E30698" s="39"/>
      <c r="F30698" s="39"/>
    </row>
    <row r="30699">
      <c r="D30699" s="39"/>
      <c r="E30699" s="39"/>
      <c r="F30699" s="39"/>
    </row>
    <row r="30700">
      <c r="D30700" s="39"/>
      <c r="E30700" s="39"/>
      <c r="F30700" s="39"/>
    </row>
    <row r="30701">
      <c r="D30701" s="39"/>
      <c r="E30701" s="39"/>
      <c r="F30701" s="39"/>
    </row>
    <row r="30702">
      <c r="D30702" s="39"/>
      <c r="E30702" s="39"/>
      <c r="F30702" s="39"/>
    </row>
    <row r="30703">
      <c r="D30703" s="39"/>
      <c r="E30703" s="39"/>
      <c r="F30703" s="39"/>
    </row>
    <row r="30704">
      <c r="D30704" s="39"/>
      <c r="E30704" s="39"/>
      <c r="F30704" s="39"/>
    </row>
    <row r="30705">
      <c r="D30705" s="39"/>
      <c r="E30705" s="39"/>
      <c r="F30705" s="39"/>
    </row>
    <row r="30706">
      <c r="D30706" s="39"/>
      <c r="E30706" s="39"/>
      <c r="F30706" s="39"/>
    </row>
    <row r="30707">
      <c r="D30707" s="39"/>
      <c r="E30707" s="39"/>
      <c r="F30707" s="39"/>
    </row>
    <row r="30708">
      <c r="D30708" s="39"/>
      <c r="E30708" s="39"/>
      <c r="F30708" s="39"/>
    </row>
    <row r="30709">
      <c r="D30709" s="39"/>
      <c r="E30709" s="39"/>
      <c r="F30709" s="39"/>
    </row>
    <row r="30710">
      <c r="D30710" s="39"/>
      <c r="E30710" s="39"/>
      <c r="F30710" s="39"/>
    </row>
    <row r="30711">
      <c r="D30711" s="39"/>
      <c r="E30711" s="39"/>
      <c r="F30711" s="39"/>
    </row>
    <row r="30712">
      <c r="D30712" s="39"/>
      <c r="E30712" s="39"/>
      <c r="F30712" s="39"/>
    </row>
    <row r="30713">
      <c r="D30713" s="39"/>
      <c r="E30713" s="39"/>
      <c r="F30713" s="39"/>
    </row>
    <row r="30714">
      <c r="D30714" s="39"/>
      <c r="E30714" s="39"/>
      <c r="F30714" s="39"/>
    </row>
    <row r="30715">
      <c r="D30715" s="39"/>
      <c r="E30715" s="39"/>
      <c r="F30715" s="39"/>
    </row>
    <row r="30716">
      <c r="D30716" s="39"/>
      <c r="E30716" s="39"/>
      <c r="F30716" s="39"/>
    </row>
    <row r="30717">
      <c r="D30717" s="39"/>
      <c r="E30717" s="39"/>
      <c r="F30717" s="39"/>
    </row>
    <row r="30718">
      <c r="D30718" s="39"/>
      <c r="E30718" s="39"/>
      <c r="F30718" s="39"/>
    </row>
    <row r="30719">
      <c r="D30719" s="39"/>
      <c r="E30719" s="39"/>
      <c r="F30719" s="39"/>
    </row>
    <row r="30720">
      <c r="D30720" s="39"/>
      <c r="E30720" s="39"/>
      <c r="F30720" s="39"/>
    </row>
    <row r="30721">
      <c r="D30721" s="39"/>
      <c r="E30721" s="39"/>
      <c r="F30721" s="39"/>
    </row>
    <row r="30722">
      <c r="D30722" s="39"/>
      <c r="E30722" s="39"/>
      <c r="F30722" s="39"/>
    </row>
    <row r="30723">
      <c r="D30723" s="39"/>
      <c r="E30723" s="39"/>
      <c r="F30723" s="39"/>
    </row>
    <row r="30724">
      <c r="D30724" s="39"/>
      <c r="E30724" s="39"/>
      <c r="F30724" s="39"/>
    </row>
    <row r="30725">
      <c r="D30725" s="39"/>
      <c r="E30725" s="39"/>
      <c r="F30725" s="39"/>
    </row>
    <row r="30726">
      <c r="D30726" s="39"/>
      <c r="E30726" s="39"/>
      <c r="F30726" s="39"/>
    </row>
    <row r="30727">
      <c r="D30727" s="39"/>
      <c r="E30727" s="39"/>
      <c r="F30727" s="39"/>
    </row>
    <row r="30728">
      <c r="D30728" s="39"/>
      <c r="E30728" s="39"/>
      <c r="F30728" s="39"/>
    </row>
    <row r="30729">
      <c r="D30729" s="39"/>
      <c r="E30729" s="39"/>
      <c r="F30729" s="39"/>
    </row>
    <row r="30730">
      <c r="D30730" s="39"/>
      <c r="E30730" s="39"/>
      <c r="F30730" s="39"/>
    </row>
    <row r="30731">
      <c r="D30731" s="39"/>
      <c r="E30731" s="39"/>
      <c r="F30731" s="39"/>
    </row>
    <row r="30732">
      <c r="D30732" s="39"/>
      <c r="E30732" s="39"/>
      <c r="F30732" s="39"/>
    </row>
    <row r="30733">
      <c r="D30733" s="39"/>
      <c r="E30733" s="39"/>
      <c r="F30733" s="39"/>
    </row>
    <row r="30734">
      <c r="D30734" s="39"/>
      <c r="E30734" s="39"/>
      <c r="F30734" s="39"/>
    </row>
    <row r="30735">
      <c r="D30735" s="39"/>
      <c r="E30735" s="39"/>
      <c r="F30735" s="39"/>
    </row>
    <row r="30736">
      <c r="D30736" s="39"/>
      <c r="E30736" s="39"/>
      <c r="F30736" s="39"/>
    </row>
    <row r="30737">
      <c r="D30737" s="39"/>
      <c r="E30737" s="39"/>
      <c r="F30737" s="39"/>
    </row>
    <row r="30738">
      <c r="D30738" s="39"/>
      <c r="E30738" s="39"/>
      <c r="F30738" s="39"/>
    </row>
    <row r="30739">
      <c r="D30739" s="39"/>
      <c r="E30739" s="39"/>
      <c r="F30739" s="39"/>
    </row>
    <row r="30740">
      <c r="D30740" s="39"/>
      <c r="E30740" s="39"/>
      <c r="F30740" s="39"/>
    </row>
    <row r="30741">
      <c r="D30741" s="39"/>
      <c r="E30741" s="39"/>
      <c r="F30741" s="39"/>
    </row>
    <row r="30742">
      <c r="D30742" s="39"/>
      <c r="E30742" s="39"/>
      <c r="F30742" s="39"/>
    </row>
    <row r="30743">
      <c r="D30743" s="39"/>
      <c r="E30743" s="39"/>
      <c r="F30743" s="39"/>
    </row>
    <row r="30744">
      <c r="D30744" s="39"/>
      <c r="E30744" s="39"/>
      <c r="F30744" s="39"/>
    </row>
    <row r="30745">
      <c r="D30745" s="39"/>
      <c r="E30745" s="39"/>
      <c r="F30745" s="39"/>
    </row>
    <row r="30746">
      <c r="D30746" s="39"/>
      <c r="E30746" s="39"/>
      <c r="F30746" s="39"/>
    </row>
    <row r="30747">
      <c r="D30747" s="39"/>
      <c r="E30747" s="39"/>
      <c r="F30747" s="39"/>
    </row>
    <row r="30748">
      <c r="D30748" s="39"/>
      <c r="E30748" s="39"/>
      <c r="F30748" s="39"/>
    </row>
    <row r="30749">
      <c r="D30749" s="39"/>
      <c r="E30749" s="39"/>
      <c r="F30749" s="39"/>
    </row>
    <row r="30750">
      <c r="D30750" s="39"/>
      <c r="E30750" s="39"/>
      <c r="F30750" s="39"/>
    </row>
    <row r="30751">
      <c r="D30751" s="39"/>
      <c r="E30751" s="39"/>
      <c r="F30751" s="39"/>
    </row>
    <row r="30752">
      <c r="D30752" s="39"/>
      <c r="E30752" s="39"/>
      <c r="F30752" s="39"/>
    </row>
    <row r="30753">
      <c r="D30753" s="39"/>
      <c r="E30753" s="39"/>
      <c r="F30753" s="39"/>
    </row>
    <row r="30754">
      <c r="D30754" s="39"/>
      <c r="E30754" s="39"/>
      <c r="F30754" s="39"/>
    </row>
    <row r="30755">
      <c r="D30755" s="39"/>
      <c r="E30755" s="39"/>
      <c r="F30755" s="39"/>
    </row>
    <row r="30756">
      <c r="D30756" s="39"/>
      <c r="E30756" s="39"/>
      <c r="F30756" s="39"/>
    </row>
    <row r="30757">
      <c r="D30757" s="39"/>
      <c r="E30757" s="39"/>
      <c r="F30757" s="39"/>
    </row>
    <row r="30758">
      <c r="D30758" s="39"/>
      <c r="E30758" s="39"/>
      <c r="F30758" s="39"/>
    </row>
    <row r="30759">
      <c r="D30759" s="39"/>
      <c r="E30759" s="39"/>
      <c r="F30759" s="39"/>
    </row>
    <row r="30760">
      <c r="D30760" s="39"/>
      <c r="E30760" s="39"/>
      <c r="F30760" s="39"/>
    </row>
    <row r="30761">
      <c r="D30761" s="39"/>
      <c r="E30761" s="39"/>
      <c r="F30761" s="39"/>
    </row>
    <row r="30762">
      <c r="D30762" s="39"/>
      <c r="E30762" s="39"/>
      <c r="F30762" s="39"/>
    </row>
    <row r="30763">
      <c r="D30763" s="39"/>
      <c r="E30763" s="39"/>
      <c r="F30763" s="39"/>
    </row>
    <row r="30764">
      <c r="D30764" s="39"/>
      <c r="E30764" s="39"/>
      <c r="F30764" s="39"/>
    </row>
    <row r="30765">
      <c r="D30765" s="39"/>
      <c r="E30765" s="39"/>
      <c r="F30765" s="39"/>
    </row>
    <row r="30766">
      <c r="D30766" s="39"/>
      <c r="E30766" s="39"/>
      <c r="F30766" s="39"/>
    </row>
    <row r="30767">
      <c r="D30767" s="39"/>
      <c r="E30767" s="39"/>
      <c r="F30767" s="39"/>
    </row>
    <row r="30768">
      <c r="D30768" s="39"/>
      <c r="E30768" s="39"/>
      <c r="F30768" s="39"/>
    </row>
    <row r="30769">
      <c r="D30769" s="39"/>
      <c r="E30769" s="39"/>
      <c r="F30769" s="39"/>
    </row>
    <row r="30770">
      <c r="D30770" s="39"/>
      <c r="E30770" s="39"/>
      <c r="F30770" s="39"/>
    </row>
    <row r="30771">
      <c r="D30771" s="39"/>
      <c r="E30771" s="39"/>
      <c r="F30771" s="39"/>
    </row>
    <row r="30772">
      <c r="D30772" s="39"/>
      <c r="E30772" s="39"/>
      <c r="F30772" s="39"/>
    </row>
    <row r="30773">
      <c r="D30773" s="39"/>
      <c r="E30773" s="39"/>
      <c r="F30773" s="39"/>
    </row>
    <row r="30774">
      <c r="D30774" s="39"/>
      <c r="E30774" s="39"/>
      <c r="F30774" s="39"/>
    </row>
    <row r="30775">
      <c r="D30775" s="39"/>
      <c r="E30775" s="39"/>
      <c r="F30775" s="39"/>
    </row>
    <row r="30776">
      <c r="D30776" s="39"/>
      <c r="E30776" s="39"/>
      <c r="F30776" s="39"/>
    </row>
    <row r="30777">
      <c r="D30777" s="39"/>
      <c r="E30777" s="39"/>
      <c r="F30777" s="39"/>
    </row>
    <row r="30778">
      <c r="D30778" s="39"/>
      <c r="E30778" s="39"/>
      <c r="F30778" s="39"/>
    </row>
    <row r="30779">
      <c r="D30779" s="39"/>
      <c r="E30779" s="39"/>
      <c r="F30779" s="39"/>
    </row>
    <row r="30780">
      <c r="D30780" s="39"/>
      <c r="E30780" s="39"/>
      <c r="F30780" s="39"/>
    </row>
    <row r="30781">
      <c r="D30781" s="39"/>
      <c r="E30781" s="39"/>
      <c r="F30781" s="39"/>
    </row>
    <row r="30782">
      <c r="D30782" s="39"/>
      <c r="E30782" s="39"/>
      <c r="F30782" s="39"/>
    </row>
    <row r="30783">
      <c r="D30783" s="39"/>
      <c r="E30783" s="39"/>
      <c r="F30783" s="39"/>
    </row>
    <row r="30784">
      <c r="D30784" s="39"/>
      <c r="E30784" s="39"/>
      <c r="F30784" s="39"/>
    </row>
    <row r="30785">
      <c r="D30785" s="39"/>
      <c r="E30785" s="39"/>
      <c r="F30785" s="39"/>
    </row>
    <row r="30786">
      <c r="D30786" s="39"/>
      <c r="E30786" s="39"/>
      <c r="F30786" s="39"/>
    </row>
    <row r="30787">
      <c r="D30787" s="39"/>
      <c r="E30787" s="39"/>
      <c r="F30787" s="39"/>
    </row>
    <row r="30788">
      <c r="D30788" s="39"/>
      <c r="E30788" s="39"/>
      <c r="F30788" s="39"/>
    </row>
    <row r="30789">
      <c r="D30789" s="39"/>
      <c r="E30789" s="39"/>
      <c r="F30789" s="39"/>
    </row>
    <row r="30790">
      <c r="D30790" s="39"/>
      <c r="E30790" s="39"/>
      <c r="F30790" s="39"/>
    </row>
    <row r="30791">
      <c r="D30791" s="39"/>
      <c r="E30791" s="39"/>
      <c r="F30791" s="39"/>
    </row>
    <row r="30792">
      <c r="D30792" s="39"/>
      <c r="E30792" s="39"/>
      <c r="F30792" s="39"/>
    </row>
    <row r="30793">
      <c r="D30793" s="39"/>
      <c r="E30793" s="39"/>
      <c r="F30793" s="39"/>
    </row>
    <row r="30794">
      <c r="D30794" s="39"/>
      <c r="E30794" s="39"/>
      <c r="F30794" s="39"/>
    </row>
    <row r="30795">
      <c r="D30795" s="39"/>
      <c r="E30795" s="39"/>
      <c r="F30795" s="39"/>
    </row>
    <row r="30796">
      <c r="D30796" s="39"/>
      <c r="E30796" s="39"/>
      <c r="F30796" s="39"/>
    </row>
    <row r="30797">
      <c r="D30797" s="39"/>
      <c r="E30797" s="39"/>
      <c r="F30797" s="39"/>
    </row>
    <row r="30798">
      <c r="D30798" s="39"/>
      <c r="E30798" s="39"/>
      <c r="F30798" s="39"/>
    </row>
    <row r="30799">
      <c r="D30799" s="39"/>
      <c r="E30799" s="39"/>
      <c r="F30799" s="39"/>
    </row>
    <row r="30800">
      <c r="D30800" s="39"/>
      <c r="E30800" s="39"/>
      <c r="F30800" s="39"/>
    </row>
    <row r="30801">
      <c r="D30801" s="39"/>
      <c r="E30801" s="39"/>
      <c r="F30801" s="39"/>
    </row>
    <row r="30802">
      <c r="D30802" s="39"/>
      <c r="E30802" s="39"/>
      <c r="F30802" s="39"/>
    </row>
    <row r="30803">
      <c r="D30803" s="39"/>
      <c r="E30803" s="39"/>
      <c r="F30803" s="39"/>
    </row>
    <row r="30804">
      <c r="D30804" s="39"/>
      <c r="E30804" s="39"/>
      <c r="F30804" s="39"/>
    </row>
    <row r="30805">
      <c r="D30805" s="39"/>
      <c r="E30805" s="39"/>
      <c r="F30805" s="39"/>
    </row>
    <row r="30806">
      <c r="D30806" s="39"/>
      <c r="E30806" s="39"/>
      <c r="F30806" s="39"/>
    </row>
    <row r="30807">
      <c r="D30807" s="39"/>
      <c r="E30807" s="39"/>
      <c r="F30807" s="39"/>
    </row>
    <row r="30808">
      <c r="D30808" s="39"/>
      <c r="E30808" s="39"/>
      <c r="F30808" s="39"/>
    </row>
    <row r="30809">
      <c r="D30809" s="39"/>
      <c r="E30809" s="39"/>
      <c r="F30809" s="39"/>
    </row>
    <row r="30810">
      <c r="D30810" s="39"/>
      <c r="E30810" s="39"/>
      <c r="F30810" s="39"/>
    </row>
    <row r="30811">
      <c r="D30811" s="39"/>
      <c r="E30811" s="39"/>
      <c r="F30811" s="39"/>
    </row>
    <row r="30812">
      <c r="D30812" s="39"/>
      <c r="E30812" s="39"/>
      <c r="F30812" s="39"/>
    </row>
    <row r="30813">
      <c r="D30813" s="39"/>
      <c r="E30813" s="39"/>
      <c r="F30813" s="39"/>
    </row>
    <row r="30814">
      <c r="D30814" s="39"/>
      <c r="E30814" s="39"/>
      <c r="F30814" s="39"/>
    </row>
    <row r="30815">
      <c r="D30815" s="39"/>
      <c r="E30815" s="39"/>
      <c r="F30815" s="39"/>
    </row>
    <row r="30816">
      <c r="D30816" s="39"/>
      <c r="E30816" s="39"/>
      <c r="F30816" s="39"/>
    </row>
    <row r="30817">
      <c r="D30817" s="39"/>
      <c r="E30817" s="39"/>
      <c r="F30817" s="39"/>
    </row>
    <row r="30818">
      <c r="D30818" s="39"/>
      <c r="E30818" s="39"/>
      <c r="F30818" s="39"/>
    </row>
    <row r="30819">
      <c r="D30819" s="39"/>
      <c r="E30819" s="39"/>
      <c r="F30819" s="39"/>
    </row>
    <row r="30820">
      <c r="D30820" s="39"/>
      <c r="E30820" s="39"/>
      <c r="F30820" s="39"/>
    </row>
    <row r="30821">
      <c r="D30821" s="39"/>
      <c r="E30821" s="39"/>
      <c r="F30821" s="39"/>
    </row>
    <row r="30822">
      <c r="D30822" s="39"/>
      <c r="E30822" s="39"/>
      <c r="F30822" s="39"/>
    </row>
    <row r="30823">
      <c r="D30823" s="39"/>
      <c r="E30823" s="39"/>
      <c r="F30823" s="39"/>
    </row>
    <row r="30824">
      <c r="D30824" s="39"/>
      <c r="E30824" s="39"/>
      <c r="F30824" s="39"/>
    </row>
    <row r="30825">
      <c r="D30825" s="39"/>
      <c r="E30825" s="39"/>
      <c r="F30825" s="39"/>
    </row>
    <row r="30826">
      <c r="D30826" s="39"/>
      <c r="E30826" s="39"/>
      <c r="F30826" s="39"/>
    </row>
    <row r="30827">
      <c r="D30827" s="39"/>
      <c r="E30827" s="39"/>
      <c r="F30827" s="39"/>
    </row>
    <row r="30828">
      <c r="D30828" s="39"/>
      <c r="E30828" s="39"/>
      <c r="F30828" s="39"/>
    </row>
    <row r="30829">
      <c r="D30829" s="39"/>
      <c r="E30829" s="39"/>
      <c r="F30829" s="39"/>
    </row>
    <row r="30830">
      <c r="D30830" s="39"/>
      <c r="E30830" s="39"/>
      <c r="F30830" s="39"/>
    </row>
    <row r="30831">
      <c r="D30831" s="39"/>
      <c r="E30831" s="39"/>
      <c r="F30831" s="39"/>
    </row>
    <row r="30832">
      <c r="D30832" s="39"/>
      <c r="E30832" s="39"/>
      <c r="F30832" s="39"/>
    </row>
    <row r="30833">
      <c r="D30833" s="39"/>
      <c r="E30833" s="39"/>
      <c r="F30833" s="39"/>
    </row>
    <row r="30834">
      <c r="D30834" s="39"/>
      <c r="E30834" s="39"/>
      <c r="F30834" s="39"/>
    </row>
    <row r="30835">
      <c r="D30835" s="39"/>
      <c r="E30835" s="39"/>
      <c r="F30835" s="39"/>
    </row>
    <row r="30836">
      <c r="D30836" s="39"/>
      <c r="E30836" s="39"/>
      <c r="F30836" s="39"/>
    </row>
    <row r="30837">
      <c r="D30837" s="39"/>
      <c r="E30837" s="39"/>
      <c r="F30837" s="39"/>
    </row>
    <row r="30838">
      <c r="D30838" s="39"/>
      <c r="E30838" s="39"/>
      <c r="F30838" s="39"/>
    </row>
    <row r="30839">
      <c r="D30839" s="39"/>
      <c r="E30839" s="39"/>
      <c r="F30839" s="39"/>
    </row>
    <row r="30840">
      <c r="D30840" s="39"/>
      <c r="E30840" s="39"/>
      <c r="F30840" s="39"/>
    </row>
    <row r="30841">
      <c r="D30841" s="39"/>
      <c r="E30841" s="39"/>
      <c r="F30841" s="39"/>
    </row>
    <row r="30842">
      <c r="D30842" s="39"/>
      <c r="E30842" s="39"/>
      <c r="F30842" s="39"/>
    </row>
    <row r="30843">
      <c r="D30843" s="39"/>
      <c r="E30843" s="39"/>
      <c r="F30843" s="39"/>
    </row>
    <row r="30844">
      <c r="D30844" s="39"/>
      <c r="E30844" s="39"/>
      <c r="F30844" s="39"/>
    </row>
    <row r="30845">
      <c r="D30845" s="39"/>
      <c r="E30845" s="39"/>
      <c r="F30845" s="39"/>
    </row>
    <row r="30846">
      <c r="D30846" s="39"/>
      <c r="E30846" s="39"/>
      <c r="F30846" s="39"/>
    </row>
    <row r="30847">
      <c r="D30847" s="39"/>
      <c r="E30847" s="39"/>
      <c r="F30847" s="39"/>
    </row>
    <row r="30848">
      <c r="D30848" s="39"/>
      <c r="E30848" s="39"/>
      <c r="F30848" s="39"/>
    </row>
    <row r="30849">
      <c r="D30849" s="39"/>
      <c r="E30849" s="39"/>
      <c r="F30849" s="39"/>
    </row>
    <row r="30850">
      <c r="D30850" s="39"/>
      <c r="E30850" s="39"/>
      <c r="F30850" s="39"/>
    </row>
    <row r="30851">
      <c r="D30851" s="39"/>
      <c r="E30851" s="39"/>
      <c r="F30851" s="39"/>
    </row>
    <row r="30852">
      <c r="D30852" s="39"/>
      <c r="E30852" s="39"/>
      <c r="F30852" s="39"/>
    </row>
    <row r="30853">
      <c r="D30853" s="39"/>
      <c r="E30853" s="39"/>
      <c r="F30853" s="39"/>
    </row>
    <row r="30854">
      <c r="D30854" s="39"/>
      <c r="E30854" s="39"/>
      <c r="F30854" s="39"/>
    </row>
    <row r="30855">
      <c r="D30855" s="39"/>
      <c r="E30855" s="39"/>
      <c r="F30855" s="39"/>
    </row>
    <row r="30856">
      <c r="D30856" s="39"/>
      <c r="E30856" s="39"/>
      <c r="F30856" s="39"/>
    </row>
    <row r="30857">
      <c r="D30857" s="39"/>
      <c r="E30857" s="39"/>
      <c r="F30857" s="39"/>
    </row>
    <row r="30858">
      <c r="D30858" s="39"/>
      <c r="E30858" s="39"/>
      <c r="F30858" s="39"/>
    </row>
    <row r="30859">
      <c r="D30859" s="39"/>
      <c r="E30859" s="39"/>
      <c r="F30859" s="39"/>
    </row>
    <row r="30860">
      <c r="D30860" s="39"/>
      <c r="E30860" s="39"/>
      <c r="F30860" s="39"/>
    </row>
    <row r="30861">
      <c r="D30861" s="39"/>
      <c r="E30861" s="39"/>
      <c r="F30861" s="39"/>
    </row>
    <row r="30862">
      <c r="D30862" s="39"/>
      <c r="E30862" s="39"/>
      <c r="F30862" s="39"/>
    </row>
    <row r="30863">
      <c r="D30863" s="39"/>
      <c r="E30863" s="39"/>
      <c r="F30863" s="39"/>
    </row>
    <row r="30864">
      <c r="D30864" s="39"/>
      <c r="E30864" s="39"/>
      <c r="F30864" s="39"/>
    </row>
    <row r="30865">
      <c r="D30865" s="39"/>
      <c r="E30865" s="39"/>
      <c r="F30865" s="39"/>
    </row>
    <row r="30866">
      <c r="D30866" s="39"/>
      <c r="E30866" s="39"/>
      <c r="F30866" s="39"/>
    </row>
    <row r="30867">
      <c r="D30867" s="39"/>
      <c r="E30867" s="39"/>
      <c r="F30867" s="39"/>
    </row>
    <row r="30868">
      <c r="D30868" s="39"/>
      <c r="E30868" s="39"/>
      <c r="F30868" s="39"/>
    </row>
    <row r="30869">
      <c r="D30869" s="39"/>
      <c r="E30869" s="39"/>
      <c r="F30869" s="39"/>
    </row>
    <row r="30870">
      <c r="D30870" s="39"/>
      <c r="E30870" s="39"/>
      <c r="F30870" s="39"/>
    </row>
    <row r="30871">
      <c r="D30871" s="39"/>
      <c r="E30871" s="39"/>
      <c r="F30871" s="39"/>
    </row>
    <row r="30872">
      <c r="D30872" s="39"/>
      <c r="E30872" s="39"/>
      <c r="F30872" s="39"/>
    </row>
    <row r="30873">
      <c r="D30873" s="39"/>
      <c r="E30873" s="39"/>
      <c r="F30873" s="39"/>
    </row>
    <row r="30874">
      <c r="D30874" s="39"/>
      <c r="E30874" s="39"/>
      <c r="F30874" s="39"/>
    </row>
    <row r="30875">
      <c r="D30875" s="39"/>
      <c r="E30875" s="39"/>
      <c r="F30875" s="39"/>
    </row>
    <row r="30876">
      <c r="D30876" s="39"/>
      <c r="E30876" s="39"/>
      <c r="F30876" s="39"/>
    </row>
    <row r="30877">
      <c r="D30877" s="39"/>
      <c r="E30877" s="39"/>
      <c r="F30877" s="39"/>
    </row>
    <row r="30878">
      <c r="D30878" s="39"/>
      <c r="E30878" s="39"/>
      <c r="F30878" s="39"/>
    </row>
    <row r="30879">
      <c r="D30879" s="39"/>
      <c r="E30879" s="39"/>
      <c r="F30879" s="39"/>
    </row>
    <row r="30880">
      <c r="D30880" s="39"/>
      <c r="E30880" s="39"/>
      <c r="F30880" s="39"/>
    </row>
    <row r="30881">
      <c r="D30881" s="39"/>
      <c r="E30881" s="39"/>
      <c r="F30881" s="39"/>
    </row>
    <row r="30882">
      <c r="D30882" s="39"/>
      <c r="E30882" s="39"/>
      <c r="F30882" s="39"/>
    </row>
    <row r="30883">
      <c r="D30883" s="39"/>
      <c r="E30883" s="39"/>
      <c r="F30883" s="39"/>
    </row>
    <row r="30884">
      <c r="D30884" s="39"/>
      <c r="E30884" s="39"/>
      <c r="F30884" s="39"/>
    </row>
    <row r="30885">
      <c r="D30885" s="39"/>
      <c r="E30885" s="39"/>
      <c r="F30885" s="39"/>
    </row>
    <row r="30886">
      <c r="D30886" s="39"/>
      <c r="E30886" s="39"/>
      <c r="F30886" s="39"/>
    </row>
    <row r="30887">
      <c r="D30887" s="39"/>
      <c r="E30887" s="39"/>
      <c r="F30887" s="39"/>
    </row>
    <row r="30888">
      <c r="D30888" s="39"/>
      <c r="E30888" s="39"/>
      <c r="F30888" s="39"/>
    </row>
    <row r="30889">
      <c r="D30889" s="39"/>
      <c r="E30889" s="39"/>
      <c r="F30889" s="39"/>
    </row>
    <row r="30890">
      <c r="D30890" s="39"/>
      <c r="E30890" s="39"/>
      <c r="F30890" s="39"/>
    </row>
    <row r="30891">
      <c r="D30891" s="39"/>
      <c r="E30891" s="39"/>
      <c r="F30891" s="39"/>
    </row>
    <row r="30892">
      <c r="D30892" s="39"/>
      <c r="E30892" s="39"/>
      <c r="F30892" s="39"/>
    </row>
    <row r="30893">
      <c r="D30893" s="39"/>
      <c r="E30893" s="39"/>
      <c r="F30893" s="39"/>
    </row>
    <row r="30894">
      <c r="D30894" s="39"/>
      <c r="E30894" s="39"/>
      <c r="F30894" s="39"/>
    </row>
    <row r="30895">
      <c r="D30895" s="39"/>
      <c r="E30895" s="39"/>
      <c r="F30895" s="39"/>
    </row>
    <row r="30896">
      <c r="D30896" s="39"/>
      <c r="E30896" s="39"/>
      <c r="F30896" s="39"/>
    </row>
    <row r="30897">
      <c r="D30897" s="39"/>
      <c r="E30897" s="39"/>
      <c r="F30897" s="39"/>
    </row>
    <row r="30898">
      <c r="D30898" s="39"/>
      <c r="E30898" s="39"/>
      <c r="F30898" s="39"/>
    </row>
    <row r="30899">
      <c r="D30899" s="39"/>
      <c r="E30899" s="39"/>
      <c r="F30899" s="39"/>
    </row>
    <row r="30900">
      <c r="D30900" s="39"/>
      <c r="E30900" s="39"/>
      <c r="F30900" s="39"/>
    </row>
    <row r="30901">
      <c r="D30901" s="39"/>
      <c r="E30901" s="39"/>
      <c r="F30901" s="39"/>
    </row>
    <row r="30902">
      <c r="D30902" s="39"/>
      <c r="E30902" s="39"/>
      <c r="F30902" s="39"/>
    </row>
    <row r="30903">
      <c r="D30903" s="39"/>
      <c r="E30903" s="39"/>
      <c r="F30903" s="39"/>
    </row>
    <row r="30904">
      <c r="D30904" s="39"/>
      <c r="E30904" s="39"/>
      <c r="F30904" s="39"/>
    </row>
    <row r="30905">
      <c r="D30905" s="39"/>
      <c r="E30905" s="39"/>
      <c r="F30905" s="39"/>
    </row>
    <row r="30906">
      <c r="D30906" s="39"/>
      <c r="E30906" s="39"/>
      <c r="F30906" s="39"/>
    </row>
    <row r="30907">
      <c r="D30907" s="39"/>
      <c r="E30907" s="39"/>
      <c r="F30907" s="39"/>
    </row>
    <row r="30908">
      <c r="D30908" s="39"/>
      <c r="E30908" s="39"/>
      <c r="F30908" s="39"/>
    </row>
    <row r="30909">
      <c r="D30909" s="39"/>
      <c r="E30909" s="39"/>
      <c r="F30909" s="39"/>
    </row>
    <row r="30910">
      <c r="D30910" s="39"/>
      <c r="E30910" s="39"/>
      <c r="F30910" s="39"/>
    </row>
    <row r="30911">
      <c r="D30911" s="39"/>
      <c r="E30911" s="39"/>
      <c r="F30911" s="39"/>
    </row>
    <row r="30912">
      <c r="D30912" s="39"/>
      <c r="E30912" s="39"/>
      <c r="F30912" s="39"/>
    </row>
    <row r="30913">
      <c r="D30913" s="39"/>
      <c r="E30913" s="39"/>
      <c r="F30913" s="39"/>
    </row>
    <row r="30914">
      <c r="D30914" s="39"/>
      <c r="E30914" s="39"/>
      <c r="F30914" s="39"/>
    </row>
    <row r="30915">
      <c r="D30915" s="39"/>
      <c r="E30915" s="39"/>
      <c r="F30915" s="39"/>
    </row>
    <row r="30916">
      <c r="D30916" s="39"/>
      <c r="E30916" s="39"/>
      <c r="F30916" s="39"/>
    </row>
    <row r="30917">
      <c r="D30917" s="39"/>
      <c r="E30917" s="39"/>
      <c r="F30917" s="39"/>
    </row>
    <row r="30918">
      <c r="D30918" s="39"/>
      <c r="E30918" s="39"/>
      <c r="F30918" s="39"/>
    </row>
    <row r="30919">
      <c r="D30919" s="39"/>
      <c r="E30919" s="39"/>
      <c r="F30919" s="39"/>
    </row>
    <row r="30920">
      <c r="D30920" s="39"/>
      <c r="E30920" s="39"/>
      <c r="F30920" s="39"/>
    </row>
    <row r="30921">
      <c r="D30921" s="39"/>
      <c r="E30921" s="39"/>
      <c r="F30921" s="39"/>
    </row>
    <row r="30922">
      <c r="D30922" s="39"/>
      <c r="E30922" s="39"/>
      <c r="F30922" s="39"/>
    </row>
    <row r="30923">
      <c r="D30923" s="39"/>
      <c r="E30923" s="39"/>
      <c r="F30923" s="39"/>
    </row>
    <row r="30924">
      <c r="D30924" s="39"/>
      <c r="E30924" s="39"/>
      <c r="F30924" s="39"/>
    </row>
    <row r="30925">
      <c r="D30925" s="39"/>
      <c r="E30925" s="39"/>
      <c r="F30925" s="39"/>
    </row>
    <row r="30926">
      <c r="D30926" s="39"/>
      <c r="E30926" s="39"/>
      <c r="F30926" s="39"/>
    </row>
    <row r="30927">
      <c r="D30927" s="39"/>
      <c r="E30927" s="39"/>
      <c r="F30927" s="39"/>
    </row>
    <row r="30928">
      <c r="D30928" s="39"/>
      <c r="E30928" s="39"/>
      <c r="F30928" s="39"/>
    </row>
    <row r="30929">
      <c r="D30929" s="39"/>
      <c r="E30929" s="39"/>
      <c r="F30929" s="39"/>
    </row>
    <row r="30930">
      <c r="D30930" s="39"/>
      <c r="E30930" s="39"/>
      <c r="F30930" s="39"/>
    </row>
    <row r="30931">
      <c r="D30931" s="39"/>
      <c r="E30931" s="39"/>
      <c r="F30931" s="39"/>
    </row>
    <row r="30932">
      <c r="D30932" s="39"/>
      <c r="E30932" s="39"/>
      <c r="F30932" s="39"/>
    </row>
    <row r="30933">
      <c r="D30933" s="39"/>
      <c r="E30933" s="39"/>
      <c r="F30933" s="39"/>
    </row>
    <row r="30934">
      <c r="D30934" s="39"/>
      <c r="E30934" s="39"/>
      <c r="F30934" s="39"/>
    </row>
    <row r="30935">
      <c r="D30935" s="39"/>
      <c r="E30935" s="39"/>
      <c r="F30935" s="39"/>
    </row>
    <row r="30936">
      <c r="D30936" s="39"/>
      <c r="E30936" s="39"/>
      <c r="F30936" s="39"/>
    </row>
    <row r="30937">
      <c r="D30937" s="39"/>
      <c r="E30937" s="39"/>
      <c r="F30937" s="39"/>
    </row>
    <row r="30938">
      <c r="D30938" s="39"/>
      <c r="E30938" s="39"/>
      <c r="F30938" s="39"/>
    </row>
    <row r="30939">
      <c r="D30939" s="39"/>
      <c r="E30939" s="39"/>
      <c r="F30939" s="39"/>
    </row>
    <row r="30940">
      <c r="D30940" s="39"/>
      <c r="E30940" s="39"/>
      <c r="F30940" s="39"/>
    </row>
    <row r="30941">
      <c r="D30941" s="39"/>
      <c r="E30941" s="39"/>
      <c r="F30941" s="39"/>
    </row>
    <row r="30942">
      <c r="D30942" s="39"/>
      <c r="E30942" s="39"/>
      <c r="F30942" s="39"/>
    </row>
    <row r="30943">
      <c r="D30943" s="39"/>
      <c r="E30943" s="39"/>
      <c r="F30943" s="39"/>
    </row>
    <row r="30944">
      <c r="D30944" s="39"/>
      <c r="E30944" s="39"/>
      <c r="F30944" s="39"/>
    </row>
    <row r="30945">
      <c r="D30945" s="39"/>
      <c r="E30945" s="39"/>
      <c r="F30945" s="39"/>
    </row>
    <row r="30946">
      <c r="D30946" s="39"/>
      <c r="E30946" s="39"/>
      <c r="F30946" s="39"/>
    </row>
    <row r="30947">
      <c r="D30947" s="39"/>
      <c r="E30947" s="39"/>
      <c r="F30947" s="39"/>
    </row>
    <row r="30948">
      <c r="D30948" s="39"/>
      <c r="E30948" s="39"/>
      <c r="F30948" s="39"/>
    </row>
    <row r="30949">
      <c r="D30949" s="39"/>
      <c r="E30949" s="39"/>
      <c r="F30949" s="39"/>
    </row>
    <row r="30950">
      <c r="D30950" s="39"/>
      <c r="E30950" s="39"/>
      <c r="F30950" s="39"/>
    </row>
    <row r="30951">
      <c r="D30951" s="39"/>
      <c r="E30951" s="39"/>
      <c r="F30951" s="39"/>
    </row>
    <row r="30952">
      <c r="D30952" s="39"/>
      <c r="E30952" s="39"/>
      <c r="F30952" s="39"/>
    </row>
    <row r="30953">
      <c r="D30953" s="39"/>
      <c r="E30953" s="39"/>
      <c r="F30953" s="39"/>
    </row>
    <row r="30954">
      <c r="D30954" s="39"/>
      <c r="E30954" s="39"/>
      <c r="F30954" s="39"/>
    </row>
    <row r="30955">
      <c r="D30955" s="39"/>
      <c r="E30955" s="39"/>
      <c r="F30955" s="39"/>
    </row>
    <row r="30956">
      <c r="D30956" s="39"/>
      <c r="E30956" s="39"/>
      <c r="F30956" s="39"/>
    </row>
    <row r="30957">
      <c r="D30957" s="39"/>
      <c r="E30957" s="39"/>
      <c r="F30957" s="39"/>
    </row>
    <row r="30958">
      <c r="D30958" s="39"/>
      <c r="E30958" s="39"/>
      <c r="F30958" s="39"/>
    </row>
    <row r="30959">
      <c r="D30959" s="39"/>
      <c r="E30959" s="39"/>
      <c r="F30959" s="39"/>
    </row>
    <row r="30960">
      <c r="D30960" s="39"/>
      <c r="E30960" s="39"/>
      <c r="F30960" s="39"/>
    </row>
    <row r="30961">
      <c r="D30961" s="39"/>
      <c r="E30961" s="39"/>
      <c r="F30961" s="39"/>
    </row>
    <row r="30962">
      <c r="D30962" s="39"/>
      <c r="E30962" s="39"/>
      <c r="F30962" s="39"/>
    </row>
    <row r="30963">
      <c r="D30963" s="39"/>
      <c r="E30963" s="39"/>
      <c r="F30963" s="39"/>
    </row>
    <row r="30964">
      <c r="D30964" s="39"/>
      <c r="E30964" s="39"/>
      <c r="F30964" s="39"/>
    </row>
    <row r="30965">
      <c r="D30965" s="39"/>
      <c r="E30965" s="39"/>
      <c r="F30965" s="39"/>
    </row>
    <row r="30966">
      <c r="D30966" s="39"/>
      <c r="E30966" s="39"/>
      <c r="F30966" s="39"/>
    </row>
    <row r="30967">
      <c r="D30967" s="39"/>
      <c r="E30967" s="39"/>
      <c r="F30967" s="39"/>
    </row>
    <row r="30968">
      <c r="D30968" s="39"/>
      <c r="E30968" s="39"/>
      <c r="F30968" s="39"/>
    </row>
    <row r="30969">
      <c r="D30969" s="39"/>
      <c r="E30969" s="39"/>
      <c r="F30969" s="39"/>
    </row>
    <row r="30970">
      <c r="D30970" s="39"/>
      <c r="E30970" s="39"/>
      <c r="F30970" s="39"/>
    </row>
    <row r="30971">
      <c r="D30971" s="39"/>
      <c r="E30971" s="39"/>
      <c r="F30971" s="39"/>
    </row>
    <row r="30972">
      <c r="D30972" s="39"/>
      <c r="E30972" s="39"/>
      <c r="F30972" s="39"/>
    </row>
    <row r="30973">
      <c r="D30973" s="39"/>
      <c r="E30973" s="39"/>
      <c r="F30973" s="39"/>
    </row>
    <row r="30974">
      <c r="D30974" s="39"/>
      <c r="E30974" s="39"/>
      <c r="F30974" s="39"/>
    </row>
    <row r="30975">
      <c r="D30975" s="39"/>
      <c r="E30975" s="39"/>
      <c r="F30975" s="39"/>
    </row>
    <row r="30976">
      <c r="D30976" s="39"/>
      <c r="E30976" s="39"/>
      <c r="F30976" s="39"/>
    </row>
    <row r="30977">
      <c r="D30977" s="39"/>
      <c r="E30977" s="39"/>
      <c r="F30977" s="39"/>
    </row>
    <row r="30978">
      <c r="D30978" s="39"/>
      <c r="E30978" s="39"/>
      <c r="F30978" s="39"/>
    </row>
    <row r="30979">
      <c r="D30979" s="39"/>
      <c r="E30979" s="39"/>
      <c r="F30979" s="39"/>
    </row>
    <row r="30980">
      <c r="D30980" s="39"/>
      <c r="E30980" s="39"/>
      <c r="F30980" s="39"/>
    </row>
    <row r="30981">
      <c r="D30981" s="39"/>
      <c r="E30981" s="39"/>
      <c r="F30981" s="39"/>
    </row>
    <row r="30982">
      <c r="D30982" s="39"/>
      <c r="E30982" s="39"/>
      <c r="F30982" s="39"/>
    </row>
    <row r="30983">
      <c r="D30983" s="39"/>
      <c r="E30983" s="39"/>
      <c r="F30983" s="39"/>
    </row>
    <row r="30984">
      <c r="D30984" s="39"/>
      <c r="E30984" s="39"/>
      <c r="F30984" s="39"/>
    </row>
    <row r="30985">
      <c r="D30985" s="39"/>
      <c r="E30985" s="39"/>
      <c r="F30985" s="39"/>
    </row>
    <row r="30986">
      <c r="D30986" s="39"/>
      <c r="E30986" s="39"/>
      <c r="F30986" s="39"/>
    </row>
    <row r="30987">
      <c r="D30987" s="39"/>
      <c r="E30987" s="39"/>
      <c r="F30987" s="39"/>
    </row>
    <row r="30988">
      <c r="D30988" s="39"/>
      <c r="E30988" s="39"/>
      <c r="F30988" s="39"/>
    </row>
    <row r="30989">
      <c r="D30989" s="39"/>
      <c r="E30989" s="39"/>
      <c r="F30989" s="39"/>
    </row>
    <row r="30990">
      <c r="D30990" s="39"/>
      <c r="E30990" s="39"/>
      <c r="F30990" s="39"/>
    </row>
    <row r="30991">
      <c r="D30991" s="39"/>
      <c r="E30991" s="39"/>
      <c r="F30991" s="39"/>
    </row>
    <row r="30992">
      <c r="D30992" s="39"/>
      <c r="E30992" s="39"/>
      <c r="F30992" s="39"/>
    </row>
    <row r="30993">
      <c r="D30993" s="39"/>
      <c r="E30993" s="39"/>
      <c r="F30993" s="39"/>
    </row>
    <row r="30994">
      <c r="D30994" s="39"/>
      <c r="E30994" s="39"/>
      <c r="F30994" s="39"/>
    </row>
    <row r="30995">
      <c r="D30995" s="39"/>
      <c r="E30995" s="39"/>
      <c r="F30995" s="39"/>
    </row>
    <row r="30996">
      <c r="D30996" s="39"/>
      <c r="E30996" s="39"/>
      <c r="F30996" s="39"/>
    </row>
    <row r="30997">
      <c r="D30997" s="39"/>
      <c r="E30997" s="39"/>
      <c r="F30997" s="39"/>
    </row>
    <row r="30998">
      <c r="D30998" s="39"/>
      <c r="E30998" s="39"/>
      <c r="F30998" s="39"/>
    </row>
    <row r="30999">
      <c r="D30999" s="39"/>
      <c r="E30999" s="39"/>
      <c r="F30999" s="39"/>
    </row>
    <row r="31000">
      <c r="D31000" s="39"/>
      <c r="E31000" s="39"/>
      <c r="F31000" s="39"/>
    </row>
    <row r="31001">
      <c r="D31001" s="39"/>
      <c r="E31001" s="39"/>
      <c r="F31001" s="39"/>
    </row>
    <row r="31002">
      <c r="D31002" s="39"/>
      <c r="E31002" s="39"/>
      <c r="F31002" s="39"/>
    </row>
    <row r="31003">
      <c r="D31003" s="39"/>
      <c r="E31003" s="39"/>
      <c r="F31003" s="39"/>
    </row>
    <row r="31004">
      <c r="D31004" s="39"/>
      <c r="E31004" s="39"/>
      <c r="F31004" s="39"/>
    </row>
    <row r="31005">
      <c r="D31005" s="39"/>
      <c r="E31005" s="39"/>
      <c r="F31005" s="39"/>
    </row>
    <row r="31006">
      <c r="D31006" s="39"/>
      <c r="E31006" s="39"/>
      <c r="F31006" s="39"/>
    </row>
    <row r="31007">
      <c r="D31007" s="39"/>
      <c r="E31007" s="39"/>
      <c r="F31007" s="39"/>
    </row>
    <row r="31008">
      <c r="D31008" s="39"/>
      <c r="E31008" s="39"/>
      <c r="F31008" s="39"/>
    </row>
    <row r="31009">
      <c r="D31009" s="39"/>
      <c r="E31009" s="39"/>
      <c r="F31009" s="39"/>
    </row>
    <row r="31010">
      <c r="D31010" s="39"/>
      <c r="E31010" s="39"/>
      <c r="F31010" s="39"/>
    </row>
    <row r="31011">
      <c r="D31011" s="39"/>
      <c r="E31011" s="39"/>
      <c r="F31011" s="39"/>
    </row>
    <row r="31012">
      <c r="D31012" s="39"/>
      <c r="E31012" s="39"/>
      <c r="F31012" s="39"/>
    </row>
    <row r="31013">
      <c r="D31013" s="39"/>
      <c r="E31013" s="39"/>
      <c r="F31013" s="39"/>
    </row>
    <row r="31014">
      <c r="D31014" s="39"/>
      <c r="E31014" s="39"/>
      <c r="F31014" s="39"/>
    </row>
    <row r="31015">
      <c r="D31015" s="39"/>
      <c r="E31015" s="39"/>
      <c r="F31015" s="39"/>
    </row>
    <row r="31016">
      <c r="D31016" s="39"/>
      <c r="E31016" s="39"/>
      <c r="F31016" s="39"/>
    </row>
    <row r="31017">
      <c r="D31017" s="39"/>
      <c r="E31017" s="39"/>
      <c r="F31017" s="39"/>
    </row>
    <row r="31018">
      <c r="D31018" s="39"/>
      <c r="E31018" s="39"/>
      <c r="F31018" s="39"/>
    </row>
    <row r="31019">
      <c r="D31019" s="39"/>
      <c r="E31019" s="39"/>
      <c r="F31019" s="39"/>
    </row>
    <row r="31020">
      <c r="D31020" s="39"/>
      <c r="E31020" s="39"/>
      <c r="F31020" s="39"/>
    </row>
    <row r="31021">
      <c r="D31021" s="39"/>
      <c r="E31021" s="39"/>
      <c r="F31021" s="39"/>
    </row>
    <row r="31022">
      <c r="D31022" s="39"/>
      <c r="E31022" s="39"/>
      <c r="F31022" s="39"/>
    </row>
    <row r="31023">
      <c r="D31023" s="39"/>
      <c r="E31023" s="39"/>
      <c r="F31023" s="39"/>
    </row>
    <row r="31024">
      <c r="D31024" s="39"/>
      <c r="E31024" s="39"/>
      <c r="F31024" s="39"/>
    </row>
    <row r="31025">
      <c r="D31025" s="39"/>
      <c r="E31025" s="39"/>
      <c r="F31025" s="39"/>
    </row>
    <row r="31026">
      <c r="D31026" s="39"/>
      <c r="E31026" s="39"/>
      <c r="F31026" s="39"/>
    </row>
    <row r="31027">
      <c r="D31027" s="39"/>
      <c r="E31027" s="39"/>
      <c r="F31027" s="39"/>
    </row>
    <row r="31028">
      <c r="D31028" s="39"/>
      <c r="E31028" s="39"/>
      <c r="F31028" s="39"/>
    </row>
    <row r="31029">
      <c r="D31029" s="39"/>
      <c r="E31029" s="39"/>
      <c r="F31029" s="39"/>
    </row>
    <row r="31030">
      <c r="D31030" s="39"/>
      <c r="E31030" s="39"/>
      <c r="F31030" s="39"/>
    </row>
    <row r="31031">
      <c r="D31031" s="39"/>
      <c r="E31031" s="39"/>
      <c r="F31031" s="39"/>
    </row>
    <row r="31032">
      <c r="D31032" s="39"/>
      <c r="E31032" s="39"/>
      <c r="F31032" s="39"/>
    </row>
    <row r="31033">
      <c r="D31033" s="39"/>
      <c r="E31033" s="39"/>
      <c r="F31033" s="39"/>
    </row>
    <row r="31034">
      <c r="D31034" s="39"/>
      <c r="E31034" s="39"/>
      <c r="F31034" s="39"/>
    </row>
    <row r="31035">
      <c r="D31035" s="39"/>
      <c r="E31035" s="39"/>
      <c r="F31035" s="39"/>
    </row>
    <row r="31036">
      <c r="D31036" s="39"/>
      <c r="E31036" s="39"/>
      <c r="F31036" s="39"/>
    </row>
    <row r="31037">
      <c r="D31037" s="39"/>
      <c r="E31037" s="39"/>
      <c r="F31037" s="39"/>
    </row>
    <row r="31038">
      <c r="D31038" s="39"/>
      <c r="E31038" s="39"/>
      <c r="F31038" s="39"/>
    </row>
    <row r="31039">
      <c r="D31039" s="39"/>
      <c r="E31039" s="39"/>
      <c r="F31039" s="39"/>
    </row>
    <row r="31040">
      <c r="D31040" s="39"/>
      <c r="E31040" s="39"/>
      <c r="F31040" s="39"/>
    </row>
    <row r="31041">
      <c r="D31041" s="39"/>
      <c r="E31041" s="39"/>
      <c r="F31041" s="39"/>
    </row>
    <row r="31042">
      <c r="D31042" s="39"/>
      <c r="E31042" s="39"/>
      <c r="F31042" s="39"/>
    </row>
    <row r="31043">
      <c r="D31043" s="39"/>
      <c r="E31043" s="39"/>
      <c r="F31043" s="39"/>
    </row>
    <row r="31044">
      <c r="D31044" s="39"/>
      <c r="E31044" s="39"/>
      <c r="F31044" s="39"/>
    </row>
    <row r="31045">
      <c r="D31045" s="39"/>
      <c r="E31045" s="39"/>
      <c r="F31045" s="39"/>
    </row>
    <row r="31046">
      <c r="D31046" s="39"/>
      <c r="E31046" s="39"/>
      <c r="F31046" s="39"/>
    </row>
    <row r="31047">
      <c r="D31047" s="39"/>
      <c r="E31047" s="39"/>
      <c r="F31047" s="39"/>
    </row>
    <row r="31048">
      <c r="D31048" s="39"/>
      <c r="E31048" s="39"/>
      <c r="F31048" s="39"/>
    </row>
    <row r="31049">
      <c r="D31049" s="39"/>
      <c r="E31049" s="39"/>
      <c r="F31049" s="39"/>
    </row>
    <row r="31050">
      <c r="D31050" s="39"/>
      <c r="E31050" s="39"/>
      <c r="F31050" s="39"/>
    </row>
    <row r="31051">
      <c r="D31051" s="39"/>
      <c r="E31051" s="39"/>
      <c r="F31051" s="39"/>
    </row>
    <row r="31052">
      <c r="D31052" s="39"/>
      <c r="E31052" s="39"/>
      <c r="F31052" s="39"/>
    </row>
    <row r="31053">
      <c r="D31053" s="39"/>
      <c r="E31053" s="39"/>
      <c r="F31053" s="39"/>
    </row>
    <row r="31054">
      <c r="D31054" s="39"/>
      <c r="E31054" s="39"/>
      <c r="F31054" s="39"/>
    </row>
    <row r="31055">
      <c r="D31055" s="39"/>
      <c r="E31055" s="39"/>
      <c r="F31055" s="39"/>
    </row>
    <row r="31056">
      <c r="D31056" s="39"/>
      <c r="E31056" s="39"/>
      <c r="F31056" s="39"/>
    </row>
    <row r="31057">
      <c r="D31057" s="39"/>
      <c r="E31057" s="39"/>
      <c r="F31057" s="39"/>
    </row>
    <row r="31058">
      <c r="D31058" s="39"/>
      <c r="E31058" s="39"/>
      <c r="F31058" s="39"/>
    </row>
    <row r="31059">
      <c r="D31059" s="39"/>
      <c r="E31059" s="39"/>
      <c r="F31059" s="39"/>
    </row>
    <row r="31060">
      <c r="D31060" s="39"/>
      <c r="E31060" s="39"/>
      <c r="F31060" s="39"/>
    </row>
    <row r="31061">
      <c r="D31061" s="39"/>
      <c r="E31061" s="39"/>
      <c r="F31061" s="39"/>
    </row>
    <row r="31062">
      <c r="D31062" s="39"/>
      <c r="E31062" s="39"/>
      <c r="F31062" s="39"/>
    </row>
    <row r="31063">
      <c r="D31063" s="39"/>
      <c r="E31063" s="39"/>
      <c r="F31063" s="39"/>
    </row>
    <row r="31064">
      <c r="D31064" s="39"/>
      <c r="E31064" s="39"/>
      <c r="F31064" s="39"/>
    </row>
    <row r="31065">
      <c r="D31065" s="39"/>
      <c r="E31065" s="39"/>
      <c r="F31065" s="39"/>
    </row>
    <row r="31066">
      <c r="D31066" s="39"/>
      <c r="E31066" s="39"/>
      <c r="F31066" s="39"/>
    </row>
    <row r="31067">
      <c r="D31067" s="39"/>
      <c r="E31067" s="39"/>
      <c r="F31067" s="39"/>
    </row>
    <row r="31068">
      <c r="D31068" s="39"/>
      <c r="E31068" s="39"/>
      <c r="F31068" s="39"/>
    </row>
    <row r="31069">
      <c r="D31069" s="39"/>
      <c r="E31069" s="39"/>
      <c r="F31069" s="39"/>
    </row>
    <row r="31070">
      <c r="D31070" s="39"/>
      <c r="E31070" s="39"/>
      <c r="F31070" s="39"/>
    </row>
    <row r="31071">
      <c r="D31071" s="39"/>
      <c r="E31071" s="39"/>
      <c r="F31071" s="39"/>
    </row>
    <row r="31072">
      <c r="D31072" s="39"/>
      <c r="E31072" s="39"/>
      <c r="F31072" s="39"/>
    </row>
    <row r="31073">
      <c r="D31073" s="39"/>
      <c r="E31073" s="39"/>
      <c r="F31073" s="39"/>
    </row>
    <row r="31074">
      <c r="D31074" s="39"/>
      <c r="E31074" s="39"/>
      <c r="F31074" s="39"/>
    </row>
    <row r="31075">
      <c r="D31075" s="39"/>
      <c r="E31075" s="39"/>
      <c r="F31075" s="39"/>
    </row>
    <row r="31076">
      <c r="D31076" s="39"/>
      <c r="E31076" s="39"/>
      <c r="F31076" s="39"/>
    </row>
    <row r="31077">
      <c r="D31077" s="39"/>
      <c r="E31077" s="39"/>
      <c r="F31077" s="39"/>
    </row>
    <row r="31078">
      <c r="D31078" s="39"/>
      <c r="E31078" s="39"/>
      <c r="F31078" s="39"/>
    </row>
    <row r="31079">
      <c r="D31079" s="39"/>
      <c r="E31079" s="39"/>
      <c r="F31079" s="39"/>
    </row>
    <row r="31080">
      <c r="D31080" s="39"/>
      <c r="E31080" s="39"/>
      <c r="F31080" s="39"/>
    </row>
    <row r="31081">
      <c r="D31081" s="39"/>
      <c r="E31081" s="39"/>
      <c r="F31081" s="39"/>
    </row>
    <row r="31082">
      <c r="D31082" s="39"/>
      <c r="E31082" s="39"/>
      <c r="F31082" s="39"/>
    </row>
    <row r="31083">
      <c r="D31083" s="39"/>
      <c r="E31083" s="39"/>
      <c r="F31083" s="39"/>
    </row>
    <row r="31084">
      <c r="D31084" s="39"/>
      <c r="E31084" s="39"/>
      <c r="F31084" s="39"/>
    </row>
    <row r="31085">
      <c r="D31085" s="39"/>
      <c r="E31085" s="39"/>
      <c r="F31085" s="39"/>
    </row>
    <row r="31086">
      <c r="D31086" s="39"/>
      <c r="E31086" s="39"/>
      <c r="F31086" s="39"/>
    </row>
    <row r="31087">
      <c r="D31087" s="39"/>
      <c r="E31087" s="39"/>
      <c r="F31087" s="39"/>
    </row>
    <row r="31088">
      <c r="D31088" s="39"/>
      <c r="E31088" s="39"/>
      <c r="F31088" s="39"/>
    </row>
    <row r="31089">
      <c r="D31089" s="39"/>
      <c r="E31089" s="39"/>
      <c r="F31089" s="39"/>
    </row>
    <row r="31090">
      <c r="D31090" s="39"/>
      <c r="E31090" s="39"/>
      <c r="F31090" s="39"/>
    </row>
    <row r="31091">
      <c r="D31091" s="39"/>
      <c r="E31091" s="39"/>
      <c r="F31091" s="39"/>
    </row>
    <row r="31092">
      <c r="D31092" s="39"/>
      <c r="E31092" s="39"/>
      <c r="F31092" s="39"/>
    </row>
    <row r="31093">
      <c r="D31093" s="39"/>
      <c r="E31093" s="39"/>
      <c r="F31093" s="39"/>
    </row>
    <row r="31094">
      <c r="D31094" s="39"/>
      <c r="E31094" s="39"/>
      <c r="F31094" s="39"/>
    </row>
    <row r="31095">
      <c r="D31095" s="39"/>
      <c r="E31095" s="39"/>
      <c r="F31095" s="39"/>
    </row>
    <row r="31096">
      <c r="D31096" s="39"/>
      <c r="E31096" s="39"/>
      <c r="F31096" s="39"/>
    </row>
    <row r="31097">
      <c r="D31097" s="39"/>
      <c r="E31097" s="39"/>
      <c r="F31097" s="39"/>
    </row>
    <row r="31098">
      <c r="D31098" s="39"/>
      <c r="E31098" s="39"/>
      <c r="F31098" s="39"/>
    </row>
    <row r="31099">
      <c r="D31099" s="39"/>
      <c r="E31099" s="39"/>
      <c r="F31099" s="39"/>
    </row>
    <row r="31100">
      <c r="D31100" s="39"/>
      <c r="E31100" s="39"/>
      <c r="F31100" s="39"/>
    </row>
    <row r="31101">
      <c r="D31101" s="39"/>
      <c r="E31101" s="39"/>
      <c r="F31101" s="39"/>
    </row>
    <row r="31102">
      <c r="D31102" s="39"/>
      <c r="E31102" s="39"/>
      <c r="F31102" s="39"/>
    </row>
    <row r="31103">
      <c r="D31103" s="39"/>
      <c r="E31103" s="39"/>
      <c r="F31103" s="39"/>
    </row>
    <row r="31104">
      <c r="D31104" s="39"/>
      <c r="E31104" s="39"/>
      <c r="F31104" s="39"/>
    </row>
    <row r="31105">
      <c r="D31105" s="39"/>
      <c r="E31105" s="39"/>
      <c r="F31105" s="39"/>
    </row>
    <row r="31106">
      <c r="D31106" s="39"/>
      <c r="E31106" s="39"/>
      <c r="F31106" s="39"/>
    </row>
    <row r="31107">
      <c r="D31107" s="39"/>
      <c r="E31107" s="39"/>
      <c r="F31107" s="39"/>
    </row>
    <row r="31108">
      <c r="D31108" s="39"/>
      <c r="E31108" s="39"/>
      <c r="F31108" s="39"/>
    </row>
    <row r="31109">
      <c r="D31109" s="39"/>
      <c r="E31109" s="39"/>
      <c r="F31109" s="39"/>
    </row>
    <row r="31110">
      <c r="D31110" s="39"/>
      <c r="E31110" s="39"/>
      <c r="F31110" s="39"/>
    </row>
    <row r="31111">
      <c r="D31111" s="39"/>
      <c r="E31111" s="39"/>
      <c r="F31111" s="39"/>
    </row>
    <row r="31112">
      <c r="D31112" s="39"/>
      <c r="E31112" s="39"/>
      <c r="F31112" s="39"/>
    </row>
    <row r="31113">
      <c r="D31113" s="39"/>
      <c r="E31113" s="39"/>
      <c r="F31113" s="39"/>
    </row>
    <row r="31114">
      <c r="D31114" s="39"/>
      <c r="E31114" s="39"/>
      <c r="F31114" s="39"/>
    </row>
    <row r="31115">
      <c r="D31115" s="39"/>
      <c r="E31115" s="39"/>
      <c r="F31115" s="39"/>
    </row>
    <row r="31116">
      <c r="D31116" s="39"/>
      <c r="E31116" s="39"/>
      <c r="F31116" s="39"/>
    </row>
    <row r="31117">
      <c r="D31117" s="39"/>
      <c r="E31117" s="39"/>
      <c r="F31117" s="39"/>
    </row>
    <row r="31118">
      <c r="D31118" s="39"/>
      <c r="E31118" s="39"/>
      <c r="F31118" s="39"/>
    </row>
    <row r="31119">
      <c r="D31119" s="39"/>
      <c r="E31119" s="39"/>
      <c r="F31119" s="39"/>
    </row>
    <row r="31120">
      <c r="D31120" s="39"/>
      <c r="E31120" s="39"/>
      <c r="F31120" s="39"/>
    </row>
    <row r="31121">
      <c r="D31121" s="39"/>
      <c r="E31121" s="39"/>
      <c r="F31121" s="39"/>
    </row>
    <row r="31122">
      <c r="D31122" s="39"/>
      <c r="E31122" s="39"/>
      <c r="F31122" s="39"/>
    </row>
    <row r="31123">
      <c r="D31123" s="39"/>
      <c r="E31123" s="39"/>
      <c r="F31123" s="39"/>
    </row>
    <row r="31124">
      <c r="D31124" s="39"/>
      <c r="E31124" s="39"/>
      <c r="F31124" s="39"/>
    </row>
    <row r="31125">
      <c r="D31125" s="39"/>
      <c r="E31125" s="39"/>
      <c r="F31125" s="39"/>
    </row>
    <row r="31126">
      <c r="D31126" s="39"/>
      <c r="E31126" s="39"/>
      <c r="F31126" s="39"/>
    </row>
    <row r="31127">
      <c r="D31127" s="39"/>
      <c r="E31127" s="39"/>
      <c r="F31127" s="39"/>
    </row>
    <row r="31128">
      <c r="D31128" s="39"/>
      <c r="E31128" s="39"/>
      <c r="F31128" s="39"/>
    </row>
    <row r="31129">
      <c r="D31129" s="39"/>
      <c r="E31129" s="39"/>
      <c r="F31129" s="39"/>
    </row>
    <row r="31130">
      <c r="D31130" s="39"/>
      <c r="E31130" s="39"/>
      <c r="F31130" s="39"/>
    </row>
    <row r="31131">
      <c r="D31131" s="39"/>
      <c r="E31131" s="39"/>
      <c r="F31131" s="39"/>
    </row>
    <row r="31132">
      <c r="D31132" s="39"/>
      <c r="E31132" s="39"/>
      <c r="F31132" s="39"/>
    </row>
    <row r="31133">
      <c r="D31133" s="39"/>
      <c r="E31133" s="39"/>
      <c r="F31133" s="39"/>
    </row>
    <row r="31134">
      <c r="D31134" s="39"/>
      <c r="E31134" s="39"/>
      <c r="F31134" s="39"/>
    </row>
    <row r="31135">
      <c r="D31135" s="39"/>
      <c r="E31135" s="39"/>
      <c r="F31135" s="39"/>
    </row>
    <row r="31136">
      <c r="D31136" s="39"/>
      <c r="E31136" s="39"/>
      <c r="F31136" s="39"/>
    </row>
    <row r="31137">
      <c r="D31137" s="39"/>
      <c r="E31137" s="39"/>
      <c r="F31137" s="39"/>
    </row>
    <row r="31138">
      <c r="D31138" s="39"/>
      <c r="E31138" s="39"/>
      <c r="F31138" s="39"/>
    </row>
    <row r="31139">
      <c r="D31139" s="39"/>
      <c r="E31139" s="39"/>
      <c r="F31139" s="39"/>
    </row>
    <row r="31140">
      <c r="D31140" s="39"/>
      <c r="E31140" s="39"/>
      <c r="F31140" s="39"/>
    </row>
    <row r="31141">
      <c r="D31141" s="39"/>
      <c r="E31141" s="39"/>
      <c r="F31141" s="39"/>
    </row>
    <row r="31142">
      <c r="D31142" s="39"/>
      <c r="E31142" s="39"/>
      <c r="F31142" s="39"/>
    </row>
    <row r="31143">
      <c r="D31143" s="39"/>
      <c r="E31143" s="39"/>
      <c r="F31143" s="39"/>
    </row>
    <row r="31144">
      <c r="D31144" s="39"/>
      <c r="E31144" s="39"/>
      <c r="F31144" s="39"/>
    </row>
    <row r="31145">
      <c r="D31145" s="39"/>
      <c r="E31145" s="39"/>
      <c r="F31145" s="39"/>
    </row>
    <row r="31146">
      <c r="D31146" s="39"/>
      <c r="E31146" s="39"/>
      <c r="F31146" s="39"/>
    </row>
    <row r="31147">
      <c r="D31147" s="39"/>
      <c r="E31147" s="39"/>
      <c r="F31147" s="39"/>
    </row>
    <row r="31148">
      <c r="D31148" s="39"/>
      <c r="E31148" s="39"/>
      <c r="F31148" s="39"/>
    </row>
    <row r="31149">
      <c r="D31149" s="39"/>
      <c r="E31149" s="39"/>
      <c r="F31149" s="39"/>
    </row>
    <row r="31150">
      <c r="D31150" s="39"/>
      <c r="E31150" s="39"/>
      <c r="F31150" s="39"/>
    </row>
    <row r="31151">
      <c r="D31151" s="39"/>
      <c r="E31151" s="39"/>
      <c r="F31151" s="39"/>
    </row>
    <row r="31152">
      <c r="D31152" s="39"/>
      <c r="E31152" s="39"/>
      <c r="F31152" s="39"/>
    </row>
    <row r="31153">
      <c r="D31153" s="39"/>
      <c r="E31153" s="39"/>
      <c r="F31153" s="39"/>
    </row>
    <row r="31154">
      <c r="D31154" s="39"/>
      <c r="E31154" s="39"/>
      <c r="F31154" s="39"/>
    </row>
    <row r="31155">
      <c r="D31155" s="39"/>
      <c r="E31155" s="39"/>
      <c r="F31155" s="39"/>
    </row>
    <row r="31156">
      <c r="D31156" s="39"/>
      <c r="E31156" s="39"/>
      <c r="F31156" s="39"/>
    </row>
    <row r="31157">
      <c r="D31157" s="39"/>
      <c r="E31157" s="39"/>
      <c r="F31157" s="39"/>
    </row>
    <row r="31158">
      <c r="D31158" s="39"/>
      <c r="E31158" s="39"/>
      <c r="F31158" s="39"/>
    </row>
    <row r="31159">
      <c r="D31159" s="39"/>
      <c r="E31159" s="39"/>
      <c r="F31159" s="39"/>
    </row>
    <row r="31160">
      <c r="D31160" s="39"/>
      <c r="E31160" s="39"/>
      <c r="F31160" s="39"/>
    </row>
    <row r="31161">
      <c r="D31161" s="39"/>
      <c r="E31161" s="39"/>
      <c r="F31161" s="39"/>
    </row>
    <row r="31162">
      <c r="D31162" s="39"/>
      <c r="E31162" s="39"/>
      <c r="F31162" s="39"/>
    </row>
    <row r="31163">
      <c r="D31163" s="39"/>
      <c r="E31163" s="39"/>
      <c r="F31163" s="39"/>
    </row>
    <row r="31164">
      <c r="D31164" s="39"/>
      <c r="E31164" s="39"/>
      <c r="F31164" s="39"/>
    </row>
    <row r="31165">
      <c r="D31165" s="39"/>
      <c r="E31165" s="39"/>
      <c r="F31165" s="39"/>
    </row>
    <row r="31166">
      <c r="D31166" s="39"/>
      <c r="E31166" s="39"/>
      <c r="F31166" s="39"/>
    </row>
    <row r="31167">
      <c r="D31167" s="39"/>
      <c r="E31167" s="39"/>
      <c r="F31167" s="39"/>
    </row>
    <row r="31168">
      <c r="D31168" s="39"/>
      <c r="E31168" s="39"/>
      <c r="F31168" s="39"/>
    </row>
    <row r="31169">
      <c r="D31169" s="39"/>
      <c r="E31169" s="39"/>
      <c r="F31169" s="39"/>
    </row>
    <row r="31170">
      <c r="D31170" s="39"/>
      <c r="E31170" s="39"/>
      <c r="F31170" s="39"/>
    </row>
    <row r="31171">
      <c r="D31171" s="39"/>
      <c r="E31171" s="39"/>
      <c r="F31171" s="39"/>
    </row>
    <row r="31172">
      <c r="D31172" s="39"/>
      <c r="E31172" s="39"/>
      <c r="F31172" s="39"/>
    </row>
    <row r="31173">
      <c r="D31173" s="39"/>
      <c r="E31173" s="39"/>
      <c r="F31173" s="39"/>
    </row>
    <row r="31174">
      <c r="D31174" s="39"/>
      <c r="E31174" s="39"/>
      <c r="F31174" s="39"/>
    </row>
    <row r="31175">
      <c r="D31175" s="39"/>
      <c r="E31175" s="39"/>
      <c r="F31175" s="39"/>
    </row>
    <row r="31176">
      <c r="D31176" s="39"/>
      <c r="E31176" s="39"/>
      <c r="F31176" s="39"/>
    </row>
    <row r="31177">
      <c r="D31177" s="39"/>
      <c r="E31177" s="39"/>
      <c r="F31177" s="39"/>
    </row>
    <row r="31178">
      <c r="D31178" s="39"/>
      <c r="E31178" s="39"/>
      <c r="F31178" s="39"/>
    </row>
    <row r="31179">
      <c r="D31179" s="39"/>
      <c r="E31179" s="39"/>
      <c r="F31179" s="39"/>
    </row>
    <row r="31180">
      <c r="D31180" s="39"/>
      <c r="E31180" s="39"/>
      <c r="F31180" s="39"/>
    </row>
    <row r="31181">
      <c r="D31181" s="39"/>
      <c r="E31181" s="39"/>
      <c r="F31181" s="39"/>
    </row>
    <row r="31182">
      <c r="D31182" s="39"/>
      <c r="E31182" s="39"/>
      <c r="F31182" s="39"/>
    </row>
    <row r="31183">
      <c r="D31183" s="39"/>
      <c r="E31183" s="39"/>
      <c r="F31183" s="39"/>
    </row>
    <row r="31184">
      <c r="D31184" s="39"/>
      <c r="E31184" s="39"/>
      <c r="F31184" s="39"/>
    </row>
    <row r="31185">
      <c r="D31185" s="39"/>
      <c r="E31185" s="39"/>
      <c r="F31185" s="39"/>
    </row>
    <row r="31186">
      <c r="D31186" s="39"/>
      <c r="E31186" s="39"/>
      <c r="F31186" s="39"/>
    </row>
    <row r="31187">
      <c r="D31187" s="39"/>
      <c r="E31187" s="39"/>
      <c r="F31187" s="39"/>
    </row>
    <row r="31188">
      <c r="D31188" s="39"/>
      <c r="E31188" s="39"/>
      <c r="F31188" s="39"/>
    </row>
    <row r="31189">
      <c r="D31189" s="39"/>
      <c r="E31189" s="39"/>
      <c r="F31189" s="39"/>
    </row>
    <row r="31190">
      <c r="D31190" s="39"/>
      <c r="E31190" s="39"/>
      <c r="F31190" s="39"/>
    </row>
    <row r="31191">
      <c r="D31191" s="39"/>
      <c r="E31191" s="39"/>
      <c r="F31191" s="39"/>
    </row>
    <row r="31192">
      <c r="D31192" s="39"/>
      <c r="E31192" s="39"/>
      <c r="F31192" s="39"/>
    </row>
    <row r="31193">
      <c r="D31193" s="39"/>
      <c r="E31193" s="39"/>
      <c r="F31193" s="39"/>
    </row>
    <row r="31194">
      <c r="D31194" s="39"/>
      <c r="E31194" s="39"/>
      <c r="F31194" s="39"/>
    </row>
    <row r="31195">
      <c r="D31195" s="39"/>
      <c r="E31195" s="39"/>
      <c r="F31195" s="39"/>
    </row>
    <row r="31196">
      <c r="D31196" s="39"/>
      <c r="E31196" s="39"/>
      <c r="F31196" s="39"/>
    </row>
    <row r="31197">
      <c r="D31197" s="39"/>
      <c r="E31197" s="39"/>
      <c r="F31197" s="39"/>
    </row>
    <row r="31198">
      <c r="D31198" s="39"/>
      <c r="E31198" s="39"/>
      <c r="F31198" s="39"/>
    </row>
    <row r="31199">
      <c r="D31199" s="39"/>
      <c r="E31199" s="39"/>
      <c r="F31199" s="39"/>
    </row>
    <row r="31200">
      <c r="D31200" s="39"/>
      <c r="E31200" s="39"/>
      <c r="F31200" s="39"/>
    </row>
    <row r="31201">
      <c r="D31201" s="39"/>
      <c r="E31201" s="39"/>
      <c r="F31201" s="39"/>
    </row>
    <row r="31202">
      <c r="D31202" s="39"/>
      <c r="E31202" s="39"/>
      <c r="F31202" s="39"/>
    </row>
    <row r="31203">
      <c r="D31203" s="39"/>
      <c r="E31203" s="39"/>
      <c r="F31203" s="39"/>
    </row>
    <row r="31204">
      <c r="D31204" s="39"/>
      <c r="E31204" s="39"/>
      <c r="F31204" s="39"/>
    </row>
    <row r="31205">
      <c r="D31205" s="39"/>
      <c r="E31205" s="39"/>
      <c r="F31205" s="39"/>
    </row>
    <row r="31206">
      <c r="D31206" s="39"/>
      <c r="E31206" s="39"/>
      <c r="F31206" s="39"/>
    </row>
    <row r="31207">
      <c r="D31207" s="39"/>
      <c r="E31207" s="39"/>
      <c r="F31207" s="39"/>
    </row>
    <row r="31208">
      <c r="D31208" s="39"/>
      <c r="E31208" s="39"/>
      <c r="F31208" s="39"/>
    </row>
    <row r="31209">
      <c r="D31209" s="39"/>
      <c r="E31209" s="39"/>
      <c r="F31209" s="39"/>
    </row>
    <row r="31210">
      <c r="D31210" s="39"/>
      <c r="E31210" s="39"/>
      <c r="F31210" s="39"/>
    </row>
    <row r="31211">
      <c r="D31211" s="39"/>
      <c r="E31211" s="39"/>
      <c r="F31211" s="39"/>
    </row>
    <row r="31212">
      <c r="D31212" s="39"/>
      <c r="E31212" s="39"/>
      <c r="F31212" s="39"/>
    </row>
    <row r="31213">
      <c r="D31213" s="39"/>
      <c r="E31213" s="39"/>
      <c r="F31213" s="39"/>
    </row>
    <row r="31214">
      <c r="D31214" s="39"/>
      <c r="E31214" s="39"/>
      <c r="F31214" s="39"/>
    </row>
    <row r="31215">
      <c r="D31215" s="39"/>
      <c r="E31215" s="39"/>
      <c r="F31215" s="39"/>
    </row>
    <row r="31216">
      <c r="D31216" s="39"/>
      <c r="E31216" s="39"/>
      <c r="F31216" s="39"/>
    </row>
    <row r="31217">
      <c r="D31217" s="39"/>
      <c r="E31217" s="39"/>
      <c r="F31217" s="39"/>
    </row>
    <row r="31218">
      <c r="D31218" s="39"/>
      <c r="E31218" s="39"/>
      <c r="F31218" s="39"/>
    </row>
    <row r="31219">
      <c r="D31219" s="39"/>
      <c r="E31219" s="39"/>
      <c r="F31219" s="39"/>
    </row>
    <row r="31220">
      <c r="D31220" s="39"/>
      <c r="E31220" s="39"/>
      <c r="F31220" s="39"/>
    </row>
    <row r="31221">
      <c r="D31221" s="39"/>
      <c r="E31221" s="39"/>
      <c r="F31221" s="39"/>
    </row>
    <row r="31222">
      <c r="D31222" s="39"/>
      <c r="E31222" s="39"/>
      <c r="F31222" s="39"/>
    </row>
    <row r="31223">
      <c r="D31223" s="39"/>
      <c r="E31223" s="39"/>
      <c r="F31223" s="39"/>
    </row>
    <row r="31224">
      <c r="D31224" s="39"/>
      <c r="E31224" s="39"/>
      <c r="F31224" s="39"/>
    </row>
    <row r="31225">
      <c r="D31225" s="39"/>
      <c r="E31225" s="39"/>
      <c r="F31225" s="39"/>
    </row>
    <row r="31226">
      <c r="D31226" s="39"/>
      <c r="E31226" s="39"/>
      <c r="F31226" s="39"/>
    </row>
    <row r="31227">
      <c r="D31227" s="39"/>
      <c r="E31227" s="39"/>
      <c r="F31227" s="39"/>
    </row>
    <row r="31228">
      <c r="D31228" s="39"/>
      <c r="E31228" s="39"/>
      <c r="F31228" s="39"/>
    </row>
    <row r="31229">
      <c r="D31229" s="39"/>
      <c r="E31229" s="39"/>
      <c r="F31229" s="39"/>
    </row>
    <row r="31230">
      <c r="D31230" s="39"/>
      <c r="E31230" s="39"/>
      <c r="F31230" s="39"/>
    </row>
    <row r="31231">
      <c r="D31231" s="39"/>
      <c r="E31231" s="39"/>
      <c r="F31231" s="39"/>
    </row>
    <row r="31232">
      <c r="D31232" s="39"/>
      <c r="E31232" s="39"/>
      <c r="F31232" s="39"/>
    </row>
    <row r="31233">
      <c r="D31233" s="39"/>
      <c r="E31233" s="39"/>
      <c r="F31233" s="39"/>
    </row>
    <row r="31234">
      <c r="D31234" s="39"/>
      <c r="E31234" s="39"/>
      <c r="F31234" s="39"/>
    </row>
    <row r="31235">
      <c r="D31235" s="39"/>
      <c r="E31235" s="39"/>
      <c r="F31235" s="39"/>
    </row>
    <row r="31236">
      <c r="D31236" s="39"/>
      <c r="E31236" s="39"/>
      <c r="F31236" s="39"/>
    </row>
    <row r="31237">
      <c r="D31237" s="39"/>
      <c r="E31237" s="39"/>
      <c r="F31237" s="39"/>
    </row>
    <row r="31238">
      <c r="D31238" s="39"/>
      <c r="E31238" s="39"/>
      <c r="F31238" s="39"/>
    </row>
    <row r="31239">
      <c r="D31239" s="39"/>
      <c r="E31239" s="39"/>
      <c r="F31239" s="39"/>
    </row>
    <row r="31240">
      <c r="D31240" s="39"/>
      <c r="E31240" s="39"/>
      <c r="F31240" s="39"/>
    </row>
    <row r="31241">
      <c r="D31241" s="39"/>
      <c r="E31241" s="39"/>
      <c r="F31241" s="39"/>
    </row>
    <row r="31242">
      <c r="D31242" s="39"/>
      <c r="E31242" s="39"/>
      <c r="F31242" s="39"/>
    </row>
    <row r="31243">
      <c r="D31243" s="39"/>
      <c r="E31243" s="39"/>
      <c r="F31243" s="39"/>
    </row>
    <row r="31244">
      <c r="D31244" s="39"/>
      <c r="E31244" s="39"/>
      <c r="F31244" s="39"/>
    </row>
    <row r="31245">
      <c r="D31245" s="39"/>
      <c r="E31245" s="39"/>
      <c r="F31245" s="39"/>
    </row>
    <row r="31246">
      <c r="D31246" s="39"/>
      <c r="E31246" s="39"/>
      <c r="F31246" s="39"/>
    </row>
    <row r="31247">
      <c r="D31247" s="39"/>
      <c r="E31247" s="39"/>
      <c r="F31247" s="39"/>
    </row>
    <row r="31248">
      <c r="D31248" s="39"/>
      <c r="E31248" s="39"/>
      <c r="F31248" s="39"/>
    </row>
    <row r="31249">
      <c r="D31249" s="39"/>
      <c r="E31249" s="39"/>
      <c r="F31249" s="39"/>
    </row>
    <row r="31250">
      <c r="D31250" s="39"/>
      <c r="E31250" s="39"/>
      <c r="F31250" s="39"/>
    </row>
    <row r="31251">
      <c r="D31251" s="39"/>
      <c r="E31251" s="39"/>
      <c r="F31251" s="39"/>
    </row>
    <row r="31252">
      <c r="D31252" s="39"/>
      <c r="E31252" s="39"/>
      <c r="F31252" s="39"/>
    </row>
    <row r="31253">
      <c r="D31253" s="39"/>
      <c r="E31253" s="39"/>
      <c r="F31253" s="39"/>
    </row>
    <row r="31254">
      <c r="D31254" s="39"/>
      <c r="E31254" s="39"/>
      <c r="F31254" s="39"/>
    </row>
    <row r="31255">
      <c r="D31255" s="39"/>
      <c r="E31255" s="39"/>
      <c r="F31255" s="39"/>
    </row>
    <row r="31256">
      <c r="D31256" s="39"/>
      <c r="E31256" s="39"/>
      <c r="F31256" s="39"/>
    </row>
    <row r="31257">
      <c r="D31257" s="39"/>
      <c r="E31257" s="39"/>
      <c r="F31257" s="39"/>
    </row>
    <row r="31258">
      <c r="D31258" s="39"/>
      <c r="E31258" s="39"/>
      <c r="F31258" s="39"/>
    </row>
    <row r="31259">
      <c r="D31259" s="39"/>
      <c r="E31259" s="39"/>
      <c r="F31259" s="39"/>
    </row>
    <row r="31260">
      <c r="D31260" s="39"/>
      <c r="E31260" s="39"/>
      <c r="F31260" s="39"/>
    </row>
    <row r="31261">
      <c r="D31261" s="39"/>
      <c r="E31261" s="39"/>
      <c r="F31261" s="39"/>
    </row>
    <row r="31262">
      <c r="D31262" s="39"/>
      <c r="E31262" s="39"/>
      <c r="F31262" s="39"/>
    </row>
    <row r="31263">
      <c r="D31263" s="39"/>
      <c r="E31263" s="39"/>
      <c r="F31263" s="39"/>
    </row>
    <row r="31264">
      <c r="D31264" s="39"/>
      <c r="E31264" s="39"/>
      <c r="F31264" s="39"/>
    </row>
    <row r="31265">
      <c r="D31265" s="39"/>
      <c r="E31265" s="39"/>
      <c r="F31265" s="39"/>
    </row>
    <row r="31266">
      <c r="D31266" s="39"/>
      <c r="E31266" s="39"/>
      <c r="F31266" s="39"/>
    </row>
    <row r="31267">
      <c r="D31267" s="39"/>
      <c r="E31267" s="39"/>
      <c r="F31267" s="39"/>
    </row>
    <row r="31268">
      <c r="D31268" s="39"/>
      <c r="E31268" s="39"/>
      <c r="F31268" s="39"/>
    </row>
    <row r="31269">
      <c r="D31269" s="39"/>
      <c r="E31269" s="39"/>
      <c r="F31269" s="39"/>
    </row>
    <row r="31270">
      <c r="D31270" s="39"/>
      <c r="E31270" s="39"/>
      <c r="F31270" s="39"/>
    </row>
    <row r="31271">
      <c r="D31271" s="39"/>
      <c r="E31271" s="39"/>
      <c r="F31271" s="39"/>
    </row>
    <row r="31272">
      <c r="D31272" s="39"/>
      <c r="E31272" s="39"/>
      <c r="F31272" s="39"/>
    </row>
    <row r="31273">
      <c r="D31273" s="39"/>
      <c r="E31273" s="39"/>
      <c r="F31273" s="39"/>
    </row>
    <row r="31274">
      <c r="D31274" s="39"/>
      <c r="E31274" s="39"/>
      <c r="F31274" s="39"/>
    </row>
    <row r="31275">
      <c r="D31275" s="39"/>
      <c r="E31275" s="39"/>
      <c r="F31275" s="39"/>
    </row>
    <row r="31276">
      <c r="D31276" s="39"/>
      <c r="E31276" s="39"/>
      <c r="F31276" s="39"/>
    </row>
    <row r="31277">
      <c r="D31277" s="39"/>
      <c r="E31277" s="39"/>
      <c r="F31277" s="39"/>
    </row>
    <row r="31278">
      <c r="D31278" s="39"/>
      <c r="E31278" s="39"/>
      <c r="F31278" s="39"/>
    </row>
    <row r="31279">
      <c r="D31279" s="39"/>
      <c r="E31279" s="39"/>
      <c r="F31279" s="39"/>
    </row>
    <row r="31280">
      <c r="D31280" s="39"/>
      <c r="E31280" s="39"/>
      <c r="F31280" s="39"/>
    </row>
    <row r="31281">
      <c r="D31281" s="39"/>
      <c r="E31281" s="39"/>
      <c r="F31281" s="39"/>
    </row>
    <row r="31282">
      <c r="D31282" s="39"/>
      <c r="E31282" s="39"/>
      <c r="F31282" s="39"/>
    </row>
    <row r="31283">
      <c r="D31283" s="39"/>
      <c r="E31283" s="39"/>
      <c r="F31283" s="39"/>
    </row>
    <row r="31284">
      <c r="D31284" s="39"/>
      <c r="E31284" s="39"/>
      <c r="F31284" s="39"/>
    </row>
    <row r="31285">
      <c r="D31285" s="39"/>
      <c r="E31285" s="39"/>
      <c r="F31285" s="39"/>
    </row>
    <row r="31286">
      <c r="D31286" s="39"/>
      <c r="E31286" s="39"/>
      <c r="F31286" s="39"/>
    </row>
    <row r="31287">
      <c r="D31287" s="39"/>
      <c r="E31287" s="39"/>
      <c r="F31287" s="39"/>
    </row>
    <row r="31288">
      <c r="D31288" s="39"/>
      <c r="E31288" s="39"/>
      <c r="F31288" s="39"/>
    </row>
    <row r="31289">
      <c r="D31289" s="39"/>
      <c r="E31289" s="39"/>
      <c r="F31289" s="39"/>
    </row>
    <row r="31290">
      <c r="D31290" s="39"/>
      <c r="E31290" s="39"/>
      <c r="F31290" s="39"/>
    </row>
    <row r="31291">
      <c r="D31291" s="39"/>
      <c r="E31291" s="39"/>
      <c r="F31291" s="39"/>
    </row>
    <row r="31292">
      <c r="D31292" s="39"/>
      <c r="E31292" s="39"/>
      <c r="F31292" s="39"/>
    </row>
    <row r="31293">
      <c r="D31293" s="39"/>
      <c r="E31293" s="39"/>
      <c r="F31293" s="39"/>
    </row>
    <row r="31294">
      <c r="D31294" s="39"/>
      <c r="E31294" s="39"/>
      <c r="F31294" s="39"/>
    </row>
    <row r="31295">
      <c r="D31295" s="39"/>
      <c r="E31295" s="39"/>
      <c r="F31295" s="39"/>
    </row>
    <row r="31296">
      <c r="D31296" s="39"/>
      <c r="E31296" s="39"/>
      <c r="F31296" s="39"/>
    </row>
    <row r="31297">
      <c r="D31297" s="39"/>
      <c r="E31297" s="39"/>
      <c r="F31297" s="39"/>
    </row>
    <row r="31298">
      <c r="D31298" s="39"/>
      <c r="E31298" s="39"/>
      <c r="F31298" s="39"/>
    </row>
    <row r="31299">
      <c r="D31299" s="39"/>
      <c r="E31299" s="39"/>
      <c r="F31299" s="39"/>
    </row>
    <row r="31300">
      <c r="D31300" s="39"/>
      <c r="E31300" s="39"/>
      <c r="F31300" s="39"/>
    </row>
    <row r="31301">
      <c r="D31301" s="39"/>
      <c r="E31301" s="39"/>
      <c r="F31301" s="39"/>
    </row>
    <row r="31302">
      <c r="D31302" s="39"/>
      <c r="E31302" s="39"/>
      <c r="F31302" s="39"/>
    </row>
    <row r="31303">
      <c r="D31303" s="39"/>
      <c r="E31303" s="39"/>
      <c r="F31303" s="39"/>
    </row>
    <row r="31304">
      <c r="D31304" s="39"/>
      <c r="E31304" s="39"/>
      <c r="F31304" s="39"/>
    </row>
    <row r="31305">
      <c r="D31305" s="39"/>
      <c r="E31305" s="39"/>
      <c r="F31305" s="39"/>
    </row>
    <row r="31306">
      <c r="D31306" s="39"/>
      <c r="E31306" s="39"/>
      <c r="F31306" s="39"/>
    </row>
    <row r="31307">
      <c r="D31307" s="39"/>
      <c r="E31307" s="39"/>
      <c r="F31307" s="39"/>
    </row>
    <row r="31308">
      <c r="D31308" s="39"/>
      <c r="E31308" s="39"/>
      <c r="F31308" s="39"/>
    </row>
    <row r="31309">
      <c r="D31309" s="39"/>
      <c r="E31309" s="39"/>
      <c r="F31309" s="39"/>
    </row>
    <row r="31310">
      <c r="D31310" s="39"/>
      <c r="E31310" s="39"/>
      <c r="F31310" s="39"/>
    </row>
    <row r="31311">
      <c r="D31311" s="39"/>
      <c r="E31311" s="39"/>
      <c r="F31311" s="39"/>
    </row>
    <row r="31312">
      <c r="D31312" s="39"/>
      <c r="E31312" s="39"/>
      <c r="F31312" s="39"/>
    </row>
    <row r="31313">
      <c r="D31313" s="39"/>
      <c r="E31313" s="39"/>
      <c r="F31313" s="39"/>
    </row>
    <row r="31314">
      <c r="D31314" s="39"/>
      <c r="E31314" s="39"/>
      <c r="F31314" s="39"/>
    </row>
    <row r="31315">
      <c r="D31315" s="39"/>
      <c r="E31315" s="39"/>
      <c r="F31315" s="39"/>
    </row>
    <row r="31316">
      <c r="D31316" s="39"/>
      <c r="E31316" s="39"/>
      <c r="F31316" s="39"/>
    </row>
    <row r="31317">
      <c r="D31317" s="39"/>
      <c r="E31317" s="39"/>
      <c r="F31317" s="39"/>
    </row>
    <row r="31318">
      <c r="D31318" s="39"/>
      <c r="E31318" s="39"/>
      <c r="F31318" s="39"/>
    </row>
    <row r="31319">
      <c r="D31319" s="39"/>
      <c r="E31319" s="39"/>
      <c r="F31319" s="39"/>
    </row>
    <row r="31320">
      <c r="D31320" s="39"/>
      <c r="E31320" s="39"/>
      <c r="F31320" s="39"/>
    </row>
    <row r="31321">
      <c r="D31321" s="39"/>
      <c r="E31321" s="39"/>
      <c r="F31321" s="39"/>
    </row>
    <row r="31322">
      <c r="D31322" s="39"/>
      <c r="E31322" s="39"/>
      <c r="F31322" s="39"/>
    </row>
    <row r="31323">
      <c r="D31323" s="39"/>
      <c r="E31323" s="39"/>
      <c r="F31323" s="39"/>
    </row>
    <row r="31324">
      <c r="D31324" s="39"/>
      <c r="E31324" s="39"/>
      <c r="F31324" s="39"/>
    </row>
    <row r="31325">
      <c r="D31325" s="39"/>
      <c r="E31325" s="39"/>
      <c r="F31325" s="39"/>
    </row>
    <row r="31326">
      <c r="D31326" s="39"/>
      <c r="E31326" s="39"/>
      <c r="F31326" s="39"/>
    </row>
    <row r="31327">
      <c r="D31327" s="39"/>
      <c r="E31327" s="39"/>
      <c r="F31327" s="39"/>
    </row>
    <row r="31328">
      <c r="D31328" s="39"/>
      <c r="E31328" s="39"/>
      <c r="F31328" s="39"/>
    </row>
    <row r="31329">
      <c r="D31329" s="39"/>
      <c r="E31329" s="39"/>
      <c r="F31329" s="39"/>
    </row>
    <row r="31330">
      <c r="D31330" s="39"/>
      <c r="E31330" s="39"/>
      <c r="F31330" s="39"/>
    </row>
    <row r="31331">
      <c r="D31331" s="39"/>
      <c r="E31331" s="39"/>
      <c r="F31331" s="39"/>
    </row>
    <row r="31332">
      <c r="D31332" s="39"/>
      <c r="E31332" s="39"/>
      <c r="F31332" s="39"/>
    </row>
    <row r="31333">
      <c r="D31333" s="39"/>
      <c r="E31333" s="39"/>
      <c r="F31333" s="39"/>
    </row>
    <row r="31334">
      <c r="D31334" s="39"/>
      <c r="E31334" s="39"/>
      <c r="F31334" s="39"/>
    </row>
    <row r="31335">
      <c r="D31335" s="39"/>
      <c r="E31335" s="39"/>
      <c r="F31335" s="39"/>
    </row>
    <row r="31336">
      <c r="D31336" s="39"/>
      <c r="E31336" s="39"/>
      <c r="F31336" s="39"/>
    </row>
    <row r="31337">
      <c r="D31337" s="39"/>
      <c r="E31337" s="39"/>
      <c r="F31337" s="39"/>
    </row>
    <row r="31338">
      <c r="D31338" s="39"/>
      <c r="E31338" s="39"/>
      <c r="F31338" s="39"/>
    </row>
    <row r="31339">
      <c r="D31339" s="39"/>
      <c r="E31339" s="39"/>
      <c r="F31339" s="39"/>
    </row>
    <row r="31340">
      <c r="D31340" s="39"/>
      <c r="E31340" s="39"/>
      <c r="F31340" s="39"/>
    </row>
    <row r="31341">
      <c r="D31341" s="39"/>
      <c r="E31341" s="39"/>
      <c r="F31341" s="39"/>
    </row>
    <row r="31342">
      <c r="D31342" s="39"/>
      <c r="E31342" s="39"/>
      <c r="F31342" s="39"/>
    </row>
    <row r="31343">
      <c r="D31343" s="39"/>
      <c r="E31343" s="39"/>
      <c r="F31343" s="39"/>
    </row>
    <row r="31344">
      <c r="D31344" s="39"/>
      <c r="E31344" s="39"/>
      <c r="F31344" s="39"/>
    </row>
    <row r="31345">
      <c r="D31345" s="39"/>
      <c r="E31345" s="39"/>
      <c r="F31345" s="39"/>
    </row>
    <row r="31346">
      <c r="D31346" s="39"/>
      <c r="E31346" s="39"/>
      <c r="F31346" s="39"/>
    </row>
    <row r="31347">
      <c r="D31347" s="39"/>
      <c r="E31347" s="39"/>
      <c r="F31347" s="39"/>
    </row>
    <row r="31348">
      <c r="D31348" s="39"/>
      <c r="E31348" s="39"/>
      <c r="F31348" s="39"/>
    </row>
    <row r="31349">
      <c r="D31349" s="39"/>
      <c r="E31349" s="39"/>
      <c r="F31349" s="39"/>
    </row>
    <row r="31350">
      <c r="D31350" s="39"/>
      <c r="E31350" s="39"/>
      <c r="F31350" s="39"/>
    </row>
    <row r="31351">
      <c r="D31351" s="39"/>
      <c r="E31351" s="39"/>
      <c r="F31351" s="39"/>
    </row>
    <row r="31352">
      <c r="D31352" s="39"/>
      <c r="E31352" s="39"/>
      <c r="F31352" s="39"/>
    </row>
    <row r="31353">
      <c r="D31353" s="39"/>
      <c r="E31353" s="39"/>
      <c r="F31353" s="39"/>
    </row>
    <row r="31354">
      <c r="D31354" s="39"/>
      <c r="E31354" s="39"/>
      <c r="F31354" s="39"/>
    </row>
    <row r="31355">
      <c r="D31355" s="39"/>
      <c r="E31355" s="39"/>
      <c r="F31355" s="39"/>
    </row>
    <row r="31356">
      <c r="D31356" s="39"/>
      <c r="E31356" s="39"/>
      <c r="F31356" s="39"/>
    </row>
    <row r="31357">
      <c r="D31357" s="39"/>
      <c r="E31357" s="39"/>
      <c r="F31357" s="39"/>
    </row>
    <row r="31358">
      <c r="D31358" s="39"/>
      <c r="E31358" s="39"/>
      <c r="F31358" s="39"/>
    </row>
    <row r="31359">
      <c r="D31359" s="39"/>
      <c r="E31359" s="39"/>
      <c r="F31359" s="39"/>
    </row>
    <row r="31360">
      <c r="D31360" s="39"/>
      <c r="E31360" s="39"/>
      <c r="F31360" s="39"/>
    </row>
    <row r="31361">
      <c r="D31361" s="39"/>
      <c r="E31361" s="39"/>
      <c r="F31361" s="39"/>
    </row>
    <row r="31362">
      <c r="D31362" s="39"/>
      <c r="E31362" s="39"/>
      <c r="F31362" s="39"/>
    </row>
    <row r="31363">
      <c r="D31363" s="39"/>
      <c r="E31363" s="39"/>
      <c r="F31363" s="39"/>
    </row>
    <row r="31364">
      <c r="D31364" s="39"/>
      <c r="E31364" s="39"/>
      <c r="F31364" s="39"/>
    </row>
    <row r="31365">
      <c r="D31365" s="39"/>
      <c r="E31365" s="39"/>
      <c r="F31365" s="39"/>
    </row>
    <row r="31366">
      <c r="D31366" s="39"/>
      <c r="E31366" s="39"/>
      <c r="F31366" s="39"/>
    </row>
    <row r="31367">
      <c r="D31367" s="39"/>
      <c r="E31367" s="39"/>
      <c r="F31367" s="39"/>
    </row>
    <row r="31368">
      <c r="D31368" s="39"/>
      <c r="E31368" s="39"/>
      <c r="F31368" s="39"/>
    </row>
    <row r="31369">
      <c r="D31369" s="39"/>
      <c r="E31369" s="39"/>
      <c r="F31369" s="39"/>
    </row>
    <row r="31370">
      <c r="D31370" s="39"/>
      <c r="E31370" s="39"/>
      <c r="F31370" s="39"/>
    </row>
    <row r="31371">
      <c r="D31371" s="39"/>
      <c r="E31371" s="39"/>
      <c r="F31371" s="39"/>
    </row>
    <row r="31372">
      <c r="D31372" s="39"/>
      <c r="E31372" s="39"/>
      <c r="F31372" s="39"/>
    </row>
    <row r="31373">
      <c r="D31373" s="39"/>
      <c r="E31373" s="39"/>
      <c r="F31373" s="39"/>
    </row>
    <row r="31374">
      <c r="D31374" s="39"/>
      <c r="E31374" s="39"/>
      <c r="F31374" s="39"/>
    </row>
    <row r="31375">
      <c r="D31375" s="39"/>
      <c r="E31375" s="39"/>
      <c r="F31375" s="39"/>
    </row>
    <row r="31376">
      <c r="D31376" s="39"/>
      <c r="E31376" s="39"/>
      <c r="F31376" s="39"/>
    </row>
    <row r="31377">
      <c r="D31377" s="39"/>
      <c r="E31377" s="39"/>
      <c r="F31377" s="39"/>
    </row>
    <row r="31378">
      <c r="D31378" s="39"/>
      <c r="E31378" s="39"/>
      <c r="F31378" s="39"/>
    </row>
    <row r="31379">
      <c r="D31379" s="39"/>
      <c r="E31379" s="39"/>
      <c r="F31379" s="39"/>
    </row>
    <row r="31380">
      <c r="D31380" s="39"/>
      <c r="E31380" s="39"/>
      <c r="F31380" s="39"/>
    </row>
    <row r="31381">
      <c r="D31381" s="39"/>
      <c r="E31381" s="39"/>
      <c r="F31381" s="39"/>
    </row>
    <row r="31382">
      <c r="D31382" s="39"/>
      <c r="E31382" s="39"/>
      <c r="F31382" s="39"/>
    </row>
    <row r="31383">
      <c r="D31383" s="39"/>
      <c r="E31383" s="39"/>
      <c r="F31383" s="39"/>
    </row>
    <row r="31384">
      <c r="D31384" s="39"/>
      <c r="E31384" s="39"/>
      <c r="F31384" s="39"/>
    </row>
    <row r="31385">
      <c r="D31385" s="39"/>
      <c r="E31385" s="39"/>
      <c r="F31385" s="39"/>
    </row>
    <row r="31386">
      <c r="D31386" s="39"/>
      <c r="E31386" s="39"/>
      <c r="F31386" s="39"/>
    </row>
    <row r="31387">
      <c r="D31387" s="39"/>
      <c r="E31387" s="39"/>
      <c r="F31387" s="39"/>
    </row>
    <row r="31388">
      <c r="D31388" s="39"/>
      <c r="E31388" s="39"/>
      <c r="F31388" s="39"/>
    </row>
    <row r="31389">
      <c r="D31389" s="39"/>
      <c r="E31389" s="39"/>
      <c r="F31389" s="39"/>
    </row>
    <row r="31390">
      <c r="D31390" s="39"/>
      <c r="E31390" s="39"/>
      <c r="F31390" s="39"/>
    </row>
    <row r="31391">
      <c r="D31391" s="39"/>
      <c r="E31391" s="39"/>
      <c r="F31391" s="39"/>
    </row>
    <row r="31392">
      <c r="D31392" s="39"/>
      <c r="E31392" s="39"/>
      <c r="F31392" s="39"/>
    </row>
    <row r="31393">
      <c r="D31393" s="39"/>
      <c r="E31393" s="39"/>
      <c r="F31393" s="39"/>
    </row>
    <row r="31394">
      <c r="D31394" s="39"/>
      <c r="E31394" s="39"/>
      <c r="F31394" s="39"/>
    </row>
    <row r="31395">
      <c r="D31395" s="39"/>
      <c r="E31395" s="39"/>
      <c r="F31395" s="39"/>
    </row>
    <row r="31396">
      <c r="D31396" s="39"/>
      <c r="E31396" s="39"/>
      <c r="F31396" s="39"/>
    </row>
    <row r="31397">
      <c r="D31397" s="39"/>
      <c r="E31397" s="39"/>
      <c r="F31397" s="39"/>
    </row>
    <row r="31398">
      <c r="D31398" s="39"/>
      <c r="E31398" s="39"/>
      <c r="F31398" s="39"/>
    </row>
    <row r="31399">
      <c r="D31399" s="39"/>
      <c r="E31399" s="39"/>
      <c r="F31399" s="39"/>
    </row>
    <row r="31400">
      <c r="D31400" s="39"/>
      <c r="E31400" s="39"/>
      <c r="F31400" s="39"/>
    </row>
    <row r="31401">
      <c r="D31401" s="39"/>
      <c r="E31401" s="39"/>
      <c r="F31401" s="39"/>
    </row>
    <row r="31402">
      <c r="D31402" s="39"/>
      <c r="E31402" s="39"/>
      <c r="F31402" s="39"/>
    </row>
    <row r="31403">
      <c r="D31403" s="39"/>
      <c r="E31403" s="39"/>
      <c r="F31403" s="39"/>
    </row>
    <row r="31404">
      <c r="D31404" s="39"/>
      <c r="E31404" s="39"/>
      <c r="F31404" s="39"/>
    </row>
    <row r="31405">
      <c r="D31405" s="39"/>
      <c r="E31405" s="39"/>
      <c r="F31405" s="39"/>
    </row>
    <row r="31406">
      <c r="D31406" s="39"/>
      <c r="E31406" s="39"/>
      <c r="F31406" s="39"/>
    </row>
    <row r="31407">
      <c r="D31407" s="39"/>
      <c r="E31407" s="39"/>
      <c r="F31407" s="39"/>
    </row>
    <row r="31408">
      <c r="D31408" s="39"/>
      <c r="E31408" s="39"/>
      <c r="F31408" s="39"/>
    </row>
    <row r="31409">
      <c r="D31409" s="39"/>
      <c r="E31409" s="39"/>
      <c r="F31409" s="39"/>
    </row>
    <row r="31410">
      <c r="D31410" s="39"/>
      <c r="E31410" s="39"/>
      <c r="F31410" s="39"/>
    </row>
    <row r="31411">
      <c r="D31411" s="39"/>
      <c r="E31411" s="39"/>
      <c r="F31411" s="39"/>
    </row>
    <row r="31412">
      <c r="D31412" s="39"/>
      <c r="E31412" s="39"/>
      <c r="F31412" s="39"/>
    </row>
    <row r="31413">
      <c r="D31413" s="39"/>
      <c r="E31413" s="39"/>
      <c r="F31413" s="39"/>
    </row>
    <row r="31414">
      <c r="D31414" s="39"/>
      <c r="E31414" s="39"/>
      <c r="F31414" s="39"/>
    </row>
    <row r="31415">
      <c r="D31415" s="39"/>
      <c r="E31415" s="39"/>
      <c r="F31415" s="39"/>
    </row>
    <row r="31416">
      <c r="D31416" s="39"/>
      <c r="E31416" s="39"/>
      <c r="F31416" s="39"/>
    </row>
    <row r="31417">
      <c r="D31417" s="39"/>
      <c r="E31417" s="39"/>
      <c r="F31417" s="39"/>
    </row>
    <row r="31418">
      <c r="D31418" s="39"/>
      <c r="E31418" s="39"/>
      <c r="F31418" s="39"/>
    </row>
    <row r="31419">
      <c r="D31419" s="39"/>
      <c r="E31419" s="39"/>
      <c r="F31419" s="39"/>
    </row>
    <row r="31420">
      <c r="D31420" s="39"/>
      <c r="E31420" s="39"/>
      <c r="F31420" s="39"/>
    </row>
    <row r="31421">
      <c r="D31421" s="39"/>
      <c r="E31421" s="39"/>
      <c r="F31421" s="39"/>
    </row>
    <row r="31422">
      <c r="D31422" s="39"/>
      <c r="E31422" s="39"/>
      <c r="F31422" s="39"/>
    </row>
    <row r="31423">
      <c r="D31423" s="39"/>
      <c r="E31423" s="39"/>
      <c r="F31423" s="39"/>
    </row>
    <row r="31424">
      <c r="D31424" s="39"/>
      <c r="E31424" s="39"/>
      <c r="F31424" s="39"/>
    </row>
    <row r="31425">
      <c r="D31425" s="39"/>
      <c r="E31425" s="39"/>
      <c r="F31425" s="39"/>
    </row>
    <row r="31426">
      <c r="D31426" s="39"/>
      <c r="E31426" s="39"/>
      <c r="F31426" s="39"/>
    </row>
    <row r="31427">
      <c r="D31427" s="39"/>
      <c r="E31427" s="39"/>
      <c r="F31427" s="39"/>
    </row>
    <row r="31428">
      <c r="D31428" s="39"/>
      <c r="E31428" s="39"/>
      <c r="F31428" s="39"/>
    </row>
    <row r="31429">
      <c r="D31429" s="39"/>
      <c r="E31429" s="39"/>
      <c r="F31429" s="39"/>
    </row>
    <row r="31430">
      <c r="D31430" s="39"/>
      <c r="E31430" s="39"/>
      <c r="F31430" s="39"/>
    </row>
    <row r="31431">
      <c r="D31431" s="39"/>
      <c r="E31431" s="39"/>
      <c r="F31431" s="39"/>
    </row>
    <row r="31432">
      <c r="D31432" s="39"/>
      <c r="E31432" s="39"/>
      <c r="F31432" s="39"/>
    </row>
    <row r="31433">
      <c r="D31433" s="39"/>
      <c r="E31433" s="39"/>
      <c r="F31433" s="39"/>
    </row>
    <row r="31434">
      <c r="D31434" s="39"/>
      <c r="E31434" s="39"/>
      <c r="F31434" s="39"/>
    </row>
    <row r="31435">
      <c r="D31435" s="39"/>
      <c r="E31435" s="39"/>
      <c r="F31435" s="39"/>
    </row>
    <row r="31436">
      <c r="D31436" s="39"/>
      <c r="E31436" s="39"/>
      <c r="F31436" s="39"/>
    </row>
    <row r="31437">
      <c r="D31437" s="39"/>
      <c r="E31437" s="39"/>
      <c r="F31437" s="39"/>
    </row>
    <row r="31438">
      <c r="D31438" s="39"/>
      <c r="E31438" s="39"/>
      <c r="F31438" s="39"/>
    </row>
    <row r="31439">
      <c r="D31439" s="39"/>
      <c r="E31439" s="39"/>
      <c r="F31439" s="39"/>
    </row>
    <row r="31440">
      <c r="D31440" s="39"/>
      <c r="E31440" s="39"/>
      <c r="F31440" s="39"/>
    </row>
    <row r="31441">
      <c r="D31441" s="39"/>
      <c r="E31441" s="39"/>
      <c r="F31441" s="39"/>
    </row>
    <row r="31442">
      <c r="D31442" s="39"/>
      <c r="E31442" s="39"/>
      <c r="F31442" s="39"/>
    </row>
    <row r="31443">
      <c r="D31443" s="39"/>
      <c r="E31443" s="39"/>
      <c r="F31443" s="39"/>
    </row>
    <row r="31444">
      <c r="D31444" s="39"/>
      <c r="E31444" s="39"/>
      <c r="F31444" s="39"/>
    </row>
    <row r="31445">
      <c r="D31445" s="39"/>
      <c r="E31445" s="39"/>
      <c r="F31445" s="39"/>
    </row>
    <row r="31446">
      <c r="D31446" s="39"/>
      <c r="E31446" s="39"/>
      <c r="F31446" s="39"/>
    </row>
    <row r="31447">
      <c r="D31447" s="39"/>
      <c r="E31447" s="39"/>
      <c r="F31447" s="39"/>
    </row>
    <row r="31448">
      <c r="D31448" s="39"/>
      <c r="E31448" s="39"/>
      <c r="F31448" s="39"/>
    </row>
    <row r="31449">
      <c r="D31449" s="39"/>
      <c r="E31449" s="39"/>
      <c r="F31449" s="39"/>
    </row>
    <row r="31450">
      <c r="D31450" s="39"/>
      <c r="E31450" s="39"/>
      <c r="F31450" s="39"/>
    </row>
    <row r="31451">
      <c r="D31451" s="39"/>
      <c r="E31451" s="39"/>
      <c r="F31451" s="39"/>
    </row>
    <row r="31452">
      <c r="D31452" s="39"/>
      <c r="E31452" s="39"/>
      <c r="F31452" s="39"/>
    </row>
    <row r="31453">
      <c r="D31453" s="39"/>
      <c r="E31453" s="39"/>
      <c r="F31453" s="39"/>
    </row>
    <row r="31454">
      <c r="D31454" s="39"/>
      <c r="E31454" s="39"/>
      <c r="F31454" s="39"/>
    </row>
    <row r="31455">
      <c r="D31455" s="39"/>
      <c r="E31455" s="39"/>
      <c r="F31455" s="39"/>
    </row>
    <row r="31456">
      <c r="D31456" s="39"/>
      <c r="E31456" s="39"/>
      <c r="F31456" s="39"/>
    </row>
    <row r="31457">
      <c r="D31457" s="39"/>
      <c r="E31457" s="39"/>
      <c r="F31457" s="39"/>
    </row>
    <row r="31458">
      <c r="D31458" s="39"/>
      <c r="E31458" s="39"/>
      <c r="F31458" s="39"/>
    </row>
    <row r="31459">
      <c r="D31459" s="39"/>
      <c r="E31459" s="39"/>
      <c r="F31459" s="39"/>
    </row>
    <row r="31460">
      <c r="D31460" s="39"/>
      <c r="E31460" s="39"/>
      <c r="F31460" s="39"/>
    </row>
    <row r="31461">
      <c r="D31461" s="39"/>
      <c r="E31461" s="39"/>
      <c r="F31461" s="39"/>
    </row>
    <row r="31462">
      <c r="D31462" s="39"/>
      <c r="E31462" s="39"/>
      <c r="F31462" s="39"/>
    </row>
    <row r="31463">
      <c r="D31463" s="39"/>
      <c r="E31463" s="39"/>
      <c r="F31463" s="39"/>
    </row>
    <row r="31464">
      <c r="D31464" s="39"/>
      <c r="E31464" s="39"/>
      <c r="F31464" s="39"/>
    </row>
    <row r="31465">
      <c r="D31465" s="39"/>
      <c r="E31465" s="39"/>
      <c r="F31465" s="39"/>
    </row>
    <row r="31466">
      <c r="D31466" s="39"/>
      <c r="E31466" s="39"/>
      <c r="F31466" s="39"/>
    </row>
    <row r="31467">
      <c r="D31467" s="39"/>
      <c r="E31467" s="39"/>
      <c r="F31467" s="39"/>
    </row>
    <row r="31468">
      <c r="D31468" s="39"/>
      <c r="E31468" s="39"/>
      <c r="F31468" s="39"/>
    </row>
    <row r="31469">
      <c r="D31469" s="39"/>
      <c r="E31469" s="39"/>
      <c r="F31469" s="39"/>
    </row>
    <row r="31470">
      <c r="D31470" s="39"/>
      <c r="E31470" s="39"/>
      <c r="F31470" s="39"/>
    </row>
    <row r="31471">
      <c r="D31471" s="39"/>
      <c r="E31471" s="39"/>
      <c r="F31471" s="39"/>
    </row>
    <row r="31472">
      <c r="D31472" s="39"/>
      <c r="E31472" s="39"/>
      <c r="F31472" s="39"/>
    </row>
    <row r="31473">
      <c r="D31473" s="39"/>
      <c r="E31473" s="39"/>
      <c r="F31473" s="39"/>
    </row>
    <row r="31474">
      <c r="D31474" s="39"/>
      <c r="E31474" s="39"/>
      <c r="F31474" s="39"/>
    </row>
    <row r="31475">
      <c r="D31475" s="39"/>
      <c r="E31475" s="39"/>
      <c r="F31475" s="39"/>
    </row>
    <row r="31476">
      <c r="D31476" s="39"/>
      <c r="E31476" s="39"/>
      <c r="F31476" s="39"/>
    </row>
    <row r="31477">
      <c r="D31477" s="39"/>
      <c r="E31477" s="39"/>
      <c r="F31477" s="39"/>
    </row>
    <row r="31478">
      <c r="D31478" s="39"/>
      <c r="E31478" s="39"/>
      <c r="F31478" s="39"/>
    </row>
    <row r="31479">
      <c r="D31479" s="39"/>
      <c r="E31479" s="39"/>
      <c r="F31479" s="39"/>
    </row>
    <row r="31480">
      <c r="D31480" s="39"/>
      <c r="E31480" s="39"/>
      <c r="F31480" s="39"/>
    </row>
    <row r="31481">
      <c r="D31481" s="39"/>
      <c r="E31481" s="39"/>
      <c r="F31481" s="39"/>
    </row>
    <row r="31482">
      <c r="D31482" s="39"/>
      <c r="E31482" s="39"/>
      <c r="F31482" s="39"/>
    </row>
    <row r="31483">
      <c r="D31483" s="39"/>
      <c r="E31483" s="39"/>
      <c r="F31483" s="39"/>
    </row>
    <row r="31484">
      <c r="D31484" s="39"/>
      <c r="E31484" s="39"/>
      <c r="F31484" s="39"/>
    </row>
    <row r="31485">
      <c r="D31485" s="39"/>
      <c r="E31485" s="39"/>
      <c r="F31485" s="39"/>
    </row>
    <row r="31486">
      <c r="D31486" s="39"/>
      <c r="E31486" s="39"/>
      <c r="F31486" s="39"/>
    </row>
    <row r="31487">
      <c r="D31487" s="39"/>
      <c r="E31487" s="39"/>
      <c r="F31487" s="39"/>
    </row>
    <row r="31488">
      <c r="D31488" s="39"/>
      <c r="E31488" s="39"/>
      <c r="F31488" s="39"/>
    </row>
    <row r="31489">
      <c r="D31489" s="39"/>
      <c r="E31489" s="39"/>
      <c r="F31489" s="39"/>
    </row>
    <row r="31490">
      <c r="D31490" s="39"/>
      <c r="E31490" s="39"/>
      <c r="F31490" s="39"/>
    </row>
    <row r="31491">
      <c r="D31491" s="39"/>
      <c r="E31491" s="39"/>
      <c r="F31491" s="39"/>
    </row>
    <row r="31492">
      <c r="D31492" s="39"/>
      <c r="E31492" s="39"/>
      <c r="F31492" s="39"/>
    </row>
    <row r="31493">
      <c r="D31493" s="39"/>
      <c r="E31493" s="39"/>
      <c r="F31493" s="39"/>
    </row>
    <row r="31494">
      <c r="D31494" s="39"/>
      <c r="E31494" s="39"/>
      <c r="F31494" s="39"/>
    </row>
    <row r="31495">
      <c r="D31495" s="39"/>
      <c r="E31495" s="39"/>
      <c r="F31495" s="39"/>
    </row>
    <row r="31496">
      <c r="D31496" s="39"/>
      <c r="E31496" s="39"/>
      <c r="F31496" s="39"/>
    </row>
    <row r="31497">
      <c r="D31497" s="39"/>
      <c r="E31497" s="39"/>
      <c r="F31497" s="39"/>
    </row>
    <row r="31498">
      <c r="D31498" s="39"/>
      <c r="E31498" s="39"/>
      <c r="F31498" s="39"/>
    </row>
    <row r="31499">
      <c r="D31499" s="39"/>
      <c r="E31499" s="39"/>
      <c r="F31499" s="39"/>
    </row>
    <row r="31500">
      <c r="D31500" s="39"/>
      <c r="E31500" s="39"/>
      <c r="F31500" s="39"/>
    </row>
    <row r="31501">
      <c r="D31501" s="39"/>
      <c r="E31501" s="39"/>
      <c r="F31501" s="39"/>
    </row>
    <row r="31502">
      <c r="D31502" s="39"/>
      <c r="E31502" s="39"/>
      <c r="F31502" s="39"/>
    </row>
    <row r="31503">
      <c r="D31503" s="39"/>
      <c r="E31503" s="39"/>
      <c r="F31503" s="39"/>
    </row>
    <row r="31504">
      <c r="D31504" s="39"/>
      <c r="E31504" s="39"/>
      <c r="F31504" s="39"/>
    </row>
    <row r="31505">
      <c r="D31505" s="39"/>
      <c r="E31505" s="39"/>
      <c r="F31505" s="39"/>
    </row>
    <row r="31506">
      <c r="D31506" s="39"/>
      <c r="E31506" s="39"/>
      <c r="F31506" s="39"/>
    </row>
    <row r="31507">
      <c r="D31507" s="39"/>
      <c r="E31507" s="39"/>
      <c r="F31507" s="39"/>
    </row>
    <row r="31508">
      <c r="D31508" s="39"/>
      <c r="E31508" s="39"/>
      <c r="F31508" s="39"/>
    </row>
    <row r="31509">
      <c r="D31509" s="39"/>
      <c r="E31509" s="39"/>
      <c r="F31509" s="39"/>
    </row>
    <row r="31510">
      <c r="D31510" s="39"/>
      <c r="E31510" s="39"/>
      <c r="F31510" s="39"/>
    </row>
    <row r="31511">
      <c r="D31511" s="39"/>
      <c r="E31511" s="39"/>
      <c r="F31511" s="39"/>
    </row>
    <row r="31512">
      <c r="D31512" s="39"/>
      <c r="E31512" s="39"/>
      <c r="F31512" s="39"/>
    </row>
    <row r="31513">
      <c r="D31513" s="39"/>
      <c r="E31513" s="39"/>
      <c r="F31513" s="39"/>
    </row>
    <row r="31514">
      <c r="D31514" s="39"/>
      <c r="E31514" s="39"/>
      <c r="F31514" s="39"/>
    </row>
    <row r="31515">
      <c r="D31515" s="39"/>
      <c r="E31515" s="39"/>
      <c r="F31515" s="39"/>
    </row>
    <row r="31516">
      <c r="D31516" s="39"/>
      <c r="E31516" s="39"/>
      <c r="F31516" s="39"/>
    </row>
    <row r="31517">
      <c r="D31517" s="39"/>
      <c r="E31517" s="39"/>
      <c r="F31517" s="39"/>
    </row>
    <row r="31518">
      <c r="D31518" s="39"/>
      <c r="E31518" s="39"/>
      <c r="F31518" s="39"/>
    </row>
    <row r="31519">
      <c r="D31519" s="39"/>
      <c r="E31519" s="39"/>
      <c r="F31519" s="39"/>
    </row>
    <row r="31520">
      <c r="D31520" s="39"/>
      <c r="E31520" s="39"/>
      <c r="F31520" s="39"/>
    </row>
    <row r="31521">
      <c r="D31521" s="39"/>
      <c r="E31521" s="39"/>
      <c r="F31521" s="39"/>
    </row>
    <row r="31522">
      <c r="D31522" s="39"/>
      <c r="E31522" s="39"/>
      <c r="F31522" s="39"/>
    </row>
    <row r="31523">
      <c r="D31523" s="39"/>
      <c r="E31523" s="39"/>
      <c r="F31523" s="39"/>
    </row>
    <row r="31524">
      <c r="D31524" s="39"/>
      <c r="E31524" s="39"/>
      <c r="F31524" s="39"/>
    </row>
    <row r="31525">
      <c r="D31525" s="39"/>
      <c r="E31525" s="39"/>
      <c r="F31525" s="39"/>
    </row>
    <row r="31526">
      <c r="D31526" s="39"/>
      <c r="E31526" s="39"/>
      <c r="F31526" s="39"/>
    </row>
    <row r="31527">
      <c r="D31527" s="39"/>
      <c r="E31527" s="39"/>
      <c r="F31527" s="39"/>
    </row>
    <row r="31528">
      <c r="D31528" s="39"/>
      <c r="E31528" s="39"/>
      <c r="F31528" s="39"/>
    </row>
    <row r="31529">
      <c r="D31529" s="39"/>
      <c r="E31529" s="39"/>
      <c r="F31529" s="39"/>
    </row>
    <row r="31530">
      <c r="D31530" s="39"/>
      <c r="E31530" s="39"/>
      <c r="F31530" s="39"/>
    </row>
    <row r="31531">
      <c r="D31531" s="39"/>
      <c r="E31531" s="39"/>
      <c r="F31531" s="39"/>
    </row>
    <row r="31532">
      <c r="D31532" s="39"/>
      <c r="E31532" s="39"/>
      <c r="F31532" s="39"/>
    </row>
    <row r="31533">
      <c r="D31533" s="39"/>
      <c r="E31533" s="39"/>
      <c r="F31533" s="39"/>
    </row>
    <row r="31534">
      <c r="D31534" s="39"/>
      <c r="E31534" s="39"/>
      <c r="F31534" s="39"/>
    </row>
    <row r="31535">
      <c r="D31535" s="39"/>
      <c r="E31535" s="39"/>
      <c r="F31535" s="39"/>
    </row>
    <row r="31536">
      <c r="D31536" s="39"/>
      <c r="E31536" s="39"/>
      <c r="F31536" s="39"/>
    </row>
    <row r="31537">
      <c r="D31537" s="39"/>
      <c r="E31537" s="39"/>
      <c r="F31537" s="39"/>
    </row>
    <row r="31538">
      <c r="D31538" s="39"/>
      <c r="E31538" s="39"/>
      <c r="F31538" s="39"/>
    </row>
    <row r="31539">
      <c r="D31539" s="39"/>
      <c r="E31539" s="39"/>
      <c r="F31539" s="39"/>
    </row>
    <row r="31540">
      <c r="D31540" s="39"/>
      <c r="E31540" s="39"/>
      <c r="F31540" s="39"/>
    </row>
    <row r="31541">
      <c r="D31541" s="39"/>
      <c r="E31541" s="39"/>
      <c r="F31541" s="39"/>
    </row>
    <row r="31542">
      <c r="D31542" s="39"/>
      <c r="E31542" s="39"/>
      <c r="F31542" s="39"/>
    </row>
    <row r="31543">
      <c r="D31543" s="39"/>
      <c r="E31543" s="39"/>
      <c r="F31543" s="39"/>
    </row>
    <row r="31544">
      <c r="D31544" s="39"/>
      <c r="E31544" s="39"/>
      <c r="F31544" s="39"/>
    </row>
    <row r="31545">
      <c r="D31545" s="39"/>
      <c r="E31545" s="39"/>
      <c r="F31545" s="39"/>
    </row>
    <row r="31546">
      <c r="D31546" s="39"/>
      <c r="E31546" s="39"/>
      <c r="F31546" s="39"/>
    </row>
    <row r="31547">
      <c r="D31547" s="39"/>
      <c r="E31547" s="39"/>
      <c r="F31547" s="39"/>
    </row>
    <row r="31548">
      <c r="D31548" s="39"/>
      <c r="E31548" s="39"/>
      <c r="F31548" s="39"/>
    </row>
    <row r="31549">
      <c r="D31549" s="39"/>
      <c r="E31549" s="39"/>
      <c r="F31549" s="39"/>
    </row>
    <row r="31550">
      <c r="D31550" s="39"/>
      <c r="E31550" s="39"/>
      <c r="F31550" s="39"/>
    </row>
    <row r="31551">
      <c r="D31551" s="39"/>
      <c r="E31551" s="39"/>
      <c r="F31551" s="39"/>
    </row>
    <row r="31552">
      <c r="D31552" s="39"/>
      <c r="E31552" s="39"/>
      <c r="F31552" s="39"/>
    </row>
    <row r="31553">
      <c r="D31553" s="39"/>
      <c r="E31553" s="39"/>
      <c r="F31553" s="39"/>
    </row>
    <row r="31554">
      <c r="D31554" s="39"/>
      <c r="E31554" s="39"/>
      <c r="F31554" s="39"/>
    </row>
    <row r="31555">
      <c r="D31555" s="39"/>
      <c r="E31555" s="39"/>
      <c r="F31555" s="39"/>
    </row>
    <row r="31556">
      <c r="D31556" s="39"/>
      <c r="E31556" s="39"/>
      <c r="F31556" s="39"/>
    </row>
    <row r="31557">
      <c r="D31557" s="39"/>
      <c r="E31557" s="39"/>
      <c r="F31557" s="39"/>
    </row>
    <row r="31558">
      <c r="D31558" s="39"/>
      <c r="E31558" s="39"/>
      <c r="F31558" s="39"/>
    </row>
    <row r="31559">
      <c r="D31559" s="39"/>
      <c r="E31559" s="39"/>
      <c r="F31559" s="39"/>
    </row>
    <row r="31560">
      <c r="D31560" s="39"/>
      <c r="E31560" s="39"/>
      <c r="F31560" s="39"/>
    </row>
    <row r="31561">
      <c r="D31561" s="39"/>
      <c r="E31561" s="39"/>
      <c r="F31561" s="39"/>
    </row>
    <row r="31562">
      <c r="D31562" s="39"/>
      <c r="E31562" s="39"/>
      <c r="F31562" s="39"/>
    </row>
    <row r="31563">
      <c r="D31563" s="39"/>
      <c r="E31563" s="39"/>
      <c r="F31563" s="39"/>
    </row>
    <row r="31564">
      <c r="D31564" s="39"/>
      <c r="E31564" s="39"/>
      <c r="F31564" s="39"/>
    </row>
    <row r="31565">
      <c r="D31565" s="39"/>
      <c r="E31565" s="39"/>
      <c r="F31565" s="39"/>
    </row>
    <row r="31566">
      <c r="D31566" s="39"/>
      <c r="E31566" s="39"/>
      <c r="F31566" s="39"/>
    </row>
    <row r="31567">
      <c r="D31567" s="39"/>
      <c r="E31567" s="39"/>
      <c r="F31567" s="39"/>
    </row>
    <row r="31568">
      <c r="D31568" s="39"/>
      <c r="E31568" s="39"/>
      <c r="F31568" s="39"/>
    </row>
    <row r="31569">
      <c r="D31569" s="39"/>
      <c r="E31569" s="39"/>
      <c r="F31569" s="39"/>
    </row>
    <row r="31570">
      <c r="D31570" s="39"/>
      <c r="E31570" s="39"/>
      <c r="F31570" s="39"/>
    </row>
    <row r="31571">
      <c r="D31571" s="39"/>
      <c r="E31571" s="39"/>
      <c r="F31571" s="39"/>
    </row>
    <row r="31572">
      <c r="D31572" s="39"/>
      <c r="E31572" s="39"/>
      <c r="F31572" s="39"/>
    </row>
    <row r="31573">
      <c r="D31573" s="39"/>
      <c r="E31573" s="39"/>
      <c r="F31573" s="39"/>
    </row>
    <row r="31574">
      <c r="D31574" s="39"/>
      <c r="E31574" s="39"/>
      <c r="F31574" s="39"/>
    </row>
    <row r="31575">
      <c r="D31575" s="39"/>
      <c r="E31575" s="39"/>
      <c r="F31575" s="39"/>
    </row>
    <row r="31576">
      <c r="D31576" s="39"/>
      <c r="E31576" s="39"/>
      <c r="F31576" s="39"/>
    </row>
    <row r="31577">
      <c r="D31577" s="39"/>
      <c r="E31577" s="39"/>
      <c r="F31577" s="39"/>
    </row>
    <row r="31578">
      <c r="D31578" s="39"/>
      <c r="E31578" s="39"/>
      <c r="F31578" s="39"/>
    </row>
    <row r="31579">
      <c r="D31579" s="39"/>
      <c r="E31579" s="39"/>
      <c r="F31579" s="39"/>
    </row>
    <row r="31580">
      <c r="D31580" s="39"/>
      <c r="E31580" s="39"/>
      <c r="F31580" s="39"/>
    </row>
    <row r="31581">
      <c r="D31581" s="39"/>
      <c r="E31581" s="39"/>
      <c r="F31581" s="39"/>
    </row>
    <row r="31582">
      <c r="D31582" s="39"/>
      <c r="E31582" s="39"/>
      <c r="F31582" s="39"/>
    </row>
    <row r="31583">
      <c r="D31583" s="39"/>
      <c r="E31583" s="39"/>
      <c r="F31583" s="39"/>
    </row>
    <row r="31584">
      <c r="D31584" s="39"/>
      <c r="E31584" s="39"/>
      <c r="F31584" s="39"/>
    </row>
    <row r="31585">
      <c r="D31585" s="39"/>
      <c r="E31585" s="39"/>
      <c r="F31585" s="39"/>
    </row>
    <row r="31586">
      <c r="D31586" s="39"/>
      <c r="E31586" s="39"/>
      <c r="F31586" s="39"/>
    </row>
    <row r="31587">
      <c r="D31587" s="39"/>
      <c r="E31587" s="39"/>
      <c r="F31587" s="39"/>
    </row>
    <row r="31588">
      <c r="D31588" s="39"/>
      <c r="E31588" s="39"/>
      <c r="F31588" s="39"/>
    </row>
    <row r="31589">
      <c r="D31589" s="39"/>
      <c r="E31589" s="39"/>
      <c r="F31589" s="39"/>
    </row>
    <row r="31590">
      <c r="D31590" s="39"/>
      <c r="E31590" s="39"/>
      <c r="F31590" s="39"/>
    </row>
    <row r="31591">
      <c r="D31591" s="39"/>
      <c r="E31591" s="39"/>
      <c r="F31591" s="39"/>
    </row>
    <row r="31592">
      <c r="D31592" s="39"/>
      <c r="E31592" s="39"/>
      <c r="F31592" s="39"/>
    </row>
    <row r="31593">
      <c r="D31593" s="39"/>
      <c r="E31593" s="39"/>
      <c r="F31593" s="39"/>
    </row>
    <row r="31594">
      <c r="D31594" s="39"/>
      <c r="E31594" s="39"/>
      <c r="F31594" s="39"/>
    </row>
    <row r="31595">
      <c r="D31595" s="39"/>
      <c r="E31595" s="39"/>
      <c r="F31595" s="39"/>
    </row>
    <row r="31596">
      <c r="D31596" s="39"/>
      <c r="E31596" s="39"/>
      <c r="F31596" s="39"/>
    </row>
    <row r="31597">
      <c r="D31597" s="39"/>
      <c r="E31597" s="39"/>
      <c r="F31597" s="39"/>
    </row>
    <row r="31598">
      <c r="D31598" s="39"/>
      <c r="E31598" s="39"/>
      <c r="F31598" s="39"/>
    </row>
    <row r="31599">
      <c r="D31599" s="39"/>
      <c r="E31599" s="39"/>
      <c r="F31599" s="39"/>
    </row>
    <row r="31600">
      <c r="D31600" s="39"/>
      <c r="E31600" s="39"/>
      <c r="F31600" s="39"/>
    </row>
    <row r="31601">
      <c r="D31601" s="39"/>
      <c r="E31601" s="39"/>
      <c r="F31601" s="39"/>
    </row>
    <row r="31602">
      <c r="D31602" s="39"/>
      <c r="E31602" s="39"/>
      <c r="F31602" s="39"/>
    </row>
    <row r="31603">
      <c r="D31603" s="39"/>
      <c r="E31603" s="39"/>
      <c r="F31603" s="39"/>
    </row>
    <row r="31604">
      <c r="D31604" s="39"/>
      <c r="E31604" s="39"/>
      <c r="F31604" s="39"/>
    </row>
    <row r="31605">
      <c r="D31605" s="39"/>
      <c r="E31605" s="39"/>
      <c r="F31605" s="39"/>
    </row>
    <row r="31606">
      <c r="D31606" s="39"/>
      <c r="E31606" s="39"/>
      <c r="F31606" s="39"/>
    </row>
    <row r="31607">
      <c r="D31607" s="39"/>
      <c r="E31607" s="39"/>
      <c r="F31607" s="39"/>
    </row>
    <row r="31608">
      <c r="D31608" s="39"/>
      <c r="E31608" s="39"/>
      <c r="F31608" s="39"/>
    </row>
    <row r="31609">
      <c r="D31609" s="39"/>
      <c r="E31609" s="39"/>
      <c r="F31609" s="39"/>
    </row>
    <row r="31610">
      <c r="D31610" s="39"/>
      <c r="E31610" s="39"/>
      <c r="F31610" s="39"/>
    </row>
    <row r="31611">
      <c r="D31611" s="39"/>
      <c r="E31611" s="39"/>
      <c r="F31611" s="39"/>
    </row>
    <row r="31612">
      <c r="D31612" s="39"/>
      <c r="E31612" s="39"/>
      <c r="F31612" s="39"/>
    </row>
    <row r="31613">
      <c r="D31613" s="39"/>
      <c r="E31613" s="39"/>
      <c r="F31613" s="39"/>
    </row>
    <row r="31614">
      <c r="D31614" s="39"/>
      <c r="E31614" s="39"/>
      <c r="F31614" s="39"/>
    </row>
    <row r="31615">
      <c r="D31615" s="39"/>
      <c r="E31615" s="39"/>
      <c r="F31615" s="39"/>
    </row>
    <row r="31616">
      <c r="D31616" s="39"/>
      <c r="E31616" s="39"/>
      <c r="F31616" s="39"/>
    </row>
    <row r="31617">
      <c r="D31617" s="39"/>
      <c r="E31617" s="39"/>
      <c r="F31617" s="39"/>
    </row>
    <row r="31618">
      <c r="D31618" s="39"/>
      <c r="E31618" s="39"/>
      <c r="F31618" s="39"/>
    </row>
    <row r="31619">
      <c r="D31619" s="39"/>
      <c r="E31619" s="39"/>
      <c r="F31619" s="39"/>
    </row>
    <row r="31620">
      <c r="D31620" s="39"/>
      <c r="E31620" s="39"/>
      <c r="F31620" s="39"/>
    </row>
    <row r="31621">
      <c r="D31621" s="39"/>
      <c r="E31621" s="39"/>
      <c r="F31621" s="39"/>
    </row>
    <row r="31622">
      <c r="D31622" s="39"/>
      <c r="E31622" s="39"/>
      <c r="F31622" s="39"/>
    </row>
    <row r="31623">
      <c r="D31623" s="39"/>
      <c r="E31623" s="39"/>
      <c r="F31623" s="39"/>
    </row>
    <row r="31624">
      <c r="D31624" s="39"/>
      <c r="E31624" s="39"/>
      <c r="F31624" s="39"/>
    </row>
    <row r="31625">
      <c r="D31625" s="39"/>
      <c r="E31625" s="39"/>
      <c r="F31625" s="39"/>
    </row>
    <row r="31626">
      <c r="D31626" s="39"/>
      <c r="E31626" s="39"/>
      <c r="F31626" s="39"/>
    </row>
    <row r="31627">
      <c r="D31627" s="39"/>
      <c r="E31627" s="39"/>
      <c r="F31627" s="39"/>
    </row>
    <row r="31628">
      <c r="D31628" s="39"/>
      <c r="E31628" s="39"/>
      <c r="F31628" s="39"/>
    </row>
    <row r="31629">
      <c r="D31629" s="39"/>
      <c r="E31629" s="39"/>
      <c r="F31629" s="39"/>
    </row>
    <row r="31630">
      <c r="D31630" s="39"/>
      <c r="E31630" s="39"/>
      <c r="F31630" s="39"/>
    </row>
    <row r="31631">
      <c r="D31631" s="39"/>
      <c r="E31631" s="39"/>
      <c r="F31631" s="39"/>
    </row>
    <row r="31632">
      <c r="D31632" s="39"/>
      <c r="E31632" s="39"/>
      <c r="F31632" s="39"/>
    </row>
    <row r="31633">
      <c r="D31633" s="39"/>
      <c r="E31633" s="39"/>
      <c r="F31633" s="39"/>
    </row>
    <row r="31634">
      <c r="D31634" s="39"/>
      <c r="E31634" s="39"/>
      <c r="F31634" s="39"/>
    </row>
    <row r="31635">
      <c r="D31635" s="39"/>
      <c r="E31635" s="39"/>
      <c r="F31635" s="39"/>
    </row>
    <row r="31636">
      <c r="D31636" s="39"/>
      <c r="E31636" s="39"/>
      <c r="F31636" s="39"/>
    </row>
    <row r="31637">
      <c r="D31637" s="39"/>
      <c r="E31637" s="39"/>
      <c r="F31637" s="39"/>
    </row>
    <row r="31638">
      <c r="D31638" s="39"/>
      <c r="E31638" s="39"/>
      <c r="F31638" s="39"/>
    </row>
    <row r="31639">
      <c r="D31639" s="39"/>
      <c r="E31639" s="39"/>
      <c r="F31639" s="39"/>
    </row>
    <row r="31640">
      <c r="D31640" s="39"/>
      <c r="E31640" s="39"/>
      <c r="F31640" s="39"/>
    </row>
    <row r="31641">
      <c r="D31641" s="39"/>
      <c r="E31641" s="39"/>
      <c r="F31641" s="39"/>
    </row>
    <row r="31642">
      <c r="D31642" s="39"/>
      <c r="E31642" s="39"/>
      <c r="F31642" s="39"/>
    </row>
    <row r="31643">
      <c r="D31643" s="39"/>
      <c r="E31643" s="39"/>
      <c r="F31643" s="39"/>
    </row>
    <row r="31644">
      <c r="D31644" s="39"/>
      <c r="E31644" s="39"/>
      <c r="F31644" s="39"/>
    </row>
    <row r="31645">
      <c r="D31645" s="39"/>
      <c r="E31645" s="39"/>
      <c r="F31645" s="39"/>
    </row>
    <row r="31646">
      <c r="D31646" s="39"/>
      <c r="E31646" s="39"/>
      <c r="F31646" s="39"/>
    </row>
    <row r="31647">
      <c r="D31647" s="39"/>
      <c r="E31647" s="39"/>
      <c r="F31647" s="39"/>
    </row>
    <row r="31648">
      <c r="D31648" s="39"/>
      <c r="E31648" s="39"/>
      <c r="F31648" s="39"/>
    </row>
    <row r="31649">
      <c r="D31649" s="39"/>
      <c r="E31649" s="39"/>
      <c r="F31649" s="39"/>
    </row>
    <row r="31650">
      <c r="D31650" s="39"/>
      <c r="E31650" s="39"/>
      <c r="F31650" s="39"/>
    </row>
    <row r="31651">
      <c r="D31651" s="39"/>
      <c r="E31651" s="39"/>
      <c r="F31651" s="39"/>
    </row>
    <row r="31652">
      <c r="D31652" s="39"/>
      <c r="E31652" s="39"/>
      <c r="F31652" s="39"/>
    </row>
    <row r="31653">
      <c r="D31653" s="39"/>
      <c r="E31653" s="39"/>
      <c r="F31653" s="39"/>
    </row>
    <row r="31654">
      <c r="D31654" s="39"/>
      <c r="E31654" s="39"/>
      <c r="F31654" s="39"/>
    </row>
    <row r="31655">
      <c r="D31655" s="39"/>
      <c r="E31655" s="39"/>
      <c r="F31655" s="39"/>
    </row>
    <row r="31656">
      <c r="D31656" s="39"/>
      <c r="E31656" s="39"/>
      <c r="F31656" s="39"/>
    </row>
    <row r="31657">
      <c r="D31657" s="39"/>
      <c r="E31657" s="39"/>
      <c r="F31657" s="39"/>
    </row>
    <row r="31658">
      <c r="D31658" s="39"/>
      <c r="E31658" s="39"/>
      <c r="F31658" s="39"/>
    </row>
    <row r="31659">
      <c r="D31659" s="39"/>
      <c r="E31659" s="39"/>
      <c r="F31659" s="39"/>
    </row>
    <row r="31660">
      <c r="D31660" s="39"/>
      <c r="E31660" s="39"/>
      <c r="F31660" s="39"/>
    </row>
    <row r="31661">
      <c r="D31661" s="39"/>
      <c r="E31661" s="39"/>
      <c r="F31661" s="39"/>
    </row>
    <row r="31662">
      <c r="D31662" s="39"/>
      <c r="E31662" s="39"/>
      <c r="F31662" s="39"/>
    </row>
    <row r="31663">
      <c r="D31663" s="39"/>
      <c r="E31663" s="39"/>
      <c r="F31663" s="39"/>
    </row>
    <row r="31664">
      <c r="D31664" s="39"/>
      <c r="E31664" s="39"/>
      <c r="F31664" s="39"/>
    </row>
    <row r="31665">
      <c r="D31665" s="39"/>
      <c r="E31665" s="39"/>
      <c r="F31665" s="39"/>
    </row>
    <row r="31666">
      <c r="D31666" s="39"/>
      <c r="E31666" s="39"/>
      <c r="F31666" s="39"/>
    </row>
    <row r="31667">
      <c r="D31667" s="39"/>
      <c r="E31667" s="39"/>
      <c r="F31667" s="39"/>
    </row>
    <row r="31668">
      <c r="D31668" s="39"/>
      <c r="E31668" s="39"/>
      <c r="F31668" s="39"/>
    </row>
    <row r="31669">
      <c r="D31669" s="39"/>
      <c r="E31669" s="39"/>
      <c r="F31669" s="39"/>
    </row>
    <row r="31670">
      <c r="D31670" s="39"/>
      <c r="E31670" s="39"/>
      <c r="F31670" s="39"/>
    </row>
    <row r="31671">
      <c r="D31671" s="39"/>
      <c r="E31671" s="39"/>
      <c r="F31671" s="39"/>
    </row>
    <row r="31672">
      <c r="D31672" s="39"/>
      <c r="E31672" s="39"/>
      <c r="F31672" s="39"/>
    </row>
    <row r="31673">
      <c r="D31673" s="39"/>
      <c r="E31673" s="39"/>
      <c r="F31673" s="39"/>
    </row>
    <row r="31674">
      <c r="D31674" s="39"/>
      <c r="E31674" s="39"/>
      <c r="F31674" s="39"/>
    </row>
    <row r="31675">
      <c r="D31675" s="39"/>
      <c r="E31675" s="39"/>
      <c r="F31675" s="39"/>
    </row>
    <row r="31676">
      <c r="D31676" s="39"/>
      <c r="E31676" s="39"/>
      <c r="F31676" s="39"/>
    </row>
    <row r="31677">
      <c r="D31677" s="39"/>
      <c r="E31677" s="39"/>
      <c r="F31677" s="39"/>
    </row>
    <row r="31678">
      <c r="D31678" s="39"/>
      <c r="E31678" s="39"/>
      <c r="F31678" s="39"/>
    </row>
    <row r="31679">
      <c r="D31679" s="39"/>
      <c r="E31679" s="39"/>
      <c r="F31679" s="39"/>
    </row>
    <row r="31680">
      <c r="D31680" s="39"/>
      <c r="E31680" s="39"/>
      <c r="F31680" s="39"/>
    </row>
    <row r="31681">
      <c r="D31681" s="39"/>
      <c r="E31681" s="39"/>
      <c r="F31681" s="39"/>
    </row>
    <row r="31682">
      <c r="D31682" s="39"/>
      <c r="E31682" s="39"/>
      <c r="F31682" s="39"/>
    </row>
    <row r="31683">
      <c r="D31683" s="39"/>
      <c r="E31683" s="39"/>
      <c r="F31683" s="39"/>
    </row>
    <row r="31684">
      <c r="D31684" s="39"/>
      <c r="E31684" s="39"/>
      <c r="F31684" s="39"/>
    </row>
    <row r="31685">
      <c r="D31685" s="39"/>
      <c r="E31685" s="39"/>
      <c r="F31685" s="39"/>
    </row>
    <row r="31686">
      <c r="D31686" s="39"/>
      <c r="E31686" s="39"/>
      <c r="F31686" s="39"/>
    </row>
    <row r="31687">
      <c r="D31687" s="39"/>
      <c r="E31687" s="39"/>
      <c r="F31687" s="39"/>
    </row>
    <row r="31688">
      <c r="D31688" s="39"/>
      <c r="E31688" s="39"/>
      <c r="F31688" s="39"/>
    </row>
    <row r="31689">
      <c r="D31689" s="39"/>
      <c r="E31689" s="39"/>
      <c r="F31689" s="39"/>
    </row>
    <row r="31690">
      <c r="D31690" s="39"/>
      <c r="E31690" s="39"/>
      <c r="F31690" s="39"/>
    </row>
    <row r="31691">
      <c r="D31691" s="39"/>
      <c r="E31691" s="39"/>
      <c r="F31691" s="39"/>
    </row>
    <row r="31692">
      <c r="D31692" s="39"/>
      <c r="E31692" s="39"/>
      <c r="F31692" s="39"/>
    </row>
    <row r="31693">
      <c r="D31693" s="39"/>
      <c r="E31693" s="39"/>
      <c r="F31693" s="39"/>
    </row>
    <row r="31694">
      <c r="D31694" s="39"/>
      <c r="E31694" s="39"/>
      <c r="F31694" s="39"/>
    </row>
    <row r="31695">
      <c r="D31695" s="39"/>
      <c r="E31695" s="39"/>
      <c r="F31695" s="39"/>
    </row>
    <row r="31696">
      <c r="D31696" s="39"/>
      <c r="E31696" s="39"/>
      <c r="F31696" s="39"/>
    </row>
    <row r="31697">
      <c r="D31697" s="39"/>
      <c r="E31697" s="39"/>
      <c r="F31697" s="39"/>
    </row>
    <row r="31698">
      <c r="D31698" s="39"/>
      <c r="E31698" s="39"/>
      <c r="F31698" s="39"/>
    </row>
    <row r="31699">
      <c r="D31699" s="39"/>
      <c r="E31699" s="39"/>
      <c r="F31699" s="39"/>
    </row>
    <row r="31700">
      <c r="D31700" s="39"/>
      <c r="E31700" s="39"/>
      <c r="F31700" s="39"/>
    </row>
    <row r="31701">
      <c r="D31701" s="39"/>
      <c r="E31701" s="39"/>
      <c r="F31701" s="39"/>
    </row>
    <row r="31702">
      <c r="D31702" s="39"/>
      <c r="E31702" s="39"/>
      <c r="F31702" s="39"/>
    </row>
    <row r="31703">
      <c r="D31703" s="39"/>
      <c r="E31703" s="39"/>
      <c r="F31703" s="39"/>
    </row>
    <row r="31704">
      <c r="D31704" s="39"/>
      <c r="E31704" s="39"/>
      <c r="F31704" s="39"/>
    </row>
    <row r="31705">
      <c r="D31705" s="39"/>
      <c r="E31705" s="39"/>
      <c r="F31705" s="39"/>
    </row>
    <row r="31706">
      <c r="D31706" s="39"/>
      <c r="E31706" s="39"/>
      <c r="F31706" s="39"/>
    </row>
    <row r="31707">
      <c r="D31707" s="39"/>
      <c r="E31707" s="39"/>
      <c r="F31707" s="39"/>
    </row>
    <row r="31708">
      <c r="D31708" s="39"/>
      <c r="E31708" s="39"/>
      <c r="F31708" s="39"/>
    </row>
    <row r="31709">
      <c r="D31709" s="39"/>
      <c r="E31709" s="39"/>
      <c r="F31709" s="39"/>
    </row>
    <row r="31710">
      <c r="D31710" s="39"/>
      <c r="E31710" s="39"/>
      <c r="F31710" s="39"/>
    </row>
    <row r="31711">
      <c r="D31711" s="39"/>
      <c r="E31711" s="39"/>
      <c r="F31711" s="39"/>
    </row>
    <row r="31712">
      <c r="D31712" s="39"/>
      <c r="E31712" s="39"/>
      <c r="F31712" s="39"/>
    </row>
    <row r="31713">
      <c r="D31713" s="39"/>
      <c r="E31713" s="39"/>
      <c r="F31713" s="39"/>
    </row>
    <row r="31714">
      <c r="D31714" s="39"/>
      <c r="E31714" s="39"/>
      <c r="F31714" s="39"/>
    </row>
    <row r="31715">
      <c r="D31715" s="39"/>
      <c r="E31715" s="39"/>
      <c r="F31715" s="39"/>
    </row>
    <row r="31716">
      <c r="D31716" s="39"/>
      <c r="E31716" s="39"/>
      <c r="F31716" s="39"/>
    </row>
    <row r="31717">
      <c r="D31717" s="39"/>
      <c r="E31717" s="39"/>
      <c r="F31717" s="39"/>
    </row>
    <row r="31718">
      <c r="D31718" s="39"/>
      <c r="E31718" s="39"/>
      <c r="F31718" s="39"/>
    </row>
    <row r="31719">
      <c r="D31719" s="39"/>
      <c r="E31719" s="39"/>
      <c r="F31719" s="39"/>
    </row>
    <row r="31720">
      <c r="D31720" s="39"/>
      <c r="E31720" s="39"/>
      <c r="F31720" s="39"/>
    </row>
    <row r="31721">
      <c r="D31721" s="39"/>
      <c r="E31721" s="39"/>
      <c r="F31721" s="39"/>
    </row>
    <row r="31722">
      <c r="D31722" s="39"/>
      <c r="E31722" s="39"/>
      <c r="F31722" s="39"/>
    </row>
    <row r="31723">
      <c r="D31723" s="39"/>
      <c r="E31723" s="39"/>
      <c r="F31723" s="39"/>
    </row>
    <row r="31724">
      <c r="D31724" s="39"/>
      <c r="E31724" s="39"/>
      <c r="F31724" s="39"/>
    </row>
    <row r="31725">
      <c r="D31725" s="39"/>
      <c r="E31725" s="39"/>
      <c r="F31725" s="39"/>
    </row>
    <row r="31726">
      <c r="D31726" s="39"/>
      <c r="E31726" s="39"/>
      <c r="F31726" s="39"/>
    </row>
    <row r="31727">
      <c r="D31727" s="39"/>
      <c r="E31727" s="39"/>
      <c r="F31727" s="39"/>
    </row>
    <row r="31728">
      <c r="D31728" s="39"/>
      <c r="E31728" s="39"/>
      <c r="F31728" s="39"/>
    </row>
    <row r="31729">
      <c r="D31729" s="39"/>
      <c r="E31729" s="39"/>
      <c r="F31729" s="39"/>
    </row>
    <row r="31730">
      <c r="D31730" s="39"/>
      <c r="E31730" s="39"/>
      <c r="F31730" s="39"/>
    </row>
    <row r="31731">
      <c r="D31731" s="39"/>
      <c r="E31731" s="39"/>
      <c r="F31731" s="39"/>
    </row>
    <row r="31732">
      <c r="D31732" s="39"/>
      <c r="E31732" s="39"/>
      <c r="F31732" s="39"/>
    </row>
    <row r="31733">
      <c r="D31733" s="39"/>
      <c r="E31733" s="39"/>
      <c r="F31733" s="39"/>
    </row>
    <row r="31734">
      <c r="D31734" s="39"/>
      <c r="E31734" s="39"/>
      <c r="F31734" s="39"/>
    </row>
    <row r="31735">
      <c r="D31735" s="39"/>
      <c r="E31735" s="39"/>
      <c r="F31735" s="39"/>
    </row>
    <row r="31736">
      <c r="D31736" s="39"/>
      <c r="E31736" s="39"/>
      <c r="F31736" s="39"/>
    </row>
    <row r="31737">
      <c r="D31737" s="39"/>
      <c r="E31737" s="39"/>
      <c r="F31737" s="39"/>
    </row>
    <row r="31738">
      <c r="D31738" s="39"/>
      <c r="E31738" s="39"/>
      <c r="F31738" s="39"/>
    </row>
    <row r="31739">
      <c r="D31739" s="39"/>
      <c r="E31739" s="39"/>
      <c r="F31739" s="39"/>
    </row>
    <row r="31740">
      <c r="D31740" s="39"/>
      <c r="E31740" s="39"/>
      <c r="F31740" s="39"/>
    </row>
    <row r="31741">
      <c r="D31741" s="39"/>
      <c r="E31741" s="39"/>
      <c r="F31741" s="39"/>
    </row>
    <row r="31742">
      <c r="D31742" s="39"/>
      <c r="E31742" s="39"/>
      <c r="F31742" s="39"/>
    </row>
    <row r="31743">
      <c r="D31743" s="39"/>
      <c r="E31743" s="39"/>
      <c r="F31743" s="39"/>
    </row>
    <row r="31744">
      <c r="D31744" s="39"/>
      <c r="E31744" s="39"/>
      <c r="F31744" s="39"/>
    </row>
    <row r="31745">
      <c r="D31745" s="39"/>
      <c r="E31745" s="39"/>
      <c r="F31745" s="39"/>
    </row>
    <row r="31746">
      <c r="D31746" s="39"/>
      <c r="E31746" s="39"/>
      <c r="F31746" s="39"/>
    </row>
    <row r="31747">
      <c r="D31747" s="39"/>
      <c r="E31747" s="39"/>
      <c r="F31747" s="39"/>
    </row>
    <row r="31748">
      <c r="D31748" s="39"/>
      <c r="E31748" s="39"/>
      <c r="F31748" s="39"/>
    </row>
    <row r="31749">
      <c r="D31749" s="39"/>
      <c r="E31749" s="39"/>
      <c r="F31749" s="39"/>
    </row>
    <row r="31750">
      <c r="D31750" s="39"/>
      <c r="E31750" s="39"/>
      <c r="F31750" s="39"/>
    </row>
    <row r="31751">
      <c r="D31751" s="39"/>
      <c r="E31751" s="39"/>
      <c r="F31751" s="39"/>
    </row>
    <row r="31752">
      <c r="D31752" s="39"/>
      <c r="E31752" s="39"/>
      <c r="F31752" s="39"/>
    </row>
    <row r="31753">
      <c r="D31753" s="39"/>
      <c r="E31753" s="39"/>
      <c r="F31753" s="39"/>
    </row>
    <row r="31754">
      <c r="D31754" s="39"/>
      <c r="E31754" s="39"/>
      <c r="F31754" s="39"/>
    </row>
    <row r="31755">
      <c r="D31755" s="39"/>
      <c r="E31755" s="39"/>
      <c r="F31755" s="39"/>
    </row>
    <row r="31756">
      <c r="D31756" s="39"/>
      <c r="E31756" s="39"/>
      <c r="F31756" s="39"/>
    </row>
    <row r="31757">
      <c r="D31757" s="39"/>
      <c r="E31757" s="39"/>
      <c r="F31757" s="39"/>
    </row>
    <row r="31758">
      <c r="D31758" s="39"/>
      <c r="E31758" s="39"/>
      <c r="F31758" s="39"/>
    </row>
    <row r="31759">
      <c r="D31759" s="39"/>
      <c r="E31759" s="39"/>
      <c r="F31759" s="39"/>
    </row>
    <row r="31760">
      <c r="D31760" s="39"/>
      <c r="E31760" s="39"/>
      <c r="F31760" s="39"/>
    </row>
    <row r="31761">
      <c r="D31761" s="39"/>
      <c r="E31761" s="39"/>
      <c r="F31761" s="39"/>
    </row>
    <row r="31762">
      <c r="D31762" s="39"/>
      <c r="E31762" s="39"/>
      <c r="F31762" s="39"/>
    </row>
    <row r="31763">
      <c r="D31763" s="39"/>
      <c r="E31763" s="39"/>
      <c r="F31763" s="39"/>
    </row>
    <row r="31764">
      <c r="D31764" s="39"/>
      <c r="E31764" s="39"/>
      <c r="F31764" s="39"/>
    </row>
    <row r="31765">
      <c r="D31765" s="39"/>
      <c r="E31765" s="39"/>
      <c r="F31765" s="39"/>
    </row>
    <row r="31766">
      <c r="D31766" s="39"/>
      <c r="E31766" s="39"/>
      <c r="F31766" s="39"/>
    </row>
    <row r="31767">
      <c r="D31767" s="39"/>
      <c r="E31767" s="39"/>
      <c r="F31767" s="39"/>
    </row>
    <row r="31768">
      <c r="D31768" s="39"/>
      <c r="E31768" s="39"/>
      <c r="F31768" s="39"/>
    </row>
    <row r="31769">
      <c r="D31769" s="39"/>
      <c r="E31769" s="39"/>
      <c r="F31769" s="39"/>
    </row>
    <row r="31770">
      <c r="D31770" s="39"/>
      <c r="E31770" s="39"/>
      <c r="F31770" s="39"/>
    </row>
    <row r="31771">
      <c r="D31771" s="39"/>
      <c r="E31771" s="39"/>
      <c r="F31771" s="39"/>
    </row>
    <row r="31772">
      <c r="D31772" s="39"/>
      <c r="E31772" s="39"/>
      <c r="F31772" s="39"/>
    </row>
    <row r="31773">
      <c r="D31773" s="39"/>
      <c r="E31773" s="39"/>
      <c r="F31773" s="39"/>
    </row>
    <row r="31774">
      <c r="D31774" s="39"/>
      <c r="E31774" s="39"/>
      <c r="F31774" s="39"/>
    </row>
    <row r="31775">
      <c r="D31775" s="39"/>
      <c r="E31775" s="39"/>
      <c r="F31775" s="39"/>
    </row>
    <row r="31776">
      <c r="D31776" s="39"/>
      <c r="E31776" s="39"/>
      <c r="F31776" s="39"/>
    </row>
    <row r="31777">
      <c r="D31777" s="39"/>
      <c r="E31777" s="39"/>
      <c r="F31777" s="39"/>
    </row>
    <row r="31778">
      <c r="D31778" s="39"/>
      <c r="E31778" s="39"/>
      <c r="F31778" s="39"/>
    </row>
    <row r="31779">
      <c r="D31779" s="39"/>
      <c r="E31779" s="39"/>
      <c r="F31779" s="39"/>
    </row>
    <row r="31780">
      <c r="D31780" s="39"/>
      <c r="E31780" s="39"/>
      <c r="F31780" s="39"/>
    </row>
    <row r="31781">
      <c r="D31781" s="39"/>
      <c r="E31781" s="39"/>
      <c r="F31781" s="39"/>
    </row>
    <row r="31782">
      <c r="D31782" s="39"/>
      <c r="E31782" s="39"/>
      <c r="F31782" s="39"/>
    </row>
    <row r="31783">
      <c r="D31783" s="39"/>
      <c r="E31783" s="39"/>
      <c r="F31783" s="39"/>
    </row>
    <row r="31784">
      <c r="D31784" s="39"/>
      <c r="E31784" s="39"/>
      <c r="F31784" s="39"/>
    </row>
    <row r="31785">
      <c r="D31785" s="39"/>
      <c r="E31785" s="39"/>
      <c r="F31785" s="39"/>
    </row>
    <row r="31786">
      <c r="D31786" s="39"/>
      <c r="E31786" s="39"/>
      <c r="F31786" s="39"/>
    </row>
    <row r="31787">
      <c r="D31787" s="39"/>
      <c r="E31787" s="39"/>
      <c r="F31787" s="39"/>
    </row>
    <row r="31788">
      <c r="D31788" s="39"/>
      <c r="E31788" s="39"/>
      <c r="F31788" s="39"/>
    </row>
    <row r="31789">
      <c r="D31789" s="39"/>
      <c r="E31789" s="39"/>
      <c r="F31789" s="39"/>
    </row>
    <row r="31790">
      <c r="D31790" s="39"/>
      <c r="E31790" s="39"/>
      <c r="F31790" s="39"/>
    </row>
    <row r="31791">
      <c r="D31791" s="39"/>
      <c r="E31791" s="39"/>
      <c r="F31791" s="39"/>
    </row>
    <row r="31792">
      <c r="D31792" s="39"/>
      <c r="E31792" s="39"/>
      <c r="F31792" s="39"/>
    </row>
    <row r="31793">
      <c r="D31793" s="39"/>
      <c r="E31793" s="39"/>
      <c r="F31793" s="39"/>
    </row>
    <row r="31794">
      <c r="D31794" s="39"/>
      <c r="E31794" s="39"/>
      <c r="F31794" s="39"/>
    </row>
    <row r="31795">
      <c r="D31795" s="39"/>
      <c r="E31795" s="39"/>
      <c r="F31795" s="39"/>
    </row>
    <row r="31796">
      <c r="D31796" s="39"/>
      <c r="E31796" s="39"/>
      <c r="F31796" s="39"/>
    </row>
    <row r="31797">
      <c r="D31797" s="39"/>
      <c r="E31797" s="39"/>
      <c r="F31797" s="39"/>
    </row>
    <row r="31798">
      <c r="D31798" s="39"/>
      <c r="E31798" s="39"/>
      <c r="F31798" s="39"/>
    </row>
    <row r="31799">
      <c r="D31799" s="39"/>
      <c r="E31799" s="39"/>
      <c r="F31799" s="39"/>
    </row>
    <row r="31800">
      <c r="D31800" s="39"/>
      <c r="E31800" s="39"/>
      <c r="F31800" s="39"/>
    </row>
    <row r="31801">
      <c r="D31801" s="39"/>
      <c r="E31801" s="39"/>
      <c r="F31801" s="39"/>
    </row>
    <row r="31802">
      <c r="D31802" s="39"/>
      <c r="E31802" s="39"/>
      <c r="F31802" s="39"/>
    </row>
    <row r="31803">
      <c r="D31803" s="39"/>
      <c r="E31803" s="39"/>
      <c r="F31803" s="39"/>
    </row>
    <row r="31804">
      <c r="D31804" s="39"/>
      <c r="E31804" s="39"/>
      <c r="F31804" s="39"/>
    </row>
    <row r="31805">
      <c r="D31805" s="39"/>
      <c r="E31805" s="39"/>
      <c r="F31805" s="39"/>
    </row>
    <row r="31806">
      <c r="D31806" s="39"/>
      <c r="E31806" s="39"/>
      <c r="F31806" s="39"/>
    </row>
    <row r="31807">
      <c r="D31807" s="39"/>
      <c r="E31807" s="39"/>
      <c r="F31807" s="39"/>
    </row>
    <row r="31808">
      <c r="D31808" s="39"/>
      <c r="E31808" s="39"/>
      <c r="F31808" s="39"/>
    </row>
    <row r="31809">
      <c r="D31809" s="39"/>
      <c r="E31809" s="39"/>
      <c r="F31809" s="39"/>
    </row>
    <row r="31810">
      <c r="D31810" s="39"/>
      <c r="E31810" s="39"/>
      <c r="F31810" s="39"/>
    </row>
    <row r="31811">
      <c r="D31811" s="39"/>
      <c r="E31811" s="39"/>
      <c r="F31811" s="39"/>
    </row>
    <row r="31812">
      <c r="D31812" s="39"/>
      <c r="E31812" s="39"/>
      <c r="F31812" s="39"/>
    </row>
    <row r="31813">
      <c r="D31813" s="39"/>
      <c r="E31813" s="39"/>
      <c r="F31813" s="39"/>
    </row>
    <row r="31814">
      <c r="D31814" s="39"/>
      <c r="E31814" s="39"/>
      <c r="F31814" s="39"/>
    </row>
    <row r="31815">
      <c r="D31815" s="39"/>
      <c r="E31815" s="39"/>
      <c r="F31815" s="39"/>
    </row>
    <row r="31816">
      <c r="D31816" s="39"/>
      <c r="E31816" s="39"/>
      <c r="F31816" s="39"/>
    </row>
    <row r="31817">
      <c r="D31817" s="39"/>
      <c r="E31817" s="39"/>
      <c r="F31817" s="39"/>
    </row>
    <row r="31818">
      <c r="D31818" s="39"/>
      <c r="E31818" s="39"/>
      <c r="F31818" s="39"/>
    </row>
    <row r="31819">
      <c r="D31819" s="39"/>
      <c r="E31819" s="39"/>
      <c r="F31819" s="39"/>
    </row>
    <row r="31820">
      <c r="D31820" s="39"/>
      <c r="E31820" s="39"/>
      <c r="F31820" s="39"/>
    </row>
    <row r="31821">
      <c r="D31821" s="39"/>
      <c r="E31821" s="39"/>
      <c r="F31821" s="39"/>
    </row>
    <row r="31822">
      <c r="D31822" s="39"/>
      <c r="E31822" s="39"/>
      <c r="F31822" s="39"/>
    </row>
    <row r="31823">
      <c r="D31823" s="39"/>
      <c r="E31823" s="39"/>
      <c r="F31823" s="39"/>
    </row>
    <row r="31824">
      <c r="D31824" s="39"/>
      <c r="E31824" s="39"/>
      <c r="F31824" s="39"/>
    </row>
    <row r="31825">
      <c r="D31825" s="39"/>
      <c r="E31825" s="39"/>
      <c r="F31825" s="39"/>
    </row>
    <row r="31826">
      <c r="D31826" s="39"/>
      <c r="E31826" s="39"/>
      <c r="F31826" s="39"/>
    </row>
    <row r="31827">
      <c r="D31827" s="39"/>
      <c r="E31827" s="39"/>
      <c r="F31827" s="39"/>
    </row>
    <row r="31828">
      <c r="D31828" s="39"/>
      <c r="E31828" s="39"/>
      <c r="F31828" s="39"/>
    </row>
    <row r="31829">
      <c r="D31829" s="39"/>
      <c r="E31829" s="39"/>
      <c r="F31829" s="39"/>
    </row>
    <row r="31830">
      <c r="D31830" s="39"/>
      <c r="E31830" s="39"/>
      <c r="F31830" s="39"/>
    </row>
    <row r="31831">
      <c r="D31831" s="39"/>
      <c r="E31831" s="39"/>
      <c r="F31831" s="39"/>
    </row>
    <row r="31832">
      <c r="D31832" s="39"/>
      <c r="E31832" s="39"/>
      <c r="F31832" s="39"/>
    </row>
    <row r="31833">
      <c r="D31833" s="39"/>
      <c r="E31833" s="39"/>
      <c r="F31833" s="39"/>
    </row>
    <row r="31834">
      <c r="D31834" s="39"/>
      <c r="E31834" s="39"/>
      <c r="F31834" s="39"/>
    </row>
    <row r="31835">
      <c r="D31835" s="39"/>
      <c r="E31835" s="39"/>
      <c r="F31835" s="39"/>
    </row>
    <row r="31836">
      <c r="D31836" s="39"/>
      <c r="E31836" s="39"/>
      <c r="F31836" s="39"/>
    </row>
    <row r="31837">
      <c r="D31837" s="39"/>
      <c r="E31837" s="39"/>
      <c r="F31837" s="39"/>
    </row>
    <row r="31838">
      <c r="D31838" s="39"/>
      <c r="E31838" s="39"/>
      <c r="F31838" s="39"/>
    </row>
    <row r="31839">
      <c r="D31839" s="39"/>
      <c r="E31839" s="39"/>
      <c r="F31839" s="39"/>
    </row>
    <row r="31840">
      <c r="D31840" s="39"/>
      <c r="E31840" s="39"/>
      <c r="F31840" s="39"/>
    </row>
    <row r="31841">
      <c r="D31841" s="39"/>
      <c r="E31841" s="39"/>
      <c r="F31841" s="39"/>
    </row>
    <row r="31842">
      <c r="D31842" s="39"/>
      <c r="E31842" s="39"/>
      <c r="F31842" s="39"/>
    </row>
    <row r="31843">
      <c r="D31843" s="39"/>
      <c r="E31843" s="39"/>
      <c r="F31843" s="39"/>
    </row>
    <row r="31844">
      <c r="D31844" s="39"/>
      <c r="E31844" s="39"/>
      <c r="F31844" s="39"/>
    </row>
    <row r="31845">
      <c r="D31845" s="39"/>
      <c r="E31845" s="39"/>
      <c r="F31845" s="39"/>
    </row>
    <row r="31846">
      <c r="D31846" s="39"/>
      <c r="E31846" s="39"/>
      <c r="F31846" s="39"/>
    </row>
    <row r="31847">
      <c r="D31847" s="39"/>
      <c r="E31847" s="39"/>
      <c r="F31847" s="39"/>
    </row>
    <row r="31848">
      <c r="D31848" s="39"/>
      <c r="E31848" s="39"/>
      <c r="F31848" s="39"/>
    </row>
    <row r="31849">
      <c r="D31849" s="39"/>
      <c r="E31849" s="39"/>
      <c r="F31849" s="39"/>
    </row>
    <row r="31850">
      <c r="D31850" s="39"/>
      <c r="E31850" s="39"/>
      <c r="F31850" s="39"/>
    </row>
    <row r="31851">
      <c r="D31851" s="39"/>
      <c r="E31851" s="39"/>
      <c r="F31851" s="39"/>
    </row>
    <row r="31852">
      <c r="D31852" s="39"/>
      <c r="E31852" s="39"/>
      <c r="F31852" s="39"/>
    </row>
    <row r="31853">
      <c r="D31853" s="39"/>
      <c r="E31853" s="39"/>
      <c r="F31853" s="39"/>
    </row>
    <row r="31854">
      <c r="D31854" s="39"/>
      <c r="E31854" s="39"/>
      <c r="F31854" s="39"/>
    </row>
    <row r="31855">
      <c r="D31855" s="39"/>
      <c r="E31855" s="39"/>
      <c r="F31855" s="39"/>
    </row>
    <row r="31856">
      <c r="D31856" s="39"/>
      <c r="E31856" s="39"/>
      <c r="F31856" s="39"/>
    </row>
    <row r="31857">
      <c r="D31857" s="39"/>
      <c r="E31857" s="39"/>
      <c r="F31857" s="39"/>
    </row>
    <row r="31858">
      <c r="D31858" s="39"/>
      <c r="E31858" s="39"/>
      <c r="F31858" s="39"/>
    </row>
    <row r="31859">
      <c r="D31859" s="39"/>
      <c r="E31859" s="39"/>
      <c r="F31859" s="39"/>
    </row>
    <row r="31860">
      <c r="D31860" s="39"/>
      <c r="E31860" s="39"/>
      <c r="F31860" s="39"/>
    </row>
    <row r="31861">
      <c r="D31861" s="39"/>
      <c r="E31861" s="39"/>
      <c r="F31861" s="39"/>
    </row>
    <row r="31862">
      <c r="D31862" s="39"/>
      <c r="E31862" s="39"/>
      <c r="F31862" s="39"/>
    </row>
    <row r="31863">
      <c r="D31863" s="39"/>
      <c r="E31863" s="39"/>
      <c r="F31863" s="39"/>
    </row>
    <row r="31864">
      <c r="D31864" s="39"/>
      <c r="E31864" s="39"/>
      <c r="F31864" s="39"/>
    </row>
    <row r="31865">
      <c r="D31865" s="39"/>
      <c r="E31865" s="39"/>
      <c r="F31865" s="39"/>
    </row>
    <row r="31866">
      <c r="D31866" s="39"/>
      <c r="E31866" s="39"/>
      <c r="F31866" s="39"/>
    </row>
    <row r="31867">
      <c r="D31867" s="39"/>
      <c r="E31867" s="39"/>
      <c r="F31867" s="39"/>
    </row>
    <row r="31868">
      <c r="D31868" s="39"/>
      <c r="E31868" s="39"/>
      <c r="F31868" s="39"/>
    </row>
    <row r="31869">
      <c r="D31869" s="39"/>
      <c r="E31869" s="39"/>
      <c r="F31869" s="39"/>
    </row>
    <row r="31870">
      <c r="D31870" s="39"/>
      <c r="E31870" s="39"/>
      <c r="F31870" s="39"/>
    </row>
    <row r="31871">
      <c r="D31871" s="39"/>
      <c r="E31871" s="39"/>
      <c r="F31871" s="39"/>
    </row>
    <row r="31872">
      <c r="D31872" s="39"/>
      <c r="E31872" s="39"/>
      <c r="F31872" s="39"/>
    </row>
    <row r="31873">
      <c r="D31873" s="39"/>
      <c r="E31873" s="39"/>
      <c r="F31873" s="39"/>
    </row>
    <row r="31874">
      <c r="D31874" s="39"/>
      <c r="E31874" s="39"/>
      <c r="F31874" s="39"/>
    </row>
    <row r="31875">
      <c r="D31875" s="39"/>
      <c r="E31875" s="39"/>
      <c r="F31875" s="39"/>
    </row>
    <row r="31876">
      <c r="D31876" s="39"/>
      <c r="E31876" s="39"/>
      <c r="F31876" s="39"/>
    </row>
    <row r="31877">
      <c r="D31877" s="39"/>
      <c r="E31877" s="39"/>
      <c r="F31877" s="39"/>
    </row>
    <row r="31878">
      <c r="D31878" s="39"/>
      <c r="E31878" s="39"/>
      <c r="F31878" s="39"/>
    </row>
    <row r="31879">
      <c r="D31879" s="39"/>
      <c r="E31879" s="39"/>
      <c r="F31879" s="39"/>
    </row>
    <row r="31880">
      <c r="D31880" s="39"/>
      <c r="E31880" s="39"/>
      <c r="F31880" s="39"/>
    </row>
    <row r="31881">
      <c r="D31881" s="39"/>
      <c r="E31881" s="39"/>
      <c r="F31881" s="39"/>
    </row>
    <row r="31882">
      <c r="D31882" s="39"/>
      <c r="E31882" s="39"/>
      <c r="F31882" s="39"/>
    </row>
    <row r="31883">
      <c r="D31883" s="39"/>
      <c r="E31883" s="39"/>
      <c r="F31883" s="39"/>
    </row>
    <row r="31884">
      <c r="D31884" s="39"/>
      <c r="E31884" s="39"/>
      <c r="F31884" s="39"/>
    </row>
    <row r="31885">
      <c r="D31885" s="39"/>
      <c r="E31885" s="39"/>
      <c r="F31885" s="39"/>
    </row>
    <row r="31886">
      <c r="D31886" s="39"/>
      <c r="E31886" s="39"/>
      <c r="F31886" s="39"/>
    </row>
    <row r="31887">
      <c r="D31887" s="39"/>
      <c r="E31887" s="39"/>
      <c r="F31887" s="39"/>
    </row>
    <row r="31888">
      <c r="D31888" s="39"/>
      <c r="E31888" s="39"/>
      <c r="F31888" s="39"/>
    </row>
    <row r="31889">
      <c r="D31889" s="39"/>
      <c r="E31889" s="39"/>
      <c r="F31889" s="39"/>
    </row>
    <row r="31890">
      <c r="D31890" s="39"/>
      <c r="E31890" s="39"/>
      <c r="F31890" s="39"/>
    </row>
    <row r="31891">
      <c r="D31891" s="39"/>
      <c r="E31891" s="39"/>
      <c r="F31891" s="39"/>
    </row>
    <row r="31892">
      <c r="D31892" s="39"/>
      <c r="E31892" s="39"/>
      <c r="F31892" s="39"/>
    </row>
    <row r="31893">
      <c r="D31893" s="39"/>
      <c r="E31893" s="39"/>
      <c r="F31893" s="39"/>
    </row>
    <row r="31894">
      <c r="D31894" s="39"/>
      <c r="E31894" s="39"/>
      <c r="F31894" s="39"/>
    </row>
    <row r="31895">
      <c r="D31895" s="39"/>
      <c r="E31895" s="39"/>
      <c r="F31895" s="39"/>
    </row>
    <row r="31896">
      <c r="D31896" s="39"/>
      <c r="E31896" s="39"/>
      <c r="F31896" s="39"/>
    </row>
    <row r="31897">
      <c r="D31897" s="39"/>
      <c r="E31897" s="39"/>
      <c r="F31897" s="39"/>
    </row>
    <row r="31898">
      <c r="D31898" s="39"/>
      <c r="E31898" s="39"/>
      <c r="F31898" s="39"/>
    </row>
    <row r="31899">
      <c r="D31899" s="39"/>
      <c r="E31899" s="39"/>
      <c r="F31899" s="39"/>
    </row>
    <row r="31900">
      <c r="D31900" s="39"/>
      <c r="E31900" s="39"/>
      <c r="F31900" s="39"/>
    </row>
    <row r="31901">
      <c r="D31901" s="39"/>
      <c r="E31901" s="39"/>
      <c r="F31901" s="39"/>
    </row>
    <row r="31902">
      <c r="D31902" s="39"/>
      <c r="E31902" s="39"/>
      <c r="F31902" s="39"/>
    </row>
    <row r="31903">
      <c r="D31903" s="39"/>
      <c r="E31903" s="39"/>
      <c r="F31903" s="39"/>
    </row>
    <row r="31904">
      <c r="D31904" s="39"/>
      <c r="E31904" s="39"/>
      <c r="F31904" s="39"/>
    </row>
    <row r="31905">
      <c r="D31905" s="39"/>
      <c r="E31905" s="39"/>
      <c r="F31905" s="39"/>
    </row>
    <row r="31906">
      <c r="D31906" s="39"/>
      <c r="E31906" s="39"/>
      <c r="F31906" s="39"/>
    </row>
    <row r="31907">
      <c r="D31907" s="39"/>
      <c r="E31907" s="39"/>
      <c r="F31907" s="39"/>
    </row>
    <row r="31908">
      <c r="D31908" s="39"/>
      <c r="E31908" s="39"/>
      <c r="F31908" s="39"/>
    </row>
    <row r="31909">
      <c r="D31909" s="39"/>
      <c r="E31909" s="39"/>
      <c r="F31909" s="39"/>
    </row>
    <row r="31910">
      <c r="D31910" s="39"/>
      <c r="E31910" s="39"/>
      <c r="F31910" s="39"/>
    </row>
    <row r="31911">
      <c r="D31911" s="39"/>
      <c r="E31911" s="39"/>
      <c r="F31911" s="39"/>
    </row>
    <row r="31912">
      <c r="D31912" s="39"/>
      <c r="E31912" s="39"/>
      <c r="F31912" s="39"/>
    </row>
    <row r="31913">
      <c r="D31913" s="39"/>
      <c r="E31913" s="39"/>
      <c r="F31913" s="39"/>
    </row>
    <row r="31914">
      <c r="D31914" s="39"/>
      <c r="E31914" s="39"/>
      <c r="F31914" s="39"/>
    </row>
    <row r="31915">
      <c r="D31915" s="39"/>
      <c r="E31915" s="39"/>
      <c r="F31915" s="39"/>
    </row>
    <row r="31916">
      <c r="D31916" s="39"/>
      <c r="E31916" s="39"/>
      <c r="F31916" s="39"/>
    </row>
    <row r="31917">
      <c r="D31917" s="39"/>
      <c r="E31917" s="39"/>
      <c r="F31917" s="39"/>
    </row>
    <row r="31918">
      <c r="D31918" s="39"/>
      <c r="E31918" s="39"/>
      <c r="F31918" s="39"/>
    </row>
    <row r="31919">
      <c r="D31919" s="39"/>
      <c r="E31919" s="39"/>
      <c r="F31919" s="39"/>
    </row>
    <row r="31920">
      <c r="D31920" s="39"/>
      <c r="E31920" s="39"/>
      <c r="F31920" s="39"/>
    </row>
    <row r="31921">
      <c r="D31921" s="39"/>
      <c r="E31921" s="39"/>
      <c r="F31921" s="39"/>
    </row>
    <row r="31922">
      <c r="D31922" s="39"/>
      <c r="E31922" s="39"/>
      <c r="F31922" s="39"/>
    </row>
    <row r="31923">
      <c r="D31923" s="39"/>
      <c r="E31923" s="39"/>
      <c r="F31923" s="39"/>
    </row>
    <row r="31924">
      <c r="D31924" s="39"/>
      <c r="E31924" s="39"/>
      <c r="F31924" s="39"/>
    </row>
    <row r="31925">
      <c r="D31925" s="39"/>
      <c r="E31925" s="39"/>
      <c r="F31925" s="39"/>
    </row>
    <row r="31926">
      <c r="D31926" s="39"/>
      <c r="E31926" s="39"/>
      <c r="F31926" s="39"/>
    </row>
    <row r="31927">
      <c r="D31927" s="39"/>
      <c r="E31927" s="39"/>
      <c r="F31927" s="39"/>
    </row>
    <row r="31928">
      <c r="D31928" s="39"/>
      <c r="E31928" s="39"/>
      <c r="F31928" s="39"/>
    </row>
    <row r="31929">
      <c r="D31929" s="39"/>
      <c r="E31929" s="39"/>
      <c r="F31929" s="39"/>
    </row>
    <row r="31930">
      <c r="D31930" s="39"/>
      <c r="E31930" s="39"/>
      <c r="F31930" s="39"/>
    </row>
    <row r="31931">
      <c r="D31931" s="39"/>
      <c r="E31931" s="39"/>
      <c r="F31931" s="39"/>
    </row>
    <row r="31932">
      <c r="D31932" s="39"/>
      <c r="E31932" s="39"/>
      <c r="F31932" s="39"/>
    </row>
    <row r="31933">
      <c r="D31933" s="39"/>
      <c r="E31933" s="39"/>
      <c r="F31933" s="39"/>
    </row>
    <row r="31934">
      <c r="D31934" s="39"/>
      <c r="E31934" s="39"/>
      <c r="F31934" s="39"/>
    </row>
    <row r="31935">
      <c r="D31935" s="39"/>
      <c r="E31935" s="39"/>
      <c r="F31935" s="39"/>
    </row>
    <row r="31936">
      <c r="D31936" s="39"/>
      <c r="E31936" s="39"/>
      <c r="F31936" s="39"/>
    </row>
    <row r="31937">
      <c r="D31937" s="39"/>
      <c r="E31937" s="39"/>
      <c r="F31937" s="39"/>
    </row>
    <row r="31938">
      <c r="D31938" s="39"/>
      <c r="E31938" s="39"/>
      <c r="F31938" s="39"/>
    </row>
    <row r="31939">
      <c r="D31939" s="39"/>
      <c r="E31939" s="39"/>
      <c r="F31939" s="39"/>
    </row>
    <row r="31940">
      <c r="D31940" s="39"/>
      <c r="E31940" s="39"/>
      <c r="F31940" s="39"/>
    </row>
    <row r="31941">
      <c r="D31941" s="39"/>
      <c r="E31941" s="39"/>
      <c r="F31941" s="39"/>
    </row>
    <row r="31942">
      <c r="D31942" s="39"/>
      <c r="E31942" s="39"/>
      <c r="F31942" s="39"/>
    </row>
    <row r="31943">
      <c r="D31943" s="39"/>
      <c r="E31943" s="39"/>
      <c r="F31943" s="39"/>
    </row>
    <row r="31944">
      <c r="D31944" s="39"/>
      <c r="E31944" s="39"/>
      <c r="F31944" s="39"/>
    </row>
    <row r="31945">
      <c r="D31945" s="39"/>
      <c r="E31945" s="39"/>
      <c r="F31945" s="39"/>
    </row>
    <row r="31946">
      <c r="D31946" s="39"/>
      <c r="E31946" s="39"/>
      <c r="F31946" s="39"/>
    </row>
    <row r="31947">
      <c r="D31947" s="39"/>
      <c r="E31947" s="39"/>
      <c r="F31947" s="39"/>
    </row>
    <row r="31948">
      <c r="D31948" s="39"/>
      <c r="E31948" s="39"/>
      <c r="F31948" s="39"/>
    </row>
    <row r="31949">
      <c r="D31949" s="39"/>
      <c r="E31949" s="39"/>
      <c r="F31949" s="39"/>
    </row>
    <row r="31950">
      <c r="D31950" s="39"/>
      <c r="E31950" s="39"/>
      <c r="F31950" s="39"/>
    </row>
    <row r="31951">
      <c r="D31951" s="39"/>
      <c r="E31951" s="39"/>
      <c r="F31951" s="39"/>
    </row>
    <row r="31952">
      <c r="D31952" s="39"/>
      <c r="E31952" s="39"/>
      <c r="F31952" s="39"/>
    </row>
    <row r="31953">
      <c r="D31953" s="39"/>
      <c r="E31953" s="39"/>
      <c r="F31953" s="39"/>
    </row>
    <row r="31954">
      <c r="D31954" s="39"/>
      <c r="E31954" s="39"/>
      <c r="F31954" s="39"/>
    </row>
    <row r="31955">
      <c r="D31955" s="39"/>
      <c r="E31955" s="39"/>
      <c r="F31955" s="39"/>
    </row>
    <row r="31956">
      <c r="D31956" s="39"/>
      <c r="E31956" s="39"/>
      <c r="F31956" s="39"/>
    </row>
    <row r="31957">
      <c r="D31957" s="39"/>
      <c r="E31957" s="39"/>
      <c r="F31957" s="39"/>
    </row>
    <row r="31958">
      <c r="D31958" s="39"/>
      <c r="E31958" s="39"/>
      <c r="F31958" s="39"/>
    </row>
    <row r="31959">
      <c r="D31959" s="39"/>
      <c r="E31959" s="39"/>
      <c r="F31959" s="39"/>
    </row>
    <row r="31960">
      <c r="D31960" s="39"/>
      <c r="E31960" s="39"/>
      <c r="F31960" s="39"/>
    </row>
    <row r="31961">
      <c r="D31961" s="39"/>
      <c r="E31961" s="39"/>
      <c r="F31961" s="39"/>
    </row>
    <row r="31962">
      <c r="D31962" s="39"/>
      <c r="E31962" s="39"/>
      <c r="F31962" s="39"/>
    </row>
    <row r="31963">
      <c r="D31963" s="39"/>
      <c r="E31963" s="39"/>
      <c r="F31963" s="39"/>
    </row>
    <row r="31964">
      <c r="D31964" s="39"/>
      <c r="E31964" s="39"/>
      <c r="F31964" s="39"/>
    </row>
    <row r="31965">
      <c r="D31965" s="39"/>
      <c r="E31965" s="39"/>
      <c r="F31965" s="39"/>
    </row>
    <row r="31966">
      <c r="D31966" s="39"/>
      <c r="E31966" s="39"/>
      <c r="F31966" s="39"/>
    </row>
    <row r="31967">
      <c r="D31967" s="39"/>
      <c r="E31967" s="39"/>
      <c r="F31967" s="39"/>
    </row>
    <row r="31968">
      <c r="D31968" s="39"/>
      <c r="E31968" s="39"/>
      <c r="F31968" s="39"/>
    </row>
    <row r="31969">
      <c r="D31969" s="39"/>
      <c r="E31969" s="39"/>
      <c r="F31969" s="39"/>
    </row>
    <row r="31970">
      <c r="D31970" s="39"/>
      <c r="E31970" s="39"/>
      <c r="F31970" s="39"/>
    </row>
    <row r="31971">
      <c r="D31971" s="39"/>
      <c r="E31971" s="39"/>
      <c r="F31971" s="39"/>
    </row>
    <row r="31972">
      <c r="D31972" s="39"/>
      <c r="E31972" s="39"/>
      <c r="F31972" s="39"/>
    </row>
    <row r="31973">
      <c r="D31973" s="39"/>
      <c r="E31973" s="39"/>
      <c r="F31973" s="39"/>
    </row>
    <row r="31974">
      <c r="D31974" s="39"/>
      <c r="E31974" s="39"/>
      <c r="F31974" s="39"/>
    </row>
    <row r="31975">
      <c r="D31975" s="39"/>
      <c r="E31975" s="39"/>
      <c r="F31975" s="39"/>
    </row>
    <row r="31976">
      <c r="D31976" s="39"/>
      <c r="E31976" s="39"/>
      <c r="F31976" s="39"/>
    </row>
    <row r="31977">
      <c r="D31977" s="39"/>
      <c r="E31977" s="39"/>
      <c r="F31977" s="39"/>
    </row>
    <row r="31978">
      <c r="D31978" s="39"/>
      <c r="E31978" s="39"/>
      <c r="F31978" s="39"/>
    </row>
    <row r="31979">
      <c r="D31979" s="39"/>
      <c r="E31979" s="39"/>
      <c r="F31979" s="39"/>
    </row>
    <row r="31980">
      <c r="D31980" s="39"/>
      <c r="E31980" s="39"/>
      <c r="F31980" s="39"/>
    </row>
    <row r="31981">
      <c r="D31981" s="39"/>
      <c r="E31981" s="39"/>
      <c r="F31981" s="39"/>
    </row>
    <row r="31982">
      <c r="D31982" s="39"/>
      <c r="E31982" s="39"/>
      <c r="F31982" s="39"/>
    </row>
    <row r="31983">
      <c r="D31983" s="39"/>
      <c r="E31983" s="39"/>
      <c r="F31983" s="39"/>
    </row>
    <row r="31984">
      <c r="D31984" s="39"/>
      <c r="E31984" s="39"/>
      <c r="F31984" s="39"/>
    </row>
    <row r="31985">
      <c r="D31985" s="39"/>
      <c r="E31985" s="39"/>
      <c r="F31985" s="39"/>
    </row>
    <row r="31986">
      <c r="D31986" s="39"/>
      <c r="E31986" s="39"/>
      <c r="F31986" s="39"/>
    </row>
    <row r="31987">
      <c r="D31987" s="39"/>
      <c r="E31987" s="39"/>
      <c r="F31987" s="39"/>
    </row>
    <row r="31988">
      <c r="D31988" s="39"/>
      <c r="E31988" s="39"/>
      <c r="F31988" s="39"/>
    </row>
    <row r="31989">
      <c r="D31989" s="39"/>
      <c r="E31989" s="39"/>
      <c r="F31989" s="39"/>
    </row>
    <row r="31990">
      <c r="D31990" s="39"/>
      <c r="E31990" s="39"/>
      <c r="F31990" s="39"/>
    </row>
    <row r="31991">
      <c r="D31991" s="39"/>
      <c r="E31991" s="39"/>
      <c r="F31991" s="39"/>
    </row>
    <row r="31992">
      <c r="D31992" s="39"/>
      <c r="E31992" s="39"/>
      <c r="F31992" s="39"/>
    </row>
    <row r="31993">
      <c r="D31993" s="39"/>
      <c r="E31993" s="39"/>
      <c r="F31993" s="39"/>
    </row>
    <row r="31994">
      <c r="D31994" s="39"/>
      <c r="E31994" s="39"/>
      <c r="F31994" s="39"/>
    </row>
    <row r="31995">
      <c r="D31995" s="39"/>
      <c r="E31995" s="39"/>
      <c r="F31995" s="39"/>
    </row>
    <row r="31996">
      <c r="D31996" s="39"/>
      <c r="E31996" s="39"/>
      <c r="F31996" s="39"/>
    </row>
    <row r="31997">
      <c r="D31997" s="39"/>
      <c r="E31997" s="39"/>
      <c r="F31997" s="39"/>
    </row>
    <row r="31998">
      <c r="D31998" s="39"/>
      <c r="E31998" s="39"/>
      <c r="F31998" s="39"/>
    </row>
    <row r="31999">
      <c r="D31999" s="39"/>
      <c r="E31999" s="39"/>
      <c r="F31999" s="39"/>
    </row>
    <row r="32000">
      <c r="D32000" s="39"/>
      <c r="E32000" s="39"/>
      <c r="F32000" s="39"/>
    </row>
    <row r="32001">
      <c r="D32001" s="39"/>
      <c r="E32001" s="39"/>
      <c r="F32001" s="39"/>
    </row>
    <row r="32002">
      <c r="D32002" s="39"/>
      <c r="E32002" s="39"/>
      <c r="F32002" s="39"/>
    </row>
    <row r="32003">
      <c r="D32003" s="39"/>
      <c r="E32003" s="39"/>
      <c r="F32003" s="39"/>
    </row>
    <row r="32004">
      <c r="D32004" s="39"/>
      <c r="E32004" s="39"/>
      <c r="F32004" s="39"/>
    </row>
    <row r="32005">
      <c r="D32005" s="39"/>
      <c r="E32005" s="39"/>
      <c r="F32005" s="39"/>
    </row>
    <row r="32006">
      <c r="D32006" s="39"/>
      <c r="E32006" s="39"/>
      <c r="F32006" s="39"/>
    </row>
    <row r="32007">
      <c r="D32007" s="39"/>
      <c r="E32007" s="39"/>
      <c r="F32007" s="39"/>
    </row>
    <row r="32008">
      <c r="D32008" s="39"/>
      <c r="E32008" s="39"/>
      <c r="F32008" s="39"/>
    </row>
    <row r="32009">
      <c r="D32009" s="39"/>
      <c r="E32009" s="39"/>
      <c r="F32009" s="39"/>
    </row>
    <row r="32010">
      <c r="D32010" s="39"/>
      <c r="E32010" s="39"/>
      <c r="F32010" s="39"/>
    </row>
    <row r="32011">
      <c r="D32011" s="39"/>
      <c r="E32011" s="39"/>
      <c r="F32011" s="39"/>
    </row>
    <row r="32012">
      <c r="D32012" s="39"/>
      <c r="E32012" s="39"/>
      <c r="F32012" s="39"/>
    </row>
    <row r="32013">
      <c r="D32013" s="39"/>
      <c r="E32013" s="39"/>
      <c r="F32013" s="39"/>
    </row>
    <row r="32014">
      <c r="D32014" s="39"/>
      <c r="E32014" s="39"/>
      <c r="F32014" s="39"/>
    </row>
    <row r="32015">
      <c r="D32015" s="39"/>
      <c r="E32015" s="39"/>
      <c r="F32015" s="39"/>
    </row>
    <row r="32016">
      <c r="D32016" s="39"/>
      <c r="E32016" s="39"/>
      <c r="F32016" s="39"/>
    </row>
    <row r="32017">
      <c r="D32017" s="39"/>
      <c r="E32017" s="39"/>
      <c r="F32017" s="39"/>
    </row>
    <row r="32018">
      <c r="D32018" s="39"/>
      <c r="E32018" s="39"/>
      <c r="F32018" s="39"/>
    </row>
    <row r="32019">
      <c r="D32019" s="39"/>
      <c r="E32019" s="39"/>
      <c r="F32019" s="39"/>
    </row>
    <row r="32020">
      <c r="D32020" s="39"/>
      <c r="E32020" s="39"/>
      <c r="F32020" s="39"/>
    </row>
    <row r="32021">
      <c r="D32021" s="39"/>
      <c r="E32021" s="39"/>
      <c r="F32021" s="39"/>
    </row>
    <row r="32022">
      <c r="D32022" s="39"/>
      <c r="E32022" s="39"/>
      <c r="F32022" s="39"/>
    </row>
    <row r="32023">
      <c r="D32023" s="39"/>
      <c r="E32023" s="39"/>
      <c r="F32023" s="39"/>
    </row>
    <row r="32024">
      <c r="D32024" s="39"/>
      <c r="E32024" s="39"/>
      <c r="F32024" s="39"/>
    </row>
    <row r="32025">
      <c r="D32025" s="39"/>
      <c r="E32025" s="39"/>
      <c r="F32025" s="39"/>
    </row>
    <row r="32026">
      <c r="D32026" s="39"/>
      <c r="E32026" s="39"/>
      <c r="F32026" s="39"/>
    </row>
    <row r="32027">
      <c r="D32027" s="39"/>
      <c r="E32027" s="39"/>
      <c r="F32027" s="39"/>
    </row>
    <row r="32028">
      <c r="D32028" s="39"/>
      <c r="E32028" s="39"/>
      <c r="F32028" s="39"/>
    </row>
    <row r="32029">
      <c r="D32029" s="39"/>
      <c r="E32029" s="39"/>
      <c r="F32029" s="39"/>
    </row>
    <row r="32030">
      <c r="D32030" s="39"/>
      <c r="E32030" s="39"/>
      <c r="F32030" s="39"/>
    </row>
    <row r="32031">
      <c r="D32031" s="39"/>
      <c r="E32031" s="39"/>
      <c r="F32031" s="39"/>
    </row>
    <row r="32032">
      <c r="D32032" s="39"/>
      <c r="E32032" s="39"/>
      <c r="F32032" s="39"/>
    </row>
    <row r="32033">
      <c r="D32033" s="39"/>
      <c r="E32033" s="39"/>
      <c r="F32033" s="39"/>
    </row>
    <row r="32034">
      <c r="D32034" s="39"/>
      <c r="E32034" s="39"/>
      <c r="F32034" s="39"/>
    </row>
    <row r="32035">
      <c r="D32035" s="39"/>
      <c r="E32035" s="39"/>
      <c r="F32035" s="39"/>
    </row>
    <row r="32036">
      <c r="D32036" s="39"/>
      <c r="E32036" s="39"/>
      <c r="F32036" s="39"/>
    </row>
    <row r="32037">
      <c r="D32037" s="39"/>
      <c r="E32037" s="39"/>
      <c r="F32037" s="39"/>
    </row>
    <row r="32038">
      <c r="D32038" s="39"/>
      <c r="E32038" s="39"/>
      <c r="F32038" s="39"/>
    </row>
    <row r="32039">
      <c r="D32039" s="39"/>
      <c r="E32039" s="39"/>
      <c r="F32039" s="39"/>
    </row>
    <row r="32040">
      <c r="D32040" s="39"/>
      <c r="E32040" s="39"/>
      <c r="F32040" s="39"/>
    </row>
    <row r="32041">
      <c r="D32041" s="39"/>
      <c r="E32041" s="39"/>
      <c r="F32041" s="39"/>
    </row>
    <row r="32042">
      <c r="D32042" s="39"/>
      <c r="E32042" s="39"/>
      <c r="F32042" s="39"/>
    </row>
    <row r="32043">
      <c r="D32043" s="39"/>
      <c r="E32043" s="39"/>
      <c r="F32043" s="39"/>
    </row>
    <row r="32044">
      <c r="D32044" s="39"/>
      <c r="E32044" s="39"/>
      <c r="F32044" s="39"/>
    </row>
    <row r="32045">
      <c r="D32045" s="39"/>
      <c r="E32045" s="39"/>
      <c r="F32045" s="39"/>
    </row>
    <row r="32046">
      <c r="D32046" s="39"/>
      <c r="E32046" s="39"/>
      <c r="F32046" s="39"/>
    </row>
    <row r="32047">
      <c r="D32047" s="39"/>
      <c r="E32047" s="39"/>
      <c r="F32047" s="39"/>
    </row>
    <row r="32048">
      <c r="D32048" s="39"/>
      <c r="E32048" s="39"/>
      <c r="F32048" s="39"/>
    </row>
    <row r="32049">
      <c r="D32049" s="39"/>
      <c r="E32049" s="39"/>
      <c r="F32049" s="39"/>
    </row>
    <row r="32050">
      <c r="D32050" s="39"/>
      <c r="E32050" s="39"/>
      <c r="F32050" s="39"/>
    </row>
    <row r="32051">
      <c r="D32051" s="39"/>
      <c r="E32051" s="39"/>
      <c r="F32051" s="39"/>
    </row>
    <row r="32052">
      <c r="D32052" s="39"/>
      <c r="E32052" s="39"/>
      <c r="F32052" s="39"/>
    </row>
    <row r="32053">
      <c r="D32053" s="39"/>
      <c r="E32053" s="39"/>
      <c r="F32053" s="39"/>
    </row>
    <row r="32054">
      <c r="D32054" s="39"/>
      <c r="E32054" s="39"/>
      <c r="F32054" s="39"/>
    </row>
    <row r="32055">
      <c r="D32055" s="39"/>
      <c r="E32055" s="39"/>
      <c r="F32055" s="39"/>
    </row>
    <row r="32056">
      <c r="D32056" s="39"/>
      <c r="E32056" s="39"/>
      <c r="F32056" s="39"/>
    </row>
    <row r="32057">
      <c r="D32057" s="39"/>
      <c r="E32057" s="39"/>
      <c r="F32057" s="39"/>
    </row>
    <row r="32058">
      <c r="D32058" s="39"/>
      <c r="E32058" s="39"/>
      <c r="F32058" s="39"/>
    </row>
    <row r="32059">
      <c r="D32059" s="39"/>
      <c r="E32059" s="39"/>
      <c r="F32059" s="39"/>
    </row>
    <row r="32060">
      <c r="D32060" s="39"/>
      <c r="E32060" s="39"/>
      <c r="F32060" s="39"/>
    </row>
    <row r="32061">
      <c r="D32061" s="39"/>
      <c r="E32061" s="39"/>
      <c r="F32061" s="39"/>
    </row>
    <row r="32062">
      <c r="D32062" s="39"/>
      <c r="E32062" s="39"/>
      <c r="F32062" s="39"/>
    </row>
    <row r="32063">
      <c r="D32063" s="39"/>
      <c r="E32063" s="39"/>
      <c r="F32063" s="39"/>
    </row>
    <row r="32064">
      <c r="D32064" s="39"/>
      <c r="E32064" s="39"/>
      <c r="F32064" s="39"/>
    </row>
    <row r="32065">
      <c r="D32065" s="39"/>
      <c r="E32065" s="39"/>
      <c r="F32065" s="39"/>
    </row>
    <row r="32066">
      <c r="D32066" s="39"/>
      <c r="E32066" s="39"/>
      <c r="F32066" s="39"/>
    </row>
    <row r="32067">
      <c r="D32067" s="39"/>
      <c r="E32067" s="39"/>
      <c r="F32067" s="39"/>
    </row>
    <row r="32068">
      <c r="D32068" s="39"/>
      <c r="E32068" s="39"/>
      <c r="F32068" s="39"/>
    </row>
    <row r="32069">
      <c r="D32069" s="39"/>
      <c r="E32069" s="39"/>
      <c r="F32069" s="39"/>
    </row>
    <row r="32070">
      <c r="D32070" s="39"/>
      <c r="E32070" s="39"/>
      <c r="F32070" s="39"/>
    </row>
    <row r="32071">
      <c r="D32071" s="39"/>
      <c r="E32071" s="39"/>
      <c r="F32071" s="39"/>
    </row>
    <row r="32072">
      <c r="D32072" s="39"/>
      <c r="E32072" s="39"/>
      <c r="F32072" s="39"/>
    </row>
    <row r="32073">
      <c r="D32073" s="39"/>
      <c r="E32073" s="39"/>
      <c r="F32073" s="39"/>
    </row>
    <row r="32074">
      <c r="D32074" s="39"/>
      <c r="E32074" s="39"/>
      <c r="F32074" s="39"/>
    </row>
    <row r="32075">
      <c r="D32075" s="39"/>
      <c r="E32075" s="39"/>
      <c r="F32075" s="39"/>
    </row>
    <row r="32076">
      <c r="D32076" s="39"/>
      <c r="E32076" s="39"/>
      <c r="F32076" s="39"/>
    </row>
    <row r="32077">
      <c r="D32077" s="39"/>
      <c r="E32077" s="39"/>
      <c r="F32077" s="39"/>
    </row>
    <row r="32078">
      <c r="D32078" s="39"/>
      <c r="E32078" s="39"/>
      <c r="F32078" s="39"/>
    </row>
    <row r="32079">
      <c r="D32079" s="39"/>
      <c r="E32079" s="39"/>
      <c r="F32079" s="39"/>
    </row>
    <row r="32080">
      <c r="D32080" s="39"/>
      <c r="E32080" s="39"/>
      <c r="F32080" s="39"/>
    </row>
    <row r="32081">
      <c r="D32081" s="39"/>
      <c r="E32081" s="39"/>
      <c r="F32081" s="39"/>
    </row>
    <row r="32082">
      <c r="D32082" s="39"/>
      <c r="E32082" s="39"/>
      <c r="F32082" s="39"/>
    </row>
    <row r="32083">
      <c r="D32083" s="39"/>
      <c r="E32083" s="39"/>
      <c r="F32083" s="39"/>
    </row>
    <row r="32084">
      <c r="D32084" s="39"/>
      <c r="E32084" s="39"/>
      <c r="F32084" s="39"/>
    </row>
    <row r="32085">
      <c r="D32085" s="39"/>
      <c r="E32085" s="39"/>
      <c r="F32085" s="39"/>
    </row>
    <row r="32086">
      <c r="D32086" s="39"/>
      <c r="E32086" s="39"/>
      <c r="F32086" s="39"/>
    </row>
    <row r="32087">
      <c r="D32087" s="39"/>
      <c r="E32087" s="39"/>
      <c r="F32087" s="39"/>
    </row>
    <row r="32088">
      <c r="D32088" s="39"/>
      <c r="E32088" s="39"/>
      <c r="F32088" s="39"/>
    </row>
    <row r="32089">
      <c r="D32089" s="39"/>
      <c r="E32089" s="39"/>
      <c r="F32089" s="39"/>
    </row>
    <row r="32090">
      <c r="D32090" s="39"/>
      <c r="E32090" s="39"/>
      <c r="F32090" s="39"/>
    </row>
    <row r="32091">
      <c r="D32091" s="39"/>
      <c r="E32091" s="39"/>
      <c r="F32091" s="39"/>
    </row>
    <row r="32092">
      <c r="D32092" s="39"/>
      <c r="E32092" s="39"/>
      <c r="F32092" s="39"/>
    </row>
    <row r="32093">
      <c r="D32093" s="39"/>
      <c r="E32093" s="39"/>
      <c r="F32093" s="39"/>
    </row>
    <row r="32094">
      <c r="D32094" s="39"/>
      <c r="E32094" s="39"/>
      <c r="F32094" s="39"/>
    </row>
    <row r="32095">
      <c r="D32095" s="39"/>
      <c r="E32095" s="39"/>
      <c r="F32095" s="39"/>
    </row>
    <row r="32096">
      <c r="D32096" s="39"/>
      <c r="E32096" s="39"/>
      <c r="F32096" s="39"/>
    </row>
    <row r="32097">
      <c r="D32097" s="39"/>
      <c r="E32097" s="39"/>
      <c r="F32097" s="39"/>
    </row>
    <row r="32098">
      <c r="D32098" s="39"/>
      <c r="E32098" s="39"/>
      <c r="F32098" s="39"/>
    </row>
    <row r="32099">
      <c r="D32099" s="39"/>
      <c r="E32099" s="39"/>
      <c r="F32099" s="39"/>
    </row>
    <row r="32100">
      <c r="D32100" s="39"/>
      <c r="E32100" s="39"/>
      <c r="F32100" s="39"/>
    </row>
    <row r="32101">
      <c r="D32101" s="39"/>
      <c r="E32101" s="39"/>
      <c r="F32101" s="39"/>
    </row>
    <row r="32102">
      <c r="D32102" s="39"/>
      <c r="E32102" s="39"/>
      <c r="F32102" s="39"/>
    </row>
    <row r="32103">
      <c r="D32103" s="39"/>
      <c r="E32103" s="39"/>
      <c r="F32103" s="39"/>
    </row>
    <row r="32104">
      <c r="D32104" s="39"/>
      <c r="E32104" s="39"/>
      <c r="F32104" s="39"/>
    </row>
    <row r="32105">
      <c r="D32105" s="39"/>
      <c r="E32105" s="39"/>
      <c r="F32105" s="39"/>
    </row>
    <row r="32106">
      <c r="D32106" s="39"/>
      <c r="E32106" s="39"/>
      <c r="F32106" s="39"/>
    </row>
    <row r="32107">
      <c r="D32107" s="39"/>
      <c r="E32107" s="39"/>
      <c r="F32107" s="39"/>
    </row>
    <row r="32108">
      <c r="D32108" s="39"/>
      <c r="E32108" s="39"/>
      <c r="F32108" s="39"/>
    </row>
    <row r="32109">
      <c r="D32109" s="39"/>
      <c r="E32109" s="39"/>
      <c r="F32109" s="39"/>
    </row>
    <row r="32110">
      <c r="D32110" s="39"/>
      <c r="E32110" s="39"/>
      <c r="F32110" s="39"/>
    </row>
    <row r="32111">
      <c r="D32111" s="39"/>
      <c r="E32111" s="39"/>
      <c r="F32111" s="39"/>
    </row>
    <row r="32112">
      <c r="D32112" s="39"/>
      <c r="E32112" s="39"/>
      <c r="F32112" s="39"/>
    </row>
    <row r="32113">
      <c r="D32113" s="39"/>
      <c r="E32113" s="39"/>
      <c r="F32113" s="39"/>
    </row>
    <row r="32114">
      <c r="D32114" s="39"/>
      <c r="E32114" s="39"/>
      <c r="F32114" s="39"/>
    </row>
    <row r="32115">
      <c r="D32115" s="39"/>
      <c r="E32115" s="39"/>
      <c r="F32115" s="39"/>
    </row>
    <row r="32116">
      <c r="D32116" s="39"/>
      <c r="E32116" s="39"/>
      <c r="F32116" s="39"/>
    </row>
    <row r="32117">
      <c r="D32117" s="39"/>
      <c r="E32117" s="39"/>
      <c r="F32117" s="39"/>
    </row>
    <row r="32118">
      <c r="D32118" s="39"/>
      <c r="E32118" s="39"/>
      <c r="F32118" s="39"/>
    </row>
    <row r="32119">
      <c r="D32119" s="39"/>
      <c r="E32119" s="39"/>
      <c r="F32119" s="39"/>
    </row>
    <row r="32120">
      <c r="D32120" s="39"/>
      <c r="E32120" s="39"/>
      <c r="F32120" s="39"/>
    </row>
    <row r="32121">
      <c r="D32121" s="39"/>
      <c r="E32121" s="39"/>
      <c r="F32121" s="39"/>
    </row>
    <row r="32122">
      <c r="D32122" s="39"/>
      <c r="E32122" s="39"/>
      <c r="F32122" s="39"/>
    </row>
    <row r="32123">
      <c r="D32123" s="39"/>
      <c r="E32123" s="39"/>
      <c r="F32123" s="39"/>
    </row>
    <row r="32124">
      <c r="D32124" s="39"/>
      <c r="E32124" s="39"/>
      <c r="F32124" s="39"/>
    </row>
    <row r="32125">
      <c r="D32125" s="39"/>
      <c r="E32125" s="39"/>
      <c r="F32125" s="39"/>
    </row>
    <row r="32126">
      <c r="D32126" s="39"/>
      <c r="E32126" s="39"/>
      <c r="F32126" s="39"/>
    </row>
    <row r="32127">
      <c r="D32127" s="39"/>
      <c r="E32127" s="39"/>
      <c r="F32127" s="39"/>
    </row>
    <row r="32128">
      <c r="D32128" s="39"/>
      <c r="E32128" s="39"/>
      <c r="F32128" s="39"/>
    </row>
    <row r="32129">
      <c r="D32129" s="39"/>
      <c r="E32129" s="39"/>
      <c r="F32129" s="39"/>
    </row>
    <row r="32130">
      <c r="D32130" s="39"/>
      <c r="E32130" s="39"/>
      <c r="F32130" s="39"/>
    </row>
    <row r="32131">
      <c r="D32131" s="39"/>
      <c r="E32131" s="39"/>
      <c r="F32131" s="39"/>
    </row>
    <row r="32132">
      <c r="D32132" s="39"/>
      <c r="E32132" s="39"/>
      <c r="F32132" s="39"/>
    </row>
    <row r="32133">
      <c r="D32133" s="39"/>
      <c r="E32133" s="39"/>
      <c r="F32133" s="39"/>
    </row>
    <row r="32134">
      <c r="D32134" s="39"/>
      <c r="E32134" s="39"/>
      <c r="F32134" s="39"/>
    </row>
    <row r="32135">
      <c r="D32135" s="39"/>
      <c r="E32135" s="39"/>
      <c r="F32135" s="39"/>
    </row>
    <row r="32136">
      <c r="D32136" s="39"/>
      <c r="E32136" s="39"/>
      <c r="F32136" s="39"/>
    </row>
    <row r="32137">
      <c r="D32137" s="39"/>
      <c r="E32137" s="39"/>
      <c r="F32137" s="39"/>
    </row>
    <row r="32138">
      <c r="D32138" s="39"/>
      <c r="E32138" s="39"/>
      <c r="F32138" s="39"/>
    </row>
    <row r="32139">
      <c r="D32139" s="39"/>
      <c r="E32139" s="39"/>
      <c r="F32139" s="39"/>
    </row>
    <row r="32140">
      <c r="D32140" s="39"/>
      <c r="E32140" s="39"/>
      <c r="F32140" s="39"/>
    </row>
    <row r="32141">
      <c r="D32141" s="39"/>
      <c r="E32141" s="39"/>
      <c r="F32141" s="39"/>
    </row>
    <row r="32142">
      <c r="D32142" s="39"/>
      <c r="E32142" s="39"/>
      <c r="F32142" s="39"/>
    </row>
    <row r="32143">
      <c r="D32143" s="39"/>
      <c r="E32143" s="39"/>
      <c r="F32143" s="39"/>
    </row>
    <row r="32144">
      <c r="D32144" s="39"/>
      <c r="E32144" s="39"/>
      <c r="F32144" s="39"/>
    </row>
    <row r="32145">
      <c r="D32145" s="39"/>
      <c r="E32145" s="39"/>
      <c r="F32145" s="39"/>
    </row>
    <row r="32146">
      <c r="D32146" s="39"/>
      <c r="E32146" s="39"/>
      <c r="F32146" s="39"/>
    </row>
    <row r="32147">
      <c r="D32147" s="39"/>
      <c r="E32147" s="39"/>
      <c r="F32147" s="39"/>
    </row>
    <row r="32148">
      <c r="D32148" s="39"/>
      <c r="E32148" s="39"/>
      <c r="F32148" s="39"/>
    </row>
    <row r="32149">
      <c r="D32149" s="39"/>
      <c r="E32149" s="39"/>
      <c r="F32149" s="39"/>
    </row>
    <row r="32150">
      <c r="D32150" s="39"/>
      <c r="E32150" s="39"/>
      <c r="F32150" s="39"/>
    </row>
    <row r="32151">
      <c r="D32151" s="39"/>
      <c r="E32151" s="39"/>
      <c r="F32151" s="39"/>
    </row>
    <row r="32152">
      <c r="D32152" s="39"/>
      <c r="E32152" s="39"/>
      <c r="F32152" s="39"/>
    </row>
    <row r="32153">
      <c r="D32153" s="39"/>
      <c r="E32153" s="39"/>
      <c r="F32153" s="39"/>
    </row>
    <row r="32154">
      <c r="D32154" s="39"/>
      <c r="E32154" s="39"/>
      <c r="F32154" s="39"/>
    </row>
    <row r="32155">
      <c r="D32155" s="39"/>
      <c r="E32155" s="39"/>
      <c r="F32155" s="39"/>
    </row>
    <row r="32156">
      <c r="D32156" s="39"/>
      <c r="E32156" s="39"/>
      <c r="F32156" s="39"/>
    </row>
    <row r="32157">
      <c r="D32157" s="39"/>
      <c r="E32157" s="39"/>
      <c r="F32157" s="39"/>
    </row>
    <row r="32158">
      <c r="D32158" s="39"/>
      <c r="E32158" s="39"/>
      <c r="F32158" s="39"/>
    </row>
    <row r="32159">
      <c r="D32159" s="39"/>
      <c r="E32159" s="39"/>
      <c r="F32159" s="39"/>
    </row>
    <row r="32160">
      <c r="D32160" s="39"/>
      <c r="E32160" s="39"/>
      <c r="F32160" s="39"/>
    </row>
    <row r="32161">
      <c r="D32161" s="39"/>
      <c r="E32161" s="39"/>
      <c r="F32161" s="39"/>
    </row>
    <row r="32162">
      <c r="D32162" s="39"/>
      <c r="E32162" s="39"/>
      <c r="F32162" s="39"/>
    </row>
    <row r="32163">
      <c r="D32163" s="39"/>
      <c r="E32163" s="39"/>
      <c r="F32163" s="39"/>
    </row>
    <row r="32164">
      <c r="D32164" s="39"/>
      <c r="E32164" s="39"/>
      <c r="F32164" s="39"/>
    </row>
    <row r="32165">
      <c r="D32165" s="39"/>
      <c r="E32165" s="39"/>
      <c r="F32165" s="39"/>
    </row>
    <row r="32166">
      <c r="D32166" s="39"/>
      <c r="E32166" s="39"/>
      <c r="F32166" s="39"/>
    </row>
    <row r="32167">
      <c r="D32167" s="39"/>
      <c r="E32167" s="39"/>
      <c r="F32167" s="39"/>
    </row>
    <row r="32168">
      <c r="D32168" s="39"/>
      <c r="E32168" s="39"/>
      <c r="F32168" s="39"/>
    </row>
    <row r="32169">
      <c r="D32169" s="39"/>
      <c r="E32169" s="39"/>
      <c r="F32169" s="39"/>
    </row>
    <row r="32170">
      <c r="D32170" s="39"/>
      <c r="E32170" s="39"/>
      <c r="F32170" s="39"/>
    </row>
    <row r="32171">
      <c r="D32171" s="39"/>
      <c r="E32171" s="39"/>
      <c r="F32171" s="39"/>
    </row>
    <row r="32172">
      <c r="D32172" s="39"/>
      <c r="E32172" s="39"/>
      <c r="F32172" s="39"/>
    </row>
    <row r="32173">
      <c r="D32173" s="39"/>
      <c r="E32173" s="39"/>
      <c r="F32173" s="39"/>
    </row>
    <row r="32174">
      <c r="D32174" s="39"/>
      <c r="E32174" s="39"/>
      <c r="F32174" s="39"/>
    </row>
    <row r="32175">
      <c r="D32175" s="39"/>
      <c r="E32175" s="39"/>
      <c r="F32175" s="39"/>
    </row>
    <row r="32176">
      <c r="D32176" s="39"/>
      <c r="E32176" s="39"/>
      <c r="F32176" s="39"/>
    </row>
    <row r="32177">
      <c r="D32177" s="39"/>
      <c r="E32177" s="39"/>
      <c r="F32177" s="39"/>
    </row>
    <row r="32178">
      <c r="D32178" s="39"/>
      <c r="E32178" s="39"/>
      <c r="F32178" s="39"/>
    </row>
    <row r="32179">
      <c r="D32179" s="39"/>
      <c r="E32179" s="39"/>
      <c r="F32179" s="39"/>
    </row>
    <row r="32180">
      <c r="D32180" s="39"/>
      <c r="E32180" s="39"/>
      <c r="F32180" s="39"/>
    </row>
    <row r="32181">
      <c r="D32181" s="39"/>
      <c r="E32181" s="39"/>
      <c r="F32181" s="39"/>
    </row>
    <row r="32182">
      <c r="D32182" s="39"/>
      <c r="E32182" s="39"/>
      <c r="F32182" s="39"/>
    </row>
    <row r="32183">
      <c r="D32183" s="39"/>
      <c r="E32183" s="39"/>
      <c r="F32183" s="39"/>
    </row>
    <row r="32184">
      <c r="D32184" s="39"/>
      <c r="E32184" s="39"/>
      <c r="F32184" s="39"/>
    </row>
    <row r="32185">
      <c r="D32185" s="39"/>
      <c r="E32185" s="39"/>
      <c r="F32185" s="39"/>
    </row>
    <row r="32186">
      <c r="D32186" s="39"/>
      <c r="E32186" s="39"/>
      <c r="F32186" s="39"/>
    </row>
    <row r="32187">
      <c r="D32187" s="39"/>
      <c r="E32187" s="39"/>
      <c r="F32187" s="39"/>
    </row>
    <row r="32188">
      <c r="D32188" s="39"/>
      <c r="E32188" s="39"/>
      <c r="F32188" s="39"/>
    </row>
    <row r="32189">
      <c r="D32189" s="39"/>
      <c r="E32189" s="39"/>
      <c r="F32189" s="39"/>
    </row>
    <row r="32190">
      <c r="D32190" s="39"/>
      <c r="E32190" s="39"/>
      <c r="F32190" s="39"/>
    </row>
    <row r="32191">
      <c r="D32191" s="39"/>
      <c r="E32191" s="39"/>
      <c r="F32191" s="39"/>
    </row>
    <row r="32192">
      <c r="D32192" s="39"/>
      <c r="E32192" s="39"/>
      <c r="F32192" s="39"/>
    </row>
    <row r="32193">
      <c r="D32193" s="39"/>
      <c r="E32193" s="39"/>
      <c r="F32193" s="39"/>
    </row>
    <row r="32194">
      <c r="D32194" s="39"/>
      <c r="E32194" s="39"/>
      <c r="F32194" s="39"/>
    </row>
    <row r="32195">
      <c r="D32195" s="39"/>
      <c r="E32195" s="39"/>
      <c r="F32195" s="39"/>
    </row>
    <row r="32196">
      <c r="D32196" s="39"/>
      <c r="E32196" s="39"/>
      <c r="F32196" s="39"/>
    </row>
    <row r="32197">
      <c r="D32197" s="39"/>
      <c r="E32197" s="39"/>
      <c r="F32197" s="39"/>
    </row>
    <row r="32198">
      <c r="D32198" s="39"/>
      <c r="E32198" s="39"/>
      <c r="F32198" s="39"/>
    </row>
    <row r="32199">
      <c r="D32199" s="39"/>
      <c r="E32199" s="39"/>
      <c r="F32199" s="39"/>
    </row>
    <row r="32200">
      <c r="D32200" s="39"/>
      <c r="E32200" s="39"/>
      <c r="F32200" s="39"/>
    </row>
    <row r="32201">
      <c r="D32201" s="39"/>
      <c r="E32201" s="39"/>
      <c r="F32201" s="39"/>
    </row>
    <row r="32202">
      <c r="D32202" s="39"/>
      <c r="E32202" s="39"/>
      <c r="F32202" s="39"/>
    </row>
    <row r="32203">
      <c r="D32203" s="39"/>
      <c r="E32203" s="39"/>
      <c r="F32203" s="39"/>
    </row>
    <row r="32204">
      <c r="D32204" s="39"/>
      <c r="E32204" s="39"/>
      <c r="F32204" s="39"/>
    </row>
    <row r="32205">
      <c r="D32205" s="39"/>
      <c r="E32205" s="39"/>
      <c r="F32205" s="39"/>
    </row>
    <row r="32206">
      <c r="D32206" s="39"/>
      <c r="E32206" s="39"/>
      <c r="F32206" s="39"/>
    </row>
    <row r="32207">
      <c r="D32207" s="39"/>
      <c r="E32207" s="39"/>
      <c r="F32207" s="39"/>
    </row>
    <row r="32208">
      <c r="D32208" s="39"/>
      <c r="E32208" s="39"/>
      <c r="F32208" s="39"/>
    </row>
    <row r="32209">
      <c r="D32209" s="39"/>
      <c r="E32209" s="39"/>
      <c r="F32209" s="39"/>
    </row>
    <row r="32210">
      <c r="D32210" s="39"/>
      <c r="E32210" s="39"/>
      <c r="F32210" s="39"/>
    </row>
    <row r="32211">
      <c r="D32211" s="39"/>
      <c r="E32211" s="39"/>
      <c r="F32211" s="39"/>
    </row>
    <row r="32212">
      <c r="D32212" s="39"/>
      <c r="E32212" s="39"/>
      <c r="F32212" s="39"/>
    </row>
    <row r="32213">
      <c r="D32213" s="39"/>
      <c r="E32213" s="39"/>
      <c r="F32213" s="39"/>
    </row>
    <row r="32214">
      <c r="D32214" s="39"/>
      <c r="E32214" s="39"/>
      <c r="F32214" s="39"/>
    </row>
    <row r="32215">
      <c r="D32215" s="39"/>
      <c r="E32215" s="39"/>
      <c r="F32215" s="39"/>
    </row>
    <row r="32216">
      <c r="D32216" s="39"/>
      <c r="E32216" s="39"/>
      <c r="F32216" s="39"/>
    </row>
    <row r="32217">
      <c r="D32217" s="39"/>
      <c r="E32217" s="39"/>
      <c r="F32217" s="39"/>
    </row>
    <row r="32218">
      <c r="D32218" s="39"/>
      <c r="E32218" s="39"/>
      <c r="F32218" s="39"/>
    </row>
    <row r="32219">
      <c r="D32219" s="39"/>
      <c r="E32219" s="39"/>
      <c r="F32219" s="39"/>
    </row>
    <row r="32220">
      <c r="D32220" s="39"/>
      <c r="E32220" s="39"/>
      <c r="F32220" s="39"/>
    </row>
    <row r="32221">
      <c r="D32221" s="39"/>
      <c r="E32221" s="39"/>
      <c r="F32221" s="39"/>
    </row>
    <row r="32222">
      <c r="D32222" s="39"/>
      <c r="E32222" s="39"/>
      <c r="F32222" s="39"/>
    </row>
    <row r="32223">
      <c r="D32223" s="39"/>
      <c r="E32223" s="39"/>
      <c r="F32223" s="39"/>
    </row>
    <row r="32224">
      <c r="D32224" s="39"/>
      <c r="E32224" s="39"/>
      <c r="F32224" s="39"/>
    </row>
    <row r="32225">
      <c r="D32225" s="39"/>
      <c r="E32225" s="39"/>
      <c r="F32225" s="39"/>
    </row>
    <row r="32226">
      <c r="D32226" s="39"/>
      <c r="E32226" s="39"/>
      <c r="F32226" s="39"/>
    </row>
    <row r="32227">
      <c r="D32227" s="39"/>
      <c r="E32227" s="39"/>
      <c r="F32227" s="39"/>
    </row>
    <row r="32228">
      <c r="D32228" s="39"/>
      <c r="E32228" s="39"/>
      <c r="F32228" s="39"/>
    </row>
    <row r="32229">
      <c r="D32229" s="39"/>
      <c r="E32229" s="39"/>
      <c r="F32229" s="39"/>
    </row>
    <row r="32230">
      <c r="D32230" s="39"/>
      <c r="E32230" s="39"/>
      <c r="F32230" s="39"/>
    </row>
    <row r="32231">
      <c r="D32231" s="39"/>
      <c r="E32231" s="39"/>
      <c r="F32231" s="39"/>
    </row>
    <row r="32232">
      <c r="D32232" s="39"/>
      <c r="E32232" s="39"/>
      <c r="F32232" s="39"/>
    </row>
    <row r="32233">
      <c r="D32233" s="39"/>
      <c r="E32233" s="39"/>
      <c r="F32233" s="39"/>
    </row>
    <row r="32234">
      <c r="D32234" s="39"/>
      <c r="E32234" s="39"/>
      <c r="F32234" s="39"/>
    </row>
    <row r="32235">
      <c r="D32235" s="39"/>
      <c r="E32235" s="39"/>
      <c r="F32235" s="39"/>
    </row>
    <row r="32236">
      <c r="D32236" s="39"/>
      <c r="E32236" s="39"/>
      <c r="F32236" s="39"/>
    </row>
    <row r="32237">
      <c r="D32237" s="39"/>
      <c r="E32237" s="39"/>
      <c r="F32237" s="39"/>
    </row>
    <row r="32238">
      <c r="D32238" s="39"/>
      <c r="E32238" s="39"/>
      <c r="F32238" s="39"/>
    </row>
    <row r="32239">
      <c r="D32239" s="39"/>
      <c r="E32239" s="39"/>
      <c r="F32239" s="39"/>
    </row>
    <row r="32240">
      <c r="D32240" s="39"/>
      <c r="E32240" s="39"/>
      <c r="F32240" s="39"/>
    </row>
    <row r="32241">
      <c r="D32241" s="39"/>
      <c r="E32241" s="39"/>
      <c r="F32241" s="39"/>
    </row>
    <row r="32242">
      <c r="D32242" s="39"/>
      <c r="E32242" s="39"/>
      <c r="F32242" s="39"/>
    </row>
    <row r="32243">
      <c r="D32243" s="39"/>
      <c r="E32243" s="39"/>
      <c r="F32243" s="39"/>
    </row>
    <row r="32244">
      <c r="D32244" s="39"/>
      <c r="E32244" s="39"/>
      <c r="F32244" s="39"/>
    </row>
    <row r="32245">
      <c r="D32245" s="39"/>
      <c r="E32245" s="39"/>
      <c r="F32245" s="39"/>
    </row>
    <row r="32246">
      <c r="D32246" s="39"/>
      <c r="E32246" s="39"/>
      <c r="F32246" s="39"/>
    </row>
    <row r="32247">
      <c r="D32247" s="39"/>
      <c r="E32247" s="39"/>
      <c r="F32247" s="39"/>
    </row>
    <row r="32248">
      <c r="D32248" s="39"/>
      <c r="E32248" s="39"/>
      <c r="F32248" s="39"/>
    </row>
    <row r="32249">
      <c r="D32249" s="39"/>
      <c r="E32249" s="39"/>
      <c r="F32249" s="39"/>
    </row>
    <row r="32250">
      <c r="D32250" s="39"/>
      <c r="E32250" s="39"/>
      <c r="F32250" s="39"/>
    </row>
    <row r="32251">
      <c r="D32251" s="39"/>
      <c r="E32251" s="39"/>
      <c r="F32251" s="39"/>
    </row>
    <row r="32252">
      <c r="D32252" s="39"/>
      <c r="E32252" s="39"/>
      <c r="F32252" s="39"/>
    </row>
    <row r="32253">
      <c r="D32253" s="39"/>
      <c r="E32253" s="39"/>
      <c r="F32253" s="39"/>
    </row>
    <row r="32254">
      <c r="D32254" s="39"/>
      <c r="E32254" s="39"/>
      <c r="F32254" s="39"/>
    </row>
    <row r="32255">
      <c r="D32255" s="39"/>
      <c r="E32255" s="39"/>
      <c r="F32255" s="39"/>
    </row>
    <row r="32256">
      <c r="D32256" s="39"/>
      <c r="E32256" s="39"/>
      <c r="F32256" s="39"/>
    </row>
    <row r="32257">
      <c r="D32257" s="39"/>
      <c r="E32257" s="39"/>
      <c r="F32257" s="39"/>
    </row>
    <row r="32258">
      <c r="D32258" s="39"/>
      <c r="E32258" s="39"/>
      <c r="F32258" s="39"/>
    </row>
    <row r="32259">
      <c r="D32259" s="39"/>
      <c r="E32259" s="39"/>
      <c r="F32259" s="39"/>
    </row>
    <row r="32260">
      <c r="D32260" s="39"/>
      <c r="E32260" s="39"/>
      <c r="F32260" s="39"/>
    </row>
    <row r="32261">
      <c r="D32261" s="39"/>
      <c r="E32261" s="39"/>
      <c r="F32261" s="39"/>
    </row>
    <row r="32262">
      <c r="D32262" s="39"/>
      <c r="E32262" s="39"/>
      <c r="F32262" s="39"/>
    </row>
    <row r="32263">
      <c r="D32263" s="39"/>
      <c r="E32263" s="39"/>
      <c r="F32263" s="39"/>
    </row>
    <row r="32264">
      <c r="D32264" s="39"/>
      <c r="E32264" s="39"/>
      <c r="F32264" s="39"/>
    </row>
    <row r="32265">
      <c r="D32265" s="39"/>
      <c r="E32265" s="39"/>
      <c r="F32265" s="39"/>
    </row>
    <row r="32266">
      <c r="D32266" s="39"/>
      <c r="E32266" s="39"/>
      <c r="F32266" s="39"/>
    </row>
    <row r="32267">
      <c r="D32267" s="39"/>
      <c r="E32267" s="39"/>
      <c r="F32267" s="39"/>
    </row>
    <row r="32268">
      <c r="D32268" s="39"/>
      <c r="E32268" s="39"/>
      <c r="F32268" s="39"/>
    </row>
    <row r="32269">
      <c r="D32269" s="39"/>
      <c r="E32269" s="39"/>
      <c r="F32269" s="39"/>
    </row>
    <row r="32270">
      <c r="D32270" s="39"/>
      <c r="E32270" s="39"/>
      <c r="F32270" s="39"/>
    </row>
    <row r="32271">
      <c r="D32271" s="39"/>
      <c r="E32271" s="39"/>
      <c r="F32271" s="39"/>
    </row>
    <row r="32272">
      <c r="D32272" s="39"/>
      <c r="E32272" s="39"/>
      <c r="F32272" s="39"/>
    </row>
    <row r="32273">
      <c r="D32273" s="39"/>
      <c r="E32273" s="39"/>
      <c r="F32273" s="39"/>
    </row>
    <row r="32274">
      <c r="D32274" s="39"/>
      <c r="E32274" s="39"/>
      <c r="F32274" s="39"/>
    </row>
    <row r="32275">
      <c r="D32275" s="39"/>
      <c r="E32275" s="39"/>
      <c r="F32275" s="39"/>
    </row>
    <row r="32276">
      <c r="D32276" s="39"/>
      <c r="E32276" s="39"/>
      <c r="F32276" s="39"/>
    </row>
    <row r="32277">
      <c r="D32277" s="39"/>
      <c r="E32277" s="39"/>
      <c r="F32277" s="39"/>
    </row>
    <row r="32278">
      <c r="D32278" s="39"/>
      <c r="E32278" s="39"/>
      <c r="F32278" s="39"/>
    </row>
    <row r="32279">
      <c r="D32279" s="39"/>
      <c r="E32279" s="39"/>
      <c r="F32279" s="39"/>
    </row>
    <row r="32280">
      <c r="D32280" s="39"/>
      <c r="E32280" s="39"/>
      <c r="F32280" s="39"/>
    </row>
    <row r="32281">
      <c r="D32281" s="39"/>
      <c r="E32281" s="39"/>
      <c r="F32281" s="39"/>
    </row>
    <row r="32282">
      <c r="D32282" s="39"/>
      <c r="E32282" s="39"/>
      <c r="F32282" s="39"/>
    </row>
    <row r="32283">
      <c r="D32283" s="39"/>
      <c r="E32283" s="39"/>
      <c r="F32283" s="39"/>
    </row>
    <row r="32284">
      <c r="D32284" s="39"/>
      <c r="E32284" s="39"/>
      <c r="F32284" s="39"/>
    </row>
    <row r="32285">
      <c r="D32285" s="39"/>
      <c r="E32285" s="39"/>
      <c r="F32285" s="39"/>
    </row>
    <row r="32286">
      <c r="D32286" s="39"/>
      <c r="E32286" s="39"/>
      <c r="F32286" s="39"/>
    </row>
    <row r="32287">
      <c r="D32287" s="39"/>
      <c r="E32287" s="39"/>
      <c r="F32287" s="39"/>
    </row>
    <row r="32288">
      <c r="D32288" s="39"/>
      <c r="E32288" s="39"/>
      <c r="F32288" s="39"/>
    </row>
    <row r="32289">
      <c r="D32289" s="39"/>
      <c r="E32289" s="39"/>
      <c r="F32289" s="39"/>
    </row>
    <row r="32290">
      <c r="D32290" s="39"/>
      <c r="E32290" s="39"/>
      <c r="F32290" s="39"/>
    </row>
    <row r="32291">
      <c r="D32291" s="39"/>
      <c r="E32291" s="39"/>
      <c r="F32291" s="39"/>
    </row>
    <row r="32292">
      <c r="D32292" s="39"/>
      <c r="E32292" s="39"/>
      <c r="F32292" s="39"/>
    </row>
    <row r="32293">
      <c r="D32293" s="39"/>
      <c r="E32293" s="39"/>
      <c r="F32293" s="39"/>
    </row>
    <row r="32294">
      <c r="D32294" s="39"/>
      <c r="E32294" s="39"/>
      <c r="F32294" s="39"/>
    </row>
    <row r="32295">
      <c r="D32295" s="39"/>
      <c r="E32295" s="39"/>
      <c r="F32295" s="39"/>
    </row>
    <row r="32296">
      <c r="D32296" s="39"/>
      <c r="E32296" s="39"/>
      <c r="F32296" s="39"/>
    </row>
    <row r="32297">
      <c r="D32297" s="39"/>
      <c r="E32297" s="39"/>
      <c r="F32297" s="39"/>
    </row>
    <row r="32298">
      <c r="D32298" s="39"/>
      <c r="E32298" s="39"/>
      <c r="F32298" s="39"/>
    </row>
    <row r="32299">
      <c r="D32299" s="39"/>
      <c r="E32299" s="39"/>
      <c r="F32299" s="39"/>
    </row>
    <row r="32300">
      <c r="D32300" s="39"/>
      <c r="E32300" s="39"/>
      <c r="F32300" s="39"/>
    </row>
    <row r="32301">
      <c r="D32301" s="39"/>
      <c r="E32301" s="39"/>
      <c r="F32301" s="39"/>
    </row>
    <row r="32302">
      <c r="D32302" s="39"/>
      <c r="E32302" s="39"/>
      <c r="F32302" s="39"/>
    </row>
    <row r="32303">
      <c r="D32303" s="39"/>
      <c r="E32303" s="39"/>
      <c r="F32303" s="39"/>
    </row>
    <row r="32304">
      <c r="D32304" s="39"/>
      <c r="E32304" s="39"/>
      <c r="F32304" s="39"/>
    </row>
    <row r="32305">
      <c r="D32305" s="39"/>
      <c r="E32305" s="39"/>
      <c r="F32305" s="39"/>
    </row>
    <row r="32306">
      <c r="D32306" s="39"/>
      <c r="E32306" s="39"/>
      <c r="F32306" s="39"/>
    </row>
    <row r="32307">
      <c r="D32307" s="39"/>
      <c r="E32307" s="39"/>
      <c r="F32307" s="39"/>
    </row>
    <row r="32308">
      <c r="D32308" s="39"/>
      <c r="E32308" s="39"/>
      <c r="F32308" s="39"/>
    </row>
    <row r="32309">
      <c r="D32309" s="39"/>
      <c r="E32309" s="39"/>
      <c r="F32309" s="39"/>
    </row>
    <row r="32310">
      <c r="D32310" s="39"/>
      <c r="E32310" s="39"/>
      <c r="F32310" s="39"/>
    </row>
    <row r="32311">
      <c r="D32311" s="39"/>
      <c r="E32311" s="39"/>
      <c r="F32311" s="39"/>
    </row>
    <row r="32312">
      <c r="D32312" s="39"/>
      <c r="E32312" s="39"/>
      <c r="F32312" s="39"/>
    </row>
    <row r="32313">
      <c r="D32313" s="39"/>
      <c r="E32313" s="39"/>
      <c r="F32313" s="39"/>
    </row>
    <row r="32314">
      <c r="D32314" s="39"/>
      <c r="E32314" s="39"/>
      <c r="F32314" s="39"/>
    </row>
    <row r="32315">
      <c r="D32315" s="39"/>
      <c r="E32315" s="39"/>
      <c r="F32315" s="39"/>
    </row>
    <row r="32316">
      <c r="D32316" s="39"/>
      <c r="E32316" s="39"/>
      <c r="F32316" s="39"/>
    </row>
    <row r="32317">
      <c r="D32317" s="39"/>
      <c r="E32317" s="39"/>
      <c r="F32317" s="39"/>
    </row>
    <row r="32318">
      <c r="D32318" s="39"/>
      <c r="E32318" s="39"/>
      <c r="F32318" s="39"/>
    </row>
    <row r="32319">
      <c r="D32319" s="39"/>
      <c r="E32319" s="39"/>
      <c r="F32319" s="39"/>
    </row>
    <row r="32320">
      <c r="D32320" s="39"/>
      <c r="E32320" s="39"/>
      <c r="F32320" s="39"/>
    </row>
    <row r="32321">
      <c r="D32321" s="39"/>
      <c r="E32321" s="39"/>
      <c r="F32321" s="39"/>
    </row>
    <row r="32322">
      <c r="D32322" s="39"/>
      <c r="E32322" s="39"/>
      <c r="F32322" s="39"/>
    </row>
    <row r="32323">
      <c r="D32323" s="39"/>
      <c r="E32323" s="39"/>
      <c r="F32323" s="39"/>
    </row>
    <row r="32324">
      <c r="D32324" s="39"/>
      <c r="E32324" s="39"/>
      <c r="F32324" s="39"/>
    </row>
    <row r="32325">
      <c r="D32325" s="39"/>
      <c r="E32325" s="39"/>
      <c r="F32325" s="39"/>
    </row>
    <row r="32326">
      <c r="D32326" s="39"/>
      <c r="E32326" s="39"/>
      <c r="F32326" s="39"/>
    </row>
    <row r="32327">
      <c r="D32327" s="39"/>
      <c r="E32327" s="39"/>
      <c r="F32327" s="39"/>
    </row>
    <row r="32328">
      <c r="D32328" s="39"/>
      <c r="E32328" s="39"/>
      <c r="F32328" s="39"/>
    </row>
    <row r="32329">
      <c r="D32329" s="39"/>
      <c r="E32329" s="39"/>
      <c r="F32329" s="39"/>
    </row>
    <row r="32330">
      <c r="D32330" s="39"/>
      <c r="E32330" s="39"/>
      <c r="F32330" s="39"/>
    </row>
    <row r="32331">
      <c r="D32331" s="39"/>
      <c r="E32331" s="39"/>
      <c r="F32331" s="39"/>
    </row>
    <row r="32332">
      <c r="D32332" s="39"/>
      <c r="E32332" s="39"/>
      <c r="F32332" s="39"/>
    </row>
    <row r="32333">
      <c r="D32333" s="39"/>
      <c r="E32333" s="39"/>
      <c r="F32333" s="39"/>
    </row>
    <row r="32334">
      <c r="D32334" s="39"/>
      <c r="E32334" s="39"/>
      <c r="F32334" s="39"/>
    </row>
    <row r="32335">
      <c r="D32335" s="39"/>
      <c r="E32335" s="39"/>
      <c r="F32335" s="39"/>
    </row>
    <row r="32336">
      <c r="D32336" s="39"/>
      <c r="E32336" s="39"/>
      <c r="F32336" s="39"/>
    </row>
    <row r="32337">
      <c r="D32337" s="39"/>
      <c r="E32337" s="39"/>
      <c r="F32337" s="39"/>
    </row>
    <row r="32338">
      <c r="D32338" s="39"/>
      <c r="E32338" s="39"/>
      <c r="F32338" s="39"/>
    </row>
    <row r="32339">
      <c r="D32339" s="39"/>
      <c r="E32339" s="39"/>
      <c r="F32339" s="39"/>
    </row>
    <row r="32340">
      <c r="D32340" s="39"/>
      <c r="E32340" s="39"/>
      <c r="F32340" s="39"/>
    </row>
    <row r="32341">
      <c r="D32341" s="39"/>
      <c r="E32341" s="39"/>
      <c r="F32341" s="39"/>
    </row>
    <row r="32342">
      <c r="D32342" s="39"/>
      <c r="E32342" s="39"/>
      <c r="F32342" s="39"/>
    </row>
    <row r="32343">
      <c r="D32343" s="39"/>
      <c r="E32343" s="39"/>
      <c r="F32343" s="39"/>
    </row>
    <row r="32344">
      <c r="D32344" s="39"/>
      <c r="E32344" s="39"/>
      <c r="F32344" s="39"/>
    </row>
    <row r="32345">
      <c r="D32345" s="39"/>
      <c r="E32345" s="39"/>
      <c r="F32345" s="39"/>
    </row>
    <row r="32346">
      <c r="D32346" s="39"/>
      <c r="E32346" s="39"/>
      <c r="F32346" s="39"/>
    </row>
    <row r="32347">
      <c r="D32347" s="39"/>
      <c r="E32347" s="39"/>
      <c r="F32347" s="39"/>
    </row>
    <row r="32348">
      <c r="D32348" s="39"/>
      <c r="E32348" s="39"/>
      <c r="F32348" s="39"/>
    </row>
    <row r="32349">
      <c r="D32349" s="39"/>
      <c r="E32349" s="39"/>
      <c r="F32349" s="39"/>
    </row>
    <row r="32350">
      <c r="D32350" s="39"/>
      <c r="E32350" s="39"/>
      <c r="F32350" s="39"/>
    </row>
    <row r="32351">
      <c r="D32351" s="39"/>
      <c r="E32351" s="39"/>
      <c r="F32351" s="39"/>
    </row>
    <row r="32352">
      <c r="D32352" s="39"/>
      <c r="E32352" s="39"/>
      <c r="F32352" s="39"/>
    </row>
    <row r="32353">
      <c r="D32353" s="39"/>
      <c r="E32353" s="39"/>
      <c r="F32353" s="39"/>
    </row>
    <row r="32354">
      <c r="D32354" s="39"/>
      <c r="E32354" s="39"/>
      <c r="F32354" s="39"/>
    </row>
    <row r="32355">
      <c r="D32355" s="39"/>
      <c r="E32355" s="39"/>
      <c r="F32355" s="39"/>
    </row>
    <row r="32356">
      <c r="D32356" s="39"/>
      <c r="E32356" s="39"/>
      <c r="F32356" s="39"/>
    </row>
    <row r="32357">
      <c r="D32357" s="39"/>
      <c r="E32357" s="39"/>
      <c r="F32357" s="39"/>
    </row>
    <row r="32358">
      <c r="D32358" s="39"/>
      <c r="E32358" s="39"/>
      <c r="F32358" s="39"/>
    </row>
    <row r="32359">
      <c r="D32359" s="39"/>
      <c r="E32359" s="39"/>
      <c r="F32359" s="39"/>
    </row>
    <row r="32360">
      <c r="D32360" s="39"/>
      <c r="E32360" s="39"/>
      <c r="F32360" s="39"/>
    </row>
    <row r="32361">
      <c r="D32361" s="39"/>
      <c r="E32361" s="39"/>
      <c r="F32361" s="39"/>
    </row>
    <row r="32362">
      <c r="D32362" s="39"/>
      <c r="E32362" s="39"/>
      <c r="F32362" s="39"/>
    </row>
    <row r="32363">
      <c r="D32363" s="39"/>
      <c r="E32363" s="39"/>
      <c r="F32363" s="39"/>
    </row>
    <row r="32364">
      <c r="D32364" s="39"/>
      <c r="E32364" s="39"/>
      <c r="F32364" s="39"/>
    </row>
    <row r="32365">
      <c r="D32365" s="39"/>
      <c r="E32365" s="39"/>
      <c r="F32365" s="39"/>
    </row>
    <row r="32366">
      <c r="D32366" s="39"/>
      <c r="E32366" s="39"/>
      <c r="F32366" s="39"/>
    </row>
    <row r="32367">
      <c r="D32367" s="39"/>
      <c r="E32367" s="39"/>
      <c r="F32367" s="39"/>
    </row>
    <row r="32368">
      <c r="D32368" s="39"/>
      <c r="E32368" s="39"/>
      <c r="F32368" s="39"/>
    </row>
    <row r="32369">
      <c r="D32369" s="39"/>
      <c r="E32369" s="39"/>
      <c r="F32369" s="39"/>
    </row>
    <row r="32370">
      <c r="D32370" s="39"/>
      <c r="E32370" s="39"/>
      <c r="F32370" s="39"/>
    </row>
    <row r="32371">
      <c r="D32371" s="39"/>
      <c r="E32371" s="39"/>
      <c r="F32371" s="39"/>
    </row>
    <row r="32372">
      <c r="D32372" s="39"/>
      <c r="E32372" s="39"/>
      <c r="F32372" s="39"/>
    </row>
    <row r="32373">
      <c r="D32373" s="39"/>
      <c r="E32373" s="39"/>
      <c r="F32373" s="39"/>
    </row>
    <row r="32374">
      <c r="D32374" s="39"/>
      <c r="E32374" s="39"/>
      <c r="F32374" s="39"/>
    </row>
    <row r="32375">
      <c r="D32375" s="39"/>
      <c r="E32375" s="39"/>
      <c r="F32375" s="39"/>
    </row>
    <row r="32376">
      <c r="D32376" s="39"/>
      <c r="E32376" s="39"/>
      <c r="F32376" s="39"/>
    </row>
    <row r="32377">
      <c r="D32377" s="39"/>
      <c r="E32377" s="39"/>
      <c r="F32377" s="39"/>
    </row>
    <row r="32378">
      <c r="D32378" s="39"/>
      <c r="E32378" s="39"/>
      <c r="F32378" s="39"/>
    </row>
    <row r="32379">
      <c r="D32379" s="39"/>
      <c r="E32379" s="39"/>
      <c r="F32379" s="39"/>
    </row>
    <row r="32380">
      <c r="D32380" s="39"/>
      <c r="E32380" s="39"/>
      <c r="F32380" s="39"/>
    </row>
    <row r="32381">
      <c r="D32381" s="39"/>
      <c r="E32381" s="39"/>
      <c r="F32381" s="39"/>
    </row>
    <row r="32382">
      <c r="D32382" s="39"/>
      <c r="E32382" s="39"/>
      <c r="F32382" s="39"/>
    </row>
    <row r="32383">
      <c r="D32383" s="39"/>
      <c r="E32383" s="39"/>
      <c r="F32383" s="39"/>
    </row>
    <row r="32384">
      <c r="D32384" s="39"/>
      <c r="E32384" s="39"/>
      <c r="F32384" s="39"/>
    </row>
    <row r="32385">
      <c r="D32385" s="39"/>
      <c r="E32385" s="39"/>
      <c r="F32385" s="39"/>
    </row>
    <row r="32386">
      <c r="D32386" s="39"/>
      <c r="E32386" s="39"/>
      <c r="F32386" s="39"/>
    </row>
    <row r="32387">
      <c r="D32387" s="39"/>
      <c r="E32387" s="39"/>
      <c r="F32387" s="39"/>
    </row>
    <row r="32388">
      <c r="D32388" s="39"/>
      <c r="E32388" s="39"/>
      <c r="F32388" s="39"/>
    </row>
    <row r="32389">
      <c r="D32389" s="39"/>
      <c r="E32389" s="39"/>
      <c r="F32389" s="39"/>
    </row>
    <row r="32390">
      <c r="D32390" s="39"/>
      <c r="E32390" s="39"/>
      <c r="F32390" s="39"/>
    </row>
    <row r="32391">
      <c r="D32391" s="39"/>
      <c r="E32391" s="39"/>
      <c r="F32391" s="39"/>
    </row>
    <row r="32392">
      <c r="D32392" s="39"/>
      <c r="E32392" s="39"/>
      <c r="F32392" s="39"/>
    </row>
    <row r="32393">
      <c r="D32393" s="39"/>
      <c r="E32393" s="39"/>
      <c r="F32393" s="39"/>
    </row>
    <row r="32394">
      <c r="D32394" s="39"/>
      <c r="E32394" s="39"/>
      <c r="F32394" s="39"/>
    </row>
    <row r="32395">
      <c r="D32395" s="39"/>
      <c r="E32395" s="39"/>
      <c r="F32395" s="39"/>
    </row>
    <row r="32396">
      <c r="D32396" s="39"/>
      <c r="E32396" s="39"/>
      <c r="F32396" s="39"/>
    </row>
    <row r="32397">
      <c r="D32397" s="39"/>
      <c r="E32397" s="39"/>
      <c r="F32397" s="39"/>
    </row>
    <row r="32398">
      <c r="D32398" s="39"/>
      <c r="E32398" s="39"/>
      <c r="F32398" s="39"/>
    </row>
    <row r="32399">
      <c r="D32399" s="39"/>
      <c r="E32399" s="39"/>
      <c r="F32399" s="39"/>
    </row>
    <row r="32400">
      <c r="D32400" s="39"/>
      <c r="E32400" s="39"/>
      <c r="F32400" s="39"/>
    </row>
    <row r="32401">
      <c r="D32401" s="39"/>
      <c r="E32401" s="39"/>
      <c r="F32401" s="39"/>
    </row>
    <row r="32402">
      <c r="D32402" s="39"/>
      <c r="E32402" s="39"/>
      <c r="F32402" s="39"/>
    </row>
    <row r="32403">
      <c r="D32403" s="39"/>
      <c r="E32403" s="39"/>
      <c r="F32403" s="39"/>
    </row>
    <row r="32404">
      <c r="D32404" s="39"/>
      <c r="E32404" s="39"/>
      <c r="F32404" s="39"/>
    </row>
    <row r="32405">
      <c r="D32405" s="39"/>
      <c r="E32405" s="39"/>
      <c r="F32405" s="39"/>
    </row>
    <row r="32406">
      <c r="D32406" s="39"/>
      <c r="E32406" s="39"/>
      <c r="F32406" s="39"/>
    </row>
    <row r="32407">
      <c r="D32407" s="39"/>
      <c r="E32407" s="39"/>
      <c r="F32407" s="39"/>
    </row>
    <row r="32408">
      <c r="D32408" s="39"/>
      <c r="E32408" s="39"/>
      <c r="F32408" s="39"/>
    </row>
    <row r="32409">
      <c r="D32409" s="39"/>
      <c r="E32409" s="39"/>
      <c r="F32409" s="39"/>
    </row>
    <row r="32410">
      <c r="D32410" s="39"/>
      <c r="E32410" s="39"/>
      <c r="F32410" s="39"/>
    </row>
    <row r="32411">
      <c r="D32411" s="39"/>
      <c r="E32411" s="39"/>
      <c r="F32411" s="39"/>
    </row>
    <row r="32412">
      <c r="D32412" s="39"/>
      <c r="E32412" s="39"/>
      <c r="F32412" s="39"/>
    </row>
    <row r="32413">
      <c r="D32413" s="39"/>
      <c r="E32413" s="39"/>
      <c r="F32413" s="39"/>
    </row>
    <row r="32414">
      <c r="D32414" s="39"/>
      <c r="E32414" s="39"/>
      <c r="F32414" s="39"/>
    </row>
    <row r="32415">
      <c r="D32415" s="39"/>
      <c r="E32415" s="39"/>
      <c r="F32415" s="39"/>
    </row>
    <row r="32416">
      <c r="D32416" s="39"/>
      <c r="E32416" s="39"/>
      <c r="F32416" s="39"/>
    </row>
    <row r="32417">
      <c r="D32417" s="39"/>
      <c r="E32417" s="39"/>
      <c r="F32417" s="39"/>
    </row>
    <row r="32418">
      <c r="D32418" s="39"/>
      <c r="E32418" s="39"/>
      <c r="F32418" s="39"/>
    </row>
    <row r="32419">
      <c r="D32419" s="39"/>
      <c r="E32419" s="39"/>
      <c r="F32419" s="39"/>
    </row>
    <row r="32420">
      <c r="D32420" s="39"/>
      <c r="E32420" s="39"/>
      <c r="F32420" s="39"/>
    </row>
    <row r="32421">
      <c r="D32421" s="39"/>
      <c r="E32421" s="39"/>
      <c r="F32421" s="39"/>
    </row>
    <row r="32422">
      <c r="D32422" s="39"/>
      <c r="E32422" s="39"/>
      <c r="F32422" s="39"/>
    </row>
    <row r="32423">
      <c r="D32423" s="39"/>
      <c r="E32423" s="39"/>
      <c r="F32423" s="39"/>
    </row>
    <row r="32424">
      <c r="D32424" s="39"/>
      <c r="E32424" s="39"/>
      <c r="F32424" s="39"/>
    </row>
    <row r="32425">
      <c r="D32425" s="39"/>
      <c r="E32425" s="39"/>
      <c r="F32425" s="39"/>
    </row>
    <row r="32426">
      <c r="D32426" s="39"/>
      <c r="E32426" s="39"/>
      <c r="F32426" s="39"/>
    </row>
    <row r="32427">
      <c r="D32427" s="39"/>
      <c r="E32427" s="39"/>
      <c r="F32427" s="39"/>
    </row>
    <row r="32428">
      <c r="D32428" s="39"/>
      <c r="E32428" s="39"/>
      <c r="F32428" s="39"/>
    </row>
    <row r="32429">
      <c r="D32429" s="39"/>
      <c r="E32429" s="39"/>
      <c r="F32429" s="39"/>
    </row>
    <row r="32430">
      <c r="D32430" s="39"/>
      <c r="E32430" s="39"/>
      <c r="F32430" s="39"/>
    </row>
    <row r="32431">
      <c r="D32431" s="39"/>
      <c r="E32431" s="39"/>
      <c r="F32431" s="39"/>
    </row>
    <row r="32432">
      <c r="D32432" s="39"/>
      <c r="E32432" s="39"/>
      <c r="F32432" s="39"/>
    </row>
    <row r="32433">
      <c r="D32433" s="39"/>
      <c r="E32433" s="39"/>
      <c r="F32433" s="39"/>
    </row>
    <row r="32434">
      <c r="D32434" s="39"/>
      <c r="E32434" s="39"/>
      <c r="F32434" s="39"/>
    </row>
    <row r="32435">
      <c r="D32435" s="39"/>
      <c r="E32435" s="39"/>
      <c r="F32435" s="39"/>
    </row>
    <row r="32436">
      <c r="D32436" s="39"/>
      <c r="E32436" s="39"/>
      <c r="F32436" s="39"/>
    </row>
    <row r="32437">
      <c r="D32437" s="39"/>
      <c r="E32437" s="39"/>
      <c r="F32437" s="39"/>
    </row>
    <row r="32438">
      <c r="D32438" s="39"/>
      <c r="E32438" s="39"/>
      <c r="F32438" s="39"/>
    </row>
    <row r="32439">
      <c r="D32439" s="39"/>
      <c r="E32439" s="39"/>
      <c r="F32439" s="39"/>
    </row>
    <row r="32440">
      <c r="D32440" s="39"/>
      <c r="E32440" s="39"/>
      <c r="F32440" s="39"/>
    </row>
    <row r="32441">
      <c r="D32441" s="39"/>
      <c r="E32441" s="39"/>
      <c r="F32441" s="39"/>
    </row>
    <row r="32442">
      <c r="D32442" s="39"/>
      <c r="E32442" s="39"/>
      <c r="F32442" s="39"/>
    </row>
    <row r="32443">
      <c r="D32443" s="39"/>
      <c r="E32443" s="39"/>
      <c r="F32443" s="39"/>
    </row>
    <row r="32444">
      <c r="D32444" s="39"/>
      <c r="E32444" s="39"/>
      <c r="F32444" s="39"/>
    </row>
    <row r="32445">
      <c r="D32445" s="39"/>
      <c r="E32445" s="39"/>
      <c r="F32445" s="39"/>
    </row>
    <row r="32446">
      <c r="D32446" s="39"/>
      <c r="E32446" s="39"/>
      <c r="F32446" s="39"/>
    </row>
    <row r="32447">
      <c r="D32447" s="39"/>
      <c r="E32447" s="39"/>
      <c r="F32447" s="39"/>
    </row>
    <row r="32448">
      <c r="D32448" s="39"/>
      <c r="E32448" s="39"/>
      <c r="F32448" s="39"/>
    </row>
    <row r="32449">
      <c r="D32449" s="39"/>
      <c r="E32449" s="39"/>
      <c r="F32449" s="39"/>
    </row>
    <row r="32450">
      <c r="D32450" s="39"/>
      <c r="E32450" s="39"/>
      <c r="F32450" s="39"/>
    </row>
    <row r="32451">
      <c r="D32451" s="39"/>
      <c r="E32451" s="39"/>
      <c r="F32451" s="39"/>
    </row>
    <row r="32452">
      <c r="D32452" s="39"/>
      <c r="E32452" s="39"/>
      <c r="F32452" s="39"/>
    </row>
    <row r="32453">
      <c r="D32453" s="39"/>
      <c r="E32453" s="39"/>
      <c r="F32453" s="39"/>
    </row>
    <row r="32454">
      <c r="D32454" s="39"/>
      <c r="E32454" s="39"/>
      <c r="F32454" s="39"/>
    </row>
    <row r="32455">
      <c r="D32455" s="39"/>
      <c r="E32455" s="39"/>
      <c r="F32455" s="39"/>
    </row>
    <row r="32456">
      <c r="D32456" s="39"/>
      <c r="E32456" s="39"/>
      <c r="F32456" s="39"/>
    </row>
    <row r="32457">
      <c r="D32457" s="39"/>
      <c r="E32457" s="39"/>
      <c r="F32457" s="39"/>
    </row>
    <row r="32458">
      <c r="D32458" s="39"/>
      <c r="E32458" s="39"/>
      <c r="F32458" s="39"/>
    </row>
    <row r="32459">
      <c r="D32459" s="39"/>
      <c r="E32459" s="39"/>
      <c r="F32459" s="39"/>
    </row>
    <row r="32460">
      <c r="D32460" s="39"/>
      <c r="E32460" s="39"/>
      <c r="F32460" s="39"/>
    </row>
    <row r="32461">
      <c r="D32461" s="39"/>
      <c r="E32461" s="39"/>
      <c r="F32461" s="39"/>
    </row>
    <row r="32462">
      <c r="D32462" s="39"/>
      <c r="E32462" s="39"/>
      <c r="F32462" s="39"/>
    </row>
    <row r="32463">
      <c r="D32463" s="39"/>
      <c r="E32463" s="39"/>
      <c r="F32463" s="39"/>
    </row>
    <row r="32464">
      <c r="D32464" s="39"/>
      <c r="E32464" s="39"/>
      <c r="F32464" s="39"/>
    </row>
    <row r="32465">
      <c r="D32465" s="39"/>
      <c r="E32465" s="39"/>
      <c r="F32465" s="39"/>
    </row>
    <row r="32466">
      <c r="D32466" s="39"/>
      <c r="E32466" s="39"/>
      <c r="F32466" s="39"/>
    </row>
    <row r="32467">
      <c r="D32467" s="39"/>
      <c r="E32467" s="39"/>
      <c r="F32467" s="39"/>
    </row>
    <row r="32468">
      <c r="D32468" s="39"/>
      <c r="E32468" s="39"/>
      <c r="F32468" s="39"/>
    </row>
    <row r="32469">
      <c r="D32469" s="39"/>
      <c r="E32469" s="39"/>
      <c r="F32469" s="39"/>
    </row>
    <row r="32470">
      <c r="D32470" s="39"/>
      <c r="E32470" s="39"/>
      <c r="F32470" s="39"/>
    </row>
    <row r="32471">
      <c r="D32471" s="39"/>
      <c r="E32471" s="39"/>
      <c r="F32471" s="39"/>
    </row>
    <row r="32472">
      <c r="D32472" s="39"/>
      <c r="E32472" s="39"/>
      <c r="F32472" s="39"/>
    </row>
    <row r="32473">
      <c r="D32473" s="39"/>
      <c r="E32473" s="39"/>
      <c r="F32473" s="39"/>
    </row>
    <row r="32474">
      <c r="D32474" s="39"/>
      <c r="E32474" s="39"/>
      <c r="F32474" s="39"/>
    </row>
    <row r="32475">
      <c r="D32475" s="39"/>
      <c r="E32475" s="39"/>
      <c r="F32475" s="39"/>
    </row>
    <row r="32476">
      <c r="D32476" s="39"/>
      <c r="E32476" s="39"/>
      <c r="F32476" s="39"/>
    </row>
    <row r="32477">
      <c r="D32477" s="39"/>
      <c r="E32477" s="39"/>
      <c r="F32477" s="39"/>
    </row>
    <row r="32478">
      <c r="D32478" s="39"/>
      <c r="E32478" s="39"/>
      <c r="F32478" s="39"/>
    </row>
    <row r="32479">
      <c r="D32479" s="39"/>
      <c r="E32479" s="39"/>
      <c r="F32479" s="39"/>
    </row>
    <row r="32480">
      <c r="D32480" s="39"/>
      <c r="E32480" s="39"/>
      <c r="F32480" s="39"/>
    </row>
    <row r="32481">
      <c r="D32481" s="39"/>
      <c r="E32481" s="39"/>
      <c r="F32481" s="39"/>
    </row>
    <row r="32482">
      <c r="D32482" s="39"/>
      <c r="E32482" s="39"/>
      <c r="F32482" s="39"/>
    </row>
    <row r="32483">
      <c r="D32483" s="39"/>
      <c r="E32483" s="39"/>
      <c r="F32483" s="39"/>
    </row>
    <row r="32484">
      <c r="D32484" s="39"/>
      <c r="E32484" s="39"/>
      <c r="F32484" s="39"/>
    </row>
    <row r="32485">
      <c r="D32485" s="39"/>
      <c r="E32485" s="39"/>
      <c r="F32485" s="39"/>
    </row>
    <row r="32486">
      <c r="D32486" s="39"/>
      <c r="E32486" s="39"/>
      <c r="F32486" s="39"/>
    </row>
    <row r="32487">
      <c r="D32487" s="39"/>
      <c r="E32487" s="39"/>
      <c r="F32487" s="39"/>
    </row>
    <row r="32488">
      <c r="D32488" s="39"/>
      <c r="E32488" s="39"/>
      <c r="F32488" s="39"/>
    </row>
    <row r="32489">
      <c r="D32489" s="39"/>
      <c r="E32489" s="39"/>
      <c r="F32489" s="39"/>
    </row>
    <row r="32490">
      <c r="D32490" s="39"/>
      <c r="E32490" s="39"/>
      <c r="F32490" s="39"/>
    </row>
    <row r="32491">
      <c r="D32491" s="39"/>
      <c r="E32491" s="39"/>
      <c r="F32491" s="39"/>
    </row>
    <row r="32492">
      <c r="D32492" s="39"/>
      <c r="E32492" s="39"/>
      <c r="F32492" s="39"/>
    </row>
    <row r="32493">
      <c r="D32493" s="39"/>
      <c r="E32493" s="39"/>
      <c r="F32493" s="39"/>
    </row>
    <row r="32494">
      <c r="D32494" s="39"/>
      <c r="E32494" s="39"/>
      <c r="F32494" s="39"/>
    </row>
    <row r="32495">
      <c r="D32495" s="39"/>
      <c r="E32495" s="39"/>
      <c r="F32495" s="39"/>
    </row>
    <row r="32496">
      <c r="D32496" s="39"/>
      <c r="E32496" s="39"/>
      <c r="F32496" s="39"/>
    </row>
    <row r="32497">
      <c r="D32497" s="39"/>
      <c r="E32497" s="39"/>
      <c r="F32497" s="39"/>
    </row>
    <row r="32498">
      <c r="D32498" s="39"/>
      <c r="E32498" s="39"/>
      <c r="F32498" s="39"/>
    </row>
    <row r="32499">
      <c r="D32499" s="39"/>
      <c r="E32499" s="39"/>
      <c r="F32499" s="39"/>
    </row>
    <row r="32500">
      <c r="D32500" s="39"/>
      <c r="E32500" s="39"/>
      <c r="F32500" s="39"/>
    </row>
    <row r="32501">
      <c r="D32501" s="39"/>
      <c r="E32501" s="39"/>
      <c r="F32501" s="39"/>
    </row>
    <row r="32502">
      <c r="D32502" s="39"/>
      <c r="E32502" s="39"/>
      <c r="F32502" s="39"/>
    </row>
    <row r="32503">
      <c r="D32503" s="39"/>
      <c r="E32503" s="39"/>
      <c r="F32503" s="39"/>
    </row>
    <row r="32504">
      <c r="D32504" s="39"/>
      <c r="E32504" s="39"/>
      <c r="F32504" s="39"/>
    </row>
    <row r="32505">
      <c r="D32505" s="39"/>
      <c r="E32505" s="39"/>
      <c r="F32505" s="39"/>
    </row>
    <row r="32506">
      <c r="D32506" s="39"/>
      <c r="E32506" s="39"/>
      <c r="F32506" s="39"/>
    </row>
    <row r="32507">
      <c r="D32507" s="39"/>
      <c r="E32507" s="39"/>
      <c r="F32507" s="39"/>
    </row>
    <row r="32508">
      <c r="D32508" s="39"/>
      <c r="E32508" s="39"/>
      <c r="F32508" s="39"/>
    </row>
    <row r="32509">
      <c r="D32509" s="39"/>
      <c r="E32509" s="39"/>
      <c r="F32509" s="39"/>
    </row>
    <row r="32510">
      <c r="D32510" s="39"/>
      <c r="E32510" s="39"/>
      <c r="F32510" s="39"/>
    </row>
    <row r="32511">
      <c r="D32511" s="39"/>
      <c r="E32511" s="39"/>
      <c r="F32511" s="39"/>
    </row>
    <row r="32512">
      <c r="D32512" s="39"/>
      <c r="E32512" s="39"/>
      <c r="F32512" s="39"/>
    </row>
    <row r="32513">
      <c r="D32513" s="39"/>
      <c r="E32513" s="39"/>
      <c r="F32513" s="39"/>
    </row>
    <row r="32514">
      <c r="D32514" s="39"/>
      <c r="E32514" s="39"/>
      <c r="F32514" s="39"/>
    </row>
    <row r="32515">
      <c r="D32515" s="39"/>
      <c r="E32515" s="39"/>
      <c r="F32515" s="39"/>
    </row>
    <row r="32516">
      <c r="D32516" s="39"/>
      <c r="E32516" s="39"/>
      <c r="F32516" s="39"/>
    </row>
    <row r="32517">
      <c r="D32517" s="39"/>
      <c r="E32517" s="39"/>
      <c r="F32517" s="39"/>
    </row>
    <row r="32518">
      <c r="D32518" s="39"/>
      <c r="E32518" s="39"/>
      <c r="F32518" s="39"/>
    </row>
    <row r="32519">
      <c r="D32519" s="39"/>
      <c r="E32519" s="39"/>
      <c r="F32519" s="39"/>
    </row>
    <row r="32520">
      <c r="D32520" s="39"/>
      <c r="E32520" s="39"/>
      <c r="F32520" s="39"/>
    </row>
    <row r="32521">
      <c r="D32521" s="39"/>
      <c r="E32521" s="39"/>
      <c r="F32521" s="39"/>
    </row>
    <row r="32522">
      <c r="D32522" s="39"/>
      <c r="E32522" s="39"/>
      <c r="F32522" s="39"/>
    </row>
    <row r="32523">
      <c r="D32523" s="39"/>
      <c r="E32523" s="39"/>
      <c r="F32523" s="39"/>
    </row>
    <row r="32524">
      <c r="D32524" s="39"/>
      <c r="E32524" s="39"/>
      <c r="F32524" s="39"/>
    </row>
    <row r="32525">
      <c r="D32525" s="39"/>
      <c r="E32525" s="39"/>
      <c r="F32525" s="39"/>
    </row>
    <row r="32526">
      <c r="D32526" s="39"/>
      <c r="E32526" s="39"/>
      <c r="F32526" s="39"/>
    </row>
    <row r="32527">
      <c r="D32527" s="39"/>
      <c r="E32527" s="39"/>
      <c r="F32527" s="39"/>
    </row>
    <row r="32528">
      <c r="D32528" s="39"/>
      <c r="E32528" s="39"/>
      <c r="F32528" s="39"/>
    </row>
    <row r="32529">
      <c r="D32529" s="39"/>
      <c r="E32529" s="39"/>
      <c r="F32529" s="39"/>
    </row>
    <row r="32530">
      <c r="D32530" s="39"/>
      <c r="E32530" s="39"/>
      <c r="F32530" s="39"/>
    </row>
    <row r="32531">
      <c r="D32531" s="39"/>
      <c r="E32531" s="39"/>
      <c r="F32531" s="39"/>
    </row>
    <row r="32532">
      <c r="D32532" s="39"/>
      <c r="E32532" s="39"/>
      <c r="F32532" s="39"/>
    </row>
    <row r="32533">
      <c r="D32533" s="39"/>
      <c r="E32533" s="39"/>
      <c r="F32533" s="39"/>
    </row>
    <row r="32534">
      <c r="D32534" s="39"/>
      <c r="E32534" s="39"/>
      <c r="F32534" s="39"/>
    </row>
    <row r="32535">
      <c r="D32535" s="39"/>
      <c r="E32535" s="39"/>
      <c r="F32535" s="39"/>
    </row>
    <row r="32536">
      <c r="D32536" s="39"/>
      <c r="E32536" s="39"/>
      <c r="F32536" s="39"/>
    </row>
    <row r="32537">
      <c r="D32537" s="39"/>
      <c r="E32537" s="39"/>
      <c r="F32537" s="39"/>
    </row>
    <row r="32538">
      <c r="D32538" s="39"/>
      <c r="E32538" s="39"/>
      <c r="F32538" s="39"/>
    </row>
    <row r="32539">
      <c r="D32539" s="39"/>
      <c r="E32539" s="39"/>
      <c r="F32539" s="39"/>
    </row>
    <row r="32540">
      <c r="D32540" s="39"/>
      <c r="E32540" s="39"/>
      <c r="F32540" s="39"/>
    </row>
    <row r="32541">
      <c r="D32541" s="39"/>
      <c r="E32541" s="39"/>
      <c r="F32541" s="39"/>
    </row>
    <row r="32542">
      <c r="D32542" s="39"/>
      <c r="E32542" s="39"/>
      <c r="F32542" s="39"/>
    </row>
    <row r="32543">
      <c r="D32543" s="39"/>
      <c r="E32543" s="39"/>
      <c r="F32543" s="39"/>
    </row>
    <row r="32544">
      <c r="D32544" s="39"/>
      <c r="E32544" s="39"/>
      <c r="F32544" s="39"/>
    </row>
    <row r="32545">
      <c r="D32545" s="39"/>
      <c r="E32545" s="39"/>
      <c r="F32545" s="39"/>
    </row>
    <row r="32546">
      <c r="D32546" s="39"/>
      <c r="E32546" s="39"/>
      <c r="F32546" s="39"/>
    </row>
    <row r="32547">
      <c r="D32547" s="39"/>
      <c r="E32547" s="39"/>
      <c r="F32547" s="39"/>
    </row>
    <row r="32548">
      <c r="D32548" s="39"/>
      <c r="E32548" s="39"/>
      <c r="F32548" s="39"/>
    </row>
    <row r="32549">
      <c r="D32549" s="39"/>
      <c r="E32549" s="39"/>
      <c r="F32549" s="39"/>
    </row>
    <row r="32550">
      <c r="D32550" s="39"/>
      <c r="E32550" s="39"/>
      <c r="F32550" s="39"/>
    </row>
    <row r="32551">
      <c r="D32551" s="39"/>
      <c r="E32551" s="39"/>
      <c r="F32551" s="39"/>
    </row>
    <row r="32552">
      <c r="D32552" s="39"/>
      <c r="E32552" s="39"/>
      <c r="F32552" s="39"/>
    </row>
    <row r="32553">
      <c r="D32553" s="39"/>
      <c r="E32553" s="39"/>
      <c r="F32553" s="39"/>
    </row>
    <row r="32554">
      <c r="D32554" s="39"/>
      <c r="E32554" s="39"/>
      <c r="F32554" s="39"/>
    </row>
    <row r="32555">
      <c r="D32555" s="39"/>
      <c r="E32555" s="39"/>
      <c r="F32555" s="39"/>
    </row>
    <row r="32556">
      <c r="D32556" s="39"/>
      <c r="E32556" s="39"/>
      <c r="F32556" s="39"/>
    </row>
    <row r="32557">
      <c r="D32557" s="39"/>
      <c r="E32557" s="39"/>
      <c r="F32557" s="39"/>
    </row>
    <row r="32558">
      <c r="D32558" s="39"/>
      <c r="E32558" s="39"/>
      <c r="F32558" s="39"/>
    </row>
    <row r="32559">
      <c r="D32559" s="39"/>
      <c r="E32559" s="39"/>
      <c r="F32559" s="39"/>
    </row>
    <row r="32560">
      <c r="D32560" s="39"/>
      <c r="E32560" s="39"/>
      <c r="F32560" s="39"/>
    </row>
    <row r="32561">
      <c r="D32561" s="39"/>
      <c r="E32561" s="39"/>
      <c r="F32561" s="39"/>
    </row>
    <row r="32562">
      <c r="D32562" s="39"/>
      <c r="E32562" s="39"/>
      <c r="F32562" s="39"/>
    </row>
    <row r="32563">
      <c r="D32563" s="39"/>
      <c r="E32563" s="39"/>
      <c r="F32563" s="39"/>
    </row>
    <row r="32564">
      <c r="D32564" s="39"/>
      <c r="E32564" s="39"/>
      <c r="F32564" s="39"/>
    </row>
    <row r="32565">
      <c r="D32565" s="39"/>
      <c r="E32565" s="39"/>
      <c r="F32565" s="39"/>
    </row>
    <row r="32566">
      <c r="D32566" s="39"/>
      <c r="E32566" s="39"/>
      <c r="F32566" s="39"/>
    </row>
    <row r="32567">
      <c r="D32567" s="39"/>
      <c r="E32567" s="39"/>
      <c r="F32567" s="39"/>
    </row>
    <row r="32568">
      <c r="D32568" s="39"/>
      <c r="E32568" s="39"/>
      <c r="F32568" s="39"/>
    </row>
    <row r="32569">
      <c r="D32569" s="39"/>
      <c r="E32569" s="39"/>
      <c r="F32569" s="39"/>
    </row>
    <row r="32570">
      <c r="D32570" s="39"/>
      <c r="E32570" s="39"/>
      <c r="F32570" s="39"/>
    </row>
    <row r="32571">
      <c r="D32571" s="39"/>
      <c r="E32571" s="39"/>
      <c r="F32571" s="39"/>
    </row>
    <row r="32572">
      <c r="D32572" s="39"/>
      <c r="E32572" s="39"/>
      <c r="F32572" s="39"/>
    </row>
    <row r="32573">
      <c r="D32573" s="39"/>
      <c r="E32573" s="39"/>
      <c r="F32573" s="39"/>
    </row>
    <row r="32574">
      <c r="D32574" s="39"/>
      <c r="E32574" s="39"/>
      <c r="F32574" s="39"/>
    </row>
    <row r="32575">
      <c r="D32575" s="39"/>
      <c r="E32575" s="39"/>
      <c r="F32575" s="39"/>
    </row>
    <row r="32576">
      <c r="D32576" s="39"/>
      <c r="E32576" s="39"/>
      <c r="F32576" s="39"/>
    </row>
    <row r="32577">
      <c r="D32577" s="39"/>
      <c r="E32577" s="39"/>
      <c r="F32577" s="39"/>
    </row>
    <row r="32578">
      <c r="D32578" s="39"/>
      <c r="E32578" s="39"/>
      <c r="F32578" s="39"/>
    </row>
    <row r="32579">
      <c r="D32579" s="39"/>
      <c r="E32579" s="39"/>
      <c r="F32579" s="39"/>
    </row>
    <row r="32580">
      <c r="D32580" s="39"/>
      <c r="E32580" s="39"/>
      <c r="F32580" s="39"/>
    </row>
    <row r="32581">
      <c r="D32581" s="39"/>
      <c r="E32581" s="39"/>
      <c r="F32581" s="39"/>
    </row>
    <row r="32582">
      <c r="D32582" s="39"/>
      <c r="E32582" s="39"/>
      <c r="F32582" s="39"/>
    </row>
    <row r="32583">
      <c r="D32583" s="39"/>
      <c r="E32583" s="39"/>
      <c r="F32583" s="39"/>
    </row>
    <row r="32584">
      <c r="D32584" s="39"/>
      <c r="E32584" s="39"/>
      <c r="F32584" s="39"/>
    </row>
    <row r="32585">
      <c r="D32585" s="39"/>
      <c r="E32585" s="39"/>
      <c r="F32585" s="39"/>
    </row>
    <row r="32586">
      <c r="D32586" s="39"/>
      <c r="E32586" s="39"/>
      <c r="F32586" s="39"/>
    </row>
    <row r="32587">
      <c r="D32587" s="39"/>
      <c r="E32587" s="39"/>
      <c r="F32587" s="39"/>
    </row>
    <row r="32588">
      <c r="D32588" s="39"/>
      <c r="E32588" s="39"/>
      <c r="F32588" s="39"/>
    </row>
    <row r="32589">
      <c r="D32589" s="39"/>
      <c r="E32589" s="39"/>
      <c r="F32589" s="39"/>
    </row>
    <row r="32590">
      <c r="D32590" s="39"/>
      <c r="E32590" s="39"/>
      <c r="F32590" s="39"/>
    </row>
    <row r="32591">
      <c r="D32591" s="39"/>
      <c r="E32591" s="39"/>
      <c r="F32591" s="39"/>
    </row>
    <row r="32592">
      <c r="D32592" s="39"/>
      <c r="E32592" s="39"/>
      <c r="F32592" s="39"/>
    </row>
    <row r="32593">
      <c r="D32593" s="39"/>
      <c r="E32593" s="39"/>
      <c r="F32593" s="39"/>
    </row>
    <row r="32594">
      <c r="D32594" s="39"/>
      <c r="E32594" s="39"/>
      <c r="F32594" s="39"/>
    </row>
    <row r="32595">
      <c r="D32595" s="39"/>
      <c r="E32595" s="39"/>
      <c r="F32595" s="39"/>
    </row>
    <row r="32596">
      <c r="D32596" s="39"/>
      <c r="E32596" s="39"/>
      <c r="F32596" s="39"/>
    </row>
    <row r="32597">
      <c r="D32597" s="39"/>
      <c r="E32597" s="39"/>
      <c r="F32597" s="39"/>
    </row>
    <row r="32598">
      <c r="D32598" s="39"/>
      <c r="E32598" s="39"/>
      <c r="F32598" s="39"/>
    </row>
    <row r="32599">
      <c r="D32599" s="39"/>
      <c r="E32599" s="39"/>
      <c r="F32599" s="39"/>
    </row>
    <row r="32600">
      <c r="D32600" s="39"/>
      <c r="E32600" s="39"/>
      <c r="F32600" s="39"/>
    </row>
    <row r="32601">
      <c r="D32601" s="39"/>
      <c r="E32601" s="39"/>
      <c r="F32601" s="39"/>
    </row>
    <row r="32602">
      <c r="D32602" s="39"/>
      <c r="E32602" s="39"/>
      <c r="F32602" s="39"/>
    </row>
    <row r="32603">
      <c r="D32603" s="39"/>
      <c r="E32603" s="39"/>
      <c r="F32603" s="39"/>
    </row>
    <row r="32604">
      <c r="D32604" s="39"/>
      <c r="E32604" s="39"/>
      <c r="F32604" s="39"/>
    </row>
    <row r="32605">
      <c r="D32605" s="39"/>
      <c r="E32605" s="39"/>
      <c r="F32605" s="39"/>
    </row>
    <row r="32606">
      <c r="D32606" s="39"/>
      <c r="E32606" s="39"/>
      <c r="F32606" s="39"/>
    </row>
    <row r="32607">
      <c r="D32607" s="39"/>
      <c r="E32607" s="39"/>
      <c r="F32607" s="39"/>
    </row>
    <row r="32608">
      <c r="D32608" s="39"/>
      <c r="E32608" s="39"/>
      <c r="F32608" s="39"/>
    </row>
    <row r="32609">
      <c r="D32609" s="39"/>
      <c r="E32609" s="39"/>
      <c r="F32609" s="39"/>
    </row>
    <row r="32610">
      <c r="D32610" s="39"/>
      <c r="E32610" s="39"/>
      <c r="F32610" s="39"/>
    </row>
    <row r="32611">
      <c r="D32611" s="39"/>
      <c r="E32611" s="39"/>
      <c r="F32611" s="39"/>
    </row>
    <row r="32612">
      <c r="D32612" s="39"/>
      <c r="E32612" s="39"/>
      <c r="F32612" s="39"/>
    </row>
    <row r="32613">
      <c r="D32613" s="39"/>
      <c r="E32613" s="39"/>
      <c r="F32613" s="39"/>
    </row>
    <row r="32614">
      <c r="D32614" s="39"/>
      <c r="E32614" s="39"/>
      <c r="F32614" s="39"/>
    </row>
    <row r="32615">
      <c r="D32615" s="39"/>
      <c r="E32615" s="39"/>
      <c r="F32615" s="39"/>
    </row>
    <row r="32616">
      <c r="D32616" s="39"/>
      <c r="E32616" s="39"/>
      <c r="F32616" s="39"/>
    </row>
    <row r="32617">
      <c r="D32617" s="39"/>
      <c r="E32617" s="39"/>
      <c r="F32617" s="39"/>
    </row>
    <row r="32618">
      <c r="D32618" s="39"/>
      <c r="E32618" s="39"/>
      <c r="F32618" s="39"/>
    </row>
    <row r="32619">
      <c r="D32619" s="39"/>
      <c r="E32619" s="39"/>
      <c r="F32619" s="39"/>
    </row>
    <row r="32620">
      <c r="D32620" s="39"/>
      <c r="E32620" s="39"/>
      <c r="F32620" s="39"/>
    </row>
    <row r="32621">
      <c r="D32621" s="39"/>
      <c r="E32621" s="39"/>
      <c r="F32621" s="39"/>
    </row>
    <row r="32622">
      <c r="D32622" s="39"/>
      <c r="E32622" s="39"/>
      <c r="F32622" s="39"/>
    </row>
    <row r="32623">
      <c r="D32623" s="39"/>
      <c r="E32623" s="39"/>
      <c r="F32623" s="39"/>
    </row>
    <row r="32624">
      <c r="D32624" s="39"/>
      <c r="E32624" s="39"/>
      <c r="F32624" s="39"/>
    </row>
    <row r="32625">
      <c r="D32625" s="39"/>
      <c r="E32625" s="39"/>
      <c r="F32625" s="39"/>
    </row>
    <row r="32626">
      <c r="D32626" s="39"/>
      <c r="E32626" s="39"/>
      <c r="F32626" s="39"/>
    </row>
    <row r="32627">
      <c r="D32627" s="39"/>
      <c r="E32627" s="39"/>
      <c r="F32627" s="39"/>
    </row>
    <row r="32628">
      <c r="D32628" s="39"/>
      <c r="E32628" s="39"/>
      <c r="F32628" s="39"/>
    </row>
    <row r="32629">
      <c r="D32629" s="39"/>
      <c r="E32629" s="39"/>
      <c r="F32629" s="39"/>
    </row>
    <row r="32630">
      <c r="D32630" s="39"/>
      <c r="E32630" s="39"/>
      <c r="F32630" s="39"/>
    </row>
    <row r="32631">
      <c r="D32631" s="39"/>
      <c r="E32631" s="39"/>
      <c r="F32631" s="39"/>
    </row>
    <row r="32632">
      <c r="D32632" s="39"/>
      <c r="E32632" s="39"/>
      <c r="F32632" s="39"/>
    </row>
    <row r="32633">
      <c r="D32633" s="39"/>
      <c r="E32633" s="39"/>
      <c r="F32633" s="39"/>
    </row>
    <row r="32634">
      <c r="D32634" s="39"/>
      <c r="E32634" s="39"/>
      <c r="F32634" s="39"/>
    </row>
    <row r="32635">
      <c r="D32635" s="39"/>
      <c r="E32635" s="39"/>
      <c r="F32635" s="39"/>
    </row>
    <row r="32636">
      <c r="D32636" s="39"/>
      <c r="E32636" s="39"/>
      <c r="F32636" s="39"/>
    </row>
    <row r="32637">
      <c r="D32637" s="39"/>
      <c r="E32637" s="39"/>
      <c r="F32637" s="39"/>
    </row>
    <row r="32638">
      <c r="D32638" s="39"/>
      <c r="E32638" s="39"/>
      <c r="F32638" s="39"/>
    </row>
    <row r="32639">
      <c r="D32639" s="39"/>
      <c r="E32639" s="39"/>
      <c r="F32639" s="39"/>
    </row>
    <row r="32640">
      <c r="D32640" s="39"/>
      <c r="E32640" s="39"/>
      <c r="F32640" s="39"/>
    </row>
    <row r="32641">
      <c r="D32641" s="39"/>
      <c r="E32641" s="39"/>
      <c r="F32641" s="39"/>
    </row>
    <row r="32642">
      <c r="D32642" s="39"/>
      <c r="E32642" s="39"/>
      <c r="F32642" s="39"/>
    </row>
    <row r="32643">
      <c r="D32643" s="39"/>
      <c r="E32643" s="39"/>
      <c r="F32643" s="39"/>
    </row>
    <row r="32644">
      <c r="D32644" s="39"/>
      <c r="E32644" s="39"/>
      <c r="F32644" s="39"/>
    </row>
    <row r="32645">
      <c r="D32645" s="39"/>
      <c r="E32645" s="39"/>
      <c r="F32645" s="39"/>
    </row>
    <row r="32646">
      <c r="D32646" s="39"/>
      <c r="E32646" s="39"/>
      <c r="F32646" s="39"/>
    </row>
    <row r="32647">
      <c r="D32647" s="39"/>
      <c r="E32647" s="39"/>
      <c r="F32647" s="39"/>
    </row>
    <row r="32648">
      <c r="D32648" s="39"/>
      <c r="E32648" s="39"/>
      <c r="F32648" s="39"/>
    </row>
    <row r="32649">
      <c r="D32649" s="39"/>
      <c r="E32649" s="39"/>
      <c r="F32649" s="39"/>
    </row>
    <row r="32650">
      <c r="D32650" s="39"/>
      <c r="E32650" s="39"/>
      <c r="F32650" s="39"/>
    </row>
    <row r="32651">
      <c r="D32651" s="39"/>
      <c r="E32651" s="39"/>
      <c r="F32651" s="39"/>
    </row>
    <row r="32652">
      <c r="D32652" s="39"/>
      <c r="E32652" s="39"/>
      <c r="F32652" s="39"/>
    </row>
    <row r="32653">
      <c r="D32653" s="39"/>
      <c r="E32653" s="39"/>
      <c r="F32653" s="39"/>
    </row>
    <row r="32654">
      <c r="D32654" s="39"/>
      <c r="E32654" s="39"/>
      <c r="F32654" s="39"/>
    </row>
    <row r="32655">
      <c r="D32655" s="39"/>
      <c r="E32655" s="39"/>
      <c r="F32655" s="39"/>
    </row>
    <row r="32656">
      <c r="D32656" s="39"/>
      <c r="E32656" s="39"/>
      <c r="F32656" s="39"/>
    </row>
    <row r="32657">
      <c r="D32657" s="39"/>
      <c r="E32657" s="39"/>
      <c r="F32657" s="39"/>
    </row>
    <row r="32658">
      <c r="D32658" s="39"/>
      <c r="E32658" s="39"/>
      <c r="F32658" s="39"/>
    </row>
    <row r="32659">
      <c r="D32659" s="39"/>
      <c r="E32659" s="39"/>
      <c r="F32659" s="39"/>
    </row>
    <row r="32660">
      <c r="D32660" s="39"/>
      <c r="E32660" s="39"/>
      <c r="F32660" s="39"/>
    </row>
    <row r="32661">
      <c r="D32661" s="39"/>
      <c r="E32661" s="39"/>
      <c r="F32661" s="39"/>
    </row>
    <row r="32662">
      <c r="D32662" s="39"/>
      <c r="E32662" s="39"/>
      <c r="F32662" s="39"/>
    </row>
    <row r="32663">
      <c r="D32663" s="39"/>
      <c r="E32663" s="39"/>
      <c r="F32663" s="39"/>
    </row>
    <row r="32664">
      <c r="D32664" s="39"/>
      <c r="E32664" s="39"/>
      <c r="F32664" s="39"/>
    </row>
    <row r="32665">
      <c r="D32665" s="39"/>
      <c r="E32665" s="39"/>
      <c r="F32665" s="39"/>
    </row>
    <row r="32666">
      <c r="D32666" s="39"/>
      <c r="E32666" s="39"/>
      <c r="F32666" s="39"/>
    </row>
    <row r="32667">
      <c r="D32667" s="39"/>
      <c r="E32667" s="39"/>
      <c r="F32667" s="39"/>
    </row>
    <row r="32668">
      <c r="D32668" s="39"/>
      <c r="E32668" s="39"/>
      <c r="F32668" s="39"/>
    </row>
    <row r="32669">
      <c r="D32669" s="39"/>
      <c r="E32669" s="39"/>
      <c r="F32669" s="39"/>
    </row>
    <row r="32670">
      <c r="D32670" s="39"/>
      <c r="E32670" s="39"/>
      <c r="F32670" s="39"/>
    </row>
    <row r="32671">
      <c r="D32671" s="39"/>
      <c r="E32671" s="39"/>
      <c r="F32671" s="39"/>
    </row>
    <row r="32672">
      <c r="D32672" s="39"/>
      <c r="E32672" s="39"/>
      <c r="F32672" s="39"/>
    </row>
    <row r="32673">
      <c r="D32673" s="39"/>
      <c r="E32673" s="39"/>
      <c r="F32673" s="39"/>
    </row>
    <row r="32674">
      <c r="D32674" s="39"/>
      <c r="E32674" s="39"/>
      <c r="F32674" s="39"/>
    </row>
    <row r="32675">
      <c r="D32675" s="39"/>
      <c r="E32675" s="39"/>
      <c r="F32675" s="39"/>
    </row>
    <row r="32676">
      <c r="D32676" s="39"/>
      <c r="E32676" s="39"/>
      <c r="F32676" s="39"/>
    </row>
    <row r="32677">
      <c r="D32677" s="39"/>
      <c r="E32677" s="39"/>
      <c r="F32677" s="39"/>
    </row>
    <row r="32678">
      <c r="D32678" s="39"/>
      <c r="E32678" s="39"/>
      <c r="F32678" s="39"/>
    </row>
    <row r="32679">
      <c r="D32679" s="39"/>
      <c r="E32679" s="39"/>
      <c r="F32679" s="39"/>
    </row>
    <row r="32680">
      <c r="D32680" s="39"/>
      <c r="E32680" s="39"/>
      <c r="F32680" s="39"/>
    </row>
    <row r="32681">
      <c r="D32681" s="39"/>
      <c r="E32681" s="39"/>
      <c r="F32681" s="39"/>
    </row>
    <row r="32682">
      <c r="D32682" s="39"/>
      <c r="E32682" s="39"/>
      <c r="F32682" s="39"/>
    </row>
    <row r="32683">
      <c r="D32683" s="39"/>
      <c r="E32683" s="39"/>
      <c r="F32683" s="39"/>
    </row>
    <row r="32684">
      <c r="D32684" s="39"/>
      <c r="E32684" s="39"/>
      <c r="F32684" s="39"/>
    </row>
    <row r="32685">
      <c r="D32685" s="39"/>
      <c r="E32685" s="39"/>
      <c r="F32685" s="39"/>
    </row>
    <row r="32686">
      <c r="D32686" s="39"/>
      <c r="E32686" s="39"/>
      <c r="F32686" s="39"/>
    </row>
    <row r="32687">
      <c r="D32687" s="39"/>
      <c r="E32687" s="39"/>
      <c r="F32687" s="39"/>
    </row>
    <row r="32688">
      <c r="D32688" s="39"/>
      <c r="E32688" s="39"/>
      <c r="F32688" s="39"/>
    </row>
    <row r="32689">
      <c r="D32689" s="39"/>
      <c r="E32689" s="39"/>
      <c r="F32689" s="39"/>
    </row>
    <row r="32690">
      <c r="D32690" s="39"/>
      <c r="E32690" s="39"/>
      <c r="F32690" s="39"/>
    </row>
    <row r="32691">
      <c r="D32691" s="39"/>
      <c r="E32691" s="39"/>
      <c r="F32691" s="39"/>
    </row>
    <row r="32692">
      <c r="D32692" s="39"/>
      <c r="E32692" s="39"/>
      <c r="F32692" s="39"/>
    </row>
    <row r="32693">
      <c r="D32693" s="39"/>
      <c r="E32693" s="39"/>
      <c r="F32693" s="39"/>
    </row>
    <row r="32694">
      <c r="D32694" s="39"/>
      <c r="E32694" s="39"/>
      <c r="F32694" s="39"/>
    </row>
    <row r="32695">
      <c r="D32695" s="39"/>
      <c r="E32695" s="39"/>
      <c r="F32695" s="39"/>
    </row>
    <row r="32696">
      <c r="D32696" s="39"/>
      <c r="E32696" s="39"/>
      <c r="F32696" s="39"/>
    </row>
    <row r="32697">
      <c r="D32697" s="39"/>
      <c r="E32697" s="39"/>
      <c r="F32697" s="39"/>
    </row>
    <row r="32698">
      <c r="D32698" s="39"/>
      <c r="E32698" s="39"/>
      <c r="F32698" s="39"/>
    </row>
    <row r="32699">
      <c r="D32699" s="39"/>
      <c r="E32699" s="39"/>
      <c r="F32699" s="39"/>
    </row>
    <row r="32700">
      <c r="D32700" s="39"/>
      <c r="E32700" s="39"/>
      <c r="F32700" s="39"/>
    </row>
    <row r="32701">
      <c r="D32701" s="39"/>
      <c r="E32701" s="39"/>
      <c r="F32701" s="39"/>
    </row>
    <row r="32702">
      <c r="D32702" s="39"/>
      <c r="E32702" s="39"/>
      <c r="F32702" s="39"/>
    </row>
    <row r="32703">
      <c r="D32703" s="39"/>
      <c r="E32703" s="39"/>
      <c r="F32703" s="39"/>
    </row>
    <row r="32704">
      <c r="D32704" s="39"/>
      <c r="E32704" s="39"/>
      <c r="F32704" s="39"/>
    </row>
    <row r="32705">
      <c r="D32705" s="39"/>
      <c r="E32705" s="39"/>
      <c r="F32705" s="39"/>
    </row>
    <row r="32706">
      <c r="D32706" s="39"/>
      <c r="E32706" s="39"/>
      <c r="F32706" s="39"/>
    </row>
    <row r="32707">
      <c r="D32707" s="39"/>
      <c r="E32707" s="39"/>
      <c r="F32707" s="39"/>
    </row>
    <row r="32708">
      <c r="D32708" s="39"/>
      <c r="E32708" s="39"/>
      <c r="F32708" s="39"/>
    </row>
    <row r="32709">
      <c r="D32709" s="39"/>
      <c r="E32709" s="39"/>
      <c r="F32709" s="39"/>
    </row>
    <row r="32710">
      <c r="D32710" s="39"/>
      <c r="E32710" s="39"/>
      <c r="F32710" s="39"/>
    </row>
    <row r="32711">
      <c r="D32711" s="39"/>
      <c r="E32711" s="39"/>
      <c r="F32711" s="39"/>
    </row>
    <row r="32712">
      <c r="D32712" s="39"/>
      <c r="E32712" s="39"/>
      <c r="F32712" s="39"/>
    </row>
    <row r="32713">
      <c r="D32713" s="39"/>
      <c r="E32713" s="39"/>
      <c r="F32713" s="39"/>
    </row>
    <row r="32714">
      <c r="D32714" s="39"/>
      <c r="E32714" s="39"/>
      <c r="F32714" s="39"/>
    </row>
    <row r="32715">
      <c r="D32715" s="39"/>
      <c r="E32715" s="39"/>
      <c r="F32715" s="39"/>
    </row>
    <row r="32716">
      <c r="D32716" s="39"/>
      <c r="E32716" s="39"/>
      <c r="F32716" s="39"/>
    </row>
    <row r="32717">
      <c r="D32717" s="39"/>
      <c r="E32717" s="39"/>
      <c r="F32717" s="39"/>
    </row>
    <row r="32718">
      <c r="D32718" s="39"/>
      <c r="E32718" s="39"/>
      <c r="F32718" s="39"/>
    </row>
    <row r="32719">
      <c r="D32719" s="39"/>
      <c r="E32719" s="39"/>
      <c r="F32719" s="39"/>
    </row>
    <row r="32720">
      <c r="D32720" s="39"/>
      <c r="E32720" s="39"/>
      <c r="F32720" s="39"/>
    </row>
    <row r="32721">
      <c r="D32721" s="39"/>
      <c r="E32721" s="39"/>
      <c r="F32721" s="39"/>
    </row>
    <row r="32722">
      <c r="D32722" s="39"/>
      <c r="E32722" s="39"/>
      <c r="F32722" s="39"/>
    </row>
    <row r="32723">
      <c r="D32723" s="39"/>
      <c r="E32723" s="39"/>
      <c r="F32723" s="39"/>
    </row>
    <row r="32724">
      <c r="D32724" s="39"/>
      <c r="E32724" s="39"/>
      <c r="F32724" s="39"/>
    </row>
    <row r="32725">
      <c r="D32725" s="39"/>
      <c r="E32725" s="39"/>
      <c r="F32725" s="39"/>
    </row>
    <row r="32726">
      <c r="D32726" s="39"/>
      <c r="E32726" s="39"/>
      <c r="F32726" s="39"/>
    </row>
    <row r="32727">
      <c r="D32727" s="39"/>
      <c r="E32727" s="39"/>
      <c r="F32727" s="39"/>
    </row>
    <row r="32728">
      <c r="D32728" s="39"/>
      <c r="E32728" s="39"/>
      <c r="F32728" s="39"/>
    </row>
    <row r="32729">
      <c r="D32729" s="39"/>
      <c r="E32729" s="39"/>
      <c r="F32729" s="39"/>
    </row>
    <row r="32730">
      <c r="D32730" s="39"/>
      <c r="E32730" s="39"/>
      <c r="F32730" s="39"/>
    </row>
    <row r="32731">
      <c r="D32731" s="39"/>
      <c r="E32731" s="39"/>
      <c r="F32731" s="39"/>
    </row>
    <row r="32732">
      <c r="D32732" s="39"/>
      <c r="E32732" s="39"/>
      <c r="F32732" s="39"/>
    </row>
    <row r="32733">
      <c r="D32733" s="39"/>
      <c r="E32733" s="39"/>
      <c r="F32733" s="39"/>
    </row>
    <row r="32734">
      <c r="D32734" s="39"/>
      <c r="E32734" s="39"/>
      <c r="F32734" s="39"/>
    </row>
    <row r="32735">
      <c r="D32735" s="39"/>
      <c r="E32735" s="39"/>
      <c r="F32735" s="39"/>
    </row>
    <row r="32736">
      <c r="D32736" s="39"/>
      <c r="E32736" s="39"/>
      <c r="F32736" s="39"/>
    </row>
    <row r="32737">
      <c r="D32737" s="39"/>
      <c r="E32737" s="39"/>
      <c r="F32737" s="39"/>
    </row>
    <row r="32738">
      <c r="D32738" s="39"/>
      <c r="E32738" s="39"/>
      <c r="F32738" s="39"/>
    </row>
    <row r="32739">
      <c r="D32739" s="39"/>
      <c r="E32739" s="39"/>
      <c r="F32739" s="39"/>
    </row>
    <row r="32740">
      <c r="D32740" s="39"/>
      <c r="E32740" s="39"/>
      <c r="F32740" s="39"/>
    </row>
    <row r="32741">
      <c r="D32741" s="39"/>
      <c r="E32741" s="39"/>
      <c r="F32741" s="39"/>
    </row>
    <row r="32742">
      <c r="D32742" s="39"/>
      <c r="E32742" s="39"/>
      <c r="F32742" s="39"/>
    </row>
    <row r="32743">
      <c r="D32743" s="39"/>
      <c r="E32743" s="39"/>
      <c r="F32743" s="39"/>
    </row>
    <row r="32744">
      <c r="D32744" s="39"/>
      <c r="E32744" s="39"/>
      <c r="F32744" s="39"/>
    </row>
    <row r="32745">
      <c r="D32745" s="39"/>
      <c r="E32745" s="39"/>
      <c r="F32745" s="39"/>
    </row>
    <row r="32746">
      <c r="D32746" s="39"/>
      <c r="E32746" s="39"/>
      <c r="F32746" s="39"/>
    </row>
    <row r="32747">
      <c r="D32747" s="39"/>
      <c r="E32747" s="39"/>
      <c r="F32747" s="39"/>
    </row>
    <row r="32748">
      <c r="D32748" s="39"/>
      <c r="E32748" s="39"/>
      <c r="F32748" s="39"/>
    </row>
    <row r="32749">
      <c r="D32749" s="39"/>
      <c r="E32749" s="39"/>
      <c r="F32749" s="39"/>
    </row>
    <row r="32750">
      <c r="D32750" s="39"/>
      <c r="E32750" s="39"/>
      <c r="F32750" s="39"/>
    </row>
    <row r="32751">
      <c r="D32751" s="39"/>
      <c r="E32751" s="39"/>
      <c r="F32751" s="39"/>
    </row>
    <row r="32752">
      <c r="D32752" s="39"/>
      <c r="E32752" s="39"/>
      <c r="F32752" s="39"/>
    </row>
    <row r="32753">
      <c r="D32753" s="39"/>
      <c r="E32753" s="39"/>
      <c r="F32753" s="39"/>
    </row>
    <row r="32754">
      <c r="D32754" s="39"/>
      <c r="E32754" s="39"/>
      <c r="F32754" s="39"/>
    </row>
    <row r="32755">
      <c r="D32755" s="39"/>
      <c r="E32755" s="39"/>
      <c r="F32755" s="39"/>
    </row>
    <row r="32756">
      <c r="D32756" s="39"/>
      <c r="E32756" s="39"/>
      <c r="F32756" s="39"/>
    </row>
    <row r="32757">
      <c r="D32757" s="39"/>
      <c r="E32757" s="39"/>
      <c r="F32757" s="39"/>
    </row>
    <row r="32758">
      <c r="D32758" s="39"/>
      <c r="E32758" s="39"/>
      <c r="F32758" s="39"/>
    </row>
    <row r="32759">
      <c r="D32759" s="39"/>
      <c r="E32759" s="39"/>
      <c r="F32759" s="39"/>
    </row>
    <row r="32760">
      <c r="D32760" s="39"/>
      <c r="E32760" s="39"/>
      <c r="F32760" s="39"/>
    </row>
    <row r="32761">
      <c r="D32761" s="39"/>
      <c r="E32761" s="39"/>
      <c r="F32761" s="39"/>
    </row>
    <row r="32762">
      <c r="D32762" s="39"/>
      <c r="E32762" s="39"/>
      <c r="F32762" s="39"/>
    </row>
    <row r="32763">
      <c r="D32763" s="39"/>
      <c r="E32763" s="39"/>
      <c r="F32763" s="39"/>
    </row>
    <row r="32764">
      <c r="D32764" s="39"/>
      <c r="E32764" s="39"/>
      <c r="F32764" s="39"/>
    </row>
    <row r="32765">
      <c r="D32765" s="39"/>
      <c r="E32765" s="39"/>
      <c r="F32765" s="39"/>
    </row>
    <row r="32766">
      <c r="D32766" s="39"/>
      <c r="E32766" s="39"/>
      <c r="F32766" s="39"/>
    </row>
    <row r="32767">
      <c r="D32767" s="39"/>
      <c r="E32767" s="39"/>
      <c r="F32767" s="39"/>
    </row>
    <row r="32768">
      <c r="D32768" s="39"/>
      <c r="E32768" s="39"/>
      <c r="F32768" s="39"/>
    </row>
    <row r="32769">
      <c r="D32769" s="39"/>
      <c r="E32769" s="39"/>
      <c r="F32769" s="39"/>
    </row>
    <row r="32770">
      <c r="D32770" s="39"/>
      <c r="E32770" s="39"/>
      <c r="F32770" s="39"/>
    </row>
    <row r="32771">
      <c r="D32771" s="39"/>
      <c r="E32771" s="39"/>
      <c r="F32771" s="39"/>
    </row>
    <row r="32772">
      <c r="D32772" s="39"/>
      <c r="E32772" s="39"/>
      <c r="F32772" s="39"/>
    </row>
    <row r="32773">
      <c r="D32773" s="39"/>
      <c r="E32773" s="39"/>
      <c r="F32773" s="39"/>
    </row>
    <row r="32774">
      <c r="D32774" s="39"/>
      <c r="E32774" s="39"/>
      <c r="F32774" s="39"/>
    </row>
    <row r="32775">
      <c r="D32775" s="39"/>
      <c r="E32775" s="39"/>
      <c r="F32775" s="39"/>
    </row>
    <row r="32776">
      <c r="D32776" s="39"/>
      <c r="E32776" s="39"/>
      <c r="F32776" s="39"/>
    </row>
    <row r="32777">
      <c r="D32777" s="39"/>
      <c r="E32777" s="39"/>
      <c r="F32777" s="39"/>
    </row>
    <row r="32778">
      <c r="D32778" s="39"/>
      <c r="E32778" s="39"/>
      <c r="F32778" s="39"/>
    </row>
    <row r="32779">
      <c r="D32779" s="39"/>
      <c r="E32779" s="39"/>
      <c r="F32779" s="39"/>
    </row>
    <row r="32780">
      <c r="D32780" s="39"/>
      <c r="E32780" s="39"/>
      <c r="F32780" s="39"/>
    </row>
    <row r="32781">
      <c r="D32781" s="39"/>
      <c r="E32781" s="39"/>
      <c r="F32781" s="39"/>
    </row>
    <row r="32782">
      <c r="D32782" s="39"/>
      <c r="E32782" s="39"/>
      <c r="F32782" s="39"/>
    </row>
    <row r="32783">
      <c r="D32783" s="39"/>
      <c r="E32783" s="39"/>
      <c r="F32783" s="39"/>
    </row>
    <row r="32784">
      <c r="D32784" s="39"/>
      <c r="E32784" s="39"/>
      <c r="F32784" s="39"/>
    </row>
    <row r="32785">
      <c r="D32785" s="39"/>
      <c r="E32785" s="39"/>
      <c r="F32785" s="39"/>
    </row>
    <row r="32786">
      <c r="D32786" s="39"/>
      <c r="E32786" s="39"/>
      <c r="F32786" s="39"/>
    </row>
    <row r="32787">
      <c r="D32787" s="39"/>
      <c r="E32787" s="39"/>
      <c r="F32787" s="39"/>
    </row>
    <row r="32788">
      <c r="D32788" s="39"/>
      <c r="E32788" s="39"/>
      <c r="F32788" s="39"/>
    </row>
    <row r="32789">
      <c r="D32789" s="39"/>
      <c r="E32789" s="39"/>
      <c r="F32789" s="39"/>
    </row>
    <row r="32790">
      <c r="D32790" s="39"/>
      <c r="E32790" s="39"/>
      <c r="F32790" s="39"/>
    </row>
    <row r="32791">
      <c r="D32791" s="39"/>
      <c r="E32791" s="39"/>
      <c r="F32791" s="39"/>
    </row>
    <row r="32792">
      <c r="D32792" s="39"/>
      <c r="E32792" s="39"/>
      <c r="F32792" s="39"/>
    </row>
    <row r="32793">
      <c r="D32793" s="39"/>
      <c r="E32793" s="39"/>
      <c r="F32793" s="39"/>
    </row>
    <row r="32794">
      <c r="D32794" s="39"/>
      <c r="E32794" s="39"/>
      <c r="F32794" s="39"/>
    </row>
    <row r="32795">
      <c r="D32795" s="39"/>
      <c r="E32795" s="39"/>
      <c r="F32795" s="39"/>
    </row>
    <row r="32796">
      <c r="D32796" s="39"/>
      <c r="E32796" s="39"/>
      <c r="F32796" s="39"/>
    </row>
    <row r="32797">
      <c r="D32797" s="39"/>
      <c r="E32797" s="39"/>
      <c r="F32797" s="39"/>
    </row>
    <row r="32798">
      <c r="D32798" s="39"/>
      <c r="E32798" s="39"/>
      <c r="F32798" s="39"/>
    </row>
    <row r="32799">
      <c r="D32799" s="39"/>
      <c r="E32799" s="39"/>
      <c r="F32799" s="39"/>
    </row>
    <row r="32800">
      <c r="D32800" s="39"/>
      <c r="E32800" s="39"/>
      <c r="F32800" s="39"/>
    </row>
    <row r="32801">
      <c r="D32801" s="39"/>
      <c r="E32801" s="39"/>
      <c r="F32801" s="39"/>
    </row>
    <row r="32802">
      <c r="D32802" s="39"/>
      <c r="E32802" s="39"/>
      <c r="F32802" s="39"/>
    </row>
    <row r="32803">
      <c r="D32803" s="39"/>
      <c r="E32803" s="39"/>
      <c r="F32803" s="39"/>
    </row>
    <row r="32804">
      <c r="D32804" s="39"/>
      <c r="E32804" s="39"/>
      <c r="F32804" s="39"/>
    </row>
    <row r="32805">
      <c r="D32805" s="39"/>
      <c r="E32805" s="39"/>
      <c r="F32805" s="39"/>
    </row>
    <row r="32806">
      <c r="D32806" s="39"/>
      <c r="E32806" s="39"/>
      <c r="F32806" s="39"/>
    </row>
    <row r="32807">
      <c r="D32807" s="39"/>
      <c r="E32807" s="39"/>
      <c r="F32807" s="39"/>
    </row>
    <row r="32808">
      <c r="D32808" s="39"/>
      <c r="E32808" s="39"/>
      <c r="F32808" s="39"/>
    </row>
    <row r="32809">
      <c r="D32809" s="39"/>
      <c r="E32809" s="39"/>
      <c r="F32809" s="39"/>
    </row>
    <row r="32810">
      <c r="D32810" s="39"/>
      <c r="E32810" s="39"/>
      <c r="F32810" s="39"/>
    </row>
    <row r="32811">
      <c r="D32811" s="39"/>
      <c r="E32811" s="39"/>
      <c r="F32811" s="39"/>
    </row>
    <row r="32812">
      <c r="D32812" s="39"/>
      <c r="E32812" s="39"/>
      <c r="F32812" s="39"/>
    </row>
    <row r="32813">
      <c r="D32813" s="39"/>
      <c r="E32813" s="39"/>
      <c r="F32813" s="39"/>
    </row>
    <row r="32814">
      <c r="D32814" s="39"/>
      <c r="E32814" s="39"/>
      <c r="F32814" s="39"/>
    </row>
    <row r="32815">
      <c r="D32815" s="39"/>
      <c r="E32815" s="39"/>
      <c r="F32815" s="39"/>
    </row>
    <row r="32816">
      <c r="D32816" s="39"/>
      <c r="E32816" s="39"/>
      <c r="F32816" s="39"/>
    </row>
    <row r="32817">
      <c r="D32817" s="39"/>
      <c r="E32817" s="39"/>
      <c r="F32817" s="39"/>
    </row>
    <row r="32818">
      <c r="D32818" s="39"/>
      <c r="E32818" s="39"/>
      <c r="F32818" s="39"/>
    </row>
    <row r="32819">
      <c r="D32819" s="39"/>
      <c r="E32819" s="39"/>
      <c r="F32819" s="39"/>
    </row>
    <row r="32820">
      <c r="D32820" s="39"/>
      <c r="E32820" s="39"/>
      <c r="F32820" s="39"/>
    </row>
    <row r="32821">
      <c r="D32821" s="39"/>
      <c r="E32821" s="39"/>
      <c r="F32821" s="39"/>
    </row>
    <row r="32822">
      <c r="D32822" s="39"/>
      <c r="E32822" s="39"/>
      <c r="F32822" s="39"/>
    </row>
    <row r="32823">
      <c r="D32823" s="39"/>
      <c r="E32823" s="39"/>
      <c r="F32823" s="39"/>
    </row>
    <row r="32824">
      <c r="D32824" s="39"/>
      <c r="E32824" s="39"/>
      <c r="F32824" s="39"/>
    </row>
    <row r="32825">
      <c r="D32825" s="39"/>
      <c r="E32825" s="39"/>
      <c r="F32825" s="39"/>
    </row>
    <row r="32826">
      <c r="D32826" s="39"/>
      <c r="E32826" s="39"/>
      <c r="F32826" s="39"/>
    </row>
    <row r="32827">
      <c r="D32827" s="39"/>
      <c r="E32827" s="39"/>
      <c r="F32827" s="39"/>
    </row>
    <row r="32828">
      <c r="D32828" s="39"/>
      <c r="E32828" s="39"/>
      <c r="F32828" s="39"/>
    </row>
    <row r="32829">
      <c r="D32829" s="39"/>
      <c r="E32829" s="39"/>
      <c r="F32829" s="39"/>
    </row>
    <row r="32830">
      <c r="D32830" s="39"/>
      <c r="E32830" s="39"/>
      <c r="F32830" s="39"/>
    </row>
    <row r="32831">
      <c r="D32831" s="39"/>
      <c r="E32831" s="39"/>
      <c r="F32831" s="39"/>
    </row>
    <row r="32832">
      <c r="D32832" s="39"/>
      <c r="E32832" s="39"/>
      <c r="F32832" s="39"/>
    </row>
    <row r="32833">
      <c r="D32833" s="39"/>
      <c r="E32833" s="39"/>
      <c r="F32833" s="39"/>
    </row>
    <row r="32834">
      <c r="D32834" s="39"/>
      <c r="E32834" s="39"/>
      <c r="F32834" s="39"/>
    </row>
    <row r="32835">
      <c r="D32835" s="39"/>
      <c r="E32835" s="39"/>
      <c r="F32835" s="39"/>
    </row>
    <row r="32836">
      <c r="D32836" s="39"/>
      <c r="E32836" s="39"/>
      <c r="F32836" s="39"/>
    </row>
    <row r="32837">
      <c r="D32837" s="39"/>
      <c r="E32837" s="39"/>
      <c r="F32837" s="39"/>
    </row>
    <row r="32838">
      <c r="D32838" s="39"/>
      <c r="E32838" s="39"/>
      <c r="F32838" s="39"/>
    </row>
    <row r="32839">
      <c r="D32839" s="39"/>
      <c r="E32839" s="39"/>
      <c r="F32839" s="39"/>
    </row>
    <row r="32840">
      <c r="D32840" s="39"/>
      <c r="E32840" s="39"/>
      <c r="F32840" s="39"/>
    </row>
    <row r="32841">
      <c r="D32841" s="39"/>
      <c r="E32841" s="39"/>
      <c r="F32841" s="39"/>
    </row>
    <row r="32842">
      <c r="D32842" s="39"/>
      <c r="E32842" s="39"/>
      <c r="F32842" s="39"/>
    </row>
    <row r="32843">
      <c r="D32843" s="39"/>
      <c r="E32843" s="39"/>
      <c r="F32843" s="39"/>
    </row>
    <row r="32844">
      <c r="D32844" s="39"/>
      <c r="E32844" s="39"/>
      <c r="F32844" s="39"/>
    </row>
    <row r="32845">
      <c r="D32845" s="39"/>
      <c r="E32845" s="39"/>
      <c r="F32845" s="39"/>
    </row>
    <row r="32846">
      <c r="D32846" s="39"/>
      <c r="E32846" s="39"/>
      <c r="F32846" s="39"/>
    </row>
    <row r="32847">
      <c r="D32847" s="39"/>
      <c r="E32847" s="39"/>
      <c r="F32847" s="39"/>
    </row>
    <row r="32848">
      <c r="D32848" s="39"/>
      <c r="E32848" s="39"/>
      <c r="F32848" s="39"/>
    </row>
    <row r="32849">
      <c r="D32849" s="39"/>
      <c r="E32849" s="39"/>
      <c r="F32849" s="39"/>
    </row>
    <row r="32850">
      <c r="D32850" s="39"/>
      <c r="E32850" s="39"/>
      <c r="F32850" s="39"/>
    </row>
    <row r="32851">
      <c r="D32851" s="39"/>
      <c r="E32851" s="39"/>
      <c r="F32851" s="39"/>
    </row>
    <row r="32852">
      <c r="D32852" s="39"/>
      <c r="E32852" s="39"/>
      <c r="F32852" s="39"/>
    </row>
    <row r="32853">
      <c r="D32853" s="39"/>
      <c r="E32853" s="39"/>
      <c r="F32853" s="39"/>
    </row>
    <row r="32854">
      <c r="D32854" s="39"/>
      <c r="E32854" s="39"/>
      <c r="F32854" s="39"/>
    </row>
    <row r="32855">
      <c r="D32855" s="39"/>
      <c r="E32855" s="39"/>
      <c r="F32855" s="39"/>
    </row>
    <row r="32856">
      <c r="D32856" s="39"/>
      <c r="E32856" s="39"/>
      <c r="F32856" s="39"/>
    </row>
    <row r="32857">
      <c r="D32857" s="39"/>
      <c r="E32857" s="39"/>
      <c r="F32857" s="39"/>
    </row>
    <row r="32858">
      <c r="D32858" s="39"/>
      <c r="E32858" s="39"/>
      <c r="F32858" s="39"/>
    </row>
    <row r="32859">
      <c r="D32859" s="39"/>
      <c r="E32859" s="39"/>
      <c r="F32859" s="39"/>
    </row>
    <row r="32860">
      <c r="D32860" s="39"/>
      <c r="E32860" s="39"/>
      <c r="F32860" s="39"/>
    </row>
    <row r="32861">
      <c r="D32861" s="39"/>
      <c r="E32861" s="39"/>
      <c r="F32861" s="39"/>
    </row>
    <row r="32862">
      <c r="D32862" s="39"/>
      <c r="E32862" s="39"/>
      <c r="F32862" s="39"/>
    </row>
    <row r="32863">
      <c r="D32863" s="39"/>
      <c r="E32863" s="39"/>
      <c r="F32863" s="39"/>
    </row>
    <row r="32864">
      <c r="D32864" s="39"/>
      <c r="E32864" s="39"/>
      <c r="F32864" s="39"/>
    </row>
    <row r="32865">
      <c r="D32865" s="39"/>
      <c r="E32865" s="39"/>
      <c r="F32865" s="39"/>
    </row>
    <row r="32866">
      <c r="D32866" s="39"/>
      <c r="E32866" s="39"/>
      <c r="F32866" s="39"/>
    </row>
    <row r="32867">
      <c r="D32867" s="39"/>
      <c r="E32867" s="39"/>
      <c r="F32867" s="39"/>
    </row>
    <row r="32868">
      <c r="D32868" s="39"/>
      <c r="E32868" s="39"/>
      <c r="F32868" s="39"/>
    </row>
    <row r="32869">
      <c r="D32869" s="39"/>
      <c r="E32869" s="39"/>
      <c r="F32869" s="39"/>
    </row>
    <row r="32870">
      <c r="D32870" s="39"/>
      <c r="E32870" s="39"/>
      <c r="F32870" s="39"/>
    </row>
    <row r="32871">
      <c r="D32871" s="39"/>
      <c r="E32871" s="39"/>
      <c r="F32871" s="39"/>
    </row>
    <row r="32872">
      <c r="D32872" s="39"/>
      <c r="E32872" s="39"/>
      <c r="F32872" s="39"/>
    </row>
    <row r="32873">
      <c r="D32873" s="39"/>
      <c r="E32873" s="39"/>
      <c r="F32873" s="39"/>
    </row>
    <row r="32874">
      <c r="D32874" s="39"/>
      <c r="E32874" s="39"/>
      <c r="F32874" s="39"/>
    </row>
    <row r="32875">
      <c r="D32875" s="39"/>
      <c r="E32875" s="39"/>
      <c r="F32875" s="39"/>
    </row>
    <row r="32876">
      <c r="D32876" s="39"/>
      <c r="E32876" s="39"/>
      <c r="F32876" s="39"/>
    </row>
    <row r="32877">
      <c r="D32877" s="39"/>
      <c r="E32877" s="39"/>
      <c r="F32877" s="39"/>
    </row>
    <row r="32878">
      <c r="D32878" s="39"/>
      <c r="E32878" s="39"/>
      <c r="F32878" s="39"/>
    </row>
    <row r="32879">
      <c r="D32879" s="39"/>
      <c r="E32879" s="39"/>
      <c r="F32879" s="39"/>
    </row>
    <row r="32880">
      <c r="D32880" s="39"/>
      <c r="E32880" s="39"/>
      <c r="F32880" s="39"/>
    </row>
    <row r="32881">
      <c r="D32881" s="39"/>
      <c r="E32881" s="39"/>
      <c r="F32881" s="39"/>
    </row>
    <row r="32882">
      <c r="D32882" s="39"/>
      <c r="E32882" s="39"/>
      <c r="F32882" s="39"/>
    </row>
    <row r="32883">
      <c r="D32883" s="39"/>
      <c r="E32883" s="39"/>
      <c r="F32883" s="39"/>
    </row>
    <row r="32884">
      <c r="D32884" s="39"/>
      <c r="E32884" s="39"/>
      <c r="F32884" s="39"/>
    </row>
    <row r="32885">
      <c r="D32885" s="39"/>
      <c r="E32885" s="39"/>
      <c r="F32885" s="39"/>
    </row>
    <row r="32886">
      <c r="D32886" s="39"/>
      <c r="E32886" s="39"/>
      <c r="F32886" s="39"/>
    </row>
    <row r="32887">
      <c r="D32887" s="39"/>
      <c r="E32887" s="39"/>
      <c r="F32887" s="39"/>
    </row>
    <row r="32888">
      <c r="D32888" s="39"/>
      <c r="E32888" s="39"/>
      <c r="F32888" s="39"/>
    </row>
    <row r="32889">
      <c r="D32889" s="39"/>
      <c r="E32889" s="39"/>
      <c r="F32889" s="39"/>
    </row>
    <row r="32890">
      <c r="D32890" s="39"/>
      <c r="E32890" s="39"/>
      <c r="F32890" s="39"/>
    </row>
    <row r="32891">
      <c r="D32891" s="39"/>
      <c r="E32891" s="39"/>
      <c r="F32891" s="39"/>
    </row>
    <row r="32892">
      <c r="D32892" s="39"/>
      <c r="E32892" s="39"/>
      <c r="F32892" s="39"/>
    </row>
    <row r="32893">
      <c r="D32893" s="39"/>
      <c r="E32893" s="39"/>
      <c r="F32893" s="39"/>
    </row>
    <row r="32894">
      <c r="D32894" s="39"/>
      <c r="E32894" s="39"/>
      <c r="F32894" s="39"/>
    </row>
    <row r="32895">
      <c r="D32895" s="39"/>
      <c r="E32895" s="39"/>
      <c r="F32895" s="39"/>
    </row>
    <row r="32896">
      <c r="D32896" s="39"/>
      <c r="E32896" s="39"/>
      <c r="F32896" s="39"/>
    </row>
    <row r="32897">
      <c r="D32897" s="39"/>
      <c r="E32897" s="39"/>
      <c r="F32897" s="39"/>
    </row>
    <row r="32898">
      <c r="D32898" s="39"/>
      <c r="E32898" s="39"/>
      <c r="F32898" s="39"/>
    </row>
    <row r="32899">
      <c r="D32899" s="39"/>
      <c r="E32899" s="39"/>
      <c r="F32899" s="39"/>
    </row>
    <row r="32900">
      <c r="D32900" s="39"/>
      <c r="E32900" s="39"/>
      <c r="F32900" s="39"/>
    </row>
    <row r="32901">
      <c r="D32901" s="39"/>
      <c r="E32901" s="39"/>
      <c r="F32901" s="39"/>
    </row>
    <row r="32902">
      <c r="D32902" s="39"/>
      <c r="E32902" s="39"/>
      <c r="F32902" s="39"/>
    </row>
    <row r="32903">
      <c r="D32903" s="39"/>
      <c r="E32903" s="39"/>
      <c r="F32903" s="39"/>
    </row>
    <row r="32904">
      <c r="D32904" s="39"/>
      <c r="E32904" s="39"/>
      <c r="F32904" s="39"/>
    </row>
    <row r="32905">
      <c r="D32905" s="39"/>
      <c r="E32905" s="39"/>
      <c r="F32905" s="39"/>
    </row>
    <row r="32906">
      <c r="D32906" s="39"/>
      <c r="E32906" s="39"/>
      <c r="F32906" s="39"/>
    </row>
    <row r="32907">
      <c r="D32907" s="39"/>
      <c r="E32907" s="39"/>
      <c r="F32907" s="39"/>
    </row>
    <row r="32908">
      <c r="D32908" s="39"/>
      <c r="E32908" s="39"/>
      <c r="F32908" s="39"/>
    </row>
    <row r="32909">
      <c r="D32909" s="39"/>
      <c r="E32909" s="39"/>
      <c r="F32909" s="39"/>
    </row>
    <row r="32910">
      <c r="D32910" s="39"/>
      <c r="E32910" s="39"/>
      <c r="F32910" s="39"/>
    </row>
    <row r="32911">
      <c r="D32911" s="39"/>
      <c r="E32911" s="39"/>
      <c r="F32911" s="39"/>
    </row>
    <row r="32912">
      <c r="D32912" s="39"/>
      <c r="E32912" s="39"/>
      <c r="F32912" s="39"/>
    </row>
    <row r="32913">
      <c r="D32913" s="39"/>
      <c r="E32913" s="39"/>
      <c r="F32913" s="39"/>
    </row>
    <row r="32914">
      <c r="D32914" s="39"/>
      <c r="E32914" s="39"/>
      <c r="F32914" s="39"/>
    </row>
    <row r="32915">
      <c r="D32915" s="39"/>
      <c r="E32915" s="39"/>
      <c r="F32915" s="39"/>
    </row>
    <row r="32916">
      <c r="D32916" s="39"/>
      <c r="E32916" s="39"/>
      <c r="F32916" s="39"/>
    </row>
    <row r="32917">
      <c r="D32917" s="39"/>
      <c r="E32917" s="39"/>
      <c r="F32917" s="39"/>
    </row>
    <row r="32918">
      <c r="D32918" s="39"/>
      <c r="E32918" s="39"/>
      <c r="F32918" s="39"/>
    </row>
    <row r="32919">
      <c r="D32919" s="39"/>
      <c r="E32919" s="39"/>
      <c r="F32919" s="39"/>
    </row>
    <row r="32920">
      <c r="D32920" s="39"/>
      <c r="E32920" s="39"/>
      <c r="F32920" s="39"/>
    </row>
    <row r="32921">
      <c r="D32921" s="39"/>
      <c r="E32921" s="39"/>
      <c r="F32921" s="39"/>
    </row>
    <row r="32922">
      <c r="D32922" s="39"/>
      <c r="E32922" s="39"/>
      <c r="F32922" s="39"/>
    </row>
    <row r="32923">
      <c r="D32923" s="39"/>
      <c r="E32923" s="39"/>
      <c r="F32923" s="39"/>
    </row>
    <row r="32924">
      <c r="D32924" s="39"/>
      <c r="E32924" s="39"/>
      <c r="F32924" s="39"/>
    </row>
    <row r="32925">
      <c r="D32925" s="39"/>
      <c r="E32925" s="39"/>
      <c r="F32925" s="39"/>
    </row>
    <row r="32926">
      <c r="D32926" s="39"/>
      <c r="E32926" s="39"/>
      <c r="F32926" s="39"/>
    </row>
    <row r="32927">
      <c r="D32927" s="39"/>
      <c r="E32927" s="39"/>
      <c r="F32927" s="39"/>
    </row>
    <row r="32928">
      <c r="D32928" s="39"/>
      <c r="E32928" s="39"/>
      <c r="F32928" s="39"/>
    </row>
    <row r="32929">
      <c r="D32929" s="39"/>
      <c r="E32929" s="39"/>
      <c r="F32929" s="39"/>
    </row>
    <row r="32930">
      <c r="D32930" s="39"/>
      <c r="E32930" s="39"/>
      <c r="F32930" s="39"/>
    </row>
    <row r="32931">
      <c r="D32931" s="39"/>
      <c r="E32931" s="39"/>
      <c r="F32931" s="39"/>
    </row>
    <row r="32932">
      <c r="D32932" s="39"/>
      <c r="E32932" s="39"/>
      <c r="F32932" s="39"/>
    </row>
    <row r="32933">
      <c r="D32933" s="39"/>
      <c r="E32933" s="39"/>
      <c r="F32933" s="39"/>
    </row>
    <row r="32934">
      <c r="D32934" s="39"/>
      <c r="E32934" s="39"/>
      <c r="F32934" s="39"/>
    </row>
    <row r="32935">
      <c r="D32935" s="39"/>
      <c r="E32935" s="39"/>
      <c r="F32935" s="39"/>
    </row>
    <row r="32936">
      <c r="D32936" s="39"/>
      <c r="E32936" s="39"/>
      <c r="F32936" s="39"/>
    </row>
    <row r="32937">
      <c r="D32937" s="39"/>
      <c r="E32937" s="39"/>
      <c r="F32937" s="39"/>
    </row>
    <row r="32938">
      <c r="D32938" s="39"/>
      <c r="E32938" s="39"/>
      <c r="F32938" s="39"/>
    </row>
    <row r="32939">
      <c r="D32939" s="39"/>
      <c r="E32939" s="39"/>
      <c r="F32939" s="39"/>
    </row>
    <row r="32940">
      <c r="D32940" s="39"/>
      <c r="E32940" s="39"/>
      <c r="F32940" s="39"/>
    </row>
    <row r="32941">
      <c r="D32941" s="39"/>
      <c r="E32941" s="39"/>
      <c r="F32941" s="39"/>
    </row>
    <row r="32942">
      <c r="D32942" s="39"/>
      <c r="E32942" s="39"/>
      <c r="F32942" s="39"/>
    </row>
    <row r="32943">
      <c r="D32943" s="39"/>
      <c r="E32943" s="39"/>
      <c r="F32943" s="39"/>
    </row>
    <row r="32944">
      <c r="D32944" s="39"/>
      <c r="E32944" s="39"/>
      <c r="F32944" s="39"/>
    </row>
    <row r="32945">
      <c r="D32945" s="39"/>
      <c r="E32945" s="39"/>
      <c r="F32945" s="39"/>
    </row>
    <row r="32946">
      <c r="D32946" s="39"/>
      <c r="E32946" s="39"/>
      <c r="F32946" s="39"/>
    </row>
    <row r="32947">
      <c r="D32947" s="39"/>
      <c r="E32947" s="39"/>
      <c r="F32947" s="39"/>
    </row>
    <row r="32948">
      <c r="D32948" s="39"/>
      <c r="E32948" s="39"/>
      <c r="F32948" s="39"/>
    </row>
    <row r="32949">
      <c r="D32949" s="39"/>
      <c r="E32949" s="39"/>
      <c r="F32949" s="39"/>
    </row>
    <row r="32950">
      <c r="D32950" s="39"/>
      <c r="E32950" s="39"/>
      <c r="F32950" s="39"/>
    </row>
    <row r="32951">
      <c r="D32951" s="39"/>
      <c r="E32951" s="39"/>
      <c r="F32951" s="39"/>
    </row>
    <row r="32952">
      <c r="D32952" s="39"/>
      <c r="E32952" s="39"/>
      <c r="F32952" s="39"/>
    </row>
    <row r="32953">
      <c r="D32953" s="39"/>
      <c r="E32953" s="39"/>
      <c r="F32953" s="39"/>
    </row>
    <row r="32954">
      <c r="D32954" s="39"/>
      <c r="E32954" s="39"/>
      <c r="F32954" s="39"/>
    </row>
    <row r="32955">
      <c r="D32955" s="39"/>
      <c r="E32955" s="39"/>
      <c r="F32955" s="39"/>
    </row>
    <row r="32956">
      <c r="D32956" s="39"/>
      <c r="E32956" s="39"/>
      <c r="F32956" s="39"/>
    </row>
    <row r="32957">
      <c r="D32957" s="39"/>
      <c r="E32957" s="39"/>
      <c r="F32957" s="39"/>
    </row>
    <row r="32958">
      <c r="D32958" s="39"/>
      <c r="E32958" s="39"/>
      <c r="F32958" s="39"/>
    </row>
    <row r="32959">
      <c r="D32959" s="39"/>
      <c r="E32959" s="39"/>
      <c r="F32959" s="39"/>
    </row>
    <row r="32960">
      <c r="D32960" s="39"/>
      <c r="E32960" s="39"/>
      <c r="F32960" s="39"/>
    </row>
    <row r="32961">
      <c r="D32961" s="39"/>
      <c r="E32961" s="39"/>
      <c r="F32961" s="39"/>
    </row>
    <row r="32962">
      <c r="D32962" s="39"/>
      <c r="E32962" s="39"/>
      <c r="F32962" s="39"/>
    </row>
    <row r="32963">
      <c r="D32963" s="39"/>
      <c r="E32963" s="39"/>
      <c r="F32963" s="39"/>
    </row>
    <row r="32964">
      <c r="D32964" s="39"/>
      <c r="E32964" s="39"/>
      <c r="F32964" s="39"/>
    </row>
    <row r="32965">
      <c r="D32965" s="39"/>
      <c r="E32965" s="39"/>
      <c r="F32965" s="39"/>
    </row>
    <row r="32966">
      <c r="D32966" s="39"/>
      <c r="E32966" s="39"/>
      <c r="F32966" s="39"/>
    </row>
    <row r="32967">
      <c r="D32967" s="39"/>
      <c r="E32967" s="39"/>
      <c r="F32967" s="39"/>
    </row>
    <row r="32968">
      <c r="D32968" s="39"/>
      <c r="E32968" s="39"/>
      <c r="F32968" s="39"/>
    </row>
    <row r="32969">
      <c r="D32969" s="39"/>
      <c r="E32969" s="39"/>
      <c r="F32969" s="39"/>
    </row>
    <row r="32970">
      <c r="D32970" s="39"/>
      <c r="E32970" s="39"/>
      <c r="F32970" s="39"/>
    </row>
    <row r="32971">
      <c r="D32971" s="39"/>
      <c r="E32971" s="39"/>
      <c r="F32971" s="39"/>
    </row>
    <row r="32972">
      <c r="D32972" s="39"/>
      <c r="E32972" s="39"/>
      <c r="F32972" s="39"/>
    </row>
    <row r="32973">
      <c r="D32973" s="39"/>
      <c r="E32973" s="39"/>
      <c r="F32973" s="39"/>
    </row>
    <row r="32974">
      <c r="D32974" s="39"/>
      <c r="E32974" s="39"/>
      <c r="F32974" s="39"/>
    </row>
    <row r="32975">
      <c r="D32975" s="39"/>
      <c r="E32975" s="39"/>
      <c r="F32975" s="39"/>
    </row>
    <row r="32976">
      <c r="D32976" s="39"/>
      <c r="E32976" s="39"/>
      <c r="F32976" s="39"/>
    </row>
    <row r="32977">
      <c r="D32977" s="39"/>
      <c r="E32977" s="39"/>
      <c r="F32977" s="39"/>
    </row>
    <row r="32978">
      <c r="D32978" s="39"/>
      <c r="E32978" s="39"/>
      <c r="F32978" s="39"/>
    </row>
    <row r="32979">
      <c r="D32979" s="39"/>
      <c r="E32979" s="39"/>
      <c r="F32979" s="39"/>
    </row>
    <row r="32980">
      <c r="D32980" s="39"/>
      <c r="E32980" s="39"/>
      <c r="F32980" s="39"/>
    </row>
    <row r="32981">
      <c r="D32981" s="39"/>
      <c r="E32981" s="39"/>
      <c r="F32981" s="39"/>
    </row>
    <row r="32982">
      <c r="D32982" s="39"/>
      <c r="E32982" s="39"/>
      <c r="F32982" s="39"/>
    </row>
    <row r="32983">
      <c r="D32983" s="39"/>
      <c r="E32983" s="39"/>
      <c r="F32983" s="39"/>
    </row>
    <row r="32984">
      <c r="D32984" s="39"/>
      <c r="E32984" s="39"/>
      <c r="F32984" s="39"/>
    </row>
    <row r="32985">
      <c r="D32985" s="39"/>
      <c r="E32985" s="39"/>
      <c r="F32985" s="39"/>
    </row>
    <row r="32986">
      <c r="D32986" s="39"/>
      <c r="E32986" s="39"/>
      <c r="F32986" s="39"/>
    </row>
    <row r="32987">
      <c r="D32987" s="39"/>
      <c r="E32987" s="39"/>
      <c r="F32987" s="39"/>
    </row>
    <row r="32988">
      <c r="D32988" s="39"/>
      <c r="E32988" s="39"/>
      <c r="F32988" s="39"/>
    </row>
    <row r="32989">
      <c r="D32989" s="39"/>
      <c r="E32989" s="39"/>
      <c r="F32989" s="39"/>
    </row>
    <row r="32990">
      <c r="D32990" s="39"/>
      <c r="E32990" s="39"/>
      <c r="F32990" s="39"/>
    </row>
    <row r="32991">
      <c r="D32991" s="39"/>
      <c r="E32991" s="39"/>
      <c r="F32991" s="39"/>
    </row>
    <row r="32992">
      <c r="D32992" s="39"/>
      <c r="E32992" s="39"/>
      <c r="F32992" s="39"/>
    </row>
    <row r="32993">
      <c r="D32993" s="39"/>
      <c r="E32993" s="39"/>
      <c r="F32993" s="39"/>
    </row>
    <row r="32994">
      <c r="D32994" s="39"/>
      <c r="E32994" s="39"/>
      <c r="F32994" s="39"/>
    </row>
    <row r="32995">
      <c r="D32995" s="39"/>
      <c r="E32995" s="39"/>
      <c r="F32995" s="39"/>
    </row>
    <row r="32996">
      <c r="D32996" s="39"/>
      <c r="E32996" s="39"/>
      <c r="F32996" s="39"/>
    </row>
    <row r="32997">
      <c r="D32997" s="39"/>
      <c r="E32997" s="39"/>
      <c r="F32997" s="39"/>
    </row>
    <row r="32998">
      <c r="D32998" s="39"/>
      <c r="E32998" s="39"/>
      <c r="F32998" s="39"/>
    </row>
    <row r="32999">
      <c r="D32999" s="39"/>
      <c r="E32999" s="39"/>
      <c r="F32999" s="39"/>
    </row>
    <row r="33000">
      <c r="D33000" s="39"/>
      <c r="E33000" s="39"/>
      <c r="F33000" s="39"/>
    </row>
    <row r="33001">
      <c r="D33001" s="39"/>
      <c r="E33001" s="39"/>
      <c r="F33001" s="39"/>
    </row>
    <row r="33002">
      <c r="D33002" s="39"/>
      <c r="E33002" s="39"/>
      <c r="F33002" s="39"/>
    </row>
    <row r="33003">
      <c r="D33003" s="39"/>
      <c r="E33003" s="39"/>
      <c r="F33003" s="39"/>
    </row>
    <row r="33004">
      <c r="D33004" s="39"/>
      <c r="E33004" s="39"/>
      <c r="F33004" s="39"/>
    </row>
    <row r="33005">
      <c r="D33005" s="39"/>
      <c r="E33005" s="39"/>
      <c r="F33005" s="39"/>
    </row>
    <row r="33006">
      <c r="D33006" s="39"/>
      <c r="E33006" s="39"/>
      <c r="F33006" s="39"/>
    </row>
    <row r="33007">
      <c r="D33007" s="39"/>
      <c r="E33007" s="39"/>
      <c r="F33007" s="39"/>
    </row>
    <row r="33008">
      <c r="D33008" s="39"/>
      <c r="E33008" s="39"/>
      <c r="F33008" s="39"/>
    </row>
    <row r="33009">
      <c r="D33009" s="39"/>
      <c r="E33009" s="39"/>
      <c r="F33009" s="39"/>
    </row>
    <row r="33010">
      <c r="D33010" s="39"/>
      <c r="E33010" s="39"/>
      <c r="F33010" s="39"/>
    </row>
    <row r="33011">
      <c r="D33011" s="39"/>
      <c r="E33011" s="39"/>
      <c r="F33011" s="39"/>
    </row>
    <row r="33012">
      <c r="D33012" s="39"/>
      <c r="E33012" s="39"/>
      <c r="F33012" s="39"/>
    </row>
    <row r="33013">
      <c r="D33013" s="39"/>
      <c r="E33013" s="39"/>
      <c r="F33013" s="39"/>
    </row>
    <row r="33014">
      <c r="D33014" s="39"/>
      <c r="E33014" s="39"/>
      <c r="F33014" s="39"/>
    </row>
    <row r="33015">
      <c r="D33015" s="39"/>
      <c r="E33015" s="39"/>
      <c r="F33015" s="39"/>
    </row>
    <row r="33016">
      <c r="D33016" s="39"/>
      <c r="E33016" s="39"/>
      <c r="F33016" s="39"/>
    </row>
    <row r="33017">
      <c r="D33017" s="39"/>
      <c r="E33017" s="39"/>
      <c r="F33017" s="39"/>
    </row>
    <row r="33018">
      <c r="D33018" s="39"/>
      <c r="E33018" s="39"/>
      <c r="F33018" s="39"/>
    </row>
    <row r="33019">
      <c r="D33019" s="39"/>
      <c r="E33019" s="39"/>
      <c r="F33019" s="39"/>
    </row>
    <row r="33020">
      <c r="D33020" s="39"/>
      <c r="E33020" s="39"/>
      <c r="F33020" s="39"/>
    </row>
    <row r="33021">
      <c r="D33021" s="39"/>
      <c r="E33021" s="39"/>
      <c r="F33021" s="39"/>
    </row>
    <row r="33022">
      <c r="D33022" s="39"/>
      <c r="E33022" s="39"/>
      <c r="F33022" s="39"/>
    </row>
    <row r="33023">
      <c r="D33023" s="39"/>
      <c r="E33023" s="39"/>
      <c r="F33023" s="39"/>
    </row>
    <row r="33024">
      <c r="D33024" s="39"/>
      <c r="E33024" s="39"/>
      <c r="F33024" s="39"/>
    </row>
    <row r="33025">
      <c r="D33025" s="39"/>
      <c r="E33025" s="39"/>
      <c r="F33025" s="39"/>
    </row>
    <row r="33026">
      <c r="D33026" s="39"/>
      <c r="E33026" s="39"/>
      <c r="F33026" s="39"/>
    </row>
    <row r="33027">
      <c r="D33027" s="39"/>
      <c r="E33027" s="39"/>
      <c r="F33027" s="39"/>
    </row>
    <row r="33028">
      <c r="D33028" s="39"/>
      <c r="E33028" s="39"/>
      <c r="F33028" s="39"/>
    </row>
    <row r="33029">
      <c r="D33029" s="39"/>
      <c r="E33029" s="39"/>
      <c r="F33029" s="39"/>
    </row>
    <row r="33030">
      <c r="D33030" s="39"/>
      <c r="E33030" s="39"/>
      <c r="F33030" s="39"/>
    </row>
    <row r="33031">
      <c r="D33031" s="39"/>
      <c r="E33031" s="39"/>
      <c r="F33031" s="39"/>
    </row>
    <row r="33032">
      <c r="D33032" s="39"/>
      <c r="E33032" s="39"/>
      <c r="F33032" s="39"/>
    </row>
    <row r="33033">
      <c r="D33033" s="39"/>
      <c r="E33033" s="39"/>
      <c r="F33033" s="39"/>
    </row>
    <row r="33034">
      <c r="D33034" s="39"/>
      <c r="E33034" s="39"/>
      <c r="F33034" s="39"/>
    </row>
    <row r="33035">
      <c r="D33035" s="39"/>
      <c r="E33035" s="39"/>
      <c r="F33035" s="39"/>
    </row>
    <row r="33036">
      <c r="D33036" s="39"/>
      <c r="E33036" s="39"/>
      <c r="F33036" s="39"/>
    </row>
    <row r="33037">
      <c r="D33037" s="39"/>
      <c r="E33037" s="39"/>
      <c r="F33037" s="39"/>
    </row>
    <row r="33038">
      <c r="D33038" s="39"/>
      <c r="E33038" s="39"/>
      <c r="F33038" s="39"/>
    </row>
    <row r="33039">
      <c r="D33039" s="39"/>
      <c r="E33039" s="39"/>
      <c r="F33039" s="39"/>
    </row>
    <row r="33040">
      <c r="D33040" s="39"/>
      <c r="E33040" s="39"/>
      <c r="F33040" s="39"/>
    </row>
    <row r="33041">
      <c r="D33041" s="39"/>
      <c r="E33041" s="39"/>
      <c r="F33041" s="39"/>
    </row>
    <row r="33042">
      <c r="D33042" s="39"/>
      <c r="E33042" s="39"/>
      <c r="F33042" s="39"/>
    </row>
    <row r="33043">
      <c r="D33043" s="39"/>
      <c r="E33043" s="39"/>
      <c r="F33043" s="39"/>
    </row>
    <row r="33044">
      <c r="D33044" s="39"/>
      <c r="E33044" s="39"/>
      <c r="F33044" s="39"/>
    </row>
    <row r="33045">
      <c r="D33045" s="39"/>
      <c r="E33045" s="39"/>
      <c r="F33045" s="39"/>
    </row>
    <row r="33046">
      <c r="D33046" s="39"/>
      <c r="E33046" s="39"/>
      <c r="F33046" s="39"/>
    </row>
    <row r="33047">
      <c r="D33047" s="39"/>
      <c r="E33047" s="39"/>
      <c r="F33047" s="39"/>
    </row>
    <row r="33048">
      <c r="D33048" s="39"/>
      <c r="E33048" s="39"/>
      <c r="F33048" s="39"/>
    </row>
    <row r="33049">
      <c r="D33049" s="39"/>
      <c r="E33049" s="39"/>
      <c r="F33049" s="39"/>
    </row>
    <row r="33050">
      <c r="D33050" s="39"/>
      <c r="E33050" s="39"/>
      <c r="F33050" s="39"/>
    </row>
    <row r="33051">
      <c r="D33051" s="39"/>
      <c r="E33051" s="39"/>
      <c r="F33051" s="39"/>
    </row>
    <row r="33052">
      <c r="D33052" s="39"/>
      <c r="E33052" s="39"/>
      <c r="F33052" s="39"/>
    </row>
    <row r="33053">
      <c r="D33053" s="39"/>
      <c r="E33053" s="39"/>
      <c r="F33053" s="39"/>
    </row>
    <row r="33054">
      <c r="D33054" s="39"/>
      <c r="E33054" s="39"/>
      <c r="F33054" s="39"/>
    </row>
    <row r="33055">
      <c r="D33055" s="39"/>
      <c r="E33055" s="39"/>
      <c r="F33055" s="39"/>
    </row>
    <row r="33056">
      <c r="D33056" s="39"/>
      <c r="E33056" s="39"/>
      <c r="F33056" s="39"/>
    </row>
    <row r="33057">
      <c r="D33057" s="39"/>
      <c r="E33057" s="39"/>
      <c r="F33057" s="39"/>
    </row>
    <row r="33058">
      <c r="D33058" s="39"/>
      <c r="E33058" s="39"/>
      <c r="F33058" s="39"/>
    </row>
    <row r="33059">
      <c r="D33059" s="39"/>
      <c r="E33059" s="39"/>
      <c r="F33059" s="39"/>
    </row>
    <row r="33060">
      <c r="D33060" s="39"/>
      <c r="E33060" s="39"/>
      <c r="F33060" s="39"/>
    </row>
    <row r="33061">
      <c r="D33061" s="39"/>
      <c r="E33061" s="39"/>
      <c r="F33061" s="39"/>
    </row>
    <row r="33062">
      <c r="D33062" s="39"/>
      <c r="E33062" s="39"/>
      <c r="F33062" s="39"/>
    </row>
    <row r="33063">
      <c r="D33063" s="39"/>
      <c r="E33063" s="39"/>
      <c r="F33063" s="39"/>
    </row>
    <row r="33064">
      <c r="D33064" s="39"/>
      <c r="E33064" s="39"/>
      <c r="F33064" s="39"/>
    </row>
    <row r="33065">
      <c r="D33065" s="39"/>
      <c r="E33065" s="39"/>
      <c r="F33065" s="39"/>
    </row>
    <row r="33066">
      <c r="D33066" s="39"/>
      <c r="E33066" s="39"/>
      <c r="F33066" s="39"/>
    </row>
    <row r="33067">
      <c r="D33067" s="39"/>
      <c r="E33067" s="39"/>
      <c r="F33067" s="39"/>
    </row>
    <row r="33068">
      <c r="D33068" s="39"/>
      <c r="E33068" s="39"/>
      <c r="F33068" s="39"/>
    </row>
    <row r="33069">
      <c r="D33069" s="39"/>
      <c r="E33069" s="39"/>
      <c r="F33069" s="39"/>
    </row>
    <row r="33070">
      <c r="D33070" s="39"/>
      <c r="E33070" s="39"/>
      <c r="F33070" s="39"/>
    </row>
    <row r="33071">
      <c r="D33071" s="39"/>
      <c r="E33071" s="39"/>
      <c r="F33071" s="39"/>
    </row>
    <row r="33072">
      <c r="D33072" s="39"/>
      <c r="E33072" s="39"/>
      <c r="F33072" s="39"/>
    </row>
    <row r="33073">
      <c r="D33073" s="39"/>
      <c r="E33073" s="39"/>
      <c r="F33073" s="39"/>
    </row>
    <row r="33074">
      <c r="D33074" s="39"/>
      <c r="E33074" s="39"/>
      <c r="F33074" s="39"/>
    </row>
    <row r="33075">
      <c r="D33075" s="39"/>
      <c r="E33075" s="39"/>
      <c r="F33075" s="39"/>
    </row>
    <row r="33076">
      <c r="D33076" s="39"/>
      <c r="E33076" s="39"/>
      <c r="F33076" s="39"/>
    </row>
    <row r="33077">
      <c r="D33077" s="39"/>
      <c r="E33077" s="39"/>
      <c r="F33077" s="39"/>
    </row>
    <row r="33078">
      <c r="D33078" s="39"/>
      <c r="E33078" s="39"/>
      <c r="F33078" s="39"/>
    </row>
    <row r="33079">
      <c r="D33079" s="39"/>
      <c r="E33079" s="39"/>
      <c r="F33079" s="39"/>
    </row>
    <row r="33080">
      <c r="D33080" s="39"/>
      <c r="E33080" s="39"/>
      <c r="F33080" s="39"/>
    </row>
    <row r="33081">
      <c r="D33081" s="39"/>
      <c r="E33081" s="39"/>
      <c r="F33081" s="39"/>
    </row>
    <row r="33082">
      <c r="D33082" s="39"/>
      <c r="E33082" s="39"/>
      <c r="F33082" s="39"/>
    </row>
    <row r="33083">
      <c r="D33083" s="39"/>
      <c r="E33083" s="39"/>
      <c r="F33083" s="39"/>
    </row>
    <row r="33084">
      <c r="D33084" s="39"/>
      <c r="E33084" s="39"/>
      <c r="F33084" s="39"/>
    </row>
    <row r="33085">
      <c r="D33085" s="39"/>
      <c r="E33085" s="39"/>
      <c r="F33085" s="39"/>
    </row>
    <row r="33086">
      <c r="D33086" s="39"/>
      <c r="E33086" s="39"/>
      <c r="F33086" s="39"/>
    </row>
    <row r="33087">
      <c r="D33087" s="39"/>
      <c r="E33087" s="39"/>
      <c r="F33087" s="39"/>
    </row>
    <row r="33088">
      <c r="D33088" s="39"/>
      <c r="E33088" s="39"/>
      <c r="F33088" s="39"/>
    </row>
    <row r="33089">
      <c r="D33089" s="39"/>
      <c r="E33089" s="39"/>
      <c r="F33089" s="39"/>
    </row>
    <row r="33090">
      <c r="D33090" s="39"/>
      <c r="E33090" s="39"/>
      <c r="F33090" s="39"/>
    </row>
    <row r="33091">
      <c r="D33091" s="39"/>
      <c r="E33091" s="39"/>
      <c r="F33091" s="39"/>
    </row>
    <row r="33092">
      <c r="D33092" s="39"/>
      <c r="E33092" s="39"/>
      <c r="F33092" s="39"/>
    </row>
    <row r="33093">
      <c r="D33093" s="39"/>
      <c r="E33093" s="39"/>
      <c r="F33093" s="39"/>
    </row>
    <row r="33094">
      <c r="D33094" s="39"/>
      <c r="E33094" s="39"/>
      <c r="F33094" s="39"/>
    </row>
    <row r="33095">
      <c r="D33095" s="39"/>
      <c r="E33095" s="39"/>
      <c r="F33095" s="39"/>
    </row>
    <row r="33096">
      <c r="D33096" s="39"/>
      <c r="E33096" s="39"/>
      <c r="F33096" s="39"/>
    </row>
    <row r="33097">
      <c r="D33097" s="39"/>
      <c r="E33097" s="39"/>
      <c r="F33097" s="39"/>
    </row>
    <row r="33098">
      <c r="D33098" s="39"/>
      <c r="E33098" s="39"/>
      <c r="F33098" s="39"/>
    </row>
    <row r="33099">
      <c r="D33099" s="39"/>
      <c r="E33099" s="39"/>
      <c r="F33099" s="39"/>
    </row>
    <row r="33100">
      <c r="D33100" s="39"/>
      <c r="E33100" s="39"/>
      <c r="F33100" s="39"/>
    </row>
    <row r="33101">
      <c r="D33101" s="39"/>
      <c r="E33101" s="39"/>
      <c r="F33101" s="39"/>
    </row>
    <row r="33102">
      <c r="D33102" s="39"/>
      <c r="E33102" s="39"/>
      <c r="F33102" s="39"/>
    </row>
    <row r="33103">
      <c r="D33103" s="39"/>
      <c r="E33103" s="39"/>
      <c r="F33103" s="39"/>
    </row>
    <row r="33104">
      <c r="D33104" s="39"/>
      <c r="E33104" s="39"/>
      <c r="F33104" s="39"/>
    </row>
    <row r="33105">
      <c r="D33105" s="39"/>
      <c r="E33105" s="39"/>
      <c r="F33105" s="39"/>
    </row>
    <row r="33106">
      <c r="D33106" s="39"/>
      <c r="E33106" s="39"/>
      <c r="F33106" s="39"/>
    </row>
    <row r="33107">
      <c r="D33107" s="39"/>
      <c r="E33107" s="39"/>
      <c r="F33107" s="39"/>
    </row>
    <row r="33108">
      <c r="D33108" s="39"/>
      <c r="E33108" s="39"/>
      <c r="F33108" s="39"/>
    </row>
    <row r="33109">
      <c r="D33109" s="39"/>
      <c r="E33109" s="39"/>
      <c r="F33109" s="39"/>
    </row>
    <row r="33110">
      <c r="D33110" s="39"/>
      <c r="E33110" s="39"/>
      <c r="F33110" s="39"/>
    </row>
    <row r="33111">
      <c r="D33111" s="39"/>
      <c r="E33111" s="39"/>
      <c r="F33111" s="39"/>
    </row>
    <row r="33112">
      <c r="D33112" s="39"/>
      <c r="E33112" s="39"/>
      <c r="F33112" s="39"/>
    </row>
    <row r="33113">
      <c r="D33113" s="39"/>
      <c r="E33113" s="39"/>
      <c r="F33113" s="39"/>
    </row>
    <row r="33114">
      <c r="D33114" s="39"/>
      <c r="E33114" s="39"/>
      <c r="F33114" s="39"/>
    </row>
    <row r="33115">
      <c r="D33115" s="39"/>
      <c r="E33115" s="39"/>
      <c r="F33115" s="39"/>
    </row>
    <row r="33116">
      <c r="D33116" s="39"/>
      <c r="E33116" s="39"/>
      <c r="F33116" s="39"/>
    </row>
    <row r="33117">
      <c r="D33117" s="39"/>
      <c r="E33117" s="39"/>
      <c r="F33117" s="39"/>
    </row>
    <row r="33118">
      <c r="D33118" s="39"/>
      <c r="E33118" s="39"/>
      <c r="F33118" s="39"/>
    </row>
    <row r="33119">
      <c r="D33119" s="39"/>
      <c r="E33119" s="39"/>
      <c r="F33119" s="39"/>
    </row>
    <row r="33120">
      <c r="D33120" s="39"/>
      <c r="E33120" s="39"/>
      <c r="F33120" s="39"/>
    </row>
    <row r="33121">
      <c r="D33121" s="39"/>
      <c r="E33121" s="39"/>
      <c r="F33121" s="39"/>
    </row>
    <row r="33122">
      <c r="D33122" s="39"/>
      <c r="E33122" s="39"/>
      <c r="F33122" s="39"/>
    </row>
    <row r="33123">
      <c r="D33123" s="39"/>
      <c r="E33123" s="39"/>
      <c r="F33123" s="39"/>
    </row>
    <row r="33124">
      <c r="D33124" s="39"/>
      <c r="E33124" s="39"/>
      <c r="F33124" s="39"/>
    </row>
    <row r="33125">
      <c r="D33125" s="39"/>
      <c r="E33125" s="39"/>
      <c r="F33125" s="39"/>
    </row>
    <row r="33126">
      <c r="D33126" s="39"/>
      <c r="E33126" s="39"/>
      <c r="F33126" s="39"/>
    </row>
    <row r="33127">
      <c r="D33127" s="39"/>
      <c r="E33127" s="39"/>
      <c r="F33127" s="39"/>
    </row>
    <row r="33128">
      <c r="D33128" s="39"/>
      <c r="E33128" s="39"/>
      <c r="F33128" s="39"/>
    </row>
    <row r="33129">
      <c r="D33129" s="39"/>
      <c r="E33129" s="39"/>
      <c r="F33129" s="39"/>
    </row>
    <row r="33130">
      <c r="D33130" s="39"/>
      <c r="E33130" s="39"/>
      <c r="F33130" s="39"/>
    </row>
    <row r="33131">
      <c r="D33131" s="39"/>
      <c r="E33131" s="39"/>
      <c r="F33131" s="39"/>
    </row>
    <row r="33132">
      <c r="D33132" s="39"/>
      <c r="E33132" s="39"/>
      <c r="F33132" s="39"/>
    </row>
    <row r="33133">
      <c r="D33133" s="39"/>
      <c r="E33133" s="39"/>
      <c r="F33133" s="39"/>
    </row>
    <row r="33134">
      <c r="D33134" s="39"/>
      <c r="E33134" s="39"/>
      <c r="F33134" s="39"/>
    </row>
    <row r="33135">
      <c r="D33135" s="39"/>
      <c r="E33135" s="39"/>
      <c r="F33135" s="39"/>
    </row>
    <row r="33136">
      <c r="D33136" s="39"/>
      <c r="E33136" s="39"/>
      <c r="F33136" s="39"/>
    </row>
    <row r="33137">
      <c r="D33137" s="39"/>
      <c r="E33137" s="39"/>
      <c r="F33137" s="39"/>
    </row>
    <row r="33138">
      <c r="D33138" s="39"/>
      <c r="E33138" s="39"/>
      <c r="F33138" s="39"/>
    </row>
    <row r="33139">
      <c r="D33139" s="39"/>
      <c r="E33139" s="39"/>
      <c r="F33139" s="39"/>
    </row>
    <row r="33140">
      <c r="D33140" s="39"/>
      <c r="E33140" s="39"/>
      <c r="F33140" s="39"/>
    </row>
    <row r="33141">
      <c r="D33141" s="39"/>
      <c r="E33141" s="39"/>
      <c r="F33141" s="39"/>
    </row>
    <row r="33142">
      <c r="D33142" s="39"/>
      <c r="E33142" s="39"/>
      <c r="F33142" s="39"/>
    </row>
    <row r="33143">
      <c r="D33143" s="39"/>
      <c r="E33143" s="39"/>
      <c r="F33143" s="39"/>
    </row>
    <row r="33144">
      <c r="D33144" s="39"/>
      <c r="E33144" s="39"/>
      <c r="F33144" s="39"/>
    </row>
    <row r="33145">
      <c r="D33145" s="39"/>
      <c r="E33145" s="39"/>
      <c r="F33145" s="39"/>
    </row>
    <row r="33146">
      <c r="D33146" s="39"/>
      <c r="E33146" s="39"/>
      <c r="F33146" s="39"/>
    </row>
    <row r="33147">
      <c r="D33147" s="39"/>
      <c r="E33147" s="39"/>
      <c r="F33147" s="39"/>
    </row>
    <row r="33148">
      <c r="D33148" s="39"/>
      <c r="E33148" s="39"/>
      <c r="F33148" s="39"/>
    </row>
    <row r="33149">
      <c r="D33149" s="39"/>
      <c r="E33149" s="39"/>
      <c r="F33149" s="39"/>
    </row>
    <row r="33150">
      <c r="D33150" s="39"/>
      <c r="E33150" s="39"/>
      <c r="F33150" s="39"/>
    </row>
    <row r="33151">
      <c r="D33151" s="39"/>
      <c r="E33151" s="39"/>
      <c r="F33151" s="39"/>
    </row>
    <row r="33152">
      <c r="D33152" s="39"/>
      <c r="E33152" s="39"/>
      <c r="F33152" s="39"/>
    </row>
    <row r="33153">
      <c r="D33153" s="39"/>
      <c r="E33153" s="39"/>
      <c r="F33153" s="39"/>
    </row>
    <row r="33154">
      <c r="D33154" s="39"/>
      <c r="E33154" s="39"/>
      <c r="F33154" s="39"/>
    </row>
    <row r="33155">
      <c r="D33155" s="39"/>
      <c r="E33155" s="39"/>
      <c r="F33155" s="39"/>
    </row>
    <row r="33156">
      <c r="D33156" s="39"/>
      <c r="E33156" s="39"/>
      <c r="F33156" s="39"/>
    </row>
    <row r="33157">
      <c r="D33157" s="39"/>
      <c r="E33157" s="39"/>
      <c r="F33157" s="39"/>
    </row>
    <row r="33158">
      <c r="D33158" s="39"/>
      <c r="E33158" s="39"/>
      <c r="F33158" s="39"/>
    </row>
    <row r="33159">
      <c r="D33159" s="39"/>
      <c r="E33159" s="39"/>
      <c r="F33159" s="39"/>
    </row>
    <row r="33160">
      <c r="D33160" s="39"/>
      <c r="E33160" s="39"/>
      <c r="F33160" s="39"/>
    </row>
    <row r="33161">
      <c r="D33161" s="39"/>
      <c r="E33161" s="39"/>
      <c r="F33161" s="39"/>
    </row>
    <row r="33162">
      <c r="D33162" s="39"/>
      <c r="E33162" s="39"/>
      <c r="F33162" s="39"/>
    </row>
    <row r="33163">
      <c r="D33163" s="39"/>
      <c r="E33163" s="39"/>
      <c r="F33163" s="39"/>
    </row>
    <row r="33164">
      <c r="D33164" s="39"/>
      <c r="E33164" s="39"/>
      <c r="F33164" s="39"/>
    </row>
    <row r="33165">
      <c r="D33165" s="39"/>
      <c r="E33165" s="39"/>
      <c r="F33165" s="39"/>
    </row>
    <row r="33166">
      <c r="D33166" s="39"/>
      <c r="E33166" s="39"/>
      <c r="F33166" s="39"/>
    </row>
    <row r="33167">
      <c r="D33167" s="39"/>
      <c r="E33167" s="39"/>
      <c r="F33167" s="39"/>
    </row>
    <row r="33168">
      <c r="D33168" s="39"/>
      <c r="E33168" s="39"/>
      <c r="F33168" s="39"/>
    </row>
    <row r="33169">
      <c r="D33169" s="39"/>
      <c r="E33169" s="39"/>
      <c r="F33169" s="39"/>
    </row>
    <row r="33170">
      <c r="D33170" s="39"/>
      <c r="E33170" s="39"/>
      <c r="F33170" s="39"/>
    </row>
    <row r="33171">
      <c r="D33171" s="39"/>
      <c r="E33171" s="39"/>
      <c r="F33171" s="39"/>
    </row>
    <row r="33172">
      <c r="D33172" s="39"/>
      <c r="E33172" s="39"/>
      <c r="F33172" s="39"/>
    </row>
    <row r="33173">
      <c r="D33173" s="39"/>
      <c r="E33173" s="39"/>
      <c r="F33173" s="39"/>
    </row>
    <row r="33174">
      <c r="D33174" s="39"/>
      <c r="E33174" s="39"/>
      <c r="F33174" s="39"/>
    </row>
    <row r="33175">
      <c r="D33175" s="39"/>
      <c r="E33175" s="39"/>
      <c r="F33175" s="39"/>
    </row>
    <row r="33176">
      <c r="D33176" s="39"/>
      <c r="E33176" s="39"/>
      <c r="F33176" s="39"/>
    </row>
    <row r="33177">
      <c r="D33177" s="39"/>
      <c r="E33177" s="39"/>
      <c r="F33177" s="39"/>
    </row>
    <row r="33178">
      <c r="D33178" s="39"/>
      <c r="E33178" s="39"/>
      <c r="F33178" s="39"/>
    </row>
    <row r="33179">
      <c r="D33179" s="39"/>
      <c r="E33179" s="39"/>
      <c r="F33179" s="39"/>
    </row>
    <row r="33180">
      <c r="D33180" s="39"/>
      <c r="E33180" s="39"/>
      <c r="F33180" s="39"/>
    </row>
    <row r="33181">
      <c r="D33181" s="39"/>
      <c r="E33181" s="39"/>
      <c r="F33181" s="39"/>
    </row>
    <row r="33182">
      <c r="D33182" s="39"/>
      <c r="E33182" s="39"/>
      <c r="F33182" s="39"/>
    </row>
    <row r="33183">
      <c r="D33183" s="39"/>
      <c r="E33183" s="39"/>
      <c r="F33183" s="39"/>
    </row>
    <row r="33184">
      <c r="D33184" s="39"/>
      <c r="E33184" s="39"/>
      <c r="F33184" s="39"/>
    </row>
    <row r="33185">
      <c r="D33185" s="39"/>
      <c r="E33185" s="39"/>
      <c r="F33185" s="39"/>
    </row>
    <row r="33186">
      <c r="D33186" s="39"/>
      <c r="E33186" s="39"/>
      <c r="F33186" s="39"/>
    </row>
    <row r="33187">
      <c r="D33187" s="39"/>
      <c r="E33187" s="39"/>
      <c r="F33187" s="39"/>
    </row>
    <row r="33188">
      <c r="D33188" s="39"/>
      <c r="E33188" s="39"/>
      <c r="F33188" s="39"/>
    </row>
    <row r="33189">
      <c r="D33189" s="39"/>
      <c r="E33189" s="39"/>
      <c r="F33189" s="39"/>
    </row>
    <row r="33190">
      <c r="D33190" s="39"/>
      <c r="E33190" s="39"/>
      <c r="F33190" s="39"/>
    </row>
    <row r="33191">
      <c r="D33191" s="39"/>
      <c r="E33191" s="39"/>
      <c r="F33191" s="39"/>
    </row>
    <row r="33192">
      <c r="D33192" s="39"/>
      <c r="E33192" s="39"/>
      <c r="F33192" s="39"/>
    </row>
    <row r="33193">
      <c r="D33193" s="39"/>
      <c r="E33193" s="39"/>
      <c r="F33193" s="39"/>
    </row>
    <row r="33194">
      <c r="D33194" s="39"/>
      <c r="E33194" s="39"/>
      <c r="F33194" s="39"/>
    </row>
    <row r="33195">
      <c r="D33195" s="39"/>
      <c r="E33195" s="39"/>
      <c r="F33195" s="39"/>
    </row>
    <row r="33196">
      <c r="D33196" s="39"/>
      <c r="E33196" s="39"/>
      <c r="F33196" s="39"/>
    </row>
    <row r="33197">
      <c r="D33197" s="39"/>
      <c r="E33197" s="39"/>
      <c r="F33197" s="39"/>
    </row>
    <row r="33198">
      <c r="D33198" s="39"/>
      <c r="E33198" s="39"/>
      <c r="F33198" s="39"/>
    </row>
    <row r="33199">
      <c r="D33199" s="39"/>
      <c r="E33199" s="39"/>
      <c r="F33199" s="39"/>
    </row>
    <row r="33200">
      <c r="D33200" s="39"/>
      <c r="E33200" s="39"/>
      <c r="F33200" s="39"/>
    </row>
    <row r="33201">
      <c r="D33201" s="39"/>
      <c r="E33201" s="39"/>
      <c r="F33201" s="39"/>
    </row>
    <row r="33202">
      <c r="D33202" s="39"/>
      <c r="E33202" s="39"/>
      <c r="F33202" s="39"/>
    </row>
    <row r="33203">
      <c r="D33203" s="39"/>
      <c r="E33203" s="39"/>
      <c r="F33203" s="39"/>
    </row>
    <row r="33204">
      <c r="D33204" s="39"/>
      <c r="E33204" s="39"/>
      <c r="F33204" s="39"/>
    </row>
    <row r="33205">
      <c r="D33205" s="39"/>
      <c r="E33205" s="39"/>
      <c r="F33205" s="39"/>
    </row>
    <row r="33206">
      <c r="D33206" s="39"/>
      <c r="E33206" s="39"/>
      <c r="F33206" s="39"/>
    </row>
    <row r="33207">
      <c r="D33207" s="39"/>
      <c r="E33207" s="39"/>
      <c r="F33207" s="39"/>
    </row>
    <row r="33208">
      <c r="D33208" s="39"/>
      <c r="E33208" s="39"/>
      <c r="F33208" s="39"/>
    </row>
    <row r="33209">
      <c r="D33209" s="39"/>
      <c r="E33209" s="39"/>
      <c r="F33209" s="39"/>
    </row>
    <row r="33210">
      <c r="D33210" s="39"/>
      <c r="E33210" s="39"/>
      <c r="F33210" s="39"/>
    </row>
    <row r="33211">
      <c r="D33211" s="39"/>
      <c r="E33211" s="39"/>
      <c r="F33211" s="39"/>
    </row>
    <row r="33212">
      <c r="D33212" s="39"/>
      <c r="E33212" s="39"/>
      <c r="F33212" s="39"/>
    </row>
    <row r="33213">
      <c r="D33213" s="39"/>
      <c r="E33213" s="39"/>
      <c r="F33213" s="39"/>
    </row>
    <row r="33214">
      <c r="D33214" s="39"/>
      <c r="E33214" s="39"/>
      <c r="F33214" s="39"/>
    </row>
    <row r="33215">
      <c r="D33215" s="39"/>
      <c r="E33215" s="39"/>
      <c r="F33215" s="39"/>
    </row>
    <row r="33216">
      <c r="D33216" s="39"/>
      <c r="E33216" s="39"/>
      <c r="F33216" s="39"/>
    </row>
    <row r="33217">
      <c r="D33217" s="39"/>
      <c r="E33217" s="39"/>
      <c r="F33217" s="39"/>
    </row>
    <row r="33218">
      <c r="D33218" s="39"/>
      <c r="E33218" s="39"/>
      <c r="F33218" s="39"/>
    </row>
    <row r="33219">
      <c r="D33219" s="39"/>
      <c r="E33219" s="39"/>
      <c r="F33219" s="39"/>
    </row>
    <row r="33220">
      <c r="D33220" s="39"/>
      <c r="E33220" s="39"/>
      <c r="F33220" s="39"/>
    </row>
    <row r="33221">
      <c r="D33221" s="39"/>
      <c r="E33221" s="39"/>
      <c r="F33221" s="39"/>
    </row>
    <row r="33222">
      <c r="D33222" s="39"/>
      <c r="E33222" s="39"/>
      <c r="F33222" s="39"/>
    </row>
    <row r="33223">
      <c r="D33223" s="39"/>
      <c r="E33223" s="39"/>
      <c r="F33223" s="39"/>
    </row>
    <row r="33224">
      <c r="D33224" s="39"/>
      <c r="E33224" s="39"/>
      <c r="F33224" s="39"/>
    </row>
    <row r="33225">
      <c r="D33225" s="39"/>
      <c r="E33225" s="39"/>
      <c r="F33225" s="39"/>
    </row>
    <row r="33226">
      <c r="D33226" s="39"/>
      <c r="E33226" s="39"/>
      <c r="F33226" s="39"/>
    </row>
    <row r="33227">
      <c r="D33227" s="39"/>
      <c r="E33227" s="39"/>
      <c r="F33227" s="39"/>
    </row>
    <row r="33228">
      <c r="D33228" s="39"/>
      <c r="E33228" s="39"/>
      <c r="F33228" s="39"/>
    </row>
    <row r="33229">
      <c r="D33229" s="39"/>
      <c r="E33229" s="39"/>
      <c r="F33229" s="39"/>
    </row>
    <row r="33230">
      <c r="D33230" s="39"/>
      <c r="E33230" s="39"/>
      <c r="F33230" s="39"/>
    </row>
    <row r="33231">
      <c r="D33231" s="39"/>
      <c r="E33231" s="39"/>
      <c r="F33231" s="39"/>
    </row>
    <row r="33232">
      <c r="D33232" s="39"/>
      <c r="E33232" s="39"/>
      <c r="F33232" s="39"/>
    </row>
    <row r="33233">
      <c r="D33233" s="39"/>
      <c r="E33233" s="39"/>
      <c r="F33233" s="39"/>
    </row>
    <row r="33234">
      <c r="D33234" s="39"/>
      <c r="E33234" s="39"/>
      <c r="F33234" s="39"/>
    </row>
    <row r="33235">
      <c r="D33235" s="39"/>
      <c r="E33235" s="39"/>
      <c r="F33235" s="39"/>
    </row>
    <row r="33236">
      <c r="D33236" s="39"/>
      <c r="E33236" s="39"/>
      <c r="F33236" s="39"/>
    </row>
    <row r="33237">
      <c r="D33237" s="39"/>
      <c r="E33237" s="39"/>
      <c r="F33237" s="39"/>
    </row>
    <row r="33238">
      <c r="D33238" s="39"/>
      <c r="E33238" s="39"/>
      <c r="F33238" s="39"/>
    </row>
    <row r="33239">
      <c r="D33239" s="39"/>
      <c r="E33239" s="39"/>
      <c r="F33239" s="39"/>
    </row>
    <row r="33240">
      <c r="D33240" s="39"/>
      <c r="E33240" s="39"/>
      <c r="F33240" s="39"/>
    </row>
    <row r="33241">
      <c r="D33241" s="39"/>
      <c r="E33241" s="39"/>
      <c r="F33241" s="39"/>
    </row>
    <row r="33242">
      <c r="D33242" s="39"/>
      <c r="E33242" s="39"/>
      <c r="F33242" s="39"/>
    </row>
    <row r="33243">
      <c r="D33243" s="39"/>
      <c r="E33243" s="39"/>
      <c r="F33243" s="39"/>
    </row>
    <row r="33244">
      <c r="D33244" s="39"/>
      <c r="E33244" s="39"/>
      <c r="F33244" s="39"/>
    </row>
    <row r="33245">
      <c r="D33245" s="39"/>
      <c r="E33245" s="39"/>
      <c r="F33245" s="39"/>
    </row>
    <row r="33246">
      <c r="D33246" s="39"/>
      <c r="E33246" s="39"/>
      <c r="F33246" s="39"/>
    </row>
    <row r="33247">
      <c r="D33247" s="39"/>
      <c r="E33247" s="39"/>
      <c r="F33247" s="39"/>
    </row>
    <row r="33248">
      <c r="D33248" s="39"/>
      <c r="E33248" s="39"/>
      <c r="F33248" s="39"/>
    </row>
    <row r="33249">
      <c r="D33249" s="39"/>
      <c r="E33249" s="39"/>
      <c r="F33249" s="39"/>
    </row>
    <row r="33250">
      <c r="D33250" s="39"/>
      <c r="E33250" s="39"/>
      <c r="F33250" s="39"/>
    </row>
    <row r="33251">
      <c r="D33251" s="39"/>
      <c r="E33251" s="39"/>
      <c r="F33251" s="39"/>
    </row>
    <row r="33252">
      <c r="D33252" s="39"/>
      <c r="E33252" s="39"/>
      <c r="F33252" s="39"/>
    </row>
    <row r="33253">
      <c r="D33253" s="39"/>
      <c r="E33253" s="39"/>
      <c r="F33253" s="39"/>
    </row>
    <row r="33254">
      <c r="D33254" s="39"/>
      <c r="E33254" s="39"/>
      <c r="F33254" s="39"/>
    </row>
    <row r="33255">
      <c r="D33255" s="39"/>
      <c r="E33255" s="39"/>
      <c r="F33255" s="39"/>
    </row>
    <row r="33256">
      <c r="D33256" s="39"/>
      <c r="E33256" s="39"/>
      <c r="F33256" s="39"/>
    </row>
    <row r="33257">
      <c r="D33257" s="39"/>
      <c r="E33257" s="39"/>
      <c r="F33257" s="39"/>
    </row>
    <row r="33258">
      <c r="D33258" s="39"/>
      <c r="E33258" s="39"/>
      <c r="F33258" s="39"/>
    </row>
    <row r="33259">
      <c r="D33259" s="39"/>
      <c r="E33259" s="39"/>
      <c r="F33259" s="39"/>
    </row>
    <row r="33260">
      <c r="D33260" s="39"/>
      <c r="E33260" s="39"/>
      <c r="F33260" s="39"/>
    </row>
    <row r="33261">
      <c r="D33261" s="39"/>
      <c r="E33261" s="39"/>
      <c r="F33261" s="39"/>
    </row>
    <row r="33262">
      <c r="D33262" s="39"/>
      <c r="E33262" s="39"/>
      <c r="F33262" s="39"/>
    </row>
    <row r="33263">
      <c r="D33263" s="39"/>
      <c r="E33263" s="39"/>
      <c r="F33263" s="39"/>
    </row>
    <row r="33264">
      <c r="D33264" s="39"/>
      <c r="E33264" s="39"/>
      <c r="F33264" s="39"/>
    </row>
    <row r="33265">
      <c r="D33265" s="39"/>
      <c r="E33265" s="39"/>
      <c r="F33265" s="39"/>
    </row>
    <row r="33266">
      <c r="D33266" s="39"/>
      <c r="E33266" s="39"/>
      <c r="F33266" s="39"/>
    </row>
    <row r="33267">
      <c r="D33267" s="39"/>
      <c r="E33267" s="39"/>
      <c r="F33267" s="39"/>
    </row>
    <row r="33268">
      <c r="D33268" s="39"/>
      <c r="E33268" s="39"/>
      <c r="F33268" s="39"/>
    </row>
    <row r="33269">
      <c r="D33269" s="39"/>
      <c r="E33269" s="39"/>
      <c r="F33269" s="39"/>
    </row>
    <row r="33270">
      <c r="D33270" s="39"/>
      <c r="E33270" s="39"/>
      <c r="F33270" s="39"/>
    </row>
    <row r="33271">
      <c r="D33271" s="39"/>
      <c r="E33271" s="39"/>
      <c r="F33271" s="39"/>
    </row>
    <row r="33272">
      <c r="D33272" s="39"/>
      <c r="E33272" s="39"/>
      <c r="F33272" s="39"/>
    </row>
    <row r="33273">
      <c r="D33273" s="39"/>
      <c r="E33273" s="39"/>
      <c r="F33273" s="39"/>
    </row>
    <row r="33274">
      <c r="D33274" s="39"/>
      <c r="E33274" s="39"/>
      <c r="F33274" s="39"/>
    </row>
    <row r="33275">
      <c r="D33275" s="39"/>
      <c r="E33275" s="39"/>
      <c r="F33275" s="39"/>
    </row>
    <row r="33276">
      <c r="D33276" s="39"/>
      <c r="E33276" s="39"/>
      <c r="F33276" s="39"/>
    </row>
    <row r="33277">
      <c r="D33277" s="39"/>
      <c r="E33277" s="39"/>
      <c r="F33277" s="39"/>
    </row>
    <row r="33278">
      <c r="D33278" s="39"/>
      <c r="E33278" s="39"/>
      <c r="F33278" s="39"/>
    </row>
    <row r="33279">
      <c r="D33279" s="39"/>
      <c r="E33279" s="39"/>
      <c r="F33279" s="39"/>
    </row>
    <row r="33280">
      <c r="D33280" s="39"/>
      <c r="E33280" s="39"/>
      <c r="F33280" s="39"/>
    </row>
    <row r="33281">
      <c r="D33281" s="39"/>
      <c r="E33281" s="39"/>
      <c r="F33281" s="39"/>
    </row>
    <row r="33282">
      <c r="D33282" s="39"/>
      <c r="E33282" s="39"/>
      <c r="F33282" s="39"/>
    </row>
    <row r="33283">
      <c r="D33283" s="39"/>
      <c r="E33283" s="39"/>
      <c r="F33283" s="39"/>
    </row>
    <row r="33284">
      <c r="D33284" s="39"/>
      <c r="E33284" s="39"/>
      <c r="F33284" s="39"/>
    </row>
    <row r="33285">
      <c r="D33285" s="39"/>
      <c r="E33285" s="39"/>
      <c r="F33285" s="39"/>
    </row>
    <row r="33286">
      <c r="D33286" s="39"/>
      <c r="E33286" s="39"/>
      <c r="F33286" s="39"/>
    </row>
    <row r="33287">
      <c r="D33287" s="39"/>
      <c r="E33287" s="39"/>
      <c r="F33287" s="39"/>
    </row>
    <row r="33288">
      <c r="D33288" s="39"/>
      <c r="E33288" s="39"/>
      <c r="F33288" s="39"/>
    </row>
    <row r="33289">
      <c r="D33289" s="39"/>
      <c r="E33289" s="39"/>
      <c r="F33289" s="39"/>
    </row>
    <row r="33290">
      <c r="D33290" s="39"/>
      <c r="E33290" s="39"/>
      <c r="F33290" s="39"/>
    </row>
    <row r="33291">
      <c r="D33291" s="39"/>
      <c r="E33291" s="39"/>
      <c r="F33291" s="39"/>
    </row>
    <row r="33292">
      <c r="D33292" s="39"/>
      <c r="E33292" s="39"/>
      <c r="F33292" s="39"/>
    </row>
    <row r="33293">
      <c r="D33293" s="39"/>
      <c r="E33293" s="39"/>
      <c r="F33293" s="39"/>
    </row>
    <row r="33294">
      <c r="D33294" s="39"/>
      <c r="E33294" s="39"/>
      <c r="F33294" s="39"/>
    </row>
    <row r="33295">
      <c r="D33295" s="39"/>
      <c r="E33295" s="39"/>
      <c r="F33295" s="39"/>
    </row>
    <row r="33296">
      <c r="D33296" s="39"/>
      <c r="E33296" s="39"/>
      <c r="F33296" s="39"/>
    </row>
    <row r="33297">
      <c r="D33297" s="39"/>
      <c r="E33297" s="39"/>
      <c r="F33297" s="39"/>
    </row>
    <row r="33298">
      <c r="D33298" s="39"/>
      <c r="E33298" s="39"/>
      <c r="F33298" s="39"/>
    </row>
    <row r="33299">
      <c r="D33299" s="39"/>
      <c r="E33299" s="39"/>
      <c r="F33299" s="39"/>
    </row>
    <row r="33300">
      <c r="D33300" s="39"/>
      <c r="E33300" s="39"/>
      <c r="F33300" s="39"/>
    </row>
    <row r="33301">
      <c r="D33301" s="39"/>
      <c r="E33301" s="39"/>
      <c r="F33301" s="39"/>
    </row>
    <row r="33302">
      <c r="D33302" s="39"/>
      <c r="E33302" s="39"/>
      <c r="F33302" s="39"/>
    </row>
    <row r="33303">
      <c r="D33303" s="39"/>
      <c r="E33303" s="39"/>
      <c r="F33303" s="39"/>
    </row>
    <row r="33304">
      <c r="D33304" s="39"/>
      <c r="E33304" s="39"/>
      <c r="F33304" s="39"/>
    </row>
    <row r="33305">
      <c r="D33305" s="39"/>
      <c r="E33305" s="39"/>
      <c r="F33305" s="39"/>
    </row>
    <row r="33306">
      <c r="D33306" s="39"/>
      <c r="E33306" s="39"/>
      <c r="F33306" s="39"/>
    </row>
    <row r="33307">
      <c r="D33307" s="39"/>
      <c r="E33307" s="39"/>
      <c r="F33307" s="39"/>
    </row>
    <row r="33308">
      <c r="D33308" s="39"/>
      <c r="E33308" s="39"/>
      <c r="F33308" s="39"/>
    </row>
    <row r="33309">
      <c r="D33309" s="39"/>
      <c r="E33309" s="39"/>
      <c r="F33309" s="39"/>
    </row>
    <row r="33310">
      <c r="D33310" s="39"/>
      <c r="E33310" s="39"/>
      <c r="F33310" s="39"/>
    </row>
    <row r="33311">
      <c r="D33311" s="39"/>
      <c r="E33311" s="39"/>
      <c r="F33311" s="39"/>
    </row>
    <row r="33312">
      <c r="D33312" s="39"/>
      <c r="E33312" s="39"/>
      <c r="F33312" s="39"/>
    </row>
    <row r="33313">
      <c r="D33313" s="39"/>
      <c r="E33313" s="39"/>
      <c r="F33313" s="39"/>
    </row>
    <row r="33314">
      <c r="D33314" s="39"/>
      <c r="E33314" s="39"/>
      <c r="F33314" s="39"/>
    </row>
    <row r="33315">
      <c r="D33315" s="39"/>
      <c r="E33315" s="39"/>
      <c r="F33315" s="39"/>
    </row>
    <row r="33316">
      <c r="D33316" s="39"/>
      <c r="E33316" s="39"/>
      <c r="F33316" s="39"/>
    </row>
    <row r="33317">
      <c r="D33317" s="39"/>
      <c r="E33317" s="39"/>
      <c r="F33317" s="39"/>
    </row>
    <row r="33318">
      <c r="D33318" s="39"/>
      <c r="E33318" s="39"/>
      <c r="F33318" s="39"/>
    </row>
    <row r="33319">
      <c r="D33319" s="39"/>
      <c r="E33319" s="39"/>
      <c r="F33319" s="39"/>
    </row>
    <row r="33320">
      <c r="D33320" s="39"/>
      <c r="E33320" s="39"/>
      <c r="F33320" s="39"/>
    </row>
    <row r="33321">
      <c r="D33321" s="39"/>
      <c r="E33321" s="39"/>
      <c r="F33321" s="39"/>
    </row>
    <row r="33322">
      <c r="D33322" s="39"/>
      <c r="E33322" s="39"/>
      <c r="F33322" s="39"/>
    </row>
    <row r="33323">
      <c r="D33323" s="39"/>
      <c r="E33323" s="39"/>
      <c r="F33323" s="39"/>
    </row>
    <row r="33324">
      <c r="D33324" s="39"/>
      <c r="E33324" s="39"/>
      <c r="F33324" s="39"/>
    </row>
    <row r="33325">
      <c r="D33325" s="39"/>
      <c r="E33325" s="39"/>
      <c r="F33325" s="39"/>
    </row>
    <row r="33326">
      <c r="D33326" s="39"/>
      <c r="E33326" s="39"/>
      <c r="F33326" s="39"/>
    </row>
    <row r="33327">
      <c r="D33327" s="39"/>
      <c r="E33327" s="39"/>
      <c r="F33327" s="39"/>
    </row>
    <row r="33328">
      <c r="D33328" s="39"/>
      <c r="E33328" s="39"/>
      <c r="F33328" s="39"/>
    </row>
    <row r="33329">
      <c r="D33329" s="39"/>
      <c r="E33329" s="39"/>
      <c r="F33329" s="39"/>
    </row>
    <row r="33330">
      <c r="D33330" s="39"/>
      <c r="E33330" s="39"/>
      <c r="F33330" s="39"/>
    </row>
    <row r="33331">
      <c r="D33331" s="39"/>
      <c r="E33331" s="39"/>
      <c r="F33331" s="39"/>
    </row>
    <row r="33332">
      <c r="D33332" s="39"/>
      <c r="E33332" s="39"/>
      <c r="F33332" s="39"/>
    </row>
    <row r="33333">
      <c r="D33333" s="39"/>
      <c r="E33333" s="39"/>
      <c r="F33333" s="39"/>
    </row>
    <row r="33334">
      <c r="D33334" s="39"/>
      <c r="E33334" s="39"/>
      <c r="F33334" s="39"/>
    </row>
    <row r="33335">
      <c r="D33335" s="39"/>
      <c r="E33335" s="39"/>
      <c r="F33335" s="39"/>
    </row>
    <row r="33336">
      <c r="D33336" s="39"/>
      <c r="E33336" s="39"/>
      <c r="F33336" s="39"/>
    </row>
    <row r="33337">
      <c r="D33337" s="39"/>
      <c r="E33337" s="39"/>
      <c r="F33337" s="39"/>
    </row>
    <row r="33338">
      <c r="D33338" s="39"/>
      <c r="E33338" s="39"/>
      <c r="F33338" s="39"/>
    </row>
    <row r="33339">
      <c r="D33339" s="39"/>
      <c r="E33339" s="39"/>
      <c r="F33339" s="39"/>
    </row>
    <row r="33340">
      <c r="D33340" s="39"/>
      <c r="E33340" s="39"/>
      <c r="F33340" s="39"/>
    </row>
    <row r="33341">
      <c r="D33341" s="39"/>
      <c r="E33341" s="39"/>
      <c r="F33341" s="39"/>
    </row>
    <row r="33342">
      <c r="D33342" s="39"/>
      <c r="E33342" s="39"/>
      <c r="F33342" s="39"/>
    </row>
    <row r="33343">
      <c r="D33343" s="39"/>
      <c r="E33343" s="39"/>
      <c r="F33343" s="39"/>
    </row>
    <row r="33344">
      <c r="D33344" s="39"/>
      <c r="E33344" s="39"/>
      <c r="F33344" s="39"/>
    </row>
    <row r="33345">
      <c r="D33345" s="39"/>
      <c r="E33345" s="39"/>
      <c r="F33345" s="39"/>
    </row>
    <row r="33346">
      <c r="D33346" s="39"/>
      <c r="E33346" s="39"/>
      <c r="F33346" s="39"/>
    </row>
    <row r="33347">
      <c r="D33347" s="39"/>
      <c r="E33347" s="39"/>
      <c r="F33347" s="39"/>
    </row>
    <row r="33348">
      <c r="D33348" s="39"/>
      <c r="E33348" s="39"/>
      <c r="F33348" s="39"/>
    </row>
    <row r="33349">
      <c r="D33349" s="39"/>
      <c r="E33349" s="39"/>
      <c r="F33349" s="39"/>
    </row>
    <row r="33350">
      <c r="D33350" s="39"/>
      <c r="E33350" s="39"/>
      <c r="F33350" s="39"/>
    </row>
    <row r="33351">
      <c r="D33351" s="39"/>
      <c r="E33351" s="39"/>
      <c r="F33351" s="39"/>
    </row>
    <row r="33352">
      <c r="D33352" s="39"/>
      <c r="E33352" s="39"/>
      <c r="F33352" s="39"/>
    </row>
    <row r="33353">
      <c r="D33353" s="39"/>
      <c r="E33353" s="39"/>
      <c r="F33353" s="39"/>
    </row>
    <row r="33354">
      <c r="D33354" s="39"/>
      <c r="E33354" s="39"/>
      <c r="F33354" s="39"/>
    </row>
    <row r="33355">
      <c r="D33355" s="39"/>
      <c r="E33355" s="39"/>
      <c r="F33355" s="39"/>
    </row>
    <row r="33356">
      <c r="D33356" s="39"/>
      <c r="E33356" s="39"/>
      <c r="F33356" s="39"/>
    </row>
    <row r="33357">
      <c r="D33357" s="39"/>
      <c r="E33357" s="39"/>
      <c r="F33357" s="39"/>
    </row>
    <row r="33358">
      <c r="D33358" s="39"/>
      <c r="E33358" s="39"/>
      <c r="F33358" s="39"/>
    </row>
    <row r="33359">
      <c r="D33359" s="39"/>
      <c r="E33359" s="39"/>
      <c r="F33359" s="39"/>
    </row>
    <row r="33360">
      <c r="D33360" s="39"/>
      <c r="E33360" s="39"/>
      <c r="F33360" s="39"/>
    </row>
    <row r="33361">
      <c r="D33361" s="39"/>
      <c r="E33361" s="39"/>
      <c r="F33361" s="39"/>
    </row>
    <row r="33362">
      <c r="D33362" s="39"/>
      <c r="E33362" s="39"/>
      <c r="F33362" s="39"/>
    </row>
    <row r="33363">
      <c r="D33363" s="39"/>
      <c r="E33363" s="39"/>
      <c r="F33363" s="39"/>
    </row>
    <row r="33364">
      <c r="D33364" s="39"/>
      <c r="E33364" s="39"/>
      <c r="F33364" s="39"/>
    </row>
    <row r="33365">
      <c r="D33365" s="39"/>
      <c r="E33365" s="39"/>
      <c r="F33365" s="39"/>
    </row>
    <row r="33366">
      <c r="D33366" s="39"/>
      <c r="E33366" s="39"/>
      <c r="F33366" s="39"/>
    </row>
    <row r="33367">
      <c r="D33367" s="39"/>
      <c r="E33367" s="39"/>
      <c r="F33367" s="39"/>
    </row>
    <row r="33368">
      <c r="D33368" s="39"/>
      <c r="E33368" s="39"/>
      <c r="F33368" s="39"/>
    </row>
    <row r="33369">
      <c r="D33369" s="39"/>
      <c r="E33369" s="39"/>
      <c r="F33369" s="39"/>
    </row>
    <row r="33370">
      <c r="D33370" s="39"/>
      <c r="E33370" s="39"/>
      <c r="F33370" s="39"/>
    </row>
    <row r="33371">
      <c r="D33371" s="39"/>
      <c r="E33371" s="39"/>
      <c r="F33371" s="39"/>
    </row>
    <row r="33372">
      <c r="D33372" s="39"/>
      <c r="E33372" s="39"/>
      <c r="F33372" s="39"/>
    </row>
    <row r="33373">
      <c r="D33373" s="39"/>
      <c r="E33373" s="39"/>
      <c r="F33373" s="39"/>
    </row>
    <row r="33374">
      <c r="D33374" s="39"/>
      <c r="E33374" s="39"/>
      <c r="F33374" s="39"/>
    </row>
    <row r="33375">
      <c r="D33375" s="39"/>
      <c r="E33375" s="39"/>
      <c r="F33375" s="39"/>
    </row>
    <row r="33376">
      <c r="D33376" s="39"/>
      <c r="E33376" s="39"/>
      <c r="F33376" s="39"/>
    </row>
    <row r="33377">
      <c r="D33377" s="39"/>
      <c r="E33377" s="39"/>
      <c r="F33377" s="39"/>
    </row>
    <row r="33378">
      <c r="D33378" s="39"/>
      <c r="E33378" s="39"/>
      <c r="F33378" s="39"/>
    </row>
    <row r="33379">
      <c r="D33379" s="39"/>
      <c r="E33379" s="39"/>
      <c r="F33379" s="39"/>
    </row>
    <row r="33380">
      <c r="D33380" s="39"/>
      <c r="E33380" s="39"/>
      <c r="F33380" s="39"/>
    </row>
    <row r="33381">
      <c r="D33381" s="39"/>
      <c r="E33381" s="39"/>
      <c r="F33381" s="39"/>
    </row>
    <row r="33382">
      <c r="D33382" s="39"/>
      <c r="E33382" s="39"/>
      <c r="F33382" s="39"/>
    </row>
    <row r="33383">
      <c r="D33383" s="39"/>
      <c r="E33383" s="39"/>
      <c r="F33383" s="39"/>
    </row>
    <row r="33384">
      <c r="D33384" s="39"/>
      <c r="E33384" s="39"/>
      <c r="F33384" s="39"/>
    </row>
    <row r="33385">
      <c r="D33385" s="39"/>
      <c r="E33385" s="39"/>
      <c r="F33385" s="39"/>
    </row>
    <row r="33386">
      <c r="D33386" s="39"/>
      <c r="E33386" s="39"/>
      <c r="F33386" s="39"/>
    </row>
    <row r="33387">
      <c r="D33387" s="39"/>
      <c r="E33387" s="39"/>
      <c r="F33387" s="39"/>
    </row>
    <row r="33388">
      <c r="D33388" s="39"/>
      <c r="E33388" s="39"/>
      <c r="F33388" s="39"/>
    </row>
    <row r="33389">
      <c r="D33389" s="39"/>
      <c r="E33389" s="39"/>
      <c r="F33389" s="39"/>
    </row>
    <row r="33390">
      <c r="D33390" s="39"/>
      <c r="E33390" s="39"/>
      <c r="F33390" s="39"/>
    </row>
    <row r="33391">
      <c r="D33391" s="39"/>
      <c r="E33391" s="39"/>
      <c r="F33391" s="39"/>
    </row>
    <row r="33392">
      <c r="D33392" s="39"/>
      <c r="E33392" s="39"/>
      <c r="F33392" s="39"/>
    </row>
    <row r="33393">
      <c r="D33393" s="39"/>
      <c r="E33393" s="39"/>
      <c r="F33393" s="39"/>
    </row>
    <row r="33394">
      <c r="D33394" s="39"/>
      <c r="E33394" s="39"/>
      <c r="F33394" s="39"/>
    </row>
    <row r="33395">
      <c r="D33395" s="39"/>
      <c r="E33395" s="39"/>
      <c r="F33395" s="39"/>
    </row>
    <row r="33396">
      <c r="D33396" s="39"/>
      <c r="E33396" s="39"/>
      <c r="F33396" s="39"/>
    </row>
    <row r="33397">
      <c r="D33397" s="39"/>
      <c r="E33397" s="39"/>
      <c r="F33397" s="39"/>
    </row>
    <row r="33398">
      <c r="D33398" s="39"/>
      <c r="E33398" s="39"/>
      <c r="F33398" s="39"/>
    </row>
    <row r="33399">
      <c r="D33399" s="39"/>
      <c r="E33399" s="39"/>
      <c r="F33399" s="39"/>
    </row>
    <row r="33400">
      <c r="D33400" s="39"/>
      <c r="E33400" s="39"/>
      <c r="F33400" s="39"/>
    </row>
    <row r="33401">
      <c r="D33401" s="39"/>
      <c r="E33401" s="39"/>
      <c r="F33401" s="39"/>
    </row>
    <row r="33402">
      <c r="D33402" s="39"/>
      <c r="E33402" s="39"/>
      <c r="F33402" s="39"/>
    </row>
    <row r="33403">
      <c r="D33403" s="39"/>
      <c r="E33403" s="39"/>
      <c r="F33403" s="39"/>
    </row>
    <row r="33404">
      <c r="D33404" s="39"/>
      <c r="E33404" s="39"/>
      <c r="F33404" s="39"/>
    </row>
    <row r="33405">
      <c r="D33405" s="39"/>
      <c r="E33405" s="39"/>
      <c r="F33405" s="39"/>
    </row>
    <row r="33406">
      <c r="D33406" s="39"/>
      <c r="E33406" s="39"/>
      <c r="F33406" s="39"/>
    </row>
    <row r="33407">
      <c r="D33407" s="39"/>
      <c r="E33407" s="39"/>
      <c r="F33407" s="39"/>
    </row>
    <row r="33408">
      <c r="D33408" s="39"/>
      <c r="E33408" s="39"/>
      <c r="F33408" s="39"/>
    </row>
    <row r="33409">
      <c r="D33409" s="39"/>
      <c r="E33409" s="39"/>
      <c r="F33409" s="39"/>
    </row>
    <row r="33410">
      <c r="D33410" s="39"/>
      <c r="E33410" s="39"/>
      <c r="F33410" s="39"/>
    </row>
    <row r="33411">
      <c r="D33411" s="39"/>
      <c r="E33411" s="39"/>
      <c r="F33411" s="39"/>
    </row>
    <row r="33412">
      <c r="D33412" s="39"/>
      <c r="E33412" s="39"/>
      <c r="F33412" s="39"/>
    </row>
    <row r="33413">
      <c r="D33413" s="39"/>
      <c r="E33413" s="39"/>
      <c r="F33413" s="39"/>
    </row>
    <row r="33414">
      <c r="D33414" s="39"/>
      <c r="E33414" s="39"/>
      <c r="F33414" s="39"/>
    </row>
    <row r="33415">
      <c r="D33415" s="39"/>
      <c r="E33415" s="39"/>
      <c r="F33415" s="39"/>
    </row>
    <row r="33416">
      <c r="D33416" s="39"/>
      <c r="E33416" s="39"/>
      <c r="F33416" s="39"/>
    </row>
    <row r="33417">
      <c r="D33417" s="39"/>
      <c r="E33417" s="39"/>
      <c r="F33417" s="39"/>
    </row>
    <row r="33418">
      <c r="D33418" s="39"/>
      <c r="E33418" s="39"/>
      <c r="F33418" s="39"/>
    </row>
    <row r="33419">
      <c r="D33419" s="39"/>
      <c r="E33419" s="39"/>
      <c r="F33419" s="39"/>
    </row>
    <row r="33420">
      <c r="D33420" s="39"/>
      <c r="E33420" s="39"/>
      <c r="F33420" s="39"/>
    </row>
    <row r="33421">
      <c r="D33421" s="39"/>
      <c r="E33421" s="39"/>
      <c r="F33421" s="39"/>
    </row>
    <row r="33422">
      <c r="D33422" s="39"/>
      <c r="E33422" s="39"/>
      <c r="F33422" s="39"/>
    </row>
    <row r="33423">
      <c r="D33423" s="39"/>
      <c r="E33423" s="39"/>
      <c r="F33423" s="39"/>
    </row>
    <row r="33424">
      <c r="D33424" s="39"/>
      <c r="E33424" s="39"/>
      <c r="F33424" s="39"/>
    </row>
    <row r="33425">
      <c r="D33425" s="39"/>
      <c r="E33425" s="39"/>
      <c r="F33425" s="39"/>
    </row>
    <row r="33426">
      <c r="D33426" s="39"/>
      <c r="E33426" s="39"/>
      <c r="F33426" s="39"/>
    </row>
    <row r="33427">
      <c r="D33427" s="39"/>
      <c r="E33427" s="39"/>
      <c r="F33427" s="39"/>
    </row>
    <row r="33428">
      <c r="D33428" s="39"/>
      <c r="E33428" s="39"/>
      <c r="F33428" s="39"/>
    </row>
    <row r="33429">
      <c r="D33429" s="39"/>
      <c r="E33429" s="39"/>
      <c r="F33429" s="39"/>
    </row>
    <row r="33430">
      <c r="D33430" s="39"/>
      <c r="E33430" s="39"/>
      <c r="F33430" s="39"/>
    </row>
    <row r="33431">
      <c r="D33431" s="39"/>
      <c r="E33431" s="39"/>
      <c r="F33431" s="39"/>
    </row>
    <row r="33432">
      <c r="D33432" s="39"/>
      <c r="E33432" s="39"/>
      <c r="F33432" s="39"/>
    </row>
    <row r="33433">
      <c r="D33433" s="39"/>
      <c r="E33433" s="39"/>
      <c r="F33433" s="39"/>
    </row>
    <row r="33434">
      <c r="D33434" s="39"/>
      <c r="E33434" s="39"/>
      <c r="F33434" s="39"/>
    </row>
    <row r="33435">
      <c r="D33435" s="39"/>
      <c r="E33435" s="39"/>
      <c r="F33435" s="39"/>
    </row>
    <row r="33436">
      <c r="D33436" s="39"/>
      <c r="E33436" s="39"/>
      <c r="F33436" s="39"/>
    </row>
    <row r="33437">
      <c r="D33437" s="39"/>
      <c r="E33437" s="39"/>
      <c r="F33437" s="39"/>
    </row>
    <row r="33438">
      <c r="D33438" s="39"/>
      <c r="E33438" s="39"/>
      <c r="F33438" s="39"/>
    </row>
    <row r="33439">
      <c r="D33439" s="39"/>
      <c r="E33439" s="39"/>
      <c r="F33439" s="39"/>
    </row>
    <row r="33440">
      <c r="D33440" s="39"/>
      <c r="E33440" s="39"/>
      <c r="F33440" s="39"/>
    </row>
    <row r="33441">
      <c r="D33441" s="39"/>
      <c r="E33441" s="39"/>
      <c r="F33441" s="39"/>
    </row>
    <row r="33442">
      <c r="D33442" s="39"/>
      <c r="E33442" s="39"/>
      <c r="F33442" s="39"/>
    </row>
    <row r="33443">
      <c r="D33443" s="39"/>
      <c r="E33443" s="39"/>
      <c r="F33443" s="39"/>
    </row>
    <row r="33444">
      <c r="D33444" s="39"/>
      <c r="E33444" s="39"/>
      <c r="F33444" s="39"/>
    </row>
    <row r="33445">
      <c r="D33445" s="39"/>
      <c r="E33445" s="39"/>
      <c r="F33445" s="39"/>
    </row>
    <row r="33446">
      <c r="D33446" s="39"/>
      <c r="E33446" s="39"/>
      <c r="F33446" s="39"/>
    </row>
    <row r="33447">
      <c r="D33447" s="39"/>
      <c r="E33447" s="39"/>
      <c r="F33447" s="39"/>
    </row>
    <row r="33448">
      <c r="D33448" s="39"/>
      <c r="E33448" s="39"/>
      <c r="F33448" s="39"/>
    </row>
    <row r="33449">
      <c r="D33449" s="39"/>
      <c r="E33449" s="39"/>
      <c r="F33449" s="39"/>
    </row>
    <row r="33450">
      <c r="D33450" s="39"/>
      <c r="E33450" s="39"/>
      <c r="F33450" s="39"/>
    </row>
    <row r="33451">
      <c r="D33451" s="39"/>
      <c r="E33451" s="39"/>
      <c r="F33451" s="39"/>
    </row>
    <row r="33452">
      <c r="D33452" s="39"/>
      <c r="E33452" s="39"/>
      <c r="F33452" s="39"/>
    </row>
    <row r="33453">
      <c r="D33453" s="39"/>
      <c r="E33453" s="39"/>
      <c r="F33453" s="39"/>
    </row>
    <row r="33454">
      <c r="D33454" s="39"/>
      <c r="E33454" s="39"/>
      <c r="F33454" s="39"/>
    </row>
    <row r="33455">
      <c r="D33455" s="39"/>
      <c r="E33455" s="39"/>
      <c r="F33455" s="39"/>
    </row>
    <row r="33456">
      <c r="D33456" s="39"/>
      <c r="E33456" s="39"/>
      <c r="F33456" s="39"/>
    </row>
    <row r="33457">
      <c r="D33457" s="39"/>
      <c r="E33457" s="39"/>
      <c r="F33457" s="39"/>
    </row>
    <row r="33458">
      <c r="D33458" s="39"/>
      <c r="E33458" s="39"/>
      <c r="F33458" s="39"/>
    </row>
    <row r="33459">
      <c r="D33459" s="39"/>
      <c r="E33459" s="39"/>
      <c r="F33459" s="39"/>
    </row>
    <row r="33460">
      <c r="D33460" s="39"/>
      <c r="E33460" s="39"/>
      <c r="F33460" s="39"/>
    </row>
    <row r="33461">
      <c r="D33461" s="39"/>
      <c r="E33461" s="39"/>
      <c r="F33461" s="39"/>
    </row>
    <row r="33462">
      <c r="D33462" s="39"/>
      <c r="E33462" s="39"/>
      <c r="F33462" s="39"/>
    </row>
    <row r="33463">
      <c r="D33463" s="39"/>
      <c r="E33463" s="39"/>
      <c r="F33463" s="39"/>
    </row>
    <row r="33464">
      <c r="D33464" s="39"/>
      <c r="E33464" s="39"/>
      <c r="F33464" s="39"/>
    </row>
    <row r="33465">
      <c r="D33465" s="39"/>
      <c r="E33465" s="39"/>
      <c r="F33465" s="39"/>
    </row>
    <row r="33466">
      <c r="D33466" s="39"/>
      <c r="E33466" s="39"/>
      <c r="F33466" s="39"/>
    </row>
    <row r="33467">
      <c r="D33467" s="39"/>
      <c r="E33467" s="39"/>
      <c r="F33467" s="39"/>
    </row>
    <row r="33468">
      <c r="D33468" s="39"/>
      <c r="E33468" s="39"/>
      <c r="F33468" s="39"/>
    </row>
    <row r="33469">
      <c r="D33469" s="39"/>
      <c r="E33469" s="39"/>
      <c r="F33469" s="39"/>
    </row>
    <row r="33470">
      <c r="D33470" s="39"/>
      <c r="E33470" s="39"/>
      <c r="F33470" s="39"/>
    </row>
    <row r="33471">
      <c r="D33471" s="39"/>
      <c r="E33471" s="39"/>
      <c r="F33471" s="39"/>
    </row>
    <row r="33472">
      <c r="D33472" s="39"/>
      <c r="E33472" s="39"/>
      <c r="F33472" s="39"/>
    </row>
    <row r="33473">
      <c r="D33473" s="39"/>
      <c r="E33473" s="39"/>
      <c r="F33473" s="39"/>
    </row>
    <row r="33474">
      <c r="D33474" s="39"/>
      <c r="E33474" s="39"/>
      <c r="F33474" s="39"/>
    </row>
    <row r="33475">
      <c r="D33475" s="39"/>
      <c r="E33475" s="39"/>
      <c r="F33475" s="39"/>
    </row>
    <row r="33476">
      <c r="D33476" s="39"/>
      <c r="E33476" s="39"/>
      <c r="F33476" s="39"/>
    </row>
    <row r="33477">
      <c r="D33477" s="39"/>
      <c r="E33477" s="39"/>
      <c r="F33477" s="39"/>
    </row>
    <row r="33478">
      <c r="D33478" s="39"/>
      <c r="E33478" s="39"/>
      <c r="F33478" s="39"/>
    </row>
    <row r="33479">
      <c r="D33479" s="39"/>
      <c r="E33479" s="39"/>
      <c r="F33479" s="39"/>
    </row>
    <row r="33480">
      <c r="D33480" s="39"/>
      <c r="E33480" s="39"/>
      <c r="F33480" s="39"/>
    </row>
    <row r="33481">
      <c r="D33481" s="39"/>
      <c r="E33481" s="39"/>
      <c r="F33481" s="39"/>
    </row>
    <row r="33482">
      <c r="D33482" s="39"/>
      <c r="E33482" s="39"/>
      <c r="F33482" s="39"/>
    </row>
    <row r="33483">
      <c r="D33483" s="39"/>
      <c r="E33483" s="39"/>
      <c r="F33483" s="39"/>
    </row>
    <row r="33484">
      <c r="D33484" s="39"/>
      <c r="E33484" s="39"/>
      <c r="F33484" s="39"/>
    </row>
    <row r="33485">
      <c r="D33485" s="39"/>
      <c r="E33485" s="39"/>
      <c r="F33485" s="39"/>
    </row>
    <row r="33486">
      <c r="D33486" s="39"/>
      <c r="E33486" s="39"/>
      <c r="F33486" s="39"/>
    </row>
    <row r="33487">
      <c r="D33487" s="39"/>
      <c r="E33487" s="39"/>
      <c r="F33487" s="39"/>
    </row>
    <row r="33488">
      <c r="D33488" s="39"/>
      <c r="E33488" s="39"/>
      <c r="F33488" s="39"/>
    </row>
    <row r="33489">
      <c r="D33489" s="39"/>
      <c r="E33489" s="39"/>
      <c r="F33489" s="39"/>
    </row>
    <row r="33490">
      <c r="D33490" s="39"/>
      <c r="E33490" s="39"/>
      <c r="F33490" s="39"/>
    </row>
    <row r="33491">
      <c r="D33491" s="39"/>
      <c r="E33491" s="39"/>
      <c r="F33491" s="39"/>
    </row>
    <row r="33492">
      <c r="D33492" s="39"/>
      <c r="E33492" s="39"/>
      <c r="F33492" s="39"/>
    </row>
    <row r="33493">
      <c r="D33493" s="39"/>
      <c r="E33493" s="39"/>
      <c r="F33493" s="39"/>
    </row>
    <row r="33494">
      <c r="D33494" s="39"/>
      <c r="E33494" s="39"/>
      <c r="F33494" s="39"/>
    </row>
    <row r="33495">
      <c r="D33495" s="39"/>
      <c r="E33495" s="39"/>
      <c r="F33495" s="39"/>
    </row>
    <row r="33496">
      <c r="D33496" s="39"/>
      <c r="E33496" s="39"/>
      <c r="F33496" s="39"/>
    </row>
    <row r="33497">
      <c r="D33497" s="39"/>
      <c r="E33497" s="39"/>
      <c r="F33497" s="39"/>
    </row>
    <row r="33498">
      <c r="D33498" s="39"/>
      <c r="E33498" s="39"/>
      <c r="F33498" s="39"/>
    </row>
    <row r="33499">
      <c r="D33499" s="39"/>
      <c r="E33499" s="39"/>
      <c r="F33499" s="39"/>
    </row>
    <row r="33500">
      <c r="D33500" s="39"/>
      <c r="E33500" s="39"/>
      <c r="F33500" s="39"/>
    </row>
    <row r="33501">
      <c r="D33501" s="39"/>
      <c r="E33501" s="39"/>
      <c r="F33501" s="39"/>
    </row>
    <row r="33502">
      <c r="D33502" s="39"/>
      <c r="E33502" s="39"/>
      <c r="F33502" s="39"/>
    </row>
    <row r="33503">
      <c r="D33503" s="39"/>
      <c r="E33503" s="39"/>
      <c r="F33503" s="39"/>
    </row>
    <row r="33504">
      <c r="D33504" s="39"/>
      <c r="E33504" s="39"/>
      <c r="F33504" s="39"/>
    </row>
    <row r="33505">
      <c r="D33505" s="39"/>
      <c r="E33505" s="39"/>
      <c r="F33505" s="39"/>
    </row>
    <row r="33506">
      <c r="D33506" s="39"/>
      <c r="E33506" s="39"/>
      <c r="F33506" s="39"/>
    </row>
    <row r="33507">
      <c r="D33507" s="39"/>
      <c r="E33507" s="39"/>
      <c r="F33507" s="39"/>
    </row>
    <row r="33508">
      <c r="D33508" s="39"/>
      <c r="E33508" s="39"/>
      <c r="F33508" s="39"/>
    </row>
    <row r="33509">
      <c r="D33509" s="39"/>
      <c r="E33509" s="39"/>
      <c r="F33509" s="39"/>
    </row>
    <row r="33510">
      <c r="D33510" s="39"/>
      <c r="E33510" s="39"/>
      <c r="F33510" s="39"/>
    </row>
    <row r="33511">
      <c r="D33511" s="39"/>
      <c r="E33511" s="39"/>
      <c r="F33511" s="39"/>
    </row>
    <row r="33512">
      <c r="D33512" s="39"/>
      <c r="E33512" s="39"/>
      <c r="F33512" s="39"/>
    </row>
    <row r="33513">
      <c r="D33513" s="39"/>
      <c r="E33513" s="39"/>
      <c r="F33513" s="39"/>
    </row>
    <row r="33514">
      <c r="D33514" s="39"/>
      <c r="E33514" s="39"/>
      <c r="F33514" s="39"/>
    </row>
    <row r="33515">
      <c r="D33515" s="39"/>
      <c r="E33515" s="39"/>
      <c r="F33515" s="39"/>
    </row>
    <row r="33516">
      <c r="D33516" s="39"/>
      <c r="E33516" s="39"/>
      <c r="F33516" s="39"/>
    </row>
    <row r="33517">
      <c r="D33517" s="39"/>
      <c r="E33517" s="39"/>
      <c r="F33517" s="39"/>
    </row>
    <row r="33518">
      <c r="D33518" s="39"/>
      <c r="E33518" s="39"/>
      <c r="F33518" s="39"/>
    </row>
    <row r="33519">
      <c r="D33519" s="39"/>
      <c r="E33519" s="39"/>
      <c r="F33519" s="39"/>
    </row>
    <row r="33520">
      <c r="D33520" s="39"/>
      <c r="E33520" s="39"/>
      <c r="F33520" s="39"/>
    </row>
    <row r="33521">
      <c r="D33521" s="39"/>
      <c r="E33521" s="39"/>
      <c r="F33521" s="39"/>
    </row>
    <row r="33522">
      <c r="D33522" s="39"/>
      <c r="E33522" s="39"/>
      <c r="F33522" s="39"/>
    </row>
    <row r="33523">
      <c r="D33523" s="39"/>
      <c r="E33523" s="39"/>
      <c r="F33523" s="39"/>
    </row>
    <row r="33524">
      <c r="D33524" s="39"/>
      <c r="E33524" s="39"/>
      <c r="F33524" s="39"/>
    </row>
    <row r="33525">
      <c r="D33525" s="39"/>
      <c r="E33525" s="39"/>
      <c r="F33525" s="39"/>
    </row>
    <row r="33526">
      <c r="D33526" s="39"/>
      <c r="E33526" s="39"/>
      <c r="F33526" s="39"/>
    </row>
    <row r="33527">
      <c r="D33527" s="39"/>
      <c r="E33527" s="39"/>
      <c r="F33527" s="39"/>
    </row>
    <row r="33528">
      <c r="D33528" s="39"/>
      <c r="E33528" s="39"/>
      <c r="F33528" s="39"/>
    </row>
    <row r="33529">
      <c r="D33529" s="39"/>
      <c r="E33529" s="39"/>
      <c r="F33529" s="39"/>
    </row>
    <row r="33530">
      <c r="D33530" s="39"/>
      <c r="E33530" s="39"/>
      <c r="F33530" s="39"/>
    </row>
    <row r="33531">
      <c r="D33531" s="39"/>
      <c r="E33531" s="39"/>
      <c r="F33531" s="39"/>
    </row>
    <row r="33532">
      <c r="D33532" s="39"/>
      <c r="E33532" s="39"/>
      <c r="F33532" s="39"/>
    </row>
    <row r="33533">
      <c r="D33533" s="39"/>
      <c r="E33533" s="39"/>
      <c r="F33533" s="39"/>
    </row>
    <row r="33534">
      <c r="D33534" s="39"/>
      <c r="E33534" s="39"/>
      <c r="F33534" s="39"/>
    </row>
    <row r="33535">
      <c r="D33535" s="39"/>
      <c r="E33535" s="39"/>
      <c r="F33535" s="39"/>
    </row>
    <row r="33536">
      <c r="D33536" s="39"/>
      <c r="E33536" s="39"/>
      <c r="F33536" s="39"/>
    </row>
    <row r="33537">
      <c r="D33537" s="39"/>
      <c r="E33537" s="39"/>
      <c r="F33537" s="39"/>
    </row>
    <row r="33538">
      <c r="D33538" s="39"/>
      <c r="E33538" s="39"/>
      <c r="F33538" s="39"/>
    </row>
    <row r="33539">
      <c r="D33539" s="39"/>
      <c r="E33539" s="39"/>
      <c r="F33539" s="39"/>
    </row>
    <row r="33540">
      <c r="D33540" s="39"/>
      <c r="E33540" s="39"/>
      <c r="F33540" s="39"/>
    </row>
    <row r="33541">
      <c r="D33541" s="39"/>
      <c r="E33541" s="39"/>
      <c r="F33541" s="39"/>
    </row>
    <row r="33542">
      <c r="D33542" s="39"/>
      <c r="E33542" s="39"/>
      <c r="F33542" s="39"/>
    </row>
    <row r="33543">
      <c r="D33543" s="39"/>
      <c r="E33543" s="39"/>
      <c r="F33543" s="39"/>
    </row>
    <row r="33544">
      <c r="D33544" s="39"/>
      <c r="E33544" s="39"/>
      <c r="F33544" s="39"/>
    </row>
    <row r="33545">
      <c r="D33545" s="39"/>
      <c r="E33545" s="39"/>
      <c r="F33545" s="39"/>
    </row>
    <row r="33546">
      <c r="D33546" s="39"/>
      <c r="E33546" s="39"/>
      <c r="F33546" s="39"/>
    </row>
    <row r="33547">
      <c r="D33547" s="39"/>
      <c r="E33547" s="39"/>
      <c r="F33547" s="39"/>
    </row>
    <row r="33548">
      <c r="D33548" s="39"/>
      <c r="E33548" s="39"/>
      <c r="F33548" s="39"/>
    </row>
    <row r="33549">
      <c r="D33549" s="39"/>
      <c r="E33549" s="39"/>
      <c r="F33549" s="39"/>
    </row>
    <row r="33550">
      <c r="D33550" s="39"/>
      <c r="E33550" s="39"/>
      <c r="F33550" s="39"/>
    </row>
    <row r="33551">
      <c r="D33551" s="39"/>
      <c r="E33551" s="39"/>
      <c r="F33551" s="39"/>
    </row>
    <row r="33552">
      <c r="D33552" s="39"/>
      <c r="E33552" s="39"/>
      <c r="F33552" s="39"/>
    </row>
    <row r="33553">
      <c r="D33553" s="39"/>
      <c r="E33553" s="39"/>
      <c r="F33553" s="39"/>
    </row>
    <row r="33554">
      <c r="D33554" s="39"/>
      <c r="E33554" s="39"/>
      <c r="F33554" s="39"/>
    </row>
    <row r="33555">
      <c r="D33555" s="39"/>
      <c r="E33555" s="39"/>
      <c r="F33555" s="39"/>
    </row>
    <row r="33556">
      <c r="D33556" s="39"/>
      <c r="E33556" s="39"/>
      <c r="F33556" s="39"/>
    </row>
    <row r="33557">
      <c r="D33557" s="39"/>
      <c r="E33557" s="39"/>
      <c r="F33557" s="39"/>
    </row>
    <row r="33558">
      <c r="D33558" s="39"/>
      <c r="E33558" s="39"/>
      <c r="F33558" s="39"/>
    </row>
    <row r="33559">
      <c r="D33559" s="39"/>
      <c r="E33559" s="39"/>
      <c r="F33559" s="39"/>
    </row>
    <row r="33560">
      <c r="D33560" s="39"/>
      <c r="E33560" s="39"/>
      <c r="F33560" s="39"/>
    </row>
    <row r="33561">
      <c r="D33561" s="39"/>
      <c r="E33561" s="39"/>
      <c r="F33561" s="39"/>
    </row>
    <row r="33562">
      <c r="D33562" s="39"/>
      <c r="E33562" s="39"/>
      <c r="F33562" s="39"/>
    </row>
    <row r="33563">
      <c r="D33563" s="39"/>
      <c r="E33563" s="39"/>
      <c r="F33563" s="39"/>
    </row>
    <row r="33564">
      <c r="D33564" s="39"/>
      <c r="E33564" s="39"/>
      <c r="F33564" s="39"/>
    </row>
    <row r="33565">
      <c r="D33565" s="39"/>
      <c r="E33565" s="39"/>
      <c r="F33565" s="39"/>
    </row>
    <row r="33566">
      <c r="D33566" s="39"/>
      <c r="E33566" s="39"/>
      <c r="F33566" s="39"/>
    </row>
    <row r="33567">
      <c r="D33567" s="39"/>
      <c r="E33567" s="39"/>
      <c r="F33567" s="39"/>
    </row>
    <row r="33568">
      <c r="D33568" s="39"/>
      <c r="E33568" s="39"/>
      <c r="F33568" s="39"/>
    </row>
    <row r="33569">
      <c r="D33569" s="39"/>
      <c r="E33569" s="39"/>
      <c r="F33569" s="39"/>
    </row>
    <row r="33570">
      <c r="D33570" s="39"/>
      <c r="E33570" s="39"/>
      <c r="F33570" s="39"/>
    </row>
    <row r="33571">
      <c r="D33571" s="39"/>
      <c r="E33571" s="39"/>
      <c r="F33571" s="39"/>
    </row>
    <row r="33572">
      <c r="D33572" s="39"/>
      <c r="E33572" s="39"/>
      <c r="F33572" s="39"/>
    </row>
    <row r="33573">
      <c r="D33573" s="39"/>
      <c r="E33573" s="39"/>
      <c r="F33573" s="39"/>
    </row>
    <row r="33574">
      <c r="D33574" s="39"/>
      <c r="E33574" s="39"/>
      <c r="F33574" s="39"/>
    </row>
    <row r="33575">
      <c r="D33575" s="39"/>
      <c r="E33575" s="39"/>
      <c r="F33575" s="39"/>
    </row>
    <row r="33576">
      <c r="D33576" s="39"/>
      <c r="E33576" s="39"/>
      <c r="F33576" s="39"/>
    </row>
    <row r="33577">
      <c r="D33577" s="39"/>
      <c r="E33577" s="39"/>
      <c r="F33577" s="39"/>
    </row>
    <row r="33578">
      <c r="D33578" s="39"/>
      <c r="E33578" s="39"/>
      <c r="F33578" s="39"/>
    </row>
    <row r="33579">
      <c r="D33579" s="39"/>
      <c r="E33579" s="39"/>
      <c r="F33579" s="39"/>
    </row>
    <row r="33580">
      <c r="D33580" s="39"/>
      <c r="E33580" s="39"/>
      <c r="F33580" s="39"/>
    </row>
    <row r="33581">
      <c r="D33581" s="39"/>
      <c r="E33581" s="39"/>
      <c r="F33581" s="39"/>
    </row>
    <row r="33582">
      <c r="D33582" s="39"/>
      <c r="E33582" s="39"/>
      <c r="F33582" s="39"/>
    </row>
    <row r="33583">
      <c r="D33583" s="39"/>
      <c r="E33583" s="39"/>
      <c r="F33583" s="39"/>
    </row>
    <row r="33584">
      <c r="D33584" s="39"/>
      <c r="E33584" s="39"/>
      <c r="F33584" s="39"/>
    </row>
    <row r="33585">
      <c r="D33585" s="39"/>
      <c r="E33585" s="39"/>
      <c r="F33585" s="39"/>
    </row>
    <row r="33586">
      <c r="D33586" s="39"/>
      <c r="E33586" s="39"/>
      <c r="F33586" s="39"/>
    </row>
    <row r="33587">
      <c r="D33587" s="39"/>
      <c r="E33587" s="39"/>
      <c r="F33587" s="39"/>
    </row>
    <row r="33588">
      <c r="D33588" s="39"/>
      <c r="E33588" s="39"/>
      <c r="F33588" s="39"/>
    </row>
    <row r="33589">
      <c r="D33589" s="39"/>
      <c r="E33589" s="39"/>
      <c r="F33589" s="39"/>
    </row>
    <row r="33590">
      <c r="D33590" s="39"/>
      <c r="E33590" s="39"/>
      <c r="F33590" s="39"/>
    </row>
    <row r="33591">
      <c r="D33591" s="39"/>
      <c r="E33591" s="39"/>
      <c r="F33591" s="39"/>
    </row>
    <row r="33592">
      <c r="D33592" s="39"/>
      <c r="E33592" s="39"/>
      <c r="F33592" s="39"/>
    </row>
    <row r="33593">
      <c r="D33593" s="39"/>
      <c r="E33593" s="39"/>
      <c r="F33593" s="39"/>
    </row>
    <row r="33594">
      <c r="D33594" s="39"/>
      <c r="E33594" s="39"/>
      <c r="F33594" s="39"/>
    </row>
    <row r="33595">
      <c r="D33595" s="39"/>
      <c r="E33595" s="39"/>
      <c r="F33595" s="39"/>
    </row>
    <row r="33596">
      <c r="D33596" s="39"/>
      <c r="E33596" s="39"/>
      <c r="F33596" s="39"/>
    </row>
    <row r="33597">
      <c r="D33597" s="39"/>
      <c r="E33597" s="39"/>
      <c r="F33597" s="39"/>
    </row>
    <row r="33598">
      <c r="D33598" s="39"/>
      <c r="E33598" s="39"/>
      <c r="F33598" s="39"/>
    </row>
    <row r="33599">
      <c r="D33599" s="39"/>
      <c r="E33599" s="39"/>
      <c r="F33599" s="39"/>
    </row>
    <row r="33600">
      <c r="D33600" s="39"/>
      <c r="E33600" s="39"/>
      <c r="F33600" s="39"/>
    </row>
    <row r="33601">
      <c r="D33601" s="39"/>
      <c r="E33601" s="39"/>
      <c r="F33601" s="39"/>
    </row>
    <row r="33602">
      <c r="D33602" s="39"/>
      <c r="E33602" s="39"/>
      <c r="F33602" s="39"/>
    </row>
    <row r="33603">
      <c r="D33603" s="39"/>
      <c r="E33603" s="39"/>
      <c r="F33603" s="39"/>
    </row>
    <row r="33604">
      <c r="D33604" s="39"/>
      <c r="E33604" s="39"/>
      <c r="F33604" s="39"/>
    </row>
    <row r="33605">
      <c r="D33605" s="39"/>
      <c r="E33605" s="39"/>
      <c r="F33605" s="39"/>
    </row>
    <row r="33606">
      <c r="D33606" s="39"/>
      <c r="E33606" s="39"/>
      <c r="F33606" s="39"/>
    </row>
    <row r="33607">
      <c r="D33607" s="39"/>
      <c r="E33607" s="39"/>
      <c r="F33607" s="39"/>
    </row>
    <row r="33608">
      <c r="D33608" s="39"/>
      <c r="E33608" s="39"/>
      <c r="F33608" s="39"/>
    </row>
    <row r="33609">
      <c r="D33609" s="39"/>
      <c r="E33609" s="39"/>
      <c r="F33609" s="39"/>
    </row>
    <row r="33610">
      <c r="D33610" s="39"/>
      <c r="E33610" s="39"/>
      <c r="F33610" s="39"/>
    </row>
    <row r="33611">
      <c r="D33611" s="39"/>
      <c r="E33611" s="39"/>
      <c r="F33611" s="39"/>
    </row>
    <row r="33612">
      <c r="D33612" s="39"/>
      <c r="E33612" s="39"/>
      <c r="F33612" s="39"/>
    </row>
    <row r="33613">
      <c r="D33613" s="39"/>
      <c r="E33613" s="39"/>
      <c r="F33613" s="39"/>
    </row>
    <row r="33614">
      <c r="D33614" s="39"/>
      <c r="E33614" s="39"/>
      <c r="F33614" s="39"/>
    </row>
    <row r="33615">
      <c r="D33615" s="39"/>
      <c r="E33615" s="39"/>
      <c r="F33615" s="39"/>
    </row>
    <row r="33616">
      <c r="D33616" s="39"/>
      <c r="E33616" s="39"/>
      <c r="F33616" s="39"/>
    </row>
    <row r="33617">
      <c r="D33617" s="39"/>
      <c r="E33617" s="39"/>
      <c r="F33617" s="39"/>
    </row>
    <row r="33618">
      <c r="D33618" s="39"/>
      <c r="E33618" s="39"/>
      <c r="F33618" s="39"/>
    </row>
    <row r="33619">
      <c r="D33619" s="39"/>
      <c r="E33619" s="39"/>
      <c r="F33619" s="39"/>
    </row>
    <row r="33620">
      <c r="D33620" s="39"/>
      <c r="E33620" s="39"/>
      <c r="F33620" s="39"/>
    </row>
    <row r="33621">
      <c r="D33621" s="39"/>
      <c r="E33621" s="39"/>
      <c r="F33621" s="39"/>
    </row>
    <row r="33622">
      <c r="D33622" s="39"/>
      <c r="E33622" s="39"/>
      <c r="F33622" s="39"/>
    </row>
    <row r="33623">
      <c r="D33623" s="39"/>
      <c r="E33623" s="39"/>
      <c r="F33623" s="39"/>
    </row>
    <row r="33624">
      <c r="D33624" s="39"/>
      <c r="E33624" s="39"/>
      <c r="F33624" s="39"/>
    </row>
    <row r="33625">
      <c r="D33625" s="39"/>
      <c r="E33625" s="39"/>
      <c r="F33625" s="39"/>
    </row>
    <row r="33626">
      <c r="D33626" s="39"/>
      <c r="E33626" s="39"/>
      <c r="F33626" s="39"/>
    </row>
    <row r="33627">
      <c r="D33627" s="39"/>
      <c r="E33627" s="39"/>
      <c r="F33627" s="39"/>
    </row>
    <row r="33628">
      <c r="D33628" s="39"/>
      <c r="E33628" s="39"/>
      <c r="F33628" s="39"/>
    </row>
    <row r="33629">
      <c r="D33629" s="39"/>
      <c r="E33629" s="39"/>
      <c r="F33629" s="39"/>
    </row>
    <row r="33630">
      <c r="D33630" s="39"/>
      <c r="E33630" s="39"/>
      <c r="F33630" s="39"/>
    </row>
    <row r="33631">
      <c r="D33631" s="39"/>
      <c r="E33631" s="39"/>
      <c r="F33631" s="39"/>
    </row>
    <row r="33632">
      <c r="D33632" s="39"/>
      <c r="E33632" s="39"/>
      <c r="F33632" s="39"/>
    </row>
    <row r="33633">
      <c r="D33633" s="39"/>
      <c r="E33633" s="39"/>
      <c r="F33633" s="39"/>
    </row>
    <row r="33634">
      <c r="D33634" s="39"/>
      <c r="E33634" s="39"/>
      <c r="F33634" s="39"/>
    </row>
    <row r="33635">
      <c r="D33635" s="39"/>
      <c r="E33635" s="39"/>
      <c r="F33635" s="39"/>
    </row>
    <row r="33636">
      <c r="D33636" s="39"/>
      <c r="E33636" s="39"/>
      <c r="F33636" s="39"/>
    </row>
    <row r="33637">
      <c r="D33637" s="39"/>
      <c r="E33637" s="39"/>
      <c r="F33637" s="39"/>
    </row>
    <row r="33638">
      <c r="D33638" s="39"/>
      <c r="E33638" s="39"/>
      <c r="F33638" s="39"/>
    </row>
    <row r="33639">
      <c r="D33639" s="39"/>
      <c r="E33639" s="39"/>
      <c r="F33639" s="39"/>
    </row>
    <row r="33640">
      <c r="D33640" s="39"/>
      <c r="E33640" s="39"/>
      <c r="F33640" s="39"/>
    </row>
    <row r="33641">
      <c r="D33641" s="39"/>
      <c r="E33641" s="39"/>
      <c r="F33641" s="39"/>
    </row>
    <row r="33642">
      <c r="D33642" s="39"/>
      <c r="E33642" s="39"/>
      <c r="F33642" s="39"/>
    </row>
    <row r="33643">
      <c r="D33643" s="39"/>
      <c r="E33643" s="39"/>
      <c r="F33643" s="39"/>
    </row>
    <row r="33644">
      <c r="D33644" s="39"/>
      <c r="E33644" s="39"/>
      <c r="F33644" s="39"/>
    </row>
    <row r="33645">
      <c r="D33645" s="39"/>
      <c r="E33645" s="39"/>
      <c r="F33645" s="39"/>
    </row>
    <row r="33646">
      <c r="D33646" s="39"/>
      <c r="E33646" s="39"/>
      <c r="F33646" s="39"/>
    </row>
    <row r="33647">
      <c r="D33647" s="39"/>
      <c r="E33647" s="39"/>
      <c r="F33647" s="39"/>
    </row>
    <row r="33648">
      <c r="D33648" s="39"/>
      <c r="E33648" s="39"/>
      <c r="F33648" s="39"/>
    </row>
    <row r="33649">
      <c r="D33649" s="39"/>
      <c r="E33649" s="39"/>
      <c r="F33649" s="39"/>
    </row>
    <row r="33650">
      <c r="D33650" s="39"/>
      <c r="E33650" s="39"/>
      <c r="F33650" s="39"/>
    </row>
    <row r="33651">
      <c r="D33651" s="39"/>
      <c r="E33651" s="39"/>
      <c r="F33651" s="39"/>
    </row>
    <row r="33652">
      <c r="D33652" s="39"/>
      <c r="E33652" s="39"/>
      <c r="F33652" s="39"/>
    </row>
    <row r="33653">
      <c r="D33653" s="39"/>
      <c r="E33653" s="39"/>
      <c r="F33653" s="39"/>
    </row>
    <row r="33654">
      <c r="D33654" s="39"/>
      <c r="E33654" s="39"/>
      <c r="F33654" s="39"/>
    </row>
    <row r="33655">
      <c r="D33655" s="39"/>
      <c r="E33655" s="39"/>
      <c r="F33655" s="39"/>
    </row>
    <row r="33656">
      <c r="D33656" s="39"/>
      <c r="E33656" s="39"/>
      <c r="F33656" s="39"/>
    </row>
    <row r="33657">
      <c r="D33657" s="39"/>
      <c r="E33657" s="39"/>
      <c r="F33657" s="39"/>
    </row>
    <row r="33658">
      <c r="D33658" s="39"/>
      <c r="E33658" s="39"/>
      <c r="F33658" s="39"/>
    </row>
    <row r="33659">
      <c r="D33659" s="39"/>
      <c r="E33659" s="39"/>
      <c r="F33659" s="39"/>
    </row>
    <row r="33660">
      <c r="D33660" s="39"/>
      <c r="E33660" s="39"/>
      <c r="F33660" s="39"/>
    </row>
    <row r="33661">
      <c r="D33661" s="39"/>
      <c r="E33661" s="39"/>
      <c r="F33661" s="39"/>
    </row>
    <row r="33662">
      <c r="D33662" s="39"/>
      <c r="E33662" s="39"/>
      <c r="F33662" s="39"/>
    </row>
    <row r="33663">
      <c r="D33663" s="39"/>
      <c r="E33663" s="39"/>
      <c r="F33663" s="39"/>
    </row>
    <row r="33664">
      <c r="D33664" s="39"/>
      <c r="E33664" s="39"/>
      <c r="F33664" s="39"/>
    </row>
    <row r="33665">
      <c r="D33665" s="39"/>
      <c r="E33665" s="39"/>
      <c r="F33665" s="39"/>
    </row>
    <row r="33666">
      <c r="D33666" s="39"/>
      <c r="E33666" s="39"/>
      <c r="F33666" s="39"/>
    </row>
    <row r="33667">
      <c r="D33667" s="39"/>
      <c r="E33667" s="39"/>
      <c r="F33667" s="39"/>
    </row>
    <row r="33668">
      <c r="D33668" s="39"/>
      <c r="E33668" s="39"/>
      <c r="F33668" s="39"/>
    </row>
    <row r="33669">
      <c r="D33669" s="39"/>
      <c r="E33669" s="39"/>
      <c r="F33669" s="39"/>
    </row>
    <row r="33670">
      <c r="D33670" s="39"/>
      <c r="E33670" s="39"/>
      <c r="F33670" s="39"/>
    </row>
    <row r="33671">
      <c r="D33671" s="39"/>
      <c r="E33671" s="39"/>
      <c r="F33671" s="39"/>
    </row>
    <row r="33672">
      <c r="D33672" s="39"/>
      <c r="E33672" s="39"/>
      <c r="F33672" s="39"/>
    </row>
    <row r="33673">
      <c r="D33673" s="39"/>
      <c r="E33673" s="39"/>
      <c r="F33673" s="39"/>
    </row>
    <row r="33674">
      <c r="D33674" s="39"/>
      <c r="E33674" s="39"/>
      <c r="F33674" s="39"/>
    </row>
    <row r="33675">
      <c r="D33675" s="39"/>
      <c r="E33675" s="39"/>
      <c r="F33675" s="39"/>
    </row>
    <row r="33676">
      <c r="D33676" s="39"/>
      <c r="E33676" s="39"/>
      <c r="F33676" s="39"/>
    </row>
    <row r="33677">
      <c r="D33677" s="39"/>
      <c r="E33677" s="39"/>
      <c r="F33677" s="39"/>
    </row>
    <row r="33678">
      <c r="D33678" s="39"/>
      <c r="E33678" s="39"/>
      <c r="F33678" s="39"/>
    </row>
    <row r="33679">
      <c r="D33679" s="39"/>
      <c r="E33679" s="39"/>
      <c r="F33679" s="39"/>
    </row>
    <row r="33680">
      <c r="D33680" s="39"/>
      <c r="E33680" s="39"/>
      <c r="F33680" s="39"/>
    </row>
    <row r="33681">
      <c r="D33681" s="39"/>
      <c r="E33681" s="39"/>
      <c r="F33681" s="39"/>
    </row>
    <row r="33682">
      <c r="D33682" s="39"/>
      <c r="E33682" s="39"/>
      <c r="F33682" s="39"/>
    </row>
    <row r="33683">
      <c r="D33683" s="39"/>
      <c r="E33683" s="39"/>
      <c r="F33683" s="39"/>
    </row>
    <row r="33684">
      <c r="D33684" s="39"/>
      <c r="E33684" s="39"/>
      <c r="F33684" s="39"/>
    </row>
    <row r="33685">
      <c r="D33685" s="39"/>
      <c r="E33685" s="39"/>
      <c r="F33685" s="39"/>
    </row>
    <row r="33686">
      <c r="D33686" s="39"/>
      <c r="E33686" s="39"/>
      <c r="F33686" s="39"/>
    </row>
    <row r="33687">
      <c r="D33687" s="39"/>
      <c r="E33687" s="39"/>
      <c r="F33687" s="39"/>
    </row>
    <row r="33688">
      <c r="D33688" s="39"/>
      <c r="E33688" s="39"/>
      <c r="F33688" s="39"/>
    </row>
    <row r="33689">
      <c r="D33689" s="39"/>
      <c r="E33689" s="39"/>
      <c r="F33689" s="39"/>
    </row>
    <row r="33690">
      <c r="D33690" s="39"/>
      <c r="E33690" s="39"/>
      <c r="F33690" s="39"/>
    </row>
    <row r="33691">
      <c r="D33691" s="39"/>
      <c r="E33691" s="39"/>
      <c r="F33691" s="39"/>
    </row>
    <row r="33692">
      <c r="D33692" s="39"/>
      <c r="E33692" s="39"/>
      <c r="F33692" s="39"/>
    </row>
    <row r="33693">
      <c r="D33693" s="39"/>
      <c r="E33693" s="39"/>
      <c r="F33693" s="39"/>
    </row>
    <row r="33694">
      <c r="D33694" s="39"/>
      <c r="E33694" s="39"/>
      <c r="F33694" s="39"/>
    </row>
    <row r="33695">
      <c r="D33695" s="39"/>
      <c r="E33695" s="39"/>
      <c r="F33695" s="39"/>
    </row>
    <row r="33696">
      <c r="D33696" s="39"/>
      <c r="E33696" s="39"/>
      <c r="F33696" s="39"/>
    </row>
    <row r="33697">
      <c r="D33697" s="39"/>
      <c r="E33697" s="39"/>
      <c r="F33697" s="39"/>
    </row>
    <row r="33698">
      <c r="D33698" s="39"/>
      <c r="E33698" s="39"/>
      <c r="F33698" s="39"/>
    </row>
    <row r="33699">
      <c r="D33699" s="39"/>
      <c r="E33699" s="39"/>
      <c r="F33699" s="39"/>
    </row>
    <row r="33700">
      <c r="D33700" s="39"/>
      <c r="E33700" s="39"/>
      <c r="F33700" s="39"/>
    </row>
    <row r="33701">
      <c r="D33701" s="39"/>
      <c r="E33701" s="39"/>
      <c r="F33701" s="39"/>
    </row>
    <row r="33702">
      <c r="D33702" s="39"/>
      <c r="E33702" s="39"/>
      <c r="F33702" s="39"/>
    </row>
    <row r="33703">
      <c r="D33703" s="39"/>
      <c r="E33703" s="39"/>
      <c r="F33703" s="39"/>
    </row>
    <row r="33704">
      <c r="D33704" s="39"/>
      <c r="E33704" s="39"/>
      <c r="F33704" s="39"/>
    </row>
    <row r="33705">
      <c r="D33705" s="39"/>
      <c r="E33705" s="39"/>
      <c r="F33705" s="39"/>
    </row>
    <row r="33706">
      <c r="D33706" s="39"/>
      <c r="E33706" s="39"/>
      <c r="F33706" s="39"/>
    </row>
    <row r="33707">
      <c r="D33707" s="39"/>
      <c r="E33707" s="39"/>
      <c r="F33707" s="39"/>
    </row>
    <row r="33708">
      <c r="D33708" s="39"/>
      <c r="E33708" s="39"/>
      <c r="F33708" s="39"/>
    </row>
    <row r="33709">
      <c r="D33709" s="39"/>
      <c r="E33709" s="39"/>
      <c r="F33709" s="39"/>
    </row>
    <row r="33710">
      <c r="D33710" s="39"/>
      <c r="E33710" s="39"/>
      <c r="F33710" s="39"/>
    </row>
    <row r="33711">
      <c r="D33711" s="39"/>
      <c r="E33711" s="39"/>
      <c r="F33711" s="39"/>
    </row>
    <row r="33712">
      <c r="D33712" s="39"/>
      <c r="E33712" s="39"/>
      <c r="F33712" s="39"/>
    </row>
    <row r="33713">
      <c r="D33713" s="39"/>
      <c r="E33713" s="39"/>
      <c r="F33713" s="39"/>
    </row>
    <row r="33714">
      <c r="D33714" s="39"/>
      <c r="E33714" s="39"/>
      <c r="F33714" s="39"/>
    </row>
    <row r="33715">
      <c r="D33715" s="39"/>
      <c r="E33715" s="39"/>
      <c r="F33715" s="39"/>
    </row>
    <row r="33716">
      <c r="D33716" s="39"/>
      <c r="E33716" s="39"/>
      <c r="F33716" s="39"/>
    </row>
    <row r="33717">
      <c r="D33717" s="39"/>
      <c r="E33717" s="39"/>
      <c r="F33717" s="39"/>
    </row>
    <row r="33718">
      <c r="D33718" s="39"/>
      <c r="E33718" s="39"/>
      <c r="F33718" s="39"/>
    </row>
    <row r="33719">
      <c r="D33719" s="39"/>
      <c r="E33719" s="39"/>
      <c r="F33719" s="39"/>
    </row>
    <row r="33720">
      <c r="D33720" s="39"/>
      <c r="E33720" s="39"/>
      <c r="F33720" s="39"/>
    </row>
    <row r="33721">
      <c r="D33721" s="39"/>
      <c r="E33721" s="39"/>
      <c r="F33721" s="39"/>
    </row>
    <row r="33722">
      <c r="D33722" s="39"/>
      <c r="E33722" s="39"/>
      <c r="F33722" s="39"/>
    </row>
    <row r="33723">
      <c r="D33723" s="39"/>
      <c r="E33723" s="39"/>
      <c r="F33723" s="39"/>
    </row>
    <row r="33724">
      <c r="D33724" s="39"/>
      <c r="E33724" s="39"/>
      <c r="F33724" s="39"/>
    </row>
    <row r="33725">
      <c r="D33725" s="39"/>
      <c r="E33725" s="39"/>
      <c r="F33725" s="39"/>
    </row>
    <row r="33726">
      <c r="D33726" s="39"/>
      <c r="E33726" s="39"/>
      <c r="F33726" s="39"/>
    </row>
    <row r="33727">
      <c r="D33727" s="39"/>
      <c r="E33727" s="39"/>
      <c r="F33727" s="39"/>
    </row>
    <row r="33728">
      <c r="D33728" s="39"/>
      <c r="E33728" s="39"/>
      <c r="F33728" s="39"/>
    </row>
    <row r="33729">
      <c r="D33729" s="39"/>
      <c r="E33729" s="39"/>
      <c r="F33729" s="39"/>
    </row>
    <row r="33730">
      <c r="D33730" s="39"/>
      <c r="E33730" s="39"/>
      <c r="F33730" s="39"/>
    </row>
    <row r="33731">
      <c r="D33731" s="39"/>
      <c r="E33731" s="39"/>
      <c r="F33731" s="39"/>
    </row>
    <row r="33732">
      <c r="D33732" s="39"/>
      <c r="E33732" s="39"/>
      <c r="F33732" s="39"/>
    </row>
    <row r="33733">
      <c r="D33733" s="39"/>
      <c r="E33733" s="39"/>
      <c r="F33733" s="39"/>
    </row>
    <row r="33734">
      <c r="D33734" s="39"/>
      <c r="E33734" s="39"/>
      <c r="F33734" s="39"/>
    </row>
    <row r="33735">
      <c r="D33735" s="39"/>
      <c r="E33735" s="39"/>
      <c r="F33735" s="39"/>
    </row>
    <row r="33736">
      <c r="D33736" s="39"/>
      <c r="E33736" s="39"/>
      <c r="F33736" s="39"/>
    </row>
    <row r="33737">
      <c r="D33737" s="39"/>
      <c r="E33737" s="39"/>
      <c r="F33737" s="39"/>
    </row>
    <row r="33738">
      <c r="D33738" s="39"/>
      <c r="E33738" s="39"/>
      <c r="F33738" s="39"/>
    </row>
    <row r="33739">
      <c r="D33739" s="39"/>
      <c r="E33739" s="39"/>
      <c r="F33739" s="39"/>
    </row>
    <row r="33740">
      <c r="D33740" s="39"/>
      <c r="E33740" s="39"/>
      <c r="F33740" s="39"/>
    </row>
    <row r="33741">
      <c r="D33741" s="39"/>
      <c r="E33741" s="39"/>
      <c r="F33741" s="39"/>
    </row>
    <row r="33742">
      <c r="D33742" s="39"/>
      <c r="E33742" s="39"/>
      <c r="F33742" s="39"/>
    </row>
    <row r="33743">
      <c r="D33743" s="39"/>
      <c r="E33743" s="39"/>
      <c r="F33743" s="39"/>
    </row>
    <row r="33744">
      <c r="D33744" s="39"/>
      <c r="E33744" s="39"/>
      <c r="F33744" s="39"/>
    </row>
    <row r="33745">
      <c r="D33745" s="39"/>
      <c r="E33745" s="39"/>
      <c r="F33745" s="39"/>
    </row>
    <row r="33746">
      <c r="D33746" s="39"/>
      <c r="E33746" s="39"/>
      <c r="F33746" s="39"/>
    </row>
    <row r="33747">
      <c r="D33747" s="39"/>
      <c r="E33747" s="39"/>
      <c r="F33747" s="39"/>
    </row>
    <row r="33748">
      <c r="D33748" s="39"/>
      <c r="E33748" s="39"/>
      <c r="F33748" s="39"/>
    </row>
    <row r="33749">
      <c r="D33749" s="39"/>
      <c r="E33749" s="39"/>
      <c r="F33749" s="39"/>
    </row>
    <row r="33750">
      <c r="D33750" s="39"/>
      <c r="E33750" s="39"/>
      <c r="F33750" s="39"/>
    </row>
    <row r="33751">
      <c r="D33751" s="39"/>
      <c r="E33751" s="39"/>
      <c r="F33751" s="39"/>
    </row>
    <row r="33752">
      <c r="D33752" s="39"/>
      <c r="E33752" s="39"/>
      <c r="F33752" s="39"/>
    </row>
    <row r="33753">
      <c r="D33753" s="39"/>
      <c r="E33753" s="39"/>
      <c r="F33753" s="39"/>
    </row>
    <row r="33754">
      <c r="D33754" s="39"/>
      <c r="E33754" s="39"/>
      <c r="F33754" s="39"/>
    </row>
    <row r="33755">
      <c r="D33755" s="39"/>
      <c r="E33755" s="39"/>
      <c r="F33755" s="39"/>
    </row>
    <row r="33756">
      <c r="D33756" s="39"/>
      <c r="E33756" s="39"/>
      <c r="F33756" s="39"/>
    </row>
    <row r="33757">
      <c r="D33757" s="39"/>
      <c r="E33757" s="39"/>
      <c r="F33757" s="39"/>
    </row>
    <row r="33758">
      <c r="D33758" s="39"/>
      <c r="E33758" s="39"/>
      <c r="F33758" s="39"/>
    </row>
    <row r="33759">
      <c r="D33759" s="39"/>
      <c r="E33759" s="39"/>
      <c r="F33759" s="39"/>
    </row>
    <row r="33760">
      <c r="D33760" s="39"/>
      <c r="E33760" s="39"/>
      <c r="F33760" s="39"/>
    </row>
    <row r="33761">
      <c r="D33761" s="39"/>
      <c r="E33761" s="39"/>
      <c r="F33761" s="39"/>
    </row>
    <row r="33762">
      <c r="D33762" s="39"/>
      <c r="E33762" s="39"/>
      <c r="F33762" s="39"/>
    </row>
    <row r="33763">
      <c r="D33763" s="39"/>
      <c r="E33763" s="39"/>
      <c r="F33763" s="39"/>
    </row>
    <row r="33764">
      <c r="D33764" s="39"/>
      <c r="E33764" s="39"/>
      <c r="F33764" s="39"/>
    </row>
    <row r="33765">
      <c r="D33765" s="39"/>
      <c r="E33765" s="39"/>
      <c r="F33765" s="39"/>
    </row>
    <row r="33766">
      <c r="D33766" s="39"/>
      <c r="E33766" s="39"/>
      <c r="F33766" s="39"/>
    </row>
    <row r="33767">
      <c r="D33767" s="39"/>
      <c r="E33767" s="39"/>
      <c r="F33767" s="39"/>
    </row>
    <row r="33768">
      <c r="D33768" s="39"/>
      <c r="E33768" s="39"/>
      <c r="F33768" s="39"/>
    </row>
    <row r="33769">
      <c r="D33769" s="39"/>
      <c r="E33769" s="39"/>
      <c r="F33769" s="39"/>
    </row>
    <row r="33770">
      <c r="D33770" s="39"/>
      <c r="E33770" s="39"/>
      <c r="F33770" s="39"/>
    </row>
    <row r="33771">
      <c r="D33771" s="39"/>
      <c r="E33771" s="39"/>
      <c r="F33771" s="39"/>
    </row>
    <row r="33772">
      <c r="D33772" s="39"/>
      <c r="E33772" s="39"/>
      <c r="F33772" s="39"/>
    </row>
    <row r="33773">
      <c r="D33773" s="39"/>
      <c r="E33773" s="39"/>
      <c r="F33773" s="39"/>
    </row>
    <row r="33774">
      <c r="D33774" s="39"/>
      <c r="E33774" s="39"/>
      <c r="F33774" s="39"/>
    </row>
    <row r="33775">
      <c r="D33775" s="39"/>
      <c r="E33775" s="39"/>
      <c r="F33775" s="39"/>
    </row>
    <row r="33776">
      <c r="D33776" s="39"/>
      <c r="E33776" s="39"/>
      <c r="F33776" s="39"/>
    </row>
    <row r="33777">
      <c r="D33777" s="39"/>
      <c r="E33777" s="39"/>
      <c r="F33777" s="39"/>
    </row>
    <row r="33778">
      <c r="D33778" s="39"/>
      <c r="E33778" s="39"/>
      <c r="F33778" s="39"/>
    </row>
    <row r="33779">
      <c r="D33779" s="39"/>
      <c r="E33779" s="39"/>
      <c r="F33779" s="39"/>
    </row>
    <row r="33780">
      <c r="D33780" s="39"/>
      <c r="E33780" s="39"/>
      <c r="F33780" s="39"/>
    </row>
    <row r="33781">
      <c r="D33781" s="39"/>
      <c r="E33781" s="39"/>
      <c r="F33781" s="39"/>
    </row>
    <row r="33782">
      <c r="D33782" s="39"/>
      <c r="E33782" s="39"/>
      <c r="F33782" s="39"/>
    </row>
    <row r="33783">
      <c r="D33783" s="39"/>
      <c r="E33783" s="39"/>
      <c r="F33783" s="39"/>
    </row>
    <row r="33784">
      <c r="D33784" s="39"/>
      <c r="E33784" s="39"/>
      <c r="F33784" s="39"/>
    </row>
    <row r="33785">
      <c r="D33785" s="39"/>
      <c r="E33785" s="39"/>
      <c r="F33785" s="39"/>
    </row>
    <row r="33786">
      <c r="D33786" s="39"/>
      <c r="E33786" s="39"/>
      <c r="F33786" s="39"/>
    </row>
    <row r="33787">
      <c r="D33787" s="39"/>
      <c r="E33787" s="39"/>
      <c r="F33787" s="39"/>
    </row>
    <row r="33788">
      <c r="D33788" s="39"/>
      <c r="E33788" s="39"/>
      <c r="F33788" s="39"/>
    </row>
    <row r="33789">
      <c r="D33789" s="39"/>
      <c r="E33789" s="39"/>
      <c r="F33789" s="39"/>
    </row>
    <row r="33790">
      <c r="D33790" s="39"/>
      <c r="E33790" s="39"/>
      <c r="F33790" s="39"/>
    </row>
    <row r="33791">
      <c r="D33791" s="39"/>
      <c r="E33791" s="39"/>
      <c r="F33791" s="39"/>
    </row>
    <row r="33792">
      <c r="D33792" s="39"/>
      <c r="E33792" s="39"/>
      <c r="F33792" s="39"/>
    </row>
    <row r="33793">
      <c r="D33793" s="39"/>
      <c r="E33793" s="39"/>
      <c r="F33793" s="39"/>
    </row>
    <row r="33794">
      <c r="D33794" s="39"/>
      <c r="E33794" s="39"/>
      <c r="F33794" s="39"/>
    </row>
    <row r="33795">
      <c r="D33795" s="39"/>
      <c r="E33795" s="39"/>
      <c r="F33795" s="39"/>
    </row>
    <row r="33796">
      <c r="D33796" s="39"/>
      <c r="E33796" s="39"/>
      <c r="F33796" s="39"/>
    </row>
    <row r="33797">
      <c r="D33797" s="39"/>
      <c r="E33797" s="39"/>
      <c r="F33797" s="39"/>
    </row>
    <row r="33798">
      <c r="D33798" s="39"/>
      <c r="E33798" s="39"/>
      <c r="F33798" s="39"/>
    </row>
    <row r="33799">
      <c r="D33799" s="39"/>
      <c r="E33799" s="39"/>
      <c r="F33799" s="39"/>
    </row>
    <row r="33800">
      <c r="D33800" s="39"/>
      <c r="E33800" s="39"/>
      <c r="F33800" s="39"/>
    </row>
    <row r="33801">
      <c r="D33801" s="39"/>
      <c r="E33801" s="39"/>
      <c r="F33801" s="39"/>
    </row>
    <row r="33802">
      <c r="D33802" s="39"/>
      <c r="E33802" s="39"/>
      <c r="F33802" s="39"/>
    </row>
    <row r="33803">
      <c r="D33803" s="39"/>
      <c r="E33803" s="39"/>
      <c r="F33803" s="39"/>
    </row>
    <row r="33804">
      <c r="D33804" s="39"/>
      <c r="E33804" s="39"/>
      <c r="F33804" s="39"/>
    </row>
    <row r="33805">
      <c r="D33805" s="39"/>
      <c r="E33805" s="39"/>
      <c r="F33805" s="39"/>
    </row>
    <row r="33806">
      <c r="D33806" s="39"/>
      <c r="E33806" s="39"/>
      <c r="F33806" s="39"/>
    </row>
    <row r="33807">
      <c r="D33807" s="39"/>
      <c r="E33807" s="39"/>
      <c r="F33807" s="39"/>
    </row>
    <row r="33808">
      <c r="D33808" s="39"/>
      <c r="E33808" s="39"/>
      <c r="F33808" s="39"/>
    </row>
    <row r="33809">
      <c r="D33809" s="39"/>
      <c r="E33809" s="39"/>
      <c r="F33809" s="39"/>
    </row>
    <row r="33810">
      <c r="D33810" s="39"/>
      <c r="E33810" s="39"/>
      <c r="F33810" s="39"/>
    </row>
    <row r="33811">
      <c r="D33811" s="39"/>
      <c r="E33811" s="39"/>
      <c r="F33811" s="39"/>
    </row>
    <row r="33812">
      <c r="D33812" s="39"/>
      <c r="E33812" s="39"/>
      <c r="F33812" s="39"/>
    </row>
    <row r="33813">
      <c r="D33813" s="39"/>
      <c r="E33813" s="39"/>
      <c r="F33813" s="39"/>
    </row>
    <row r="33814">
      <c r="D33814" s="39"/>
      <c r="E33814" s="39"/>
      <c r="F33814" s="39"/>
    </row>
    <row r="33815">
      <c r="D33815" s="39"/>
      <c r="E33815" s="39"/>
      <c r="F33815" s="39"/>
    </row>
    <row r="33816">
      <c r="D33816" s="39"/>
      <c r="E33816" s="39"/>
      <c r="F33816" s="39"/>
    </row>
    <row r="33817">
      <c r="D33817" s="39"/>
      <c r="E33817" s="39"/>
      <c r="F33817" s="39"/>
    </row>
    <row r="33818">
      <c r="D33818" s="39"/>
      <c r="E33818" s="39"/>
      <c r="F33818" s="39"/>
    </row>
    <row r="33819">
      <c r="D33819" s="39"/>
      <c r="E33819" s="39"/>
      <c r="F33819" s="39"/>
    </row>
    <row r="33820">
      <c r="D33820" s="39"/>
      <c r="E33820" s="39"/>
      <c r="F33820" s="39"/>
    </row>
    <row r="33821">
      <c r="D33821" s="39"/>
      <c r="E33821" s="39"/>
      <c r="F33821" s="39"/>
    </row>
    <row r="33822">
      <c r="D33822" s="39"/>
      <c r="E33822" s="39"/>
      <c r="F33822" s="39"/>
    </row>
    <row r="33823">
      <c r="D33823" s="39"/>
      <c r="E33823" s="39"/>
      <c r="F33823" s="39"/>
    </row>
    <row r="33824">
      <c r="D33824" s="39"/>
      <c r="E33824" s="39"/>
      <c r="F33824" s="39"/>
    </row>
    <row r="33825">
      <c r="D33825" s="39"/>
      <c r="E33825" s="39"/>
      <c r="F33825" s="39"/>
    </row>
    <row r="33826">
      <c r="D33826" s="39"/>
      <c r="E33826" s="39"/>
      <c r="F33826" s="39"/>
    </row>
    <row r="33827">
      <c r="D33827" s="39"/>
      <c r="E33827" s="39"/>
      <c r="F33827" s="39"/>
    </row>
    <row r="33828">
      <c r="D33828" s="39"/>
      <c r="E33828" s="39"/>
      <c r="F33828" s="39"/>
    </row>
    <row r="33829">
      <c r="D33829" s="39"/>
      <c r="E33829" s="39"/>
      <c r="F33829" s="39"/>
    </row>
    <row r="33830">
      <c r="D33830" s="39"/>
      <c r="E33830" s="39"/>
      <c r="F33830" s="39"/>
    </row>
    <row r="33831">
      <c r="D33831" s="39"/>
      <c r="E33831" s="39"/>
      <c r="F33831" s="39"/>
    </row>
    <row r="33832">
      <c r="D33832" s="39"/>
      <c r="E33832" s="39"/>
      <c r="F33832" s="39"/>
    </row>
    <row r="33833">
      <c r="D33833" s="39"/>
      <c r="E33833" s="39"/>
      <c r="F33833" s="39"/>
    </row>
    <row r="33834">
      <c r="D33834" s="39"/>
      <c r="E33834" s="39"/>
      <c r="F33834" s="39"/>
    </row>
    <row r="33835">
      <c r="D33835" s="39"/>
      <c r="E33835" s="39"/>
      <c r="F33835" s="39"/>
    </row>
    <row r="33836">
      <c r="D33836" s="39"/>
      <c r="E33836" s="39"/>
      <c r="F33836" s="39"/>
    </row>
    <row r="33837">
      <c r="D33837" s="39"/>
      <c r="E33837" s="39"/>
      <c r="F33837" s="39"/>
    </row>
    <row r="33838">
      <c r="D33838" s="39"/>
      <c r="E33838" s="39"/>
      <c r="F33838" s="39"/>
    </row>
    <row r="33839">
      <c r="D33839" s="39"/>
      <c r="E33839" s="39"/>
      <c r="F33839" s="39"/>
    </row>
    <row r="33840">
      <c r="D33840" s="39"/>
      <c r="E33840" s="39"/>
      <c r="F33840" s="39"/>
    </row>
    <row r="33841">
      <c r="D33841" s="39"/>
      <c r="E33841" s="39"/>
      <c r="F33841" s="39"/>
    </row>
    <row r="33842">
      <c r="D33842" s="39"/>
      <c r="E33842" s="39"/>
      <c r="F33842" s="39"/>
    </row>
    <row r="33843">
      <c r="D33843" s="39"/>
      <c r="E33843" s="39"/>
      <c r="F33843" s="39"/>
    </row>
    <row r="33844">
      <c r="D33844" s="39"/>
      <c r="E33844" s="39"/>
      <c r="F33844" s="39"/>
    </row>
    <row r="33845">
      <c r="D33845" s="39"/>
      <c r="E33845" s="39"/>
      <c r="F33845" s="39"/>
    </row>
    <row r="33846">
      <c r="D33846" s="39"/>
      <c r="E33846" s="39"/>
      <c r="F33846" s="39"/>
    </row>
    <row r="33847">
      <c r="D33847" s="39"/>
      <c r="E33847" s="39"/>
      <c r="F33847" s="39"/>
    </row>
    <row r="33848">
      <c r="D33848" s="39"/>
      <c r="E33848" s="39"/>
      <c r="F33848" s="39"/>
    </row>
    <row r="33849">
      <c r="D33849" s="39"/>
      <c r="E33849" s="39"/>
      <c r="F33849" s="39"/>
    </row>
    <row r="33850">
      <c r="D33850" s="39"/>
      <c r="E33850" s="39"/>
      <c r="F33850" s="39"/>
    </row>
    <row r="33851">
      <c r="D33851" s="39"/>
      <c r="E33851" s="39"/>
      <c r="F33851" s="39"/>
    </row>
    <row r="33852">
      <c r="D33852" s="39"/>
      <c r="E33852" s="39"/>
      <c r="F33852" s="39"/>
    </row>
    <row r="33853">
      <c r="D33853" s="39"/>
      <c r="E33853" s="39"/>
      <c r="F33853" s="39"/>
    </row>
    <row r="33854">
      <c r="D33854" s="39"/>
      <c r="E33854" s="39"/>
      <c r="F33854" s="39"/>
    </row>
    <row r="33855">
      <c r="D33855" s="39"/>
      <c r="E33855" s="39"/>
      <c r="F33855" s="39"/>
    </row>
    <row r="33856">
      <c r="D33856" s="39"/>
      <c r="E33856" s="39"/>
      <c r="F33856" s="39"/>
    </row>
    <row r="33857">
      <c r="D33857" s="39"/>
      <c r="E33857" s="39"/>
      <c r="F33857" s="39"/>
    </row>
    <row r="33858">
      <c r="D33858" s="39"/>
      <c r="E33858" s="39"/>
      <c r="F33858" s="39"/>
    </row>
    <row r="33859">
      <c r="D33859" s="39"/>
      <c r="E33859" s="39"/>
      <c r="F33859" s="39"/>
    </row>
    <row r="33860">
      <c r="D33860" s="39"/>
      <c r="E33860" s="39"/>
      <c r="F33860" s="39"/>
    </row>
    <row r="33861">
      <c r="D33861" s="39"/>
      <c r="E33861" s="39"/>
      <c r="F33861" s="39"/>
    </row>
    <row r="33862">
      <c r="D33862" s="39"/>
      <c r="E33862" s="39"/>
      <c r="F33862" s="39"/>
    </row>
    <row r="33863">
      <c r="D33863" s="39"/>
      <c r="E33863" s="39"/>
      <c r="F33863" s="39"/>
    </row>
    <row r="33864">
      <c r="D33864" s="39"/>
      <c r="E33864" s="39"/>
      <c r="F33864" s="39"/>
    </row>
    <row r="33865">
      <c r="D33865" s="39"/>
      <c r="E33865" s="39"/>
      <c r="F33865" s="39"/>
    </row>
    <row r="33866">
      <c r="D33866" s="39"/>
      <c r="E33866" s="39"/>
      <c r="F33866" s="39"/>
    </row>
    <row r="33867">
      <c r="D33867" s="39"/>
      <c r="E33867" s="39"/>
      <c r="F33867" s="39"/>
    </row>
    <row r="33868">
      <c r="D33868" s="39"/>
      <c r="E33868" s="39"/>
      <c r="F33868" s="39"/>
    </row>
    <row r="33869">
      <c r="D33869" s="39"/>
      <c r="E33869" s="39"/>
      <c r="F33869" s="39"/>
    </row>
    <row r="33870">
      <c r="D33870" s="39"/>
      <c r="E33870" s="39"/>
      <c r="F33870" s="39"/>
    </row>
    <row r="33871">
      <c r="D33871" s="39"/>
      <c r="E33871" s="39"/>
      <c r="F33871" s="39"/>
    </row>
    <row r="33872">
      <c r="D33872" s="39"/>
      <c r="E33872" s="39"/>
      <c r="F33872" s="39"/>
    </row>
    <row r="33873">
      <c r="D33873" s="39"/>
      <c r="E33873" s="39"/>
      <c r="F33873" s="39"/>
    </row>
    <row r="33874">
      <c r="D33874" s="39"/>
      <c r="E33874" s="39"/>
      <c r="F33874" s="39"/>
    </row>
    <row r="33875">
      <c r="D33875" s="39"/>
      <c r="E33875" s="39"/>
      <c r="F33875" s="39"/>
    </row>
    <row r="33876">
      <c r="D33876" s="39"/>
      <c r="E33876" s="39"/>
      <c r="F33876" s="39"/>
    </row>
    <row r="33877">
      <c r="D33877" s="39"/>
      <c r="E33877" s="39"/>
      <c r="F33877" s="39"/>
    </row>
    <row r="33878">
      <c r="D33878" s="39"/>
      <c r="E33878" s="39"/>
      <c r="F33878" s="39"/>
    </row>
    <row r="33879">
      <c r="D33879" s="39"/>
      <c r="E33879" s="39"/>
      <c r="F33879" s="39"/>
    </row>
    <row r="33880">
      <c r="D33880" s="39"/>
      <c r="E33880" s="39"/>
      <c r="F33880" s="39"/>
    </row>
    <row r="33881">
      <c r="D33881" s="39"/>
      <c r="E33881" s="39"/>
      <c r="F33881" s="39"/>
    </row>
    <row r="33882">
      <c r="D33882" s="39"/>
      <c r="E33882" s="39"/>
      <c r="F33882" s="39"/>
    </row>
    <row r="33883">
      <c r="D33883" s="39"/>
      <c r="E33883" s="39"/>
      <c r="F33883" s="39"/>
    </row>
    <row r="33884">
      <c r="D33884" s="39"/>
      <c r="E33884" s="39"/>
      <c r="F33884" s="39"/>
    </row>
    <row r="33885">
      <c r="D33885" s="39"/>
      <c r="E33885" s="39"/>
      <c r="F33885" s="39"/>
    </row>
    <row r="33886">
      <c r="D33886" s="39"/>
      <c r="E33886" s="39"/>
      <c r="F33886" s="39"/>
    </row>
    <row r="33887">
      <c r="D33887" s="39"/>
      <c r="E33887" s="39"/>
      <c r="F33887" s="39"/>
    </row>
    <row r="33888">
      <c r="D33888" s="39"/>
      <c r="E33888" s="39"/>
      <c r="F33888" s="39"/>
    </row>
    <row r="33889">
      <c r="D33889" s="39"/>
      <c r="E33889" s="39"/>
      <c r="F33889" s="39"/>
    </row>
    <row r="33890">
      <c r="D33890" s="39"/>
      <c r="E33890" s="39"/>
      <c r="F33890" s="39"/>
    </row>
    <row r="33891">
      <c r="D33891" s="39"/>
      <c r="E33891" s="39"/>
      <c r="F33891" s="39"/>
    </row>
    <row r="33892">
      <c r="D33892" s="39"/>
      <c r="E33892" s="39"/>
      <c r="F33892" s="39"/>
    </row>
    <row r="33893">
      <c r="D33893" s="39"/>
      <c r="E33893" s="39"/>
      <c r="F33893" s="39"/>
    </row>
    <row r="33894">
      <c r="D33894" s="39"/>
      <c r="E33894" s="39"/>
      <c r="F33894" s="39"/>
    </row>
    <row r="33895">
      <c r="D33895" s="39"/>
      <c r="E33895" s="39"/>
      <c r="F33895" s="39"/>
    </row>
    <row r="33896">
      <c r="D33896" s="39"/>
      <c r="E33896" s="39"/>
      <c r="F33896" s="39"/>
    </row>
    <row r="33897">
      <c r="D33897" s="39"/>
      <c r="E33897" s="39"/>
      <c r="F33897" s="39"/>
    </row>
    <row r="33898">
      <c r="D33898" s="39"/>
      <c r="E33898" s="39"/>
      <c r="F33898" s="39"/>
    </row>
    <row r="33899">
      <c r="D33899" s="39"/>
      <c r="E33899" s="39"/>
      <c r="F33899" s="39"/>
    </row>
    <row r="33900">
      <c r="D33900" s="39"/>
      <c r="E33900" s="39"/>
      <c r="F33900" s="39"/>
    </row>
    <row r="33901">
      <c r="D33901" s="39"/>
      <c r="E33901" s="39"/>
      <c r="F33901" s="39"/>
    </row>
    <row r="33902">
      <c r="D33902" s="39"/>
      <c r="E33902" s="39"/>
      <c r="F33902" s="39"/>
    </row>
    <row r="33903">
      <c r="D33903" s="39"/>
      <c r="E33903" s="39"/>
      <c r="F33903" s="39"/>
    </row>
    <row r="33904">
      <c r="D33904" s="39"/>
      <c r="E33904" s="39"/>
      <c r="F33904" s="39"/>
    </row>
    <row r="33905">
      <c r="D33905" s="39"/>
      <c r="E33905" s="39"/>
      <c r="F33905" s="39"/>
    </row>
    <row r="33906">
      <c r="D33906" s="39"/>
      <c r="E33906" s="39"/>
      <c r="F33906" s="39"/>
    </row>
    <row r="33907">
      <c r="D33907" s="39"/>
      <c r="E33907" s="39"/>
      <c r="F33907" s="39"/>
    </row>
    <row r="33908">
      <c r="D33908" s="39"/>
      <c r="E33908" s="39"/>
      <c r="F33908" s="39"/>
    </row>
    <row r="33909">
      <c r="D33909" s="39"/>
      <c r="E33909" s="39"/>
      <c r="F33909" s="39"/>
    </row>
    <row r="33910">
      <c r="D33910" s="39"/>
      <c r="E33910" s="39"/>
      <c r="F33910" s="39"/>
    </row>
    <row r="33911">
      <c r="D33911" s="39"/>
      <c r="E33911" s="39"/>
      <c r="F33911" s="39"/>
    </row>
    <row r="33912">
      <c r="D33912" s="39"/>
      <c r="E33912" s="39"/>
      <c r="F33912" s="39"/>
    </row>
    <row r="33913">
      <c r="D33913" s="39"/>
      <c r="E33913" s="39"/>
      <c r="F33913" s="39"/>
    </row>
    <row r="33914">
      <c r="D33914" s="39"/>
      <c r="E33914" s="39"/>
      <c r="F33914" s="39"/>
    </row>
    <row r="33915">
      <c r="D33915" s="39"/>
      <c r="E33915" s="39"/>
      <c r="F33915" s="39"/>
    </row>
    <row r="33916">
      <c r="D33916" s="39"/>
      <c r="E33916" s="39"/>
      <c r="F33916" s="39"/>
    </row>
    <row r="33917">
      <c r="D33917" s="39"/>
      <c r="E33917" s="39"/>
      <c r="F33917" s="39"/>
    </row>
    <row r="33918">
      <c r="D33918" s="39"/>
      <c r="E33918" s="39"/>
      <c r="F33918" s="39"/>
    </row>
    <row r="33919">
      <c r="D33919" s="39"/>
      <c r="E33919" s="39"/>
      <c r="F33919" s="39"/>
    </row>
    <row r="33920">
      <c r="D33920" s="39"/>
      <c r="E33920" s="39"/>
      <c r="F33920" s="39"/>
    </row>
    <row r="33921">
      <c r="D33921" s="39"/>
      <c r="E33921" s="39"/>
      <c r="F33921" s="39"/>
    </row>
    <row r="33922">
      <c r="D33922" s="39"/>
      <c r="E33922" s="39"/>
      <c r="F33922" s="39"/>
    </row>
    <row r="33923">
      <c r="D33923" s="39"/>
      <c r="E33923" s="39"/>
      <c r="F33923" s="39"/>
    </row>
    <row r="33924">
      <c r="D33924" s="39"/>
      <c r="E33924" s="39"/>
      <c r="F33924" s="39"/>
    </row>
    <row r="33925">
      <c r="D33925" s="39"/>
      <c r="E33925" s="39"/>
      <c r="F33925" s="39"/>
    </row>
    <row r="33926">
      <c r="D33926" s="39"/>
      <c r="E33926" s="39"/>
      <c r="F33926" s="39"/>
    </row>
    <row r="33927">
      <c r="D33927" s="39"/>
      <c r="E33927" s="39"/>
      <c r="F33927" s="39"/>
    </row>
    <row r="33928">
      <c r="D33928" s="39"/>
      <c r="E33928" s="39"/>
      <c r="F33928" s="39"/>
    </row>
    <row r="33929">
      <c r="D33929" s="39"/>
      <c r="E33929" s="39"/>
      <c r="F33929" s="39"/>
    </row>
    <row r="33930">
      <c r="D33930" s="39"/>
      <c r="E33930" s="39"/>
      <c r="F33930" s="39"/>
    </row>
    <row r="33931">
      <c r="D33931" s="39"/>
      <c r="E33931" s="39"/>
      <c r="F33931" s="39"/>
    </row>
    <row r="33932">
      <c r="D33932" s="39"/>
      <c r="E33932" s="39"/>
      <c r="F33932" s="39"/>
    </row>
    <row r="33933">
      <c r="D33933" s="39"/>
      <c r="E33933" s="39"/>
      <c r="F33933" s="39"/>
    </row>
    <row r="33934">
      <c r="D33934" s="39"/>
      <c r="E33934" s="39"/>
      <c r="F33934" s="39"/>
    </row>
    <row r="33935">
      <c r="D33935" s="39"/>
      <c r="E33935" s="39"/>
      <c r="F33935" s="39"/>
    </row>
    <row r="33936">
      <c r="D33936" s="39"/>
      <c r="E33936" s="39"/>
      <c r="F33936" s="39"/>
    </row>
    <row r="33937">
      <c r="D33937" s="39"/>
      <c r="E33937" s="39"/>
      <c r="F33937" s="39"/>
    </row>
    <row r="33938">
      <c r="D33938" s="39"/>
      <c r="E33938" s="39"/>
      <c r="F33938" s="39"/>
    </row>
    <row r="33939">
      <c r="D33939" s="39"/>
      <c r="E33939" s="39"/>
      <c r="F33939" s="39"/>
    </row>
    <row r="33940">
      <c r="D33940" s="39"/>
      <c r="E33940" s="39"/>
      <c r="F33940" s="39"/>
    </row>
    <row r="33941">
      <c r="D33941" s="39"/>
      <c r="E33941" s="39"/>
      <c r="F33941" s="39"/>
    </row>
    <row r="33942">
      <c r="D33942" s="39"/>
      <c r="E33942" s="39"/>
      <c r="F33942" s="39"/>
    </row>
    <row r="33943">
      <c r="D33943" s="39"/>
      <c r="E33943" s="39"/>
      <c r="F33943" s="39"/>
    </row>
    <row r="33944">
      <c r="D33944" s="39"/>
      <c r="E33944" s="39"/>
      <c r="F33944" s="39"/>
    </row>
    <row r="33945">
      <c r="D33945" s="39"/>
      <c r="E33945" s="39"/>
      <c r="F33945" s="39"/>
    </row>
    <row r="33946">
      <c r="D33946" s="39"/>
      <c r="E33946" s="39"/>
      <c r="F33946" s="39"/>
    </row>
    <row r="33947">
      <c r="D33947" s="39"/>
      <c r="E33947" s="39"/>
      <c r="F33947" s="39"/>
    </row>
    <row r="33948">
      <c r="D33948" s="39"/>
      <c r="E33948" s="39"/>
      <c r="F33948" s="39"/>
    </row>
    <row r="33949">
      <c r="D33949" s="39"/>
      <c r="E33949" s="39"/>
      <c r="F33949" s="39"/>
    </row>
    <row r="33950">
      <c r="D33950" s="39"/>
      <c r="E33950" s="39"/>
      <c r="F33950" s="39"/>
    </row>
    <row r="33951">
      <c r="D33951" s="39"/>
      <c r="E33951" s="39"/>
      <c r="F33951" s="39"/>
    </row>
    <row r="33952">
      <c r="D33952" s="39"/>
      <c r="E33952" s="39"/>
      <c r="F33952" s="39"/>
    </row>
    <row r="33953">
      <c r="D33953" s="39"/>
      <c r="E33953" s="39"/>
      <c r="F33953" s="39"/>
    </row>
    <row r="33954">
      <c r="D33954" s="39"/>
      <c r="E33954" s="39"/>
      <c r="F33954" s="39"/>
    </row>
    <row r="33955">
      <c r="D33955" s="39"/>
      <c r="E33955" s="39"/>
      <c r="F33955" s="39"/>
    </row>
    <row r="33956">
      <c r="D33956" s="39"/>
      <c r="E33956" s="39"/>
      <c r="F33956" s="39"/>
    </row>
    <row r="33957">
      <c r="D33957" s="39"/>
      <c r="E33957" s="39"/>
      <c r="F33957" s="39"/>
    </row>
    <row r="33958">
      <c r="D33958" s="39"/>
      <c r="E33958" s="39"/>
      <c r="F33958" s="39"/>
    </row>
    <row r="33959">
      <c r="D33959" s="39"/>
      <c r="E33959" s="39"/>
      <c r="F33959" s="39"/>
    </row>
    <row r="33960">
      <c r="D33960" s="39"/>
      <c r="E33960" s="39"/>
      <c r="F33960" s="39"/>
    </row>
    <row r="33961">
      <c r="D33961" s="39"/>
      <c r="E33961" s="39"/>
      <c r="F33961" s="39"/>
    </row>
    <row r="33962">
      <c r="D33962" s="39"/>
      <c r="E33962" s="39"/>
      <c r="F33962" s="39"/>
    </row>
    <row r="33963">
      <c r="D33963" s="39"/>
      <c r="E33963" s="39"/>
      <c r="F33963" s="39"/>
    </row>
    <row r="33964">
      <c r="D33964" s="39"/>
      <c r="E33964" s="39"/>
      <c r="F33964" s="39"/>
    </row>
    <row r="33965">
      <c r="D33965" s="39"/>
      <c r="E33965" s="39"/>
      <c r="F33965" s="39"/>
    </row>
    <row r="33966">
      <c r="D33966" s="39"/>
      <c r="E33966" s="39"/>
      <c r="F33966" s="39"/>
    </row>
    <row r="33967">
      <c r="D33967" s="39"/>
      <c r="E33967" s="39"/>
      <c r="F33967" s="39"/>
    </row>
    <row r="33968">
      <c r="D33968" s="39"/>
      <c r="E33968" s="39"/>
      <c r="F33968" s="39"/>
    </row>
    <row r="33969">
      <c r="D33969" s="39"/>
      <c r="E33969" s="39"/>
      <c r="F33969" s="39"/>
    </row>
    <row r="33970">
      <c r="D33970" s="39"/>
      <c r="E33970" s="39"/>
      <c r="F33970" s="39"/>
    </row>
    <row r="33971">
      <c r="D33971" s="39"/>
      <c r="E33971" s="39"/>
      <c r="F33971" s="39"/>
    </row>
    <row r="33972">
      <c r="D33972" s="39"/>
      <c r="E33972" s="39"/>
      <c r="F33972" s="39"/>
    </row>
    <row r="33973">
      <c r="D33973" s="39"/>
      <c r="E33973" s="39"/>
      <c r="F33973" s="39"/>
    </row>
    <row r="33974">
      <c r="D33974" s="39"/>
      <c r="E33974" s="39"/>
      <c r="F33974" s="39"/>
    </row>
    <row r="33975">
      <c r="D33975" s="39"/>
      <c r="E33975" s="39"/>
      <c r="F33975" s="39"/>
    </row>
    <row r="33976">
      <c r="D33976" s="39"/>
      <c r="E33976" s="39"/>
      <c r="F33976" s="39"/>
    </row>
    <row r="33977">
      <c r="D33977" s="39"/>
      <c r="E33977" s="39"/>
      <c r="F33977" s="39"/>
    </row>
    <row r="33978">
      <c r="D33978" s="39"/>
      <c r="E33978" s="39"/>
      <c r="F33978" s="39"/>
    </row>
    <row r="33979">
      <c r="D33979" s="39"/>
      <c r="E33979" s="39"/>
      <c r="F33979" s="39"/>
    </row>
    <row r="33980">
      <c r="D33980" s="39"/>
      <c r="E33980" s="39"/>
      <c r="F33980" s="39"/>
    </row>
    <row r="33981">
      <c r="D33981" s="39"/>
      <c r="E33981" s="39"/>
      <c r="F33981" s="39"/>
    </row>
    <row r="33982">
      <c r="D33982" s="39"/>
      <c r="E33982" s="39"/>
      <c r="F33982" s="39"/>
    </row>
    <row r="33983">
      <c r="D33983" s="39"/>
      <c r="E33983" s="39"/>
      <c r="F33983" s="39"/>
    </row>
    <row r="33984">
      <c r="D33984" s="39"/>
      <c r="E33984" s="39"/>
      <c r="F33984" s="39"/>
    </row>
    <row r="33985">
      <c r="D33985" s="39"/>
      <c r="E33985" s="39"/>
      <c r="F33985" s="39"/>
    </row>
    <row r="33986">
      <c r="D33986" s="39"/>
      <c r="E33986" s="39"/>
      <c r="F33986" s="39"/>
    </row>
    <row r="33987">
      <c r="D33987" s="39"/>
      <c r="E33987" s="39"/>
      <c r="F33987" s="39"/>
    </row>
    <row r="33988">
      <c r="D33988" s="39"/>
      <c r="E33988" s="39"/>
      <c r="F33988" s="39"/>
    </row>
    <row r="33989">
      <c r="D33989" s="39"/>
      <c r="E33989" s="39"/>
      <c r="F33989" s="39"/>
    </row>
    <row r="33990">
      <c r="D33990" s="39"/>
      <c r="E33990" s="39"/>
      <c r="F33990" s="39"/>
    </row>
    <row r="33991">
      <c r="D33991" s="39"/>
      <c r="E33991" s="39"/>
      <c r="F33991" s="39"/>
    </row>
    <row r="33992">
      <c r="D33992" s="39"/>
      <c r="E33992" s="39"/>
      <c r="F33992" s="39"/>
    </row>
    <row r="33993">
      <c r="D33993" s="39"/>
      <c r="E33993" s="39"/>
      <c r="F33993" s="39"/>
    </row>
    <row r="33994">
      <c r="D33994" s="39"/>
      <c r="E33994" s="39"/>
      <c r="F33994" s="39"/>
    </row>
    <row r="33995">
      <c r="D33995" s="39"/>
      <c r="E33995" s="39"/>
      <c r="F33995" s="39"/>
    </row>
    <row r="33996">
      <c r="D33996" s="39"/>
      <c r="E33996" s="39"/>
      <c r="F33996" s="39"/>
    </row>
    <row r="33997">
      <c r="D33997" s="39"/>
      <c r="E33997" s="39"/>
      <c r="F33997" s="39"/>
    </row>
    <row r="33998">
      <c r="D33998" s="39"/>
      <c r="E33998" s="39"/>
      <c r="F33998" s="39"/>
    </row>
    <row r="33999">
      <c r="D33999" s="39"/>
      <c r="E33999" s="39"/>
      <c r="F33999" s="39"/>
    </row>
    <row r="34000">
      <c r="D34000" s="39"/>
      <c r="E34000" s="39"/>
      <c r="F34000" s="39"/>
    </row>
    <row r="34001">
      <c r="D34001" s="39"/>
      <c r="E34001" s="39"/>
      <c r="F34001" s="39"/>
    </row>
    <row r="34002">
      <c r="D34002" s="39"/>
      <c r="E34002" s="39"/>
      <c r="F34002" s="39"/>
    </row>
    <row r="34003">
      <c r="D34003" s="39"/>
      <c r="E34003" s="39"/>
      <c r="F34003" s="39"/>
    </row>
    <row r="34004">
      <c r="D34004" s="39"/>
      <c r="E34004" s="39"/>
      <c r="F34004" s="39"/>
    </row>
    <row r="34005">
      <c r="D34005" s="39"/>
      <c r="E34005" s="39"/>
      <c r="F34005" s="39"/>
    </row>
    <row r="34006">
      <c r="D34006" s="39"/>
      <c r="E34006" s="39"/>
      <c r="F34006" s="39"/>
    </row>
    <row r="34007">
      <c r="D34007" s="39"/>
      <c r="E34007" s="39"/>
      <c r="F34007" s="39"/>
    </row>
    <row r="34008">
      <c r="D34008" s="39"/>
      <c r="E34008" s="39"/>
      <c r="F34008" s="39"/>
    </row>
    <row r="34009">
      <c r="D34009" s="39"/>
      <c r="E34009" s="39"/>
      <c r="F34009" s="39"/>
    </row>
    <row r="34010">
      <c r="D34010" s="39"/>
      <c r="E34010" s="39"/>
      <c r="F34010" s="39"/>
    </row>
    <row r="34011">
      <c r="D34011" s="39"/>
      <c r="E34011" s="39"/>
      <c r="F34011" s="39"/>
    </row>
    <row r="34012">
      <c r="D34012" s="39"/>
      <c r="E34012" s="39"/>
      <c r="F34012" s="39"/>
    </row>
    <row r="34013">
      <c r="D34013" s="39"/>
      <c r="E34013" s="39"/>
      <c r="F34013" s="39"/>
    </row>
    <row r="34014">
      <c r="D34014" s="39"/>
      <c r="E34014" s="39"/>
      <c r="F34014" s="39"/>
    </row>
    <row r="34015">
      <c r="D34015" s="39"/>
      <c r="E34015" s="39"/>
      <c r="F34015" s="39"/>
    </row>
    <row r="34016">
      <c r="D34016" s="39"/>
      <c r="E34016" s="39"/>
      <c r="F34016" s="39"/>
    </row>
    <row r="34017">
      <c r="D34017" s="39"/>
      <c r="E34017" s="39"/>
      <c r="F34017" s="39"/>
    </row>
    <row r="34018">
      <c r="D34018" s="39"/>
      <c r="E34018" s="39"/>
      <c r="F34018" s="39"/>
    </row>
    <row r="34019">
      <c r="D34019" s="39"/>
      <c r="E34019" s="39"/>
      <c r="F34019" s="39"/>
    </row>
    <row r="34020">
      <c r="D34020" s="39"/>
      <c r="E34020" s="39"/>
      <c r="F34020" s="39"/>
    </row>
    <row r="34021">
      <c r="D34021" s="39"/>
      <c r="E34021" s="39"/>
      <c r="F34021" s="39"/>
    </row>
    <row r="34022">
      <c r="D34022" s="39"/>
      <c r="E34022" s="39"/>
      <c r="F34022" s="39"/>
    </row>
    <row r="34023">
      <c r="D34023" s="39"/>
      <c r="E34023" s="39"/>
      <c r="F34023" s="39"/>
    </row>
    <row r="34024">
      <c r="D34024" s="39"/>
      <c r="E34024" s="39"/>
      <c r="F34024" s="39"/>
    </row>
    <row r="34025">
      <c r="D34025" s="39"/>
      <c r="E34025" s="39"/>
      <c r="F34025" s="39"/>
    </row>
    <row r="34026">
      <c r="D34026" s="39"/>
      <c r="E34026" s="39"/>
      <c r="F34026" s="39"/>
    </row>
    <row r="34027">
      <c r="D34027" s="39"/>
      <c r="E34027" s="39"/>
      <c r="F34027" s="39"/>
    </row>
    <row r="34028">
      <c r="D34028" s="39"/>
      <c r="E34028" s="39"/>
      <c r="F34028" s="39"/>
    </row>
    <row r="34029">
      <c r="D34029" s="39"/>
      <c r="E34029" s="39"/>
      <c r="F34029" s="39"/>
    </row>
    <row r="34030">
      <c r="D34030" s="39"/>
      <c r="E34030" s="39"/>
      <c r="F34030" s="39"/>
    </row>
    <row r="34031">
      <c r="D34031" s="39"/>
      <c r="E34031" s="39"/>
      <c r="F34031" s="39"/>
    </row>
    <row r="34032">
      <c r="D34032" s="39"/>
      <c r="E34032" s="39"/>
      <c r="F34032" s="39"/>
    </row>
    <row r="34033">
      <c r="D34033" s="39"/>
      <c r="E34033" s="39"/>
      <c r="F34033" s="39"/>
    </row>
    <row r="34034">
      <c r="D34034" s="39"/>
      <c r="E34034" s="39"/>
      <c r="F34034" s="39"/>
    </row>
    <row r="34035">
      <c r="D34035" s="39"/>
      <c r="E34035" s="39"/>
      <c r="F34035" s="39"/>
    </row>
    <row r="34036">
      <c r="D34036" s="39"/>
      <c r="E34036" s="39"/>
      <c r="F34036" s="39"/>
    </row>
    <row r="34037">
      <c r="D34037" s="39"/>
      <c r="E34037" s="39"/>
      <c r="F34037" s="39"/>
    </row>
    <row r="34038">
      <c r="D34038" s="39"/>
      <c r="E34038" s="39"/>
      <c r="F34038" s="39"/>
    </row>
    <row r="34039">
      <c r="D34039" s="39"/>
      <c r="E34039" s="39"/>
      <c r="F34039" s="39"/>
    </row>
    <row r="34040">
      <c r="D34040" s="39"/>
      <c r="E34040" s="39"/>
      <c r="F34040" s="39"/>
    </row>
    <row r="34041">
      <c r="D34041" s="39"/>
      <c r="E34041" s="39"/>
      <c r="F34041" s="39"/>
    </row>
    <row r="34042">
      <c r="D34042" s="39"/>
      <c r="E34042" s="39"/>
      <c r="F34042" s="39"/>
    </row>
    <row r="34043">
      <c r="D34043" s="39"/>
      <c r="E34043" s="39"/>
      <c r="F34043" s="39"/>
    </row>
    <row r="34044">
      <c r="D34044" s="39"/>
      <c r="E34044" s="39"/>
      <c r="F34044" s="39"/>
    </row>
    <row r="34045">
      <c r="D34045" s="39"/>
      <c r="E34045" s="39"/>
      <c r="F34045" s="39"/>
    </row>
    <row r="34046">
      <c r="D34046" s="39"/>
      <c r="E34046" s="39"/>
      <c r="F34046" s="39"/>
    </row>
    <row r="34047">
      <c r="D34047" s="39"/>
      <c r="E34047" s="39"/>
      <c r="F34047" s="39"/>
    </row>
    <row r="34048">
      <c r="D34048" s="39"/>
      <c r="E34048" s="39"/>
      <c r="F34048" s="39"/>
    </row>
    <row r="34049">
      <c r="D34049" s="39"/>
      <c r="E34049" s="39"/>
      <c r="F34049" s="39"/>
    </row>
    <row r="34050">
      <c r="D34050" s="39"/>
      <c r="E34050" s="39"/>
      <c r="F34050" s="39"/>
    </row>
    <row r="34051">
      <c r="D34051" s="39"/>
      <c r="E34051" s="39"/>
      <c r="F34051" s="39"/>
    </row>
    <row r="34052">
      <c r="D34052" s="39"/>
      <c r="E34052" s="39"/>
      <c r="F34052" s="39"/>
    </row>
    <row r="34053">
      <c r="D34053" s="39"/>
      <c r="E34053" s="39"/>
      <c r="F34053" s="39"/>
    </row>
    <row r="34054">
      <c r="D34054" s="39"/>
      <c r="E34054" s="39"/>
      <c r="F34054" s="39"/>
    </row>
    <row r="34055">
      <c r="D34055" s="39"/>
      <c r="E34055" s="39"/>
      <c r="F34055" s="39"/>
    </row>
    <row r="34056">
      <c r="D34056" s="39"/>
      <c r="E34056" s="39"/>
      <c r="F34056" s="39"/>
    </row>
    <row r="34057">
      <c r="D34057" s="39"/>
      <c r="E34057" s="39"/>
      <c r="F34057" s="39"/>
    </row>
    <row r="34058">
      <c r="D34058" s="39"/>
      <c r="E34058" s="39"/>
      <c r="F34058" s="39"/>
    </row>
    <row r="34059">
      <c r="D34059" s="39"/>
      <c r="E34059" s="39"/>
      <c r="F34059" s="39"/>
    </row>
    <row r="34060">
      <c r="D34060" s="39"/>
      <c r="E34060" s="39"/>
      <c r="F34060" s="39"/>
    </row>
    <row r="34061">
      <c r="D34061" s="39"/>
      <c r="E34061" s="39"/>
      <c r="F34061" s="39"/>
    </row>
    <row r="34062">
      <c r="D34062" s="39"/>
      <c r="E34062" s="39"/>
      <c r="F34062" s="39"/>
    </row>
    <row r="34063">
      <c r="D34063" s="39"/>
      <c r="E34063" s="39"/>
      <c r="F34063" s="39"/>
    </row>
    <row r="34064">
      <c r="D34064" s="39"/>
      <c r="E34064" s="39"/>
      <c r="F34064" s="39"/>
    </row>
    <row r="34065">
      <c r="D34065" s="39"/>
      <c r="E34065" s="39"/>
      <c r="F34065" s="39"/>
    </row>
    <row r="34066">
      <c r="D34066" s="39"/>
      <c r="E34066" s="39"/>
      <c r="F34066" s="39"/>
    </row>
    <row r="34067">
      <c r="D34067" s="39"/>
      <c r="E34067" s="39"/>
      <c r="F34067" s="39"/>
    </row>
    <row r="34068">
      <c r="D34068" s="39"/>
      <c r="E34068" s="39"/>
      <c r="F34068" s="39"/>
    </row>
    <row r="34069">
      <c r="D34069" s="39"/>
      <c r="E34069" s="39"/>
      <c r="F34069" s="39"/>
    </row>
    <row r="34070">
      <c r="D34070" s="39"/>
      <c r="E34070" s="39"/>
      <c r="F34070" s="39"/>
    </row>
    <row r="34071">
      <c r="D34071" s="39"/>
      <c r="E34071" s="39"/>
      <c r="F34071" s="39"/>
    </row>
    <row r="34072">
      <c r="D34072" s="39"/>
      <c r="E34072" s="39"/>
      <c r="F34072" s="39"/>
    </row>
    <row r="34073">
      <c r="D34073" s="39"/>
      <c r="E34073" s="39"/>
      <c r="F34073" s="39"/>
    </row>
    <row r="34074">
      <c r="D34074" s="39"/>
      <c r="E34074" s="39"/>
      <c r="F34074" s="39"/>
    </row>
    <row r="34075">
      <c r="D34075" s="39"/>
      <c r="E34075" s="39"/>
      <c r="F34075" s="39"/>
    </row>
    <row r="34076">
      <c r="D34076" s="39"/>
      <c r="E34076" s="39"/>
      <c r="F34076" s="39"/>
    </row>
    <row r="34077">
      <c r="D34077" s="39"/>
      <c r="E34077" s="39"/>
      <c r="F34077" s="39"/>
    </row>
    <row r="34078">
      <c r="D34078" s="39"/>
      <c r="E34078" s="39"/>
      <c r="F34078" s="39"/>
    </row>
    <row r="34079">
      <c r="D34079" s="39"/>
      <c r="E34079" s="39"/>
      <c r="F34079" s="39"/>
    </row>
    <row r="34080">
      <c r="D34080" s="39"/>
      <c r="E34080" s="39"/>
      <c r="F34080" s="39"/>
    </row>
    <row r="34081">
      <c r="D34081" s="39"/>
      <c r="E34081" s="39"/>
      <c r="F34081" s="39"/>
    </row>
    <row r="34082">
      <c r="D34082" s="39"/>
      <c r="E34082" s="39"/>
      <c r="F34082" s="39"/>
    </row>
    <row r="34083">
      <c r="D34083" s="39"/>
      <c r="E34083" s="39"/>
      <c r="F34083" s="39"/>
    </row>
    <row r="34084">
      <c r="D34084" s="39"/>
      <c r="E34084" s="39"/>
      <c r="F34084" s="39"/>
    </row>
    <row r="34085">
      <c r="D34085" s="39"/>
      <c r="E34085" s="39"/>
      <c r="F34085" s="39"/>
    </row>
    <row r="34086">
      <c r="D34086" s="39"/>
      <c r="E34086" s="39"/>
      <c r="F34086" s="39"/>
    </row>
    <row r="34087">
      <c r="D34087" s="39"/>
      <c r="E34087" s="39"/>
      <c r="F34087" s="39"/>
    </row>
    <row r="34088">
      <c r="D34088" s="39"/>
      <c r="E34088" s="39"/>
      <c r="F34088" s="39"/>
    </row>
    <row r="34089">
      <c r="D34089" s="39"/>
      <c r="E34089" s="39"/>
      <c r="F34089" s="39"/>
    </row>
    <row r="34090">
      <c r="D34090" s="39"/>
      <c r="E34090" s="39"/>
      <c r="F34090" s="39"/>
    </row>
    <row r="34091">
      <c r="D34091" s="39"/>
      <c r="E34091" s="39"/>
      <c r="F34091" s="39"/>
    </row>
    <row r="34092">
      <c r="D34092" s="39"/>
      <c r="E34092" s="39"/>
      <c r="F34092" s="39"/>
    </row>
    <row r="34093">
      <c r="D34093" s="39"/>
      <c r="E34093" s="39"/>
      <c r="F34093" s="39"/>
    </row>
    <row r="34094">
      <c r="D34094" s="39"/>
      <c r="E34094" s="39"/>
      <c r="F34094" s="39"/>
    </row>
    <row r="34095">
      <c r="D34095" s="39"/>
      <c r="E34095" s="39"/>
      <c r="F34095" s="39"/>
    </row>
    <row r="34096">
      <c r="D34096" s="39"/>
      <c r="E34096" s="39"/>
      <c r="F34096" s="39"/>
    </row>
    <row r="34097">
      <c r="D34097" s="39"/>
      <c r="E34097" s="39"/>
      <c r="F34097" s="39"/>
    </row>
    <row r="34098">
      <c r="D34098" s="39"/>
      <c r="E34098" s="39"/>
      <c r="F34098" s="39"/>
    </row>
    <row r="34099">
      <c r="D34099" s="39"/>
      <c r="E34099" s="39"/>
      <c r="F34099" s="39"/>
    </row>
    <row r="34100">
      <c r="D34100" s="39"/>
      <c r="E34100" s="39"/>
      <c r="F34100" s="39"/>
    </row>
    <row r="34101">
      <c r="D34101" s="39"/>
      <c r="E34101" s="39"/>
      <c r="F34101" s="39"/>
    </row>
    <row r="34102">
      <c r="D34102" s="39"/>
      <c r="E34102" s="39"/>
      <c r="F34102" s="39"/>
    </row>
    <row r="34103">
      <c r="D34103" s="39"/>
      <c r="E34103" s="39"/>
      <c r="F34103" s="39"/>
    </row>
    <row r="34104">
      <c r="D34104" s="39"/>
      <c r="E34104" s="39"/>
      <c r="F34104" s="39"/>
    </row>
    <row r="34105">
      <c r="D34105" s="39"/>
      <c r="E34105" s="39"/>
      <c r="F34105" s="39"/>
    </row>
    <row r="34106">
      <c r="D34106" s="39"/>
      <c r="E34106" s="39"/>
      <c r="F34106" s="39"/>
    </row>
    <row r="34107">
      <c r="D34107" s="39"/>
      <c r="E34107" s="39"/>
      <c r="F34107" s="39"/>
    </row>
    <row r="34108">
      <c r="D34108" s="39"/>
      <c r="E34108" s="39"/>
      <c r="F34108" s="39"/>
    </row>
    <row r="34109">
      <c r="D34109" s="39"/>
      <c r="E34109" s="39"/>
      <c r="F34109" s="39"/>
    </row>
    <row r="34110">
      <c r="D34110" s="39"/>
      <c r="E34110" s="39"/>
      <c r="F34110" s="39"/>
    </row>
    <row r="34111">
      <c r="D34111" s="39"/>
      <c r="E34111" s="39"/>
      <c r="F34111" s="39"/>
    </row>
    <row r="34112">
      <c r="D34112" s="39"/>
      <c r="E34112" s="39"/>
      <c r="F34112" s="39"/>
    </row>
    <row r="34113">
      <c r="D34113" s="39"/>
      <c r="E34113" s="39"/>
      <c r="F34113" s="39"/>
    </row>
    <row r="34114">
      <c r="D34114" s="39"/>
      <c r="E34114" s="39"/>
      <c r="F34114" s="39"/>
    </row>
    <row r="34115">
      <c r="D34115" s="39"/>
      <c r="E34115" s="39"/>
      <c r="F34115" s="39"/>
    </row>
    <row r="34116">
      <c r="D34116" s="39"/>
      <c r="E34116" s="39"/>
      <c r="F34116" s="39"/>
    </row>
    <row r="34117">
      <c r="D34117" s="39"/>
      <c r="E34117" s="39"/>
      <c r="F34117" s="39"/>
    </row>
    <row r="34118">
      <c r="D34118" s="39"/>
      <c r="E34118" s="39"/>
      <c r="F34118" s="39"/>
    </row>
    <row r="34119">
      <c r="D34119" s="39"/>
      <c r="E34119" s="39"/>
      <c r="F34119" s="39"/>
    </row>
    <row r="34120">
      <c r="D34120" s="39"/>
      <c r="E34120" s="39"/>
      <c r="F34120" s="39"/>
    </row>
    <row r="34121">
      <c r="D34121" s="39"/>
      <c r="E34121" s="39"/>
      <c r="F34121" s="39"/>
    </row>
    <row r="34122">
      <c r="D34122" s="39"/>
      <c r="E34122" s="39"/>
      <c r="F34122" s="39"/>
    </row>
    <row r="34123">
      <c r="D34123" s="39"/>
      <c r="E34123" s="39"/>
      <c r="F34123" s="39"/>
    </row>
    <row r="34124">
      <c r="D34124" s="39"/>
      <c r="E34124" s="39"/>
      <c r="F34124" s="39"/>
    </row>
    <row r="34125">
      <c r="D34125" s="39"/>
      <c r="E34125" s="39"/>
      <c r="F34125" s="39"/>
    </row>
    <row r="34126">
      <c r="D34126" s="39"/>
      <c r="E34126" s="39"/>
      <c r="F34126" s="39"/>
    </row>
    <row r="34127">
      <c r="D34127" s="39"/>
      <c r="E34127" s="39"/>
      <c r="F34127" s="39"/>
    </row>
    <row r="34128">
      <c r="D34128" s="39"/>
      <c r="E34128" s="39"/>
      <c r="F34128" s="39"/>
    </row>
    <row r="34129">
      <c r="D34129" s="39"/>
      <c r="E34129" s="39"/>
      <c r="F34129" s="39"/>
    </row>
    <row r="34130">
      <c r="D34130" s="39"/>
      <c r="E34130" s="39"/>
      <c r="F34130" s="39"/>
    </row>
    <row r="34131">
      <c r="D34131" s="39"/>
      <c r="E34131" s="39"/>
      <c r="F34131" s="39"/>
    </row>
    <row r="34132">
      <c r="D34132" s="39"/>
      <c r="E34132" s="39"/>
      <c r="F34132" s="39"/>
    </row>
    <row r="34133">
      <c r="D34133" s="39"/>
      <c r="E34133" s="39"/>
      <c r="F34133" s="39"/>
    </row>
    <row r="34134">
      <c r="D34134" s="39"/>
      <c r="E34134" s="39"/>
      <c r="F34134" s="39"/>
    </row>
    <row r="34135">
      <c r="D34135" s="39"/>
      <c r="E34135" s="39"/>
      <c r="F34135" s="39"/>
    </row>
    <row r="34136">
      <c r="D34136" s="39"/>
      <c r="E34136" s="39"/>
      <c r="F34136" s="39"/>
    </row>
    <row r="34137">
      <c r="D34137" s="39"/>
      <c r="E34137" s="39"/>
      <c r="F34137" s="39"/>
    </row>
    <row r="34138">
      <c r="D34138" s="39"/>
      <c r="E34138" s="39"/>
      <c r="F34138" s="39"/>
    </row>
    <row r="34139">
      <c r="D34139" s="39"/>
      <c r="E34139" s="39"/>
      <c r="F34139" s="39"/>
    </row>
    <row r="34140">
      <c r="D34140" s="39"/>
      <c r="E34140" s="39"/>
      <c r="F34140" s="39"/>
    </row>
    <row r="34141">
      <c r="D34141" s="39"/>
      <c r="E34141" s="39"/>
      <c r="F34141" s="39"/>
    </row>
    <row r="34142">
      <c r="D34142" s="39"/>
      <c r="E34142" s="39"/>
      <c r="F34142" s="39"/>
    </row>
    <row r="34143">
      <c r="D34143" s="39"/>
      <c r="E34143" s="39"/>
      <c r="F34143" s="39"/>
    </row>
    <row r="34144">
      <c r="D34144" s="39"/>
      <c r="E34144" s="39"/>
      <c r="F34144" s="39"/>
    </row>
    <row r="34145">
      <c r="D34145" s="39"/>
      <c r="E34145" s="39"/>
      <c r="F34145" s="39"/>
    </row>
    <row r="34146">
      <c r="D34146" s="39"/>
      <c r="E34146" s="39"/>
      <c r="F34146" s="39"/>
    </row>
    <row r="34147">
      <c r="D34147" s="39"/>
      <c r="E34147" s="39"/>
      <c r="F34147" s="39"/>
    </row>
    <row r="34148">
      <c r="D34148" s="39"/>
      <c r="E34148" s="39"/>
      <c r="F34148" s="39"/>
    </row>
    <row r="34149">
      <c r="D34149" s="39"/>
      <c r="E34149" s="39"/>
      <c r="F34149" s="39"/>
    </row>
    <row r="34150">
      <c r="D34150" s="39"/>
      <c r="E34150" s="39"/>
      <c r="F34150" s="39"/>
    </row>
    <row r="34151">
      <c r="D34151" s="39"/>
      <c r="E34151" s="39"/>
      <c r="F34151" s="39"/>
    </row>
    <row r="34152">
      <c r="D34152" s="39"/>
      <c r="E34152" s="39"/>
      <c r="F34152" s="39"/>
    </row>
    <row r="34153">
      <c r="D34153" s="39"/>
      <c r="E34153" s="39"/>
      <c r="F34153" s="39"/>
    </row>
    <row r="34154">
      <c r="D34154" s="39"/>
      <c r="E34154" s="39"/>
      <c r="F34154" s="39"/>
    </row>
    <row r="34155">
      <c r="D34155" s="39"/>
      <c r="E34155" s="39"/>
      <c r="F34155" s="39"/>
    </row>
    <row r="34156">
      <c r="D34156" s="39"/>
      <c r="E34156" s="39"/>
      <c r="F34156" s="39"/>
    </row>
    <row r="34157">
      <c r="D34157" s="39"/>
      <c r="E34157" s="39"/>
      <c r="F34157" s="39"/>
    </row>
    <row r="34158">
      <c r="D34158" s="39"/>
      <c r="E34158" s="39"/>
      <c r="F34158" s="39"/>
    </row>
    <row r="34159">
      <c r="D34159" s="39"/>
      <c r="E34159" s="39"/>
      <c r="F34159" s="39"/>
    </row>
    <row r="34160">
      <c r="D34160" s="39"/>
      <c r="E34160" s="39"/>
      <c r="F34160" s="39"/>
    </row>
    <row r="34161">
      <c r="D34161" s="39"/>
      <c r="E34161" s="39"/>
      <c r="F34161" s="39"/>
    </row>
    <row r="34162">
      <c r="D34162" s="39"/>
      <c r="E34162" s="39"/>
      <c r="F34162" s="39"/>
    </row>
    <row r="34163">
      <c r="D34163" s="39"/>
      <c r="E34163" s="39"/>
      <c r="F34163" s="39"/>
    </row>
    <row r="34164">
      <c r="D34164" s="39"/>
      <c r="E34164" s="39"/>
      <c r="F34164" s="39"/>
    </row>
    <row r="34165">
      <c r="D34165" s="39"/>
      <c r="E34165" s="39"/>
      <c r="F34165" s="39"/>
    </row>
    <row r="34166">
      <c r="D34166" s="39"/>
      <c r="E34166" s="39"/>
      <c r="F34166" s="39"/>
    </row>
    <row r="34167">
      <c r="D34167" s="39"/>
      <c r="E34167" s="39"/>
      <c r="F34167" s="39"/>
    </row>
    <row r="34168">
      <c r="D34168" s="39"/>
      <c r="E34168" s="39"/>
      <c r="F34168" s="39"/>
    </row>
    <row r="34169">
      <c r="D34169" s="39"/>
      <c r="E34169" s="39"/>
      <c r="F34169" s="39"/>
    </row>
    <row r="34170">
      <c r="D34170" s="39"/>
      <c r="E34170" s="39"/>
      <c r="F34170" s="39"/>
    </row>
    <row r="34171">
      <c r="D34171" s="39"/>
      <c r="E34171" s="39"/>
      <c r="F34171" s="39"/>
    </row>
    <row r="34172">
      <c r="D34172" s="39"/>
      <c r="E34172" s="39"/>
      <c r="F34172" s="39"/>
    </row>
    <row r="34173">
      <c r="D34173" s="39"/>
      <c r="E34173" s="39"/>
      <c r="F34173" s="39"/>
    </row>
    <row r="34174">
      <c r="D34174" s="39"/>
      <c r="E34174" s="39"/>
      <c r="F34174" s="39"/>
    </row>
    <row r="34175">
      <c r="D34175" s="39"/>
      <c r="E34175" s="39"/>
      <c r="F34175" s="39"/>
    </row>
    <row r="34176">
      <c r="D34176" s="39"/>
      <c r="E34176" s="39"/>
      <c r="F34176" s="39"/>
    </row>
    <row r="34177">
      <c r="D34177" s="39"/>
      <c r="E34177" s="39"/>
      <c r="F34177" s="39"/>
    </row>
    <row r="34178">
      <c r="D34178" s="39"/>
      <c r="E34178" s="39"/>
      <c r="F34178" s="39"/>
    </row>
    <row r="34179">
      <c r="D34179" s="39"/>
      <c r="E34179" s="39"/>
      <c r="F34179" s="39"/>
    </row>
    <row r="34180">
      <c r="D34180" s="39"/>
      <c r="E34180" s="39"/>
      <c r="F34180" s="39"/>
    </row>
    <row r="34181">
      <c r="D34181" s="39"/>
      <c r="E34181" s="39"/>
      <c r="F34181" s="39"/>
    </row>
    <row r="34182">
      <c r="D34182" s="39"/>
      <c r="E34182" s="39"/>
      <c r="F34182" s="39"/>
    </row>
    <row r="34183">
      <c r="D34183" s="39"/>
      <c r="E34183" s="39"/>
      <c r="F34183" s="39"/>
    </row>
    <row r="34184">
      <c r="D34184" s="39"/>
      <c r="E34184" s="39"/>
      <c r="F34184" s="39"/>
    </row>
    <row r="34185">
      <c r="D34185" s="39"/>
      <c r="E34185" s="39"/>
      <c r="F34185" s="39"/>
    </row>
    <row r="34186">
      <c r="D34186" s="39"/>
      <c r="E34186" s="39"/>
      <c r="F34186" s="39"/>
    </row>
    <row r="34187">
      <c r="D34187" s="39"/>
      <c r="E34187" s="39"/>
      <c r="F34187" s="39"/>
    </row>
    <row r="34188">
      <c r="D34188" s="39"/>
      <c r="E34188" s="39"/>
      <c r="F34188" s="39"/>
    </row>
    <row r="34189">
      <c r="D34189" s="39"/>
      <c r="E34189" s="39"/>
      <c r="F34189" s="39"/>
    </row>
    <row r="34190">
      <c r="D34190" s="39"/>
      <c r="E34190" s="39"/>
      <c r="F34190" s="39"/>
    </row>
    <row r="34191">
      <c r="D34191" s="39"/>
      <c r="E34191" s="39"/>
      <c r="F34191" s="39"/>
    </row>
    <row r="34192">
      <c r="D34192" s="39"/>
      <c r="E34192" s="39"/>
      <c r="F34192" s="39"/>
    </row>
    <row r="34193">
      <c r="D34193" s="39"/>
      <c r="E34193" s="39"/>
      <c r="F34193" s="39"/>
    </row>
    <row r="34194">
      <c r="D34194" s="39"/>
      <c r="E34194" s="39"/>
      <c r="F34194" s="39"/>
    </row>
    <row r="34195">
      <c r="D34195" s="39"/>
      <c r="E34195" s="39"/>
      <c r="F34195" s="39"/>
    </row>
    <row r="34196">
      <c r="D34196" s="39"/>
      <c r="E34196" s="39"/>
      <c r="F34196" s="39"/>
    </row>
    <row r="34197">
      <c r="D34197" s="39"/>
      <c r="E34197" s="39"/>
      <c r="F34197" s="39"/>
    </row>
    <row r="34198">
      <c r="D34198" s="39"/>
      <c r="E34198" s="39"/>
      <c r="F34198" s="39"/>
    </row>
    <row r="34199">
      <c r="D34199" s="39"/>
      <c r="E34199" s="39"/>
      <c r="F34199" s="39"/>
    </row>
    <row r="34200">
      <c r="D34200" s="39"/>
      <c r="E34200" s="39"/>
      <c r="F34200" s="39"/>
    </row>
    <row r="34201">
      <c r="D34201" s="39"/>
      <c r="E34201" s="39"/>
      <c r="F34201" s="39"/>
    </row>
    <row r="34202">
      <c r="D34202" s="39"/>
      <c r="E34202" s="39"/>
      <c r="F34202" s="39"/>
    </row>
    <row r="34203">
      <c r="D34203" s="39"/>
      <c r="E34203" s="39"/>
      <c r="F34203" s="39"/>
    </row>
    <row r="34204">
      <c r="D34204" s="39"/>
      <c r="E34204" s="39"/>
      <c r="F34204" s="39"/>
    </row>
    <row r="34205">
      <c r="D34205" s="39"/>
      <c r="E34205" s="39"/>
      <c r="F34205" s="39"/>
    </row>
    <row r="34206">
      <c r="D34206" s="39"/>
      <c r="E34206" s="39"/>
      <c r="F34206" s="39"/>
    </row>
    <row r="34207">
      <c r="D34207" s="39"/>
      <c r="E34207" s="39"/>
      <c r="F34207" s="39"/>
    </row>
    <row r="34208">
      <c r="D34208" s="39"/>
      <c r="E34208" s="39"/>
      <c r="F34208" s="39"/>
    </row>
    <row r="34209">
      <c r="D34209" s="39"/>
      <c r="E34209" s="39"/>
      <c r="F34209" s="39"/>
    </row>
    <row r="34210">
      <c r="D34210" s="39"/>
      <c r="E34210" s="39"/>
      <c r="F34210" s="39"/>
    </row>
    <row r="34211">
      <c r="D34211" s="39"/>
      <c r="E34211" s="39"/>
      <c r="F34211" s="39"/>
    </row>
    <row r="34212">
      <c r="D34212" s="39"/>
      <c r="E34212" s="39"/>
      <c r="F34212" s="39"/>
    </row>
    <row r="34213">
      <c r="D34213" s="39"/>
      <c r="E34213" s="39"/>
      <c r="F34213" s="39"/>
    </row>
    <row r="34214">
      <c r="D34214" s="39"/>
      <c r="E34214" s="39"/>
      <c r="F34214" s="39"/>
    </row>
    <row r="34215">
      <c r="D34215" s="39"/>
      <c r="E34215" s="39"/>
      <c r="F34215" s="39"/>
    </row>
    <row r="34216">
      <c r="D34216" s="39"/>
      <c r="E34216" s="39"/>
      <c r="F34216" s="39"/>
    </row>
    <row r="34217">
      <c r="D34217" s="39"/>
      <c r="E34217" s="39"/>
      <c r="F34217" s="39"/>
    </row>
    <row r="34218">
      <c r="D34218" s="39"/>
      <c r="E34218" s="39"/>
      <c r="F34218" s="39"/>
    </row>
    <row r="34219">
      <c r="D34219" s="39"/>
      <c r="E34219" s="39"/>
      <c r="F34219" s="39"/>
    </row>
    <row r="34220">
      <c r="D34220" s="39"/>
      <c r="E34220" s="39"/>
      <c r="F34220" s="39"/>
    </row>
    <row r="34221">
      <c r="D34221" s="39"/>
      <c r="E34221" s="39"/>
      <c r="F34221" s="39"/>
    </row>
    <row r="34222">
      <c r="D34222" s="39"/>
      <c r="E34222" s="39"/>
      <c r="F34222" s="39"/>
    </row>
    <row r="34223">
      <c r="D34223" s="39"/>
      <c r="E34223" s="39"/>
      <c r="F34223" s="39"/>
    </row>
    <row r="34224">
      <c r="D34224" s="39"/>
      <c r="E34224" s="39"/>
      <c r="F34224" s="39"/>
    </row>
    <row r="34225">
      <c r="D34225" s="39"/>
      <c r="E34225" s="39"/>
      <c r="F34225" s="39"/>
    </row>
    <row r="34226">
      <c r="D34226" s="39"/>
      <c r="E34226" s="39"/>
      <c r="F34226" s="39"/>
    </row>
    <row r="34227">
      <c r="D34227" s="39"/>
      <c r="E34227" s="39"/>
      <c r="F34227" s="39"/>
    </row>
    <row r="34228">
      <c r="D34228" s="39"/>
      <c r="E34228" s="39"/>
      <c r="F34228" s="39"/>
    </row>
    <row r="34229">
      <c r="D34229" s="39"/>
      <c r="E34229" s="39"/>
      <c r="F34229" s="39"/>
    </row>
    <row r="34230">
      <c r="D34230" s="39"/>
      <c r="E34230" s="39"/>
      <c r="F34230" s="39"/>
    </row>
    <row r="34231">
      <c r="D34231" s="39"/>
      <c r="E34231" s="39"/>
      <c r="F34231" s="39"/>
    </row>
    <row r="34232">
      <c r="D34232" s="39"/>
      <c r="E34232" s="39"/>
      <c r="F34232" s="39"/>
    </row>
    <row r="34233">
      <c r="D34233" s="39"/>
      <c r="E34233" s="39"/>
      <c r="F34233" s="39"/>
    </row>
    <row r="34234">
      <c r="D34234" s="39"/>
      <c r="E34234" s="39"/>
      <c r="F34234" s="39"/>
    </row>
    <row r="34235">
      <c r="D34235" s="39"/>
      <c r="E34235" s="39"/>
      <c r="F34235" s="39"/>
    </row>
    <row r="34236">
      <c r="D34236" s="39"/>
      <c r="E34236" s="39"/>
      <c r="F34236" s="39"/>
    </row>
    <row r="34237">
      <c r="D34237" s="39"/>
      <c r="E34237" s="39"/>
      <c r="F34237" s="39"/>
    </row>
    <row r="34238">
      <c r="D34238" s="39"/>
      <c r="E34238" s="39"/>
      <c r="F34238" s="39"/>
    </row>
    <row r="34239">
      <c r="D34239" s="39"/>
      <c r="E34239" s="39"/>
      <c r="F34239" s="39"/>
    </row>
    <row r="34240">
      <c r="D34240" s="39"/>
      <c r="E34240" s="39"/>
      <c r="F34240" s="39"/>
    </row>
    <row r="34241">
      <c r="D34241" s="39"/>
      <c r="E34241" s="39"/>
      <c r="F34241" s="39"/>
    </row>
    <row r="34242">
      <c r="D34242" s="39"/>
      <c r="E34242" s="39"/>
      <c r="F34242" s="39"/>
    </row>
    <row r="34243">
      <c r="D34243" s="39"/>
      <c r="E34243" s="39"/>
      <c r="F34243" s="39"/>
    </row>
    <row r="34244">
      <c r="D34244" s="39"/>
      <c r="E34244" s="39"/>
      <c r="F34244" s="39"/>
    </row>
    <row r="34245">
      <c r="D34245" s="39"/>
      <c r="E34245" s="39"/>
      <c r="F34245" s="39"/>
    </row>
    <row r="34246">
      <c r="D34246" s="39"/>
      <c r="E34246" s="39"/>
      <c r="F34246" s="39"/>
    </row>
    <row r="34247">
      <c r="D34247" s="39"/>
      <c r="E34247" s="39"/>
      <c r="F34247" s="39"/>
    </row>
    <row r="34248">
      <c r="D34248" s="39"/>
      <c r="E34248" s="39"/>
      <c r="F34248" s="39"/>
    </row>
    <row r="34249">
      <c r="D34249" s="39"/>
      <c r="E34249" s="39"/>
      <c r="F34249" s="39"/>
    </row>
    <row r="34250">
      <c r="D34250" s="39"/>
      <c r="E34250" s="39"/>
      <c r="F34250" s="39"/>
    </row>
    <row r="34251">
      <c r="D34251" s="39"/>
      <c r="E34251" s="39"/>
      <c r="F34251" s="39"/>
    </row>
    <row r="34252">
      <c r="D34252" s="39"/>
      <c r="E34252" s="39"/>
      <c r="F34252" s="39"/>
    </row>
    <row r="34253">
      <c r="D34253" s="39"/>
      <c r="E34253" s="39"/>
      <c r="F34253" s="39"/>
    </row>
    <row r="34254">
      <c r="D34254" s="39"/>
      <c r="E34254" s="39"/>
      <c r="F34254" s="39"/>
    </row>
    <row r="34255">
      <c r="D34255" s="39"/>
      <c r="E34255" s="39"/>
      <c r="F34255" s="39"/>
    </row>
    <row r="34256">
      <c r="D34256" s="39"/>
      <c r="E34256" s="39"/>
      <c r="F34256" s="39"/>
    </row>
    <row r="34257">
      <c r="D34257" s="39"/>
      <c r="E34257" s="39"/>
      <c r="F34257" s="39"/>
    </row>
    <row r="34258">
      <c r="D34258" s="39"/>
      <c r="E34258" s="39"/>
      <c r="F34258" s="39"/>
    </row>
    <row r="34259">
      <c r="D34259" s="39"/>
      <c r="E34259" s="39"/>
      <c r="F34259" s="39"/>
    </row>
    <row r="34260">
      <c r="D34260" s="39"/>
      <c r="E34260" s="39"/>
      <c r="F34260" s="39"/>
    </row>
    <row r="34261">
      <c r="D34261" s="39"/>
      <c r="E34261" s="39"/>
      <c r="F34261" s="39"/>
    </row>
    <row r="34262">
      <c r="D34262" s="39"/>
      <c r="E34262" s="39"/>
      <c r="F34262" s="39"/>
    </row>
    <row r="34263">
      <c r="D34263" s="39"/>
      <c r="E34263" s="39"/>
      <c r="F34263" s="39"/>
    </row>
    <row r="34264">
      <c r="D34264" s="39"/>
      <c r="E34264" s="39"/>
      <c r="F34264" s="39"/>
    </row>
    <row r="34265">
      <c r="D34265" s="39"/>
      <c r="E34265" s="39"/>
      <c r="F34265" s="39"/>
    </row>
    <row r="34266">
      <c r="D34266" s="39"/>
      <c r="E34266" s="39"/>
      <c r="F34266" s="39"/>
    </row>
    <row r="34267">
      <c r="D34267" s="39"/>
      <c r="E34267" s="39"/>
      <c r="F34267" s="39"/>
    </row>
    <row r="34268">
      <c r="D34268" s="39"/>
      <c r="E34268" s="39"/>
      <c r="F34268" s="39"/>
    </row>
    <row r="34269">
      <c r="D34269" s="39"/>
      <c r="E34269" s="39"/>
      <c r="F34269" s="39"/>
    </row>
    <row r="34270">
      <c r="D34270" s="39"/>
      <c r="E34270" s="39"/>
      <c r="F34270" s="39"/>
    </row>
    <row r="34271">
      <c r="D34271" s="39"/>
      <c r="E34271" s="39"/>
      <c r="F34271" s="39"/>
    </row>
    <row r="34272">
      <c r="D34272" s="39"/>
      <c r="E34272" s="39"/>
      <c r="F34272" s="39"/>
    </row>
    <row r="34273">
      <c r="D34273" s="39"/>
      <c r="E34273" s="39"/>
      <c r="F34273" s="39"/>
    </row>
    <row r="34274">
      <c r="D34274" s="39"/>
      <c r="E34274" s="39"/>
      <c r="F34274" s="39"/>
    </row>
    <row r="34275">
      <c r="D34275" s="39"/>
      <c r="E34275" s="39"/>
      <c r="F34275" s="39"/>
    </row>
    <row r="34276">
      <c r="D34276" s="39"/>
      <c r="E34276" s="39"/>
      <c r="F34276" s="39"/>
    </row>
    <row r="34277">
      <c r="D34277" s="39"/>
      <c r="E34277" s="39"/>
      <c r="F34277" s="39"/>
    </row>
    <row r="34278">
      <c r="D34278" s="39"/>
      <c r="E34278" s="39"/>
      <c r="F34278" s="39"/>
    </row>
    <row r="34279">
      <c r="D34279" s="39"/>
      <c r="E34279" s="39"/>
      <c r="F34279" s="39"/>
    </row>
    <row r="34280">
      <c r="D34280" s="39"/>
      <c r="E34280" s="39"/>
      <c r="F34280" s="39"/>
    </row>
    <row r="34281">
      <c r="D34281" s="39"/>
      <c r="E34281" s="39"/>
      <c r="F34281" s="39"/>
    </row>
    <row r="34282">
      <c r="D34282" s="39"/>
      <c r="E34282" s="39"/>
      <c r="F34282" s="39"/>
    </row>
    <row r="34283">
      <c r="D34283" s="39"/>
      <c r="E34283" s="39"/>
      <c r="F34283" s="39"/>
    </row>
    <row r="34284">
      <c r="D34284" s="39"/>
      <c r="E34284" s="39"/>
      <c r="F34284" s="39"/>
    </row>
    <row r="34285">
      <c r="D34285" s="39"/>
      <c r="E34285" s="39"/>
      <c r="F34285" s="39"/>
    </row>
    <row r="34286">
      <c r="D34286" s="39"/>
      <c r="E34286" s="39"/>
      <c r="F34286" s="39"/>
    </row>
    <row r="34287">
      <c r="D34287" s="39"/>
      <c r="E34287" s="39"/>
      <c r="F34287" s="39"/>
    </row>
    <row r="34288">
      <c r="D34288" s="39"/>
      <c r="E34288" s="39"/>
      <c r="F34288" s="39"/>
    </row>
    <row r="34289">
      <c r="D34289" s="39"/>
      <c r="E34289" s="39"/>
      <c r="F34289" s="39"/>
    </row>
    <row r="34290">
      <c r="D34290" s="39"/>
      <c r="E34290" s="39"/>
      <c r="F34290" s="39"/>
    </row>
    <row r="34291">
      <c r="D34291" s="39"/>
      <c r="E34291" s="39"/>
      <c r="F34291" s="39"/>
    </row>
    <row r="34292">
      <c r="D34292" s="39"/>
      <c r="E34292" s="39"/>
      <c r="F34292" s="39"/>
    </row>
    <row r="34293">
      <c r="D34293" s="39"/>
      <c r="E34293" s="39"/>
      <c r="F34293" s="39"/>
    </row>
    <row r="34294">
      <c r="D34294" s="39"/>
      <c r="E34294" s="39"/>
      <c r="F34294" s="39"/>
    </row>
    <row r="34295">
      <c r="D34295" s="39"/>
      <c r="E34295" s="39"/>
      <c r="F34295" s="39"/>
    </row>
    <row r="34296">
      <c r="D34296" s="39"/>
      <c r="E34296" s="39"/>
      <c r="F34296" s="39"/>
    </row>
    <row r="34297">
      <c r="D34297" s="39"/>
      <c r="E34297" s="39"/>
      <c r="F34297" s="39"/>
    </row>
    <row r="34298">
      <c r="D34298" s="39"/>
      <c r="E34298" s="39"/>
      <c r="F34298" s="39"/>
    </row>
    <row r="34299">
      <c r="D34299" s="39"/>
      <c r="E34299" s="39"/>
      <c r="F34299" s="39"/>
    </row>
    <row r="34300">
      <c r="D34300" s="39"/>
      <c r="E34300" s="39"/>
      <c r="F34300" s="39"/>
    </row>
    <row r="34301">
      <c r="D34301" s="39"/>
      <c r="E34301" s="39"/>
      <c r="F34301" s="39"/>
    </row>
    <row r="34302">
      <c r="D34302" s="39"/>
      <c r="E34302" s="39"/>
      <c r="F34302" s="39"/>
    </row>
    <row r="34303">
      <c r="D34303" s="39"/>
      <c r="E34303" s="39"/>
      <c r="F34303" s="39"/>
    </row>
    <row r="34304">
      <c r="D34304" s="39"/>
      <c r="E34304" s="39"/>
      <c r="F34304" s="39"/>
    </row>
    <row r="34305">
      <c r="D34305" s="39"/>
      <c r="E34305" s="39"/>
      <c r="F34305" s="39"/>
    </row>
    <row r="34306">
      <c r="D34306" s="39"/>
      <c r="E34306" s="39"/>
      <c r="F34306" s="39"/>
    </row>
    <row r="34307">
      <c r="D34307" s="39"/>
      <c r="E34307" s="39"/>
      <c r="F34307" s="39"/>
    </row>
    <row r="34308">
      <c r="D34308" s="39"/>
      <c r="E34308" s="39"/>
      <c r="F34308" s="39"/>
    </row>
    <row r="34309">
      <c r="D34309" s="39"/>
      <c r="E34309" s="39"/>
      <c r="F34309" s="39"/>
    </row>
    <row r="34310">
      <c r="D34310" s="39"/>
      <c r="E34310" s="39"/>
      <c r="F34310" s="39"/>
    </row>
    <row r="34311">
      <c r="D34311" s="39"/>
      <c r="E34311" s="39"/>
      <c r="F34311" s="39"/>
    </row>
    <row r="34312">
      <c r="D34312" s="39"/>
      <c r="E34312" s="39"/>
      <c r="F34312" s="39"/>
    </row>
    <row r="34313">
      <c r="D34313" s="39"/>
      <c r="E34313" s="39"/>
      <c r="F34313" s="39"/>
    </row>
    <row r="34314">
      <c r="D34314" s="39"/>
      <c r="E34314" s="39"/>
      <c r="F34314" s="39"/>
    </row>
    <row r="34315">
      <c r="D34315" s="39"/>
      <c r="E34315" s="39"/>
      <c r="F34315" s="39"/>
    </row>
    <row r="34316">
      <c r="D34316" s="39"/>
      <c r="E34316" s="39"/>
      <c r="F34316" s="39"/>
    </row>
    <row r="34317">
      <c r="D34317" s="39"/>
      <c r="E34317" s="39"/>
      <c r="F34317" s="39"/>
    </row>
    <row r="34318">
      <c r="D34318" s="39"/>
      <c r="E34318" s="39"/>
      <c r="F34318" s="39"/>
    </row>
    <row r="34319">
      <c r="D34319" s="39"/>
      <c r="E34319" s="39"/>
      <c r="F34319" s="39"/>
    </row>
    <row r="34320">
      <c r="D34320" s="39"/>
      <c r="E34320" s="39"/>
      <c r="F34320" s="39"/>
    </row>
    <row r="34321">
      <c r="D34321" s="39"/>
      <c r="E34321" s="39"/>
      <c r="F34321" s="39"/>
    </row>
    <row r="34322">
      <c r="D34322" s="39"/>
      <c r="E34322" s="39"/>
      <c r="F34322" s="39"/>
    </row>
    <row r="34323">
      <c r="D34323" s="39"/>
      <c r="E34323" s="39"/>
      <c r="F34323" s="39"/>
    </row>
    <row r="34324">
      <c r="D34324" s="39"/>
      <c r="E34324" s="39"/>
      <c r="F34324" s="39"/>
    </row>
    <row r="34325">
      <c r="D34325" s="39"/>
      <c r="E34325" s="39"/>
      <c r="F34325" s="39"/>
    </row>
    <row r="34326">
      <c r="D34326" s="39"/>
      <c r="E34326" s="39"/>
      <c r="F34326" s="39"/>
    </row>
    <row r="34327">
      <c r="D34327" s="39"/>
      <c r="E34327" s="39"/>
      <c r="F34327" s="39"/>
    </row>
    <row r="34328">
      <c r="D34328" s="39"/>
      <c r="E34328" s="39"/>
      <c r="F34328" s="39"/>
    </row>
    <row r="34329">
      <c r="D34329" s="39"/>
      <c r="E34329" s="39"/>
      <c r="F34329" s="39"/>
    </row>
    <row r="34330">
      <c r="D34330" s="39"/>
      <c r="E34330" s="39"/>
      <c r="F34330" s="39"/>
    </row>
    <row r="34331">
      <c r="D34331" s="39"/>
      <c r="E34331" s="39"/>
      <c r="F34331" s="39"/>
    </row>
    <row r="34332">
      <c r="D34332" s="39"/>
      <c r="E34332" s="39"/>
      <c r="F34332" s="39"/>
    </row>
    <row r="34333">
      <c r="D34333" s="39"/>
      <c r="E34333" s="39"/>
      <c r="F34333" s="39"/>
    </row>
    <row r="34334">
      <c r="D34334" s="39"/>
      <c r="E34334" s="39"/>
      <c r="F34334" s="39"/>
    </row>
    <row r="34335">
      <c r="D34335" s="39"/>
      <c r="E34335" s="39"/>
      <c r="F34335" s="39"/>
    </row>
    <row r="34336">
      <c r="D34336" s="39"/>
      <c r="E34336" s="39"/>
      <c r="F34336" s="39"/>
    </row>
    <row r="34337">
      <c r="D34337" s="39"/>
      <c r="E34337" s="39"/>
      <c r="F34337" s="39"/>
    </row>
    <row r="34338">
      <c r="D34338" s="39"/>
      <c r="E34338" s="39"/>
      <c r="F34338" s="39"/>
    </row>
    <row r="34339">
      <c r="D34339" s="39"/>
      <c r="E34339" s="39"/>
      <c r="F34339" s="39"/>
    </row>
    <row r="34340">
      <c r="D34340" s="39"/>
      <c r="E34340" s="39"/>
      <c r="F34340" s="39"/>
    </row>
    <row r="34341">
      <c r="D34341" s="39"/>
      <c r="E34341" s="39"/>
      <c r="F34341" s="39"/>
    </row>
    <row r="34342">
      <c r="D34342" s="39"/>
      <c r="E34342" s="39"/>
      <c r="F34342" s="39"/>
    </row>
    <row r="34343">
      <c r="D34343" s="39"/>
      <c r="E34343" s="39"/>
      <c r="F34343" s="39"/>
    </row>
    <row r="34344">
      <c r="D34344" s="39"/>
      <c r="E34344" s="39"/>
      <c r="F34344" s="39"/>
    </row>
    <row r="34345">
      <c r="D34345" s="39"/>
      <c r="E34345" s="39"/>
      <c r="F34345" s="39"/>
    </row>
    <row r="34346">
      <c r="D34346" s="39"/>
      <c r="E34346" s="39"/>
      <c r="F34346" s="39"/>
    </row>
    <row r="34347">
      <c r="D34347" s="39"/>
      <c r="E34347" s="39"/>
      <c r="F34347" s="39"/>
    </row>
    <row r="34348">
      <c r="D34348" s="39"/>
      <c r="E34348" s="39"/>
      <c r="F34348" s="39"/>
    </row>
    <row r="34349">
      <c r="D34349" s="39"/>
      <c r="E34349" s="39"/>
      <c r="F34349" s="39"/>
    </row>
    <row r="34350">
      <c r="D34350" s="39"/>
      <c r="E34350" s="39"/>
      <c r="F34350" s="39"/>
    </row>
    <row r="34351">
      <c r="D34351" s="39"/>
      <c r="E34351" s="39"/>
      <c r="F34351" s="39"/>
    </row>
    <row r="34352">
      <c r="D34352" s="39"/>
      <c r="E34352" s="39"/>
      <c r="F34352" s="39"/>
    </row>
    <row r="34353">
      <c r="D34353" s="39"/>
      <c r="E34353" s="39"/>
      <c r="F34353" s="39"/>
    </row>
    <row r="34354">
      <c r="D34354" s="39"/>
      <c r="E34354" s="39"/>
      <c r="F34354" s="39"/>
    </row>
    <row r="34355">
      <c r="D34355" s="39"/>
      <c r="E34355" s="39"/>
      <c r="F34355" s="39"/>
    </row>
    <row r="34356">
      <c r="D34356" s="39"/>
      <c r="E34356" s="39"/>
      <c r="F34356" s="39"/>
    </row>
    <row r="34357">
      <c r="D34357" s="39"/>
      <c r="E34357" s="39"/>
      <c r="F34357" s="39"/>
    </row>
    <row r="34358">
      <c r="D34358" s="39"/>
      <c r="E34358" s="39"/>
      <c r="F34358" s="39"/>
    </row>
    <row r="34359">
      <c r="D34359" s="39"/>
      <c r="E34359" s="39"/>
      <c r="F34359" s="39"/>
    </row>
    <row r="34360">
      <c r="D34360" s="39"/>
      <c r="E34360" s="39"/>
      <c r="F34360" s="39"/>
    </row>
    <row r="34361">
      <c r="D34361" s="39"/>
      <c r="E34361" s="39"/>
      <c r="F34361" s="39"/>
    </row>
    <row r="34362">
      <c r="D34362" s="39"/>
      <c r="E34362" s="39"/>
      <c r="F34362" s="39"/>
    </row>
    <row r="34363">
      <c r="D34363" s="39"/>
      <c r="E34363" s="39"/>
      <c r="F34363" s="39"/>
    </row>
    <row r="34364">
      <c r="D34364" s="39"/>
      <c r="E34364" s="39"/>
      <c r="F34364" s="39"/>
    </row>
    <row r="34365">
      <c r="D34365" s="39"/>
      <c r="E34365" s="39"/>
      <c r="F34365" s="39"/>
    </row>
    <row r="34366">
      <c r="D34366" s="39"/>
      <c r="E34366" s="39"/>
      <c r="F34366" s="39"/>
    </row>
    <row r="34367">
      <c r="D34367" s="39"/>
      <c r="E34367" s="39"/>
      <c r="F34367" s="39"/>
    </row>
    <row r="34368">
      <c r="D34368" s="39"/>
      <c r="E34368" s="39"/>
      <c r="F34368" s="39"/>
    </row>
    <row r="34369">
      <c r="D34369" s="39"/>
      <c r="E34369" s="39"/>
      <c r="F34369" s="39"/>
    </row>
    <row r="34370">
      <c r="D34370" s="39"/>
      <c r="E34370" s="39"/>
      <c r="F34370" s="39"/>
    </row>
    <row r="34371">
      <c r="D34371" s="39"/>
      <c r="E34371" s="39"/>
      <c r="F34371" s="39"/>
    </row>
    <row r="34372">
      <c r="D34372" s="39"/>
      <c r="E34372" s="39"/>
      <c r="F34372" s="39"/>
    </row>
    <row r="34373">
      <c r="D34373" s="39"/>
      <c r="E34373" s="39"/>
      <c r="F34373" s="39"/>
    </row>
    <row r="34374">
      <c r="D34374" s="39"/>
      <c r="E34374" s="39"/>
      <c r="F34374" s="39"/>
    </row>
    <row r="34375">
      <c r="D34375" s="39"/>
      <c r="E34375" s="39"/>
      <c r="F34375" s="39"/>
    </row>
    <row r="34376">
      <c r="D34376" s="39"/>
      <c r="E34376" s="39"/>
      <c r="F34376" s="39"/>
    </row>
    <row r="34377">
      <c r="D34377" s="39"/>
      <c r="E34377" s="39"/>
      <c r="F34377" s="39"/>
    </row>
    <row r="34378">
      <c r="D34378" s="39"/>
      <c r="E34378" s="39"/>
      <c r="F34378" s="39"/>
    </row>
    <row r="34379">
      <c r="D34379" s="39"/>
      <c r="E34379" s="39"/>
      <c r="F34379" s="39"/>
    </row>
    <row r="34380">
      <c r="D34380" s="39"/>
      <c r="E34380" s="39"/>
      <c r="F34380" s="39"/>
    </row>
    <row r="34381">
      <c r="D34381" s="39"/>
      <c r="E34381" s="39"/>
      <c r="F34381" s="39"/>
    </row>
    <row r="34382">
      <c r="D34382" s="39"/>
      <c r="E34382" s="39"/>
      <c r="F34382" s="39"/>
    </row>
    <row r="34383">
      <c r="D34383" s="39"/>
      <c r="E34383" s="39"/>
      <c r="F34383" s="39"/>
    </row>
    <row r="34384">
      <c r="D34384" s="39"/>
      <c r="E34384" s="39"/>
      <c r="F34384" s="39"/>
    </row>
    <row r="34385">
      <c r="D34385" s="39"/>
      <c r="E34385" s="39"/>
      <c r="F34385" s="39"/>
    </row>
    <row r="34386">
      <c r="D34386" s="39"/>
      <c r="E34386" s="39"/>
      <c r="F34386" s="39"/>
    </row>
    <row r="34387">
      <c r="D34387" s="39"/>
      <c r="E34387" s="39"/>
      <c r="F34387" s="39"/>
    </row>
    <row r="34388">
      <c r="D34388" s="39"/>
      <c r="E34388" s="39"/>
      <c r="F34388" s="39"/>
    </row>
    <row r="34389">
      <c r="D34389" s="39"/>
      <c r="E34389" s="39"/>
      <c r="F34389" s="39"/>
    </row>
    <row r="34390">
      <c r="D34390" s="39"/>
      <c r="E34390" s="39"/>
      <c r="F34390" s="39"/>
    </row>
    <row r="34391">
      <c r="D34391" s="39"/>
      <c r="E34391" s="39"/>
      <c r="F34391" s="39"/>
    </row>
    <row r="34392">
      <c r="D34392" s="39"/>
      <c r="E34392" s="39"/>
      <c r="F34392" s="39"/>
    </row>
    <row r="34393">
      <c r="D34393" s="39"/>
      <c r="E34393" s="39"/>
      <c r="F34393" s="39"/>
    </row>
    <row r="34394">
      <c r="D34394" s="39"/>
      <c r="E34394" s="39"/>
      <c r="F34394" s="39"/>
    </row>
    <row r="34395">
      <c r="D34395" s="39"/>
      <c r="E34395" s="39"/>
      <c r="F34395" s="39"/>
    </row>
    <row r="34396">
      <c r="D34396" s="39"/>
      <c r="E34396" s="39"/>
      <c r="F34396" s="39"/>
    </row>
    <row r="34397">
      <c r="D34397" s="39"/>
      <c r="E34397" s="39"/>
      <c r="F34397" s="39"/>
    </row>
    <row r="34398">
      <c r="D34398" s="39"/>
      <c r="E34398" s="39"/>
      <c r="F34398" s="39"/>
    </row>
    <row r="34399">
      <c r="D34399" s="39"/>
      <c r="E34399" s="39"/>
      <c r="F34399" s="39"/>
    </row>
    <row r="34400">
      <c r="D34400" s="39"/>
      <c r="E34400" s="39"/>
      <c r="F34400" s="39"/>
    </row>
    <row r="34401">
      <c r="D34401" s="39"/>
      <c r="E34401" s="39"/>
      <c r="F34401" s="39"/>
    </row>
    <row r="34402">
      <c r="D34402" s="39"/>
      <c r="E34402" s="39"/>
      <c r="F34402" s="39"/>
    </row>
    <row r="34403">
      <c r="D34403" s="39"/>
      <c r="E34403" s="39"/>
      <c r="F34403" s="39"/>
    </row>
    <row r="34404">
      <c r="D34404" s="39"/>
      <c r="E34404" s="39"/>
      <c r="F34404" s="39"/>
    </row>
    <row r="34405">
      <c r="D34405" s="39"/>
      <c r="E34405" s="39"/>
      <c r="F34405" s="39"/>
    </row>
    <row r="34406">
      <c r="D34406" s="39"/>
      <c r="E34406" s="39"/>
      <c r="F34406" s="39"/>
    </row>
    <row r="34407">
      <c r="D34407" s="39"/>
      <c r="E34407" s="39"/>
      <c r="F34407" s="39"/>
    </row>
    <row r="34408">
      <c r="D34408" s="39"/>
      <c r="E34408" s="39"/>
      <c r="F34408" s="39"/>
    </row>
    <row r="34409">
      <c r="D34409" s="39"/>
      <c r="E34409" s="39"/>
      <c r="F34409" s="39"/>
    </row>
    <row r="34410">
      <c r="D34410" s="39"/>
      <c r="E34410" s="39"/>
      <c r="F34410" s="39"/>
    </row>
    <row r="34411">
      <c r="D34411" s="39"/>
      <c r="E34411" s="39"/>
      <c r="F34411" s="39"/>
    </row>
    <row r="34412">
      <c r="D34412" s="39"/>
      <c r="E34412" s="39"/>
      <c r="F34412" s="39"/>
    </row>
    <row r="34413">
      <c r="D34413" s="39"/>
      <c r="E34413" s="39"/>
      <c r="F34413" s="39"/>
    </row>
    <row r="34414">
      <c r="D34414" s="39"/>
      <c r="E34414" s="39"/>
      <c r="F34414" s="39"/>
    </row>
    <row r="34415">
      <c r="D34415" s="39"/>
      <c r="E34415" s="39"/>
      <c r="F34415" s="39"/>
    </row>
    <row r="34416">
      <c r="D34416" s="39"/>
      <c r="E34416" s="39"/>
      <c r="F34416" s="39"/>
    </row>
    <row r="34417">
      <c r="D34417" s="39"/>
      <c r="E34417" s="39"/>
      <c r="F34417" s="39"/>
    </row>
    <row r="34418">
      <c r="D34418" s="39"/>
      <c r="E34418" s="39"/>
      <c r="F34418" s="39"/>
    </row>
    <row r="34419">
      <c r="D34419" s="39"/>
      <c r="E34419" s="39"/>
      <c r="F34419" s="39"/>
    </row>
    <row r="34420">
      <c r="D34420" s="39"/>
      <c r="E34420" s="39"/>
      <c r="F34420" s="39"/>
    </row>
    <row r="34421">
      <c r="D34421" s="39"/>
      <c r="E34421" s="39"/>
      <c r="F34421" s="39"/>
    </row>
    <row r="34422">
      <c r="D34422" s="39"/>
      <c r="E34422" s="39"/>
      <c r="F34422" s="39"/>
    </row>
    <row r="34423">
      <c r="D34423" s="39"/>
      <c r="E34423" s="39"/>
      <c r="F34423" s="39"/>
    </row>
    <row r="34424">
      <c r="D34424" s="39"/>
      <c r="E34424" s="39"/>
      <c r="F34424" s="39"/>
    </row>
    <row r="34425">
      <c r="D34425" s="39"/>
      <c r="E34425" s="39"/>
      <c r="F34425" s="39"/>
    </row>
    <row r="34426">
      <c r="D34426" s="39"/>
      <c r="E34426" s="39"/>
      <c r="F34426" s="39"/>
    </row>
    <row r="34427">
      <c r="D34427" s="39"/>
      <c r="E34427" s="39"/>
      <c r="F34427" s="39"/>
    </row>
    <row r="34428">
      <c r="D34428" s="39"/>
      <c r="E34428" s="39"/>
      <c r="F34428" s="39"/>
    </row>
    <row r="34429">
      <c r="D34429" s="39"/>
      <c r="E34429" s="39"/>
      <c r="F34429" s="39"/>
    </row>
    <row r="34430">
      <c r="D34430" s="39"/>
      <c r="E34430" s="39"/>
      <c r="F34430" s="39"/>
    </row>
    <row r="34431">
      <c r="D34431" s="39"/>
      <c r="E34431" s="39"/>
      <c r="F34431" s="39"/>
    </row>
    <row r="34432">
      <c r="D34432" s="39"/>
      <c r="E34432" s="39"/>
      <c r="F34432" s="39"/>
    </row>
    <row r="34433">
      <c r="D34433" s="39"/>
      <c r="E34433" s="39"/>
      <c r="F34433" s="39"/>
    </row>
    <row r="34434">
      <c r="D34434" s="39"/>
      <c r="E34434" s="39"/>
      <c r="F34434" s="39"/>
    </row>
    <row r="34435">
      <c r="D34435" s="39"/>
      <c r="E34435" s="39"/>
      <c r="F34435" s="39"/>
    </row>
    <row r="34436">
      <c r="D34436" s="39"/>
      <c r="E34436" s="39"/>
      <c r="F34436" s="39"/>
    </row>
    <row r="34437">
      <c r="D34437" s="39"/>
      <c r="E34437" s="39"/>
      <c r="F34437" s="39"/>
    </row>
    <row r="34438">
      <c r="D34438" s="39"/>
      <c r="E34438" s="39"/>
      <c r="F34438" s="39"/>
    </row>
    <row r="34439">
      <c r="D34439" s="39"/>
      <c r="E34439" s="39"/>
      <c r="F34439" s="39"/>
    </row>
    <row r="34440">
      <c r="D34440" s="39"/>
      <c r="E34440" s="39"/>
      <c r="F34440" s="39"/>
    </row>
    <row r="34441">
      <c r="D34441" s="39"/>
      <c r="E34441" s="39"/>
      <c r="F34441" s="39"/>
    </row>
    <row r="34442">
      <c r="D34442" s="39"/>
      <c r="E34442" s="39"/>
      <c r="F34442" s="39"/>
    </row>
    <row r="34443">
      <c r="D34443" s="39"/>
      <c r="E34443" s="39"/>
      <c r="F34443" s="39"/>
    </row>
    <row r="34444">
      <c r="D34444" s="39"/>
      <c r="E34444" s="39"/>
      <c r="F34444" s="39"/>
    </row>
    <row r="34445">
      <c r="D34445" s="39"/>
      <c r="E34445" s="39"/>
      <c r="F34445" s="39"/>
    </row>
    <row r="34446">
      <c r="D34446" s="39"/>
      <c r="E34446" s="39"/>
      <c r="F34446" s="39"/>
    </row>
    <row r="34447">
      <c r="D34447" s="39"/>
      <c r="E34447" s="39"/>
      <c r="F34447" s="39"/>
    </row>
    <row r="34448">
      <c r="D34448" s="39"/>
      <c r="E34448" s="39"/>
      <c r="F34448" s="39"/>
    </row>
    <row r="34449">
      <c r="D34449" s="39"/>
      <c r="E34449" s="39"/>
      <c r="F34449" s="39"/>
    </row>
    <row r="34450">
      <c r="D34450" s="39"/>
      <c r="E34450" s="39"/>
      <c r="F34450" s="39"/>
    </row>
    <row r="34451">
      <c r="D34451" s="39"/>
      <c r="E34451" s="39"/>
      <c r="F34451" s="39"/>
    </row>
    <row r="34452">
      <c r="D34452" s="39"/>
      <c r="E34452" s="39"/>
      <c r="F34452" s="39"/>
    </row>
    <row r="34453">
      <c r="D34453" s="39"/>
      <c r="E34453" s="39"/>
      <c r="F34453" s="39"/>
    </row>
    <row r="34454">
      <c r="D34454" s="39"/>
      <c r="E34454" s="39"/>
      <c r="F34454" s="39"/>
    </row>
    <row r="34455">
      <c r="D34455" s="39"/>
      <c r="E34455" s="39"/>
      <c r="F34455" s="39"/>
    </row>
    <row r="34456">
      <c r="D34456" s="39"/>
      <c r="E34456" s="39"/>
      <c r="F34456" s="39"/>
    </row>
    <row r="34457">
      <c r="D34457" s="39"/>
      <c r="E34457" s="39"/>
      <c r="F34457" s="39"/>
    </row>
    <row r="34458">
      <c r="D34458" s="39"/>
      <c r="E34458" s="39"/>
      <c r="F34458" s="39"/>
    </row>
    <row r="34459">
      <c r="D34459" s="39"/>
      <c r="E34459" s="39"/>
      <c r="F34459" s="39"/>
    </row>
    <row r="34460">
      <c r="D34460" s="39"/>
      <c r="E34460" s="39"/>
      <c r="F34460" s="39"/>
    </row>
    <row r="34461">
      <c r="D34461" s="39"/>
      <c r="E34461" s="39"/>
      <c r="F34461" s="39"/>
    </row>
    <row r="34462">
      <c r="D34462" s="39"/>
      <c r="E34462" s="39"/>
      <c r="F34462" s="39"/>
    </row>
    <row r="34463">
      <c r="D34463" s="39"/>
      <c r="E34463" s="39"/>
      <c r="F34463" s="39"/>
    </row>
    <row r="34464">
      <c r="D34464" s="39"/>
      <c r="E34464" s="39"/>
      <c r="F34464" s="39"/>
    </row>
    <row r="34465">
      <c r="D34465" s="39"/>
      <c r="E34465" s="39"/>
      <c r="F34465" s="39"/>
    </row>
    <row r="34466">
      <c r="D34466" s="39"/>
      <c r="E34466" s="39"/>
      <c r="F34466" s="39"/>
    </row>
    <row r="34467">
      <c r="D34467" s="39"/>
      <c r="E34467" s="39"/>
      <c r="F34467" s="39"/>
    </row>
    <row r="34468">
      <c r="D34468" s="39"/>
      <c r="E34468" s="39"/>
      <c r="F34468" s="39"/>
    </row>
    <row r="34469">
      <c r="D34469" s="39"/>
      <c r="E34469" s="39"/>
      <c r="F34469" s="39"/>
    </row>
    <row r="34470">
      <c r="D34470" s="39"/>
      <c r="E34470" s="39"/>
      <c r="F34470" s="39"/>
    </row>
    <row r="34471">
      <c r="D34471" s="39"/>
      <c r="E34471" s="39"/>
      <c r="F34471" s="39"/>
    </row>
    <row r="34472">
      <c r="D34472" s="39"/>
      <c r="E34472" s="39"/>
      <c r="F34472" s="39"/>
    </row>
    <row r="34473">
      <c r="D34473" s="39"/>
      <c r="E34473" s="39"/>
      <c r="F34473" s="39"/>
    </row>
    <row r="34474">
      <c r="D34474" s="39"/>
      <c r="E34474" s="39"/>
      <c r="F34474" s="39"/>
    </row>
    <row r="34475">
      <c r="D34475" s="39"/>
      <c r="E34475" s="39"/>
      <c r="F34475" s="39"/>
    </row>
    <row r="34476">
      <c r="D34476" s="39"/>
      <c r="E34476" s="39"/>
      <c r="F34476" s="39"/>
    </row>
    <row r="34477">
      <c r="D34477" s="39"/>
      <c r="E34477" s="39"/>
      <c r="F34477" s="39"/>
    </row>
    <row r="34478">
      <c r="D34478" s="39"/>
      <c r="E34478" s="39"/>
      <c r="F34478" s="39"/>
    </row>
    <row r="34479">
      <c r="D34479" s="39"/>
      <c r="E34479" s="39"/>
      <c r="F34479" s="39"/>
    </row>
    <row r="34480">
      <c r="D34480" s="39"/>
      <c r="E34480" s="39"/>
      <c r="F34480" s="39"/>
    </row>
    <row r="34481">
      <c r="D34481" s="39"/>
      <c r="E34481" s="39"/>
      <c r="F34481" s="39"/>
    </row>
    <row r="34482">
      <c r="D34482" s="39"/>
      <c r="E34482" s="39"/>
      <c r="F34482" s="39"/>
    </row>
    <row r="34483">
      <c r="D34483" s="39"/>
      <c r="E34483" s="39"/>
      <c r="F34483" s="39"/>
    </row>
    <row r="34484">
      <c r="D34484" s="39"/>
      <c r="E34484" s="39"/>
      <c r="F34484" s="39"/>
    </row>
    <row r="34485">
      <c r="D34485" s="39"/>
      <c r="E34485" s="39"/>
      <c r="F34485" s="39"/>
    </row>
    <row r="34486">
      <c r="D34486" s="39"/>
      <c r="E34486" s="39"/>
      <c r="F34486" s="39"/>
    </row>
    <row r="34487">
      <c r="D34487" s="39"/>
      <c r="E34487" s="39"/>
      <c r="F34487" s="39"/>
    </row>
    <row r="34488">
      <c r="D34488" s="39"/>
      <c r="E34488" s="39"/>
      <c r="F34488" s="39"/>
    </row>
    <row r="34489">
      <c r="D34489" s="39"/>
      <c r="E34489" s="39"/>
      <c r="F34489" s="39"/>
    </row>
    <row r="34490">
      <c r="D34490" s="39"/>
      <c r="E34490" s="39"/>
      <c r="F34490" s="39"/>
    </row>
    <row r="34491">
      <c r="D34491" s="39"/>
      <c r="E34491" s="39"/>
      <c r="F34491" s="39"/>
    </row>
    <row r="34492">
      <c r="D34492" s="39"/>
      <c r="E34492" s="39"/>
      <c r="F34492" s="39"/>
    </row>
    <row r="34493">
      <c r="D34493" s="39"/>
      <c r="E34493" s="39"/>
      <c r="F34493" s="39"/>
    </row>
    <row r="34494">
      <c r="D34494" s="39"/>
      <c r="E34494" s="39"/>
      <c r="F34494" s="39"/>
    </row>
    <row r="34495">
      <c r="D34495" s="39"/>
      <c r="E34495" s="39"/>
      <c r="F34495" s="39"/>
    </row>
    <row r="34496">
      <c r="D34496" s="39"/>
      <c r="E34496" s="39"/>
      <c r="F34496" s="39"/>
    </row>
    <row r="34497">
      <c r="D34497" s="39"/>
      <c r="E34497" s="39"/>
      <c r="F34497" s="39"/>
    </row>
    <row r="34498">
      <c r="D34498" s="39"/>
      <c r="E34498" s="39"/>
      <c r="F34498" s="39"/>
    </row>
    <row r="34499">
      <c r="D34499" s="39"/>
      <c r="E34499" s="39"/>
      <c r="F34499" s="39"/>
    </row>
    <row r="34500">
      <c r="D34500" s="39"/>
      <c r="E34500" s="39"/>
      <c r="F34500" s="39"/>
    </row>
    <row r="34501">
      <c r="D34501" s="39"/>
      <c r="E34501" s="39"/>
      <c r="F34501" s="39"/>
    </row>
    <row r="34502">
      <c r="D34502" s="39"/>
      <c r="E34502" s="39"/>
      <c r="F34502" s="39"/>
    </row>
    <row r="34503">
      <c r="D34503" s="39"/>
      <c r="E34503" s="39"/>
      <c r="F34503" s="39"/>
    </row>
    <row r="34504">
      <c r="D34504" s="39"/>
      <c r="E34504" s="39"/>
      <c r="F34504" s="39"/>
    </row>
    <row r="34505">
      <c r="D34505" s="39"/>
      <c r="E34505" s="39"/>
      <c r="F34505" s="39"/>
    </row>
    <row r="34506">
      <c r="D34506" s="39"/>
      <c r="E34506" s="39"/>
      <c r="F34506" s="39"/>
    </row>
    <row r="34507">
      <c r="D34507" s="39"/>
      <c r="E34507" s="39"/>
      <c r="F34507" s="39"/>
    </row>
    <row r="34508">
      <c r="D34508" s="39"/>
      <c r="E34508" s="39"/>
      <c r="F34508" s="39"/>
    </row>
    <row r="34509">
      <c r="D34509" s="39"/>
      <c r="E34509" s="39"/>
      <c r="F34509" s="39"/>
    </row>
    <row r="34510">
      <c r="D34510" s="39"/>
      <c r="E34510" s="39"/>
      <c r="F34510" s="39"/>
    </row>
    <row r="34511">
      <c r="D34511" s="39"/>
      <c r="E34511" s="39"/>
      <c r="F34511" s="39"/>
    </row>
    <row r="34512">
      <c r="D34512" s="39"/>
      <c r="E34512" s="39"/>
      <c r="F34512" s="39"/>
    </row>
    <row r="34513">
      <c r="D34513" s="39"/>
      <c r="E34513" s="39"/>
      <c r="F34513" s="39"/>
    </row>
    <row r="34514">
      <c r="D34514" s="39"/>
      <c r="E34514" s="39"/>
      <c r="F34514" s="39"/>
    </row>
    <row r="34515">
      <c r="D34515" s="39"/>
      <c r="E34515" s="39"/>
      <c r="F34515" s="39"/>
    </row>
    <row r="34516">
      <c r="D34516" s="39"/>
      <c r="E34516" s="39"/>
      <c r="F34516" s="39"/>
    </row>
    <row r="34517">
      <c r="D34517" s="39"/>
      <c r="E34517" s="39"/>
      <c r="F34517" s="39"/>
    </row>
    <row r="34518">
      <c r="D34518" s="39"/>
      <c r="E34518" s="39"/>
      <c r="F34518" s="39"/>
    </row>
    <row r="34519">
      <c r="D34519" s="39"/>
      <c r="E34519" s="39"/>
      <c r="F34519" s="39"/>
    </row>
    <row r="34520">
      <c r="D34520" s="39"/>
      <c r="E34520" s="39"/>
      <c r="F34520" s="39"/>
    </row>
    <row r="34521">
      <c r="D34521" s="39"/>
      <c r="E34521" s="39"/>
      <c r="F34521" s="39"/>
    </row>
    <row r="34522">
      <c r="D34522" s="39"/>
      <c r="E34522" s="39"/>
      <c r="F34522" s="39"/>
    </row>
    <row r="34523">
      <c r="D34523" s="39"/>
      <c r="E34523" s="39"/>
      <c r="F34523" s="39"/>
    </row>
    <row r="34524">
      <c r="D34524" s="39"/>
      <c r="E34524" s="39"/>
      <c r="F34524" s="39"/>
    </row>
    <row r="34525">
      <c r="D34525" s="39"/>
      <c r="E34525" s="39"/>
      <c r="F34525" s="39"/>
    </row>
    <row r="34526">
      <c r="D34526" s="39"/>
      <c r="E34526" s="39"/>
      <c r="F34526" s="39"/>
    </row>
    <row r="34527">
      <c r="D34527" s="39"/>
      <c r="E34527" s="39"/>
      <c r="F34527" s="39"/>
    </row>
    <row r="34528">
      <c r="D34528" s="39"/>
      <c r="E34528" s="39"/>
      <c r="F34528" s="39"/>
    </row>
    <row r="34529">
      <c r="D34529" s="39"/>
      <c r="E34529" s="39"/>
      <c r="F34529" s="39"/>
    </row>
    <row r="34530">
      <c r="D34530" s="39"/>
      <c r="E34530" s="39"/>
      <c r="F34530" s="39"/>
    </row>
    <row r="34531">
      <c r="D34531" s="39"/>
      <c r="E34531" s="39"/>
      <c r="F34531" s="39"/>
    </row>
    <row r="34532">
      <c r="D34532" s="39"/>
      <c r="E34532" s="39"/>
      <c r="F34532" s="39"/>
    </row>
    <row r="34533">
      <c r="D34533" s="39"/>
      <c r="E34533" s="39"/>
      <c r="F34533" s="39"/>
    </row>
    <row r="34534">
      <c r="D34534" s="39"/>
      <c r="E34534" s="39"/>
      <c r="F34534" s="39"/>
    </row>
    <row r="34535">
      <c r="D34535" s="39"/>
      <c r="E34535" s="39"/>
      <c r="F34535" s="39"/>
    </row>
    <row r="34536">
      <c r="D34536" s="39"/>
      <c r="E34536" s="39"/>
      <c r="F34536" s="39"/>
    </row>
    <row r="34537">
      <c r="D34537" s="39"/>
      <c r="E34537" s="39"/>
      <c r="F34537" s="39"/>
    </row>
    <row r="34538">
      <c r="D34538" s="39"/>
      <c r="E34538" s="39"/>
      <c r="F34538" s="39"/>
    </row>
    <row r="34539">
      <c r="D34539" s="39"/>
      <c r="E34539" s="39"/>
      <c r="F34539" s="39"/>
    </row>
    <row r="34540">
      <c r="D34540" s="39"/>
      <c r="E34540" s="39"/>
      <c r="F34540" s="39"/>
    </row>
    <row r="34541">
      <c r="D34541" s="39"/>
      <c r="E34541" s="39"/>
      <c r="F34541" s="39"/>
    </row>
    <row r="34542">
      <c r="D34542" s="39"/>
      <c r="E34542" s="39"/>
      <c r="F34542" s="39"/>
    </row>
    <row r="34543">
      <c r="D34543" s="39"/>
      <c r="E34543" s="39"/>
      <c r="F34543" s="39"/>
    </row>
    <row r="34544">
      <c r="D34544" s="39"/>
      <c r="E34544" s="39"/>
      <c r="F34544" s="39"/>
    </row>
    <row r="34545">
      <c r="D34545" s="39"/>
      <c r="E34545" s="39"/>
      <c r="F34545" s="39"/>
    </row>
    <row r="34546">
      <c r="D34546" s="39"/>
      <c r="E34546" s="39"/>
      <c r="F34546" s="39"/>
    </row>
    <row r="34547">
      <c r="D34547" s="39"/>
      <c r="E34547" s="39"/>
      <c r="F34547" s="39"/>
    </row>
    <row r="34548">
      <c r="D34548" s="39"/>
      <c r="E34548" s="39"/>
      <c r="F34548" s="39"/>
    </row>
    <row r="34549">
      <c r="D34549" s="39"/>
      <c r="E34549" s="39"/>
      <c r="F34549" s="39"/>
    </row>
    <row r="34550">
      <c r="D34550" s="39"/>
      <c r="E34550" s="39"/>
      <c r="F34550" s="39"/>
    </row>
    <row r="34551">
      <c r="D34551" s="39"/>
      <c r="E34551" s="39"/>
      <c r="F34551" s="39"/>
    </row>
    <row r="34552">
      <c r="D34552" s="39"/>
      <c r="E34552" s="39"/>
      <c r="F34552" s="39"/>
    </row>
    <row r="34553">
      <c r="D34553" s="39"/>
      <c r="E34553" s="39"/>
      <c r="F34553" s="39"/>
    </row>
    <row r="34554">
      <c r="D34554" s="39"/>
      <c r="E34554" s="39"/>
      <c r="F34554" s="39"/>
    </row>
    <row r="34555">
      <c r="D34555" s="39"/>
      <c r="E34555" s="39"/>
      <c r="F34555" s="39"/>
    </row>
    <row r="34556">
      <c r="D34556" s="39"/>
      <c r="E34556" s="39"/>
      <c r="F34556" s="39"/>
    </row>
    <row r="34557">
      <c r="D34557" s="39"/>
      <c r="E34557" s="39"/>
      <c r="F34557" s="39"/>
    </row>
    <row r="34558">
      <c r="D34558" s="39"/>
      <c r="E34558" s="39"/>
      <c r="F34558" s="39"/>
    </row>
    <row r="34559">
      <c r="D34559" s="39"/>
      <c r="E34559" s="39"/>
      <c r="F34559" s="39"/>
    </row>
    <row r="34560">
      <c r="D34560" s="39"/>
      <c r="E34560" s="39"/>
      <c r="F34560" s="39"/>
    </row>
    <row r="34561">
      <c r="D34561" s="39"/>
      <c r="E34561" s="39"/>
      <c r="F34561" s="39"/>
    </row>
    <row r="34562">
      <c r="D34562" s="39"/>
      <c r="E34562" s="39"/>
      <c r="F34562" s="39"/>
    </row>
    <row r="34563">
      <c r="D34563" s="39"/>
      <c r="E34563" s="39"/>
      <c r="F34563" s="39"/>
    </row>
    <row r="34564">
      <c r="D34564" s="39"/>
      <c r="E34564" s="39"/>
      <c r="F34564" s="39"/>
    </row>
    <row r="34565">
      <c r="D34565" s="39"/>
      <c r="E34565" s="39"/>
      <c r="F34565" s="39"/>
    </row>
    <row r="34566">
      <c r="D34566" s="39"/>
      <c r="E34566" s="39"/>
      <c r="F34566" s="39"/>
    </row>
    <row r="34567">
      <c r="D34567" s="39"/>
      <c r="E34567" s="39"/>
      <c r="F34567" s="39"/>
    </row>
    <row r="34568">
      <c r="D34568" s="39"/>
      <c r="E34568" s="39"/>
      <c r="F34568" s="39"/>
    </row>
    <row r="34569">
      <c r="D34569" s="39"/>
      <c r="E34569" s="39"/>
      <c r="F34569" s="39"/>
    </row>
    <row r="34570">
      <c r="D34570" s="39"/>
      <c r="E34570" s="39"/>
      <c r="F34570" s="39"/>
    </row>
    <row r="34571">
      <c r="D34571" s="39"/>
      <c r="E34571" s="39"/>
      <c r="F34571" s="39"/>
    </row>
    <row r="34572">
      <c r="D34572" s="39"/>
      <c r="E34572" s="39"/>
      <c r="F34572" s="39"/>
    </row>
    <row r="34573">
      <c r="D34573" s="39"/>
      <c r="E34573" s="39"/>
      <c r="F34573" s="39"/>
    </row>
    <row r="34574">
      <c r="D34574" s="39"/>
      <c r="E34574" s="39"/>
      <c r="F34574" s="39"/>
    </row>
    <row r="34575">
      <c r="D34575" s="39"/>
      <c r="E34575" s="39"/>
      <c r="F34575" s="39"/>
    </row>
    <row r="34576">
      <c r="D34576" s="39"/>
      <c r="E34576" s="39"/>
      <c r="F34576" s="39"/>
    </row>
    <row r="34577">
      <c r="D34577" s="39"/>
      <c r="E34577" s="39"/>
      <c r="F34577" s="39"/>
    </row>
    <row r="34578">
      <c r="D34578" s="39"/>
      <c r="E34578" s="39"/>
      <c r="F34578" s="39"/>
    </row>
    <row r="34579">
      <c r="D34579" s="39"/>
      <c r="E34579" s="39"/>
      <c r="F34579" s="39"/>
    </row>
    <row r="34580">
      <c r="D34580" s="39"/>
      <c r="E34580" s="39"/>
      <c r="F34580" s="39"/>
    </row>
    <row r="34581">
      <c r="D34581" s="39"/>
      <c r="E34581" s="39"/>
      <c r="F34581" s="39"/>
    </row>
    <row r="34582">
      <c r="D34582" s="39"/>
      <c r="E34582" s="39"/>
      <c r="F34582" s="39"/>
    </row>
    <row r="34583">
      <c r="D34583" s="39"/>
      <c r="E34583" s="39"/>
      <c r="F34583" s="39"/>
    </row>
    <row r="34584">
      <c r="D34584" s="39"/>
      <c r="E34584" s="39"/>
      <c r="F34584" s="39"/>
    </row>
    <row r="34585">
      <c r="D34585" s="39"/>
      <c r="E34585" s="39"/>
      <c r="F34585" s="39"/>
    </row>
    <row r="34586">
      <c r="D34586" s="39"/>
      <c r="E34586" s="39"/>
      <c r="F34586" s="39"/>
    </row>
    <row r="34587">
      <c r="D34587" s="39"/>
      <c r="E34587" s="39"/>
      <c r="F34587" s="39"/>
    </row>
    <row r="34588">
      <c r="D34588" s="39"/>
      <c r="E34588" s="39"/>
      <c r="F34588" s="39"/>
    </row>
    <row r="34589">
      <c r="D34589" s="39"/>
      <c r="E34589" s="39"/>
      <c r="F34589" s="39"/>
    </row>
    <row r="34590">
      <c r="D34590" s="39"/>
      <c r="E34590" s="39"/>
      <c r="F34590" s="39"/>
    </row>
    <row r="34591">
      <c r="D34591" s="39"/>
      <c r="E34591" s="39"/>
      <c r="F34591" s="39"/>
    </row>
    <row r="34592">
      <c r="D34592" s="39"/>
      <c r="E34592" s="39"/>
      <c r="F34592" s="39"/>
    </row>
    <row r="34593">
      <c r="D34593" s="39"/>
      <c r="E34593" s="39"/>
      <c r="F34593" s="39"/>
    </row>
    <row r="34594">
      <c r="D34594" s="39"/>
      <c r="E34594" s="39"/>
      <c r="F34594" s="39"/>
    </row>
    <row r="34595">
      <c r="D34595" s="39"/>
      <c r="E34595" s="39"/>
      <c r="F34595" s="39"/>
    </row>
    <row r="34596">
      <c r="D34596" s="39"/>
      <c r="E34596" s="39"/>
      <c r="F34596" s="39"/>
    </row>
    <row r="34597">
      <c r="D34597" s="39"/>
      <c r="E34597" s="39"/>
      <c r="F34597" s="39"/>
    </row>
    <row r="34598">
      <c r="D34598" s="39"/>
      <c r="E34598" s="39"/>
      <c r="F34598" s="39"/>
    </row>
    <row r="34599">
      <c r="D34599" s="39"/>
      <c r="E34599" s="39"/>
      <c r="F34599" s="39"/>
    </row>
    <row r="34600">
      <c r="D34600" s="39"/>
      <c r="E34600" s="39"/>
      <c r="F34600" s="39"/>
    </row>
    <row r="34601">
      <c r="D34601" s="39"/>
      <c r="E34601" s="39"/>
      <c r="F34601" s="39"/>
    </row>
    <row r="34602">
      <c r="D34602" s="39"/>
      <c r="E34602" s="39"/>
      <c r="F34602" s="39"/>
    </row>
    <row r="34603">
      <c r="D34603" s="39"/>
      <c r="E34603" s="39"/>
      <c r="F34603" s="39"/>
    </row>
    <row r="34604">
      <c r="D34604" s="39"/>
      <c r="E34604" s="39"/>
      <c r="F34604" s="39"/>
    </row>
    <row r="34605">
      <c r="D34605" s="39"/>
      <c r="E34605" s="39"/>
      <c r="F34605" s="39"/>
    </row>
    <row r="34606">
      <c r="D34606" s="39"/>
      <c r="E34606" s="39"/>
      <c r="F34606" s="39"/>
    </row>
    <row r="34607">
      <c r="D34607" s="39"/>
      <c r="E34607" s="39"/>
      <c r="F34607" s="39"/>
    </row>
    <row r="34608">
      <c r="D34608" s="39"/>
      <c r="E34608" s="39"/>
      <c r="F34608" s="39"/>
    </row>
    <row r="34609">
      <c r="D34609" s="39"/>
      <c r="E34609" s="39"/>
      <c r="F34609" s="39"/>
    </row>
    <row r="34610">
      <c r="D34610" s="39"/>
      <c r="E34610" s="39"/>
      <c r="F34610" s="39"/>
    </row>
    <row r="34611">
      <c r="D34611" s="39"/>
      <c r="E34611" s="39"/>
      <c r="F34611" s="39"/>
    </row>
    <row r="34612">
      <c r="D34612" s="39"/>
      <c r="E34612" s="39"/>
      <c r="F34612" s="39"/>
    </row>
    <row r="34613">
      <c r="D34613" s="39"/>
      <c r="E34613" s="39"/>
      <c r="F34613" s="39"/>
    </row>
    <row r="34614">
      <c r="D34614" s="39"/>
      <c r="E34614" s="39"/>
      <c r="F34614" s="39"/>
    </row>
    <row r="34615">
      <c r="D34615" s="39"/>
      <c r="E34615" s="39"/>
      <c r="F34615" s="39"/>
    </row>
    <row r="34616">
      <c r="D34616" s="39"/>
      <c r="E34616" s="39"/>
      <c r="F34616" s="39"/>
    </row>
    <row r="34617">
      <c r="D34617" s="39"/>
      <c r="E34617" s="39"/>
      <c r="F34617" s="39"/>
    </row>
    <row r="34618">
      <c r="D34618" s="39"/>
      <c r="E34618" s="39"/>
      <c r="F34618" s="39"/>
    </row>
    <row r="34619">
      <c r="D34619" s="39"/>
      <c r="E34619" s="39"/>
      <c r="F34619" s="39"/>
    </row>
    <row r="34620">
      <c r="D34620" s="39"/>
      <c r="E34620" s="39"/>
      <c r="F34620" s="39"/>
    </row>
    <row r="34621">
      <c r="D34621" s="39"/>
      <c r="E34621" s="39"/>
      <c r="F34621" s="39"/>
    </row>
    <row r="34622">
      <c r="D34622" s="39"/>
      <c r="E34622" s="39"/>
      <c r="F34622" s="39"/>
    </row>
    <row r="34623">
      <c r="D34623" s="39"/>
      <c r="E34623" s="39"/>
      <c r="F34623" s="39"/>
    </row>
    <row r="34624">
      <c r="D34624" s="39"/>
      <c r="E34624" s="39"/>
      <c r="F34624" s="39"/>
    </row>
    <row r="34625">
      <c r="D34625" s="39"/>
      <c r="E34625" s="39"/>
      <c r="F34625" s="39"/>
    </row>
    <row r="34626">
      <c r="D34626" s="39"/>
      <c r="E34626" s="39"/>
      <c r="F34626" s="39"/>
    </row>
    <row r="34627">
      <c r="D34627" s="39"/>
      <c r="E34627" s="39"/>
      <c r="F34627" s="39"/>
    </row>
    <row r="34628">
      <c r="D34628" s="39"/>
      <c r="E34628" s="39"/>
      <c r="F34628" s="39"/>
    </row>
    <row r="34629">
      <c r="D34629" s="39"/>
      <c r="E34629" s="39"/>
      <c r="F34629" s="39"/>
    </row>
    <row r="34630">
      <c r="D34630" s="39"/>
      <c r="E34630" s="39"/>
      <c r="F34630" s="39"/>
    </row>
    <row r="34631">
      <c r="D34631" s="39"/>
      <c r="E34631" s="39"/>
      <c r="F34631" s="39"/>
    </row>
    <row r="34632">
      <c r="D34632" s="39"/>
      <c r="E34632" s="39"/>
      <c r="F34632" s="39"/>
    </row>
    <row r="34633">
      <c r="D34633" s="39"/>
      <c r="E34633" s="39"/>
      <c r="F34633" s="39"/>
    </row>
    <row r="34634">
      <c r="D34634" s="39"/>
      <c r="E34634" s="39"/>
      <c r="F34634" s="39"/>
    </row>
    <row r="34635">
      <c r="D34635" s="39"/>
      <c r="E34635" s="39"/>
      <c r="F34635" s="39"/>
    </row>
    <row r="34636">
      <c r="D34636" s="39"/>
      <c r="E34636" s="39"/>
      <c r="F34636" s="39"/>
    </row>
    <row r="34637">
      <c r="D34637" s="39"/>
      <c r="E34637" s="39"/>
      <c r="F34637" s="39"/>
    </row>
    <row r="34638">
      <c r="D34638" s="39"/>
      <c r="E34638" s="39"/>
      <c r="F34638" s="39"/>
    </row>
    <row r="34639">
      <c r="D34639" s="39"/>
      <c r="E34639" s="39"/>
      <c r="F34639" s="39"/>
    </row>
    <row r="34640">
      <c r="D34640" s="39"/>
      <c r="E34640" s="39"/>
      <c r="F34640" s="39"/>
    </row>
    <row r="34641">
      <c r="D34641" s="39"/>
      <c r="E34641" s="39"/>
      <c r="F34641" s="39"/>
    </row>
    <row r="34642">
      <c r="D34642" s="39"/>
      <c r="E34642" s="39"/>
      <c r="F34642" s="39"/>
    </row>
    <row r="34643">
      <c r="D34643" s="39"/>
      <c r="E34643" s="39"/>
      <c r="F34643" s="39"/>
    </row>
    <row r="34644">
      <c r="D34644" s="39"/>
      <c r="E34644" s="39"/>
      <c r="F34644" s="39"/>
    </row>
    <row r="34645">
      <c r="D34645" s="39"/>
      <c r="E34645" s="39"/>
      <c r="F34645" s="39"/>
    </row>
    <row r="34646">
      <c r="D34646" s="39"/>
      <c r="E34646" s="39"/>
      <c r="F34646" s="39"/>
    </row>
    <row r="34647">
      <c r="D34647" s="39"/>
      <c r="E34647" s="39"/>
      <c r="F34647" s="39"/>
    </row>
    <row r="34648">
      <c r="D34648" s="39"/>
      <c r="E34648" s="39"/>
      <c r="F34648" s="39"/>
    </row>
    <row r="34649">
      <c r="D34649" s="39"/>
      <c r="E34649" s="39"/>
      <c r="F34649" s="39"/>
    </row>
    <row r="34650">
      <c r="D34650" s="39"/>
      <c r="E34650" s="39"/>
      <c r="F34650" s="39"/>
    </row>
    <row r="34651">
      <c r="D34651" s="39"/>
      <c r="E34651" s="39"/>
      <c r="F34651" s="39"/>
    </row>
    <row r="34652">
      <c r="D34652" s="39"/>
      <c r="E34652" s="39"/>
      <c r="F34652" s="39"/>
    </row>
    <row r="34653">
      <c r="D34653" s="39"/>
      <c r="E34653" s="39"/>
      <c r="F34653" s="39"/>
    </row>
    <row r="34654">
      <c r="D34654" s="39"/>
      <c r="E34654" s="39"/>
      <c r="F34654" s="39"/>
    </row>
    <row r="34655">
      <c r="D34655" s="39"/>
      <c r="E34655" s="39"/>
      <c r="F34655" s="39"/>
    </row>
    <row r="34656">
      <c r="D34656" s="39"/>
      <c r="E34656" s="39"/>
      <c r="F34656" s="39"/>
    </row>
    <row r="34657">
      <c r="D34657" s="39"/>
      <c r="E34657" s="39"/>
      <c r="F34657" s="39"/>
    </row>
    <row r="34658">
      <c r="D34658" s="39"/>
      <c r="E34658" s="39"/>
      <c r="F34658" s="39"/>
    </row>
    <row r="34659">
      <c r="D34659" s="39"/>
      <c r="E34659" s="39"/>
      <c r="F34659" s="39"/>
    </row>
    <row r="34660">
      <c r="D34660" s="39"/>
      <c r="E34660" s="39"/>
      <c r="F34660" s="39"/>
    </row>
    <row r="34661">
      <c r="D34661" s="39"/>
      <c r="E34661" s="39"/>
      <c r="F34661" s="39"/>
    </row>
    <row r="34662">
      <c r="D34662" s="39"/>
      <c r="E34662" s="39"/>
      <c r="F34662" s="39"/>
    </row>
    <row r="34663">
      <c r="D34663" s="39"/>
      <c r="E34663" s="39"/>
      <c r="F34663" s="39"/>
    </row>
    <row r="34664">
      <c r="D34664" s="39"/>
      <c r="E34664" s="39"/>
      <c r="F34664" s="39"/>
    </row>
    <row r="34665">
      <c r="D34665" s="39"/>
      <c r="E34665" s="39"/>
      <c r="F34665" s="39"/>
    </row>
    <row r="34666">
      <c r="D34666" s="39"/>
      <c r="E34666" s="39"/>
      <c r="F34666" s="39"/>
    </row>
    <row r="34667">
      <c r="D34667" s="39"/>
      <c r="E34667" s="39"/>
      <c r="F34667" s="39"/>
    </row>
    <row r="34668">
      <c r="D34668" s="39"/>
      <c r="E34668" s="39"/>
      <c r="F34668" s="39"/>
    </row>
    <row r="34669">
      <c r="D34669" s="39"/>
      <c r="E34669" s="39"/>
      <c r="F34669" s="39"/>
    </row>
    <row r="34670">
      <c r="D34670" s="39"/>
      <c r="E34670" s="39"/>
      <c r="F34670" s="39"/>
    </row>
    <row r="34671">
      <c r="D34671" s="39"/>
      <c r="E34671" s="39"/>
      <c r="F34671" s="39"/>
    </row>
    <row r="34672">
      <c r="D34672" s="39"/>
      <c r="E34672" s="39"/>
      <c r="F34672" s="39"/>
    </row>
    <row r="34673">
      <c r="D34673" s="39"/>
      <c r="E34673" s="39"/>
      <c r="F34673" s="39"/>
    </row>
    <row r="34674">
      <c r="D34674" s="39"/>
      <c r="E34674" s="39"/>
      <c r="F34674" s="39"/>
    </row>
    <row r="34675">
      <c r="D34675" s="39"/>
      <c r="E34675" s="39"/>
      <c r="F34675" s="39"/>
    </row>
    <row r="34676">
      <c r="D34676" s="39"/>
      <c r="E34676" s="39"/>
      <c r="F34676" s="39"/>
    </row>
    <row r="34677">
      <c r="D34677" s="39"/>
      <c r="E34677" s="39"/>
      <c r="F34677" s="39"/>
    </row>
    <row r="34678">
      <c r="D34678" s="39"/>
      <c r="E34678" s="39"/>
      <c r="F34678" s="39"/>
    </row>
    <row r="34679">
      <c r="D34679" s="39"/>
      <c r="E34679" s="39"/>
      <c r="F34679" s="39"/>
    </row>
    <row r="34680">
      <c r="D34680" s="39"/>
      <c r="E34680" s="39"/>
      <c r="F34680" s="39"/>
    </row>
    <row r="34681">
      <c r="D34681" s="39"/>
      <c r="E34681" s="39"/>
      <c r="F34681" s="39"/>
    </row>
    <row r="34682">
      <c r="D34682" s="39"/>
      <c r="E34682" s="39"/>
      <c r="F34682" s="39"/>
    </row>
    <row r="34683">
      <c r="D34683" s="39"/>
      <c r="E34683" s="39"/>
      <c r="F34683" s="39"/>
    </row>
    <row r="34684">
      <c r="D34684" s="39"/>
      <c r="E34684" s="39"/>
      <c r="F34684" s="39"/>
    </row>
    <row r="34685">
      <c r="D34685" s="39"/>
      <c r="E34685" s="39"/>
      <c r="F34685" s="39"/>
    </row>
    <row r="34686">
      <c r="D34686" s="39"/>
      <c r="E34686" s="39"/>
      <c r="F34686" s="39"/>
    </row>
    <row r="34687">
      <c r="D34687" s="39"/>
      <c r="E34687" s="39"/>
      <c r="F34687" s="39"/>
    </row>
    <row r="34688">
      <c r="D34688" s="39"/>
      <c r="E34688" s="39"/>
      <c r="F34688" s="39"/>
    </row>
    <row r="34689">
      <c r="D34689" s="39"/>
      <c r="E34689" s="39"/>
      <c r="F34689" s="39"/>
    </row>
    <row r="34690">
      <c r="D34690" s="39"/>
      <c r="E34690" s="39"/>
      <c r="F34690" s="39"/>
    </row>
    <row r="34691">
      <c r="D34691" s="39"/>
      <c r="E34691" s="39"/>
      <c r="F34691" s="39"/>
    </row>
    <row r="34692">
      <c r="D34692" s="39"/>
      <c r="E34692" s="39"/>
      <c r="F34692" s="39"/>
    </row>
    <row r="34693">
      <c r="D34693" s="39"/>
      <c r="E34693" s="39"/>
      <c r="F34693" s="39"/>
    </row>
    <row r="34694">
      <c r="D34694" s="39"/>
      <c r="E34694" s="39"/>
      <c r="F34694" s="39"/>
    </row>
    <row r="34695">
      <c r="D34695" s="39"/>
      <c r="E34695" s="39"/>
      <c r="F34695" s="39"/>
    </row>
    <row r="34696">
      <c r="D34696" s="39"/>
      <c r="E34696" s="39"/>
      <c r="F34696" s="39"/>
    </row>
    <row r="34697">
      <c r="D34697" s="39"/>
      <c r="E34697" s="39"/>
      <c r="F34697" s="39"/>
    </row>
    <row r="34698">
      <c r="D34698" s="39"/>
      <c r="E34698" s="39"/>
      <c r="F34698" s="39"/>
    </row>
    <row r="34699">
      <c r="D34699" s="39"/>
      <c r="E34699" s="39"/>
      <c r="F34699" s="39"/>
    </row>
    <row r="34700">
      <c r="D34700" s="39"/>
      <c r="E34700" s="39"/>
      <c r="F34700" s="39"/>
    </row>
    <row r="34701">
      <c r="D34701" s="39"/>
      <c r="E34701" s="39"/>
      <c r="F34701" s="39"/>
    </row>
    <row r="34702">
      <c r="D34702" s="39"/>
      <c r="E34702" s="39"/>
      <c r="F34702" s="39"/>
    </row>
    <row r="34703">
      <c r="D34703" s="39"/>
      <c r="E34703" s="39"/>
      <c r="F34703" s="39"/>
    </row>
    <row r="34704">
      <c r="D34704" s="39"/>
      <c r="E34704" s="39"/>
      <c r="F34704" s="39"/>
    </row>
    <row r="34705">
      <c r="D34705" s="39"/>
      <c r="E34705" s="39"/>
      <c r="F34705" s="39"/>
    </row>
    <row r="34706">
      <c r="D34706" s="39"/>
      <c r="E34706" s="39"/>
      <c r="F34706" s="39"/>
    </row>
    <row r="34707">
      <c r="D34707" s="39"/>
      <c r="E34707" s="39"/>
      <c r="F34707" s="39"/>
    </row>
    <row r="34708">
      <c r="D34708" s="39"/>
      <c r="E34708" s="39"/>
      <c r="F34708" s="39"/>
    </row>
    <row r="34709">
      <c r="D34709" s="39"/>
      <c r="E34709" s="39"/>
      <c r="F34709" s="39"/>
    </row>
    <row r="34710">
      <c r="D34710" s="39"/>
      <c r="E34710" s="39"/>
      <c r="F34710" s="39"/>
    </row>
    <row r="34711">
      <c r="D34711" s="39"/>
      <c r="E34711" s="39"/>
      <c r="F34711" s="39"/>
    </row>
    <row r="34712">
      <c r="D34712" s="39"/>
      <c r="E34712" s="39"/>
      <c r="F34712" s="39"/>
    </row>
    <row r="34713">
      <c r="D34713" s="39"/>
      <c r="E34713" s="39"/>
      <c r="F34713" s="39"/>
    </row>
    <row r="34714">
      <c r="D34714" s="39"/>
      <c r="E34714" s="39"/>
      <c r="F34714" s="39"/>
    </row>
    <row r="34715">
      <c r="D34715" s="39"/>
      <c r="E34715" s="39"/>
      <c r="F34715" s="39"/>
    </row>
    <row r="34716">
      <c r="D34716" s="39"/>
      <c r="E34716" s="39"/>
      <c r="F34716" s="39"/>
    </row>
    <row r="34717">
      <c r="D34717" s="39"/>
      <c r="E34717" s="39"/>
      <c r="F34717" s="39"/>
    </row>
    <row r="34718">
      <c r="D34718" s="39"/>
      <c r="E34718" s="39"/>
      <c r="F34718" s="39"/>
    </row>
    <row r="34719">
      <c r="D34719" s="39"/>
      <c r="E34719" s="39"/>
      <c r="F34719" s="39"/>
    </row>
    <row r="34720">
      <c r="D34720" s="39"/>
      <c r="E34720" s="39"/>
      <c r="F34720" s="39"/>
    </row>
    <row r="34721">
      <c r="D34721" s="39"/>
      <c r="E34721" s="39"/>
      <c r="F34721" s="39"/>
    </row>
    <row r="34722">
      <c r="D34722" s="39"/>
      <c r="E34722" s="39"/>
      <c r="F34722" s="39"/>
    </row>
    <row r="34723">
      <c r="D34723" s="39"/>
      <c r="E34723" s="39"/>
      <c r="F34723" s="39"/>
    </row>
    <row r="34724">
      <c r="D34724" s="39"/>
      <c r="E34724" s="39"/>
      <c r="F34724" s="39"/>
    </row>
    <row r="34725">
      <c r="D34725" s="39"/>
      <c r="E34725" s="39"/>
      <c r="F34725" s="39"/>
    </row>
    <row r="34726">
      <c r="D34726" s="39"/>
      <c r="E34726" s="39"/>
      <c r="F34726" s="39"/>
    </row>
    <row r="34727">
      <c r="D34727" s="39"/>
      <c r="E34727" s="39"/>
      <c r="F34727" s="39"/>
    </row>
    <row r="34728">
      <c r="D34728" s="39"/>
      <c r="E34728" s="39"/>
      <c r="F34728" s="39"/>
    </row>
    <row r="34729">
      <c r="D34729" s="39"/>
      <c r="E34729" s="39"/>
      <c r="F34729" s="39"/>
    </row>
    <row r="34730">
      <c r="D34730" s="39"/>
      <c r="E34730" s="39"/>
      <c r="F34730" s="39"/>
    </row>
    <row r="34731">
      <c r="D34731" s="39"/>
      <c r="E34731" s="39"/>
      <c r="F34731" s="39"/>
    </row>
    <row r="34732">
      <c r="D34732" s="39"/>
      <c r="E34732" s="39"/>
      <c r="F34732" s="39"/>
    </row>
    <row r="34733">
      <c r="D34733" s="39"/>
      <c r="E34733" s="39"/>
      <c r="F34733" s="39"/>
    </row>
    <row r="34734">
      <c r="D34734" s="39"/>
      <c r="E34734" s="39"/>
      <c r="F34734" s="39"/>
    </row>
    <row r="34735">
      <c r="D34735" s="39"/>
      <c r="E34735" s="39"/>
      <c r="F34735" s="39"/>
    </row>
    <row r="34736">
      <c r="D34736" s="39"/>
      <c r="E34736" s="39"/>
      <c r="F34736" s="39"/>
    </row>
    <row r="34737">
      <c r="D34737" s="39"/>
      <c r="E34737" s="39"/>
      <c r="F34737" s="39"/>
    </row>
    <row r="34738">
      <c r="D34738" s="39"/>
      <c r="E34738" s="39"/>
      <c r="F34738" s="39"/>
    </row>
    <row r="34739">
      <c r="D34739" s="39"/>
      <c r="E34739" s="39"/>
      <c r="F34739" s="39"/>
    </row>
    <row r="34740">
      <c r="D34740" s="39"/>
      <c r="E34740" s="39"/>
      <c r="F34740" s="39"/>
    </row>
    <row r="34741">
      <c r="D34741" s="39"/>
      <c r="E34741" s="39"/>
      <c r="F34741" s="39"/>
    </row>
    <row r="34742">
      <c r="D34742" s="39"/>
      <c r="E34742" s="39"/>
      <c r="F34742" s="39"/>
    </row>
    <row r="34743">
      <c r="D34743" s="39"/>
      <c r="E34743" s="39"/>
      <c r="F34743" s="39"/>
    </row>
    <row r="34744">
      <c r="D34744" s="39"/>
      <c r="E34744" s="39"/>
      <c r="F34744" s="39"/>
    </row>
    <row r="34745">
      <c r="D34745" s="39"/>
      <c r="E34745" s="39"/>
      <c r="F34745" s="39"/>
    </row>
    <row r="34746">
      <c r="D34746" s="39"/>
      <c r="E34746" s="39"/>
      <c r="F34746" s="39"/>
    </row>
    <row r="34747">
      <c r="D34747" s="39"/>
      <c r="E34747" s="39"/>
      <c r="F34747" s="39"/>
    </row>
    <row r="34748">
      <c r="D34748" s="39"/>
      <c r="E34748" s="39"/>
      <c r="F34748" s="39"/>
    </row>
    <row r="34749">
      <c r="D34749" s="39"/>
      <c r="E34749" s="39"/>
      <c r="F34749" s="39"/>
    </row>
    <row r="34750">
      <c r="D34750" s="39"/>
      <c r="E34750" s="39"/>
      <c r="F34750" s="39"/>
    </row>
    <row r="34751">
      <c r="D34751" s="39"/>
      <c r="E34751" s="39"/>
      <c r="F34751" s="39"/>
    </row>
    <row r="34752">
      <c r="D34752" s="39"/>
      <c r="E34752" s="39"/>
      <c r="F34752" s="39"/>
    </row>
    <row r="34753">
      <c r="D34753" s="39"/>
      <c r="E34753" s="39"/>
      <c r="F34753" s="39"/>
    </row>
    <row r="34754">
      <c r="D34754" s="39"/>
      <c r="E34754" s="39"/>
      <c r="F34754" s="39"/>
    </row>
    <row r="34755">
      <c r="D34755" s="39"/>
      <c r="E34755" s="39"/>
      <c r="F34755" s="39"/>
    </row>
    <row r="34756">
      <c r="D34756" s="39"/>
      <c r="E34756" s="39"/>
      <c r="F34756" s="39"/>
    </row>
    <row r="34757">
      <c r="D34757" s="39"/>
      <c r="E34757" s="39"/>
      <c r="F34757" s="39"/>
    </row>
    <row r="34758">
      <c r="D34758" s="39"/>
      <c r="E34758" s="39"/>
      <c r="F34758" s="39"/>
    </row>
    <row r="34759">
      <c r="D34759" s="39"/>
      <c r="E34759" s="39"/>
      <c r="F34759" s="39"/>
    </row>
    <row r="34760">
      <c r="D34760" s="39"/>
      <c r="E34760" s="39"/>
      <c r="F34760" s="39"/>
    </row>
    <row r="34761">
      <c r="D34761" s="39"/>
      <c r="E34761" s="39"/>
      <c r="F34761" s="39"/>
    </row>
    <row r="34762">
      <c r="D34762" s="39"/>
      <c r="E34762" s="39"/>
      <c r="F34762" s="39"/>
    </row>
    <row r="34763">
      <c r="D34763" s="39"/>
      <c r="E34763" s="39"/>
      <c r="F34763" s="39"/>
    </row>
    <row r="34764">
      <c r="D34764" s="39"/>
      <c r="E34764" s="39"/>
      <c r="F34764" s="39"/>
    </row>
    <row r="34765">
      <c r="D34765" s="39"/>
      <c r="E34765" s="39"/>
      <c r="F34765" s="39"/>
    </row>
    <row r="34766">
      <c r="D34766" s="39"/>
      <c r="E34766" s="39"/>
      <c r="F34766" s="39"/>
    </row>
    <row r="34767">
      <c r="D34767" s="39"/>
      <c r="E34767" s="39"/>
      <c r="F34767" s="39"/>
    </row>
    <row r="34768">
      <c r="D34768" s="39"/>
      <c r="E34768" s="39"/>
      <c r="F34768" s="39"/>
    </row>
    <row r="34769">
      <c r="D34769" s="39"/>
      <c r="E34769" s="39"/>
      <c r="F34769" s="39"/>
    </row>
    <row r="34770">
      <c r="D34770" s="39"/>
      <c r="E34770" s="39"/>
      <c r="F34770" s="39"/>
    </row>
    <row r="34771">
      <c r="D34771" s="39"/>
      <c r="E34771" s="39"/>
      <c r="F34771" s="39"/>
    </row>
    <row r="34772">
      <c r="D34772" s="39"/>
      <c r="E34772" s="39"/>
      <c r="F34772" s="39"/>
    </row>
    <row r="34773">
      <c r="D34773" s="39"/>
      <c r="E34773" s="39"/>
      <c r="F34773" s="39"/>
    </row>
    <row r="34774">
      <c r="D34774" s="39"/>
      <c r="E34774" s="39"/>
      <c r="F34774" s="39"/>
    </row>
    <row r="34775">
      <c r="D34775" s="39"/>
      <c r="E34775" s="39"/>
      <c r="F34775" s="39"/>
    </row>
    <row r="34776">
      <c r="D34776" s="39"/>
      <c r="E34776" s="39"/>
      <c r="F34776" s="39"/>
    </row>
    <row r="34777">
      <c r="D34777" s="39"/>
      <c r="E34777" s="39"/>
      <c r="F34777" s="39"/>
    </row>
    <row r="34778">
      <c r="D34778" s="39"/>
      <c r="E34778" s="39"/>
      <c r="F34778" s="39"/>
    </row>
    <row r="34779">
      <c r="D34779" s="39"/>
      <c r="E34779" s="39"/>
      <c r="F34779" s="39"/>
    </row>
    <row r="34780">
      <c r="D34780" s="39"/>
      <c r="E34780" s="39"/>
      <c r="F34780" s="39"/>
    </row>
    <row r="34781">
      <c r="D34781" s="39"/>
      <c r="E34781" s="39"/>
      <c r="F34781" s="39"/>
    </row>
    <row r="34782">
      <c r="D34782" s="39"/>
      <c r="E34782" s="39"/>
      <c r="F34782" s="39"/>
    </row>
    <row r="34783">
      <c r="D34783" s="39"/>
      <c r="E34783" s="39"/>
      <c r="F34783" s="39"/>
    </row>
    <row r="34784">
      <c r="D34784" s="39"/>
      <c r="E34784" s="39"/>
      <c r="F34784" s="39"/>
    </row>
    <row r="34785">
      <c r="D34785" s="39"/>
      <c r="E34785" s="39"/>
      <c r="F34785" s="39"/>
    </row>
    <row r="34786">
      <c r="D34786" s="39"/>
      <c r="E34786" s="39"/>
      <c r="F34786" s="39"/>
    </row>
    <row r="34787">
      <c r="D34787" s="39"/>
      <c r="E34787" s="39"/>
      <c r="F34787" s="39"/>
    </row>
    <row r="34788">
      <c r="D34788" s="39"/>
      <c r="E34788" s="39"/>
      <c r="F34788" s="39"/>
    </row>
    <row r="34789">
      <c r="D34789" s="39"/>
      <c r="E34789" s="39"/>
      <c r="F34789" s="39"/>
    </row>
    <row r="34790">
      <c r="D34790" s="39"/>
      <c r="E34790" s="39"/>
      <c r="F34790" s="39"/>
    </row>
    <row r="34791">
      <c r="D34791" s="39"/>
      <c r="E34791" s="39"/>
      <c r="F34791" s="39"/>
    </row>
    <row r="34792">
      <c r="D34792" s="39"/>
      <c r="E34792" s="39"/>
      <c r="F34792" s="39"/>
    </row>
    <row r="34793">
      <c r="D34793" s="39"/>
      <c r="E34793" s="39"/>
      <c r="F34793" s="39"/>
    </row>
    <row r="34794">
      <c r="D34794" s="39"/>
      <c r="E34794" s="39"/>
      <c r="F34794" s="39"/>
    </row>
    <row r="34795">
      <c r="D34795" s="39"/>
      <c r="E34795" s="39"/>
      <c r="F34795" s="39"/>
    </row>
    <row r="34796">
      <c r="D34796" s="39"/>
      <c r="E34796" s="39"/>
      <c r="F34796" s="39"/>
    </row>
    <row r="34797">
      <c r="D34797" s="39"/>
      <c r="E34797" s="39"/>
      <c r="F34797" s="39"/>
    </row>
    <row r="34798">
      <c r="D34798" s="39"/>
      <c r="E34798" s="39"/>
      <c r="F34798" s="39"/>
    </row>
    <row r="34799">
      <c r="D34799" s="39"/>
      <c r="E34799" s="39"/>
      <c r="F34799" s="39"/>
    </row>
    <row r="34800">
      <c r="D34800" s="39"/>
      <c r="E34800" s="39"/>
      <c r="F34800" s="39"/>
    </row>
    <row r="34801">
      <c r="D34801" s="39"/>
      <c r="E34801" s="39"/>
      <c r="F34801" s="39"/>
    </row>
    <row r="34802">
      <c r="D34802" s="39"/>
      <c r="E34802" s="39"/>
      <c r="F34802" s="39"/>
    </row>
    <row r="34803">
      <c r="D34803" s="39"/>
      <c r="E34803" s="39"/>
      <c r="F34803" s="39"/>
    </row>
    <row r="34804">
      <c r="D34804" s="39"/>
      <c r="E34804" s="39"/>
      <c r="F34804" s="39"/>
    </row>
    <row r="34805">
      <c r="D34805" s="39"/>
      <c r="E34805" s="39"/>
      <c r="F34805" s="39"/>
    </row>
    <row r="34806">
      <c r="D34806" s="39"/>
      <c r="E34806" s="39"/>
      <c r="F34806" s="39"/>
    </row>
    <row r="34807">
      <c r="D34807" s="39"/>
      <c r="E34807" s="39"/>
      <c r="F34807" s="39"/>
    </row>
    <row r="34808">
      <c r="D34808" s="39"/>
      <c r="E34808" s="39"/>
      <c r="F34808" s="39"/>
    </row>
    <row r="34809">
      <c r="D34809" s="39"/>
      <c r="E34809" s="39"/>
      <c r="F34809" s="39"/>
    </row>
    <row r="34810">
      <c r="D34810" s="39"/>
      <c r="E34810" s="39"/>
      <c r="F34810" s="39"/>
    </row>
    <row r="34811">
      <c r="D34811" s="39"/>
      <c r="E34811" s="39"/>
      <c r="F34811" s="39"/>
    </row>
    <row r="34812">
      <c r="D34812" s="39"/>
      <c r="E34812" s="39"/>
      <c r="F34812" s="39"/>
    </row>
    <row r="34813">
      <c r="D34813" s="39"/>
      <c r="E34813" s="39"/>
      <c r="F34813" s="39"/>
    </row>
    <row r="34814">
      <c r="D34814" s="39"/>
      <c r="E34814" s="39"/>
      <c r="F34814" s="39"/>
    </row>
    <row r="34815">
      <c r="D34815" s="39"/>
      <c r="E34815" s="39"/>
      <c r="F34815" s="39"/>
    </row>
    <row r="34816">
      <c r="D34816" s="39"/>
      <c r="E34816" s="39"/>
      <c r="F34816" s="39"/>
    </row>
    <row r="34817">
      <c r="D34817" s="39"/>
      <c r="E34817" s="39"/>
      <c r="F34817" s="39"/>
    </row>
    <row r="34818">
      <c r="D34818" s="39"/>
      <c r="E34818" s="39"/>
      <c r="F34818" s="39"/>
    </row>
    <row r="34819">
      <c r="D34819" s="39"/>
      <c r="E34819" s="39"/>
      <c r="F34819" s="39"/>
    </row>
    <row r="34820">
      <c r="D34820" s="39"/>
      <c r="E34820" s="39"/>
      <c r="F34820" s="39"/>
    </row>
    <row r="34821">
      <c r="D34821" s="39"/>
      <c r="E34821" s="39"/>
      <c r="F34821" s="39"/>
    </row>
    <row r="34822">
      <c r="D34822" s="39"/>
      <c r="E34822" s="39"/>
      <c r="F34822" s="39"/>
    </row>
    <row r="34823">
      <c r="D34823" s="39"/>
      <c r="E34823" s="39"/>
      <c r="F34823" s="39"/>
    </row>
    <row r="34824">
      <c r="D34824" s="39"/>
      <c r="E34824" s="39"/>
      <c r="F34824" s="39"/>
    </row>
    <row r="34825">
      <c r="D34825" s="39"/>
      <c r="E34825" s="39"/>
      <c r="F34825" s="39"/>
    </row>
    <row r="34826">
      <c r="D34826" s="39"/>
      <c r="E34826" s="39"/>
      <c r="F34826" s="39"/>
    </row>
    <row r="34827">
      <c r="D34827" s="39"/>
      <c r="E34827" s="39"/>
      <c r="F34827" s="39"/>
    </row>
    <row r="34828">
      <c r="D34828" s="39"/>
      <c r="E34828" s="39"/>
      <c r="F34828" s="39"/>
    </row>
    <row r="34829">
      <c r="D34829" s="39"/>
      <c r="E34829" s="39"/>
      <c r="F34829" s="39"/>
    </row>
    <row r="34830">
      <c r="D34830" s="39"/>
      <c r="E34830" s="39"/>
      <c r="F34830" s="39"/>
    </row>
    <row r="34831">
      <c r="D34831" s="39"/>
      <c r="E34831" s="39"/>
      <c r="F34831" s="39"/>
    </row>
    <row r="34832">
      <c r="D34832" s="39"/>
      <c r="E34832" s="39"/>
      <c r="F34832" s="39"/>
    </row>
    <row r="34833">
      <c r="D34833" s="39"/>
      <c r="E34833" s="39"/>
      <c r="F34833" s="39"/>
    </row>
    <row r="34834">
      <c r="D34834" s="39"/>
      <c r="E34834" s="39"/>
      <c r="F34834" s="39"/>
    </row>
    <row r="34835">
      <c r="D34835" s="39"/>
      <c r="E34835" s="39"/>
      <c r="F34835" s="39"/>
    </row>
    <row r="34836">
      <c r="D34836" s="39"/>
      <c r="E34836" s="39"/>
      <c r="F34836" s="39"/>
    </row>
    <row r="34837">
      <c r="D34837" s="39"/>
      <c r="E34837" s="39"/>
      <c r="F34837" s="39"/>
    </row>
    <row r="34838">
      <c r="D34838" s="39"/>
      <c r="E34838" s="39"/>
      <c r="F34838" s="39"/>
    </row>
    <row r="34839">
      <c r="D34839" s="39"/>
      <c r="E34839" s="39"/>
      <c r="F34839" s="39"/>
    </row>
    <row r="34840">
      <c r="D34840" s="39"/>
      <c r="E34840" s="39"/>
      <c r="F34840" s="39"/>
    </row>
    <row r="34841">
      <c r="D34841" s="39"/>
      <c r="E34841" s="39"/>
      <c r="F34841" s="39"/>
    </row>
    <row r="34842">
      <c r="D34842" s="39"/>
      <c r="E34842" s="39"/>
      <c r="F34842" s="39"/>
    </row>
    <row r="34843">
      <c r="D34843" s="39"/>
      <c r="E34843" s="39"/>
      <c r="F34843" s="39"/>
    </row>
    <row r="34844">
      <c r="D34844" s="39"/>
      <c r="E34844" s="39"/>
      <c r="F34844" s="39"/>
    </row>
    <row r="34845">
      <c r="D34845" s="39"/>
      <c r="E34845" s="39"/>
      <c r="F34845" s="39"/>
    </row>
    <row r="34846">
      <c r="D34846" s="39"/>
      <c r="E34846" s="39"/>
      <c r="F34846" s="39"/>
    </row>
    <row r="34847">
      <c r="D34847" s="39"/>
      <c r="E34847" s="39"/>
      <c r="F34847" s="39"/>
    </row>
    <row r="34848">
      <c r="D34848" s="39"/>
      <c r="E34848" s="39"/>
      <c r="F34848" s="39"/>
    </row>
    <row r="34849">
      <c r="D34849" s="39"/>
      <c r="E34849" s="39"/>
      <c r="F34849" s="39"/>
    </row>
    <row r="34850">
      <c r="D34850" s="39"/>
      <c r="E34850" s="39"/>
      <c r="F34850" s="39"/>
    </row>
    <row r="34851">
      <c r="D34851" s="39"/>
      <c r="E34851" s="39"/>
      <c r="F34851" s="39"/>
    </row>
    <row r="34852">
      <c r="D34852" s="39"/>
      <c r="E34852" s="39"/>
      <c r="F34852" s="39"/>
    </row>
    <row r="34853">
      <c r="D34853" s="39"/>
      <c r="E34853" s="39"/>
      <c r="F34853" s="39"/>
    </row>
    <row r="34854">
      <c r="D34854" s="39"/>
      <c r="E34854" s="39"/>
      <c r="F34854" s="39"/>
    </row>
    <row r="34855">
      <c r="D34855" s="39"/>
      <c r="E34855" s="39"/>
      <c r="F34855" s="39"/>
    </row>
    <row r="34856">
      <c r="D34856" s="39"/>
      <c r="E34856" s="39"/>
      <c r="F34856" s="39"/>
    </row>
    <row r="34857">
      <c r="D34857" s="39"/>
      <c r="E34857" s="39"/>
      <c r="F34857" s="39"/>
    </row>
    <row r="34858">
      <c r="D34858" s="39"/>
      <c r="E34858" s="39"/>
      <c r="F34858" s="39"/>
    </row>
    <row r="34859">
      <c r="D34859" s="39"/>
      <c r="E34859" s="39"/>
      <c r="F34859" s="39"/>
    </row>
    <row r="34860">
      <c r="D34860" s="39"/>
      <c r="E34860" s="39"/>
      <c r="F34860" s="39"/>
    </row>
    <row r="34861">
      <c r="D34861" s="39"/>
      <c r="E34861" s="39"/>
      <c r="F34861" s="39"/>
    </row>
    <row r="34862">
      <c r="D34862" s="39"/>
      <c r="E34862" s="39"/>
      <c r="F34862" s="39"/>
    </row>
    <row r="34863">
      <c r="D34863" s="39"/>
      <c r="E34863" s="39"/>
      <c r="F34863" s="39"/>
    </row>
    <row r="34864">
      <c r="D34864" s="39"/>
      <c r="E34864" s="39"/>
      <c r="F34864" s="39"/>
    </row>
    <row r="34865">
      <c r="D34865" s="39"/>
      <c r="E34865" s="39"/>
      <c r="F34865" s="39"/>
    </row>
    <row r="34866">
      <c r="D34866" s="39"/>
      <c r="E34866" s="39"/>
      <c r="F34866" s="39"/>
    </row>
    <row r="34867">
      <c r="D34867" s="39"/>
      <c r="E34867" s="39"/>
      <c r="F34867" s="39"/>
    </row>
    <row r="34868">
      <c r="D34868" s="39"/>
      <c r="E34868" s="39"/>
      <c r="F34868" s="39"/>
    </row>
    <row r="34869">
      <c r="D34869" s="39"/>
      <c r="E34869" s="39"/>
      <c r="F34869" s="39"/>
    </row>
    <row r="34870">
      <c r="D34870" s="39"/>
      <c r="E34870" s="39"/>
      <c r="F34870" s="39"/>
    </row>
    <row r="34871">
      <c r="D34871" s="39"/>
      <c r="E34871" s="39"/>
      <c r="F34871" s="39"/>
    </row>
    <row r="34872">
      <c r="D34872" s="39"/>
      <c r="E34872" s="39"/>
      <c r="F34872" s="39"/>
    </row>
    <row r="34873">
      <c r="D34873" s="39"/>
      <c r="E34873" s="39"/>
      <c r="F34873" s="39"/>
    </row>
    <row r="34874">
      <c r="D34874" s="39"/>
      <c r="E34874" s="39"/>
      <c r="F34874" s="39"/>
    </row>
    <row r="34875">
      <c r="D34875" s="39"/>
      <c r="E34875" s="39"/>
      <c r="F34875" s="39"/>
    </row>
    <row r="34876">
      <c r="D34876" s="39"/>
      <c r="E34876" s="39"/>
      <c r="F34876" s="39"/>
    </row>
    <row r="34877">
      <c r="D34877" s="39"/>
      <c r="E34877" s="39"/>
      <c r="F34877" s="39"/>
    </row>
    <row r="34878">
      <c r="D34878" s="39"/>
      <c r="E34878" s="39"/>
      <c r="F34878" s="39"/>
    </row>
    <row r="34879">
      <c r="D34879" s="39"/>
      <c r="E34879" s="39"/>
      <c r="F34879" s="39"/>
    </row>
    <row r="34880">
      <c r="D34880" s="39"/>
      <c r="E34880" s="39"/>
      <c r="F34880" s="39"/>
    </row>
    <row r="34881">
      <c r="D34881" s="39"/>
      <c r="E34881" s="39"/>
      <c r="F34881" s="39"/>
    </row>
    <row r="34882">
      <c r="D34882" s="39"/>
      <c r="E34882" s="39"/>
      <c r="F34882" s="39"/>
    </row>
    <row r="34883">
      <c r="D34883" s="39"/>
      <c r="E34883" s="39"/>
      <c r="F34883" s="39"/>
    </row>
    <row r="34884">
      <c r="D34884" s="39"/>
      <c r="E34884" s="39"/>
      <c r="F34884" s="39"/>
    </row>
    <row r="34885">
      <c r="D34885" s="39"/>
      <c r="E34885" s="39"/>
      <c r="F34885" s="39"/>
    </row>
    <row r="34886">
      <c r="D34886" s="39"/>
      <c r="E34886" s="39"/>
      <c r="F34886" s="39"/>
    </row>
    <row r="34887">
      <c r="D34887" s="39"/>
      <c r="E34887" s="39"/>
      <c r="F34887" s="39"/>
    </row>
    <row r="34888">
      <c r="D34888" s="39"/>
      <c r="E34888" s="39"/>
      <c r="F34888" s="39"/>
    </row>
    <row r="34889">
      <c r="D34889" s="39"/>
      <c r="E34889" s="39"/>
      <c r="F34889" s="39"/>
    </row>
    <row r="34890">
      <c r="D34890" s="39"/>
      <c r="E34890" s="39"/>
      <c r="F34890" s="39"/>
    </row>
    <row r="34891">
      <c r="D34891" s="39"/>
      <c r="E34891" s="39"/>
      <c r="F34891" s="39"/>
    </row>
    <row r="34892">
      <c r="D34892" s="39"/>
      <c r="E34892" s="39"/>
      <c r="F34892" s="39"/>
    </row>
    <row r="34893">
      <c r="D34893" s="39"/>
      <c r="E34893" s="39"/>
      <c r="F34893" s="39"/>
    </row>
    <row r="34894">
      <c r="D34894" s="39"/>
      <c r="E34894" s="39"/>
      <c r="F34894" s="39"/>
    </row>
    <row r="34895">
      <c r="D34895" s="39"/>
      <c r="E34895" s="39"/>
      <c r="F34895" s="39"/>
    </row>
    <row r="34896">
      <c r="D34896" s="39"/>
      <c r="E34896" s="39"/>
      <c r="F34896" s="39"/>
    </row>
    <row r="34897">
      <c r="D34897" s="39"/>
      <c r="E34897" s="39"/>
      <c r="F34897" s="39"/>
    </row>
    <row r="34898">
      <c r="D34898" s="39"/>
      <c r="E34898" s="39"/>
      <c r="F34898" s="39"/>
    </row>
    <row r="34899">
      <c r="D34899" s="39"/>
      <c r="E34899" s="39"/>
      <c r="F34899" s="39"/>
    </row>
    <row r="34900">
      <c r="D34900" s="39"/>
      <c r="E34900" s="39"/>
      <c r="F34900" s="39"/>
    </row>
    <row r="34901">
      <c r="D34901" s="39"/>
      <c r="E34901" s="39"/>
      <c r="F34901" s="39"/>
    </row>
    <row r="34902">
      <c r="D34902" s="39"/>
      <c r="E34902" s="39"/>
      <c r="F34902" s="39"/>
    </row>
    <row r="34903">
      <c r="D34903" s="39"/>
      <c r="E34903" s="39"/>
      <c r="F34903" s="39"/>
    </row>
    <row r="34904">
      <c r="D34904" s="39"/>
      <c r="E34904" s="39"/>
      <c r="F34904" s="39"/>
    </row>
    <row r="34905">
      <c r="D34905" s="39"/>
      <c r="E34905" s="39"/>
      <c r="F34905" s="39"/>
    </row>
    <row r="34906">
      <c r="D34906" s="39"/>
      <c r="E34906" s="39"/>
      <c r="F34906" s="39"/>
    </row>
    <row r="34907">
      <c r="D34907" s="39"/>
      <c r="E34907" s="39"/>
      <c r="F34907" s="39"/>
    </row>
    <row r="34908">
      <c r="D34908" s="39"/>
      <c r="E34908" s="39"/>
      <c r="F34908" s="39"/>
    </row>
    <row r="34909">
      <c r="D34909" s="39"/>
      <c r="E34909" s="39"/>
      <c r="F34909" s="39"/>
    </row>
    <row r="34910">
      <c r="D34910" s="39"/>
      <c r="E34910" s="39"/>
      <c r="F34910" s="39"/>
    </row>
    <row r="34911">
      <c r="D34911" s="39"/>
      <c r="E34911" s="39"/>
      <c r="F34911" s="39"/>
    </row>
    <row r="34912">
      <c r="D34912" s="39"/>
      <c r="E34912" s="39"/>
      <c r="F34912" s="39"/>
    </row>
    <row r="34913">
      <c r="D34913" s="39"/>
      <c r="E34913" s="39"/>
      <c r="F34913" s="39"/>
    </row>
    <row r="34914">
      <c r="D34914" s="39"/>
      <c r="E34914" s="39"/>
      <c r="F34914" s="39"/>
    </row>
    <row r="34915">
      <c r="D34915" s="39"/>
      <c r="E34915" s="39"/>
      <c r="F34915" s="39"/>
    </row>
    <row r="34916">
      <c r="D34916" s="39"/>
      <c r="E34916" s="39"/>
      <c r="F34916" s="39"/>
    </row>
    <row r="34917">
      <c r="D34917" s="39"/>
      <c r="E34917" s="39"/>
      <c r="F34917" s="39"/>
    </row>
    <row r="34918">
      <c r="D34918" s="39"/>
      <c r="E34918" s="39"/>
      <c r="F34918" s="39"/>
    </row>
    <row r="34919">
      <c r="D34919" s="39"/>
      <c r="E34919" s="39"/>
      <c r="F34919" s="39"/>
    </row>
    <row r="34920">
      <c r="D34920" s="39"/>
      <c r="E34920" s="39"/>
      <c r="F34920" s="39"/>
    </row>
    <row r="34921">
      <c r="D34921" s="39"/>
      <c r="E34921" s="39"/>
      <c r="F34921" s="39"/>
    </row>
    <row r="34922">
      <c r="D34922" s="39"/>
      <c r="E34922" s="39"/>
      <c r="F34922" s="39"/>
    </row>
    <row r="34923">
      <c r="D34923" s="39"/>
      <c r="E34923" s="39"/>
      <c r="F34923" s="39"/>
    </row>
    <row r="34924">
      <c r="D34924" s="39"/>
      <c r="E34924" s="39"/>
      <c r="F34924" s="39"/>
    </row>
    <row r="34925">
      <c r="D34925" s="39"/>
      <c r="E34925" s="39"/>
      <c r="F34925" s="39"/>
    </row>
    <row r="34926">
      <c r="D34926" s="39"/>
      <c r="E34926" s="39"/>
      <c r="F34926" s="39"/>
    </row>
    <row r="34927">
      <c r="D34927" s="39"/>
      <c r="E34927" s="39"/>
      <c r="F34927" s="39"/>
    </row>
    <row r="34928">
      <c r="D34928" s="39"/>
      <c r="E34928" s="39"/>
      <c r="F34928" s="39"/>
    </row>
    <row r="34929">
      <c r="D34929" s="39"/>
      <c r="E34929" s="39"/>
      <c r="F34929" s="39"/>
    </row>
    <row r="34930">
      <c r="D34930" s="39"/>
      <c r="E34930" s="39"/>
      <c r="F34930" s="39"/>
    </row>
    <row r="34931">
      <c r="D34931" s="39"/>
      <c r="E34931" s="39"/>
      <c r="F34931" s="39"/>
    </row>
    <row r="34932">
      <c r="D34932" s="39"/>
      <c r="E34932" s="39"/>
      <c r="F34932" s="39"/>
    </row>
    <row r="34933">
      <c r="D34933" s="39"/>
      <c r="E34933" s="39"/>
      <c r="F34933" s="39"/>
    </row>
    <row r="34934">
      <c r="D34934" s="39"/>
      <c r="E34934" s="39"/>
      <c r="F34934" s="39"/>
    </row>
    <row r="34935">
      <c r="D34935" s="39"/>
      <c r="E34935" s="39"/>
      <c r="F34935" s="39"/>
    </row>
    <row r="34936">
      <c r="D34936" s="39"/>
      <c r="E34936" s="39"/>
      <c r="F34936" s="39"/>
    </row>
    <row r="34937">
      <c r="D34937" s="39"/>
      <c r="E34937" s="39"/>
      <c r="F34937" s="39"/>
    </row>
    <row r="34938">
      <c r="D34938" s="39"/>
      <c r="E34938" s="39"/>
      <c r="F34938" s="39"/>
    </row>
    <row r="34939">
      <c r="D34939" s="39"/>
      <c r="E34939" s="39"/>
      <c r="F34939" s="39"/>
    </row>
    <row r="34940">
      <c r="D34940" s="39"/>
      <c r="E34940" s="39"/>
      <c r="F34940" s="39"/>
    </row>
    <row r="34941">
      <c r="D34941" s="39"/>
      <c r="E34941" s="39"/>
      <c r="F34941" s="39"/>
    </row>
    <row r="34942">
      <c r="D34942" s="39"/>
      <c r="E34942" s="39"/>
      <c r="F34942" s="39"/>
    </row>
    <row r="34943">
      <c r="D34943" s="39"/>
      <c r="E34943" s="39"/>
      <c r="F34943" s="39"/>
    </row>
    <row r="34944">
      <c r="D34944" s="39"/>
      <c r="E34944" s="39"/>
      <c r="F34944" s="39"/>
    </row>
    <row r="34945">
      <c r="D34945" s="39"/>
      <c r="E34945" s="39"/>
      <c r="F34945" s="39"/>
    </row>
    <row r="34946">
      <c r="D34946" s="39"/>
      <c r="E34946" s="39"/>
      <c r="F34946" s="39"/>
    </row>
    <row r="34947">
      <c r="D34947" s="39"/>
      <c r="E34947" s="39"/>
      <c r="F34947" s="39"/>
    </row>
    <row r="34948">
      <c r="D34948" s="39"/>
      <c r="E34948" s="39"/>
      <c r="F34948" s="39"/>
    </row>
    <row r="34949">
      <c r="D34949" s="39"/>
      <c r="E34949" s="39"/>
      <c r="F34949" s="39"/>
    </row>
    <row r="34950">
      <c r="D34950" s="39"/>
      <c r="E34950" s="39"/>
      <c r="F34950" s="39"/>
    </row>
    <row r="34951">
      <c r="D34951" s="39"/>
      <c r="E34951" s="39"/>
      <c r="F34951" s="39"/>
    </row>
    <row r="34952">
      <c r="D34952" s="39"/>
      <c r="E34952" s="39"/>
      <c r="F34952" s="39"/>
    </row>
    <row r="34953">
      <c r="D34953" s="39"/>
      <c r="E34953" s="39"/>
      <c r="F34953" s="39"/>
    </row>
    <row r="34954">
      <c r="D34954" s="39"/>
      <c r="E34954" s="39"/>
      <c r="F34954" s="39"/>
    </row>
    <row r="34955">
      <c r="D34955" s="39"/>
      <c r="E34955" s="39"/>
      <c r="F34955" s="39"/>
    </row>
    <row r="34956">
      <c r="D34956" s="39"/>
      <c r="E34956" s="39"/>
      <c r="F34956" s="39"/>
    </row>
    <row r="34957">
      <c r="D34957" s="39"/>
      <c r="E34957" s="39"/>
      <c r="F34957" s="39"/>
    </row>
    <row r="34958">
      <c r="D34958" s="39"/>
      <c r="E34958" s="39"/>
      <c r="F34958" s="39"/>
    </row>
    <row r="34959">
      <c r="D34959" s="39"/>
      <c r="E34959" s="39"/>
      <c r="F34959" s="39"/>
    </row>
    <row r="34960">
      <c r="D34960" s="39"/>
      <c r="E34960" s="39"/>
      <c r="F34960" s="39"/>
    </row>
    <row r="34961">
      <c r="D34961" s="39"/>
      <c r="E34961" s="39"/>
      <c r="F34961" s="39"/>
    </row>
    <row r="34962">
      <c r="D34962" s="39"/>
      <c r="E34962" s="39"/>
      <c r="F34962" s="39"/>
    </row>
    <row r="34963">
      <c r="D34963" s="39"/>
      <c r="E34963" s="39"/>
      <c r="F34963" s="39"/>
    </row>
    <row r="34964">
      <c r="D34964" s="39"/>
      <c r="E34964" s="39"/>
      <c r="F34964" s="39"/>
    </row>
    <row r="34965">
      <c r="D34965" s="39"/>
      <c r="E34965" s="39"/>
      <c r="F34965" s="39"/>
    </row>
    <row r="34966">
      <c r="D34966" s="39"/>
      <c r="E34966" s="39"/>
      <c r="F34966" s="39"/>
    </row>
    <row r="34967">
      <c r="D34967" s="39"/>
      <c r="E34967" s="39"/>
      <c r="F34967" s="39"/>
    </row>
    <row r="34968">
      <c r="D34968" s="39"/>
      <c r="E34968" s="39"/>
      <c r="F34968" s="39"/>
    </row>
    <row r="34969">
      <c r="D34969" s="39"/>
      <c r="E34969" s="39"/>
      <c r="F34969" s="39"/>
    </row>
    <row r="34970">
      <c r="D34970" s="39"/>
      <c r="E34970" s="39"/>
      <c r="F34970" s="39"/>
    </row>
    <row r="34971">
      <c r="D34971" s="39"/>
      <c r="E34971" s="39"/>
      <c r="F34971" s="39"/>
    </row>
    <row r="34972">
      <c r="D34972" s="39"/>
      <c r="E34972" s="39"/>
      <c r="F34972" s="39"/>
    </row>
    <row r="34973">
      <c r="D34973" s="39"/>
      <c r="E34973" s="39"/>
      <c r="F34973" s="39"/>
    </row>
    <row r="34974">
      <c r="D34974" s="39"/>
      <c r="E34974" s="39"/>
      <c r="F34974" s="39"/>
    </row>
    <row r="34975">
      <c r="D34975" s="39"/>
      <c r="E34975" s="39"/>
      <c r="F34975" s="39"/>
    </row>
    <row r="34976">
      <c r="D34976" s="39"/>
      <c r="E34976" s="39"/>
      <c r="F34976" s="39"/>
    </row>
    <row r="34977">
      <c r="D34977" s="39"/>
      <c r="E34977" s="39"/>
      <c r="F34977" s="39"/>
    </row>
    <row r="34978">
      <c r="D34978" s="39"/>
      <c r="E34978" s="39"/>
      <c r="F34978" s="39"/>
    </row>
    <row r="34979">
      <c r="D34979" s="39"/>
      <c r="E34979" s="39"/>
      <c r="F34979" s="39"/>
    </row>
    <row r="34980">
      <c r="D34980" s="39"/>
      <c r="E34980" s="39"/>
      <c r="F34980" s="39"/>
    </row>
    <row r="34981">
      <c r="D34981" s="39"/>
      <c r="E34981" s="39"/>
      <c r="F34981" s="39"/>
    </row>
    <row r="34982">
      <c r="D34982" s="39"/>
      <c r="E34982" s="39"/>
      <c r="F34982" s="39"/>
    </row>
    <row r="34983">
      <c r="D34983" s="39"/>
      <c r="E34983" s="39"/>
      <c r="F34983" s="39"/>
    </row>
    <row r="34984">
      <c r="D34984" s="39"/>
      <c r="E34984" s="39"/>
      <c r="F34984" s="39"/>
    </row>
    <row r="34985">
      <c r="D34985" s="39"/>
      <c r="E34985" s="39"/>
      <c r="F34985" s="39"/>
    </row>
    <row r="34986">
      <c r="D34986" s="39"/>
      <c r="E34986" s="39"/>
      <c r="F34986" s="39"/>
    </row>
    <row r="34987">
      <c r="D34987" s="39"/>
      <c r="E34987" s="39"/>
      <c r="F34987" s="39"/>
    </row>
    <row r="34988">
      <c r="D34988" s="39"/>
      <c r="E34988" s="39"/>
      <c r="F34988" s="39"/>
    </row>
    <row r="34989">
      <c r="D34989" s="39"/>
      <c r="E34989" s="39"/>
      <c r="F34989" s="39"/>
    </row>
    <row r="34990">
      <c r="D34990" s="39"/>
      <c r="E34990" s="39"/>
      <c r="F34990" s="39"/>
    </row>
    <row r="34991">
      <c r="D34991" s="39"/>
      <c r="E34991" s="39"/>
      <c r="F34991" s="39"/>
    </row>
    <row r="34992">
      <c r="D34992" s="39"/>
      <c r="E34992" s="39"/>
      <c r="F34992" s="39"/>
    </row>
    <row r="34993">
      <c r="D34993" s="39"/>
      <c r="E34993" s="39"/>
      <c r="F34993" s="39"/>
    </row>
    <row r="34994">
      <c r="D34994" s="39"/>
      <c r="E34994" s="39"/>
      <c r="F34994" s="39"/>
    </row>
    <row r="34995">
      <c r="D34995" s="39"/>
      <c r="E34995" s="39"/>
      <c r="F34995" s="39"/>
    </row>
    <row r="34996">
      <c r="D34996" s="39"/>
      <c r="E34996" s="39"/>
      <c r="F34996" s="39"/>
    </row>
    <row r="34997">
      <c r="D34997" s="39"/>
      <c r="E34997" s="39"/>
      <c r="F34997" s="39"/>
    </row>
    <row r="34998">
      <c r="D34998" s="39"/>
      <c r="E34998" s="39"/>
      <c r="F34998" s="39"/>
    </row>
    <row r="34999">
      <c r="D34999" s="39"/>
      <c r="E34999" s="39"/>
      <c r="F34999" s="39"/>
    </row>
    <row r="35000">
      <c r="D35000" s="39"/>
      <c r="E35000" s="39"/>
      <c r="F35000" s="39"/>
    </row>
    <row r="35001">
      <c r="D35001" s="39"/>
      <c r="E35001" s="39"/>
      <c r="F35001" s="39"/>
    </row>
    <row r="35002">
      <c r="D35002" s="39"/>
      <c r="E35002" s="39"/>
      <c r="F35002" s="39"/>
    </row>
    <row r="35003">
      <c r="D35003" s="39"/>
      <c r="E35003" s="39"/>
      <c r="F35003" s="39"/>
    </row>
    <row r="35004">
      <c r="D35004" s="39"/>
      <c r="E35004" s="39"/>
      <c r="F35004" s="39"/>
    </row>
    <row r="35005">
      <c r="D35005" s="39"/>
      <c r="E35005" s="39"/>
      <c r="F35005" s="39"/>
    </row>
    <row r="35006">
      <c r="D35006" s="39"/>
      <c r="E35006" s="39"/>
      <c r="F35006" s="39"/>
    </row>
    <row r="35007">
      <c r="D35007" s="39"/>
      <c r="E35007" s="39"/>
      <c r="F35007" s="39"/>
    </row>
    <row r="35008">
      <c r="D35008" s="39"/>
      <c r="E35008" s="39"/>
      <c r="F35008" s="39"/>
    </row>
    <row r="35009">
      <c r="D35009" s="39"/>
      <c r="E35009" s="39"/>
      <c r="F35009" s="39"/>
    </row>
    <row r="35010">
      <c r="D35010" s="39"/>
      <c r="E35010" s="39"/>
      <c r="F35010" s="39"/>
    </row>
    <row r="35011">
      <c r="D35011" s="39"/>
      <c r="E35011" s="39"/>
      <c r="F35011" s="39"/>
    </row>
    <row r="35012">
      <c r="D35012" s="39"/>
      <c r="E35012" s="39"/>
      <c r="F35012" s="39"/>
    </row>
    <row r="35013">
      <c r="D35013" s="39"/>
      <c r="E35013" s="39"/>
      <c r="F35013" s="39"/>
    </row>
    <row r="35014">
      <c r="D35014" s="39"/>
      <c r="E35014" s="39"/>
      <c r="F35014" s="39"/>
    </row>
    <row r="35015">
      <c r="D35015" s="39"/>
      <c r="E35015" s="39"/>
      <c r="F35015" s="39"/>
    </row>
    <row r="35016">
      <c r="D35016" s="39"/>
      <c r="E35016" s="39"/>
      <c r="F35016" s="39"/>
    </row>
    <row r="35017">
      <c r="D35017" s="39"/>
      <c r="E35017" s="39"/>
      <c r="F35017" s="39"/>
    </row>
    <row r="35018">
      <c r="D35018" s="39"/>
      <c r="E35018" s="39"/>
      <c r="F35018" s="39"/>
    </row>
    <row r="35019">
      <c r="D35019" s="39"/>
      <c r="E35019" s="39"/>
      <c r="F35019" s="39"/>
    </row>
    <row r="35020">
      <c r="D35020" s="39"/>
      <c r="E35020" s="39"/>
      <c r="F35020" s="39"/>
    </row>
    <row r="35021">
      <c r="D35021" s="39"/>
      <c r="E35021" s="39"/>
      <c r="F35021" s="39"/>
    </row>
    <row r="35022">
      <c r="D35022" s="39"/>
      <c r="E35022" s="39"/>
      <c r="F35022" s="39"/>
    </row>
    <row r="35023">
      <c r="D35023" s="39"/>
      <c r="E35023" s="39"/>
      <c r="F35023" s="39"/>
    </row>
    <row r="35024">
      <c r="D35024" s="39"/>
      <c r="E35024" s="39"/>
      <c r="F35024" s="39"/>
    </row>
    <row r="35025">
      <c r="D35025" s="39"/>
      <c r="E35025" s="39"/>
      <c r="F35025" s="39"/>
    </row>
    <row r="35026">
      <c r="D35026" s="39"/>
      <c r="E35026" s="39"/>
      <c r="F35026" s="39"/>
    </row>
    <row r="35027">
      <c r="D35027" s="39"/>
      <c r="E35027" s="39"/>
      <c r="F35027" s="39"/>
    </row>
    <row r="35028">
      <c r="D35028" s="39"/>
      <c r="E35028" s="39"/>
      <c r="F35028" s="39"/>
    </row>
    <row r="35029">
      <c r="D35029" s="39"/>
      <c r="E35029" s="39"/>
      <c r="F35029" s="39"/>
    </row>
    <row r="35030">
      <c r="D35030" s="39"/>
      <c r="E35030" s="39"/>
      <c r="F35030" s="39"/>
    </row>
    <row r="35031">
      <c r="D35031" s="39"/>
      <c r="E35031" s="39"/>
      <c r="F35031" s="39"/>
    </row>
    <row r="35032">
      <c r="D35032" s="39"/>
      <c r="E35032" s="39"/>
      <c r="F35032" s="39"/>
    </row>
    <row r="35033">
      <c r="D35033" s="39"/>
      <c r="E35033" s="39"/>
      <c r="F35033" s="39"/>
    </row>
    <row r="35034">
      <c r="D35034" s="39"/>
      <c r="E35034" s="39"/>
      <c r="F35034" s="39"/>
    </row>
    <row r="35035">
      <c r="D35035" s="39"/>
      <c r="E35035" s="39"/>
      <c r="F35035" s="39"/>
    </row>
    <row r="35036">
      <c r="D35036" s="39"/>
      <c r="E35036" s="39"/>
      <c r="F35036" s="39"/>
    </row>
    <row r="35037">
      <c r="D35037" s="39"/>
      <c r="E35037" s="39"/>
      <c r="F35037" s="39"/>
    </row>
    <row r="35038">
      <c r="D35038" s="39"/>
      <c r="E35038" s="39"/>
      <c r="F35038" s="39"/>
    </row>
    <row r="35039">
      <c r="D35039" s="39"/>
      <c r="E35039" s="39"/>
      <c r="F35039" s="39"/>
    </row>
    <row r="35040">
      <c r="D35040" s="39"/>
      <c r="E35040" s="39"/>
      <c r="F35040" s="39"/>
    </row>
    <row r="35041">
      <c r="D35041" s="39"/>
      <c r="E35041" s="39"/>
      <c r="F35041" s="39"/>
    </row>
    <row r="35042">
      <c r="D35042" s="39"/>
      <c r="E35042" s="39"/>
      <c r="F35042" s="39"/>
    </row>
    <row r="35043">
      <c r="D35043" s="39"/>
      <c r="E35043" s="39"/>
      <c r="F35043" s="39"/>
    </row>
    <row r="35044">
      <c r="D35044" s="39"/>
      <c r="E35044" s="39"/>
      <c r="F35044" s="39"/>
    </row>
    <row r="35045">
      <c r="D35045" s="39"/>
      <c r="E35045" s="39"/>
      <c r="F35045" s="39"/>
    </row>
    <row r="35046">
      <c r="D35046" s="39"/>
      <c r="E35046" s="39"/>
      <c r="F35046" s="39"/>
    </row>
    <row r="35047">
      <c r="D35047" s="39"/>
      <c r="E35047" s="39"/>
      <c r="F35047" s="39"/>
    </row>
    <row r="35048">
      <c r="D35048" s="39"/>
      <c r="E35048" s="39"/>
      <c r="F35048" s="39"/>
    </row>
    <row r="35049">
      <c r="D35049" s="39"/>
      <c r="E35049" s="39"/>
      <c r="F35049" s="39"/>
    </row>
    <row r="35050">
      <c r="D35050" s="39"/>
      <c r="E35050" s="39"/>
      <c r="F35050" s="39"/>
    </row>
    <row r="35051">
      <c r="D35051" s="39"/>
      <c r="E35051" s="39"/>
      <c r="F35051" s="39"/>
    </row>
    <row r="35052">
      <c r="D35052" s="39"/>
      <c r="E35052" s="39"/>
      <c r="F35052" s="39"/>
    </row>
    <row r="35053">
      <c r="D35053" s="39"/>
      <c r="E35053" s="39"/>
      <c r="F35053" s="39"/>
    </row>
    <row r="35054">
      <c r="D35054" s="39"/>
      <c r="E35054" s="39"/>
      <c r="F35054" s="39"/>
    </row>
    <row r="35055">
      <c r="D35055" s="39"/>
      <c r="E35055" s="39"/>
      <c r="F35055" s="39"/>
    </row>
    <row r="35056">
      <c r="D35056" s="39"/>
      <c r="E35056" s="39"/>
      <c r="F35056" s="39"/>
    </row>
    <row r="35057">
      <c r="D35057" s="39"/>
      <c r="E35057" s="39"/>
      <c r="F35057" s="39"/>
    </row>
    <row r="35058">
      <c r="D35058" s="39"/>
      <c r="E35058" s="39"/>
      <c r="F35058" s="39"/>
    </row>
    <row r="35059">
      <c r="D35059" s="39"/>
      <c r="E35059" s="39"/>
      <c r="F35059" s="39"/>
    </row>
    <row r="35060">
      <c r="D35060" s="39"/>
      <c r="E35060" s="39"/>
      <c r="F35060" s="39"/>
    </row>
    <row r="35061">
      <c r="D35061" s="39"/>
      <c r="E35061" s="39"/>
      <c r="F35061" s="39"/>
    </row>
    <row r="35062">
      <c r="D35062" s="39"/>
      <c r="E35062" s="39"/>
      <c r="F35062" s="39"/>
    </row>
    <row r="35063">
      <c r="D35063" s="39"/>
      <c r="E35063" s="39"/>
      <c r="F35063" s="39"/>
    </row>
    <row r="35064">
      <c r="D35064" s="39"/>
      <c r="E35064" s="39"/>
      <c r="F35064" s="39"/>
    </row>
    <row r="35065">
      <c r="D35065" s="39"/>
      <c r="E35065" s="39"/>
      <c r="F35065" s="39"/>
    </row>
    <row r="35066">
      <c r="D35066" s="39"/>
      <c r="E35066" s="39"/>
      <c r="F35066" s="39"/>
    </row>
    <row r="35067">
      <c r="D35067" s="39"/>
      <c r="E35067" s="39"/>
      <c r="F35067" s="39"/>
    </row>
    <row r="35068">
      <c r="D35068" s="39"/>
      <c r="E35068" s="39"/>
      <c r="F35068" s="39"/>
    </row>
    <row r="35069">
      <c r="D35069" s="39"/>
      <c r="E35069" s="39"/>
      <c r="F35069" s="39"/>
    </row>
    <row r="35070">
      <c r="D35070" s="39"/>
      <c r="E35070" s="39"/>
      <c r="F35070" s="39"/>
    </row>
    <row r="35071">
      <c r="D35071" s="39"/>
      <c r="E35071" s="39"/>
      <c r="F35071" s="39"/>
    </row>
    <row r="35072">
      <c r="D35072" s="39"/>
      <c r="E35072" s="39"/>
      <c r="F35072" s="39"/>
    </row>
    <row r="35073">
      <c r="D35073" s="39"/>
      <c r="E35073" s="39"/>
      <c r="F35073" s="39"/>
    </row>
    <row r="35074">
      <c r="D35074" s="39"/>
      <c r="E35074" s="39"/>
      <c r="F35074" s="39"/>
    </row>
    <row r="35075">
      <c r="D35075" s="39"/>
      <c r="E35075" s="39"/>
      <c r="F35075" s="39"/>
    </row>
    <row r="35076">
      <c r="D35076" s="39"/>
      <c r="E35076" s="39"/>
      <c r="F35076" s="39"/>
    </row>
    <row r="35077">
      <c r="D35077" s="39"/>
      <c r="E35077" s="39"/>
      <c r="F35077" s="39"/>
    </row>
    <row r="35078">
      <c r="D35078" s="39"/>
      <c r="E35078" s="39"/>
      <c r="F35078" s="39"/>
    </row>
    <row r="35079">
      <c r="D35079" s="39"/>
      <c r="E35079" s="39"/>
      <c r="F35079" s="39"/>
    </row>
    <row r="35080">
      <c r="D35080" s="39"/>
      <c r="E35080" s="39"/>
      <c r="F35080" s="39"/>
    </row>
    <row r="35081">
      <c r="D35081" s="39"/>
      <c r="E35081" s="39"/>
      <c r="F35081" s="39"/>
    </row>
    <row r="35082">
      <c r="D35082" s="39"/>
      <c r="E35082" s="39"/>
      <c r="F35082" s="39"/>
    </row>
    <row r="35083">
      <c r="D35083" s="39"/>
      <c r="E35083" s="39"/>
      <c r="F35083" s="39"/>
    </row>
    <row r="35084">
      <c r="D35084" s="39"/>
      <c r="E35084" s="39"/>
      <c r="F35084" s="39"/>
    </row>
    <row r="35085">
      <c r="D35085" s="39"/>
      <c r="E35085" s="39"/>
      <c r="F35085" s="39"/>
    </row>
    <row r="35086">
      <c r="D35086" s="39"/>
      <c r="E35086" s="39"/>
      <c r="F35086" s="39"/>
    </row>
    <row r="35087">
      <c r="D35087" s="39"/>
      <c r="E35087" s="39"/>
      <c r="F35087" s="39"/>
    </row>
    <row r="35088">
      <c r="D35088" s="39"/>
      <c r="E35088" s="39"/>
      <c r="F35088" s="39"/>
    </row>
    <row r="35089">
      <c r="D35089" s="39"/>
      <c r="E35089" s="39"/>
      <c r="F35089" s="39"/>
    </row>
    <row r="35090">
      <c r="D35090" s="39"/>
      <c r="E35090" s="39"/>
      <c r="F35090" s="39"/>
    </row>
    <row r="35091">
      <c r="D35091" s="39"/>
      <c r="E35091" s="39"/>
      <c r="F35091" s="39"/>
    </row>
    <row r="35092">
      <c r="D35092" s="39"/>
      <c r="E35092" s="39"/>
      <c r="F35092" s="39"/>
    </row>
    <row r="35093">
      <c r="D35093" s="39"/>
      <c r="E35093" s="39"/>
      <c r="F35093" s="39"/>
    </row>
    <row r="35094">
      <c r="D35094" s="39"/>
      <c r="E35094" s="39"/>
      <c r="F35094" s="39"/>
    </row>
    <row r="35095">
      <c r="D35095" s="39"/>
      <c r="E35095" s="39"/>
      <c r="F35095" s="39"/>
    </row>
    <row r="35096">
      <c r="D35096" s="39"/>
      <c r="E35096" s="39"/>
      <c r="F35096" s="39"/>
    </row>
    <row r="35097">
      <c r="D35097" s="39"/>
      <c r="E35097" s="39"/>
      <c r="F35097" s="39"/>
    </row>
    <row r="35098">
      <c r="D35098" s="39"/>
      <c r="E35098" s="39"/>
      <c r="F35098" s="39"/>
    </row>
    <row r="35099">
      <c r="D35099" s="39"/>
      <c r="E35099" s="39"/>
      <c r="F35099" s="39"/>
    </row>
    <row r="35100">
      <c r="D35100" s="39"/>
      <c r="E35100" s="39"/>
      <c r="F35100" s="39"/>
    </row>
    <row r="35101">
      <c r="D35101" s="39"/>
      <c r="E35101" s="39"/>
      <c r="F35101" s="39"/>
    </row>
    <row r="35102">
      <c r="D35102" s="39"/>
      <c r="E35102" s="39"/>
      <c r="F35102" s="39"/>
    </row>
    <row r="35103">
      <c r="D35103" s="39"/>
      <c r="E35103" s="39"/>
      <c r="F35103" s="39"/>
    </row>
    <row r="35104">
      <c r="D35104" s="39"/>
      <c r="E35104" s="39"/>
      <c r="F35104" s="39"/>
    </row>
    <row r="35105">
      <c r="D35105" s="39"/>
      <c r="E35105" s="39"/>
      <c r="F35105" s="39"/>
    </row>
    <row r="35106">
      <c r="D35106" s="39"/>
      <c r="E35106" s="39"/>
      <c r="F35106" s="39"/>
    </row>
    <row r="35107">
      <c r="D35107" s="39"/>
      <c r="E35107" s="39"/>
      <c r="F35107" s="39"/>
    </row>
    <row r="35108">
      <c r="D35108" s="39"/>
      <c r="E35108" s="39"/>
      <c r="F35108" s="39"/>
    </row>
    <row r="35109">
      <c r="D35109" s="39"/>
      <c r="E35109" s="39"/>
      <c r="F35109" s="39"/>
    </row>
    <row r="35110">
      <c r="D35110" s="39"/>
      <c r="E35110" s="39"/>
      <c r="F35110" s="39"/>
    </row>
    <row r="35111">
      <c r="D35111" s="39"/>
      <c r="E35111" s="39"/>
      <c r="F35111" s="39"/>
    </row>
    <row r="35112">
      <c r="D35112" s="39"/>
      <c r="E35112" s="39"/>
      <c r="F35112" s="39"/>
    </row>
    <row r="35113">
      <c r="D35113" s="39"/>
      <c r="E35113" s="39"/>
      <c r="F35113" s="39"/>
    </row>
    <row r="35114">
      <c r="D35114" s="39"/>
      <c r="E35114" s="39"/>
      <c r="F35114" s="39"/>
    </row>
    <row r="35115">
      <c r="D35115" s="39"/>
      <c r="E35115" s="39"/>
      <c r="F35115" s="39"/>
    </row>
    <row r="35116">
      <c r="D35116" s="39"/>
      <c r="E35116" s="39"/>
      <c r="F35116" s="39"/>
    </row>
    <row r="35117">
      <c r="D35117" s="39"/>
      <c r="E35117" s="39"/>
      <c r="F35117" s="39"/>
    </row>
    <row r="35118">
      <c r="D35118" s="39"/>
      <c r="E35118" s="39"/>
      <c r="F35118" s="39"/>
    </row>
    <row r="35119">
      <c r="D35119" s="39"/>
      <c r="E35119" s="39"/>
      <c r="F35119" s="39"/>
    </row>
    <row r="35120">
      <c r="D35120" s="39"/>
      <c r="E35120" s="39"/>
      <c r="F35120" s="39"/>
    </row>
    <row r="35121">
      <c r="D35121" s="39"/>
      <c r="E35121" s="39"/>
      <c r="F35121" s="39"/>
    </row>
    <row r="35122">
      <c r="D35122" s="39"/>
      <c r="E35122" s="39"/>
      <c r="F35122" s="39"/>
    </row>
    <row r="35123">
      <c r="D35123" s="39"/>
      <c r="E35123" s="39"/>
      <c r="F35123" s="39"/>
    </row>
    <row r="35124">
      <c r="D35124" s="39"/>
      <c r="E35124" s="39"/>
      <c r="F35124" s="39"/>
    </row>
    <row r="35125">
      <c r="D35125" s="39"/>
      <c r="E35125" s="39"/>
      <c r="F35125" s="39"/>
    </row>
    <row r="35126">
      <c r="D35126" s="39"/>
      <c r="E35126" s="39"/>
      <c r="F35126" s="39"/>
    </row>
    <row r="35127">
      <c r="D35127" s="39"/>
      <c r="E35127" s="39"/>
      <c r="F35127" s="39"/>
    </row>
    <row r="35128">
      <c r="D35128" s="39"/>
      <c r="E35128" s="39"/>
      <c r="F35128" s="39"/>
    </row>
    <row r="35129">
      <c r="D35129" s="39"/>
      <c r="E35129" s="39"/>
      <c r="F35129" s="39"/>
    </row>
    <row r="35130">
      <c r="D35130" s="39"/>
      <c r="E35130" s="39"/>
      <c r="F35130" s="39"/>
    </row>
    <row r="35131">
      <c r="D35131" s="39"/>
      <c r="E35131" s="39"/>
      <c r="F35131" s="39"/>
    </row>
    <row r="35132">
      <c r="D35132" s="39"/>
      <c r="E35132" s="39"/>
      <c r="F35132" s="39"/>
    </row>
    <row r="35133">
      <c r="D35133" s="39"/>
      <c r="E35133" s="39"/>
      <c r="F35133" s="39"/>
    </row>
    <row r="35134">
      <c r="D35134" s="39"/>
      <c r="E35134" s="39"/>
      <c r="F35134" s="39"/>
    </row>
    <row r="35135">
      <c r="D35135" s="39"/>
      <c r="E35135" s="39"/>
      <c r="F35135" s="39"/>
    </row>
    <row r="35136">
      <c r="D35136" s="39"/>
      <c r="E35136" s="39"/>
      <c r="F35136" s="39"/>
    </row>
    <row r="35137">
      <c r="D35137" s="39"/>
      <c r="E35137" s="39"/>
      <c r="F35137" s="39"/>
    </row>
    <row r="35138">
      <c r="D35138" s="39"/>
      <c r="E35138" s="39"/>
      <c r="F35138" s="39"/>
    </row>
    <row r="35139">
      <c r="D35139" s="39"/>
      <c r="E35139" s="39"/>
      <c r="F35139" s="39"/>
    </row>
    <row r="35140">
      <c r="D35140" s="39"/>
      <c r="E35140" s="39"/>
      <c r="F35140" s="39"/>
    </row>
    <row r="35141">
      <c r="D35141" s="39"/>
      <c r="E35141" s="39"/>
      <c r="F35141" s="39"/>
    </row>
    <row r="35142">
      <c r="D35142" s="39"/>
      <c r="E35142" s="39"/>
      <c r="F35142" s="39"/>
    </row>
    <row r="35143">
      <c r="D35143" s="39"/>
      <c r="E35143" s="39"/>
      <c r="F35143" s="39"/>
    </row>
    <row r="35144">
      <c r="D35144" s="39"/>
      <c r="E35144" s="39"/>
      <c r="F35144" s="39"/>
    </row>
    <row r="35145">
      <c r="D35145" s="39"/>
      <c r="E35145" s="39"/>
      <c r="F35145" s="39"/>
    </row>
    <row r="35146">
      <c r="D35146" s="39"/>
      <c r="E35146" s="39"/>
      <c r="F35146" s="39"/>
    </row>
    <row r="35147">
      <c r="D35147" s="39"/>
      <c r="E35147" s="39"/>
      <c r="F35147" s="39"/>
    </row>
    <row r="35148">
      <c r="D35148" s="39"/>
      <c r="E35148" s="39"/>
      <c r="F35148" s="39"/>
    </row>
    <row r="35149">
      <c r="D35149" s="39"/>
      <c r="E35149" s="39"/>
      <c r="F35149" s="39"/>
    </row>
    <row r="35150">
      <c r="D35150" s="39"/>
      <c r="E35150" s="39"/>
      <c r="F35150" s="39"/>
    </row>
    <row r="35151">
      <c r="D35151" s="39"/>
      <c r="E35151" s="39"/>
      <c r="F35151" s="39"/>
    </row>
    <row r="35152">
      <c r="D35152" s="39"/>
      <c r="E35152" s="39"/>
      <c r="F35152" s="39"/>
    </row>
    <row r="35153">
      <c r="D35153" s="39"/>
      <c r="E35153" s="39"/>
      <c r="F35153" s="39"/>
    </row>
    <row r="35154">
      <c r="D35154" s="39"/>
      <c r="E35154" s="39"/>
      <c r="F35154" s="39"/>
    </row>
    <row r="35155">
      <c r="D35155" s="39"/>
      <c r="E35155" s="39"/>
      <c r="F35155" s="39"/>
    </row>
    <row r="35156">
      <c r="D35156" s="39"/>
      <c r="E35156" s="39"/>
      <c r="F35156" s="39"/>
    </row>
    <row r="35157">
      <c r="D35157" s="39"/>
      <c r="E35157" s="39"/>
      <c r="F35157" s="39"/>
    </row>
    <row r="35158">
      <c r="D35158" s="39"/>
      <c r="E35158" s="39"/>
      <c r="F35158" s="39"/>
    </row>
    <row r="35159">
      <c r="D35159" s="39"/>
      <c r="E35159" s="39"/>
      <c r="F35159" s="39"/>
    </row>
    <row r="35160">
      <c r="D35160" s="39"/>
      <c r="E35160" s="39"/>
      <c r="F35160" s="39"/>
    </row>
    <row r="35161">
      <c r="D35161" s="39"/>
      <c r="E35161" s="39"/>
      <c r="F35161" s="39"/>
    </row>
    <row r="35162">
      <c r="D35162" s="39"/>
      <c r="E35162" s="39"/>
      <c r="F35162" s="39"/>
    </row>
    <row r="35163">
      <c r="D35163" s="39"/>
      <c r="E35163" s="39"/>
      <c r="F35163" s="39"/>
    </row>
    <row r="35164">
      <c r="D35164" s="39"/>
      <c r="E35164" s="39"/>
      <c r="F35164" s="39"/>
    </row>
    <row r="35165">
      <c r="D35165" s="39"/>
      <c r="E35165" s="39"/>
      <c r="F35165" s="39"/>
    </row>
    <row r="35166">
      <c r="D35166" s="39"/>
      <c r="E35166" s="39"/>
      <c r="F35166" s="39"/>
    </row>
    <row r="35167">
      <c r="D35167" s="39"/>
      <c r="E35167" s="39"/>
      <c r="F35167" s="39"/>
    </row>
    <row r="35168">
      <c r="D35168" s="39"/>
      <c r="E35168" s="39"/>
      <c r="F35168" s="39"/>
    </row>
    <row r="35169">
      <c r="D35169" s="39"/>
      <c r="E35169" s="39"/>
      <c r="F35169" s="39"/>
    </row>
    <row r="35170">
      <c r="D35170" s="39"/>
      <c r="E35170" s="39"/>
      <c r="F35170" s="39"/>
    </row>
    <row r="35171">
      <c r="D35171" s="39"/>
      <c r="E35171" s="39"/>
      <c r="F35171" s="39"/>
    </row>
    <row r="35172">
      <c r="D35172" s="39"/>
      <c r="E35172" s="39"/>
      <c r="F35172" s="39"/>
    </row>
    <row r="35173">
      <c r="D35173" s="39"/>
      <c r="E35173" s="39"/>
      <c r="F35173" s="39"/>
    </row>
    <row r="35174">
      <c r="D35174" s="39"/>
      <c r="E35174" s="39"/>
      <c r="F35174" s="39"/>
    </row>
    <row r="35175">
      <c r="D35175" s="39"/>
      <c r="E35175" s="39"/>
      <c r="F35175" s="39"/>
    </row>
    <row r="35176">
      <c r="D35176" s="39"/>
      <c r="E35176" s="39"/>
      <c r="F35176" s="39"/>
    </row>
    <row r="35177">
      <c r="D35177" s="39"/>
      <c r="E35177" s="39"/>
      <c r="F35177" s="39"/>
    </row>
    <row r="35178">
      <c r="D35178" s="39"/>
      <c r="E35178" s="39"/>
      <c r="F35178" s="39"/>
    </row>
    <row r="35179">
      <c r="D35179" s="39"/>
      <c r="E35179" s="39"/>
      <c r="F35179" s="39"/>
    </row>
    <row r="35180">
      <c r="D35180" s="39"/>
      <c r="E35180" s="39"/>
      <c r="F35180" s="39"/>
    </row>
    <row r="35181">
      <c r="D35181" s="39"/>
      <c r="E35181" s="39"/>
      <c r="F35181" s="39"/>
    </row>
    <row r="35182">
      <c r="D35182" s="39"/>
      <c r="E35182" s="39"/>
      <c r="F35182" s="39"/>
    </row>
    <row r="35183">
      <c r="D35183" s="39"/>
      <c r="E35183" s="39"/>
      <c r="F35183" s="39"/>
    </row>
    <row r="35184">
      <c r="D35184" s="39"/>
      <c r="E35184" s="39"/>
      <c r="F35184" s="39"/>
    </row>
    <row r="35185">
      <c r="D35185" s="39"/>
      <c r="E35185" s="39"/>
      <c r="F35185" s="39"/>
    </row>
    <row r="35186">
      <c r="D35186" s="39"/>
      <c r="E35186" s="39"/>
      <c r="F35186" s="39"/>
    </row>
    <row r="35187">
      <c r="D35187" s="39"/>
      <c r="E35187" s="39"/>
      <c r="F35187" s="39"/>
    </row>
    <row r="35188">
      <c r="D35188" s="39"/>
      <c r="E35188" s="39"/>
      <c r="F35188" s="39"/>
    </row>
    <row r="35189">
      <c r="D35189" s="39"/>
      <c r="E35189" s="39"/>
      <c r="F35189" s="39"/>
    </row>
    <row r="35190">
      <c r="D35190" s="39"/>
      <c r="E35190" s="39"/>
      <c r="F35190" s="39"/>
    </row>
    <row r="35191">
      <c r="D35191" s="39"/>
      <c r="E35191" s="39"/>
      <c r="F35191" s="39"/>
    </row>
    <row r="35192">
      <c r="D35192" s="39"/>
      <c r="E35192" s="39"/>
      <c r="F35192" s="39"/>
    </row>
    <row r="35193">
      <c r="D35193" s="39"/>
      <c r="E35193" s="39"/>
      <c r="F35193" s="39"/>
    </row>
    <row r="35194">
      <c r="D35194" s="39"/>
      <c r="E35194" s="39"/>
      <c r="F35194" s="39"/>
    </row>
    <row r="35195">
      <c r="D35195" s="39"/>
      <c r="E35195" s="39"/>
      <c r="F35195" s="39"/>
    </row>
    <row r="35196">
      <c r="D35196" s="39"/>
      <c r="E35196" s="39"/>
      <c r="F35196" s="39"/>
    </row>
    <row r="35197">
      <c r="D35197" s="39"/>
      <c r="E35197" s="39"/>
      <c r="F35197" s="39"/>
    </row>
    <row r="35198">
      <c r="D35198" s="39"/>
      <c r="E35198" s="39"/>
      <c r="F35198" s="39"/>
    </row>
    <row r="35199">
      <c r="D35199" s="39"/>
      <c r="E35199" s="39"/>
      <c r="F35199" s="39"/>
    </row>
    <row r="35200">
      <c r="D35200" s="39"/>
      <c r="E35200" s="39"/>
      <c r="F35200" s="39"/>
    </row>
    <row r="35201">
      <c r="D35201" s="39"/>
      <c r="E35201" s="39"/>
      <c r="F35201" s="39"/>
    </row>
    <row r="35202">
      <c r="D35202" s="39"/>
      <c r="E35202" s="39"/>
      <c r="F35202" s="39"/>
    </row>
    <row r="35203">
      <c r="D35203" s="39"/>
      <c r="E35203" s="39"/>
      <c r="F35203" s="39"/>
    </row>
    <row r="35204">
      <c r="D35204" s="39"/>
      <c r="E35204" s="39"/>
      <c r="F35204" s="39"/>
    </row>
    <row r="35205">
      <c r="D35205" s="39"/>
      <c r="E35205" s="39"/>
      <c r="F35205" s="39"/>
    </row>
    <row r="35206">
      <c r="D35206" s="39"/>
      <c r="E35206" s="39"/>
      <c r="F35206" s="39"/>
    </row>
    <row r="35207">
      <c r="D35207" s="39"/>
      <c r="E35207" s="39"/>
      <c r="F35207" s="39"/>
    </row>
    <row r="35208">
      <c r="D35208" s="39"/>
      <c r="E35208" s="39"/>
      <c r="F35208" s="39"/>
    </row>
    <row r="35209">
      <c r="D35209" s="39"/>
      <c r="E35209" s="39"/>
      <c r="F35209" s="39"/>
    </row>
    <row r="35210">
      <c r="D35210" s="39"/>
      <c r="E35210" s="39"/>
      <c r="F35210" s="39"/>
    </row>
    <row r="35211">
      <c r="D35211" s="39"/>
      <c r="E35211" s="39"/>
      <c r="F35211" s="39"/>
    </row>
    <row r="35212">
      <c r="D35212" s="39"/>
      <c r="E35212" s="39"/>
      <c r="F35212" s="39"/>
    </row>
    <row r="35213">
      <c r="D35213" s="39"/>
      <c r="E35213" s="39"/>
      <c r="F35213" s="39"/>
    </row>
    <row r="35214">
      <c r="D35214" s="39"/>
      <c r="E35214" s="39"/>
      <c r="F35214" s="39"/>
    </row>
    <row r="35215">
      <c r="D35215" s="39"/>
      <c r="E35215" s="39"/>
      <c r="F35215" s="39"/>
    </row>
    <row r="35216">
      <c r="D35216" s="39"/>
      <c r="E35216" s="39"/>
      <c r="F35216" s="39"/>
    </row>
    <row r="35217">
      <c r="D35217" s="39"/>
      <c r="E35217" s="39"/>
      <c r="F35217" s="39"/>
    </row>
    <row r="35218">
      <c r="D35218" s="39"/>
      <c r="E35218" s="39"/>
      <c r="F35218" s="39"/>
    </row>
    <row r="35219">
      <c r="D35219" s="39"/>
      <c r="E35219" s="39"/>
      <c r="F35219" s="39"/>
    </row>
    <row r="35220">
      <c r="D35220" s="39"/>
      <c r="E35220" s="39"/>
      <c r="F35220" s="39"/>
    </row>
    <row r="35221">
      <c r="D35221" s="39"/>
      <c r="E35221" s="39"/>
      <c r="F35221" s="39"/>
    </row>
    <row r="35222">
      <c r="D35222" s="39"/>
      <c r="E35222" s="39"/>
      <c r="F35222" s="39"/>
    </row>
    <row r="35223">
      <c r="D35223" s="39"/>
      <c r="E35223" s="39"/>
      <c r="F35223" s="39"/>
    </row>
    <row r="35224">
      <c r="D35224" s="39"/>
      <c r="E35224" s="39"/>
      <c r="F35224" s="39"/>
    </row>
    <row r="35225">
      <c r="D35225" s="39"/>
      <c r="E35225" s="39"/>
      <c r="F35225" s="39"/>
    </row>
    <row r="35226">
      <c r="D35226" s="39"/>
      <c r="E35226" s="39"/>
      <c r="F35226" s="39"/>
    </row>
    <row r="35227">
      <c r="D35227" s="39"/>
      <c r="E35227" s="39"/>
      <c r="F35227" s="39"/>
    </row>
    <row r="35228">
      <c r="D35228" s="39"/>
      <c r="E35228" s="39"/>
      <c r="F35228" s="39"/>
    </row>
    <row r="35229">
      <c r="D35229" s="39"/>
      <c r="E35229" s="39"/>
      <c r="F35229" s="39"/>
    </row>
    <row r="35230">
      <c r="D35230" s="39"/>
      <c r="E35230" s="39"/>
      <c r="F35230" s="39"/>
    </row>
    <row r="35231">
      <c r="D35231" s="39"/>
      <c r="E35231" s="39"/>
      <c r="F35231" s="39"/>
    </row>
    <row r="35232">
      <c r="D35232" s="39"/>
      <c r="E35232" s="39"/>
      <c r="F35232" s="39"/>
    </row>
    <row r="35233">
      <c r="D35233" s="39"/>
      <c r="E35233" s="39"/>
      <c r="F35233" s="39"/>
    </row>
    <row r="35234">
      <c r="D35234" s="39"/>
      <c r="E35234" s="39"/>
      <c r="F35234" s="39"/>
    </row>
    <row r="35235">
      <c r="D35235" s="39"/>
      <c r="E35235" s="39"/>
      <c r="F35235" s="39"/>
    </row>
    <row r="35236">
      <c r="D35236" s="39"/>
      <c r="E35236" s="39"/>
      <c r="F35236" s="39"/>
    </row>
    <row r="35237">
      <c r="D35237" s="39"/>
      <c r="E35237" s="39"/>
      <c r="F35237" s="39"/>
    </row>
    <row r="35238">
      <c r="D35238" s="39"/>
      <c r="E35238" s="39"/>
      <c r="F35238" s="39"/>
    </row>
    <row r="35239">
      <c r="D35239" s="39"/>
      <c r="E35239" s="39"/>
      <c r="F35239" s="39"/>
    </row>
    <row r="35240">
      <c r="D35240" s="39"/>
      <c r="E35240" s="39"/>
      <c r="F35240" s="39"/>
    </row>
    <row r="35241">
      <c r="D35241" s="39"/>
      <c r="E35241" s="39"/>
      <c r="F35241" s="39"/>
    </row>
    <row r="35242">
      <c r="D35242" s="39"/>
      <c r="E35242" s="39"/>
      <c r="F35242" s="39"/>
    </row>
    <row r="35243">
      <c r="D35243" s="39"/>
      <c r="E35243" s="39"/>
      <c r="F35243" s="39"/>
    </row>
    <row r="35244">
      <c r="D35244" s="39"/>
      <c r="E35244" s="39"/>
      <c r="F35244" s="39"/>
    </row>
    <row r="35245">
      <c r="D35245" s="39"/>
      <c r="E35245" s="39"/>
      <c r="F35245" s="39"/>
    </row>
    <row r="35246">
      <c r="D35246" s="39"/>
      <c r="E35246" s="39"/>
      <c r="F35246" s="39"/>
    </row>
    <row r="35247">
      <c r="D35247" s="39"/>
      <c r="E35247" s="39"/>
      <c r="F35247" s="39"/>
    </row>
    <row r="35248">
      <c r="D35248" s="39"/>
      <c r="E35248" s="39"/>
      <c r="F35248" s="39"/>
    </row>
    <row r="35249">
      <c r="D35249" s="39"/>
      <c r="E35249" s="39"/>
      <c r="F35249" s="39"/>
    </row>
    <row r="35250">
      <c r="D35250" s="39"/>
      <c r="E35250" s="39"/>
      <c r="F35250" s="39"/>
    </row>
    <row r="35251">
      <c r="D35251" s="39"/>
      <c r="E35251" s="39"/>
      <c r="F35251" s="39"/>
    </row>
    <row r="35252">
      <c r="D35252" s="39"/>
      <c r="E35252" s="39"/>
      <c r="F35252" s="39"/>
    </row>
    <row r="35253">
      <c r="D35253" s="39"/>
      <c r="E35253" s="39"/>
      <c r="F35253" s="39"/>
    </row>
    <row r="35254">
      <c r="D35254" s="39"/>
      <c r="E35254" s="39"/>
      <c r="F35254" s="39"/>
    </row>
    <row r="35255">
      <c r="D35255" s="39"/>
      <c r="E35255" s="39"/>
      <c r="F35255" s="39"/>
    </row>
    <row r="35256">
      <c r="D35256" s="39"/>
      <c r="E35256" s="39"/>
      <c r="F35256" s="39"/>
    </row>
    <row r="35257">
      <c r="D35257" s="39"/>
      <c r="E35257" s="39"/>
      <c r="F35257" s="39"/>
    </row>
    <row r="35258">
      <c r="D35258" s="39"/>
      <c r="E35258" s="39"/>
      <c r="F35258" s="39"/>
    </row>
    <row r="35259">
      <c r="D35259" s="39"/>
      <c r="E35259" s="39"/>
      <c r="F35259" s="39"/>
    </row>
    <row r="35260">
      <c r="D35260" s="39"/>
      <c r="E35260" s="39"/>
      <c r="F35260" s="39"/>
    </row>
    <row r="35261">
      <c r="D35261" s="39"/>
      <c r="E35261" s="39"/>
      <c r="F35261" s="39"/>
    </row>
    <row r="35262">
      <c r="D35262" s="39"/>
      <c r="E35262" s="39"/>
      <c r="F35262" s="39"/>
    </row>
    <row r="35263">
      <c r="D35263" s="39"/>
      <c r="E35263" s="39"/>
      <c r="F35263" s="39"/>
    </row>
    <row r="35264">
      <c r="D35264" s="39"/>
      <c r="E35264" s="39"/>
      <c r="F35264" s="39"/>
    </row>
    <row r="35265">
      <c r="D35265" s="39"/>
      <c r="E35265" s="39"/>
      <c r="F35265" s="39"/>
    </row>
    <row r="35266">
      <c r="D35266" s="39"/>
      <c r="E35266" s="39"/>
      <c r="F35266" s="39"/>
    </row>
    <row r="35267">
      <c r="D35267" s="39"/>
      <c r="E35267" s="39"/>
      <c r="F35267" s="39"/>
    </row>
    <row r="35268">
      <c r="D35268" s="39"/>
      <c r="E35268" s="39"/>
      <c r="F35268" s="39"/>
    </row>
    <row r="35269">
      <c r="D35269" s="39"/>
      <c r="E35269" s="39"/>
      <c r="F35269" s="39"/>
    </row>
    <row r="35270">
      <c r="D35270" s="39"/>
      <c r="E35270" s="39"/>
      <c r="F35270" s="39"/>
    </row>
    <row r="35271">
      <c r="D35271" s="39"/>
      <c r="E35271" s="39"/>
      <c r="F35271" s="39"/>
    </row>
    <row r="35272">
      <c r="D35272" s="39"/>
      <c r="E35272" s="39"/>
      <c r="F35272" s="39"/>
    </row>
    <row r="35273">
      <c r="D35273" s="39"/>
      <c r="E35273" s="39"/>
      <c r="F35273" s="39"/>
    </row>
    <row r="35274">
      <c r="D35274" s="39"/>
      <c r="E35274" s="39"/>
      <c r="F35274" s="39"/>
    </row>
    <row r="35275">
      <c r="D35275" s="39"/>
      <c r="E35275" s="39"/>
      <c r="F35275" s="39"/>
    </row>
    <row r="35276">
      <c r="D35276" s="39"/>
      <c r="E35276" s="39"/>
      <c r="F35276" s="39"/>
    </row>
    <row r="35277">
      <c r="D35277" s="39"/>
      <c r="E35277" s="39"/>
      <c r="F35277" s="39"/>
    </row>
    <row r="35278">
      <c r="D35278" s="39"/>
      <c r="E35278" s="39"/>
      <c r="F35278" s="39"/>
    </row>
    <row r="35279">
      <c r="D35279" s="39"/>
      <c r="E35279" s="39"/>
      <c r="F35279" s="39"/>
    </row>
    <row r="35280">
      <c r="D35280" s="39"/>
      <c r="E35280" s="39"/>
      <c r="F35280" s="39"/>
    </row>
    <row r="35281">
      <c r="D35281" s="39"/>
      <c r="E35281" s="39"/>
      <c r="F35281" s="39"/>
    </row>
    <row r="35282">
      <c r="D35282" s="39"/>
      <c r="E35282" s="39"/>
      <c r="F35282" s="39"/>
    </row>
    <row r="35283">
      <c r="D35283" s="39"/>
      <c r="E35283" s="39"/>
      <c r="F35283" s="39"/>
    </row>
    <row r="35284">
      <c r="D35284" s="39"/>
      <c r="E35284" s="39"/>
      <c r="F35284" s="39"/>
    </row>
    <row r="35285">
      <c r="D35285" s="39"/>
      <c r="E35285" s="39"/>
      <c r="F35285" s="39"/>
    </row>
    <row r="35286">
      <c r="D35286" s="39"/>
      <c r="E35286" s="39"/>
      <c r="F35286" s="39"/>
    </row>
    <row r="35287">
      <c r="D35287" s="39"/>
      <c r="E35287" s="39"/>
      <c r="F35287" s="39"/>
    </row>
    <row r="35288">
      <c r="D35288" s="39"/>
      <c r="E35288" s="39"/>
      <c r="F35288" s="39"/>
    </row>
    <row r="35289">
      <c r="D35289" s="39"/>
      <c r="E35289" s="39"/>
      <c r="F35289" s="39"/>
    </row>
    <row r="35290">
      <c r="D35290" s="39"/>
      <c r="E35290" s="39"/>
      <c r="F35290" s="39"/>
    </row>
    <row r="35291">
      <c r="D35291" s="39"/>
      <c r="E35291" s="39"/>
      <c r="F35291" s="39"/>
    </row>
    <row r="35292">
      <c r="D35292" s="39"/>
      <c r="E35292" s="39"/>
      <c r="F35292" s="39"/>
    </row>
    <row r="35293">
      <c r="D35293" s="39"/>
      <c r="E35293" s="39"/>
      <c r="F35293" s="39"/>
    </row>
    <row r="35294">
      <c r="D35294" s="39"/>
      <c r="E35294" s="39"/>
      <c r="F35294" s="39"/>
    </row>
    <row r="35295">
      <c r="D35295" s="39"/>
      <c r="E35295" s="39"/>
      <c r="F35295" s="39"/>
    </row>
    <row r="35296">
      <c r="D35296" s="39"/>
      <c r="E35296" s="39"/>
      <c r="F35296" s="39"/>
    </row>
    <row r="35297">
      <c r="D35297" s="39"/>
      <c r="E35297" s="39"/>
      <c r="F35297" s="39"/>
    </row>
    <row r="35298">
      <c r="D35298" s="39"/>
      <c r="E35298" s="39"/>
      <c r="F35298" s="39"/>
    </row>
    <row r="35299">
      <c r="D35299" s="39"/>
      <c r="E35299" s="39"/>
      <c r="F35299" s="39"/>
    </row>
    <row r="35300">
      <c r="D35300" s="39"/>
      <c r="E35300" s="39"/>
      <c r="F35300" s="39"/>
    </row>
    <row r="35301">
      <c r="D35301" s="39"/>
      <c r="E35301" s="39"/>
      <c r="F35301" s="39"/>
    </row>
    <row r="35302">
      <c r="D35302" s="39"/>
      <c r="E35302" s="39"/>
      <c r="F35302" s="39"/>
    </row>
    <row r="35303">
      <c r="D35303" s="39"/>
      <c r="E35303" s="39"/>
      <c r="F35303" s="39"/>
    </row>
    <row r="35304">
      <c r="D35304" s="39"/>
      <c r="E35304" s="39"/>
      <c r="F35304" s="39"/>
    </row>
    <row r="35305">
      <c r="D35305" s="39"/>
      <c r="E35305" s="39"/>
      <c r="F35305" s="39"/>
    </row>
    <row r="35306">
      <c r="D35306" s="39"/>
      <c r="E35306" s="39"/>
      <c r="F35306" s="39"/>
    </row>
    <row r="35307">
      <c r="D35307" s="39"/>
      <c r="E35307" s="39"/>
      <c r="F35307" s="39"/>
    </row>
    <row r="35308">
      <c r="D35308" s="39"/>
      <c r="E35308" s="39"/>
      <c r="F35308" s="39"/>
    </row>
    <row r="35309">
      <c r="D35309" s="39"/>
      <c r="E35309" s="39"/>
      <c r="F35309" s="39"/>
    </row>
    <row r="35310">
      <c r="D35310" s="39"/>
      <c r="E35310" s="39"/>
      <c r="F35310" s="39"/>
    </row>
    <row r="35311">
      <c r="D35311" s="39"/>
      <c r="E35311" s="39"/>
      <c r="F35311" s="39"/>
    </row>
    <row r="35312">
      <c r="D35312" s="39"/>
      <c r="E35312" s="39"/>
      <c r="F35312" s="39"/>
    </row>
    <row r="35313">
      <c r="D35313" s="39"/>
      <c r="E35313" s="39"/>
      <c r="F35313" s="39"/>
    </row>
    <row r="35314">
      <c r="D35314" s="39"/>
      <c r="E35314" s="39"/>
      <c r="F35314" s="39"/>
    </row>
    <row r="35315">
      <c r="D35315" s="39"/>
      <c r="E35315" s="39"/>
      <c r="F35315" s="39"/>
    </row>
    <row r="35316">
      <c r="D35316" s="39"/>
      <c r="E35316" s="39"/>
      <c r="F35316" s="39"/>
    </row>
    <row r="35317">
      <c r="D35317" s="39"/>
      <c r="E35317" s="39"/>
      <c r="F35317" s="39"/>
    </row>
    <row r="35318">
      <c r="D35318" s="39"/>
      <c r="E35318" s="39"/>
      <c r="F35318" s="39"/>
    </row>
    <row r="35319">
      <c r="D35319" s="39"/>
      <c r="E35319" s="39"/>
      <c r="F35319" s="39"/>
    </row>
    <row r="35320">
      <c r="D35320" s="39"/>
      <c r="E35320" s="39"/>
      <c r="F35320" s="39"/>
    </row>
    <row r="35321">
      <c r="D35321" s="39"/>
      <c r="E35321" s="39"/>
      <c r="F35321" s="39"/>
    </row>
    <row r="35322">
      <c r="D35322" s="39"/>
      <c r="E35322" s="39"/>
      <c r="F35322" s="39"/>
    </row>
    <row r="35323">
      <c r="D35323" s="39"/>
      <c r="E35323" s="39"/>
      <c r="F35323" s="39"/>
    </row>
    <row r="35324">
      <c r="D35324" s="39"/>
      <c r="E35324" s="39"/>
      <c r="F35324" s="39"/>
    </row>
    <row r="35325">
      <c r="D35325" s="39"/>
      <c r="E35325" s="39"/>
      <c r="F35325" s="39"/>
    </row>
    <row r="35326">
      <c r="D35326" s="39"/>
      <c r="E35326" s="39"/>
      <c r="F35326" s="39"/>
    </row>
    <row r="35327">
      <c r="D35327" s="39"/>
      <c r="E35327" s="39"/>
      <c r="F35327" s="39"/>
    </row>
    <row r="35328">
      <c r="D35328" s="39"/>
      <c r="E35328" s="39"/>
      <c r="F35328" s="39"/>
    </row>
    <row r="35329">
      <c r="D35329" s="39"/>
      <c r="E35329" s="39"/>
      <c r="F35329" s="39"/>
    </row>
    <row r="35330">
      <c r="D35330" s="39"/>
      <c r="E35330" s="39"/>
      <c r="F35330" s="39"/>
    </row>
    <row r="35331">
      <c r="D35331" s="39"/>
      <c r="E35331" s="39"/>
      <c r="F35331" s="39"/>
    </row>
    <row r="35332">
      <c r="D35332" s="39"/>
      <c r="E35332" s="39"/>
      <c r="F35332" s="39"/>
    </row>
    <row r="35333">
      <c r="D35333" s="39"/>
      <c r="E35333" s="39"/>
      <c r="F35333" s="39"/>
    </row>
    <row r="35334">
      <c r="D35334" s="39"/>
      <c r="E35334" s="39"/>
      <c r="F35334" s="39"/>
    </row>
    <row r="35335">
      <c r="D35335" s="39"/>
      <c r="E35335" s="39"/>
      <c r="F35335" s="39"/>
    </row>
    <row r="35336">
      <c r="D35336" s="39"/>
      <c r="E35336" s="39"/>
      <c r="F35336" s="39"/>
    </row>
    <row r="35337">
      <c r="D35337" s="39"/>
      <c r="E35337" s="39"/>
      <c r="F35337" s="39"/>
    </row>
    <row r="35338">
      <c r="D35338" s="39"/>
      <c r="E35338" s="39"/>
      <c r="F35338" s="39"/>
    </row>
    <row r="35339">
      <c r="D35339" s="39"/>
      <c r="E35339" s="39"/>
      <c r="F35339" s="39"/>
    </row>
    <row r="35340">
      <c r="D35340" s="39"/>
      <c r="E35340" s="39"/>
      <c r="F35340" s="39"/>
    </row>
    <row r="35341">
      <c r="D35341" s="39"/>
      <c r="E35341" s="39"/>
      <c r="F35341" s="39"/>
    </row>
    <row r="35342">
      <c r="D35342" s="39"/>
      <c r="E35342" s="39"/>
      <c r="F35342" s="39"/>
    </row>
    <row r="35343">
      <c r="D35343" s="39"/>
      <c r="E35343" s="39"/>
      <c r="F35343" s="39"/>
    </row>
    <row r="35344">
      <c r="D35344" s="39"/>
      <c r="E35344" s="39"/>
      <c r="F35344" s="39"/>
    </row>
    <row r="35345">
      <c r="D35345" s="39"/>
      <c r="E35345" s="39"/>
      <c r="F35345" s="39"/>
    </row>
    <row r="35346">
      <c r="D35346" s="39"/>
      <c r="E35346" s="39"/>
      <c r="F35346" s="39"/>
    </row>
    <row r="35347">
      <c r="D35347" s="39"/>
      <c r="E35347" s="39"/>
      <c r="F35347" s="39"/>
    </row>
    <row r="35348">
      <c r="D35348" s="39"/>
      <c r="E35348" s="39"/>
      <c r="F35348" s="39"/>
    </row>
    <row r="35349">
      <c r="D35349" s="39"/>
      <c r="E35349" s="39"/>
      <c r="F35349" s="39"/>
    </row>
    <row r="35350">
      <c r="D35350" s="39"/>
      <c r="E35350" s="39"/>
      <c r="F35350" s="39"/>
    </row>
    <row r="35351">
      <c r="D35351" s="39"/>
      <c r="E35351" s="39"/>
      <c r="F35351" s="39"/>
    </row>
    <row r="35352">
      <c r="D35352" s="39"/>
      <c r="E35352" s="39"/>
      <c r="F35352" s="39"/>
    </row>
    <row r="35353">
      <c r="D35353" s="39"/>
      <c r="E35353" s="39"/>
      <c r="F35353" s="39"/>
    </row>
    <row r="35354">
      <c r="D35354" s="39"/>
      <c r="E35354" s="39"/>
      <c r="F35354" s="39"/>
    </row>
    <row r="35355">
      <c r="D35355" s="39"/>
      <c r="E35355" s="39"/>
      <c r="F35355" s="39"/>
    </row>
    <row r="35356">
      <c r="D35356" s="39"/>
      <c r="E35356" s="39"/>
      <c r="F35356" s="39"/>
    </row>
    <row r="35357">
      <c r="D35357" s="39"/>
      <c r="E35357" s="39"/>
      <c r="F35357" s="39"/>
    </row>
    <row r="35358">
      <c r="D35358" s="39"/>
      <c r="E35358" s="39"/>
      <c r="F35358" s="39"/>
    </row>
    <row r="35359">
      <c r="D35359" s="39"/>
      <c r="E35359" s="39"/>
      <c r="F35359" s="39"/>
    </row>
    <row r="35360">
      <c r="D35360" s="39"/>
      <c r="E35360" s="39"/>
      <c r="F35360" s="39"/>
    </row>
    <row r="35361">
      <c r="D35361" s="39"/>
      <c r="E35361" s="39"/>
      <c r="F35361" s="39"/>
    </row>
    <row r="35362">
      <c r="D35362" s="39"/>
      <c r="E35362" s="39"/>
      <c r="F35362" s="39"/>
    </row>
    <row r="35363">
      <c r="D35363" s="39"/>
      <c r="E35363" s="39"/>
      <c r="F35363" s="39"/>
    </row>
    <row r="35364">
      <c r="D35364" s="39"/>
      <c r="E35364" s="39"/>
      <c r="F35364" s="39"/>
    </row>
    <row r="35365">
      <c r="D35365" s="39"/>
      <c r="E35365" s="39"/>
      <c r="F35365" s="39"/>
    </row>
    <row r="35366">
      <c r="D35366" s="39"/>
      <c r="E35366" s="39"/>
      <c r="F35366" s="39"/>
    </row>
    <row r="35367">
      <c r="D35367" s="39"/>
      <c r="E35367" s="39"/>
      <c r="F35367" s="39"/>
    </row>
    <row r="35368">
      <c r="D35368" s="39"/>
      <c r="E35368" s="39"/>
      <c r="F35368" s="39"/>
    </row>
    <row r="35369">
      <c r="D35369" s="39"/>
      <c r="E35369" s="39"/>
      <c r="F35369" s="39"/>
    </row>
    <row r="35370">
      <c r="D35370" s="39"/>
      <c r="E35370" s="39"/>
      <c r="F35370" s="39"/>
    </row>
    <row r="35371">
      <c r="D35371" s="39"/>
      <c r="E35371" s="39"/>
      <c r="F35371" s="39"/>
    </row>
    <row r="35372">
      <c r="D35372" s="39"/>
      <c r="E35372" s="39"/>
      <c r="F35372" s="39"/>
    </row>
    <row r="35373">
      <c r="D35373" s="39"/>
      <c r="E35373" s="39"/>
      <c r="F35373" s="39"/>
    </row>
    <row r="35374">
      <c r="D35374" s="39"/>
      <c r="E35374" s="39"/>
      <c r="F35374" s="39"/>
    </row>
    <row r="35375">
      <c r="D35375" s="39"/>
      <c r="E35375" s="39"/>
      <c r="F35375" s="39"/>
    </row>
    <row r="35376">
      <c r="D35376" s="39"/>
      <c r="E35376" s="39"/>
      <c r="F35376" s="39"/>
    </row>
    <row r="35377">
      <c r="D35377" s="39"/>
      <c r="E35377" s="39"/>
      <c r="F35377" s="39"/>
    </row>
    <row r="35378">
      <c r="D35378" s="39"/>
      <c r="E35378" s="39"/>
      <c r="F35378" s="39"/>
    </row>
    <row r="35379">
      <c r="D35379" s="39"/>
      <c r="E35379" s="39"/>
      <c r="F35379" s="39"/>
    </row>
    <row r="35380">
      <c r="D35380" s="39"/>
      <c r="E35380" s="39"/>
      <c r="F35380" s="39"/>
    </row>
    <row r="35381">
      <c r="D35381" s="39"/>
      <c r="E35381" s="39"/>
      <c r="F35381" s="39"/>
    </row>
    <row r="35382">
      <c r="D35382" s="39"/>
      <c r="E35382" s="39"/>
      <c r="F35382" s="39"/>
    </row>
    <row r="35383">
      <c r="D35383" s="39"/>
      <c r="E35383" s="39"/>
      <c r="F35383" s="39"/>
    </row>
    <row r="35384">
      <c r="D35384" s="39"/>
      <c r="E35384" s="39"/>
      <c r="F35384" s="39"/>
    </row>
    <row r="35385">
      <c r="D35385" s="39"/>
      <c r="E35385" s="39"/>
      <c r="F35385" s="39"/>
    </row>
    <row r="35386">
      <c r="D35386" s="39"/>
      <c r="E35386" s="39"/>
      <c r="F35386" s="39"/>
    </row>
    <row r="35387">
      <c r="D35387" s="39"/>
      <c r="E35387" s="39"/>
      <c r="F35387" s="39"/>
    </row>
    <row r="35388">
      <c r="D35388" s="39"/>
      <c r="E35388" s="39"/>
      <c r="F35388" s="39"/>
    </row>
    <row r="35389">
      <c r="D35389" s="39"/>
      <c r="E35389" s="39"/>
      <c r="F35389" s="39"/>
    </row>
    <row r="35390">
      <c r="D35390" s="39"/>
      <c r="E35390" s="39"/>
      <c r="F35390" s="39"/>
    </row>
    <row r="35391">
      <c r="D35391" s="39"/>
      <c r="E35391" s="39"/>
      <c r="F35391" s="39"/>
    </row>
    <row r="35392">
      <c r="D35392" s="39"/>
      <c r="E35392" s="39"/>
      <c r="F35392" s="39"/>
    </row>
    <row r="35393">
      <c r="D35393" s="39"/>
      <c r="E35393" s="39"/>
      <c r="F35393" s="39"/>
    </row>
    <row r="35394">
      <c r="D35394" s="39"/>
      <c r="E35394" s="39"/>
      <c r="F35394" s="39"/>
    </row>
    <row r="35395">
      <c r="D35395" s="39"/>
      <c r="E35395" s="39"/>
      <c r="F35395" s="39"/>
    </row>
    <row r="35396">
      <c r="D35396" s="39"/>
      <c r="E35396" s="39"/>
      <c r="F35396" s="39"/>
    </row>
    <row r="35397">
      <c r="D35397" s="39"/>
      <c r="E35397" s="39"/>
      <c r="F35397" s="39"/>
    </row>
    <row r="35398">
      <c r="D35398" s="39"/>
      <c r="E35398" s="39"/>
      <c r="F35398" s="39"/>
    </row>
    <row r="35399">
      <c r="D35399" s="39"/>
      <c r="E35399" s="39"/>
      <c r="F35399" s="39"/>
    </row>
    <row r="35400">
      <c r="D35400" s="39"/>
      <c r="E35400" s="39"/>
      <c r="F35400" s="39"/>
    </row>
    <row r="35401">
      <c r="D35401" s="39"/>
      <c r="E35401" s="39"/>
      <c r="F35401" s="39"/>
    </row>
    <row r="35402">
      <c r="D35402" s="39"/>
      <c r="E35402" s="39"/>
      <c r="F35402" s="39"/>
    </row>
    <row r="35403">
      <c r="D35403" s="39"/>
      <c r="E35403" s="39"/>
      <c r="F35403" s="39"/>
    </row>
    <row r="35404">
      <c r="D35404" s="39"/>
      <c r="E35404" s="39"/>
      <c r="F35404" s="39"/>
    </row>
    <row r="35405">
      <c r="D35405" s="39"/>
      <c r="E35405" s="39"/>
      <c r="F35405" s="39"/>
    </row>
    <row r="35406">
      <c r="D35406" s="39"/>
      <c r="E35406" s="39"/>
      <c r="F35406" s="39"/>
    </row>
    <row r="35407">
      <c r="D35407" s="39"/>
      <c r="E35407" s="39"/>
      <c r="F35407" s="39"/>
    </row>
    <row r="35408">
      <c r="D35408" s="39"/>
      <c r="E35408" s="39"/>
      <c r="F35408" s="39"/>
    </row>
    <row r="35409">
      <c r="D35409" s="39"/>
      <c r="E35409" s="39"/>
      <c r="F35409" s="39"/>
    </row>
    <row r="35410">
      <c r="D35410" s="39"/>
      <c r="E35410" s="39"/>
      <c r="F35410" s="39"/>
    </row>
    <row r="35411">
      <c r="D35411" s="39"/>
      <c r="E35411" s="39"/>
      <c r="F35411" s="39"/>
    </row>
    <row r="35412">
      <c r="D35412" s="39"/>
      <c r="E35412" s="39"/>
      <c r="F35412" s="39"/>
    </row>
    <row r="35413">
      <c r="D35413" s="39"/>
      <c r="E35413" s="39"/>
      <c r="F35413" s="39"/>
    </row>
    <row r="35414">
      <c r="D35414" s="39"/>
      <c r="E35414" s="39"/>
      <c r="F35414" s="39"/>
    </row>
    <row r="35415">
      <c r="D35415" s="39"/>
      <c r="E35415" s="39"/>
      <c r="F35415" s="39"/>
    </row>
    <row r="35416">
      <c r="D35416" s="39"/>
      <c r="E35416" s="39"/>
      <c r="F35416" s="39"/>
    </row>
    <row r="35417">
      <c r="D35417" s="39"/>
      <c r="E35417" s="39"/>
      <c r="F35417" s="39"/>
    </row>
    <row r="35418">
      <c r="D35418" s="39"/>
      <c r="E35418" s="39"/>
      <c r="F35418" s="39"/>
    </row>
    <row r="35419">
      <c r="D35419" s="39"/>
      <c r="E35419" s="39"/>
      <c r="F35419" s="39"/>
    </row>
    <row r="35420">
      <c r="D35420" s="39"/>
      <c r="E35420" s="39"/>
      <c r="F35420" s="39"/>
    </row>
    <row r="35421">
      <c r="D35421" s="39"/>
      <c r="E35421" s="39"/>
      <c r="F35421" s="39"/>
    </row>
    <row r="35422">
      <c r="D35422" s="39"/>
      <c r="E35422" s="39"/>
      <c r="F35422" s="39"/>
    </row>
    <row r="35423">
      <c r="D35423" s="39"/>
      <c r="E35423" s="39"/>
      <c r="F35423" s="39"/>
    </row>
    <row r="35424">
      <c r="D35424" s="39"/>
      <c r="E35424" s="39"/>
      <c r="F35424" s="39"/>
    </row>
    <row r="35425">
      <c r="D35425" s="39"/>
      <c r="E35425" s="39"/>
      <c r="F35425" s="39"/>
    </row>
    <row r="35426">
      <c r="D35426" s="39"/>
      <c r="E35426" s="39"/>
      <c r="F35426" s="39"/>
    </row>
    <row r="35427">
      <c r="D35427" s="39"/>
      <c r="E35427" s="39"/>
      <c r="F35427" s="39"/>
    </row>
    <row r="35428">
      <c r="D35428" s="39"/>
      <c r="E35428" s="39"/>
      <c r="F35428" s="39"/>
    </row>
    <row r="35429">
      <c r="D35429" s="39"/>
      <c r="E35429" s="39"/>
      <c r="F35429" s="39"/>
    </row>
    <row r="35430">
      <c r="D35430" s="39"/>
      <c r="E35430" s="39"/>
      <c r="F35430" s="39"/>
    </row>
    <row r="35431">
      <c r="D35431" s="39"/>
      <c r="E35431" s="39"/>
      <c r="F35431" s="39"/>
    </row>
    <row r="35432">
      <c r="D35432" s="39"/>
      <c r="E35432" s="39"/>
      <c r="F35432" s="39"/>
    </row>
    <row r="35433">
      <c r="D35433" s="39"/>
      <c r="E35433" s="39"/>
      <c r="F35433" s="39"/>
    </row>
    <row r="35434">
      <c r="D35434" s="39"/>
      <c r="E35434" s="39"/>
      <c r="F35434" s="39"/>
    </row>
    <row r="35435">
      <c r="D35435" s="39"/>
      <c r="E35435" s="39"/>
      <c r="F35435" s="39"/>
    </row>
    <row r="35436">
      <c r="D35436" s="39"/>
      <c r="E35436" s="39"/>
      <c r="F35436" s="39"/>
    </row>
    <row r="35437">
      <c r="D35437" s="39"/>
      <c r="E35437" s="39"/>
      <c r="F35437" s="39"/>
    </row>
    <row r="35438">
      <c r="D35438" s="39"/>
      <c r="E35438" s="39"/>
      <c r="F35438" s="39"/>
    </row>
    <row r="35439">
      <c r="D35439" s="39"/>
      <c r="E35439" s="39"/>
      <c r="F35439" s="39"/>
    </row>
    <row r="35440">
      <c r="D35440" s="39"/>
      <c r="E35440" s="39"/>
      <c r="F35440" s="39"/>
    </row>
    <row r="35441">
      <c r="D35441" s="39"/>
      <c r="E35441" s="39"/>
      <c r="F35441" s="39"/>
    </row>
    <row r="35442">
      <c r="D35442" s="39"/>
      <c r="E35442" s="39"/>
      <c r="F35442" s="39"/>
    </row>
    <row r="35443">
      <c r="D35443" s="39"/>
      <c r="E35443" s="39"/>
      <c r="F35443" s="39"/>
    </row>
    <row r="35444">
      <c r="D35444" s="39"/>
      <c r="E35444" s="39"/>
      <c r="F35444" s="39"/>
    </row>
    <row r="35445">
      <c r="D35445" s="39"/>
      <c r="E35445" s="39"/>
      <c r="F35445" s="39"/>
    </row>
    <row r="35446">
      <c r="D35446" s="39"/>
      <c r="E35446" s="39"/>
      <c r="F35446" s="39"/>
    </row>
    <row r="35447">
      <c r="D35447" s="39"/>
      <c r="E35447" s="39"/>
      <c r="F35447" s="39"/>
    </row>
    <row r="35448">
      <c r="D35448" s="39"/>
      <c r="E35448" s="39"/>
      <c r="F35448" s="39"/>
    </row>
    <row r="35449">
      <c r="D35449" s="39"/>
      <c r="E35449" s="39"/>
      <c r="F35449" s="39"/>
    </row>
    <row r="35450">
      <c r="D35450" s="39"/>
      <c r="E35450" s="39"/>
      <c r="F35450" s="39"/>
    </row>
    <row r="35451">
      <c r="D35451" s="39"/>
      <c r="E35451" s="39"/>
      <c r="F35451" s="39"/>
    </row>
    <row r="35452">
      <c r="D35452" s="39"/>
      <c r="E35452" s="39"/>
      <c r="F35452" s="39"/>
    </row>
    <row r="35453">
      <c r="D35453" s="39"/>
      <c r="E35453" s="39"/>
      <c r="F35453" s="39"/>
    </row>
    <row r="35454">
      <c r="D35454" s="39"/>
      <c r="E35454" s="39"/>
      <c r="F35454" s="39"/>
    </row>
    <row r="35455">
      <c r="D35455" s="39"/>
      <c r="E35455" s="39"/>
      <c r="F35455" s="39"/>
    </row>
    <row r="35456">
      <c r="D35456" s="39"/>
      <c r="E35456" s="39"/>
      <c r="F35456" s="39"/>
    </row>
    <row r="35457">
      <c r="D35457" s="39"/>
      <c r="E35457" s="39"/>
      <c r="F35457" s="39"/>
    </row>
    <row r="35458">
      <c r="D35458" s="39"/>
      <c r="E35458" s="39"/>
      <c r="F35458" s="39"/>
    </row>
    <row r="35459">
      <c r="D35459" s="39"/>
      <c r="E35459" s="39"/>
      <c r="F35459" s="39"/>
    </row>
    <row r="35460">
      <c r="D35460" s="39"/>
      <c r="E35460" s="39"/>
      <c r="F35460" s="39"/>
    </row>
    <row r="35461">
      <c r="D35461" s="39"/>
      <c r="E35461" s="39"/>
      <c r="F35461" s="39"/>
    </row>
    <row r="35462">
      <c r="D35462" s="39"/>
      <c r="E35462" s="39"/>
      <c r="F35462" s="39"/>
    </row>
    <row r="35463">
      <c r="D35463" s="39"/>
      <c r="E35463" s="39"/>
      <c r="F35463" s="39"/>
    </row>
    <row r="35464">
      <c r="D35464" s="39"/>
      <c r="E35464" s="39"/>
      <c r="F35464" s="39"/>
    </row>
    <row r="35465">
      <c r="D35465" s="39"/>
      <c r="E35465" s="39"/>
      <c r="F35465" s="39"/>
    </row>
    <row r="35466">
      <c r="D35466" s="39"/>
      <c r="E35466" s="39"/>
      <c r="F35466" s="39"/>
    </row>
    <row r="35467">
      <c r="D35467" s="39"/>
      <c r="E35467" s="39"/>
      <c r="F35467" s="39"/>
    </row>
    <row r="35468">
      <c r="D35468" s="39"/>
      <c r="E35468" s="39"/>
      <c r="F35468" s="39"/>
    </row>
    <row r="35469">
      <c r="D35469" s="39"/>
      <c r="E35469" s="39"/>
      <c r="F35469" s="39"/>
    </row>
    <row r="35470">
      <c r="D35470" s="39"/>
      <c r="E35470" s="39"/>
      <c r="F35470" s="39"/>
    </row>
    <row r="35471">
      <c r="D35471" s="39"/>
      <c r="E35471" s="39"/>
      <c r="F35471" s="39"/>
    </row>
    <row r="35472">
      <c r="D35472" s="39"/>
      <c r="E35472" s="39"/>
      <c r="F35472" s="39"/>
    </row>
    <row r="35473">
      <c r="D35473" s="39"/>
      <c r="E35473" s="39"/>
      <c r="F35473" s="39"/>
    </row>
    <row r="35474">
      <c r="D35474" s="39"/>
      <c r="E35474" s="39"/>
      <c r="F35474" s="39"/>
    </row>
    <row r="35475">
      <c r="D35475" s="39"/>
      <c r="E35475" s="39"/>
      <c r="F35475" s="39"/>
    </row>
    <row r="35476">
      <c r="D35476" s="39"/>
      <c r="E35476" s="39"/>
      <c r="F35476" s="39"/>
    </row>
    <row r="35477">
      <c r="D35477" s="39"/>
      <c r="E35477" s="39"/>
      <c r="F35477" s="39"/>
    </row>
    <row r="35478">
      <c r="D35478" s="39"/>
      <c r="E35478" s="39"/>
      <c r="F35478" s="39"/>
    </row>
    <row r="35479">
      <c r="D35479" s="39"/>
      <c r="E35479" s="39"/>
      <c r="F35479" s="39"/>
    </row>
    <row r="35480">
      <c r="D35480" s="39"/>
      <c r="E35480" s="39"/>
      <c r="F35480" s="39"/>
    </row>
    <row r="35481">
      <c r="D35481" s="39"/>
      <c r="E35481" s="39"/>
      <c r="F35481" s="39"/>
    </row>
    <row r="35482">
      <c r="D35482" s="39"/>
      <c r="E35482" s="39"/>
      <c r="F35482" s="39"/>
    </row>
    <row r="35483">
      <c r="D35483" s="39"/>
      <c r="E35483" s="39"/>
      <c r="F35483" s="39"/>
    </row>
    <row r="35484">
      <c r="D35484" s="39"/>
      <c r="E35484" s="39"/>
      <c r="F35484" s="39"/>
    </row>
    <row r="35485">
      <c r="D35485" s="39"/>
      <c r="E35485" s="39"/>
      <c r="F35485" s="39"/>
    </row>
    <row r="35486">
      <c r="D35486" s="39"/>
      <c r="E35486" s="39"/>
      <c r="F35486" s="39"/>
    </row>
    <row r="35487">
      <c r="D35487" s="39"/>
      <c r="E35487" s="39"/>
      <c r="F35487" s="39"/>
    </row>
    <row r="35488">
      <c r="D35488" s="39"/>
      <c r="E35488" s="39"/>
      <c r="F35488" s="39"/>
    </row>
    <row r="35489">
      <c r="D35489" s="39"/>
      <c r="E35489" s="39"/>
      <c r="F35489" s="39"/>
    </row>
    <row r="35490">
      <c r="D35490" s="39"/>
      <c r="E35490" s="39"/>
      <c r="F35490" s="39"/>
    </row>
    <row r="35491">
      <c r="D35491" s="39"/>
      <c r="E35491" s="39"/>
      <c r="F35491" s="39"/>
    </row>
    <row r="35492">
      <c r="D35492" s="39"/>
      <c r="E35492" s="39"/>
      <c r="F35492" s="39"/>
    </row>
    <row r="35493">
      <c r="D35493" s="39"/>
      <c r="E35493" s="39"/>
      <c r="F35493" s="39"/>
    </row>
    <row r="35494">
      <c r="D35494" s="39"/>
      <c r="E35494" s="39"/>
      <c r="F35494" s="39"/>
    </row>
    <row r="35495">
      <c r="D35495" s="39"/>
      <c r="E35495" s="39"/>
      <c r="F35495" s="39"/>
    </row>
    <row r="35496">
      <c r="D35496" s="39"/>
      <c r="E35496" s="39"/>
      <c r="F35496" s="39"/>
    </row>
    <row r="35497">
      <c r="D35497" s="39"/>
      <c r="E35497" s="39"/>
      <c r="F35497" s="39"/>
    </row>
    <row r="35498">
      <c r="D35498" s="39"/>
      <c r="E35498" s="39"/>
      <c r="F35498" s="39"/>
    </row>
    <row r="35499">
      <c r="D35499" s="39"/>
      <c r="E35499" s="39"/>
      <c r="F35499" s="39"/>
    </row>
    <row r="35500">
      <c r="D35500" s="39"/>
      <c r="E35500" s="39"/>
      <c r="F35500" s="39"/>
    </row>
    <row r="35501">
      <c r="D35501" s="39"/>
      <c r="E35501" s="39"/>
      <c r="F35501" s="39"/>
    </row>
    <row r="35502">
      <c r="D35502" s="39"/>
      <c r="E35502" s="39"/>
      <c r="F35502" s="39"/>
    </row>
    <row r="35503">
      <c r="D35503" s="39"/>
      <c r="E35503" s="39"/>
      <c r="F35503" s="39"/>
    </row>
    <row r="35504">
      <c r="D35504" s="39"/>
      <c r="E35504" s="39"/>
      <c r="F35504" s="39"/>
    </row>
    <row r="35505">
      <c r="D35505" s="39"/>
      <c r="E35505" s="39"/>
      <c r="F35505" s="39"/>
    </row>
    <row r="35506">
      <c r="D35506" s="39"/>
      <c r="E35506" s="39"/>
      <c r="F35506" s="39"/>
    </row>
    <row r="35507">
      <c r="D35507" s="39"/>
      <c r="E35507" s="39"/>
      <c r="F35507" s="39"/>
    </row>
    <row r="35508">
      <c r="D35508" s="39"/>
      <c r="E35508" s="39"/>
      <c r="F35508" s="39"/>
    </row>
    <row r="35509">
      <c r="D35509" s="39"/>
      <c r="E35509" s="39"/>
      <c r="F35509" s="39"/>
    </row>
    <row r="35510">
      <c r="D35510" s="39"/>
      <c r="E35510" s="39"/>
      <c r="F35510" s="39"/>
    </row>
    <row r="35511">
      <c r="D35511" s="39"/>
      <c r="E35511" s="39"/>
      <c r="F35511" s="39"/>
    </row>
    <row r="35512">
      <c r="D35512" s="39"/>
      <c r="E35512" s="39"/>
      <c r="F35512" s="39"/>
    </row>
    <row r="35513">
      <c r="D35513" s="39"/>
      <c r="E35513" s="39"/>
      <c r="F35513" s="39"/>
    </row>
    <row r="35514">
      <c r="D35514" s="39"/>
      <c r="E35514" s="39"/>
      <c r="F35514" s="39"/>
    </row>
    <row r="35515">
      <c r="D35515" s="39"/>
      <c r="E35515" s="39"/>
      <c r="F35515" s="39"/>
    </row>
    <row r="35516">
      <c r="D35516" s="39"/>
      <c r="E35516" s="39"/>
      <c r="F35516" s="39"/>
    </row>
    <row r="35517">
      <c r="D35517" s="39"/>
      <c r="E35517" s="39"/>
      <c r="F35517" s="39"/>
    </row>
    <row r="35518">
      <c r="D35518" s="39"/>
      <c r="E35518" s="39"/>
      <c r="F35518" s="39"/>
    </row>
    <row r="35519">
      <c r="D35519" s="39"/>
      <c r="E35519" s="39"/>
      <c r="F35519" s="39"/>
    </row>
    <row r="35520">
      <c r="D35520" s="39"/>
      <c r="E35520" s="39"/>
      <c r="F35520" s="39"/>
    </row>
    <row r="35521">
      <c r="D35521" s="39"/>
      <c r="E35521" s="39"/>
      <c r="F35521" s="39"/>
    </row>
    <row r="35522">
      <c r="D35522" s="39"/>
      <c r="E35522" s="39"/>
      <c r="F35522" s="39"/>
    </row>
    <row r="35523">
      <c r="D35523" s="39"/>
      <c r="E35523" s="39"/>
      <c r="F35523" s="39"/>
    </row>
    <row r="35524">
      <c r="D35524" s="39"/>
      <c r="E35524" s="39"/>
      <c r="F35524" s="39"/>
    </row>
    <row r="35525">
      <c r="D35525" s="39"/>
      <c r="E35525" s="39"/>
      <c r="F35525" s="39"/>
    </row>
    <row r="35526">
      <c r="D35526" s="39"/>
      <c r="E35526" s="39"/>
      <c r="F35526" s="39"/>
    </row>
    <row r="35527">
      <c r="D35527" s="39"/>
      <c r="E35527" s="39"/>
      <c r="F35527" s="39"/>
    </row>
    <row r="35528">
      <c r="D35528" s="39"/>
      <c r="E35528" s="39"/>
      <c r="F35528" s="39"/>
    </row>
    <row r="35529">
      <c r="D35529" s="39"/>
      <c r="E35529" s="39"/>
      <c r="F35529" s="39"/>
    </row>
    <row r="35530">
      <c r="D35530" s="39"/>
      <c r="E35530" s="39"/>
      <c r="F35530" s="39"/>
    </row>
    <row r="35531">
      <c r="D35531" s="39"/>
      <c r="E35531" s="39"/>
      <c r="F35531" s="39"/>
    </row>
    <row r="35532">
      <c r="D35532" s="39"/>
      <c r="E35532" s="39"/>
      <c r="F35532" s="39"/>
    </row>
    <row r="35533">
      <c r="D35533" s="39"/>
      <c r="E35533" s="39"/>
      <c r="F35533" s="39"/>
    </row>
    <row r="35534">
      <c r="D35534" s="39"/>
      <c r="E35534" s="39"/>
      <c r="F35534" s="39"/>
    </row>
    <row r="35535">
      <c r="D35535" s="39"/>
      <c r="E35535" s="39"/>
      <c r="F35535" s="39"/>
    </row>
    <row r="35536">
      <c r="D35536" s="39"/>
      <c r="E35536" s="39"/>
      <c r="F35536" s="39"/>
    </row>
    <row r="35537">
      <c r="D35537" s="39"/>
      <c r="E35537" s="39"/>
      <c r="F35537" s="39"/>
    </row>
    <row r="35538">
      <c r="D35538" s="39"/>
      <c r="E35538" s="39"/>
      <c r="F35538" s="39"/>
    </row>
    <row r="35539">
      <c r="D35539" s="39"/>
      <c r="E35539" s="39"/>
      <c r="F35539" s="39"/>
    </row>
    <row r="35540">
      <c r="D35540" s="39"/>
      <c r="E35540" s="39"/>
      <c r="F35540" s="39"/>
    </row>
    <row r="35541">
      <c r="D35541" s="39"/>
      <c r="E35541" s="39"/>
      <c r="F35541" s="39"/>
    </row>
    <row r="35542">
      <c r="D35542" s="39"/>
      <c r="E35542" s="39"/>
      <c r="F35542" s="39"/>
    </row>
    <row r="35543">
      <c r="D35543" s="39"/>
      <c r="E35543" s="39"/>
      <c r="F35543" s="39"/>
    </row>
    <row r="35544">
      <c r="D35544" s="39"/>
      <c r="E35544" s="39"/>
      <c r="F35544" s="39"/>
    </row>
    <row r="35545">
      <c r="D35545" s="39"/>
      <c r="E35545" s="39"/>
      <c r="F35545" s="39"/>
    </row>
    <row r="35546">
      <c r="D35546" s="39"/>
      <c r="E35546" s="39"/>
      <c r="F35546" s="39"/>
    </row>
    <row r="35547">
      <c r="D35547" s="39"/>
      <c r="E35547" s="39"/>
      <c r="F35547" s="39"/>
    </row>
    <row r="35548">
      <c r="D35548" s="39"/>
      <c r="E35548" s="39"/>
      <c r="F35548" s="39"/>
    </row>
    <row r="35549">
      <c r="D35549" s="39"/>
      <c r="E35549" s="39"/>
      <c r="F35549" s="39"/>
    </row>
    <row r="35550">
      <c r="D35550" s="39"/>
      <c r="E35550" s="39"/>
      <c r="F35550" s="39"/>
    </row>
    <row r="35551">
      <c r="D35551" s="39"/>
      <c r="E35551" s="39"/>
      <c r="F35551" s="39"/>
    </row>
    <row r="35552">
      <c r="D35552" s="39"/>
      <c r="E35552" s="39"/>
      <c r="F35552" s="39"/>
    </row>
    <row r="35553">
      <c r="D35553" s="39"/>
      <c r="E35553" s="39"/>
      <c r="F35553" s="39"/>
    </row>
    <row r="35554">
      <c r="D35554" s="39"/>
      <c r="E35554" s="39"/>
      <c r="F35554" s="39"/>
    </row>
    <row r="35555">
      <c r="D35555" s="39"/>
      <c r="E35555" s="39"/>
      <c r="F35555" s="39"/>
    </row>
    <row r="35556">
      <c r="D35556" s="39"/>
      <c r="E35556" s="39"/>
      <c r="F35556" s="39"/>
    </row>
    <row r="35557">
      <c r="D35557" s="39"/>
      <c r="E35557" s="39"/>
      <c r="F35557" s="39"/>
    </row>
    <row r="35558">
      <c r="D35558" s="39"/>
      <c r="E35558" s="39"/>
      <c r="F35558" s="39"/>
    </row>
    <row r="35559">
      <c r="D35559" s="39"/>
      <c r="E35559" s="39"/>
      <c r="F35559" s="39"/>
    </row>
    <row r="35560">
      <c r="D35560" s="39"/>
      <c r="E35560" s="39"/>
      <c r="F35560" s="39"/>
    </row>
    <row r="35561">
      <c r="D35561" s="39"/>
      <c r="E35561" s="39"/>
      <c r="F35561" s="39"/>
    </row>
    <row r="35562">
      <c r="D35562" s="39"/>
      <c r="E35562" s="39"/>
      <c r="F35562" s="39"/>
    </row>
    <row r="35563">
      <c r="D35563" s="39"/>
      <c r="E35563" s="39"/>
      <c r="F35563" s="39"/>
    </row>
    <row r="35564">
      <c r="D35564" s="39"/>
      <c r="E35564" s="39"/>
      <c r="F35564" s="39"/>
    </row>
    <row r="35565">
      <c r="D35565" s="39"/>
      <c r="E35565" s="39"/>
      <c r="F35565" s="39"/>
    </row>
    <row r="35566">
      <c r="D35566" s="39"/>
      <c r="E35566" s="39"/>
      <c r="F35566" s="39"/>
    </row>
    <row r="35567">
      <c r="D35567" s="39"/>
      <c r="E35567" s="39"/>
      <c r="F35567" s="39"/>
    </row>
    <row r="35568">
      <c r="D35568" s="39"/>
      <c r="E35568" s="39"/>
      <c r="F35568" s="39"/>
    </row>
    <row r="35569">
      <c r="D35569" s="39"/>
      <c r="E35569" s="39"/>
      <c r="F35569" s="39"/>
    </row>
    <row r="35570">
      <c r="D35570" s="39"/>
      <c r="E35570" s="39"/>
      <c r="F35570" s="39"/>
    </row>
    <row r="35571">
      <c r="D35571" s="39"/>
      <c r="E35571" s="39"/>
      <c r="F35571" s="39"/>
    </row>
    <row r="35572">
      <c r="D35572" s="39"/>
      <c r="E35572" s="39"/>
      <c r="F35572" s="39"/>
    </row>
    <row r="35573">
      <c r="D35573" s="39"/>
      <c r="E35573" s="39"/>
      <c r="F35573" s="39"/>
    </row>
    <row r="35574">
      <c r="D35574" s="39"/>
      <c r="E35574" s="39"/>
      <c r="F35574" s="39"/>
    </row>
    <row r="35575">
      <c r="D35575" s="39"/>
      <c r="E35575" s="39"/>
      <c r="F35575" s="39"/>
    </row>
    <row r="35576">
      <c r="D35576" s="39"/>
      <c r="E35576" s="39"/>
      <c r="F35576" s="39"/>
    </row>
    <row r="35577">
      <c r="D35577" s="39"/>
      <c r="E35577" s="39"/>
      <c r="F35577" s="39"/>
    </row>
    <row r="35578">
      <c r="D35578" s="39"/>
      <c r="E35578" s="39"/>
      <c r="F35578" s="39"/>
    </row>
    <row r="35579">
      <c r="D35579" s="39"/>
      <c r="E35579" s="39"/>
      <c r="F35579" s="39"/>
    </row>
    <row r="35580">
      <c r="D35580" s="39"/>
      <c r="E35580" s="39"/>
      <c r="F35580" s="39"/>
    </row>
    <row r="35581">
      <c r="D35581" s="39"/>
      <c r="E35581" s="39"/>
      <c r="F35581" s="39"/>
    </row>
    <row r="35582">
      <c r="D35582" s="39"/>
      <c r="E35582" s="39"/>
      <c r="F35582" s="39"/>
    </row>
    <row r="35583">
      <c r="D35583" s="39"/>
      <c r="E35583" s="39"/>
      <c r="F35583" s="39"/>
    </row>
    <row r="35584">
      <c r="D35584" s="39"/>
      <c r="E35584" s="39"/>
      <c r="F35584" s="39"/>
    </row>
    <row r="35585">
      <c r="D35585" s="39"/>
      <c r="E35585" s="39"/>
      <c r="F35585" s="39"/>
    </row>
    <row r="35586">
      <c r="D35586" s="39"/>
      <c r="E35586" s="39"/>
      <c r="F35586" s="39"/>
    </row>
    <row r="35587">
      <c r="D35587" s="39"/>
      <c r="E35587" s="39"/>
      <c r="F35587" s="39"/>
    </row>
    <row r="35588">
      <c r="D35588" s="39"/>
      <c r="E35588" s="39"/>
      <c r="F35588" s="39"/>
    </row>
    <row r="35589">
      <c r="D35589" s="39"/>
      <c r="E35589" s="39"/>
      <c r="F35589" s="39"/>
    </row>
    <row r="35590">
      <c r="D35590" s="39"/>
      <c r="E35590" s="39"/>
      <c r="F35590" s="39"/>
    </row>
    <row r="35591">
      <c r="D35591" s="39"/>
      <c r="E35591" s="39"/>
      <c r="F35591" s="39"/>
    </row>
    <row r="35592">
      <c r="D35592" s="39"/>
      <c r="E35592" s="39"/>
      <c r="F35592" s="39"/>
    </row>
    <row r="35593">
      <c r="D35593" s="39"/>
      <c r="E35593" s="39"/>
      <c r="F35593" s="39"/>
    </row>
    <row r="35594">
      <c r="D35594" s="39"/>
      <c r="E35594" s="39"/>
      <c r="F35594" s="39"/>
    </row>
    <row r="35595">
      <c r="D35595" s="39"/>
      <c r="E35595" s="39"/>
      <c r="F35595" s="39"/>
    </row>
    <row r="35596">
      <c r="D35596" s="39"/>
      <c r="E35596" s="39"/>
      <c r="F35596" s="39"/>
    </row>
    <row r="35597">
      <c r="D35597" s="39"/>
      <c r="E35597" s="39"/>
      <c r="F35597" s="39"/>
    </row>
    <row r="35598">
      <c r="D35598" s="39"/>
      <c r="E35598" s="39"/>
      <c r="F35598" s="39"/>
    </row>
    <row r="35599">
      <c r="D35599" s="39"/>
      <c r="E35599" s="39"/>
      <c r="F35599" s="39"/>
    </row>
    <row r="35600">
      <c r="D35600" s="39"/>
      <c r="E35600" s="39"/>
      <c r="F35600" s="39"/>
    </row>
    <row r="35601">
      <c r="D35601" s="39"/>
      <c r="E35601" s="39"/>
      <c r="F35601" s="39"/>
    </row>
    <row r="35602">
      <c r="D35602" s="39"/>
      <c r="E35602" s="39"/>
      <c r="F35602" s="39"/>
    </row>
    <row r="35603">
      <c r="D35603" s="39"/>
      <c r="E35603" s="39"/>
      <c r="F35603" s="39"/>
    </row>
    <row r="35604">
      <c r="D35604" s="39"/>
      <c r="E35604" s="39"/>
      <c r="F35604" s="39"/>
    </row>
    <row r="35605">
      <c r="D35605" s="39"/>
      <c r="E35605" s="39"/>
      <c r="F35605" s="39"/>
    </row>
    <row r="35606">
      <c r="D35606" s="39"/>
      <c r="E35606" s="39"/>
      <c r="F35606" s="39"/>
    </row>
    <row r="35607">
      <c r="D35607" s="39"/>
      <c r="E35607" s="39"/>
      <c r="F35607" s="39"/>
    </row>
    <row r="35608">
      <c r="D35608" s="39"/>
      <c r="E35608" s="39"/>
      <c r="F35608" s="39"/>
    </row>
    <row r="35609">
      <c r="D35609" s="39"/>
      <c r="E35609" s="39"/>
      <c r="F35609" s="39"/>
    </row>
    <row r="35610">
      <c r="D35610" s="39"/>
      <c r="E35610" s="39"/>
      <c r="F35610" s="39"/>
    </row>
    <row r="35611">
      <c r="D35611" s="39"/>
      <c r="E35611" s="39"/>
      <c r="F35611" s="39"/>
    </row>
    <row r="35612">
      <c r="D35612" s="39"/>
      <c r="E35612" s="39"/>
      <c r="F35612" s="39"/>
    </row>
    <row r="35613">
      <c r="D35613" s="39"/>
      <c r="E35613" s="39"/>
      <c r="F35613" s="39"/>
    </row>
    <row r="35614">
      <c r="D35614" s="39"/>
      <c r="E35614" s="39"/>
      <c r="F35614" s="39"/>
    </row>
    <row r="35615">
      <c r="D35615" s="39"/>
      <c r="E35615" s="39"/>
      <c r="F35615" s="39"/>
    </row>
    <row r="35616">
      <c r="D35616" s="39"/>
      <c r="E35616" s="39"/>
      <c r="F35616" s="39"/>
    </row>
    <row r="35617">
      <c r="D35617" s="39"/>
      <c r="E35617" s="39"/>
      <c r="F35617" s="39"/>
    </row>
    <row r="35618">
      <c r="D35618" s="39"/>
      <c r="E35618" s="39"/>
      <c r="F35618" s="39"/>
    </row>
    <row r="35619">
      <c r="D35619" s="39"/>
      <c r="E35619" s="39"/>
      <c r="F35619" s="39"/>
    </row>
    <row r="35620">
      <c r="D35620" s="39"/>
      <c r="E35620" s="39"/>
      <c r="F35620" s="39"/>
    </row>
    <row r="35621">
      <c r="D35621" s="39"/>
      <c r="E35621" s="39"/>
      <c r="F35621" s="39"/>
    </row>
    <row r="35622">
      <c r="D35622" s="39"/>
      <c r="E35622" s="39"/>
      <c r="F35622" s="39"/>
    </row>
    <row r="35623">
      <c r="D35623" s="39"/>
      <c r="E35623" s="39"/>
      <c r="F35623" s="39"/>
    </row>
    <row r="35624">
      <c r="D35624" s="39"/>
      <c r="E35624" s="39"/>
      <c r="F35624" s="39"/>
    </row>
    <row r="35625">
      <c r="D35625" s="39"/>
      <c r="E35625" s="39"/>
      <c r="F35625" s="39"/>
    </row>
    <row r="35626">
      <c r="D35626" s="39"/>
      <c r="E35626" s="39"/>
      <c r="F35626" s="39"/>
    </row>
    <row r="35627">
      <c r="D35627" s="39"/>
      <c r="E35627" s="39"/>
      <c r="F35627" s="39"/>
    </row>
    <row r="35628">
      <c r="D35628" s="39"/>
      <c r="E35628" s="39"/>
      <c r="F35628" s="39"/>
    </row>
    <row r="35629">
      <c r="D35629" s="39"/>
      <c r="E35629" s="39"/>
      <c r="F35629" s="39"/>
    </row>
    <row r="35630">
      <c r="D35630" s="39"/>
      <c r="E35630" s="39"/>
      <c r="F35630" s="39"/>
    </row>
    <row r="35631">
      <c r="D35631" s="39"/>
      <c r="E35631" s="39"/>
      <c r="F35631" s="39"/>
    </row>
    <row r="35632">
      <c r="D35632" s="39"/>
      <c r="E35632" s="39"/>
      <c r="F35632" s="39"/>
    </row>
    <row r="35633">
      <c r="D35633" s="39"/>
      <c r="E35633" s="39"/>
      <c r="F35633" s="39"/>
    </row>
    <row r="35634">
      <c r="D35634" s="39"/>
      <c r="E35634" s="39"/>
      <c r="F35634" s="39"/>
    </row>
    <row r="35635">
      <c r="D35635" s="39"/>
      <c r="E35635" s="39"/>
      <c r="F35635" s="39"/>
    </row>
    <row r="35636">
      <c r="D35636" s="39"/>
      <c r="E35636" s="39"/>
      <c r="F35636" s="39"/>
    </row>
    <row r="35637">
      <c r="D35637" s="39"/>
      <c r="E35637" s="39"/>
      <c r="F35637" s="39"/>
    </row>
    <row r="35638">
      <c r="D35638" s="39"/>
      <c r="E35638" s="39"/>
      <c r="F35638" s="39"/>
    </row>
    <row r="35639">
      <c r="D35639" s="39"/>
      <c r="E35639" s="39"/>
      <c r="F35639" s="39"/>
    </row>
    <row r="35640">
      <c r="D35640" s="39"/>
      <c r="E35640" s="39"/>
      <c r="F35640" s="39"/>
    </row>
    <row r="35641">
      <c r="D35641" s="39"/>
      <c r="E35641" s="39"/>
      <c r="F35641" s="39"/>
    </row>
    <row r="35642">
      <c r="D35642" s="39"/>
      <c r="E35642" s="39"/>
      <c r="F35642" s="39"/>
    </row>
    <row r="35643">
      <c r="D35643" s="39"/>
      <c r="E35643" s="39"/>
      <c r="F35643" s="39"/>
    </row>
    <row r="35644">
      <c r="D35644" s="39"/>
      <c r="E35644" s="39"/>
      <c r="F35644" s="39"/>
    </row>
    <row r="35645">
      <c r="D35645" s="39"/>
      <c r="E35645" s="39"/>
      <c r="F35645" s="39"/>
    </row>
    <row r="35646">
      <c r="D35646" s="39"/>
      <c r="E35646" s="39"/>
      <c r="F35646" s="39"/>
    </row>
    <row r="35647">
      <c r="D35647" s="39"/>
      <c r="E35647" s="39"/>
      <c r="F35647" s="39"/>
    </row>
    <row r="35648">
      <c r="D35648" s="39"/>
      <c r="E35648" s="39"/>
      <c r="F35648" s="39"/>
    </row>
    <row r="35649">
      <c r="D35649" s="39"/>
      <c r="E35649" s="39"/>
      <c r="F35649" s="39"/>
    </row>
    <row r="35650">
      <c r="D35650" s="39"/>
      <c r="E35650" s="39"/>
      <c r="F35650" s="39"/>
    </row>
    <row r="35651">
      <c r="D35651" s="39"/>
      <c r="E35651" s="39"/>
      <c r="F35651" s="39"/>
    </row>
    <row r="35652">
      <c r="D35652" s="39"/>
      <c r="E35652" s="39"/>
      <c r="F35652" s="39"/>
    </row>
    <row r="35653">
      <c r="D35653" s="39"/>
      <c r="E35653" s="39"/>
      <c r="F35653" s="39"/>
    </row>
    <row r="35654">
      <c r="D35654" s="39"/>
      <c r="E35654" s="39"/>
      <c r="F35654" s="39"/>
    </row>
    <row r="35655">
      <c r="D35655" s="39"/>
      <c r="E35655" s="39"/>
      <c r="F35655" s="39"/>
    </row>
    <row r="35656">
      <c r="D35656" s="39"/>
      <c r="E35656" s="39"/>
      <c r="F35656" s="39"/>
    </row>
    <row r="35657">
      <c r="D35657" s="39"/>
      <c r="E35657" s="39"/>
      <c r="F35657" s="39"/>
    </row>
    <row r="35658">
      <c r="D35658" s="39"/>
      <c r="E35658" s="39"/>
      <c r="F35658" s="39"/>
    </row>
    <row r="35659">
      <c r="D35659" s="39"/>
      <c r="E35659" s="39"/>
      <c r="F35659" s="39"/>
    </row>
    <row r="35660">
      <c r="D35660" s="39"/>
      <c r="E35660" s="39"/>
      <c r="F35660" s="39"/>
    </row>
    <row r="35661">
      <c r="D35661" s="39"/>
      <c r="E35661" s="39"/>
      <c r="F35661" s="39"/>
    </row>
    <row r="35662">
      <c r="D35662" s="39"/>
      <c r="E35662" s="39"/>
      <c r="F35662" s="39"/>
    </row>
    <row r="35663">
      <c r="D35663" s="39"/>
      <c r="E35663" s="39"/>
      <c r="F35663" s="39"/>
    </row>
    <row r="35664">
      <c r="D35664" s="39"/>
      <c r="E35664" s="39"/>
      <c r="F35664" s="39"/>
    </row>
    <row r="35665">
      <c r="D35665" s="39"/>
      <c r="E35665" s="39"/>
      <c r="F35665" s="39"/>
    </row>
    <row r="35666">
      <c r="D35666" s="39"/>
      <c r="E35666" s="39"/>
      <c r="F35666" s="39"/>
    </row>
    <row r="35667">
      <c r="D35667" s="39"/>
      <c r="E35667" s="39"/>
      <c r="F35667" s="39"/>
    </row>
    <row r="35668">
      <c r="D35668" s="39"/>
      <c r="E35668" s="39"/>
      <c r="F35668" s="39"/>
    </row>
    <row r="35669">
      <c r="D35669" s="39"/>
      <c r="E35669" s="39"/>
      <c r="F35669" s="39"/>
    </row>
    <row r="35670">
      <c r="D35670" s="39"/>
      <c r="E35670" s="39"/>
      <c r="F35670" s="39"/>
    </row>
    <row r="35671">
      <c r="D35671" s="39"/>
      <c r="E35671" s="39"/>
      <c r="F35671" s="39"/>
    </row>
    <row r="35672">
      <c r="D35672" s="39"/>
      <c r="E35672" s="39"/>
      <c r="F35672" s="39"/>
    </row>
    <row r="35673">
      <c r="D35673" s="39"/>
      <c r="E35673" s="39"/>
      <c r="F35673" s="39"/>
    </row>
    <row r="35674">
      <c r="D35674" s="39"/>
      <c r="E35674" s="39"/>
      <c r="F35674" s="39"/>
    </row>
    <row r="35675">
      <c r="D35675" s="39"/>
      <c r="E35675" s="39"/>
      <c r="F35675" s="39"/>
    </row>
    <row r="35676">
      <c r="D35676" s="39"/>
      <c r="E35676" s="39"/>
      <c r="F35676" s="39"/>
    </row>
    <row r="35677">
      <c r="D35677" s="39"/>
      <c r="E35677" s="39"/>
      <c r="F35677" s="39"/>
    </row>
    <row r="35678">
      <c r="D35678" s="39"/>
      <c r="E35678" s="39"/>
      <c r="F35678" s="39"/>
    </row>
    <row r="35679">
      <c r="D35679" s="39"/>
      <c r="E35679" s="39"/>
      <c r="F35679" s="39"/>
    </row>
    <row r="35680">
      <c r="D35680" s="39"/>
      <c r="E35680" s="39"/>
      <c r="F35680" s="39"/>
    </row>
    <row r="35681">
      <c r="D35681" s="39"/>
      <c r="E35681" s="39"/>
      <c r="F35681" s="39"/>
    </row>
    <row r="35682">
      <c r="D35682" s="39"/>
      <c r="E35682" s="39"/>
      <c r="F35682" s="39"/>
    </row>
    <row r="35683">
      <c r="D35683" s="39"/>
      <c r="E35683" s="39"/>
      <c r="F35683" s="39"/>
    </row>
    <row r="35684">
      <c r="D35684" s="39"/>
      <c r="E35684" s="39"/>
      <c r="F35684" s="39"/>
    </row>
    <row r="35685">
      <c r="D35685" s="39"/>
      <c r="E35685" s="39"/>
      <c r="F35685" s="39"/>
    </row>
    <row r="35686">
      <c r="D35686" s="39"/>
      <c r="E35686" s="39"/>
      <c r="F35686" s="39"/>
    </row>
    <row r="35687">
      <c r="D35687" s="39"/>
      <c r="E35687" s="39"/>
      <c r="F35687" s="39"/>
    </row>
    <row r="35688">
      <c r="D35688" s="39"/>
      <c r="E35688" s="39"/>
      <c r="F35688" s="39"/>
    </row>
    <row r="35689">
      <c r="D35689" s="39"/>
      <c r="E35689" s="39"/>
      <c r="F35689" s="39"/>
    </row>
    <row r="35690">
      <c r="D35690" s="39"/>
      <c r="E35690" s="39"/>
      <c r="F35690" s="39"/>
    </row>
    <row r="35691">
      <c r="D35691" s="39"/>
      <c r="E35691" s="39"/>
      <c r="F35691" s="39"/>
    </row>
    <row r="35692">
      <c r="D35692" s="39"/>
      <c r="E35692" s="39"/>
      <c r="F35692" s="39"/>
    </row>
    <row r="35693">
      <c r="D35693" s="39"/>
      <c r="E35693" s="39"/>
      <c r="F35693" s="39"/>
    </row>
    <row r="35694">
      <c r="D35694" s="39"/>
      <c r="E35694" s="39"/>
      <c r="F35694" s="39"/>
    </row>
    <row r="35695">
      <c r="D35695" s="39"/>
      <c r="E35695" s="39"/>
      <c r="F35695" s="39"/>
    </row>
    <row r="35696">
      <c r="D35696" s="39"/>
      <c r="E35696" s="39"/>
      <c r="F35696" s="39"/>
    </row>
    <row r="35697">
      <c r="D35697" s="39"/>
      <c r="E35697" s="39"/>
      <c r="F35697" s="39"/>
    </row>
    <row r="35698">
      <c r="D35698" s="39"/>
      <c r="E35698" s="39"/>
      <c r="F35698" s="39"/>
    </row>
    <row r="35699">
      <c r="D35699" s="39"/>
      <c r="E35699" s="39"/>
      <c r="F35699" s="39"/>
    </row>
    <row r="35700">
      <c r="D35700" s="39"/>
      <c r="E35700" s="39"/>
      <c r="F35700" s="39"/>
    </row>
    <row r="35701">
      <c r="D35701" s="39"/>
      <c r="E35701" s="39"/>
      <c r="F35701" s="39"/>
    </row>
    <row r="35702">
      <c r="D35702" s="39"/>
      <c r="E35702" s="39"/>
      <c r="F35702" s="39"/>
    </row>
    <row r="35703">
      <c r="D35703" s="39"/>
      <c r="E35703" s="39"/>
      <c r="F35703" s="39"/>
    </row>
    <row r="35704">
      <c r="D35704" s="39"/>
      <c r="E35704" s="39"/>
      <c r="F35704" s="39"/>
    </row>
    <row r="35705">
      <c r="D35705" s="39"/>
      <c r="E35705" s="39"/>
      <c r="F35705" s="39"/>
    </row>
    <row r="35706">
      <c r="D35706" s="39"/>
      <c r="E35706" s="39"/>
      <c r="F35706" s="39"/>
    </row>
    <row r="35707">
      <c r="D35707" s="39"/>
      <c r="E35707" s="39"/>
      <c r="F35707" s="39"/>
    </row>
    <row r="35708">
      <c r="D35708" s="39"/>
      <c r="E35708" s="39"/>
      <c r="F35708" s="39"/>
    </row>
    <row r="35709">
      <c r="D35709" s="39"/>
      <c r="E35709" s="39"/>
      <c r="F35709" s="39"/>
    </row>
    <row r="35710">
      <c r="D35710" s="39"/>
      <c r="E35710" s="39"/>
      <c r="F35710" s="39"/>
    </row>
    <row r="35711">
      <c r="D35711" s="39"/>
      <c r="E35711" s="39"/>
      <c r="F35711" s="39"/>
    </row>
    <row r="35712">
      <c r="D35712" s="39"/>
      <c r="E35712" s="39"/>
      <c r="F35712" s="39"/>
    </row>
    <row r="35713">
      <c r="D35713" s="39"/>
      <c r="E35713" s="39"/>
      <c r="F35713" s="39"/>
    </row>
    <row r="35714">
      <c r="D35714" s="39"/>
      <c r="E35714" s="39"/>
      <c r="F35714" s="39"/>
    </row>
    <row r="35715">
      <c r="D35715" s="39"/>
      <c r="E35715" s="39"/>
      <c r="F35715" s="39"/>
    </row>
    <row r="35716">
      <c r="D35716" s="39"/>
      <c r="E35716" s="39"/>
      <c r="F35716" s="39"/>
    </row>
    <row r="35717">
      <c r="D35717" s="39"/>
      <c r="E35717" s="39"/>
      <c r="F35717" s="39"/>
    </row>
    <row r="35718">
      <c r="D35718" s="39"/>
      <c r="E35718" s="39"/>
      <c r="F35718" s="39"/>
    </row>
    <row r="35719">
      <c r="D35719" s="39"/>
      <c r="E35719" s="39"/>
      <c r="F35719" s="39"/>
    </row>
    <row r="35720">
      <c r="D35720" s="39"/>
      <c r="E35720" s="39"/>
      <c r="F35720" s="39"/>
    </row>
    <row r="35721">
      <c r="D35721" s="39"/>
      <c r="E35721" s="39"/>
      <c r="F35721" s="39"/>
    </row>
    <row r="35722">
      <c r="D35722" s="39"/>
      <c r="E35722" s="39"/>
      <c r="F35722" s="39"/>
    </row>
    <row r="35723">
      <c r="D35723" s="39"/>
      <c r="E35723" s="39"/>
      <c r="F35723" s="39"/>
    </row>
    <row r="35724">
      <c r="D35724" s="39"/>
      <c r="E35724" s="39"/>
      <c r="F35724" s="39"/>
    </row>
    <row r="35725">
      <c r="D35725" s="39"/>
      <c r="E35725" s="39"/>
      <c r="F35725" s="39"/>
    </row>
    <row r="35726">
      <c r="D35726" s="39"/>
      <c r="E35726" s="39"/>
      <c r="F35726" s="39"/>
    </row>
    <row r="35727">
      <c r="D35727" s="39"/>
      <c r="E35727" s="39"/>
      <c r="F35727" s="39"/>
    </row>
    <row r="35728">
      <c r="D35728" s="39"/>
      <c r="E35728" s="39"/>
      <c r="F35728" s="39"/>
    </row>
    <row r="35729">
      <c r="D35729" s="39"/>
      <c r="E35729" s="39"/>
      <c r="F35729" s="39"/>
    </row>
    <row r="35730">
      <c r="D35730" s="39"/>
      <c r="E35730" s="39"/>
      <c r="F35730" s="39"/>
    </row>
    <row r="35731">
      <c r="D35731" s="39"/>
      <c r="E35731" s="39"/>
      <c r="F35731" s="39"/>
    </row>
    <row r="35732">
      <c r="D35732" s="39"/>
      <c r="E35732" s="39"/>
      <c r="F35732" s="39"/>
    </row>
    <row r="35733">
      <c r="D35733" s="39"/>
      <c r="E35733" s="39"/>
      <c r="F35733" s="39"/>
    </row>
    <row r="35734">
      <c r="D35734" s="39"/>
      <c r="E35734" s="39"/>
      <c r="F35734" s="39"/>
    </row>
    <row r="35735">
      <c r="D35735" s="39"/>
      <c r="E35735" s="39"/>
      <c r="F35735" s="39"/>
    </row>
    <row r="35736">
      <c r="D35736" s="39"/>
      <c r="E35736" s="39"/>
      <c r="F35736" s="39"/>
    </row>
    <row r="35737">
      <c r="D35737" s="39"/>
      <c r="E35737" s="39"/>
      <c r="F35737" s="39"/>
    </row>
    <row r="35738">
      <c r="D35738" s="39"/>
      <c r="E35738" s="39"/>
      <c r="F35738" s="39"/>
    </row>
    <row r="35739">
      <c r="D35739" s="39"/>
      <c r="E35739" s="39"/>
      <c r="F35739" s="39"/>
    </row>
    <row r="35740">
      <c r="D35740" s="39"/>
      <c r="E35740" s="39"/>
      <c r="F35740" s="39"/>
    </row>
    <row r="35741">
      <c r="D35741" s="39"/>
      <c r="E35741" s="39"/>
      <c r="F35741" s="39"/>
    </row>
    <row r="35742">
      <c r="D35742" s="39"/>
      <c r="E35742" s="39"/>
      <c r="F35742" s="39"/>
    </row>
    <row r="35743">
      <c r="D35743" s="39"/>
      <c r="E35743" s="39"/>
      <c r="F35743" s="39"/>
    </row>
    <row r="35744">
      <c r="D35744" s="39"/>
      <c r="E35744" s="39"/>
      <c r="F35744" s="39"/>
    </row>
    <row r="35745">
      <c r="D35745" s="39"/>
      <c r="E35745" s="39"/>
      <c r="F35745" s="39"/>
    </row>
    <row r="35746">
      <c r="D35746" s="39"/>
      <c r="E35746" s="39"/>
      <c r="F35746" s="39"/>
    </row>
    <row r="35747">
      <c r="D35747" s="39"/>
      <c r="E35747" s="39"/>
      <c r="F35747" s="39"/>
    </row>
    <row r="35748">
      <c r="D35748" s="39"/>
      <c r="E35748" s="39"/>
      <c r="F35748" s="39"/>
    </row>
    <row r="35749">
      <c r="D35749" s="39"/>
      <c r="E35749" s="39"/>
      <c r="F35749" s="39"/>
    </row>
    <row r="35750">
      <c r="D35750" s="39"/>
      <c r="E35750" s="39"/>
      <c r="F35750" s="39"/>
    </row>
    <row r="35751">
      <c r="D35751" s="39"/>
      <c r="E35751" s="39"/>
      <c r="F35751" s="39"/>
    </row>
    <row r="35752">
      <c r="D35752" s="39"/>
      <c r="E35752" s="39"/>
      <c r="F35752" s="39"/>
    </row>
    <row r="35753">
      <c r="D35753" s="39"/>
      <c r="E35753" s="39"/>
      <c r="F35753" s="39"/>
    </row>
    <row r="35754">
      <c r="D35754" s="39"/>
      <c r="E35754" s="39"/>
      <c r="F35754" s="39"/>
    </row>
    <row r="35755">
      <c r="D35755" s="39"/>
      <c r="E35755" s="39"/>
      <c r="F35755" s="39"/>
    </row>
    <row r="35756">
      <c r="D35756" s="39"/>
      <c r="E35756" s="39"/>
      <c r="F35756" s="39"/>
    </row>
    <row r="35757">
      <c r="D35757" s="39"/>
      <c r="E35757" s="39"/>
      <c r="F35757" s="39"/>
    </row>
    <row r="35758">
      <c r="D35758" s="39"/>
      <c r="E35758" s="39"/>
      <c r="F35758" s="39"/>
    </row>
    <row r="35759">
      <c r="D35759" s="39"/>
      <c r="E35759" s="39"/>
      <c r="F35759" s="39"/>
    </row>
    <row r="35760">
      <c r="D35760" s="39"/>
      <c r="E35760" s="39"/>
      <c r="F35760" s="39"/>
    </row>
    <row r="35761">
      <c r="D35761" s="39"/>
      <c r="E35761" s="39"/>
      <c r="F35761" s="39"/>
    </row>
    <row r="35762">
      <c r="D35762" s="39"/>
      <c r="E35762" s="39"/>
      <c r="F35762" s="39"/>
    </row>
    <row r="35763">
      <c r="D35763" s="39"/>
      <c r="E35763" s="39"/>
      <c r="F35763" s="39"/>
    </row>
    <row r="35764">
      <c r="D35764" s="39"/>
      <c r="E35764" s="39"/>
      <c r="F35764" s="39"/>
    </row>
    <row r="35765">
      <c r="D35765" s="39"/>
      <c r="E35765" s="39"/>
      <c r="F35765" s="39"/>
    </row>
    <row r="35766">
      <c r="D35766" s="39"/>
      <c r="E35766" s="39"/>
      <c r="F35766" s="39"/>
    </row>
    <row r="35767">
      <c r="D35767" s="39"/>
      <c r="E35767" s="39"/>
      <c r="F35767" s="39"/>
    </row>
    <row r="35768">
      <c r="D35768" s="39"/>
      <c r="E35768" s="39"/>
      <c r="F35768" s="39"/>
    </row>
    <row r="35769">
      <c r="D35769" s="39"/>
      <c r="E35769" s="39"/>
      <c r="F35769" s="39"/>
    </row>
    <row r="35770">
      <c r="D35770" s="39"/>
      <c r="E35770" s="39"/>
      <c r="F35770" s="39"/>
    </row>
    <row r="35771">
      <c r="D35771" s="39"/>
      <c r="E35771" s="39"/>
      <c r="F35771" s="39"/>
    </row>
    <row r="35772">
      <c r="D35772" s="39"/>
      <c r="E35772" s="39"/>
      <c r="F35772" s="39"/>
    </row>
    <row r="35773">
      <c r="D35773" s="39"/>
      <c r="E35773" s="39"/>
      <c r="F35773" s="39"/>
    </row>
    <row r="35774">
      <c r="D35774" s="39"/>
      <c r="E35774" s="39"/>
      <c r="F35774" s="39"/>
    </row>
    <row r="35775">
      <c r="D35775" s="39"/>
      <c r="E35775" s="39"/>
      <c r="F35775" s="39"/>
    </row>
    <row r="35776">
      <c r="D35776" s="39"/>
      <c r="E35776" s="39"/>
      <c r="F35776" s="39"/>
    </row>
    <row r="35777">
      <c r="D35777" s="39"/>
      <c r="E35777" s="39"/>
      <c r="F35777" s="39"/>
    </row>
    <row r="35778">
      <c r="D35778" s="39"/>
      <c r="E35778" s="39"/>
      <c r="F35778" s="39"/>
    </row>
    <row r="35779">
      <c r="D35779" s="39"/>
      <c r="E35779" s="39"/>
      <c r="F35779" s="39"/>
    </row>
    <row r="35780">
      <c r="D35780" s="39"/>
      <c r="E35780" s="39"/>
      <c r="F35780" s="39"/>
    </row>
    <row r="35781">
      <c r="D35781" s="39"/>
      <c r="E35781" s="39"/>
      <c r="F35781" s="39"/>
    </row>
    <row r="35782">
      <c r="D35782" s="39"/>
      <c r="E35782" s="39"/>
      <c r="F35782" s="39"/>
    </row>
    <row r="35783">
      <c r="D35783" s="39"/>
      <c r="E35783" s="39"/>
      <c r="F35783" s="39"/>
    </row>
    <row r="35784">
      <c r="D35784" s="39"/>
      <c r="E35784" s="39"/>
      <c r="F35784" s="39"/>
    </row>
    <row r="35785">
      <c r="D35785" s="39"/>
      <c r="E35785" s="39"/>
      <c r="F35785" s="39"/>
    </row>
    <row r="35786">
      <c r="D35786" s="39"/>
      <c r="E35786" s="39"/>
      <c r="F35786" s="39"/>
    </row>
    <row r="35787">
      <c r="D35787" s="39"/>
      <c r="E35787" s="39"/>
      <c r="F35787" s="39"/>
    </row>
    <row r="35788">
      <c r="D35788" s="39"/>
      <c r="E35788" s="39"/>
      <c r="F35788" s="39"/>
    </row>
    <row r="35789">
      <c r="D35789" s="39"/>
      <c r="E35789" s="39"/>
      <c r="F35789" s="39"/>
    </row>
    <row r="35790">
      <c r="D35790" s="39"/>
      <c r="E35790" s="39"/>
      <c r="F35790" s="39"/>
    </row>
    <row r="35791">
      <c r="D35791" s="39"/>
      <c r="E35791" s="39"/>
      <c r="F35791" s="39"/>
    </row>
    <row r="35792">
      <c r="D35792" s="39"/>
      <c r="E35792" s="39"/>
      <c r="F35792" s="39"/>
    </row>
    <row r="35793">
      <c r="D35793" s="39"/>
      <c r="E35793" s="39"/>
      <c r="F35793" s="39"/>
    </row>
    <row r="35794">
      <c r="D35794" s="39"/>
      <c r="E35794" s="39"/>
      <c r="F35794" s="39"/>
    </row>
    <row r="35795">
      <c r="D35795" s="39"/>
      <c r="E35795" s="39"/>
      <c r="F35795" s="39"/>
    </row>
    <row r="35796">
      <c r="D35796" s="39"/>
      <c r="E35796" s="39"/>
      <c r="F35796" s="39"/>
    </row>
    <row r="35797">
      <c r="D35797" s="39"/>
      <c r="E35797" s="39"/>
      <c r="F35797" s="39"/>
    </row>
    <row r="35798">
      <c r="D35798" s="39"/>
      <c r="E35798" s="39"/>
      <c r="F35798" s="39"/>
    </row>
    <row r="35799">
      <c r="D35799" s="39"/>
      <c r="E35799" s="39"/>
      <c r="F35799" s="39"/>
    </row>
    <row r="35800">
      <c r="D35800" s="39"/>
      <c r="E35800" s="39"/>
      <c r="F35800" s="39"/>
    </row>
    <row r="35801">
      <c r="D35801" s="39"/>
      <c r="E35801" s="39"/>
      <c r="F35801" s="39"/>
    </row>
    <row r="35802">
      <c r="D35802" s="39"/>
      <c r="E35802" s="39"/>
      <c r="F35802" s="39"/>
    </row>
    <row r="35803">
      <c r="D35803" s="39"/>
      <c r="E35803" s="39"/>
      <c r="F35803" s="39"/>
    </row>
    <row r="35804">
      <c r="D35804" s="39"/>
      <c r="E35804" s="39"/>
      <c r="F35804" s="39"/>
    </row>
    <row r="35805">
      <c r="D35805" s="39"/>
      <c r="E35805" s="39"/>
      <c r="F35805" s="39"/>
    </row>
    <row r="35806">
      <c r="D35806" s="39"/>
      <c r="E35806" s="39"/>
      <c r="F35806" s="39"/>
    </row>
    <row r="35807">
      <c r="D35807" s="39"/>
      <c r="E35807" s="39"/>
      <c r="F35807" s="39"/>
    </row>
    <row r="35808">
      <c r="D35808" s="39"/>
      <c r="E35808" s="39"/>
      <c r="F35808" s="39"/>
    </row>
    <row r="35809">
      <c r="D35809" s="39"/>
      <c r="E35809" s="39"/>
      <c r="F35809" s="39"/>
    </row>
    <row r="35810">
      <c r="D35810" s="39"/>
      <c r="E35810" s="39"/>
      <c r="F35810" s="39"/>
    </row>
    <row r="35811">
      <c r="D35811" s="39"/>
      <c r="E35811" s="39"/>
      <c r="F35811" s="39"/>
    </row>
    <row r="35812">
      <c r="D35812" s="39"/>
      <c r="E35812" s="39"/>
      <c r="F35812" s="39"/>
    </row>
    <row r="35813">
      <c r="D35813" s="39"/>
      <c r="E35813" s="39"/>
      <c r="F35813" s="39"/>
    </row>
    <row r="35814">
      <c r="D35814" s="39"/>
      <c r="E35814" s="39"/>
      <c r="F35814" s="39"/>
    </row>
    <row r="35815">
      <c r="D35815" s="39"/>
      <c r="E35815" s="39"/>
      <c r="F35815" s="39"/>
    </row>
    <row r="35816">
      <c r="D35816" s="39"/>
      <c r="E35816" s="39"/>
      <c r="F35816" s="39"/>
    </row>
    <row r="35817">
      <c r="D35817" s="39"/>
      <c r="E35817" s="39"/>
      <c r="F35817" s="39"/>
    </row>
    <row r="35818">
      <c r="D35818" s="39"/>
      <c r="E35818" s="39"/>
      <c r="F35818" s="39"/>
    </row>
    <row r="35819">
      <c r="D35819" s="39"/>
      <c r="E35819" s="39"/>
      <c r="F35819" s="39"/>
    </row>
    <row r="35820">
      <c r="D35820" s="39"/>
      <c r="E35820" s="39"/>
      <c r="F35820" s="39"/>
    </row>
    <row r="35821">
      <c r="D35821" s="39"/>
      <c r="E35821" s="39"/>
      <c r="F35821" s="39"/>
    </row>
    <row r="35822">
      <c r="D35822" s="39"/>
      <c r="E35822" s="39"/>
      <c r="F35822" s="39"/>
    </row>
    <row r="35823">
      <c r="D35823" s="39"/>
      <c r="E35823" s="39"/>
      <c r="F35823" s="39"/>
    </row>
    <row r="35824">
      <c r="D35824" s="39"/>
      <c r="E35824" s="39"/>
      <c r="F35824" s="39"/>
    </row>
    <row r="35825">
      <c r="D35825" s="39"/>
      <c r="E35825" s="39"/>
      <c r="F35825" s="39"/>
    </row>
    <row r="35826">
      <c r="D35826" s="39"/>
      <c r="E35826" s="39"/>
      <c r="F35826" s="39"/>
    </row>
    <row r="35827">
      <c r="D35827" s="39"/>
      <c r="E35827" s="39"/>
      <c r="F35827" s="39"/>
    </row>
    <row r="35828">
      <c r="D35828" s="39"/>
      <c r="E35828" s="39"/>
      <c r="F35828" s="39"/>
    </row>
    <row r="35829">
      <c r="D35829" s="39"/>
      <c r="E35829" s="39"/>
      <c r="F35829" s="39"/>
    </row>
    <row r="35830">
      <c r="D35830" s="39"/>
      <c r="E35830" s="39"/>
      <c r="F35830" s="39"/>
    </row>
    <row r="35831">
      <c r="D35831" s="39"/>
      <c r="E35831" s="39"/>
      <c r="F35831" s="39"/>
    </row>
    <row r="35832">
      <c r="D35832" s="39"/>
      <c r="E35832" s="39"/>
      <c r="F35832" s="39"/>
    </row>
    <row r="35833">
      <c r="D35833" s="39"/>
      <c r="E35833" s="39"/>
      <c r="F35833" s="39"/>
    </row>
    <row r="35834">
      <c r="D35834" s="39"/>
      <c r="E35834" s="39"/>
      <c r="F35834" s="39"/>
    </row>
    <row r="35835">
      <c r="D35835" s="39"/>
      <c r="E35835" s="39"/>
      <c r="F35835" s="39"/>
    </row>
    <row r="35836">
      <c r="D35836" s="39"/>
      <c r="E35836" s="39"/>
      <c r="F35836" s="39"/>
    </row>
    <row r="35837">
      <c r="D35837" s="39"/>
      <c r="E35837" s="39"/>
      <c r="F35837" s="39"/>
    </row>
    <row r="35838">
      <c r="D35838" s="39"/>
      <c r="E35838" s="39"/>
      <c r="F35838" s="39"/>
    </row>
    <row r="35839">
      <c r="D35839" s="39"/>
      <c r="E35839" s="39"/>
      <c r="F35839" s="39"/>
    </row>
    <row r="35840">
      <c r="D35840" s="39"/>
      <c r="E35840" s="39"/>
      <c r="F35840" s="39"/>
    </row>
    <row r="35841">
      <c r="D35841" s="39"/>
      <c r="E35841" s="39"/>
      <c r="F35841" s="39"/>
    </row>
    <row r="35842">
      <c r="D35842" s="39"/>
      <c r="E35842" s="39"/>
      <c r="F35842" s="39"/>
    </row>
    <row r="35843">
      <c r="D35843" s="39"/>
      <c r="E35843" s="39"/>
      <c r="F35843" s="39"/>
    </row>
    <row r="35844">
      <c r="D35844" s="39"/>
      <c r="E35844" s="39"/>
      <c r="F35844" s="39"/>
    </row>
    <row r="35845">
      <c r="D35845" s="39"/>
      <c r="E35845" s="39"/>
      <c r="F35845" s="39"/>
    </row>
    <row r="35846">
      <c r="D35846" s="39"/>
      <c r="E35846" s="39"/>
      <c r="F35846" s="39"/>
    </row>
    <row r="35847">
      <c r="D35847" s="39"/>
      <c r="E35847" s="39"/>
      <c r="F35847" s="39"/>
    </row>
    <row r="35848">
      <c r="D35848" s="39"/>
      <c r="E35848" s="39"/>
      <c r="F35848" s="39"/>
    </row>
    <row r="35849">
      <c r="D35849" s="39"/>
      <c r="E35849" s="39"/>
      <c r="F35849" s="39"/>
    </row>
    <row r="35850">
      <c r="D35850" s="39"/>
      <c r="E35850" s="39"/>
      <c r="F35850" s="39"/>
    </row>
    <row r="35851">
      <c r="D35851" s="39"/>
      <c r="E35851" s="39"/>
      <c r="F35851" s="39"/>
    </row>
    <row r="35852">
      <c r="D35852" s="39"/>
      <c r="E35852" s="39"/>
      <c r="F35852" s="39"/>
    </row>
    <row r="35853">
      <c r="D35853" s="39"/>
      <c r="E35853" s="39"/>
      <c r="F35853" s="39"/>
    </row>
    <row r="35854">
      <c r="D35854" s="39"/>
      <c r="E35854" s="39"/>
      <c r="F35854" s="39"/>
    </row>
    <row r="35855">
      <c r="D35855" s="39"/>
      <c r="E35855" s="39"/>
      <c r="F35855" s="39"/>
    </row>
    <row r="35856">
      <c r="D35856" s="39"/>
      <c r="E35856" s="39"/>
      <c r="F35856" s="39"/>
    </row>
    <row r="35857">
      <c r="D35857" s="39"/>
      <c r="E35857" s="39"/>
      <c r="F35857" s="39"/>
    </row>
    <row r="35858">
      <c r="D35858" s="39"/>
      <c r="E35858" s="39"/>
      <c r="F35858" s="39"/>
    </row>
    <row r="35859">
      <c r="D35859" s="39"/>
      <c r="E35859" s="39"/>
      <c r="F35859" s="39"/>
    </row>
    <row r="35860">
      <c r="D35860" s="39"/>
      <c r="E35860" s="39"/>
      <c r="F35860" s="39"/>
    </row>
    <row r="35861">
      <c r="D35861" s="39"/>
      <c r="E35861" s="39"/>
      <c r="F35861" s="39"/>
    </row>
    <row r="35862">
      <c r="D35862" s="39"/>
      <c r="E35862" s="39"/>
      <c r="F35862" s="39"/>
    </row>
    <row r="35863">
      <c r="D35863" s="39"/>
      <c r="E35863" s="39"/>
      <c r="F35863" s="39"/>
    </row>
    <row r="35864">
      <c r="D35864" s="39"/>
      <c r="E35864" s="39"/>
      <c r="F35864" s="39"/>
    </row>
    <row r="35865">
      <c r="D35865" s="39"/>
      <c r="E35865" s="39"/>
      <c r="F35865" s="39"/>
    </row>
    <row r="35866">
      <c r="D35866" s="39"/>
      <c r="E35866" s="39"/>
      <c r="F35866" s="39"/>
    </row>
    <row r="35867">
      <c r="D35867" s="39"/>
      <c r="E35867" s="39"/>
      <c r="F35867" s="39"/>
    </row>
    <row r="35868">
      <c r="D35868" s="39"/>
      <c r="E35868" s="39"/>
      <c r="F35868" s="39"/>
    </row>
    <row r="35869">
      <c r="D35869" s="39"/>
      <c r="E35869" s="39"/>
      <c r="F35869" s="39"/>
    </row>
    <row r="35870">
      <c r="D35870" s="39"/>
      <c r="E35870" s="39"/>
      <c r="F35870" s="39"/>
    </row>
    <row r="35871">
      <c r="D35871" s="39"/>
      <c r="E35871" s="39"/>
      <c r="F35871" s="39"/>
    </row>
    <row r="35872">
      <c r="D35872" s="39"/>
      <c r="E35872" s="39"/>
      <c r="F35872" s="39"/>
    </row>
    <row r="35873">
      <c r="D35873" s="39"/>
      <c r="E35873" s="39"/>
      <c r="F35873" s="39"/>
    </row>
    <row r="35874">
      <c r="D35874" s="39"/>
      <c r="E35874" s="39"/>
      <c r="F35874" s="39"/>
    </row>
    <row r="35875">
      <c r="D35875" s="39"/>
      <c r="E35875" s="39"/>
      <c r="F35875" s="39"/>
    </row>
    <row r="35876">
      <c r="D35876" s="39"/>
      <c r="E35876" s="39"/>
      <c r="F35876" s="39"/>
    </row>
    <row r="35877">
      <c r="D35877" s="39"/>
      <c r="E35877" s="39"/>
      <c r="F35877" s="39"/>
    </row>
    <row r="35878">
      <c r="D35878" s="39"/>
      <c r="E35878" s="39"/>
      <c r="F35878" s="39"/>
    </row>
    <row r="35879">
      <c r="D35879" s="39"/>
      <c r="E35879" s="39"/>
      <c r="F35879" s="39"/>
    </row>
    <row r="35880">
      <c r="D35880" s="39"/>
      <c r="E35880" s="39"/>
      <c r="F35880" s="39"/>
    </row>
    <row r="35881">
      <c r="D35881" s="39"/>
      <c r="E35881" s="39"/>
      <c r="F35881" s="39"/>
    </row>
    <row r="35882">
      <c r="D35882" s="39"/>
      <c r="E35882" s="39"/>
      <c r="F35882" s="39"/>
    </row>
    <row r="35883">
      <c r="D35883" s="39"/>
      <c r="E35883" s="39"/>
      <c r="F35883" s="39"/>
    </row>
    <row r="35884">
      <c r="D35884" s="39"/>
      <c r="E35884" s="39"/>
      <c r="F35884" s="39"/>
    </row>
    <row r="35885">
      <c r="D35885" s="39"/>
      <c r="E35885" s="39"/>
      <c r="F35885" s="39"/>
    </row>
    <row r="35886">
      <c r="D35886" s="39"/>
      <c r="E35886" s="39"/>
      <c r="F35886" s="39"/>
    </row>
    <row r="35887">
      <c r="D35887" s="39"/>
      <c r="E35887" s="39"/>
      <c r="F35887" s="39"/>
    </row>
    <row r="35888">
      <c r="D35888" s="39"/>
      <c r="E35888" s="39"/>
      <c r="F35888" s="39"/>
    </row>
    <row r="35889">
      <c r="D35889" s="39"/>
      <c r="E35889" s="39"/>
      <c r="F35889" s="39"/>
    </row>
    <row r="35890">
      <c r="D35890" s="39"/>
      <c r="E35890" s="39"/>
      <c r="F35890" s="39"/>
    </row>
    <row r="35891">
      <c r="D35891" s="39"/>
      <c r="E35891" s="39"/>
      <c r="F35891" s="39"/>
    </row>
    <row r="35892">
      <c r="D35892" s="39"/>
      <c r="E35892" s="39"/>
      <c r="F35892" s="39"/>
    </row>
    <row r="35893">
      <c r="D35893" s="39"/>
      <c r="E35893" s="39"/>
      <c r="F35893" s="39"/>
    </row>
    <row r="35894">
      <c r="D35894" s="39"/>
      <c r="E35894" s="39"/>
      <c r="F35894" s="39"/>
    </row>
    <row r="35895">
      <c r="D35895" s="39"/>
      <c r="E35895" s="39"/>
      <c r="F35895" s="39"/>
    </row>
    <row r="35896">
      <c r="D35896" s="39"/>
      <c r="E35896" s="39"/>
      <c r="F35896" s="39"/>
    </row>
    <row r="35897">
      <c r="D35897" s="39"/>
      <c r="E35897" s="39"/>
      <c r="F35897" s="39"/>
    </row>
    <row r="35898">
      <c r="D35898" s="39"/>
      <c r="E35898" s="39"/>
      <c r="F35898" s="39"/>
    </row>
    <row r="35899">
      <c r="D35899" s="39"/>
      <c r="E35899" s="39"/>
      <c r="F35899" s="39"/>
    </row>
    <row r="35900">
      <c r="D35900" s="39"/>
      <c r="E35900" s="39"/>
      <c r="F35900" s="39"/>
    </row>
    <row r="35901">
      <c r="D35901" s="39"/>
      <c r="E35901" s="39"/>
      <c r="F35901" s="39"/>
    </row>
    <row r="35902">
      <c r="D35902" s="39"/>
      <c r="E35902" s="39"/>
      <c r="F35902" s="39"/>
    </row>
    <row r="35903">
      <c r="D35903" s="39"/>
      <c r="E35903" s="39"/>
      <c r="F35903" s="39"/>
    </row>
    <row r="35904">
      <c r="D35904" s="39"/>
      <c r="E35904" s="39"/>
      <c r="F35904" s="39"/>
    </row>
    <row r="35905">
      <c r="D35905" s="39"/>
      <c r="E35905" s="39"/>
      <c r="F35905" s="39"/>
    </row>
    <row r="35906">
      <c r="D35906" s="39"/>
      <c r="E35906" s="39"/>
      <c r="F35906" s="39"/>
    </row>
    <row r="35907">
      <c r="D35907" s="39"/>
      <c r="E35907" s="39"/>
      <c r="F35907" s="39"/>
    </row>
    <row r="35908">
      <c r="D35908" s="39"/>
      <c r="E35908" s="39"/>
      <c r="F35908" s="39"/>
    </row>
    <row r="35909">
      <c r="D35909" s="39"/>
      <c r="E35909" s="39"/>
      <c r="F35909" s="39"/>
    </row>
    <row r="35910">
      <c r="D35910" s="39"/>
      <c r="E35910" s="39"/>
      <c r="F35910" s="39"/>
    </row>
    <row r="35911">
      <c r="D35911" s="39"/>
      <c r="E35911" s="39"/>
      <c r="F35911" s="39"/>
    </row>
    <row r="35912">
      <c r="D35912" s="39"/>
      <c r="E35912" s="39"/>
      <c r="F35912" s="39"/>
    </row>
    <row r="35913">
      <c r="D35913" s="39"/>
      <c r="E35913" s="39"/>
      <c r="F35913" s="39"/>
    </row>
    <row r="35914">
      <c r="D35914" s="39"/>
      <c r="E35914" s="39"/>
      <c r="F35914" s="39"/>
    </row>
    <row r="35915">
      <c r="D35915" s="39"/>
      <c r="E35915" s="39"/>
      <c r="F35915" s="39"/>
    </row>
    <row r="35916">
      <c r="D35916" s="39"/>
      <c r="E35916" s="39"/>
      <c r="F35916" s="39"/>
    </row>
    <row r="35917">
      <c r="D35917" s="39"/>
      <c r="E35917" s="39"/>
      <c r="F35917" s="39"/>
    </row>
    <row r="35918">
      <c r="D35918" s="39"/>
      <c r="E35918" s="39"/>
      <c r="F35918" s="39"/>
    </row>
    <row r="35919">
      <c r="D35919" s="39"/>
      <c r="E35919" s="39"/>
      <c r="F35919" s="39"/>
    </row>
    <row r="35920">
      <c r="D35920" s="39"/>
      <c r="E35920" s="39"/>
      <c r="F35920" s="39"/>
    </row>
    <row r="35921">
      <c r="D35921" s="39"/>
      <c r="E35921" s="39"/>
      <c r="F35921" s="39"/>
    </row>
    <row r="35922">
      <c r="D35922" s="39"/>
      <c r="E35922" s="39"/>
      <c r="F35922" s="39"/>
    </row>
    <row r="35923">
      <c r="D35923" s="39"/>
      <c r="E35923" s="39"/>
      <c r="F35923" s="39"/>
    </row>
    <row r="35924">
      <c r="D35924" s="39"/>
      <c r="E35924" s="39"/>
      <c r="F35924" s="39"/>
    </row>
    <row r="35925">
      <c r="D35925" s="39"/>
      <c r="E35925" s="39"/>
      <c r="F35925" s="39"/>
    </row>
    <row r="35926">
      <c r="D35926" s="39"/>
      <c r="E35926" s="39"/>
      <c r="F35926" s="39"/>
    </row>
    <row r="35927">
      <c r="D35927" s="39"/>
      <c r="E35927" s="39"/>
      <c r="F35927" s="39"/>
    </row>
    <row r="35928">
      <c r="D35928" s="39"/>
      <c r="E35928" s="39"/>
      <c r="F35928" s="39"/>
    </row>
    <row r="35929">
      <c r="D35929" s="39"/>
      <c r="E35929" s="39"/>
      <c r="F35929" s="39"/>
    </row>
    <row r="35930">
      <c r="D35930" s="39"/>
      <c r="E35930" s="39"/>
      <c r="F35930" s="39"/>
    </row>
    <row r="35931">
      <c r="D35931" s="39"/>
      <c r="E35931" s="39"/>
      <c r="F35931" s="39"/>
    </row>
    <row r="35932">
      <c r="D35932" s="39"/>
      <c r="E35932" s="39"/>
      <c r="F35932" s="39"/>
    </row>
    <row r="35933">
      <c r="D35933" s="39"/>
      <c r="E35933" s="39"/>
      <c r="F35933" s="39"/>
    </row>
    <row r="35934">
      <c r="D35934" s="39"/>
      <c r="E35934" s="39"/>
      <c r="F35934" s="39"/>
    </row>
    <row r="35935">
      <c r="D35935" s="39"/>
      <c r="E35935" s="39"/>
      <c r="F35935" s="39"/>
    </row>
    <row r="35936">
      <c r="D35936" s="39"/>
      <c r="E35936" s="39"/>
      <c r="F35936" s="39"/>
    </row>
    <row r="35937">
      <c r="D35937" s="39"/>
      <c r="E35937" s="39"/>
      <c r="F35937" s="39"/>
    </row>
    <row r="35938">
      <c r="D35938" s="39"/>
      <c r="E35938" s="39"/>
      <c r="F35938" s="39"/>
    </row>
    <row r="35939">
      <c r="D35939" s="39"/>
      <c r="E35939" s="39"/>
      <c r="F35939" s="39"/>
    </row>
    <row r="35940">
      <c r="D35940" s="39"/>
      <c r="E35940" s="39"/>
      <c r="F35940" s="39"/>
    </row>
    <row r="35941">
      <c r="D35941" s="39"/>
      <c r="E35941" s="39"/>
      <c r="F35941" s="39"/>
    </row>
    <row r="35942">
      <c r="D35942" s="39"/>
      <c r="E35942" s="39"/>
      <c r="F35942" s="39"/>
    </row>
    <row r="35943">
      <c r="D35943" s="39"/>
      <c r="E35943" s="39"/>
      <c r="F35943" s="39"/>
    </row>
    <row r="35944">
      <c r="D35944" s="39"/>
      <c r="E35944" s="39"/>
      <c r="F35944" s="39"/>
    </row>
    <row r="35945">
      <c r="D35945" s="39"/>
      <c r="E35945" s="39"/>
      <c r="F35945" s="39"/>
    </row>
    <row r="35946">
      <c r="D35946" s="39"/>
      <c r="E35946" s="39"/>
      <c r="F35946" s="39"/>
    </row>
    <row r="35947">
      <c r="D35947" s="39"/>
      <c r="E35947" s="39"/>
      <c r="F35947" s="39"/>
    </row>
    <row r="35948">
      <c r="D35948" s="39"/>
      <c r="E35948" s="39"/>
      <c r="F35948" s="39"/>
    </row>
    <row r="35949">
      <c r="D35949" s="39"/>
      <c r="E35949" s="39"/>
      <c r="F35949" s="39"/>
    </row>
    <row r="35950">
      <c r="D35950" s="39"/>
      <c r="E35950" s="39"/>
      <c r="F35950" s="39"/>
    </row>
    <row r="35951">
      <c r="D35951" s="39"/>
      <c r="E35951" s="39"/>
      <c r="F35951" s="39"/>
    </row>
    <row r="35952">
      <c r="D35952" s="39"/>
      <c r="E35952" s="39"/>
      <c r="F35952" s="39"/>
    </row>
    <row r="35953">
      <c r="D35953" s="39"/>
      <c r="E35953" s="39"/>
      <c r="F35953" s="39"/>
    </row>
    <row r="35954">
      <c r="D35954" s="39"/>
      <c r="E35954" s="39"/>
      <c r="F35954" s="39"/>
    </row>
    <row r="35955">
      <c r="D35955" s="39"/>
      <c r="E35955" s="39"/>
      <c r="F35955" s="39"/>
    </row>
    <row r="35956">
      <c r="D35956" s="39"/>
      <c r="E35956" s="39"/>
      <c r="F35956" s="39"/>
    </row>
    <row r="35957">
      <c r="D35957" s="39"/>
      <c r="E35957" s="39"/>
      <c r="F35957" s="39"/>
    </row>
    <row r="35958">
      <c r="D35958" s="39"/>
      <c r="E35958" s="39"/>
      <c r="F35958" s="39"/>
    </row>
    <row r="35959">
      <c r="D35959" s="39"/>
      <c r="E35959" s="39"/>
      <c r="F35959" s="39"/>
    </row>
    <row r="35960">
      <c r="D35960" s="39"/>
      <c r="E35960" s="39"/>
      <c r="F35960" s="39"/>
    </row>
    <row r="35961">
      <c r="D35961" s="39"/>
      <c r="E35961" s="39"/>
      <c r="F35961" s="39"/>
    </row>
    <row r="35962">
      <c r="D35962" s="39"/>
      <c r="E35962" s="39"/>
      <c r="F35962" s="39"/>
    </row>
    <row r="35963">
      <c r="D35963" s="39"/>
      <c r="E35963" s="39"/>
      <c r="F35963" s="39"/>
    </row>
    <row r="35964">
      <c r="D35964" s="39"/>
      <c r="E35964" s="39"/>
      <c r="F35964" s="39"/>
    </row>
    <row r="35965">
      <c r="D35965" s="39"/>
      <c r="E35965" s="39"/>
      <c r="F35965" s="39"/>
    </row>
    <row r="35966">
      <c r="D35966" s="39"/>
      <c r="E35966" s="39"/>
      <c r="F35966" s="39"/>
    </row>
    <row r="35967">
      <c r="D35967" s="39"/>
      <c r="E35967" s="39"/>
      <c r="F35967" s="39"/>
    </row>
    <row r="35968">
      <c r="D35968" s="39"/>
      <c r="E35968" s="39"/>
      <c r="F35968" s="39"/>
    </row>
    <row r="35969">
      <c r="D35969" s="39"/>
      <c r="E35969" s="39"/>
      <c r="F35969" s="39"/>
    </row>
    <row r="35970">
      <c r="D35970" s="39"/>
      <c r="E35970" s="39"/>
      <c r="F35970" s="39"/>
    </row>
    <row r="35971">
      <c r="D35971" s="39"/>
      <c r="E35971" s="39"/>
      <c r="F35971" s="39"/>
    </row>
    <row r="35972">
      <c r="D35972" s="39"/>
      <c r="E35972" s="39"/>
      <c r="F35972" s="39"/>
    </row>
    <row r="35973">
      <c r="D35973" s="39"/>
      <c r="E35973" s="39"/>
      <c r="F35973" s="39"/>
    </row>
    <row r="35974">
      <c r="D35974" s="39"/>
      <c r="E35974" s="39"/>
      <c r="F35974" s="39"/>
    </row>
    <row r="35975">
      <c r="D35975" s="39"/>
      <c r="E35975" s="39"/>
      <c r="F35975" s="39"/>
    </row>
    <row r="35976">
      <c r="D35976" s="39"/>
      <c r="E35976" s="39"/>
      <c r="F35976" s="39"/>
    </row>
    <row r="35977">
      <c r="D35977" s="39"/>
      <c r="E35977" s="39"/>
      <c r="F35977" s="39"/>
    </row>
    <row r="35978">
      <c r="D35978" s="39"/>
      <c r="E35978" s="39"/>
      <c r="F35978" s="39"/>
    </row>
    <row r="35979">
      <c r="D35979" s="39"/>
      <c r="E35979" s="39"/>
      <c r="F35979" s="39"/>
    </row>
    <row r="35980">
      <c r="D35980" s="39"/>
      <c r="E35980" s="39"/>
      <c r="F35980" s="39"/>
    </row>
    <row r="35981">
      <c r="D35981" s="39"/>
      <c r="E35981" s="39"/>
      <c r="F35981" s="39"/>
    </row>
    <row r="35982">
      <c r="D35982" s="39"/>
      <c r="E35982" s="39"/>
      <c r="F35982" s="39"/>
    </row>
    <row r="35983">
      <c r="D35983" s="39"/>
      <c r="E35983" s="39"/>
      <c r="F35983" s="39"/>
    </row>
    <row r="35984">
      <c r="D35984" s="39"/>
      <c r="E35984" s="39"/>
      <c r="F35984" s="39"/>
    </row>
    <row r="35985">
      <c r="D35985" s="39"/>
      <c r="E35985" s="39"/>
      <c r="F35985" s="39"/>
    </row>
    <row r="35986">
      <c r="D35986" s="39"/>
      <c r="E35986" s="39"/>
      <c r="F35986" s="39"/>
    </row>
    <row r="35987">
      <c r="D35987" s="39"/>
      <c r="E35987" s="39"/>
      <c r="F35987" s="39"/>
    </row>
    <row r="35988">
      <c r="D35988" s="39"/>
      <c r="E35988" s="39"/>
      <c r="F35988" s="39"/>
    </row>
    <row r="35989">
      <c r="D35989" s="39"/>
      <c r="E35989" s="39"/>
      <c r="F35989" s="39"/>
    </row>
    <row r="35990">
      <c r="D35990" s="39"/>
      <c r="E35990" s="39"/>
      <c r="F35990" s="39"/>
    </row>
    <row r="35991">
      <c r="D35991" s="39"/>
      <c r="E35991" s="39"/>
      <c r="F35991" s="39"/>
    </row>
    <row r="35992">
      <c r="D35992" s="39"/>
      <c r="E35992" s="39"/>
      <c r="F35992" s="39"/>
    </row>
    <row r="35993">
      <c r="D35993" s="39"/>
      <c r="E35993" s="39"/>
      <c r="F35993" s="39"/>
    </row>
    <row r="35994">
      <c r="D35994" s="39"/>
      <c r="E35994" s="39"/>
      <c r="F35994" s="39"/>
    </row>
    <row r="35995">
      <c r="D35995" s="39"/>
      <c r="E35995" s="39"/>
      <c r="F35995" s="39"/>
    </row>
    <row r="35996">
      <c r="D35996" s="39"/>
      <c r="E35996" s="39"/>
      <c r="F35996" s="39"/>
    </row>
    <row r="35997">
      <c r="D35997" s="39"/>
      <c r="E35997" s="39"/>
      <c r="F35997" s="39"/>
    </row>
    <row r="35998">
      <c r="D35998" s="39"/>
      <c r="E35998" s="39"/>
      <c r="F35998" s="39"/>
    </row>
    <row r="35999">
      <c r="D35999" s="39"/>
      <c r="E35999" s="39"/>
      <c r="F35999" s="39"/>
    </row>
    <row r="36000">
      <c r="D36000" s="39"/>
      <c r="E36000" s="39"/>
      <c r="F36000" s="39"/>
    </row>
    <row r="36001">
      <c r="D36001" s="39"/>
      <c r="E36001" s="39"/>
      <c r="F36001" s="39"/>
    </row>
    <row r="36002">
      <c r="D36002" s="39"/>
      <c r="E36002" s="39"/>
      <c r="F36002" s="39"/>
    </row>
    <row r="36003">
      <c r="D36003" s="39"/>
      <c r="E36003" s="39"/>
      <c r="F36003" s="39"/>
    </row>
    <row r="36004">
      <c r="D36004" s="39"/>
      <c r="E36004" s="39"/>
      <c r="F36004" s="39"/>
    </row>
    <row r="36005">
      <c r="D36005" s="39"/>
      <c r="E36005" s="39"/>
      <c r="F36005" s="39"/>
    </row>
    <row r="36006">
      <c r="D36006" s="39"/>
      <c r="E36006" s="39"/>
      <c r="F36006" s="39"/>
    </row>
    <row r="36007">
      <c r="D36007" s="39"/>
      <c r="E36007" s="39"/>
      <c r="F36007" s="39"/>
    </row>
    <row r="36008">
      <c r="D36008" s="39"/>
      <c r="E36008" s="39"/>
      <c r="F36008" s="39"/>
    </row>
    <row r="36009">
      <c r="D36009" s="39"/>
      <c r="E36009" s="39"/>
      <c r="F36009" s="39"/>
    </row>
    <row r="36010">
      <c r="D36010" s="39"/>
      <c r="E36010" s="39"/>
      <c r="F36010" s="39"/>
    </row>
    <row r="36011">
      <c r="D36011" s="39"/>
      <c r="E36011" s="39"/>
      <c r="F36011" s="39"/>
    </row>
    <row r="36012">
      <c r="D36012" s="39"/>
      <c r="E36012" s="39"/>
      <c r="F36012" s="39"/>
    </row>
    <row r="36013">
      <c r="D36013" s="39"/>
      <c r="E36013" s="39"/>
      <c r="F36013" s="39"/>
    </row>
    <row r="36014">
      <c r="D36014" s="39"/>
      <c r="E36014" s="39"/>
      <c r="F36014" s="39"/>
    </row>
    <row r="36015">
      <c r="D36015" s="39"/>
      <c r="E36015" s="39"/>
      <c r="F36015" s="39"/>
    </row>
    <row r="36016">
      <c r="D36016" s="39"/>
      <c r="E36016" s="39"/>
      <c r="F36016" s="39"/>
    </row>
    <row r="36017">
      <c r="D36017" s="39"/>
      <c r="E36017" s="39"/>
      <c r="F36017" s="39"/>
    </row>
    <row r="36018">
      <c r="D36018" s="39"/>
      <c r="E36018" s="39"/>
      <c r="F36018" s="39"/>
    </row>
    <row r="36019">
      <c r="D36019" s="39"/>
      <c r="E36019" s="39"/>
      <c r="F36019" s="39"/>
    </row>
    <row r="36020">
      <c r="D36020" s="39"/>
      <c r="E36020" s="39"/>
      <c r="F36020" s="39"/>
    </row>
    <row r="36021">
      <c r="D36021" s="39"/>
      <c r="E36021" s="39"/>
      <c r="F36021" s="39"/>
    </row>
    <row r="36022">
      <c r="D36022" s="39"/>
      <c r="E36022" s="39"/>
      <c r="F36022" s="39"/>
    </row>
    <row r="36023">
      <c r="D36023" s="39"/>
      <c r="E36023" s="39"/>
      <c r="F36023" s="39"/>
    </row>
    <row r="36024">
      <c r="D36024" s="39"/>
      <c r="E36024" s="39"/>
      <c r="F36024" s="39"/>
    </row>
    <row r="36025">
      <c r="D36025" s="39"/>
      <c r="E36025" s="39"/>
      <c r="F36025" s="39"/>
    </row>
    <row r="36026">
      <c r="D36026" s="39"/>
      <c r="E36026" s="39"/>
      <c r="F36026" s="39"/>
    </row>
    <row r="36027">
      <c r="D36027" s="39"/>
      <c r="E36027" s="39"/>
      <c r="F36027" s="39"/>
    </row>
    <row r="36028">
      <c r="D36028" s="39"/>
      <c r="E36028" s="39"/>
      <c r="F36028" s="39"/>
    </row>
    <row r="36029">
      <c r="D36029" s="39"/>
      <c r="E36029" s="39"/>
      <c r="F36029" s="39"/>
    </row>
    <row r="36030">
      <c r="D36030" s="39"/>
      <c r="E36030" s="39"/>
      <c r="F36030" s="39"/>
    </row>
    <row r="36031">
      <c r="D36031" s="39"/>
      <c r="E36031" s="39"/>
      <c r="F36031" s="39"/>
    </row>
    <row r="36032">
      <c r="D36032" s="39"/>
      <c r="E36032" s="39"/>
      <c r="F36032" s="39"/>
    </row>
    <row r="36033">
      <c r="D36033" s="39"/>
      <c r="E36033" s="39"/>
      <c r="F36033" s="39"/>
    </row>
    <row r="36034">
      <c r="D36034" s="39"/>
      <c r="E36034" s="39"/>
      <c r="F36034" s="39"/>
    </row>
    <row r="36035">
      <c r="D36035" s="39"/>
      <c r="E36035" s="39"/>
      <c r="F36035" s="39"/>
    </row>
    <row r="36036">
      <c r="D36036" s="39"/>
      <c r="E36036" s="39"/>
      <c r="F36036" s="39"/>
    </row>
    <row r="36037">
      <c r="D36037" s="39"/>
      <c r="E36037" s="39"/>
      <c r="F36037" s="39"/>
    </row>
    <row r="36038">
      <c r="D36038" s="39"/>
      <c r="E36038" s="39"/>
      <c r="F36038" s="39"/>
    </row>
    <row r="36039">
      <c r="D36039" s="39"/>
      <c r="E36039" s="39"/>
      <c r="F36039" s="39"/>
    </row>
    <row r="36040">
      <c r="D36040" s="39"/>
      <c r="E36040" s="39"/>
      <c r="F36040" s="39"/>
    </row>
    <row r="36041">
      <c r="D36041" s="39"/>
      <c r="E36041" s="39"/>
      <c r="F36041" s="39"/>
    </row>
    <row r="36042">
      <c r="D36042" s="39"/>
      <c r="E36042" s="39"/>
      <c r="F36042" s="39"/>
    </row>
    <row r="36043">
      <c r="D36043" s="39"/>
      <c r="E36043" s="39"/>
      <c r="F36043" s="39"/>
    </row>
    <row r="36044">
      <c r="D36044" s="39"/>
      <c r="E36044" s="39"/>
      <c r="F36044" s="39"/>
    </row>
    <row r="36045">
      <c r="D36045" s="39"/>
      <c r="E36045" s="39"/>
      <c r="F36045" s="39"/>
    </row>
    <row r="36046">
      <c r="D36046" s="39"/>
      <c r="E36046" s="39"/>
      <c r="F36046" s="39"/>
    </row>
    <row r="36047">
      <c r="D36047" s="39"/>
      <c r="E36047" s="39"/>
      <c r="F36047" s="39"/>
    </row>
    <row r="36048">
      <c r="D36048" s="39"/>
      <c r="E36048" s="39"/>
      <c r="F36048" s="39"/>
    </row>
    <row r="36049">
      <c r="D36049" s="39"/>
      <c r="E36049" s="39"/>
      <c r="F36049" s="39"/>
    </row>
    <row r="36050">
      <c r="D36050" s="39"/>
      <c r="E36050" s="39"/>
      <c r="F36050" s="39"/>
    </row>
    <row r="36051">
      <c r="D36051" s="39"/>
      <c r="E36051" s="39"/>
      <c r="F36051" s="39"/>
    </row>
    <row r="36052">
      <c r="D36052" s="39"/>
      <c r="E36052" s="39"/>
      <c r="F36052" s="39"/>
    </row>
    <row r="36053">
      <c r="D36053" s="39"/>
      <c r="E36053" s="39"/>
      <c r="F36053" s="39"/>
    </row>
    <row r="36054">
      <c r="D36054" s="39"/>
      <c r="E36054" s="39"/>
      <c r="F36054" s="39"/>
    </row>
    <row r="36055">
      <c r="D36055" s="39"/>
      <c r="E36055" s="39"/>
      <c r="F36055" s="39"/>
    </row>
    <row r="36056">
      <c r="D36056" s="39"/>
      <c r="E36056" s="39"/>
      <c r="F36056" s="39"/>
    </row>
    <row r="36057">
      <c r="D36057" s="39"/>
      <c r="E36057" s="39"/>
      <c r="F36057" s="39"/>
    </row>
    <row r="36058">
      <c r="D36058" s="39"/>
      <c r="E36058" s="39"/>
      <c r="F36058" s="39"/>
    </row>
    <row r="36059">
      <c r="D36059" s="39"/>
      <c r="E36059" s="39"/>
      <c r="F36059" s="39"/>
    </row>
    <row r="36060">
      <c r="D36060" s="39"/>
      <c r="E36060" s="39"/>
      <c r="F36060" s="39"/>
    </row>
    <row r="36061">
      <c r="D36061" s="39"/>
      <c r="E36061" s="39"/>
      <c r="F36061" s="39"/>
    </row>
    <row r="36062">
      <c r="D36062" s="39"/>
      <c r="E36062" s="39"/>
      <c r="F36062" s="39"/>
    </row>
    <row r="36063">
      <c r="D36063" s="39"/>
      <c r="E36063" s="39"/>
      <c r="F36063" s="39"/>
    </row>
    <row r="36064">
      <c r="D36064" s="39"/>
      <c r="E36064" s="39"/>
      <c r="F36064" s="39"/>
    </row>
    <row r="36065">
      <c r="D36065" s="39"/>
      <c r="E36065" s="39"/>
      <c r="F36065" s="39"/>
    </row>
    <row r="36066">
      <c r="D36066" s="39"/>
      <c r="E36066" s="39"/>
      <c r="F36066" s="39"/>
    </row>
    <row r="36067">
      <c r="D36067" s="39"/>
      <c r="E36067" s="39"/>
      <c r="F36067" s="39"/>
    </row>
    <row r="36068">
      <c r="D36068" s="39"/>
      <c r="E36068" s="39"/>
      <c r="F36068" s="39"/>
    </row>
    <row r="36069">
      <c r="D36069" s="39"/>
      <c r="E36069" s="39"/>
      <c r="F36069" s="39"/>
    </row>
    <row r="36070">
      <c r="D36070" s="39"/>
      <c r="E36070" s="39"/>
      <c r="F36070" s="39"/>
    </row>
    <row r="36071">
      <c r="D36071" s="39"/>
      <c r="E36071" s="39"/>
      <c r="F36071" s="39"/>
    </row>
    <row r="36072">
      <c r="D36072" s="39"/>
      <c r="E36072" s="39"/>
      <c r="F36072" s="39"/>
    </row>
    <row r="36073">
      <c r="D36073" s="39"/>
      <c r="E36073" s="39"/>
      <c r="F36073" s="39"/>
    </row>
    <row r="36074">
      <c r="D36074" s="39"/>
      <c r="E36074" s="39"/>
      <c r="F36074" s="39"/>
    </row>
    <row r="36075">
      <c r="D36075" s="39"/>
      <c r="E36075" s="39"/>
      <c r="F36075" s="39"/>
    </row>
    <row r="36076">
      <c r="D36076" s="39"/>
      <c r="E36076" s="39"/>
      <c r="F36076" s="39"/>
    </row>
    <row r="36077">
      <c r="D36077" s="39"/>
      <c r="E36077" s="39"/>
      <c r="F36077" s="39"/>
    </row>
    <row r="36078">
      <c r="D36078" s="39"/>
      <c r="E36078" s="39"/>
      <c r="F36078" s="39"/>
    </row>
    <row r="36079">
      <c r="D36079" s="39"/>
      <c r="E36079" s="39"/>
      <c r="F36079" s="39"/>
    </row>
    <row r="36080">
      <c r="D36080" s="39"/>
      <c r="E36080" s="39"/>
      <c r="F36080" s="39"/>
    </row>
    <row r="36081">
      <c r="D36081" s="39"/>
      <c r="E36081" s="39"/>
      <c r="F36081" s="39"/>
    </row>
    <row r="36082">
      <c r="D36082" s="39"/>
      <c r="E36082" s="39"/>
      <c r="F36082" s="39"/>
    </row>
    <row r="36083">
      <c r="D36083" s="39"/>
      <c r="E36083" s="39"/>
      <c r="F36083" s="39"/>
    </row>
    <row r="36084">
      <c r="D36084" s="39"/>
      <c r="E36084" s="39"/>
      <c r="F36084" s="39"/>
    </row>
    <row r="36085">
      <c r="D36085" s="39"/>
      <c r="E36085" s="39"/>
      <c r="F36085" s="39"/>
    </row>
    <row r="36086">
      <c r="D36086" s="39"/>
      <c r="E36086" s="39"/>
      <c r="F36086" s="39"/>
    </row>
    <row r="36087">
      <c r="D36087" s="39"/>
      <c r="E36087" s="39"/>
      <c r="F36087" s="39"/>
    </row>
    <row r="36088">
      <c r="D36088" s="39"/>
      <c r="E36088" s="39"/>
      <c r="F36088" s="39"/>
    </row>
    <row r="36089">
      <c r="D36089" s="39"/>
      <c r="E36089" s="39"/>
      <c r="F36089" s="39"/>
    </row>
    <row r="36090">
      <c r="D36090" s="39"/>
      <c r="E36090" s="39"/>
      <c r="F36090" s="39"/>
    </row>
    <row r="36091">
      <c r="D36091" s="39"/>
      <c r="E36091" s="39"/>
      <c r="F36091" s="39"/>
    </row>
    <row r="36092">
      <c r="D36092" s="39"/>
      <c r="E36092" s="39"/>
      <c r="F36092" s="39"/>
    </row>
    <row r="36093">
      <c r="D36093" s="39"/>
      <c r="E36093" s="39"/>
      <c r="F36093" s="39"/>
    </row>
    <row r="36094">
      <c r="D36094" s="39"/>
      <c r="E36094" s="39"/>
      <c r="F36094" s="39"/>
    </row>
    <row r="36095">
      <c r="D36095" s="39"/>
      <c r="E36095" s="39"/>
      <c r="F36095" s="39"/>
    </row>
    <row r="36096">
      <c r="D36096" s="39"/>
      <c r="E36096" s="39"/>
      <c r="F36096" s="39"/>
    </row>
    <row r="36097">
      <c r="D36097" s="39"/>
      <c r="E36097" s="39"/>
      <c r="F36097" s="39"/>
    </row>
    <row r="36098">
      <c r="D36098" s="39"/>
      <c r="E36098" s="39"/>
      <c r="F36098" s="39"/>
    </row>
    <row r="36099">
      <c r="D36099" s="39"/>
      <c r="E36099" s="39"/>
      <c r="F36099" s="39"/>
    </row>
    <row r="36100">
      <c r="D36100" s="39"/>
      <c r="E36100" s="39"/>
      <c r="F36100" s="39"/>
    </row>
    <row r="36101">
      <c r="D36101" s="39"/>
      <c r="E36101" s="39"/>
      <c r="F36101" s="39"/>
    </row>
    <row r="36102">
      <c r="D36102" s="39"/>
      <c r="E36102" s="39"/>
      <c r="F36102" s="39"/>
    </row>
    <row r="36103">
      <c r="D36103" s="39"/>
      <c r="E36103" s="39"/>
      <c r="F36103" s="39"/>
    </row>
    <row r="36104">
      <c r="D36104" s="39"/>
      <c r="E36104" s="39"/>
      <c r="F36104" s="39"/>
    </row>
    <row r="36105">
      <c r="D36105" s="39"/>
      <c r="E36105" s="39"/>
      <c r="F36105" s="39"/>
    </row>
    <row r="36106">
      <c r="D36106" s="39"/>
      <c r="E36106" s="39"/>
      <c r="F36106" s="39"/>
    </row>
    <row r="36107">
      <c r="D36107" s="39"/>
      <c r="E36107" s="39"/>
      <c r="F36107" s="39"/>
    </row>
    <row r="36108">
      <c r="D36108" s="39"/>
      <c r="E36108" s="39"/>
      <c r="F36108" s="39"/>
    </row>
    <row r="36109">
      <c r="D36109" s="39"/>
      <c r="E36109" s="39"/>
      <c r="F36109" s="39"/>
    </row>
    <row r="36110">
      <c r="D36110" s="39"/>
      <c r="E36110" s="39"/>
      <c r="F36110" s="39"/>
    </row>
    <row r="36111">
      <c r="D36111" s="39"/>
      <c r="E36111" s="39"/>
      <c r="F36111" s="39"/>
    </row>
    <row r="36112">
      <c r="D36112" s="39"/>
      <c r="E36112" s="39"/>
      <c r="F36112" s="39"/>
    </row>
    <row r="36113">
      <c r="D36113" s="39"/>
      <c r="E36113" s="39"/>
      <c r="F36113" s="39"/>
    </row>
    <row r="36114">
      <c r="D36114" s="39"/>
      <c r="E36114" s="39"/>
      <c r="F36114" s="39"/>
    </row>
    <row r="36115">
      <c r="D36115" s="39"/>
      <c r="E36115" s="39"/>
      <c r="F36115" s="39"/>
    </row>
    <row r="36116">
      <c r="D36116" s="39"/>
      <c r="E36116" s="39"/>
      <c r="F36116" s="39"/>
    </row>
    <row r="36117">
      <c r="D36117" s="39"/>
      <c r="E36117" s="39"/>
      <c r="F36117" s="39"/>
    </row>
    <row r="36118">
      <c r="D36118" s="39"/>
      <c r="E36118" s="39"/>
      <c r="F36118" s="39"/>
    </row>
    <row r="36119">
      <c r="D36119" s="39"/>
      <c r="E36119" s="39"/>
      <c r="F36119" s="39"/>
    </row>
    <row r="36120">
      <c r="D36120" s="39"/>
      <c r="E36120" s="39"/>
      <c r="F36120" s="39"/>
    </row>
    <row r="36121">
      <c r="D36121" s="39"/>
      <c r="E36121" s="39"/>
      <c r="F36121" s="39"/>
    </row>
    <row r="36122">
      <c r="D36122" s="39"/>
      <c r="E36122" s="39"/>
      <c r="F36122" s="39"/>
    </row>
    <row r="36123">
      <c r="D36123" s="39"/>
      <c r="E36123" s="39"/>
      <c r="F36123" s="39"/>
    </row>
    <row r="36124">
      <c r="D36124" s="39"/>
      <c r="E36124" s="39"/>
      <c r="F36124" s="39"/>
    </row>
    <row r="36125">
      <c r="D36125" s="39"/>
      <c r="E36125" s="39"/>
      <c r="F36125" s="39"/>
    </row>
    <row r="36126">
      <c r="D36126" s="39"/>
      <c r="E36126" s="39"/>
      <c r="F36126" s="39"/>
    </row>
    <row r="36127">
      <c r="D36127" s="39"/>
      <c r="E36127" s="39"/>
      <c r="F36127" s="39"/>
    </row>
    <row r="36128">
      <c r="D36128" s="39"/>
      <c r="E36128" s="39"/>
      <c r="F36128" s="39"/>
    </row>
    <row r="36129">
      <c r="D36129" s="39"/>
      <c r="E36129" s="39"/>
      <c r="F36129" s="39"/>
    </row>
    <row r="36130">
      <c r="D36130" s="39"/>
      <c r="E36130" s="39"/>
      <c r="F36130" s="39"/>
    </row>
    <row r="36131">
      <c r="D36131" s="39"/>
      <c r="E36131" s="39"/>
      <c r="F36131" s="39"/>
    </row>
    <row r="36132">
      <c r="D36132" s="39"/>
      <c r="E36132" s="39"/>
      <c r="F36132" s="39"/>
    </row>
    <row r="36133">
      <c r="D36133" s="39"/>
      <c r="E36133" s="39"/>
      <c r="F36133" s="39"/>
    </row>
    <row r="36134">
      <c r="D36134" s="39"/>
      <c r="E36134" s="39"/>
      <c r="F36134" s="39"/>
    </row>
    <row r="36135">
      <c r="D36135" s="39"/>
      <c r="E36135" s="39"/>
      <c r="F36135" s="39"/>
    </row>
    <row r="36136">
      <c r="D36136" s="39"/>
      <c r="E36136" s="39"/>
      <c r="F36136" s="39"/>
    </row>
    <row r="36137">
      <c r="D36137" s="39"/>
      <c r="E36137" s="39"/>
      <c r="F36137" s="39"/>
    </row>
    <row r="36138">
      <c r="D36138" s="39"/>
      <c r="E36138" s="39"/>
      <c r="F36138" s="39"/>
    </row>
    <row r="36139">
      <c r="D36139" s="39"/>
      <c r="E36139" s="39"/>
      <c r="F36139" s="39"/>
    </row>
    <row r="36140">
      <c r="D36140" s="39"/>
      <c r="E36140" s="39"/>
      <c r="F36140" s="39"/>
    </row>
    <row r="36141">
      <c r="D36141" s="39"/>
      <c r="E36141" s="39"/>
      <c r="F36141" s="39"/>
    </row>
    <row r="36142">
      <c r="D36142" s="39"/>
      <c r="E36142" s="39"/>
      <c r="F36142" s="39"/>
    </row>
    <row r="36143">
      <c r="D36143" s="39"/>
      <c r="E36143" s="39"/>
      <c r="F36143" s="39"/>
    </row>
    <row r="36144">
      <c r="D36144" s="39"/>
      <c r="E36144" s="39"/>
      <c r="F36144" s="39"/>
    </row>
    <row r="36145">
      <c r="D36145" s="39"/>
      <c r="E36145" s="39"/>
      <c r="F36145" s="39"/>
    </row>
    <row r="36146">
      <c r="D36146" s="39"/>
      <c r="E36146" s="39"/>
      <c r="F36146" s="39"/>
    </row>
    <row r="36147">
      <c r="D36147" s="39"/>
      <c r="E36147" s="39"/>
      <c r="F36147" s="39"/>
    </row>
    <row r="36148">
      <c r="D36148" s="39"/>
      <c r="E36148" s="39"/>
      <c r="F36148" s="39"/>
    </row>
    <row r="36149">
      <c r="D36149" s="39"/>
      <c r="E36149" s="39"/>
      <c r="F36149" s="39"/>
    </row>
    <row r="36150">
      <c r="D36150" s="39"/>
      <c r="E36150" s="39"/>
      <c r="F36150" s="39"/>
    </row>
    <row r="36151">
      <c r="D36151" s="39"/>
      <c r="E36151" s="39"/>
      <c r="F36151" s="39"/>
    </row>
    <row r="36152">
      <c r="D36152" s="39"/>
      <c r="E36152" s="39"/>
      <c r="F36152" s="39"/>
    </row>
    <row r="36153">
      <c r="D36153" s="39"/>
      <c r="E36153" s="39"/>
      <c r="F36153" s="39"/>
    </row>
    <row r="36154">
      <c r="D36154" s="39"/>
      <c r="E36154" s="39"/>
      <c r="F36154" s="39"/>
    </row>
    <row r="36155">
      <c r="D36155" s="39"/>
      <c r="E36155" s="39"/>
      <c r="F36155" s="39"/>
    </row>
    <row r="36156">
      <c r="D36156" s="39"/>
      <c r="E36156" s="39"/>
      <c r="F36156" s="39"/>
    </row>
    <row r="36157">
      <c r="D36157" s="39"/>
      <c r="E36157" s="39"/>
      <c r="F36157" s="39"/>
    </row>
    <row r="36158">
      <c r="D36158" s="39"/>
      <c r="E36158" s="39"/>
      <c r="F36158" s="39"/>
    </row>
    <row r="36159">
      <c r="D36159" s="39"/>
      <c r="E36159" s="39"/>
      <c r="F36159" s="39"/>
    </row>
    <row r="36160">
      <c r="D36160" s="39"/>
      <c r="E36160" s="39"/>
      <c r="F36160" s="39"/>
    </row>
    <row r="36161">
      <c r="D36161" s="39"/>
      <c r="E36161" s="39"/>
      <c r="F36161" s="39"/>
    </row>
    <row r="36162">
      <c r="D36162" s="39"/>
      <c r="E36162" s="39"/>
      <c r="F36162" s="39"/>
    </row>
    <row r="36163">
      <c r="D36163" s="39"/>
      <c r="E36163" s="39"/>
      <c r="F36163" s="39"/>
    </row>
    <row r="36164">
      <c r="D36164" s="39"/>
      <c r="E36164" s="39"/>
      <c r="F36164" s="39"/>
    </row>
    <row r="36165">
      <c r="D36165" s="39"/>
      <c r="E36165" s="39"/>
      <c r="F36165" s="39"/>
    </row>
    <row r="36166">
      <c r="D36166" s="39"/>
      <c r="E36166" s="39"/>
      <c r="F36166" s="39"/>
    </row>
    <row r="36167">
      <c r="D36167" s="39"/>
      <c r="E36167" s="39"/>
      <c r="F36167" s="39"/>
    </row>
    <row r="36168">
      <c r="D36168" s="39"/>
      <c r="E36168" s="39"/>
      <c r="F36168" s="39"/>
    </row>
    <row r="36169">
      <c r="D36169" s="39"/>
      <c r="E36169" s="39"/>
      <c r="F36169" s="39"/>
    </row>
    <row r="36170">
      <c r="D36170" s="39"/>
      <c r="E36170" s="39"/>
      <c r="F36170" s="39"/>
    </row>
    <row r="36171">
      <c r="D36171" s="39"/>
      <c r="E36171" s="39"/>
      <c r="F36171" s="39"/>
    </row>
    <row r="36172">
      <c r="D36172" s="39"/>
      <c r="E36172" s="39"/>
      <c r="F36172" s="39"/>
    </row>
    <row r="36173">
      <c r="D36173" s="39"/>
      <c r="E36173" s="39"/>
      <c r="F36173" s="39"/>
    </row>
    <row r="36174">
      <c r="D36174" s="39"/>
      <c r="E36174" s="39"/>
      <c r="F36174" s="39"/>
    </row>
    <row r="36175">
      <c r="D36175" s="39"/>
      <c r="E36175" s="39"/>
      <c r="F36175" s="39"/>
    </row>
    <row r="36176">
      <c r="D36176" s="39"/>
      <c r="E36176" s="39"/>
      <c r="F36176" s="39"/>
    </row>
    <row r="36177">
      <c r="D36177" s="39"/>
      <c r="E36177" s="39"/>
      <c r="F36177" s="39"/>
    </row>
    <row r="36178">
      <c r="D36178" s="39"/>
      <c r="E36178" s="39"/>
      <c r="F36178" s="39"/>
    </row>
    <row r="36179">
      <c r="D36179" s="39"/>
      <c r="E36179" s="39"/>
      <c r="F36179" s="39"/>
    </row>
    <row r="36180">
      <c r="D36180" s="39"/>
      <c r="E36180" s="39"/>
      <c r="F36180" s="39"/>
    </row>
    <row r="36181">
      <c r="D36181" s="39"/>
      <c r="E36181" s="39"/>
      <c r="F36181" s="39"/>
    </row>
    <row r="36182">
      <c r="D36182" s="39"/>
      <c r="E36182" s="39"/>
      <c r="F36182" s="39"/>
    </row>
    <row r="36183">
      <c r="D36183" s="39"/>
      <c r="E36183" s="39"/>
      <c r="F36183" s="39"/>
    </row>
    <row r="36184">
      <c r="D36184" s="39"/>
      <c r="E36184" s="39"/>
      <c r="F36184" s="39"/>
    </row>
    <row r="36185">
      <c r="D36185" s="39"/>
      <c r="E36185" s="39"/>
      <c r="F36185" s="39"/>
    </row>
    <row r="36186">
      <c r="D36186" s="39"/>
      <c r="E36186" s="39"/>
      <c r="F36186" s="39"/>
    </row>
    <row r="36187">
      <c r="D36187" s="39"/>
      <c r="E36187" s="39"/>
      <c r="F36187" s="39"/>
    </row>
    <row r="36188">
      <c r="D36188" s="39"/>
      <c r="E36188" s="39"/>
      <c r="F36188" s="39"/>
    </row>
    <row r="36189">
      <c r="D36189" s="39"/>
      <c r="E36189" s="39"/>
      <c r="F36189" s="39"/>
    </row>
    <row r="36190">
      <c r="D36190" s="39"/>
      <c r="E36190" s="39"/>
      <c r="F36190" s="39"/>
    </row>
    <row r="36191">
      <c r="D36191" s="39"/>
      <c r="E36191" s="39"/>
      <c r="F36191" s="39"/>
    </row>
    <row r="36192">
      <c r="D36192" s="39"/>
      <c r="E36192" s="39"/>
      <c r="F36192" s="39"/>
    </row>
    <row r="36193">
      <c r="D36193" s="39"/>
      <c r="E36193" s="39"/>
      <c r="F36193" s="39"/>
    </row>
    <row r="36194">
      <c r="D36194" s="39"/>
      <c r="E36194" s="39"/>
      <c r="F36194" s="39"/>
    </row>
    <row r="36195">
      <c r="D36195" s="39"/>
      <c r="E36195" s="39"/>
      <c r="F36195" s="39"/>
    </row>
    <row r="36196">
      <c r="D36196" s="39"/>
      <c r="E36196" s="39"/>
      <c r="F36196" s="39"/>
    </row>
    <row r="36197">
      <c r="D36197" s="39"/>
      <c r="E36197" s="39"/>
      <c r="F36197" s="39"/>
    </row>
    <row r="36198">
      <c r="D36198" s="39"/>
      <c r="E36198" s="39"/>
      <c r="F36198" s="39"/>
    </row>
    <row r="36199">
      <c r="D36199" s="39"/>
      <c r="E36199" s="39"/>
      <c r="F36199" s="39"/>
    </row>
    <row r="36200">
      <c r="D36200" s="39"/>
      <c r="E36200" s="39"/>
      <c r="F36200" s="39"/>
    </row>
    <row r="36201">
      <c r="D36201" s="39"/>
      <c r="E36201" s="39"/>
      <c r="F36201" s="39"/>
    </row>
    <row r="36202">
      <c r="D36202" s="39"/>
      <c r="E36202" s="39"/>
      <c r="F36202" s="39"/>
    </row>
    <row r="36203">
      <c r="D36203" s="39"/>
      <c r="E36203" s="39"/>
      <c r="F36203" s="39"/>
    </row>
    <row r="36204">
      <c r="D36204" s="39"/>
      <c r="E36204" s="39"/>
      <c r="F36204" s="39"/>
    </row>
    <row r="36205">
      <c r="D36205" s="39"/>
      <c r="E36205" s="39"/>
      <c r="F36205" s="39"/>
    </row>
    <row r="36206">
      <c r="D36206" s="39"/>
      <c r="E36206" s="39"/>
      <c r="F36206" s="39"/>
    </row>
    <row r="36207">
      <c r="D36207" s="39"/>
      <c r="E36207" s="39"/>
      <c r="F36207" s="39"/>
    </row>
    <row r="36208">
      <c r="D36208" s="39"/>
      <c r="E36208" s="39"/>
      <c r="F36208" s="39"/>
    </row>
    <row r="36209">
      <c r="D36209" s="39"/>
      <c r="E36209" s="39"/>
      <c r="F36209" s="39"/>
    </row>
    <row r="36210">
      <c r="D36210" s="39"/>
      <c r="E36210" s="39"/>
      <c r="F36210" s="39"/>
    </row>
    <row r="36211">
      <c r="D36211" s="39"/>
      <c r="E36211" s="39"/>
      <c r="F36211" s="39"/>
    </row>
    <row r="36212">
      <c r="D36212" s="39"/>
      <c r="E36212" s="39"/>
      <c r="F36212" s="39"/>
    </row>
    <row r="36213">
      <c r="D36213" s="39"/>
      <c r="E36213" s="39"/>
      <c r="F36213" s="39"/>
    </row>
    <row r="36214">
      <c r="D36214" s="39"/>
      <c r="E36214" s="39"/>
      <c r="F36214" s="39"/>
    </row>
    <row r="36215">
      <c r="D36215" s="39"/>
      <c r="E36215" s="39"/>
      <c r="F36215" s="39"/>
    </row>
    <row r="36216">
      <c r="D36216" s="39"/>
      <c r="E36216" s="39"/>
      <c r="F36216" s="39"/>
    </row>
    <row r="36217">
      <c r="D36217" s="39"/>
      <c r="E36217" s="39"/>
      <c r="F36217" s="39"/>
    </row>
    <row r="36218">
      <c r="D36218" s="39"/>
      <c r="E36218" s="39"/>
      <c r="F36218" s="39"/>
    </row>
    <row r="36219">
      <c r="D36219" s="39"/>
      <c r="E36219" s="39"/>
      <c r="F36219" s="39"/>
    </row>
    <row r="36220">
      <c r="D36220" s="39"/>
      <c r="E36220" s="39"/>
      <c r="F36220" s="39"/>
    </row>
    <row r="36221">
      <c r="D36221" s="39"/>
      <c r="E36221" s="39"/>
      <c r="F36221" s="39"/>
    </row>
    <row r="36222">
      <c r="D36222" s="39"/>
      <c r="E36222" s="39"/>
      <c r="F36222" s="39"/>
    </row>
    <row r="36223">
      <c r="D36223" s="39"/>
      <c r="E36223" s="39"/>
      <c r="F36223" s="39"/>
    </row>
    <row r="36224">
      <c r="D36224" s="39"/>
      <c r="E36224" s="39"/>
      <c r="F36224" s="39"/>
    </row>
    <row r="36225">
      <c r="D36225" s="39"/>
      <c r="E36225" s="39"/>
      <c r="F36225" s="39"/>
    </row>
    <row r="36226">
      <c r="D36226" s="39"/>
      <c r="E36226" s="39"/>
      <c r="F36226" s="39"/>
    </row>
    <row r="36227">
      <c r="D36227" s="39"/>
      <c r="E36227" s="39"/>
      <c r="F36227" s="39"/>
    </row>
    <row r="36228">
      <c r="D36228" s="39"/>
      <c r="E36228" s="39"/>
      <c r="F36228" s="39"/>
    </row>
    <row r="36229">
      <c r="D36229" s="39"/>
      <c r="E36229" s="39"/>
      <c r="F36229" s="39"/>
    </row>
    <row r="36230">
      <c r="D36230" s="39"/>
      <c r="E36230" s="39"/>
      <c r="F36230" s="39"/>
    </row>
    <row r="36231">
      <c r="D36231" s="39"/>
      <c r="E36231" s="39"/>
      <c r="F36231" s="39"/>
    </row>
    <row r="36232">
      <c r="D36232" s="39"/>
      <c r="E36232" s="39"/>
      <c r="F36232" s="39"/>
    </row>
    <row r="36233">
      <c r="D36233" s="39"/>
      <c r="E36233" s="39"/>
      <c r="F36233" s="39"/>
    </row>
    <row r="36234">
      <c r="D36234" s="39"/>
      <c r="E36234" s="39"/>
      <c r="F36234" s="39"/>
    </row>
    <row r="36235">
      <c r="D36235" s="39"/>
      <c r="E36235" s="39"/>
      <c r="F36235" s="39"/>
    </row>
    <row r="36236">
      <c r="D36236" s="39"/>
      <c r="E36236" s="39"/>
      <c r="F36236" s="39"/>
    </row>
    <row r="36237">
      <c r="D36237" s="39"/>
      <c r="E36237" s="39"/>
      <c r="F36237" s="39"/>
    </row>
    <row r="36238">
      <c r="D36238" s="39"/>
      <c r="E36238" s="39"/>
      <c r="F36238" s="39"/>
    </row>
    <row r="36239">
      <c r="D36239" s="39"/>
      <c r="E36239" s="39"/>
      <c r="F36239" s="39"/>
    </row>
    <row r="36240">
      <c r="D36240" s="39"/>
      <c r="E36240" s="39"/>
      <c r="F36240" s="39"/>
    </row>
    <row r="36241">
      <c r="D36241" s="39"/>
      <c r="E36241" s="39"/>
      <c r="F36241" s="39"/>
    </row>
    <row r="36242">
      <c r="D36242" s="39"/>
      <c r="E36242" s="39"/>
      <c r="F36242" s="39"/>
    </row>
    <row r="36243">
      <c r="D36243" s="39"/>
      <c r="E36243" s="39"/>
      <c r="F36243" s="39"/>
    </row>
    <row r="36244">
      <c r="D36244" s="39"/>
      <c r="E36244" s="39"/>
      <c r="F36244" s="39"/>
    </row>
    <row r="36245">
      <c r="D36245" s="39"/>
      <c r="E36245" s="39"/>
      <c r="F36245" s="39"/>
    </row>
    <row r="36246">
      <c r="D36246" s="39"/>
      <c r="E36246" s="39"/>
      <c r="F36246" s="39"/>
    </row>
    <row r="36247">
      <c r="D36247" s="39"/>
      <c r="E36247" s="39"/>
      <c r="F36247" s="39"/>
    </row>
    <row r="36248">
      <c r="D36248" s="39"/>
      <c r="E36248" s="39"/>
      <c r="F36248" s="39"/>
    </row>
    <row r="36249">
      <c r="D36249" s="39"/>
      <c r="E36249" s="39"/>
      <c r="F36249" s="39"/>
    </row>
    <row r="36250">
      <c r="D36250" s="39"/>
      <c r="E36250" s="39"/>
      <c r="F36250" s="39"/>
    </row>
    <row r="36251">
      <c r="D36251" s="39"/>
      <c r="E36251" s="39"/>
      <c r="F36251" s="39"/>
    </row>
    <row r="36252">
      <c r="D36252" s="39"/>
      <c r="E36252" s="39"/>
      <c r="F36252" s="39"/>
    </row>
    <row r="36253">
      <c r="D36253" s="39"/>
      <c r="E36253" s="39"/>
      <c r="F36253" s="39"/>
    </row>
    <row r="36254">
      <c r="D36254" s="39"/>
      <c r="E36254" s="39"/>
      <c r="F36254" s="39"/>
    </row>
    <row r="36255">
      <c r="D36255" s="39"/>
      <c r="E36255" s="39"/>
      <c r="F36255" s="39"/>
    </row>
    <row r="36256">
      <c r="D36256" s="39"/>
      <c r="E36256" s="39"/>
      <c r="F36256" s="39"/>
    </row>
    <row r="36257">
      <c r="D36257" s="39"/>
      <c r="E36257" s="39"/>
      <c r="F36257" s="39"/>
    </row>
    <row r="36258">
      <c r="D36258" s="39"/>
      <c r="E36258" s="39"/>
      <c r="F36258" s="39"/>
    </row>
    <row r="36259">
      <c r="D36259" s="39"/>
      <c r="E36259" s="39"/>
      <c r="F36259" s="39"/>
    </row>
    <row r="36260">
      <c r="D36260" s="39"/>
      <c r="E36260" s="39"/>
      <c r="F36260" s="39"/>
    </row>
    <row r="36261">
      <c r="D36261" s="39"/>
      <c r="E36261" s="39"/>
      <c r="F36261" s="39"/>
    </row>
    <row r="36262">
      <c r="D36262" s="39"/>
      <c r="E36262" s="39"/>
      <c r="F36262" s="39"/>
    </row>
    <row r="36263">
      <c r="D36263" s="39"/>
      <c r="E36263" s="39"/>
      <c r="F36263" s="39"/>
    </row>
    <row r="36264">
      <c r="D36264" s="39"/>
      <c r="E36264" s="39"/>
      <c r="F36264" s="39"/>
    </row>
    <row r="36265">
      <c r="D36265" s="39"/>
      <c r="E36265" s="39"/>
      <c r="F36265" s="39"/>
    </row>
    <row r="36266">
      <c r="D36266" s="39"/>
      <c r="E36266" s="39"/>
      <c r="F36266" s="39"/>
    </row>
    <row r="36267">
      <c r="D36267" s="39"/>
      <c r="E36267" s="39"/>
      <c r="F36267" s="39"/>
    </row>
    <row r="36268">
      <c r="D36268" s="39"/>
      <c r="E36268" s="39"/>
      <c r="F36268" s="39"/>
    </row>
    <row r="36269">
      <c r="D36269" s="39"/>
      <c r="E36269" s="39"/>
      <c r="F36269" s="39"/>
    </row>
    <row r="36270">
      <c r="D36270" s="39"/>
      <c r="E36270" s="39"/>
      <c r="F36270" s="39"/>
    </row>
    <row r="36271">
      <c r="D36271" s="39"/>
      <c r="E36271" s="39"/>
      <c r="F36271" s="39"/>
    </row>
    <row r="36272">
      <c r="D36272" s="39"/>
      <c r="E36272" s="39"/>
      <c r="F36272" s="39"/>
    </row>
    <row r="36273">
      <c r="D36273" s="39"/>
      <c r="E36273" s="39"/>
      <c r="F36273" s="39"/>
    </row>
    <row r="36274">
      <c r="D36274" s="39"/>
      <c r="E36274" s="39"/>
      <c r="F36274" s="39"/>
    </row>
    <row r="36275">
      <c r="D36275" s="39"/>
      <c r="E36275" s="39"/>
      <c r="F36275" s="39"/>
    </row>
    <row r="36276">
      <c r="D36276" s="39"/>
      <c r="E36276" s="39"/>
      <c r="F36276" s="39"/>
    </row>
    <row r="36277">
      <c r="D36277" s="39"/>
      <c r="E36277" s="39"/>
      <c r="F36277" s="39"/>
    </row>
    <row r="36278">
      <c r="D36278" s="39"/>
      <c r="E36278" s="39"/>
      <c r="F36278" s="39"/>
    </row>
    <row r="36279">
      <c r="D36279" s="39"/>
      <c r="E36279" s="39"/>
      <c r="F36279" s="39"/>
    </row>
    <row r="36280">
      <c r="D36280" s="39"/>
      <c r="E36280" s="39"/>
      <c r="F36280" s="39"/>
    </row>
    <row r="36281">
      <c r="D36281" s="39"/>
      <c r="E36281" s="39"/>
      <c r="F36281" s="39"/>
    </row>
    <row r="36282">
      <c r="D36282" s="39"/>
      <c r="E36282" s="39"/>
      <c r="F36282" s="39"/>
    </row>
    <row r="36283">
      <c r="D36283" s="39"/>
      <c r="E36283" s="39"/>
      <c r="F36283" s="39"/>
    </row>
    <row r="36284">
      <c r="D36284" s="39"/>
      <c r="E36284" s="39"/>
      <c r="F36284" s="39"/>
    </row>
    <row r="36285">
      <c r="D36285" s="39"/>
      <c r="E36285" s="39"/>
      <c r="F36285" s="39"/>
    </row>
    <row r="36286">
      <c r="D36286" s="39"/>
      <c r="E36286" s="39"/>
      <c r="F36286" s="39"/>
    </row>
    <row r="36287">
      <c r="D36287" s="39"/>
      <c r="E36287" s="39"/>
      <c r="F36287" s="39"/>
    </row>
    <row r="36288">
      <c r="D36288" s="39"/>
      <c r="E36288" s="39"/>
      <c r="F36288" s="39"/>
    </row>
    <row r="36289">
      <c r="D36289" s="39"/>
      <c r="E36289" s="39"/>
      <c r="F36289" s="39"/>
    </row>
    <row r="36290">
      <c r="D36290" s="39"/>
      <c r="E36290" s="39"/>
      <c r="F36290" s="39"/>
    </row>
    <row r="36291">
      <c r="D36291" s="39"/>
      <c r="E36291" s="39"/>
      <c r="F36291" s="39"/>
    </row>
    <row r="36292">
      <c r="D36292" s="39"/>
      <c r="E36292" s="39"/>
      <c r="F36292" s="39"/>
    </row>
    <row r="36293">
      <c r="D36293" s="39"/>
      <c r="E36293" s="39"/>
      <c r="F36293" s="39"/>
    </row>
    <row r="36294">
      <c r="D36294" s="39"/>
      <c r="E36294" s="39"/>
      <c r="F36294" s="39"/>
    </row>
    <row r="36295">
      <c r="D36295" s="39"/>
      <c r="E36295" s="39"/>
      <c r="F36295" s="39"/>
    </row>
    <row r="36296">
      <c r="D36296" s="39"/>
      <c r="E36296" s="39"/>
      <c r="F36296" s="39"/>
    </row>
    <row r="36297">
      <c r="D36297" s="39"/>
      <c r="E36297" s="39"/>
      <c r="F36297" s="39"/>
    </row>
    <row r="36298">
      <c r="D36298" s="39"/>
      <c r="E36298" s="39"/>
      <c r="F36298" s="39"/>
    </row>
    <row r="36299">
      <c r="D36299" s="39"/>
      <c r="E36299" s="39"/>
      <c r="F36299" s="39"/>
    </row>
    <row r="36300">
      <c r="D36300" s="39"/>
      <c r="E36300" s="39"/>
      <c r="F36300" s="39"/>
    </row>
    <row r="36301">
      <c r="D36301" s="39"/>
      <c r="E36301" s="39"/>
      <c r="F36301" s="39"/>
    </row>
    <row r="36302">
      <c r="D36302" s="39"/>
      <c r="E36302" s="39"/>
      <c r="F36302" s="39"/>
    </row>
    <row r="36303">
      <c r="D36303" s="39"/>
      <c r="E36303" s="39"/>
      <c r="F36303" s="39"/>
    </row>
    <row r="36304">
      <c r="D36304" s="39"/>
      <c r="E36304" s="39"/>
      <c r="F36304" s="39"/>
    </row>
    <row r="36305">
      <c r="D36305" s="39"/>
      <c r="E36305" s="39"/>
      <c r="F36305" s="39"/>
    </row>
    <row r="36306">
      <c r="D36306" s="39"/>
      <c r="E36306" s="39"/>
      <c r="F36306" s="39"/>
    </row>
    <row r="36307">
      <c r="D36307" s="39"/>
      <c r="E36307" s="39"/>
      <c r="F36307" s="39"/>
    </row>
    <row r="36308">
      <c r="D36308" s="39"/>
      <c r="E36308" s="39"/>
      <c r="F36308" s="39"/>
    </row>
    <row r="36309">
      <c r="D36309" s="39"/>
      <c r="E36309" s="39"/>
      <c r="F36309" s="39"/>
    </row>
    <row r="36310">
      <c r="D36310" s="39"/>
      <c r="E36310" s="39"/>
      <c r="F36310" s="39"/>
    </row>
    <row r="36311">
      <c r="D36311" s="39"/>
      <c r="E36311" s="39"/>
      <c r="F36311" s="39"/>
    </row>
    <row r="36312">
      <c r="D36312" s="39"/>
      <c r="E36312" s="39"/>
      <c r="F36312" s="39"/>
    </row>
    <row r="36313">
      <c r="D36313" s="39"/>
      <c r="E36313" s="39"/>
      <c r="F36313" s="39"/>
    </row>
    <row r="36314">
      <c r="D36314" s="39"/>
      <c r="E36314" s="39"/>
      <c r="F36314" s="39"/>
    </row>
    <row r="36315">
      <c r="D36315" s="39"/>
      <c r="E36315" s="39"/>
      <c r="F36315" s="39"/>
    </row>
    <row r="36316">
      <c r="D36316" s="39"/>
      <c r="E36316" s="39"/>
      <c r="F36316" s="39"/>
    </row>
    <row r="36317">
      <c r="D36317" s="39"/>
      <c r="E36317" s="39"/>
      <c r="F36317" s="39"/>
    </row>
    <row r="36318">
      <c r="D36318" s="39"/>
      <c r="E36318" s="39"/>
      <c r="F36318" s="39"/>
    </row>
    <row r="36319">
      <c r="D36319" s="39"/>
      <c r="E36319" s="39"/>
      <c r="F36319" s="39"/>
    </row>
    <row r="36320">
      <c r="D36320" s="39"/>
      <c r="E36320" s="39"/>
      <c r="F36320" s="39"/>
    </row>
    <row r="36321">
      <c r="D36321" s="39"/>
      <c r="E36321" s="39"/>
      <c r="F36321" s="39"/>
    </row>
    <row r="36322">
      <c r="D36322" s="39"/>
      <c r="E36322" s="39"/>
      <c r="F36322" s="39"/>
    </row>
    <row r="36323">
      <c r="D36323" s="39"/>
      <c r="E36323" s="39"/>
      <c r="F36323" s="39"/>
    </row>
    <row r="36324">
      <c r="D36324" s="39"/>
      <c r="E36324" s="39"/>
      <c r="F36324" s="39"/>
    </row>
    <row r="36325">
      <c r="D36325" s="39"/>
      <c r="E36325" s="39"/>
      <c r="F36325" s="39"/>
    </row>
    <row r="36326">
      <c r="D36326" s="39"/>
      <c r="E36326" s="39"/>
      <c r="F36326" s="39"/>
    </row>
    <row r="36327">
      <c r="D36327" s="39"/>
      <c r="E36327" s="39"/>
      <c r="F36327" s="39"/>
    </row>
    <row r="36328">
      <c r="D36328" s="39"/>
      <c r="E36328" s="39"/>
      <c r="F36328" s="39"/>
    </row>
    <row r="36329">
      <c r="D36329" s="39"/>
      <c r="E36329" s="39"/>
      <c r="F36329" s="39"/>
    </row>
    <row r="36330">
      <c r="D36330" s="39"/>
      <c r="E36330" s="39"/>
      <c r="F36330" s="39"/>
    </row>
    <row r="36331">
      <c r="D36331" s="39"/>
      <c r="E36331" s="39"/>
      <c r="F36331" s="39"/>
    </row>
    <row r="36332">
      <c r="D36332" s="39"/>
      <c r="E36332" s="39"/>
      <c r="F36332" s="39"/>
    </row>
    <row r="36333">
      <c r="D36333" s="39"/>
      <c r="E36333" s="39"/>
      <c r="F36333" s="39"/>
    </row>
    <row r="36334">
      <c r="D36334" s="39"/>
      <c r="E36334" s="39"/>
      <c r="F36334" s="39"/>
    </row>
    <row r="36335">
      <c r="D36335" s="39"/>
      <c r="E36335" s="39"/>
      <c r="F36335" s="39"/>
    </row>
    <row r="36336">
      <c r="D36336" s="39"/>
      <c r="E36336" s="39"/>
      <c r="F36336" s="39"/>
    </row>
    <row r="36337">
      <c r="D36337" s="39"/>
      <c r="E36337" s="39"/>
      <c r="F36337" s="39"/>
    </row>
    <row r="36338">
      <c r="D36338" s="39"/>
      <c r="E36338" s="39"/>
      <c r="F36338" s="39"/>
    </row>
    <row r="36339">
      <c r="D36339" s="39"/>
      <c r="E36339" s="39"/>
      <c r="F36339" s="39"/>
    </row>
    <row r="36340">
      <c r="D36340" s="39"/>
      <c r="E36340" s="39"/>
      <c r="F36340" s="39"/>
    </row>
    <row r="36341">
      <c r="D36341" s="39"/>
      <c r="E36341" s="39"/>
      <c r="F36341" s="39"/>
    </row>
    <row r="36342">
      <c r="D36342" s="39"/>
      <c r="E36342" s="39"/>
      <c r="F36342" s="39"/>
    </row>
    <row r="36343">
      <c r="D36343" s="39"/>
      <c r="E36343" s="39"/>
      <c r="F36343" s="39"/>
    </row>
    <row r="36344">
      <c r="D36344" s="39"/>
      <c r="E36344" s="39"/>
      <c r="F36344" s="39"/>
    </row>
    <row r="36345">
      <c r="D36345" s="39"/>
      <c r="E36345" s="39"/>
      <c r="F36345" s="39"/>
    </row>
    <row r="36346">
      <c r="D36346" s="39"/>
      <c r="E36346" s="39"/>
      <c r="F36346" s="39"/>
    </row>
    <row r="36347">
      <c r="D36347" s="39"/>
      <c r="E36347" s="39"/>
      <c r="F36347" s="39"/>
    </row>
    <row r="36348">
      <c r="D36348" s="39"/>
      <c r="E36348" s="39"/>
      <c r="F36348" s="39"/>
    </row>
    <row r="36349">
      <c r="D36349" s="39"/>
      <c r="E36349" s="39"/>
      <c r="F36349" s="39"/>
    </row>
    <row r="36350">
      <c r="D36350" s="39"/>
      <c r="E36350" s="39"/>
      <c r="F36350" s="39"/>
    </row>
    <row r="36351">
      <c r="D36351" s="39"/>
      <c r="E36351" s="39"/>
      <c r="F36351" s="39"/>
    </row>
    <row r="36352">
      <c r="D36352" s="39"/>
      <c r="E36352" s="39"/>
      <c r="F36352" s="39"/>
    </row>
    <row r="36353">
      <c r="D36353" s="39"/>
      <c r="E36353" s="39"/>
      <c r="F36353" s="39"/>
    </row>
    <row r="36354">
      <c r="D36354" s="39"/>
      <c r="E36354" s="39"/>
      <c r="F36354" s="39"/>
    </row>
    <row r="36355">
      <c r="D36355" s="39"/>
      <c r="E36355" s="39"/>
      <c r="F36355" s="39"/>
    </row>
    <row r="36356">
      <c r="D36356" s="39"/>
      <c r="E36356" s="39"/>
      <c r="F36356" s="39"/>
    </row>
    <row r="36357">
      <c r="D36357" s="39"/>
      <c r="E36357" s="39"/>
      <c r="F36357" s="39"/>
    </row>
    <row r="36358">
      <c r="D36358" s="39"/>
      <c r="E36358" s="39"/>
      <c r="F36358" s="39"/>
    </row>
    <row r="36359">
      <c r="D36359" s="39"/>
      <c r="E36359" s="39"/>
      <c r="F36359" s="39"/>
    </row>
    <row r="36360">
      <c r="D36360" s="39"/>
      <c r="E36360" s="39"/>
      <c r="F36360" s="39"/>
    </row>
    <row r="36361">
      <c r="D36361" s="39"/>
      <c r="E36361" s="39"/>
      <c r="F36361" s="39"/>
    </row>
    <row r="36362">
      <c r="D36362" s="39"/>
      <c r="E36362" s="39"/>
      <c r="F36362" s="39"/>
    </row>
    <row r="36363">
      <c r="D36363" s="39"/>
      <c r="E36363" s="39"/>
      <c r="F36363" s="39"/>
    </row>
    <row r="36364">
      <c r="D36364" s="39"/>
      <c r="E36364" s="39"/>
      <c r="F36364" s="39"/>
    </row>
    <row r="36365">
      <c r="D36365" s="39"/>
      <c r="E36365" s="39"/>
      <c r="F36365" s="39"/>
    </row>
    <row r="36366">
      <c r="D36366" s="39"/>
      <c r="E36366" s="39"/>
      <c r="F36366" s="39"/>
    </row>
    <row r="36367">
      <c r="D36367" s="39"/>
      <c r="E36367" s="39"/>
      <c r="F36367" s="39"/>
    </row>
    <row r="36368">
      <c r="D36368" s="39"/>
      <c r="E36368" s="39"/>
      <c r="F36368" s="39"/>
    </row>
    <row r="36369">
      <c r="D36369" s="39"/>
      <c r="E36369" s="39"/>
      <c r="F36369" s="39"/>
    </row>
    <row r="36370">
      <c r="D36370" s="39"/>
      <c r="E36370" s="39"/>
      <c r="F36370" s="39"/>
    </row>
    <row r="36371">
      <c r="D36371" s="39"/>
      <c r="E36371" s="39"/>
      <c r="F36371" s="39"/>
    </row>
    <row r="36372">
      <c r="D36372" s="39"/>
      <c r="E36372" s="39"/>
      <c r="F36372" s="39"/>
    </row>
    <row r="36373">
      <c r="D36373" s="39"/>
      <c r="E36373" s="39"/>
      <c r="F36373" s="39"/>
    </row>
    <row r="36374">
      <c r="D36374" s="39"/>
      <c r="E36374" s="39"/>
      <c r="F36374" s="39"/>
    </row>
    <row r="36375">
      <c r="D36375" s="39"/>
      <c r="E36375" s="39"/>
      <c r="F36375" s="39"/>
    </row>
    <row r="36376">
      <c r="D36376" s="39"/>
      <c r="E36376" s="39"/>
      <c r="F36376" s="39"/>
    </row>
    <row r="36377">
      <c r="D36377" s="39"/>
      <c r="E36377" s="39"/>
      <c r="F36377" s="39"/>
    </row>
    <row r="36378">
      <c r="D36378" s="39"/>
      <c r="E36378" s="39"/>
      <c r="F36378" s="39"/>
    </row>
    <row r="36379">
      <c r="D36379" s="39"/>
      <c r="E36379" s="39"/>
      <c r="F36379" s="39"/>
    </row>
    <row r="36380">
      <c r="D36380" s="39"/>
      <c r="E36380" s="39"/>
      <c r="F36380" s="39"/>
    </row>
    <row r="36381">
      <c r="D36381" s="39"/>
      <c r="E36381" s="39"/>
      <c r="F36381" s="39"/>
    </row>
    <row r="36382">
      <c r="D36382" s="39"/>
      <c r="E36382" s="39"/>
      <c r="F36382" s="39"/>
    </row>
    <row r="36383">
      <c r="D36383" s="39"/>
      <c r="E36383" s="39"/>
      <c r="F36383" s="39"/>
    </row>
    <row r="36384">
      <c r="D36384" s="39"/>
      <c r="E36384" s="39"/>
      <c r="F36384" s="39"/>
    </row>
    <row r="36385">
      <c r="D36385" s="39"/>
      <c r="E36385" s="39"/>
      <c r="F36385" s="39"/>
    </row>
    <row r="36386">
      <c r="D36386" s="39"/>
      <c r="E36386" s="39"/>
      <c r="F36386" s="39"/>
    </row>
    <row r="36387">
      <c r="D36387" s="39"/>
      <c r="E36387" s="39"/>
      <c r="F36387" s="39"/>
    </row>
    <row r="36388">
      <c r="D36388" s="39"/>
      <c r="E36388" s="39"/>
      <c r="F36388" s="39"/>
    </row>
    <row r="36389">
      <c r="D36389" s="39"/>
      <c r="E36389" s="39"/>
      <c r="F36389" s="39"/>
    </row>
    <row r="36390">
      <c r="D36390" s="39"/>
      <c r="E36390" s="39"/>
      <c r="F36390" s="39"/>
    </row>
    <row r="36391">
      <c r="D36391" s="39"/>
      <c r="E36391" s="39"/>
      <c r="F36391" s="39"/>
    </row>
    <row r="36392">
      <c r="D36392" s="39"/>
      <c r="E36392" s="39"/>
      <c r="F36392" s="39"/>
    </row>
    <row r="36393">
      <c r="D36393" s="39"/>
      <c r="E36393" s="39"/>
      <c r="F36393" s="39"/>
    </row>
    <row r="36394">
      <c r="D36394" s="39"/>
      <c r="E36394" s="39"/>
      <c r="F36394" s="39"/>
    </row>
    <row r="36395">
      <c r="D36395" s="39"/>
      <c r="E36395" s="39"/>
      <c r="F36395" s="39"/>
    </row>
    <row r="36396">
      <c r="D36396" s="39"/>
      <c r="E36396" s="39"/>
      <c r="F36396" s="39"/>
    </row>
    <row r="36397">
      <c r="D36397" s="39"/>
      <c r="E36397" s="39"/>
      <c r="F36397" s="39"/>
    </row>
    <row r="36398">
      <c r="D36398" s="39"/>
      <c r="E36398" s="39"/>
      <c r="F36398" s="39"/>
    </row>
    <row r="36399">
      <c r="D36399" s="39"/>
      <c r="E36399" s="39"/>
      <c r="F36399" s="39"/>
    </row>
    <row r="36400">
      <c r="D36400" s="39"/>
      <c r="E36400" s="39"/>
      <c r="F36400" s="39"/>
    </row>
    <row r="36401">
      <c r="D36401" s="39"/>
      <c r="E36401" s="39"/>
      <c r="F36401" s="39"/>
    </row>
    <row r="36402">
      <c r="D36402" s="39"/>
      <c r="E36402" s="39"/>
      <c r="F36402" s="39"/>
    </row>
    <row r="36403">
      <c r="D36403" s="39"/>
      <c r="E36403" s="39"/>
      <c r="F36403" s="39"/>
    </row>
    <row r="36404">
      <c r="D36404" s="39"/>
      <c r="E36404" s="39"/>
      <c r="F36404" s="39"/>
    </row>
    <row r="36405">
      <c r="D36405" s="39"/>
      <c r="E36405" s="39"/>
      <c r="F36405" s="39"/>
    </row>
    <row r="36406">
      <c r="D36406" s="39"/>
      <c r="E36406" s="39"/>
      <c r="F36406" s="39"/>
    </row>
    <row r="36407">
      <c r="D36407" s="39"/>
      <c r="E36407" s="39"/>
      <c r="F36407" s="39"/>
    </row>
    <row r="36408">
      <c r="D36408" s="39"/>
      <c r="E36408" s="39"/>
      <c r="F36408" s="39"/>
    </row>
    <row r="36409">
      <c r="D36409" s="39"/>
      <c r="E36409" s="39"/>
      <c r="F36409" s="39"/>
    </row>
    <row r="36410">
      <c r="D36410" s="39"/>
      <c r="E36410" s="39"/>
      <c r="F36410" s="39"/>
    </row>
    <row r="36411">
      <c r="D36411" s="39"/>
      <c r="E36411" s="39"/>
      <c r="F36411" s="39"/>
    </row>
    <row r="36412">
      <c r="D36412" s="39"/>
      <c r="E36412" s="39"/>
      <c r="F36412" s="39"/>
    </row>
    <row r="36413">
      <c r="D36413" s="39"/>
      <c r="E36413" s="39"/>
      <c r="F36413" s="39"/>
    </row>
    <row r="36414">
      <c r="D36414" s="39"/>
      <c r="E36414" s="39"/>
      <c r="F36414" s="39"/>
    </row>
    <row r="36415">
      <c r="D36415" s="39"/>
      <c r="E36415" s="39"/>
      <c r="F36415" s="39"/>
    </row>
    <row r="36416">
      <c r="D36416" s="39"/>
      <c r="E36416" s="39"/>
      <c r="F36416" s="39"/>
    </row>
    <row r="36417">
      <c r="D36417" s="39"/>
      <c r="E36417" s="39"/>
      <c r="F36417" s="39"/>
    </row>
    <row r="36418">
      <c r="D36418" s="39"/>
      <c r="E36418" s="39"/>
      <c r="F36418" s="39"/>
    </row>
    <row r="36419">
      <c r="D36419" s="39"/>
      <c r="E36419" s="39"/>
      <c r="F36419" s="39"/>
    </row>
    <row r="36420">
      <c r="D36420" s="39"/>
      <c r="E36420" s="39"/>
      <c r="F36420" s="39"/>
    </row>
    <row r="36421">
      <c r="D36421" s="39"/>
      <c r="E36421" s="39"/>
      <c r="F36421" s="39"/>
    </row>
    <row r="36422">
      <c r="D36422" s="39"/>
      <c r="E36422" s="39"/>
      <c r="F36422" s="39"/>
    </row>
    <row r="36423">
      <c r="D36423" s="39"/>
      <c r="E36423" s="39"/>
      <c r="F36423" s="39"/>
    </row>
    <row r="36424">
      <c r="D36424" s="39"/>
      <c r="E36424" s="39"/>
      <c r="F36424" s="39"/>
    </row>
    <row r="36425">
      <c r="D36425" s="39"/>
      <c r="E36425" s="39"/>
      <c r="F36425" s="39"/>
    </row>
    <row r="36426">
      <c r="D36426" s="39"/>
      <c r="E36426" s="39"/>
      <c r="F36426" s="39"/>
    </row>
    <row r="36427">
      <c r="D36427" s="39"/>
      <c r="E36427" s="39"/>
      <c r="F36427" s="39"/>
    </row>
    <row r="36428">
      <c r="D36428" s="39"/>
      <c r="E36428" s="39"/>
      <c r="F36428" s="39"/>
    </row>
    <row r="36429">
      <c r="D36429" s="39"/>
      <c r="E36429" s="39"/>
      <c r="F36429" s="39"/>
    </row>
    <row r="36430">
      <c r="D36430" s="39"/>
      <c r="E36430" s="39"/>
      <c r="F36430" s="39"/>
    </row>
    <row r="36431">
      <c r="D36431" s="39"/>
      <c r="E36431" s="39"/>
      <c r="F36431" s="39"/>
    </row>
    <row r="36432">
      <c r="D36432" s="39"/>
      <c r="E36432" s="39"/>
      <c r="F36432" s="39"/>
    </row>
    <row r="36433">
      <c r="D36433" s="39"/>
      <c r="E36433" s="39"/>
      <c r="F36433" s="39"/>
    </row>
    <row r="36434">
      <c r="D36434" s="39"/>
      <c r="E36434" s="39"/>
      <c r="F36434" s="39"/>
    </row>
    <row r="36435">
      <c r="D36435" s="39"/>
      <c r="E36435" s="39"/>
      <c r="F36435" s="39"/>
    </row>
    <row r="36436">
      <c r="D36436" s="39"/>
      <c r="E36436" s="39"/>
      <c r="F36436" s="39"/>
    </row>
    <row r="36437">
      <c r="D36437" s="39"/>
      <c r="E36437" s="39"/>
      <c r="F36437" s="39"/>
    </row>
    <row r="36438">
      <c r="D36438" s="39"/>
      <c r="E36438" s="39"/>
      <c r="F36438" s="39"/>
    </row>
    <row r="36439">
      <c r="D36439" s="39"/>
      <c r="E36439" s="39"/>
      <c r="F36439" s="39"/>
    </row>
    <row r="36440">
      <c r="D36440" s="39"/>
      <c r="E36440" s="39"/>
      <c r="F36440" s="39"/>
    </row>
    <row r="36441">
      <c r="D36441" s="39"/>
      <c r="E36441" s="39"/>
      <c r="F36441" s="39"/>
    </row>
    <row r="36442">
      <c r="D36442" s="39"/>
      <c r="E36442" s="39"/>
      <c r="F36442" s="39"/>
    </row>
    <row r="36443">
      <c r="D36443" s="39"/>
      <c r="E36443" s="39"/>
      <c r="F36443" s="39"/>
    </row>
    <row r="36444">
      <c r="D36444" s="39"/>
      <c r="E36444" s="39"/>
      <c r="F36444" s="39"/>
    </row>
    <row r="36445">
      <c r="D36445" s="39"/>
      <c r="E36445" s="39"/>
      <c r="F36445" s="39"/>
    </row>
    <row r="36446">
      <c r="D36446" s="39"/>
      <c r="E36446" s="39"/>
      <c r="F36446" s="39"/>
    </row>
    <row r="36447">
      <c r="D36447" s="39"/>
      <c r="E36447" s="39"/>
      <c r="F36447" s="39"/>
    </row>
    <row r="36448">
      <c r="D36448" s="39"/>
      <c r="E36448" s="39"/>
      <c r="F36448" s="39"/>
    </row>
    <row r="36449">
      <c r="D36449" s="39"/>
      <c r="E36449" s="39"/>
      <c r="F36449" s="39"/>
    </row>
    <row r="36450">
      <c r="D36450" s="39"/>
      <c r="E36450" s="39"/>
      <c r="F36450" s="39"/>
    </row>
    <row r="36451">
      <c r="D36451" s="39"/>
      <c r="E36451" s="39"/>
      <c r="F36451" s="39"/>
    </row>
    <row r="36452">
      <c r="D36452" s="39"/>
      <c r="E36452" s="39"/>
      <c r="F36452" s="39"/>
    </row>
    <row r="36453">
      <c r="D36453" s="39"/>
      <c r="E36453" s="39"/>
      <c r="F36453" s="39"/>
    </row>
    <row r="36454">
      <c r="D36454" s="39"/>
      <c r="E36454" s="39"/>
      <c r="F36454" s="39"/>
    </row>
    <row r="36455">
      <c r="D36455" s="39"/>
      <c r="E36455" s="39"/>
      <c r="F36455" s="39"/>
    </row>
    <row r="36456">
      <c r="D36456" s="39"/>
      <c r="E36456" s="39"/>
      <c r="F36456" s="39"/>
    </row>
    <row r="36457">
      <c r="D36457" s="39"/>
      <c r="E36457" s="39"/>
      <c r="F36457" s="39"/>
    </row>
    <row r="36458">
      <c r="D36458" s="39"/>
      <c r="E36458" s="39"/>
      <c r="F36458" s="39"/>
    </row>
    <row r="36459">
      <c r="D36459" s="39"/>
      <c r="E36459" s="39"/>
      <c r="F36459" s="39"/>
    </row>
    <row r="36460">
      <c r="D36460" s="39"/>
      <c r="E36460" s="39"/>
      <c r="F36460" s="39"/>
    </row>
    <row r="36461">
      <c r="D36461" s="39"/>
      <c r="E36461" s="39"/>
      <c r="F36461" s="39"/>
    </row>
    <row r="36462">
      <c r="D36462" s="39"/>
      <c r="E36462" s="39"/>
      <c r="F36462" s="39"/>
    </row>
    <row r="36463">
      <c r="D36463" s="39"/>
      <c r="E36463" s="39"/>
      <c r="F36463" s="39"/>
    </row>
    <row r="36464">
      <c r="D36464" s="39"/>
      <c r="E36464" s="39"/>
      <c r="F36464" s="39"/>
    </row>
    <row r="36465">
      <c r="D36465" s="39"/>
      <c r="E36465" s="39"/>
      <c r="F36465" s="39"/>
    </row>
    <row r="36466">
      <c r="D36466" s="39"/>
      <c r="E36466" s="39"/>
      <c r="F36466" s="39"/>
    </row>
    <row r="36467">
      <c r="D36467" s="39"/>
      <c r="E36467" s="39"/>
      <c r="F36467" s="39"/>
    </row>
    <row r="36468">
      <c r="D36468" s="39"/>
      <c r="E36468" s="39"/>
      <c r="F36468" s="39"/>
    </row>
    <row r="36469">
      <c r="D36469" s="39"/>
      <c r="E36469" s="39"/>
      <c r="F36469" s="39"/>
    </row>
    <row r="36470">
      <c r="D36470" s="39"/>
      <c r="E36470" s="39"/>
      <c r="F36470" s="39"/>
    </row>
    <row r="36471">
      <c r="D36471" s="39"/>
      <c r="E36471" s="39"/>
      <c r="F36471" s="39"/>
    </row>
    <row r="36472">
      <c r="D36472" s="39"/>
      <c r="E36472" s="39"/>
      <c r="F36472" s="39"/>
    </row>
    <row r="36473">
      <c r="D36473" s="39"/>
      <c r="E36473" s="39"/>
      <c r="F36473" s="39"/>
    </row>
    <row r="36474">
      <c r="D36474" s="39"/>
      <c r="E36474" s="39"/>
      <c r="F36474" s="39"/>
    </row>
    <row r="36475">
      <c r="D36475" s="39"/>
      <c r="E36475" s="39"/>
      <c r="F36475" s="39"/>
    </row>
    <row r="36476">
      <c r="D36476" s="39"/>
      <c r="E36476" s="39"/>
      <c r="F36476" s="39"/>
    </row>
    <row r="36477">
      <c r="D36477" s="39"/>
      <c r="E36477" s="39"/>
      <c r="F36477" s="39"/>
    </row>
    <row r="36478">
      <c r="D36478" s="39"/>
      <c r="E36478" s="39"/>
      <c r="F36478" s="39"/>
    </row>
    <row r="36479">
      <c r="D36479" s="39"/>
      <c r="E36479" s="39"/>
      <c r="F36479" s="39"/>
    </row>
    <row r="36480">
      <c r="D36480" s="39"/>
      <c r="E36480" s="39"/>
      <c r="F36480" s="39"/>
    </row>
    <row r="36481">
      <c r="D36481" s="39"/>
      <c r="E36481" s="39"/>
      <c r="F36481" s="39"/>
    </row>
    <row r="36482">
      <c r="D36482" s="39"/>
      <c r="E36482" s="39"/>
      <c r="F36482" s="39"/>
    </row>
    <row r="36483">
      <c r="D36483" s="39"/>
      <c r="E36483" s="39"/>
      <c r="F36483" s="39"/>
    </row>
    <row r="36484">
      <c r="D36484" s="39"/>
      <c r="E36484" s="39"/>
      <c r="F36484" s="39"/>
    </row>
    <row r="36485">
      <c r="D36485" s="39"/>
      <c r="E36485" s="39"/>
      <c r="F36485" s="39"/>
    </row>
    <row r="36486">
      <c r="D36486" s="39"/>
      <c r="E36486" s="39"/>
      <c r="F36486" s="39"/>
    </row>
    <row r="36487">
      <c r="D36487" s="39"/>
      <c r="E36487" s="39"/>
      <c r="F36487" s="39"/>
    </row>
    <row r="36488">
      <c r="D36488" s="39"/>
      <c r="E36488" s="39"/>
      <c r="F36488" s="39"/>
    </row>
    <row r="36489">
      <c r="D36489" s="39"/>
      <c r="E36489" s="39"/>
      <c r="F36489" s="39"/>
    </row>
    <row r="36490">
      <c r="D36490" s="39"/>
      <c r="E36490" s="39"/>
      <c r="F36490" s="39"/>
    </row>
    <row r="36491">
      <c r="D36491" s="39"/>
      <c r="E36491" s="39"/>
      <c r="F36491" s="39"/>
    </row>
    <row r="36492">
      <c r="D36492" s="39"/>
      <c r="E36492" s="39"/>
      <c r="F36492" s="39"/>
    </row>
    <row r="36493">
      <c r="D36493" s="39"/>
      <c r="E36493" s="39"/>
      <c r="F36493" s="39"/>
    </row>
    <row r="36494">
      <c r="D36494" s="39"/>
      <c r="E36494" s="39"/>
      <c r="F36494" s="39"/>
    </row>
    <row r="36495">
      <c r="D36495" s="39"/>
      <c r="E36495" s="39"/>
      <c r="F36495" s="39"/>
    </row>
    <row r="36496">
      <c r="D36496" s="39"/>
      <c r="E36496" s="39"/>
      <c r="F36496" s="39"/>
    </row>
    <row r="36497">
      <c r="D36497" s="39"/>
      <c r="E36497" s="39"/>
      <c r="F36497" s="39"/>
    </row>
    <row r="36498">
      <c r="D36498" s="39"/>
      <c r="E36498" s="39"/>
      <c r="F36498" s="39"/>
    </row>
    <row r="36499">
      <c r="D36499" s="39"/>
      <c r="E36499" s="39"/>
      <c r="F36499" s="39"/>
    </row>
    <row r="36500">
      <c r="D36500" s="39"/>
      <c r="E36500" s="39"/>
      <c r="F36500" s="39"/>
    </row>
    <row r="36501">
      <c r="D36501" s="39"/>
      <c r="E36501" s="39"/>
      <c r="F36501" s="39"/>
    </row>
    <row r="36502">
      <c r="D36502" s="39"/>
      <c r="E36502" s="39"/>
      <c r="F36502" s="39"/>
    </row>
    <row r="36503">
      <c r="D36503" s="39"/>
      <c r="E36503" s="39"/>
      <c r="F36503" s="39"/>
    </row>
    <row r="36504">
      <c r="D36504" s="39"/>
      <c r="E36504" s="39"/>
      <c r="F36504" s="39"/>
    </row>
    <row r="36505">
      <c r="D36505" s="39"/>
      <c r="E36505" s="39"/>
      <c r="F36505" s="39"/>
    </row>
    <row r="36506">
      <c r="D36506" s="39"/>
      <c r="E36506" s="39"/>
      <c r="F36506" s="39"/>
    </row>
    <row r="36507">
      <c r="D36507" s="39"/>
      <c r="E36507" s="39"/>
      <c r="F36507" s="39"/>
    </row>
    <row r="36508">
      <c r="D36508" s="39"/>
      <c r="E36508" s="39"/>
      <c r="F36508" s="39"/>
    </row>
    <row r="36509">
      <c r="D36509" s="39"/>
      <c r="E36509" s="39"/>
      <c r="F36509" s="39"/>
    </row>
    <row r="36510">
      <c r="D36510" s="39"/>
      <c r="E36510" s="39"/>
      <c r="F36510" s="39"/>
    </row>
    <row r="36511">
      <c r="D36511" s="39"/>
      <c r="E36511" s="39"/>
      <c r="F36511" s="39"/>
    </row>
    <row r="36512">
      <c r="D36512" s="39"/>
      <c r="E36512" s="39"/>
      <c r="F36512" s="39"/>
    </row>
    <row r="36513">
      <c r="D36513" s="39"/>
      <c r="E36513" s="39"/>
      <c r="F36513" s="39"/>
    </row>
    <row r="36514">
      <c r="D36514" s="39"/>
      <c r="E36514" s="39"/>
      <c r="F36514" s="39"/>
    </row>
    <row r="36515">
      <c r="D36515" s="39"/>
      <c r="E36515" s="39"/>
      <c r="F36515" s="39"/>
    </row>
    <row r="36516">
      <c r="D36516" s="39"/>
      <c r="E36516" s="39"/>
      <c r="F36516" s="39"/>
    </row>
    <row r="36517">
      <c r="D36517" s="39"/>
      <c r="E36517" s="39"/>
      <c r="F36517" s="39"/>
    </row>
    <row r="36518">
      <c r="D36518" s="39"/>
      <c r="E36518" s="39"/>
      <c r="F36518" s="39"/>
    </row>
    <row r="36519">
      <c r="D36519" s="39"/>
      <c r="E36519" s="39"/>
      <c r="F36519" s="39"/>
    </row>
    <row r="36520">
      <c r="D36520" s="39"/>
      <c r="E36520" s="39"/>
      <c r="F36520" s="39"/>
    </row>
    <row r="36521">
      <c r="D36521" s="39"/>
      <c r="E36521" s="39"/>
      <c r="F36521" s="39"/>
    </row>
    <row r="36522">
      <c r="D36522" s="39"/>
      <c r="E36522" s="39"/>
      <c r="F36522" s="39"/>
    </row>
    <row r="36523">
      <c r="D36523" s="39"/>
      <c r="E36523" s="39"/>
      <c r="F36523" s="39"/>
    </row>
    <row r="36524">
      <c r="D36524" s="39"/>
      <c r="E36524" s="39"/>
      <c r="F36524" s="39"/>
    </row>
    <row r="36525">
      <c r="D36525" s="39"/>
      <c r="E36525" s="39"/>
      <c r="F36525" s="39"/>
    </row>
    <row r="36526">
      <c r="D36526" s="39"/>
      <c r="E36526" s="39"/>
      <c r="F36526" s="39"/>
    </row>
    <row r="36527">
      <c r="D36527" s="39"/>
      <c r="E36527" s="39"/>
      <c r="F36527" s="39"/>
    </row>
    <row r="36528">
      <c r="D36528" s="39"/>
      <c r="E36528" s="39"/>
      <c r="F36528" s="39"/>
    </row>
    <row r="36529">
      <c r="D36529" s="39"/>
      <c r="E36529" s="39"/>
      <c r="F36529" s="39"/>
    </row>
    <row r="36530">
      <c r="D36530" s="39"/>
      <c r="E36530" s="39"/>
      <c r="F36530" s="39"/>
    </row>
    <row r="36531">
      <c r="D36531" s="39"/>
      <c r="E36531" s="39"/>
      <c r="F36531" s="39"/>
    </row>
    <row r="36532">
      <c r="D36532" s="39"/>
      <c r="E36532" s="39"/>
      <c r="F36532" s="39"/>
    </row>
    <row r="36533">
      <c r="D36533" s="39"/>
      <c r="E36533" s="39"/>
      <c r="F36533" s="39"/>
    </row>
    <row r="36534">
      <c r="D36534" s="39"/>
      <c r="E36534" s="39"/>
      <c r="F36534" s="39"/>
    </row>
    <row r="36535">
      <c r="D36535" s="39"/>
      <c r="E36535" s="39"/>
      <c r="F36535" s="39"/>
    </row>
    <row r="36536">
      <c r="D36536" s="39"/>
      <c r="E36536" s="39"/>
      <c r="F36536" s="39"/>
    </row>
    <row r="36537">
      <c r="D36537" s="39"/>
      <c r="E36537" s="39"/>
      <c r="F36537" s="39"/>
    </row>
    <row r="36538">
      <c r="D36538" s="39"/>
      <c r="E36538" s="39"/>
      <c r="F36538" s="39"/>
    </row>
    <row r="36539">
      <c r="D36539" s="39"/>
      <c r="E36539" s="39"/>
      <c r="F36539" s="39"/>
    </row>
    <row r="36540">
      <c r="D36540" s="39"/>
      <c r="E36540" s="39"/>
      <c r="F36540" s="39"/>
    </row>
    <row r="36541">
      <c r="D36541" s="39"/>
      <c r="E36541" s="39"/>
      <c r="F36541" s="39"/>
    </row>
    <row r="36542">
      <c r="D36542" s="39"/>
      <c r="E36542" s="39"/>
      <c r="F36542" s="39"/>
    </row>
    <row r="36543">
      <c r="D36543" s="39"/>
      <c r="E36543" s="39"/>
      <c r="F36543" s="39"/>
    </row>
    <row r="36544">
      <c r="D36544" s="39"/>
      <c r="E36544" s="39"/>
      <c r="F36544" s="39"/>
    </row>
    <row r="36545">
      <c r="D36545" s="39"/>
      <c r="E36545" s="39"/>
      <c r="F36545" s="39"/>
    </row>
    <row r="36546">
      <c r="D36546" s="39"/>
      <c r="E36546" s="39"/>
      <c r="F36546" s="39"/>
    </row>
    <row r="36547">
      <c r="D36547" s="39"/>
      <c r="E36547" s="39"/>
      <c r="F36547" s="39"/>
    </row>
    <row r="36548">
      <c r="D36548" s="39"/>
      <c r="E36548" s="39"/>
      <c r="F36548" s="39"/>
    </row>
    <row r="36549">
      <c r="D36549" s="39"/>
      <c r="E36549" s="39"/>
      <c r="F36549" s="39"/>
    </row>
    <row r="36550">
      <c r="D36550" s="39"/>
      <c r="E36550" s="39"/>
      <c r="F36550" s="39"/>
    </row>
    <row r="36551">
      <c r="D36551" s="39"/>
      <c r="E36551" s="39"/>
      <c r="F36551" s="39"/>
    </row>
    <row r="36552">
      <c r="D36552" s="39"/>
      <c r="E36552" s="39"/>
      <c r="F36552" s="39"/>
    </row>
    <row r="36553">
      <c r="D36553" s="39"/>
      <c r="E36553" s="39"/>
      <c r="F36553" s="39"/>
    </row>
    <row r="36554">
      <c r="D36554" s="39"/>
      <c r="E36554" s="39"/>
      <c r="F36554" s="39"/>
    </row>
    <row r="36555">
      <c r="D36555" s="39"/>
      <c r="E36555" s="39"/>
      <c r="F36555" s="39"/>
    </row>
    <row r="36556">
      <c r="D36556" s="39"/>
      <c r="E36556" s="39"/>
      <c r="F36556" s="39"/>
    </row>
    <row r="36557">
      <c r="D36557" s="39"/>
      <c r="E36557" s="39"/>
      <c r="F36557" s="39"/>
    </row>
    <row r="36558">
      <c r="D36558" s="39"/>
      <c r="E36558" s="39"/>
      <c r="F36558" s="39"/>
    </row>
    <row r="36559">
      <c r="D36559" s="39"/>
      <c r="E36559" s="39"/>
      <c r="F36559" s="39"/>
    </row>
    <row r="36560">
      <c r="D36560" s="39"/>
      <c r="E36560" s="39"/>
      <c r="F36560" s="39"/>
    </row>
    <row r="36561">
      <c r="D36561" s="39"/>
      <c r="E36561" s="39"/>
      <c r="F36561" s="39"/>
    </row>
    <row r="36562">
      <c r="D36562" s="39"/>
      <c r="E36562" s="39"/>
      <c r="F36562" s="39"/>
    </row>
    <row r="36563">
      <c r="D36563" s="39"/>
      <c r="E36563" s="39"/>
      <c r="F36563" s="39"/>
    </row>
    <row r="36564">
      <c r="D36564" s="39"/>
      <c r="E36564" s="39"/>
      <c r="F36564" s="39"/>
    </row>
    <row r="36565">
      <c r="D36565" s="39"/>
      <c r="E36565" s="39"/>
      <c r="F36565" s="39"/>
    </row>
    <row r="36566">
      <c r="D36566" s="39"/>
      <c r="E36566" s="39"/>
      <c r="F36566" s="39"/>
    </row>
    <row r="36567">
      <c r="D36567" s="39"/>
      <c r="E36567" s="39"/>
      <c r="F36567" s="39"/>
    </row>
    <row r="36568">
      <c r="D36568" s="39"/>
      <c r="E36568" s="39"/>
      <c r="F36568" s="39"/>
    </row>
    <row r="36569">
      <c r="D36569" s="39"/>
      <c r="E36569" s="39"/>
      <c r="F36569" s="39"/>
    </row>
    <row r="36570">
      <c r="D36570" s="39"/>
      <c r="E36570" s="39"/>
      <c r="F36570" s="39"/>
    </row>
    <row r="36571">
      <c r="D36571" s="39"/>
      <c r="E36571" s="39"/>
      <c r="F36571" s="39"/>
    </row>
    <row r="36572">
      <c r="D36572" s="39"/>
      <c r="E36572" s="39"/>
      <c r="F36572" s="39"/>
    </row>
    <row r="36573">
      <c r="D36573" s="39"/>
      <c r="E36573" s="39"/>
      <c r="F36573" s="39"/>
    </row>
    <row r="36574">
      <c r="D36574" s="39"/>
      <c r="E36574" s="39"/>
      <c r="F36574" s="39"/>
    </row>
    <row r="36575">
      <c r="D36575" s="39"/>
      <c r="E36575" s="39"/>
      <c r="F36575" s="39"/>
    </row>
    <row r="36576">
      <c r="D36576" s="39"/>
      <c r="E36576" s="39"/>
      <c r="F36576" s="39"/>
    </row>
    <row r="36577">
      <c r="D36577" s="39"/>
      <c r="E36577" s="39"/>
      <c r="F36577" s="39"/>
    </row>
    <row r="36578">
      <c r="D36578" s="39"/>
      <c r="E36578" s="39"/>
      <c r="F36578" s="39"/>
    </row>
    <row r="36579">
      <c r="D36579" s="39"/>
      <c r="E36579" s="39"/>
      <c r="F36579" s="39"/>
    </row>
    <row r="36580">
      <c r="D36580" s="39"/>
      <c r="E36580" s="39"/>
      <c r="F36580" s="39"/>
    </row>
    <row r="36581">
      <c r="D36581" s="39"/>
      <c r="E36581" s="39"/>
      <c r="F36581" s="39"/>
    </row>
    <row r="36582">
      <c r="D36582" s="39"/>
      <c r="E36582" s="39"/>
      <c r="F36582" s="39"/>
    </row>
    <row r="36583">
      <c r="D36583" s="39"/>
      <c r="E36583" s="39"/>
      <c r="F36583" s="39"/>
    </row>
    <row r="36584">
      <c r="D36584" s="39"/>
      <c r="E36584" s="39"/>
      <c r="F36584" s="39"/>
    </row>
    <row r="36585">
      <c r="D36585" s="39"/>
      <c r="E36585" s="39"/>
      <c r="F36585" s="39"/>
    </row>
    <row r="36586">
      <c r="D36586" s="39"/>
      <c r="E36586" s="39"/>
      <c r="F36586" s="39"/>
    </row>
    <row r="36587">
      <c r="D36587" s="39"/>
      <c r="E36587" s="39"/>
      <c r="F36587" s="39"/>
    </row>
    <row r="36588">
      <c r="D36588" s="39"/>
      <c r="E36588" s="39"/>
      <c r="F36588" s="39"/>
    </row>
    <row r="36589">
      <c r="D36589" s="39"/>
      <c r="E36589" s="39"/>
      <c r="F36589" s="39"/>
    </row>
    <row r="36590">
      <c r="D36590" s="39"/>
      <c r="E36590" s="39"/>
      <c r="F36590" s="39"/>
    </row>
    <row r="36591">
      <c r="D36591" s="39"/>
      <c r="E36591" s="39"/>
      <c r="F36591" s="39"/>
    </row>
    <row r="36592">
      <c r="D36592" s="39"/>
      <c r="E36592" s="39"/>
      <c r="F36592" s="39"/>
    </row>
    <row r="36593">
      <c r="D36593" s="39"/>
      <c r="E36593" s="39"/>
      <c r="F36593" s="39"/>
    </row>
    <row r="36594">
      <c r="D36594" s="39"/>
      <c r="E36594" s="39"/>
      <c r="F36594" s="39"/>
    </row>
    <row r="36595">
      <c r="D36595" s="39"/>
      <c r="E36595" s="39"/>
      <c r="F36595" s="39"/>
    </row>
    <row r="36596">
      <c r="D36596" s="39"/>
      <c r="E36596" s="39"/>
      <c r="F36596" s="39"/>
    </row>
    <row r="36597">
      <c r="D36597" s="39"/>
      <c r="E36597" s="39"/>
      <c r="F36597" s="39"/>
    </row>
    <row r="36598">
      <c r="D36598" s="39"/>
      <c r="E36598" s="39"/>
      <c r="F36598" s="39"/>
    </row>
    <row r="36599">
      <c r="D36599" s="39"/>
      <c r="E36599" s="39"/>
      <c r="F36599" s="39"/>
    </row>
    <row r="36600">
      <c r="D36600" s="39"/>
      <c r="E36600" s="39"/>
      <c r="F36600" s="39"/>
    </row>
    <row r="36601">
      <c r="D36601" s="39"/>
      <c r="E36601" s="39"/>
      <c r="F36601" s="39"/>
    </row>
    <row r="36602">
      <c r="D36602" s="39"/>
      <c r="E36602" s="39"/>
      <c r="F36602" s="39"/>
    </row>
    <row r="36603">
      <c r="D36603" s="39"/>
      <c r="E36603" s="39"/>
      <c r="F36603" s="39"/>
    </row>
    <row r="36604">
      <c r="D36604" s="39"/>
      <c r="E36604" s="39"/>
      <c r="F36604" s="39"/>
    </row>
    <row r="36605">
      <c r="D36605" s="39"/>
      <c r="E36605" s="39"/>
      <c r="F36605" s="39"/>
    </row>
    <row r="36606">
      <c r="D36606" s="39"/>
      <c r="E36606" s="39"/>
      <c r="F36606" s="39"/>
    </row>
    <row r="36607">
      <c r="D36607" s="39"/>
      <c r="E36607" s="39"/>
      <c r="F36607" s="39"/>
    </row>
    <row r="36608">
      <c r="D36608" s="39"/>
      <c r="E36608" s="39"/>
      <c r="F36608" s="39"/>
    </row>
    <row r="36609">
      <c r="D36609" s="39"/>
      <c r="E36609" s="39"/>
      <c r="F36609" s="39"/>
    </row>
    <row r="36610">
      <c r="D36610" s="39"/>
      <c r="E36610" s="39"/>
      <c r="F36610" s="39"/>
    </row>
    <row r="36611">
      <c r="D36611" s="39"/>
      <c r="E36611" s="39"/>
      <c r="F36611" s="39"/>
    </row>
    <row r="36612">
      <c r="D36612" s="39"/>
      <c r="E36612" s="39"/>
      <c r="F36612" s="39"/>
    </row>
    <row r="36613">
      <c r="D36613" s="39"/>
      <c r="E36613" s="39"/>
      <c r="F36613" s="39"/>
    </row>
    <row r="36614">
      <c r="D36614" s="39"/>
      <c r="E36614" s="39"/>
      <c r="F36614" s="39"/>
    </row>
    <row r="36615">
      <c r="D36615" s="39"/>
      <c r="E36615" s="39"/>
      <c r="F36615" s="39"/>
    </row>
    <row r="36616">
      <c r="D36616" s="39"/>
      <c r="E36616" s="39"/>
      <c r="F36616" s="39"/>
    </row>
    <row r="36617">
      <c r="D36617" s="39"/>
      <c r="E36617" s="39"/>
      <c r="F36617" s="39"/>
    </row>
    <row r="36618">
      <c r="D36618" s="39"/>
      <c r="E36618" s="39"/>
      <c r="F36618" s="39"/>
    </row>
    <row r="36619">
      <c r="D36619" s="39"/>
      <c r="E36619" s="39"/>
      <c r="F36619" s="39"/>
    </row>
    <row r="36620">
      <c r="D36620" s="39"/>
      <c r="E36620" s="39"/>
      <c r="F36620" s="39"/>
    </row>
    <row r="36621">
      <c r="D36621" s="39"/>
      <c r="E36621" s="39"/>
      <c r="F36621" s="39"/>
    </row>
    <row r="36622">
      <c r="D36622" s="39"/>
      <c r="E36622" s="39"/>
      <c r="F36622" s="39"/>
    </row>
    <row r="36623">
      <c r="D36623" s="39"/>
      <c r="E36623" s="39"/>
      <c r="F36623" s="39"/>
    </row>
    <row r="36624">
      <c r="D36624" s="39"/>
      <c r="E36624" s="39"/>
      <c r="F36624" s="39"/>
    </row>
    <row r="36625">
      <c r="D36625" s="39"/>
      <c r="E36625" s="39"/>
      <c r="F36625" s="39"/>
    </row>
    <row r="36626">
      <c r="D36626" s="39"/>
      <c r="E36626" s="39"/>
      <c r="F36626" s="39"/>
    </row>
    <row r="36627">
      <c r="D36627" s="39"/>
      <c r="E36627" s="39"/>
      <c r="F36627" s="39"/>
    </row>
    <row r="36628">
      <c r="D36628" s="39"/>
      <c r="E36628" s="39"/>
      <c r="F36628" s="39"/>
    </row>
    <row r="36629">
      <c r="D36629" s="39"/>
      <c r="E36629" s="39"/>
      <c r="F36629" s="39"/>
    </row>
    <row r="36630">
      <c r="D36630" s="39"/>
      <c r="E36630" s="39"/>
      <c r="F36630" s="39"/>
    </row>
    <row r="36631">
      <c r="D36631" s="39"/>
      <c r="E36631" s="39"/>
      <c r="F36631" s="39"/>
    </row>
    <row r="36632">
      <c r="D36632" s="39"/>
      <c r="E36632" s="39"/>
      <c r="F36632" s="39"/>
    </row>
    <row r="36633">
      <c r="D36633" s="39"/>
      <c r="E36633" s="39"/>
      <c r="F36633" s="39"/>
    </row>
    <row r="36634">
      <c r="D36634" s="39"/>
      <c r="E36634" s="39"/>
      <c r="F36634" s="39"/>
    </row>
    <row r="36635">
      <c r="D36635" s="39"/>
      <c r="E36635" s="39"/>
      <c r="F36635" s="39"/>
    </row>
    <row r="36636">
      <c r="D36636" s="39"/>
      <c r="E36636" s="39"/>
      <c r="F36636" s="39"/>
    </row>
    <row r="36637">
      <c r="D36637" s="39"/>
      <c r="E36637" s="39"/>
      <c r="F36637" s="39"/>
    </row>
    <row r="36638">
      <c r="D36638" s="39"/>
      <c r="E36638" s="39"/>
      <c r="F36638" s="39"/>
    </row>
    <row r="36639">
      <c r="D36639" s="39"/>
      <c r="E36639" s="39"/>
      <c r="F36639" s="39"/>
    </row>
    <row r="36640">
      <c r="D36640" s="39"/>
      <c r="E36640" s="39"/>
      <c r="F36640" s="39"/>
    </row>
    <row r="36641">
      <c r="D36641" s="39"/>
      <c r="E36641" s="39"/>
      <c r="F36641" s="39"/>
    </row>
    <row r="36642">
      <c r="D36642" s="39"/>
      <c r="E36642" s="39"/>
      <c r="F36642" s="39"/>
    </row>
    <row r="36643">
      <c r="D36643" s="39"/>
      <c r="E36643" s="39"/>
      <c r="F36643" s="39"/>
    </row>
    <row r="36644">
      <c r="D36644" s="39"/>
      <c r="E36644" s="39"/>
      <c r="F36644" s="39"/>
    </row>
    <row r="36645">
      <c r="D36645" s="39"/>
      <c r="E36645" s="39"/>
      <c r="F36645" s="39"/>
    </row>
    <row r="36646">
      <c r="D36646" s="39"/>
      <c r="E36646" s="39"/>
      <c r="F36646" s="39"/>
    </row>
    <row r="36647">
      <c r="D36647" s="39"/>
      <c r="E36647" s="39"/>
      <c r="F36647" s="39"/>
    </row>
    <row r="36648">
      <c r="D36648" s="39"/>
      <c r="E36648" s="39"/>
      <c r="F36648" s="39"/>
    </row>
    <row r="36649">
      <c r="D36649" s="39"/>
      <c r="E36649" s="39"/>
      <c r="F36649" s="39"/>
    </row>
    <row r="36650">
      <c r="D36650" s="39"/>
      <c r="E36650" s="39"/>
      <c r="F36650" s="39"/>
    </row>
    <row r="36651">
      <c r="D36651" s="39"/>
      <c r="E36651" s="39"/>
      <c r="F36651" s="39"/>
    </row>
    <row r="36652">
      <c r="D36652" s="39"/>
      <c r="E36652" s="39"/>
      <c r="F36652" s="39"/>
    </row>
    <row r="36653">
      <c r="D36653" s="39"/>
      <c r="E36653" s="39"/>
      <c r="F36653" s="39"/>
    </row>
    <row r="36654">
      <c r="D36654" s="39"/>
      <c r="E36654" s="39"/>
      <c r="F36654" s="39"/>
    </row>
    <row r="36655">
      <c r="D36655" s="39"/>
      <c r="E36655" s="39"/>
      <c r="F36655" s="39"/>
    </row>
    <row r="36656">
      <c r="D36656" s="39"/>
      <c r="E36656" s="39"/>
      <c r="F36656" s="39"/>
    </row>
    <row r="36657">
      <c r="D36657" s="39"/>
      <c r="E36657" s="39"/>
      <c r="F36657" s="39"/>
    </row>
    <row r="36658">
      <c r="D36658" s="39"/>
      <c r="E36658" s="39"/>
      <c r="F36658" s="39"/>
    </row>
    <row r="36659">
      <c r="D36659" s="39"/>
      <c r="E36659" s="39"/>
      <c r="F36659" s="39"/>
    </row>
    <row r="36660">
      <c r="D36660" s="39"/>
      <c r="E36660" s="39"/>
      <c r="F36660" s="39"/>
    </row>
    <row r="36661">
      <c r="D36661" s="39"/>
      <c r="E36661" s="39"/>
      <c r="F36661" s="39"/>
    </row>
    <row r="36662">
      <c r="D36662" s="39"/>
      <c r="E36662" s="39"/>
      <c r="F36662" s="39"/>
    </row>
    <row r="36663">
      <c r="D36663" s="39"/>
      <c r="E36663" s="39"/>
      <c r="F36663" s="39"/>
    </row>
    <row r="36664">
      <c r="D36664" s="39"/>
      <c r="E36664" s="39"/>
      <c r="F36664" s="39"/>
    </row>
    <row r="36665">
      <c r="D36665" s="39"/>
      <c r="E36665" s="39"/>
      <c r="F36665" s="39"/>
    </row>
    <row r="36666">
      <c r="D36666" s="39"/>
      <c r="E36666" s="39"/>
      <c r="F36666" s="39"/>
    </row>
    <row r="36667">
      <c r="D36667" s="39"/>
      <c r="E36667" s="39"/>
      <c r="F36667" s="39"/>
    </row>
    <row r="36668">
      <c r="D36668" s="39"/>
      <c r="E36668" s="39"/>
      <c r="F36668" s="39"/>
    </row>
    <row r="36669">
      <c r="D36669" s="39"/>
      <c r="E36669" s="39"/>
      <c r="F36669" s="39"/>
    </row>
    <row r="36670">
      <c r="D36670" s="39"/>
      <c r="E36670" s="39"/>
      <c r="F36670" s="39"/>
    </row>
    <row r="36671">
      <c r="D36671" s="39"/>
      <c r="E36671" s="39"/>
      <c r="F36671" s="39"/>
    </row>
    <row r="36672">
      <c r="D36672" s="39"/>
      <c r="E36672" s="39"/>
      <c r="F36672" s="39"/>
    </row>
    <row r="36673">
      <c r="D36673" s="39"/>
      <c r="E36673" s="39"/>
      <c r="F36673" s="39"/>
    </row>
    <row r="36674">
      <c r="D36674" s="39"/>
      <c r="E36674" s="39"/>
      <c r="F36674" s="39"/>
    </row>
    <row r="36675">
      <c r="D36675" s="39"/>
      <c r="E36675" s="39"/>
      <c r="F36675" s="39"/>
    </row>
    <row r="36676">
      <c r="D36676" s="39"/>
      <c r="E36676" s="39"/>
      <c r="F36676" s="39"/>
    </row>
    <row r="36677">
      <c r="D36677" s="39"/>
      <c r="E36677" s="39"/>
      <c r="F36677" s="39"/>
    </row>
    <row r="36678">
      <c r="D36678" s="39"/>
      <c r="E36678" s="39"/>
      <c r="F36678" s="39"/>
    </row>
    <row r="36679">
      <c r="D36679" s="39"/>
      <c r="E36679" s="39"/>
      <c r="F36679" s="39"/>
    </row>
    <row r="36680">
      <c r="D36680" s="39"/>
      <c r="E36680" s="39"/>
      <c r="F36680" s="39"/>
    </row>
    <row r="36681">
      <c r="D36681" s="39"/>
      <c r="E36681" s="39"/>
      <c r="F36681" s="39"/>
    </row>
    <row r="36682">
      <c r="D36682" s="39"/>
      <c r="E36682" s="39"/>
      <c r="F36682" s="39"/>
    </row>
    <row r="36683">
      <c r="D36683" s="39"/>
      <c r="E36683" s="39"/>
      <c r="F36683" s="39"/>
    </row>
    <row r="36684">
      <c r="D36684" s="39"/>
      <c r="E36684" s="39"/>
      <c r="F36684" s="39"/>
    </row>
    <row r="36685">
      <c r="D36685" s="39"/>
      <c r="E36685" s="39"/>
      <c r="F36685" s="39"/>
    </row>
    <row r="36686">
      <c r="D36686" s="39"/>
      <c r="E36686" s="39"/>
      <c r="F36686" s="39"/>
    </row>
    <row r="36687">
      <c r="D36687" s="39"/>
      <c r="E36687" s="39"/>
      <c r="F36687" s="39"/>
    </row>
    <row r="36688">
      <c r="D36688" s="39"/>
      <c r="E36688" s="39"/>
      <c r="F36688" s="39"/>
    </row>
    <row r="36689">
      <c r="D36689" s="39"/>
      <c r="E36689" s="39"/>
      <c r="F36689" s="39"/>
    </row>
    <row r="36690">
      <c r="D36690" s="39"/>
      <c r="E36690" s="39"/>
      <c r="F36690" s="39"/>
    </row>
    <row r="36691">
      <c r="D36691" s="39"/>
      <c r="E36691" s="39"/>
      <c r="F36691" s="39"/>
    </row>
    <row r="36692">
      <c r="D36692" s="39"/>
      <c r="E36692" s="39"/>
      <c r="F36692" s="39"/>
    </row>
    <row r="36693">
      <c r="D36693" s="39"/>
      <c r="E36693" s="39"/>
      <c r="F36693" s="39"/>
    </row>
    <row r="36694">
      <c r="D36694" s="39"/>
      <c r="E36694" s="39"/>
      <c r="F36694" s="39"/>
    </row>
    <row r="36695">
      <c r="D36695" s="39"/>
      <c r="E36695" s="39"/>
      <c r="F36695" s="39"/>
    </row>
    <row r="36696">
      <c r="D36696" s="39"/>
      <c r="E36696" s="39"/>
      <c r="F36696" s="39"/>
    </row>
    <row r="36697">
      <c r="D36697" s="39"/>
      <c r="E36697" s="39"/>
      <c r="F36697" s="39"/>
    </row>
    <row r="36698">
      <c r="D36698" s="39"/>
      <c r="E36698" s="39"/>
      <c r="F36698" s="39"/>
    </row>
    <row r="36699">
      <c r="D36699" s="39"/>
      <c r="E36699" s="39"/>
      <c r="F36699" s="39"/>
    </row>
    <row r="36700">
      <c r="D36700" s="39"/>
      <c r="E36700" s="39"/>
      <c r="F36700" s="39"/>
    </row>
    <row r="36701">
      <c r="D36701" s="39"/>
      <c r="E36701" s="39"/>
      <c r="F36701" s="39"/>
    </row>
    <row r="36702">
      <c r="D36702" s="39"/>
      <c r="E36702" s="39"/>
      <c r="F36702" s="39"/>
    </row>
    <row r="36703">
      <c r="D36703" s="39"/>
      <c r="E36703" s="39"/>
      <c r="F36703" s="39"/>
    </row>
    <row r="36704">
      <c r="D36704" s="39"/>
      <c r="E36704" s="39"/>
      <c r="F36704" s="39"/>
    </row>
    <row r="36705">
      <c r="D36705" s="39"/>
      <c r="E36705" s="39"/>
      <c r="F36705" s="39"/>
    </row>
    <row r="36706">
      <c r="D36706" s="39"/>
      <c r="E36706" s="39"/>
      <c r="F36706" s="39"/>
    </row>
    <row r="36707">
      <c r="D36707" s="39"/>
      <c r="E36707" s="39"/>
      <c r="F36707" s="39"/>
    </row>
    <row r="36708">
      <c r="D36708" s="39"/>
      <c r="E36708" s="39"/>
      <c r="F36708" s="39"/>
    </row>
    <row r="36709">
      <c r="D36709" s="39"/>
      <c r="E36709" s="39"/>
      <c r="F36709" s="39"/>
    </row>
    <row r="36710">
      <c r="D36710" s="39"/>
      <c r="E36710" s="39"/>
      <c r="F36710" s="39"/>
    </row>
    <row r="36711">
      <c r="D36711" s="39"/>
      <c r="E36711" s="39"/>
      <c r="F36711" s="39"/>
    </row>
    <row r="36712">
      <c r="D36712" s="39"/>
      <c r="E36712" s="39"/>
      <c r="F36712" s="39"/>
    </row>
    <row r="36713">
      <c r="D36713" s="39"/>
      <c r="E36713" s="39"/>
      <c r="F36713" s="39"/>
    </row>
    <row r="36714">
      <c r="D36714" s="39"/>
      <c r="E36714" s="39"/>
      <c r="F36714" s="39"/>
    </row>
    <row r="36715">
      <c r="D36715" s="39"/>
      <c r="E36715" s="39"/>
      <c r="F36715" s="39"/>
    </row>
    <row r="36716">
      <c r="D36716" s="39"/>
      <c r="E36716" s="39"/>
      <c r="F36716" s="39"/>
    </row>
    <row r="36717">
      <c r="D36717" s="39"/>
      <c r="E36717" s="39"/>
      <c r="F36717" s="39"/>
    </row>
    <row r="36718">
      <c r="D36718" s="39"/>
      <c r="E36718" s="39"/>
      <c r="F36718" s="39"/>
    </row>
    <row r="36719">
      <c r="D36719" s="39"/>
      <c r="E36719" s="39"/>
      <c r="F36719" s="39"/>
    </row>
    <row r="36720">
      <c r="D36720" s="39"/>
      <c r="E36720" s="39"/>
      <c r="F36720" s="39"/>
    </row>
    <row r="36721">
      <c r="D36721" s="39"/>
      <c r="E36721" s="39"/>
      <c r="F36721" s="39"/>
    </row>
    <row r="36722">
      <c r="D36722" s="39"/>
      <c r="E36722" s="39"/>
      <c r="F36722" s="39"/>
    </row>
    <row r="36723">
      <c r="D36723" s="39"/>
      <c r="E36723" s="39"/>
      <c r="F36723" s="39"/>
    </row>
    <row r="36724">
      <c r="D36724" s="39"/>
      <c r="E36724" s="39"/>
      <c r="F36724" s="39"/>
    </row>
    <row r="36725">
      <c r="D36725" s="39"/>
      <c r="E36725" s="39"/>
      <c r="F36725" s="39"/>
    </row>
    <row r="36726">
      <c r="D36726" s="39"/>
      <c r="E36726" s="39"/>
      <c r="F36726" s="39"/>
    </row>
    <row r="36727">
      <c r="D36727" s="39"/>
      <c r="E36727" s="39"/>
      <c r="F36727" s="39"/>
    </row>
    <row r="36728">
      <c r="D36728" s="39"/>
      <c r="E36728" s="39"/>
      <c r="F36728" s="39"/>
    </row>
    <row r="36729">
      <c r="D36729" s="39"/>
      <c r="E36729" s="39"/>
      <c r="F36729" s="39"/>
    </row>
    <row r="36730">
      <c r="D36730" s="39"/>
      <c r="E36730" s="39"/>
      <c r="F36730" s="39"/>
    </row>
    <row r="36731">
      <c r="D36731" s="39"/>
      <c r="E36731" s="39"/>
      <c r="F36731" s="39"/>
    </row>
    <row r="36732">
      <c r="D36732" s="39"/>
      <c r="E36732" s="39"/>
      <c r="F36732" s="39"/>
    </row>
    <row r="36733">
      <c r="D36733" s="39"/>
      <c r="E36733" s="39"/>
      <c r="F36733" s="39"/>
    </row>
    <row r="36734">
      <c r="D36734" s="39"/>
      <c r="E36734" s="39"/>
      <c r="F36734" s="39"/>
    </row>
    <row r="36735">
      <c r="D36735" s="39"/>
      <c r="E36735" s="39"/>
      <c r="F36735" s="39"/>
    </row>
    <row r="36736">
      <c r="D36736" s="39"/>
      <c r="E36736" s="39"/>
      <c r="F36736" s="39"/>
    </row>
    <row r="36737">
      <c r="D36737" s="39"/>
      <c r="E36737" s="39"/>
      <c r="F36737" s="39"/>
    </row>
    <row r="36738">
      <c r="D36738" s="39"/>
      <c r="E36738" s="39"/>
      <c r="F36738" s="39"/>
    </row>
    <row r="36739">
      <c r="D36739" s="39"/>
      <c r="E36739" s="39"/>
      <c r="F36739" s="39"/>
    </row>
    <row r="36740">
      <c r="D36740" s="39"/>
      <c r="E36740" s="39"/>
      <c r="F36740" s="39"/>
    </row>
    <row r="36741">
      <c r="D36741" s="39"/>
      <c r="E36741" s="39"/>
      <c r="F36741" s="39"/>
    </row>
    <row r="36742">
      <c r="D36742" s="39"/>
      <c r="E36742" s="39"/>
      <c r="F36742" s="39"/>
    </row>
    <row r="36743">
      <c r="D36743" s="39"/>
      <c r="E36743" s="39"/>
      <c r="F36743" s="39"/>
    </row>
    <row r="36744">
      <c r="D36744" s="39"/>
      <c r="E36744" s="39"/>
      <c r="F36744" s="39"/>
    </row>
    <row r="36745">
      <c r="D36745" s="39"/>
      <c r="E36745" s="39"/>
      <c r="F36745" s="39"/>
    </row>
    <row r="36746">
      <c r="D36746" s="39"/>
      <c r="E36746" s="39"/>
      <c r="F36746" s="39"/>
    </row>
    <row r="36747">
      <c r="D36747" s="39"/>
      <c r="E36747" s="39"/>
      <c r="F36747" s="39"/>
    </row>
    <row r="36748">
      <c r="D36748" s="39"/>
      <c r="E36748" s="39"/>
      <c r="F36748" s="39"/>
    </row>
    <row r="36749">
      <c r="D36749" s="39"/>
      <c r="E36749" s="39"/>
      <c r="F36749" s="39"/>
    </row>
    <row r="36750">
      <c r="D36750" s="39"/>
      <c r="E36750" s="39"/>
      <c r="F36750" s="39"/>
    </row>
    <row r="36751">
      <c r="D36751" s="39"/>
      <c r="E36751" s="39"/>
      <c r="F36751" s="39"/>
    </row>
    <row r="36752">
      <c r="D36752" s="39"/>
      <c r="E36752" s="39"/>
      <c r="F36752" s="39"/>
    </row>
    <row r="36753">
      <c r="D36753" s="39"/>
      <c r="E36753" s="39"/>
      <c r="F36753" s="39"/>
    </row>
    <row r="36754">
      <c r="D36754" s="39"/>
      <c r="E36754" s="39"/>
      <c r="F36754" s="39"/>
    </row>
    <row r="36755">
      <c r="D36755" s="39"/>
      <c r="E36755" s="39"/>
      <c r="F36755" s="39"/>
    </row>
    <row r="36756">
      <c r="D36756" s="39"/>
      <c r="E36756" s="39"/>
      <c r="F36756" s="39"/>
    </row>
    <row r="36757">
      <c r="D36757" s="39"/>
      <c r="E36757" s="39"/>
      <c r="F36757" s="39"/>
    </row>
    <row r="36758">
      <c r="D36758" s="39"/>
      <c r="E36758" s="39"/>
      <c r="F36758" s="39"/>
    </row>
    <row r="36759">
      <c r="D36759" s="39"/>
      <c r="E36759" s="39"/>
      <c r="F36759" s="39"/>
    </row>
    <row r="36760">
      <c r="D36760" s="39"/>
      <c r="E36760" s="39"/>
      <c r="F36760" s="39"/>
    </row>
    <row r="36761">
      <c r="D36761" s="39"/>
      <c r="E36761" s="39"/>
      <c r="F36761" s="39"/>
    </row>
    <row r="36762">
      <c r="D36762" s="39"/>
      <c r="E36762" s="39"/>
      <c r="F36762" s="39"/>
    </row>
    <row r="36763">
      <c r="D36763" s="39"/>
      <c r="E36763" s="39"/>
      <c r="F36763" s="39"/>
    </row>
    <row r="36764">
      <c r="D36764" s="39"/>
      <c r="E36764" s="39"/>
      <c r="F36764" s="39"/>
    </row>
    <row r="36765">
      <c r="D36765" s="39"/>
      <c r="E36765" s="39"/>
      <c r="F36765" s="39"/>
    </row>
    <row r="36766">
      <c r="D36766" s="39"/>
      <c r="E36766" s="39"/>
      <c r="F36766" s="39"/>
    </row>
    <row r="36767">
      <c r="D36767" s="39"/>
      <c r="E36767" s="39"/>
      <c r="F36767" s="39"/>
    </row>
    <row r="36768">
      <c r="D36768" s="39"/>
      <c r="E36768" s="39"/>
      <c r="F36768" s="39"/>
    </row>
    <row r="36769">
      <c r="D36769" s="39"/>
      <c r="E36769" s="39"/>
      <c r="F36769" s="39"/>
    </row>
    <row r="36770">
      <c r="D36770" s="39"/>
      <c r="E36770" s="39"/>
      <c r="F36770" s="39"/>
    </row>
    <row r="36771">
      <c r="D36771" s="39"/>
      <c r="E36771" s="39"/>
      <c r="F36771" s="39"/>
    </row>
    <row r="36772">
      <c r="D36772" s="39"/>
      <c r="E36772" s="39"/>
      <c r="F36772" s="39"/>
    </row>
    <row r="36773">
      <c r="D36773" s="39"/>
      <c r="E36773" s="39"/>
      <c r="F36773" s="39"/>
    </row>
    <row r="36774">
      <c r="D36774" s="39"/>
      <c r="E36774" s="39"/>
      <c r="F36774" s="39"/>
    </row>
    <row r="36775">
      <c r="D36775" s="39"/>
      <c r="E36775" s="39"/>
      <c r="F36775" s="39"/>
    </row>
    <row r="36776">
      <c r="D36776" s="39"/>
      <c r="E36776" s="39"/>
      <c r="F36776" s="39"/>
    </row>
    <row r="36777">
      <c r="D36777" s="39"/>
      <c r="E36777" s="39"/>
      <c r="F36777" s="39"/>
    </row>
    <row r="36778">
      <c r="D36778" s="39"/>
      <c r="E36778" s="39"/>
      <c r="F36778" s="39"/>
    </row>
    <row r="36779">
      <c r="D36779" s="39"/>
      <c r="E36779" s="39"/>
      <c r="F36779" s="39"/>
    </row>
    <row r="36780">
      <c r="D36780" s="39"/>
      <c r="E36780" s="39"/>
      <c r="F36780" s="39"/>
    </row>
    <row r="36781">
      <c r="D36781" s="39"/>
      <c r="E36781" s="39"/>
      <c r="F36781" s="39"/>
    </row>
    <row r="36782">
      <c r="D36782" s="39"/>
      <c r="E36782" s="39"/>
      <c r="F36782" s="39"/>
    </row>
    <row r="36783">
      <c r="D36783" s="39"/>
      <c r="E36783" s="39"/>
      <c r="F36783" s="39"/>
    </row>
    <row r="36784">
      <c r="D36784" s="39"/>
      <c r="E36784" s="39"/>
      <c r="F36784" s="39"/>
    </row>
    <row r="36785">
      <c r="D36785" s="39"/>
      <c r="E36785" s="39"/>
      <c r="F36785" s="39"/>
    </row>
    <row r="36786">
      <c r="D36786" s="39"/>
      <c r="E36786" s="39"/>
      <c r="F36786" s="39"/>
    </row>
    <row r="36787">
      <c r="D36787" s="39"/>
      <c r="E36787" s="39"/>
      <c r="F36787" s="39"/>
    </row>
    <row r="36788">
      <c r="D36788" s="39"/>
      <c r="E36788" s="39"/>
      <c r="F36788" s="39"/>
    </row>
    <row r="36789">
      <c r="D36789" s="39"/>
      <c r="E36789" s="39"/>
      <c r="F36789" s="39"/>
    </row>
    <row r="36790">
      <c r="D36790" s="39"/>
      <c r="E36790" s="39"/>
      <c r="F36790" s="39"/>
    </row>
    <row r="36791">
      <c r="D36791" s="39"/>
      <c r="E36791" s="39"/>
      <c r="F36791" s="39"/>
    </row>
    <row r="36792">
      <c r="D36792" s="39"/>
      <c r="E36792" s="39"/>
      <c r="F36792" s="39"/>
    </row>
    <row r="36793">
      <c r="D36793" s="39"/>
      <c r="E36793" s="39"/>
      <c r="F36793" s="39"/>
    </row>
    <row r="36794">
      <c r="D36794" s="39"/>
      <c r="E36794" s="39"/>
      <c r="F36794" s="39"/>
    </row>
    <row r="36795">
      <c r="D36795" s="39"/>
      <c r="E36795" s="39"/>
      <c r="F36795" s="39"/>
    </row>
    <row r="36796">
      <c r="D36796" s="39"/>
      <c r="E36796" s="39"/>
      <c r="F36796" s="39"/>
    </row>
    <row r="36797">
      <c r="D36797" s="39"/>
      <c r="E36797" s="39"/>
      <c r="F36797" s="39"/>
    </row>
    <row r="36798">
      <c r="D36798" s="39"/>
      <c r="E36798" s="39"/>
      <c r="F36798" s="39"/>
    </row>
    <row r="36799">
      <c r="D36799" s="39"/>
      <c r="E36799" s="39"/>
      <c r="F36799" s="39"/>
    </row>
    <row r="36800">
      <c r="D36800" s="39"/>
      <c r="E36800" s="39"/>
      <c r="F36800" s="39"/>
    </row>
    <row r="36801">
      <c r="D36801" s="39"/>
      <c r="E36801" s="39"/>
      <c r="F36801" s="39"/>
    </row>
    <row r="36802">
      <c r="D36802" s="39"/>
      <c r="E36802" s="39"/>
      <c r="F36802" s="39"/>
    </row>
    <row r="36803">
      <c r="D36803" s="39"/>
      <c r="E36803" s="39"/>
      <c r="F36803" s="39"/>
    </row>
    <row r="36804">
      <c r="D36804" s="39"/>
      <c r="E36804" s="39"/>
      <c r="F36804" s="39"/>
    </row>
    <row r="36805">
      <c r="D36805" s="39"/>
      <c r="E36805" s="39"/>
      <c r="F36805" s="39"/>
    </row>
    <row r="36806">
      <c r="D36806" s="39"/>
      <c r="E36806" s="39"/>
      <c r="F36806" s="39"/>
    </row>
    <row r="36807">
      <c r="D36807" s="39"/>
      <c r="E36807" s="39"/>
      <c r="F36807" s="39"/>
    </row>
    <row r="36808">
      <c r="D36808" s="39"/>
      <c r="E36808" s="39"/>
      <c r="F36808" s="39"/>
    </row>
    <row r="36809">
      <c r="D36809" s="39"/>
      <c r="E36809" s="39"/>
      <c r="F36809" s="39"/>
    </row>
    <row r="36810">
      <c r="D36810" s="39"/>
      <c r="E36810" s="39"/>
      <c r="F36810" s="39"/>
    </row>
    <row r="36811">
      <c r="D36811" s="39"/>
      <c r="E36811" s="39"/>
      <c r="F36811" s="39"/>
    </row>
    <row r="36812">
      <c r="D36812" s="39"/>
      <c r="E36812" s="39"/>
      <c r="F36812" s="39"/>
    </row>
    <row r="36813">
      <c r="D36813" s="39"/>
      <c r="E36813" s="39"/>
      <c r="F36813" s="39"/>
    </row>
    <row r="36814">
      <c r="D36814" s="39"/>
      <c r="E36814" s="39"/>
      <c r="F36814" s="39"/>
    </row>
    <row r="36815">
      <c r="D36815" s="39"/>
      <c r="E36815" s="39"/>
      <c r="F36815" s="39"/>
    </row>
    <row r="36816">
      <c r="D36816" s="39"/>
      <c r="E36816" s="39"/>
      <c r="F36816" s="39"/>
    </row>
    <row r="36817">
      <c r="D36817" s="39"/>
      <c r="E36817" s="39"/>
      <c r="F36817" s="39"/>
    </row>
    <row r="36818">
      <c r="D36818" s="39"/>
      <c r="E36818" s="39"/>
      <c r="F36818" s="39"/>
    </row>
    <row r="36819">
      <c r="D36819" s="39"/>
      <c r="E36819" s="39"/>
      <c r="F36819" s="39"/>
    </row>
    <row r="36820">
      <c r="D36820" s="39"/>
      <c r="E36820" s="39"/>
      <c r="F36820" s="39"/>
    </row>
    <row r="36821">
      <c r="D36821" s="39"/>
      <c r="E36821" s="39"/>
      <c r="F36821" s="39"/>
    </row>
    <row r="36822">
      <c r="D36822" s="39"/>
      <c r="E36822" s="39"/>
      <c r="F36822" s="39"/>
    </row>
    <row r="36823">
      <c r="D36823" s="39"/>
      <c r="E36823" s="39"/>
      <c r="F36823" s="39"/>
    </row>
    <row r="36824">
      <c r="D36824" s="39"/>
      <c r="E36824" s="39"/>
      <c r="F36824" s="39"/>
    </row>
    <row r="36825">
      <c r="D36825" s="39"/>
      <c r="E36825" s="39"/>
      <c r="F36825" s="39"/>
    </row>
    <row r="36826">
      <c r="D36826" s="39"/>
      <c r="E36826" s="39"/>
      <c r="F36826" s="39"/>
    </row>
    <row r="36827">
      <c r="D36827" s="39"/>
      <c r="E36827" s="39"/>
      <c r="F36827" s="39"/>
    </row>
    <row r="36828">
      <c r="D36828" s="39"/>
      <c r="E36828" s="39"/>
      <c r="F36828" s="39"/>
    </row>
    <row r="36829">
      <c r="D36829" s="39"/>
      <c r="E36829" s="39"/>
      <c r="F36829" s="39"/>
    </row>
    <row r="36830">
      <c r="D36830" s="39"/>
      <c r="E36830" s="39"/>
      <c r="F36830" s="39"/>
    </row>
    <row r="36831">
      <c r="D36831" s="39"/>
      <c r="E36831" s="39"/>
      <c r="F36831" s="39"/>
    </row>
    <row r="36832">
      <c r="D36832" s="39"/>
      <c r="E36832" s="39"/>
      <c r="F36832" s="39"/>
    </row>
    <row r="36833">
      <c r="D36833" s="39"/>
      <c r="E36833" s="39"/>
      <c r="F36833" s="39"/>
    </row>
    <row r="36834">
      <c r="D36834" s="39"/>
      <c r="E36834" s="39"/>
      <c r="F36834" s="39"/>
    </row>
    <row r="36835">
      <c r="D36835" s="39"/>
      <c r="E36835" s="39"/>
      <c r="F36835" s="39"/>
    </row>
    <row r="36836">
      <c r="D36836" s="39"/>
      <c r="E36836" s="39"/>
      <c r="F36836" s="39"/>
    </row>
    <row r="36837">
      <c r="D36837" s="39"/>
      <c r="E36837" s="39"/>
      <c r="F36837" s="39"/>
    </row>
    <row r="36838">
      <c r="D36838" s="39"/>
      <c r="E36838" s="39"/>
      <c r="F36838" s="39"/>
    </row>
    <row r="36839">
      <c r="D36839" s="39"/>
      <c r="E36839" s="39"/>
      <c r="F36839" s="39"/>
    </row>
    <row r="36840">
      <c r="D36840" s="39"/>
      <c r="E36840" s="39"/>
      <c r="F36840" s="39"/>
    </row>
    <row r="36841">
      <c r="D36841" s="39"/>
      <c r="E36841" s="39"/>
      <c r="F36841" s="39"/>
    </row>
    <row r="36842">
      <c r="D36842" s="39"/>
      <c r="E36842" s="39"/>
      <c r="F36842" s="39"/>
    </row>
    <row r="36843">
      <c r="D36843" s="39"/>
      <c r="E36843" s="39"/>
      <c r="F36843" s="39"/>
    </row>
    <row r="36844">
      <c r="D36844" s="39"/>
      <c r="E36844" s="39"/>
      <c r="F36844" s="39"/>
    </row>
    <row r="36845">
      <c r="D36845" s="39"/>
      <c r="E36845" s="39"/>
      <c r="F36845" s="39"/>
    </row>
    <row r="36846">
      <c r="D36846" s="39"/>
      <c r="E36846" s="39"/>
      <c r="F36846" s="39"/>
    </row>
    <row r="36847">
      <c r="D36847" s="39"/>
      <c r="E36847" s="39"/>
      <c r="F36847" s="39"/>
    </row>
    <row r="36848">
      <c r="D36848" s="39"/>
      <c r="E36848" s="39"/>
      <c r="F36848" s="39"/>
    </row>
    <row r="36849">
      <c r="D36849" s="39"/>
      <c r="E36849" s="39"/>
      <c r="F36849" s="39"/>
    </row>
    <row r="36850">
      <c r="D36850" s="39"/>
      <c r="E36850" s="39"/>
      <c r="F36850" s="39"/>
    </row>
    <row r="36851">
      <c r="D36851" s="39"/>
      <c r="E36851" s="39"/>
      <c r="F36851" s="39"/>
    </row>
    <row r="36852">
      <c r="D36852" s="39"/>
      <c r="E36852" s="39"/>
      <c r="F36852" s="39"/>
    </row>
    <row r="36853">
      <c r="D36853" s="39"/>
      <c r="E36853" s="39"/>
      <c r="F36853" s="39"/>
    </row>
    <row r="36854">
      <c r="D36854" s="39"/>
      <c r="E36854" s="39"/>
      <c r="F36854" s="39"/>
    </row>
    <row r="36855">
      <c r="D36855" s="39"/>
      <c r="E36855" s="39"/>
      <c r="F36855" s="39"/>
    </row>
    <row r="36856">
      <c r="D36856" s="39"/>
      <c r="E36856" s="39"/>
      <c r="F36856" s="39"/>
    </row>
    <row r="36857">
      <c r="D36857" s="39"/>
      <c r="E36857" s="39"/>
      <c r="F36857" s="39"/>
    </row>
    <row r="36858">
      <c r="D36858" s="39"/>
      <c r="E36858" s="39"/>
      <c r="F36858" s="39"/>
    </row>
    <row r="36859">
      <c r="D36859" s="39"/>
      <c r="E36859" s="39"/>
      <c r="F36859" s="39"/>
    </row>
    <row r="36860">
      <c r="D36860" s="39"/>
      <c r="E36860" s="39"/>
      <c r="F36860" s="39"/>
    </row>
    <row r="36861">
      <c r="D36861" s="39"/>
      <c r="E36861" s="39"/>
      <c r="F36861" s="39"/>
    </row>
    <row r="36862">
      <c r="D36862" s="39"/>
      <c r="E36862" s="39"/>
      <c r="F36862" s="39"/>
    </row>
    <row r="36863">
      <c r="D36863" s="39"/>
      <c r="E36863" s="39"/>
      <c r="F36863" s="39"/>
    </row>
    <row r="36864">
      <c r="D36864" s="39"/>
      <c r="E36864" s="39"/>
      <c r="F36864" s="39"/>
    </row>
    <row r="36865">
      <c r="D36865" s="39"/>
      <c r="E36865" s="39"/>
      <c r="F36865" s="39"/>
    </row>
    <row r="36866">
      <c r="D36866" s="39"/>
      <c r="E36866" s="39"/>
      <c r="F36866" s="39"/>
    </row>
    <row r="36867">
      <c r="D36867" s="39"/>
      <c r="E36867" s="39"/>
      <c r="F36867" s="39"/>
    </row>
    <row r="36868">
      <c r="D36868" s="39"/>
      <c r="E36868" s="39"/>
      <c r="F36868" s="39"/>
    </row>
    <row r="36869">
      <c r="D36869" s="39"/>
      <c r="E36869" s="39"/>
      <c r="F36869" s="39"/>
    </row>
    <row r="36870">
      <c r="D36870" s="39"/>
      <c r="E36870" s="39"/>
      <c r="F36870" s="39"/>
    </row>
    <row r="36871">
      <c r="D36871" s="39"/>
      <c r="E36871" s="39"/>
      <c r="F36871" s="39"/>
    </row>
    <row r="36872">
      <c r="D36872" s="39"/>
      <c r="E36872" s="39"/>
      <c r="F36872" s="39"/>
    </row>
    <row r="36873">
      <c r="D36873" s="39"/>
      <c r="E36873" s="39"/>
      <c r="F36873" s="39"/>
    </row>
    <row r="36874">
      <c r="D36874" s="39"/>
      <c r="E36874" s="39"/>
      <c r="F36874" s="39"/>
    </row>
    <row r="36875">
      <c r="D36875" s="39"/>
      <c r="E36875" s="39"/>
      <c r="F36875" s="39"/>
    </row>
    <row r="36876">
      <c r="D36876" s="39"/>
      <c r="E36876" s="39"/>
      <c r="F36876" s="39"/>
    </row>
    <row r="36877">
      <c r="D36877" s="39"/>
      <c r="E36877" s="39"/>
      <c r="F36877" s="39"/>
    </row>
    <row r="36878">
      <c r="D36878" s="39"/>
      <c r="E36878" s="39"/>
      <c r="F36878" s="39"/>
    </row>
    <row r="36879">
      <c r="D36879" s="39"/>
      <c r="E36879" s="39"/>
      <c r="F36879" s="39"/>
    </row>
    <row r="36880">
      <c r="D36880" s="39"/>
      <c r="E36880" s="39"/>
      <c r="F36880" s="39"/>
    </row>
    <row r="36881">
      <c r="D36881" s="39"/>
      <c r="E36881" s="39"/>
      <c r="F36881" s="39"/>
    </row>
    <row r="36882">
      <c r="D36882" s="39"/>
      <c r="E36882" s="39"/>
      <c r="F36882" s="39"/>
    </row>
    <row r="36883">
      <c r="D36883" s="39"/>
      <c r="E36883" s="39"/>
      <c r="F36883" s="39"/>
    </row>
    <row r="36884">
      <c r="D36884" s="39"/>
      <c r="E36884" s="39"/>
      <c r="F36884" s="39"/>
    </row>
    <row r="36885">
      <c r="D36885" s="39"/>
      <c r="E36885" s="39"/>
      <c r="F36885" s="39"/>
    </row>
    <row r="36886">
      <c r="D36886" s="39"/>
      <c r="E36886" s="39"/>
      <c r="F36886" s="39"/>
    </row>
    <row r="36887">
      <c r="D36887" s="39"/>
      <c r="E36887" s="39"/>
      <c r="F36887" s="39"/>
    </row>
    <row r="36888">
      <c r="D36888" s="39"/>
      <c r="E36888" s="39"/>
      <c r="F36888" s="39"/>
    </row>
    <row r="36889">
      <c r="D36889" s="39"/>
      <c r="E36889" s="39"/>
      <c r="F36889" s="39"/>
    </row>
    <row r="36890">
      <c r="D36890" s="39"/>
      <c r="E36890" s="39"/>
      <c r="F36890" s="39"/>
    </row>
    <row r="36891">
      <c r="D36891" s="39"/>
      <c r="E36891" s="39"/>
      <c r="F36891" s="39"/>
    </row>
    <row r="36892">
      <c r="D36892" s="39"/>
      <c r="E36892" s="39"/>
      <c r="F36892" s="39"/>
    </row>
    <row r="36893">
      <c r="D36893" s="39"/>
      <c r="E36893" s="39"/>
      <c r="F36893" s="39"/>
    </row>
    <row r="36894">
      <c r="D36894" s="39"/>
      <c r="E36894" s="39"/>
      <c r="F36894" s="39"/>
    </row>
    <row r="36895">
      <c r="D36895" s="39"/>
      <c r="E36895" s="39"/>
      <c r="F36895" s="39"/>
    </row>
    <row r="36896">
      <c r="D36896" s="39"/>
      <c r="E36896" s="39"/>
      <c r="F36896" s="39"/>
    </row>
    <row r="36897">
      <c r="D36897" s="39"/>
      <c r="E36897" s="39"/>
      <c r="F36897" s="39"/>
    </row>
    <row r="36898">
      <c r="D36898" s="39"/>
      <c r="E36898" s="39"/>
      <c r="F36898" s="39"/>
    </row>
    <row r="36899">
      <c r="D36899" s="39"/>
      <c r="E36899" s="39"/>
      <c r="F36899" s="39"/>
    </row>
    <row r="36900">
      <c r="D36900" s="39"/>
      <c r="E36900" s="39"/>
      <c r="F36900" s="39"/>
    </row>
    <row r="36901">
      <c r="D36901" s="39"/>
      <c r="E36901" s="39"/>
      <c r="F36901" s="39"/>
    </row>
    <row r="36902">
      <c r="D36902" s="39"/>
      <c r="E36902" s="39"/>
      <c r="F36902" s="39"/>
    </row>
    <row r="36903">
      <c r="D36903" s="39"/>
      <c r="E36903" s="39"/>
      <c r="F36903" s="39"/>
    </row>
    <row r="36904">
      <c r="D36904" s="39"/>
      <c r="E36904" s="39"/>
      <c r="F36904" s="39"/>
    </row>
    <row r="36905">
      <c r="D36905" s="39"/>
      <c r="E36905" s="39"/>
      <c r="F36905" s="39"/>
    </row>
    <row r="36906">
      <c r="D36906" s="39"/>
      <c r="E36906" s="39"/>
      <c r="F36906" s="39"/>
    </row>
    <row r="36907">
      <c r="D36907" s="39"/>
      <c r="E36907" s="39"/>
      <c r="F36907" s="39"/>
    </row>
    <row r="36908">
      <c r="D36908" s="39"/>
      <c r="E36908" s="39"/>
      <c r="F36908" s="39"/>
    </row>
    <row r="36909">
      <c r="D36909" s="39"/>
      <c r="E36909" s="39"/>
      <c r="F36909" s="39"/>
    </row>
    <row r="36910">
      <c r="D36910" s="39"/>
      <c r="E36910" s="39"/>
      <c r="F36910" s="39"/>
    </row>
    <row r="36911">
      <c r="D36911" s="39"/>
      <c r="E36911" s="39"/>
      <c r="F36911" s="39"/>
    </row>
    <row r="36912">
      <c r="D36912" s="39"/>
      <c r="E36912" s="39"/>
      <c r="F36912" s="39"/>
    </row>
    <row r="36913">
      <c r="D36913" s="39"/>
      <c r="E36913" s="39"/>
      <c r="F36913" s="39"/>
    </row>
    <row r="36914">
      <c r="D36914" s="39"/>
      <c r="E36914" s="39"/>
      <c r="F36914" s="39"/>
    </row>
    <row r="36915">
      <c r="D36915" s="39"/>
      <c r="E36915" s="39"/>
      <c r="F36915" s="39"/>
    </row>
    <row r="36916">
      <c r="D36916" s="39"/>
      <c r="E36916" s="39"/>
      <c r="F36916" s="39"/>
    </row>
    <row r="36917">
      <c r="D36917" s="39"/>
      <c r="E36917" s="39"/>
      <c r="F36917" s="39"/>
    </row>
    <row r="36918">
      <c r="D36918" s="39"/>
      <c r="E36918" s="39"/>
      <c r="F36918" s="39"/>
    </row>
    <row r="36919">
      <c r="D36919" s="39"/>
      <c r="E36919" s="39"/>
      <c r="F36919" s="39"/>
    </row>
    <row r="36920">
      <c r="D36920" s="39"/>
      <c r="E36920" s="39"/>
      <c r="F36920" s="39"/>
    </row>
    <row r="36921">
      <c r="D36921" s="39"/>
      <c r="E36921" s="39"/>
      <c r="F36921" s="39"/>
    </row>
    <row r="36922">
      <c r="D36922" s="39"/>
      <c r="E36922" s="39"/>
      <c r="F36922" s="39"/>
    </row>
    <row r="36923">
      <c r="D36923" s="39"/>
      <c r="E36923" s="39"/>
      <c r="F36923" s="39"/>
    </row>
    <row r="36924">
      <c r="D36924" s="39"/>
      <c r="E36924" s="39"/>
      <c r="F36924" s="39"/>
    </row>
    <row r="36925">
      <c r="D36925" s="39"/>
      <c r="E36925" s="39"/>
      <c r="F36925" s="39"/>
    </row>
    <row r="36926">
      <c r="D36926" s="39"/>
      <c r="E36926" s="39"/>
      <c r="F36926" s="39"/>
    </row>
    <row r="36927">
      <c r="D36927" s="39"/>
      <c r="E36927" s="39"/>
      <c r="F36927" s="39"/>
    </row>
    <row r="36928">
      <c r="D36928" s="39"/>
      <c r="E36928" s="39"/>
      <c r="F36928" s="39"/>
    </row>
    <row r="36929">
      <c r="D36929" s="39"/>
      <c r="E36929" s="39"/>
      <c r="F36929" s="39"/>
    </row>
    <row r="36930">
      <c r="D36930" s="39"/>
      <c r="E36930" s="39"/>
      <c r="F36930" s="39"/>
    </row>
    <row r="36931">
      <c r="D36931" s="39"/>
      <c r="E36931" s="39"/>
      <c r="F36931" s="39"/>
    </row>
    <row r="36932">
      <c r="D36932" s="39"/>
      <c r="E36932" s="39"/>
      <c r="F36932" s="39"/>
    </row>
    <row r="36933">
      <c r="D36933" s="39"/>
      <c r="E36933" s="39"/>
      <c r="F36933" s="39"/>
    </row>
    <row r="36934">
      <c r="D36934" s="39"/>
      <c r="E36934" s="39"/>
      <c r="F36934" s="39"/>
    </row>
    <row r="36935">
      <c r="D36935" s="39"/>
      <c r="E36935" s="39"/>
      <c r="F36935" s="39"/>
    </row>
    <row r="36936">
      <c r="D36936" s="39"/>
      <c r="E36936" s="39"/>
      <c r="F36936" s="39"/>
    </row>
    <row r="36937">
      <c r="D36937" s="39"/>
      <c r="E36937" s="39"/>
      <c r="F36937" s="39"/>
    </row>
    <row r="36938">
      <c r="D36938" s="39"/>
      <c r="E36938" s="39"/>
      <c r="F36938" s="39"/>
    </row>
    <row r="36939">
      <c r="D36939" s="39"/>
      <c r="E36939" s="39"/>
      <c r="F36939" s="39"/>
    </row>
    <row r="36940">
      <c r="D36940" s="39"/>
      <c r="E36940" s="39"/>
      <c r="F36940" s="39"/>
    </row>
    <row r="36941">
      <c r="D36941" s="39"/>
      <c r="E36941" s="39"/>
      <c r="F36941" s="39"/>
    </row>
    <row r="36942">
      <c r="D36942" s="39"/>
      <c r="E36942" s="39"/>
      <c r="F36942" s="39"/>
    </row>
    <row r="36943">
      <c r="D36943" s="39"/>
      <c r="E36943" s="39"/>
      <c r="F36943" s="39"/>
    </row>
    <row r="36944">
      <c r="D36944" s="39"/>
      <c r="E36944" s="39"/>
      <c r="F36944" s="39"/>
    </row>
    <row r="36945">
      <c r="D36945" s="39"/>
      <c r="E36945" s="39"/>
      <c r="F36945" s="39"/>
    </row>
    <row r="36946">
      <c r="D36946" s="39"/>
      <c r="E36946" s="39"/>
      <c r="F36946" s="39"/>
    </row>
    <row r="36947">
      <c r="D36947" s="39"/>
      <c r="E36947" s="39"/>
      <c r="F36947" s="39"/>
    </row>
    <row r="36948">
      <c r="D36948" s="39"/>
      <c r="E36948" s="39"/>
      <c r="F36948" s="39"/>
    </row>
    <row r="36949">
      <c r="D36949" s="39"/>
      <c r="E36949" s="39"/>
      <c r="F36949" s="39"/>
    </row>
    <row r="36950">
      <c r="D36950" s="39"/>
      <c r="E36950" s="39"/>
      <c r="F36950" s="39"/>
    </row>
    <row r="36951">
      <c r="D36951" s="39"/>
      <c r="E36951" s="39"/>
      <c r="F36951" s="39"/>
    </row>
    <row r="36952">
      <c r="D36952" s="39"/>
      <c r="E36952" s="39"/>
      <c r="F36952" s="39"/>
    </row>
    <row r="36953">
      <c r="D36953" s="39"/>
      <c r="E36953" s="39"/>
      <c r="F36953" s="39"/>
    </row>
    <row r="36954">
      <c r="D36954" s="39"/>
      <c r="E36954" s="39"/>
      <c r="F36954" s="39"/>
    </row>
    <row r="36955">
      <c r="D36955" s="39"/>
      <c r="E36955" s="39"/>
      <c r="F36955" s="39"/>
    </row>
    <row r="36956">
      <c r="D36956" s="39"/>
      <c r="E36956" s="39"/>
      <c r="F36956" s="39"/>
    </row>
    <row r="36957">
      <c r="D36957" s="39"/>
      <c r="E36957" s="39"/>
      <c r="F36957" s="39"/>
    </row>
    <row r="36958">
      <c r="D36958" s="39"/>
      <c r="E36958" s="39"/>
      <c r="F36958" s="39"/>
    </row>
    <row r="36959">
      <c r="D36959" s="39"/>
      <c r="E36959" s="39"/>
      <c r="F36959" s="39"/>
    </row>
    <row r="36960">
      <c r="D36960" s="39"/>
      <c r="E36960" s="39"/>
      <c r="F36960" s="39"/>
    </row>
    <row r="36961">
      <c r="D36961" s="39"/>
      <c r="E36961" s="39"/>
      <c r="F36961" s="39"/>
    </row>
    <row r="36962">
      <c r="D36962" s="39"/>
      <c r="E36962" s="39"/>
      <c r="F36962" s="39"/>
    </row>
    <row r="36963">
      <c r="D36963" s="39"/>
      <c r="E36963" s="39"/>
      <c r="F36963" s="39"/>
    </row>
    <row r="36964">
      <c r="D36964" s="39"/>
      <c r="E36964" s="39"/>
      <c r="F36964" s="39"/>
    </row>
    <row r="36965">
      <c r="D36965" s="39"/>
      <c r="E36965" s="39"/>
      <c r="F36965" s="39"/>
    </row>
    <row r="36966">
      <c r="D36966" s="39"/>
      <c r="E36966" s="39"/>
      <c r="F36966" s="39"/>
    </row>
    <row r="36967">
      <c r="D36967" s="39"/>
      <c r="E36967" s="39"/>
      <c r="F36967" s="39"/>
    </row>
    <row r="36968">
      <c r="D36968" s="39"/>
      <c r="E36968" s="39"/>
      <c r="F36968" s="39"/>
    </row>
    <row r="36969">
      <c r="D36969" s="39"/>
      <c r="E36969" s="39"/>
      <c r="F36969" s="39"/>
    </row>
    <row r="36970">
      <c r="D36970" s="39"/>
      <c r="E36970" s="39"/>
      <c r="F36970" s="39"/>
    </row>
    <row r="36971">
      <c r="D36971" s="39"/>
      <c r="E36971" s="39"/>
      <c r="F36971" s="39"/>
    </row>
    <row r="36972">
      <c r="D36972" s="39"/>
      <c r="E36972" s="39"/>
      <c r="F36972" s="39"/>
    </row>
    <row r="36973">
      <c r="D36973" s="39"/>
      <c r="E36973" s="39"/>
      <c r="F36973" s="39"/>
    </row>
    <row r="36974">
      <c r="D36974" s="39"/>
      <c r="E36974" s="39"/>
      <c r="F36974" s="39"/>
    </row>
    <row r="36975">
      <c r="D36975" s="39"/>
      <c r="E36975" s="39"/>
      <c r="F36975" s="39"/>
    </row>
    <row r="36976">
      <c r="D36976" s="39"/>
      <c r="E36976" s="39"/>
      <c r="F36976" s="39"/>
    </row>
    <row r="36977">
      <c r="D36977" s="39"/>
      <c r="E36977" s="39"/>
      <c r="F36977" s="39"/>
    </row>
    <row r="36978">
      <c r="D36978" s="39"/>
      <c r="E36978" s="39"/>
      <c r="F36978" s="39"/>
    </row>
    <row r="36979">
      <c r="D36979" s="39"/>
      <c r="E36979" s="39"/>
      <c r="F36979" s="39"/>
    </row>
    <row r="36980">
      <c r="D36980" s="39"/>
      <c r="E36980" s="39"/>
      <c r="F36980" s="39"/>
    </row>
    <row r="36981">
      <c r="D36981" s="39"/>
      <c r="E36981" s="39"/>
      <c r="F36981" s="39"/>
    </row>
    <row r="36982">
      <c r="D36982" s="39"/>
      <c r="E36982" s="39"/>
      <c r="F36982" s="39"/>
    </row>
    <row r="36983">
      <c r="D36983" s="39"/>
      <c r="E36983" s="39"/>
      <c r="F36983" s="39"/>
    </row>
    <row r="36984">
      <c r="D36984" s="39"/>
      <c r="E36984" s="39"/>
      <c r="F36984" s="39"/>
    </row>
    <row r="36985">
      <c r="D36985" s="39"/>
      <c r="E36985" s="39"/>
      <c r="F36985" s="39"/>
    </row>
    <row r="36986">
      <c r="D36986" s="39"/>
      <c r="E36986" s="39"/>
      <c r="F36986" s="39"/>
    </row>
    <row r="36987">
      <c r="D36987" s="39"/>
      <c r="E36987" s="39"/>
      <c r="F36987" s="39"/>
    </row>
    <row r="36988">
      <c r="D36988" s="39"/>
      <c r="E36988" s="39"/>
      <c r="F36988" s="39"/>
    </row>
    <row r="36989">
      <c r="D36989" s="39"/>
      <c r="E36989" s="39"/>
      <c r="F36989" s="39"/>
    </row>
    <row r="36990">
      <c r="D36990" s="39"/>
      <c r="E36990" s="39"/>
      <c r="F36990" s="39"/>
    </row>
    <row r="36991">
      <c r="D36991" s="39"/>
      <c r="E36991" s="39"/>
      <c r="F36991" s="39"/>
    </row>
    <row r="36992">
      <c r="D36992" s="39"/>
      <c r="E36992" s="39"/>
      <c r="F36992" s="39"/>
    </row>
    <row r="36993">
      <c r="D36993" s="39"/>
      <c r="E36993" s="39"/>
      <c r="F36993" s="39"/>
    </row>
    <row r="36994">
      <c r="D36994" s="39"/>
      <c r="E36994" s="39"/>
      <c r="F36994" s="39"/>
    </row>
    <row r="36995">
      <c r="D36995" s="39"/>
      <c r="E36995" s="39"/>
      <c r="F36995" s="39"/>
    </row>
    <row r="36996">
      <c r="D36996" s="39"/>
      <c r="E36996" s="39"/>
      <c r="F36996" s="39"/>
    </row>
    <row r="36997">
      <c r="D36997" s="39"/>
      <c r="E36997" s="39"/>
      <c r="F36997" s="39"/>
    </row>
    <row r="36998">
      <c r="D36998" s="39"/>
      <c r="E36998" s="39"/>
      <c r="F36998" s="39"/>
    </row>
    <row r="36999">
      <c r="D36999" s="39"/>
      <c r="E36999" s="39"/>
      <c r="F36999" s="39"/>
    </row>
    <row r="37000">
      <c r="D37000" s="39"/>
      <c r="E37000" s="39"/>
      <c r="F37000" s="39"/>
    </row>
    <row r="37001">
      <c r="D37001" s="39"/>
      <c r="E37001" s="39"/>
      <c r="F37001" s="39"/>
    </row>
    <row r="37002">
      <c r="D37002" s="39"/>
      <c r="E37002" s="39"/>
      <c r="F37002" s="39"/>
    </row>
    <row r="37003">
      <c r="D37003" s="39"/>
      <c r="E37003" s="39"/>
      <c r="F37003" s="39"/>
    </row>
    <row r="37004">
      <c r="D37004" s="39"/>
      <c r="E37004" s="39"/>
      <c r="F37004" s="39"/>
    </row>
    <row r="37005">
      <c r="D37005" s="39"/>
      <c r="E37005" s="39"/>
      <c r="F37005" s="39"/>
    </row>
    <row r="37006">
      <c r="D37006" s="39"/>
      <c r="E37006" s="39"/>
      <c r="F37006" s="39"/>
    </row>
    <row r="37007">
      <c r="D37007" s="39"/>
      <c r="E37007" s="39"/>
      <c r="F37007" s="39"/>
    </row>
    <row r="37008">
      <c r="D37008" s="39"/>
      <c r="E37008" s="39"/>
      <c r="F37008" s="39"/>
    </row>
    <row r="37009">
      <c r="D37009" s="39"/>
      <c r="E37009" s="39"/>
      <c r="F37009" s="39"/>
    </row>
    <row r="37010">
      <c r="D37010" s="39"/>
      <c r="E37010" s="39"/>
      <c r="F37010" s="39"/>
    </row>
    <row r="37011">
      <c r="D37011" s="39"/>
      <c r="E37011" s="39"/>
      <c r="F37011" s="39"/>
    </row>
    <row r="37012">
      <c r="D37012" s="39"/>
      <c r="E37012" s="39"/>
      <c r="F37012" s="39"/>
    </row>
    <row r="37013">
      <c r="D37013" s="39"/>
      <c r="E37013" s="39"/>
      <c r="F37013" s="39"/>
    </row>
    <row r="37014">
      <c r="D37014" s="39"/>
      <c r="E37014" s="39"/>
      <c r="F37014" s="39"/>
    </row>
    <row r="37015">
      <c r="D37015" s="39"/>
      <c r="E37015" s="39"/>
      <c r="F37015" s="39"/>
    </row>
    <row r="37016">
      <c r="D37016" s="39"/>
      <c r="E37016" s="39"/>
      <c r="F37016" s="39"/>
    </row>
    <row r="37017">
      <c r="D37017" s="39"/>
      <c r="E37017" s="39"/>
      <c r="F37017" s="39"/>
    </row>
    <row r="37018">
      <c r="D37018" s="39"/>
      <c r="E37018" s="39"/>
      <c r="F37018" s="39"/>
    </row>
    <row r="37019">
      <c r="D37019" s="39"/>
      <c r="E37019" s="39"/>
      <c r="F37019" s="39"/>
    </row>
    <row r="37020">
      <c r="D37020" s="39"/>
      <c r="E37020" s="39"/>
      <c r="F37020" s="39"/>
    </row>
    <row r="37021">
      <c r="D37021" s="39"/>
      <c r="E37021" s="39"/>
      <c r="F37021" s="39"/>
    </row>
    <row r="37022">
      <c r="D37022" s="39"/>
      <c r="E37022" s="39"/>
      <c r="F37022" s="39"/>
    </row>
    <row r="37023">
      <c r="D37023" s="39"/>
      <c r="E37023" s="39"/>
      <c r="F37023" s="39"/>
    </row>
    <row r="37024">
      <c r="D37024" s="39"/>
      <c r="E37024" s="39"/>
      <c r="F37024" s="39"/>
    </row>
    <row r="37025">
      <c r="D37025" s="39"/>
      <c r="E37025" s="39"/>
      <c r="F37025" s="39"/>
    </row>
    <row r="37026">
      <c r="D37026" s="39"/>
      <c r="E37026" s="39"/>
      <c r="F37026" s="39"/>
    </row>
    <row r="37027">
      <c r="D37027" s="39"/>
      <c r="E37027" s="39"/>
      <c r="F37027" s="39"/>
    </row>
    <row r="37028">
      <c r="D37028" s="39"/>
      <c r="E37028" s="39"/>
      <c r="F37028" s="39"/>
    </row>
    <row r="37029">
      <c r="D37029" s="39"/>
      <c r="E37029" s="39"/>
      <c r="F37029" s="39"/>
    </row>
    <row r="37030">
      <c r="D37030" s="39"/>
      <c r="E37030" s="39"/>
      <c r="F37030" s="39"/>
    </row>
    <row r="37031">
      <c r="D37031" s="39"/>
      <c r="E37031" s="39"/>
      <c r="F37031" s="39"/>
    </row>
    <row r="37032">
      <c r="D37032" s="39"/>
      <c r="E37032" s="39"/>
      <c r="F37032" s="39"/>
    </row>
    <row r="37033">
      <c r="D37033" s="39"/>
      <c r="E37033" s="39"/>
      <c r="F37033" s="39"/>
    </row>
    <row r="37034">
      <c r="D37034" s="39"/>
      <c r="E37034" s="39"/>
      <c r="F37034" s="39"/>
    </row>
    <row r="37035">
      <c r="D37035" s="39"/>
      <c r="E37035" s="39"/>
      <c r="F37035" s="39"/>
    </row>
    <row r="37036">
      <c r="D37036" s="39"/>
      <c r="E37036" s="39"/>
      <c r="F37036" s="39"/>
    </row>
    <row r="37037">
      <c r="D37037" s="39"/>
      <c r="E37037" s="39"/>
      <c r="F37037" s="39"/>
    </row>
    <row r="37038">
      <c r="D37038" s="39"/>
      <c r="E37038" s="39"/>
      <c r="F37038" s="39"/>
    </row>
    <row r="37039">
      <c r="D37039" s="39"/>
      <c r="E37039" s="39"/>
      <c r="F37039" s="39"/>
    </row>
    <row r="37040">
      <c r="D37040" s="39"/>
      <c r="E37040" s="39"/>
      <c r="F37040" s="39"/>
    </row>
    <row r="37041">
      <c r="D37041" s="39"/>
      <c r="E37041" s="39"/>
      <c r="F37041" s="39"/>
    </row>
    <row r="37042">
      <c r="D37042" s="39"/>
      <c r="E37042" s="39"/>
      <c r="F37042" s="39"/>
    </row>
    <row r="37043">
      <c r="D37043" s="39"/>
      <c r="E37043" s="39"/>
      <c r="F37043" s="39"/>
    </row>
    <row r="37044">
      <c r="D37044" s="39"/>
      <c r="E37044" s="39"/>
      <c r="F37044" s="39"/>
    </row>
    <row r="37045">
      <c r="D37045" s="39"/>
      <c r="E37045" s="39"/>
      <c r="F37045" s="39"/>
    </row>
    <row r="37046">
      <c r="D37046" s="39"/>
      <c r="E37046" s="39"/>
      <c r="F37046" s="39"/>
    </row>
    <row r="37047">
      <c r="D37047" s="39"/>
      <c r="E37047" s="39"/>
      <c r="F37047" s="39"/>
    </row>
    <row r="37048">
      <c r="D37048" s="39"/>
      <c r="E37048" s="39"/>
      <c r="F37048" s="39"/>
    </row>
    <row r="37049">
      <c r="D37049" s="39"/>
      <c r="E37049" s="39"/>
      <c r="F37049" s="39"/>
    </row>
    <row r="37050">
      <c r="D37050" s="39"/>
      <c r="E37050" s="39"/>
      <c r="F37050" s="39"/>
    </row>
    <row r="37051">
      <c r="D37051" s="39"/>
      <c r="E37051" s="39"/>
      <c r="F37051" s="39"/>
    </row>
    <row r="37052">
      <c r="D37052" s="39"/>
      <c r="E37052" s="39"/>
      <c r="F37052" s="39"/>
    </row>
    <row r="37053">
      <c r="D37053" s="39"/>
      <c r="E37053" s="39"/>
      <c r="F37053" s="39"/>
    </row>
    <row r="37054">
      <c r="D37054" s="39"/>
      <c r="E37054" s="39"/>
      <c r="F37054" s="39"/>
    </row>
    <row r="37055">
      <c r="D37055" s="39"/>
      <c r="E37055" s="39"/>
      <c r="F37055" s="39"/>
    </row>
    <row r="37056">
      <c r="D37056" s="39"/>
      <c r="E37056" s="39"/>
      <c r="F37056" s="39"/>
    </row>
    <row r="37057">
      <c r="D37057" s="39"/>
      <c r="E37057" s="39"/>
      <c r="F37057" s="39"/>
    </row>
    <row r="37058">
      <c r="D37058" s="39"/>
      <c r="E37058" s="39"/>
      <c r="F37058" s="39"/>
    </row>
    <row r="37059">
      <c r="D37059" s="39"/>
      <c r="E37059" s="39"/>
      <c r="F37059" s="39"/>
    </row>
    <row r="37060">
      <c r="D37060" s="39"/>
      <c r="E37060" s="39"/>
      <c r="F37060" s="39"/>
    </row>
    <row r="37061">
      <c r="D37061" s="39"/>
      <c r="E37061" s="39"/>
      <c r="F37061" s="39"/>
    </row>
    <row r="37062">
      <c r="D37062" s="39"/>
      <c r="E37062" s="39"/>
      <c r="F37062" s="39"/>
    </row>
    <row r="37063">
      <c r="D37063" s="39"/>
      <c r="E37063" s="39"/>
      <c r="F37063" s="39"/>
    </row>
    <row r="37064">
      <c r="D37064" s="39"/>
      <c r="E37064" s="39"/>
      <c r="F37064" s="39"/>
    </row>
    <row r="37065">
      <c r="D37065" s="39"/>
      <c r="E37065" s="39"/>
      <c r="F37065" s="39"/>
    </row>
    <row r="37066">
      <c r="D37066" s="39"/>
      <c r="E37066" s="39"/>
      <c r="F37066" s="39"/>
    </row>
    <row r="37067">
      <c r="D37067" s="39"/>
      <c r="E37067" s="39"/>
      <c r="F37067" s="39"/>
    </row>
    <row r="37068">
      <c r="D37068" s="39"/>
      <c r="E37068" s="39"/>
      <c r="F37068" s="39"/>
    </row>
    <row r="37069">
      <c r="D37069" s="39"/>
      <c r="E37069" s="39"/>
      <c r="F37069" s="39"/>
    </row>
    <row r="37070">
      <c r="D37070" s="39"/>
      <c r="E37070" s="39"/>
      <c r="F37070" s="39"/>
    </row>
    <row r="37071">
      <c r="D37071" s="39"/>
      <c r="E37071" s="39"/>
      <c r="F37071" s="39"/>
    </row>
    <row r="37072">
      <c r="D37072" s="39"/>
      <c r="E37072" s="39"/>
      <c r="F37072" s="39"/>
    </row>
    <row r="37073">
      <c r="D37073" s="39"/>
      <c r="E37073" s="39"/>
      <c r="F37073" s="39"/>
    </row>
    <row r="37074">
      <c r="D37074" s="39"/>
      <c r="E37074" s="39"/>
      <c r="F37074" s="39"/>
    </row>
    <row r="37075">
      <c r="D37075" s="39"/>
      <c r="E37075" s="39"/>
      <c r="F37075" s="39"/>
    </row>
    <row r="37076">
      <c r="D37076" s="39"/>
      <c r="E37076" s="39"/>
      <c r="F37076" s="39"/>
    </row>
    <row r="37077">
      <c r="D37077" s="39"/>
      <c r="E37077" s="39"/>
      <c r="F37077" s="39"/>
    </row>
    <row r="37078">
      <c r="D37078" s="39"/>
      <c r="E37078" s="39"/>
      <c r="F37078" s="39"/>
    </row>
    <row r="37079">
      <c r="D37079" s="39"/>
      <c r="E37079" s="39"/>
      <c r="F37079" s="39"/>
    </row>
    <row r="37080">
      <c r="D37080" s="39"/>
      <c r="E37080" s="39"/>
      <c r="F37080" s="39"/>
    </row>
    <row r="37081">
      <c r="D37081" s="39"/>
      <c r="E37081" s="39"/>
      <c r="F37081" s="39"/>
    </row>
    <row r="37082">
      <c r="D37082" s="39"/>
      <c r="E37082" s="39"/>
      <c r="F37082" s="39"/>
    </row>
    <row r="37083">
      <c r="D37083" s="39"/>
      <c r="E37083" s="39"/>
      <c r="F37083" s="39"/>
    </row>
    <row r="37084">
      <c r="D37084" s="39"/>
      <c r="E37084" s="39"/>
      <c r="F37084" s="39"/>
    </row>
    <row r="37085">
      <c r="D37085" s="39"/>
      <c r="E37085" s="39"/>
      <c r="F37085" s="39"/>
    </row>
    <row r="37086">
      <c r="D37086" s="39"/>
      <c r="E37086" s="39"/>
      <c r="F37086" s="39"/>
    </row>
    <row r="37087">
      <c r="D37087" s="39"/>
      <c r="E37087" s="39"/>
      <c r="F37087" s="39"/>
    </row>
    <row r="37088">
      <c r="D37088" s="39"/>
      <c r="E37088" s="39"/>
      <c r="F37088" s="39"/>
    </row>
    <row r="37089">
      <c r="D37089" s="39"/>
      <c r="E37089" s="39"/>
      <c r="F37089" s="39"/>
    </row>
    <row r="37090">
      <c r="D37090" s="39"/>
      <c r="E37090" s="39"/>
      <c r="F37090" s="39"/>
    </row>
    <row r="37091">
      <c r="D37091" s="39"/>
      <c r="E37091" s="39"/>
      <c r="F37091" s="39"/>
    </row>
    <row r="37092">
      <c r="D37092" s="39"/>
      <c r="E37092" s="39"/>
      <c r="F37092" s="39"/>
    </row>
    <row r="37093">
      <c r="D37093" s="39"/>
      <c r="E37093" s="39"/>
      <c r="F37093" s="39"/>
    </row>
    <row r="37094">
      <c r="D37094" s="39"/>
      <c r="E37094" s="39"/>
      <c r="F37094" s="39"/>
    </row>
    <row r="37095">
      <c r="D37095" s="39"/>
      <c r="E37095" s="39"/>
      <c r="F37095" s="39"/>
    </row>
    <row r="37096">
      <c r="D37096" s="39"/>
      <c r="E37096" s="39"/>
      <c r="F37096" s="39"/>
    </row>
    <row r="37097">
      <c r="D37097" s="39"/>
      <c r="E37097" s="39"/>
      <c r="F37097" s="39"/>
    </row>
    <row r="37098">
      <c r="D37098" s="39"/>
      <c r="E37098" s="39"/>
      <c r="F37098" s="39"/>
    </row>
    <row r="37099">
      <c r="D37099" s="39"/>
      <c r="E37099" s="39"/>
      <c r="F37099" s="39"/>
    </row>
    <row r="37100">
      <c r="D37100" s="39"/>
      <c r="E37100" s="39"/>
      <c r="F37100" s="39"/>
    </row>
    <row r="37101">
      <c r="D37101" s="39"/>
      <c r="E37101" s="39"/>
      <c r="F37101" s="39"/>
    </row>
    <row r="37102">
      <c r="D37102" s="39"/>
      <c r="E37102" s="39"/>
      <c r="F37102" s="39"/>
    </row>
    <row r="37103">
      <c r="D37103" s="39"/>
      <c r="E37103" s="39"/>
      <c r="F37103" s="39"/>
    </row>
    <row r="37104">
      <c r="D37104" s="39"/>
      <c r="E37104" s="39"/>
      <c r="F37104" s="39"/>
    </row>
    <row r="37105">
      <c r="D37105" s="39"/>
      <c r="E37105" s="39"/>
      <c r="F37105" s="39"/>
    </row>
    <row r="37106">
      <c r="D37106" s="39"/>
      <c r="E37106" s="39"/>
      <c r="F37106" s="39"/>
    </row>
    <row r="37107">
      <c r="D37107" s="39"/>
      <c r="E37107" s="39"/>
      <c r="F37107" s="39"/>
    </row>
    <row r="37108">
      <c r="D37108" s="39"/>
      <c r="E37108" s="39"/>
      <c r="F37108" s="39"/>
    </row>
    <row r="37109">
      <c r="D37109" s="39"/>
      <c r="E37109" s="39"/>
      <c r="F37109" s="39"/>
    </row>
    <row r="37110">
      <c r="D37110" s="39"/>
      <c r="E37110" s="39"/>
      <c r="F37110" s="39"/>
    </row>
    <row r="37111">
      <c r="D37111" s="39"/>
      <c r="E37111" s="39"/>
      <c r="F37111" s="39"/>
    </row>
    <row r="37112">
      <c r="D37112" s="39"/>
      <c r="E37112" s="39"/>
      <c r="F37112" s="39"/>
    </row>
    <row r="37113">
      <c r="D37113" s="39"/>
      <c r="E37113" s="39"/>
      <c r="F37113" s="39"/>
    </row>
    <row r="37114">
      <c r="D37114" s="39"/>
      <c r="E37114" s="39"/>
      <c r="F37114" s="39"/>
    </row>
    <row r="37115">
      <c r="D37115" s="39"/>
      <c r="E37115" s="39"/>
      <c r="F37115" s="39"/>
    </row>
    <row r="37116">
      <c r="D37116" s="39"/>
      <c r="E37116" s="39"/>
      <c r="F37116" s="39"/>
    </row>
    <row r="37117">
      <c r="D37117" s="39"/>
      <c r="E37117" s="39"/>
      <c r="F37117" s="39"/>
    </row>
    <row r="37118">
      <c r="D37118" s="39"/>
      <c r="E37118" s="39"/>
      <c r="F37118" s="39"/>
    </row>
    <row r="37119">
      <c r="D37119" s="39"/>
      <c r="E37119" s="39"/>
      <c r="F37119" s="39"/>
    </row>
    <row r="37120">
      <c r="D37120" s="39"/>
      <c r="E37120" s="39"/>
      <c r="F37120" s="39"/>
    </row>
    <row r="37121">
      <c r="D37121" s="39"/>
      <c r="E37121" s="39"/>
      <c r="F37121" s="39"/>
    </row>
    <row r="37122">
      <c r="D37122" s="39"/>
      <c r="E37122" s="39"/>
      <c r="F37122" s="39"/>
    </row>
    <row r="37123">
      <c r="D37123" s="39"/>
      <c r="E37123" s="39"/>
      <c r="F37123" s="39"/>
    </row>
    <row r="37124">
      <c r="D37124" s="39"/>
      <c r="E37124" s="39"/>
      <c r="F37124" s="39"/>
    </row>
    <row r="37125">
      <c r="D37125" s="39"/>
      <c r="E37125" s="39"/>
      <c r="F37125" s="39"/>
    </row>
    <row r="37126">
      <c r="D37126" s="39"/>
      <c r="E37126" s="39"/>
      <c r="F37126" s="39"/>
    </row>
    <row r="37127">
      <c r="D37127" s="39"/>
      <c r="E37127" s="39"/>
      <c r="F37127" s="39"/>
    </row>
    <row r="37128">
      <c r="D37128" s="39"/>
      <c r="E37128" s="39"/>
      <c r="F37128" s="39"/>
    </row>
    <row r="37129">
      <c r="D37129" s="39"/>
      <c r="E37129" s="39"/>
      <c r="F37129" s="39"/>
    </row>
    <row r="37130">
      <c r="D37130" s="39"/>
      <c r="E37130" s="39"/>
      <c r="F37130" s="39"/>
    </row>
    <row r="37131">
      <c r="D37131" s="39"/>
      <c r="E37131" s="39"/>
      <c r="F37131" s="39"/>
    </row>
    <row r="37132">
      <c r="D37132" s="39"/>
      <c r="E37132" s="39"/>
      <c r="F37132" s="39"/>
    </row>
    <row r="37133">
      <c r="D37133" s="39"/>
      <c r="E37133" s="39"/>
      <c r="F37133" s="39"/>
    </row>
    <row r="37134">
      <c r="D37134" s="39"/>
      <c r="E37134" s="39"/>
      <c r="F37134" s="39"/>
    </row>
    <row r="37135">
      <c r="D37135" s="39"/>
      <c r="E37135" s="39"/>
      <c r="F37135" s="39"/>
    </row>
    <row r="37136">
      <c r="D37136" s="39"/>
      <c r="E37136" s="39"/>
      <c r="F37136" s="39"/>
    </row>
    <row r="37137">
      <c r="D37137" s="39"/>
      <c r="E37137" s="39"/>
      <c r="F37137" s="39"/>
    </row>
    <row r="37138">
      <c r="D37138" s="39"/>
      <c r="E37138" s="39"/>
      <c r="F37138" s="39"/>
    </row>
    <row r="37139">
      <c r="D37139" s="39"/>
      <c r="E37139" s="39"/>
      <c r="F37139" s="39"/>
    </row>
    <row r="37140">
      <c r="D37140" s="39"/>
      <c r="E37140" s="39"/>
      <c r="F37140" s="39"/>
    </row>
    <row r="37141">
      <c r="D37141" s="39"/>
      <c r="E37141" s="39"/>
      <c r="F37141" s="39"/>
    </row>
    <row r="37142">
      <c r="D37142" s="39"/>
      <c r="E37142" s="39"/>
      <c r="F37142" s="39"/>
    </row>
    <row r="37143">
      <c r="D37143" s="39"/>
      <c r="E37143" s="39"/>
      <c r="F37143" s="39"/>
    </row>
    <row r="37144">
      <c r="D37144" s="39"/>
      <c r="E37144" s="39"/>
      <c r="F37144" s="39"/>
    </row>
    <row r="37145">
      <c r="D37145" s="39"/>
      <c r="E37145" s="39"/>
      <c r="F37145" s="39"/>
    </row>
    <row r="37146">
      <c r="D37146" s="39"/>
      <c r="E37146" s="39"/>
      <c r="F37146" s="39"/>
    </row>
    <row r="37147">
      <c r="D37147" s="39"/>
      <c r="E37147" s="39"/>
      <c r="F37147" s="39"/>
    </row>
    <row r="37148">
      <c r="D37148" s="39"/>
      <c r="E37148" s="39"/>
      <c r="F37148" s="39"/>
    </row>
    <row r="37149">
      <c r="D37149" s="39"/>
      <c r="E37149" s="39"/>
      <c r="F37149" s="39"/>
    </row>
    <row r="37150">
      <c r="D37150" s="39"/>
      <c r="E37150" s="39"/>
      <c r="F37150" s="39"/>
    </row>
    <row r="37151">
      <c r="D37151" s="39"/>
      <c r="E37151" s="39"/>
      <c r="F37151" s="39"/>
    </row>
    <row r="37152">
      <c r="D37152" s="39"/>
      <c r="E37152" s="39"/>
      <c r="F37152" s="39"/>
    </row>
    <row r="37153">
      <c r="D37153" s="39"/>
      <c r="E37153" s="39"/>
      <c r="F37153" s="39"/>
    </row>
    <row r="37154">
      <c r="D37154" s="39"/>
      <c r="E37154" s="39"/>
      <c r="F37154" s="39"/>
    </row>
    <row r="37155">
      <c r="D37155" s="39"/>
      <c r="E37155" s="39"/>
      <c r="F37155" s="39"/>
    </row>
    <row r="37156">
      <c r="D37156" s="39"/>
      <c r="E37156" s="39"/>
      <c r="F37156" s="39"/>
    </row>
    <row r="37157">
      <c r="D37157" s="39"/>
      <c r="E37157" s="39"/>
      <c r="F37157" s="39"/>
    </row>
    <row r="37158">
      <c r="D37158" s="39"/>
      <c r="E37158" s="39"/>
      <c r="F37158" s="39"/>
    </row>
    <row r="37159">
      <c r="D37159" s="39"/>
      <c r="E37159" s="39"/>
      <c r="F37159" s="39"/>
    </row>
    <row r="37160">
      <c r="D37160" s="39"/>
      <c r="E37160" s="39"/>
      <c r="F37160" s="39"/>
    </row>
    <row r="37161">
      <c r="D37161" s="39"/>
      <c r="E37161" s="39"/>
      <c r="F37161" s="39"/>
    </row>
    <row r="37162">
      <c r="D37162" s="39"/>
      <c r="E37162" s="39"/>
      <c r="F37162" s="39"/>
    </row>
    <row r="37163">
      <c r="D37163" s="39"/>
      <c r="E37163" s="39"/>
      <c r="F37163" s="39"/>
    </row>
    <row r="37164">
      <c r="D37164" s="39"/>
      <c r="E37164" s="39"/>
      <c r="F37164" s="39"/>
    </row>
    <row r="37165">
      <c r="D37165" s="39"/>
      <c r="E37165" s="39"/>
      <c r="F37165" s="39"/>
    </row>
    <row r="37166">
      <c r="D37166" s="39"/>
      <c r="E37166" s="39"/>
      <c r="F37166" s="39"/>
    </row>
    <row r="37167">
      <c r="D37167" s="39"/>
      <c r="E37167" s="39"/>
      <c r="F37167" s="39"/>
    </row>
    <row r="37168">
      <c r="D37168" s="39"/>
      <c r="E37168" s="39"/>
      <c r="F37168" s="39"/>
    </row>
    <row r="37169">
      <c r="D37169" s="39"/>
      <c r="E37169" s="39"/>
      <c r="F37169" s="39"/>
    </row>
    <row r="37170">
      <c r="D37170" s="39"/>
      <c r="E37170" s="39"/>
      <c r="F37170" s="39"/>
    </row>
    <row r="37171">
      <c r="D37171" s="39"/>
      <c r="E37171" s="39"/>
      <c r="F37171" s="39"/>
    </row>
    <row r="37172">
      <c r="D37172" s="39"/>
      <c r="E37172" s="39"/>
      <c r="F37172" s="39"/>
    </row>
    <row r="37173">
      <c r="D37173" s="39"/>
      <c r="E37173" s="39"/>
      <c r="F37173" s="39"/>
    </row>
    <row r="37174">
      <c r="D37174" s="39"/>
      <c r="E37174" s="39"/>
      <c r="F37174" s="39"/>
    </row>
    <row r="37175">
      <c r="D37175" s="39"/>
      <c r="E37175" s="39"/>
      <c r="F37175" s="39"/>
    </row>
    <row r="37176">
      <c r="D37176" s="39"/>
      <c r="E37176" s="39"/>
      <c r="F37176" s="39"/>
    </row>
    <row r="37177">
      <c r="D37177" s="39"/>
      <c r="E37177" s="39"/>
      <c r="F37177" s="39"/>
    </row>
    <row r="37178">
      <c r="D37178" s="39"/>
      <c r="E37178" s="39"/>
      <c r="F37178" s="39"/>
    </row>
    <row r="37179">
      <c r="D37179" s="39"/>
      <c r="E37179" s="39"/>
      <c r="F37179" s="39"/>
    </row>
    <row r="37180">
      <c r="D37180" s="39"/>
      <c r="E37180" s="39"/>
      <c r="F37180" s="39"/>
    </row>
    <row r="37181">
      <c r="D37181" s="39"/>
      <c r="E37181" s="39"/>
      <c r="F37181" s="39"/>
    </row>
    <row r="37182">
      <c r="D37182" s="39"/>
      <c r="E37182" s="39"/>
      <c r="F37182" s="39"/>
    </row>
    <row r="37183">
      <c r="D37183" s="39"/>
      <c r="E37183" s="39"/>
      <c r="F37183" s="39"/>
    </row>
    <row r="37184">
      <c r="D37184" s="39"/>
      <c r="E37184" s="39"/>
      <c r="F37184" s="39"/>
    </row>
    <row r="37185">
      <c r="D37185" s="39"/>
      <c r="E37185" s="39"/>
      <c r="F37185" s="39"/>
    </row>
    <row r="37186">
      <c r="D37186" s="39"/>
      <c r="E37186" s="39"/>
      <c r="F37186" s="39"/>
    </row>
    <row r="37187">
      <c r="D37187" s="39"/>
      <c r="E37187" s="39"/>
      <c r="F37187" s="39"/>
    </row>
    <row r="37188">
      <c r="D37188" s="39"/>
      <c r="E37188" s="39"/>
      <c r="F37188" s="39"/>
    </row>
    <row r="37189">
      <c r="D37189" s="39"/>
      <c r="E37189" s="39"/>
      <c r="F37189" s="39"/>
    </row>
    <row r="37190">
      <c r="D37190" s="39"/>
      <c r="E37190" s="39"/>
      <c r="F37190" s="39"/>
    </row>
    <row r="37191">
      <c r="D37191" s="39"/>
      <c r="E37191" s="39"/>
      <c r="F37191" s="39"/>
    </row>
    <row r="37192">
      <c r="D37192" s="39"/>
      <c r="E37192" s="39"/>
      <c r="F37192" s="39"/>
    </row>
    <row r="37193">
      <c r="D37193" s="39"/>
      <c r="E37193" s="39"/>
      <c r="F37193" s="39"/>
    </row>
    <row r="37194">
      <c r="D37194" s="39"/>
      <c r="E37194" s="39"/>
      <c r="F37194" s="39"/>
    </row>
    <row r="37195">
      <c r="D37195" s="39"/>
      <c r="E37195" s="39"/>
      <c r="F37195" s="39"/>
    </row>
    <row r="37196">
      <c r="D37196" s="39"/>
      <c r="E37196" s="39"/>
      <c r="F37196" s="39"/>
    </row>
    <row r="37197">
      <c r="D37197" s="39"/>
      <c r="E37197" s="39"/>
      <c r="F37197" s="39"/>
    </row>
    <row r="37198">
      <c r="D37198" s="39"/>
      <c r="E37198" s="39"/>
      <c r="F37198" s="39"/>
    </row>
    <row r="37199">
      <c r="D37199" s="39"/>
      <c r="E37199" s="39"/>
      <c r="F37199" s="39"/>
    </row>
    <row r="37200">
      <c r="D37200" s="39"/>
      <c r="E37200" s="39"/>
      <c r="F37200" s="39"/>
    </row>
    <row r="37201">
      <c r="D37201" s="39"/>
      <c r="E37201" s="39"/>
      <c r="F37201" s="39"/>
    </row>
    <row r="37202">
      <c r="D37202" s="39"/>
      <c r="E37202" s="39"/>
      <c r="F37202" s="39"/>
    </row>
    <row r="37203">
      <c r="D37203" s="39"/>
      <c r="E37203" s="39"/>
      <c r="F37203" s="39"/>
    </row>
    <row r="37204">
      <c r="D37204" s="39"/>
      <c r="E37204" s="39"/>
      <c r="F37204" s="39"/>
    </row>
    <row r="37205">
      <c r="D37205" s="39"/>
      <c r="E37205" s="39"/>
      <c r="F37205" s="39"/>
    </row>
    <row r="37206">
      <c r="D37206" s="39"/>
      <c r="E37206" s="39"/>
      <c r="F37206" s="39"/>
    </row>
    <row r="37207">
      <c r="D37207" s="39"/>
      <c r="E37207" s="39"/>
      <c r="F37207" s="39"/>
    </row>
    <row r="37208">
      <c r="D37208" s="39"/>
      <c r="E37208" s="39"/>
      <c r="F37208" s="39"/>
    </row>
    <row r="37209">
      <c r="D37209" s="39"/>
      <c r="E37209" s="39"/>
      <c r="F37209" s="39"/>
    </row>
    <row r="37210">
      <c r="D37210" s="39"/>
      <c r="E37210" s="39"/>
      <c r="F37210" s="39"/>
    </row>
    <row r="37211">
      <c r="D37211" s="39"/>
      <c r="E37211" s="39"/>
      <c r="F37211" s="39"/>
    </row>
    <row r="37212">
      <c r="D37212" s="39"/>
      <c r="E37212" s="39"/>
      <c r="F37212" s="39"/>
    </row>
    <row r="37213">
      <c r="D37213" s="39"/>
      <c r="E37213" s="39"/>
      <c r="F37213" s="39"/>
    </row>
    <row r="37214">
      <c r="D37214" s="39"/>
      <c r="E37214" s="39"/>
      <c r="F37214" s="39"/>
    </row>
    <row r="37215">
      <c r="D37215" s="39"/>
      <c r="E37215" s="39"/>
      <c r="F37215" s="39"/>
    </row>
    <row r="37216">
      <c r="D37216" s="39"/>
      <c r="E37216" s="39"/>
      <c r="F37216" s="39"/>
    </row>
    <row r="37217">
      <c r="D37217" s="39"/>
      <c r="E37217" s="39"/>
      <c r="F37217" s="39"/>
    </row>
    <row r="37218">
      <c r="D37218" s="39"/>
      <c r="E37218" s="39"/>
      <c r="F37218" s="39"/>
    </row>
    <row r="37219">
      <c r="D37219" s="39"/>
      <c r="E37219" s="39"/>
      <c r="F37219" s="39"/>
    </row>
    <row r="37220">
      <c r="D37220" s="39"/>
      <c r="E37220" s="39"/>
      <c r="F37220" s="39"/>
    </row>
    <row r="37221">
      <c r="D37221" s="39"/>
      <c r="E37221" s="39"/>
      <c r="F37221" s="39"/>
    </row>
    <row r="37222">
      <c r="D37222" s="39"/>
      <c r="E37222" s="39"/>
      <c r="F37222" s="39"/>
    </row>
    <row r="37223">
      <c r="D37223" s="39"/>
      <c r="E37223" s="39"/>
      <c r="F37223" s="39"/>
    </row>
    <row r="37224">
      <c r="D37224" s="39"/>
      <c r="E37224" s="39"/>
      <c r="F37224" s="39"/>
    </row>
    <row r="37225">
      <c r="D37225" s="39"/>
      <c r="E37225" s="39"/>
      <c r="F37225" s="39"/>
    </row>
    <row r="37226">
      <c r="D37226" s="39"/>
      <c r="E37226" s="39"/>
      <c r="F37226" s="39"/>
    </row>
    <row r="37227">
      <c r="D37227" s="39"/>
      <c r="E37227" s="39"/>
      <c r="F37227" s="39"/>
    </row>
    <row r="37228">
      <c r="D37228" s="39"/>
      <c r="E37228" s="39"/>
      <c r="F37228" s="39"/>
    </row>
    <row r="37229">
      <c r="D37229" s="39"/>
      <c r="E37229" s="39"/>
      <c r="F37229" s="39"/>
    </row>
    <row r="37230">
      <c r="D37230" s="39"/>
      <c r="E37230" s="39"/>
      <c r="F37230" s="39"/>
    </row>
    <row r="37231">
      <c r="D37231" s="39"/>
      <c r="E37231" s="39"/>
      <c r="F37231" s="39"/>
    </row>
    <row r="37232">
      <c r="D37232" s="39"/>
      <c r="E37232" s="39"/>
      <c r="F37232" s="39"/>
    </row>
    <row r="37233">
      <c r="D37233" s="39"/>
      <c r="E37233" s="39"/>
      <c r="F37233" s="39"/>
    </row>
    <row r="37234">
      <c r="D37234" s="39"/>
      <c r="E37234" s="39"/>
      <c r="F37234" s="39"/>
    </row>
    <row r="37235">
      <c r="D37235" s="39"/>
      <c r="E37235" s="39"/>
      <c r="F37235" s="39"/>
    </row>
    <row r="37236">
      <c r="D37236" s="39"/>
      <c r="E37236" s="39"/>
      <c r="F37236" s="39"/>
    </row>
    <row r="37237">
      <c r="D37237" s="39"/>
      <c r="E37237" s="39"/>
      <c r="F37237" s="39"/>
    </row>
    <row r="37238">
      <c r="D37238" s="39"/>
      <c r="E37238" s="39"/>
      <c r="F37238" s="39"/>
    </row>
    <row r="37239">
      <c r="D37239" s="39"/>
      <c r="E37239" s="39"/>
      <c r="F37239" s="39"/>
    </row>
    <row r="37240">
      <c r="D37240" s="39"/>
      <c r="E37240" s="39"/>
      <c r="F37240" s="39"/>
    </row>
    <row r="37241">
      <c r="D37241" s="39"/>
      <c r="E37241" s="39"/>
      <c r="F37241" s="39"/>
    </row>
    <row r="37242">
      <c r="D37242" s="39"/>
      <c r="E37242" s="39"/>
      <c r="F37242" s="39"/>
    </row>
    <row r="37243">
      <c r="D37243" s="39"/>
      <c r="E37243" s="39"/>
      <c r="F37243" s="39"/>
    </row>
    <row r="37244">
      <c r="D37244" s="39"/>
      <c r="E37244" s="39"/>
      <c r="F37244" s="39"/>
    </row>
    <row r="37245">
      <c r="D37245" s="39"/>
      <c r="E37245" s="39"/>
      <c r="F37245" s="39"/>
    </row>
    <row r="37246">
      <c r="D37246" s="39"/>
      <c r="E37246" s="39"/>
      <c r="F37246" s="39"/>
    </row>
    <row r="37247">
      <c r="D37247" s="39"/>
      <c r="E37247" s="39"/>
      <c r="F37247" s="39"/>
    </row>
    <row r="37248">
      <c r="D37248" s="39"/>
      <c r="E37248" s="39"/>
      <c r="F37248" s="39"/>
    </row>
    <row r="37249">
      <c r="D37249" s="39"/>
      <c r="E37249" s="39"/>
      <c r="F37249" s="39"/>
    </row>
    <row r="37250">
      <c r="D37250" s="39"/>
      <c r="E37250" s="39"/>
      <c r="F37250" s="39"/>
    </row>
    <row r="37251">
      <c r="D37251" s="39"/>
      <c r="E37251" s="39"/>
      <c r="F37251" s="39"/>
    </row>
    <row r="37252">
      <c r="D37252" s="39"/>
      <c r="E37252" s="39"/>
      <c r="F37252" s="39"/>
    </row>
    <row r="37253">
      <c r="D37253" s="39"/>
      <c r="E37253" s="39"/>
      <c r="F37253" s="39"/>
    </row>
    <row r="37254">
      <c r="D37254" s="39"/>
      <c r="E37254" s="39"/>
      <c r="F37254" s="39"/>
    </row>
    <row r="37255">
      <c r="D37255" s="39"/>
      <c r="E37255" s="39"/>
      <c r="F37255" s="39"/>
    </row>
    <row r="37256">
      <c r="D37256" s="39"/>
      <c r="E37256" s="39"/>
      <c r="F37256" s="39"/>
    </row>
    <row r="37257">
      <c r="D37257" s="39"/>
      <c r="E37257" s="39"/>
      <c r="F37257" s="39"/>
    </row>
    <row r="37258">
      <c r="D37258" s="39"/>
      <c r="E37258" s="39"/>
      <c r="F37258" s="39"/>
    </row>
    <row r="37259">
      <c r="D37259" s="39"/>
      <c r="E37259" s="39"/>
      <c r="F37259" s="39"/>
    </row>
    <row r="37260">
      <c r="D37260" s="39"/>
      <c r="E37260" s="39"/>
      <c r="F37260" s="39"/>
    </row>
    <row r="37261">
      <c r="D37261" s="39"/>
      <c r="E37261" s="39"/>
      <c r="F37261" s="39"/>
    </row>
    <row r="37262">
      <c r="D37262" s="39"/>
      <c r="E37262" s="39"/>
      <c r="F37262" s="39"/>
    </row>
    <row r="37263">
      <c r="D37263" s="39"/>
      <c r="E37263" s="39"/>
      <c r="F37263" s="39"/>
    </row>
    <row r="37264">
      <c r="D37264" s="39"/>
      <c r="E37264" s="39"/>
      <c r="F37264" s="39"/>
    </row>
    <row r="37265">
      <c r="D37265" s="39"/>
      <c r="E37265" s="39"/>
      <c r="F37265" s="39"/>
    </row>
    <row r="37266">
      <c r="D37266" s="39"/>
      <c r="E37266" s="39"/>
      <c r="F37266" s="39"/>
    </row>
    <row r="37267">
      <c r="D37267" s="39"/>
      <c r="E37267" s="39"/>
      <c r="F37267" s="39"/>
    </row>
    <row r="37268">
      <c r="D37268" s="39"/>
      <c r="E37268" s="39"/>
      <c r="F37268" s="39"/>
    </row>
    <row r="37269">
      <c r="D37269" s="39"/>
      <c r="E37269" s="39"/>
      <c r="F37269" s="39"/>
    </row>
    <row r="37270">
      <c r="D37270" s="39"/>
      <c r="E37270" s="39"/>
      <c r="F37270" s="39"/>
    </row>
    <row r="37271">
      <c r="D37271" s="39"/>
      <c r="E37271" s="39"/>
      <c r="F37271" s="39"/>
    </row>
    <row r="37272">
      <c r="D37272" s="39"/>
      <c r="E37272" s="39"/>
      <c r="F37272" s="39"/>
    </row>
    <row r="37273">
      <c r="D37273" s="39"/>
      <c r="E37273" s="39"/>
      <c r="F37273" s="39"/>
    </row>
    <row r="37274">
      <c r="D37274" s="39"/>
      <c r="E37274" s="39"/>
      <c r="F37274" s="39"/>
    </row>
    <row r="37275">
      <c r="D37275" s="39"/>
      <c r="E37275" s="39"/>
      <c r="F37275" s="39"/>
    </row>
    <row r="37276">
      <c r="D37276" s="39"/>
      <c r="E37276" s="39"/>
      <c r="F37276" s="39"/>
    </row>
    <row r="37277">
      <c r="D37277" s="39"/>
      <c r="E37277" s="39"/>
      <c r="F37277" s="39"/>
    </row>
    <row r="37278">
      <c r="D37278" s="39"/>
      <c r="E37278" s="39"/>
      <c r="F37278" s="39"/>
    </row>
    <row r="37279">
      <c r="D37279" s="39"/>
      <c r="E37279" s="39"/>
      <c r="F37279" s="39"/>
    </row>
    <row r="37280">
      <c r="D37280" s="39"/>
      <c r="E37280" s="39"/>
      <c r="F37280" s="39"/>
    </row>
    <row r="37281">
      <c r="D37281" s="39"/>
      <c r="E37281" s="39"/>
      <c r="F37281" s="39"/>
    </row>
    <row r="37282">
      <c r="D37282" s="39"/>
      <c r="E37282" s="39"/>
      <c r="F37282" s="39"/>
    </row>
    <row r="37283">
      <c r="D37283" s="39"/>
      <c r="E37283" s="39"/>
      <c r="F37283" s="39"/>
    </row>
    <row r="37284">
      <c r="D37284" s="39"/>
      <c r="E37284" s="39"/>
      <c r="F37284" s="39"/>
    </row>
    <row r="37285">
      <c r="D37285" s="39"/>
      <c r="E37285" s="39"/>
      <c r="F37285" s="39"/>
    </row>
    <row r="37286">
      <c r="D37286" s="39"/>
      <c r="E37286" s="39"/>
      <c r="F37286" s="39"/>
    </row>
    <row r="37287">
      <c r="D37287" s="39"/>
      <c r="E37287" s="39"/>
      <c r="F37287" s="39"/>
    </row>
    <row r="37288">
      <c r="D37288" s="39"/>
      <c r="E37288" s="39"/>
      <c r="F37288" s="39"/>
    </row>
    <row r="37289">
      <c r="D37289" s="39"/>
      <c r="E37289" s="39"/>
      <c r="F37289" s="39"/>
    </row>
    <row r="37290">
      <c r="D37290" s="39"/>
      <c r="E37290" s="39"/>
      <c r="F37290" s="39"/>
    </row>
    <row r="37291">
      <c r="D37291" s="39"/>
      <c r="E37291" s="39"/>
      <c r="F37291" s="39"/>
    </row>
    <row r="37292">
      <c r="D37292" s="39"/>
      <c r="E37292" s="39"/>
      <c r="F37292" s="39"/>
    </row>
    <row r="37293">
      <c r="D37293" s="39"/>
      <c r="E37293" s="39"/>
      <c r="F37293" s="39"/>
    </row>
    <row r="37294">
      <c r="D37294" s="39"/>
      <c r="E37294" s="39"/>
      <c r="F37294" s="39"/>
    </row>
    <row r="37295">
      <c r="D37295" s="39"/>
      <c r="E37295" s="39"/>
      <c r="F37295" s="39"/>
    </row>
    <row r="37296">
      <c r="D37296" s="39"/>
      <c r="E37296" s="39"/>
      <c r="F37296" s="39"/>
    </row>
    <row r="37297">
      <c r="D37297" s="39"/>
      <c r="E37297" s="39"/>
      <c r="F37297" s="39"/>
    </row>
    <row r="37298">
      <c r="D37298" s="39"/>
      <c r="E37298" s="39"/>
      <c r="F37298" s="39"/>
    </row>
    <row r="37299">
      <c r="D37299" s="39"/>
      <c r="E37299" s="39"/>
      <c r="F37299" s="39"/>
    </row>
    <row r="37300">
      <c r="D37300" s="39"/>
      <c r="E37300" s="39"/>
      <c r="F37300" s="39"/>
    </row>
    <row r="37301">
      <c r="D37301" s="39"/>
      <c r="E37301" s="39"/>
      <c r="F37301" s="39"/>
    </row>
    <row r="37302">
      <c r="D37302" s="39"/>
      <c r="E37302" s="39"/>
      <c r="F37302" s="39"/>
    </row>
    <row r="37303">
      <c r="D37303" s="39"/>
      <c r="E37303" s="39"/>
      <c r="F37303" s="39"/>
    </row>
    <row r="37304">
      <c r="D37304" s="39"/>
      <c r="E37304" s="39"/>
      <c r="F37304" s="39"/>
    </row>
    <row r="37305">
      <c r="D37305" s="39"/>
      <c r="E37305" s="39"/>
      <c r="F37305" s="39"/>
    </row>
    <row r="37306">
      <c r="D37306" s="39"/>
      <c r="E37306" s="39"/>
      <c r="F37306" s="39"/>
    </row>
    <row r="37307">
      <c r="D37307" s="39"/>
      <c r="E37307" s="39"/>
      <c r="F37307" s="39"/>
    </row>
    <row r="37308">
      <c r="D37308" s="39"/>
      <c r="E37308" s="39"/>
      <c r="F37308" s="39"/>
    </row>
    <row r="37309">
      <c r="D37309" s="39"/>
      <c r="E37309" s="39"/>
      <c r="F37309" s="39"/>
    </row>
    <row r="37310">
      <c r="D37310" s="39"/>
      <c r="E37310" s="39"/>
      <c r="F37310" s="39"/>
    </row>
    <row r="37311">
      <c r="D37311" s="39"/>
      <c r="E37311" s="39"/>
      <c r="F37311" s="39"/>
    </row>
    <row r="37312">
      <c r="D37312" s="39"/>
      <c r="E37312" s="39"/>
      <c r="F37312" s="39"/>
    </row>
    <row r="37313">
      <c r="D37313" s="39"/>
      <c r="E37313" s="39"/>
      <c r="F37313" s="39"/>
    </row>
    <row r="37314">
      <c r="D37314" s="39"/>
      <c r="E37314" s="39"/>
      <c r="F37314" s="39"/>
    </row>
    <row r="37315">
      <c r="D37315" s="39"/>
      <c r="E37315" s="39"/>
      <c r="F37315" s="39"/>
    </row>
    <row r="37316">
      <c r="D37316" s="39"/>
      <c r="E37316" s="39"/>
      <c r="F37316" s="39"/>
    </row>
    <row r="37317">
      <c r="D37317" s="39"/>
      <c r="E37317" s="39"/>
      <c r="F37317" s="39"/>
    </row>
    <row r="37318">
      <c r="D37318" s="39"/>
      <c r="E37318" s="39"/>
      <c r="F37318" s="39"/>
    </row>
    <row r="37319">
      <c r="D37319" s="39"/>
      <c r="E37319" s="39"/>
      <c r="F37319" s="39"/>
    </row>
    <row r="37320">
      <c r="D37320" s="39"/>
      <c r="E37320" s="39"/>
      <c r="F37320" s="39"/>
    </row>
    <row r="37321">
      <c r="D37321" s="39"/>
      <c r="E37321" s="39"/>
      <c r="F37321" s="39"/>
    </row>
    <row r="37322">
      <c r="D37322" s="39"/>
      <c r="E37322" s="39"/>
      <c r="F37322" s="39"/>
    </row>
    <row r="37323">
      <c r="D37323" s="39"/>
      <c r="E37323" s="39"/>
      <c r="F37323" s="39"/>
    </row>
    <row r="37324">
      <c r="D37324" s="39"/>
      <c r="E37324" s="39"/>
      <c r="F37324" s="39"/>
    </row>
    <row r="37325">
      <c r="D37325" s="39"/>
      <c r="E37325" s="39"/>
      <c r="F37325" s="39"/>
    </row>
    <row r="37326">
      <c r="D37326" s="39"/>
      <c r="E37326" s="39"/>
      <c r="F37326" s="39"/>
    </row>
    <row r="37327">
      <c r="D37327" s="39"/>
      <c r="E37327" s="39"/>
      <c r="F37327" s="39"/>
    </row>
    <row r="37328">
      <c r="D37328" s="39"/>
      <c r="E37328" s="39"/>
      <c r="F37328" s="39"/>
    </row>
    <row r="37329">
      <c r="D37329" s="39"/>
      <c r="E37329" s="39"/>
      <c r="F37329" s="39"/>
    </row>
    <row r="37330">
      <c r="D37330" s="39"/>
      <c r="E37330" s="39"/>
      <c r="F37330" s="39"/>
    </row>
    <row r="37331">
      <c r="D37331" s="39"/>
      <c r="E37331" s="39"/>
      <c r="F37331" s="39"/>
    </row>
    <row r="37332">
      <c r="D37332" s="39"/>
      <c r="E37332" s="39"/>
      <c r="F37332" s="39"/>
    </row>
    <row r="37333">
      <c r="D37333" s="39"/>
      <c r="E37333" s="39"/>
      <c r="F37333" s="39"/>
    </row>
    <row r="37334">
      <c r="D37334" s="39"/>
      <c r="E37334" s="39"/>
      <c r="F37334" s="39"/>
    </row>
    <row r="37335">
      <c r="D37335" s="39"/>
      <c r="E37335" s="39"/>
      <c r="F37335" s="39"/>
    </row>
    <row r="37336">
      <c r="D37336" s="39"/>
      <c r="E37336" s="39"/>
      <c r="F37336" s="39"/>
    </row>
    <row r="37337">
      <c r="D37337" s="39"/>
      <c r="E37337" s="39"/>
      <c r="F37337" s="39"/>
    </row>
    <row r="37338">
      <c r="D37338" s="39"/>
      <c r="E37338" s="39"/>
      <c r="F37338" s="39"/>
    </row>
    <row r="37339">
      <c r="D37339" s="39"/>
      <c r="E37339" s="39"/>
      <c r="F37339" s="39"/>
    </row>
    <row r="37340">
      <c r="D37340" s="39"/>
      <c r="E37340" s="39"/>
      <c r="F37340" s="39"/>
    </row>
    <row r="37341">
      <c r="D37341" s="39"/>
      <c r="E37341" s="39"/>
      <c r="F37341" s="39"/>
    </row>
    <row r="37342">
      <c r="D37342" s="39"/>
      <c r="E37342" s="39"/>
      <c r="F37342" s="39"/>
    </row>
    <row r="37343">
      <c r="D37343" s="39"/>
      <c r="E37343" s="39"/>
      <c r="F37343" s="39"/>
    </row>
    <row r="37344">
      <c r="D37344" s="39"/>
      <c r="E37344" s="39"/>
      <c r="F37344" s="39"/>
    </row>
    <row r="37345">
      <c r="D37345" s="39"/>
      <c r="E37345" s="39"/>
      <c r="F37345" s="39"/>
    </row>
    <row r="37346">
      <c r="D37346" s="39"/>
      <c r="E37346" s="39"/>
      <c r="F37346" s="39"/>
    </row>
    <row r="37347">
      <c r="D37347" s="39"/>
      <c r="E37347" s="39"/>
      <c r="F37347" s="39"/>
    </row>
    <row r="37348">
      <c r="D37348" s="39"/>
      <c r="E37348" s="39"/>
      <c r="F37348" s="39"/>
    </row>
    <row r="37349">
      <c r="D37349" s="39"/>
      <c r="E37349" s="39"/>
      <c r="F37349" s="39"/>
    </row>
    <row r="37350">
      <c r="D37350" s="39"/>
      <c r="E37350" s="39"/>
      <c r="F37350" s="39"/>
    </row>
    <row r="37351">
      <c r="D37351" s="39"/>
      <c r="E37351" s="39"/>
      <c r="F37351" s="39"/>
    </row>
    <row r="37352">
      <c r="D37352" s="39"/>
      <c r="E37352" s="39"/>
      <c r="F37352" s="39"/>
    </row>
    <row r="37353">
      <c r="D37353" s="39"/>
      <c r="E37353" s="39"/>
      <c r="F37353" s="39"/>
    </row>
    <row r="37354">
      <c r="D37354" s="39"/>
      <c r="E37354" s="39"/>
      <c r="F37354" s="39"/>
    </row>
    <row r="37355">
      <c r="D37355" s="39"/>
      <c r="E37355" s="39"/>
      <c r="F37355" s="39"/>
    </row>
    <row r="37356">
      <c r="D37356" s="39"/>
      <c r="E37356" s="39"/>
      <c r="F37356" s="39"/>
    </row>
    <row r="37357">
      <c r="D37357" s="39"/>
      <c r="E37357" s="39"/>
      <c r="F37357" s="39"/>
    </row>
    <row r="37358">
      <c r="D37358" s="39"/>
      <c r="E37358" s="39"/>
      <c r="F37358" s="39"/>
    </row>
    <row r="37359">
      <c r="D37359" s="39"/>
      <c r="E37359" s="39"/>
      <c r="F37359" s="39"/>
    </row>
    <row r="37360">
      <c r="D37360" s="39"/>
      <c r="E37360" s="39"/>
      <c r="F37360" s="39"/>
    </row>
    <row r="37361">
      <c r="D37361" s="39"/>
      <c r="E37361" s="39"/>
      <c r="F37361" s="39"/>
    </row>
    <row r="37362">
      <c r="D37362" s="39"/>
      <c r="E37362" s="39"/>
      <c r="F37362" s="39"/>
    </row>
    <row r="37363">
      <c r="D37363" s="39"/>
      <c r="E37363" s="39"/>
      <c r="F37363" s="39"/>
    </row>
    <row r="37364">
      <c r="D37364" s="39"/>
      <c r="E37364" s="39"/>
      <c r="F37364" s="39"/>
    </row>
    <row r="37365">
      <c r="D37365" s="39"/>
      <c r="E37365" s="39"/>
      <c r="F37365" s="39"/>
    </row>
    <row r="37366">
      <c r="D37366" s="39"/>
      <c r="E37366" s="39"/>
      <c r="F37366" s="39"/>
    </row>
    <row r="37367">
      <c r="D37367" s="39"/>
      <c r="E37367" s="39"/>
      <c r="F37367" s="39"/>
    </row>
    <row r="37368">
      <c r="D37368" s="39"/>
      <c r="E37368" s="39"/>
      <c r="F37368" s="39"/>
    </row>
    <row r="37369">
      <c r="D37369" s="39"/>
      <c r="E37369" s="39"/>
      <c r="F37369" s="39"/>
    </row>
    <row r="37370">
      <c r="D37370" s="39"/>
      <c r="E37370" s="39"/>
      <c r="F37370" s="39"/>
    </row>
    <row r="37371">
      <c r="D37371" s="39"/>
      <c r="E37371" s="39"/>
      <c r="F37371" s="39"/>
    </row>
    <row r="37372">
      <c r="D37372" s="39"/>
      <c r="E37372" s="39"/>
      <c r="F37372" s="39"/>
    </row>
    <row r="37373">
      <c r="D37373" s="39"/>
      <c r="E37373" s="39"/>
      <c r="F37373" s="39"/>
    </row>
    <row r="37374">
      <c r="D37374" s="39"/>
      <c r="E37374" s="39"/>
      <c r="F37374" s="39"/>
    </row>
    <row r="37375">
      <c r="D37375" s="39"/>
      <c r="E37375" s="39"/>
      <c r="F37375" s="39"/>
    </row>
    <row r="37376">
      <c r="D37376" s="39"/>
      <c r="E37376" s="39"/>
      <c r="F37376" s="39"/>
    </row>
    <row r="37377">
      <c r="D37377" s="39"/>
      <c r="E37377" s="39"/>
      <c r="F37377" s="39"/>
    </row>
    <row r="37378">
      <c r="D37378" s="39"/>
      <c r="E37378" s="39"/>
      <c r="F37378" s="39"/>
    </row>
    <row r="37379">
      <c r="D37379" s="39"/>
      <c r="E37379" s="39"/>
      <c r="F37379" s="39"/>
    </row>
    <row r="37380">
      <c r="D37380" s="39"/>
      <c r="E37380" s="39"/>
      <c r="F37380" s="39"/>
    </row>
    <row r="37381">
      <c r="D37381" s="39"/>
      <c r="E37381" s="39"/>
      <c r="F37381" s="39"/>
    </row>
    <row r="37382">
      <c r="D37382" s="39"/>
      <c r="E37382" s="39"/>
      <c r="F37382" s="39"/>
    </row>
    <row r="37383">
      <c r="D37383" s="39"/>
      <c r="E37383" s="39"/>
      <c r="F37383" s="39"/>
    </row>
    <row r="37384">
      <c r="D37384" s="39"/>
      <c r="E37384" s="39"/>
      <c r="F37384" s="39"/>
    </row>
    <row r="37385">
      <c r="D37385" s="39"/>
      <c r="E37385" s="39"/>
      <c r="F37385" s="39"/>
    </row>
    <row r="37386">
      <c r="D37386" s="39"/>
      <c r="E37386" s="39"/>
      <c r="F37386" s="39"/>
    </row>
    <row r="37387">
      <c r="D37387" s="39"/>
      <c r="E37387" s="39"/>
      <c r="F37387" s="39"/>
    </row>
    <row r="37388">
      <c r="D37388" s="39"/>
      <c r="E37388" s="39"/>
      <c r="F37388" s="39"/>
    </row>
    <row r="37389">
      <c r="D37389" s="39"/>
      <c r="E37389" s="39"/>
      <c r="F37389" s="39"/>
    </row>
    <row r="37390">
      <c r="D37390" s="39"/>
      <c r="E37390" s="39"/>
      <c r="F37390" s="39"/>
    </row>
    <row r="37391">
      <c r="D37391" s="39"/>
      <c r="E37391" s="39"/>
      <c r="F37391" s="39"/>
    </row>
    <row r="37392">
      <c r="D37392" s="39"/>
      <c r="E37392" s="39"/>
      <c r="F37392" s="39"/>
    </row>
    <row r="37393">
      <c r="D37393" s="39"/>
      <c r="E37393" s="39"/>
      <c r="F37393" s="39"/>
    </row>
    <row r="37394">
      <c r="D37394" s="39"/>
      <c r="E37394" s="39"/>
      <c r="F37394" s="39"/>
    </row>
    <row r="37395">
      <c r="D37395" s="39"/>
      <c r="E37395" s="39"/>
      <c r="F37395" s="39"/>
    </row>
    <row r="37396">
      <c r="D37396" s="39"/>
      <c r="E37396" s="39"/>
      <c r="F37396" s="39"/>
    </row>
    <row r="37397">
      <c r="D37397" s="39"/>
      <c r="E37397" s="39"/>
      <c r="F37397" s="39"/>
    </row>
    <row r="37398">
      <c r="D37398" s="39"/>
      <c r="E37398" s="39"/>
      <c r="F37398" s="39"/>
    </row>
    <row r="37399">
      <c r="D37399" s="39"/>
      <c r="E37399" s="39"/>
      <c r="F37399" s="39"/>
    </row>
    <row r="37400">
      <c r="D37400" s="39"/>
      <c r="E37400" s="39"/>
      <c r="F37400" s="39"/>
    </row>
    <row r="37401">
      <c r="D37401" s="39"/>
      <c r="E37401" s="39"/>
      <c r="F37401" s="39"/>
    </row>
    <row r="37402">
      <c r="D37402" s="39"/>
      <c r="E37402" s="39"/>
      <c r="F37402" s="39"/>
    </row>
    <row r="37403">
      <c r="D37403" s="39"/>
      <c r="E37403" s="39"/>
      <c r="F37403" s="39"/>
    </row>
    <row r="37404">
      <c r="D37404" s="39"/>
      <c r="E37404" s="39"/>
      <c r="F37404" s="39"/>
    </row>
    <row r="37405">
      <c r="D37405" s="39"/>
      <c r="E37405" s="39"/>
      <c r="F37405" s="39"/>
    </row>
    <row r="37406">
      <c r="D37406" s="39"/>
      <c r="E37406" s="39"/>
      <c r="F37406" s="39"/>
    </row>
    <row r="37407">
      <c r="D37407" s="39"/>
      <c r="E37407" s="39"/>
      <c r="F37407" s="39"/>
    </row>
    <row r="37408">
      <c r="D37408" s="39"/>
      <c r="E37408" s="39"/>
      <c r="F37408" s="39"/>
    </row>
    <row r="37409">
      <c r="D37409" s="39"/>
      <c r="E37409" s="39"/>
      <c r="F37409" s="39"/>
    </row>
    <row r="37410">
      <c r="D37410" s="39"/>
      <c r="E37410" s="39"/>
      <c r="F37410" s="39"/>
    </row>
    <row r="37411">
      <c r="D37411" s="39"/>
      <c r="E37411" s="39"/>
      <c r="F37411" s="39"/>
    </row>
    <row r="37412">
      <c r="D37412" s="39"/>
      <c r="E37412" s="39"/>
      <c r="F37412" s="39"/>
    </row>
    <row r="37413">
      <c r="D37413" s="39"/>
      <c r="E37413" s="39"/>
      <c r="F37413" s="39"/>
    </row>
    <row r="37414">
      <c r="D37414" s="39"/>
      <c r="E37414" s="39"/>
      <c r="F37414" s="39"/>
    </row>
    <row r="37415">
      <c r="D37415" s="39"/>
      <c r="E37415" s="39"/>
      <c r="F37415" s="39"/>
    </row>
    <row r="37416">
      <c r="D37416" s="39"/>
      <c r="E37416" s="39"/>
      <c r="F37416" s="39"/>
    </row>
    <row r="37417">
      <c r="D37417" s="39"/>
      <c r="E37417" s="39"/>
      <c r="F37417" s="39"/>
    </row>
    <row r="37418">
      <c r="D37418" s="39"/>
      <c r="E37418" s="39"/>
      <c r="F37418" s="39"/>
    </row>
    <row r="37419">
      <c r="D37419" s="39"/>
      <c r="E37419" s="39"/>
      <c r="F37419" s="39"/>
    </row>
    <row r="37420">
      <c r="D37420" s="39"/>
      <c r="E37420" s="39"/>
      <c r="F37420" s="39"/>
    </row>
    <row r="37421">
      <c r="D37421" s="39"/>
      <c r="E37421" s="39"/>
      <c r="F37421" s="39"/>
    </row>
    <row r="37422">
      <c r="D37422" s="39"/>
      <c r="E37422" s="39"/>
      <c r="F37422" s="39"/>
    </row>
    <row r="37423">
      <c r="D37423" s="39"/>
      <c r="E37423" s="39"/>
      <c r="F37423" s="39"/>
    </row>
    <row r="37424">
      <c r="D37424" s="39"/>
      <c r="E37424" s="39"/>
      <c r="F37424" s="39"/>
    </row>
    <row r="37425">
      <c r="D37425" s="39"/>
      <c r="E37425" s="39"/>
      <c r="F37425" s="39"/>
    </row>
    <row r="37426">
      <c r="D37426" s="39"/>
      <c r="E37426" s="39"/>
      <c r="F37426" s="39"/>
    </row>
    <row r="37427">
      <c r="D37427" s="39"/>
      <c r="E37427" s="39"/>
      <c r="F37427" s="39"/>
    </row>
    <row r="37428">
      <c r="D37428" s="39"/>
      <c r="E37428" s="39"/>
      <c r="F37428" s="39"/>
    </row>
    <row r="37429">
      <c r="D37429" s="39"/>
      <c r="E37429" s="39"/>
      <c r="F37429" s="39"/>
    </row>
    <row r="37430">
      <c r="D37430" s="39"/>
      <c r="E37430" s="39"/>
      <c r="F37430" s="39"/>
    </row>
    <row r="37431">
      <c r="D37431" s="39"/>
      <c r="E37431" s="39"/>
      <c r="F37431" s="39"/>
    </row>
    <row r="37432">
      <c r="D37432" s="39"/>
      <c r="E37432" s="39"/>
      <c r="F37432" s="39"/>
    </row>
    <row r="37433">
      <c r="D37433" s="39"/>
      <c r="E37433" s="39"/>
      <c r="F37433" s="39"/>
    </row>
    <row r="37434">
      <c r="D37434" s="39"/>
      <c r="E37434" s="39"/>
      <c r="F37434" s="39"/>
    </row>
    <row r="37435">
      <c r="D37435" s="39"/>
      <c r="E37435" s="39"/>
      <c r="F37435" s="39"/>
    </row>
    <row r="37436">
      <c r="D37436" s="39"/>
      <c r="E37436" s="39"/>
      <c r="F37436" s="39"/>
    </row>
    <row r="37437">
      <c r="D37437" s="39"/>
      <c r="E37437" s="39"/>
      <c r="F37437" s="39"/>
    </row>
    <row r="37438">
      <c r="D37438" s="39"/>
      <c r="E37438" s="39"/>
      <c r="F37438" s="39"/>
    </row>
    <row r="37439">
      <c r="D37439" s="39"/>
      <c r="E37439" s="39"/>
      <c r="F37439" s="39"/>
    </row>
    <row r="37440">
      <c r="D37440" s="39"/>
      <c r="E37440" s="39"/>
      <c r="F37440" s="39"/>
    </row>
    <row r="37441">
      <c r="D37441" s="39"/>
      <c r="E37441" s="39"/>
      <c r="F37441" s="39"/>
    </row>
    <row r="37442">
      <c r="D37442" s="39"/>
      <c r="E37442" s="39"/>
      <c r="F37442" s="39"/>
    </row>
    <row r="37443">
      <c r="D37443" s="39"/>
      <c r="E37443" s="39"/>
      <c r="F37443" s="39"/>
    </row>
    <row r="37444">
      <c r="D37444" s="39"/>
      <c r="E37444" s="39"/>
      <c r="F37444" s="39"/>
    </row>
    <row r="37445">
      <c r="D37445" s="39"/>
      <c r="E37445" s="39"/>
      <c r="F37445" s="39"/>
    </row>
    <row r="37446">
      <c r="D37446" s="39"/>
      <c r="E37446" s="39"/>
      <c r="F37446" s="39"/>
    </row>
    <row r="37447">
      <c r="D37447" s="39"/>
      <c r="E37447" s="39"/>
      <c r="F37447" s="39"/>
    </row>
    <row r="37448">
      <c r="D37448" s="39"/>
      <c r="E37448" s="39"/>
      <c r="F37448" s="39"/>
    </row>
    <row r="37449">
      <c r="D37449" s="39"/>
      <c r="E37449" s="39"/>
      <c r="F37449" s="39"/>
    </row>
    <row r="37450">
      <c r="D37450" s="39"/>
      <c r="E37450" s="39"/>
      <c r="F37450" s="39"/>
    </row>
    <row r="37451">
      <c r="D37451" s="39"/>
      <c r="E37451" s="39"/>
      <c r="F37451" s="39"/>
    </row>
    <row r="37452">
      <c r="D37452" s="39"/>
      <c r="E37452" s="39"/>
      <c r="F37452" s="39"/>
    </row>
    <row r="37453">
      <c r="D37453" s="39"/>
      <c r="E37453" s="39"/>
      <c r="F37453" s="39"/>
    </row>
    <row r="37454">
      <c r="D37454" s="39"/>
      <c r="E37454" s="39"/>
      <c r="F37454" s="39"/>
    </row>
    <row r="37455">
      <c r="D37455" s="39"/>
      <c r="E37455" s="39"/>
      <c r="F37455" s="39"/>
    </row>
    <row r="37456">
      <c r="D37456" s="39"/>
      <c r="E37456" s="39"/>
      <c r="F37456" s="39"/>
    </row>
    <row r="37457">
      <c r="D37457" s="39"/>
      <c r="E37457" s="39"/>
      <c r="F37457" s="39"/>
    </row>
    <row r="37458">
      <c r="D37458" s="39"/>
      <c r="E37458" s="39"/>
      <c r="F37458" s="39"/>
    </row>
    <row r="37459">
      <c r="D37459" s="39"/>
      <c r="E37459" s="39"/>
      <c r="F37459" s="39"/>
    </row>
    <row r="37460">
      <c r="D37460" s="39"/>
      <c r="E37460" s="39"/>
      <c r="F37460" s="39"/>
    </row>
    <row r="37461">
      <c r="D37461" s="39"/>
      <c r="E37461" s="39"/>
      <c r="F37461" s="39"/>
    </row>
    <row r="37462">
      <c r="D37462" s="39"/>
      <c r="E37462" s="39"/>
      <c r="F37462" s="39"/>
    </row>
    <row r="37463">
      <c r="D37463" s="39"/>
      <c r="E37463" s="39"/>
      <c r="F37463" s="39"/>
    </row>
    <row r="37464">
      <c r="D37464" s="39"/>
      <c r="E37464" s="39"/>
      <c r="F37464" s="39"/>
    </row>
    <row r="37465">
      <c r="D37465" s="39"/>
      <c r="E37465" s="39"/>
      <c r="F37465" s="39"/>
    </row>
    <row r="37466">
      <c r="D37466" s="39"/>
      <c r="E37466" s="39"/>
      <c r="F37466" s="39"/>
    </row>
    <row r="37467">
      <c r="D37467" s="39"/>
      <c r="E37467" s="39"/>
      <c r="F37467" s="39"/>
    </row>
    <row r="37468">
      <c r="D37468" s="39"/>
      <c r="E37468" s="39"/>
      <c r="F37468" s="39"/>
    </row>
    <row r="37469">
      <c r="D37469" s="39"/>
      <c r="E37469" s="39"/>
      <c r="F37469" s="39"/>
    </row>
    <row r="37470">
      <c r="D37470" s="39"/>
      <c r="E37470" s="39"/>
      <c r="F37470" s="39"/>
    </row>
    <row r="37471">
      <c r="D37471" s="39"/>
      <c r="E37471" s="39"/>
      <c r="F37471" s="39"/>
    </row>
    <row r="37472">
      <c r="D37472" s="39"/>
      <c r="E37472" s="39"/>
      <c r="F37472" s="39"/>
    </row>
    <row r="37473">
      <c r="D37473" s="39"/>
      <c r="E37473" s="39"/>
      <c r="F37473" s="39"/>
    </row>
    <row r="37474">
      <c r="D37474" s="39"/>
      <c r="E37474" s="39"/>
      <c r="F37474" s="39"/>
    </row>
    <row r="37475">
      <c r="D37475" s="39"/>
      <c r="E37475" s="39"/>
      <c r="F37475" s="39"/>
    </row>
    <row r="37476">
      <c r="D37476" s="39"/>
      <c r="E37476" s="39"/>
      <c r="F37476" s="39"/>
    </row>
    <row r="37477">
      <c r="D37477" s="39"/>
      <c r="E37477" s="39"/>
      <c r="F37477" s="39"/>
    </row>
    <row r="37478">
      <c r="D37478" s="39"/>
      <c r="E37478" s="39"/>
      <c r="F37478" s="39"/>
    </row>
    <row r="37479">
      <c r="D37479" s="39"/>
      <c r="E37479" s="39"/>
      <c r="F37479" s="39"/>
    </row>
    <row r="37480">
      <c r="D37480" s="39"/>
      <c r="E37480" s="39"/>
      <c r="F37480" s="39"/>
    </row>
    <row r="37481">
      <c r="D37481" s="39"/>
      <c r="E37481" s="39"/>
      <c r="F37481" s="39"/>
    </row>
    <row r="37482">
      <c r="D37482" s="39"/>
      <c r="E37482" s="39"/>
      <c r="F37482" s="39"/>
    </row>
    <row r="37483">
      <c r="D37483" s="39"/>
      <c r="E37483" s="39"/>
      <c r="F37483" s="39"/>
    </row>
    <row r="37484">
      <c r="D37484" s="39"/>
      <c r="E37484" s="39"/>
      <c r="F37484" s="39"/>
    </row>
    <row r="37485">
      <c r="D37485" s="39"/>
      <c r="E37485" s="39"/>
      <c r="F37485" s="39"/>
    </row>
    <row r="37486">
      <c r="D37486" s="39"/>
      <c r="E37486" s="39"/>
      <c r="F37486" s="39"/>
    </row>
    <row r="37487">
      <c r="D37487" s="39"/>
      <c r="E37487" s="39"/>
      <c r="F37487" s="39"/>
    </row>
    <row r="37488">
      <c r="D37488" s="39"/>
      <c r="E37488" s="39"/>
      <c r="F37488" s="39"/>
    </row>
    <row r="37489">
      <c r="D37489" s="39"/>
      <c r="E37489" s="39"/>
      <c r="F37489" s="39"/>
    </row>
    <row r="37490">
      <c r="D37490" s="39"/>
      <c r="E37490" s="39"/>
      <c r="F37490" s="39"/>
    </row>
    <row r="37491">
      <c r="D37491" s="39"/>
      <c r="E37491" s="39"/>
      <c r="F37491" s="39"/>
    </row>
    <row r="37492">
      <c r="D37492" s="39"/>
      <c r="E37492" s="39"/>
      <c r="F37492" s="39"/>
    </row>
    <row r="37493">
      <c r="D37493" s="39"/>
      <c r="E37493" s="39"/>
      <c r="F37493" s="39"/>
    </row>
    <row r="37494">
      <c r="D37494" s="39"/>
      <c r="E37494" s="39"/>
      <c r="F37494" s="39"/>
    </row>
    <row r="37495">
      <c r="D37495" s="39"/>
      <c r="E37495" s="39"/>
      <c r="F37495" s="39"/>
    </row>
    <row r="37496">
      <c r="D37496" s="39"/>
      <c r="E37496" s="39"/>
      <c r="F37496" s="39"/>
    </row>
    <row r="37497">
      <c r="D37497" s="39"/>
      <c r="E37497" s="39"/>
      <c r="F37497" s="39"/>
    </row>
    <row r="37498">
      <c r="D37498" s="39"/>
      <c r="E37498" s="39"/>
      <c r="F37498" s="39"/>
    </row>
    <row r="37499">
      <c r="D37499" s="39"/>
      <c r="E37499" s="39"/>
      <c r="F37499" s="39"/>
    </row>
    <row r="37500">
      <c r="D37500" s="39"/>
      <c r="E37500" s="39"/>
      <c r="F37500" s="39"/>
    </row>
    <row r="37501">
      <c r="D37501" s="39"/>
      <c r="E37501" s="39"/>
      <c r="F37501" s="39"/>
    </row>
    <row r="37502">
      <c r="D37502" s="39"/>
      <c r="E37502" s="39"/>
      <c r="F37502" s="39"/>
    </row>
    <row r="37503">
      <c r="D37503" s="39"/>
      <c r="E37503" s="39"/>
      <c r="F37503" s="39"/>
    </row>
    <row r="37504">
      <c r="D37504" s="39"/>
      <c r="E37504" s="39"/>
      <c r="F37504" s="39"/>
    </row>
    <row r="37505">
      <c r="D37505" s="39"/>
      <c r="E37505" s="39"/>
      <c r="F37505" s="39"/>
    </row>
    <row r="37506">
      <c r="D37506" s="39"/>
      <c r="E37506" s="39"/>
      <c r="F37506" s="39"/>
    </row>
    <row r="37507">
      <c r="D37507" s="39"/>
      <c r="E37507" s="39"/>
      <c r="F37507" s="39"/>
    </row>
    <row r="37508">
      <c r="D37508" s="39"/>
      <c r="E37508" s="39"/>
      <c r="F37508" s="39"/>
    </row>
    <row r="37509">
      <c r="D37509" s="39"/>
      <c r="E37509" s="39"/>
      <c r="F37509" s="39"/>
    </row>
    <row r="37510">
      <c r="D37510" s="39"/>
      <c r="E37510" s="39"/>
      <c r="F37510" s="39"/>
    </row>
    <row r="37511">
      <c r="D37511" s="39"/>
      <c r="E37511" s="39"/>
      <c r="F37511" s="39"/>
    </row>
    <row r="37512">
      <c r="D37512" s="39"/>
      <c r="E37512" s="39"/>
      <c r="F37512" s="39"/>
    </row>
    <row r="37513">
      <c r="D37513" s="39"/>
      <c r="E37513" s="39"/>
      <c r="F37513" s="39"/>
    </row>
    <row r="37514">
      <c r="D37514" s="39"/>
      <c r="E37514" s="39"/>
      <c r="F37514" s="39"/>
    </row>
    <row r="37515">
      <c r="D37515" s="39"/>
      <c r="E37515" s="39"/>
      <c r="F37515" s="39"/>
    </row>
    <row r="37516">
      <c r="D37516" s="39"/>
      <c r="E37516" s="39"/>
      <c r="F37516" s="39"/>
    </row>
    <row r="37517">
      <c r="D37517" s="39"/>
      <c r="E37517" s="39"/>
      <c r="F37517" s="39"/>
    </row>
    <row r="37518">
      <c r="D37518" s="39"/>
      <c r="E37518" s="39"/>
      <c r="F37518" s="39"/>
    </row>
    <row r="37519">
      <c r="D37519" s="39"/>
      <c r="E37519" s="39"/>
      <c r="F37519" s="39"/>
    </row>
    <row r="37520">
      <c r="D37520" s="39"/>
      <c r="E37520" s="39"/>
      <c r="F37520" s="39"/>
    </row>
    <row r="37521">
      <c r="D37521" s="39"/>
      <c r="E37521" s="39"/>
      <c r="F37521" s="39"/>
    </row>
    <row r="37522">
      <c r="D37522" s="39"/>
      <c r="E37522" s="39"/>
      <c r="F37522" s="39"/>
    </row>
    <row r="37523">
      <c r="D37523" s="39"/>
      <c r="E37523" s="39"/>
      <c r="F37523" s="39"/>
    </row>
    <row r="37524">
      <c r="D37524" s="39"/>
      <c r="E37524" s="39"/>
      <c r="F37524" s="39"/>
    </row>
    <row r="37525">
      <c r="D37525" s="39"/>
      <c r="E37525" s="39"/>
      <c r="F37525" s="39"/>
    </row>
    <row r="37526">
      <c r="D37526" s="39"/>
      <c r="E37526" s="39"/>
      <c r="F37526" s="39"/>
    </row>
    <row r="37527">
      <c r="D37527" s="39"/>
      <c r="E37527" s="39"/>
      <c r="F37527" s="39"/>
    </row>
    <row r="37528">
      <c r="D37528" s="39"/>
      <c r="E37528" s="39"/>
      <c r="F37528" s="39"/>
    </row>
    <row r="37529">
      <c r="D37529" s="39"/>
      <c r="E37529" s="39"/>
      <c r="F37529" s="39"/>
    </row>
    <row r="37530">
      <c r="D37530" s="39"/>
      <c r="E37530" s="39"/>
      <c r="F37530" s="39"/>
    </row>
    <row r="37531">
      <c r="D37531" s="39"/>
      <c r="E37531" s="39"/>
      <c r="F37531" s="39"/>
    </row>
    <row r="37532">
      <c r="D37532" s="39"/>
      <c r="E37532" s="39"/>
      <c r="F37532" s="39"/>
    </row>
    <row r="37533">
      <c r="D37533" s="39"/>
      <c r="E37533" s="39"/>
      <c r="F37533" s="39"/>
    </row>
    <row r="37534">
      <c r="D37534" s="39"/>
      <c r="E37534" s="39"/>
      <c r="F37534" s="39"/>
    </row>
    <row r="37535">
      <c r="D37535" s="39"/>
      <c r="E37535" s="39"/>
      <c r="F37535" s="39"/>
    </row>
    <row r="37536">
      <c r="D37536" s="39"/>
      <c r="E37536" s="39"/>
      <c r="F37536" s="39"/>
    </row>
    <row r="37537">
      <c r="D37537" s="39"/>
      <c r="E37537" s="39"/>
      <c r="F37537" s="39"/>
    </row>
    <row r="37538">
      <c r="D37538" s="39"/>
      <c r="E37538" s="39"/>
      <c r="F37538" s="39"/>
    </row>
    <row r="37539">
      <c r="D37539" s="39"/>
      <c r="E37539" s="39"/>
      <c r="F37539" s="39"/>
    </row>
    <row r="37540">
      <c r="D37540" s="39"/>
      <c r="E37540" s="39"/>
      <c r="F37540" s="39"/>
    </row>
    <row r="37541">
      <c r="D37541" s="39"/>
      <c r="E37541" s="39"/>
      <c r="F37541" s="39"/>
    </row>
    <row r="37542">
      <c r="D37542" s="39"/>
      <c r="E37542" s="39"/>
      <c r="F37542" s="39"/>
    </row>
    <row r="37543">
      <c r="D37543" s="39"/>
      <c r="E37543" s="39"/>
      <c r="F37543" s="39"/>
    </row>
    <row r="37544">
      <c r="D37544" s="39"/>
      <c r="E37544" s="39"/>
      <c r="F37544" s="39"/>
    </row>
    <row r="37545">
      <c r="D37545" s="39"/>
      <c r="E37545" s="39"/>
      <c r="F37545" s="39"/>
    </row>
    <row r="37546">
      <c r="D37546" s="39"/>
      <c r="E37546" s="39"/>
      <c r="F37546" s="39"/>
    </row>
    <row r="37547">
      <c r="D37547" s="39"/>
      <c r="E37547" s="39"/>
      <c r="F37547" s="39"/>
    </row>
    <row r="37548">
      <c r="D37548" s="39"/>
      <c r="E37548" s="39"/>
      <c r="F37548" s="39"/>
    </row>
    <row r="37549">
      <c r="D37549" s="39"/>
      <c r="E37549" s="39"/>
      <c r="F37549" s="39"/>
    </row>
    <row r="37550">
      <c r="D37550" s="39"/>
      <c r="E37550" s="39"/>
      <c r="F37550" s="39"/>
    </row>
    <row r="37551">
      <c r="D37551" s="39"/>
      <c r="E37551" s="39"/>
      <c r="F37551" s="39"/>
    </row>
    <row r="37552">
      <c r="D37552" s="39"/>
      <c r="E37552" s="39"/>
      <c r="F37552" s="39"/>
    </row>
    <row r="37553">
      <c r="D37553" s="39"/>
      <c r="E37553" s="39"/>
      <c r="F37553" s="39"/>
    </row>
    <row r="37554">
      <c r="D37554" s="39"/>
      <c r="E37554" s="39"/>
      <c r="F37554" s="39"/>
    </row>
    <row r="37555">
      <c r="D37555" s="39"/>
      <c r="E37555" s="39"/>
      <c r="F37555" s="39"/>
    </row>
    <row r="37556">
      <c r="D37556" s="39"/>
      <c r="E37556" s="39"/>
      <c r="F37556" s="39"/>
    </row>
    <row r="37557">
      <c r="D37557" s="39"/>
      <c r="E37557" s="39"/>
      <c r="F37557" s="39"/>
    </row>
    <row r="37558">
      <c r="D37558" s="39"/>
      <c r="E37558" s="39"/>
      <c r="F37558" s="39"/>
    </row>
    <row r="37559">
      <c r="D37559" s="39"/>
      <c r="E37559" s="39"/>
      <c r="F37559" s="39"/>
    </row>
    <row r="37560">
      <c r="D37560" s="39"/>
      <c r="E37560" s="39"/>
      <c r="F37560" s="39"/>
    </row>
    <row r="37561">
      <c r="D37561" s="39"/>
      <c r="E37561" s="39"/>
      <c r="F37561" s="39"/>
    </row>
    <row r="37562">
      <c r="D37562" s="39"/>
      <c r="E37562" s="39"/>
      <c r="F37562" s="39"/>
    </row>
    <row r="37563">
      <c r="D37563" s="39"/>
      <c r="E37563" s="39"/>
      <c r="F37563" s="39"/>
    </row>
    <row r="37564">
      <c r="D37564" s="39"/>
      <c r="E37564" s="39"/>
      <c r="F37564" s="39"/>
    </row>
    <row r="37565">
      <c r="D37565" s="39"/>
      <c r="E37565" s="39"/>
      <c r="F37565" s="39"/>
    </row>
    <row r="37566">
      <c r="D37566" s="39"/>
      <c r="E37566" s="39"/>
      <c r="F37566" s="39"/>
    </row>
    <row r="37567">
      <c r="D37567" s="39"/>
      <c r="E37567" s="39"/>
      <c r="F37567" s="39"/>
    </row>
    <row r="37568">
      <c r="D37568" s="39"/>
      <c r="E37568" s="39"/>
      <c r="F37568" s="39"/>
    </row>
    <row r="37569">
      <c r="D37569" s="39"/>
      <c r="E37569" s="39"/>
      <c r="F37569" s="39"/>
    </row>
    <row r="37570">
      <c r="D37570" s="39"/>
      <c r="E37570" s="39"/>
      <c r="F37570" s="39"/>
    </row>
    <row r="37571">
      <c r="D37571" s="39"/>
      <c r="E37571" s="39"/>
      <c r="F37571" s="39"/>
    </row>
    <row r="37572">
      <c r="D37572" s="39"/>
      <c r="E37572" s="39"/>
      <c r="F37572" s="39"/>
    </row>
    <row r="37573">
      <c r="D37573" s="39"/>
      <c r="E37573" s="39"/>
      <c r="F37573" s="39"/>
    </row>
    <row r="37574">
      <c r="D37574" s="39"/>
      <c r="E37574" s="39"/>
      <c r="F37574" s="39"/>
    </row>
    <row r="37575">
      <c r="D37575" s="39"/>
      <c r="E37575" s="39"/>
      <c r="F37575" s="39"/>
    </row>
    <row r="37576">
      <c r="D37576" s="39"/>
      <c r="E37576" s="39"/>
      <c r="F37576" s="39"/>
    </row>
    <row r="37577">
      <c r="D37577" s="39"/>
      <c r="E37577" s="39"/>
      <c r="F37577" s="39"/>
    </row>
    <row r="37578">
      <c r="D37578" s="39"/>
      <c r="E37578" s="39"/>
      <c r="F37578" s="39"/>
    </row>
    <row r="37579">
      <c r="D37579" s="39"/>
      <c r="E37579" s="39"/>
      <c r="F37579" s="39"/>
    </row>
    <row r="37580">
      <c r="D37580" s="39"/>
      <c r="E37580" s="39"/>
      <c r="F37580" s="39"/>
    </row>
    <row r="37581">
      <c r="D37581" s="39"/>
      <c r="E37581" s="39"/>
      <c r="F37581" s="39"/>
    </row>
    <row r="37582">
      <c r="D37582" s="39"/>
      <c r="E37582" s="39"/>
      <c r="F37582" s="39"/>
    </row>
    <row r="37583">
      <c r="D37583" s="39"/>
      <c r="E37583" s="39"/>
      <c r="F37583" s="39"/>
    </row>
    <row r="37584">
      <c r="D37584" s="39"/>
      <c r="E37584" s="39"/>
      <c r="F37584" s="39"/>
    </row>
    <row r="37585">
      <c r="D37585" s="39"/>
      <c r="E37585" s="39"/>
      <c r="F37585" s="39"/>
    </row>
    <row r="37586">
      <c r="D37586" s="39"/>
      <c r="E37586" s="39"/>
      <c r="F37586" s="39"/>
    </row>
    <row r="37587">
      <c r="D37587" s="39"/>
      <c r="E37587" s="39"/>
      <c r="F37587" s="39"/>
    </row>
    <row r="37588">
      <c r="D37588" s="39"/>
      <c r="E37588" s="39"/>
      <c r="F37588" s="39"/>
    </row>
    <row r="37589">
      <c r="D37589" s="39"/>
      <c r="E37589" s="39"/>
      <c r="F37589" s="39"/>
    </row>
    <row r="37590">
      <c r="D37590" s="39"/>
      <c r="E37590" s="39"/>
      <c r="F37590" s="39"/>
    </row>
    <row r="37591">
      <c r="D37591" s="39"/>
      <c r="E37591" s="39"/>
      <c r="F37591" s="39"/>
    </row>
    <row r="37592">
      <c r="D37592" s="39"/>
      <c r="E37592" s="39"/>
      <c r="F37592" s="39"/>
    </row>
    <row r="37593">
      <c r="D37593" s="39"/>
      <c r="E37593" s="39"/>
      <c r="F37593" s="39"/>
    </row>
    <row r="37594">
      <c r="D37594" s="39"/>
      <c r="E37594" s="39"/>
      <c r="F37594" s="39"/>
    </row>
    <row r="37595">
      <c r="D37595" s="39"/>
      <c r="E37595" s="39"/>
      <c r="F37595" s="39"/>
    </row>
    <row r="37596">
      <c r="D37596" s="39"/>
      <c r="E37596" s="39"/>
      <c r="F37596" s="39"/>
    </row>
    <row r="37597">
      <c r="D37597" s="39"/>
      <c r="E37597" s="39"/>
      <c r="F37597" s="39"/>
    </row>
    <row r="37598">
      <c r="D37598" s="39"/>
      <c r="E37598" s="39"/>
      <c r="F37598" s="39"/>
    </row>
    <row r="37599">
      <c r="D37599" s="39"/>
      <c r="E37599" s="39"/>
      <c r="F37599" s="39"/>
    </row>
    <row r="37600">
      <c r="D37600" s="39"/>
      <c r="E37600" s="39"/>
      <c r="F37600" s="39"/>
    </row>
    <row r="37601">
      <c r="D37601" s="39"/>
      <c r="E37601" s="39"/>
      <c r="F37601" s="39"/>
    </row>
    <row r="37602">
      <c r="D37602" s="39"/>
      <c r="E37602" s="39"/>
      <c r="F37602" s="39"/>
    </row>
    <row r="37603">
      <c r="D37603" s="39"/>
      <c r="E37603" s="39"/>
      <c r="F37603" s="39"/>
    </row>
    <row r="37604">
      <c r="D37604" s="39"/>
      <c r="E37604" s="39"/>
      <c r="F37604" s="39"/>
    </row>
    <row r="37605">
      <c r="D37605" s="39"/>
      <c r="E37605" s="39"/>
      <c r="F37605" s="39"/>
    </row>
    <row r="37606">
      <c r="D37606" s="39"/>
      <c r="E37606" s="39"/>
      <c r="F37606" s="39"/>
    </row>
    <row r="37607">
      <c r="D37607" s="39"/>
      <c r="E37607" s="39"/>
      <c r="F37607" s="39"/>
    </row>
    <row r="37608">
      <c r="D37608" s="39"/>
      <c r="E37608" s="39"/>
      <c r="F37608" s="39"/>
    </row>
    <row r="37609">
      <c r="D37609" s="39"/>
      <c r="E37609" s="39"/>
      <c r="F37609" s="39"/>
    </row>
    <row r="37610">
      <c r="D37610" s="39"/>
      <c r="E37610" s="39"/>
      <c r="F37610" s="39"/>
    </row>
    <row r="37611">
      <c r="D37611" s="39"/>
      <c r="E37611" s="39"/>
      <c r="F37611" s="39"/>
    </row>
    <row r="37612">
      <c r="D37612" s="39"/>
      <c r="E37612" s="39"/>
      <c r="F37612" s="39"/>
    </row>
    <row r="37613">
      <c r="D37613" s="39"/>
      <c r="E37613" s="39"/>
      <c r="F37613" s="39"/>
    </row>
    <row r="37614">
      <c r="D37614" s="39"/>
      <c r="E37614" s="39"/>
      <c r="F37614" s="39"/>
    </row>
    <row r="37615">
      <c r="D37615" s="39"/>
      <c r="E37615" s="39"/>
      <c r="F37615" s="39"/>
    </row>
    <row r="37616">
      <c r="D37616" s="39"/>
      <c r="E37616" s="39"/>
      <c r="F37616" s="39"/>
    </row>
    <row r="37617">
      <c r="D37617" s="39"/>
      <c r="E37617" s="39"/>
      <c r="F37617" s="39"/>
    </row>
    <row r="37618">
      <c r="D37618" s="39"/>
      <c r="E37618" s="39"/>
      <c r="F37618" s="39"/>
    </row>
    <row r="37619">
      <c r="D37619" s="39"/>
      <c r="E37619" s="39"/>
      <c r="F37619" s="39"/>
    </row>
    <row r="37620">
      <c r="D37620" s="39"/>
      <c r="E37620" s="39"/>
      <c r="F37620" s="39"/>
    </row>
    <row r="37621">
      <c r="D37621" s="39"/>
      <c r="E37621" s="39"/>
      <c r="F37621" s="39"/>
    </row>
    <row r="37622">
      <c r="D37622" s="39"/>
      <c r="E37622" s="39"/>
      <c r="F37622" s="39"/>
    </row>
    <row r="37623">
      <c r="D37623" s="39"/>
      <c r="E37623" s="39"/>
      <c r="F37623" s="39"/>
    </row>
    <row r="37624">
      <c r="D37624" s="39"/>
      <c r="E37624" s="39"/>
      <c r="F37624" s="39"/>
    </row>
    <row r="37625">
      <c r="D37625" s="39"/>
      <c r="E37625" s="39"/>
      <c r="F37625" s="39"/>
    </row>
    <row r="37626">
      <c r="D37626" s="39"/>
      <c r="E37626" s="39"/>
      <c r="F37626" s="39"/>
    </row>
    <row r="37627">
      <c r="D37627" s="39"/>
      <c r="E37627" s="39"/>
      <c r="F37627" s="39"/>
    </row>
    <row r="37628">
      <c r="D37628" s="39"/>
      <c r="E37628" s="39"/>
      <c r="F37628" s="39"/>
    </row>
    <row r="37629">
      <c r="D37629" s="39"/>
      <c r="E37629" s="39"/>
      <c r="F37629" s="39"/>
    </row>
    <row r="37630">
      <c r="D37630" s="39"/>
      <c r="E37630" s="39"/>
      <c r="F37630" s="39"/>
    </row>
    <row r="37631">
      <c r="D37631" s="39"/>
      <c r="E37631" s="39"/>
      <c r="F37631" s="39"/>
    </row>
    <row r="37632">
      <c r="D37632" s="39"/>
      <c r="E37632" s="39"/>
      <c r="F37632" s="39"/>
    </row>
    <row r="37633">
      <c r="D37633" s="39"/>
      <c r="E37633" s="39"/>
      <c r="F37633" s="39"/>
    </row>
    <row r="37634">
      <c r="D37634" s="39"/>
      <c r="E37634" s="39"/>
      <c r="F37634" s="39"/>
    </row>
    <row r="37635">
      <c r="D37635" s="39"/>
      <c r="E37635" s="39"/>
      <c r="F37635" s="39"/>
    </row>
    <row r="37636">
      <c r="D37636" s="39"/>
      <c r="E37636" s="39"/>
      <c r="F37636" s="39"/>
    </row>
    <row r="37637">
      <c r="D37637" s="39"/>
      <c r="E37637" s="39"/>
      <c r="F37637" s="39"/>
    </row>
    <row r="37638">
      <c r="D37638" s="39"/>
      <c r="E37638" s="39"/>
      <c r="F37638" s="39"/>
    </row>
    <row r="37639">
      <c r="D37639" s="39"/>
      <c r="E37639" s="39"/>
      <c r="F37639" s="39"/>
    </row>
    <row r="37640">
      <c r="D37640" s="39"/>
      <c r="E37640" s="39"/>
      <c r="F37640" s="39"/>
    </row>
    <row r="37641">
      <c r="D37641" s="39"/>
      <c r="E37641" s="39"/>
      <c r="F37641" s="39"/>
    </row>
    <row r="37642">
      <c r="D37642" s="39"/>
      <c r="E37642" s="39"/>
      <c r="F37642" s="39"/>
    </row>
    <row r="37643">
      <c r="D37643" s="39"/>
      <c r="E37643" s="39"/>
      <c r="F37643" s="39"/>
    </row>
    <row r="37644">
      <c r="D37644" s="39"/>
      <c r="E37644" s="39"/>
      <c r="F37644" s="39"/>
    </row>
    <row r="37645">
      <c r="D37645" s="39"/>
      <c r="E37645" s="39"/>
      <c r="F37645" s="39"/>
    </row>
    <row r="37646">
      <c r="D37646" s="39"/>
      <c r="E37646" s="39"/>
      <c r="F37646" s="39"/>
    </row>
    <row r="37647">
      <c r="D37647" s="39"/>
      <c r="E37647" s="39"/>
      <c r="F37647" s="39"/>
    </row>
    <row r="37648">
      <c r="D37648" s="39"/>
      <c r="E37648" s="39"/>
      <c r="F37648" s="39"/>
    </row>
    <row r="37649">
      <c r="D37649" s="39"/>
      <c r="E37649" s="39"/>
      <c r="F37649" s="39"/>
    </row>
    <row r="37650">
      <c r="D37650" s="39"/>
      <c r="E37650" s="39"/>
      <c r="F37650" s="39"/>
    </row>
    <row r="37651">
      <c r="D37651" s="39"/>
      <c r="E37651" s="39"/>
      <c r="F37651" s="39"/>
    </row>
    <row r="37652">
      <c r="D37652" s="39"/>
      <c r="E37652" s="39"/>
      <c r="F37652" s="39"/>
    </row>
    <row r="37653">
      <c r="D37653" s="39"/>
      <c r="E37653" s="39"/>
      <c r="F37653" s="39"/>
    </row>
    <row r="37654">
      <c r="D37654" s="39"/>
      <c r="E37654" s="39"/>
      <c r="F37654" s="39"/>
    </row>
    <row r="37655">
      <c r="D37655" s="39"/>
      <c r="E37655" s="39"/>
      <c r="F37655" s="39"/>
    </row>
    <row r="37656">
      <c r="D37656" s="39"/>
      <c r="E37656" s="39"/>
      <c r="F37656" s="39"/>
    </row>
    <row r="37657">
      <c r="D37657" s="39"/>
      <c r="E37657" s="39"/>
      <c r="F37657" s="39"/>
    </row>
    <row r="37658">
      <c r="D37658" s="39"/>
      <c r="E37658" s="39"/>
      <c r="F37658" s="39"/>
    </row>
    <row r="37659">
      <c r="D37659" s="39"/>
      <c r="E37659" s="39"/>
      <c r="F37659" s="39"/>
    </row>
    <row r="37660">
      <c r="D37660" s="39"/>
      <c r="E37660" s="39"/>
      <c r="F37660" s="39"/>
    </row>
    <row r="37661">
      <c r="D37661" s="39"/>
      <c r="E37661" s="39"/>
      <c r="F37661" s="39"/>
    </row>
    <row r="37662">
      <c r="D37662" s="39"/>
      <c r="E37662" s="39"/>
      <c r="F37662" s="39"/>
    </row>
    <row r="37663">
      <c r="D37663" s="39"/>
      <c r="E37663" s="39"/>
      <c r="F37663" s="39"/>
    </row>
    <row r="37664">
      <c r="D37664" s="39"/>
      <c r="E37664" s="39"/>
      <c r="F37664" s="39"/>
    </row>
    <row r="37665">
      <c r="D37665" s="39"/>
      <c r="E37665" s="39"/>
      <c r="F37665" s="39"/>
    </row>
    <row r="37666">
      <c r="D37666" s="39"/>
      <c r="E37666" s="39"/>
      <c r="F37666" s="39"/>
    </row>
    <row r="37667">
      <c r="D37667" s="39"/>
      <c r="E37667" s="39"/>
      <c r="F37667" s="39"/>
    </row>
    <row r="37668">
      <c r="D37668" s="39"/>
      <c r="E37668" s="39"/>
      <c r="F37668" s="39"/>
    </row>
    <row r="37669">
      <c r="D37669" s="39"/>
      <c r="E37669" s="39"/>
      <c r="F37669" s="39"/>
    </row>
    <row r="37670">
      <c r="D37670" s="39"/>
      <c r="E37670" s="39"/>
      <c r="F37670" s="39"/>
    </row>
    <row r="37671">
      <c r="D37671" s="39"/>
      <c r="E37671" s="39"/>
      <c r="F37671" s="39"/>
    </row>
    <row r="37672">
      <c r="D37672" s="39"/>
      <c r="E37672" s="39"/>
      <c r="F37672" s="39"/>
    </row>
    <row r="37673">
      <c r="D37673" s="39"/>
      <c r="E37673" s="39"/>
      <c r="F37673" s="39"/>
    </row>
    <row r="37674">
      <c r="D37674" s="39"/>
      <c r="E37674" s="39"/>
      <c r="F37674" s="39"/>
    </row>
    <row r="37675">
      <c r="D37675" s="39"/>
      <c r="E37675" s="39"/>
      <c r="F37675" s="39"/>
    </row>
    <row r="37676">
      <c r="D37676" s="39"/>
      <c r="E37676" s="39"/>
      <c r="F37676" s="39"/>
    </row>
    <row r="37677">
      <c r="D37677" s="39"/>
      <c r="E37677" s="39"/>
      <c r="F37677" s="39"/>
    </row>
    <row r="37678">
      <c r="D37678" s="39"/>
      <c r="E37678" s="39"/>
      <c r="F37678" s="39"/>
    </row>
    <row r="37679">
      <c r="D37679" s="39"/>
      <c r="E37679" s="39"/>
      <c r="F37679" s="39"/>
    </row>
    <row r="37680">
      <c r="D37680" s="39"/>
      <c r="E37680" s="39"/>
      <c r="F37680" s="39"/>
    </row>
    <row r="37681">
      <c r="D37681" s="39"/>
      <c r="E37681" s="39"/>
      <c r="F37681" s="39"/>
    </row>
    <row r="37682">
      <c r="D37682" s="39"/>
      <c r="E37682" s="39"/>
      <c r="F37682" s="39"/>
    </row>
    <row r="37683">
      <c r="D37683" s="39"/>
      <c r="E37683" s="39"/>
      <c r="F37683" s="39"/>
    </row>
    <row r="37684">
      <c r="D37684" s="39"/>
      <c r="E37684" s="39"/>
      <c r="F37684" s="39"/>
    </row>
    <row r="37685">
      <c r="D37685" s="39"/>
      <c r="E37685" s="39"/>
      <c r="F37685" s="39"/>
    </row>
    <row r="37686">
      <c r="D37686" s="39"/>
      <c r="E37686" s="39"/>
      <c r="F37686" s="39"/>
    </row>
    <row r="37687">
      <c r="D37687" s="39"/>
      <c r="E37687" s="39"/>
      <c r="F37687" s="39"/>
    </row>
    <row r="37688">
      <c r="D37688" s="39"/>
      <c r="E37688" s="39"/>
      <c r="F37688" s="39"/>
    </row>
    <row r="37689">
      <c r="D37689" s="39"/>
      <c r="E37689" s="39"/>
      <c r="F37689" s="39"/>
    </row>
    <row r="37690">
      <c r="D37690" s="39"/>
      <c r="E37690" s="39"/>
      <c r="F37690" s="39"/>
    </row>
    <row r="37691">
      <c r="D37691" s="39"/>
      <c r="E37691" s="39"/>
      <c r="F37691" s="39"/>
    </row>
    <row r="37692">
      <c r="D37692" s="39"/>
      <c r="E37692" s="39"/>
      <c r="F37692" s="39"/>
    </row>
    <row r="37693">
      <c r="D37693" s="39"/>
      <c r="E37693" s="39"/>
      <c r="F37693" s="39"/>
    </row>
    <row r="37694">
      <c r="D37694" s="39"/>
      <c r="E37694" s="39"/>
      <c r="F37694" s="39"/>
    </row>
    <row r="37695">
      <c r="D37695" s="39"/>
      <c r="E37695" s="39"/>
      <c r="F37695" s="39"/>
    </row>
    <row r="37696">
      <c r="D37696" s="39"/>
      <c r="E37696" s="39"/>
      <c r="F37696" s="39"/>
    </row>
    <row r="37697">
      <c r="D37697" s="39"/>
      <c r="E37697" s="39"/>
      <c r="F37697" s="39"/>
    </row>
    <row r="37698">
      <c r="D37698" s="39"/>
      <c r="E37698" s="39"/>
      <c r="F37698" s="39"/>
    </row>
    <row r="37699">
      <c r="D37699" s="39"/>
      <c r="E37699" s="39"/>
      <c r="F37699" s="39"/>
    </row>
    <row r="37700">
      <c r="D37700" s="39"/>
      <c r="E37700" s="39"/>
      <c r="F37700" s="39"/>
    </row>
    <row r="37701">
      <c r="D37701" s="39"/>
      <c r="E37701" s="39"/>
      <c r="F37701" s="39"/>
    </row>
    <row r="37702">
      <c r="D37702" s="39"/>
      <c r="E37702" s="39"/>
      <c r="F37702" s="39"/>
    </row>
    <row r="37703">
      <c r="D37703" s="39"/>
      <c r="E37703" s="39"/>
      <c r="F37703" s="39"/>
    </row>
    <row r="37704">
      <c r="D37704" s="39"/>
      <c r="E37704" s="39"/>
      <c r="F37704" s="39"/>
    </row>
    <row r="37705">
      <c r="D37705" s="39"/>
      <c r="E37705" s="39"/>
      <c r="F37705" s="39"/>
    </row>
    <row r="37706">
      <c r="D37706" s="39"/>
      <c r="E37706" s="39"/>
      <c r="F37706" s="39"/>
    </row>
    <row r="37707">
      <c r="D37707" s="39"/>
      <c r="E37707" s="39"/>
      <c r="F37707" s="39"/>
    </row>
    <row r="37708">
      <c r="D37708" s="39"/>
      <c r="E37708" s="39"/>
      <c r="F37708" s="39"/>
    </row>
    <row r="37709">
      <c r="D37709" s="39"/>
      <c r="E37709" s="39"/>
      <c r="F37709" s="39"/>
    </row>
    <row r="37710">
      <c r="D37710" s="39"/>
      <c r="E37710" s="39"/>
      <c r="F37710" s="39"/>
    </row>
    <row r="37711">
      <c r="D37711" s="39"/>
      <c r="E37711" s="39"/>
      <c r="F37711" s="39"/>
    </row>
    <row r="37712">
      <c r="D37712" s="39"/>
      <c r="E37712" s="39"/>
      <c r="F37712" s="39"/>
    </row>
    <row r="37713">
      <c r="D37713" s="39"/>
      <c r="E37713" s="39"/>
      <c r="F37713" s="39"/>
    </row>
    <row r="37714">
      <c r="D37714" s="39"/>
      <c r="E37714" s="39"/>
      <c r="F37714" s="39"/>
    </row>
    <row r="37715">
      <c r="D37715" s="39"/>
      <c r="E37715" s="39"/>
      <c r="F37715" s="39"/>
    </row>
    <row r="37716">
      <c r="D37716" s="39"/>
      <c r="E37716" s="39"/>
      <c r="F37716" s="39"/>
    </row>
    <row r="37717">
      <c r="D37717" s="39"/>
      <c r="E37717" s="39"/>
      <c r="F37717" s="39"/>
    </row>
    <row r="37718">
      <c r="D37718" s="39"/>
      <c r="E37718" s="39"/>
      <c r="F37718" s="39"/>
    </row>
    <row r="37719">
      <c r="D37719" s="39"/>
      <c r="E37719" s="39"/>
      <c r="F37719" s="39"/>
    </row>
    <row r="37720">
      <c r="D37720" s="39"/>
      <c r="E37720" s="39"/>
      <c r="F37720" s="39"/>
    </row>
    <row r="37721">
      <c r="D37721" s="39"/>
      <c r="E37721" s="39"/>
      <c r="F37721" s="39"/>
    </row>
    <row r="37722">
      <c r="D37722" s="39"/>
      <c r="E37722" s="39"/>
      <c r="F37722" s="39"/>
    </row>
    <row r="37723">
      <c r="D37723" s="39"/>
      <c r="E37723" s="39"/>
      <c r="F37723" s="39"/>
    </row>
    <row r="37724">
      <c r="D37724" s="39"/>
      <c r="E37724" s="39"/>
      <c r="F37724" s="39"/>
    </row>
    <row r="37725">
      <c r="D37725" s="39"/>
      <c r="E37725" s="39"/>
      <c r="F37725" s="39"/>
    </row>
    <row r="37726">
      <c r="D37726" s="39"/>
      <c r="E37726" s="39"/>
      <c r="F37726" s="39"/>
    </row>
    <row r="37727">
      <c r="D37727" s="39"/>
      <c r="E37727" s="39"/>
      <c r="F37727" s="39"/>
    </row>
    <row r="37728">
      <c r="D37728" s="39"/>
      <c r="E37728" s="39"/>
      <c r="F37728" s="39"/>
    </row>
    <row r="37729">
      <c r="D37729" s="39"/>
      <c r="E37729" s="39"/>
      <c r="F37729" s="39"/>
    </row>
    <row r="37730">
      <c r="D37730" s="39"/>
      <c r="E37730" s="39"/>
      <c r="F37730" s="39"/>
    </row>
    <row r="37731">
      <c r="D37731" s="39"/>
      <c r="E37731" s="39"/>
      <c r="F37731" s="39"/>
    </row>
    <row r="37732">
      <c r="D37732" s="39"/>
      <c r="E37732" s="39"/>
      <c r="F37732" s="39"/>
    </row>
    <row r="37733">
      <c r="D37733" s="39"/>
      <c r="E37733" s="39"/>
      <c r="F37733" s="39"/>
    </row>
    <row r="37734">
      <c r="D37734" s="39"/>
      <c r="E37734" s="39"/>
      <c r="F37734" s="39"/>
    </row>
    <row r="37735">
      <c r="D37735" s="39"/>
      <c r="E37735" s="39"/>
      <c r="F37735" s="39"/>
    </row>
    <row r="37736">
      <c r="D37736" s="39"/>
      <c r="E37736" s="39"/>
      <c r="F37736" s="39"/>
    </row>
    <row r="37737">
      <c r="D37737" s="39"/>
      <c r="E37737" s="39"/>
      <c r="F37737" s="39"/>
    </row>
    <row r="37738">
      <c r="D37738" s="39"/>
      <c r="E37738" s="39"/>
      <c r="F37738" s="39"/>
    </row>
    <row r="37739">
      <c r="D37739" s="39"/>
      <c r="E37739" s="39"/>
      <c r="F37739" s="39"/>
    </row>
    <row r="37740">
      <c r="D37740" s="39"/>
      <c r="E37740" s="39"/>
      <c r="F37740" s="39"/>
    </row>
    <row r="37741">
      <c r="D37741" s="39"/>
      <c r="E37741" s="39"/>
      <c r="F37741" s="39"/>
    </row>
    <row r="37742">
      <c r="D37742" s="39"/>
      <c r="E37742" s="39"/>
      <c r="F37742" s="39"/>
    </row>
    <row r="37743">
      <c r="D37743" s="39"/>
      <c r="E37743" s="39"/>
      <c r="F37743" s="39"/>
    </row>
    <row r="37744">
      <c r="D37744" s="39"/>
      <c r="E37744" s="39"/>
      <c r="F37744" s="39"/>
    </row>
    <row r="37745">
      <c r="D37745" s="39"/>
      <c r="E37745" s="39"/>
      <c r="F37745" s="39"/>
    </row>
    <row r="37746">
      <c r="D37746" s="39"/>
      <c r="E37746" s="39"/>
      <c r="F37746" s="39"/>
    </row>
    <row r="37747">
      <c r="D37747" s="39"/>
      <c r="E37747" s="39"/>
      <c r="F37747" s="39"/>
    </row>
    <row r="37748">
      <c r="D37748" s="39"/>
      <c r="E37748" s="39"/>
      <c r="F37748" s="39"/>
    </row>
    <row r="37749">
      <c r="D37749" s="39"/>
      <c r="E37749" s="39"/>
      <c r="F37749" s="39"/>
    </row>
    <row r="37750">
      <c r="D37750" s="39"/>
      <c r="E37750" s="39"/>
      <c r="F37750" s="39"/>
    </row>
    <row r="37751">
      <c r="D37751" s="39"/>
      <c r="E37751" s="39"/>
      <c r="F37751" s="39"/>
    </row>
    <row r="37752">
      <c r="D37752" s="39"/>
      <c r="E37752" s="39"/>
      <c r="F37752" s="39"/>
    </row>
    <row r="37753">
      <c r="D37753" s="39"/>
      <c r="E37753" s="39"/>
      <c r="F37753" s="39"/>
    </row>
    <row r="37754">
      <c r="D37754" s="39"/>
      <c r="E37754" s="39"/>
      <c r="F37754" s="39"/>
    </row>
    <row r="37755">
      <c r="D37755" s="39"/>
      <c r="E37755" s="39"/>
      <c r="F37755" s="39"/>
    </row>
    <row r="37756">
      <c r="D37756" s="39"/>
      <c r="E37756" s="39"/>
      <c r="F37756" s="39"/>
    </row>
    <row r="37757">
      <c r="D37757" s="39"/>
      <c r="E37757" s="39"/>
      <c r="F37757" s="39"/>
    </row>
    <row r="37758">
      <c r="D37758" s="39"/>
      <c r="E37758" s="39"/>
      <c r="F37758" s="39"/>
    </row>
    <row r="37759">
      <c r="D37759" s="39"/>
      <c r="E37759" s="39"/>
      <c r="F37759" s="39"/>
    </row>
    <row r="37760">
      <c r="D37760" s="39"/>
      <c r="E37760" s="39"/>
      <c r="F37760" s="39"/>
    </row>
    <row r="37761">
      <c r="D37761" s="39"/>
      <c r="E37761" s="39"/>
      <c r="F37761" s="39"/>
    </row>
    <row r="37762">
      <c r="D37762" s="39"/>
      <c r="E37762" s="39"/>
      <c r="F37762" s="39"/>
    </row>
    <row r="37763">
      <c r="D37763" s="39"/>
      <c r="E37763" s="39"/>
      <c r="F37763" s="39"/>
    </row>
    <row r="37764">
      <c r="D37764" s="39"/>
      <c r="E37764" s="39"/>
      <c r="F37764" s="39"/>
    </row>
    <row r="37765">
      <c r="D37765" s="39"/>
      <c r="E37765" s="39"/>
      <c r="F37765" s="39"/>
    </row>
    <row r="37766">
      <c r="D37766" s="39"/>
      <c r="E37766" s="39"/>
      <c r="F37766" s="39"/>
    </row>
    <row r="37767">
      <c r="D37767" s="39"/>
      <c r="E37767" s="39"/>
      <c r="F37767" s="39"/>
    </row>
    <row r="37768">
      <c r="D37768" s="39"/>
      <c r="E37768" s="39"/>
      <c r="F37768" s="39"/>
    </row>
    <row r="37769">
      <c r="D37769" s="39"/>
      <c r="E37769" s="39"/>
      <c r="F37769" s="39"/>
    </row>
    <row r="37770">
      <c r="D37770" s="39"/>
      <c r="E37770" s="39"/>
      <c r="F37770" s="39"/>
    </row>
    <row r="37771">
      <c r="D37771" s="39"/>
      <c r="E37771" s="39"/>
      <c r="F37771" s="39"/>
    </row>
    <row r="37772">
      <c r="D37772" s="39"/>
      <c r="E37772" s="39"/>
      <c r="F37772" s="39"/>
    </row>
    <row r="37773">
      <c r="D37773" s="39"/>
      <c r="E37773" s="39"/>
      <c r="F37773" s="39"/>
    </row>
    <row r="37774">
      <c r="D37774" s="39"/>
      <c r="E37774" s="39"/>
      <c r="F37774" s="39"/>
    </row>
    <row r="37775">
      <c r="D37775" s="39"/>
      <c r="E37775" s="39"/>
      <c r="F37775" s="39"/>
    </row>
    <row r="37776">
      <c r="D37776" s="39"/>
      <c r="E37776" s="39"/>
      <c r="F37776" s="39"/>
    </row>
    <row r="37777">
      <c r="D37777" s="39"/>
      <c r="E37777" s="39"/>
      <c r="F37777" s="39"/>
    </row>
    <row r="37778">
      <c r="D37778" s="39"/>
      <c r="E37778" s="39"/>
      <c r="F37778" s="39"/>
    </row>
    <row r="37779">
      <c r="D37779" s="39"/>
      <c r="E37779" s="39"/>
      <c r="F37779" s="39"/>
    </row>
    <row r="37780">
      <c r="D37780" s="39"/>
      <c r="E37780" s="39"/>
      <c r="F37780" s="39"/>
    </row>
    <row r="37781">
      <c r="D37781" s="39"/>
      <c r="E37781" s="39"/>
      <c r="F37781" s="39"/>
    </row>
    <row r="37782">
      <c r="D37782" s="39"/>
      <c r="E37782" s="39"/>
      <c r="F37782" s="39"/>
    </row>
    <row r="37783">
      <c r="D37783" s="39"/>
      <c r="E37783" s="39"/>
      <c r="F37783" s="39"/>
    </row>
    <row r="37784">
      <c r="D37784" s="39"/>
      <c r="E37784" s="39"/>
      <c r="F37784" s="39"/>
    </row>
    <row r="37785">
      <c r="D37785" s="39"/>
      <c r="E37785" s="39"/>
      <c r="F37785" s="39"/>
    </row>
    <row r="37786">
      <c r="D37786" s="39"/>
      <c r="E37786" s="39"/>
      <c r="F37786" s="39"/>
    </row>
    <row r="37787">
      <c r="D37787" s="39"/>
      <c r="E37787" s="39"/>
      <c r="F37787" s="39"/>
    </row>
    <row r="37788">
      <c r="D37788" s="39"/>
      <c r="E37788" s="39"/>
      <c r="F37788" s="39"/>
    </row>
    <row r="37789">
      <c r="D37789" s="39"/>
      <c r="E37789" s="39"/>
      <c r="F37789" s="39"/>
    </row>
    <row r="37790">
      <c r="D37790" s="39"/>
      <c r="E37790" s="39"/>
      <c r="F37790" s="39"/>
    </row>
    <row r="37791">
      <c r="D37791" s="39"/>
      <c r="E37791" s="39"/>
      <c r="F37791" s="39"/>
    </row>
    <row r="37792">
      <c r="D37792" s="39"/>
      <c r="E37792" s="39"/>
      <c r="F37792" s="39"/>
    </row>
    <row r="37793">
      <c r="D37793" s="39"/>
      <c r="E37793" s="39"/>
      <c r="F37793" s="39"/>
    </row>
    <row r="37794">
      <c r="D37794" s="39"/>
      <c r="E37794" s="39"/>
      <c r="F37794" s="39"/>
    </row>
    <row r="37795">
      <c r="D37795" s="39"/>
      <c r="E37795" s="39"/>
      <c r="F37795" s="39"/>
    </row>
    <row r="37796">
      <c r="D37796" s="39"/>
      <c r="E37796" s="39"/>
      <c r="F37796" s="39"/>
    </row>
    <row r="37797">
      <c r="D37797" s="39"/>
      <c r="E37797" s="39"/>
      <c r="F37797" s="39"/>
    </row>
    <row r="37798">
      <c r="D37798" s="39"/>
      <c r="E37798" s="39"/>
      <c r="F37798" s="39"/>
    </row>
    <row r="37799">
      <c r="D37799" s="39"/>
      <c r="E37799" s="39"/>
      <c r="F37799" s="39"/>
    </row>
    <row r="37800">
      <c r="D37800" s="39"/>
      <c r="E37800" s="39"/>
      <c r="F37800" s="39"/>
    </row>
    <row r="37801">
      <c r="D37801" s="39"/>
      <c r="E37801" s="39"/>
      <c r="F37801" s="39"/>
    </row>
    <row r="37802">
      <c r="D37802" s="39"/>
      <c r="E37802" s="39"/>
      <c r="F37802" s="39"/>
    </row>
    <row r="37803">
      <c r="D37803" s="39"/>
      <c r="E37803" s="39"/>
      <c r="F37803" s="39"/>
    </row>
    <row r="37804">
      <c r="D37804" s="39"/>
      <c r="E37804" s="39"/>
      <c r="F37804" s="39"/>
    </row>
    <row r="37805">
      <c r="D37805" s="39"/>
      <c r="E37805" s="39"/>
      <c r="F37805" s="39"/>
    </row>
    <row r="37806">
      <c r="D37806" s="39"/>
      <c r="E37806" s="39"/>
      <c r="F37806" s="39"/>
    </row>
    <row r="37807">
      <c r="D37807" s="39"/>
      <c r="E37807" s="39"/>
      <c r="F37807" s="39"/>
    </row>
    <row r="37808">
      <c r="D37808" s="39"/>
      <c r="E37808" s="39"/>
      <c r="F37808" s="39"/>
    </row>
    <row r="37809">
      <c r="D37809" s="39"/>
      <c r="E37809" s="39"/>
      <c r="F37809" s="39"/>
    </row>
    <row r="37810">
      <c r="D37810" s="39"/>
      <c r="E37810" s="39"/>
      <c r="F37810" s="39"/>
    </row>
    <row r="37811">
      <c r="D37811" s="39"/>
      <c r="E37811" s="39"/>
      <c r="F37811" s="39"/>
    </row>
    <row r="37812">
      <c r="D37812" s="39"/>
      <c r="E37812" s="39"/>
      <c r="F37812" s="39"/>
    </row>
    <row r="37813">
      <c r="D37813" s="39"/>
      <c r="E37813" s="39"/>
      <c r="F37813" s="39"/>
    </row>
    <row r="37814">
      <c r="D37814" s="39"/>
      <c r="E37814" s="39"/>
      <c r="F37814" s="39"/>
    </row>
    <row r="37815">
      <c r="D37815" s="39"/>
      <c r="E37815" s="39"/>
      <c r="F37815" s="39"/>
    </row>
    <row r="37816">
      <c r="D37816" s="39"/>
      <c r="E37816" s="39"/>
      <c r="F37816" s="39"/>
    </row>
    <row r="37817">
      <c r="D37817" s="39"/>
      <c r="E37817" s="39"/>
      <c r="F37817" s="39"/>
    </row>
    <row r="37818">
      <c r="D37818" s="39"/>
      <c r="E37818" s="39"/>
      <c r="F37818" s="39"/>
    </row>
    <row r="37819">
      <c r="D37819" s="39"/>
      <c r="E37819" s="39"/>
      <c r="F37819" s="39"/>
    </row>
    <row r="37820">
      <c r="D37820" s="39"/>
      <c r="E37820" s="39"/>
      <c r="F37820" s="39"/>
    </row>
    <row r="37821">
      <c r="D37821" s="39"/>
      <c r="E37821" s="39"/>
      <c r="F37821" s="39"/>
    </row>
    <row r="37822">
      <c r="D37822" s="39"/>
      <c r="E37822" s="39"/>
      <c r="F37822" s="39"/>
    </row>
    <row r="37823">
      <c r="D37823" s="39"/>
      <c r="E37823" s="39"/>
      <c r="F37823" s="39"/>
    </row>
    <row r="37824">
      <c r="D37824" s="39"/>
      <c r="E37824" s="39"/>
      <c r="F37824" s="39"/>
    </row>
    <row r="37825">
      <c r="D37825" s="39"/>
      <c r="E37825" s="39"/>
      <c r="F37825" s="39"/>
    </row>
    <row r="37826">
      <c r="D37826" s="39"/>
      <c r="E37826" s="39"/>
      <c r="F37826" s="39"/>
    </row>
    <row r="37827">
      <c r="D37827" s="39"/>
      <c r="E37827" s="39"/>
      <c r="F37827" s="39"/>
    </row>
    <row r="37828">
      <c r="D37828" s="39"/>
      <c r="E37828" s="39"/>
      <c r="F37828" s="39"/>
    </row>
    <row r="37829">
      <c r="D37829" s="39"/>
      <c r="E37829" s="39"/>
      <c r="F37829" s="39"/>
    </row>
    <row r="37830">
      <c r="D37830" s="39"/>
      <c r="E37830" s="39"/>
      <c r="F37830" s="39"/>
    </row>
    <row r="37831">
      <c r="D37831" s="39"/>
      <c r="E37831" s="39"/>
      <c r="F37831" s="39"/>
    </row>
    <row r="37832">
      <c r="D37832" s="39"/>
      <c r="E37832" s="39"/>
      <c r="F37832" s="39"/>
    </row>
    <row r="37833">
      <c r="D37833" s="39"/>
      <c r="E37833" s="39"/>
      <c r="F37833" s="39"/>
    </row>
    <row r="37834">
      <c r="D37834" s="39"/>
      <c r="E37834" s="39"/>
      <c r="F37834" s="39"/>
    </row>
    <row r="37835">
      <c r="D37835" s="39"/>
      <c r="E37835" s="39"/>
      <c r="F37835" s="39"/>
    </row>
    <row r="37836">
      <c r="D37836" s="39"/>
      <c r="E37836" s="39"/>
      <c r="F37836" s="39"/>
    </row>
    <row r="37837">
      <c r="D37837" s="39"/>
      <c r="E37837" s="39"/>
      <c r="F37837" s="39"/>
    </row>
    <row r="37838">
      <c r="D37838" s="39"/>
      <c r="E37838" s="39"/>
      <c r="F37838" s="39"/>
    </row>
    <row r="37839">
      <c r="D37839" s="39"/>
      <c r="E37839" s="39"/>
      <c r="F37839" s="39"/>
    </row>
    <row r="37840">
      <c r="D37840" s="39"/>
      <c r="E37840" s="39"/>
      <c r="F37840" s="39"/>
    </row>
    <row r="37841">
      <c r="D37841" s="39"/>
      <c r="E37841" s="39"/>
      <c r="F37841" s="39"/>
    </row>
    <row r="37842">
      <c r="D37842" s="39"/>
      <c r="E37842" s="39"/>
      <c r="F37842" s="39"/>
    </row>
    <row r="37843">
      <c r="D37843" s="39"/>
      <c r="E37843" s="39"/>
      <c r="F37843" s="39"/>
    </row>
    <row r="37844">
      <c r="D37844" s="39"/>
      <c r="E37844" s="39"/>
      <c r="F37844" s="39"/>
    </row>
    <row r="37845">
      <c r="D37845" s="39"/>
      <c r="E37845" s="39"/>
      <c r="F37845" s="39"/>
    </row>
    <row r="37846">
      <c r="D37846" s="39"/>
      <c r="E37846" s="39"/>
      <c r="F37846" s="39"/>
    </row>
    <row r="37847">
      <c r="D37847" s="39"/>
      <c r="E37847" s="39"/>
      <c r="F37847" s="39"/>
    </row>
    <row r="37848">
      <c r="D37848" s="39"/>
      <c r="E37848" s="39"/>
      <c r="F37848" s="39"/>
    </row>
    <row r="37849">
      <c r="D37849" s="39"/>
      <c r="E37849" s="39"/>
      <c r="F37849" s="39"/>
    </row>
    <row r="37850">
      <c r="D37850" s="39"/>
      <c r="E37850" s="39"/>
      <c r="F37850" s="39"/>
    </row>
    <row r="37851">
      <c r="D37851" s="39"/>
      <c r="E37851" s="39"/>
      <c r="F37851" s="39"/>
    </row>
    <row r="37852">
      <c r="D37852" s="39"/>
      <c r="E37852" s="39"/>
      <c r="F37852" s="39"/>
    </row>
    <row r="37853">
      <c r="D37853" s="39"/>
      <c r="E37853" s="39"/>
      <c r="F37853" s="39"/>
    </row>
    <row r="37854">
      <c r="D37854" s="39"/>
      <c r="E37854" s="39"/>
      <c r="F37854" s="39"/>
    </row>
    <row r="37855">
      <c r="D37855" s="39"/>
      <c r="E37855" s="39"/>
      <c r="F37855" s="39"/>
    </row>
    <row r="37856">
      <c r="D37856" s="39"/>
      <c r="E37856" s="39"/>
      <c r="F37856" s="39"/>
    </row>
    <row r="37857">
      <c r="D37857" s="39"/>
      <c r="E37857" s="39"/>
      <c r="F37857" s="39"/>
    </row>
    <row r="37858">
      <c r="D37858" s="39"/>
      <c r="E37858" s="39"/>
      <c r="F37858" s="39"/>
    </row>
    <row r="37859">
      <c r="D37859" s="39"/>
      <c r="E37859" s="39"/>
      <c r="F37859" s="39"/>
    </row>
    <row r="37860">
      <c r="D37860" s="39"/>
      <c r="E37860" s="39"/>
      <c r="F37860" s="39"/>
    </row>
    <row r="37861">
      <c r="D37861" s="39"/>
      <c r="E37861" s="39"/>
      <c r="F37861" s="39"/>
    </row>
    <row r="37862">
      <c r="D37862" s="39"/>
      <c r="E37862" s="39"/>
      <c r="F37862" s="39"/>
    </row>
    <row r="37863">
      <c r="D37863" s="39"/>
      <c r="E37863" s="39"/>
      <c r="F37863" s="39"/>
    </row>
    <row r="37864">
      <c r="D37864" s="39"/>
      <c r="E37864" s="39"/>
      <c r="F37864" s="39"/>
    </row>
    <row r="37865">
      <c r="D37865" s="39"/>
      <c r="E37865" s="39"/>
      <c r="F37865" s="39"/>
    </row>
    <row r="37866">
      <c r="D37866" s="39"/>
      <c r="E37866" s="39"/>
      <c r="F37866" s="39"/>
    </row>
    <row r="37867">
      <c r="D37867" s="39"/>
      <c r="E37867" s="39"/>
      <c r="F37867" s="39"/>
    </row>
    <row r="37868">
      <c r="D37868" s="39"/>
      <c r="E37868" s="39"/>
      <c r="F37868" s="39"/>
    </row>
    <row r="37869">
      <c r="D37869" s="39"/>
      <c r="E37869" s="39"/>
      <c r="F37869" s="39"/>
    </row>
    <row r="37870">
      <c r="D37870" s="39"/>
      <c r="E37870" s="39"/>
      <c r="F37870" s="39"/>
    </row>
    <row r="37871">
      <c r="D37871" s="39"/>
      <c r="E37871" s="39"/>
      <c r="F37871" s="39"/>
    </row>
    <row r="37872">
      <c r="D37872" s="39"/>
      <c r="E37872" s="39"/>
      <c r="F37872" s="39"/>
    </row>
    <row r="37873">
      <c r="D37873" s="39"/>
      <c r="E37873" s="39"/>
      <c r="F37873" s="39"/>
    </row>
    <row r="37874">
      <c r="D37874" s="39"/>
      <c r="E37874" s="39"/>
      <c r="F37874" s="39"/>
    </row>
    <row r="37875">
      <c r="D37875" s="39"/>
      <c r="E37875" s="39"/>
      <c r="F37875" s="39"/>
    </row>
    <row r="37876">
      <c r="D37876" s="39"/>
      <c r="E37876" s="39"/>
      <c r="F37876" s="39"/>
    </row>
    <row r="37877">
      <c r="D37877" s="39"/>
      <c r="E37877" s="39"/>
      <c r="F37877" s="39"/>
    </row>
    <row r="37878">
      <c r="D37878" s="39"/>
      <c r="E37878" s="39"/>
      <c r="F37878" s="39"/>
    </row>
    <row r="37879">
      <c r="D37879" s="39"/>
      <c r="E37879" s="39"/>
      <c r="F37879" s="39"/>
    </row>
    <row r="37880">
      <c r="D37880" s="39"/>
      <c r="E37880" s="39"/>
      <c r="F37880" s="39"/>
    </row>
    <row r="37881">
      <c r="D37881" s="39"/>
      <c r="E37881" s="39"/>
      <c r="F37881" s="39"/>
    </row>
    <row r="37882">
      <c r="D37882" s="39"/>
      <c r="E37882" s="39"/>
      <c r="F37882" s="39"/>
    </row>
    <row r="37883">
      <c r="D37883" s="39"/>
      <c r="E37883" s="39"/>
      <c r="F37883" s="39"/>
    </row>
    <row r="37884">
      <c r="D37884" s="39"/>
      <c r="E37884" s="39"/>
      <c r="F37884" s="39"/>
    </row>
    <row r="37885">
      <c r="D37885" s="39"/>
      <c r="E37885" s="39"/>
      <c r="F37885" s="39"/>
    </row>
    <row r="37886">
      <c r="D37886" s="39"/>
      <c r="E37886" s="39"/>
      <c r="F37886" s="39"/>
    </row>
    <row r="37887">
      <c r="D37887" s="39"/>
      <c r="E37887" s="39"/>
      <c r="F37887" s="39"/>
    </row>
    <row r="37888">
      <c r="D37888" s="39"/>
      <c r="E37888" s="39"/>
      <c r="F37888" s="39"/>
    </row>
    <row r="37889">
      <c r="D37889" s="39"/>
      <c r="E37889" s="39"/>
      <c r="F37889" s="39"/>
    </row>
    <row r="37890">
      <c r="D37890" s="39"/>
      <c r="E37890" s="39"/>
      <c r="F37890" s="39"/>
    </row>
    <row r="37891">
      <c r="D37891" s="39"/>
      <c r="E37891" s="39"/>
      <c r="F37891" s="39"/>
    </row>
    <row r="37892">
      <c r="D37892" s="39"/>
      <c r="E37892" s="39"/>
      <c r="F37892" s="39"/>
    </row>
    <row r="37893">
      <c r="D37893" s="39"/>
      <c r="E37893" s="39"/>
      <c r="F37893" s="39"/>
    </row>
    <row r="37894">
      <c r="D37894" s="39"/>
      <c r="E37894" s="39"/>
      <c r="F37894" s="39"/>
    </row>
    <row r="37895">
      <c r="D37895" s="39"/>
      <c r="E37895" s="39"/>
      <c r="F37895" s="39"/>
    </row>
    <row r="37896">
      <c r="D37896" s="39"/>
      <c r="E37896" s="39"/>
      <c r="F37896" s="39"/>
    </row>
    <row r="37897">
      <c r="D37897" s="39"/>
      <c r="E37897" s="39"/>
      <c r="F37897" s="39"/>
    </row>
    <row r="37898">
      <c r="D37898" s="39"/>
      <c r="E37898" s="39"/>
      <c r="F37898" s="39"/>
    </row>
    <row r="37899">
      <c r="D37899" s="39"/>
      <c r="E37899" s="39"/>
      <c r="F37899" s="39"/>
    </row>
    <row r="37900">
      <c r="D37900" s="39"/>
      <c r="E37900" s="39"/>
      <c r="F37900" s="39"/>
    </row>
    <row r="37901">
      <c r="D37901" s="39"/>
      <c r="E37901" s="39"/>
      <c r="F37901" s="39"/>
    </row>
    <row r="37902">
      <c r="D37902" s="39"/>
      <c r="E37902" s="39"/>
      <c r="F37902" s="39"/>
    </row>
    <row r="37903">
      <c r="D37903" s="39"/>
      <c r="E37903" s="39"/>
      <c r="F37903" s="39"/>
    </row>
    <row r="37904">
      <c r="D37904" s="39"/>
      <c r="E37904" s="39"/>
      <c r="F37904" s="39"/>
    </row>
    <row r="37905">
      <c r="D37905" s="39"/>
      <c r="E37905" s="39"/>
      <c r="F37905" s="39"/>
    </row>
    <row r="37906">
      <c r="D37906" s="39"/>
      <c r="E37906" s="39"/>
      <c r="F37906" s="39"/>
    </row>
    <row r="37907">
      <c r="D37907" s="39"/>
      <c r="E37907" s="39"/>
      <c r="F37907" s="39"/>
    </row>
    <row r="37908">
      <c r="D37908" s="39"/>
      <c r="E37908" s="39"/>
      <c r="F37908" s="39"/>
    </row>
    <row r="37909">
      <c r="D37909" s="39"/>
      <c r="E37909" s="39"/>
      <c r="F37909" s="39"/>
    </row>
    <row r="37910">
      <c r="D37910" s="39"/>
      <c r="E37910" s="39"/>
      <c r="F37910" s="39"/>
    </row>
    <row r="37911">
      <c r="D37911" s="39"/>
      <c r="E37911" s="39"/>
      <c r="F37911" s="39"/>
    </row>
    <row r="37912">
      <c r="D37912" s="39"/>
      <c r="E37912" s="39"/>
      <c r="F37912" s="39"/>
    </row>
    <row r="37913">
      <c r="D37913" s="39"/>
      <c r="E37913" s="39"/>
      <c r="F37913" s="39"/>
    </row>
    <row r="37914">
      <c r="D37914" s="39"/>
      <c r="E37914" s="39"/>
      <c r="F37914" s="39"/>
    </row>
    <row r="37915">
      <c r="D37915" s="39"/>
      <c r="E37915" s="39"/>
      <c r="F37915" s="39"/>
    </row>
    <row r="37916">
      <c r="D37916" s="39"/>
      <c r="E37916" s="39"/>
      <c r="F37916" s="39"/>
    </row>
    <row r="37917">
      <c r="D37917" s="39"/>
      <c r="E37917" s="39"/>
      <c r="F37917" s="39"/>
    </row>
    <row r="37918">
      <c r="D37918" s="39"/>
      <c r="E37918" s="39"/>
      <c r="F37918" s="39"/>
    </row>
    <row r="37919">
      <c r="D37919" s="39"/>
      <c r="E37919" s="39"/>
      <c r="F37919" s="39"/>
    </row>
    <row r="37920">
      <c r="D37920" s="39"/>
      <c r="E37920" s="39"/>
      <c r="F37920" s="39"/>
    </row>
    <row r="37921">
      <c r="D37921" s="39"/>
      <c r="E37921" s="39"/>
      <c r="F37921" s="39"/>
    </row>
    <row r="37922">
      <c r="D37922" s="39"/>
      <c r="E37922" s="39"/>
      <c r="F37922" s="39"/>
    </row>
    <row r="37923">
      <c r="D37923" s="39"/>
      <c r="E37923" s="39"/>
      <c r="F37923" s="39"/>
    </row>
    <row r="37924">
      <c r="D37924" s="39"/>
      <c r="E37924" s="39"/>
      <c r="F37924" s="39"/>
    </row>
    <row r="37925">
      <c r="D37925" s="39"/>
      <c r="E37925" s="39"/>
      <c r="F37925" s="39"/>
    </row>
    <row r="37926">
      <c r="D37926" s="39"/>
      <c r="E37926" s="39"/>
      <c r="F37926" s="39"/>
    </row>
    <row r="37927">
      <c r="D37927" s="39"/>
      <c r="E37927" s="39"/>
      <c r="F37927" s="39"/>
    </row>
    <row r="37928">
      <c r="D37928" s="39"/>
      <c r="E37928" s="39"/>
      <c r="F37928" s="39"/>
    </row>
    <row r="37929">
      <c r="D37929" s="39"/>
      <c r="E37929" s="39"/>
      <c r="F37929" s="39"/>
    </row>
    <row r="37930">
      <c r="D37930" s="39"/>
      <c r="E37930" s="39"/>
      <c r="F37930" s="39"/>
    </row>
    <row r="37931">
      <c r="D37931" s="39"/>
      <c r="E37931" s="39"/>
      <c r="F37931" s="39"/>
    </row>
    <row r="37932">
      <c r="D37932" s="39"/>
      <c r="E37932" s="39"/>
      <c r="F37932" s="39"/>
    </row>
    <row r="37933">
      <c r="D37933" s="39"/>
      <c r="E37933" s="39"/>
      <c r="F37933" s="39"/>
    </row>
    <row r="37934">
      <c r="D37934" s="39"/>
      <c r="E37934" s="39"/>
      <c r="F37934" s="39"/>
    </row>
    <row r="37935">
      <c r="D37935" s="39"/>
      <c r="E37935" s="39"/>
      <c r="F37935" s="39"/>
    </row>
    <row r="37936">
      <c r="D37936" s="39"/>
      <c r="E37936" s="39"/>
      <c r="F37936" s="39"/>
    </row>
    <row r="37937">
      <c r="D37937" s="39"/>
      <c r="E37937" s="39"/>
      <c r="F37937" s="39"/>
    </row>
    <row r="37938">
      <c r="D37938" s="39"/>
      <c r="E37938" s="39"/>
      <c r="F37938" s="39"/>
    </row>
    <row r="37939">
      <c r="D37939" s="39"/>
      <c r="E37939" s="39"/>
      <c r="F37939" s="39"/>
    </row>
    <row r="37940">
      <c r="D37940" s="39"/>
      <c r="E37940" s="39"/>
      <c r="F37940" s="39"/>
    </row>
    <row r="37941">
      <c r="D37941" s="39"/>
      <c r="E37941" s="39"/>
      <c r="F37941" s="39"/>
    </row>
    <row r="37942">
      <c r="D37942" s="39"/>
      <c r="E37942" s="39"/>
      <c r="F37942" s="39"/>
    </row>
    <row r="37943">
      <c r="D37943" s="39"/>
      <c r="E37943" s="39"/>
      <c r="F37943" s="39"/>
    </row>
    <row r="37944">
      <c r="D37944" s="39"/>
      <c r="E37944" s="39"/>
      <c r="F37944" s="39"/>
    </row>
    <row r="37945">
      <c r="D37945" s="39"/>
      <c r="E37945" s="39"/>
      <c r="F37945" s="39"/>
    </row>
    <row r="37946">
      <c r="D37946" s="39"/>
      <c r="E37946" s="39"/>
      <c r="F37946" s="39"/>
    </row>
    <row r="37947">
      <c r="D37947" s="39"/>
      <c r="E37947" s="39"/>
      <c r="F37947" s="39"/>
    </row>
    <row r="37948">
      <c r="D37948" s="39"/>
      <c r="E37948" s="39"/>
      <c r="F37948" s="39"/>
    </row>
    <row r="37949">
      <c r="D37949" s="39"/>
      <c r="E37949" s="39"/>
      <c r="F37949" s="39"/>
    </row>
    <row r="37950">
      <c r="D37950" s="39"/>
      <c r="E37950" s="39"/>
      <c r="F37950" s="39"/>
    </row>
    <row r="37951">
      <c r="D37951" s="39"/>
      <c r="E37951" s="39"/>
      <c r="F37951" s="39"/>
    </row>
    <row r="37952">
      <c r="D37952" s="39"/>
      <c r="E37952" s="39"/>
      <c r="F37952" s="39"/>
    </row>
    <row r="37953">
      <c r="D37953" s="39"/>
      <c r="E37953" s="39"/>
      <c r="F37953" s="39"/>
    </row>
    <row r="37954">
      <c r="D37954" s="39"/>
      <c r="E37954" s="39"/>
      <c r="F37954" s="39"/>
    </row>
    <row r="37955">
      <c r="D37955" s="39"/>
      <c r="E37955" s="39"/>
      <c r="F37955" s="39"/>
    </row>
    <row r="37956">
      <c r="D37956" s="39"/>
      <c r="E37956" s="39"/>
      <c r="F37956" s="39"/>
    </row>
    <row r="37957">
      <c r="D37957" s="39"/>
      <c r="E37957" s="39"/>
      <c r="F37957" s="39"/>
    </row>
    <row r="37958">
      <c r="D37958" s="39"/>
      <c r="E37958" s="39"/>
      <c r="F37958" s="39"/>
    </row>
    <row r="37959">
      <c r="D37959" s="39"/>
      <c r="E37959" s="39"/>
      <c r="F37959" s="39"/>
    </row>
    <row r="37960">
      <c r="D37960" s="39"/>
      <c r="E37960" s="39"/>
      <c r="F37960" s="39"/>
    </row>
    <row r="37961">
      <c r="D37961" s="39"/>
      <c r="E37961" s="39"/>
      <c r="F37961" s="39"/>
    </row>
    <row r="37962">
      <c r="D37962" s="39"/>
      <c r="E37962" s="39"/>
      <c r="F37962" s="39"/>
    </row>
    <row r="37963">
      <c r="D37963" s="39"/>
      <c r="E37963" s="39"/>
      <c r="F37963" s="39"/>
    </row>
    <row r="37964">
      <c r="D37964" s="39"/>
      <c r="E37964" s="39"/>
      <c r="F37964" s="39"/>
    </row>
    <row r="37965">
      <c r="D37965" s="39"/>
      <c r="E37965" s="39"/>
      <c r="F37965" s="39"/>
    </row>
    <row r="37966">
      <c r="D37966" s="39"/>
      <c r="E37966" s="39"/>
      <c r="F37966" s="39"/>
    </row>
    <row r="37967">
      <c r="D37967" s="39"/>
      <c r="E37967" s="39"/>
      <c r="F37967" s="39"/>
    </row>
    <row r="37968">
      <c r="D37968" s="39"/>
      <c r="E37968" s="39"/>
      <c r="F37968" s="39"/>
    </row>
    <row r="37969">
      <c r="D37969" s="39"/>
      <c r="E37969" s="39"/>
      <c r="F37969" s="39"/>
    </row>
    <row r="37970">
      <c r="D37970" s="39"/>
      <c r="E37970" s="39"/>
      <c r="F37970" s="39"/>
    </row>
    <row r="37971">
      <c r="D37971" s="39"/>
      <c r="E37971" s="39"/>
      <c r="F37971" s="39"/>
    </row>
    <row r="37972">
      <c r="D37972" s="39"/>
      <c r="E37972" s="39"/>
      <c r="F37972" s="39"/>
    </row>
    <row r="37973">
      <c r="D37973" s="39"/>
      <c r="E37973" s="39"/>
      <c r="F37973" s="39"/>
    </row>
    <row r="37974">
      <c r="D37974" s="39"/>
      <c r="E37974" s="39"/>
      <c r="F37974" s="39"/>
    </row>
    <row r="37975">
      <c r="D37975" s="39"/>
      <c r="E37975" s="39"/>
      <c r="F37975" s="39"/>
    </row>
    <row r="37976">
      <c r="D37976" s="39"/>
      <c r="E37976" s="39"/>
      <c r="F37976" s="39"/>
    </row>
    <row r="37977">
      <c r="D37977" s="39"/>
      <c r="E37977" s="39"/>
      <c r="F37977" s="39"/>
    </row>
    <row r="37978">
      <c r="D37978" s="39"/>
      <c r="E37978" s="39"/>
      <c r="F37978" s="39"/>
    </row>
    <row r="37979">
      <c r="D37979" s="39"/>
      <c r="E37979" s="39"/>
      <c r="F37979" s="39"/>
    </row>
    <row r="37980">
      <c r="D37980" s="39"/>
      <c r="E37980" s="39"/>
      <c r="F37980" s="39"/>
    </row>
    <row r="37981">
      <c r="D37981" s="39"/>
      <c r="E37981" s="39"/>
      <c r="F37981" s="39"/>
    </row>
    <row r="37982">
      <c r="D37982" s="39"/>
      <c r="E37982" s="39"/>
      <c r="F37982" s="39"/>
    </row>
    <row r="37983">
      <c r="D37983" s="39"/>
      <c r="E37983" s="39"/>
      <c r="F37983" s="39"/>
    </row>
    <row r="37984">
      <c r="D37984" s="39"/>
      <c r="E37984" s="39"/>
      <c r="F37984" s="39"/>
    </row>
    <row r="37985">
      <c r="D37985" s="39"/>
      <c r="E37985" s="39"/>
      <c r="F37985" s="39"/>
    </row>
    <row r="37986">
      <c r="D37986" s="39"/>
      <c r="E37986" s="39"/>
      <c r="F37986" s="39"/>
    </row>
    <row r="37987">
      <c r="D37987" s="39"/>
      <c r="E37987" s="39"/>
      <c r="F37987" s="39"/>
    </row>
    <row r="37988">
      <c r="D37988" s="39"/>
      <c r="E37988" s="39"/>
      <c r="F37988" s="39"/>
    </row>
    <row r="37989">
      <c r="D37989" s="39"/>
      <c r="E37989" s="39"/>
      <c r="F37989" s="39"/>
    </row>
    <row r="37990">
      <c r="D37990" s="39"/>
      <c r="E37990" s="39"/>
      <c r="F37990" s="39"/>
    </row>
    <row r="37991">
      <c r="D37991" s="39"/>
      <c r="E37991" s="39"/>
      <c r="F37991" s="39"/>
    </row>
    <row r="37992">
      <c r="D37992" s="39"/>
      <c r="E37992" s="39"/>
      <c r="F37992" s="39"/>
    </row>
    <row r="37993">
      <c r="D37993" s="39"/>
      <c r="E37993" s="39"/>
      <c r="F37993" s="39"/>
    </row>
    <row r="37994">
      <c r="D37994" s="39"/>
      <c r="E37994" s="39"/>
      <c r="F37994" s="39"/>
    </row>
    <row r="37995">
      <c r="D37995" s="39"/>
      <c r="E37995" s="39"/>
      <c r="F37995" s="39"/>
    </row>
    <row r="37996">
      <c r="D37996" s="39"/>
      <c r="E37996" s="39"/>
      <c r="F37996" s="39"/>
    </row>
    <row r="37997">
      <c r="D37997" s="39"/>
      <c r="E37997" s="39"/>
      <c r="F37997" s="39"/>
    </row>
    <row r="37998">
      <c r="D37998" s="39"/>
      <c r="E37998" s="39"/>
      <c r="F37998" s="39"/>
    </row>
    <row r="37999">
      <c r="D37999" s="39"/>
      <c r="E37999" s="39"/>
      <c r="F37999" s="39"/>
    </row>
    <row r="38000">
      <c r="D38000" s="39"/>
      <c r="E38000" s="39"/>
      <c r="F38000" s="39"/>
    </row>
    <row r="38001">
      <c r="D38001" s="39"/>
      <c r="E38001" s="39"/>
      <c r="F38001" s="39"/>
    </row>
    <row r="38002">
      <c r="D38002" s="39"/>
      <c r="E38002" s="39"/>
      <c r="F38002" s="39"/>
    </row>
    <row r="38003">
      <c r="D38003" s="39"/>
      <c r="E38003" s="39"/>
      <c r="F38003" s="39"/>
    </row>
    <row r="38004">
      <c r="D38004" s="39"/>
      <c r="E38004" s="39"/>
      <c r="F38004" s="39"/>
    </row>
    <row r="38005">
      <c r="D38005" s="39"/>
      <c r="E38005" s="39"/>
      <c r="F38005" s="39"/>
    </row>
    <row r="38006">
      <c r="D38006" s="39"/>
      <c r="E38006" s="39"/>
      <c r="F38006" s="39"/>
    </row>
    <row r="38007">
      <c r="D38007" s="39"/>
      <c r="E38007" s="39"/>
      <c r="F38007" s="39"/>
    </row>
    <row r="38008">
      <c r="D38008" s="39"/>
      <c r="E38008" s="39"/>
      <c r="F38008" s="39"/>
    </row>
    <row r="38009">
      <c r="D38009" s="39"/>
      <c r="E38009" s="39"/>
      <c r="F38009" s="39"/>
    </row>
    <row r="38010">
      <c r="D38010" s="39"/>
      <c r="E38010" s="39"/>
      <c r="F38010" s="39"/>
    </row>
    <row r="38011">
      <c r="D38011" s="39"/>
      <c r="E38011" s="39"/>
      <c r="F38011" s="39"/>
    </row>
    <row r="38012">
      <c r="D38012" s="39"/>
      <c r="E38012" s="39"/>
      <c r="F38012" s="39"/>
    </row>
    <row r="38013">
      <c r="D38013" s="39"/>
      <c r="E38013" s="39"/>
      <c r="F38013" s="39"/>
    </row>
    <row r="38014">
      <c r="D38014" s="39"/>
      <c r="E38014" s="39"/>
      <c r="F38014" s="39"/>
    </row>
    <row r="38015">
      <c r="D38015" s="39"/>
      <c r="E38015" s="39"/>
      <c r="F38015" s="39"/>
    </row>
    <row r="38016">
      <c r="D38016" s="39"/>
      <c r="E38016" s="39"/>
      <c r="F38016" s="39"/>
    </row>
    <row r="38017">
      <c r="D38017" s="39"/>
      <c r="E38017" s="39"/>
      <c r="F38017" s="39"/>
    </row>
    <row r="38018">
      <c r="D38018" s="39"/>
      <c r="E38018" s="39"/>
      <c r="F38018" s="39"/>
    </row>
    <row r="38019">
      <c r="D38019" s="39"/>
      <c r="E38019" s="39"/>
      <c r="F38019" s="39"/>
    </row>
    <row r="38020">
      <c r="D38020" s="39"/>
      <c r="E38020" s="39"/>
      <c r="F38020" s="39"/>
    </row>
    <row r="38021">
      <c r="D38021" s="39"/>
      <c r="E38021" s="39"/>
      <c r="F38021" s="39"/>
    </row>
    <row r="38022">
      <c r="D38022" s="39"/>
      <c r="E38022" s="39"/>
      <c r="F38022" s="39"/>
    </row>
    <row r="38023">
      <c r="D38023" s="39"/>
      <c r="E38023" s="39"/>
      <c r="F38023" s="39"/>
    </row>
    <row r="38024">
      <c r="D38024" s="39"/>
      <c r="E38024" s="39"/>
      <c r="F38024" s="39"/>
    </row>
    <row r="38025">
      <c r="D38025" s="39"/>
      <c r="E38025" s="39"/>
      <c r="F38025" s="39"/>
    </row>
    <row r="38026">
      <c r="D38026" s="39"/>
      <c r="E38026" s="39"/>
      <c r="F38026" s="39"/>
    </row>
    <row r="38027">
      <c r="D38027" s="39"/>
      <c r="E38027" s="39"/>
      <c r="F38027" s="39"/>
    </row>
    <row r="38028">
      <c r="D38028" s="39"/>
      <c r="E38028" s="39"/>
      <c r="F38028" s="39"/>
    </row>
    <row r="38029">
      <c r="D38029" s="39"/>
      <c r="E38029" s="39"/>
      <c r="F38029" s="39"/>
    </row>
    <row r="38030">
      <c r="D38030" s="39"/>
      <c r="E38030" s="39"/>
      <c r="F38030" s="39"/>
    </row>
    <row r="38031">
      <c r="D38031" s="39"/>
      <c r="E38031" s="39"/>
      <c r="F38031" s="39"/>
    </row>
    <row r="38032">
      <c r="D38032" s="39"/>
      <c r="E38032" s="39"/>
      <c r="F38032" s="39"/>
    </row>
    <row r="38033">
      <c r="D38033" s="39"/>
      <c r="E38033" s="39"/>
      <c r="F38033" s="39"/>
    </row>
    <row r="38034">
      <c r="D38034" s="39"/>
      <c r="E38034" s="39"/>
      <c r="F38034" s="39"/>
    </row>
    <row r="38035">
      <c r="D38035" s="39"/>
      <c r="E38035" s="39"/>
      <c r="F38035" s="39"/>
    </row>
    <row r="38036">
      <c r="D38036" s="39"/>
      <c r="E38036" s="39"/>
      <c r="F38036" s="39"/>
    </row>
    <row r="38037">
      <c r="D38037" s="39"/>
      <c r="E38037" s="39"/>
      <c r="F38037" s="39"/>
    </row>
    <row r="38038">
      <c r="D38038" s="39"/>
      <c r="E38038" s="39"/>
      <c r="F38038" s="39"/>
    </row>
    <row r="38039">
      <c r="D38039" s="39"/>
      <c r="E38039" s="39"/>
      <c r="F38039" s="39"/>
    </row>
    <row r="38040">
      <c r="D38040" s="39"/>
      <c r="E38040" s="39"/>
      <c r="F38040" s="39"/>
    </row>
    <row r="38041">
      <c r="D38041" s="39"/>
      <c r="E38041" s="39"/>
      <c r="F38041" s="39"/>
    </row>
    <row r="38042">
      <c r="D38042" s="39"/>
      <c r="E38042" s="39"/>
      <c r="F38042" s="39"/>
    </row>
    <row r="38043">
      <c r="D38043" s="39"/>
      <c r="E38043" s="39"/>
      <c r="F38043" s="39"/>
    </row>
    <row r="38044">
      <c r="D38044" s="39"/>
      <c r="E38044" s="39"/>
      <c r="F38044" s="39"/>
    </row>
    <row r="38045">
      <c r="D38045" s="39"/>
      <c r="E38045" s="39"/>
      <c r="F38045" s="39"/>
    </row>
    <row r="38046">
      <c r="D38046" s="39"/>
      <c r="E38046" s="39"/>
      <c r="F38046" s="39"/>
    </row>
    <row r="38047">
      <c r="D38047" s="39"/>
      <c r="E38047" s="39"/>
      <c r="F38047" s="39"/>
    </row>
    <row r="38048">
      <c r="D38048" s="39"/>
      <c r="E38048" s="39"/>
      <c r="F38048" s="39"/>
    </row>
    <row r="38049">
      <c r="D38049" s="39"/>
      <c r="E38049" s="39"/>
      <c r="F38049" s="39"/>
    </row>
    <row r="38050">
      <c r="D38050" s="39"/>
      <c r="E38050" s="39"/>
      <c r="F38050" s="39"/>
    </row>
    <row r="38051">
      <c r="D38051" s="39"/>
      <c r="E38051" s="39"/>
      <c r="F38051" s="39"/>
    </row>
    <row r="38052">
      <c r="D38052" s="39"/>
      <c r="E38052" s="39"/>
      <c r="F38052" s="39"/>
    </row>
    <row r="38053">
      <c r="D38053" s="39"/>
      <c r="E38053" s="39"/>
      <c r="F38053" s="39"/>
    </row>
    <row r="38054">
      <c r="D38054" s="39"/>
      <c r="E38054" s="39"/>
      <c r="F38054" s="39"/>
    </row>
    <row r="38055">
      <c r="D38055" s="39"/>
      <c r="E38055" s="39"/>
      <c r="F38055" s="39"/>
    </row>
    <row r="38056">
      <c r="D38056" s="39"/>
      <c r="E38056" s="39"/>
      <c r="F38056" s="39"/>
    </row>
    <row r="38057">
      <c r="D38057" s="39"/>
      <c r="E38057" s="39"/>
      <c r="F38057" s="39"/>
    </row>
    <row r="38058">
      <c r="D38058" s="39"/>
      <c r="E38058" s="39"/>
      <c r="F38058" s="39"/>
    </row>
    <row r="38059">
      <c r="D38059" s="39"/>
      <c r="E38059" s="39"/>
      <c r="F38059" s="39"/>
    </row>
    <row r="38060">
      <c r="D38060" s="39"/>
      <c r="E38060" s="39"/>
      <c r="F38060" s="39"/>
    </row>
    <row r="38061">
      <c r="D38061" s="39"/>
      <c r="E38061" s="39"/>
      <c r="F38061" s="39"/>
    </row>
    <row r="38062">
      <c r="D38062" s="39"/>
      <c r="E38062" s="39"/>
      <c r="F38062" s="39"/>
    </row>
    <row r="38063">
      <c r="D38063" s="39"/>
      <c r="E38063" s="39"/>
      <c r="F38063" s="39"/>
    </row>
    <row r="38064">
      <c r="D38064" s="39"/>
      <c r="E38064" s="39"/>
      <c r="F38064" s="39"/>
    </row>
    <row r="38065">
      <c r="D38065" s="39"/>
      <c r="E38065" s="39"/>
      <c r="F38065" s="39"/>
    </row>
    <row r="38066">
      <c r="D38066" s="39"/>
      <c r="E38066" s="39"/>
      <c r="F38066" s="39"/>
    </row>
    <row r="38067">
      <c r="D38067" s="39"/>
      <c r="E38067" s="39"/>
      <c r="F38067" s="39"/>
    </row>
    <row r="38068">
      <c r="D38068" s="39"/>
      <c r="E38068" s="39"/>
      <c r="F38068" s="39"/>
    </row>
    <row r="38069">
      <c r="D38069" s="39"/>
      <c r="E38069" s="39"/>
      <c r="F38069" s="39"/>
    </row>
    <row r="38070">
      <c r="D38070" s="39"/>
      <c r="E38070" s="39"/>
      <c r="F38070" s="39"/>
    </row>
    <row r="38071">
      <c r="D38071" s="39"/>
      <c r="E38071" s="39"/>
      <c r="F38071" s="39"/>
    </row>
    <row r="38072">
      <c r="D38072" s="39"/>
      <c r="E38072" s="39"/>
      <c r="F38072" s="39"/>
    </row>
    <row r="38073">
      <c r="D38073" s="39"/>
      <c r="E38073" s="39"/>
      <c r="F38073" s="39"/>
    </row>
    <row r="38074">
      <c r="D38074" s="39"/>
      <c r="E38074" s="39"/>
      <c r="F38074" s="39"/>
    </row>
    <row r="38075">
      <c r="D38075" s="39"/>
      <c r="E38075" s="39"/>
      <c r="F38075" s="39"/>
    </row>
    <row r="38076">
      <c r="D38076" s="39"/>
      <c r="E38076" s="39"/>
      <c r="F38076" s="39"/>
    </row>
    <row r="38077">
      <c r="D38077" s="39"/>
      <c r="E38077" s="39"/>
      <c r="F38077" s="39"/>
    </row>
    <row r="38078">
      <c r="D38078" s="39"/>
      <c r="E38078" s="39"/>
      <c r="F38078" s="39"/>
    </row>
    <row r="38079">
      <c r="D38079" s="39"/>
      <c r="E38079" s="39"/>
      <c r="F38079" s="39"/>
    </row>
    <row r="38080">
      <c r="D38080" s="39"/>
      <c r="E38080" s="39"/>
      <c r="F38080" s="39"/>
    </row>
    <row r="38081">
      <c r="D38081" s="39"/>
      <c r="E38081" s="39"/>
      <c r="F38081" s="39"/>
    </row>
    <row r="38082">
      <c r="D38082" s="39"/>
      <c r="E38082" s="39"/>
      <c r="F38082" s="39"/>
    </row>
    <row r="38083">
      <c r="D38083" s="39"/>
      <c r="E38083" s="39"/>
      <c r="F38083" s="39"/>
    </row>
    <row r="38084">
      <c r="D38084" s="39"/>
      <c r="E38084" s="39"/>
      <c r="F38084" s="39"/>
    </row>
    <row r="38085">
      <c r="D38085" s="39"/>
      <c r="E38085" s="39"/>
      <c r="F38085" s="39"/>
    </row>
    <row r="38086">
      <c r="D38086" s="39"/>
      <c r="E38086" s="39"/>
      <c r="F38086" s="39"/>
    </row>
    <row r="38087">
      <c r="D38087" s="39"/>
      <c r="E38087" s="39"/>
      <c r="F38087" s="39"/>
    </row>
    <row r="38088">
      <c r="D38088" s="39"/>
      <c r="E38088" s="39"/>
      <c r="F38088" s="39"/>
    </row>
    <row r="38089">
      <c r="D38089" s="39"/>
      <c r="E38089" s="39"/>
      <c r="F38089" s="39"/>
    </row>
    <row r="38090">
      <c r="D38090" s="39"/>
      <c r="E38090" s="39"/>
      <c r="F38090" s="39"/>
    </row>
    <row r="38091">
      <c r="D38091" s="39"/>
      <c r="E38091" s="39"/>
      <c r="F38091" s="39"/>
    </row>
    <row r="38092">
      <c r="D38092" s="39"/>
      <c r="E38092" s="39"/>
      <c r="F38092" s="39"/>
    </row>
    <row r="38093">
      <c r="D38093" s="39"/>
      <c r="E38093" s="39"/>
      <c r="F38093" s="39"/>
    </row>
    <row r="38094">
      <c r="D38094" s="39"/>
      <c r="E38094" s="39"/>
      <c r="F38094" s="39"/>
    </row>
    <row r="38095">
      <c r="D38095" s="39"/>
      <c r="E38095" s="39"/>
      <c r="F38095" s="39"/>
    </row>
    <row r="38096">
      <c r="D38096" s="39"/>
      <c r="E38096" s="39"/>
      <c r="F38096" s="39"/>
    </row>
    <row r="38097">
      <c r="D38097" s="39"/>
      <c r="E38097" s="39"/>
      <c r="F38097" s="39"/>
    </row>
    <row r="38098">
      <c r="D38098" s="39"/>
      <c r="E38098" s="39"/>
      <c r="F38098" s="39"/>
    </row>
    <row r="38099">
      <c r="D38099" s="39"/>
      <c r="E38099" s="39"/>
      <c r="F38099" s="39"/>
    </row>
    <row r="38100">
      <c r="D38100" s="39"/>
      <c r="E38100" s="39"/>
      <c r="F38100" s="39"/>
    </row>
    <row r="38101">
      <c r="D38101" s="39"/>
      <c r="E38101" s="39"/>
      <c r="F38101" s="39"/>
    </row>
    <row r="38102">
      <c r="D38102" s="39"/>
      <c r="E38102" s="39"/>
      <c r="F38102" s="39"/>
    </row>
    <row r="38103">
      <c r="D38103" s="39"/>
      <c r="E38103" s="39"/>
      <c r="F38103" s="39"/>
    </row>
    <row r="38104">
      <c r="D38104" s="39"/>
      <c r="E38104" s="39"/>
      <c r="F38104" s="39"/>
    </row>
    <row r="38105">
      <c r="D38105" s="39"/>
      <c r="E38105" s="39"/>
      <c r="F38105" s="39"/>
    </row>
    <row r="38106">
      <c r="D38106" s="39"/>
      <c r="E38106" s="39"/>
      <c r="F38106" s="39"/>
    </row>
    <row r="38107">
      <c r="D38107" s="39"/>
      <c r="E38107" s="39"/>
      <c r="F38107" s="39"/>
    </row>
    <row r="38108">
      <c r="D38108" s="39"/>
      <c r="E38108" s="39"/>
      <c r="F38108" s="39"/>
    </row>
    <row r="38109">
      <c r="D38109" s="39"/>
      <c r="E38109" s="39"/>
      <c r="F38109" s="39"/>
    </row>
    <row r="38110">
      <c r="D38110" s="39"/>
      <c r="E38110" s="39"/>
      <c r="F38110" s="39"/>
    </row>
    <row r="38111">
      <c r="D38111" s="39"/>
      <c r="E38111" s="39"/>
      <c r="F38111" s="39"/>
    </row>
    <row r="38112">
      <c r="D38112" s="39"/>
      <c r="E38112" s="39"/>
      <c r="F38112" s="39"/>
    </row>
    <row r="38113">
      <c r="D38113" s="39"/>
      <c r="E38113" s="39"/>
      <c r="F38113" s="39"/>
    </row>
    <row r="38114">
      <c r="D38114" s="39"/>
      <c r="E38114" s="39"/>
      <c r="F38114" s="39"/>
    </row>
    <row r="38115">
      <c r="D38115" s="39"/>
      <c r="E38115" s="39"/>
      <c r="F38115" s="39"/>
    </row>
    <row r="38116">
      <c r="D38116" s="39"/>
      <c r="E38116" s="39"/>
      <c r="F38116" s="39"/>
    </row>
    <row r="38117">
      <c r="D38117" s="39"/>
      <c r="E38117" s="39"/>
      <c r="F38117" s="39"/>
    </row>
    <row r="38118">
      <c r="D38118" s="39"/>
      <c r="E38118" s="39"/>
      <c r="F38118" s="39"/>
    </row>
    <row r="38119">
      <c r="D38119" s="39"/>
      <c r="E38119" s="39"/>
      <c r="F38119" s="39"/>
    </row>
    <row r="38120">
      <c r="D38120" s="39"/>
      <c r="E38120" s="39"/>
      <c r="F38120" s="39"/>
    </row>
    <row r="38121">
      <c r="D38121" s="39"/>
      <c r="E38121" s="39"/>
      <c r="F38121" s="39"/>
    </row>
    <row r="38122">
      <c r="D38122" s="39"/>
      <c r="E38122" s="39"/>
      <c r="F38122" s="39"/>
    </row>
    <row r="38123">
      <c r="D38123" s="39"/>
      <c r="E38123" s="39"/>
      <c r="F38123" s="39"/>
    </row>
    <row r="38124">
      <c r="D38124" s="39"/>
      <c r="E38124" s="39"/>
      <c r="F38124" s="39"/>
    </row>
    <row r="38125">
      <c r="D38125" s="39"/>
      <c r="E38125" s="39"/>
      <c r="F38125" s="39"/>
    </row>
    <row r="38126">
      <c r="D38126" s="39"/>
      <c r="E38126" s="39"/>
      <c r="F38126" s="39"/>
    </row>
    <row r="38127">
      <c r="D38127" s="39"/>
      <c r="E38127" s="39"/>
      <c r="F38127" s="39"/>
    </row>
    <row r="38128">
      <c r="D38128" s="39"/>
      <c r="E38128" s="39"/>
      <c r="F38128" s="39"/>
    </row>
    <row r="38129">
      <c r="D38129" s="39"/>
      <c r="E38129" s="39"/>
      <c r="F38129" s="39"/>
    </row>
    <row r="38130">
      <c r="D38130" s="39"/>
      <c r="E38130" s="39"/>
      <c r="F38130" s="39"/>
    </row>
    <row r="38131">
      <c r="D38131" s="39"/>
      <c r="E38131" s="39"/>
      <c r="F38131" s="39"/>
    </row>
    <row r="38132">
      <c r="D38132" s="39"/>
      <c r="E38132" s="39"/>
      <c r="F38132" s="39"/>
    </row>
    <row r="38133">
      <c r="D38133" s="39"/>
      <c r="E38133" s="39"/>
      <c r="F38133" s="39"/>
    </row>
    <row r="38134">
      <c r="D38134" s="39"/>
      <c r="E38134" s="39"/>
      <c r="F38134" s="39"/>
    </row>
    <row r="38135">
      <c r="D38135" s="39"/>
      <c r="E38135" s="39"/>
      <c r="F38135" s="39"/>
    </row>
    <row r="38136">
      <c r="D38136" s="39"/>
      <c r="E38136" s="39"/>
      <c r="F38136" s="39"/>
    </row>
    <row r="38137">
      <c r="D38137" s="39"/>
      <c r="E38137" s="39"/>
      <c r="F38137" s="39"/>
    </row>
    <row r="38138">
      <c r="D38138" s="39"/>
      <c r="E38138" s="39"/>
      <c r="F38138" s="39"/>
    </row>
    <row r="38139">
      <c r="D38139" s="39"/>
      <c r="E38139" s="39"/>
      <c r="F38139" s="39"/>
    </row>
    <row r="38140">
      <c r="D38140" s="39"/>
      <c r="E38140" s="39"/>
      <c r="F38140" s="39"/>
    </row>
    <row r="38141">
      <c r="D38141" s="39"/>
      <c r="E38141" s="39"/>
      <c r="F38141" s="39"/>
    </row>
    <row r="38142">
      <c r="D38142" s="39"/>
      <c r="E38142" s="39"/>
      <c r="F38142" s="39"/>
    </row>
    <row r="38143">
      <c r="D38143" s="39"/>
      <c r="E38143" s="39"/>
      <c r="F38143" s="39"/>
    </row>
    <row r="38144">
      <c r="D38144" s="39"/>
      <c r="E38144" s="39"/>
      <c r="F38144" s="39"/>
    </row>
    <row r="38145">
      <c r="D38145" s="39"/>
      <c r="E38145" s="39"/>
      <c r="F38145" s="39"/>
    </row>
    <row r="38146">
      <c r="D38146" s="39"/>
      <c r="E38146" s="39"/>
      <c r="F38146" s="39"/>
    </row>
    <row r="38147">
      <c r="D38147" s="39"/>
      <c r="E38147" s="39"/>
      <c r="F38147" s="39"/>
    </row>
    <row r="38148">
      <c r="D38148" s="39"/>
      <c r="E38148" s="39"/>
      <c r="F38148" s="39"/>
    </row>
    <row r="38149">
      <c r="D38149" s="39"/>
      <c r="E38149" s="39"/>
      <c r="F38149" s="39"/>
    </row>
    <row r="38150">
      <c r="D38150" s="39"/>
      <c r="E38150" s="39"/>
      <c r="F38150" s="39"/>
    </row>
    <row r="38151">
      <c r="D38151" s="39"/>
      <c r="E38151" s="39"/>
      <c r="F38151" s="39"/>
    </row>
    <row r="38152">
      <c r="D38152" s="39"/>
      <c r="E38152" s="39"/>
      <c r="F38152" s="39"/>
    </row>
    <row r="38153">
      <c r="D38153" s="39"/>
      <c r="E38153" s="39"/>
      <c r="F38153" s="39"/>
    </row>
    <row r="38154">
      <c r="D38154" s="39"/>
      <c r="E38154" s="39"/>
      <c r="F38154" s="39"/>
    </row>
    <row r="38155">
      <c r="D38155" s="39"/>
      <c r="E38155" s="39"/>
      <c r="F38155" s="39"/>
    </row>
    <row r="38156">
      <c r="D38156" s="39"/>
      <c r="E38156" s="39"/>
      <c r="F38156" s="39"/>
    </row>
    <row r="38157">
      <c r="D38157" s="39"/>
      <c r="E38157" s="39"/>
      <c r="F38157" s="39"/>
    </row>
    <row r="38158">
      <c r="D38158" s="39"/>
      <c r="E38158" s="39"/>
      <c r="F38158" s="39"/>
    </row>
    <row r="38159">
      <c r="D38159" s="39"/>
      <c r="E38159" s="39"/>
      <c r="F38159" s="39"/>
    </row>
    <row r="38160">
      <c r="D38160" s="39"/>
      <c r="E38160" s="39"/>
      <c r="F38160" s="39"/>
    </row>
    <row r="38161">
      <c r="D38161" s="39"/>
      <c r="E38161" s="39"/>
      <c r="F38161" s="39"/>
    </row>
    <row r="38162">
      <c r="D38162" s="39"/>
      <c r="E38162" s="39"/>
      <c r="F38162" s="39"/>
    </row>
    <row r="38163">
      <c r="D38163" s="39"/>
      <c r="E38163" s="39"/>
      <c r="F38163" s="39"/>
    </row>
    <row r="38164">
      <c r="D38164" s="39"/>
      <c r="E38164" s="39"/>
      <c r="F38164" s="39"/>
    </row>
    <row r="38165">
      <c r="D38165" s="39"/>
      <c r="E38165" s="39"/>
      <c r="F38165" s="39"/>
    </row>
    <row r="38166">
      <c r="D38166" s="39"/>
      <c r="E38166" s="39"/>
      <c r="F38166" s="39"/>
    </row>
    <row r="38167">
      <c r="D38167" s="39"/>
      <c r="E38167" s="39"/>
      <c r="F38167" s="39"/>
    </row>
    <row r="38168">
      <c r="D38168" s="39"/>
      <c r="E38168" s="39"/>
      <c r="F38168" s="39"/>
    </row>
    <row r="38169">
      <c r="D38169" s="39"/>
      <c r="E38169" s="39"/>
      <c r="F38169" s="39"/>
    </row>
    <row r="38170">
      <c r="D38170" s="39"/>
      <c r="E38170" s="39"/>
      <c r="F38170" s="39"/>
    </row>
    <row r="38171">
      <c r="D38171" s="39"/>
      <c r="E38171" s="39"/>
      <c r="F38171" s="39"/>
    </row>
    <row r="38172">
      <c r="D38172" s="39"/>
      <c r="E38172" s="39"/>
      <c r="F38172" s="39"/>
    </row>
    <row r="38173">
      <c r="D38173" s="39"/>
      <c r="E38173" s="39"/>
      <c r="F38173" s="39"/>
    </row>
    <row r="38174">
      <c r="D38174" s="39"/>
      <c r="E38174" s="39"/>
      <c r="F38174" s="39"/>
    </row>
    <row r="38175">
      <c r="D38175" s="39"/>
      <c r="E38175" s="39"/>
      <c r="F38175" s="39"/>
    </row>
    <row r="38176">
      <c r="D38176" s="39"/>
      <c r="E38176" s="39"/>
      <c r="F38176" s="39"/>
    </row>
    <row r="38177">
      <c r="D38177" s="39"/>
      <c r="E38177" s="39"/>
      <c r="F38177" s="39"/>
    </row>
    <row r="38178">
      <c r="D38178" s="39"/>
      <c r="E38178" s="39"/>
      <c r="F38178" s="39"/>
    </row>
    <row r="38179">
      <c r="D38179" s="39"/>
      <c r="E38179" s="39"/>
      <c r="F38179" s="39"/>
    </row>
    <row r="38180">
      <c r="D38180" s="39"/>
      <c r="E38180" s="39"/>
      <c r="F38180" s="39"/>
    </row>
    <row r="38181">
      <c r="D38181" s="39"/>
      <c r="E38181" s="39"/>
      <c r="F38181" s="39"/>
    </row>
    <row r="38182">
      <c r="D38182" s="39"/>
      <c r="E38182" s="39"/>
      <c r="F38182" s="39"/>
    </row>
    <row r="38183">
      <c r="D38183" s="39"/>
      <c r="E38183" s="39"/>
      <c r="F38183" s="39"/>
    </row>
    <row r="38184">
      <c r="D38184" s="39"/>
      <c r="E38184" s="39"/>
      <c r="F38184" s="39"/>
    </row>
    <row r="38185">
      <c r="D38185" s="39"/>
      <c r="E38185" s="39"/>
      <c r="F38185" s="39"/>
    </row>
    <row r="38186">
      <c r="D38186" s="39"/>
      <c r="E38186" s="39"/>
      <c r="F38186" s="39"/>
    </row>
    <row r="38187">
      <c r="D38187" s="39"/>
      <c r="E38187" s="39"/>
      <c r="F38187" s="39"/>
    </row>
    <row r="38188">
      <c r="D38188" s="39"/>
      <c r="E38188" s="39"/>
      <c r="F38188" s="39"/>
    </row>
    <row r="38189">
      <c r="D38189" s="39"/>
      <c r="E38189" s="39"/>
      <c r="F38189" s="39"/>
    </row>
    <row r="38190">
      <c r="D38190" s="39"/>
      <c r="E38190" s="39"/>
      <c r="F38190" s="39"/>
    </row>
    <row r="38191">
      <c r="D38191" s="39"/>
      <c r="E38191" s="39"/>
      <c r="F38191" s="39"/>
    </row>
    <row r="38192">
      <c r="D38192" s="39"/>
      <c r="E38192" s="39"/>
      <c r="F38192" s="39"/>
    </row>
    <row r="38193">
      <c r="D38193" s="39"/>
      <c r="E38193" s="39"/>
      <c r="F38193" s="39"/>
    </row>
    <row r="38194">
      <c r="D38194" s="39"/>
      <c r="E38194" s="39"/>
      <c r="F38194" s="39"/>
    </row>
    <row r="38195">
      <c r="D38195" s="39"/>
      <c r="E38195" s="39"/>
      <c r="F38195" s="39"/>
    </row>
    <row r="38196">
      <c r="D38196" s="39"/>
      <c r="E38196" s="39"/>
      <c r="F38196" s="39"/>
    </row>
    <row r="38197">
      <c r="D38197" s="39"/>
      <c r="E38197" s="39"/>
      <c r="F38197" s="39"/>
    </row>
    <row r="38198">
      <c r="D38198" s="39"/>
      <c r="E38198" s="39"/>
      <c r="F38198" s="39"/>
    </row>
    <row r="38199">
      <c r="D38199" s="39"/>
      <c r="E38199" s="39"/>
      <c r="F38199" s="39"/>
    </row>
    <row r="38200">
      <c r="D38200" s="39"/>
      <c r="E38200" s="39"/>
      <c r="F38200" s="39"/>
    </row>
    <row r="38201">
      <c r="D38201" s="39"/>
      <c r="E38201" s="39"/>
      <c r="F38201" s="39"/>
    </row>
    <row r="38202">
      <c r="D38202" s="39"/>
      <c r="E38202" s="39"/>
      <c r="F38202" s="39"/>
    </row>
    <row r="38203">
      <c r="D38203" s="39"/>
      <c r="E38203" s="39"/>
      <c r="F38203" s="39"/>
    </row>
    <row r="38204">
      <c r="D38204" s="39"/>
      <c r="E38204" s="39"/>
      <c r="F38204" s="39"/>
    </row>
    <row r="38205">
      <c r="D38205" s="39"/>
      <c r="E38205" s="39"/>
      <c r="F38205" s="39"/>
    </row>
    <row r="38206">
      <c r="D38206" s="39"/>
      <c r="E38206" s="39"/>
      <c r="F38206" s="39"/>
    </row>
    <row r="38207">
      <c r="D38207" s="39"/>
      <c r="E38207" s="39"/>
      <c r="F38207" s="39"/>
    </row>
    <row r="38208">
      <c r="D38208" s="39"/>
      <c r="E38208" s="39"/>
      <c r="F38208" s="39"/>
    </row>
    <row r="38209">
      <c r="D38209" s="39"/>
      <c r="E38209" s="39"/>
      <c r="F38209" s="39"/>
    </row>
    <row r="38210">
      <c r="D38210" s="39"/>
      <c r="E38210" s="39"/>
      <c r="F38210" s="39"/>
    </row>
    <row r="38211">
      <c r="D38211" s="39"/>
      <c r="E38211" s="39"/>
      <c r="F38211" s="39"/>
    </row>
    <row r="38212">
      <c r="D38212" s="39"/>
      <c r="E38212" s="39"/>
      <c r="F38212" s="39"/>
    </row>
    <row r="38213">
      <c r="D38213" s="39"/>
      <c r="E38213" s="39"/>
      <c r="F38213" s="39"/>
    </row>
    <row r="38214">
      <c r="D38214" s="39"/>
      <c r="E38214" s="39"/>
      <c r="F38214" s="39"/>
    </row>
    <row r="38215">
      <c r="D38215" s="39"/>
      <c r="E38215" s="39"/>
      <c r="F38215" s="39"/>
    </row>
    <row r="38216">
      <c r="D38216" s="39"/>
      <c r="E38216" s="39"/>
      <c r="F38216" s="39"/>
    </row>
    <row r="38217">
      <c r="D38217" s="39"/>
      <c r="E38217" s="39"/>
      <c r="F38217" s="39"/>
    </row>
    <row r="38218">
      <c r="D38218" s="39"/>
      <c r="E38218" s="39"/>
      <c r="F38218" s="39"/>
    </row>
    <row r="38219">
      <c r="D38219" s="39"/>
      <c r="E38219" s="39"/>
      <c r="F38219" s="39"/>
    </row>
    <row r="38220">
      <c r="D38220" s="39"/>
      <c r="E38220" s="39"/>
      <c r="F38220" s="39"/>
    </row>
    <row r="38221">
      <c r="D38221" s="39"/>
      <c r="E38221" s="39"/>
      <c r="F38221" s="39"/>
    </row>
    <row r="38222">
      <c r="D38222" s="39"/>
      <c r="E38222" s="39"/>
      <c r="F38222" s="39"/>
    </row>
    <row r="38223">
      <c r="D38223" s="39"/>
      <c r="E38223" s="39"/>
      <c r="F38223" s="39"/>
    </row>
    <row r="38224">
      <c r="D38224" s="39"/>
      <c r="E38224" s="39"/>
      <c r="F38224" s="39"/>
    </row>
    <row r="38225">
      <c r="D38225" s="39"/>
      <c r="E38225" s="39"/>
      <c r="F38225" s="39"/>
    </row>
    <row r="38226">
      <c r="D38226" s="39"/>
      <c r="E38226" s="39"/>
      <c r="F38226" s="39"/>
    </row>
    <row r="38227">
      <c r="D38227" s="39"/>
      <c r="E38227" s="39"/>
      <c r="F38227" s="39"/>
    </row>
    <row r="38228">
      <c r="D38228" s="39"/>
      <c r="E38228" s="39"/>
      <c r="F38228" s="39"/>
    </row>
    <row r="38229">
      <c r="D38229" s="39"/>
      <c r="E38229" s="39"/>
      <c r="F38229" s="39"/>
    </row>
    <row r="38230">
      <c r="D38230" s="39"/>
      <c r="E38230" s="39"/>
      <c r="F38230" s="39"/>
    </row>
    <row r="38231">
      <c r="D38231" s="39"/>
      <c r="E38231" s="39"/>
      <c r="F38231" s="39"/>
    </row>
    <row r="38232">
      <c r="D38232" s="39"/>
      <c r="E38232" s="39"/>
      <c r="F38232" s="39"/>
    </row>
    <row r="38233">
      <c r="D38233" s="39"/>
      <c r="E38233" s="39"/>
      <c r="F38233" s="39"/>
    </row>
    <row r="38234">
      <c r="D38234" s="39"/>
      <c r="E38234" s="39"/>
      <c r="F38234" s="39"/>
    </row>
    <row r="38235">
      <c r="D38235" s="39"/>
      <c r="E38235" s="39"/>
      <c r="F38235" s="39"/>
    </row>
    <row r="38236">
      <c r="D38236" s="39"/>
      <c r="E38236" s="39"/>
      <c r="F38236" s="39"/>
    </row>
    <row r="38237">
      <c r="D38237" s="39"/>
      <c r="E38237" s="39"/>
      <c r="F38237" s="39"/>
    </row>
    <row r="38238">
      <c r="D38238" s="39"/>
      <c r="E38238" s="39"/>
      <c r="F38238" s="39"/>
    </row>
    <row r="38239">
      <c r="D38239" s="39"/>
      <c r="E38239" s="39"/>
      <c r="F38239" s="39"/>
    </row>
    <row r="38240">
      <c r="D38240" s="39"/>
      <c r="E38240" s="39"/>
      <c r="F38240" s="39"/>
    </row>
    <row r="38241">
      <c r="D38241" s="39"/>
      <c r="E38241" s="39"/>
      <c r="F38241" s="39"/>
    </row>
    <row r="38242">
      <c r="D38242" s="39"/>
      <c r="E38242" s="39"/>
      <c r="F38242" s="39"/>
    </row>
    <row r="38243">
      <c r="D38243" s="39"/>
      <c r="E38243" s="39"/>
      <c r="F38243" s="39"/>
    </row>
    <row r="38244">
      <c r="D38244" s="39"/>
      <c r="E38244" s="39"/>
      <c r="F38244" s="39"/>
    </row>
    <row r="38245">
      <c r="D38245" s="39"/>
      <c r="E38245" s="39"/>
      <c r="F38245" s="39"/>
    </row>
    <row r="38246">
      <c r="D38246" s="39"/>
      <c r="E38246" s="39"/>
      <c r="F38246" s="39"/>
    </row>
    <row r="38247">
      <c r="D38247" s="39"/>
      <c r="E38247" s="39"/>
      <c r="F38247" s="39"/>
    </row>
    <row r="38248">
      <c r="D38248" s="39"/>
      <c r="E38248" s="39"/>
      <c r="F38248" s="39"/>
    </row>
    <row r="38249">
      <c r="D38249" s="39"/>
      <c r="E38249" s="39"/>
      <c r="F38249" s="39"/>
    </row>
    <row r="38250">
      <c r="D38250" s="39"/>
      <c r="E38250" s="39"/>
      <c r="F38250" s="39"/>
    </row>
    <row r="38251">
      <c r="D38251" s="39"/>
      <c r="E38251" s="39"/>
      <c r="F38251" s="39"/>
    </row>
    <row r="38252">
      <c r="D38252" s="39"/>
      <c r="E38252" s="39"/>
      <c r="F38252" s="39"/>
    </row>
    <row r="38253">
      <c r="D38253" s="39"/>
      <c r="E38253" s="39"/>
      <c r="F38253" s="39"/>
    </row>
    <row r="38254">
      <c r="D38254" s="39"/>
      <c r="E38254" s="39"/>
      <c r="F38254" s="39"/>
    </row>
    <row r="38255">
      <c r="D38255" s="39"/>
      <c r="E38255" s="39"/>
      <c r="F38255" s="39"/>
    </row>
    <row r="38256">
      <c r="D38256" s="39"/>
      <c r="E38256" s="39"/>
      <c r="F38256" s="39"/>
    </row>
    <row r="38257">
      <c r="D38257" s="39"/>
      <c r="E38257" s="39"/>
      <c r="F38257" s="39"/>
    </row>
    <row r="38258">
      <c r="D38258" s="39"/>
      <c r="E38258" s="39"/>
      <c r="F38258" s="39"/>
    </row>
    <row r="38259">
      <c r="D38259" s="39"/>
      <c r="E38259" s="39"/>
      <c r="F38259" s="39"/>
    </row>
    <row r="38260">
      <c r="D38260" s="39"/>
      <c r="E38260" s="39"/>
      <c r="F38260" s="39"/>
    </row>
    <row r="38261">
      <c r="D38261" s="39"/>
      <c r="E38261" s="39"/>
      <c r="F38261" s="39"/>
    </row>
    <row r="38262">
      <c r="D38262" s="39"/>
      <c r="E38262" s="39"/>
      <c r="F38262" s="39"/>
    </row>
    <row r="38263">
      <c r="D38263" s="39"/>
      <c r="E38263" s="39"/>
      <c r="F38263" s="39"/>
    </row>
    <row r="38264">
      <c r="D38264" s="39"/>
      <c r="E38264" s="39"/>
      <c r="F38264" s="39"/>
    </row>
    <row r="38265">
      <c r="D38265" s="39"/>
      <c r="E38265" s="39"/>
      <c r="F38265" s="39"/>
    </row>
    <row r="38266">
      <c r="D38266" s="39"/>
      <c r="E38266" s="39"/>
      <c r="F38266" s="39"/>
    </row>
    <row r="38267">
      <c r="D38267" s="39"/>
      <c r="E38267" s="39"/>
      <c r="F38267" s="39"/>
    </row>
    <row r="38268">
      <c r="D38268" s="39"/>
      <c r="E38268" s="39"/>
      <c r="F38268" s="39"/>
    </row>
    <row r="38269">
      <c r="D38269" s="39"/>
      <c r="E38269" s="39"/>
      <c r="F38269" s="39"/>
    </row>
    <row r="38270">
      <c r="D38270" s="39"/>
      <c r="E38270" s="39"/>
      <c r="F38270" s="39"/>
    </row>
    <row r="38271">
      <c r="D38271" s="39"/>
      <c r="E38271" s="39"/>
      <c r="F38271" s="39"/>
    </row>
    <row r="38272">
      <c r="D38272" s="39"/>
      <c r="E38272" s="39"/>
      <c r="F38272" s="39"/>
    </row>
    <row r="38273">
      <c r="D38273" s="39"/>
      <c r="E38273" s="39"/>
      <c r="F38273" s="39"/>
    </row>
    <row r="38274">
      <c r="D38274" s="39"/>
      <c r="E38274" s="39"/>
      <c r="F38274" s="39"/>
    </row>
    <row r="38275">
      <c r="D38275" s="39"/>
      <c r="E38275" s="39"/>
      <c r="F38275" s="39"/>
    </row>
    <row r="38276">
      <c r="D38276" s="39"/>
      <c r="E38276" s="39"/>
      <c r="F38276" s="39"/>
    </row>
    <row r="38277">
      <c r="D38277" s="39"/>
      <c r="E38277" s="39"/>
      <c r="F38277" s="39"/>
    </row>
    <row r="38278">
      <c r="D38278" s="39"/>
      <c r="E38278" s="39"/>
      <c r="F38278" s="39"/>
    </row>
    <row r="38279">
      <c r="D38279" s="39"/>
      <c r="E38279" s="39"/>
      <c r="F38279" s="39"/>
    </row>
    <row r="38280">
      <c r="D38280" s="39"/>
      <c r="E38280" s="39"/>
      <c r="F38280" s="39"/>
    </row>
    <row r="38281">
      <c r="D38281" s="39"/>
      <c r="E38281" s="39"/>
      <c r="F38281" s="39"/>
    </row>
    <row r="38282">
      <c r="D38282" s="39"/>
      <c r="E38282" s="39"/>
      <c r="F38282" s="39"/>
    </row>
    <row r="38283">
      <c r="D38283" s="39"/>
      <c r="E38283" s="39"/>
      <c r="F38283" s="39"/>
    </row>
    <row r="38284">
      <c r="D38284" s="39"/>
      <c r="E38284" s="39"/>
      <c r="F38284" s="39"/>
    </row>
    <row r="38285">
      <c r="D38285" s="39"/>
      <c r="E38285" s="39"/>
      <c r="F38285" s="39"/>
    </row>
    <row r="38286">
      <c r="D38286" s="39"/>
      <c r="E38286" s="39"/>
      <c r="F38286" s="39"/>
    </row>
    <row r="38287">
      <c r="D38287" s="39"/>
      <c r="E38287" s="39"/>
      <c r="F38287" s="39"/>
    </row>
    <row r="38288">
      <c r="D38288" s="39"/>
      <c r="E38288" s="39"/>
      <c r="F38288" s="39"/>
    </row>
    <row r="38289">
      <c r="D38289" s="39"/>
      <c r="E38289" s="39"/>
      <c r="F38289" s="39"/>
    </row>
    <row r="38290">
      <c r="D38290" s="39"/>
      <c r="E38290" s="39"/>
      <c r="F38290" s="39"/>
    </row>
    <row r="38291">
      <c r="D38291" s="39"/>
      <c r="E38291" s="39"/>
      <c r="F38291" s="39"/>
    </row>
    <row r="38292">
      <c r="D38292" s="39"/>
      <c r="E38292" s="39"/>
      <c r="F38292" s="39"/>
    </row>
    <row r="38293">
      <c r="D38293" s="39"/>
      <c r="E38293" s="39"/>
      <c r="F38293" s="39"/>
    </row>
    <row r="38294">
      <c r="D38294" s="39"/>
      <c r="E38294" s="39"/>
      <c r="F38294" s="39"/>
    </row>
    <row r="38295">
      <c r="D38295" s="39"/>
      <c r="E38295" s="39"/>
      <c r="F38295" s="39"/>
    </row>
    <row r="38296">
      <c r="D38296" s="39"/>
      <c r="E38296" s="39"/>
      <c r="F38296" s="39"/>
    </row>
    <row r="38297">
      <c r="D38297" s="39"/>
      <c r="E38297" s="39"/>
      <c r="F38297" s="39"/>
    </row>
    <row r="38298">
      <c r="D38298" s="39"/>
      <c r="E38298" s="39"/>
      <c r="F38298" s="39"/>
    </row>
    <row r="38299">
      <c r="D38299" s="39"/>
      <c r="E38299" s="39"/>
      <c r="F38299" s="39"/>
    </row>
    <row r="38300">
      <c r="D38300" s="39"/>
      <c r="E38300" s="39"/>
      <c r="F38300" s="39"/>
    </row>
    <row r="38301">
      <c r="D38301" s="39"/>
      <c r="E38301" s="39"/>
      <c r="F38301" s="39"/>
    </row>
    <row r="38302">
      <c r="D38302" s="39"/>
      <c r="E38302" s="39"/>
      <c r="F38302" s="39"/>
    </row>
    <row r="38303">
      <c r="D38303" s="39"/>
      <c r="E38303" s="39"/>
      <c r="F38303" s="39"/>
    </row>
    <row r="38304">
      <c r="D38304" s="39"/>
      <c r="E38304" s="39"/>
      <c r="F38304" s="39"/>
    </row>
    <row r="38305">
      <c r="D38305" s="39"/>
      <c r="E38305" s="39"/>
      <c r="F38305" s="39"/>
    </row>
    <row r="38306">
      <c r="D38306" s="39"/>
      <c r="E38306" s="39"/>
      <c r="F38306" s="39"/>
    </row>
    <row r="38307">
      <c r="D38307" s="39"/>
      <c r="E38307" s="39"/>
      <c r="F38307" s="39"/>
    </row>
    <row r="38308">
      <c r="D38308" s="39"/>
      <c r="E38308" s="39"/>
      <c r="F38308" s="39"/>
    </row>
    <row r="38309">
      <c r="D38309" s="39"/>
      <c r="E38309" s="39"/>
      <c r="F38309" s="39"/>
    </row>
    <row r="38310">
      <c r="D38310" s="39"/>
      <c r="E38310" s="39"/>
      <c r="F38310" s="39"/>
    </row>
    <row r="38311">
      <c r="D38311" s="39"/>
      <c r="E38311" s="39"/>
      <c r="F38311" s="39"/>
    </row>
    <row r="38312">
      <c r="D38312" s="39"/>
      <c r="E38312" s="39"/>
      <c r="F38312" s="39"/>
    </row>
    <row r="38313">
      <c r="D38313" s="39"/>
      <c r="E38313" s="39"/>
      <c r="F38313" s="39"/>
    </row>
    <row r="38314">
      <c r="D38314" s="39"/>
      <c r="E38314" s="39"/>
      <c r="F38314" s="39"/>
    </row>
    <row r="38315">
      <c r="D38315" s="39"/>
      <c r="E38315" s="39"/>
      <c r="F38315" s="39"/>
    </row>
    <row r="38316">
      <c r="D38316" s="39"/>
      <c r="E38316" s="39"/>
      <c r="F38316" s="39"/>
    </row>
    <row r="38317">
      <c r="D38317" s="39"/>
      <c r="E38317" s="39"/>
      <c r="F38317" s="39"/>
    </row>
    <row r="38318">
      <c r="D38318" s="39"/>
      <c r="E38318" s="39"/>
      <c r="F38318" s="39"/>
    </row>
    <row r="38319">
      <c r="D38319" s="39"/>
      <c r="E38319" s="39"/>
      <c r="F38319" s="39"/>
    </row>
    <row r="38320">
      <c r="D38320" s="39"/>
      <c r="E38320" s="39"/>
      <c r="F38320" s="39"/>
    </row>
    <row r="38321">
      <c r="D38321" s="39"/>
      <c r="E38321" s="39"/>
      <c r="F38321" s="39"/>
    </row>
    <row r="38322">
      <c r="D38322" s="39"/>
      <c r="E38322" s="39"/>
      <c r="F38322" s="39"/>
    </row>
    <row r="38323">
      <c r="D38323" s="39"/>
      <c r="E38323" s="39"/>
      <c r="F38323" s="39"/>
    </row>
    <row r="38324">
      <c r="D38324" s="39"/>
      <c r="E38324" s="39"/>
      <c r="F38324" s="39"/>
    </row>
    <row r="38325">
      <c r="D38325" s="39"/>
      <c r="E38325" s="39"/>
      <c r="F38325" s="39"/>
    </row>
    <row r="38326">
      <c r="D38326" s="39"/>
      <c r="E38326" s="39"/>
      <c r="F38326" s="39"/>
    </row>
    <row r="38327">
      <c r="D38327" s="39"/>
      <c r="E38327" s="39"/>
      <c r="F38327" s="39"/>
    </row>
    <row r="38328">
      <c r="D38328" s="39"/>
      <c r="E38328" s="39"/>
      <c r="F38328" s="39"/>
    </row>
    <row r="38329">
      <c r="D38329" s="39"/>
      <c r="E38329" s="39"/>
      <c r="F38329" s="39"/>
    </row>
    <row r="38330">
      <c r="D38330" s="39"/>
      <c r="E38330" s="39"/>
      <c r="F38330" s="39"/>
    </row>
    <row r="38331">
      <c r="D38331" s="39"/>
      <c r="E38331" s="39"/>
      <c r="F38331" s="39"/>
    </row>
    <row r="38332">
      <c r="D38332" s="39"/>
      <c r="E38332" s="39"/>
      <c r="F38332" s="39"/>
    </row>
    <row r="38333">
      <c r="D38333" s="39"/>
      <c r="E38333" s="39"/>
      <c r="F38333" s="39"/>
    </row>
    <row r="38334">
      <c r="D38334" s="39"/>
      <c r="E38334" s="39"/>
      <c r="F38334" s="39"/>
    </row>
    <row r="38335">
      <c r="D38335" s="39"/>
      <c r="E38335" s="39"/>
      <c r="F38335" s="39"/>
    </row>
    <row r="38336">
      <c r="D38336" s="39"/>
      <c r="E38336" s="39"/>
      <c r="F38336" s="39"/>
    </row>
    <row r="38337">
      <c r="D38337" s="39"/>
      <c r="E38337" s="39"/>
      <c r="F38337" s="39"/>
    </row>
    <row r="38338">
      <c r="D38338" s="39"/>
      <c r="E38338" s="39"/>
      <c r="F38338" s="39"/>
    </row>
    <row r="38339">
      <c r="D38339" s="39"/>
      <c r="E38339" s="39"/>
      <c r="F38339" s="39"/>
    </row>
    <row r="38340">
      <c r="D38340" s="39"/>
      <c r="E38340" s="39"/>
      <c r="F38340" s="39"/>
    </row>
    <row r="38341">
      <c r="D38341" s="39"/>
      <c r="E38341" s="39"/>
      <c r="F38341" s="39"/>
    </row>
    <row r="38342">
      <c r="D38342" s="39"/>
      <c r="E38342" s="39"/>
      <c r="F38342" s="39"/>
    </row>
    <row r="38343">
      <c r="D38343" s="39"/>
      <c r="E38343" s="39"/>
      <c r="F38343" s="39"/>
    </row>
    <row r="38344">
      <c r="D38344" s="39"/>
      <c r="E38344" s="39"/>
      <c r="F38344" s="39"/>
    </row>
    <row r="38345">
      <c r="D38345" s="39"/>
      <c r="E38345" s="39"/>
      <c r="F38345" s="39"/>
    </row>
    <row r="38346">
      <c r="D38346" s="39"/>
      <c r="E38346" s="39"/>
      <c r="F38346" s="39"/>
    </row>
    <row r="38347">
      <c r="D38347" s="39"/>
      <c r="E38347" s="39"/>
      <c r="F38347" s="39"/>
    </row>
    <row r="38348">
      <c r="D38348" s="39"/>
      <c r="E38348" s="39"/>
      <c r="F38348" s="39"/>
    </row>
    <row r="38349">
      <c r="D38349" s="39"/>
      <c r="E38349" s="39"/>
      <c r="F38349" s="39"/>
    </row>
    <row r="38350">
      <c r="D38350" s="39"/>
      <c r="E38350" s="39"/>
      <c r="F38350" s="39"/>
    </row>
    <row r="38351">
      <c r="D38351" s="39"/>
      <c r="E38351" s="39"/>
      <c r="F38351" s="39"/>
    </row>
    <row r="38352">
      <c r="D38352" s="39"/>
      <c r="E38352" s="39"/>
      <c r="F38352" s="39"/>
    </row>
    <row r="38353">
      <c r="D38353" s="39"/>
      <c r="E38353" s="39"/>
      <c r="F38353" s="39"/>
    </row>
    <row r="38354">
      <c r="D38354" s="39"/>
      <c r="E38354" s="39"/>
      <c r="F38354" s="39"/>
    </row>
    <row r="38355">
      <c r="D38355" s="39"/>
      <c r="E38355" s="39"/>
      <c r="F38355" s="39"/>
    </row>
    <row r="38356">
      <c r="D38356" s="39"/>
      <c r="E38356" s="39"/>
      <c r="F38356" s="39"/>
    </row>
    <row r="38357">
      <c r="D38357" s="39"/>
      <c r="E38357" s="39"/>
      <c r="F38357" s="39"/>
    </row>
    <row r="38358">
      <c r="D38358" s="39"/>
      <c r="E38358" s="39"/>
      <c r="F38358" s="39"/>
    </row>
    <row r="38359">
      <c r="D38359" s="39"/>
      <c r="E38359" s="39"/>
      <c r="F38359" s="39"/>
    </row>
    <row r="38360">
      <c r="D38360" s="39"/>
      <c r="E38360" s="39"/>
      <c r="F38360" s="39"/>
    </row>
    <row r="38361">
      <c r="D38361" s="39"/>
      <c r="E38361" s="39"/>
      <c r="F38361" s="39"/>
    </row>
    <row r="38362">
      <c r="D38362" s="39"/>
      <c r="E38362" s="39"/>
      <c r="F38362" s="39"/>
    </row>
    <row r="38363">
      <c r="D38363" s="39"/>
      <c r="E38363" s="39"/>
      <c r="F38363" s="39"/>
    </row>
    <row r="38364">
      <c r="D38364" s="39"/>
      <c r="E38364" s="39"/>
      <c r="F38364" s="39"/>
    </row>
    <row r="38365">
      <c r="D38365" s="39"/>
      <c r="E38365" s="39"/>
      <c r="F38365" s="39"/>
    </row>
    <row r="38366">
      <c r="D38366" s="39"/>
      <c r="E38366" s="39"/>
      <c r="F38366" s="39"/>
    </row>
    <row r="38367">
      <c r="D38367" s="39"/>
      <c r="E38367" s="39"/>
      <c r="F38367" s="39"/>
    </row>
    <row r="38368">
      <c r="D38368" s="39"/>
      <c r="E38368" s="39"/>
      <c r="F38368" s="39"/>
    </row>
    <row r="38369">
      <c r="D38369" s="39"/>
      <c r="E38369" s="39"/>
      <c r="F38369" s="39"/>
    </row>
    <row r="38370">
      <c r="D38370" s="39"/>
      <c r="E38370" s="39"/>
      <c r="F38370" s="39"/>
    </row>
    <row r="38371">
      <c r="D38371" s="39"/>
      <c r="E38371" s="39"/>
      <c r="F38371" s="39"/>
    </row>
    <row r="38372">
      <c r="D38372" s="39"/>
      <c r="E38372" s="39"/>
      <c r="F38372" s="39"/>
    </row>
    <row r="38373">
      <c r="D38373" s="39"/>
      <c r="E38373" s="39"/>
      <c r="F38373" s="39"/>
    </row>
    <row r="38374">
      <c r="D38374" s="39"/>
      <c r="E38374" s="39"/>
      <c r="F38374" s="39"/>
    </row>
    <row r="38375">
      <c r="D38375" s="39"/>
      <c r="E38375" s="39"/>
      <c r="F38375" s="39"/>
    </row>
    <row r="38376">
      <c r="D38376" s="39"/>
      <c r="E38376" s="39"/>
      <c r="F38376" s="39"/>
    </row>
    <row r="38377">
      <c r="D38377" s="39"/>
      <c r="E38377" s="39"/>
      <c r="F38377" s="39"/>
    </row>
    <row r="38378">
      <c r="D38378" s="39"/>
      <c r="E38378" s="39"/>
      <c r="F38378" s="39"/>
    </row>
    <row r="38379">
      <c r="D38379" s="39"/>
      <c r="E38379" s="39"/>
      <c r="F38379" s="39"/>
    </row>
    <row r="38380">
      <c r="D38380" s="39"/>
      <c r="E38380" s="39"/>
      <c r="F38380" s="39"/>
    </row>
    <row r="38381">
      <c r="D38381" s="39"/>
      <c r="E38381" s="39"/>
      <c r="F38381" s="39"/>
    </row>
    <row r="38382">
      <c r="D38382" s="39"/>
      <c r="E38382" s="39"/>
      <c r="F38382" s="39"/>
    </row>
    <row r="38383">
      <c r="D38383" s="39"/>
      <c r="E38383" s="39"/>
      <c r="F38383" s="39"/>
    </row>
    <row r="38384">
      <c r="D38384" s="39"/>
      <c r="E38384" s="39"/>
      <c r="F38384" s="39"/>
    </row>
    <row r="38385">
      <c r="D38385" s="39"/>
      <c r="E38385" s="39"/>
      <c r="F38385" s="39"/>
    </row>
    <row r="38386">
      <c r="D38386" s="39"/>
      <c r="E38386" s="39"/>
      <c r="F38386" s="39"/>
    </row>
    <row r="38387">
      <c r="D38387" s="39"/>
      <c r="E38387" s="39"/>
      <c r="F38387" s="39"/>
    </row>
    <row r="38388">
      <c r="D38388" s="39"/>
      <c r="E38388" s="39"/>
      <c r="F38388" s="39"/>
    </row>
    <row r="38389">
      <c r="D38389" s="39"/>
      <c r="E38389" s="39"/>
      <c r="F38389" s="39"/>
    </row>
    <row r="38390">
      <c r="D38390" s="39"/>
      <c r="E38390" s="39"/>
      <c r="F38390" s="39"/>
    </row>
    <row r="38391">
      <c r="D38391" s="39"/>
      <c r="E38391" s="39"/>
      <c r="F38391" s="39"/>
    </row>
    <row r="38392">
      <c r="D38392" s="39"/>
      <c r="E38392" s="39"/>
      <c r="F38392" s="39"/>
    </row>
    <row r="38393">
      <c r="D38393" s="39"/>
      <c r="E38393" s="39"/>
      <c r="F38393" s="39"/>
    </row>
    <row r="38394">
      <c r="D38394" s="39"/>
      <c r="E38394" s="39"/>
      <c r="F38394" s="39"/>
    </row>
    <row r="38395">
      <c r="D38395" s="39"/>
      <c r="E38395" s="39"/>
      <c r="F38395" s="39"/>
    </row>
    <row r="38396">
      <c r="D38396" s="39"/>
      <c r="E38396" s="39"/>
      <c r="F38396" s="39"/>
    </row>
    <row r="38397">
      <c r="D38397" s="39"/>
      <c r="E38397" s="39"/>
      <c r="F38397" s="39"/>
    </row>
    <row r="38398">
      <c r="D38398" s="39"/>
      <c r="E38398" s="39"/>
      <c r="F38398" s="39"/>
    </row>
    <row r="38399">
      <c r="D38399" s="39"/>
      <c r="E38399" s="39"/>
      <c r="F38399" s="39"/>
    </row>
    <row r="38400">
      <c r="D38400" s="39"/>
      <c r="E38400" s="39"/>
      <c r="F38400" s="39"/>
    </row>
    <row r="38401">
      <c r="D38401" s="39"/>
      <c r="E38401" s="39"/>
      <c r="F38401" s="39"/>
    </row>
    <row r="38402">
      <c r="D38402" s="39"/>
      <c r="E38402" s="39"/>
      <c r="F38402" s="39"/>
    </row>
    <row r="38403">
      <c r="D38403" s="39"/>
      <c r="E38403" s="39"/>
      <c r="F38403" s="39"/>
    </row>
    <row r="38404">
      <c r="D38404" s="39"/>
      <c r="E38404" s="39"/>
      <c r="F38404" s="39"/>
    </row>
    <row r="38405">
      <c r="D38405" s="39"/>
      <c r="E38405" s="39"/>
      <c r="F38405" s="39"/>
    </row>
    <row r="38406">
      <c r="D38406" s="39"/>
      <c r="E38406" s="39"/>
      <c r="F38406" s="39"/>
    </row>
    <row r="38407">
      <c r="D38407" s="39"/>
      <c r="E38407" s="39"/>
      <c r="F38407" s="39"/>
    </row>
    <row r="38408">
      <c r="D38408" s="39"/>
      <c r="E38408" s="39"/>
      <c r="F38408" s="39"/>
    </row>
    <row r="38409">
      <c r="D38409" s="39"/>
      <c r="E38409" s="39"/>
      <c r="F38409" s="39"/>
    </row>
    <row r="38410">
      <c r="D38410" s="39"/>
      <c r="E38410" s="39"/>
      <c r="F38410" s="39"/>
    </row>
    <row r="38411">
      <c r="D38411" s="39"/>
      <c r="E38411" s="39"/>
      <c r="F38411" s="39"/>
    </row>
    <row r="38412">
      <c r="D38412" s="39"/>
      <c r="E38412" s="39"/>
      <c r="F38412" s="39"/>
    </row>
    <row r="38413">
      <c r="D38413" s="39"/>
      <c r="E38413" s="39"/>
      <c r="F38413" s="39"/>
    </row>
    <row r="38414">
      <c r="D38414" s="39"/>
      <c r="E38414" s="39"/>
      <c r="F38414" s="39"/>
    </row>
    <row r="38415">
      <c r="D38415" s="39"/>
      <c r="E38415" s="39"/>
      <c r="F38415" s="39"/>
    </row>
    <row r="38416">
      <c r="D38416" s="39"/>
      <c r="E38416" s="39"/>
      <c r="F38416" s="39"/>
    </row>
    <row r="38417">
      <c r="D38417" s="39"/>
      <c r="E38417" s="39"/>
      <c r="F38417" s="39"/>
    </row>
    <row r="38418">
      <c r="D38418" s="39"/>
      <c r="E38418" s="39"/>
      <c r="F38418" s="39"/>
    </row>
    <row r="38419">
      <c r="D38419" s="39"/>
      <c r="E38419" s="39"/>
      <c r="F38419" s="39"/>
    </row>
    <row r="38420">
      <c r="D38420" s="39"/>
      <c r="E38420" s="39"/>
      <c r="F38420" s="39"/>
    </row>
    <row r="38421">
      <c r="D38421" s="39"/>
      <c r="E38421" s="39"/>
      <c r="F38421" s="39"/>
    </row>
    <row r="38422">
      <c r="D38422" s="39"/>
      <c r="E38422" s="39"/>
      <c r="F38422" s="39"/>
    </row>
    <row r="38423">
      <c r="D38423" s="39"/>
      <c r="E38423" s="39"/>
      <c r="F38423" s="39"/>
    </row>
    <row r="38424">
      <c r="D38424" s="39"/>
      <c r="E38424" s="39"/>
      <c r="F38424" s="39"/>
    </row>
    <row r="38425">
      <c r="D38425" s="39"/>
      <c r="E38425" s="39"/>
      <c r="F38425" s="39"/>
    </row>
    <row r="38426">
      <c r="D38426" s="39"/>
      <c r="E38426" s="39"/>
      <c r="F38426" s="39"/>
    </row>
    <row r="38427">
      <c r="D38427" s="39"/>
      <c r="E38427" s="39"/>
      <c r="F38427" s="39"/>
    </row>
    <row r="38428">
      <c r="D38428" s="39"/>
      <c r="E38428" s="39"/>
      <c r="F38428" s="39"/>
    </row>
    <row r="38429">
      <c r="D38429" s="39"/>
      <c r="E38429" s="39"/>
      <c r="F38429" s="39"/>
    </row>
    <row r="38430">
      <c r="D38430" s="39"/>
      <c r="E38430" s="39"/>
      <c r="F38430" s="39"/>
    </row>
    <row r="38431">
      <c r="D38431" s="39"/>
      <c r="E38431" s="39"/>
      <c r="F38431" s="39"/>
    </row>
    <row r="38432">
      <c r="D38432" s="39"/>
      <c r="E38432" s="39"/>
      <c r="F38432" s="39"/>
    </row>
    <row r="38433">
      <c r="D38433" s="39"/>
      <c r="E38433" s="39"/>
      <c r="F38433" s="39"/>
    </row>
    <row r="38434">
      <c r="D38434" s="39"/>
      <c r="E38434" s="39"/>
      <c r="F38434" s="39"/>
    </row>
    <row r="38435">
      <c r="D38435" s="39"/>
      <c r="E38435" s="39"/>
      <c r="F38435" s="39"/>
    </row>
    <row r="38436">
      <c r="D38436" s="39"/>
      <c r="E38436" s="39"/>
      <c r="F38436" s="39"/>
    </row>
    <row r="38437">
      <c r="D38437" s="39"/>
      <c r="E38437" s="39"/>
      <c r="F38437" s="39"/>
    </row>
    <row r="38438">
      <c r="D38438" s="39"/>
      <c r="E38438" s="39"/>
      <c r="F38438" s="39"/>
    </row>
    <row r="38439">
      <c r="D38439" s="39"/>
      <c r="E38439" s="39"/>
      <c r="F38439" s="39"/>
    </row>
    <row r="38440">
      <c r="D38440" s="39"/>
      <c r="E38440" s="39"/>
      <c r="F38440" s="39"/>
    </row>
    <row r="38441">
      <c r="D38441" s="39"/>
      <c r="E38441" s="39"/>
      <c r="F38441" s="39"/>
    </row>
    <row r="38442">
      <c r="D38442" s="39"/>
      <c r="E38442" s="39"/>
      <c r="F38442" s="39"/>
    </row>
    <row r="38443">
      <c r="D38443" s="39"/>
      <c r="E38443" s="39"/>
      <c r="F38443" s="39"/>
    </row>
    <row r="38444">
      <c r="D38444" s="39"/>
      <c r="E38444" s="39"/>
      <c r="F38444" s="39"/>
    </row>
    <row r="38445">
      <c r="D38445" s="39"/>
      <c r="E38445" s="39"/>
      <c r="F38445" s="39"/>
    </row>
    <row r="38446">
      <c r="D38446" s="39"/>
      <c r="E38446" s="39"/>
      <c r="F38446" s="39"/>
    </row>
    <row r="38447">
      <c r="D38447" s="39"/>
      <c r="E38447" s="39"/>
      <c r="F38447" s="39"/>
    </row>
    <row r="38448">
      <c r="D38448" s="39"/>
      <c r="E38448" s="39"/>
      <c r="F38448" s="39"/>
    </row>
    <row r="38449">
      <c r="D38449" s="39"/>
      <c r="E38449" s="39"/>
      <c r="F38449" s="39"/>
    </row>
    <row r="38450">
      <c r="D38450" s="39"/>
      <c r="E38450" s="39"/>
      <c r="F38450" s="39"/>
    </row>
    <row r="38451">
      <c r="D38451" s="39"/>
      <c r="E38451" s="39"/>
      <c r="F38451" s="39"/>
    </row>
    <row r="38452">
      <c r="D38452" s="39"/>
      <c r="E38452" s="39"/>
      <c r="F38452" s="39"/>
    </row>
    <row r="38453">
      <c r="D38453" s="39"/>
      <c r="E38453" s="39"/>
      <c r="F38453" s="39"/>
    </row>
    <row r="38454">
      <c r="D38454" s="39"/>
      <c r="E38454" s="39"/>
      <c r="F38454" s="39"/>
    </row>
    <row r="38455">
      <c r="D38455" s="39"/>
      <c r="E38455" s="39"/>
      <c r="F38455" s="39"/>
    </row>
    <row r="38456">
      <c r="D38456" s="39"/>
      <c r="E38456" s="39"/>
      <c r="F38456" s="39"/>
    </row>
    <row r="38457">
      <c r="D38457" s="39"/>
      <c r="E38457" s="39"/>
      <c r="F38457" s="39"/>
    </row>
    <row r="38458">
      <c r="D38458" s="39"/>
      <c r="E38458" s="39"/>
      <c r="F38458" s="39"/>
    </row>
    <row r="38459">
      <c r="D38459" s="39"/>
      <c r="E38459" s="39"/>
      <c r="F38459" s="39"/>
    </row>
    <row r="38460">
      <c r="D38460" s="39"/>
      <c r="E38460" s="39"/>
      <c r="F38460" s="39"/>
    </row>
    <row r="38461">
      <c r="D38461" s="39"/>
      <c r="E38461" s="39"/>
      <c r="F38461" s="39"/>
    </row>
    <row r="38462">
      <c r="D38462" s="39"/>
      <c r="E38462" s="39"/>
      <c r="F38462" s="39"/>
    </row>
    <row r="38463">
      <c r="D38463" s="39"/>
      <c r="E38463" s="39"/>
      <c r="F38463" s="39"/>
    </row>
    <row r="38464">
      <c r="D38464" s="39"/>
      <c r="E38464" s="39"/>
      <c r="F38464" s="39"/>
    </row>
    <row r="38465">
      <c r="D38465" s="39"/>
      <c r="E38465" s="39"/>
      <c r="F38465" s="39"/>
    </row>
    <row r="38466">
      <c r="D38466" s="39"/>
      <c r="E38466" s="39"/>
      <c r="F38466" s="39"/>
    </row>
    <row r="38467">
      <c r="D38467" s="39"/>
      <c r="E38467" s="39"/>
      <c r="F38467" s="39"/>
    </row>
    <row r="38468">
      <c r="D38468" s="39"/>
      <c r="E38468" s="39"/>
      <c r="F38468" s="39"/>
    </row>
    <row r="38469">
      <c r="D38469" s="39"/>
      <c r="E38469" s="39"/>
      <c r="F38469" s="39"/>
    </row>
    <row r="38470">
      <c r="D38470" s="39"/>
      <c r="E38470" s="39"/>
      <c r="F38470" s="39"/>
    </row>
    <row r="38471">
      <c r="D38471" s="39"/>
      <c r="E38471" s="39"/>
      <c r="F38471" s="39"/>
    </row>
    <row r="38472">
      <c r="D38472" s="39"/>
      <c r="E38472" s="39"/>
      <c r="F38472" s="39"/>
    </row>
    <row r="38473">
      <c r="D38473" s="39"/>
      <c r="E38473" s="39"/>
      <c r="F38473" s="39"/>
    </row>
    <row r="38474">
      <c r="D38474" s="39"/>
      <c r="E38474" s="39"/>
      <c r="F38474" s="39"/>
    </row>
    <row r="38475">
      <c r="D38475" s="39"/>
      <c r="E38475" s="39"/>
      <c r="F38475" s="39"/>
    </row>
    <row r="38476">
      <c r="D38476" s="39"/>
      <c r="E38476" s="39"/>
      <c r="F38476" s="39"/>
    </row>
    <row r="38477">
      <c r="D38477" s="39"/>
      <c r="E38477" s="39"/>
      <c r="F38477" s="39"/>
    </row>
    <row r="38478">
      <c r="D38478" s="39"/>
      <c r="E38478" s="39"/>
      <c r="F38478" s="39"/>
    </row>
    <row r="38479">
      <c r="D38479" s="39"/>
      <c r="E38479" s="39"/>
      <c r="F38479" s="39"/>
    </row>
    <row r="38480">
      <c r="D38480" s="39"/>
      <c r="E38480" s="39"/>
      <c r="F38480" s="39"/>
    </row>
    <row r="38481">
      <c r="D38481" s="39"/>
      <c r="E38481" s="39"/>
      <c r="F38481" s="39"/>
    </row>
    <row r="38482">
      <c r="D38482" s="39"/>
      <c r="E38482" s="39"/>
      <c r="F38482" s="39"/>
    </row>
    <row r="38483">
      <c r="D38483" s="39"/>
      <c r="E38483" s="39"/>
      <c r="F38483" s="39"/>
    </row>
    <row r="38484">
      <c r="D38484" s="39"/>
      <c r="E38484" s="39"/>
      <c r="F38484" s="39"/>
    </row>
    <row r="38485">
      <c r="D38485" s="39"/>
      <c r="E38485" s="39"/>
      <c r="F38485" s="39"/>
    </row>
    <row r="38486">
      <c r="D38486" s="39"/>
      <c r="E38486" s="39"/>
      <c r="F38486" s="39"/>
    </row>
    <row r="38487">
      <c r="D38487" s="39"/>
      <c r="E38487" s="39"/>
      <c r="F38487" s="39"/>
    </row>
    <row r="38488">
      <c r="D38488" s="39"/>
      <c r="E38488" s="39"/>
      <c r="F38488" s="39"/>
    </row>
    <row r="38489">
      <c r="D38489" s="39"/>
      <c r="E38489" s="39"/>
      <c r="F38489" s="39"/>
    </row>
    <row r="38490">
      <c r="D38490" s="39"/>
      <c r="E38490" s="39"/>
      <c r="F38490" s="39"/>
    </row>
    <row r="38491">
      <c r="D38491" s="39"/>
      <c r="E38491" s="39"/>
      <c r="F38491" s="39"/>
    </row>
    <row r="38492">
      <c r="D38492" s="39"/>
      <c r="E38492" s="39"/>
      <c r="F38492" s="39"/>
    </row>
    <row r="38493">
      <c r="D38493" s="39"/>
      <c r="E38493" s="39"/>
      <c r="F38493" s="39"/>
    </row>
    <row r="38494">
      <c r="D38494" s="39"/>
      <c r="E38494" s="39"/>
      <c r="F38494" s="39"/>
    </row>
    <row r="38495">
      <c r="D38495" s="39"/>
      <c r="E38495" s="39"/>
      <c r="F38495" s="39"/>
    </row>
    <row r="38496">
      <c r="D38496" s="39"/>
      <c r="E38496" s="39"/>
      <c r="F38496" s="39"/>
    </row>
    <row r="38497">
      <c r="D38497" s="39"/>
      <c r="E38497" s="39"/>
      <c r="F38497" s="39"/>
    </row>
    <row r="38498">
      <c r="D38498" s="39"/>
      <c r="E38498" s="39"/>
      <c r="F38498" s="39"/>
    </row>
    <row r="38499">
      <c r="D38499" s="39"/>
      <c r="E38499" s="39"/>
      <c r="F38499" s="39"/>
    </row>
    <row r="38500">
      <c r="D38500" s="39"/>
      <c r="E38500" s="39"/>
      <c r="F38500" s="39"/>
    </row>
    <row r="38501">
      <c r="D38501" s="39"/>
      <c r="E38501" s="39"/>
      <c r="F38501" s="39"/>
    </row>
    <row r="38502">
      <c r="D38502" s="39"/>
      <c r="E38502" s="39"/>
      <c r="F38502" s="39"/>
    </row>
    <row r="38503">
      <c r="D38503" s="39"/>
      <c r="E38503" s="39"/>
      <c r="F38503" s="39"/>
    </row>
    <row r="38504">
      <c r="D38504" s="39"/>
      <c r="E38504" s="39"/>
      <c r="F38504" s="39"/>
    </row>
    <row r="38505">
      <c r="D38505" s="39"/>
      <c r="E38505" s="39"/>
      <c r="F38505" s="39"/>
    </row>
    <row r="38506">
      <c r="D38506" s="39"/>
      <c r="E38506" s="39"/>
      <c r="F38506" s="39"/>
    </row>
    <row r="38507">
      <c r="D38507" s="39"/>
      <c r="E38507" s="39"/>
      <c r="F38507" s="39"/>
    </row>
    <row r="38508">
      <c r="D38508" s="39"/>
      <c r="E38508" s="39"/>
      <c r="F38508" s="39"/>
    </row>
    <row r="38509">
      <c r="D38509" s="39"/>
      <c r="E38509" s="39"/>
      <c r="F38509" s="39"/>
    </row>
    <row r="38510">
      <c r="D38510" s="39"/>
      <c r="E38510" s="39"/>
      <c r="F38510" s="39"/>
    </row>
    <row r="38511">
      <c r="D38511" s="39"/>
      <c r="E38511" s="39"/>
      <c r="F38511" s="39"/>
    </row>
    <row r="38512">
      <c r="D38512" s="39"/>
      <c r="E38512" s="39"/>
      <c r="F38512" s="39"/>
    </row>
    <row r="38513">
      <c r="D38513" s="39"/>
      <c r="E38513" s="39"/>
      <c r="F38513" s="39"/>
    </row>
    <row r="38514">
      <c r="D38514" s="39"/>
      <c r="E38514" s="39"/>
      <c r="F38514" s="39"/>
    </row>
    <row r="38515">
      <c r="D38515" s="39"/>
      <c r="E38515" s="39"/>
      <c r="F38515" s="39"/>
    </row>
    <row r="38516">
      <c r="D38516" s="39"/>
      <c r="E38516" s="39"/>
      <c r="F38516" s="39"/>
    </row>
    <row r="38517">
      <c r="D38517" s="39"/>
      <c r="E38517" s="39"/>
      <c r="F38517" s="39"/>
    </row>
    <row r="38518">
      <c r="D38518" s="39"/>
      <c r="E38518" s="39"/>
      <c r="F38518" s="39"/>
    </row>
    <row r="38519">
      <c r="D38519" s="39"/>
      <c r="E38519" s="39"/>
      <c r="F38519" s="39"/>
    </row>
    <row r="38520">
      <c r="D38520" s="39"/>
      <c r="E38520" s="39"/>
      <c r="F38520" s="39"/>
    </row>
    <row r="38521">
      <c r="D38521" s="39"/>
      <c r="E38521" s="39"/>
      <c r="F38521" s="39"/>
    </row>
    <row r="38522">
      <c r="D38522" s="39"/>
      <c r="E38522" s="39"/>
      <c r="F38522" s="39"/>
    </row>
    <row r="38523">
      <c r="D38523" s="39"/>
      <c r="E38523" s="39"/>
      <c r="F38523" s="39"/>
    </row>
    <row r="38524">
      <c r="D38524" s="39"/>
      <c r="E38524" s="39"/>
      <c r="F38524" s="39"/>
    </row>
    <row r="38525">
      <c r="D38525" s="39"/>
      <c r="E38525" s="39"/>
      <c r="F38525" s="39"/>
    </row>
    <row r="38526">
      <c r="D38526" s="39"/>
      <c r="E38526" s="39"/>
      <c r="F38526" s="39"/>
    </row>
    <row r="38527">
      <c r="D38527" s="39"/>
      <c r="E38527" s="39"/>
      <c r="F38527" s="39"/>
    </row>
    <row r="38528">
      <c r="D38528" s="39"/>
      <c r="E38528" s="39"/>
      <c r="F38528" s="39"/>
    </row>
    <row r="38529">
      <c r="D38529" s="39"/>
      <c r="E38529" s="39"/>
      <c r="F38529" s="39"/>
    </row>
    <row r="38530">
      <c r="D38530" s="39"/>
      <c r="E38530" s="39"/>
      <c r="F38530" s="39"/>
    </row>
    <row r="38531">
      <c r="D38531" s="39"/>
      <c r="E38531" s="39"/>
      <c r="F38531" s="39"/>
    </row>
    <row r="38532">
      <c r="D38532" s="39"/>
      <c r="E38532" s="39"/>
      <c r="F38532" s="39"/>
    </row>
    <row r="38533">
      <c r="D38533" s="39"/>
      <c r="E38533" s="39"/>
      <c r="F38533" s="39"/>
    </row>
    <row r="38534">
      <c r="D38534" s="39"/>
      <c r="E38534" s="39"/>
      <c r="F38534" s="39"/>
    </row>
    <row r="38535">
      <c r="D38535" s="39"/>
      <c r="E38535" s="39"/>
      <c r="F38535" s="39"/>
    </row>
    <row r="38536">
      <c r="D38536" s="39"/>
      <c r="E38536" s="39"/>
      <c r="F38536" s="39"/>
    </row>
    <row r="38537">
      <c r="D38537" s="39"/>
      <c r="E38537" s="39"/>
      <c r="F38537" s="39"/>
    </row>
    <row r="38538">
      <c r="D38538" s="39"/>
      <c r="E38538" s="39"/>
      <c r="F38538" s="39"/>
    </row>
    <row r="38539">
      <c r="D38539" s="39"/>
      <c r="E38539" s="39"/>
      <c r="F38539" s="39"/>
    </row>
    <row r="38540">
      <c r="D38540" s="39"/>
      <c r="E38540" s="39"/>
      <c r="F38540" s="39"/>
    </row>
    <row r="38541">
      <c r="D38541" s="39"/>
      <c r="E38541" s="39"/>
      <c r="F38541" s="39"/>
    </row>
    <row r="38542">
      <c r="D38542" s="39"/>
      <c r="E38542" s="39"/>
      <c r="F38542" s="39"/>
    </row>
    <row r="38543">
      <c r="D38543" s="39"/>
      <c r="E38543" s="39"/>
      <c r="F38543" s="39"/>
    </row>
    <row r="38544">
      <c r="D38544" s="39"/>
      <c r="E38544" s="39"/>
      <c r="F38544" s="39"/>
    </row>
    <row r="38545">
      <c r="D38545" s="39"/>
      <c r="E38545" s="39"/>
      <c r="F38545" s="39"/>
    </row>
    <row r="38546">
      <c r="D38546" s="39"/>
      <c r="E38546" s="39"/>
      <c r="F38546" s="39"/>
    </row>
    <row r="38547">
      <c r="D38547" s="39"/>
      <c r="E38547" s="39"/>
      <c r="F38547" s="39"/>
    </row>
    <row r="38548">
      <c r="D38548" s="39"/>
      <c r="E38548" s="39"/>
      <c r="F38548" s="39"/>
    </row>
    <row r="38549">
      <c r="D38549" s="39"/>
      <c r="E38549" s="39"/>
      <c r="F38549" s="39"/>
    </row>
    <row r="38550">
      <c r="D38550" s="39"/>
      <c r="E38550" s="39"/>
      <c r="F38550" s="39"/>
    </row>
    <row r="38551">
      <c r="D38551" s="39"/>
      <c r="E38551" s="39"/>
      <c r="F38551" s="39"/>
    </row>
    <row r="38552">
      <c r="D38552" s="39"/>
      <c r="E38552" s="39"/>
      <c r="F38552" s="39"/>
    </row>
    <row r="38553">
      <c r="D38553" s="39"/>
      <c r="E38553" s="39"/>
      <c r="F38553" s="39"/>
    </row>
    <row r="38554">
      <c r="D38554" s="39"/>
      <c r="E38554" s="39"/>
      <c r="F38554" s="39"/>
    </row>
    <row r="38555">
      <c r="D38555" s="39"/>
      <c r="E38555" s="39"/>
      <c r="F38555" s="39"/>
    </row>
    <row r="38556">
      <c r="D38556" s="39"/>
      <c r="E38556" s="39"/>
      <c r="F38556" s="39"/>
    </row>
    <row r="38557">
      <c r="D38557" s="39"/>
      <c r="E38557" s="39"/>
      <c r="F38557" s="39"/>
    </row>
    <row r="38558">
      <c r="D38558" s="39"/>
      <c r="E38558" s="39"/>
      <c r="F38558" s="39"/>
    </row>
    <row r="38559">
      <c r="D38559" s="39"/>
      <c r="E38559" s="39"/>
      <c r="F38559" s="39"/>
    </row>
    <row r="38560">
      <c r="D38560" s="39"/>
      <c r="E38560" s="39"/>
      <c r="F38560" s="39"/>
    </row>
    <row r="38561">
      <c r="D38561" s="39"/>
      <c r="E38561" s="39"/>
      <c r="F38561" s="39"/>
    </row>
    <row r="38562">
      <c r="D38562" s="39"/>
      <c r="E38562" s="39"/>
      <c r="F38562" s="39"/>
    </row>
    <row r="38563">
      <c r="D38563" s="39"/>
      <c r="E38563" s="39"/>
      <c r="F38563" s="39"/>
    </row>
    <row r="38564">
      <c r="D38564" s="39"/>
      <c r="E38564" s="39"/>
      <c r="F38564" s="39"/>
    </row>
    <row r="38565">
      <c r="D38565" s="39"/>
      <c r="E38565" s="39"/>
      <c r="F38565" s="39"/>
    </row>
    <row r="38566">
      <c r="D38566" s="39"/>
      <c r="E38566" s="39"/>
      <c r="F38566" s="39"/>
    </row>
    <row r="38567">
      <c r="D38567" s="39"/>
      <c r="E38567" s="39"/>
      <c r="F38567" s="39"/>
    </row>
    <row r="38568">
      <c r="D38568" s="39"/>
      <c r="E38568" s="39"/>
      <c r="F38568" s="39"/>
    </row>
    <row r="38569">
      <c r="D38569" s="39"/>
      <c r="E38569" s="39"/>
      <c r="F38569" s="39"/>
    </row>
    <row r="38570">
      <c r="D38570" s="39"/>
      <c r="E38570" s="39"/>
      <c r="F38570" s="39"/>
    </row>
    <row r="38571">
      <c r="D38571" s="39"/>
      <c r="E38571" s="39"/>
      <c r="F38571" s="39"/>
    </row>
    <row r="38572">
      <c r="D38572" s="39"/>
      <c r="E38572" s="39"/>
      <c r="F38572" s="39"/>
    </row>
    <row r="38573">
      <c r="D38573" s="39"/>
      <c r="E38573" s="39"/>
      <c r="F38573" s="39"/>
    </row>
    <row r="38574">
      <c r="D38574" s="39"/>
      <c r="E38574" s="39"/>
      <c r="F38574" s="39"/>
    </row>
    <row r="38575">
      <c r="D38575" s="39"/>
      <c r="E38575" s="39"/>
      <c r="F38575" s="39"/>
    </row>
    <row r="38576">
      <c r="D38576" s="39"/>
      <c r="E38576" s="39"/>
      <c r="F38576" s="39"/>
    </row>
    <row r="38577">
      <c r="D38577" s="39"/>
      <c r="E38577" s="39"/>
      <c r="F38577" s="39"/>
    </row>
    <row r="38578">
      <c r="D38578" s="39"/>
      <c r="E38578" s="39"/>
      <c r="F38578" s="39"/>
    </row>
    <row r="38579">
      <c r="D38579" s="39"/>
      <c r="E38579" s="39"/>
      <c r="F38579" s="39"/>
    </row>
    <row r="38580">
      <c r="D38580" s="39"/>
      <c r="E38580" s="39"/>
      <c r="F38580" s="39"/>
    </row>
    <row r="38581">
      <c r="D38581" s="39"/>
      <c r="E38581" s="39"/>
      <c r="F38581" s="39"/>
    </row>
    <row r="38582">
      <c r="D38582" s="39"/>
      <c r="E38582" s="39"/>
      <c r="F38582" s="39"/>
    </row>
    <row r="38583">
      <c r="D38583" s="39"/>
      <c r="E38583" s="39"/>
      <c r="F38583" s="39"/>
    </row>
    <row r="38584">
      <c r="D38584" s="39"/>
      <c r="E38584" s="39"/>
      <c r="F38584" s="39"/>
    </row>
    <row r="38585">
      <c r="D38585" s="39"/>
      <c r="E38585" s="39"/>
      <c r="F38585" s="39"/>
    </row>
    <row r="38586">
      <c r="D38586" s="39"/>
      <c r="E38586" s="39"/>
      <c r="F38586" s="39"/>
    </row>
    <row r="38587">
      <c r="D38587" s="39"/>
      <c r="E38587" s="39"/>
      <c r="F38587" s="39"/>
    </row>
    <row r="38588">
      <c r="D38588" s="39"/>
      <c r="E38588" s="39"/>
      <c r="F38588" s="39"/>
    </row>
    <row r="38589">
      <c r="D38589" s="39"/>
      <c r="E38589" s="39"/>
      <c r="F38589" s="39"/>
    </row>
    <row r="38590">
      <c r="D38590" s="39"/>
      <c r="E38590" s="39"/>
      <c r="F38590" s="39"/>
    </row>
    <row r="38591">
      <c r="D38591" s="39"/>
      <c r="E38591" s="39"/>
      <c r="F38591" s="39"/>
    </row>
    <row r="38592">
      <c r="D38592" s="39"/>
      <c r="E38592" s="39"/>
      <c r="F38592" s="39"/>
    </row>
    <row r="38593">
      <c r="D38593" s="39"/>
      <c r="E38593" s="39"/>
      <c r="F38593" s="39"/>
    </row>
    <row r="38594">
      <c r="D38594" s="39"/>
      <c r="E38594" s="39"/>
      <c r="F38594" s="39"/>
    </row>
    <row r="38595">
      <c r="D38595" s="39"/>
      <c r="E38595" s="39"/>
      <c r="F38595" s="39"/>
    </row>
    <row r="38596">
      <c r="D38596" s="39"/>
      <c r="E38596" s="39"/>
      <c r="F38596" s="39"/>
    </row>
    <row r="38597">
      <c r="D38597" s="39"/>
      <c r="E38597" s="39"/>
      <c r="F38597" s="39"/>
    </row>
    <row r="38598">
      <c r="D38598" s="39"/>
      <c r="E38598" s="39"/>
      <c r="F38598" s="39"/>
    </row>
    <row r="38599">
      <c r="D38599" s="39"/>
      <c r="E38599" s="39"/>
      <c r="F38599" s="39"/>
    </row>
    <row r="38600">
      <c r="D38600" s="39"/>
      <c r="E38600" s="39"/>
      <c r="F38600" s="39"/>
    </row>
    <row r="38601">
      <c r="D38601" s="39"/>
      <c r="E38601" s="39"/>
      <c r="F38601" s="39"/>
    </row>
    <row r="38602">
      <c r="D38602" s="39"/>
      <c r="E38602" s="39"/>
      <c r="F38602" s="39"/>
    </row>
    <row r="38603">
      <c r="D38603" s="39"/>
      <c r="E38603" s="39"/>
      <c r="F38603" s="39"/>
    </row>
    <row r="38604">
      <c r="D38604" s="39"/>
      <c r="E38604" s="39"/>
      <c r="F38604" s="39"/>
    </row>
    <row r="38605">
      <c r="D38605" s="39"/>
      <c r="E38605" s="39"/>
      <c r="F38605" s="39"/>
    </row>
    <row r="38606">
      <c r="D38606" s="39"/>
      <c r="E38606" s="39"/>
      <c r="F38606" s="39"/>
    </row>
    <row r="38607">
      <c r="D38607" s="39"/>
      <c r="E38607" s="39"/>
      <c r="F38607" s="39"/>
    </row>
    <row r="38608">
      <c r="D38608" s="39"/>
      <c r="E38608" s="39"/>
      <c r="F38608" s="39"/>
    </row>
    <row r="38609">
      <c r="D38609" s="39"/>
      <c r="E38609" s="39"/>
      <c r="F38609" s="39"/>
    </row>
    <row r="38610">
      <c r="D38610" s="39"/>
      <c r="E38610" s="39"/>
      <c r="F38610" s="39"/>
    </row>
    <row r="38611">
      <c r="D38611" s="39"/>
      <c r="E38611" s="39"/>
      <c r="F38611" s="39"/>
    </row>
    <row r="38612">
      <c r="D38612" s="39"/>
      <c r="E38612" s="39"/>
      <c r="F38612" s="39"/>
    </row>
    <row r="38613">
      <c r="D38613" s="39"/>
      <c r="E38613" s="39"/>
      <c r="F38613" s="39"/>
    </row>
    <row r="38614">
      <c r="D38614" s="39"/>
      <c r="E38614" s="39"/>
      <c r="F38614" s="39"/>
    </row>
    <row r="38615">
      <c r="D38615" s="39"/>
      <c r="E38615" s="39"/>
      <c r="F38615" s="39"/>
    </row>
    <row r="38616">
      <c r="D38616" s="39"/>
      <c r="E38616" s="39"/>
      <c r="F38616" s="39"/>
    </row>
    <row r="38617">
      <c r="D38617" s="39"/>
      <c r="E38617" s="39"/>
      <c r="F38617" s="39"/>
    </row>
    <row r="38618">
      <c r="D38618" s="39"/>
      <c r="E38618" s="39"/>
      <c r="F38618" s="39"/>
    </row>
    <row r="38619">
      <c r="D38619" s="39"/>
      <c r="E38619" s="39"/>
      <c r="F38619" s="39"/>
    </row>
    <row r="38620">
      <c r="D38620" s="39"/>
      <c r="E38620" s="39"/>
      <c r="F38620" s="39"/>
    </row>
    <row r="38621">
      <c r="D38621" s="39"/>
      <c r="E38621" s="39"/>
      <c r="F38621" s="39"/>
    </row>
    <row r="38622">
      <c r="D38622" s="39"/>
      <c r="E38622" s="39"/>
      <c r="F38622" s="39"/>
    </row>
    <row r="38623">
      <c r="D38623" s="39"/>
      <c r="E38623" s="39"/>
      <c r="F38623" s="39"/>
    </row>
    <row r="38624">
      <c r="D38624" s="39"/>
      <c r="E38624" s="39"/>
      <c r="F38624" s="39"/>
    </row>
    <row r="38625">
      <c r="D38625" s="39"/>
      <c r="E38625" s="39"/>
      <c r="F38625" s="39"/>
    </row>
    <row r="38626">
      <c r="D38626" s="39"/>
      <c r="E38626" s="39"/>
      <c r="F38626" s="39"/>
    </row>
    <row r="38627">
      <c r="D38627" s="39"/>
      <c r="E38627" s="39"/>
      <c r="F38627" s="39"/>
    </row>
    <row r="38628">
      <c r="D38628" s="39"/>
      <c r="E38628" s="39"/>
      <c r="F38628" s="39"/>
    </row>
    <row r="38629">
      <c r="D38629" s="39"/>
      <c r="E38629" s="39"/>
      <c r="F38629" s="39"/>
    </row>
    <row r="38630">
      <c r="D38630" s="39"/>
      <c r="E38630" s="39"/>
      <c r="F38630" s="39"/>
    </row>
    <row r="38631">
      <c r="D38631" s="39"/>
      <c r="E38631" s="39"/>
      <c r="F38631" s="39"/>
    </row>
    <row r="38632">
      <c r="D38632" s="39"/>
      <c r="E38632" s="39"/>
      <c r="F38632" s="39"/>
    </row>
    <row r="38633">
      <c r="D38633" s="39"/>
      <c r="E38633" s="39"/>
      <c r="F38633" s="39"/>
    </row>
    <row r="38634">
      <c r="D38634" s="39"/>
      <c r="E38634" s="39"/>
      <c r="F38634" s="39"/>
    </row>
    <row r="38635">
      <c r="D38635" s="39"/>
      <c r="E38635" s="39"/>
      <c r="F38635" s="39"/>
    </row>
    <row r="38636">
      <c r="D38636" s="39"/>
      <c r="E38636" s="39"/>
      <c r="F38636" s="39"/>
    </row>
    <row r="38637">
      <c r="D38637" s="39"/>
      <c r="E38637" s="39"/>
      <c r="F38637" s="39"/>
    </row>
    <row r="38638">
      <c r="D38638" s="39"/>
      <c r="E38638" s="39"/>
      <c r="F38638" s="39"/>
    </row>
    <row r="38639">
      <c r="D38639" s="39"/>
      <c r="E38639" s="39"/>
      <c r="F38639" s="39"/>
    </row>
    <row r="38640">
      <c r="D38640" s="39"/>
      <c r="E38640" s="39"/>
      <c r="F38640" s="39"/>
    </row>
    <row r="38641">
      <c r="D38641" s="39"/>
      <c r="E38641" s="39"/>
      <c r="F38641" s="39"/>
    </row>
    <row r="38642">
      <c r="D38642" s="39"/>
      <c r="E38642" s="39"/>
      <c r="F38642" s="39"/>
    </row>
    <row r="38643">
      <c r="D38643" s="39"/>
      <c r="E38643" s="39"/>
      <c r="F38643" s="39"/>
    </row>
    <row r="38644">
      <c r="D38644" s="39"/>
      <c r="E38644" s="39"/>
      <c r="F38644" s="39"/>
    </row>
    <row r="38645">
      <c r="D38645" s="39"/>
      <c r="E38645" s="39"/>
      <c r="F38645" s="39"/>
    </row>
    <row r="38646">
      <c r="D38646" s="39"/>
      <c r="E38646" s="39"/>
      <c r="F38646" s="39"/>
    </row>
    <row r="38647">
      <c r="D38647" s="39"/>
      <c r="E38647" s="39"/>
      <c r="F38647" s="39"/>
    </row>
    <row r="38648">
      <c r="D38648" s="39"/>
      <c r="E38648" s="39"/>
      <c r="F38648" s="39"/>
    </row>
    <row r="38649">
      <c r="D38649" s="39"/>
      <c r="E38649" s="39"/>
      <c r="F38649" s="39"/>
    </row>
    <row r="38650">
      <c r="D38650" s="39"/>
      <c r="E38650" s="39"/>
      <c r="F38650" s="39"/>
    </row>
    <row r="38651">
      <c r="D38651" s="39"/>
      <c r="E38651" s="39"/>
      <c r="F38651" s="39"/>
    </row>
    <row r="38652">
      <c r="D38652" s="39"/>
      <c r="E38652" s="39"/>
      <c r="F38652" s="39"/>
    </row>
    <row r="38653">
      <c r="D38653" s="39"/>
      <c r="E38653" s="39"/>
      <c r="F38653" s="39"/>
    </row>
    <row r="38654">
      <c r="D38654" s="39"/>
      <c r="E38654" s="39"/>
      <c r="F38654" s="39"/>
    </row>
    <row r="38655">
      <c r="D38655" s="39"/>
      <c r="E38655" s="39"/>
      <c r="F38655" s="39"/>
    </row>
    <row r="38656">
      <c r="D38656" s="39"/>
      <c r="E38656" s="39"/>
      <c r="F38656" s="39"/>
    </row>
    <row r="38657">
      <c r="D38657" s="39"/>
      <c r="E38657" s="39"/>
      <c r="F38657" s="39"/>
    </row>
    <row r="38658">
      <c r="D38658" s="39"/>
      <c r="E38658" s="39"/>
      <c r="F38658" s="39"/>
    </row>
    <row r="38659">
      <c r="D38659" s="39"/>
      <c r="E38659" s="39"/>
      <c r="F38659" s="39"/>
    </row>
    <row r="38660">
      <c r="D38660" s="39"/>
      <c r="E38660" s="39"/>
      <c r="F38660" s="39"/>
    </row>
    <row r="38661">
      <c r="D38661" s="39"/>
      <c r="E38661" s="39"/>
      <c r="F38661" s="39"/>
    </row>
    <row r="38662">
      <c r="D38662" s="39"/>
      <c r="E38662" s="39"/>
      <c r="F38662" s="39"/>
    </row>
    <row r="38663">
      <c r="D38663" s="39"/>
      <c r="E38663" s="39"/>
      <c r="F38663" s="39"/>
    </row>
    <row r="38664">
      <c r="D38664" s="39"/>
      <c r="E38664" s="39"/>
      <c r="F38664" s="39"/>
    </row>
    <row r="38665">
      <c r="D38665" s="39"/>
      <c r="E38665" s="39"/>
      <c r="F38665" s="39"/>
    </row>
    <row r="38666">
      <c r="D38666" s="39"/>
      <c r="E38666" s="39"/>
      <c r="F38666" s="39"/>
    </row>
    <row r="38667">
      <c r="D38667" s="39"/>
      <c r="E38667" s="39"/>
      <c r="F38667" s="39"/>
    </row>
    <row r="38668">
      <c r="D38668" s="39"/>
      <c r="E38668" s="39"/>
      <c r="F38668" s="39"/>
    </row>
    <row r="38669">
      <c r="D38669" s="39"/>
      <c r="E38669" s="39"/>
      <c r="F38669" s="39"/>
    </row>
    <row r="38670">
      <c r="D38670" s="39"/>
      <c r="E38670" s="39"/>
      <c r="F38670" s="39"/>
    </row>
    <row r="38671">
      <c r="D38671" s="39"/>
      <c r="E38671" s="39"/>
      <c r="F38671" s="39"/>
    </row>
    <row r="38672">
      <c r="D38672" s="39"/>
      <c r="E38672" s="39"/>
      <c r="F38672" s="39"/>
    </row>
    <row r="38673">
      <c r="D38673" s="39"/>
      <c r="E38673" s="39"/>
      <c r="F38673" s="39"/>
    </row>
    <row r="38674">
      <c r="D38674" s="39"/>
      <c r="E38674" s="39"/>
      <c r="F38674" s="39"/>
    </row>
    <row r="38675">
      <c r="D38675" s="39"/>
      <c r="E38675" s="39"/>
      <c r="F38675" s="39"/>
    </row>
    <row r="38676">
      <c r="D38676" s="39"/>
      <c r="E38676" s="39"/>
      <c r="F38676" s="39"/>
    </row>
    <row r="38677">
      <c r="D38677" s="39"/>
      <c r="E38677" s="39"/>
      <c r="F38677" s="39"/>
    </row>
    <row r="38678">
      <c r="D38678" s="39"/>
      <c r="E38678" s="39"/>
      <c r="F38678" s="39"/>
    </row>
    <row r="38679">
      <c r="D38679" s="39"/>
      <c r="E38679" s="39"/>
      <c r="F38679" s="39"/>
    </row>
    <row r="38680">
      <c r="D38680" s="39"/>
      <c r="E38680" s="39"/>
      <c r="F38680" s="39"/>
    </row>
    <row r="38681">
      <c r="D38681" s="39"/>
      <c r="E38681" s="39"/>
      <c r="F38681" s="39"/>
    </row>
    <row r="38682">
      <c r="D38682" s="39"/>
      <c r="E38682" s="39"/>
      <c r="F38682" s="39"/>
    </row>
    <row r="38683">
      <c r="D38683" s="39"/>
      <c r="E38683" s="39"/>
      <c r="F38683" s="39"/>
    </row>
    <row r="38684">
      <c r="D38684" s="39"/>
      <c r="E38684" s="39"/>
      <c r="F38684" s="39"/>
    </row>
    <row r="38685">
      <c r="D38685" s="39"/>
      <c r="E38685" s="39"/>
      <c r="F38685" s="39"/>
    </row>
    <row r="38686">
      <c r="D38686" s="39"/>
      <c r="E38686" s="39"/>
      <c r="F38686" s="39"/>
    </row>
    <row r="38687">
      <c r="D38687" s="39"/>
      <c r="E38687" s="39"/>
      <c r="F38687" s="39"/>
    </row>
    <row r="38688">
      <c r="D38688" s="39"/>
      <c r="E38688" s="39"/>
      <c r="F38688" s="39"/>
    </row>
    <row r="38689">
      <c r="D38689" s="39"/>
      <c r="E38689" s="39"/>
      <c r="F38689" s="39"/>
    </row>
    <row r="38690">
      <c r="D38690" s="39"/>
      <c r="E38690" s="39"/>
      <c r="F38690" s="39"/>
    </row>
    <row r="38691">
      <c r="D38691" s="39"/>
      <c r="E38691" s="39"/>
      <c r="F38691" s="39"/>
    </row>
    <row r="38692">
      <c r="D38692" s="39"/>
      <c r="E38692" s="39"/>
      <c r="F38692" s="39"/>
    </row>
    <row r="38693">
      <c r="D38693" s="39"/>
      <c r="E38693" s="39"/>
      <c r="F38693" s="39"/>
    </row>
    <row r="38694">
      <c r="D38694" s="39"/>
      <c r="E38694" s="39"/>
      <c r="F38694" s="39"/>
    </row>
    <row r="38695">
      <c r="D38695" s="39"/>
      <c r="E38695" s="39"/>
      <c r="F38695" s="39"/>
    </row>
    <row r="38696">
      <c r="D38696" s="39"/>
      <c r="E38696" s="39"/>
      <c r="F38696" s="39"/>
    </row>
    <row r="38697">
      <c r="D38697" s="39"/>
      <c r="E38697" s="39"/>
      <c r="F38697" s="39"/>
    </row>
    <row r="38698">
      <c r="D38698" s="39"/>
      <c r="E38698" s="39"/>
      <c r="F38698" s="39"/>
    </row>
    <row r="38699">
      <c r="D38699" s="39"/>
      <c r="E38699" s="39"/>
      <c r="F38699" s="39"/>
    </row>
    <row r="38700">
      <c r="D38700" s="39"/>
      <c r="E38700" s="39"/>
      <c r="F38700" s="39"/>
    </row>
    <row r="38701">
      <c r="D38701" s="39"/>
      <c r="E38701" s="39"/>
      <c r="F38701" s="39"/>
    </row>
    <row r="38702">
      <c r="D38702" s="39"/>
      <c r="E38702" s="39"/>
      <c r="F38702" s="39"/>
    </row>
    <row r="38703">
      <c r="D38703" s="39"/>
      <c r="E38703" s="39"/>
      <c r="F38703" s="39"/>
    </row>
    <row r="38704">
      <c r="D38704" s="39"/>
      <c r="E38704" s="39"/>
      <c r="F38704" s="39"/>
    </row>
    <row r="38705">
      <c r="D38705" s="39"/>
      <c r="E38705" s="39"/>
      <c r="F38705" s="39"/>
    </row>
    <row r="38706">
      <c r="D38706" s="39"/>
      <c r="E38706" s="39"/>
      <c r="F38706" s="39"/>
    </row>
    <row r="38707">
      <c r="D38707" s="39"/>
      <c r="E38707" s="39"/>
      <c r="F38707" s="39"/>
    </row>
    <row r="38708">
      <c r="D38708" s="39"/>
      <c r="E38708" s="39"/>
      <c r="F38708" s="39"/>
    </row>
    <row r="38709">
      <c r="D38709" s="39"/>
      <c r="E38709" s="39"/>
      <c r="F38709" s="39"/>
    </row>
    <row r="38710">
      <c r="D38710" s="39"/>
      <c r="E38710" s="39"/>
      <c r="F38710" s="39"/>
    </row>
    <row r="38711">
      <c r="D38711" s="39"/>
      <c r="E38711" s="39"/>
      <c r="F38711" s="39"/>
    </row>
    <row r="38712">
      <c r="D38712" s="39"/>
      <c r="E38712" s="39"/>
      <c r="F38712" s="39"/>
    </row>
    <row r="38713">
      <c r="D38713" s="39"/>
      <c r="E38713" s="39"/>
      <c r="F38713" s="39"/>
    </row>
    <row r="38714">
      <c r="D38714" s="39"/>
      <c r="E38714" s="39"/>
      <c r="F38714" s="39"/>
    </row>
    <row r="38715">
      <c r="D38715" s="39"/>
      <c r="E38715" s="39"/>
      <c r="F38715" s="39"/>
    </row>
    <row r="38716">
      <c r="D38716" s="39"/>
      <c r="E38716" s="39"/>
      <c r="F38716" s="39"/>
    </row>
    <row r="38717">
      <c r="D38717" s="39"/>
      <c r="E38717" s="39"/>
      <c r="F38717" s="39"/>
    </row>
    <row r="38718">
      <c r="D38718" s="39"/>
      <c r="E38718" s="39"/>
      <c r="F38718" s="39"/>
    </row>
    <row r="38719">
      <c r="D38719" s="39"/>
      <c r="E38719" s="39"/>
      <c r="F38719" s="39"/>
    </row>
    <row r="38720">
      <c r="D38720" s="39"/>
      <c r="E38720" s="39"/>
      <c r="F38720" s="39"/>
    </row>
    <row r="38721">
      <c r="D38721" s="39"/>
      <c r="E38721" s="39"/>
      <c r="F38721" s="39"/>
    </row>
    <row r="38722">
      <c r="D38722" s="39"/>
      <c r="E38722" s="39"/>
      <c r="F38722" s="39"/>
    </row>
    <row r="38723">
      <c r="D38723" s="39"/>
      <c r="E38723" s="39"/>
      <c r="F38723" s="39"/>
    </row>
    <row r="38724">
      <c r="D38724" s="39"/>
      <c r="E38724" s="39"/>
      <c r="F38724" s="39"/>
    </row>
    <row r="38725">
      <c r="D38725" s="39"/>
      <c r="E38725" s="39"/>
      <c r="F38725" s="39"/>
    </row>
    <row r="38726">
      <c r="D38726" s="39"/>
      <c r="E38726" s="39"/>
      <c r="F38726" s="39"/>
    </row>
    <row r="38727">
      <c r="D38727" s="39"/>
      <c r="E38727" s="39"/>
      <c r="F38727" s="39"/>
    </row>
    <row r="38728">
      <c r="D38728" s="39"/>
      <c r="E38728" s="39"/>
      <c r="F38728" s="39"/>
    </row>
    <row r="38729">
      <c r="D38729" s="39"/>
      <c r="E38729" s="39"/>
      <c r="F38729" s="39"/>
    </row>
    <row r="38730">
      <c r="D38730" s="39"/>
      <c r="E38730" s="39"/>
      <c r="F38730" s="39"/>
    </row>
    <row r="38731">
      <c r="D38731" s="39"/>
      <c r="E38731" s="39"/>
      <c r="F38731" s="39"/>
    </row>
    <row r="38732">
      <c r="D38732" s="39"/>
      <c r="E38732" s="39"/>
      <c r="F38732" s="39"/>
    </row>
    <row r="38733">
      <c r="D38733" s="39"/>
      <c r="E38733" s="39"/>
      <c r="F38733" s="39"/>
    </row>
    <row r="38734">
      <c r="D38734" s="39"/>
      <c r="E38734" s="39"/>
      <c r="F38734" s="39"/>
    </row>
    <row r="38735">
      <c r="D38735" s="39"/>
      <c r="E38735" s="39"/>
      <c r="F38735" s="39"/>
    </row>
    <row r="38736">
      <c r="D38736" s="39"/>
      <c r="E38736" s="39"/>
      <c r="F38736" s="39"/>
    </row>
    <row r="38737">
      <c r="D38737" s="39"/>
      <c r="E38737" s="39"/>
      <c r="F38737" s="39"/>
    </row>
    <row r="38738">
      <c r="D38738" s="39"/>
      <c r="E38738" s="39"/>
      <c r="F38738" s="39"/>
    </row>
    <row r="38739">
      <c r="D38739" s="39"/>
      <c r="E38739" s="39"/>
      <c r="F38739" s="39"/>
    </row>
    <row r="38740">
      <c r="D38740" s="39"/>
      <c r="E38740" s="39"/>
      <c r="F38740" s="39"/>
    </row>
    <row r="38741">
      <c r="D38741" s="39"/>
      <c r="E38741" s="39"/>
      <c r="F38741" s="39"/>
    </row>
    <row r="38742">
      <c r="D38742" s="39"/>
      <c r="E38742" s="39"/>
      <c r="F38742" s="39"/>
    </row>
    <row r="38743">
      <c r="D38743" s="39"/>
      <c r="E38743" s="39"/>
      <c r="F38743" s="39"/>
    </row>
    <row r="38744">
      <c r="D38744" s="39"/>
      <c r="E38744" s="39"/>
      <c r="F38744" s="39"/>
    </row>
    <row r="38745">
      <c r="D38745" s="39"/>
      <c r="E38745" s="39"/>
      <c r="F38745" s="39"/>
    </row>
    <row r="38746">
      <c r="D38746" s="39"/>
      <c r="E38746" s="39"/>
      <c r="F38746" s="39"/>
    </row>
    <row r="38747">
      <c r="D38747" s="39"/>
      <c r="E38747" s="39"/>
      <c r="F38747" s="39"/>
    </row>
    <row r="38748">
      <c r="D38748" s="39"/>
      <c r="E38748" s="39"/>
      <c r="F38748" s="39"/>
    </row>
    <row r="38749">
      <c r="D38749" s="39"/>
      <c r="E38749" s="39"/>
      <c r="F38749" s="39"/>
    </row>
    <row r="38750">
      <c r="D38750" s="39"/>
      <c r="E38750" s="39"/>
      <c r="F38750" s="39"/>
    </row>
    <row r="38751">
      <c r="D38751" s="39"/>
      <c r="E38751" s="39"/>
      <c r="F38751" s="39"/>
    </row>
    <row r="38752">
      <c r="D38752" s="39"/>
      <c r="E38752" s="39"/>
      <c r="F38752" s="39"/>
    </row>
    <row r="38753">
      <c r="D38753" s="39"/>
      <c r="E38753" s="39"/>
      <c r="F38753" s="39"/>
    </row>
    <row r="38754">
      <c r="D38754" s="39"/>
      <c r="E38754" s="39"/>
      <c r="F38754" s="39"/>
    </row>
    <row r="38755">
      <c r="D38755" s="39"/>
      <c r="E38755" s="39"/>
      <c r="F38755" s="39"/>
    </row>
    <row r="38756">
      <c r="D38756" s="39"/>
      <c r="E38756" s="39"/>
      <c r="F38756" s="39"/>
    </row>
    <row r="38757">
      <c r="D38757" s="39"/>
      <c r="E38757" s="39"/>
      <c r="F38757" s="39"/>
    </row>
    <row r="38758">
      <c r="D38758" s="39"/>
      <c r="E38758" s="39"/>
      <c r="F38758" s="39"/>
    </row>
    <row r="38759">
      <c r="D38759" s="39"/>
      <c r="E38759" s="39"/>
      <c r="F38759" s="39"/>
    </row>
    <row r="38760">
      <c r="D38760" s="39"/>
      <c r="E38760" s="39"/>
      <c r="F38760" s="39"/>
    </row>
    <row r="38761">
      <c r="D38761" s="39"/>
      <c r="E38761" s="39"/>
      <c r="F38761" s="39"/>
    </row>
    <row r="38762">
      <c r="D38762" s="39"/>
      <c r="E38762" s="39"/>
      <c r="F38762" s="39"/>
    </row>
    <row r="38763">
      <c r="D38763" s="39"/>
      <c r="E38763" s="39"/>
      <c r="F38763" s="39"/>
    </row>
    <row r="38764">
      <c r="D38764" s="39"/>
      <c r="E38764" s="39"/>
      <c r="F38764" s="39"/>
    </row>
    <row r="38765">
      <c r="D38765" s="39"/>
      <c r="E38765" s="39"/>
      <c r="F38765" s="39"/>
    </row>
    <row r="38766">
      <c r="D38766" s="39"/>
      <c r="E38766" s="39"/>
      <c r="F38766" s="39"/>
    </row>
    <row r="38767">
      <c r="D38767" s="39"/>
      <c r="E38767" s="39"/>
      <c r="F38767" s="39"/>
    </row>
    <row r="38768">
      <c r="D38768" s="39"/>
      <c r="E38768" s="39"/>
      <c r="F38768" s="39"/>
    </row>
    <row r="38769">
      <c r="D38769" s="39"/>
      <c r="E38769" s="39"/>
      <c r="F38769" s="39"/>
    </row>
    <row r="38770">
      <c r="D38770" s="39"/>
      <c r="E38770" s="39"/>
      <c r="F38770" s="39"/>
    </row>
    <row r="38771">
      <c r="D38771" s="39"/>
      <c r="E38771" s="39"/>
      <c r="F38771" s="39"/>
    </row>
    <row r="38772">
      <c r="D38772" s="39"/>
      <c r="E38772" s="39"/>
      <c r="F38772" s="39"/>
    </row>
    <row r="38773">
      <c r="D38773" s="39"/>
      <c r="E38773" s="39"/>
      <c r="F38773" s="39"/>
    </row>
    <row r="38774">
      <c r="D38774" s="39"/>
      <c r="E38774" s="39"/>
      <c r="F38774" s="39"/>
    </row>
    <row r="38775">
      <c r="D38775" s="39"/>
      <c r="E38775" s="39"/>
      <c r="F38775" s="39"/>
    </row>
    <row r="38776">
      <c r="D38776" s="39"/>
      <c r="E38776" s="39"/>
      <c r="F38776" s="39"/>
    </row>
    <row r="38777">
      <c r="D38777" s="39"/>
      <c r="E38777" s="39"/>
      <c r="F38777" s="39"/>
    </row>
    <row r="38778">
      <c r="D38778" s="39"/>
      <c r="E38778" s="39"/>
      <c r="F38778" s="39"/>
    </row>
    <row r="38779">
      <c r="D38779" s="39"/>
      <c r="E38779" s="39"/>
      <c r="F38779" s="39"/>
    </row>
    <row r="38780">
      <c r="D38780" s="39"/>
      <c r="E38780" s="39"/>
      <c r="F38780" s="39"/>
    </row>
    <row r="38781">
      <c r="D38781" s="39"/>
      <c r="E38781" s="39"/>
      <c r="F38781" s="39"/>
    </row>
    <row r="38782">
      <c r="D38782" s="39"/>
      <c r="E38782" s="39"/>
      <c r="F38782" s="39"/>
    </row>
    <row r="38783">
      <c r="D38783" s="39"/>
      <c r="E38783" s="39"/>
      <c r="F38783" s="39"/>
    </row>
    <row r="38784">
      <c r="D38784" s="39"/>
      <c r="E38784" s="39"/>
      <c r="F38784" s="39"/>
    </row>
    <row r="38785">
      <c r="D38785" s="39"/>
      <c r="E38785" s="39"/>
      <c r="F38785" s="39"/>
    </row>
    <row r="38786">
      <c r="D38786" s="39"/>
      <c r="E38786" s="39"/>
      <c r="F38786" s="39"/>
    </row>
    <row r="38787">
      <c r="D38787" s="39"/>
      <c r="E38787" s="39"/>
      <c r="F38787" s="39"/>
    </row>
    <row r="38788">
      <c r="D38788" s="39"/>
      <c r="E38788" s="39"/>
      <c r="F38788" s="39"/>
    </row>
    <row r="38789">
      <c r="D38789" s="39"/>
      <c r="E38789" s="39"/>
      <c r="F38789" s="39"/>
    </row>
    <row r="38790">
      <c r="D38790" s="39"/>
      <c r="E38790" s="39"/>
      <c r="F38790" s="39"/>
    </row>
    <row r="38791">
      <c r="D38791" s="39"/>
      <c r="E38791" s="39"/>
      <c r="F38791" s="39"/>
    </row>
    <row r="38792">
      <c r="D38792" s="39"/>
      <c r="E38792" s="39"/>
      <c r="F38792" s="39"/>
    </row>
    <row r="38793">
      <c r="D38793" s="39"/>
      <c r="E38793" s="39"/>
      <c r="F38793" s="39"/>
    </row>
    <row r="38794">
      <c r="D38794" s="39"/>
      <c r="E38794" s="39"/>
      <c r="F38794" s="39"/>
    </row>
    <row r="38795">
      <c r="D38795" s="39"/>
      <c r="E38795" s="39"/>
      <c r="F38795" s="39"/>
    </row>
    <row r="38796">
      <c r="D38796" s="39"/>
      <c r="E38796" s="39"/>
      <c r="F38796" s="39"/>
    </row>
    <row r="38797">
      <c r="D38797" s="39"/>
      <c r="E38797" s="39"/>
      <c r="F38797" s="39"/>
    </row>
    <row r="38798">
      <c r="D38798" s="39"/>
      <c r="E38798" s="39"/>
      <c r="F38798" s="39"/>
    </row>
    <row r="38799">
      <c r="D38799" s="39"/>
      <c r="E38799" s="39"/>
      <c r="F38799" s="39"/>
    </row>
    <row r="38800">
      <c r="D38800" s="39"/>
      <c r="E38800" s="39"/>
      <c r="F38800" s="39"/>
    </row>
    <row r="38801">
      <c r="D38801" s="39"/>
      <c r="E38801" s="39"/>
      <c r="F38801" s="39"/>
    </row>
    <row r="38802">
      <c r="D38802" s="39"/>
      <c r="E38802" s="39"/>
      <c r="F38802" s="39"/>
    </row>
    <row r="38803">
      <c r="D38803" s="39"/>
      <c r="E38803" s="39"/>
      <c r="F38803" s="39"/>
    </row>
    <row r="38804">
      <c r="D38804" s="39"/>
      <c r="E38804" s="39"/>
      <c r="F38804" s="39"/>
    </row>
    <row r="38805">
      <c r="D38805" s="39"/>
      <c r="E38805" s="39"/>
      <c r="F38805" s="39"/>
    </row>
    <row r="38806">
      <c r="D38806" s="39"/>
      <c r="E38806" s="39"/>
      <c r="F38806" s="39"/>
    </row>
    <row r="38807">
      <c r="D38807" s="39"/>
      <c r="E38807" s="39"/>
      <c r="F38807" s="39"/>
    </row>
    <row r="38808">
      <c r="D38808" s="39"/>
      <c r="E38808" s="39"/>
      <c r="F38808" s="39"/>
    </row>
    <row r="38809">
      <c r="D38809" s="39"/>
      <c r="E38809" s="39"/>
      <c r="F38809" s="39"/>
    </row>
    <row r="38810">
      <c r="D38810" s="39"/>
      <c r="E38810" s="39"/>
      <c r="F38810" s="39"/>
    </row>
    <row r="38811">
      <c r="D38811" s="39"/>
      <c r="E38811" s="39"/>
      <c r="F38811" s="39"/>
    </row>
    <row r="38812">
      <c r="D38812" s="39"/>
      <c r="E38812" s="39"/>
      <c r="F38812" s="39"/>
    </row>
    <row r="38813">
      <c r="D38813" s="39"/>
      <c r="E38813" s="39"/>
      <c r="F38813" s="39"/>
    </row>
    <row r="38814">
      <c r="D38814" s="39"/>
      <c r="E38814" s="39"/>
      <c r="F38814" s="39"/>
    </row>
    <row r="38815">
      <c r="D38815" s="39"/>
      <c r="E38815" s="39"/>
      <c r="F38815" s="39"/>
    </row>
    <row r="38816">
      <c r="D38816" s="39"/>
      <c r="E38816" s="39"/>
      <c r="F38816" s="39"/>
    </row>
    <row r="38817">
      <c r="D38817" s="39"/>
      <c r="E38817" s="39"/>
      <c r="F38817" s="39"/>
    </row>
    <row r="38818">
      <c r="D38818" s="39"/>
      <c r="E38818" s="39"/>
      <c r="F38818" s="39"/>
    </row>
    <row r="38819">
      <c r="D38819" s="39"/>
      <c r="E38819" s="39"/>
      <c r="F38819" s="39"/>
    </row>
    <row r="38820">
      <c r="D38820" s="39"/>
      <c r="E38820" s="39"/>
      <c r="F38820" s="39"/>
    </row>
    <row r="38821">
      <c r="D38821" s="39"/>
      <c r="E38821" s="39"/>
      <c r="F38821" s="39"/>
    </row>
    <row r="38822">
      <c r="D38822" s="39"/>
      <c r="E38822" s="39"/>
      <c r="F38822" s="39"/>
    </row>
    <row r="38823">
      <c r="D38823" s="39"/>
      <c r="E38823" s="39"/>
      <c r="F38823" s="39"/>
    </row>
    <row r="38824">
      <c r="D38824" s="39"/>
      <c r="E38824" s="39"/>
      <c r="F38824" s="39"/>
    </row>
    <row r="38825">
      <c r="D38825" s="39"/>
      <c r="E38825" s="39"/>
      <c r="F38825" s="39"/>
    </row>
    <row r="38826">
      <c r="D38826" s="39"/>
      <c r="E38826" s="39"/>
      <c r="F38826" s="39"/>
    </row>
    <row r="38827">
      <c r="D38827" s="39"/>
      <c r="E38827" s="39"/>
      <c r="F38827" s="39"/>
    </row>
    <row r="38828">
      <c r="D38828" s="39"/>
      <c r="E38828" s="39"/>
      <c r="F38828" s="39"/>
    </row>
    <row r="38829">
      <c r="D38829" s="39"/>
      <c r="E38829" s="39"/>
      <c r="F38829" s="39"/>
    </row>
    <row r="38830">
      <c r="D38830" s="39"/>
      <c r="E38830" s="39"/>
      <c r="F38830" s="39"/>
    </row>
    <row r="38831">
      <c r="D38831" s="39"/>
      <c r="E38831" s="39"/>
      <c r="F38831" s="39"/>
    </row>
    <row r="38832">
      <c r="D38832" s="39"/>
      <c r="E38832" s="39"/>
      <c r="F38832" s="39"/>
    </row>
    <row r="38833">
      <c r="D38833" s="39"/>
      <c r="E38833" s="39"/>
      <c r="F38833" s="39"/>
    </row>
    <row r="38834">
      <c r="D38834" s="39"/>
      <c r="E38834" s="39"/>
      <c r="F38834" s="39"/>
    </row>
    <row r="38835">
      <c r="D38835" s="39"/>
      <c r="E38835" s="39"/>
      <c r="F38835" s="39"/>
    </row>
    <row r="38836">
      <c r="D38836" s="39"/>
      <c r="E38836" s="39"/>
      <c r="F38836" s="39"/>
    </row>
    <row r="38837">
      <c r="D38837" s="39"/>
      <c r="E38837" s="39"/>
      <c r="F38837" s="39"/>
    </row>
    <row r="38838">
      <c r="D38838" s="39"/>
      <c r="E38838" s="39"/>
      <c r="F38838" s="39"/>
    </row>
    <row r="38839">
      <c r="D38839" s="39"/>
      <c r="E38839" s="39"/>
      <c r="F38839" s="39"/>
    </row>
    <row r="38840">
      <c r="D38840" s="39"/>
      <c r="E38840" s="39"/>
      <c r="F38840" s="39"/>
    </row>
    <row r="38841">
      <c r="D38841" s="39"/>
      <c r="E38841" s="39"/>
      <c r="F38841" s="39"/>
    </row>
    <row r="38842">
      <c r="D38842" s="39"/>
      <c r="E38842" s="39"/>
      <c r="F38842" s="39"/>
    </row>
    <row r="38843">
      <c r="D38843" s="39"/>
      <c r="E38843" s="39"/>
      <c r="F38843" s="39"/>
    </row>
    <row r="38844">
      <c r="D38844" s="39"/>
      <c r="E38844" s="39"/>
      <c r="F38844" s="39"/>
    </row>
    <row r="38845">
      <c r="D38845" s="39"/>
      <c r="E38845" s="39"/>
      <c r="F38845" s="39"/>
    </row>
    <row r="38846">
      <c r="D38846" s="39"/>
      <c r="E38846" s="39"/>
      <c r="F38846" s="39"/>
    </row>
    <row r="38847">
      <c r="D38847" s="39"/>
      <c r="E38847" s="39"/>
      <c r="F38847" s="39"/>
    </row>
    <row r="38848">
      <c r="D38848" s="39"/>
      <c r="E38848" s="39"/>
      <c r="F38848" s="39"/>
    </row>
    <row r="38849">
      <c r="D38849" s="39"/>
      <c r="E38849" s="39"/>
      <c r="F38849" s="39"/>
    </row>
    <row r="38850">
      <c r="D38850" s="39"/>
      <c r="E38850" s="39"/>
      <c r="F38850" s="39"/>
    </row>
    <row r="38851">
      <c r="D38851" s="39"/>
      <c r="E38851" s="39"/>
      <c r="F38851" s="39"/>
    </row>
    <row r="38852">
      <c r="D38852" s="39"/>
      <c r="E38852" s="39"/>
      <c r="F38852" s="39"/>
    </row>
    <row r="38853">
      <c r="D38853" s="39"/>
      <c r="E38853" s="39"/>
      <c r="F38853" s="39"/>
    </row>
    <row r="38854">
      <c r="D38854" s="39"/>
      <c r="E38854" s="39"/>
      <c r="F38854" s="39"/>
    </row>
    <row r="38855">
      <c r="D38855" s="39"/>
      <c r="E38855" s="39"/>
      <c r="F38855" s="39"/>
    </row>
    <row r="38856">
      <c r="D38856" s="39"/>
      <c r="E38856" s="39"/>
      <c r="F38856" s="39"/>
    </row>
    <row r="38857">
      <c r="D38857" s="39"/>
      <c r="E38857" s="39"/>
      <c r="F38857" s="39"/>
    </row>
    <row r="38858">
      <c r="D38858" s="39"/>
      <c r="E38858" s="39"/>
      <c r="F38858" s="39"/>
    </row>
    <row r="38859">
      <c r="D38859" s="39"/>
      <c r="E38859" s="39"/>
      <c r="F38859" s="39"/>
    </row>
    <row r="38860">
      <c r="D38860" s="39"/>
      <c r="E38860" s="39"/>
      <c r="F38860" s="39"/>
    </row>
    <row r="38861">
      <c r="D38861" s="39"/>
      <c r="E38861" s="39"/>
      <c r="F38861" s="39"/>
    </row>
    <row r="38862">
      <c r="D38862" s="39"/>
      <c r="E38862" s="39"/>
      <c r="F38862" s="39"/>
    </row>
    <row r="38863">
      <c r="D38863" s="39"/>
      <c r="E38863" s="39"/>
      <c r="F38863" s="39"/>
    </row>
    <row r="38864">
      <c r="D38864" s="39"/>
      <c r="E38864" s="39"/>
      <c r="F38864" s="39"/>
    </row>
    <row r="38865">
      <c r="D38865" s="39"/>
      <c r="E38865" s="39"/>
      <c r="F38865" s="39"/>
    </row>
    <row r="38866">
      <c r="D38866" s="39"/>
      <c r="E38866" s="39"/>
      <c r="F38866" s="39"/>
    </row>
    <row r="38867">
      <c r="D38867" s="39"/>
      <c r="E38867" s="39"/>
      <c r="F38867" s="39"/>
    </row>
    <row r="38868">
      <c r="D38868" s="39"/>
      <c r="E38868" s="39"/>
      <c r="F38868" s="39"/>
    </row>
    <row r="38869">
      <c r="D38869" s="39"/>
      <c r="E38869" s="39"/>
      <c r="F38869" s="39"/>
    </row>
    <row r="38870">
      <c r="D38870" s="39"/>
      <c r="E38870" s="39"/>
      <c r="F38870" s="39"/>
    </row>
    <row r="38871">
      <c r="D38871" s="39"/>
      <c r="E38871" s="39"/>
      <c r="F38871" s="39"/>
    </row>
    <row r="38872">
      <c r="D38872" s="39"/>
      <c r="E38872" s="39"/>
      <c r="F38872" s="39"/>
    </row>
    <row r="38873">
      <c r="D38873" s="39"/>
      <c r="E38873" s="39"/>
      <c r="F38873" s="39"/>
    </row>
    <row r="38874">
      <c r="D38874" s="39"/>
      <c r="E38874" s="39"/>
      <c r="F38874" s="39"/>
    </row>
    <row r="38875">
      <c r="D38875" s="39"/>
      <c r="E38875" s="39"/>
      <c r="F38875" s="39"/>
    </row>
    <row r="38876">
      <c r="D38876" s="39"/>
      <c r="E38876" s="39"/>
      <c r="F38876" s="39"/>
    </row>
    <row r="38877">
      <c r="D38877" s="39"/>
      <c r="E38877" s="39"/>
      <c r="F38877" s="39"/>
    </row>
    <row r="38878">
      <c r="D38878" s="39"/>
      <c r="E38878" s="39"/>
      <c r="F38878" s="39"/>
    </row>
    <row r="38879">
      <c r="D38879" s="39"/>
      <c r="E38879" s="39"/>
      <c r="F38879" s="39"/>
    </row>
    <row r="38880">
      <c r="D38880" s="39"/>
      <c r="E38880" s="39"/>
      <c r="F38880" s="39"/>
    </row>
    <row r="38881">
      <c r="D38881" s="39"/>
      <c r="E38881" s="39"/>
      <c r="F38881" s="39"/>
    </row>
    <row r="38882">
      <c r="D38882" s="39"/>
      <c r="E38882" s="39"/>
      <c r="F38882" s="39"/>
    </row>
    <row r="38883">
      <c r="D38883" s="39"/>
      <c r="E38883" s="39"/>
      <c r="F38883" s="39"/>
    </row>
    <row r="38884">
      <c r="D38884" s="39"/>
      <c r="E38884" s="39"/>
      <c r="F38884" s="39"/>
    </row>
    <row r="38885">
      <c r="D38885" s="39"/>
      <c r="E38885" s="39"/>
      <c r="F38885" s="39"/>
    </row>
    <row r="38886">
      <c r="D38886" s="39"/>
      <c r="E38886" s="39"/>
      <c r="F38886" s="39"/>
    </row>
    <row r="38887">
      <c r="D38887" s="39"/>
      <c r="E38887" s="39"/>
      <c r="F38887" s="39"/>
    </row>
    <row r="38888">
      <c r="D38888" s="39"/>
      <c r="E38888" s="39"/>
      <c r="F38888" s="39"/>
    </row>
    <row r="38889">
      <c r="D38889" s="39"/>
      <c r="E38889" s="39"/>
      <c r="F38889" s="39"/>
    </row>
    <row r="38890">
      <c r="D38890" s="39"/>
      <c r="E38890" s="39"/>
      <c r="F38890" s="39"/>
    </row>
    <row r="38891">
      <c r="D38891" s="39"/>
      <c r="E38891" s="39"/>
      <c r="F38891" s="39"/>
    </row>
    <row r="38892">
      <c r="D38892" s="39"/>
      <c r="E38892" s="39"/>
      <c r="F38892" s="39"/>
    </row>
    <row r="38893">
      <c r="D38893" s="39"/>
      <c r="E38893" s="39"/>
      <c r="F38893" s="39"/>
    </row>
    <row r="38894">
      <c r="D38894" s="39"/>
      <c r="E38894" s="39"/>
      <c r="F38894" s="39"/>
    </row>
    <row r="38895">
      <c r="D38895" s="39"/>
      <c r="E38895" s="39"/>
      <c r="F38895" s="39"/>
    </row>
    <row r="38896">
      <c r="D38896" s="39"/>
      <c r="E38896" s="39"/>
      <c r="F38896" s="39"/>
    </row>
    <row r="38897">
      <c r="D38897" s="39"/>
      <c r="E38897" s="39"/>
      <c r="F38897" s="39"/>
    </row>
    <row r="38898">
      <c r="D38898" s="39"/>
      <c r="E38898" s="39"/>
      <c r="F38898" s="39"/>
    </row>
    <row r="38899">
      <c r="D38899" s="39"/>
      <c r="E38899" s="39"/>
      <c r="F38899" s="39"/>
    </row>
    <row r="38900">
      <c r="D38900" s="39"/>
      <c r="E38900" s="39"/>
      <c r="F38900" s="39"/>
    </row>
    <row r="38901">
      <c r="D38901" s="39"/>
      <c r="E38901" s="39"/>
      <c r="F38901" s="39"/>
    </row>
    <row r="38902">
      <c r="D38902" s="39"/>
      <c r="E38902" s="39"/>
      <c r="F38902" s="39"/>
    </row>
    <row r="38903">
      <c r="D38903" s="39"/>
      <c r="E38903" s="39"/>
      <c r="F38903" s="39"/>
    </row>
    <row r="38904">
      <c r="D38904" s="39"/>
      <c r="E38904" s="39"/>
      <c r="F38904" s="39"/>
    </row>
    <row r="38905">
      <c r="D38905" s="39"/>
      <c r="E38905" s="39"/>
      <c r="F38905" s="39"/>
    </row>
    <row r="38906">
      <c r="D38906" s="39"/>
      <c r="E38906" s="39"/>
      <c r="F38906" s="39"/>
    </row>
    <row r="38907">
      <c r="D38907" s="39"/>
      <c r="E38907" s="39"/>
      <c r="F38907" s="39"/>
    </row>
    <row r="38908">
      <c r="D38908" s="39"/>
      <c r="E38908" s="39"/>
      <c r="F38908" s="39"/>
    </row>
    <row r="38909">
      <c r="D38909" s="39"/>
      <c r="E38909" s="39"/>
      <c r="F38909" s="39"/>
    </row>
    <row r="38910">
      <c r="D38910" s="39"/>
      <c r="E38910" s="39"/>
      <c r="F38910" s="39"/>
    </row>
    <row r="38911">
      <c r="D38911" s="39"/>
      <c r="E38911" s="39"/>
      <c r="F38911" s="39"/>
    </row>
    <row r="38912">
      <c r="D38912" s="39"/>
      <c r="E38912" s="39"/>
      <c r="F38912" s="39"/>
    </row>
    <row r="38913">
      <c r="D38913" s="39"/>
      <c r="E38913" s="39"/>
      <c r="F38913" s="39"/>
    </row>
    <row r="38914">
      <c r="D38914" s="39"/>
      <c r="E38914" s="39"/>
      <c r="F38914" s="39"/>
    </row>
    <row r="38915">
      <c r="D38915" s="39"/>
      <c r="E38915" s="39"/>
      <c r="F38915" s="39"/>
    </row>
    <row r="38916">
      <c r="D38916" s="39"/>
      <c r="E38916" s="39"/>
      <c r="F38916" s="39"/>
    </row>
    <row r="38917">
      <c r="D38917" s="39"/>
      <c r="E38917" s="39"/>
      <c r="F38917" s="39"/>
    </row>
    <row r="38918">
      <c r="D38918" s="39"/>
      <c r="E38918" s="39"/>
      <c r="F38918" s="39"/>
    </row>
    <row r="38919">
      <c r="D38919" s="39"/>
      <c r="E38919" s="39"/>
      <c r="F38919" s="39"/>
    </row>
    <row r="38920">
      <c r="D38920" s="39"/>
      <c r="E38920" s="39"/>
      <c r="F38920" s="39"/>
    </row>
    <row r="38921">
      <c r="D38921" s="39"/>
      <c r="E38921" s="39"/>
      <c r="F38921" s="39"/>
    </row>
    <row r="38922">
      <c r="D38922" s="39"/>
      <c r="E38922" s="39"/>
      <c r="F38922" s="39"/>
    </row>
    <row r="38923">
      <c r="D38923" s="39"/>
      <c r="E38923" s="39"/>
      <c r="F38923" s="39"/>
    </row>
    <row r="38924">
      <c r="D38924" s="39"/>
      <c r="E38924" s="39"/>
      <c r="F38924" s="39"/>
    </row>
    <row r="38925">
      <c r="D38925" s="39"/>
      <c r="E38925" s="39"/>
      <c r="F38925" s="39"/>
    </row>
    <row r="38926">
      <c r="D38926" s="39"/>
      <c r="E38926" s="39"/>
      <c r="F38926" s="39"/>
    </row>
    <row r="38927">
      <c r="D38927" s="39"/>
      <c r="E38927" s="39"/>
      <c r="F38927" s="39"/>
    </row>
    <row r="38928">
      <c r="D38928" s="39"/>
      <c r="E38928" s="39"/>
      <c r="F38928" s="39"/>
    </row>
    <row r="38929">
      <c r="D38929" s="39"/>
      <c r="E38929" s="39"/>
      <c r="F38929" s="39"/>
    </row>
    <row r="38930">
      <c r="D38930" s="39"/>
      <c r="E38930" s="39"/>
      <c r="F38930" s="39"/>
    </row>
    <row r="38931">
      <c r="D38931" s="39"/>
      <c r="E38931" s="39"/>
      <c r="F38931" s="39"/>
    </row>
    <row r="38932">
      <c r="D38932" s="39"/>
      <c r="E38932" s="39"/>
      <c r="F38932" s="39"/>
    </row>
    <row r="38933">
      <c r="D38933" s="39"/>
      <c r="E38933" s="39"/>
      <c r="F38933" s="39"/>
    </row>
    <row r="38934">
      <c r="D38934" s="39"/>
      <c r="E38934" s="39"/>
      <c r="F38934" s="39"/>
    </row>
    <row r="38935">
      <c r="D38935" s="39"/>
      <c r="E38935" s="39"/>
      <c r="F38935" s="39"/>
    </row>
    <row r="38936">
      <c r="D38936" s="39"/>
      <c r="E38936" s="39"/>
      <c r="F38936" s="39"/>
    </row>
    <row r="38937">
      <c r="D38937" s="39"/>
      <c r="E38937" s="39"/>
      <c r="F38937" s="39"/>
    </row>
    <row r="38938">
      <c r="D38938" s="39"/>
      <c r="E38938" s="39"/>
      <c r="F38938" s="39"/>
    </row>
    <row r="38939">
      <c r="D38939" s="39"/>
      <c r="E38939" s="39"/>
      <c r="F38939" s="39"/>
    </row>
    <row r="38940">
      <c r="D38940" s="39"/>
      <c r="E38940" s="39"/>
      <c r="F38940" s="39"/>
    </row>
    <row r="38941">
      <c r="D38941" s="39"/>
      <c r="E38941" s="39"/>
      <c r="F38941" s="39"/>
    </row>
    <row r="38942">
      <c r="D38942" s="39"/>
      <c r="E38942" s="39"/>
      <c r="F38942" s="39"/>
    </row>
    <row r="38943">
      <c r="D38943" s="39"/>
      <c r="E38943" s="39"/>
      <c r="F38943" s="39"/>
    </row>
    <row r="38944">
      <c r="D38944" s="39"/>
      <c r="E38944" s="39"/>
      <c r="F38944" s="39"/>
    </row>
    <row r="38945">
      <c r="D38945" s="39"/>
      <c r="E38945" s="39"/>
      <c r="F38945" s="39"/>
    </row>
    <row r="38946">
      <c r="D38946" s="39"/>
      <c r="E38946" s="39"/>
      <c r="F38946" s="39"/>
    </row>
    <row r="38947">
      <c r="D38947" s="39"/>
      <c r="E38947" s="39"/>
      <c r="F38947" s="39"/>
    </row>
    <row r="38948">
      <c r="D38948" s="39"/>
      <c r="E38948" s="39"/>
      <c r="F38948" s="39"/>
    </row>
    <row r="38949">
      <c r="D38949" s="39"/>
      <c r="E38949" s="39"/>
      <c r="F38949" s="39"/>
    </row>
    <row r="38950">
      <c r="D38950" s="39"/>
      <c r="E38950" s="39"/>
      <c r="F38950" s="39"/>
    </row>
    <row r="38951">
      <c r="D38951" s="39"/>
      <c r="E38951" s="39"/>
      <c r="F38951" s="39"/>
    </row>
    <row r="38952">
      <c r="D38952" s="39"/>
      <c r="E38952" s="39"/>
      <c r="F38952" s="39"/>
    </row>
    <row r="38953">
      <c r="D38953" s="39"/>
      <c r="E38953" s="39"/>
      <c r="F38953" s="39"/>
    </row>
    <row r="38954">
      <c r="D38954" s="39"/>
      <c r="E38954" s="39"/>
      <c r="F38954" s="39"/>
    </row>
    <row r="38955">
      <c r="D38955" s="39"/>
      <c r="E38955" s="39"/>
      <c r="F38955" s="39"/>
    </row>
    <row r="38956">
      <c r="D38956" s="39"/>
      <c r="E38956" s="39"/>
      <c r="F38956" s="39"/>
    </row>
    <row r="38957">
      <c r="D38957" s="39"/>
      <c r="E38957" s="39"/>
      <c r="F38957" s="39"/>
    </row>
    <row r="38958">
      <c r="D38958" s="39"/>
      <c r="E38958" s="39"/>
      <c r="F38958" s="39"/>
    </row>
    <row r="38959">
      <c r="D38959" s="39"/>
      <c r="E38959" s="39"/>
      <c r="F38959" s="39"/>
    </row>
    <row r="38960">
      <c r="D38960" s="39"/>
      <c r="E38960" s="39"/>
      <c r="F38960" s="39"/>
    </row>
    <row r="38961">
      <c r="D38961" s="39"/>
      <c r="E38961" s="39"/>
      <c r="F38961" s="39"/>
    </row>
    <row r="38962">
      <c r="D38962" s="39"/>
      <c r="E38962" s="39"/>
      <c r="F38962" s="39"/>
    </row>
    <row r="38963">
      <c r="D38963" s="39"/>
      <c r="E38963" s="39"/>
      <c r="F38963" s="39"/>
    </row>
    <row r="38964">
      <c r="D38964" s="39"/>
      <c r="E38964" s="39"/>
      <c r="F38964" s="39"/>
    </row>
    <row r="38965">
      <c r="D38965" s="39"/>
      <c r="E38965" s="39"/>
      <c r="F38965" s="39"/>
    </row>
    <row r="38966">
      <c r="D38966" s="39"/>
      <c r="E38966" s="39"/>
      <c r="F38966" s="39"/>
    </row>
    <row r="38967">
      <c r="D38967" s="39"/>
      <c r="E38967" s="39"/>
      <c r="F38967" s="39"/>
    </row>
    <row r="38968">
      <c r="D38968" s="39"/>
      <c r="E38968" s="39"/>
      <c r="F38968" s="39"/>
    </row>
    <row r="38969">
      <c r="D38969" s="39"/>
      <c r="E38969" s="39"/>
      <c r="F38969" s="39"/>
    </row>
    <row r="38970">
      <c r="D38970" s="39"/>
      <c r="E38970" s="39"/>
      <c r="F38970" s="39"/>
    </row>
    <row r="38971">
      <c r="D38971" s="39"/>
      <c r="E38971" s="39"/>
      <c r="F38971" s="39"/>
    </row>
    <row r="38972">
      <c r="D38972" s="39"/>
      <c r="E38972" s="39"/>
      <c r="F38972" s="39"/>
    </row>
    <row r="38973">
      <c r="D38973" s="39"/>
      <c r="E38973" s="39"/>
      <c r="F38973" s="39"/>
    </row>
    <row r="38974">
      <c r="D38974" s="39"/>
      <c r="E38974" s="39"/>
      <c r="F38974" s="39"/>
    </row>
    <row r="38975">
      <c r="D38975" s="39"/>
      <c r="E38975" s="39"/>
      <c r="F38975" s="39"/>
    </row>
    <row r="38976">
      <c r="D38976" s="39"/>
      <c r="E38976" s="39"/>
      <c r="F38976" s="39"/>
    </row>
    <row r="38977">
      <c r="D38977" s="39"/>
      <c r="E38977" s="39"/>
      <c r="F38977" s="39"/>
    </row>
    <row r="38978">
      <c r="D38978" s="39"/>
      <c r="E38978" s="39"/>
      <c r="F38978" s="39"/>
    </row>
    <row r="38979">
      <c r="D38979" s="39"/>
      <c r="E38979" s="39"/>
      <c r="F38979" s="39"/>
    </row>
    <row r="38980">
      <c r="D38980" s="39"/>
      <c r="E38980" s="39"/>
      <c r="F38980" s="39"/>
    </row>
    <row r="38981">
      <c r="D38981" s="39"/>
      <c r="E38981" s="39"/>
      <c r="F38981" s="39"/>
    </row>
    <row r="38982">
      <c r="D38982" s="39"/>
      <c r="E38982" s="39"/>
      <c r="F38982" s="39"/>
    </row>
    <row r="38983">
      <c r="D38983" s="39"/>
      <c r="E38983" s="39"/>
      <c r="F38983" s="39"/>
    </row>
    <row r="38984">
      <c r="D38984" s="39"/>
      <c r="E38984" s="39"/>
      <c r="F38984" s="39"/>
    </row>
    <row r="38985">
      <c r="D38985" s="39"/>
      <c r="E38985" s="39"/>
      <c r="F38985" s="39"/>
    </row>
    <row r="38986">
      <c r="D38986" s="39"/>
      <c r="E38986" s="39"/>
      <c r="F38986" s="39"/>
    </row>
    <row r="38987">
      <c r="D38987" s="39"/>
      <c r="E38987" s="39"/>
      <c r="F38987" s="39"/>
    </row>
    <row r="38988">
      <c r="D38988" s="39"/>
      <c r="E38988" s="39"/>
      <c r="F38988" s="39"/>
    </row>
    <row r="38989">
      <c r="D38989" s="39"/>
      <c r="E38989" s="39"/>
      <c r="F38989" s="39"/>
    </row>
    <row r="38990">
      <c r="D38990" s="39"/>
      <c r="E38990" s="39"/>
      <c r="F38990" s="39"/>
    </row>
    <row r="38991">
      <c r="D38991" s="39"/>
      <c r="E38991" s="39"/>
      <c r="F38991" s="39"/>
    </row>
    <row r="38992">
      <c r="D38992" s="39"/>
      <c r="E38992" s="39"/>
      <c r="F38992" s="39"/>
    </row>
    <row r="38993">
      <c r="D38993" s="39"/>
      <c r="E38993" s="39"/>
      <c r="F38993" s="39"/>
    </row>
    <row r="38994">
      <c r="D38994" s="39"/>
      <c r="E38994" s="39"/>
      <c r="F38994" s="39"/>
    </row>
    <row r="38995">
      <c r="D38995" s="39"/>
      <c r="E38995" s="39"/>
      <c r="F38995" s="39"/>
    </row>
    <row r="38996">
      <c r="D38996" s="39"/>
      <c r="E38996" s="39"/>
      <c r="F38996" s="39"/>
    </row>
    <row r="38997">
      <c r="D38997" s="39"/>
      <c r="E38997" s="39"/>
      <c r="F38997" s="39"/>
    </row>
    <row r="38998">
      <c r="D38998" s="39"/>
      <c r="E38998" s="39"/>
      <c r="F38998" s="39"/>
    </row>
    <row r="38999">
      <c r="D38999" s="39"/>
      <c r="E38999" s="39"/>
      <c r="F38999" s="39"/>
    </row>
    <row r="39000">
      <c r="D39000" s="39"/>
      <c r="E39000" s="39"/>
      <c r="F39000" s="39"/>
    </row>
    <row r="39001">
      <c r="D39001" s="39"/>
      <c r="E39001" s="39"/>
      <c r="F39001" s="39"/>
    </row>
    <row r="39002">
      <c r="D39002" s="39"/>
      <c r="E39002" s="39"/>
      <c r="F39002" s="39"/>
    </row>
    <row r="39003">
      <c r="D39003" s="39"/>
      <c r="E39003" s="39"/>
      <c r="F39003" s="39"/>
    </row>
    <row r="39004">
      <c r="D39004" s="39"/>
      <c r="E39004" s="39"/>
      <c r="F39004" s="39"/>
    </row>
    <row r="39005">
      <c r="D39005" s="39"/>
      <c r="E39005" s="39"/>
      <c r="F39005" s="39"/>
    </row>
    <row r="39006">
      <c r="D39006" s="39"/>
      <c r="E39006" s="39"/>
      <c r="F39006" s="39"/>
    </row>
    <row r="39007">
      <c r="D39007" s="39"/>
      <c r="E39007" s="39"/>
      <c r="F39007" s="39"/>
    </row>
    <row r="39008">
      <c r="D39008" s="39"/>
      <c r="E39008" s="39"/>
      <c r="F39008" s="39"/>
    </row>
    <row r="39009">
      <c r="D39009" s="39"/>
      <c r="E39009" s="39"/>
      <c r="F39009" s="39"/>
    </row>
    <row r="39010">
      <c r="D39010" s="39"/>
      <c r="E39010" s="39"/>
      <c r="F39010" s="39"/>
    </row>
    <row r="39011">
      <c r="D39011" s="39"/>
      <c r="E39011" s="39"/>
      <c r="F39011" s="39"/>
    </row>
    <row r="39012">
      <c r="D39012" s="39"/>
      <c r="E39012" s="39"/>
      <c r="F39012" s="39"/>
    </row>
    <row r="39013">
      <c r="D39013" s="39"/>
      <c r="E39013" s="39"/>
      <c r="F39013" s="39"/>
    </row>
    <row r="39014">
      <c r="D39014" s="39"/>
      <c r="E39014" s="39"/>
      <c r="F39014" s="39"/>
    </row>
    <row r="39015">
      <c r="D39015" s="39"/>
      <c r="E39015" s="39"/>
      <c r="F39015" s="39"/>
    </row>
    <row r="39016">
      <c r="D39016" s="39"/>
      <c r="E39016" s="39"/>
      <c r="F39016" s="39"/>
    </row>
    <row r="39017">
      <c r="D39017" s="39"/>
      <c r="E39017" s="39"/>
      <c r="F39017" s="39"/>
    </row>
    <row r="39018">
      <c r="D39018" s="39"/>
      <c r="E39018" s="39"/>
      <c r="F39018" s="39"/>
    </row>
    <row r="39019">
      <c r="D39019" s="39"/>
      <c r="E39019" s="39"/>
      <c r="F39019" s="39"/>
    </row>
    <row r="39020">
      <c r="D39020" s="39"/>
      <c r="E39020" s="39"/>
      <c r="F39020" s="39"/>
    </row>
    <row r="39021">
      <c r="D39021" s="39"/>
      <c r="E39021" s="39"/>
      <c r="F39021" s="39"/>
    </row>
    <row r="39022">
      <c r="D39022" s="39"/>
      <c r="E39022" s="39"/>
      <c r="F39022" s="39"/>
    </row>
    <row r="39023">
      <c r="D39023" s="39"/>
      <c r="E39023" s="39"/>
      <c r="F39023" s="39"/>
    </row>
    <row r="39024">
      <c r="D39024" s="39"/>
      <c r="E39024" s="39"/>
      <c r="F39024" s="39"/>
    </row>
    <row r="39025">
      <c r="D39025" s="39"/>
      <c r="E39025" s="39"/>
      <c r="F39025" s="39"/>
    </row>
    <row r="39026">
      <c r="D39026" s="39"/>
      <c r="E39026" s="39"/>
      <c r="F39026" s="39"/>
    </row>
    <row r="39027">
      <c r="D39027" s="39"/>
      <c r="E39027" s="39"/>
      <c r="F39027" s="39"/>
    </row>
    <row r="39028">
      <c r="D39028" s="39"/>
      <c r="E39028" s="39"/>
      <c r="F39028" s="39"/>
    </row>
    <row r="39029">
      <c r="D39029" s="39"/>
      <c r="E39029" s="39"/>
      <c r="F39029" s="39"/>
    </row>
    <row r="39030">
      <c r="D39030" s="39"/>
      <c r="E39030" s="39"/>
      <c r="F39030" s="39"/>
    </row>
    <row r="39031">
      <c r="D39031" s="39"/>
      <c r="E39031" s="39"/>
      <c r="F39031" s="39"/>
    </row>
    <row r="39032">
      <c r="D39032" s="39"/>
      <c r="E39032" s="39"/>
      <c r="F39032" s="39"/>
    </row>
    <row r="39033">
      <c r="D39033" s="39"/>
      <c r="E39033" s="39"/>
      <c r="F39033" s="39"/>
    </row>
    <row r="39034">
      <c r="D39034" s="39"/>
      <c r="E39034" s="39"/>
      <c r="F39034" s="39"/>
    </row>
    <row r="39035">
      <c r="D39035" s="39"/>
      <c r="E39035" s="39"/>
      <c r="F39035" s="39"/>
    </row>
    <row r="39036">
      <c r="D39036" s="39"/>
      <c r="E39036" s="39"/>
      <c r="F39036" s="39"/>
    </row>
    <row r="39037">
      <c r="D39037" s="39"/>
      <c r="E39037" s="39"/>
      <c r="F39037" s="39"/>
    </row>
    <row r="39038">
      <c r="D39038" s="39"/>
      <c r="E39038" s="39"/>
      <c r="F39038" s="39"/>
    </row>
    <row r="39039">
      <c r="D39039" s="39"/>
      <c r="E39039" s="39"/>
      <c r="F39039" s="39"/>
    </row>
    <row r="39040">
      <c r="D39040" s="39"/>
      <c r="E39040" s="39"/>
      <c r="F39040" s="39"/>
    </row>
    <row r="39041">
      <c r="D39041" s="39"/>
      <c r="E39041" s="39"/>
      <c r="F39041" s="39"/>
    </row>
    <row r="39042">
      <c r="D39042" s="39"/>
      <c r="E39042" s="39"/>
      <c r="F39042" s="39"/>
    </row>
    <row r="39043">
      <c r="D39043" s="39"/>
      <c r="E39043" s="39"/>
      <c r="F39043" s="39"/>
    </row>
    <row r="39044">
      <c r="D39044" s="39"/>
      <c r="E39044" s="39"/>
      <c r="F39044" s="39"/>
    </row>
    <row r="39045">
      <c r="D39045" s="39"/>
      <c r="E39045" s="39"/>
      <c r="F39045" s="39"/>
    </row>
    <row r="39046">
      <c r="D39046" s="39"/>
      <c r="E39046" s="39"/>
      <c r="F39046" s="39"/>
    </row>
    <row r="39047">
      <c r="D39047" s="39"/>
      <c r="E39047" s="39"/>
      <c r="F39047" s="39"/>
    </row>
    <row r="39048">
      <c r="D39048" s="39"/>
      <c r="E39048" s="39"/>
      <c r="F39048" s="39"/>
    </row>
    <row r="39049">
      <c r="D39049" s="39"/>
      <c r="E39049" s="39"/>
      <c r="F39049" s="39"/>
    </row>
    <row r="39050">
      <c r="D39050" s="39"/>
      <c r="E39050" s="39"/>
      <c r="F39050" s="39"/>
    </row>
    <row r="39051">
      <c r="D39051" s="39"/>
      <c r="E39051" s="39"/>
      <c r="F39051" s="39"/>
    </row>
    <row r="39052">
      <c r="D39052" s="39"/>
      <c r="E39052" s="39"/>
      <c r="F39052" s="39"/>
    </row>
    <row r="39053">
      <c r="D39053" s="39"/>
      <c r="E39053" s="39"/>
      <c r="F39053" s="39"/>
    </row>
    <row r="39054">
      <c r="D39054" s="39"/>
      <c r="E39054" s="39"/>
      <c r="F39054" s="39"/>
    </row>
    <row r="39055">
      <c r="D39055" s="39"/>
      <c r="E39055" s="39"/>
      <c r="F39055" s="39"/>
    </row>
    <row r="39056">
      <c r="D39056" s="39"/>
      <c r="E39056" s="39"/>
      <c r="F39056" s="39"/>
    </row>
    <row r="39057">
      <c r="D39057" s="39"/>
      <c r="E39057" s="39"/>
      <c r="F39057" s="39"/>
    </row>
    <row r="39058">
      <c r="D39058" s="39"/>
      <c r="E39058" s="39"/>
      <c r="F39058" s="39"/>
    </row>
    <row r="39059">
      <c r="D39059" s="39"/>
      <c r="E39059" s="39"/>
      <c r="F39059" s="39"/>
    </row>
    <row r="39060">
      <c r="D39060" s="39"/>
      <c r="E39060" s="39"/>
      <c r="F39060" s="39"/>
    </row>
    <row r="39061">
      <c r="D39061" s="39"/>
      <c r="E39061" s="39"/>
      <c r="F39061" s="39"/>
    </row>
    <row r="39062">
      <c r="D39062" s="39"/>
      <c r="E39062" s="39"/>
      <c r="F39062" s="39"/>
    </row>
    <row r="39063">
      <c r="D39063" s="39"/>
      <c r="E39063" s="39"/>
      <c r="F39063" s="39"/>
    </row>
    <row r="39064">
      <c r="D39064" s="39"/>
      <c r="E39064" s="39"/>
      <c r="F39064" s="39"/>
    </row>
    <row r="39065">
      <c r="D39065" s="39"/>
      <c r="E39065" s="39"/>
      <c r="F39065" s="39"/>
    </row>
    <row r="39066">
      <c r="D39066" s="39"/>
      <c r="E39066" s="39"/>
      <c r="F39066" s="39"/>
    </row>
    <row r="39067">
      <c r="D39067" s="39"/>
      <c r="E39067" s="39"/>
      <c r="F39067" s="39"/>
    </row>
    <row r="39068">
      <c r="D39068" s="39"/>
      <c r="E39068" s="39"/>
      <c r="F39068" s="39"/>
    </row>
    <row r="39069">
      <c r="D39069" s="39"/>
      <c r="E39069" s="39"/>
      <c r="F39069" s="39"/>
    </row>
    <row r="39070">
      <c r="D39070" s="39"/>
      <c r="E39070" s="39"/>
      <c r="F39070" s="39"/>
    </row>
    <row r="39071">
      <c r="D39071" s="39"/>
      <c r="E39071" s="39"/>
      <c r="F39071" s="39"/>
    </row>
    <row r="39072">
      <c r="D39072" s="39"/>
      <c r="E39072" s="39"/>
      <c r="F39072" s="39"/>
    </row>
    <row r="39073">
      <c r="D39073" s="39"/>
      <c r="E39073" s="39"/>
      <c r="F39073" s="39"/>
    </row>
    <row r="39074">
      <c r="D39074" s="39"/>
      <c r="E39074" s="39"/>
      <c r="F39074" s="39"/>
    </row>
    <row r="39075">
      <c r="D39075" s="39"/>
      <c r="E39075" s="39"/>
      <c r="F39075" s="39"/>
    </row>
    <row r="39076">
      <c r="D39076" s="39"/>
      <c r="E39076" s="39"/>
      <c r="F39076" s="39"/>
    </row>
    <row r="39077">
      <c r="D39077" s="39"/>
      <c r="E39077" s="39"/>
      <c r="F39077" s="39"/>
    </row>
    <row r="39078">
      <c r="D39078" s="39"/>
      <c r="E39078" s="39"/>
      <c r="F39078" s="39"/>
    </row>
    <row r="39079">
      <c r="D39079" s="39"/>
      <c r="E39079" s="39"/>
      <c r="F39079" s="39"/>
    </row>
    <row r="39080">
      <c r="D39080" s="39"/>
      <c r="E39080" s="39"/>
      <c r="F39080" s="39"/>
    </row>
    <row r="39081">
      <c r="D39081" s="39"/>
      <c r="E39081" s="39"/>
      <c r="F39081" s="39"/>
    </row>
    <row r="39082">
      <c r="D39082" s="39"/>
      <c r="E39082" s="39"/>
      <c r="F39082" s="39"/>
    </row>
    <row r="39083">
      <c r="D39083" s="39"/>
      <c r="E39083" s="39"/>
      <c r="F39083" s="39"/>
    </row>
    <row r="39084">
      <c r="D39084" s="39"/>
      <c r="E39084" s="39"/>
      <c r="F39084" s="39"/>
    </row>
    <row r="39085">
      <c r="D39085" s="39"/>
      <c r="E39085" s="39"/>
      <c r="F39085" s="39"/>
    </row>
    <row r="39086">
      <c r="D39086" s="39"/>
      <c r="E39086" s="39"/>
      <c r="F39086" s="39"/>
    </row>
    <row r="39087">
      <c r="D39087" s="39"/>
      <c r="E39087" s="39"/>
      <c r="F39087" s="39"/>
    </row>
    <row r="39088">
      <c r="D39088" s="39"/>
      <c r="E39088" s="39"/>
      <c r="F39088" s="39"/>
    </row>
    <row r="39089">
      <c r="D39089" s="39"/>
      <c r="E39089" s="39"/>
      <c r="F39089" s="39"/>
    </row>
    <row r="39090">
      <c r="D39090" s="39"/>
      <c r="E39090" s="39"/>
      <c r="F39090" s="39"/>
    </row>
    <row r="39091">
      <c r="D39091" s="39"/>
      <c r="E39091" s="39"/>
      <c r="F39091" s="39"/>
    </row>
    <row r="39092">
      <c r="D39092" s="39"/>
      <c r="E39092" s="39"/>
      <c r="F39092" s="39"/>
    </row>
    <row r="39093">
      <c r="D39093" s="39"/>
      <c r="E39093" s="39"/>
      <c r="F39093" s="39"/>
    </row>
    <row r="39094">
      <c r="D39094" s="39"/>
      <c r="E39094" s="39"/>
      <c r="F39094" s="39"/>
    </row>
    <row r="39095">
      <c r="D39095" s="39"/>
      <c r="E39095" s="39"/>
      <c r="F39095" s="39"/>
    </row>
    <row r="39096">
      <c r="D39096" s="39"/>
      <c r="E39096" s="39"/>
      <c r="F39096" s="39"/>
    </row>
    <row r="39097">
      <c r="D39097" s="39"/>
      <c r="E39097" s="39"/>
      <c r="F39097" s="39"/>
    </row>
    <row r="39098">
      <c r="D39098" s="39"/>
      <c r="E39098" s="39"/>
      <c r="F39098" s="39"/>
    </row>
    <row r="39099">
      <c r="D39099" s="39"/>
      <c r="E39099" s="39"/>
      <c r="F39099" s="39"/>
    </row>
    <row r="39100">
      <c r="D39100" s="39"/>
      <c r="E39100" s="39"/>
      <c r="F39100" s="39"/>
    </row>
    <row r="39101">
      <c r="D39101" s="39"/>
      <c r="E39101" s="39"/>
      <c r="F39101" s="39"/>
    </row>
    <row r="39102">
      <c r="D39102" s="39"/>
      <c r="E39102" s="39"/>
      <c r="F39102" s="39"/>
    </row>
    <row r="39103">
      <c r="D39103" s="39"/>
      <c r="E39103" s="39"/>
      <c r="F39103" s="39"/>
    </row>
    <row r="39104">
      <c r="D39104" s="39"/>
      <c r="E39104" s="39"/>
      <c r="F39104" s="39"/>
    </row>
    <row r="39105">
      <c r="D39105" s="39"/>
      <c r="E39105" s="39"/>
      <c r="F39105" s="39"/>
    </row>
    <row r="39106">
      <c r="D39106" s="39"/>
      <c r="E39106" s="39"/>
      <c r="F39106" s="39"/>
    </row>
    <row r="39107">
      <c r="D39107" s="39"/>
      <c r="E39107" s="39"/>
      <c r="F39107" s="39"/>
    </row>
    <row r="39108">
      <c r="D39108" s="39"/>
      <c r="E39108" s="39"/>
      <c r="F39108" s="39"/>
    </row>
    <row r="39109">
      <c r="D39109" s="39"/>
      <c r="E39109" s="39"/>
      <c r="F39109" s="39"/>
    </row>
    <row r="39110">
      <c r="D39110" s="39"/>
      <c r="E39110" s="39"/>
      <c r="F39110" s="39"/>
    </row>
    <row r="39111">
      <c r="D39111" s="39"/>
      <c r="E39111" s="39"/>
      <c r="F39111" s="39"/>
    </row>
    <row r="39112">
      <c r="D39112" s="39"/>
      <c r="E39112" s="39"/>
      <c r="F39112" s="39"/>
    </row>
    <row r="39113">
      <c r="D39113" s="39"/>
      <c r="E39113" s="39"/>
      <c r="F39113" s="39"/>
    </row>
    <row r="39114">
      <c r="D39114" s="39"/>
      <c r="E39114" s="39"/>
      <c r="F39114" s="39"/>
    </row>
    <row r="39115">
      <c r="D39115" s="39"/>
      <c r="E39115" s="39"/>
      <c r="F39115" s="39"/>
    </row>
    <row r="39116">
      <c r="D39116" s="39"/>
      <c r="E39116" s="39"/>
      <c r="F39116" s="39"/>
    </row>
    <row r="39117">
      <c r="D39117" s="39"/>
      <c r="E39117" s="39"/>
      <c r="F39117" s="39"/>
    </row>
    <row r="39118">
      <c r="D39118" s="39"/>
      <c r="E39118" s="39"/>
      <c r="F39118" s="39"/>
    </row>
    <row r="39119">
      <c r="D39119" s="39"/>
      <c r="E39119" s="39"/>
      <c r="F39119" s="39"/>
    </row>
    <row r="39120">
      <c r="D39120" s="39"/>
      <c r="E39120" s="39"/>
      <c r="F39120" s="39"/>
    </row>
    <row r="39121">
      <c r="D39121" s="39"/>
      <c r="E39121" s="39"/>
      <c r="F39121" s="39"/>
    </row>
    <row r="39122">
      <c r="D39122" s="39"/>
      <c r="E39122" s="39"/>
      <c r="F39122" s="39"/>
    </row>
    <row r="39123">
      <c r="D39123" s="39"/>
      <c r="E39123" s="39"/>
      <c r="F39123" s="39"/>
    </row>
    <row r="39124">
      <c r="D39124" s="39"/>
      <c r="E39124" s="39"/>
      <c r="F39124" s="39"/>
    </row>
    <row r="39125">
      <c r="D39125" s="39"/>
      <c r="E39125" s="39"/>
      <c r="F39125" s="39"/>
    </row>
    <row r="39126">
      <c r="D39126" s="39"/>
      <c r="E39126" s="39"/>
      <c r="F39126" s="39"/>
    </row>
    <row r="39127">
      <c r="D39127" s="39"/>
      <c r="E39127" s="39"/>
      <c r="F39127" s="39"/>
    </row>
    <row r="39128">
      <c r="D39128" s="39"/>
      <c r="E39128" s="39"/>
      <c r="F39128" s="39"/>
    </row>
    <row r="39129">
      <c r="D39129" s="39"/>
      <c r="E39129" s="39"/>
      <c r="F39129" s="39"/>
    </row>
    <row r="39130">
      <c r="D39130" s="39"/>
      <c r="E39130" s="39"/>
      <c r="F39130" s="39"/>
    </row>
    <row r="39131">
      <c r="D39131" s="39"/>
      <c r="E39131" s="39"/>
      <c r="F39131" s="39"/>
    </row>
    <row r="39132">
      <c r="D39132" s="39"/>
      <c r="E39132" s="39"/>
      <c r="F39132" s="39"/>
    </row>
    <row r="39133">
      <c r="D39133" s="39"/>
      <c r="E39133" s="39"/>
      <c r="F39133" s="39"/>
    </row>
    <row r="39134">
      <c r="D39134" s="39"/>
      <c r="E39134" s="39"/>
      <c r="F39134" s="39"/>
    </row>
    <row r="39135">
      <c r="D39135" s="39"/>
      <c r="E39135" s="39"/>
      <c r="F39135" s="39"/>
    </row>
    <row r="39136">
      <c r="D39136" s="39"/>
      <c r="E39136" s="39"/>
      <c r="F39136" s="39"/>
    </row>
    <row r="39137">
      <c r="D39137" s="39"/>
      <c r="E39137" s="39"/>
      <c r="F39137" s="39"/>
    </row>
    <row r="39138">
      <c r="D39138" s="39"/>
      <c r="E39138" s="39"/>
      <c r="F39138" s="39"/>
    </row>
    <row r="39139">
      <c r="D39139" s="39"/>
      <c r="E39139" s="39"/>
      <c r="F39139" s="39"/>
    </row>
    <row r="39140">
      <c r="D39140" s="39"/>
      <c r="E39140" s="39"/>
      <c r="F39140" s="39"/>
    </row>
    <row r="39141">
      <c r="D39141" s="39"/>
      <c r="E39141" s="39"/>
      <c r="F39141" s="39"/>
    </row>
    <row r="39142">
      <c r="D39142" s="39"/>
      <c r="E39142" s="39"/>
      <c r="F39142" s="39"/>
    </row>
    <row r="39143">
      <c r="D39143" s="39"/>
      <c r="E39143" s="39"/>
      <c r="F39143" s="39"/>
    </row>
    <row r="39144">
      <c r="D39144" s="39"/>
      <c r="E39144" s="39"/>
      <c r="F39144" s="39"/>
    </row>
    <row r="39145">
      <c r="D39145" s="39"/>
      <c r="E39145" s="39"/>
      <c r="F39145" s="39"/>
    </row>
    <row r="39146">
      <c r="D39146" s="39"/>
      <c r="E39146" s="39"/>
      <c r="F39146" s="39"/>
    </row>
    <row r="39147">
      <c r="D39147" s="39"/>
      <c r="E39147" s="39"/>
      <c r="F39147" s="39"/>
    </row>
    <row r="39148">
      <c r="D39148" s="39"/>
      <c r="E39148" s="39"/>
      <c r="F39148" s="39"/>
    </row>
    <row r="39149">
      <c r="D39149" s="39"/>
      <c r="E39149" s="39"/>
      <c r="F39149" s="39"/>
    </row>
    <row r="39150">
      <c r="D39150" s="39"/>
      <c r="E39150" s="39"/>
      <c r="F39150" s="39"/>
    </row>
    <row r="39151">
      <c r="D39151" s="39"/>
      <c r="E39151" s="39"/>
      <c r="F39151" s="39"/>
    </row>
    <row r="39152">
      <c r="D39152" s="39"/>
      <c r="E39152" s="39"/>
      <c r="F39152" s="39"/>
    </row>
    <row r="39153">
      <c r="D39153" s="39"/>
      <c r="E39153" s="39"/>
      <c r="F39153" s="39"/>
    </row>
    <row r="39154">
      <c r="D39154" s="39"/>
      <c r="E39154" s="39"/>
      <c r="F39154" s="39"/>
    </row>
    <row r="39155">
      <c r="D39155" s="39"/>
      <c r="E39155" s="39"/>
      <c r="F39155" s="39"/>
    </row>
    <row r="39156">
      <c r="D39156" s="39"/>
      <c r="E39156" s="39"/>
      <c r="F39156" s="39"/>
    </row>
    <row r="39157">
      <c r="D39157" s="39"/>
      <c r="E39157" s="39"/>
      <c r="F39157" s="39"/>
    </row>
    <row r="39158">
      <c r="D39158" s="39"/>
      <c r="E39158" s="39"/>
      <c r="F39158" s="39"/>
    </row>
    <row r="39159">
      <c r="D39159" s="39"/>
      <c r="E39159" s="39"/>
      <c r="F39159" s="39"/>
    </row>
    <row r="39160">
      <c r="D39160" s="39"/>
      <c r="E39160" s="39"/>
      <c r="F39160" s="39"/>
    </row>
    <row r="39161">
      <c r="D39161" s="39"/>
      <c r="E39161" s="39"/>
      <c r="F39161" s="39"/>
    </row>
    <row r="39162">
      <c r="D39162" s="39"/>
      <c r="E39162" s="39"/>
      <c r="F39162" s="39"/>
    </row>
    <row r="39163">
      <c r="D39163" s="39"/>
      <c r="E39163" s="39"/>
      <c r="F39163" s="39"/>
    </row>
    <row r="39164">
      <c r="D39164" s="39"/>
      <c r="E39164" s="39"/>
      <c r="F39164" s="39"/>
    </row>
    <row r="39165">
      <c r="D39165" s="39"/>
      <c r="E39165" s="39"/>
      <c r="F39165" s="39"/>
    </row>
    <row r="39166">
      <c r="D39166" s="39"/>
      <c r="E39166" s="39"/>
      <c r="F39166" s="39"/>
    </row>
    <row r="39167">
      <c r="D39167" s="39"/>
      <c r="E39167" s="39"/>
      <c r="F39167" s="39"/>
    </row>
    <row r="39168">
      <c r="D39168" s="39"/>
      <c r="E39168" s="39"/>
      <c r="F39168" s="39"/>
    </row>
    <row r="39169">
      <c r="D39169" s="39"/>
      <c r="E39169" s="39"/>
      <c r="F39169" s="39"/>
    </row>
    <row r="39170">
      <c r="D39170" s="39"/>
      <c r="E39170" s="39"/>
      <c r="F39170" s="39"/>
    </row>
    <row r="39171">
      <c r="D39171" s="39"/>
      <c r="E39171" s="39"/>
      <c r="F39171" s="39"/>
    </row>
    <row r="39172">
      <c r="D39172" s="39"/>
      <c r="E39172" s="39"/>
      <c r="F39172" s="39"/>
    </row>
    <row r="39173">
      <c r="D39173" s="39"/>
      <c r="E39173" s="39"/>
      <c r="F39173" s="39"/>
    </row>
    <row r="39174">
      <c r="D39174" s="39"/>
      <c r="E39174" s="39"/>
      <c r="F39174" s="39"/>
    </row>
    <row r="39175">
      <c r="D39175" s="39"/>
      <c r="E39175" s="39"/>
      <c r="F39175" s="39"/>
    </row>
    <row r="39176">
      <c r="D39176" s="39"/>
      <c r="E39176" s="39"/>
      <c r="F39176" s="39"/>
    </row>
    <row r="39177">
      <c r="D39177" s="39"/>
      <c r="E39177" s="39"/>
      <c r="F39177" s="39"/>
    </row>
    <row r="39178">
      <c r="D39178" s="39"/>
      <c r="E39178" s="39"/>
      <c r="F39178" s="39"/>
    </row>
    <row r="39179">
      <c r="D39179" s="39"/>
      <c r="E39179" s="39"/>
      <c r="F39179" s="39"/>
    </row>
    <row r="39180">
      <c r="D39180" s="39"/>
      <c r="E39180" s="39"/>
      <c r="F39180" s="39"/>
    </row>
    <row r="39181">
      <c r="D39181" s="39"/>
      <c r="E39181" s="39"/>
      <c r="F39181" s="39"/>
    </row>
    <row r="39182">
      <c r="D39182" s="39"/>
      <c r="E39182" s="39"/>
      <c r="F39182" s="39"/>
    </row>
    <row r="39183">
      <c r="D39183" s="39"/>
      <c r="E39183" s="39"/>
      <c r="F39183" s="39"/>
    </row>
    <row r="39184">
      <c r="D39184" s="39"/>
      <c r="E39184" s="39"/>
      <c r="F39184" s="39"/>
    </row>
    <row r="39185">
      <c r="D39185" s="39"/>
      <c r="E39185" s="39"/>
      <c r="F39185" s="39"/>
    </row>
    <row r="39186">
      <c r="D39186" s="39"/>
      <c r="E39186" s="39"/>
      <c r="F39186" s="39"/>
    </row>
    <row r="39187">
      <c r="D39187" s="39"/>
      <c r="E39187" s="39"/>
      <c r="F39187" s="39"/>
    </row>
    <row r="39188">
      <c r="D39188" s="39"/>
      <c r="E39188" s="39"/>
      <c r="F39188" s="39"/>
    </row>
    <row r="39189">
      <c r="D39189" s="39"/>
      <c r="E39189" s="39"/>
      <c r="F39189" s="39"/>
    </row>
    <row r="39190">
      <c r="D39190" s="39"/>
      <c r="E39190" s="39"/>
      <c r="F39190" s="39"/>
    </row>
    <row r="39191">
      <c r="D39191" s="39"/>
      <c r="E39191" s="39"/>
      <c r="F39191" s="39"/>
    </row>
    <row r="39192">
      <c r="D39192" s="39"/>
      <c r="E39192" s="39"/>
      <c r="F39192" s="39"/>
    </row>
    <row r="39193">
      <c r="D39193" s="39"/>
      <c r="E39193" s="39"/>
      <c r="F39193" s="39"/>
    </row>
    <row r="39194">
      <c r="D39194" s="39"/>
      <c r="E39194" s="39"/>
      <c r="F39194" s="39"/>
    </row>
    <row r="39195">
      <c r="D39195" s="39"/>
      <c r="E39195" s="39"/>
      <c r="F39195" s="39"/>
    </row>
    <row r="39196">
      <c r="D39196" s="39"/>
      <c r="E39196" s="39"/>
      <c r="F39196" s="39"/>
    </row>
    <row r="39197">
      <c r="D39197" s="39"/>
      <c r="E39197" s="39"/>
      <c r="F39197" s="39"/>
    </row>
    <row r="39198">
      <c r="D39198" s="39"/>
      <c r="E39198" s="39"/>
      <c r="F39198" s="39"/>
    </row>
    <row r="39199">
      <c r="D39199" s="39"/>
      <c r="E39199" s="39"/>
      <c r="F39199" s="39"/>
    </row>
    <row r="39200">
      <c r="D39200" s="39"/>
      <c r="E39200" s="39"/>
      <c r="F39200" s="39"/>
    </row>
    <row r="39201">
      <c r="D39201" s="39"/>
      <c r="E39201" s="39"/>
      <c r="F39201" s="39"/>
    </row>
    <row r="39202">
      <c r="D39202" s="39"/>
      <c r="E39202" s="39"/>
      <c r="F39202" s="39"/>
    </row>
    <row r="39203">
      <c r="D39203" s="39"/>
      <c r="E39203" s="39"/>
      <c r="F39203" s="39"/>
    </row>
    <row r="39204">
      <c r="D39204" s="39"/>
      <c r="E39204" s="39"/>
      <c r="F39204" s="39"/>
    </row>
    <row r="39205">
      <c r="D39205" s="39"/>
      <c r="E39205" s="39"/>
      <c r="F39205" s="39"/>
    </row>
    <row r="39206">
      <c r="D39206" s="39"/>
      <c r="E39206" s="39"/>
      <c r="F39206" s="39"/>
    </row>
    <row r="39207">
      <c r="D39207" s="39"/>
      <c r="E39207" s="39"/>
      <c r="F39207" s="39"/>
    </row>
    <row r="39208">
      <c r="D39208" s="39"/>
      <c r="E39208" s="39"/>
      <c r="F39208" s="39"/>
    </row>
    <row r="39209">
      <c r="D39209" s="39"/>
      <c r="E39209" s="39"/>
      <c r="F39209" s="39"/>
    </row>
    <row r="39210">
      <c r="D39210" s="39"/>
      <c r="E39210" s="39"/>
      <c r="F39210" s="39"/>
    </row>
    <row r="39211">
      <c r="D39211" s="39"/>
      <c r="E39211" s="39"/>
      <c r="F39211" s="39"/>
    </row>
    <row r="39212">
      <c r="D39212" s="39"/>
      <c r="E39212" s="39"/>
      <c r="F39212" s="39"/>
    </row>
    <row r="39213">
      <c r="D39213" s="39"/>
      <c r="E39213" s="39"/>
      <c r="F39213" s="39"/>
    </row>
    <row r="39214">
      <c r="D39214" s="39"/>
      <c r="E39214" s="39"/>
      <c r="F39214" s="39"/>
    </row>
    <row r="39215">
      <c r="D39215" s="39"/>
      <c r="E39215" s="39"/>
      <c r="F39215" s="39"/>
    </row>
    <row r="39216">
      <c r="D39216" s="39"/>
      <c r="E39216" s="39"/>
      <c r="F39216" s="39"/>
    </row>
    <row r="39217">
      <c r="D39217" s="39"/>
      <c r="E39217" s="39"/>
      <c r="F39217" s="39"/>
    </row>
    <row r="39218">
      <c r="D39218" s="39"/>
      <c r="E39218" s="39"/>
      <c r="F39218" s="39"/>
    </row>
    <row r="39219">
      <c r="D39219" s="39"/>
      <c r="E39219" s="39"/>
      <c r="F39219" s="39"/>
    </row>
    <row r="39220">
      <c r="D39220" s="39"/>
      <c r="E39220" s="39"/>
      <c r="F39220" s="39"/>
    </row>
    <row r="39221">
      <c r="D39221" s="39"/>
      <c r="E39221" s="39"/>
      <c r="F39221" s="39"/>
    </row>
    <row r="39222">
      <c r="D39222" s="39"/>
      <c r="E39222" s="39"/>
      <c r="F39222" s="39"/>
    </row>
    <row r="39223">
      <c r="D39223" s="39"/>
      <c r="E39223" s="39"/>
      <c r="F39223" s="39"/>
    </row>
    <row r="39224">
      <c r="D39224" s="39"/>
      <c r="E39224" s="39"/>
      <c r="F39224" s="39"/>
    </row>
    <row r="39225">
      <c r="D39225" s="39"/>
      <c r="E39225" s="39"/>
      <c r="F39225" s="39"/>
    </row>
    <row r="39226">
      <c r="D39226" s="39"/>
      <c r="E39226" s="39"/>
      <c r="F39226" s="39"/>
    </row>
    <row r="39227">
      <c r="D39227" s="39"/>
      <c r="E39227" s="39"/>
      <c r="F39227" s="39"/>
    </row>
    <row r="39228">
      <c r="D39228" s="39"/>
      <c r="E39228" s="39"/>
      <c r="F39228" s="39"/>
    </row>
    <row r="39229">
      <c r="D39229" s="39"/>
      <c r="E39229" s="39"/>
      <c r="F39229" s="39"/>
    </row>
    <row r="39230">
      <c r="D39230" s="39"/>
      <c r="E39230" s="39"/>
      <c r="F39230" s="39"/>
    </row>
    <row r="39231">
      <c r="D39231" s="39"/>
      <c r="E39231" s="39"/>
      <c r="F39231" s="39"/>
    </row>
    <row r="39232">
      <c r="D39232" s="39"/>
      <c r="E39232" s="39"/>
      <c r="F39232" s="39"/>
    </row>
    <row r="39233">
      <c r="D39233" s="39"/>
      <c r="E39233" s="39"/>
      <c r="F39233" s="39"/>
    </row>
    <row r="39234">
      <c r="D39234" s="39"/>
      <c r="E39234" s="39"/>
      <c r="F39234" s="39"/>
    </row>
    <row r="39235">
      <c r="D39235" s="39"/>
      <c r="E39235" s="39"/>
      <c r="F39235" s="39"/>
    </row>
    <row r="39236">
      <c r="D39236" s="39"/>
      <c r="E39236" s="39"/>
      <c r="F39236" s="39"/>
    </row>
    <row r="39237">
      <c r="D39237" s="39"/>
      <c r="E39237" s="39"/>
      <c r="F39237" s="39"/>
    </row>
    <row r="39238">
      <c r="D39238" s="39"/>
      <c r="E39238" s="39"/>
      <c r="F39238" s="39"/>
    </row>
    <row r="39239">
      <c r="D39239" s="39"/>
      <c r="E39239" s="39"/>
      <c r="F39239" s="39"/>
    </row>
    <row r="39240">
      <c r="D39240" s="39"/>
      <c r="E39240" s="39"/>
      <c r="F39240" s="39"/>
    </row>
    <row r="39241">
      <c r="D39241" s="39"/>
      <c r="E39241" s="39"/>
      <c r="F39241" s="39"/>
    </row>
    <row r="39242">
      <c r="D39242" s="39"/>
      <c r="E39242" s="39"/>
      <c r="F39242" s="39"/>
    </row>
    <row r="39243">
      <c r="D39243" s="39"/>
      <c r="E39243" s="39"/>
      <c r="F39243" s="39"/>
    </row>
    <row r="39244">
      <c r="D39244" s="39"/>
      <c r="E39244" s="39"/>
      <c r="F39244" s="39"/>
    </row>
    <row r="39245">
      <c r="D39245" s="39"/>
      <c r="E39245" s="39"/>
      <c r="F39245" s="39"/>
    </row>
    <row r="39246">
      <c r="D39246" s="39"/>
      <c r="E39246" s="39"/>
      <c r="F39246" s="39"/>
    </row>
    <row r="39247">
      <c r="D39247" s="39"/>
      <c r="E39247" s="39"/>
      <c r="F39247" s="39"/>
    </row>
    <row r="39248">
      <c r="D39248" s="39"/>
      <c r="E39248" s="39"/>
      <c r="F39248" s="39"/>
    </row>
    <row r="39249">
      <c r="D39249" s="39"/>
      <c r="E39249" s="39"/>
      <c r="F39249" s="39"/>
    </row>
    <row r="39250">
      <c r="D39250" s="39"/>
      <c r="E39250" s="39"/>
      <c r="F39250" s="39"/>
    </row>
    <row r="39251">
      <c r="D39251" s="39"/>
      <c r="E39251" s="39"/>
      <c r="F39251" s="39"/>
    </row>
    <row r="39252">
      <c r="D39252" s="39"/>
      <c r="E39252" s="39"/>
      <c r="F39252" s="39"/>
    </row>
    <row r="39253">
      <c r="D39253" s="39"/>
      <c r="E39253" s="39"/>
      <c r="F39253" s="39"/>
    </row>
    <row r="39254">
      <c r="D39254" s="39"/>
      <c r="E39254" s="39"/>
      <c r="F39254" s="39"/>
    </row>
    <row r="39255">
      <c r="D39255" s="39"/>
      <c r="E39255" s="39"/>
      <c r="F39255" s="39"/>
    </row>
    <row r="39256">
      <c r="D39256" s="39"/>
      <c r="E39256" s="39"/>
      <c r="F39256" s="39"/>
    </row>
    <row r="39257">
      <c r="D39257" s="39"/>
      <c r="E39257" s="39"/>
      <c r="F39257" s="39"/>
    </row>
    <row r="39258">
      <c r="D39258" s="39"/>
      <c r="E39258" s="39"/>
      <c r="F39258" s="39"/>
    </row>
    <row r="39259">
      <c r="D39259" s="39"/>
      <c r="E39259" s="39"/>
      <c r="F39259" s="39"/>
    </row>
    <row r="39260">
      <c r="D39260" s="39"/>
      <c r="E39260" s="39"/>
      <c r="F39260" s="39"/>
    </row>
    <row r="39261">
      <c r="D39261" s="39"/>
      <c r="E39261" s="39"/>
      <c r="F39261" s="39"/>
    </row>
    <row r="39262">
      <c r="D39262" s="39"/>
      <c r="E39262" s="39"/>
      <c r="F39262" s="39"/>
    </row>
    <row r="39263">
      <c r="D39263" s="39"/>
      <c r="E39263" s="39"/>
      <c r="F39263" s="39"/>
    </row>
    <row r="39264">
      <c r="D39264" s="39"/>
      <c r="E39264" s="39"/>
      <c r="F39264" s="39"/>
    </row>
    <row r="39265">
      <c r="D39265" s="39"/>
      <c r="E39265" s="39"/>
      <c r="F39265" s="39"/>
    </row>
    <row r="39266">
      <c r="D39266" s="39"/>
      <c r="E39266" s="39"/>
      <c r="F39266" s="39"/>
    </row>
    <row r="39267">
      <c r="D39267" s="39"/>
      <c r="E39267" s="39"/>
      <c r="F39267" s="39"/>
    </row>
    <row r="39268">
      <c r="D39268" s="39"/>
      <c r="E39268" s="39"/>
      <c r="F39268" s="39"/>
    </row>
    <row r="39269">
      <c r="D39269" s="39"/>
      <c r="E39269" s="39"/>
      <c r="F39269" s="39"/>
    </row>
    <row r="39270">
      <c r="D39270" s="39"/>
      <c r="E39270" s="39"/>
      <c r="F39270" s="39"/>
    </row>
    <row r="39271">
      <c r="D39271" s="39"/>
      <c r="E39271" s="39"/>
      <c r="F39271" s="39"/>
    </row>
    <row r="39272">
      <c r="D39272" s="39"/>
      <c r="E39272" s="39"/>
      <c r="F39272" s="39"/>
    </row>
    <row r="39273">
      <c r="D39273" s="39"/>
      <c r="E39273" s="39"/>
      <c r="F39273" s="39"/>
    </row>
    <row r="39274">
      <c r="D39274" s="39"/>
      <c r="E39274" s="39"/>
      <c r="F39274" s="39"/>
    </row>
    <row r="39275">
      <c r="D39275" s="39"/>
      <c r="E39275" s="39"/>
      <c r="F39275" s="39"/>
    </row>
    <row r="39276">
      <c r="D39276" s="39"/>
      <c r="E39276" s="39"/>
      <c r="F39276" s="39"/>
    </row>
    <row r="39277">
      <c r="D39277" s="39"/>
      <c r="E39277" s="39"/>
      <c r="F39277" s="39"/>
    </row>
    <row r="39278">
      <c r="D39278" s="39"/>
      <c r="E39278" s="39"/>
      <c r="F39278" s="39"/>
    </row>
    <row r="39279">
      <c r="D39279" s="39"/>
      <c r="E39279" s="39"/>
      <c r="F39279" s="39"/>
    </row>
    <row r="39280">
      <c r="D39280" s="39"/>
      <c r="E39280" s="39"/>
      <c r="F39280" s="39"/>
    </row>
    <row r="39281">
      <c r="D39281" s="39"/>
      <c r="E39281" s="39"/>
      <c r="F39281" s="39"/>
    </row>
    <row r="39282">
      <c r="D39282" s="39"/>
      <c r="E39282" s="39"/>
      <c r="F39282" s="39"/>
    </row>
    <row r="39283">
      <c r="D39283" s="39"/>
      <c r="E39283" s="39"/>
      <c r="F39283" s="39"/>
    </row>
    <row r="39284">
      <c r="D39284" s="39"/>
      <c r="E39284" s="39"/>
      <c r="F39284" s="39"/>
    </row>
    <row r="39285">
      <c r="D39285" s="39"/>
      <c r="E39285" s="39"/>
      <c r="F39285" s="39"/>
    </row>
    <row r="39286">
      <c r="D39286" s="39"/>
      <c r="E39286" s="39"/>
      <c r="F39286" s="39"/>
    </row>
    <row r="39287">
      <c r="D39287" s="39"/>
      <c r="E39287" s="39"/>
      <c r="F39287" s="39"/>
    </row>
    <row r="39288">
      <c r="D39288" s="39"/>
      <c r="E39288" s="39"/>
      <c r="F39288" s="39"/>
    </row>
    <row r="39289">
      <c r="D39289" s="39"/>
      <c r="E39289" s="39"/>
      <c r="F39289" s="39"/>
    </row>
    <row r="39290">
      <c r="D39290" s="39"/>
      <c r="E39290" s="39"/>
      <c r="F39290" s="39"/>
    </row>
    <row r="39291">
      <c r="D39291" s="39"/>
      <c r="E39291" s="39"/>
      <c r="F39291" s="39"/>
    </row>
    <row r="39292">
      <c r="D39292" s="39"/>
      <c r="E39292" s="39"/>
      <c r="F39292" s="39"/>
    </row>
    <row r="39293">
      <c r="D39293" s="39"/>
      <c r="E39293" s="39"/>
      <c r="F39293" s="39"/>
    </row>
    <row r="39294">
      <c r="D39294" s="39"/>
      <c r="E39294" s="39"/>
      <c r="F39294" s="39"/>
    </row>
    <row r="39295">
      <c r="D39295" s="39"/>
      <c r="E39295" s="39"/>
      <c r="F39295" s="39"/>
    </row>
    <row r="39296">
      <c r="D39296" s="39"/>
      <c r="E39296" s="39"/>
      <c r="F39296" s="39"/>
    </row>
    <row r="39297">
      <c r="D39297" s="39"/>
      <c r="E39297" s="39"/>
      <c r="F39297" s="39"/>
    </row>
    <row r="39298">
      <c r="D39298" s="39"/>
      <c r="E39298" s="39"/>
      <c r="F39298" s="39"/>
    </row>
    <row r="39299">
      <c r="D39299" s="39"/>
      <c r="E39299" s="39"/>
      <c r="F39299" s="39"/>
    </row>
    <row r="39300">
      <c r="D39300" s="39"/>
      <c r="E39300" s="39"/>
      <c r="F39300" s="39"/>
    </row>
    <row r="39301">
      <c r="D39301" s="39"/>
      <c r="E39301" s="39"/>
      <c r="F39301" s="39"/>
    </row>
    <row r="39302">
      <c r="D39302" s="39"/>
      <c r="E39302" s="39"/>
      <c r="F39302" s="39"/>
    </row>
    <row r="39303">
      <c r="D39303" s="39"/>
      <c r="E39303" s="39"/>
      <c r="F39303" s="39"/>
    </row>
    <row r="39304">
      <c r="D39304" s="39"/>
      <c r="E39304" s="39"/>
      <c r="F39304" s="39"/>
    </row>
    <row r="39305">
      <c r="D39305" s="39"/>
      <c r="E39305" s="39"/>
      <c r="F39305" s="39"/>
    </row>
    <row r="39306">
      <c r="D39306" s="39"/>
      <c r="E39306" s="39"/>
      <c r="F39306" s="39"/>
    </row>
    <row r="39307">
      <c r="D39307" s="39"/>
      <c r="E39307" s="39"/>
      <c r="F39307" s="39"/>
    </row>
    <row r="39308">
      <c r="D39308" s="39"/>
      <c r="E39308" s="39"/>
      <c r="F39308" s="39"/>
    </row>
    <row r="39309">
      <c r="D39309" s="39"/>
      <c r="E39309" s="39"/>
      <c r="F39309" s="39"/>
    </row>
    <row r="39310">
      <c r="D39310" s="39"/>
      <c r="E39310" s="39"/>
      <c r="F39310" s="39"/>
    </row>
    <row r="39311">
      <c r="D39311" s="39"/>
      <c r="E39311" s="39"/>
      <c r="F39311" s="39"/>
    </row>
    <row r="39312">
      <c r="D39312" s="39"/>
      <c r="E39312" s="39"/>
      <c r="F39312" s="39"/>
    </row>
    <row r="39313">
      <c r="D39313" s="39"/>
      <c r="E39313" s="39"/>
      <c r="F39313" s="39"/>
    </row>
    <row r="39314">
      <c r="D39314" s="39"/>
      <c r="E39314" s="39"/>
      <c r="F39314" s="39"/>
    </row>
    <row r="39315">
      <c r="D39315" s="39"/>
      <c r="E39315" s="39"/>
      <c r="F39315" s="39"/>
    </row>
    <row r="39316">
      <c r="D39316" s="39"/>
      <c r="E39316" s="39"/>
      <c r="F39316" s="39"/>
    </row>
    <row r="39317">
      <c r="D39317" s="39"/>
      <c r="E39317" s="39"/>
      <c r="F39317" s="39"/>
    </row>
    <row r="39318">
      <c r="D39318" s="39"/>
      <c r="E39318" s="39"/>
      <c r="F39318" s="39"/>
    </row>
    <row r="39319">
      <c r="D39319" s="39"/>
      <c r="E39319" s="39"/>
      <c r="F39319" s="39"/>
    </row>
    <row r="39320">
      <c r="D39320" s="39"/>
      <c r="E39320" s="39"/>
      <c r="F39320" s="39"/>
    </row>
    <row r="39321">
      <c r="D39321" s="39"/>
      <c r="E39321" s="39"/>
      <c r="F39321" s="39"/>
    </row>
    <row r="39322">
      <c r="D39322" s="39"/>
      <c r="E39322" s="39"/>
      <c r="F39322" s="39"/>
    </row>
    <row r="39323">
      <c r="D39323" s="39"/>
      <c r="E39323" s="39"/>
      <c r="F39323" s="39"/>
    </row>
    <row r="39324">
      <c r="D39324" s="39"/>
      <c r="E39324" s="39"/>
      <c r="F39324" s="39"/>
    </row>
    <row r="39325">
      <c r="D39325" s="39"/>
      <c r="E39325" s="39"/>
      <c r="F39325" s="39"/>
    </row>
    <row r="39326">
      <c r="D39326" s="39"/>
      <c r="E39326" s="39"/>
      <c r="F39326" s="39"/>
    </row>
    <row r="39327">
      <c r="D39327" s="39"/>
      <c r="E39327" s="39"/>
      <c r="F39327" s="39"/>
    </row>
    <row r="39328">
      <c r="D39328" s="39"/>
      <c r="E39328" s="39"/>
      <c r="F39328" s="39"/>
    </row>
    <row r="39329">
      <c r="D39329" s="39"/>
      <c r="E39329" s="39"/>
      <c r="F39329" s="39"/>
    </row>
    <row r="39330">
      <c r="D39330" s="39"/>
      <c r="E39330" s="39"/>
      <c r="F39330" s="39"/>
    </row>
    <row r="39331">
      <c r="D39331" s="39"/>
      <c r="E39331" s="39"/>
      <c r="F39331" s="39"/>
    </row>
    <row r="39332">
      <c r="D39332" s="39"/>
      <c r="E39332" s="39"/>
      <c r="F39332" s="39"/>
    </row>
    <row r="39333">
      <c r="D39333" s="39"/>
      <c r="E39333" s="39"/>
      <c r="F39333" s="39"/>
    </row>
    <row r="39334">
      <c r="D39334" s="39"/>
      <c r="E39334" s="39"/>
      <c r="F39334" s="39"/>
    </row>
    <row r="39335">
      <c r="D39335" s="39"/>
      <c r="E39335" s="39"/>
      <c r="F39335" s="39"/>
    </row>
    <row r="39336">
      <c r="D39336" s="39"/>
      <c r="E39336" s="39"/>
      <c r="F39336" s="39"/>
    </row>
    <row r="39337">
      <c r="D39337" s="39"/>
      <c r="E39337" s="39"/>
      <c r="F39337" s="39"/>
    </row>
    <row r="39338">
      <c r="D39338" s="39"/>
      <c r="E39338" s="39"/>
      <c r="F39338" s="39"/>
    </row>
    <row r="39339">
      <c r="D39339" s="39"/>
      <c r="E39339" s="39"/>
      <c r="F39339" s="39"/>
    </row>
    <row r="39340">
      <c r="D39340" s="39"/>
      <c r="E39340" s="39"/>
      <c r="F39340" s="39"/>
    </row>
    <row r="39341">
      <c r="D39341" s="39"/>
      <c r="E39341" s="39"/>
      <c r="F39341" s="39"/>
    </row>
    <row r="39342">
      <c r="D39342" s="39"/>
      <c r="E39342" s="39"/>
      <c r="F39342" s="39"/>
    </row>
    <row r="39343">
      <c r="D39343" s="39"/>
      <c r="E39343" s="39"/>
      <c r="F39343" s="39"/>
    </row>
    <row r="39344">
      <c r="D39344" s="39"/>
      <c r="E39344" s="39"/>
      <c r="F39344" s="39"/>
    </row>
    <row r="39345">
      <c r="D39345" s="39"/>
      <c r="E39345" s="39"/>
      <c r="F39345" s="39"/>
    </row>
    <row r="39346">
      <c r="D39346" s="39"/>
      <c r="E39346" s="39"/>
      <c r="F39346" s="39"/>
    </row>
    <row r="39347">
      <c r="D39347" s="39"/>
      <c r="E39347" s="39"/>
      <c r="F39347" s="39"/>
    </row>
    <row r="39348">
      <c r="D39348" s="39"/>
      <c r="E39348" s="39"/>
      <c r="F39348" s="39"/>
    </row>
    <row r="39349">
      <c r="D39349" s="39"/>
      <c r="E39349" s="39"/>
      <c r="F39349" s="39"/>
    </row>
    <row r="39350">
      <c r="D39350" s="39"/>
      <c r="E39350" s="39"/>
      <c r="F39350" s="39"/>
    </row>
    <row r="39351">
      <c r="D39351" s="39"/>
      <c r="E39351" s="39"/>
      <c r="F39351" s="39"/>
    </row>
    <row r="39352">
      <c r="D39352" s="39"/>
      <c r="E39352" s="39"/>
      <c r="F39352" s="39"/>
    </row>
    <row r="39353">
      <c r="D39353" s="39"/>
      <c r="E39353" s="39"/>
      <c r="F39353" s="39"/>
    </row>
    <row r="39354">
      <c r="D39354" s="39"/>
      <c r="E39354" s="39"/>
      <c r="F39354" s="39"/>
    </row>
    <row r="39355">
      <c r="D39355" s="39"/>
      <c r="E39355" s="39"/>
      <c r="F39355" s="39"/>
    </row>
    <row r="39356">
      <c r="D39356" s="39"/>
      <c r="E39356" s="39"/>
      <c r="F39356" s="39"/>
    </row>
    <row r="39357">
      <c r="D39357" s="39"/>
      <c r="E39357" s="39"/>
      <c r="F39357" s="39"/>
    </row>
    <row r="39358">
      <c r="D39358" s="39"/>
      <c r="E39358" s="39"/>
      <c r="F39358" s="39"/>
    </row>
    <row r="39359">
      <c r="D39359" s="39"/>
      <c r="E39359" s="39"/>
      <c r="F39359" s="39"/>
    </row>
    <row r="39360">
      <c r="D39360" s="39"/>
      <c r="E39360" s="39"/>
      <c r="F39360" s="39"/>
    </row>
    <row r="39361">
      <c r="D39361" s="39"/>
      <c r="E39361" s="39"/>
      <c r="F39361" s="39"/>
    </row>
    <row r="39362">
      <c r="D39362" s="39"/>
      <c r="E39362" s="39"/>
      <c r="F39362" s="39"/>
    </row>
    <row r="39363">
      <c r="D39363" s="39"/>
      <c r="E39363" s="39"/>
      <c r="F39363" s="39"/>
    </row>
    <row r="39364">
      <c r="D39364" s="39"/>
      <c r="E39364" s="39"/>
      <c r="F39364" s="39"/>
    </row>
    <row r="39365">
      <c r="D39365" s="39"/>
      <c r="E39365" s="39"/>
      <c r="F39365" s="39"/>
    </row>
    <row r="39366">
      <c r="D39366" s="39"/>
      <c r="E39366" s="39"/>
      <c r="F39366" s="39"/>
    </row>
    <row r="39367">
      <c r="D39367" s="39"/>
      <c r="E39367" s="39"/>
      <c r="F39367" s="39"/>
    </row>
    <row r="39368">
      <c r="D39368" s="39"/>
      <c r="E39368" s="39"/>
      <c r="F39368" s="39"/>
    </row>
    <row r="39369">
      <c r="D39369" s="39"/>
      <c r="E39369" s="39"/>
      <c r="F39369" s="39"/>
    </row>
    <row r="39370">
      <c r="D39370" s="39"/>
      <c r="E39370" s="39"/>
      <c r="F39370" s="39"/>
    </row>
    <row r="39371">
      <c r="D39371" s="39"/>
      <c r="E39371" s="39"/>
      <c r="F39371" s="39"/>
    </row>
    <row r="39372">
      <c r="D39372" s="39"/>
      <c r="E39372" s="39"/>
      <c r="F39372" s="39"/>
    </row>
    <row r="39373">
      <c r="D39373" s="39"/>
      <c r="E39373" s="39"/>
      <c r="F39373" s="39"/>
    </row>
    <row r="39374">
      <c r="D39374" s="39"/>
      <c r="E39374" s="39"/>
      <c r="F39374" s="39"/>
    </row>
    <row r="39375">
      <c r="D39375" s="39"/>
      <c r="E39375" s="39"/>
      <c r="F39375" s="39"/>
    </row>
    <row r="39376">
      <c r="D39376" s="39"/>
      <c r="E39376" s="39"/>
      <c r="F39376" s="39"/>
    </row>
    <row r="39377">
      <c r="D39377" s="39"/>
      <c r="E39377" s="39"/>
      <c r="F39377" s="39"/>
    </row>
    <row r="39378">
      <c r="D39378" s="39"/>
      <c r="E39378" s="39"/>
      <c r="F39378" s="39"/>
    </row>
    <row r="39379">
      <c r="D39379" s="39"/>
      <c r="E39379" s="39"/>
      <c r="F39379" s="39"/>
    </row>
    <row r="39380">
      <c r="D39380" s="39"/>
      <c r="E39380" s="39"/>
      <c r="F39380" s="39"/>
    </row>
    <row r="39381">
      <c r="D39381" s="39"/>
      <c r="E39381" s="39"/>
      <c r="F39381" s="39"/>
    </row>
    <row r="39382">
      <c r="D39382" s="39"/>
      <c r="E39382" s="39"/>
      <c r="F39382" s="39"/>
    </row>
    <row r="39383">
      <c r="D39383" s="39"/>
      <c r="E39383" s="39"/>
      <c r="F39383" s="39"/>
    </row>
    <row r="39384">
      <c r="D39384" s="39"/>
      <c r="E39384" s="39"/>
      <c r="F39384" s="39"/>
    </row>
    <row r="39385">
      <c r="D39385" s="39"/>
      <c r="E39385" s="39"/>
      <c r="F39385" s="39"/>
    </row>
    <row r="39386">
      <c r="D39386" s="39"/>
      <c r="E39386" s="39"/>
      <c r="F39386" s="39"/>
    </row>
    <row r="39387">
      <c r="D39387" s="39"/>
      <c r="E39387" s="39"/>
      <c r="F39387" s="39"/>
    </row>
    <row r="39388">
      <c r="D39388" s="39"/>
      <c r="E39388" s="39"/>
      <c r="F39388" s="39"/>
    </row>
    <row r="39389">
      <c r="D39389" s="39"/>
      <c r="E39389" s="39"/>
      <c r="F39389" s="39"/>
    </row>
    <row r="39390">
      <c r="D39390" s="39"/>
      <c r="E39390" s="39"/>
      <c r="F39390" s="39"/>
    </row>
    <row r="39391">
      <c r="D39391" s="39"/>
      <c r="E39391" s="39"/>
      <c r="F39391" s="39"/>
    </row>
    <row r="39392">
      <c r="D39392" s="39"/>
      <c r="E39392" s="39"/>
      <c r="F39392" s="39"/>
    </row>
    <row r="39393">
      <c r="D39393" s="39"/>
      <c r="E39393" s="39"/>
      <c r="F39393" s="39"/>
    </row>
    <row r="39394">
      <c r="D39394" s="39"/>
      <c r="E39394" s="39"/>
      <c r="F39394" s="39"/>
    </row>
    <row r="39395">
      <c r="D39395" s="39"/>
      <c r="E39395" s="39"/>
      <c r="F39395" s="39"/>
    </row>
    <row r="39396">
      <c r="D39396" s="39"/>
      <c r="E39396" s="39"/>
      <c r="F39396" s="39"/>
    </row>
    <row r="39397">
      <c r="D39397" s="39"/>
      <c r="E39397" s="39"/>
      <c r="F39397" s="39"/>
    </row>
    <row r="39398">
      <c r="D39398" s="39"/>
      <c r="E39398" s="39"/>
      <c r="F39398" s="39"/>
    </row>
    <row r="39399">
      <c r="D39399" s="39"/>
      <c r="E39399" s="39"/>
      <c r="F39399" s="39"/>
    </row>
    <row r="39400">
      <c r="D39400" s="39"/>
      <c r="E39400" s="39"/>
      <c r="F39400" s="39"/>
    </row>
    <row r="39401">
      <c r="D39401" s="39"/>
      <c r="E39401" s="39"/>
      <c r="F39401" s="39"/>
    </row>
    <row r="39402">
      <c r="D39402" s="39"/>
      <c r="E39402" s="39"/>
      <c r="F39402" s="39"/>
    </row>
    <row r="39403">
      <c r="D39403" s="39"/>
      <c r="E39403" s="39"/>
      <c r="F39403" s="39"/>
    </row>
    <row r="39404">
      <c r="D39404" s="39"/>
      <c r="E39404" s="39"/>
      <c r="F39404" s="39"/>
    </row>
    <row r="39405">
      <c r="D39405" s="39"/>
      <c r="E39405" s="39"/>
      <c r="F39405" s="39"/>
    </row>
    <row r="39406">
      <c r="D39406" s="39"/>
      <c r="E39406" s="39"/>
      <c r="F39406" s="39"/>
    </row>
    <row r="39407">
      <c r="D39407" s="39"/>
      <c r="E39407" s="39"/>
      <c r="F39407" s="39"/>
    </row>
    <row r="39408">
      <c r="D39408" s="39"/>
      <c r="E39408" s="39"/>
      <c r="F39408" s="39"/>
    </row>
    <row r="39409">
      <c r="D39409" s="39"/>
      <c r="E39409" s="39"/>
      <c r="F39409" s="39"/>
    </row>
    <row r="39410">
      <c r="D39410" s="39"/>
      <c r="E39410" s="39"/>
      <c r="F39410" s="39"/>
    </row>
    <row r="39411">
      <c r="D39411" s="39"/>
      <c r="E39411" s="39"/>
      <c r="F39411" s="39"/>
    </row>
    <row r="39412">
      <c r="D39412" s="39"/>
      <c r="E39412" s="39"/>
      <c r="F39412" s="39"/>
    </row>
    <row r="39413">
      <c r="D39413" s="39"/>
      <c r="E39413" s="39"/>
      <c r="F39413" s="39"/>
    </row>
    <row r="39414">
      <c r="D39414" s="39"/>
      <c r="E39414" s="39"/>
      <c r="F39414" s="39"/>
    </row>
    <row r="39415">
      <c r="D39415" s="39"/>
      <c r="E39415" s="39"/>
      <c r="F39415" s="39"/>
    </row>
    <row r="39416">
      <c r="D39416" s="39"/>
      <c r="E39416" s="39"/>
      <c r="F39416" s="39"/>
    </row>
    <row r="39417">
      <c r="D39417" s="39"/>
      <c r="E39417" s="39"/>
      <c r="F39417" s="39"/>
    </row>
    <row r="39418">
      <c r="D39418" s="39"/>
      <c r="E39418" s="39"/>
      <c r="F39418" s="39"/>
    </row>
    <row r="39419">
      <c r="D39419" s="39"/>
      <c r="E39419" s="39"/>
      <c r="F39419" s="39"/>
    </row>
    <row r="39420">
      <c r="D39420" s="39"/>
      <c r="E39420" s="39"/>
      <c r="F39420" s="39"/>
    </row>
    <row r="39421">
      <c r="D39421" s="39"/>
      <c r="E39421" s="39"/>
      <c r="F39421" s="39"/>
    </row>
    <row r="39422">
      <c r="D39422" s="39"/>
      <c r="E39422" s="39"/>
      <c r="F39422" s="39"/>
    </row>
    <row r="39423">
      <c r="D39423" s="39"/>
      <c r="E39423" s="39"/>
      <c r="F39423" s="39"/>
    </row>
    <row r="39424">
      <c r="D39424" s="39"/>
      <c r="E39424" s="39"/>
      <c r="F39424" s="39"/>
    </row>
    <row r="39425">
      <c r="D39425" s="39"/>
      <c r="E39425" s="39"/>
      <c r="F39425" s="39"/>
    </row>
    <row r="39426">
      <c r="D39426" s="39"/>
      <c r="E39426" s="39"/>
      <c r="F39426" s="39"/>
    </row>
    <row r="39427">
      <c r="D39427" s="39"/>
      <c r="E39427" s="39"/>
      <c r="F39427" s="39"/>
    </row>
    <row r="39428">
      <c r="D39428" s="39"/>
      <c r="E39428" s="39"/>
      <c r="F39428" s="39"/>
    </row>
    <row r="39429">
      <c r="D39429" s="39"/>
      <c r="E39429" s="39"/>
      <c r="F39429" s="39"/>
    </row>
    <row r="39430">
      <c r="D39430" s="39"/>
      <c r="E39430" s="39"/>
      <c r="F39430" s="39"/>
    </row>
    <row r="39431">
      <c r="D39431" s="39"/>
      <c r="E39431" s="39"/>
      <c r="F39431" s="39"/>
    </row>
    <row r="39432">
      <c r="D39432" s="39"/>
      <c r="E39432" s="39"/>
      <c r="F39432" s="39"/>
    </row>
    <row r="39433">
      <c r="D39433" s="39"/>
      <c r="E39433" s="39"/>
      <c r="F39433" s="39"/>
    </row>
    <row r="39434">
      <c r="D39434" s="39"/>
      <c r="E39434" s="39"/>
      <c r="F39434" s="39"/>
    </row>
    <row r="39435">
      <c r="D39435" s="39"/>
      <c r="E39435" s="39"/>
      <c r="F39435" s="39"/>
    </row>
    <row r="39436">
      <c r="D39436" s="39"/>
      <c r="E39436" s="39"/>
      <c r="F39436" s="39"/>
    </row>
    <row r="39437">
      <c r="D39437" s="39"/>
      <c r="E39437" s="39"/>
      <c r="F39437" s="39"/>
    </row>
    <row r="39438">
      <c r="D39438" s="39"/>
      <c r="E39438" s="39"/>
      <c r="F39438" s="39"/>
    </row>
    <row r="39439">
      <c r="D39439" s="39"/>
      <c r="E39439" s="39"/>
      <c r="F39439" s="39"/>
    </row>
    <row r="39440">
      <c r="D39440" s="39"/>
      <c r="E39440" s="39"/>
      <c r="F39440" s="39"/>
    </row>
    <row r="39441">
      <c r="D39441" s="39"/>
      <c r="E39441" s="39"/>
      <c r="F39441" s="39"/>
    </row>
    <row r="39442">
      <c r="D39442" s="39"/>
      <c r="E39442" s="39"/>
      <c r="F39442" s="39"/>
    </row>
    <row r="39443">
      <c r="D39443" s="39"/>
      <c r="E39443" s="39"/>
      <c r="F39443" s="39"/>
    </row>
    <row r="39444">
      <c r="D39444" s="39"/>
      <c r="E39444" s="39"/>
      <c r="F39444" s="39"/>
    </row>
    <row r="39445">
      <c r="D39445" s="39"/>
      <c r="E39445" s="39"/>
      <c r="F39445" s="39"/>
    </row>
    <row r="39446">
      <c r="D39446" s="39"/>
      <c r="E39446" s="39"/>
      <c r="F39446" s="39"/>
    </row>
    <row r="39447">
      <c r="D39447" s="39"/>
      <c r="E39447" s="39"/>
      <c r="F39447" s="39"/>
    </row>
    <row r="39448">
      <c r="D39448" s="39"/>
      <c r="E39448" s="39"/>
      <c r="F39448" s="39"/>
    </row>
    <row r="39449">
      <c r="D39449" s="39"/>
      <c r="E39449" s="39"/>
      <c r="F39449" s="39"/>
    </row>
    <row r="39450">
      <c r="D39450" s="39"/>
      <c r="E39450" s="39"/>
      <c r="F39450" s="39"/>
    </row>
    <row r="39451">
      <c r="D39451" s="39"/>
      <c r="E39451" s="39"/>
      <c r="F39451" s="39"/>
    </row>
    <row r="39452">
      <c r="D39452" s="39"/>
      <c r="E39452" s="39"/>
      <c r="F39452" s="39"/>
    </row>
    <row r="39453">
      <c r="D39453" s="39"/>
      <c r="E39453" s="39"/>
      <c r="F39453" s="39"/>
    </row>
    <row r="39454">
      <c r="D39454" s="39"/>
      <c r="E39454" s="39"/>
      <c r="F39454" s="39"/>
    </row>
    <row r="39455">
      <c r="D39455" s="39"/>
      <c r="E39455" s="39"/>
      <c r="F39455" s="39"/>
    </row>
    <row r="39456">
      <c r="D39456" s="39"/>
      <c r="E39456" s="39"/>
      <c r="F39456" s="39"/>
    </row>
    <row r="39457">
      <c r="D39457" s="39"/>
      <c r="E39457" s="39"/>
      <c r="F39457" s="39"/>
    </row>
    <row r="39458">
      <c r="D39458" s="39"/>
      <c r="E39458" s="39"/>
      <c r="F39458" s="39"/>
    </row>
    <row r="39459">
      <c r="D39459" s="39"/>
      <c r="E39459" s="39"/>
      <c r="F39459" s="39"/>
    </row>
    <row r="39460">
      <c r="D39460" s="39"/>
      <c r="E39460" s="39"/>
      <c r="F39460" s="39"/>
    </row>
    <row r="39461">
      <c r="D39461" s="39"/>
      <c r="E39461" s="39"/>
      <c r="F39461" s="39"/>
    </row>
    <row r="39462">
      <c r="D39462" s="39"/>
      <c r="E39462" s="39"/>
      <c r="F39462" s="39"/>
    </row>
    <row r="39463">
      <c r="D39463" s="39"/>
      <c r="E39463" s="39"/>
      <c r="F39463" s="39"/>
    </row>
    <row r="39464">
      <c r="D39464" s="39"/>
      <c r="E39464" s="39"/>
      <c r="F39464" s="39"/>
    </row>
    <row r="39465">
      <c r="D39465" s="39"/>
      <c r="E39465" s="39"/>
      <c r="F39465" s="39"/>
    </row>
    <row r="39466">
      <c r="D39466" s="39"/>
      <c r="E39466" s="39"/>
      <c r="F39466" s="39"/>
    </row>
    <row r="39467">
      <c r="D39467" s="39"/>
      <c r="E39467" s="39"/>
      <c r="F39467" s="39"/>
    </row>
    <row r="39468">
      <c r="D39468" s="39"/>
      <c r="E39468" s="39"/>
      <c r="F39468" s="39"/>
    </row>
    <row r="39469">
      <c r="D39469" s="39"/>
      <c r="E39469" s="39"/>
      <c r="F39469" s="39"/>
    </row>
    <row r="39470">
      <c r="D39470" s="39"/>
      <c r="E39470" s="39"/>
      <c r="F39470" s="39"/>
    </row>
    <row r="39471">
      <c r="D39471" s="39"/>
      <c r="E39471" s="39"/>
      <c r="F39471" s="39"/>
    </row>
    <row r="39472">
      <c r="D39472" s="39"/>
      <c r="E39472" s="39"/>
      <c r="F39472" s="39"/>
    </row>
    <row r="39473">
      <c r="D39473" s="39"/>
      <c r="E39473" s="39"/>
      <c r="F39473" s="39"/>
    </row>
    <row r="39474">
      <c r="D39474" s="39"/>
      <c r="E39474" s="39"/>
      <c r="F39474" s="39"/>
    </row>
    <row r="39475">
      <c r="D39475" s="39"/>
      <c r="E39475" s="39"/>
      <c r="F39475" s="39"/>
    </row>
    <row r="39476">
      <c r="D39476" s="39"/>
      <c r="E39476" s="39"/>
      <c r="F39476" s="39"/>
    </row>
    <row r="39477">
      <c r="D39477" s="39"/>
      <c r="E39477" s="39"/>
      <c r="F39477" s="39"/>
    </row>
    <row r="39478">
      <c r="D39478" s="39"/>
      <c r="E39478" s="39"/>
      <c r="F39478" s="39"/>
    </row>
    <row r="39479">
      <c r="D39479" s="39"/>
      <c r="E39479" s="39"/>
      <c r="F39479" s="39"/>
    </row>
    <row r="39480">
      <c r="D39480" s="39"/>
      <c r="E39480" s="39"/>
      <c r="F39480" s="39"/>
    </row>
    <row r="39481">
      <c r="D39481" s="39"/>
      <c r="E39481" s="39"/>
      <c r="F39481" s="39"/>
    </row>
    <row r="39482">
      <c r="D39482" s="39"/>
      <c r="E39482" s="39"/>
      <c r="F39482" s="39"/>
    </row>
    <row r="39483">
      <c r="D39483" s="39"/>
      <c r="E39483" s="39"/>
      <c r="F39483" s="39"/>
    </row>
    <row r="39484">
      <c r="D39484" s="39"/>
      <c r="E39484" s="39"/>
      <c r="F39484" s="39"/>
    </row>
    <row r="39485">
      <c r="D39485" s="39"/>
      <c r="E39485" s="39"/>
      <c r="F39485" s="39"/>
    </row>
    <row r="39486">
      <c r="D39486" s="39"/>
      <c r="E39486" s="39"/>
      <c r="F39486" s="39"/>
    </row>
    <row r="39487">
      <c r="D39487" s="39"/>
      <c r="E39487" s="39"/>
      <c r="F39487" s="39"/>
    </row>
    <row r="39488">
      <c r="D39488" s="39"/>
      <c r="E39488" s="39"/>
      <c r="F39488" s="39"/>
    </row>
    <row r="39489">
      <c r="D39489" s="39"/>
      <c r="E39489" s="39"/>
      <c r="F39489" s="39"/>
    </row>
    <row r="39490">
      <c r="D39490" s="39"/>
      <c r="E39490" s="39"/>
      <c r="F39490" s="39"/>
    </row>
    <row r="39491">
      <c r="D39491" s="39"/>
      <c r="E39491" s="39"/>
      <c r="F39491" s="39"/>
    </row>
    <row r="39492">
      <c r="D39492" s="39"/>
      <c r="E39492" s="39"/>
      <c r="F39492" s="39"/>
    </row>
    <row r="39493">
      <c r="D39493" s="39"/>
      <c r="E39493" s="39"/>
      <c r="F39493" s="39"/>
    </row>
    <row r="39494">
      <c r="D39494" s="39"/>
      <c r="E39494" s="39"/>
      <c r="F39494" s="39"/>
    </row>
    <row r="39495">
      <c r="D39495" s="39"/>
      <c r="E39495" s="39"/>
      <c r="F39495" s="39"/>
    </row>
    <row r="39496">
      <c r="D39496" s="39"/>
      <c r="E39496" s="39"/>
      <c r="F39496" s="39"/>
    </row>
    <row r="39497">
      <c r="D39497" s="39"/>
      <c r="E39497" s="39"/>
      <c r="F39497" s="39"/>
    </row>
    <row r="39498">
      <c r="D39498" s="39"/>
      <c r="E39498" s="39"/>
      <c r="F39498" s="39"/>
    </row>
    <row r="39499">
      <c r="D39499" s="39"/>
      <c r="E39499" s="39"/>
      <c r="F39499" s="39"/>
    </row>
    <row r="39500">
      <c r="D39500" s="39"/>
      <c r="E39500" s="39"/>
      <c r="F39500" s="39"/>
    </row>
    <row r="39501">
      <c r="D39501" s="39"/>
      <c r="E39501" s="39"/>
      <c r="F39501" s="39"/>
    </row>
    <row r="39502">
      <c r="D39502" s="39"/>
      <c r="E39502" s="39"/>
      <c r="F39502" s="39"/>
    </row>
    <row r="39503">
      <c r="D39503" s="39"/>
      <c r="E39503" s="39"/>
      <c r="F39503" s="39"/>
    </row>
    <row r="39504">
      <c r="D39504" s="39"/>
      <c r="E39504" s="39"/>
      <c r="F39504" s="39"/>
    </row>
    <row r="39505">
      <c r="D39505" s="39"/>
      <c r="E39505" s="39"/>
      <c r="F39505" s="39"/>
    </row>
    <row r="39506">
      <c r="D39506" s="39"/>
      <c r="E39506" s="39"/>
      <c r="F39506" s="39"/>
    </row>
    <row r="39507">
      <c r="D39507" s="39"/>
      <c r="E39507" s="39"/>
      <c r="F39507" s="39"/>
    </row>
    <row r="39508">
      <c r="D39508" s="39"/>
      <c r="E39508" s="39"/>
      <c r="F39508" s="39"/>
    </row>
    <row r="39509">
      <c r="D39509" s="39"/>
      <c r="E39509" s="39"/>
      <c r="F39509" s="39"/>
    </row>
    <row r="39510">
      <c r="D39510" s="39"/>
      <c r="E39510" s="39"/>
      <c r="F39510" s="39"/>
    </row>
    <row r="39511">
      <c r="D39511" s="39"/>
      <c r="E39511" s="39"/>
      <c r="F39511" s="39"/>
    </row>
    <row r="39512">
      <c r="D39512" s="39"/>
      <c r="E39512" s="39"/>
      <c r="F39512" s="39"/>
    </row>
    <row r="39513">
      <c r="D39513" s="39"/>
      <c r="E39513" s="39"/>
      <c r="F39513" s="39"/>
    </row>
    <row r="39514">
      <c r="D39514" s="39"/>
      <c r="E39514" s="39"/>
      <c r="F39514" s="39"/>
    </row>
    <row r="39515">
      <c r="D39515" s="39"/>
      <c r="E39515" s="39"/>
      <c r="F39515" s="39"/>
    </row>
    <row r="39516">
      <c r="D39516" s="39"/>
      <c r="E39516" s="39"/>
      <c r="F39516" s="39"/>
    </row>
    <row r="39517">
      <c r="D39517" s="39"/>
      <c r="E39517" s="39"/>
      <c r="F39517" s="39"/>
    </row>
    <row r="39518">
      <c r="D39518" s="39"/>
      <c r="E39518" s="39"/>
      <c r="F39518" s="39"/>
    </row>
    <row r="39519">
      <c r="D39519" s="39"/>
      <c r="E39519" s="39"/>
      <c r="F39519" s="39"/>
    </row>
    <row r="39520">
      <c r="D39520" s="39"/>
      <c r="E39520" s="39"/>
      <c r="F39520" s="39"/>
    </row>
    <row r="39521">
      <c r="D39521" s="39"/>
      <c r="E39521" s="39"/>
      <c r="F39521" s="39"/>
    </row>
    <row r="39522">
      <c r="D39522" s="39"/>
      <c r="E39522" s="39"/>
      <c r="F39522" s="39"/>
    </row>
    <row r="39523">
      <c r="D39523" s="39"/>
      <c r="E39523" s="39"/>
      <c r="F39523" s="39"/>
    </row>
    <row r="39524">
      <c r="D39524" s="39"/>
      <c r="E39524" s="39"/>
      <c r="F39524" s="39"/>
    </row>
    <row r="39525">
      <c r="D39525" s="39"/>
      <c r="E39525" s="39"/>
      <c r="F39525" s="39"/>
    </row>
    <row r="39526">
      <c r="D39526" s="39"/>
      <c r="E39526" s="39"/>
      <c r="F39526" s="39"/>
    </row>
    <row r="39527">
      <c r="D39527" s="39"/>
      <c r="E39527" s="39"/>
      <c r="F39527" s="39"/>
    </row>
    <row r="39528">
      <c r="D39528" s="39"/>
      <c r="E39528" s="39"/>
      <c r="F39528" s="39"/>
    </row>
    <row r="39529">
      <c r="D39529" s="39"/>
      <c r="E39529" s="39"/>
      <c r="F39529" s="39"/>
    </row>
    <row r="39530">
      <c r="D39530" s="39"/>
      <c r="E39530" s="39"/>
      <c r="F39530" s="39"/>
    </row>
    <row r="39531">
      <c r="D39531" s="39"/>
      <c r="E39531" s="39"/>
      <c r="F39531" s="39"/>
    </row>
    <row r="39532">
      <c r="D39532" s="39"/>
      <c r="E39532" s="39"/>
      <c r="F39532" s="39"/>
    </row>
    <row r="39533">
      <c r="D39533" s="39"/>
      <c r="E39533" s="39"/>
      <c r="F39533" s="39"/>
    </row>
    <row r="39534">
      <c r="D39534" s="39"/>
      <c r="E39534" s="39"/>
      <c r="F39534" s="39"/>
    </row>
    <row r="39535">
      <c r="D39535" s="39"/>
      <c r="E39535" s="39"/>
      <c r="F39535" s="39"/>
    </row>
    <row r="39536">
      <c r="D39536" s="39"/>
      <c r="E39536" s="39"/>
      <c r="F39536" s="39"/>
    </row>
    <row r="39537">
      <c r="D39537" s="39"/>
      <c r="E39537" s="39"/>
      <c r="F39537" s="39"/>
    </row>
    <row r="39538">
      <c r="D39538" s="39"/>
      <c r="E39538" s="39"/>
      <c r="F39538" s="39"/>
    </row>
    <row r="39539">
      <c r="D39539" s="39"/>
      <c r="E39539" s="39"/>
      <c r="F39539" s="39"/>
    </row>
    <row r="39540">
      <c r="D39540" s="39"/>
      <c r="E39540" s="39"/>
      <c r="F39540" s="39"/>
    </row>
    <row r="39541">
      <c r="D39541" s="39"/>
      <c r="E39541" s="39"/>
      <c r="F39541" s="39"/>
    </row>
    <row r="39542">
      <c r="D39542" s="39"/>
      <c r="E39542" s="39"/>
      <c r="F39542" s="39"/>
    </row>
    <row r="39543">
      <c r="D39543" s="39"/>
      <c r="E39543" s="39"/>
      <c r="F39543" s="39"/>
    </row>
    <row r="39544">
      <c r="D39544" s="39"/>
      <c r="E39544" s="39"/>
      <c r="F39544" s="39"/>
    </row>
    <row r="39545">
      <c r="D39545" s="39"/>
      <c r="E39545" s="39"/>
      <c r="F39545" s="39"/>
    </row>
    <row r="39546">
      <c r="D39546" s="39"/>
      <c r="E39546" s="39"/>
      <c r="F39546" s="39"/>
    </row>
    <row r="39547">
      <c r="D39547" s="39"/>
      <c r="E39547" s="39"/>
      <c r="F39547" s="39"/>
    </row>
    <row r="39548">
      <c r="D39548" s="39"/>
      <c r="E39548" s="39"/>
      <c r="F39548" s="39"/>
    </row>
    <row r="39549">
      <c r="D39549" s="39"/>
      <c r="E39549" s="39"/>
      <c r="F39549" s="39"/>
    </row>
    <row r="39550">
      <c r="D39550" s="39"/>
      <c r="E39550" s="39"/>
      <c r="F39550" s="39"/>
    </row>
    <row r="39551">
      <c r="D39551" s="39"/>
      <c r="E39551" s="39"/>
      <c r="F39551" s="39"/>
    </row>
    <row r="39552">
      <c r="D39552" s="39"/>
      <c r="E39552" s="39"/>
      <c r="F39552" s="39"/>
    </row>
    <row r="39553">
      <c r="D39553" s="39"/>
      <c r="E39553" s="39"/>
      <c r="F39553" s="39"/>
    </row>
    <row r="39554">
      <c r="D39554" s="39"/>
      <c r="E39554" s="39"/>
      <c r="F39554" s="39"/>
    </row>
    <row r="39555">
      <c r="D39555" s="39"/>
      <c r="E39555" s="39"/>
      <c r="F39555" s="39"/>
    </row>
    <row r="39556">
      <c r="D39556" s="39"/>
      <c r="E39556" s="39"/>
      <c r="F39556" s="39"/>
    </row>
    <row r="39557">
      <c r="D39557" s="39"/>
      <c r="E39557" s="39"/>
      <c r="F39557" s="39"/>
    </row>
    <row r="39558">
      <c r="D39558" s="39"/>
      <c r="E39558" s="39"/>
      <c r="F39558" s="39"/>
    </row>
    <row r="39559">
      <c r="D39559" s="39"/>
      <c r="E39559" s="39"/>
      <c r="F39559" s="39"/>
    </row>
    <row r="39560">
      <c r="D39560" s="39"/>
      <c r="E39560" s="39"/>
      <c r="F39560" s="39"/>
    </row>
    <row r="39561">
      <c r="D39561" s="39"/>
      <c r="E39561" s="39"/>
      <c r="F39561" s="39"/>
    </row>
    <row r="39562">
      <c r="D39562" s="39"/>
      <c r="E39562" s="39"/>
      <c r="F39562" s="39"/>
    </row>
    <row r="39563">
      <c r="D39563" s="39"/>
      <c r="E39563" s="39"/>
      <c r="F39563" s="39"/>
    </row>
    <row r="39564">
      <c r="D39564" s="39"/>
      <c r="E39564" s="39"/>
      <c r="F39564" s="39"/>
    </row>
    <row r="39565">
      <c r="D39565" s="39"/>
      <c r="E39565" s="39"/>
      <c r="F39565" s="39"/>
    </row>
    <row r="39566">
      <c r="D39566" s="39"/>
      <c r="E39566" s="39"/>
      <c r="F39566" s="39"/>
    </row>
    <row r="39567">
      <c r="D39567" s="39"/>
      <c r="E39567" s="39"/>
      <c r="F39567" s="39"/>
    </row>
    <row r="39568">
      <c r="D39568" s="39"/>
      <c r="E39568" s="39"/>
      <c r="F39568" s="39"/>
    </row>
    <row r="39569">
      <c r="D39569" s="39"/>
      <c r="E39569" s="39"/>
      <c r="F39569" s="39"/>
    </row>
    <row r="39570">
      <c r="D39570" s="39"/>
      <c r="E39570" s="39"/>
      <c r="F39570" s="39"/>
    </row>
    <row r="39571">
      <c r="D39571" s="39"/>
      <c r="E39571" s="39"/>
      <c r="F39571" s="39"/>
    </row>
    <row r="39572">
      <c r="D39572" s="39"/>
      <c r="E39572" s="39"/>
      <c r="F39572" s="39"/>
    </row>
    <row r="39573">
      <c r="D39573" s="39"/>
      <c r="E39573" s="39"/>
      <c r="F39573" s="39"/>
    </row>
    <row r="39574">
      <c r="D39574" s="39"/>
      <c r="E39574" s="39"/>
      <c r="F39574" s="39"/>
    </row>
    <row r="39575">
      <c r="D39575" s="39"/>
      <c r="E39575" s="39"/>
      <c r="F39575" s="39"/>
    </row>
    <row r="39576">
      <c r="D39576" s="39"/>
      <c r="E39576" s="39"/>
      <c r="F39576" s="39"/>
    </row>
    <row r="39577">
      <c r="D39577" s="39"/>
      <c r="E39577" s="39"/>
      <c r="F39577" s="39"/>
    </row>
    <row r="39578">
      <c r="D39578" s="39"/>
      <c r="E39578" s="39"/>
      <c r="F39578" s="39"/>
    </row>
    <row r="39579">
      <c r="D39579" s="39"/>
      <c r="E39579" s="39"/>
      <c r="F39579" s="39"/>
    </row>
    <row r="39580">
      <c r="D39580" s="39"/>
      <c r="E39580" s="39"/>
      <c r="F39580" s="39"/>
    </row>
    <row r="39581">
      <c r="D39581" s="39"/>
      <c r="E39581" s="39"/>
      <c r="F39581" s="39"/>
    </row>
    <row r="39582">
      <c r="D39582" s="39"/>
      <c r="E39582" s="39"/>
      <c r="F39582" s="39"/>
    </row>
    <row r="39583">
      <c r="D39583" s="39"/>
      <c r="E39583" s="39"/>
      <c r="F39583" s="39"/>
    </row>
    <row r="39584">
      <c r="D39584" s="39"/>
      <c r="E39584" s="39"/>
      <c r="F39584" s="39"/>
    </row>
    <row r="39585">
      <c r="D39585" s="39"/>
      <c r="E39585" s="39"/>
      <c r="F39585" s="39"/>
    </row>
    <row r="39586">
      <c r="D39586" s="39"/>
      <c r="E39586" s="39"/>
      <c r="F39586" s="39"/>
    </row>
    <row r="39587">
      <c r="D39587" s="39"/>
      <c r="E39587" s="39"/>
      <c r="F39587" s="39"/>
    </row>
    <row r="39588">
      <c r="D39588" s="39"/>
      <c r="E39588" s="39"/>
      <c r="F39588" s="39"/>
    </row>
    <row r="39589">
      <c r="D39589" s="39"/>
      <c r="E39589" s="39"/>
      <c r="F39589" s="39"/>
    </row>
    <row r="39590">
      <c r="D39590" s="39"/>
      <c r="E39590" s="39"/>
      <c r="F39590" s="39"/>
    </row>
    <row r="39591">
      <c r="D39591" s="39"/>
      <c r="E39591" s="39"/>
      <c r="F39591" s="39"/>
    </row>
    <row r="39592">
      <c r="D39592" s="39"/>
      <c r="E39592" s="39"/>
      <c r="F39592" s="39"/>
    </row>
    <row r="39593">
      <c r="D39593" s="39"/>
      <c r="E39593" s="39"/>
      <c r="F39593" s="39"/>
    </row>
    <row r="39594">
      <c r="D39594" s="39"/>
      <c r="E39594" s="39"/>
      <c r="F39594" s="39"/>
    </row>
    <row r="39595">
      <c r="D39595" s="39"/>
      <c r="E39595" s="39"/>
      <c r="F39595" s="39"/>
    </row>
    <row r="39596">
      <c r="D39596" s="39"/>
      <c r="E39596" s="39"/>
      <c r="F39596" s="39"/>
    </row>
    <row r="39597">
      <c r="D39597" s="39"/>
      <c r="E39597" s="39"/>
      <c r="F39597" s="39"/>
    </row>
    <row r="39598">
      <c r="D39598" s="39"/>
      <c r="E39598" s="39"/>
      <c r="F39598" s="39"/>
    </row>
    <row r="39599">
      <c r="D39599" s="39"/>
      <c r="E39599" s="39"/>
      <c r="F39599" s="39"/>
    </row>
    <row r="39600">
      <c r="D39600" s="39"/>
      <c r="E39600" s="39"/>
      <c r="F39600" s="39"/>
    </row>
    <row r="39601">
      <c r="D39601" s="39"/>
      <c r="E39601" s="39"/>
      <c r="F39601" s="39"/>
    </row>
    <row r="39602">
      <c r="D39602" s="39"/>
      <c r="E39602" s="39"/>
      <c r="F39602" s="39"/>
    </row>
    <row r="39603">
      <c r="D39603" s="39"/>
      <c r="E39603" s="39"/>
      <c r="F39603" s="39"/>
    </row>
    <row r="39604">
      <c r="D39604" s="39"/>
      <c r="E39604" s="39"/>
      <c r="F39604" s="39"/>
    </row>
    <row r="39605">
      <c r="D39605" s="39"/>
      <c r="E39605" s="39"/>
      <c r="F39605" s="39"/>
    </row>
    <row r="39606">
      <c r="D39606" s="39"/>
      <c r="E39606" s="39"/>
      <c r="F39606" s="39"/>
    </row>
    <row r="39607">
      <c r="D39607" s="39"/>
      <c r="E39607" s="39"/>
      <c r="F39607" s="39"/>
    </row>
    <row r="39608">
      <c r="D39608" s="39"/>
      <c r="E39608" s="39"/>
      <c r="F39608" s="39"/>
    </row>
    <row r="39609">
      <c r="D39609" s="39"/>
      <c r="E39609" s="39"/>
      <c r="F39609" s="39"/>
    </row>
    <row r="39610">
      <c r="D39610" s="39"/>
      <c r="E39610" s="39"/>
      <c r="F39610" s="39"/>
    </row>
    <row r="39611">
      <c r="D39611" s="39"/>
      <c r="E39611" s="39"/>
      <c r="F39611" s="39"/>
    </row>
    <row r="39612">
      <c r="D39612" s="39"/>
      <c r="E39612" s="39"/>
      <c r="F39612" s="39"/>
    </row>
    <row r="39613">
      <c r="D39613" s="39"/>
      <c r="E39613" s="39"/>
      <c r="F39613" s="39"/>
    </row>
    <row r="39614">
      <c r="D39614" s="39"/>
      <c r="E39614" s="39"/>
      <c r="F39614" s="39"/>
    </row>
    <row r="39615">
      <c r="D39615" s="39"/>
      <c r="E39615" s="39"/>
      <c r="F39615" s="39"/>
    </row>
    <row r="39616">
      <c r="D39616" s="39"/>
      <c r="E39616" s="39"/>
      <c r="F39616" s="39"/>
    </row>
    <row r="39617">
      <c r="D39617" s="39"/>
      <c r="E39617" s="39"/>
      <c r="F39617" s="39"/>
    </row>
    <row r="39618">
      <c r="D39618" s="39"/>
      <c r="E39618" s="39"/>
      <c r="F39618" s="39"/>
    </row>
    <row r="39619">
      <c r="D39619" s="39"/>
      <c r="E39619" s="39"/>
      <c r="F39619" s="39"/>
    </row>
    <row r="39620">
      <c r="D39620" s="39"/>
      <c r="E39620" s="39"/>
      <c r="F39620" s="39"/>
    </row>
    <row r="39621">
      <c r="D39621" s="39"/>
      <c r="E39621" s="39"/>
      <c r="F39621" s="39"/>
    </row>
    <row r="39622">
      <c r="D39622" s="39"/>
      <c r="E39622" s="39"/>
      <c r="F39622" s="39"/>
    </row>
    <row r="39623">
      <c r="D39623" s="39"/>
      <c r="E39623" s="39"/>
      <c r="F39623" s="39"/>
    </row>
    <row r="39624">
      <c r="D39624" s="39"/>
      <c r="E39624" s="39"/>
      <c r="F39624" s="39"/>
    </row>
    <row r="39625">
      <c r="D39625" s="39"/>
      <c r="E39625" s="39"/>
      <c r="F39625" s="39"/>
    </row>
    <row r="39626">
      <c r="D39626" s="39"/>
      <c r="E39626" s="39"/>
      <c r="F39626" s="39"/>
    </row>
    <row r="39627">
      <c r="D39627" s="39"/>
      <c r="E39627" s="39"/>
      <c r="F39627" s="39"/>
    </row>
    <row r="39628">
      <c r="D39628" s="39"/>
      <c r="E39628" s="39"/>
      <c r="F39628" s="39"/>
    </row>
    <row r="39629">
      <c r="D39629" s="39"/>
      <c r="E39629" s="39"/>
      <c r="F39629" s="39"/>
    </row>
    <row r="39630">
      <c r="D39630" s="39"/>
      <c r="E39630" s="39"/>
      <c r="F39630" s="39"/>
    </row>
    <row r="39631">
      <c r="D39631" s="39"/>
      <c r="E39631" s="39"/>
      <c r="F39631" s="39"/>
    </row>
    <row r="39632">
      <c r="D39632" s="39"/>
      <c r="E39632" s="39"/>
      <c r="F39632" s="39"/>
    </row>
    <row r="39633">
      <c r="D39633" s="39"/>
      <c r="E39633" s="39"/>
      <c r="F39633" s="39"/>
    </row>
    <row r="39634">
      <c r="D39634" s="39"/>
      <c r="E39634" s="39"/>
      <c r="F39634" s="39"/>
    </row>
    <row r="39635">
      <c r="D39635" s="39"/>
      <c r="E39635" s="39"/>
      <c r="F39635" s="39"/>
    </row>
    <row r="39636">
      <c r="D39636" s="39"/>
      <c r="E39636" s="39"/>
      <c r="F39636" s="39"/>
    </row>
    <row r="39637">
      <c r="D39637" s="39"/>
      <c r="E39637" s="39"/>
      <c r="F39637" s="39"/>
    </row>
    <row r="39638">
      <c r="D39638" s="39"/>
      <c r="E39638" s="39"/>
      <c r="F39638" s="39"/>
    </row>
    <row r="39639">
      <c r="D39639" s="39"/>
      <c r="E39639" s="39"/>
      <c r="F39639" s="39"/>
    </row>
    <row r="39640">
      <c r="D39640" s="39"/>
      <c r="E39640" s="39"/>
      <c r="F39640" s="39"/>
    </row>
    <row r="39641">
      <c r="D39641" s="39"/>
      <c r="E39641" s="39"/>
      <c r="F39641" s="39"/>
    </row>
    <row r="39642">
      <c r="D39642" s="39"/>
      <c r="E39642" s="39"/>
      <c r="F39642" s="39"/>
    </row>
    <row r="39643">
      <c r="D39643" s="39"/>
      <c r="E39643" s="39"/>
      <c r="F39643" s="39"/>
    </row>
    <row r="39644">
      <c r="D39644" s="39"/>
      <c r="E39644" s="39"/>
      <c r="F39644" s="39"/>
    </row>
    <row r="39645">
      <c r="D39645" s="39"/>
      <c r="E39645" s="39"/>
      <c r="F39645" s="39"/>
    </row>
    <row r="39646">
      <c r="D39646" s="39"/>
      <c r="E39646" s="39"/>
      <c r="F39646" s="39"/>
    </row>
    <row r="39647">
      <c r="D39647" s="39"/>
      <c r="E39647" s="39"/>
      <c r="F39647" s="39"/>
    </row>
    <row r="39648">
      <c r="D39648" s="39"/>
      <c r="E39648" s="39"/>
      <c r="F39648" s="39"/>
    </row>
    <row r="39649">
      <c r="D39649" s="39"/>
      <c r="E39649" s="39"/>
      <c r="F39649" s="39"/>
    </row>
    <row r="39650">
      <c r="D39650" s="39"/>
      <c r="E39650" s="39"/>
      <c r="F39650" s="39"/>
    </row>
    <row r="39651">
      <c r="D39651" s="39"/>
      <c r="E39651" s="39"/>
      <c r="F39651" s="39"/>
    </row>
    <row r="39652">
      <c r="D39652" s="39"/>
      <c r="E39652" s="39"/>
      <c r="F39652" s="39"/>
    </row>
    <row r="39653">
      <c r="D39653" s="39"/>
      <c r="E39653" s="39"/>
      <c r="F39653" s="39"/>
    </row>
    <row r="39654">
      <c r="D39654" s="39"/>
      <c r="E39654" s="39"/>
      <c r="F39654" s="39"/>
    </row>
    <row r="39655">
      <c r="D39655" s="39"/>
      <c r="E39655" s="39"/>
      <c r="F39655" s="39"/>
    </row>
    <row r="39656">
      <c r="D39656" s="39"/>
      <c r="E39656" s="39"/>
      <c r="F39656" s="39"/>
    </row>
    <row r="39657">
      <c r="D39657" s="39"/>
      <c r="E39657" s="39"/>
      <c r="F39657" s="39"/>
    </row>
    <row r="39658">
      <c r="D39658" s="39"/>
      <c r="E39658" s="39"/>
      <c r="F39658" s="39"/>
    </row>
    <row r="39659">
      <c r="D39659" s="39"/>
      <c r="E39659" s="39"/>
      <c r="F39659" s="39"/>
    </row>
    <row r="39660">
      <c r="D39660" s="39"/>
      <c r="E39660" s="39"/>
      <c r="F39660" s="39"/>
    </row>
    <row r="39661">
      <c r="D39661" s="39"/>
      <c r="E39661" s="39"/>
      <c r="F39661" s="39"/>
    </row>
    <row r="39662">
      <c r="D39662" s="39"/>
      <c r="E39662" s="39"/>
      <c r="F39662" s="39"/>
    </row>
    <row r="39663">
      <c r="D39663" s="39"/>
      <c r="E39663" s="39"/>
      <c r="F39663" s="39"/>
    </row>
    <row r="39664">
      <c r="D39664" s="39"/>
      <c r="E39664" s="39"/>
      <c r="F39664" s="39"/>
    </row>
    <row r="39665">
      <c r="D39665" s="39"/>
      <c r="E39665" s="39"/>
      <c r="F39665" s="39"/>
    </row>
    <row r="39666">
      <c r="D39666" s="39"/>
      <c r="E39666" s="39"/>
      <c r="F39666" s="39"/>
    </row>
    <row r="39667">
      <c r="D39667" s="39"/>
      <c r="E39667" s="39"/>
      <c r="F39667" s="39"/>
    </row>
    <row r="39668">
      <c r="D39668" s="39"/>
      <c r="E39668" s="39"/>
      <c r="F39668" s="39"/>
    </row>
    <row r="39669">
      <c r="D39669" s="39"/>
      <c r="E39669" s="39"/>
      <c r="F39669" s="39"/>
    </row>
    <row r="39670">
      <c r="D39670" s="39"/>
      <c r="E39670" s="39"/>
      <c r="F39670" s="39"/>
    </row>
    <row r="39671">
      <c r="D39671" s="39"/>
      <c r="E39671" s="39"/>
      <c r="F39671" s="39"/>
    </row>
    <row r="39672">
      <c r="D39672" s="39"/>
      <c r="E39672" s="39"/>
      <c r="F39672" s="39"/>
    </row>
    <row r="39673">
      <c r="D39673" s="39"/>
      <c r="E39673" s="39"/>
      <c r="F39673" s="39"/>
    </row>
    <row r="39674">
      <c r="D39674" s="39"/>
      <c r="E39674" s="39"/>
      <c r="F39674" s="39"/>
    </row>
    <row r="39675">
      <c r="D39675" s="39"/>
      <c r="E39675" s="39"/>
      <c r="F39675" s="39"/>
    </row>
    <row r="39676">
      <c r="D39676" s="39"/>
      <c r="E39676" s="39"/>
      <c r="F39676" s="39"/>
    </row>
    <row r="39677">
      <c r="D39677" s="39"/>
      <c r="E39677" s="39"/>
      <c r="F39677" s="39"/>
    </row>
    <row r="39678">
      <c r="D39678" s="39"/>
      <c r="E39678" s="39"/>
      <c r="F39678" s="39"/>
    </row>
    <row r="39679">
      <c r="D39679" s="39"/>
      <c r="E39679" s="39"/>
      <c r="F39679" s="39"/>
    </row>
    <row r="39680">
      <c r="D39680" s="39"/>
      <c r="E39680" s="39"/>
      <c r="F39680" s="39"/>
    </row>
    <row r="39681">
      <c r="D39681" s="39"/>
      <c r="E39681" s="39"/>
      <c r="F39681" s="39"/>
    </row>
    <row r="39682">
      <c r="D39682" s="39"/>
      <c r="E39682" s="39"/>
      <c r="F39682" s="39"/>
    </row>
    <row r="39683">
      <c r="D39683" s="39"/>
      <c r="E39683" s="39"/>
      <c r="F39683" s="39"/>
    </row>
    <row r="39684">
      <c r="D39684" s="39"/>
      <c r="E39684" s="39"/>
      <c r="F39684" s="39"/>
    </row>
    <row r="39685">
      <c r="D39685" s="39"/>
      <c r="E39685" s="39"/>
      <c r="F39685" s="39"/>
    </row>
    <row r="39686">
      <c r="D39686" s="39"/>
      <c r="E39686" s="39"/>
      <c r="F39686" s="39"/>
    </row>
    <row r="39687">
      <c r="D39687" s="39"/>
      <c r="E39687" s="39"/>
      <c r="F39687" s="39"/>
    </row>
    <row r="39688">
      <c r="D39688" s="39"/>
      <c r="E39688" s="39"/>
      <c r="F39688" s="39"/>
    </row>
    <row r="39689">
      <c r="D39689" s="39"/>
      <c r="E39689" s="39"/>
      <c r="F39689" s="39"/>
    </row>
    <row r="39690">
      <c r="D39690" s="39"/>
      <c r="E39690" s="39"/>
      <c r="F39690" s="39"/>
    </row>
    <row r="39691">
      <c r="D39691" s="39"/>
      <c r="E39691" s="39"/>
      <c r="F39691" s="39"/>
    </row>
    <row r="39692">
      <c r="D39692" s="39"/>
      <c r="E39692" s="39"/>
      <c r="F39692" s="39"/>
    </row>
    <row r="39693">
      <c r="D39693" s="39"/>
      <c r="E39693" s="39"/>
      <c r="F39693" s="39"/>
    </row>
    <row r="39694">
      <c r="D39694" s="39"/>
      <c r="E39694" s="39"/>
      <c r="F39694" s="39"/>
    </row>
    <row r="39695">
      <c r="D39695" s="39"/>
      <c r="E39695" s="39"/>
      <c r="F39695" s="39"/>
    </row>
    <row r="39696">
      <c r="D39696" s="39"/>
      <c r="E39696" s="39"/>
      <c r="F39696" s="39"/>
    </row>
    <row r="39697">
      <c r="D39697" s="39"/>
      <c r="E39697" s="39"/>
      <c r="F39697" s="39"/>
    </row>
    <row r="39698">
      <c r="D39698" s="39"/>
      <c r="E39698" s="39"/>
      <c r="F39698" s="39"/>
    </row>
    <row r="39699">
      <c r="D39699" s="39"/>
      <c r="E39699" s="39"/>
      <c r="F39699" s="39"/>
    </row>
    <row r="39700">
      <c r="D39700" s="39"/>
      <c r="E39700" s="39"/>
      <c r="F39700" s="39"/>
    </row>
    <row r="39701">
      <c r="D39701" s="39"/>
      <c r="E39701" s="39"/>
      <c r="F39701" s="39"/>
    </row>
    <row r="39702">
      <c r="D39702" s="39"/>
      <c r="E39702" s="39"/>
      <c r="F39702" s="39"/>
    </row>
    <row r="39703">
      <c r="D39703" s="39"/>
      <c r="E39703" s="39"/>
      <c r="F39703" s="39"/>
    </row>
    <row r="39704">
      <c r="D39704" s="39"/>
      <c r="E39704" s="39"/>
      <c r="F39704" s="39"/>
    </row>
    <row r="39705">
      <c r="D39705" s="39"/>
      <c r="E39705" s="39"/>
      <c r="F39705" s="39"/>
    </row>
    <row r="39706">
      <c r="D39706" s="39"/>
      <c r="E39706" s="39"/>
      <c r="F39706" s="39"/>
    </row>
    <row r="39707">
      <c r="D39707" s="39"/>
      <c r="E39707" s="39"/>
      <c r="F39707" s="39"/>
    </row>
    <row r="39708">
      <c r="D39708" s="39"/>
      <c r="E39708" s="39"/>
      <c r="F39708" s="39"/>
    </row>
    <row r="39709">
      <c r="D39709" s="39"/>
      <c r="E39709" s="39"/>
      <c r="F39709" s="39"/>
    </row>
    <row r="39710">
      <c r="D39710" s="39"/>
      <c r="E39710" s="39"/>
      <c r="F39710" s="39"/>
    </row>
    <row r="39711">
      <c r="D39711" s="39"/>
      <c r="E39711" s="39"/>
      <c r="F39711" s="39"/>
    </row>
    <row r="39712">
      <c r="D39712" s="39"/>
      <c r="E39712" s="39"/>
      <c r="F39712" s="39"/>
    </row>
    <row r="39713">
      <c r="D39713" s="39"/>
      <c r="E39713" s="39"/>
      <c r="F39713" s="39"/>
    </row>
    <row r="39714">
      <c r="D39714" s="39"/>
      <c r="E39714" s="39"/>
      <c r="F39714" s="39"/>
    </row>
    <row r="39715">
      <c r="D39715" s="39"/>
      <c r="E39715" s="39"/>
      <c r="F39715" s="39"/>
    </row>
    <row r="39716">
      <c r="D39716" s="39"/>
      <c r="E39716" s="39"/>
      <c r="F39716" s="39"/>
    </row>
    <row r="39717">
      <c r="D39717" s="39"/>
      <c r="E39717" s="39"/>
      <c r="F39717" s="39"/>
    </row>
    <row r="39718">
      <c r="D39718" s="39"/>
      <c r="E39718" s="39"/>
      <c r="F39718" s="39"/>
    </row>
    <row r="39719">
      <c r="D39719" s="39"/>
      <c r="E39719" s="39"/>
      <c r="F39719" s="39"/>
    </row>
    <row r="39720">
      <c r="D39720" s="39"/>
      <c r="E39720" s="39"/>
      <c r="F39720" s="39"/>
    </row>
    <row r="39721">
      <c r="D39721" s="39"/>
      <c r="E39721" s="39"/>
      <c r="F39721" s="39"/>
    </row>
    <row r="39722">
      <c r="D39722" s="39"/>
      <c r="E39722" s="39"/>
      <c r="F39722" s="39"/>
    </row>
    <row r="39723">
      <c r="D39723" s="39"/>
      <c r="E39723" s="39"/>
      <c r="F39723" s="39"/>
    </row>
    <row r="39724">
      <c r="D39724" s="39"/>
      <c r="E39724" s="39"/>
      <c r="F39724" s="39"/>
    </row>
    <row r="39725">
      <c r="D39725" s="39"/>
      <c r="E39725" s="39"/>
      <c r="F39725" s="39"/>
    </row>
    <row r="39726">
      <c r="D39726" s="39"/>
      <c r="E39726" s="39"/>
      <c r="F39726" s="39"/>
    </row>
    <row r="39727">
      <c r="D39727" s="39"/>
      <c r="E39727" s="39"/>
      <c r="F39727" s="39"/>
    </row>
    <row r="39728">
      <c r="D39728" s="39"/>
      <c r="E39728" s="39"/>
      <c r="F39728" s="39"/>
    </row>
    <row r="39729">
      <c r="D39729" s="39"/>
      <c r="E39729" s="39"/>
      <c r="F39729" s="39"/>
    </row>
    <row r="39730">
      <c r="D39730" s="39"/>
      <c r="E39730" s="39"/>
      <c r="F39730" s="39"/>
    </row>
    <row r="39731">
      <c r="D39731" s="39"/>
      <c r="E39731" s="39"/>
      <c r="F39731" s="39"/>
    </row>
    <row r="39732">
      <c r="D39732" s="39"/>
      <c r="E39732" s="39"/>
      <c r="F39732" s="39"/>
    </row>
    <row r="39733">
      <c r="D39733" s="39"/>
      <c r="E39733" s="39"/>
      <c r="F39733" s="39"/>
    </row>
    <row r="39734">
      <c r="D39734" s="39"/>
      <c r="E39734" s="39"/>
      <c r="F39734" s="39"/>
    </row>
    <row r="39735">
      <c r="D39735" s="39"/>
      <c r="E39735" s="39"/>
      <c r="F39735" s="39"/>
    </row>
    <row r="39736">
      <c r="D39736" s="39"/>
      <c r="E39736" s="39"/>
      <c r="F39736" s="39"/>
    </row>
    <row r="39737">
      <c r="D39737" s="39"/>
      <c r="E39737" s="39"/>
      <c r="F39737" s="39"/>
    </row>
    <row r="39738">
      <c r="D39738" s="39"/>
      <c r="E39738" s="39"/>
      <c r="F39738" s="39"/>
    </row>
    <row r="39739">
      <c r="D39739" s="39"/>
      <c r="E39739" s="39"/>
      <c r="F39739" s="39"/>
    </row>
    <row r="39740">
      <c r="D39740" s="39"/>
      <c r="E39740" s="39"/>
      <c r="F39740" s="39"/>
    </row>
    <row r="39741">
      <c r="D39741" s="39"/>
      <c r="E39741" s="39"/>
      <c r="F39741" s="39"/>
    </row>
    <row r="39742">
      <c r="D39742" s="39"/>
      <c r="E39742" s="39"/>
      <c r="F39742" s="39"/>
    </row>
    <row r="39743">
      <c r="D39743" s="39"/>
      <c r="E39743" s="39"/>
      <c r="F39743" s="39"/>
    </row>
    <row r="39744">
      <c r="D39744" s="39"/>
      <c r="E39744" s="39"/>
      <c r="F39744" s="39"/>
    </row>
    <row r="39745">
      <c r="D39745" s="39"/>
      <c r="E39745" s="39"/>
      <c r="F39745" s="39"/>
    </row>
    <row r="39746">
      <c r="D39746" s="39"/>
      <c r="E39746" s="39"/>
      <c r="F39746" s="39"/>
    </row>
    <row r="39747">
      <c r="D39747" s="39"/>
      <c r="E39747" s="39"/>
      <c r="F39747" s="39"/>
    </row>
    <row r="39748">
      <c r="D39748" s="39"/>
      <c r="E39748" s="39"/>
      <c r="F39748" s="39"/>
    </row>
    <row r="39749">
      <c r="D39749" s="39"/>
      <c r="E39749" s="39"/>
      <c r="F39749" s="39"/>
    </row>
    <row r="39750">
      <c r="D39750" s="39"/>
      <c r="E39750" s="39"/>
      <c r="F39750" s="39"/>
    </row>
    <row r="39751">
      <c r="D39751" s="39"/>
      <c r="E39751" s="39"/>
      <c r="F39751" s="39"/>
    </row>
    <row r="39752">
      <c r="D39752" s="39"/>
      <c r="E39752" s="39"/>
      <c r="F39752" s="39"/>
    </row>
    <row r="39753">
      <c r="D39753" s="39"/>
      <c r="E39753" s="39"/>
      <c r="F39753" s="39"/>
    </row>
    <row r="39754">
      <c r="D39754" s="39"/>
      <c r="E39754" s="39"/>
      <c r="F39754" s="39"/>
    </row>
    <row r="39755">
      <c r="D39755" s="39"/>
      <c r="E39755" s="39"/>
      <c r="F39755" s="39"/>
    </row>
    <row r="39756">
      <c r="D39756" s="39"/>
      <c r="E39756" s="39"/>
      <c r="F39756" s="39"/>
    </row>
    <row r="39757">
      <c r="D39757" s="39"/>
      <c r="E39757" s="39"/>
      <c r="F39757" s="39"/>
    </row>
    <row r="39758">
      <c r="D39758" s="39"/>
      <c r="E39758" s="39"/>
      <c r="F39758" s="39"/>
    </row>
    <row r="39759">
      <c r="D39759" s="39"/>
      <c r="E39759" s="39"/>
      <c r="F39759" s="39"/>
    </row>
    <row r="39760">
      <c r="D39760" s="39"/>
      <c r="E39760" s="39"/>
      <c r="F39760" s="39"/>
    </row>
    <row r="39761">
      <c r="D39761" s="39"/>
      <c r="E39761" s="39"/>
      <c r="F39761" s="39"/>
    </row>
    <row r="39762">
      <c r="D39762" s="39"/>
      <c r="E39762" s="39"/>
      <c r="F39762" s="39"/>
    </row>
    <row r="39763">
      <c r="D39763" s="39"/>
      <c r="E39763" s="39"/>
      <c r="F39763" s="39"/>
    </row>
    <row r="39764">
      <c r="D39764" s="39"/>
      <c r="E39764" s="39"/>
      <c r="F39764" s="39"/>
    </row>
    <row r="39765">
      <c r="D39765" s="39"/>
      <c r="E39765" s="39"/>
      <c r="F39765" s="39"/>
    </row>
    <row r="39766">
      <c r="D39766" s="39"/>
      <c r="E39766" s="39"/>
      <c r="F39766" s="39"/>
    </row>
    <row r="39767">
      <c r="D39767" s="39"/>
      <c r="E39767" s="39"/>
      <c r="F39767" s="39"/>
    </row>
    <row r="39768">
      <c r="D39768" s="39"/>
      <c r="E39768" s="39"/>
      <c r="F39768" s="39"/>
    </row>
    <row r="39769">
      <c r="D39769" s="39"/>
      <c r="E39769" s="39"/>
      <c r="F39769" s="39"/>
    </row>
    <row r="39770">
      <c r="D39770" s="39"/>
      <c r="E39770" s="39"/>
      <c r="F39770" s="39"/>
    </row>
    <row r="39771">
      <c r="D39771" s="39"/>
      <c r="E39771" s="39"/>
      <c r="F39771" s="39"/>
    </row>
    <row r="39772">
      <c r="D39772" s="39"/>
      <c r="E39772" s="39"/>
      <c r="F39772" s="39"/>
    </row>
    <row r="39773">
      <c r="D39773" s="39"/>
      <c r="E39773" s="39"/>
      <c r="F39773" s="39"/>
    </row>
    <row r="39774">
      <c r="D39774" s="39"/>
      <c r="E39774" s="39"/>
      <c r="F39774" s="39"/>
    </row>
    <row r="39775">
      <c r="D39775" s="39"/>
      <c r="E39775" s="39"/>
      <c r="F39775" s="39"/>
    </row>
    <row r="39776">
      <c r="D39776" s="39"/>
      <c r="E39776" s="39"/>
      <c r="F39776" s="39"/>
    </row>
    <row r="39777">
      <c r="D39777" s="39"/>
      <c r="E39777" s="39"/>
      <c r="F39777" s="39"/>
    </row>
    <row r="39778">
      <c r="D39778" s="39"/>
      <c r="E39778" s="39"/>
      <c r="F39778" s="39"/>
    </row>
    <row r="39779">
      <c r="D39779" s="39"/>
      <c r="E39779" s="39"/>
      <c r="F39779" s="39"/>
    </row>
    <row r="39780">
      <c r="D39780" s="39"/>
      <c r="E39780" s="39"/>
      <c r="F39780" s="39"/>
    </row>
    <row r="39781">
      <c r="D39781" s="39"/>
      <c r="E39781" s="39"/>
      <c r="F39781" s="39"/>
    </row>
    <row r="39782">
      <c r="D39782" s="39"/>
      <c r="E39782" s="39"/>
      <c r="F39782" s="39"/>
    </row>
    <row r="39783">
      <c r="D39783" s="39"/>
      <c r="E39783" s="39"/>
      <c r="F39783" s="39"/>
    </row>
    <row r="39784">
      <c r="D39784" s="39"/>
      <c r="E39784" s="39"/>
      <c r="F39784" s="39"/>
    </row>
    <row r="39785">
      <c r="D39785" s="39"/>
      <c r="E39785" s="39"/>
      <c r="F39785" s="39"/>
    </row>
    <row r="39786">
      <c r="D39786" s="39"/>
      <c r="E39786" s="39"/>
      <c r="F39786" s="39"/>
    </row>
    <row r="39787">
      <c r="D39787" s="39"/>
      <c r="E39787" s="39"/>
      <c r="F39787" s="39"/>
    </row>
    <row r="39788">
      <c r="D39788" s="39"/>
      <c r="E39788" s="39"/>
      <c r="F39788" s="39"/>
    </row>
    <row r="39789">
      <c r="D39789" s="39"/>
      <c r="E39789" s="39"/>
      <c r="F39789" s="39"/>
    </row>
    <row r="39790">
      <c r="D39790" s="39"/>
      <c r="E39790" s="39"/>
      <c r="F39790" s="39"/>
    </row>
    <row r="39791">
      <c r="D39791" s="39"/>
      <c r="E39791" s="39"/>
      <c r="F39791" s="39"/>
    </row>
    <row r="39792">
      <c r="D39792" s="39"/>
      <c r="E39792" s="39"/>
      <c r="F39792" s="39"/>
    </row>
    <row r="39793">
      <c r="D39793" s="39"/>
      <c r="E39793" s="39"/>
      <c r="F39793" s="39"/>
    </row>
    <row r="39794">
      <c r="D39794" s="39"/>
      <c r="E39794" s="39"/>
      <c r="F39794" s="39"/>
    </row>
    <row r="39795">
      <c r="D39795" s="39"/>
      <c r="E39795" s="39"/>
      <c r="F39795" s="39"/>
    </row>
    <row r="39796">
      <c r="D39796" s="39"/>
      <c r="E39796" s="39"/>
      <c r="F39796" s="39"/>
    </row>
    <row r="39797">
      <c r="D39797" s="39"/>
      <c r="E39797" s="39"/>
      <c r="F39797" s="39"/>
    </row>
    <row r="39798">
      <c r="D39798" s="39"/>
      <c r="E39798" s="39"/>
      <c r="F39798" s="39"/>
    </row>
    <row r="39799">
      <c r="D39799" s="39"/>
      <c r="E39799" s="39"/>
      <c r="F39799" s="39"/>
    </row>
    <row r="39800">
      <c r="D39800" s="39"/>
      <c r="E39800" s="39"/>
      <c r="F39800" s="39"/>
    </row>
    <row r="39801">
      <c r="D39801" s="39"/>
      <c r="E39801" s="39"/>
      <c r="F39801" s="39"/>
    </row>
    <row r="39802">
      <c r="D39802" s="39"/>
      <c r="E39802" s="39"/>
      <c r="F39802" s="39"/>
    </row>
    <row r="39803">
      <c r="D39803" s="39"/>
      <c r="E39803" s="39"/>
      <c r="F39803" s="39"/>
    </row>
    <row r="39804">
      <c r="D39804" s="39"/>
      <c r="E39804" s="39"/>
      <c r="F39804" s="39"/>
    </row>
    <row r="39805">
      <c r="D39805" s="39"/>
      <c r="E39805" s="39"/>
      <c r="F39805" s="39"/>
    </row>
    <row r="39806">
      <c r="D39806" s="39"/>
      <c r="E39806" s="39"/>
      <c r="F39806" s="39"/>
    </row>
    <row r="39807">
      <c r="D39807" s="39"/>
      <c r="E39807" s="39"/>
      <c r="F39807" s="39"/>
    </row>
    <row r="39808">
      <c r="D39808" s="39"/>
      <c r="E39808" s="39"/>
      <c r="F39808" s="39"/>
    </row>
    <row r="39809">
      <c r="D39809" s="39"/>
      <c r="E39809" s="39"/>
      <c r="F39809" s="39"/>
    </row>
    <row r="39810">
      <c r="D39810" s="39"/>
      <c r="E39810" s="39"/>
      <c r="F39810" s="39"/>
    </row>
    <row r="39811">
      <c r="D39811" s="39"/>
      <c r="E39811" s="39"/>
      <c r="F39811" s="39"/>
    </row>
    <row r="39812">
      <c r="D39812" s="39"/>
      <c r="E39812" s="39"/>
      <c r="F39812" s="39"/>
    </row>
    <row r="39813">
      <c r="D39813" s="39"/>
      <c r="E39813" s="39"/>
      <c r="F39813" s="39"/>
    </row>
    <row r="39814">
      <c r="D39814" s="39"/>
      <c r="E39814" s="39"/>
      <c r="F39814" s="39"/>
    </row>
    <row r="39815">
      <c r="D39815" s="39"/>
      <c r="E39815" s="39"/>
      <c r="F39815" s="39"/>
    </row>
    <row r="39816">
      <c r="D39816" s="39"/>
      <c r="E39816" s="39"/>
      <c r="F39816" s="39"/>
    </row>
    <row r="39817">
      <c r="D39817" s="39"/>
      <c r="E39817" s="39"/>
      <c r="F39817" s="39"/>
    </row>
    <row r="39818">
      <c r="D39818" s="39"/>
      <c r="E39818" s="39"/>
      <c r="F39818" s="39"/>
    </row>
    <row r="39819">
      <c r="D39819" s="39"/>
      <c r="E39819" s="39"/>
      <c r="F39819" s="39"/>
    </row>
    <row r="39820">
      <c r="D39820" s="39"/>
      <c r="E39820" s="39"/>
      <c r="F39820" s="39"/>
    </row>
    <row r="39821">
      <c r="D39821" s="39"/>
      <c r="E39821" s="39"/>
      <c r="F39821" s="39"/>
    </row>
    <row r="39822">
      <c r="D39822" s="39"/>
      <c r="E39822" s="39"/>
      <c r="F39822" s="39"/>
    </row>
    <row r="39823">
      <c r="D39823" s="39"/>
      <c r="E39823" s="39"/>
      <c r="F39823" s="39"/>
    </row>
    <row r="39824">
      <c r="D39824" s="39"/>
      <c r="E39824" s="39"/>
      <c r="F39824" s="39"/>
    </row>
    <row r="39825">
      <c r="D39825" s="39"/>
      <c r="E39825" s="39"/>
      <c r="F39825" s="39"/>
    </row>
    <row r="39826">
      <c r="D39826" s="39"/>
      <c r="E39826" s="39"/>
      <c r="F39826" s="39"/>
    </row>
    <row r="39827">
      <c r="D39827" s="39"/>
      <c r="E39827" s="39"/>
      <c r="F39827" s="39"/>
    </row>
    <row r="39828">
      <c r="D39828" s="39"/>
      <c r="E39828" s="39"/>
      <c r="F39828" s="39"/>
    </row>
    <row r="39829">
      <c r="D39829" s="39"/>
      <c r="E39829" s="39"/>
      <c r="F39829" s="39"/>
    </row>
    <row r="39830">
      <c r="D39830" s="39"/>
      <c r="E39830" s="39"/>
      <c r="F39830" s="39"/>
    </row>
    <row r="39831">
      <c r="D39831" s="39"/>
      <c r="E39831" s="39"/>
      <c r="F39831" s="39"/>
    </row>
    <row r="39832">
      <c r="D39832" s="39"/>
      <c r="E39832" s="39"/>
      <c r="F39832" s="39"/>
    </row>
    <row r="39833">
      <c r="D39833" s="39"/>
      <c r="E39833" s="39"/>
      <c r="F39833" s="39"/>
    </row>
    <row r="39834">
      <c r="D39834" s="39"/>
      <c r="E39834" s="39"/>
      <c r="F39834" s="39"/>
    </row>
    <row r="39835">
      <c r="D39835" s="39"/>
      <c r="E39835" s="39"/>
      <c r="F39835" s="39"/>
    </row>
    <row r="39836">
      <c r="D39836" s="39"/>
      <c r="E39836" s="39"/>
      <c r="F39836" s="39"/>
    </row>
    <row r="39837">
      <c r="D39837" s="39"/>
      <c r="E39837" s="39"/>
      <c r="F39837" s="39"/>
    </row>
    <row r="39838">
      <c r="D39838" s="39"/>
      <c r="E39838" s="39"/>
      <c r="F39838" s="39"/>
    </row>
    <row r="39839">
      <c r="D39839" s="39"/>
      <c r="E39839" s="39"/>
      <c r="F39839" s="39"/>
    </row>
    <row r="39840">
      <c r="D39840" s="39"/>
      <c r="E39840" s="39"/>
      <c r="F39840" s="39"/>
    </row>
    <row r="39841">
      <c r="D39841" s="39"/>
      <c r="E39841" s="39"/>
      <c r="F39841" s="39"/>
    </row>
    <row r="39842">
      <c r="D39842" s="39"/>
      <c r="E39842" s="39"/>
      <c r="F39842" s="39"/>
    </row>
    <row r="39843">
      <c r="D39843" s="39"/>
      <c r="E39843" s="39"/>
      <c r="F39843" s="39"/>
    </row>
    <row r="39844">
      <c r="D39844" s="39"/>
      <c r="E39844" s="39"/>
      <c r="F39844" s="39"/>
    </row>
    <row r="39845">
      <c r="D39845" s="39"/>
      <c r="E39845" s="39"/>
      <c r="F39845" s="39"/>
    </row>
    <row r="39846">
      <c r="D39846" s="39"/>
      <c r="E39846" s="39"/>
      <c r="F39846" s="39"/>
    </row>
    <row r="39847">
      <c r="D39847" s="39"/>
      <c r="E39847" s="39"/>
      <c r="F39847" s="39"/>
    </row>
    <row r="39848">
      <c r="D39848" s="39"/>
      <c r="E39848" s="39"/>
      <c r="F39848" s="39"/>
    </row>
    <row r="39849">
      <c r="D39849" s="39"/>
      <c r="E39849" s="39"/>
      <c r="F39849" s="39"/>
    </row>
    <row r="39850">
      <c r="D39850" s="39"/>
      <c r="E39850" s="39"/>
      <c r="F39850" s="39"/>
    </row>
    <row r="39851">
      <c r="D39851" s="39"/>
      <c r="E39851" s="39"/>
      <c r="F39851" s="39"/>
    </row>
    <row r="39852">
      <c r="D39852" s="39"/>
      <c r="E39852" s="39"/>
      <c r="F39852" s="39"/>
    </row>
    <row r="39853">
      <c r="D39853" s="39"/>
      <c r="E39853" s="39"/>
      <c r="F39853" s="39"/>
    </row>
    <row r="39854">
      <c r="D39854" s="39"/>
      <c r="E39854" s="39"/>
      <c r="F39854" s="39"/>
    </row>
    <row r="39855">
      <c r="D39855" s="39"/>
      <c r="E39855" s="39"/>
      <c r="F39855" s="39"/>
    </row>
    <row r="39856">
      <c r="D39856" s="39"/>
      <c r="E39856" s="39"/>
      <c r="F39856" s="39"/>
    </row>
    <row r="39857">
      <c r="D39857" s="39"/>
      <c r="E39857" s="39"/>
      <c r="F39857" s="39"/>
    </row>
    <row r="39858">
      <c r="D39858" s="39"/>
      <c r="E39858" s="39"/>
      <c r="F39858" s="39"/>
    </row>
    <row r="39859">
      <c r="D39859" s="39"/>
      <c r="E39859" s="39"/>
      <c r="F39859" s="39"/>
    </row>
    <row r="39860">
      <c r="D39860" s="39"/>
      <c r="E39860" s="39"/>
      <c r="F39860" s="39"/>
    </row>
    <row r="39861">
      <c r="D39861" s="39"/>
      <c r="E39861" s="39"/>
      <c r="F39861" s="39"/>
    </row>
    <row r="39862">
      <c r="D39862" s="39"/>
      <c r="E39862" s="39"/>
      <c r="F39862" s="39"/>
    </row>
    <row r="39863">
      <c r="D39863" s="39"/>
      <c r="E39863" s="39"/>
      <c r="F39863" s="39"/>
    </row>
    <row r="39864">
      <c r="D39864" s="39"/>
      <c r="E39864" s="39"/>
      <c r="F39864" s="39"/>
    </row>
    <row r="39865">
      <c r="D39865" s="39"/>
      <c r="E39865" s="39"/>
      <c r="F39865" s="39"/>
    </row>
    <row r="39866">
      <c r="D39866" s="39"/>
      <c r="E39866" s="39"/>
      <c r="F39866" s="39"/>
    </row>
    <row r="39867">
      <c r="D39867" s="39"/>
      <c r="E39867" s="39"/>
      <c r="F39867" s="39"/>
    </row>
    <row r="39868">
      <c r="D39868" s="39"/>
      <c r="E39868" s="39"/>
      <c r="F39868" s="39"/>
    </row>
    <row r="39869">
      <c r="D39869" s="39"/>
      <c r="E39869" s="39"/>
      <c r="F39869" s="39"/>
    </row>
    <row r="39870">
      <c r="D39870" s="39"/>
      <c r="E39870" s="39"/>
      <c r="F39870" s="39"/>
    </row>
    <row r="39871">
      <c r="D39871" s="39"/>
      <c r="E39871" s="39"/>
      <c r="F39871" s="39"/>
    </row>
    <row r="39872">
      <c r="D39872" s="39"/>
      <c r="E39872" s="39"/>
      <c r="F39872" s="39"/>
    </row>
    <row r="39873">
      <c r="D39873" s="39"/>
      <c r="E39873" s="39"/>
      <c r="F39873" s="39"/>
    </row>
    <row r="39874">
      <c r="D39874" s="39"/>
      <c r="E39874" s="39"/>
      <c r="F39874" s="39"/>
    </row>
    <row r="39875">
      <c r="D39875" s="39"/>
      <c r="E39875" s="39"/>
      <c r="F39875" s="39"/>
    </row>
    <row r="39876">
      <c r="D39876" s="39"/>
      <c r="E39876" s="39"/>
      <c r="F39876" s="39"/>
    </row>
    <row r="39877">
      <c r="D39877" s="39"/>
      <c r="E39877" s="39"/>
      <c r="F39877" s="39"/>
    </row>
    <row r="39878">
      <c r="D39878" s="39"/>
      <c r="E39878" s="39"/>
      <c r="F39878" s="39"/>
    </row>
    <row r="39879">
      <c r="D39879" s="39"/>
      <c r="E39879" s="39"/>
      <c r="F39879" s="39"/>
    </row>
    <row r="39880">
      <c r="D39880" s="39"/>
      <c r="E39880" s="39"/>
      <c r="F39880" s="39"/>
    </row>
    <row r="39881">
      <c r="D39881" s="39"/>
      <c r="E39881" s="39"/>
      <c r="F39881" s="39"/>
    </row>
    <row r="39882">
      <c r="D39882" s="39"/>
      <c r="E39882" s="39"/>
      <c r="F39882" s="39"/>
    </row>
    <row r="39883">
      <c r="D39883" s="39"/>
      <c r="E39883" s="39"/>
      <c r="F39883" s="39"/>
    </row>
    <row r="39884">
      <c r="D39884" s="39"/>
      <c r="E39884" s="39"/>
      <c r="F39884" s="39"/>
    </row>
    <row r="39885">
      <c r="D39885" s="39"/>
      <c r="E39885" s="39"/>
      <c r="F39885" s="39"/>
    </row>
    <row r="39886">
      <c r="D39886" s="39"/>
      <c r="E39886" s="39"/>
      <c r="F39886" s="39"/>
    </row>
    <row r="39887">
      <c r="D39887" s="39"/>
      <c r="E39887" s="39"/>
      <c r="F39887" s="39"/>
    </row>
    <row r="39888">
      <c r="D39888" s="39"/>
      <c r="E39888" s="39"/>
      <c r="F39888" s="39"/>
    </row>
    <row r="39889">
      <c r="D39889" s="39"/>
      <c r="E39889" s="39"/>
      <c r="F39889" s="39"/>
    </row>
    <row r="39890">
      <c r="D39890" s="39"/>
      <c r="E39890" s="39"/>
      <c r="F39890" s="39"/>
    </row>
    <row r="39891">
      <c r="D39891" s="39"/>
      <c r="E39891" s="39"/>
      <c r="F39891" s="39"/>
    </row>
    <row r="39892">
      <c r="D39892" s="39"/>
      <c r="E39892" s="39"/>
      <c r="F39892" s="39"/>
    </row>
    <row r="39893">
      <c r="D39893" s="39"/>
      <c r="E39893" s="39"/>
      <c r="F39893" s="39"/>
    </row>
    <row r="39894">
      <c r="D39894" s="39"/>
      <c r="E39894" s="39"/>
      <c r="F39894" s="39"/>
    </row>
    <row r="39895">
      <c r="D39895" s="39"/>
      <c r="E39895" s="39"/>
      <c r="F39895" s="39"/>
    </row>
    <row r="39896">
      <c r="D39896" s="39"/>
      <c r="E39896" s="39"/>
      <c r="F39896" s="39"/>
    </row>
    <row r="39897">
      <c r="D39897" s="39"/>
      <c r="E39897" s="39"/>
      <c r="F39897" s="39"/>
    </row>
    <row r="39898">
      <c r="D39898" s="39"/>
      <c r="E39898" s="39"/>
      <c r="F39898" s="39"/>
    </row>
    <row r="39899">
      <c r="D39899" s="39"/>
      <c r="E39899" s="39"/>
      <c r="F39899" s="39"/>
    </row>
    <row r="39900">
      <c r="D39900" s="39"/>
      <c r="E39900" s="39"/>
      <c r="F39900" s="39"/>
    </row>
    <row r="39901">
      <c r="D39901" s="39"/>
      <c r="E39901" s="39"/>
      <c r="F39901" s="39"/>
    </row>
    <row r="39902">
      <c r="D39902" s="39"/>
      <c r="E39902" s="39"/>
      <c r="F39902" s="39"/>
    </row>
    <row r="39903">
      <c r="D39903" s="39"/>
      <c r="E39903" s="39"/>
      <c r="F39903" s="39"/>
    </row>
    <row r="39904">
      <c r="D39904" s="39"/>
      <c r="E39904" s="39"/>
      <c r="F39904" s="39"/>
    </row>
    <row r="39905">
      <c r="D39905" s="39"/>
      <c r="E39905" s="39"/>
      <c r="F39905" s="39"/>
    </row>
    <row r="39906">
      <c r="D39906" s="39"/>
      <c r="E39906" s="39"/>
      <c r="F39906" s="39"/>
    </row>
    <row r="39907">
      <c r="D39907" s="39"/>
      <c r="E39907" s="39"/>
      <c r="F39907" s="39"/>
    </row>
    <row r="39908">
      <c r="D39908" s="39"/>
      <c r="E39908" s="39"/>
      <c r="F39908" s="39"/>
    </row>
    <row r="39909">
      <c r="D39909" s="39"/>
      <c r="E39909" s="39"/>
      <c r="F39909" s="39"/>
    </row>
    <row r="39910">
      <c r="D39910" s="39"/>
      <c r="E39910" s="39"/>
      <c r="F39910" s="39"/>
    </row>
    <row r="39911">
      <c r="D39911" s="39"/>
      <c r="E39911" s="39"/>
      <c r="F39911" s="39"/>
    </row>
    <row r="39912">
      <c r="D39912" s="39"/>
      <c r="E39912" s="39"/>
      <c r="F39912" s="39"/>
    </row>
    <row r="39913">
      <c r="D39913" s="39"/>
      <c r="E39913" s="39"/>
      <c r="F39913" s="39"/>
    </row>
    <row r="39914">
      <c r="D39914" s="39"/>
      <c r="E39914" s="39"/>
      <c r="F39914" s="39"/>
    </row>
    <row r="39915">
      <c r="D39915" s="39"/>
      <c r="E39915" s="39"/>
      <c r="F39915" s="39"/>
    </row>
    <row r="39916">
      <c r="D39916" s="39"/>
      <c r="E39916" s="39"/>
      <c r="F39916" s="39"/>
    </row>
    <row r="39917">
      <c r="D39917" s="39"/>
      <c r="E39917" s="39"/>
      <c r="F39917" s="39"/>
    </row>
    <row r="39918">
      <c r="D39918" s="39"/>
      <c r="E39918" s="39"/>
      <c r="F39918" s="39"/>
    </row>
    <row r="39919">
      <c r="D39919" s="39"/>
      <c r="E39919" s="39"/>
      <c r="F39919" s="39"/>
    </row>
    <row r="39920">
      <c r="D39920" s="39"/>
      <c r="E39920" s="39"/>
      <c r="F39920" s="39"/>
    </row>
    <row r="39921">
      <c r="D39921" s="39"/>
      <c r="E39921" s="39"/>
      <c r="F39921" s="39"/>
    </row>
    <row r="39922">
      <c r="D39922" s="39"/>
      <c r="E39922" s="39"/>
      <c r="F39922" s="39"/>
    </row>
    <row r="39923">
      <c r="D39923" s="39"/>
      <c r="E39923" s="39"/>
      <c r="F39923" s="39"/>
    </row>
    <row r="39924">
      <c r="D39924" s="39"/>
      <c r="E39924" s="39"/>
      <c r="F39924" s="39"/>
    </row>
    <row r="39925">
      <c r="D39925" s="39"/>
      <c r="E39925" s="39"/>
      <c r="F39925" s="39"/>
    </row>
    <row r="39926">
      <c r="D39926" s="39"/>
      <c r="E39926" s="39"/>
      <c r="F39926" s="39"/>
    </row>
    <row r="39927">
      <c r="D39927" s="39"/>
      <c r="E39927" s="39"/>
      <c r="F39927" s="39"/>
    </row>
    <row r="39928">
      <c r="D39928" s="39"/>
      <c r="E39928" s="39"/>
      <c r="F39928" s="39"/>
    </row>
    <row r="39929">
      <c r="D39929" s="39"/>
      <c r="E39929" s="39"/>
      <c r="F39929" s="39"/>
    </row>
    <row r="39930">
      <c r="D39930" s="39"/>
      <c r="E39930" s="39"/>
      <c r="F39930" s="39"/>
    </row>
    <row r="39931">
      <c r="D39931" s="39"/>
      <c r="E39931" s="39"/>
      <c r="F39931" s="39"/>
    </row>
    <row r="39932">
      <c r="D39932" s="39"/>
      <c r="E39932" s="39"/>
      <c r="F39932" s="39"/>
    </row>
    <row r="39933">
      <c r="D39933" s="39"/>
      <c r="E39933" s="39"/>
      <c r="F39933" s="39"/>
    </row>
    <row r="39934">
      <c r="D39934" s="39"/>
      <c r="E39934" s="39"/>
      <c r="F39934" s="39"/>
    </row>
    <row r="39935">
      <c r="D39935" s="39"/>
      <c r="E39935" s="39"/>
      <c r="F39935" s="39"/>
    </row>
    <row r="39936">
      <c r="D39936" s="39"/>
      <c r="E39936" s="39"/>
      <c r="F39936" s="39"/>
    </row>
    <row r="39937">
      <c r="D39937" s="39"/>
      <c r="E39937" s="39"/>
      <c r="F39937" s="39"/>
    </row>
    <row r="39938">
      <c r="D39938" s="39"/>
      <c r="E39938" s="39"/>
      <c r="F39938" s="39"/>
    </row>
    <row r="39939">
      <c r="D39939" s="39"/>
      <c r="E39939" s="39"/>
      <c r="F39939" s="39"/>
    </row>
    <row r="39940">
      <c r="D39940" s="39"/>
      <c r="E39940" s="39"/>
      <c r="F39940" s="39"/>
    </row>
    <row r="39941">
      <c r="D39941" s="39"/>
      <c r="E39941" s="39"/>
      <c r="F39941" s="39"/>
    </row>
    <row r="39942">
      <c r="D39942" s="39"/>
      <c r="E39942" s="39"/>
      <c r="F39942" s="39"/>
    </row>
    <row r="39943">
      <c r="D39943" s="39"/>
      <c r="E39943" s="39"/>
      <c r="F39943" s="39"/>
    </row>
    <row r="39944">
      <c r="D39944" s="39"/>
      <c r="E39944" s="39"/>
      <c r="F39944" s="39"/>
    </row>
    <row r="39945">
      <c r="D39945" s="39"/>
      <c r="E39945" s="39"/>
      <c r="F39945" s="39"/>
    </row>
    <row r="39946">
      <c r="D39946" s="39"/>
      <c r="E39946" s="39"/>
      <c r="F39946" s="39"/>
    </row>
    <row r="39947">
      <c r="D39947" s="39"/>
      <c r="E39947" s="39"/>
      <c r="F39947" s="39"/>
    </row>
    <row r="39948">
      <c r="D39948" s="39"/>
      <c r="E39948" s="39"/>
      <c r="F39948" s="39"/>
    </row>
    <row r="39949">
      <c r="D39949" s="39"/>
      <c r="E39949" s="39"/>
      <c r="F39949" s="39"/>
    </row>
    <row r="39950">
      <c r="D39950" s="39"/>
      <c r="E39950" s="39"/>
      <c r="F39950" s="39"/>
    </row>
    <row r="39951">
      <c r="D39951" s="39"/>
      <c r="E39951" s="39"/>
      <c r="F39951" s="39"/>
    </row>
    <row r="39952">
      <c r="D39952" s="39"/>
      <c r="E39952" s="39"/>
      <c r="F39952" s="39"/>
    </row>
    <row r="39953">
      <c r="D39953" s="39"/>
      <c r="E39953" s="39"/>
      <c r="F39953" s="39"/>
    </row>
    <row r="39954">
      <c r="D39954" s="39"/>
      <c r="E39954" s="39"/>
      <c r="F39954" s="39"/>
    </row>
    <row r="39955">
      <c r="D39955" s="39"/>
      <c r="E39955" s="39"/>
      <c r="F39955" s="39"/>
    </row>
    <row r="39956">
      <c r="D39956" s="39"/>
      <c r="E39956" s="39"/>
      <c r="F39956" s="39"/>
    </row>
    <row r="39957">
      <c r="D39957" s="39"/>
      <c r="E39957" s="39"/>
      <c r="F39957" s="39"/>
    </row>
    <row r="39958">
      <c r="D39958" s="39"/>
      <c r="E39958" s="39"/>
      <c r="F39958" s="39"/>
    </row>
    <row r="39959">
      <c r="D39959" s="39"/>
      <c r="E39959" s="39"/>
      <c r="F39959" s="39"/>
    </row>
    <row r="39960">
      <c r="D39960" s="39"/>
      <c r="E39960" s="39"/>
      <c r="F39960" s="39"/>
    </row>
    <row r="39961">
      <c r="D39961" s="39"/>
      <c r="E39961" s="39"/>
      <c r="F39961" s="39"/>
    </row>
    <row r="39962">
      <c r="D39962" s="39"/>
      <c r="E39962" s="39"/>
      <c r="F39962" s="39"/>
    </row>
    <row r="39963">
      <c r="D39963" s="39"/>
      <c r="E39963" s="39"/>
      <c r="F39963" s="39"/>
    </row>
    <row r="39964">
      <c r="D39964" s="39"/>
      <c r="E39964" s="39"/>
      <c r="F39964" s="39"/>
    </row>
    <row r="39965">
      <c r="D39965" s="39"/>
      <c r="E39965" s="39"/>
      <c r="F39965" s="39"/>
    </row>
    <row r="39966">
      <c r="D39966" s="39"/>
      <c r="E39966" s="39"/>
      <c r="F39966" s="39"/>
    </row>
    <row r="39967">
      <c r="D39967" s="39"/>
      <c r="E39967" s="39"/>
      <c r="F39967" s="39"/>
    </row>
    <row r="39968">
      <c r="D39968" s="39"/>
      <c r="E39968" s="39"/>
      <c r="F39968" s="39"/>
    </row>
    <row r="39969">
      <c r="D39969" s="39"/>
      <c r="E39969" s="39"/>
      <c r="F39969" s="39"/>
    </row>
    <row r="39970">
      <c r="D39970" s="39"/>
      <c r="E39970" s="39"/>
      <c r="F39970" s="39"/>
    </row>
    <row r="39971">
      <c r="D39971" s="39"/>
      <c r="E39971" s="39"/>
      <c r="F39971" s="39"/>
    </row>
    <row r="39972">
      <c r="D39972" s="39"/>
      <c r="E39972" s="39"/>
      <c r="F39972" s="39"/>
    </row>
    <row r="39973">
      <c r="D39973" s="39"/>
      <c r="E39973" s="39"/>
      <c r="F39973" s="39"/>
    </row>
    <row r="39974">
      <c r="D39974" s="39"/>
      <c r="E39974" s="39"/>
      <c r="F39974" s="39"/>
    </row>
    <row r="39975">
      <c r="D39975" s="39"/>
      <c r="E39975" s="39"/>
      <c r="F39975" s="39"/>
    </row>
    <row r="39976">
      <c r="D39976" s="39"/>
      <c r="E39976" s="39"/>
      <c r="F39976" s="39"/>
    </row>
    <row r="39977">
      <c r="D39977" s="39"/>
      <c r="E39977" s="39"/>
      <c r="F39977" s="39"/>
    </row>
    <row r="39978">
      <c r="D39978" s="39"/>
      <c r="E39978" s="39"/>
      <c r="F39978" s="39"/>
    </row>
    <row r="39979">
      <c r="D39979" s="39"/>
      <c r="E39979" s="39"/>
      <c r="F39979" s="39"/>
    </row>
    <row r="39980">
      <c r="D39980" s="39"/>
      <c r="E39980" s="39"/>
      <c r="F39980" s="39"/>
    </row>
    <row r="39981">
      <c r="D39981" s="39"/>
      <c r="E39981" s="39"/>
      <c r="F39981" s="39"/>
    </row>
    <row r="39982">
      <c r="D39982" s="39"/>
      <c r="E39982" s="39"/>
      <c r="F39982" s="39"/>
    </row>
    <row r="39983">
      <c r="D39983" s="39"/>
      <c r="E39983" s="39"/>
      <c r="F39983" s="39"/>
    </row>
    <row r="39984">
      <c r="D39984" s="39"/>
      <c r="E39984" s="39"/>
      <c r="F39984" s="39"/>
    </row>
    <row r="39985">
      <c r="D39985" s="39"/>
      <c r="E39985" s="39"/>
      <c r="F39985" s="39"/>
    </row>
    <row r="39986">
      <c r="D39986" s="39"/>
      <c r="E39986" s="39"/>
      <c r="F39986" s="39"/>
    </row>
    <row r="39987">
      <c r="D39987" s="39"/>
      <c r="E39987" s="39"/>
      <c r="F39987" s="39"/>
    </row>
    <row r="39988">
      <c r="D39988" s="39"/>
      <c r="E39988" s="39"/>
      <c r="F39988" s="39"/>
    </row>
    <row r="39989">
      <c r="D39989" s="39"/>
      <c r="E39989" s="39"/>
      <c r="F39989" s="39"/>
    </row>
    <row r="39990">
      <c r="D39990" s="39"/>
      <c r="E39990" s="39"/>
      <c r="F39990" s="39"/>
    </row>
    <row r="39991">
      <c r="D39991" s="39"/>
      <c r="E39991" s="39"/>
      <c r="F39991" s="39"/>
    </row>
    <row r="39992">
      <c r="D39992" s="39"/>
      <c r="E39992" s="39"/>
      <c r="F39992" s="39"/>
    </row>
    <row r="39993">
      <c r="D39993" s="39"/>
      <c r="E39993" s="39"/>
      <c r="F39993" s="39"/>
    </row>
    <row r="39994">
      <c r="D39994" s="39"/>
      <c r="E39994" s="39"/>
      <c r="F39994" s="39"/>
    </row>
    <row r="39995">
      <c r="D39995" s="39"/>
      <c r="E39995" s="39"/>
      <c r="F39995" s="39"/>
    </row>
    <row r="39996">
      <c r="D39996" s="39"/>
      <c r="E39996" s="39"/>
      <c r="F39996" s="39"/>
    </row>
    <row r="39997">
      <c r="D39997" s="39"/>
      <c r="E39997" s="39"/>
      <c r="F39997" s="39"/>
    </row>
    <row r="39998">
      <c r="D39998" s="39"/>
      <c r="E39998" s="39"/>
      <c r="F39998" s="39"/>
    </row>
    <row r="39999">
      <c r="D39999" s="39"/>
      <c r="E39999" s="39"/>
      <c r="F39999" s="39"/>
    </row>
    <row r="40000">
      <c r="D40000" s="39"/>
      <c r="E40000" s="39"/>
      <c r="F40000" s="39"/>
    </row>
    <row r="40001">
      <c r="D40001" s="39"/>
      <c r="E40001" s="39"/>
      <c r="F40001" s="39"/>
    </row>
    <row r="40002">
      <c r="D40002" s="39"/>
      <c r="E40002" s="39"/>
      <c r="F40002" s="39"/>
    </row>
    <row r="40003">
      <c r="D40003" s="39"/>
      <c r="E40003" s="39"/>
      <c r="F40003" s="39"/>
    </row>
    <row r="40004">
      <c r="D40004" s="39"/>
      <c r="E40004" s="39"/>
      <c r="F40004" s="39"/>
    </row>
    <row r="40005">
      <c r="D40005" s="39"/>
      <c r="E40005" s="39"/>
      <c r="F40005" s="39"/>
    </row>
    <row r="40006">
      <c r="D40006" s="39"/>
      <c r="E40006" s="39"/>
      <c r="F40006" s="39"/>
    </row>
    <row r="40007">
      <c r="D40007" s="39"/>
      <c r="E40007" s="39"/>
      <c r="F40007" s="39"/>
    </row>
    <row r="40008">
      <c r="D40008" s="39"/>
      <c r="E40008" s="39"/>
      <c r="F40008" s="39"/>
    </row>
    <row r="40009">
      <c r="D40009" s="39"/>
      <c r="E40009" s="39"/>
      <c r="F40009" s="39"/>
    </row>
    <row r="40010">
      <c r="D40010" s="39"/>
      <c r="E40010" s="39"/>
      <c r="F40010" s="39"/>
    </row>
    <row r="40011">
      <c r="D40011" s="39"/>
      <c r="E40011" s="39"/>
      <c r="F40011" s="39"/>
    </row>
    <row r="40012">
      <c r="D40012" s="39"/>
      <c r="E40012" s="39"/>
      <c r="F40012" s="39"/>
    </row>
    <row r="40013">
      <c r="D40013" s="39"/>
      <c r="E40013" s="39"/>
      <c r="F40013" s="39"/>
    </row>
    <row r="40014">
      <c r="D40014" s="39"/>
      <c r="E40014" s="39"/>
      <c r="F40014" s="39"/>
    </row>
    <row r="40015">
      <c r="D40015" s="39"/>
      <c r="E40015" s="39"/>
      <c r="F40015" s="39"/>
    </row>
    <row r="40016">
      <c r="D40016" s="39"/>
      <c r="E40016" s="39"/>
      <c r="F40016" s="39"/>
    </row>
    <row r="40017">
      <c r="D40017" s="39"/>
      <c r="E40017" s="39"/>
      <c r="F40017" s="39"/>
    </row>
    <row r="40018">
      <c r="D40018" s="39"/>
      <c r="E40018" s="39"/>
      <c r="F40018" s="39"/>
    </row>
    <row r="40019">
      <c r="D40019" s="39"/>
      <c r="E40019" s="39"/>
      <c r="F40019" s="39"/>
    </row>
    <row r="40020">
      <c r="D40020" s="39"/>
      <c r="E40020" s="39"/>
      <c r="F40020" s="39"/>
    </row>
    <row r="40021">
      <c r="D40021" s="39"/>
      <c r="E40021" s="39"/>
      <c r="F40021" s="39"/>
    </row>
    <row r="40022">
      <c r="D40022" s="39"/>
      <c r="E40022" s="39"/>
      <c r="F40022" s="39"/>
    </row>
    <row r="40023">
      <c r="D40023" s="39"/>
      <c r="E40023" s="39"/>
      <c r="F40023" s="39"/>
    </row>
    <row r="40024">
      <c r="D40024" s="39"/>
      <c r="E40024" s="39"/>
      <c r="F40024" s="39"/>
    </row>
    <row r="40025">
      <c r="D40025" s="39"/>
      <c r="E40025" s="39"/>
      <c r="F40025" s="39"/>
    </row>
    <row r="40026">
      <c r="D40026" s="39"/>
      <c r="E40026" s="39"/>
      <c r="F40026" s="39"/>
    </row>
    <row r="40027">
      <c r="D40027" s="39"/>
      <c r="E40027" s="39"/>
      <c r="F40027" s="39"/>
    </row>
    <row r="40028">
      <c r="D40028" s="39"/>
      <c r="E40028" s="39"/>
      <c r="F40028" s="39"/>
    </row>
    <row r="40029">
      <c r="D40029" s="39"/>
      <c r="E40029" s="39"/>
      <c r="F40029" s="39"/>
    </row>
    <row r="40030">
      <c r="D40030" s="39"/>
      <c r="E40030" s="39"/>
      <c r="F40030" s="39"/>
    </row>
    <row r="40031">
      <c r="D40031" s="39"/>
      <c r="E40031" s="39"/>
      <c r="F40031" s="39"/>
    </row>
    <row r="40032">
      <c r="D40032" s="39"/>
      <c r="E40032" s="39"/>
      <c r="F40032" s="39"/>
    </row>
    <row r="40033">
      <c r="D40033" s="39"/>
      <c r="E40033" s="39"/>
      <c r="F40033" s="39"/>
    </row>
    <row r="40034">
      <c r="D40034" s="39"/>
      <c r="E40034" s="39"/>
      <c r="F40034" s="39"/>
    </row>
    <row r="40035">
      <c r="D40035" s="39"/>
      <c r="E40035" s="39"/>
      <c r="F40035" s="39"/>
    </row>
    <row r="40036">
      <c r="D40036" s="39"/>
      <c r="E40036" s="39"/>
      <c r="F40036" s="39"/>
    </row>
    <row r="40037">
      <c r="D40037" s="39"/>
      <c r="E40037" s="39"/>
      <c r="F40037" s="39"/>
    </row>
    <row r="40038">
      <c r="D40038" s="39"/>
      <c r="E40038" s="39"/>
      <c r="F40038" s="39"/>
    </row>
    <row r="40039">
      <c r="D40039" s="39"/>
      <c r="E40039" s="39"/>
      <c r="F40039" s="39"/>
    </row>
    <row r="40040">
      <c r="D40040" s="39"/>
      <c r="E40040" s="39"/>
      <c r="F40040" s="39"/>
    </row>
    <row r="40041">
      <c r="D40041" s="39"/>
      <c r="E40041" s="39"/>
      <c r="F40041" s="39"/>
    </row>
    <row r="40042">
      <c r="D40042" s="39"/>
      <c r="E40042" s="39"/>
      <c r="F40042" s="39"/>
    </row>
    <row r="40043">
      <c r="D40043" s="39"/>
      <c r="E40043" s="39"/>
      <c r="F40043" s="39"/>
    </row>
    <row r="40044">
      <c r="D40044" s="39"/>
      <c r="E40044" s="39"/>
      <c r="F40044" s="39"/>
    </row>
    <row r="40045">
      <c r="D40045" s="39"/>
      <c r="E40045" s="39"/>
      <c r="F40045" s="39"/>
    </row>
    <row r="40046">
      <c r="D40046" s="39"/>
      <c r="E40046" s="39"/>
      <c r="F40046" s="39"/>
    </row>
    <row r="40047">
      <c r="D40047" s="39"/>
      <c r="E40047" s="39"/>
      <c r="F40047" s="39"/>
    </row>
    <row r="40048">
      <c r="D40048" s="39"/>
      <c r="E40048" s="39"/>
      <c r="F40048" s="39"/>
    </row>
    <row r="40049">
      <c r="D40049" s="39"/>
      <c r="E40049" s="39"/>
      <c r="F40049" s="39"/>
    </row>
    <row r="40050">
      <c r="D40050" s="39"/>
      <c r="E40050" s="39"/>
      <c r="F40050" s="39"/>
    </row>
    <row r="40051">
      <c r="D40051" s="39"/>
      <c r="E40051" s="39"/>
      <c r="F40051" s="39"/>
    </row>
    <row r="40052">
      <c r="D40052" s="39"/>
      <c r="E40052" s="39"/>
      <c r="F40052" s="39"/>
    </row>
    <row r="40053">
      <c r="D40053" s="39"/>
      <c r="E40053" s="39"/>
      <c r="F40053" s="39"/>
    </row>
    <row r="40054">
      <c r="D40054" s="39"/>
      <c r="E40054" s="39"/>
      <c r="F40054" s="39"/>
    </row>
    <row r="40055">
      <c r="D40055" s="39"/>
      <c r="E40055" s="39"/>
      <c r="F40055" s="39"/>
    </row>
    <row r="40056">
      <c r="D40056" s="39"/>
      <c r="E40056" s="39"/>
      <c r="F40056" s="39"/>
    </row>
    <row r="40057">
      <c r="D40057" s="39"/>
      <c r="E40057" s="39"/>
      <c r="F40057" s="39"/>
    </row>
    <row r="40058">
      <c r="D40058" s="39"/>
      <c r="E40058" s="39"/>
      <c r="F40058" s="39"/>
    </row>
    <row r="40059">
      <c r="D40059" s="39"/>
      <c r="E40059" s="39"/>
      <c r="F40059" s="39"/>
    </row>
    <row r="40060">
      <c r="D40060" s="39"/>
      <c r="E40060" s="39"/>
      <c r="F40060" s="39"/>
    </row>
    <row r="40061">
      <c r="D40061" s="39"/>
      <c r="E40061" s="39"/>
      <c r="F40061" s="39"/>
    </row>
    <row r="40062">
      <c r="D40062" s="39"/>
      <c r="E40062" s="39"/>
      <c r="F40062" s="39"/>
    </row>
    <row r="40063">
      <c r="D40063" s="39"/>
      <c r="E40063" s="39"/>
      <c r="F40063" s="39"/>
    </row>
    <row r="40064">
      <c r="D40064" s="39"/>
      <c r="E40064" s="39"/>
      <c r="F40064" s="39"/>
    </row>
    <row r="40065">
      <c r="D40065" s="39"/>
      <c r="E40065" s="39"/>
      <c r="F40065" s="39"/>
    </row>
    <row r="40066">
      <c r="D40066" s="39"/>
      <c r="E40066" s="39"/>
      <c r="F40066" s="39"/>
    </row>
    <row r="40067">
      <c r="D40067" s="39"/>
      <c r="E40067" s="39"/>
      <c r="F40067" s="39"/>
    </row>
    <row r="40068">
      <c r="D40068" s="39"/>
      <c r="E40068" s="39"/>
      <c r="F40068" s="39"/>
    </row>
    <row r="40069">
      <c r="D40069" s="39"/>
      <c r="E40069" s="39"/>
      <c r="F40069" s="39"/>
    </row>
    <row r="40070">
      <c r="D40070" s="39"/>
      <c r="E40070" s="39"/>
      <c r="F40070" s="39"/>
    </row>
    <row r="40071">
      <c r="D40071" s="39"/>
      <c r="E40071" s="39"/>
      <c r="F40071" s="39"/>
    </row>
    <row r="40072">
      <c r="D40072" s="39"/>
      <c r="E40072" s="39"/>
      <c r="F40072" s="39"/>
    </row>
    <row r="40073">
      <c r="D40073" s="39"/>
      <c r="E40073" s="39"/>
      <c r="F40073" s="39"/>
    </row>
    <row r="40074">
      <c r="D40074" s="39"/>
      <c r="E40074" s="39"/>
      <c r="F40074" s="39"/>
    </row>
    <row r="40075">
      <c r="D40075" s="39"/>
      <c r="E40075" s="39"/>
      <c r="F40075" s="39"/>
    </row>
    <row r="40076">
      <c r="D40076" s="39"/>
      <c r="E40076" s="39"/>
      <c r="F40076" s="39"/>
    </row>
    <row r="40077">
      <c r="D40077" s="39"/>
      <c r="E40077" s="39"/>
      <c r="F40077" s="39"/>
    </row>
    <row r="40078">
      <c r="D40078" s="39"/>
      <c r="E40078" s="39"/>
      <c r="F40078" s="39"/>
    </row>
    <row r="40079">
      <c r="D40079" s="39"/>
      <c r="E40079" s="39"/>
      <c r="F40079" s="39"/>
    </row>
    <row r="40080">
      <c r="D40080" s="39"/>
      <c r="E40080" s="39"/>
      <c r="F40080" s="39"/>
    </row>
    <row r="40081">
      <c r="D40081" s="39"/>
      <c r="E40081" s="39"/>
      <c r="F40081" s="39"/>
    </row>
    <row r="40082">
      <c r="D40082" s="39"/>
      <c r="E40082" s="39"/>
      <c r="F40082" s="39"/>
    </row>
    <row r="40083">
      <c r="D40083" s="39"/>
      <c r="E40083" s="39"/>
      <c r="F40083" s="39"/>
    </row>
    <row r="40084">
      <c r="D40084" s="39"/>
      <c r="E40084" s="39"/>
      <c r="F40084" s="39"/>
    </row>
    <row r="40085">
      <c r="D40085" s="39"/>
      <c r="E40085" s="39"/>
      <c r="F40085" s="39"/>
    </row>
    <row r="40086">
      <c r="D40086" s="39"/>
      <c r="E40086" s="39"/>
      <c r="F40086" s="39"/>
    </row>
    <row r="40087">
      <c r="D40087" s="39"/>
      <c r="E40087" s="39"/>
      <c r="F40087" s="39"/>
    </row>
    <row r="40088">
      <c r="D40088" s="39"/>
      <c r="E40088" s="39"/>
      <c r="F40088" s="39"/>
    </row>
    <row r="40089">
      <c r="D40089" s="39"/>
      <c r="E40089" s="39"/>
      <c r="F40089" s="39"/>
    </row>
    <row r="40090">
      <c r="D40090" s="39"/>
      <c r="E40090" s="39"/>
      <c r="F40090" s="39"/>
    </row>
    <row r="40091">
      <c r="D40091" s="39"/>
      <c r="E40091" s="39"/>
      <c r="F40091" s="39"/>
    </row>
    <row r="40092">
      <c r="D40092" s="39"/>
      <c r="E40092" s="39"/>
      <c r="F40092" s="39"/>
    </row>
    <row r="40093">
      <c r="D40093" s="39"/>
      <c r="E40093" s="39"/>
      <c r="F40093" s="39"/>
    </row>
    <row r="40094">
      <c r="D40094" s="39"/>
      <c r="E40094" s="39"/>
      <c r="F40094" s="39"/>
    </row>
    <row r="40095">
      <c r="D40095" s="39"/>
      <c r="E40095" s="39"/>
      <c r="F40095" s="39"/>
    </row>
    <row r="40096">
      <c r="D40096" s="39"/>
      <c r="E40096" s="39"/>
      <c r="F40096" s="39"/>
    </row>
    <row r="40097">
      <c r="D40097" s="39"/>
      <c r="E40097" s="39"/>
      <c r="F40097" s="39"/>
    </row>
    <row r="40098">
      <c r="D40098" s="39"/>
      <c r="E40098" s="39"/>
      <c r="F40098" s="39"/>
    </row>
    <row r="40099">
      <c r="D40099" s="39"/>
      <c r="E40099" s="39"/>
      <c r="F40099" s="39"/>
    </row>
    <row r="40100">
      <c r="D40100" s="39"/>
      <c r="E40100" s="39"/>
      <c r="F40100" s="39"/>
    </row>
    <row r="40101">
      <c r="D40101" s="39"/>
      <c r="E40101" s="39"/>
      <c r="F40101" s="39"/>
    </row>
    <row r="40102">
      <c r="D40102" s="39"/>
      <c r="E40102" s="39"/>
      <c r="F40102" s="39"/>
    </row>
    <row r="40103">
      <c r="D40103" s="39"/>
      <c r="E40103" s="39"/>
      <c r="F40103" s="39"/>
    </row>
    <row r="40104">
      <c r="D40104" s="39"/>
      <c r="E40104" s="39"/>
      <c r="F40104" s="39"/>
    </row>
    <row r="40105">
      <c r="D40105" s="39"/>
      <c r="E40105" s="39"/>
      <c r="F40105" s="39"/>
    </row>
    <row r="40106">
      <c r="D40106" s="39"/>
      <c r="E40106" s="39"/>
      <c r="F40106" s="39"/>
    </row>
    <row r="40107">
      <c r="D40107" s="39"/>
      <c r="E40107" s="39"/>
      <c r="F40107" s="39"/>
    </row>
    <row r="40108">
      <c r="D40108" s="39"/>
      <c r="E40108" s="39"/>
      <c r="F40108" s="39"/>
    </row>
    <row r="40109">
      <c r="D40109" s="39"/>
      <c r="E40109" s="39"/>
      <c r="F40109" s="39"/>
    </row>
    <row r="40110">
      <c r="D40110" s="39"/>
      <c r="E40110" s="39"/>
      <c r="F40110" s="39"/>
    </row>
    <row r="40111">
      <c r="D40111" s="39"/>
      <c r="E40111" s="39"/>
      <c r="F40111" s="39"/>
    </row>
    <row r="40112">
      <c r="D40112" s="39"/>
      <c r="E40112" s="39"/>
      <c r="F40112" s="39"/>
    </row>
    <row r="40113">
      <c r="D40113" s="39"/>
      <c r="E40113" s="39"/>
      <c r="F40113" s="39"/>
    </row>
    <row r="40114">
      <c r="D40114" s="39"/>
      <c r="E40114" s="39"/>
      <c r="F40114" s="39"/>
    </row>
    <row r="40115">
      <c r="D40115" s="39"/>
      <c r="E40115" s="39"/>
      <c r="F40115" s="39"/>
    </row>
    <row r="40116">
      <c r="D40116" s="39"/>
      <c r="E40116" s="39"/>
      <c r="F40116" s="39"/>
    </row>
    <row r="40117">
      <c r="D40117" s="39"/>
      <c r="E40117" s="39"/>
      <c r="F40117" s="39"/>
    </row>
    <row r="40118">
      <c r="D40118" s="39"/>
      <c r="E40118" s="39"/>
      <c r="F40118" s="39"/>
    </row>
    <row r="40119">
      <c r="D40119" s="39"/>
      <c r="E40119" s="39"/>
      <c r="F40119" s="39"/>
    </row>
    <row r="40120">
      <c r="D40120" s="39"/>
      <c r="E40120" s="39"/>
      <c r="F40120" s="39"/>
    </row>
    <row r="40121">
      <c r="D40121" s="39"/>
      <c r="E40121" s="39"/>
      <c r="F40121" s="39"/>
    </row>
    <row r="40122">
      <c r="D40122" s="39"/>
      <c r="E40122" s="39"/>
      <c r="F40122" s="39"/>
    </row>
    <row r="40123">
      <c r="D40123" s="39"/>
      <c r="E40123" s="39"/>
      <c r="F40123" s="39"/>
    </row>
    <row r="40124">
      <c r="D40124" s="39"/>
      <c r="E40124" s="39"/>
      <c r="F40124" s="39"/>
    </row>
    <row r="40125">
      <c r="D40125" s="39"/>
      <c r="E40125" s="39"/>
      <c r="F40125" s="39"/>
    </row>
    <row r="40126">
      <c r="D40126" s="39"/>
      <c r="E40126" s="39"/>
      <c r="F40126" s="39"/>
    </row>
    <row r="40127">
      <c r="D40127" s="39"/>
      <c r="E40127" s="39"/>
      <c r="F40127" s="39"/>
    </row>
    <row r="40128">
      <c r="D40128" s="39"/>
      <c r="E40128" s="39"/>
      <c r="F40128" s="39"/>
    </row>
    <row r="40129">
      <c r="D40129" s="39"/>
      <c r="E40129" s="39"/>
      <c r="F40129" s="39"/>
    </row>
    <row r="40130">
      <c r="D40130" s="39"/>
      <c r="E40130" s="39"/>
      <c r="F40130" s="39"/>
    </row>
    <row r="40131">
      <c r="D40131" s="39"/>
      <c r="E40131" s="39"/>
      <c r="F40131" s="39"/>
    </row>
    <row r="40132">
      <c r="D40132" s="39"/>
      <c r="E40132" s="39"/>
      <c r="F40132" s="39"/>
    </row>
    <row r="40133">
      <c r="D40133" s="39"/>
      <c r="E40133" s="39"/>
      <c r="F40133" s="39"/>
    </row>
    <row r="40134">
      <c r="D40134" s="39"/>
      <c r="E40134" s="39"/>
      <c r="F40134" s="39"/>
    </row>
    <row r="40135">
      <c r="D40135" s="39"/>
      <c r="E40135" s="39"/>
      <c r="F40135" s="39"/>
    </row>
    <row r="40136">
      <c r="D40136" s="39"/>
      <c r="E40136" s="39"/>
      <c r="F40136" s="39"/>
    </row>
    <row r="40137">
      <c r="D40137" s="39"/>
      <c r="E40137" s="39"/>
      <c r="F40137" s="39"/>
    </row>
    <row r="40138">
      <c r="D40138" s="39"/>
      <c r="E40138" s="39"/>
      <c r="F40138" s="39"/>
    </row>
    <row r="40139">
      <c r="D40139" s="39"/>
      <c r="E40139" s="39"/>
      <c r="F40139" s="39"/>
    </row>
    <row r="40140">
      <c r="D40140" s="39"/>
      <c r="E40140" s="39"/>
      <c r="F40140" s="39"/>
    </row>
    <row r="40141">
      <c r="D40141" s="39"/>
      <c r="E40141" s="39"/>
      <c r="F40141" s="39"/>
    </row>
    <row r="40142">
      <c r="D40142" s="39"/>
      <c r="E40142" s="39"/>
      <c r="F40142" s="39"/>
    </row>
    <row r="40143">
      <c r="D40143" s="39"/>
      <c r="E40143" s="39"/>
      <c r="F40143" s="39"/>
    </row>
    <row r="40144">
      <c r="D40144" s="39"/>
      <c r="E40144" s="39"/>
      <c r="F40144" s="39"/>
    </row>
    <row r="40145">
      <c r="D40145" s="39"/>
      <c r="E40145" s="39"/>
      <c r="F40145" s="39"/>
    </row>
    <row r="40146">
      <c r="D40146" s="39"/>
      <c r="E40146" s="39"/>
      <c r="F40146" s="39"/>
    </row>
    <row r="40147">
      <c r="D40147" s="39"/>
      <c r="E40147" s="39"/>
      <c r="F40147" s="39"/>
    </row>
    <row r="40148">
      <c r="D40148" s="39"/>
      <c r="E40148" s="39"/>
      <c r="F40148" s="39"/>
    </row>
    <row r="40149">
      <c r="D40149" s="39"/>
      <c r="E40149" s="39"/>
      <c r="F40149" s="39"/>
    </row>
    <row r="40150">
      <c r="D40150" s="39"/>
      <c r="E40150" s="39"/>
      <c r="F40150" s="39"/>
    </row>
    <row r="40151">
      <c r="D40151" s="39"/>
      <c r="E40151" s="39"/>
      <c r="F40151" s="39"/>
    </row>
    <row r="40152">
      <c r="D40152" s="39"/>
      <c r="E40152" s="39"/>
      <c r="F40152" s="39"/>
    </row>
    <row r="40153">
      <c r="D40153" s="39"/>
      <c r="E40153" s="39"/>
      <c r="F40153" s="39"/>
    </row>
    <row r="40154">
      <c r="D40154" s="39"/>
      <c r="E40154" s="39"/>
      <c r="F40154" s="39"/>
    </row>
    <row r="40155">
      <c r="D40155" s="39"/>
      <c r="E40155" s="39"/>
      <c r="F40155" s="39"/>
    </row>
    <row r="40156">
      <c r="D40156" s="39"/>
      <c r="E40156" s="39"/>
      <c r="F40156" s="39"/>
    </row>
    <row r="40157">
      <c r="D40157" s="39"/>
      <c r="E40157" s="39"/>
      <c r="F40157" s="39"/>
    </row>
    <row r="40158">
      <c r="D40158" s="39"/>
      <c r="E40158" s="39"/>
      <c r="F40158" s="39"/>
    </row>
    <row r="40159">
      <c r="D40159" s="39"/>
      <c r="E40159" s="39"/>
      <c r="F40159" s="39"/>
    </row>
    <row r="40160">
      <c r="D40160" s="39"/>
      <c r="E40160" s="39"/>
      <c r="F40160" s="39"/>
    </row>
    <row r="40161">
      <c r="D40161" s="39"/>
      <c r="E40161" s="39"/>
      <c r="F40161" s="39"/>
    </row>
    <row r="40162">
      <c r="D40162" s="39"/>
      <c r="E40162" s="39"/>
      <c r="F40162" s="39"/>
    </row>
    <row r="40163">
      <c r="D40163" s="39"/>
      <c r="E40163" s="39"/>
      <c r="F40163" s="39"/>
    </row>
    <row r="40164">
      <c r="D40164" s="39"/>
      <c r="E40164" s="39"/>
      <c r="F40164" s="39"/>
    </row>
    <row r="40165">
      <c r="D40165" s="39"/>
      <c r="E40165" s="39"/>
      <c r="F40165" s="39"/>
    </row>
    <row r="40166">
      <c r="D40166" s="39"/>
      <c r="E40166" s="39"/>
      <c r="F40166" s="39"/>
    </row>
    <row r="40167">
      <c r="D40167" s="39"/>
      <c r="E40167" s="39"/>
      <c r="F40167" s="39"/>
    </row>
    <row r="40168">
      <c r="D40168" s="39"/>
      <c r="E40168" s="39"/>
      <c r="F40168" s="39"/>
    </row>
    <row r="40169">
      <c r="D40169" s="39"/>
      <c r="E40169" s="39"/>
      <c r="F40169" s="39"/>
    </row>
    <row r="40170">
      <c r="D40170" s="39"/>
      <c r="E40170" s="39"/>
      <c r="F40170" s="39"/>
    </row>
    <row r="40171">
      <c r="D40171" s="39"/>
      <c r="E40171" s="39"/>
      <c r="F40171" s="39"/>
    </row>
    <row r="40172">
      <c r="D40172" s="39"/>
      <c r="E40172" s="39"/>
      <c r="F40172" s="39"/>
    </row>
    <row r="40173">
      <c r="D40173" s="39"/>
      <c r="E40173" s="39"/>
      <c r="F40173" s="39"/>
    </row>
    <row r="40174">
      <c r="D40174" s="39"/>
      <c r="E40174" s="39"/>
      <c r="F40174" s="39"/>
    </row>
    <row r="40175">
      <c r="D40175" s="39"/>
      <c r="E40175" s="39"/>
      <c r="F40175" s="39"/>
    </row>
    <row r="40176">
      <c r="D40176" s="39"/>
      <c r="E40176" s="39"/>
      <c r="F40176" s="39"/>
    </row>
    <row r="40177">
      <c r="D40177" s="39"/>
      <c r="E40177" s="39"/>
      <c r="F40177" s="39"/>
    </row>
    <row r="40178">
      <c r="D40178" s="39"/>
      <c r="E40178" s="39"/>
      <c r="F40178" s="39"/>
    </row>
    <row r="40179">
      <c r="D40179" s="39"/>
      <c r="E40179" s="39"/>
      <c r="F40179" s="39"/>
    </row>
    <row r="40180">
      <c r="D40180" s="39"/>
      <c r="E40180" s="39"/>
      <c r="F40180" s="39"/>
    </row>
    <row r="40181">
      <c r="D40181" s="39"/>
      <c r="E40181" s="39"/>
      <c r="F40181" s="39"/>
    </row>
    <row r="40182">
      <c r="D40182" s="39"/>
      <c r="E40182" s="39"/>
      <c r="F40182" s="39"/>
    </row>
    <row r="40183">
      <c r="D40183" s="39"/>
      <c r="E40183" s="39"/>
      <c r="F40183" s="39"/>
    </row>
    <row r="40184">
      <c r="D40184" s="39"/>
      <c r="E40184" s="39"/>
      <c r="F40184" s="39"/>
    </row>
    <row r="40185">
      <c r="D40185" s="39"/>
      <c r="E40185" s="39"/>
      <c r="F40185" s="39"/>
    </row>
    <row r="40186">
      <c r="D40186" s="39"/>
      <c r="E40186" s="39"/>
      <c r="F40186" s="39"/>
    </row>
    <row r="40187">
      <c r="D40187" s="39"/>
      <c r="E40187" s="39"/>
      <c r="F40187" s="39"/>
    </row>
    <row r="40188">
      <c r="D40188" s="39"/>
      <c r="E40188" s="39"/>
      <c r="F40188" s="39"/>
    </row>
    <row r="40189">
      <c r="D40189" s="39"/>
      <c r="E40189" s="39"/>
      <c r="F40189" s="39"/>
    </row>
    <row r="40190">
      <c r="D40190" s="39"/>
      <c r="E40190" s="39"/>
      <c r="F40190" s="39"/>
    </row>
    <row r="40191">
      <c r="D40191" s="39"/>
      <c r="E40191" s="39"/>
      <c r="F40191" s="39"/>
    </row>
    <row r="40192">
      <c r="D40192" s="39"/>
      <c r="E40192" s="39"/>
      <c r="F40192" s="39"/>
    </row>
    <row r="40193">
      <c r="D40193" s="39"/>
      <c r="E40193" s="39"/>
      <c r="F40193" s="39"/>
    </row>
    <row r="40194">
      <c r="D40194" s="39"/>
      <c r="E40194" s="39"/>
      <c r="F40194" s="39"/>
    </row>
    <row r="40195">
      <c r="D40195" s="39"/>
      <c r="E40195" s="39"/>
      <c r="F40195" s="39"/>
    </row>
    <row r="40196">
      <c r="D40196" s="39"/>
      <c r="E40196" s="39"/>
      <c r="F40196" s="39"/>
    </row>
    <row r="40197">
      <c r="D40197" s="39"/>
      <c r="E40197" s="39"/>
      <c r="F40197" s="39"/>
    </row>
    <row r="40198">
      <c r="D40198" s="39"/>
      <c r="E40198" s="39"/>
      <c r="F40198" s="39"/>
    </row>
    <row r="40199">
      <c r="D40199" s="39"/>
      <c r="E40199" s="39"/>
      <c r="F40199" s="39"/>
    </row>
    <row r="40200">
      <c r="D40200" s="39"/>
      <c r="E40200" s="39"/>
      <c r="F40200" s="39"/>
    </row>
    <row r="40201">
      <c r="D40201" s="39"/>
      <c r="E40201" s="39"/>
      <c r="F40201" s="39"/>
    </row>
    <row r="40202">
      <c r="D40202" s="39"/>
      <c r="E40202" s="39"/>
      <c r="F40202" s="39"/>
    </row>
    <row r="40203">
      <c r="D40203" s="39"/>
      <c r="E40203" s="39"/>
      <c r="F40203" s="39"/>
    </row>
    <row r="40204">
      <c r="D40204" s="39"/>
      <c r="E40204" s="39"/>
      <c r="F40204" s="39"/>
    </row>
    <row r="40205">
      <c r="D40205" s="39"/>
      <c r="E40205" s="39"/>
      <c r="F40205" s="39"/>
    </row>
    <row r="40206">
      <c r="D40206" s="39"/>
      <c r="E40206" s="39"/>
      <c r="F40206" s="39"/>
    </row>
    <row r="40207">
      <c r="D40207" s="39"/>
      <c r="E40207" s="39"/>
      <c r="F40207" s="39"/>
    </row>
    <row r="40208">
      <c r="D40208" s="39"/>
      <c r="E40208" s="39"/>
      <c r="F40208" s="39"/>
    </row>
    <row r="40209">
      <c r="D40209" s="39"/>
      <c r="E40209" s="39"/>
      <c r="F40209" s="39"/>
    </row>
    <row r="40210">
      <c r="D40210" s="39"/>
      <c r="E40210" s="39"/>
      <c r="F40210" s="39"/>
    </row>
    <row r="40211">
      <c r="D40211" s="39"/>
      <c r="E40211" s="39"/>
      <c r="F40211" s="39"/>
    </row>
    <row r="40212">
      <c r="D40212" s="39"/>
      <c r="E40212" s="39"/>
      <c r="F40212" s="39"/>
    </row>
    <row r="40213">
      <c r="D40213" s="39"/>
      <c r="E40213" s="39"/>
      <c r="F40213" s="39"/>
    </row>
    <row r="40214">
      <c r="D40214" s="39"/>
      <c r="E40214" s="39"/>
      <c r="F40214" s="39"/>
    </row>
    <row r="40215">
      <c r="D40215" s="39"/>
      <c r="E40215" s="39"/>
      <c r="F40215" s="39"/>
    </row>
    <row r="40216">
      <c r="D40216" s="39"/>
      <c r="E40216" s="39"/>
      <c r="F40216" s="39"/>
    </row>
    <row r="40217">
      <c r="D40217" s="39"/>
      <c r="E40217" s="39"/>
      <c r="F40217" s="39"/>
    </row>
    <row r="40218">
      <c r="D40218" s="39"/>
      <c r="E40218" s="39"/>
      <c r="F40218" s="39"/>
    </row>
    <row r="40219">
      <c r="D40219" s="39"/>
      <c r="E40219" s="39"/>
      <c r="F40219" s="39"/>
    </row>
    <row r="40220">
      <c r="D40220" s="39"/>
      <c r="E40220" s="39"/>
      <c r="F40220" s="39"/>
    </row>
    <row r="40221">
      <c r="D40221" s="39"/>
      <c r="E40221" s="39"/>
      <c r="F40221" s="39"/>
    </row>
    <row r="40222">
      <c r="D40222" s="39"/>
      <c r="E40222" s="39"/>
      <c r="F40222" s="39"/>
    </row>
    <row r="40223">
      <c r="D40223" s="39"/>
      <c r="E40223" s="39"/>
      <c r="F40223" s="39"/>
    </row>
    <row r="40224">
      <c r="D40224" s="39"/>
      <c r="E40224" s="39"/>
      <c r="F40224" s="39"/>
    </row>
    <row r="40225">
      <c r="D40225" s="39"/>
      <c r="E40225" s="39"/>
      <c r="F40225" s="39"/>
    </row>
    <row r="40226">
      <c r="D40226" s="39"/>
      <c r="E40226" s="39"/>
      <c r="F40226" s="39"/>
    </row>
    <row r="40227">
      <c r="D40227" s="39"/>
      <c r="E40227" s="39"/>
      <c r="F40227" s="39"/>
    </row>
    <row r="40228">
      <c r="D40228" s="39"/>
      <c r="E40228" s="39"/>
      <c r="F40228" s="39"/>
    </row>
    <row r="40229">
      <c r="D40229" s="39"/>
      <c r="E40229" s="39"/>
      <c r="F40229" s="39"/>
    </row>
    <row r="40230">
      <c r="D40230" s="39"/>
      <c r="E40230" s="39"/>
      <c r="F40230" s="39"/>
    </row>
    <row r="40231">
      <c r="D40231" s="39"/>
      <c r="E40231" s="39"/>
      <c r="F40231" s="39"/>
    </row>
    <row r="40232">
      <c r="D40232" s="39"/>
      <c r="E40232" s="39"/>
      <c r="F40232" s="39"/>
    </row>
    <row r="40233">
      <c r="D40233" s="39"/>
      <c r="E40233" s="39"/>
      <c r="F40233" s="39"/>
    </row>
    <row r="40234">
      <c r="D40234" s="39"/>
      <c r="E40234" s="39"/>
      <c r="F40234" s="39"/>
    </row>
    <row r="40235">
      <c r="D40235" s="39"/>
      <c r="E40235" s="39"/>
      <c r="F40235" s="39"/>
    </row>
    <row r="40236">
      <c r="D40236" s="39"/>
      <c r="E40236" s="39"/>
      <c r="F40236" s="39"/>
    </row>
    <row r="40237">
      <c r="D40237" s="39"/>
      <c r="E40237" s="39"/>
      <c r="F40237" s="39"/>
    </row>
    <row r="40238">
      <c r="D40238" s="39"/>
      <c r="E40238" s="39"/>
      <c r="F40238" s="39"/>
    </row>
    <row r="40239">
      <c r="D40239" s="39"/>
      <c r="E40239" s="39"/>
      <c r="F40239" s="39"/>
    </row>
    <row r="40240">
      <c r="D40240" s="39"/>
      <c r="E40240" s="39"/>
      <c r="F40240" s="39"/>
    </row>
    <row r="40241">
      <c r="D40241" s="39"/>
      <c r="E40241" s="39"/>
      <c r="F40241" s="39"/>
    </row>
    <row r="40242">
      <c r="D40242" s="39"/>
      <c r="E40242" s="39"/>
      <c r="F40242" s="39"/>
    </row>
    <row r="40243">
      <c r="D40243" s="39"/>
      <c r="E40243" s="39"/>
      <c r="F40243" s="39"/>
    </row>
    <row r="40244">
      <c r="D40244" s="39"/>
      <c r="E40244" s="39"/>
      <c r="F40244" s="39"/>
    </row>
    <row r="40245">
      <c r="D40245" s="39"/>
      <c r="E40245" s="39"/>
      <c r="F40245" s="39"/>
    </row>
    <row r="40246">
      <c r="D40246" s="39"/>
      <c r="E40246" s="39"/>
      <c r="F40246" s="39"/>
    </row>
    <row r="40247">
      <c r="D40247" s="39"/>
      <c r="E40247" s="39"/>
      <c r="F40247" s="39"/>
    </row>
    <row r="40248">
      <c r="D40248" s="39"/>
      <c r="E40248" s="39"/>
      <c r="F40248" s="39"/>
    </row>
    <row r="40249">
      <c r="D40249" s="39"/>
      <c r="E40249" s="39"/>
      <c r="F40249" s="39"/>
    </row>
    <row r="40250">
      <c r="D40250" s="39"/>
      <c r="E40250" s="39"/>
      <c r="F40250" s="39"/>
    </row>
    <row r="40251">
      <c r="D40251" s="39"/>
      <c r="E40251" s="39"/>
      <c r="F40251" s="39"/>
    </row>
    <row r="40252">
      <c r="D40252" s="39"/>
      <c r="E40252" s="39"/>
      <c r="F40252" s="39"/>
    </row>
    <row r="40253">
      <c r="D40253" s="39"/>
      <c r="E40253" s="39"/>
      <c r="F40253" s="39"/>
    </row>
    <row r="40254">
      <c r="D40254" s="39"/>
      <c r="E40254" s="39"/>
      <c r="F40254" s="39"/>
    </row>
    <row r="40255">
      <c r="D40255" s="39"/>
      <c r="E40255" s="39"/>
      <c r="F40255" s="39"/>
    </row>
    <row r="40256">
      <c r="D40256" s="39"/>
      <c r="E40256" s="39"/>
      <c r="F40256" s="39"/>
    </row>
    <row r="40257">
      <c r="D40257" s="39"/>
      <c r="E40257" s="39"/>
      <c r="F40257" s="39"/>
    </row>
    <row r="40258">
      <c r="D40258" s="39"/>
      <c r="E40258" s="39"/>
      <c r="F40258" s="39"/>
    </row>
    <row r="40259">
      <c r="D40259" s="39"/>
      <c r="E40259" s="39"/>
      <c r="F40259" s="39"/>
    </row>
    <row r="40260">
      <c r="D40260" s="39"/>
      <c r="E40260" s="39"/>
      <c r="F40260" s="39"/>
    </row>
    <row r="40261">
      <c r="D40261" s="39"/>
      <c r="E40261" s="39"/>
      <c r="F40261" s="39"/>
    </row>
    <row r="40262">
      <c r="D40262" s="39"/>
      <c r="E40262" s="39"/>
      <c r="F40262" s="39"/>
    </row>
    <row r="40263">
      <c r="D40263" s="39"/>
      <c r="E40263" s="39"/>
      <c r="F40263" s="39"/>
    </row>
    <row r="40264">
      <c r="D40264" s="39"/>
      <c r="E40264" s="39"/>
      <c r="F40264" s="39"/>
    </row>
    <row r="40265">
      <c r="D40265" s="39"/>
      <c r="E40265" s="39"/>
      <c r="F40265" s="39"/>
    </row>
    <row r="40266">
      <c r="D40266" s="39"/>
      <c r="E40266" s="39"/>
      <c r="F40266" s="39"/>
    </row>
    <row r="40267">
      <c r="D40267" s="39"/>
      <c r="E40267" s="39"/>
      <c r="F40267" s="39"/>
    </row>
    <row r="40268">
      <c r="D40268" s="39"/>
      <c r="E40268" s="39"/>
      <c r="F40268" s="39"/>
    </row>
    <row r="40269">
      <c r="D40269" s="39"/>
      <c r="E40269" s="39"/>
      <c r="F40269" s="39"/>
    </row>
    <row r="40270">
      <c r="D40270" s="39"/>
      <c r="E40270" s="39"/>
      <c r="F40270" s="39"/>
    </row>
    <row r="40271">
      <c r="D40271" s="39"/>
      <c r="E40271" s="39"/>
      <c r="F40271" s="39"/>
    </row>
    <row r="40272">
      <c r="D40272" s="39"/>
      <c r="E40272" s="39"/>
      <c r="F40272" s="39"/>
    </row>
    <row r="40273">
      <c r="D40273" s="39"/>
      <c r="E40273" s="39"/>
      <c r="F40273" s="39"/>
    </row>
    <row r="40274">
      <c r="D40274" s="39"/>
      <c r="E40274" s="39"/>
      <c r="F40274" s="39"/>
    </row>
    <row r="40275">
      <c r="D40275" s="39"/>
      <c r="E40275" s="39"/>
      <c r="F40275" s="39"/>
    </row>
    <row r="40276">
      <c r="D40276" s="39"/>
      <c r="E40276" s="39"/>
      <c r="F40276" s="39"/>
    </row>
    <row r="40277">
      <c r="D40277" s="39"/>
      <c r="E40277" s="39"/>
      <c r="F40277" s="39"/>
    </row>
    <row r="40278">
      <c r="D40278" s="39"/>
      <c r="E40278" s="39"/>
      <c r="F40278" s="39"/>
    </row>
    <row r="40279">
      <c r="D40279" s="39"/>
      <c r="E40279" s="39"/>
      <c r="F40279" s="39"/>
    </row>
    <row r="40280">
      <c r="D40280" s="39"/>
      <c r="E40280" s="39"/>
      <c r="F40280" s="39"/>
    </row>
    <row r="40281">
      <c r="D40281" s="39"/>
      <c r="E40281" s="39"/>
      <c r="F40281" s="39"/>
    </row>
    <row r="40282">
      <c r="D40282" s="39"/>
      <c r="E40282" s="39"/>
      <c r="F40282" s="39"/>
    </row>
    <row r="40283">
      <c r="D40283" s="39"/>
      <c r="E40283" s="39"/>
      <c r="F40283" s="39"/>
    </row>
    <row r="40284">
      <c r="D40284" s="39"/>
      <c r="E40284" s="39"/>
      <c r="F40284" s="39"/>
    </row>
    <row r="40285">
      <c r="D40285" s="39"/>
      <c r="E40285" s="39"/>
      <c r="F40285" s="39"/>
    </row>
    <row r="40286">
      <c r="D40286" s="39"/>
      <c r="E40286" s="39"/>
      <c r="F40286" s="39"/>
    </row>
    <row r="40287">
      <c r="D40287" s="39"/>
      <c r="E40287" s="39"/>
      <c r="F40287" s="39"/>
    </row>
    <row r="40288">
      <c r="D40288" s="39"/>
      <c r="E40288" s="39"/>
      <c r="F40288" s="39"/>
    </row>
    <row r="40289">
      <c r="D40289" s="39"/>
      <c r="E40289" s="39"/>
      <c r="F40289" s="39"/>
    </row>
    <row r="40290">
      <c r="D40290" s="39"/>
      <c r="E40290" s="39"/>
      <c r="F40290" s="39"/>
    </row>
    <row r="40291">
      <c r="D40291" s="39"/>
      <c r="E40291" s="39"/>
      <c r="F40291" s="39"/>
    </row>
    <row r="40292">
      <c r="D40292" s="39"/>
      <c r="E40292" s="39"/>
      <c r="F40292" s="39"/>
    </row>
    <row r="40293">
      <c r="D40293" s="39"/>
      <c r="E40293" s="39"/>
      <c r="F40293" s="39"/>
    </row>
    <row r="40294">
      <c r="D40294" s="39"/>
      <c r="E40294" s="39"/>
      <c r="F40294" s="39"/>
    </row>
    <row r="40295">
      <c r="D40295" s="39"/>
      <c r="E40295" s="39"/>
      <c r="F40295" s="39"/>
    </row>
    <row r="40296">
      <c r="D40296" s="39"/>
      <c r="E40296" s="39"/>
      <c r="F40296" s="39"/>
    </row>
    <row r="40297">
      <c r="D40297" s="39"/>
      <c r="E40297" s="39"/>
      <c r="F40297" s="39"/>
    </row>
    <row r="40298">
      <c r="D40298" s="39"/>
      <c r="E40298" s="39"/>
      <c r="F40298" s="39"/>
    </row>
    <row r="40299">
      <c r="D40299" s="39"/>
      <c r="E40299" s="39"/>
      <c r="F40299" s="39"/>
    </row>
    <row r="40300">
      <c r="D40300" s="39"/>
      <c r="E40300" s="39"/>
      <c r="F40300" s="39"/>
    </row>
    <row r="40301">
      <c r="D40301" s="39"/>
      <c r="E40301" s="39"/>
      <c r="F40301" s="39"/>
    </row>
    <row r="40302">
      <c r="D40302" s="39"/>
      <c r="E40302" s="39"/>
      <c r="F40302" s="39"/>
    </row>
    <row r="40303">
      <c r="D40303" s="39"/>
      <c r="E40303" s="39"/>
      <c r="F40303" s="39"/>
    </row>
    <row r="40304">
      <c r="D40304" s="39"/>
      <c r="E40304" s="39"/>
      <c r="F40304" s="39"/>
    </row>
    <row r="40305">
      <c r="D40305" s="39"/>
      <c r="E40305" s="39"/>
      <c r="F40305" s="39"/>
    </row>
    <row r="40306">
      <c r="D40306" s="39"/>
      <c r="E40306" s="39"/>
      <c r="F40306" s="39"/>
    </row>
    <row r="40307">
      <c r="D40307" s="39"/>
      <c r="E40307" s="39"/>
      <c r="F40307" s="39"/>
    </row>
    <row r="40308">
      <c r="D40308" s="39"/>
      <c r="E40308" s="39"/>
      <c r="F40308" s="39"/>
    </row>
    <row r="40309">
      <c r="D40309" s="39"/>
      <c r="E40309" s="39"/>
      <c r="F40309" s="39"/>
    </row>
    <row r="40310">
      <c r="D40310" s="39"/>
      <c r="E40310" s="39"/>
      <c r="F40310" s="39"/>
    </row>
    <row r="40311">
      <c r="D40311" s="39"/>
      <c r="E40311" s="39"/>
      <c r="F40311" s="39"/>
    </row>
    <row r="40312">
      <c r="D40312" s="39"/>
      <c r="E40312" s="39"/>
      <c r="F40312" s="39"/>
    </row>
    <row r="40313">
      <c r="D40313" s="39"/>
      <c r="E40313" s="39"/>
      <c r="F40313" s="39"/>
    </row>
    <row r="40314">
      <c r="D40314" s="39"/>
      <c r="E40314" s="39"/>
      <c r="F40314" s="39"/>
    </row>
    <row r="40315">
      <c r="D40315" s="39"/>
      <c r="E40315" s="39"/>
      <c r="F40315" s="39"/>
    </row>
    <row r="40316">
      <c r="D40316" s="39"/>
      <c r="E40316" s="39"/>
      <c r="F40316" s="39"/>
    </row>
    <row r="40317">
      <c r="D40317" s="39"/>
      <c r="E40317" s="39"/>
      <c r="F40317" s="39"/>
    </row>
    <row r="40318">
      <c r="D40318" s="39"/>
      <c r="E40318" s="39"/>
      <c r="F40318" s="39"/>
    </row>
    <row r="40319">
      <c r="D40319" s="39"/>
      <c r="E40319" s="39"/>
      <c r="F40319" s="39"/>
    </row>
    <row r="40320">
      <c r="D40320" s="39"/>
      <c r="E40320" s="39"/>
      <c r="F40320" s="39"/>
    </row>
    <row r="40321">
      <c r="D40321" s="39"/>
      <c r="E40321" s="39"/>
      <c r="F40321" s="39"/>
    </row>
    <row r="40322">
      <c r="D40322" s="39"/>
      <c r="E40322" s="39"/>
      <c r="F40322" s="39"/>
    </row>
    <row r="40323">
      <c r="D40323" s="39"/>
      <c r="E40323" s="39"/>
      <c r="F40323" s="39"/>
    </row>
    <row r="40324">
      <c r="D40324" s="39"/>
      <c r="E40324" s="39"/>
      <c r="F40324" s="39"/>
    </row>
    <row r="40325">
      <c r="D40325" s="39"/>
      <c r="E40325" s="39"/>
      <c r="F40325" s="39"/>
    </row>
    <row r="40326">
      <c r="D40326" s="39"/>
      <c r="E40326" s="39"/>
      <c r="F40326" s="39"/>
    </row>
    <row r="40327">
      <c r="D40327" s="39"/>
      <c r="E40327" s="39"/>
      <c r="F40327" s="39"/>
    </row>
    <row r="40328">
      <c r="D40328" s="39"/>
      <c r="E40328" s="39"/>
      <c r="F40328" s="39"/>
    </row>
    <row r="40329">
      <c r="D40329" s="39"/>
      <c r="E40329" s="39"/>
      <c r="F40329" s="39"/>
    </row>
    <row r="40330">
      <c r="D40330" s="39"/>
      <c r="E40330" s="39"/>
      <c r="F40330" s="39"/>
    </row>
    <row r="40331">
      <c r="D40331" s="39"/>
      <c r="E40331" s="39"/>
      <c r="F40331" s="39"/>
    </row>
    <row r="40332">
      <c r="D40332" s="39"/>
      <c r="E40332" s="39"/>
      <c r="F40332" s="39"/>
    </row>
    <row r="40333">
      <c r="D40333" s="39"/>
      <c r="E40333" s="39"/>
      <c r="F40333" s="39"/>
    </row>
    <row r="40334">
      <c r="D40334" s="39"/>
      <c r="E40334" s="39"/>
      <c r="F40334" s="39"/>
    </row>
    <row r="40335">
      <c r="D40335" s="39"/>
      <c r="E40335" s="39"/>
      <c r="F40335" s="39"/>
    </row>
    <row r="40336">
      <c r="D40336" s="39"/>
      <c r="E40336" s="39"/>
      <c r="F40336" s="39"/>
    </row>
    <row r="40337">
      <c r="D40337" s="39"/>
      <c r="E40337" s="39"/>
      <c r="F40337" s="39"/>
    </row>
    <row r="40338">
      <c r="D40338" s="39"/>
      <c r="E40338" s="39"/>
      <c r="F40338" s="39"/>
    </row>
    <row r="40339">
      <c r="D40339" s="39"/>
      <c r="E40339" s="39"/>
      <c r="F40339" s="39"/>
    </row>
    <row r="40340">
      <c r="D40340" s="39"/>
      <c r="E40340" s="39"/>
      <c r="F40340" s="39"/>
    </row>
    <row r="40341">
      <c r="D40341" s="39"/>
      <c r="E40341" s="39"/>
      <c r="F40341" s="39"/>
    </row>
    <row r="40342">
      <c r="D40342" s="39"/>
      <c r="E40342" s="39"/>
      <c r="F40342" s="39"/>
    </row>
    <row r="40343">
      <c r="D40343" s="39"/>
      <c r="E40343" s="39"/>
      <c r="F40343" s="39"/>
    </row>
    <row r="40344">
      <c r="D40344" s="39"/>
      <c r="E40344" s="39"/>
      <c r="F40344" s="39"/>
    </row>
    <row r="40345">
      <c r="D40345" s="39"/>
      <c r="E40345" s="39"/>
      <c r="F40345" s="39"/>
    </row>
    <row r="40346">
      <c r="D40346" s="39"/>
      <c r="E40346" s="39"/>
      <c r="F40346" s="39"/>
    </row>
    <row r="40347">
      <c r="D40347" s="39"/>
      <c r="E40347" s="39"/>
      <c r="F40347" s="39"/>
    </row>
    <row r="40348">
      <c r="D40348" s="39"/>
      <c r="E40348" s="39"/>
      <c r="F40348" s="39"/>
    </row>
    <row r="40349">
      <c r="D40349" s="39"/>
      <c r="E40349" s="39"/>
      <c r="F40349" s="39"/>
    </row>
    <row r="40350">
      <c r="D40350" s="39"/>
      <c r="E40350" s="39"/>
      <c r="F40350" s="39"/>
    </row>
    <row r="40351">
      <c r="D40351" s="39"/>
      <c r="E40351" s="39"/>
      <c r="F40351" s="39"/>
    </row>
    <row r="40352">
      <c r="D40352" s="39"/>
      <c r="E40352" s="39"/>
      <c r="F40352" s="39"/>
    </row>
    <row r="40353">
      <c r="D40353" s="39"/>
      <c r="E40353" s="39"/>
      <c r="F40353" s="39"/>
    </row>
    <row r="40354">
      <c r="D40354" s="39"/>
      <c r="E40354" s="39"/>
      <c r="F40354" s="39"/>
    </row>
    <row r="40355">
      <c r="D40355" s="39"/>
      <c r="E40355" s="39"/>
      <c r="F40355" s="39"/>
    </row>
    <row r="40356">
      <c r="D40356" s="39"/>
      <c r="E40356" s="39"/>
      <c r="F40356" s="39"/>
    </row>
    <row r="40357">
      <c r="D40357" s="39"/>
      <c r="E40357" s="39"/>
      <c r="F40357" s="39"/>
    </row>
    <row r="40358">
      <c r="D40358" s="39"/>
      <c r="E40358" s="39"/>
      <c r="F40358" s="39"/>
    </row>
    <row r="40359">
      <c r="D40359" s="39"/>
      <c r="E40359" s="39"/>
      <c r="F40359" s="39"/>
    </row>
    <row r="40360">
      <c r="D40360" s="39"/>
      <c r="E40360" s="39"/>
      <c r="F40360" s="39"/>
    </row>
    <row r="40361">
      <c r="D40361" s="39"/>
      <c r="E40361" s="39"/>
      <c r="F40361" s="39"/>
    </row>
    <row r="40362">
      <c r="D40362" s="39"/>
      <c r="E40362" s="39"/>
      <c r="F40362" s="39"/>
    </row>
    <row r="40363">
      <c r="D40363" s="39"/>
      <c r="E40363" s="39"/>
      <c r="F40363" s="39"/>
    </row>
    <row r="40364">
      <c r="D40364" s="39"/>
      <c r="E40364" s="39"/>
      <c r="F40364" s="39"/>
    </row>
    <row r="40365">
      <c r="D40365" s="39"/>
      <c r="E40365" s="39"/>
      <c r="F40365" s="39"/>
    </row>
    <row r="40366">
      <c r="D40366" s="39"/>
      <c r="E40366" s="39"/>
      <c r="F40366" s="39"/>
    </row>
    <row r="40367">
      <c r="D40367" s="39"/>
      <c r="E40367" s="39"/>
      <c r="F40367" s="39"/>
    </row>
    <row r="40368">
      <c r="D40368" s="39"/>
      <c r="E40368" s="39"/>
      <c r="F40368" s="39"/>
    </row>
    <row r="40369">
      <c r="D40369" s="39"/>
      <c r="E40369" s="39"/>
      <c r="F40369" s="39"/>
    </row>
    <row r="40370">
      <c r="D40370" s="39"/>
      <c r="E40370" s="39"/>
      <c r="F40370" s="39"/>
    </row>
    <row r="40371">
      <c r="D40371" s="39"/>
      <c r="E40371" s="39"/>
      <c r="F40371" s="39"/>
    </row>
    <row r="40372">
      <c r="D40372" s="39"/>
      <c r="E40372" s="39"/>
      <c r="F40372" s="39"/>
    </row>
    <row r="40373">
      <c r="D40373" s="39"/>
      <c r="E40373" s="39"/>
      <c r="F40373" s="39"/>
    </row>
    <row r="40374">
      <c r="D40374" s="39"/>
      <c r="E40374" s="39"/>
      <c r="F40374" s="39"/>
    </row>
    <row r="40375">
      <c r="D40375" s="39"/>
      <c r="E40375" s="39"/>
      <c r="F40375" s="39"/>
    </row>
    <row r="40376">
      <c r="D40376" s="39"/>
      <c r="E40376" s="39"/>
      <c r="F40376" s="39"/>
    </row>
    <row r="40377">
      <c r="D40377" s="39"/>
      <c r="E40377" s="39"/>
      <c r="F40377" s="39"/>
    </row>
    <row r="40378">
      <c r="D40378" s="39"/>
      <c r="E40378" s="39"/>
      <c r="F40378" s="39"/>
    </row>
    <row r="40379">
      <c r="D40379" s="39"/>
      <c r="E40379" s="39"/>
      <c r="F40379" s="39"/>
    </row>
    <row r="40380">
      <c r="D40380" s="39"/>
      <c r="E40380" s="39"/>
      <c r="F40380" s="39"/>
    </row>
    <row r="40381">
      <c r="D40381" s="39"/>
      <c r="E40381" s="39"/>
      <c r="F40381" s="39"/>
    </row>
    <row r="40382">
      <c r="D40382" s="39"/>
      <c r="E40382" s="39"/>
      <c r="F40382" s="39"/>
    </row>
    <row r="40383">
      <c r="D40383" s="39"/>
      <c r="E40383" s="39"/>
      <c r="F40383" s="39"/>
    </row>
    <row r="40384">
      <c r="D40384" s="39"/>
      <c r="E40384" s="39"/>
      <c r="F40384" s="39"/>
    </row>
    <row r="40385">
      <c r="D40385" s="39"/>
      <c r="E40385" s="39"/>
      <c r="F40385" s="39"/>
    </row>
    <row r="40386">
      <c r="D40386" s="39"/>
      <c r="E40386" s="39"/>
      <c r="F40386" s="39"/>
    </row>
    <row r="40387">
      <c r="D40387" s="39"/>
      <c r="E40387" s="39"/>
      <c r="F40387" s="39"/>
    </row>
    <row r="40388">
      <c r="D40388" s="39"/>
      <c r="E40388" s="39"/>
      <c r="F40388" s="39"/>
    </row>
    <row r="40389">
      <c r="D40389" s="39"/>
      <c r="E40389" s="39"/>
      <c r="F40389" s="39"/>
    </row>
    <row r="40390">
      <c r="D40390" s="39"/>
      <c r="E40390" s="39"/>
      <c r="F40390" s="39"/>
    </row>
    <row r="40391">
      <c r="D40391" s="39"/>
      <c r="E40391" s="39"/>
      <c r="F40391" s="39"/>
    </row>
    <row r="40392">
      <c r="D40392" s="39"/>
      <c r="E40392" s="39"/>
      <c r="F40392" s="39"/>
    </row>
    <row r="40393">
      <c r="D40393" s="39"/>
      <c r="E40393" s="39"/>
      <c r="F40393" s="39"/>
    </row>
    <row r="40394">
      <c r="D40394" s="39"/>
      <c r="E40394" s="39"/>
      <c r="F40394" s="39"/>
    </row>
    <row r="40395">
      <c r="D40395" s="39"/>
      <c r="E40395" s="39"/>
      <c r="F40395" s="39"/>
    </row>
    <row r="40396">
      <c r="D40396" s="39"/>
      <c r="E40396" s="39"/>
      <c r="F40396" s="39"/>
    </row>
    <row r="40397">
      <c r="D40397" s="39"/>
      <c r="E40397" s="39"/>
      <c r="F40397" s="39"/>
    </row>
    <row r="40398">
      <c r="D40398" s="39"/>
      <c r="E40398" s="39"/>
      <c r="F40398" s="39"/>
    </row>
    <row r="40399">
      <c r="D40399" s="39"/>
      <c r="E40399" s="39"/>
      <c r="F40399" s="39"/>
    </row>
    <row r="40400">
      <c r="D40400" s="39"/>
      <c r="E40400" s="39"/>
      <c r="F40400" s="39"/>
    </row>
    <row r="40401">
      <c r="D40401" s="39"/>
      <c r="E40401" s="39"/>
      <c r="F40401" s="39"/>
    </row>
    <row r="40402">
      <c r="D40402" s="39"/>
      <c r="E40402" s="39"/>
      <c r="F40402" s="39"/>
    </row>
    <row r="40403">
      <c r="D40403" s="39"/>
      <c r="E40403" s="39"/>
      <c r="F40403" s="39"/>
    </row>
    <row r="40404">
      <c r="D40404" s="39"/>
      <c r="E40404" s="39"/>
      <c r="F40404" s="39"/>
    </row>
    <row r="40405">
      <c r="D40405" s="39"/>
      <c r="E40405" s="39"/>
      <c r="F40405" s="39"/>
    </row>
    <row r="40406">
      <c r="D40406" s="39"/>
      <c r="E40406" s="39"/>
      <c r="F40406" s="39"/>
    </row>
    <row r="40407">
      <c r="D40407" s="39"/>
      <c r="E40407" s="39"/>
      <c r="F40407" s="39"/>
    </row>
    <row r="40408">
      <c r="D40408" s="39"/>
      <c r="E40408" s="39"/>
      <c r="F40408" s="39"/>
    </row>
    <row r="40409">
      <c r="D40409" s="39"/>
      <c r="E40409" s="39"/>
      <c r="F40409" s="39"/>
    </row>
    <row r="40410">
      <c r="D40410" s="39"/>
      <c r="E40410" s="39"/>
      <c r="F40410" s="39"/>
    </row>
    <row r="40411">
      <c r="D40411" s="39"/>
      <c r="E40411" s="39"/>
      <c r="F40411" s="39"/>
    </row>
    <row r="40412">
      <c r="D40412" s="39"/>
      <c r="E40412" s="39"/>
      <c r="F40412" s="39"/>
    </row>
    <row r="40413">
      <c r="D40413" s="39"/>
      <c r="E40413" s="39"/>
      <c r="F40413" s="39"/>
    </row>
    <row r="40414">
      <c r="D40414" s="39"/>
      <c r="E40414" s="39"/>
      <c r="F40414" s="39"/>
    </row>
    <row r="40415">
      <c r="D40415" s="39"/>
      <c r="E40415" s="39"/>
      <c r="F40415" s="39"/>
    </row>
    <row r="40416">
      <c r="D40416" s="39"/>
      <c r="E40416" s="39"/>
      <c r="F40416" s="39"/>
    </row>
    <row r="40417">
      <c r="D40417" s="39"/>
      <c r="E40417" s="39"/>
      <c r="F40417" s="39"/>
    </row>
    <row r="40418">
      <c r="D40418" s="39"/>
      <c r="E40418" s="39"/>
      <c r="F40418" s="39"/>
    </row>
    <row r="40419">
      <c r="D40419" s="39"/>
      <c r="E40419" s="39"/>
      <c r="F40419" s="39"/>
    </row>
    <row r="40420">
      <c r="D40420" s="39"/>
      <c r="E40420" s="39"/>
      <c r="F40420" s="39"/>
    </row>
    <row r="40421">
      <c r="D40421" s="39"/>
      <c r="E40421" s="39"/>
      <c r="F40421" s="39"/>
    </row>
    <row r="40422">
      <c r="D40422" s="39"/>
      <c r="E40422" s="39"/>
      <c r="F40422" s="39"/>
    </row>
    <row r="40423">
      <c r="D40423" s="39"/>
      <c r="E40423" s="39"/>
      <c r="F40423" s="39"/>
    </row>
    <row r="40424">
      <c r="D40424" s="39"/>
      <c r="E40424" s="39"/>
      <c r="F40424" s="39"/>
    </row>
    <row r="40425">
      <c r="D40425" s="39"/>
      <c r="E40425" s="39"/>
      <c r="F40425" s="39"/>
    </row>
    <row r="40426">
      <c r="D40426" s="39"/>
      <c r="E40426" s="39"/>
      <c r="F40426" s="39"/>
    </row>
    <row r="40427">
      <c r="D40427" s="39"/>
      <c r="E40427" s="39"/>
      <c r="F40427" s="39"/>
    </row>
    <row r="40428">
      <c r="D40428" s="39"/>
      <c r="E40428" s="39"/>
      <c r="F40428" s="39"/>
    </row>
    <row r="40429">
      <c r="D40429" s="39"/>
      <c r="E40429" s="39"/>
      <c r="F40429" s="39"/>
    </row>
    <row r="40430">
      <c r="D40430" s="39"/>
      <c r="E40430" s="39"/>
      <c r="F40430" s="39"/>
    </row>
    <row r="40431">
      <c r="D40431" s="39"/>
      <c r="E40431" s="39"/>
      <c r="F40431" s="39"/>
    </row>
    <row r="40432">
      <c r="D40432" s="39"/>
      <c r="E40432" s="39"/>
      <c r="F40432" s="39"/>
    </row>
    <row r="40433">
      <c r="D40433" s="39"/>
      <c r="E40433" s="39"/>
      <c r="F40433" s="39"/>
    </row>
    <row r="40434">
      <c r="D40434" s="39"/>
      <c r="E40434" s="39"/>
      <c r="F40434" s="39"/>
    </row>
    <row r="40435">
      <c r="D40435" s="39"/>
      <c r="E40435" s="39"/>
      <c r="F40435" s="39"/>
    </row>
    <row r="40436">
      <c r="D40436" s="39"/>
      <c r="E40436" s="39"/>
      <c r="F40436" s="39"/>
    </row>
    <row r="40437">
      <c r="D40437" s="39"/>
      <c r="E40437" s="39"/>
      <c r="F40437" s="39"/>
    </row>
    <row r="40438">
      <c r="D40438" s="39"/>
      <c r="E40438" s="39"/>
      <c r="F40438" s="39"/>
    </row>
    <row r="40439">
      <c r="D40439" s="39"/>
      <c r="E40439" s="39"/>
      <c r="F40439" s="39"/>
    </row>
    <row r="40440">
      <c r="D40440" s="39"/>
      <c r="E40440" s="39"/>
      <c r="F40440" s="39"/>
    </row>
    <row r="40441">
      <c r="D40441" s="39"/>
      <c r="E40441" s="39"/>
      <c r="F40441" s="39"/>
    </row>
    <row r="40442">
      <c r="D40442" s="39"/>
      <c r="E40442" s="39"/>
      <c r="F40442" s="39"/>
    </row>
    <row r="40443">
      <c r="D40443" s="39"/>
      <c r="E40443" s="39"/>
      <c r="F40443" s="39"/>
    </row>
    <row r="40444">
      <c r="D40444" s="39"/>
      <c r="E40444" s="39"/>
      <c r="F40444" s="39"/>
    </row>
    <row r="40445">
      <c r="D40445" s="39"/>
      <c r="E40445" s="39"/>
      <c r="F40445" s="39"/>
    </row>
    <row r="40446">
      <c r="D40446" s="39"/>
      <c r="E40446" s="39"/>
      <c r="F40446" s="39"/>
    </row>
    <row r="40447">
      <c r="D40447" s="39"/>
      <c r="E40447" s="39"/>
      <c r="F40447" s="39"/>
    </row>
    <row r="40448">
      <c r="D40448" s="39"/>
      <c r="E40448" s="39"/>
      <c r="F40448" s="39"/>
    </row>
    <row r="40449">
      <c r="D40449" s="39"/>
      <c r="E40449" s="39"/>
      <c r="F40449" s="39"/>
    </row>
    <row r="40450">
      <c r="D40450" s="39"/>
      <c r="E40450" s="39"/>
      <c r="F40450" s="39"/>
    </row>
    <row r="40451">
      <c r="D40451" s="39"/>
      <c r="E40451" s="39"/>
      <c r="F40451" s="39"/>
    </row>
    <row r="40452">
      <c r="D40452" s="39"/>
      <c r="E40452" s="39"/>
      <c r="F40452" s="39"/>
    </row>
    <row r="40453">
      <c r="D40453" s="39"/>
      <c r="E40453" s="39"/>
      <c r="F40453" s="39"/>
    </row>
    <row r="40454">
      <c r="D40454" s="39"/>
      <c r="E40454" s="39"/>
      <c r="F40454" s="39"/>
    </row>
    <row r="40455">
      <c r="D40455" s="39"/>
      <c r="E40455" s="39"/>
      <c r="F40455" s="39"/>
    </row>
    <row r="40456">
      <c r="D40456" s="39"/>
      <c r="E40456" s="39"/>
      <c r="F40456" s="39"/>
    </row>
    <row r="40457">
      <c r="D40457" s="39"/>
      <c r="E40457" s="39"/>
      <c r="F40457" s="39"/>
    </row>
    <row r="40458">
      <c r="D40458" s="39"/>
      <c r="E40458" s="39"/>
      <c r="F40458" s="39"/>
    </row>
    <row r="40459">
      <c r="D40459" s="39"/>
      <c r="E40459" s="39"/>
      <c r="F40459" s="39"/>
    </row>
    <row r="40460">
      <c r="D40460" s="39"/>
      <c r="E40460" s="39"/>
      <c r="F40460" s="39"/>
    </row>
    <row r="40461">
      <c r="D40461" s="39"/>
      <c r="E40461" s="39"/>
      <c r="F40461" s="39"/>
    </row>
    <row r="40462">
      <c r="D40462" s="39"/>
      <c r="E40462" s="39"/>
      <c r="F40462" s="39"/>
    </row>
    <row r="40463">
      <c r="D40463" s="39"/>
      <c r="E40463" s="39"/>
      <c r="F40463" s="39"/>
    </row>
    <row r="40464">
      <c r="D40464" s="39"/>
      <c r="E40464" s="39"/>
      <c r="F40464" s="39"/>
    </row>
    <row r="40465">
      <c r="D40465" s="39"/>
      <c r="E40465" s="39"/>
      <c r="F40465" s="39"/>
    </row>
    <row r="40466">
      <c r="D40466" s="39"/>
      <c r="E40466" s="39"/>
      <c r="F40466" s="39"/>
    </row>
    <row r="40467">
      <c r="D40467" s="39"/>
      <c r="E40467" s="39"/>
      <c r="F40467" s="39"/>
    </row>
    <row r="40468">
      <c r="D40468" s="39"/>
      <c r="E40468" s="39"/>
      <c r="F40468" s="39"/>
    </row>
    <row r="40469">
      <c r="D40469" s="39"/>
      <c r="E40469" s="39"/>
      <c r="F40469" s="39"/>
    </row>
    <row r="40470">
      <c r="D40470" s="39"/>
      <c r="E40470" s="39"/>
      <c r="F40470" s="39"/>
    </row>
    <row r="40471">
      <c r="D40471" s="39"/>
      <c r="E40471" s="39"/>
      <c r="F40471" s="39"/>
    </row>
    <row r="40472">
      <c r="D40472" s="39"/>
      <c r="E40472" s="39"/>
      <c r="F40472" s="39"/>
    </row>
    <row r="40473">
      <c r="D40473" s="39"/>
      <c r="E40473" s="39"/>
      <c r="F40473" s="39"/>
    </row>
    <row r="40474">
      <c r="D40474" s="39"/>
      <c r="E40474" s="39"/>
      <c r="F40474" s="39"/>
    </row>
    <row r="40475">
      <c r="D40475" s="39"/>
      <c r="E40475" s="39"/>
      <c r="F40475" s="39"/>
    </row>
    <row r="40476">
      <c r="D40476" s="39"/>
      <c r="E40476" s="39"/>
      <c r="F40476" s="39"/>
    </row>
    <row r="40477">
      <c r="D40477" s="39"/>
      <c r="E40477" s="39"/>
      <c r="F40477" s="39"/>
    </row>
    <row r="40478">
      <c r="D40478" s="39"/>
      <c r="E40478" s="39"/>
      <c r="F40478" s="39"/>
    </row>
    <row r="40479">
      <c r="D40479" s="39"/>
      <c r="E40479" s="39"/>
      <c r="F40479" s="39"/>
    </row>
    <row r="40480">
      <c r="D40480" s="39"/>
      <c r="E40480" s="39"/>
      <c r="F40480" s="39"/>
    </row>
    <row r="40481">
      <c r="D40481" s="39"/>
      <c r="E40481" s="39"/>
      <c r="F40481" s="39"/>
    </row>
    <row r="40482">
      <c r="D40482" s="39"/>
      <c r="E40482" s="39"/>
      <c r="F40482" s="39"/>
    </row>
    <row r="40483">
      <c r="D40483" s="39"/>
      <c r="E40483" s="39"/>
      <c r="F40483" s="39"/>
    </row>
    <row r="40484">
      <c r="D40484" s="39"/>
      <c r="E40484" s="39"/>
      <c r="F40484" s="39"/>
    </row>
    <row r="40485">
      <c r="D40485" s="39"/>
      <c r="E40485" s="39"/>
      <c r="F40485" s="39"/>
    </row>
    <row r="40486">
      <c r="D40486" s="39"/>
      <c r="E40486" s="39"/>
      <c r="F40486" s="39"/>
    </row>
    <row r="40487">
      <c r="D40487" s="39"/>
      <c r="E40487" s="39"/>
      <c r="F40487" s="39"/>
    </row>
    <row r="40488">
      <c r="D40488" s="39"/>
      <c r="E40488" s="39"/>
      <c r="F40488" s="39"/>
    </row>
    <row r="40489">
      <c r="D40489" s="39"/>
      <c r="E40489" s="39"/>
      <c r="F40489" s="39"/>
    </row>
    <row r="40490">
      <c r="D40490" s="39"/>
      <c r="E40490" s="39"/>
      <c r="F40490" s="39"/>
    </row>
    <row r="40491">
      <c r="D40491" s="39"/>
      <c r="E40491" s="39"/>
      <c r="F40491" s="39"/>
    </row>
    <row r="40492">
      <c r="D40492" s="39"/>
      <c r="E40492" s="39"/>
      <c r="F40492" s="39"/>
    </row>
    <row r="40493">
      <c r="D40493" s="39"/>
      <c r="E40493" s="39"/>
      <c r="F40493" s="39"/>
    </row>
    <row r="40494">
      <c r="D40494" s="39"/>
      <c r="E40494" s="39"/>
      <c r="F40494" s="39"/>
    </row>
    <row r="40495">
      <c r="D40495" s="39"/>
      <c r="E40495" s="39"/>
      <c r="F40495" s="39"/>
    </row>
    <row r="40496">
      <c r="D40496" s="39"/>
      <c r="E40496" s="39"/>
      <c r="F40496" s="39"/>
    </row>
    <row r="40497">
      <c r="D40497" s="39"/>
      <c r="E40497" s="39"/>
      <c r="F40497" s="39"/>
    </row>
    <row r="40498">
      <c r="D40498" s="39"/>
      <c r="E40498" s="39"/>
      <c r="F40498" s="39"/>
    </row>
    <row r="40499">
      <c r="D40499" s="39"/>
      <c r="E40499" s="39"/>
      <c r="F40499" s="39"/>
    </row>
    <row r="40500">
      <c r="D40500" s="39"/>
      <c r="E40500" s="39"/>
      <c r="F40500" s="39"/>
    </row>
    <row r="40501">
      <c r="D40501" s="39"/>
      <c r="E40501" s="39"/>
      <c r="F40501" s="39"/>
    </row>
    <row r="40502">
      <c r="D40502" s="39"/>
      <c r="E40502" s="39"/>
      <c r="F40502" s="39"/>
    </row>
    <row r="40503">
      <c r="D40503" s="39"/>
      <c r="E40503" s="39"/>
      <c r="F40503" s="39"/>
    </row>
    <row r="40504">
      <c r="D40504" s="39"/>
      <c r="E40504" s="39"/>
      <c r="F40504" s="39"/>
    </row>
    <row r="40505">
      <c r="D40505" s="39"/>
      <c r="E40505" s="39"/>
      <c r="F40505" s="39"/>
    </row>
    <row r="40506">
      <c r="D40506" s="39"/>
      <c r="E40506" s="39"/>
      <c r="F40506" s="39"/>
    </row>
    <row r="40507">
      <c r="D40507" s="39"/>
      <c r="E40507" s="39"/>
      <c r="F40507" s="39"/>
    </row>
    <row r="40508">
      <c r="D40508" s="39"/>
      <c r="E40508" s="39"/>
      <c r="F40508" s="39"/>
    </row>
    <row r="40509">
      <c r="D40509" s="39"/>
      <c r="E40509" s="39"/>
      <c r="F40509" s="39"/>
    </row>
    <row r="40510">
      <c r="D40510" s="39"/>
      <c r="E40510" s="39"/>
      <c r="F40510" s="39"/>
    </row>
    <row r="40511">
      <c r="D40511" s="39"/>
      <c r="E40511" s="39"/>
      <c r="F40511" s="39"/>
    </row>
    <row r="40512">
      <c r="D40512" s="39"/>
      <c r="E40512" s="39"/>
      <c r="F40512" s="39"/>
    </row>
    <row r="40513">
      <c r="D40513" s="39"/>
      <c r="E40513" s="39"/>
      <c r="F40513" s="39"/>
    </row>
    <row r="40514">
      <c r="D40514" s="39"/>
      <c r="E40514" s="39"/>
      <c r="F40514" s="39"/>
    </row>
    <row r="40515">
      <c r="D40515" s="39"/>
      <c r="E40515" s="39"/>
      <c r="F40515" s="39"/>
    </row>
    <row r="40516">
      <c r="D40516" s="39"/>
      <c r="E40516" s="39"/>
      <c r="F40516" s="39"/>
    </row>
    <row r="40517">
      <c r="D40517" s="39"/>
      <c r="E40517" s="39"/>
      <c r="F40517" s="39"/>
    </row>
    <row r="40518">
      <c r="D40518" s="39"/>
      <c r="E40518" s="39"/>
      <c r="F40518" s="39"/>
    </row>
    <row r="40519">
      <c r="D40519" s="39"/>
      <c r="E40519" s="39"/>
      <c r="F40519" s="39"/>
    </row>
    <row r="40520">
      <c r="D40520" s="39"/>
      <c r="E40520" s="39"/>
      <c r="F40520" s="39"/>
    </row>
    <row r="40521">
      <c r="D40521" s="39"/>
      <c r="E40521" s="39"/>
      <c r="F40521" s="39"/>
    </row>
    <row r="40522">
      <c r="D40522" s="39"/>
      <c r="E40522" s="39"/>
      <c r="F40522" s="39"/>
    </row>
    <row r="40523">
      <c r="D40523" s="39"/>
      <c r="E40523" s="39"/>
      <c r="F40523" s="39"/>
    </row>
    <row r="40524">
      <c r="D40524" s="39"/>
      <c r="E40524" s="39"/>
      <c r="F40524" s="39"/>
    </row>
    <row r="40525">
      <c r="D40525" s="39"/>
      <c r="E40525" s="39"/>
      <c r="F40525" s="39"/>
    </row>
    <row r="40526">
      <c r="D40526" s="39"/>
      <c r="E40526" s="39"/>
      <c r="F40526" s="39"/>
    </row>
    <row r="40527">
      <c r="D40527" s="39"/>
      <c r="E40527" s="39"/>
      <c r="F40527" s="39"/>
    </row>
    <row r="40528">
      <c r="D40528" s="39"/>
      <c r="E40528" s="39"/>
      <c r="F40528" s="39"/>
    </row>
    <row r="40529">
      <c r="D40529" s="39"/>
      <c r="E40529" s="39"/>
      <c r="F40529" s="39"/>
    </row>
    <row r="40530">
      <c r="D40530" s="39"/>
      <c r="E40530" s="39"/>
      <c r="F40530" s="39"/>
    </row>
    <row r="40531">
      <c r="D40531" s="39"/>
      <c r="E40531" s="39"/>
      <c r="F40531" s="39"/>
    </row>
    <row r="40532">
      <c r="D40532" s="39"/>
      <c r="E40532" s="39"/>
      <c r="F40532" s="39"/>
    </row>
    <row r="40533">
      <c r="D40533" s="39"/>
      <c r="E40533" s="39"/>
      <c r="F40533" s="39"/>
    </row>
    <row r="40534">
      <c r="D40534" s="39"/>
      <c r="E40534" s="39"/>
      <c r="F40534" s="39"/>
    </row>
    <row r="40535">
      <c r="D40535" s="39"/>
      <c r="E40535" s="39"/>
      <c r="F40535" s="39"/>
    </row>
    <row r="40536">
      <c r="D40536" s="39"/>
      <c r="E40536" s="39"/>
      <c r="F40536" s="39"/>
    </row>
    <row r="40537">
      <c r="D40537" s="39"/>
      <c r="E40537" s="39"/>
      <c r="F40537" s="39"/>
    </row>
    <row r="40538">
      <c r="D40538" s="39"/>
      <c r="E40538" s="39"/>
      <c r="F40538" s="39"/>
    </row>
    <row r="40539">
      <c r="D40539" s="39"/>
      <c r="E40539" s="39"/>
      <c r="F40539" s="39"/>
    </row>
    <row r="40540">
      <c r="D40540" s="39"/>
      <c r="E40540" s="39"/>
      <c r="F40540" s="39"/>
    </row>
    <row r="40541">
      <c r="D40541" s="39"/>
      <c r="E40541" s="39"/>
      <c r="F40541" s="39"/>
    </row>
    <row r="40542">
      <c r="D40542" s="39"/>
      <c r="E40542" s="39"/>
      <c r="F40542" s="39"/>
    </row>
    <row r="40543">
      <c r="D40543" s="39"/>
      <c r="E40543" s="39"/>
      <c r="F40543" s="39"/>
    </row>
    <row r="40544">
      <c r="D40544" s="39"/>
      <c r="E40544" s="39"/>
      <c r="F40544" s="39"/>
    </row>
    <row r="40545">
      <c r="D40545" s="39"/>
      <c r="E40545" s="39"/>
      <c r="F40545" s="39"/>
    </row>
    <row r="40546">
      <c r="D40546" s="39"/>
      <c r="E40546" s="39"/>
      <c r="F40546" s="39"/>
    </row>
    <row r="40547">
      <c r="D40547" s="39"/>
      <c r="E40547" s="39"/>
      <c r="F40547" s="39"/>
    </row>
    <row r="40548">
      <c r="D40548" s="39"/>
      <c r="E40548" s="39"/>
      <c r="F40548" s="39"/>
    </row>
    <row r="40549">
      <c r="D40549" s="39"/>
      <c r="E40549" s="39"/>
      <c r="F40549" s="39"/>
    </row>
    <row r="40550">
      <c r="D40550" s="39"/>
      <c r="E40550" s="39"/>
      <c r="F40550" s="39"/>
    </row>
    <row r="40551">
      <c r="D40551" s="39"/>
      <c r="E40551" s="39"/>
      <c r="F40551" s="39"/>
    </row>
    <row r="40552">
      <c r="D40552" s="39"/>
      <c r="E40552" s="39"/>
      <c r="F40552" s="39"/>
    </row>
    <row r="40553">
      <c r="D40553" s="39"/>
      <c r="E40553" s="39"/>
      <c r="F40553" s="39"/>
    </row>
    <row r="40554">
      <c r="D40554" s="39"/>
      <c r="E40554" s="39"/>
      <c r="F40554" s="39"/>
    </row>
    <row r="40555">
      <c r="D40555" s="39"/>
      <c r="E40555" s="39"/>
      <c r="F40555" s="39"/>
    </row>
    <row r="40556">
      <c r="D40556" s="39"/>
      <c r="E40556" s="39"/>
      <c r="F40556" s="39"/>
    </row>
    <row r="40557">
      <c r="D40557" s="39"/>
      <c r="E40557" s="39"/>
      <c r="F40557" s="39"/>
    </row>
    <row r="40558">
      <c r="D40558" s="39"/>
      <c r="E40558" s="39"/>
      <c r="F40558" s="39"/>
    </row>
    <row r="40559">
      <c r="D40559" s="39"/>
      <c r="E40559" s="39"/>
      <c r="F40559" s="39"/>
    </row>
    <row r="40560">
      <c r="D40560" s="39"/>
      <c r="E40560" s="39"/>
      <c r="F40560" s="39"/>
    </row>
    <row r="40561">
      <c r="D40561" s="39"/>
      <c r="E40561" s="39"/>
      <c r="F40561" s="39"/>
    </row>
    <row r="40562">
      <c r="D40562" s="39"/>
      <c r="E40562" s="39"/>
      <c r="F40562" s="39"/>
    </row>
    <row r="40563">
      <c r="D40563" s="39"/>
      <c r="E40563" s="39"/>
      <c r="F40563" s="39"/>
    </row>
    <row r="40564">
      <c r="D40564" s="39"/>
      <c r="E40564" s="39"/>
      <c r="F40564" s="39"/>
    </row>
    <row r="40565">
      <c r="D40565" s="39"/>
      <c r="E40565" s="39"/>
      <c r="F40565" s="39"/>
    </row>
    <row r="40566">
      <c r="D40566" s="39"/>
      <c r="E40566" s="39"/>
      <c r="F40566" s="39"/>
    </row>
    <row r="40567">
      <c r="D40567" s="39"/>
      <c r="E40567" s="39"/>
      <c r="F40567" s="39"/>
    </row>
    <row r="40568">
      <c r="D40568" s="39"/>
      <c r="E40568" s="39"/>
      <c r="F40568" s="39"/>
    </row>
    <row r="40569">
      <c r="D40569" s="39"/>
      <c r="E40569" s="39"/>
      <c r="F40569" s="39"/>
    </row>
    <row r="40570">
      <c r="D40570" s="39"/>
      <c r="E40570" s="39"/>
      <c r="F40570" s="39"/>
    </row>
    <row r="40571">
      <c r="D40571" s="39"/>
      <c r="E40571" s="39"/>
      <c r="F40571" s="39"/>
    </row>
    <row r="40572">
      <c r="D40572" s="39"/>
      <c r="E40572" s="39"/>
      <c r="F40572" s="39"/>
    </row>
    <row r="40573">
      <c r="D40573" s="39"/>
      <c r="E40573" s="39"/>
      <c r="F40573" s="39"/>
    </row>
    <row r="40574">
      <c r="D40574" s="39"/>
      <c r="E40574" s="39"/>
      <c r="F40574" s="39"/>
    </row>
    <row r="40575">
      <c r="D40575" s="39"/>
      <c r="E40575" s="39"/>
      <c r="F40575" s="39"/>
    </row>
    <row r="40576">
      <c r="D40576" s="39"/>
      <c r="E40576" s="39"/>
      <c r="F40576" s="39"/>
    </row>
    <row r="40577">
      <c r="D40577" s="39"/>
      <c r="E40577" s="39"/>
      <c r="F40577" s="39"/>
    </row>
    <row r="40578">
      <c r="D40578" s="39"/>
      <c r="E40578" s="39"/>
      <c r="F40578" s="39"/>
    </row>
    <row r="40579">
      <c r="D40579" s="39"/>
      <c r="E40579" s="39"/>
      <c r="F40579" s="39"/>
    </row>
    <row r="40580">
      <c r="D40580" s="39"/>
      <c r="E40580" s="39"/>
      <c r="F40580" s="39"/>
    </row>
    <row r="40581">
      <c r="D40581" s="39"/>
      <c r="E40581" s="39"/>
      <c r="F40581" s="39"/>
    </row>
    <row r="40582">
      <c r="D40582" s="39"/>
      <c r="E40582" s="39"/>
      <c r="F40582" s="39"/>
    </row>
    <row r="40583">
      <c r="D40583" s="39"/>
      <c r="E40583" s="39"/>
      <c r="F40583" s="39"/>
    </row>
    <row r="40584">
      <c r="D40584" s="39"/>
      <c r="E40584" s="39"/>
      <c r="F40584" s="39"/>
    </row>
    <row r="40585">
      <c r="D40585" s="39"/>
      <c r="E40585" s="39"/>
      <c r="F40585" s="39"/>
    </row>
    <row r="40586">
      <c r="D40586" s="39"/>
      <c r="E40586" s="39"/>
      <c r="F40586" s="39"/>
    </row>
    <row r="40587">
      <c r="D40587" s="39"/>
      <c r="E40587" s="39"/>
      <c r="F40587" s="39"/>
    </row>
    <row r="40588">
      <c r="D40588" s="39"/>
      <c r="E40588" s="39"/>
      <c r="F40588" s="39"/>
    </row>
    <row r="40589">
      <c r="D40589" s="39"/>
      <c r="E40589" s="39"/>
      <c r="F40589" s="39"/>
    </row>
    <row r="40590">
      <c r="D40590" s="39"/>
      <c r="E40590" s="39"/>
      <c r="F40590" s="39"/>
    </row>
    <row r="40591">
      <c r="D40591" s="39"/>
      <c r="E40591" s="39"/>
      <c r="F40591" s="39"/>
    </row>
    <row r="40592">
      <c r="D40592" s="39"/>
      <c r="E40592" s="39"/>
      <c r="F40592" s="39"/>
    </row>
    <row r="40593">
      <c r="D40593" s="39"/>
      <c r="E40593" s="39"/>
      <c r="F40593" s="39"/>
    </row>
    <row r="40594">
      <c r="D40594" s="39"/>
      <c r="E40594" s="39"/>
      <c r="F40594" s="39"/>
    </row>
    <row r="40595">
      <c r="D40595" s="39"/>
      <c r="E40595" s="39"/>
      <c r="F40595" s="39"/>
    </row>
    <row r="40596">
      <c r="D40596" s="39"/>
      <c r="E40596" s="39"/>
      <c r="F40596" s="39"/>
    </row>
    <row r="40597">
      <c r="D40597" s="39"/>
      <c r="E40597" s="39"/>
      <c r="F40597" s="39"/>
    </row>
    <row r="40598">
      <c r="D40598" s="39"/>
      <c r="E40598" s="39"/>
      <c r="F40598" s="39"/>
    </row>
    <row r="40599">
      <c r="D40599" s="39"/>
      <c r="E40599" s="39"/>
      <c r="F40599" s="39"/>
    </row>
    <row r="40600">
      <c r="D40600" s="39"/>
      <c r="E40600" s="39"/>
      <c r="F40600" s="39"/>
    </row>
    <row r="40601">
      <c r="D40601" s="39"/>
      <c r="E40601" s="39"/>
      <c r="F40601" s="39"/>
    </row>
    <row r="40602">
      <c r="D40602" s="39"/>
      <c r="E40602" s="39"/>
      <c r="F40602" s="39"/>
    </row>
    <row r="40603">
      <c r="D40603" s="39"/>
      <c r="E40603" s="39"/>
      <c r="F40603" s="39"/>
    </row>
    <row r="40604">
      <c r="D40604" s="39"/>
      <c r="E40604" s="39"/>
      <c r="F40604" s="39"/>
    </row>
    <row r="40605">
      <c r="D40605" s="39"/>
      <c r="E40605" s="39"/>
      <c r="F40605" s="39"/>
    </row>
    <row r="40606">
      <c r="D40606" s="39"/>
      <c r="E40606" s="39"/>
      <c r="F40606" s="39"/>
    </row>
    <row r="40607">
      <c r="D40607" s="39"/>
      <c r="E40607" s="39"/>
      <c r="F40607" s="39"/>
    </row>
    <row r="40608">
      <c r="D40608" s="39"/>
      <c r="E40608" s="39"/>
      <c r="F40608" s="39"/>
    </row>
    <row r="40609">
      <c r="D40609" s="39"/>
      <c r="E40609" s="39"/>
      <c r="F40609" s="39"/>
    </row>
    <row r="40610">
      <c r="D40610" s="39"/>
      <c r="E40610" s="39"/>
      <c r="F40610" s="39"/>
    </row>
    <row r="40611">
      <c r="D40611" s="39"/>
      <c r="E40611" s="39"/>
      <c r="F40611" s="39"/>
    </row>
    <row r="40612">
      <c r="D40612" s="39"/>
      <c r="E40612" s="39"/>
      <c r="F40612" s="39"/>
    </row>
    <row r="40613">
      <c r="D40613" s="39"/>
      <c r="E40613" s="39"/>
      <c r="F40613" s="39"/>
    </row>
    <row r="40614">
      <c r="D40614" s="39"/>
      <c r="E40614" s="39"/>
      <c r="F40614" s="39"/>
    </row>
    <row r="40615">
      <c r="D40615" s="39"/>
      <c r="E40615" s="39"/>
      <c r="F40615" s="39"/>
    </row>
    <row r="40616">
      <c r="D40616" s="39"/>
      <c r="E40616" s="39"/>
      <c r="F40616" s="39"/>
    </row>
    <row r="40617">
      <c r="D40617" s="39"/>
      <c r="E40617" s="39"/>
      <c r="F40617" s="39"/>
    </row>
    <row r="40618">
      <c r="D40618" s="39"/>
      <c r="E40618" s="39"/>
      <c r="F40618" s="39"/>
    </row>
    <row r="40619">
      <c r="D40619" s="39"/>
      <c r="E40619" s="39"/>
      <c r="F40619" s="39"/>
    </row>
    <row r="40620">
      <c r="D40620" s="39"/>
      <c r="E40620" s="39"/>
      <c r="F40620" s="39"/>
    </row>
    <row r="40621">
      <c r="D40621" s="39"/>
      <c r="E40621" s="39"/>
      <c r="F40621" s="39"/>
    </row>
    <row r="40622">
      <c r="D40622" s="39"/>
      <c r="E40622" s="39"/>
      <c r="F40622" s="39"/>
    </row>
    <row r="40623">
      <c r="D40623" s="39"/>
      <c r="E40623" s="39"/>
      <c r="F40623" s="39"/>
    </row>
    <row r="40624">
      <c r="D40624" s="39"/>
      <c r="E40624" s="39"/>
      <c r="F40624" s="39"/>
    </row>
    <row r="40625">
      <c r="D40625" s="39"/>
      <c r="E40625" s="39"/>
      <c r="F40625" s="39"/>
    </row>
    <row r="40626">
      <c r="D40626" s="39"/>
      <c r="E40626" s="39"/>
      <c r="F40626" s="39"/>
    </row>
    <row r="40627">
      <c r="D40627" s="39"/>
      <c r="E40627" s="39"/>
      <c r="F40627" s="39"/>
    </row>
    <row r="40628">
      <c r="D40628" s="39"/>
      <c r="E40628" s="39"/>
      <c r="F40628" s="39"/>
    </row>
    <row r="40629">
      <c r="D40629" s="39"/>
      <c r="E40629" s="39"/>
      <c r="F40629" s="39"/>
    </row>
    <row r="40630">
      <c r="D40630" s="39"/>
      <c r="E40630" s="39"/>
      <c r="F40630" s="39"/>
    </row>
    <row r="40631">
      <c r="D40631" s="39"/>
      <c r="E40631" s="39"/>
      <c r="F40631" s="39"/>
    </row>
    <row r="40632">
      <c r="D40632" s="39"/>
      <c r="E40632" s="39"/>
      <c r="F40632" s="39"/>
    </row>
    <row r="40633">
      <c r="D40633" s="39"/>
      <c r="E40633" s="39"/>
      <c r="F40633" s="39"/>
    </row>
    <row r="40634">
      <c r="D40634" s="39"/>
      <c r="E40634" s="39"/>
      <c r="F40634" s="39"/>
    </row>
    <row r="40635">
      <c r="D40635" s="39"/>
      <c r="E40635" s="39"/>
      <c r="F40635" s="39"/>
    </row>
    <row r="40636">
      <c r="D40636" s="39"/>
      <c r="E40636" s="39"/>
      <c r="F40636" s="39"/>
    </row>
    <row r="40637">
      <c r="D40637" s="39"/>
      <c r="E40637" s="39"/>
      <c r="F40637" s="39"/>
    </row>
    <row r="40638">
      <c r="D40638" s="39"/>
      <c r="E40638" s="39"/>
      <c r="F40638" s="39"/>
    </row>
    <row r="40639">
      <c r="D40639" s="39"/>
      <c r="E40639" s="39"/>
      <c r="F40639" s="39"/>
    </row>
    <row r="40640">
      <c r="D40640" s="39"/>
      <c r="E40640" s="39"/>
      <c r="F40640" s="39"/>
    </row>
    <row r="40641">
      <c r="D40641" s="39"/>
      <c r="E40641" s="39"/>
      <c r="F40641" s="39"/>
    </row>
    <row r="40642">
      <c r="D40642" s="39"/>
      <c r="E40642" s="39"/>
      <c r="F40642" s="39"/>
    </row>
    <row r="40643">
      <c r="D40643" s="39"/>
      <c r="E40643" s="39"/>
      <c r="F40643" s="39"/>
    </row>
    <row r="40644">
      <c r="D40644" s="39"/>
      <c r="E40644" s="39"/>
      <c r="F40644" s="39"/>
    </row>
    <row r="40645">
      <c r="D40645" s="39"/>
      <c r="E40645" s="39"/>
      <c r="F40645" s="39"/>
    </row>
    <row r="40646">
      <c r="D40646" s="39"/>
      <c r="E40646" s="39"/>
      <c r="F40646" s="39"/>
    </row>
    <row r="40647">
      <c r="D40647" s="39"/>
      <c r="E40647" s="39"/>
      <c r="F40647" s="39"/>
    </row>
    <row r="40648">
      <c r="D40648" s="39"/>
      <c r="E40648" s="39"/>
      <c r="F40648" s="39"/>
    </row>
    <row r="40649">
      <c r="D40649" s="39"/>
      <c r="E40649" s="39"/>
      <c r="F40649" s="39"/>
    </row>
    <row r="40650">
      <c r="D40650" s="39"/>
      <c r="E40650" s="39"/>
      <c r="F40650" s="39"/>
    </row>
    <row r="40651">
      <c r="D40651" s="39"/>
      <c r="E40651" s="39"/>
      <c r="F40651" s="39"/>
    </row>
    <row r="40652">
      <c r="D40652" s="39"/>
      <c r="E40652" s="39"/>
      <c r="F40652" s="39"/>
    </row>
    <row r="40653">
      <c r="D40653" s="39"/>
      <c r="E40653" s="39"/>
      <c r="F40653" s="39"/>
    </row>
    <row r="40654">
      <c r="D40654" s="39"/>
      <c r="E40654" s="39"/>
      <c r="F40654" s="39"/>
    </row>
    <row r="40655">
      <c r="D40655" s="39"/>
      <c r="E40655" s="39"/>
      <c r="F40655" s="39"/>
    </row>
    <row r="40656">
      <c r="D40656" s="39"/>
      <c r="E40656" s="39"/>
      <c r="F40656" s="39"/>
    </row>
    <row r="40657">
      <c r="D40657" s="39"/>
      <c r="E40657" s="39"/>
      <c r="F40657" s="39"/>
    </row>
    <row r="40658">
      <c r="D40658" s="39"/>
      <c r="E40658" s="39"/>
      <c r="F40658" s="39"/>
    </row>
    <row r="40659">
      <c r="D40659" s="39"/>
      <c r="E40659" s="39"/>
      <c r="F40659" s="39"/>
    </row>
    <row r="40660">
      <c r="D40660" s="39"/>
      <c r="E40660" s="39"/>
      <c r="F40660" s="39"/>
    </row>
    <row r="40661">
      <c r="D40661" s="39"/>
      <c r="E40661" s="39"/>
      <c r="F40661" s="39"/>
    </row>
    <row r="40662">
      <c r="D40662" s="39"/>
      <c r="E40662" s="39"/>
      <c r="F40662" s="39"/>
    </row>
    <row r="40663">
      <c r="D40663" s="39"/>
      <c r="E40663" s="39"/>
      <c r="F40663" s="39"/>
    </row>
    <row r="40664">
      <c r="D40664" s="39"/>
      <c r="E40664" s="39"/>
      <c r="F40664" s="39"/>
    </row>
    <row r="40665">
      <c r="D40665" s="39"/>
      <c r="E40665" s="39"/>
      <c r="F40665" s="39"/>
    </row>
    <row r="40666">
      <c r="D40666" s="39"/>
      <c r="E40666" s="39"/>
      <c r="F40666" s="39"/>
    </row>
    <row r="40667">
      <c r="D40667" s="39"/>
      <c r="E40667" s="39"/>
      <c r="F40667" s="39"/>
    </row>
    <row r="40668">
      <c r="D40668" s="39"/>
      <c r="E40668" s="39"/>
      <c r="F40668" s="39"/>
    </row>
    <row r="40669">
      <c r="D40669" s="39"/>
      <c r="E40669" s="39"/>
      <c r="F40669" s="39"/>
    </row>
    <row r="40670">
      <c r="D40670" s="39"/>
      <c r="E40670" s="39"/>
      <c r="F40670" s="39"/>
    </row>
    <row r="40671">
      <c r="D40671" s="39"/>
      <c r="E40671" s="39"/>
      <c r="F40671" s="39"/>
    </row>
    <row r="40672">
      <c r="D40672" s="39"/>
      <c r="E40672" s="39"/>
      <c r="F40672" s="39"/>
    </row>
    <row r="40673">
      <c r="D40673" s="39"/>
      <c r="E40673" s="39"/>
      <c r="F40673" s="39"/>
    </row>
    <row r="40674">
      <c r="D40674" s="39"/>
      <c r="E40674" s="39"/>
      <c r="F40674" s="39"/>
    </row>
    <row r="40675">
      <c r="D40675" s="39"/>
      <c r="E40675" s="39"/>
      <c r="F40675" s="39"/>
    </row>
    <row r="40676">
      <c r="D40676" s="39"/>
      <c r="E40676" s="39"/>
      <c r="F40676" s="39"/>
    </row>
    <row r="40677">
      <c r="D40677" s="39"/>
      <c r="E40677" s="39"/>
      <c r="F40677" s="39"/>
    </row>
    <row r="40678">
      <c r="D40678" s="39"/>
      <c r="E40678" s="39"/>
      <c r="F40678" s="39"/>
    </row>
    <row r="40679">
      <c r="D40679" s="39"/>
      <c r="E40679" s="39"/>
      <c r="F40679" s="39"/>
    </row>
    <row r="40680">
      <c r="D40680" s="39"/>
      <c r="E40680" s="39"/>
      <c r="F40680" s="39"/>
    </row>
    <row r="40681">
      <c r="D40681" s="39"/>
      <c r="E40681" s="39"/>
      <c r="F40681" s="39"/>
    </row>
    <row r="40682">
      <c r="D40682" s="39"/>
      <c r="E40682" s="39"/>
      <c r="F40682" s="39"/>
    </row>
    <row r="40683">
      <c r="D40683" s="39"/>
      <c r="E40683" s="39"/>
      <c r="F40683" s="39"/>
    </row>
    <row r="40684">
      <c r="D40684" s="39"/>
      <c r="E40684" s="39"/>
      <c r="F40684" s="39"/>
    </row>
    <row r="40685">
      <c r="D40685" s="39"/>
      <c r="E40685" s="39"/>
      <c r="F40685" s="39"/>
    </row>
    <row r="40686">
      <c r="D40686" s="39"/>
      <c r="E40686" s="39"/>
      <c r="F40686" s="39"/>
    </row>
    <row r="40687">
      <c r="D40687" s="39"/>
      <c r="E40687" s="39"/>
      <c r="F40687" s="39"/>
    </row>
    <row r="40688">
      <c r="D40688" s="39"/>
      <c r="E40688" s="39"/>
      <c r="F40688" s="39"/>
    </row>
    <row r="40689">
      <c r="D40689" s="39"/>
      <c r="E40689" s="39"/>
      <c r="F40689" s="39"/>
    </row>
    <row r="40690">
      <c r="D40690" s="39"/>
      <c r="E40690" s="39"/>
      <c r="F40690" s="39"/>
    </row>
    <row r="40691">
      <c r="D40691" s="39"/>
      <c r="E40691" s="39"/>
      <c r="F40691" s="39"/>
    </row>
    <row r="40692">
      <c r="D40692" s="39"/>
      <c r="E40692" s="39"/>
      <c r="F40692" s="39"/>
    </row>
    <row r="40693">
      <c r="D40693" s="39"/>
      <c r="E40693" s="39"/>
      <c r="F40693" s="39"/>
    </row>
    <row r="40694">
      <c r="D40694" s="39"/>
      <c r="E40694" s="39"/>
      <c r="F40694" s="39"/>
    </row>
    <row r="40695">
      <c r="D40695" s="39"/>
      <c r="E40695" s="39"/>
      <c r="F40695" s="39"/>
    </row>
    <row r="40696">
      <c r="D40696" s="39"/>
      <c r="E40696" s="39"/>
      <c r="F40696" s="39"/>
    </row>
    <row r="40697">
      <c r="D40697" s="39"/>
      <c r="E40697" s="39"/>
      <c r="F40697" s="39"/>
    </row>
    <row r="40698">
      <c r="D40698" s="39"/>
      <c r="E40698" s="39"/>
      <c r="F40698" s="39"/>
    </row>
    <row r="40699">
      <c r="D40699" s="39"/>
      <c r="E40699" s="39"/>
      <c r="F40699" s="39"/>
    </row>
    <row r="40700">
      <c r="D40700" s="39"/>
      <c r="E40700" s="39"/>
      <c r="F40700" s="39"/>
    </row>
    <row r="40701">
      <c r="D40701" s="39"/>
      <c r="E40701" s="39"/>
      <c r="F40701" s="39"/>
    </row>
    <row r="40702">
      <c r="D40702" s="39"/>
      <c r="E40702" s="39"/>
      <c r="F40702" s="39"/>
    </row>
    <row r="40703">
      <c r="D40703" s="39"/>
      <c r="E40703" s="39"/>
      <c r="F40703" s="39"/>
    </row>
    <row r="40704">
      <c r="D40704" s="39"/>
      <c r="E40704" s="39"/>
      <c r="F40704" s="39"/>
    </row>
    <row r="40705">
      <c r="D40705" s="39"/>
      <c r="E40705" s="39"/>
      <c r="F40705" s="39"/>
    </row>
    <row r="40706">
      <c r="D40706" s="39"/>
      <c r="E40706" s="39"/>
      <c r="F40706" s="39"/>
    </row>
    <row r="40707">
      <c r="D40707" s="39"/>
      <c r="E40707" s="39"/>
      <c r="F40707" s="39"/>
    </row>
    <row r="40708">
      <c r="D40708" s="39"/>
      <c r="E40708" s="39"/>
      <c r="F40708" s="39"/>
    </row>
    <row r="40709">
      <c r="D40709" s="39"/>
      <c r="E40709" s="39"/>
      <c r="F40709" s="39"/>
    </row>
    <row r="40710">
      <c r="D40710" s="39"/>
      <c r="E40710" s="39"/>
      <c r="F40710" s="39"/>
    </row>
    <row r="40711">
      <c r="D40711" s="39"/>
      <c r="E40711" s="39"/>
      <c r="F40711" s="39"/>
    </row>
    <row r="40712">
      <c r="D40712" s="39"/>
      <c r="E40712" s="39"/>
      <c r="F40712" s="39"/>
    </row>
    <row r="40713">
      <c r="D40713" s="39"/>
      <c r="E40713" s="39"/>
      <c r="F40713" s="39"/>
    </row>
    <row r="40714">
      <c r="D40714" s="39"/>
      <c r="E40714" s="39"/>
      <c r="F40714" s="39"/>
    </row>
    <row r="40715">
      <c r="D40715" s="39"/>
      <c r="E40715" s="39"/>
      <c r="F40715" s="39"/>
    </row>
    <row r="40716">
      <c r="D40716" s="39"/>
      <c r="E40716" s="39"/>
      <c r="F40716" s="39"/>
    </row>
    <row r="40717">
      <c r="D40717" s="39"/>
      <c r="E40717" s="39"/>
      <c r="F40717" s="39"/>
    </row>
    <row r="40718">
      <c r="D40718" s="39"/>
      <c r="E40718" s="39"/>
      <c r="F40718" s="39"/>
    </row>
    <row r="40719">
      <c r="D40719" s="39"/>
      <c r="E40719" s="39"/>
      <c r="F40719" s="39"/>
    </row>
    <row r="40720">
      <c r="D40720" s="39"/>
      <c r="E40720" s="39"/>
      <c r="F40720" s="39"/>
    </row>
    <row r="40721">
      <c r="D40721" s="39"/>
      <c r="E40721" s="39"/>
      <c r="F40721" s="39"/>
    </row>
    <row r="40722">
      <c r="D40722" s="39"/>
      <c r="E40722" s="39"/>
      <c r="F40722" s="39"/>
    </row>
    <row r="40723">
      <c r="D40723" s="39"/>
      <c r="E40723" s="39"/>
      <c r="F40723" s="39"/>
    </row>
    <row r="40724">
      <c r="D40724" s="39"/>
      <c r="E40724" s="39"/>
      <c r="F40724" s="39"/>
    </row>
    <row r="40725">
      <c r="D40725" s="39"/>
      <c r="E40725" s="39"/>
      <c r="F40725" s="39"/>
    </row>
    <row r="40726">
      <c r="D40726" s="39"/>
      <c r="E40726" s="39"/>
      <c r="F40726" s="39"/>
    </row>
    <row r="40727">
      <c r="D40727" s="39"/>
      <c r="E40727" s="39"/>
      <c r="F40727" s="39"/>
    </row>
    <row r="40728">
      <c r="D40728" s="39"/>
      <c r="E40728" s="39"/>
      <c r="F40728" s="39"/>
    </row>
    <row r="40729">
      <c r="D40729" s="39"/>
      <c r="E40729" s="39"/>
      <c r="F40729" s="39"/>
    </row>
    <row r="40730">
      <c r="D40730" s="39"/>
      <c r="E40730" s="39"/>
      <c r="F40730" s="39"/>
    </row>
    <row r="40731">
      <c r="D40731" s="39"/>
      <c r="E40731" s="39"/>
      <c r="F40731" s="39"/>
    </row>
    <row r="40732">
      <c r="D40732" s="39"/>
      <c r="E40732" s="39"/>
      <c r="F40732" s="39"/>
    </row>
    <row r="40733">
      <c r="D40733" s="39"/>
      <c r="E40733" s="39"/>
      <c r="F40733" s="39"/>
    </row>
    <row r="40734">
      <c r="D40734" s="39"/>
      <c r="E40734" s="39"/>
      <c r="F40734" s="39"/>
    </row>
    <row r="40735">
      <c r="D40735" s="39"/>
      <c r="E40735" s="39"/>
      <c r="F40735" s="39"/>
    </row>
    <row r="40736">
      <c r="D40736" s="39"/>
      <c r="E40736" s="39"/>
      <c r="F40736" s="39"/>
    </row>
    <row r="40737">
      <c r="D40737" s="39"/>
      <c r="E40737" s="39"/>
      <c r="F40737" s="39"/>
    </row>
    <row r="40738">
      <c r="D40738" s="39"/>
      <c r="E40738" s="39"/>
      <c r="F40738" s="39"/>
    </row>
    <row r="40739">
      <c r="D40739" s="39"/>
      <c r="E40739" s="39"/>
      <c r="F40739" s="39"/>
    </row>
    <row r="40740">
      <c r="D40740" s="39"/>
      <c r="E40740" s="39"/>
      <c r="F40740" s="39"/>
    </row>
    <row r="40741">
      <c r="D40741" s="39"/>
      <c r="E40741" s="39"/>
      <c r="F40741" s="39"/>
    </row>
    <row r="40742">
      <c r="D40742" s="39"/>
      <c r="E40742" s="39"/>
      <c r="F40742" s="39"/>
    </row>
    <row r="40743">
      <c r="D40743" s="39"/>
      <c r="E40743" s="39"/>
      <c r="F40743" s="39"/>
    </row>
    <row r="40744">
      <c r="D40744" s="39"/>
      <c r="E40744" s="39"/>
      <c r="F40744" s="39"/>
    </row>
    <row r="40745">
      <c r="D40745" s="39"/>
      <c r="E40745" s="39"/>
      <c r="F40745" s="39"/>
    </row>
    <row r="40746">
      <c r="D40746" s="39"/>
      <c r="E40746" s="39"/>
      <c r="F40746" s="39"/>
    </row>
    <row r="40747">
      <c r="D40747" s="39"/>
      <c r="E40747" s="39"/>
      <c r="F40747" s="39"/>
    </row>
    <row r="40748">
      <c r="D40748" s="39"/>
      <c r="E40748" s="39"/>
      <c r="F40748" s="39"/>
    </row>
    <row r="40749">
      <c r="D40749" s="39"/>
      <c r="E40749" s="39"/>
      <c r="F40749" s="39"/>
    </row>
    <row r="40750">
      <c r="D40750" s="39"/>
      <c r="E40750" s="39"/>
      <c r="F40750" s="39"/>
    </row>
    <row r="40751">
      <c r="D40751" s="39"/>
      <c r="E40751" s="39"/>
      <c r="F40751" s="39"/>
    </row>
    <row r="40752">
      <c r="D40752" s="39"/>
      <c r="E40752" s="39"/>
      <c r="F40752" s="39"/>
    </row>
    <row r="40753">
      <c r="D40753" s="39"/>
      <c r="E40753" s="39"/>
      <c r="F40753" s="39"/>
    </row>
    <row r="40754">
      <c r="D40754" s="39"/>
      <c r="E40754" s="39"/>
      <c r="F40754" s="39"/>
    </row>
    <row r="40755">
      <c r="D40755" s="39"/>
      <c r="E40755" s="39"/>
      <c r="F40755" s="39"/>
    </row>
    <row r="40756">
      <c r="D40756" s="39"/>
      <c r="E40756" s="39"/>
      <c r="F40756" s="39"/>
    </row>
    <row r="40757">
      <c r="D40757" s="39"/>
      <c r="E40757" s="39"/>
      <c r="F40757" s="39"/>
    </row>
    <row r="40758">
      <c r="D40758" s="39"/>
      <c r="E40758" s="39"/>
      <c r="F40758" s="39"/>
    </row>
    <row r="40759">
      <c r="D40759" s="39"/>
      <c r="E40759" s="39"/>
      <c r="F40759" s="39"/>
    </row>
    <row r="40760">
      <c r="D40760" s="39"/>
      <c r="E40760" s="39"/>
      <c r="F40760" s="39"/>
    </row>
    <row r="40761">
      <c r="D40761" s="39"/>
      <c r="E40761" s="39"/>
      <c r="F40761" s="39"/>
    </row>
    <row r="40762">
      <c r="D40762" s="39"/>
      <c r="E40762" s="39"/>
      <c r="F40762" s="39"/>
    </row>
    <row r="40763">
      <c r="D40763" s="39"/>
      <c r="E40763" s="39"/>
      <c r="F40763" s="39"/>
    </row>
    <row r="40764">
      <c r="D40764" s="39"/>
      <c r="E40764" s="39"/>
      <c r="F40764" s="39"/>
    </row>
    <row r="40765">
      <c r="D40765" s="39"/>
      <c r="E40765" s="39"/>
      <c r="F40765" s="39"/>
    </row>
    <row r="40766">
      <c r="D40766" s="39"/>
      <c r="E40766" s="39"/>
      <c r="F40766" s="39"/>
    </row>
    <row r="40767">
      <c r="D40767" s="39"/>
      <c r="E40767" s="39"/>
      <c r="F40767" s="39"/>
    </row>
    <row r="40768">
      <c r="D40768" s="39"/>
      <c r="E40768" s="39"/>
      <c r="F40768" s="39"/>
    </row>
    <row r="40769">
      <c r="D40769" s="39"/>
      <c r="E40769" s="39"/>
      <c r="F40769" s="39"/>
    </row>
    <row r="40770">
      <c r="D40770" s="39"/>
      <c r="E40770" s="39"/>
      <c r="F40770" s="39"/>
    </row>
    <row r="40771">
      <c r="D40771" s="39"/>
      <c r="E40771" s="39"/>
      <c r="F40771" s="39"/>
    </row>
    <row r="40772">
      <c r="D40772" s="39"/>
      <c r="E40772" s="39"/>
      <c r="F40772" s="39"/>
    </row>
    <row r="40773">
      <c r="D40773" s="39"/>
      <c r="E40773" s="39"/>
      <c r="F40773" s="39"/>
    </row>
    <row r="40774">
      <c r="D40774" s="39"/>
      <c r="E40774" s="39"/>
      <c r="F40774" s="39"/>
    </row>
    <row r="40775">
      <c r="D40775" s="39"/>
      <c r="E40775" s="39"/>
      <c r="F40775" s="39"/>
    </row>
    <row r="40776">
      <c r="D40776" s="39"/>
      <c r="E40776" s="39"/>
      <c r="F40776" s="39"/>
    </row>
    <row r="40777">
      <c r="D40777" s="39"/>
      <c r="E40777" s="39"/>
      <c r="F40777" s="39"/>
    </row>
    <row r="40778">
      <c r="D40778" s="39"/>
      <c r="E40778" s="39"/>
      <c r="F40778" s="39"/>
    </row>
    <row r="40779">
      <c r="D40779" s="39"/>
      <c r="E40779" s="39"/>
      <c r="F40779" s="39"/>
    </row>
    <row r="40780">
      <c r="D40780" s="39"/>
      <c r="E40780" s="39"/>
      <c r="F40780" s="39"/>
    </row>
    <row r="40781">
      <c r="D40781" s="39"/>
      <c r="E40781" s="39"/>
      <c r="F40781" s="39"/>
    </row>
    <row r="40782">
      <c r="D40782" s="39"/>
      <c r="E40782" s="39"/>
      <c r="F40782" s="39"/>
    </row>
    <row r="40783">
      <c r="D40783" s="39"/>
      <c r="E40783" s="39"/>
      <c r="F40783" s="39"/>
    </row>
    <row r="40784">
      <c r="D40784" s="39"/>
      <c r="E40784" s="39"/>
      <c r="F40784" s="39"/>
    </row>
    <row r="40785">
      <c r="D40785" s="39"/>
      <c r="E40785" s="39"/>
      <c r="F40785" s="39"/>
    </row>
    <row r="40786">
      <c r="D40786" s="39"/>
      <c r="E40786" s="39"/>
      <c r="F40786" s="39"/>
    </row>
    <row r="40787">
      <c r="D40787" s="39"/>
      <c r="E40787" s="39"/>
      <c r="F40787" s="39"/>
    </row>
    <row r="40788">
      <c r="D40788" s="39"/>
      <c r="E40788" s="39"/>
      <c r="F40788" s="39"/>
    </row>
    <row r="40789">
      <c r="D40789" s="39"/>
      <c r="E40789" s="39"/>
      <c r="F40789" s="39"/>
    </row>
    <row r="40790">
      <c r="D40790" s="39"/>
      <c r="E40790" s="39"/>
      <c r="F40790" s="39"/>
    </row>
    <row r="40791">
      <c r="D40791" s="39"/>
      <c r="E40791" s="39"/>
      <c r="F40791" s="39"/>
    </row>
    <row r="40792">
      <c r="D40792" s="39"/>
      <c r="E40792" s="39"/>
      <c r="F40792" s="39"/>
    </row>
    <row r="40793">
      <c r="D40793" s="39"/>
      <c r="E40793" s="39"/>
      <c r="F40793" s="39"/>
    </row>
    <row r="40794">
      <c r="D40794" s="39"/>
      <c r="E40794" s="39"/>
      <c r="F40794" s="39"/>
    </row>
    <row r="40795">
      <c r="D40795" s="39"/>
      <c r="E40795" s="39"/>
      <c r="F40795" s="39"/>
    </row>
    <row r="40796">
      <c r="D40796" s="39"/>
      <c r="E40796" s="39"/>
      <c r="F40796" s="39"/>
    </row>
    <row r="40797">
      <c r="D40797" s="39"/>
      <c r="E40797" s="39"/>
      <c r="F40797" s="39"/>
    </row>
    <row r="40798">
      <c r="D40798" s="39"/>
      <c r="E40798" s="39"/>
      <c r="F40798" s="39"/>
    </row>
    <row r="40799">
      <c r="D40799" s="39"/>
      <c r="E40799" s="39"/>
      <c r="F40799" s="39"/>
    </row>
    <row r="40800">
      <c r="D40800" s="39"/>
      <c r="E40800" s="39"/>
      <c r="F40800" s="39"/>
    </row>
    <row r="40801">
      <c r="D40801" s="39"/>
      <c r="E40801" s="39"/>
      <c r="F40801" s="39"/>
    </row>
    <row r="40802">
      <c r="D40802" s="39"/>
      <c r="E40802" s="39"/>
      <c r="F40802" s="39"/>
    </row>
    <row r="40803">
      <c r="D40803" s="39"/>
      <c r="E40803" s="39"/>
      <c r="F40803" s="39"/>
    </row>
    <row r="40804">
      <c r="D40804" s="39"/>
      <c r="E40804" s="39"/>
      <c r="F40804" s="39"/>
    </row>
    <row r="40805">
      <c r="D40805" s="39"/>
      <c r="E40805" s="39"/>
      <c r="F40805" s="39"/>
    </row>
    <row r="40806">
      <c r="D40806" s="39"/>
      <c r="E40806" s="39"/>
      <c r="F40806" s="39"/>
    </row>
    <row r="40807">
      <c r="D40807" s="39"/>
      <c r="E40807" s="39"/>
      <c r="F40807" s="39"/>
    </row>
    <row r="40808">
      <c r="D40808" s="39"/>
      <c r="E40808" s="39"/>
      <c r="F40808" s="39"/>
    </row>
    <row r="40809">
      <c r="D40809" s="39"/>
      <c r="E40809" s="39"/>
      <c r="F40809" s="39"/>
    </row>
    <row r="40810">
      <c r="D40810" s="39"/>
      <c r="E40810" s="39"/>
      <c r="F40810" s="39"/>
    </row>
    <row r="40811">
      <c r="D40811" s="39"/>
      <c r="E40811" s="39"/>
      <c r="F40811" s="39"/>
    </row>
    <row r="40812">
      <c r="D40812" s="39"/>
      <c r="E40812" s="39"/>
      <c r="F40812" s="39"/>
    </row>
    <row r="40813">
      <c r="D40813" s="39"/>
      <c r="E40813" s="39"/>
      <c r="F40813" s="39"/>
    </row>
    <row r="40814">
      <c r="D40814" s="39"/>
      <c r="E40814" s="39"/>
      <c r="F40814" s="39"/>
    </row>
    <row r="40815">
      <c r="D40815" s="39"/>
      <c r="E40815" s="39"/>
      <c r="F40815" s="39"/>
    </row>
    <row r="40816">
      <c r="D40816" s="39"/>
      <c r="E40816" s="39"/>
      <c r="F40816" s="39"/>
    </row>
    <row r="40817">
      <c r="D40817" s="39"/>
      <c r="E40817" s="39"/>
      <c r="F40817" s="39"/>
    </row>
    <row r="40818">
      <c r="D40818" s="39"/>
      <c r="E40818" s="39"/>
      <c r="F40818" s="39"/>
    </row>
    <row r="40819">
      <c r="D40819" s="39"/>
      <c r="E40819" s="39"/>
      <c r="F40819" s="39"/>
    </row>
    <row r="40820">
      <c r="D40820" s="39"/>
      <c r="E40820" s="39"/>
      <c r="F40820" s="39"/>
    </row>
    <row r="40821">
      <c r="D40821" s="39"/>
      <c r="E40821" s="39"/>
      <c r="F40821" s="39"/>
    </row>
    <row r="40822">
      <c r="D40822" s="39"/>
      <c r="E40822" s="39"/>
      <c r="F40822" s="39"/>
    </row>
    <row r="40823">
      <c r="D40823" s="39"/>
      <c r="E40823" s="39"/>
      <c r="F40823" s="39"/>
    </row>
    <row r="40824">
      <c r="D40824" s="39"/>
      <c r="E40824" s="39"/>
      <c r="F40824" s="39"/>
    </row>
    <row r="40825">
      <c r="D40825" s="39"/>
      <c r="E40825" s="39"/>
      <c r="F40825" s="39"/>
    </row>
    <row r="40826">
      <c r="D40826" s="39"/>
      <c r="E40826" s="39"/>
      <c r="F40826" s="39"/>
    </row>
    <row r="40827">
      <c r="D40827" s="39"/>
      <c r="E40827" s="39"/>
      <c r="F40827" s="39"/>
    </row>
    <row r="40828">
      <c r="D40828" s="39"/>
      <c r="E40828" s="39"/>
      <c r="F40828" s="39"/>
    </row>
    <row r="40829">
      <c r="D40829" s="39"/>
      <c r="E40829" s="39"/>
      <c r="F40829" s="39"/>
    </row>
    <row r="40830">
      <c r="D40830" s="39"/>
      <c r="E40830" s="39"/>
      <c r="F40830" s="39"/>
    </row>
    <row r="40831">
      <c r="D40831" s="39"/>
      <c r="E40831" s="39"/>
      <c r="F40831" s="39"/>
    </row>
    <row r="40832">
      <c r="D40832" s="39"/>
      <c r="E40832" s="39"/>
      <c r="F40832" s="39"/>
    </row>
    <row r="40833">
      <c r="D40833" s="39"/>
      <c r="E40833" s="39"/>
      <c r="F40833" s="39"/>
    </row>
    <row r="40834">
      <c r="D40834" s="39"/>
      <c r="E40834" s="39"/>
      <c r="F40834" s="39"/>
    </row>
    <row r="40835">
      <c r="D40835" s="39"/>
      <c r="E40835" s="39"/>
      <c r="F40835" s="39"/>
    </row>
    <row r="40836">
      <c r="D40836" s="39"/>
      <c r="E40836" s="39"/>
      <c r="F40836" s="39"/>
    </row>
    <row r="40837">
      <c r="D40837" s="39"/>
      <c r="E40837" s="39"/>
      <c r="F40837" s="39"/>
    </row>
    <row r="40838">
      <c r="D40838" s="39"/>
      <c r="E40838" s="39"/>
      <c r="F40838" s="39"/>
    </row>
    <row r="40839">
      <c r="D40839" s="39"/>
      <c r="E40839" s="39"/>
      <c r="F40839" s="39"/>
    </row>
    <row r="40840">
      <c r="D40840" s="39"/>
      <c r="E40840" s="39"/>
      <c r="F40840" s="39"/>
    </row>
    <row r="40841">
      <c r="D40841" s="39"/>
      <c r="E40841" s="39"/>
      <c r="F40841" s="39"/>
    </row>
    <row r="40842">
      <c r="D40842" s="39"/>
      <c r="E40842" s="39"/>
      <c r="F40842" s="39"/>
    </row>
    <row r="40843">
      <c r="D40843" s="39"/>
      <c r="E40843" s="39"/>
      <c r="F40843" s="39"/>
    </row>
    <row r="40844">
      <c r="D40844" s="39"/>
      <c r="E40844" s="39"/>
      <c r="F40844" s="39"/>
    </row>
    <row r="40845">
      <c r="D40845" s="39"/>
      <c r="E40845" s="39"/>
      <c r="F40845" s="39"/>
    </row>
    <row r="40846">
      <c r="D40846" s="39"/>
      <c r="E40846" s="39"/>
      <c r="F40846" s="39"/>
    </row>
    <row r="40847">
      <c r="D40847" s="39"/>
      <c r="E40847" s="39"/>
      <c r="F40847" s="39"/>
    </row>
    <row r="40848">
      <c r="D40848" s="39"/>
      <c r="E40848" s="39"/>
      <c r="F40848" s="39"/>
    </row>
    <row r="40849">
      <c r="D40849" s="39"/>
      <c r="E40849" s="39"/>
      <c r="F40849" s="39"/>
    </row>
    <row r="40850">
      <c r="D40850" s="39"/>
      <c r="E40850" s="39"/>
      <c r="F40850" s="39"/>
    </row>
    <row r="40851">
      <c r="D40851" s="39"/>
      <c r="E40851" s="39"/>
      <c r="F40851" s="39"/>
    </row>
    <row r="40852">
      <c r="D40852" s="39"/>
      <c r="E40852" s="39"/>
      <c r="F40852" s="39"/>
    </row>
    <row r="40853">
      <c r="D40853" s="39"/>
      <c r="E40853" s="39"/>
      <c r="F40853" s="39"/>
    </row>
    <row r="40854">
      <c r="D40854" s="39"/>
      <c r="E40854" s="39"/>
      <c r="F40854" s="39"/>
    </row>
    <row r="40855">
      <c r="D40855" s="39"/>
      <c r="E40855" s="39"/>
      <c r="F40855" s="39"/>
    </row>
    <row r="40856">
      <c r="D40856" s="39"/>
      <c r="E40856" s="39"/>
      <c r="F40856" s="39"/>
    </row>
    <row r="40857">
      <c r="D40857" s="39"/>
      <c r="E40857" s="39"/>
      <c r="F40857" s="39"/>
    </row>
    <row r="40858">
      <c r="D40858" s="39"/>
      <c r="E40858" s="39"/>
      <c r="F40858" s="39"/>
    </row>
    <row r="40859">
      <c r="D40859" s="39"/>
      <c r="E40859" s="39"/>
      <c r="F40859" s="39"/>
    </row>
    <row r="40860">
      <c r="D40860" s="39"/>
      <c r="E40860" s="39"/>
      <c r="F40860" s="39"/>
    </row>
    <row r="40861">
      <c r="D40861" s="39"/>
      <c r="E40861" s="39"/>
      <c r="F40861" s="39"/>
    </row>
    <row r="40862">
      <c r="D40862" s="39"/>
      <c r="E40862" s="39"/>
      <c r="F40862" s="39"/>
    </row>
    <row r="40863">
      <c r="D40863" s="39"/>
      <c r="E40863" s="39"/>
      <c r="F40863" s="39"/>
    </row>
    <row r="40864">
      <c r="D40864" s="39"/>
      <c r="E40864" s="39"/>
      <c r="F40864" s="39"/>
    </row>
    <row r="40865">
      <c r="D40865" s="39"/>
      <c r="E40865" s="39"/>
      <c r="F40865" s="39"/>
    </row>
    <row r="40866">
      <c r="D40866" s="39"/>
      <c r="E40866" s="39"/>
      <c r="F40866" s="39"/>
    </row>
    <row r="40867">
      <c r="D40867" s="39"/>
      <c r="E40867" s="39"/>
      <c r="F40867" s="39"/>
    </row>
    <row r="40868">
      <c r="D40868" s="39"/>
      <c r="E40868" s="39"/>
      <c r="F40868" s="39"/>
    </row>
    <row r="40869">
      <c r="D40869" s="39"/>
      <c r="E40869" s="39"/>
      <c r="F40869" s="39"/>
    </row>
    <row r="40870">
      <c r="D40870" s="39"/>
      <c r="E40870" s="39"/>
      <c r="F40870" s="39"/>
    </row>
    <row r="40871">
      <c r="D40871" s="39"/>
      <c r="E40871" s="39"/>
      <c r="F40871" s="39"/>
    </row>
    <row r="40872">
      <c r="D40872" s="39"/>
      <c r="E40872" s="39"/>
      <c r="F40872" s="39"/>
    </row>
    <row r="40873">
      <c r="D40873" s="39"/>
      <c r="E40873" s="39"/>
      <c r="F40873" s="39"/>
    </row>
    <row r="40874">
      <c r="D40874" s="39"/>
      <c r="E40874" s="39"/>
      <c r="F40874" s="39"/>
    </row>
    <row r="40875">
      <c r="D40875" s="39"/>
      <c r="E40875" s="39"/>
      <c r="F40875" s="39"/>
    </row>
    <row r="40876">
      <c r="D40876" s="39"/>
      <c r="E40876" s="39"/>
      <c r="F40876" s="39"/>
    </row>
    <row r="40877">
      <c r="D40877" s="39"/>
      <c r="E40877" s="39"/>
      <c r="F40877" s="39"/>
    </row>
    <row r="40878">
      <c r="D40878" s="39"/>
      <c r="E40878" s="39"/>
      <c r="F40878" s="39"/>
    </row>
    <row r="40879">
      <c r="D40879" s="39"/>
      <c r="E40879" s="39"/>
      <c r="F40879" s="39"/>
    </row>
    <row r="40880">
      <c r="D40880" s="39"/>
      <c r="E40880" s="39"/>
      <c r="F40880" s="39"/>
    </row>
    <row r="40881">
      <c r="D40881" s="39"/>
      <c r="E40881" s="39"/>
      <c r="F40881" s="39"/>
    </row>
    <row r="40882">
      <c r="D40882" s="39"/>
      <c r="E40882" s="39"/>
      <c r="F40882" s="39"/>
    </row>
    <row r="40883">
      <c r="D40883" s="39"/>
      <c r="E40883" s="39"/>
      <c r="F40883" s="39"/>
    </row>
    <row r="40884">
      <c r="D40884" s="39"/>
      <c r="E40884" s="39"/>
      <c r="F40884" s="39"/>
    </row>
    <row r="40885">
      <c r="D40885" s="39"/>
      <c r="E40885" s="39"/>
      <c r="F40885" s="39"/>
    </row>
    <row r="40886">
      <c r="D40886" s="39"/>
      <c r="E40886" s="39"/>
      <c r="F40886" s="39"/>
    </row>
    <row r="40887">
      <c r="D40887" s="39"/>
      <c r="E40887" s="39"/>
      <c r="F40887" s="39"/>
    </row>
    <row r="40888">
      <c r="D40888" s="39"/>
      <c r="E40888" s="39"/>
      <c r="F40888" s="39"/>
    </row>
    <row r="40889">
      <c r="D40889" s="39"/>
      <c r="E40889" s="39"/>
      <c r="F40889" s="39"/>
    </row>
    <row r="40890">
      <c r="D40890" s="39"/>
      <c r="E40890" s="39"/>
      <c r="F40890" s="39"/>
    </row>
    <row r="40891">
      <c r="D40891" s="39"/>
      <c r="E40891" s="39"/>
      <c r="F40891" s="39"/>
    </row>
    <row r="40892">
      <c r="D40892" s="39"/>
      <c r="E40892" s="39"/>
      <c r="F40892" s="39"/>
    </row>
    <row r="40893">
      <c r="D40893" s="39"/>
      <c r="E40893" s="39"/>
      <c r="F40893" s="39"/>
    </row>
    <row r="40894">
      <c r="D40894" s="39"/>
      <c r="E40894" s="39"/>
      <c r="F40894" s="39"/>
    </row>
    <row r="40895">
      <c r="D40895" s="39"/>
      <c r="E40895" s="39"/>
      <c r="F40895" s="39"/>
    </row>
    <row r="40896">
      <c r="D40896" s="39"/>
      <c r="E40896" s="39"/>
      <c r="F40896" s="39"/>
    </row>
    <row r="40897">
      <c r="D40897" s="39"/>
      <c r="E40897" s="39"/>
      <c r="F40897" s="39"/>
    </row>
    <row r="40898">
      <c r="D40898" s="39"/>
      <c r="E40898" s="39"/>
      <c r="F40898" s="39"/>
    </row>
    <row r="40899">
      <c r="D40899" s="39"/>
      <c r="E40899" s="39"/>
      <c r="F40899" s="39"/>
    </row>
    <row r="40900">
      <c r="D40900" s="39"/>
      <c r="E40900" s="39"/>
      <c r="F40900" s="39"/>
    </row>
    <row r="40901">
      <c r="D40901" s="39"/>
      <c r="E40901" s="39"/>
      <c r="F40901" s="39"/>
    </row>
    <row r="40902">
      <c r="D40902" s="39"/>
      <c r="E40902" s="39"/>
      <c r="F40902" s="39"/>
    </row>
    <row r="40903">
      <c r="D40903" s="39"/>
      <c r="E40903" s="39"/>
      <c r="F40903" s="39"/>
    </row>
    <row r="40904">
      <c r="D40904" s="39"/>
      <c r="E40904" s="39"/>
      <c r="F40904" s="39"/>
    </row>
    <row r="40905">
      <c r="D40905" s="39"/>
      <c r="E40905" s="39"/>
      <c r="F40905" s="39"/>
    </row>
    <row r="40906">
      <c r="D40906" s="39"/>
      <c r="E40906" s="39"/>
      <c r="F40906" s="39"/>
    </row>
    <row r="40907">
      <c r="D40907" s="39"/>
      <c r="E40907" s="39"/>
      <c r="F40907" s="39"/>
    </row>
    <row r="40908">
      <c r="D40908" s="39"/>
      <c r="E40908" s="39"/>
      <c r="F40908" s="39"/>
    </row>
    <row r="40909">
      <c r="D40909" s="39"/>
      <c r="E40909" s="39"/>
      <c r="F40909" s="39"/>
    </row>
    <row r="40910">
      <c r="D40910" s="39"/>
      <c r="E40910" s="39"/>
      <c r="F40910" s="39"/>
    </row>
    <row r="40911">
      <c r="D40911" s="39"/>
      <c r="E40911" s="39"/>
      <c r="F40911" s="39"/>
    </row>
    <row r="40912">
      <c r="D40912" s="39"/>
      <c r="E40912" s="39"/>
      <c r="F40912" s="39"/>
    </row>
    <row r="40913">
      <c r="D40913" s="39"/>
      <c r="E40913" s="39"/>
      <c r="F40913" s="39"/>
    </row>
    <row r="40914">
      <c r="D40914" s="39"/>
      <c r="E40914" s="39"/>
      <c r="F40914" s="39"/>
    </row>
    <row r="40915">
      <c r="D40915" s="39"/>
      <c r="E40915" s="39"/>
      <c r="F40915" s="39"/>
    </row>
    <row r="40916">
      <c r="D40916" s="39"/>
      <c r="E40916" s="39"/>
      <c r="F40916" s="39"/>
    </row>
    <row r="40917">
      <c r="D40917" s="39"/>
      <c r="E40917" s="39"/>
      <c r="F40917" s="39"/>
    </row>
    <row r="40918">
      <c r="D40918" s="39"/>
      <c r="E40918" s="39"/>
      <c r="F40918" s="39"/>
    </row>
    <row r="40919">
      <c r="D40919" s="39"/>
      <c r="E40919" s="39"/>
      <c r="F40919" s="39"/>
    </row>
    <row r="40920">
      <c r="D40920" s="39"/>
      <c r="E40920" s="39"/>
      <c r="F40920" s="39"/>
    </row>
    <row r="40921">
      <c r="D40921" s="39"/>
      <c r="E40921" s="39"/>
      <c r="F40921" s="39"/>
    </row>
    <row r="40922">
      <c r="D40922" s="39"/>
      <c r="E40922" s="39"/>
      <c r="F40922" s="39"/>
    </row>
    <row r="40923">
      <c r="D40923" s="39"/>
      <c r="E40923" s="39"/>
      <c r="F40923" s="39"/>
    </row>
    <row r="40924">
      <c r="D40924" s="39"/>
      <c r="E40924" s="39"/>
      <c r="F40924" s="39"/>
    </row>
    <row r="40925">
      <c r="D40925" s="39"/>
      <c r="E40925" s="39"/>
      <c r="F40925" s="39"/>
    </row>
    <row r="40926">
      <c r="D40926" s="39"/>
      <c r="E40926" s="39"/>
      <c r="F40926" s="39"/>
    </row>
    <row r="40927">
      <c r="D40927" s="39"/>
      <c r="E40927" s="39"/>
      <c r="F40927" s="39"/>
    </row>
    <row r="40928">
      <c r="D40928" s="39"/>
      <c r="E40928" s="39"/>
      <c r="F40928" s="39"/>
    </row>
    <row r="40929">
      <c r="D40929" s="39"/>
      <c r="E40929" s="39"/>
      <c r="F40929" s="39"/>
    </row>
    <row r="40930">
      <c r="D40930" s="39"/>
      <c r="E40930" s="39"/>
      <c r="F40930" s="39"/>
    </row>
    <row r="40931">
      <c r="D40931" s="39"/>
      <c r="E40931" s="39"/>
      <c r="F40931" s="39"/>
    </row>
    <row r="40932">
      <c r="D40932" s="39"/>
      <c r="E40932" s="39"/>
      <c r="F40932" s="39"/>
    </row>
    <row r="40933">
      <c r="D40933" s="39"/>
      <c r="E40933" s="39"/>
      <c r="F40933" s="39"/>
    </row>
    <row r="40934">
      <c r="D40934" s="39"/>
      <c r="E40934" s="39"/>
      <c r="F40934" s="39"/>
    </row>
    <row r="40935">
      <c r="D40935" s="39"/>
      <c r="E40935" s="39"/>
      <c r="F40935" s="39"/>
    </row>
    <row r="40936">
      <c r="D40936" s="39"/>
      <c r="E40936" s="39"/>
      <c r="F40936" s="39"/>
    </row>
    <row r="40937">
      <c r="D40937" s="39"/>
      <c r="E40937" s="39"/>
      <c r="F40937" s="39"/>
    </row>
    <row r="40938">
      <c r="D40938" s="39"/>
      <c r="E40938" s="39"/>
      <c r="F40938" s="39"/>
    </row>
    <row r="40939">
      <c r="D40939" s="39"/>
      <c r="E40939" s="39"/>
      <c r="F40939" s="39"/>
    </row>
    <row r="40940">
      <c r="D40940" s="39"/>
      <c r="E40940" s="39"/>
      <c r="F40940" s="39"/>
    </row>
    <row r="40941">
      <c r="D40941" s="39"/>
      <c r="E40941" s="39"/>
      <c r="F40941" s="39"/>
    </row>
    <row r="40942">
      <c r="D40942" s="39"/>
      <c r="E40942" s="39"/>
      <c r="F40942" s="39"/>
    </row>
    <row r="40943">
      <c r="D40943" s="39"/>
      <c r="E40943" s="39"/>
      <c r="F40943" s="39"/>
    </row>
    <row r="40944">
      <c r="D40944" s="39"/>
      <c r="E40944" s="39"/>
      <c r="F40944" s="39"/>
    </row>
    <row r="40945">
      <c r="D40945" s="39"/>
      <c r="E40945" s="39"/>
      <c r="F40945" s="39"/>
    </row>
    <row r="40946">
      <c r="D40946" s="39"/>
      <c r="E40946" s="39"/>
      <c r="F40946" s="39"/>
    </row>
    <row r="40947">
      <c r="D40947" s="39"/>
      <c r="E40947" s="39"/>
      <c r="F40947" s="39"/>
    </row>
    <row r="40948">
      <c r="D40948" s="39"/>
      <c r="E40948" s="39"/>
      <c r="F40948" s="39"/>
    </row>
    <row r="40949">
      <c r="D40949" s="39"/>
      <c r="E40949" s="39"/>
      <c r="F40949" s="39"/>
    </row>
    <row r="40950">
      <c r="D40950" s="39"/>
      <c r="E40950" s="39"/>
      <c r="F40950" s="39"/>
    </row>
    <row r="40951">
      <c r="D40951" s="39"/>
      <c r="E40951" s="39"/>
      <c r="F40951" s="39"/>
    </row>
    <row r="40952">
      <c r="D40952" s="39"/>
      <c r="E40952" s="39"/>
      <c r="F40952" s="39"/>
    </row>
    <row r="40953">
      <c r="D40953" s="39"/>
      <c r="E40953" s="39"/>
      <c r="F40953" s="39"/>
    </row>
    <row r="40954">
      <c r="D40954" s="39"/>
      <c r="E40954" s="39"/>
      <c r="F40954" s="39"/>
    </row>
    <row r="40955">
      <c r="D40955" s="39"/>
      <c r="E40955" s="39"/>
      <c r="F40955" s="39"/>
    </row>
    <row r="40956">
      <c r="D40956" s="39"/>
      <c r="E40956" s="39"/>
      <c r="F40956" s="39"/>
    </row>
    <row r="40957">
      <c r="D40957" s="39"/>
      <c r="E40957" s="39"/>
      <c r="F40957" s="39"/>
    </row>
    <row r="40958">
      <c r="D40958" s="39"/>
      <c r="E40958" s="39"/>
      <c r="F40958" s="39"/>
    </row>
    <row r="40959">
      <c r="D40959" s="39"/>
      <c r="E40959" s="39"/>
      <c r="F40959" s="39"/>
    </row>
    <row r="40960">
      <c r="D40960" s="39"/>
      <c r="E40960" s="39"/>
      <c r="F40960" s="39"/>
    </row>
    <row r="40961">
      <c r="D40961" s="39"/>
      <c r="E40961" s="39"/>
      <c r="F40961" s="39"/>
    </row>
    <row r="40962">
      <c r="D40962" s="39"/>
      <c r="E40962" s="39"/>
      <c r="F40962" s="39"/>
    </row>
    <row r="40963">
      <c r="D40963" s="39"/>
      <c r="E40963" s="39"/>
      <c r="F40963" s="39"/>
    </row>
    <row r="40964">
      <c r="D40964" s="39"/>
      <c r="E40964" s="39"/>
      <c r="F40964" s="39"/>
    </row>
    <row r="40965">
      <c r="D40965" s="39"/>
      <c r="E40965" s="39"/>
      <c r="F40965" s="39"/>
    </row>
    <row r="40966">
      <c r="D40966" s="39"/>
      <c r="E40966" s="39"/>
      <c r="F40966" s="39"/>
    </row>
    <row r="40967">
      <c r="D40967" s="39"/>
      <c r="E40967" s="39"/>
      <c r="F40967" s="39"/>
    </row>
    <row r="40968">
      <c r="D40968" s="39"/>
      <c r="E40968" s="39"/>
      <c r="F40968" s="39"/>
    </row>
    <row r="40969">
      <c r="D40969" s="39"/>
      <c r="E40969" s="39"/>
      <c r="F40969" s="39"/>
    </row>
    <row r="40970">
      <c r="D40970" s="39"/>
      <c r="E40970" s="39"/>
      <c r="F40970" s="39"/>
    </row>
    <row r="40971">
      <c r="D40971" s="39"/>
      <c r="E40971" s="39"/>
      <c r="F40971" s="39"/>
    </row>
    <row r="40972">
      <c r="D40972" s="39"/>
      <c r="E40972" s="39"/>
      <c r="F40972" s="39"/>
    </row>
    <row r="40973">
      <c r="D40973" s="39"/>
      <c r="E40973" s="39"/>
      <c r="F40973" s="39"/>
    </row>
    <row r="40974">
      <c r="D40974" s="39"/>
      <c r="E40974" s="39"/>
      <c r="F40974" s="39"/>
    </row>
    <row r="40975">
      <c r="D40975" s="39"/>
      <c r="E40975" s="39"/>
      <c r="F40975" s="39"/>
    </row>
    <row r="40976">
      <c r="D40976" s="39"/>
      <c r="E40976" s="39"/>
      <c r="F40976" s="39"/>
    </row>
    <row r="40977">
      <c r="D40977" s="39"/>
      <c r="E40977" s="39"/>
      <c r="F40977" s="39"/>
    </row>
    <row r="40978">
      <c r="D40978" s="39"/>
      <c r="E40978" s="39"/>
      <c r="F40978" s="39"/>
    </row>
    <row r="40979">
      <c r="D40979" s="39"/>
      <c r="E40979" s="39"/>
      <c r="F40979" s="39"/>
    </row>
    <row r="40980">
      <c r="D40980" s="39"/>
      <c r="E40980" s="39"/>
      <c r="F40980" s="39"/>
    </row>
    <row r="40981">
      <c r="D40981" s="39"/>
      <c r="E40981" s="39"/>
      <c r="F40981" s="39"/>
    </row>
    <row r="40982">
      <c r="D40982" s="39"/>
      <c r="E40982" s="39"/>
      <c r="F40982" s="39"/>
    </row>
    <row r="40983">
      <c r="D40983" s="39"/>
      <c r="E40983" s="39"/>
      <c r="F40983" s="39"/>
    </row>
    <row r="40984">
      <c r="D40984" s="39"/>
      <c r="E40984" s="39"/>
      <c r="F40984" s="39"/>
    </row>
    <row r="40985">
      <c r="D40985" s="39"/>
      <c r="E40985" s="39"/>
      <c r="F40985" s="39"/>
    </row>
    <row r="40986">
      <c r="D40986" s="39"/>
      <c r="E40986" s="39"/>
      <c r="F40986" s="39"/>
    </row>
    <row r="40987">
      <c r="D40987" s="39"/>
      <c r="E40987" s="39"/>
      <c r="F40987" s="39"/>
    </row>
    <row r="40988">
      <c r="D40988" s="39"/>
      <c r="E40988" s="39"/>
      <c r="F40988" s="39"/>
    </row>
    <row r="40989">
      <c r="D40989" s="39"/>
      <c r="E40989" s="39"/>
      <c r="F40989" s="39"/>
    </row>
    <row r="40990">
      <c r="D40990" s="39"/>
      <c r="E40990" s="39"/>
      <c r="F40990" s="39"/>
    </row>
    <row r="40991">
      <c r="D40991" s="39"/>
      <c r="E40991" s="39"/>
      <c r="F40991" s="39"/>
    </row>
    <row r="40992">
      <c r="D40992" s="39"/>
      <c r="E40992" s="39"/>
      <c r="F40992" s="39"/>
    </row>
    <row r="40993">
      <c r="D40993" s="39"/>
      <c r="E40993" s="39"/>
      <c r="F40993" s="39"/>
    </row>
    <row r="40994">
      <c r="D40994" s="39"/>
      <c r="E40994" s="39"/>
      <c r="F40994" s="39"/>
    </row>
    <row r="40995">
      <c r="D40995" s="39"/>
      <c r="E40995" s="39"/>
      <c r="F40995" s="39"/>
    </row>
    <row r="40996">
      <c r="D40996" s="39"/>
      <c r="E40996" s="39"/>
      <c r="F40996" s="39"/>
    </row>
    <row r="40997">
      <c r="D40997" s="39"/>
      <c r="E40997" s="39"/>
      <c r="F40997" s="39"/>
    </row>
    <row r="40998">
      <c r="D40998" s="39"/>
      <c r="E40998" s="39"/>
      <c r="F40998" s="39"/>
    </row>
    <row r="40999">
      <c r="D40999" s="39"/>
      <c r="E40999" s="39"/>
      <c r="F40999" s="39"/>
    </row>
    <row r="41000">
      <c r="D41000" s="39"/>
      <c r="E41000" s="39"/>
      <c r="F41000" s="39"/>
    </row>
    <row r="41001">
      <c r="D41001" s="39"/>
      <c r="E41001" s="39"/>
      <c r="F41001" s="39"/>
    </row>
    <row r="41002">
      <c r="D41002" s="39"/>
      <c r="E41002" s="39"/>
      <c r="F41002" s="39"/>
    </row>
    <row r="41003">
      <c r="D41003" s="39"/>
      <c r="E41003" s="39"/>
      <c r="F41003" s="39"/>
    </row>
    <row r="41004">
      <c r="D41004" s="39"/>
      <c r="E41004" s="39"/>
      <c r="F41004" s="39"/>
    </row>
    <row r="41005">
      <c r="D41005" s="39"/>
      <c r="E41005" s="39"/>
      <c r="F41005" s="39"/>
    </row>
    <row r="41006">
      <c r="D41006" s="39"/>
      <c r="E41006" s="39"/>
      <c r="F41006" s="39"/>
    </row>
    <row r="41007">
      <c r="D41007" s="39"/>
      <c r="E41007" s="39"/>
      <c r="F41007" s="39"/>
    </row>
    <row r="41008">
      <c r="D41008" s="39"/>
      <c r="E41008" s="39"/>
      <c r="F41008" s="39"/>
    </row>
    <row r="41009">
      <c r="D41009" s="39"/>
      <c r="E41009" s="39"/>
      <c r="F41009" s="39"/>
    </row>
    <row r="41010">
      <c r="D41010" s="39"/>
      <c r="E41010" s="39"/>
      <c r="F41010" s="39"/>
    </row>
    <row r="41011">
      <c r="D41011" s="39"/>
      <c r="E41011" s="39"/>
      <c r="F41011" s="39"/>
    </row>
    <row r="41012">
      <c r="D41012" s="39"/>
      <c r="E41012" s="39"/>
      <c r="F41012" s="39"/>
    </row>
    <row r="41013">
      <c r="D41013" s="39"/>
      <c r="E41013" s="39"/>
      <c r="F41013" s="39"/>
    </row>
    <row r="41014">
      <c r="D41014" s="39"/>
      <c r="E41014" s="39"/>
      <c r="F41014" s="39"/>
    </row>
    <row r="41015">
      <c r="D41015" s="39"/>
      <c r="E41015" s="39"/>
      <c r="F41015" s="39"/>
    </row>
    <row r="41016">
      <c r="D41016" s="39"/>
      <c r="E41016" s="39"/>
      <c r="F41016" s="39"/>
    </row>
    <row r="41017">
      <c r="D41017" s="39"/>
      <c r="E41017" s="39"/>
      <c r="F41017" s="39"/>
    </row>
    <row r="41018">
      <c r="D41018" s="39"/>
      <c r="E41018" s="39"/>
      <c r="F41018" s="39"/>
    </row>
    <row r="41019">
      <c r="D41019" s="39"/>
      <c r="E41019" s="39"/>
      <c r="F41019" s="39"/>
    </row>
    <row r="41020">
      <c r="D41020" s="39"/>
      <c r="E41020" s="39"/>
      <c r="F41020" s="39"/>
    </row>
    <row r="41021">
      <c r="D41021" s="39"/>
      <c r="E41021" s="39"/>
      <c r="F41021" s="39"/>
    </row>
    <row r="41022">
      <c r="D41022" s="39"/>
      <c r="E41022" s="39"/>
      <c r="F41022" s="39"/>
    </row>
    <row r="41023">
      <c r="D41023" s="39"/>
      <c r="E41023" s="39"/>
      <c r="F41023" s="39"/>
    </row>
    <row r="41024">
      <c r="D41024" s="39"/>
      <c r="E41024" s="39"/>
      <c r="F41024" s="39"/>
    </row>
    <row r="41025">
      <c r="D41025" s="39"/>
      <c r="E41025" s="39"/>
      <c r="F41025" s="39"/>
    </row>
    <row r="41026">
      <c r="D41026" s="39"/>
      <c r="E41026" s="39"/>
      <c r="F41026" s="39"/>
    </row>
    <row r="41027">
      <c r="D41027" s="39"/>
      <c r="E41027" s="39"/>
      <c r="F41027" s="39"/>
    </row>
    <row r="41028">
      <c r="D41028" s="39"/>
      <c r="E41028" s="39"/>
      <c r="F41028" s="39"/>
    </row>
    <row r="41029">
      <c r="D41029" s="39"/>
      <c r="E41029" s="39"/>
      <c r="F41029" s="39"/>
    </row>
    <row r="41030">
      <c r="D41030" s="39"/>
      <c r="E41030" s="39"/>
      <c r="F41030" s="39"/>
    </row>
    <row r="41031">
      <c r="D41031" s="39"/>
      <c r="E41031" s="39"/>
      <c r="F41031" s="39"/>
    </row>
    <row r="41032">
      <c r="D41032" s="39"/>
      <c r="E41032" s="39"/>
      <c r="F41032" s="39"/>
    </row>
    <row r="41033">
      <c r="D41033" s="39"/>
      <c r="E41033" s="39"/>
      <c r="F41033" s="39"/>
    </row>
    <row r="41034">
      <c r="D41034" s="39"/>
      <c r="E41034" s="39"/>
      <c r="F41034" s="39"/>
    </row>
    <row r="41035">
      <c r="D41035" s="39"/>
      <c r="E41035" s="39"/>
      <c r="F41035" s="39"/>
    </row>
    <row r="41036">
      <c r="D41036" s="39"/>
      <c r="E41036" s="39"/>
      <c r="F41036" s="39"/>
    </row>
    <row r="41037">
      <c r="D41037" s="39"/>
      <c r="E41037" s="39"/>
      <c r="F41037" s="39"/>
    </row>
    <row r="41038">
      <c r="D41038" s="39"/>
      <c r="E41038" s="39"/>
      <c r="F41038" s="39"/>
    </row>
    <row r="41039">
      <c r="D41039" s="39"/>
      <c r="E41039" s="39"/>
      <c r="F41039" s="39"/>
    </row>
    <row r="41040">
      <c r="D41040" s="39"/>
      <c r="E41040" s="39"/>
      <c r="F41040" s="39"/>
    </row>
    <row r="41041">
      <c r="D41041" s="39"/>
      <c r="E41041" s="39"/>
      <c r="F41041" s="39"/>
    </row>
    <row r="41042">
      <c r="D41042" s="39"/>
      <c r="E41042" s="39"/>
      <c r="F41042" s="39"/>
    </row>
    <row r="41043">
      <c r="D41043" s="39"/>
      <c r="E41043" s="39"/>
      <c r="F41043" s="39"/>
    </row>
    <row r="41044">
      <c r="D41044" s="39"/>
      <c r="E41044" s="39"/>
      <c r="F41044" s="39"/>
    </row>
    <row r="41045">
      <c r="D41045" s="39"/>
      <c r="E41045" s="39"/>
      <c r="F41045" s="39"/>
    </row>
    <row r="41046">
      <c r="D41046" s="39"/>
      <c r="E41046" s="39"/>
      <c r="F41046" s="39"/>
    </row>
    <row r="41047">
      <c r="D41047" s="39"/>
      <c r="E41047" s="39"/>
      <c r="F41047" s="39"/>
    </row>
    <row r="41048">
      <c r="D41048" s="39"/>
      <c r="E41048" s="39"/>
      <c r="F41048" s="39"/>
    </row>
    <row r="41049">
      <c r="D41049" s="39"/>
      <c r="E41049" s="39"/>
      <c r="F41049" s="39"/>
    </row>
    <row r="41050">
      <c r="D41050" s="39"/>
      <c r="E41050" s="39"/>
      <c r="F41050" s="39"/>
    </row>
    <row r="41051">
      <c r="D41051" s="39"/>
      <c r="E41051" s="39"/>
      <c r="F41051" s="39"/>
    </row>
    <row r="41052">
      <c r="D41052" s="39"/>
      <c r="E41052" s="39"/>
      <c r="F41052" s="39"/>
    </row>
    <row r="41053">
      <c r="D41053" s="39"/>
      <c r="E41053" s="39"/>
      <c r="F41053" s="39"/>
    </row>
    <row r="41054">
      <c r="D41054" s="39"/>
      <c r="E41054" s="39"/>
      <c r="F41054" s="39"/>
    </row>
    <row r="41055">
      <c r="D41055" s="39"/>
      <c r="E41055" s="39"/>
      <c r="F41055" s="39"/>
    </row>
    <row r="41056">
      <c r="D41056" s="39"/>
      <c r="E41056" s="39"/>
      <c r="F41056" s="39"/>
    </row>
    <row r="41057">
      <c r="D41057" s="39"/>
      <c r="E41057" s="39"/>
      <c r="F41057" s="39"/>
    </row>
    <row r="41058">
      <c r="D41058" s="39"/>
      <c r="E41058" s="39"/>
      <c r="F41058" s="39"/>
    </row>
    <row r="41059">
      <c r="D41059" s="39"/>
      <c r="E41059" s="39"/>
      <c r="F41059" s="39"/>
    </row>
    <row r="41060">
      <c r="D41060" s="39"/>
      <c r="E41060" s="39"/>
      <c r="F41060" s="39"/>
    </row>
    <row r="41061">
      <c r="D41061" s="39"/>
      <c r="E41061" s="39"/>
      <c r="F41061" s="39"/>
    </row>
    <row r="41062">
      <c r="D41062" s="39"/>
      <c r="E41062" s="39"/>
      <c r="F41062" s="39"/>
    </row>
    <row r="41063">
      <c r="D41063" s="39"/>
      <c r="E41063" s="39"/>
      <c r="F41063" s="39"/>
    </row>
    <row r="41064">
      <c r="D41064" s="39"/>
      <c r="E41064" s="39"/>
      <c r="F41064" s="39"/>
    </row>
    <row r="41065">
      <c r="D41065" s="39"/>
      <c r="E41065" s="39"/>
      <c r="F41065" s="39"/>
    </row>
    <row r="41066">
      <c r="D41066" s="39"/>
      <c r="E41066" s="39"/>
      <c r="F41066" s="39"/>
    </row>
    <row r="41067">
      <c r="D41067" s="39"/>
      <c r="E41067" s="39"/>
      <c r="F41067" s="39"/>
    </row>
    <row r="41068">
      <c r="D41068" s="39"/>
      <c r="E41068" s="39"/>
      <c r="F41068" s="39"/>
    </row>
    <row r="41069">
      <c r="D41069" s="39"/>
      <c r="E41069" s="39"/>
      <c r="F41069" s="39"/>
    </row>
    <row r="41070">
      <c r="D41070" s="39"/>
      <c r="E41070" s="39"/>
      <c r="F41070" s="39"/>
    </row>
    <row r="41071">
      <c r="D41071" s="39"/>
      <c r="E41071" s="39"/>
      <c r="F41071" s="39"/>
    </row>
    <row r="41072">
      <c r="D41072" s="39"/>
      <c r="E41072" s="39"/>
      <c r="F41072" s="39"/>
    </row>
    <row r="41073">
      <c r="D41073" s="39"/>
      <c r="E41073" s="39"/>
      <c r="F41073" s="39"/>
    </row>
    <row r="41074">
      <c r="D41074" s="39"/>
      <c r="E41074" s="39"/>
      <c r="F41074" s="39"/>
    </row>
    <row r="41075">
      <c r="D41075" s="39"/>
      <c r="E41075" s="39"/>
      <c r="F41075" s="39"/>
    </row>
    <row r="41076">
      <c r="D41076" s="39"/>
      <c r="E41076" s="39"/>
      <c r="F41076" s="39"/>
    </row>
    <row r="41077">
      <c r="D41077" s="39"/>
      <c r="E41077" s="39"/>
      <c r="F41077" s="39"/>
    </row>
    <row r="41078">
      <c r="D41078" s="39"/>
      <c r="E41078" s="39"/>
      <c r="F41078" s="39"/>
    </row>
    <row r="41079">
      <c r="D41079" s="39"/>
      <c r="E41079" s="39"/>
      <c r="F41079" s="39"/>
    </row>
    <row r="41080">
      <c r="D41080" s="39"/>
      <c r="E41080" s="39"/>
      <c r="F41080" s="39"/>
    </row>
    <row r="41081">
      <c r="D41081" s="39"/>
      <c r="E41081" s="39"/>
      <c r="F41081" s="39"/>
    </row>
    <row r="41082">
      <c r="D41082" s="39"/>
      <c r="E41082" s="39"/>
      <c r="F41082" s="39"/>
    </row>
    <row r="41083">
      <c r="D41083" s="39"/>
      <c r="E41083" s="39"/>
      <c r="F41083" s="39"/>
    </row>
    <row r="41084">
      <c r="D41084" s="39"/>
      <c r="E41084" s="39"/>
      <c r="F41084" s="39"/>
    </row>
    <row r="41085">
      <c r="D41085" s="39"/>
      <c r="E41085" s="39"/>
      <c r="F41085" s="39"/>
    </row>
    <row r="41086">
      <c r="D41086" s="39"/>
      <c r="E41086" s="39"/>
      <c r="F41086" s="39"/>
    </row>
    <row r="41087">
      <c r="D41087" s="39"/>
      <c r="E41087" s="39"/>
      <c r="F41087" s="39"/>
    </row>
    <row r="41088">
      <c r="D41088" s="39"/>
      <c r="E41088" s="39"/>
      <c r="F41088" s="39"/>
    </row>
    <row r="41089">
      <c r="D41089" s="39"/>
      <c r="E41089" s="39"/>
      <c r="F41089" s="39"/>
    </row>
    <row r="41090">
      <c r="D41090" s="39"/>
      <c r="E41090" s="39"/>
      <c r="F41090" s="39"/>
    </row>
    <row r="41091">
      <c r="D41091" s="39"/>
      <c r="E41091" s="39"/>
      <c r="F41091" s="39"/>
    </row>
    <row r="41092">
      <c r="D41092" s="39"/>
      <c r="E41092" s="39"/>
      <c r="F41092" s="39"/>
    </row>
    <row r="41093">
      <c r="D41093" s="39"/>
      <c r="E41093" s="39"/>
      <c r="F41093" s="39"/>
    </row>
    <row r="41094">
      <c r="D41094" s="39"/>
      <c r="E41094" s="39"/>
      <c r="F41094" s="39"/>
    </row>
    <row r="41095">
      <c r="D41095" s="39"/>
      <c r="E41095" s="39"/>
      <c r="F41095" s="39"/>
    </row>
    <row r="41096">
      <c r="D41096" s="39"/>
      <c r="E41096" s="39"/>
      <c r="F41096" s="39"/>
    </row>
    <row r="41097">
      <c r="D41097" s="39"/>
      <c r="E41097" s="39"/>
      <c r="F41097" s="39"/>
    </row>
    <row r="41098">
      <c r="D41098" s="39"/>
      <c r="E41098" s="39"/>
      <c r="F41098" s="39"/>
    </row>
    <row r="41099">
      <c r="D41099" s="39"/>
      <c r="E41099" s="39"/>
      <c r="F41099" s="39"/>
    </row>
    <row r="41100">
      <c r="D41100" s="39"/>
      <c r="E41100" s="39"/>
      <c r="F41100" s="39"/>
    </row>
    <row r="41101">
      <c r="D41101" s="39"/>
      <c r="E41101" s="39"/>
      <c r="F41101" s="39"/>
    </row>
    <row r="41102">
      <c r="D41102" s="39"/>
      <c r="E41102" s="39"/>
      <c r="F41102" s="39"/>
    </row>
    <row r="41103">
      <c r="D41103" s="39"/>
      <c r="E41103" s="39"/>
      <c r="F41103" s="39"/>
    </row>
    <row r="41104">
      <c r="D41104" s="39"/>
      <c r="E41104" s="39"/>
      <c r="F41104" s="39"/>
    </row>
    <row r="41105">
      <c r="D41105" s="39"/>
      <c r="E41105" s="39"/>
      <c r="F41105" s="39"/>
    </row>
    <row r="41106">
      <c r="D41106" s="39"/>
      <c r="E41106" s="39"/>
      <c r="F41106" s="39"/>
    </row>
    <row r="41107">
      <c r="D41107" s="39"/>
      <c r="E41107" s="39"/>
      <c r="F41107" s="39"/>
    </row>
    <row r="41108">
      <c r="D41108" s="39"/>
      <c r="E41108" s="39"/>
      <c r="F41108" s="39"/>
    </row>
    <row r="41109">
      <c r="D41109" s="39"/>
      <c r="E41109" s="39"/>
      <c r="F41109" s="39"/>
    </row>
    <row r="41110">
      <c r="D41110" s="39"/>
      <c r="E41110" s="39"/>
      <c r="F41110" s="39"/>
    </row>
    <row r="41111">
      <c r="D41111" s="39"/>
      <c r="E41111" s="39"/>
      <c r="F41111" s="39"/>
    </row>
    <row r="41112">
      <c r="D41112" s="39"/>
      <c r="E41112" s="39"/>
      <c r="F41112" s="39"/>
    </row>
    <row r="41113">
      <c r="D41113" s="39"/>
      <c r="E41113" s="39"/>
      <c r="F41113" s="39"/>
    </row>
    <row r="41114">
      <c r="D41114" s="39"/>
      <c r="E41114" s="39"/>
      <c r="F41114" s="39"/>
    </row>
    <row r="41115">
      <c r="D41115" s="39"/>
      <c r="E41115" s="39"/>
      <c r="F41115" s="39"/>
    </row>
    <row r="41116">
      <c r="D41116" s="39"/>
      <c r="E41116" s="39"/>
      <c r="F41116" s="39"/>
    </row>
    <row r="41117">
      <c r="D41117" s="39"/>
      <c r="E41117" s="39"/>
      <c r="F41117" s="39"/>
    </row>
    <row r="41118">
      <c r="D41118" s="39"/>
      <c r="E41118" s="39"/>
      <c r="F41118" s="39"/>
    </row>
    <row r="41119">
      <c r="D41119" s="39"/>
      <c r="E41119" s="39"/>
      <c r="F41119" s="39"/>
    </row>
    <row r="41120">
      <c r="D41120" s="39"/>
      <c r="E41120" s="39"/>
      <c r="F41120" s="39"/>
    </row>
    <row r="41121">
      <c r="D41121" s="39"/>
      <c r="E41121" s="39"/>
      <c r="F41121" s="39"/>
    </row>
    <row r="41122">
      <c r="D41122" s="39"/>
      <c r="E41122" s="39"/>
      <c r="F41122" s="39"/>
    </row>
    <row r="41123">
      <c r="D41123" s="39"/>
      <c r="E41123" s="39"/>
      <c r="F41123" s="39"/>
    </row>
    <row r="41124">
      <c r="D41124" s="39"/>
      <c r="E41124" s="39"/>
      <c r="F41124" s="39"/>
    </row>
    <row r="41125">
      <c r="D41125" s="39"/>
      <c r="E41125" s="39"/>
      <c r="F41125" s="39"/>
    </row>
    <row r="41126">
      <c r="D41126" s="39"/>
      <c r="E41126" s="39"/>
      <c r="F41126" s="39"/>
    </row>
    <row r="41127">
      <c r="D41127" s="39"/>
      <c r="E41127" s="39"/>
      <c r="F41127" s="39"/>
    </row>
    <row r="41128">
      <c r="D41128" s="39"/>
      <c r="E41128" s="39"/>
      <c r="F41128" s="39"/>
    </row>
    <row r="41129">
      <c r="D41129" s="39"/>
      <c r="E41129" s="39"/>
      <c r="F41129" s="39"/>
    </row>
    <row r="41130">
      <c r="D41130" s="39"/>
      <c r="E41130" s="39"/>
      <c r="F41130" s="39"/>
    </row>
    <row r="41131">
      <c r="D41131" s="39"/>
      <c r="E41131" s="39"/>
      <c r="F41131" s="39"/>
    </row>
    <row r="41132">
      <c r="D41132" s="39"/>
      <c r="E41132" s="39"/>
      <c r="F41132" s="39"/>
    </row>
    <row r="41133">
      <c r="D41133" s="39"/>
      <c r="E41133" s="39"/>
      <c r="F41133" s="39"/>
    </row>
    <row r="41134">
      <c r="D41134" s="39"/>
      <c r="E41134" s="39"/>
      <c r="F41134" s="39"/>
    </row>
    <row r="41135">
      <c r="D41135" s="39"/>
      <c r="E41135" s="39"/>
      <c r="F41135" s="39"/>
    </row>
    <row r="41136">
      <c r="D41136" s="39"/>
      <c r="E41136" s="39"/>
      <c r="F41136" s="39"/>
    </row>
    <row r="41137">
      <c r="D41137" s="39"/>
      <c r="E41137" s="39"/>
      <c r="F41137" s="39"/>
    </row>
    <row r="41138">
      <c r="D41138" s="39"/>
      <c r="E41138" s="39"/>
      <c r="F41138" s="39"/>
    </row>
    <row r="41139">
      <c r="D41139" s="39"/>
      <c r="E41139" s="39"/>
      <c r="F41139" s="39"/>
    </row>
    <row r="41140">
      <c r="D41140" s="39"/>
      <c r="E41140" s="39"/>
      <c r="F41140" s="39"/>
    </row>
    <row r="41141">
      <c r="D41141" s="39"/>
      <c r="E41141" s="39"/>
      <c r="F41141" s="39"/>
    </row>
    <row r="41142">
      <c r="D41142" s="39"/>
      <c r="E41142" s="39"/>
      <c r="F41142" s="39"/>
    </row>
    <row r="41143">
      <c r="D41143" s="39"/>
      <c r="E41143" s="39"/>
      <c r="F41143" s="39"/>
    </row>
    <row r="41144">
      <c r="D41144" s="39"/>
      <c r="E41144" s="39"/>
      <c r="F41144" s="39"/>
    </row>
    <row r="41145">
      <c r="D41145" s="39"/>
      <c r="E41145" s="39"/>
      <c r="F41145" s="39"/>
    </row>
    <row r="41146">
      <c r="D41146" s="39"/>
      <c r="E41146" s="39"/>
      <c r="F41146" s="39"/>
    </row>
    <row r="41147">
      <c r="D41147" s="39"/>
      <c r="E41147" s="39"/>
      <c r="F41147" s="39"/>
    </row>
    <row r="41148">
      <c r="D41148" s="39"/>
      <c r="E41148" s="39"/>
      <c r="F41148" s="39"/>
    </row>
    <row r="41149">
      <c r="D41149" s="39"/>
      <c r="E41149" s="39"/>
      <c r="F41149" s="39"/>
    </row>
    <row r="41150">
      <c r="D41150" s="39"/>
      <c r="E41150" s="39"/>
      <c r="F41150" s="39"/>
    </row>
    <row r="41151">
      <c r="D41151" s="39"/>
      <c r="E41151" s="39"/>
      <c r="F41151" s="39"/>
    </row>
    <row r="41152">
      <c r="D41152" s="39"/>
      <c r="E41152" s="39"/>
      <c r="F41152" s="39"/>
    </row>
    <row r="41153">
      <c r="D41153" s="39"/>
      <c r="E41153" s="39"/>
      <c r="F41153" s="39"/>
    </row>
    <row r="41154">
      <c r="D41154" s="39"/>
      <c r="E41154" s="39"/>
      <c r="F41154" s="39"/>
    </row>
    <row r="41155">
      <c r="D41155" s="39"/>
      <c r="E41155" s="39"/>
      <c r="F41155" s="39"/>
    </row>
    <row r="41156">
      <c r="D41156" s="39"/>
      <c r="E41156" s="39"/>
      <c r="F41156" s="39"/>
    </row>
    <row r="41157">
      <c r="D41157" s="39"/>
      <c r="E41157" s="39"/>
      <c r="F41157" s="39"/>
    </row>
    <row r="41158">
      <c r="D41158" s="39"/>
      <c r="E41158" s="39"/>
      <c r="F41158" s="39"/>
    </row>
    <row r="41159">
      <c r="D41159" s="39"/>
      <c r="E41159" s="39"/>
      <c r="F41159" s="39"/>
    </row>
    <row r="41160">
      <c r="D41160" s="39"/>
      <c r="E41160" s="39"/>
      <c r="F41160" s="39"/>
    </row>
    <row r="41161">
      <c r="D41161" s="39"/>
      <c r="E41161" s="39"/>
      <c r="F41161" s="39"/>
    </row>
    <row r="41162">
      <c r="D41162" s="39"/>
      <c r="E41162" s="39"/>
      <c r="F41162" s="39"/>
    </row>
    <row r="41163">
      <c r="D41163" s="39"/>
      <c r="E41163" s="39"/>
      <c r="F41163" s="39"/>
    </row>
    <row r="41164">
      <c r="D41164" s="39"/>
      <c r="E41164" s="39"/>
      <c r="F41164" s="39"/>
    </row>
    <row r="41165">
      <c r="D41165" s="39"/>
      <c r="E41165" s="39"/>
      <c r="F41165" s="39"/>
    </row>
    <row r="41166">
      <c r="D41166" s="39"/>
      <c r="E41166" s="39"/>
      <c r="F41166" s="39"/>
    </row>
    <row r="41167">
      <c r="D41167" s="39"/>
      <c r="E41167" s="39"/>
      <c r="F41167" s="39"/>
    </row>
    <row r="41168">
      <c r="D41168" s="39"/>
      <c r="E41168" s="39"/>
      <c r="F41168" s="39"/>
    </row>
    <row r="41169">
      <c r="D41169" s="39"/>
      <c r="E41169" s="39"/>
      <c r="F41169" s="39"/>
    </row>
    <row r="41170">
      <c r="D41170" s="39"/>
      <c r="E41170" s="39"/>
      <c r="F41170" s="39"/>
    </row>
    <row r="41171">
      <c r="D41171" s="39"/>
      <c r="E41171" s="39"/>
      <c r="F41171" s="39"/>
    </row>
    <row r="41172">
      <c r="D41172" s="39"/>
      <c r="E41172" s="39"/>
      <c r="F41172" s="39"/>
    </row>
    <row r="41173">
      <c r="D41173" s="39"/>
      <c r="E41173" s="39"/>
      <c r="F41173" s="39"/>
    </row>
    <row r="41174">
      <c r="D41174" s="39"/>
      <c r="E41174" s="39"/>
      <c r="F41174" s="39"/>
    </row>
    <row r="41175">
      <c r="D41175" s="39"/>
      <c r="E41175" s="39"/>
      <c r="F41175" s="39"/>
    </row>
    <row r="41176">
      <c r="D41176" s="39"/>
      <c r="E41176" s="39"/>
      <c r="F41176" s="39"/>
    </row>
    <row r="41177">
      <c r="D41177" s="39"/>
      <c r="E41177" s="39"/>
      <c r="F41177" s="39"/>
    </row>
    <row r="41178">
      <c r="D41178" s="39"/>
      <c r="E41178" s="39"/>
      <c r="F41178" s="39"/>
    </row>
    <row r="41179">
      <c r="D41179" s="39"/>
      <c r="E41179" s="39"/>
      <c r="F41179" s="39"/>
    </row>
    <row r="41180">
      <c r="D41180" s="39"/>
      <c r="E41180" s="39"/>
      <c r="F41180" s="39"/>
    </row>
    <row r="41181">
      <c r="D41181" s="39"/>
      <c r="E41181" s="39"/>
      <c r="F41181" s="39"/>
    </row>
    <row r="41182">
      <c r="D41182" s="39"/>
      <c r="E41182" s="39"/>
      <c r="F41182" s="39"/>
    </row>
    <row r="41183">
      <c r="D41183" s="39"/>
      <c r="E41183" s="39"/>
      <c r="F41183" s="39"/>
    </row>
    <row r="41184">
      <c r="D41184" s="39"/>
      <c r="E41184" s="39"/>
      <c r="F41184" s="39"/>
    </row>
    <row r="41185">
      <c r="D41185" s="39"/>
      <c r="E41185" s="39"/>
      <c r="F41185" s="39"/>
    </row>
    <row r="41186">
      <c r="D41186" s="39"/>
      <c r="E41186" s="39"/>
      <c r="F41186" s="39"/>
    </row>
    <row r="41187">
      <c r="D41187" s="39"/>
      <c r="E41187" s="39"/>
      <c r="F41187" s="39"/>
    </row>
    <row r="41188">
      <c r="D41188" s="39"/>
      <c r="E41188" s="39"/>
      <c r="F41188" s="39"/>
    </row>
    <row r="41189">
      <c r="D41189" s="39"/>
      <c r="E41189" s="39"/>
      <c r="F41189" s="39"/>
    </row>
    <row r="41190">
      <c r="D41190" s="39"/>
      <c r="E41190" s="39"/>
      <c r="F41190" s="39"/>
    </row>
    <row r="41191">
      <c r="D41191" s="39"/>
      <c r="E41191" s="39"/>
      <c r="F41191" s="39"/>
    </row>
    <row r="41192">
      <c r="D41192" s="39"/>
      <c r="E41192" s="39"/>
      <c r="F41192" s="39"/>
    </row>
    <row r="41193">
      <c r="D41193" s="39"/>
      <c r="E41193" s="39"/>
      <c r="F41193" s="39"/>
    </row>
    <row r="41194">
      <c r="D41194" s="39"/>
      <c r="E41194" s="39"/>
      <c r="F41194" s="39"/>
    </row>
    <row r="41195">
      <c r="D41195" s="39"/>
      <c r="E41195" s="39"/>
      <c r="F41195" s="39"/>
    </row>
    <row r="41196">
      <c r="D41196" s="39"/>
      <c r="E41196" s="39"/>
      <c r="F41196" s="39"/>
    </row>
    <row r="41197">
      <c r="D41197" s="39"/>
      <c r="E41197" s="39"/>
      <c r="F41197" s="39"/>
    </row>
    <row r="41198">
      <c r="D41198" s="39"/>
      <c r="E41198" s="39"/>
      <c r="F41198" s="39"/>
    </row>
    <row r="41199">
      <c r="D41199" s="39"/>
      <c r="E41199" s="39"/>
      <c r="F41199" s="39"/>
    </row>
    <row r="41200">
      <c r="D41200" s="39"/>
      <c r="E41200" s="39"/>
      <c r="F41200" s="39"/>
    </row>
    <row r="41201">
      <c r="D41201" s="39"/>
      <c r="E41201" s="39"/>
      <c r="F41201" s="39"/>
    </row>
    <row r="41202">
      <c r="D41202" s="39"/>
      <c r="E41202" s="39"/>
      <c r="F41202" s="39"/>
    </row>
    <row r="41203">
      <c r="D41203" s="39"/>
      <c r="E41203" s="39"/>
      <c r="F41203" s="39"/>
    </row>
    <row r="41204">
      <c r="D41204" s="39"/>
      <c r="E41204" s="39"/>
      <c r="F41204" s="39"/>
    </row>
    <row r="41205">
      <c r="D41205" s="39"/>
      <c r="E41205" s="39"/>
      <c r="F41205" s="39"/>
    </row>
    <row r="41206">
      <c r="D41206" s="39"/>
      <c r="E41206" s="39"/>
      <c r="F41206" s="39"/>
    </row>
    <row r="41207">
      <c r="D41207" s="39"/>
      <c r="E41207" s="39"/>
      <c r="F41207" s="39"/>
    </row>
    <row r="41208">
      <c r="D41208" s="39"/>
      <c r="E41208" s="39"/>
      <c r="F41208" s="39"/>
    </row>
    <row r="41209">
      <c r="D41209" s="39"/>
      <c r="E41209" s="39"/>
      <c r="F41209" s="39"/>
    </row>
    <row r="41210">
      <c r="D41210" s="39"/>
      <c r="E41210" s="39"/>
      <c r="F41210" s="39"/>
    </row>
    <row r="41211">
      <c r="D41211" s="39"/>
      <c r="E41211" s="39"/>
      <c r="F41211" s="39"/>
    </row>
    <row r="41212">
      <c r="D41212" s="39"/>
      <c r="E41212" s="39"/>
      <c r="F41212" s="39"/>
    </row>
    <row r="41213">
      <c r="D41213" s="39"/>
      <c r="E41213" s="39"/>
      <c r="F41213" s="39"/>
    </row>
    <row r="41214">
      <c r="D41214" s="39"/>
      <c r="E41214" s="39"/>
      <c r="F41214" s="39"/>
    </row>
    <row r="41215">
      <c r="D41215" s="39"/>
      <c r="E41215" s="39"/>
      <c r="F41215" s="39"/>
    </row>
    <row r="41216">
      <c r="D41216" s="39"/>
      <c r="E41216" s="39"/>
      <c r="F41216" s="39"/>
    </row>
    <row r="41217">
      <c r="D41217" s="39"/>
      <c r="E41217" s="39"/>
      <c r="F41217" s="39"/>
    </row>
    <row r="41218">
      <c r="D41218" s="39"/>
      <c r="E41218" s="39"/>
      <c r="F41218" s="39"/>
    </row>
    <row r="41219">
      <c r="D41219" s="39"/>
      <c r="E41219" s="39"/>
      <c r="F41219" s="39"/>
    </row>
    <row r="41220">
      <c r="D41220" s="39"/>
      <c r="E41220" s="39"/>
      <c r="F41220" s="39"/>
    </row>
    <row r="41221">
      <c r="D41221" s="39"/>
      <c r="E41221" s="39"/>
      <c r="F41221" s="39"/>
    </row>
    <row r="41222">
      <c r="D41222" s="39"/>
      <c r="E41222" s="39"/>
      <c r="F41222" s="39"/>
    </row>
    <row r="41223">
      <c r="D41223" s="39"/>
      <c r="E41223" s="39"/>
      <c r="F41223" s="39"/>
    </row>
    <row r="41224">
      <c r="D41224" s="39"/>
      <c r="E41224" s="39"/>
      <c r="F41224" s="39"/>
    </row>
    <row r="41225">
      <c r="D41225" s="39"/>
      <c r="E41225" s="39"/>
      <c r="F41225" s="39"/>
    </row>
    <row r="41226">
      <c r="D41226" s="39"/>
      <c r="E41226" s="39"/>
      <c r="F41226" s="39"/>
    </row>
    <row r="41227">
      <c r="D41227" s="39"/>
      <c r="E41227" s="39"/>
      <c r="F41227" s="39"/>
    </row>
    <row r="41228">
      <c r="D41228" s="39"/>
      <c r="E41228" s="39"/>
      <c r="F41228" s="39"/>
    </row>
    <row r="41229">
      <c r="D41229" s="39"/>
      <c r="E41229" s="39"/>
      <c r="F41229" s="39"/>
    </row>
    <row r="41230">
      <c r="D41230" s="39"/>
      <c r="E41230" s="39"/>
      <c r="F41230" s="39"/>
    </row>
    <row r="41231">
      <c r="D41231" s="39"/>
      <c r="E41231" s="39"/>
      <c r="F41231" s="39"/>
    </row>
    <row r="41232">
      <c r="D41232" s="39"/>
      <c r="E41232" s="39"/>
      <c r="F41232" s="39"/>
    </row>
    <row r="41233">
      <c r="D41233" s="39"/>
      <c r="E41233" s="39"/>
      <c r="F41233" s="39"/>
    </row>
    <row r="41234">
      <c r="D41234" s="39"/>
      <c r="E41234" s="39"/>
      <c r="F41234" s="39"/>
    </row>
    <row r="41235">
      <c r="D41235" s="39"/>
      <c r="E41235" s="39"/>
      <c r="F41235" s="39"/>
    </row>
    <row r="41236">
      <c r="D41236" s="39"/>
      <c r="E41236" s="39"/>
      <c r="F41236" s="39"/>
    </row>
    <row r="41237">
      <c r="D41237" s="39"/>
      <c r="E41237" s="39"/>
      <c r="F41237" s="39"/>
    </row>
    <row r="41238">
      <c r="D41238" s="39"/>
      <c r="E41238" s="39"/>
      <c r="F41238" s="39"/>
    </row>
    <row r="41239">
      <c r="D41239" s="39"/>
      <c r="E41239" s="39"/>
      <c r="F41239" s="39"/>
    </row>
    <row r="41240">
      <c r="D41240" s="39"/>
      <c r="E41240" s="39"/>
      <c r="F41240" s="39"/>
    </row>
    <row r="41241">
      <c r="D41241" s="39"/>
      <c r="E41241" s="39"/>
      <c r="F41241" s="39"/>
    </row>
    <row r="41242">
      <c r="D41242" s="39"/>
      <c r="E41242" s="39"/>
      <c r="F41242" s="39"/>
    </row>
    <row r="41243">
      <c r="D41243" s="39"/>
      <c r="E41243" s="39"/>
      <c r="F41243" s="39"/>
    </row>
    <row r="41244">
      <c r="D41244" s="39"/>
      <c r="E41244" s="39"/>
      <c r="F41244" s="39"/>
    </row>
    <row r="41245">
      <c r="D41245" s="39"/>
      <c r="E41245" s="39"/>
      <c r="F41245" s="39"/>
    </row>
    <row r="41246">
      <c r="D41246" s="39"/>
      <c r="E41246" s="39"/>
      <c r="F41246" s="39"/>
    </row>
    <row r="41247">
      <c r="D41247" s="39"/>
      <c r="E41247" s="39"/>
      <c r="F41247" s="39"/>
    </row>
    <row r="41248">
      <c r="D41248" s="39"/>
      <c r="E41248" s="39"/>
      <c r="F41248" s="39"/>
    </row>
    <row r="41249">
      <c r="D41249" s="39"/>
      <c r="E41249" s="39"/>
      <c r="F41249" s="39"/>
    </row>
    <row r="41250">
      <c r="D41250" s="39"/>
      <c r="E41250" s="39"/>
      <c r="F41250" s="39"/>
    </row>
    <row r="41251">
      <c r="D41251" s="39"/>
      <c r="E41251" s="39"/>
      <c r="F41251" s="39"/>
    </row>
    <row r="41252">
      <c r="D41252" s="39"/>
      <c r="E41252" s="39"/>
      <c r="F41252" s="39"/>
    </row>
    <row r="41253">
      <c r="D41253" s="39"/>
      <c r="E41253" s="39"/>
      <c r="F41253" s="39"/>
    </row>
    <row r="41254">
      <c r="D41254" s="39"/>
      <c r="E41254" s="39"/>
      <c r="F41254" s="39"/>
    </row>
    <row r="41255">
      <c r="D41255" s="39"/>
      <c r="E41255" s="39"/>
      <c r="F41255" s="39"/>
    </row>
    <row r="41256">
      <c r="D41256" s="39"/>
      <c r="E41256" s="39"/>
      <c r="F41256" s="39"/>
    </row>
    <row r="41257">
      <c r="D41257" s="39"/>
      <c r="E41257" s="39"/>
      <c r="F41257" s="39"/>
    </row>
    <row r="41258">
      <c r="D41258" s="39"/>
      <c r="E41258" s="39"/>
      <c r="F41258" s="39"/>
    </row>
    <row r="41259">
      <c r="D41259" s="39"/>
      <c r="E41259" s="39"/>
      <c r="F41259" s="39"/>
    </row>
    <row r="41260">
      <c r="D41260" s="39"/>
      <c r="E41260" s="39"/>
      <c r="F41260" s="39"/>
    </row>
    <row r="41261">
      <c r="D41261" s="39"/>
      <c r="E41261" s="39"/>
      <c r="F41261" s="39"/>
    </row>
    <row r="41262">
      <c r="D41262" s="39"/>
      <c r="E41262" s="39"/>
      <c r="F41262" s="39"/>
    </row>
    <row r="41263">
      <c r="D41263" s="39"/>
      <c r="E41263" s="39"/>
      <c r="F41263" s="39"/>
    </row>
    <row r="41264">
      <c r="D41264" s="39"/>
      <c r="E41264" s="39"/>
      <c r="F41264" s="39"/>
    </row>
    <row r="41265">
      <c r="D41265" s="39"/>
      <c r="E41265" s="39"/>
      <c r="F41265" s="39"/>
    </row>
    <row r="41266">
      <c r="D41266" s="39"/>
      <c r="E41266" s="39"/>
      <c r="F41266" s="39"/>
    </row>
    <row r="41267">
      <c r="D41267" s="39"/>
      <c r="E41267" s="39"/>
      <c r="F41267" s="39"/>
    </row>
    <row r="41268">
      <c r="D41268" s="39"/>
      <c r="E41268" s="39"/>
      <c r="F41268" s="39"/>
    </row>
    <row r="41269">
      <c r="D41269" s="39"/>
      <c r="E41269" s="39"/>
      <c r="F41269" s="39"/>
    </row>
    <row r="41270">
      <c r="D41270" s="39"/>
      <c r="E41270" s="39"/>
      <c r="F41270" s="39"/>
    </row>
    <row r="41271">
      <c r="D41271" s="39"/>
      <c r="E41271" s="39"/>
      <c r="F41271" s="39"/>
    </row>
    <row r="41272">
      <c r="D41272" s="39"/>
      <c r="E41272" s="39"/>
      <c r="F41272" s="39"/>
    </row>
    <row r="41273">
      <c r="D41273" s="39"/>
      <c r="E41273" s="39"/>
      <c r="F41273" s="39"/>
    </row>
    <row r="41274">
      <c r="D41274" s="39"/>
      <c r="E41274" s="39"/>
      <c r="F41274" s="39"/>
    </row>
    <row r="41275">
      <c r="D41275" s="39"/>
      <c r="E41275" s="39"/>
      <c r="F41275" s="39"/>
    </row>
    <row r="41276">
      <c r="D41276" s="39"/>
      <c r="E41276" s="39"/>
      <c r="F41276" s="39"/>
    </row>
    <row r="41277">
      <c r="D41277" s="39"/>
      <c r="E41277" s="39"/>
      <c r="F41277" s="39"/>
    </row>
    <row r="41278">
      <c r="D41278" s="39"/>
      <c r="E41278" s="39"/>
      <c r="F41278" s="39"/>
    </row>
    <row r="41279">
      <c r="D41279" s="39"/>
      <c r="E41279" s="39"/>
      <c r="F41279" s="39"/>
    </row>
    <row r="41280">
      <c r="D41280" s="39"/>
      <c r="E41280" s="39"/>
      <c r="F41280" s="39"/>
    </row>
    <row r="41281">
      <c r="D41281" s="39"/>
      <c r="E41281" s="39"/>
      <c r="F41281" s="39"/>
    </row>
    <row r="41282">
      <c r="D41282" s="39"/>
      <c r="E41282" s="39"/>
      <c r="F41282" s="39"/>
    </row>
    <row r="41283">
      <c r="D41283" s="39"/>
      <c r="E41283" s="39"/>
      <c r="F41283" s="39"/>
    </row>
    <row r="41284">
      <c r="D41284" s="39"/>
      <c r="E41284" s="39"/>
      <c r="F41284" s="39"/>
    </row>
    <row r="41285">
      <c r="D41285" s="39"/>
      <c r="E41285" s="39"/>
      <c r="F41285" s="39"/>
    </row>
    <row r="41286">
      <c r="D41286" s="39"/>
      <c r="E41286" s="39"/>
      <c r="F41286" s="39"/>
    </row>
    <row r="41287">
      <c r="D41287" s="39"/>
      <c r="E41287" s="39"/>
      <c r="F41287" s="39"/>
    </row>
    <row r="41288">
      <c r="D41288" s="39"/>
      <c r="E41288" s="39"/>
      <c r="F41288" s="39"/>
    </row>
    <row r="41289">
      <c r="D41289" s="39"/>
      <c r="E41289" s="39"/>
      <c r="F41289" s="39"/>
    </row>
    <row r="41290">
      <c r="D41290" s="39"/>
      <c r="E41290" s="39"/>
      <c r="F41290" s="39"/>
    </row>
    <row r="41291">
      <c r="D41291" s="39"/>
      <c r="E41291" s="39"/>
      <c r="F41291" s="39"/>
    </row>
    <row r="41292">
      <c r="D41292" s="39"/>
      <c r="E41292" s="39"/>
      <c r="F41292" s="39"/>
    </row>
    <row r="41293">
      <c r="D41293" s="39"/>
      <c r="E41293" s="39"/>
      <c r="F41293" s="39"/>
    </row>
    <row r="41294">
      <c r="D41294" s="39"/>
      <c r="E41294" s="39"/>
      <c r="F41294" s="39"/>
    </row>
    <row r="41295">
      <c r="D41295" s="39"/>
      <c r="E41295" s="39"/>
      <c r="F41295" s="39"/>
    </row>
    <row r="41296">
      <c r="D41296" s="39"/>
      <c r="E41296" s="39"/>
      <c r="F41296" s="39"/>
    </row>
    <row r="41297">
      <c r="D41297" s="39"/>
      <c r="E41297" s="39"/>
      <c r="F41297" s="39"/>
    </row>
    <row r="41298">
      <c r="D41298" s="39"/>
      <c r="E41298" s="39"/>
      <c r="F41298" s="39"/>
    </row>
    <row r="41299">
      <c r="D41299" s="39"/>
      <c r="E41299" s="39"/>
      <c r="F41299" s="39"/>
    </row>
    <row r="41300">
      <c r="D41300" s="39"/>
      <c r="E41300" s="39"/>
      <c r="F41300" s="39"/>
    </row>
    <row r="41301">
      <c r="D41301" s="39"/>
      <c r="E41301" s="39"/>
      <c r="F41301" s="39"/>
    </row>
    <row r="41302">
      <c r="D41302" s="39"/>
      <c r="E41302" s="39"/>
      <c r="F41302" s="39"/>
    </row>
    <row r="41303">
      <c r="D41303" s="39"/>
      <c r="E41303" s="39"/>
      <c r="F41303" s="39"/>
    </row>
    <row r="41304">
      <c r="D41304" s="39"/>
      <c r="E41304" s="39"/>
      <c r="F41304" s="39"/>
    </row>
    <row r="41305">
      <c r="D41305" s="39"/>
      <c r="E41305" s="39"/>
      <c r="F41305" s="39"/>
    </row>
    <row r="41306">
      <c r="D41306" s="39"/>
      <c r="E41306" s="39"/>
      <c r="F41306" s="39"/>
    </row>
    <row r="41307">
      <c r="D41307" s="39"/>
      <c r="E41307" s="39"/>
      <c r="F41307" s="39"/>
    </row>
    <row r="41308">
      <c r="D41308" s="39"/>
      <c r="E41308" s="39"/>
      <c r="F41308" s="39"/>
    </row>
    <row r="41309">
      <c r="D41309" s="39"/>
      <c r="E41309" s="39"/>
      <c r="F41309" s="39"/>
    </row>
    <row r="41310">
      <c r="D41310" s="39"/>
      <c r="E41310" s="39"/>
      <c r="F41310" s="39"/>
    </row>
    <row r="41311">
      <c r="D41311" s="39"/>
      <c r="E41311" s="39"/>
      <c r="F41311" s="39"/>
    </row>
    <row r="41312">
      <c r="D41312" s="39"/>
      <c r="E41312" s="39"/>
      <c r="F41312" s="39"/>
    </row>
    <row r="41313">
      <c r="D41313" s="39"/>
      <c r="E41313" s="39"/>
      <c r="F41313" s="39"/>
    </row>
    <row r="41314">
      <c r="D41314" s="39"/>
      <c r="E41314" s="39"/>
      <c r="F41314" s="39"/>
    </row>
    <row r="41315">
      <c r="D41315" s="39"/>
      <c r="E41315" s="39"/>
      <c r="F41315" s="39"/>
    </row>
    <row r="41316">
      <c r="D41316" s="39"/>
      <c r="E41316" s="39"/>
      <c r="F41316" s="39"/>
    </row>
    <row r="41317">
      <c r="D41317" s="39"/>
      <c r="E41317" s="39"/>
      <c r="F41317" s="39"/>
    </row>
    <row r="41318">
      <c r="D41318" s="39"/>
      <c r="E41318" s="39"/>
      <c r="F41318" s="39"/>
    </row>
    <row r="41319">
      <c r="D41319" s="39"/>
      <c r="E41319" s="39"/>
      <c r="F41319" s="39"/>
    </row>
    <row r="41320">
      <c r="D41320" s="39"/>
      <c r="E41320" s="39"/>
      <c r="F41320" s="39"/>
    </row>
    <row r="41321">
      <c r="D41321" s="39"/>
      <c r="E41321" s="39"/>
      <c r="F41321" s="39"/>
    </row>
    <row r="41322">
      <c r="D41322" s="39"/>
      <c r="E41322" s="39"/>
      <c r="F41322" s="39"/>
    </row>
    <row r="41323">
      <c r="D41323" s="39"/>
      <c r="E41323" s="39"/>
      <c r="F41323" s="39"/>
    </row>
    <row r="41324">
      <c r="D41324" s="39"/>
      <c r="E41324" s="39"/>
      <c r="F41324" s="39"/>
    </row>
    <row r="41325">
      <c r="D41325" s="39"/>
      <c r="E41325" s="39"/>
      <c r="F41325" s="39"/>
    </row>
    <row r="41326">
      <c r="D41326" s="39"/>
      <c r="E41326" s="39"/>
      <c r="F41326" s="39"/>
    </row>
    <row r="41327">
      <c r="D41327" s="39"/>
      <c r="E41327" s="39"/>
      <c r="F41327" s="39"/>
    </row>
    <row r="41328">
      <c r="D41328" s="39"/>
      <c r="E41328" s="39"/>
      <c r="F41328" s="39"/>
    </row>
    <row r="41329">
      <c r="D41329" s="39"/>
      <c r="E41329" s="39"/>
      <c r="F41329" s="39"/>
    </row>
    <row r="41330">
      <c r="D41330" s="39"/>
      <c r="E41330" s="39"/>
      <c r="F41330" s="39"/>
    </row>
    <row r="41331">
      <c r="D41331" s="39"/>
      <c r="E41331" s="39"/>
      <c r="F41331" s="39"/>
    </row>
    <row r="41332">
      <c r="D41332" s="39"/>
      <c r="E41332" s="39"/>
      <c r="F41332" s="39"/>
    </row>
    <row r="41333">
      <c r="D41333" s="39"/>
      <c r="E41333" s="39"/>
      <c r="F41333" s="39"/>
    </row>
    <row r="41334">
      <c r="D41334" s="39"/>
      <c r="E41334" s="39"/>
      <c r="F41334" s="39"/>
    </row>
    <row r="41335">
      <c r="D41335" s="39"/>
      <c r="E41335" s="39"/>
      <c r="F41335" s="39"/>
    </row>
    <row r="41336">
      <c r="D41336" s="39"/>
      <c r="E41336" s="39"/>
      <c r="F41336" s="39"/>
    </row>
    <row r="41337">
      <c r="D41337" s="39"/>
      <c r="E41337" s="39"/>
      <c r="F41337" s="39"/>
    </row>
    <row r="41338">
      <c r="D41338" s="39"/>
      <c r="E41338" s="39"/>
      <c r="F41338" s="39"/>
    </row>
    <row r="41339">
      <c r="D41339" s="39"/>
      <c r="E41339" s="39"/>
      <c r="F41339" s="39"/>
    </row>
    <row r="41340">
      <c r="D41340" s="39"/>
      <c r="E41340" s="39"/>
      <c r="F41340" s="39"/>
    </row>
    <row r="41341">
      <c r="D41341" s="39"/>
      <c r="E41341" s="39"/>
      <c r="F41341" s="39"/>
    </row>
    <row r="41342">
      <c r="D41342" s="39"/>
      <c r="E41342" s="39"/>
      <c r="F41342" s="39"/>
    </row>
    <row r="41343">
      <c r="D41343" s="39"/>
      <c r="E41343" s="39"/>
      <c r="F41343" s="39"/>
    </row>
    <row r="41344">
      <c r="D41344" s="39"/>
      <c r="E41344" s="39"/>
      <c r="F41344" s="39"/>
    </row>
    <row r="41345">
      <c r="D41345" s="39"/>
      <c r="E41345" s="39"/>
      <c r="F41345" s="39"/>
    </row>
    <row r="41346">
      <c r="D41346" s="39"/>
      <c r="E41346" s="39"/>
      <c r="F41346" s="39"/>
    </row>
    <row r="41347">
      <c r="D41347" s="39"/>
      <c r="E41347" s="39"/>
      <c r="F41347" s="39"/>
    </row>
    <row r="41348">
      <c r="D41348" s="39"/>
      <c r="E41348" s="39"/>
      <c r="F41348" s="39"/>
    </row>
    <row r="41349">
      <c r="D41349" s="39"/>
      <c r="E41349" s="39"/>
      <c r="F41349" s="39"/>
    </row>
    <row r="41350">
      <c r="D41350" s="39"/>
      <c r="E41350" s="39"/>
      <c r="F41350" s="39"/>
    </row>
    <row r="41351">
      <c r="D41351" s="39"/>
      <c r="E41351" s="39"/>
      <c r="F41351" s="39"/>
    </row>
    <row r="41352">
      <c r="D41352" s="39"/>
      <c r="E41352" s="39"/>
      <c r="F41352" s="39"/>
    </row>
    <row r="41353">
      <c r="D41353" s="39"/>
      <c r="E41353" s="39"/>
      <c r="F41353" s="39"/>
    </row>
    <row r="41354">
      <c r="D41354" s="39"/>
      <c r="E41354" s="39"/>
      <c r="F41354" s="39"/>
    </row>
    <row r="41355">
      <c r="D41355" s="39"/>
      <c r="E41355" s="39"/>
      <c r="F41355" s="39"/>
    </row>
    <row r="41356">
      <c r="D41356" s="39"/>
      <c r="E41356" s="39"/>
      <c r="F41356" s="39"/>
    </row>
    <row r="41357">
      <c r="D41357" s="39"/>
      <c r="E41357" s="39"/>
      <c r="F41357" s="39"/>
    </row>
    <row r="41358">
      <c r="D41358" s="39"/>
      <c r="E41358" s="39"/>
      <c r="F41358" s="39"/>
    </row>
    <row r="41359">
      <c r="D41359" s="39"/>
      <c r="E41359" s="39"/>
      <c r="F41359" s="39"/>
    </row>
    <row r="41360">
      <c r="D41360" s="39"/>
      <c r="E41360" s="39"/>
      <c r="F41360" s="39"/>
    </row>
    <row r="41361">
      <c r="D41361" s="39"/>
      <c r="E41361" s="39"/>
      <c r="F41361" s="39"/>
    </row>
    <row r="41362">
      <c r="D41362" s="39"/>
      <c r="E41362" s="39"/>
      <c r="F41362" s="39"/>
    </row>
    <row r="41363">
      <c r="D41363" s="39"/>
      <c r="E41363" s="39"/>
      <c r="F41363" s="39"/>
    </row>
    <row r="41364">
      <c r="D41364" s="39"/>
      <c r="E41364" s="39"/>
      <c r="F41364" s="39"/>
    </row>
    <row r="41365">
      <c r="D41365" s="39"/>
      <c r="E41365" s="39"/>
      <c r="F41365" s="39"/>
    </row>
    <row r="41366">
      <c r="D41366" s="39"/>
      <c r="E41366" s="39"/>
      <c r="F41366" s="39"/>
    </row>
    <row r="41367">
      <c r="D41367" s="39"/>
      <c r="E41367" s="39"/>
      <c r="F41367" s="39"/>
    </row>
    <row r="41368">
      <c r="D41368" s="39"/>
      <c r="E41368" s="39"/>
      <c r="F41368" s="39"/>
    </row>
    <row r="41369">
      <c r="D41369" s="39"/>
      <c r="E41369" s="39"/>
      <c r="F41369" s="39"/>
    </row>
    <row r="41370">
      <c r="D41370" s="39"/>
      <c r="E41370" s="39"/>
      <c r="F41370" s="39"/>
    </row>
    <row r="41371">
      <c r="D41371" s="39"/>
      <c r="E41371" s="39"/>
      <c r="F41371" s="39"/>
    </row>
    <row r="41372">
      <c r="D41372" s="39"/>
      <c r="E41372" s="39"/>
      <c r="F41372" s="39"/>
    </row>
    <row r="41373">
      <c r="D41373" s="39"/>
      <c r="E41373" s="39"/>
      <c r="F41373" s="39"/>
    </row>
    <row r="41374">
      <c r="D41374" s="39"/>
      <c r="E41374" s="39"/>
      <c r="F41374" s="39"/>
    </row>
    <row r="41375">
      <c r="D41375" s="39"/>
      <c r="E41375" s="39"/>
      <c r="F41375" s="39"/>
    </row>
    <row r="41376">
      <c r="D41376" s="39"/>
      <c r="E41376" s="39"/>
      <c r="F41376" s="39"/>
    </row>
    <row r="41377">
      <c r="D41377" s="39"/>
      <c r="E41377" s="39"/>
      <c r="F41377" s="39"/>
    </row>
    <row r="41378">
      <c r="D41378" s="39"/>
      <c r="E41378" s="39"/>
      <c r="F41378" s="39"/>
    </row>
    <row r="41379">
      <c r="D41379" s="39"/>
      <c r="E41379" s="39"/>
      <c r="F41379" s="39"/>
    </row>
    <row r="41380">
      <c r="D41380" s="39"/>
      <c r="E41380" s="39"/>
      <c r="F41380" s="39"/>
    </row>
    <row r="41381">
      <c r="D41381" s="39"/>
      <c r="E41381" s="39"/>
      <c r="F41381" s="39"/>
    </row>
    <row r="41382">
      <c r="D41382" s="39"/>
      <c r="E41382" s="39"/>
      <c r="F41382" s="39"/>
    </row>
    <row r="41383">
      <c r="D41383" s="39"/>
      <c r="E41383" s="39"/>
      <c r="F41383" s="39"/>
    </row>
    <row r="41384">
      <c r="D41384" s="39"/>
      <c r="E41384" s="39"/>
      <c r="F41384" s="39"/>
    </row>
    <row r="41385">
      <c r="D41385" s="39"/>
      <c r="E41385" s="39"/>
      <c r="F41385" s="39"/>
    </row>
    <row r="41386">
      <c r="D41386" s="39"/>
      <c r="E41386" s="39"/>
      <c r="F41386" s="39"/>
    </row>
    <row r="41387">
      <c r="D41387" s="39"/>
      <c r="E41387" s="39"/>
      <c r="F41387" s="39"/>
    </row>
    <row r="41388">
      <c r="D41388" s="39"/>
      <c r="E41388" s="39"/>
      <c r="F41388" s="39"/>
    </row>
    <row r="41389">
      <c r="D41389" s="39"/>
      <c r="E41389" s="39"/>
      <c r="F41389" s="39"/>
    </row>
    <row r="41390">
      <c r="D41390" s="39"/>
      <c r="E41390" s="39"/>
      <c r="F41390" s="39"/>
    </row>
    <row r="41391">
      <c r="D41391" s="39"/>
      <c r="E41391" s="39"/>
      <c r="F41391" s="39"/>
    </row>
    <row r="41392">
      <c r="D41392" s="39"/>
      <c r="E41392" s="39"/>
      <c r="F41392" s="39"/>
    </row>
    <row r="41393">
      <c r="D41393" s="39"/>
      <c r="E41393" s="39"/>
      <c r="F41393" s="39"/>
    </row>
    <row r="41394">
      <c r="D41394" s="39"/>
      <c r="E41394" s="39"/>
      <c r="F41394" s="39"/>
    </row>
    <row r="41395">
      <c r="D41395" s="39"/>
      <c r="E41395" s="39"/>
      <c r="F41395" s="39"/>
    </row>
    <row r="41396">
      <c r="D41396" s="39"/>
      <c r="E41396" s="39"/>
      <c r="F41396" s="39"/>
    </row>
    <row r="41397">
      <c r="D41397" s="39"/>
      <c r="E41397" s="39"/>
      <c r="F41397" s="39"/>
    </row>
    <row r="41398">
      <c r="D41398" s="39"/>
      <c r="E41398" s="39"/>
      <c r="F41398" s="39"/>
    </row>
    <row r="41399">
      <c r="D41399" s="39"/>
      <c r="E41399" s="39"/>
      <c r="F41399" s="39"/>
    </row>
    <row r="41400">
      <c r="D41400" s="39"/>
      <c r="E41400" s="39"/>
      <c r="F41400" s="39"/>
    </row>
    <row r="41401">
      <c r="D41401" s="39"/>
      <c r="E41401" s="39"/>
      <c r="F41401" s="39"/>
    </row>
    <row r="41402">
      <c r="D41402" s="39"/>
      <c r="E41402" s="39"/>
      <c r="F41402" s="39"/>
    </row>
    <row r="41403">
      <c r="D41403" s="39"/>
      <c r="E41403" s="39"/>
      <c r="F41403" s="39"/>
    </row>
    <row r="41404">
      <c r="D41404" s="39"/>
      <c r="E41404" s="39"/>
      <c r="F41404" s="39"/>
    </row>
    <row r="41405">
      <c r="D41405" s="39"/>
      <c r="E41405" s="39"/>
      <c r="F41405" s="39"/>
    </row>
    <row r="41406">
      <c r="D41406" s="39"/>
      <c r="E41406" s="39"/>
      <c r="F41406" s="39"/>
    </row>
    <row r="41407">
      <c r="D41407" s="39"/>
      <c r="E41407" s="39"/>
      <c r="F41407" s="39"/>
    </row>
    <row r="41408">
      <c r="D41408" s="39"/>
      <c r="E41408" s="39"/>
      <c r="F41408" s="39"/>
    </row>
    <row r="41409">
      <c r="D41409" s="39"/>
      <c r="E41409" s="39"/>
      <c r="F41409" s="39"/>
    </row>
    <row r="41410">
      <c r="D41410" s="39"/>
      <c r="E41410" s="39"/>
      <c r="F41410" s="39"/>
    </row>
    <row r="41411">
      <c r="D41411" s="39"/>
      <c r="E41411" s="39"/>
      <c r="F41411" s="39"/>
    </row>
    <row r="41412">
      <c r="D41412" s="39"/>
      <c r="E41412" s="39"/>
      <c r="F41412" s="39"/>
    </row>
    <row r="41413">
      <c r="D41413" s="39"/>
      <c r="E41413" s="39"/>
      <c r="F41413" s="39"/>
    </row>
    <row r="41414">
      <c r="D41414" s="39"/>
      <c r="E41414" s="39"/>
      <c r="F41414" s="39"/>
    </row>
    <row r="41415">
      <c r="D41415" s="39"/>
      <c r="E41415" s="39"/>
      <c r="F41415" s="39"/>
    </row>
    <row r="41416">
      <c r="D41416" s="39"/>
      <c r="E41416" s="39"/>
      <c r="F41416" s="39"/>
    </row>
    <row r="41417">
      <c r="D41417" s="39"/>
      <c r="E41417" s="39"/>
      <c r="F41417" s="39"/>
    </row>
    <row r="41418">
      <c r="D41418" s="39"/>
      <c r="E41418" s="39"/>
      <c r="F41418" s="39"/>
    </row>
    <row r="41419">
      <c r="D41419" s="39"/>
      <c r="E41419" s="39"/>
      <c r="F41419" s="39"/>
    </row>
    <row r="41420">
      <c r="D41420" s="39"/>
      <c r="E41420" s="39"/>
      <c r="F41420" s="39"/>
    </row>
    <row r="41421">
      <c r="D41421" s="39"/>
      <c r="E41421" s="39"/>
      <c r="F41421" s="39"/>
    </row>
    <row r="41422">
      <c r="D41422" s="39"/>
      <c r="E41422" s="39"/>
      <c r="F41422" s="39"/>
    </row>
    <row r="41423">
      <c r="D41423" s="39"/>
      <c r="E41423" s="39"/>
      <c r="F41423" s="39"/>
    </row>
    <row r="41424">
      <c r="D41424" s="39"/>
      <c r="E41424" s="39"/>
      <c r="F41424" s="39"/>
    </row>
    <row r="41425">
      <c r="D41425" s="39"/>
      <c r="E41425" s="39"/>
      <c r="F41425" s="39"/>
    </row>
    <row r="41426">
      <c r="D41426" s="39"/>
      <c r="E41426" s="39"/>
      <c r="F41426" s="39"/>
    </row>
    <row r="41427">
      <c r="D41427" s="39"/>
      <c r="E41427" s="39"/>
      <c r="F41427" s="39"/>
    </row>
    <row r="41428">
      <c r="D41428" s="39"/>
      <c r="E41428" s="39"/>
      <c r="F41428" s="39"/>
    </row>
    <row r="41429">
      <c r="D41429" s="39"/>
      <c r="E41429" s="39"/>
      <c r="F41429" s="39"/>
    </row>
    <row r="41430">
      <c r="D41430" s="39"/>
      <c r="E41430" s="39"/>
      <c r="F41430" s="39"/>
    </row>
    <row r="41431">
      <c r="D41431" s="39"/>
      <c r="E41431" s="39"/>
      <c r="F41431" s="39"/>
    </row>
    <row r="41432">
      <c r="D41432" s="39"/>
      <c r="E41432" s="39"/>
      <c r="F41432" s="39"/>
    </row>
    <row r="41433">
      <c r="D41433" s="39"/>
      <c r="E41433" s="39"/>
      <c r="F41433" s="39"/>
    </row>
    <row r="41434">
      <c r="D41434" s="39"/>
      <c r="E41434" s="39"/>
      <c r="F41434" s="39"/>
    </row>
    <row r="41435">
      <c r="D41435" s="39"/>
      <c r="E41435" s="39"/>
      <c r="F41435" s="39"/>
    </row>
    <row r="41436">
      <c r="D41436" s="39"/>
      <c r="E41436" s="39"/>
      <c r="F41436" s="39"/>
    </row>
    <row r="41437">
      <c r="D41437" s="39"/>
      <c r="E41437" s="39"/>
      <c r="F41437" s="39"/>
    </row>
    <row r="41438">
      <c r="D41438" s="39"/>
      <c r="E41438" s="39"/>
      <c r="F41438" s="39"/>
    </row>
    <row r="41439">
      <c r="D41439" s="39"/>
      <c r="E41439" s="39"/>
      <c r="F41439" s="39"/>
    </row>
    <row r="41440">
      <c r="D41440" s="39"/>
      <c r="E41440" s="39"/>
      <c r="F41440" s="39"/>
    </row>
    <row r="41441">
      <c r="D41441" s="39"/>
      <c r="E41441" s="39"/>
      <c r="F41441" s="39"/>
    </row>
    <row r="41442">
      <c r="D41442" s="39"/>
      <c r="E41442" s="39"/>
      <c r="F41442" s="39"/>
    </row>
    <row r="41443">
      <c r="D41443" s="39"/>
      <c r="E41443" s="39"/>
      <c r="F41443" s="39"/>
    </row>
    <row r="41444">
      <c r="D41444" s="39"/>
      <c r="E41444" s="39"/>
      <c r="F41444" s="39"/>
    </row>
    <row r="41445">
      <c r="D41445" s="39"/>
      <c r="E41445" s="39"/>
      <c r="F41445" s="39"/>
    </row>
    <row r="41446">
      <c r="D41446" s="39"/>
      <c r="E41446" s="39"/>
      <c r="F41446" s="39"/>
    </row>
    <row r="41447">
      <c r="D41447" s="39"/>
      <c r="E41447" s="39"/>
      <c r="F41447" s="39"/>
    </row>
    <row r="41448">
      <c r="D41448" s="39"/>
      <c r="E41448" s="39"/>
      <c r="F41448" s="39"/>
    </row>
    <row r="41449">
      <c r="D41449" s="39"/>
      <c r="E41449" s="39"/>
      <c r="F41449" s="39"/>
    </row>
    <row r="41450">
      <c r="D41450" s="39"/>
      <c r="E41450" s="39"/>
      <c r="F41450" s="39"/>
    </row>
    <row r="41451">
      <c r="D41451" s="39"/>
      <c r="E41451" s="39"/>
      <c r="F41451" s="39"/>
    </row>
    <row r="41452">
      <c r="D41452" s="39"/>
      <c r="E41452" s="39"/>
      <c r="F41452" s="39"/>
    </row>
    <row r="41453">
      <c r="D41453" s="39"/>
      <c r="E41453" s="39"/>
      <c r="F41453" s="39"/>
    </row>
    <row r="41454">
      <c r="D41454" s="39"/>
      <c r="E41454" s="39"/>
      <c r="F41454" s="39"/>
    </row>
    <row r="41455">
      <c r="D41455" s="39"/>
      <c r="E41455" s="39"/>
      <c r="F41455" s="39"/>
    </row>
    <row r="41456">
      <c r="D41456" s="39"/>
      <c r="E41456" s="39"/>
      <c r="F41456" s="39"/>
    </row>
    <row r="41457">
      <c r="D41457" s="39"/>
      <c r="E41457" s="39"/>
      <c r="F41457" s="39"/>
    </row>
    <row r="41458">
      <c r="D41458" s="39"/>
      <c r="E41458" s="39"/>
      <c r="F41458" s="39"/>
    </row>
    <row r="41459">
      <c r="D41459" s="39"/>
      <c r="E41459" s="39"/>
      <c r="F41459" s="39"/>
    </row>
    <row r="41460">
      <c r="D41460" s="39"/>
      <c r="E41460" s="39"/>
      <c r="F41460" s="39"/>
    </row>
    <row r="41461">
      <c r="D41461" s="39"/>
      <c r="E41461" s="39"/>
      <c r="F41461" s="39"/>
    </row>
    <row r="41462">
      <c r="D41462" s="39"/>
      <c r="E41462" s="39"/>
      <c r="F41462" s="39"/>
    </row>
    <row r="41463">
      <c r="D41463" s="39"/>
      <c r="E41463" s="39"/>
      <c r="F41463" s="39"/>
    </row>
    <row r="41464">
      <c r="D41464" s="39"/>
      <c r="E41464" s="39"/>
      <c r="F41464" s="39"/>
    </row>
    <row r="41465">
      <c r="D41465" s="39"/>
      <c r="E41465" s="39"/>
      <c r="F41465" s="39"/>
    </row>
    <row r="41466">
      <c r="D41466" s="39"/>
      <c r="E41466" s="39"/>
      <c r="F41466" s="39"/>
    </row>
    <row r="41467">
      <c r="D41467" s="39"/>
      <c r="E41467" s="39"/>
      <c r="F41467" s="39"/>
    </row>
    <row r="41468">
      <c r="D41468" s="39"/>
      <c r="E41468" s="39"/>
      <c r="F41468" s="39"/>
    </row>
    <row r="41469">
      <c r="D41469" s="39"/>
      <c r="E41469" s="39"/>
      <c r="F41469" s="39"/>
    </row>
    <row r="41470">
      <c r="D41470" s="39"/>
      <c r="E41470" s="39"/>
      <c r="F41470" s="39"/>
    </row>
    <row r="41471">
      <c r="D41471" s="39"/>
      <c r="E41471" s="39"/>
      <c r="F41471" s="39"/>
    </row>
    <row r="41472">
      <c r="D41472" s="39"/>
      <c r="E41472" s="39"/>
      <c r="F41472" s="39"/>
    </row>
    <row r="41473">
      <c r="D41473" s="39"/>
      <c r="E41473" s="39"/>
      <c r="F41473" s="39"/>
    </row>
    <row r="41474">
      <c r="D41474" s="39"/>
      <c r="E41474" s="39"/>
      <c r="F41474" s="39"/>
    </row>
    <row r="41475">
      <c r="D41475" s="39"/>
      <c r="E41475" s="39"/>
      <c r="F41475" s="39"/>
    </row>
    <row r="41476">
      <c r="D41476" s="39"/>
      <c r="E41476" s="39"/>
      <c r="F41476" s="39"/>
    </row>
    <row r="41477">
      <c r="D41477" s="39"/>
      <c r="E41477" s="39"/>
      <c r="F41477" s="39"/>
    </row>
    <row r="41478">
      <c r="D41478" s="39"/>
      <c r="E41478" s="39"/>
      <c r="F41478" s="39"/>
    </row>
    <row r="41479">
      <c r="D41479" s="39"/>
      <c r="E41479" s="39"/>
      <c r="F41479" s="39"/>
    </row>
    <row r="41480">
      <c r="D41480" s="39"/>
      <c r="E41480" s="39"/>
      <c r="F41480" s="39"/>
    </row>
    <row r="41481">
      <c r="D41481" s="39"/>
      <c r="E41481" s="39"/>
      <c r="F41481" s="39"/>
    </row>
    <row r="41482">
      <c r="D41482" s="39"/>
      <c r="E41482" s="39"/>
      <c r="F41482" s="39"/>
    </row>
    <row r="41483">
      <c r="D41483" s="39"/>
      <c r="E41483" s="39"/>
      <c r="F41483" s="39"/>
    </row>
    <row r="41484">
      <c r="D41484" s="39"/>
      <c r="E41484" s="39"/>
      <c r="F41484" s="39"/>
    </row>
    <row r="41485">
      <c r="D41485" s="39"/>
      <c r="E41485" s="39"/>
      <c r="F41485" s="39"/>
    </row>
    <row r="41486">
      <c r="D41486" s="39"/>
      <c r="E41486" s="39"/>
      <c r="F41486" s="39"/>
    </row>
    <row r="41487">
      <c r="D41487" s="39"/>
      <c r="E41487" s="39"/>
      <c r="F41487" s="39"/>
    </row>
    <row r="41488">
      <c r="D41488" s="39"/>
      <c r="E41488" s="39"/>
      <c r="F41488" s="39"/>
    </row>
    <row r="41489">
      <c r="D41489" s="39"/>
      <c r="E41489" s="39"/>
      <c r="F41489" s="39"/>
    </row>
    <row r="41490">
      <c r="D41490" s="39"/>
      <c r="E41490" s="39"/>
      <c r="F41490" s="39"/>
    </row>
    <row r="41491">
      <c r="D41491" s="39"/>
      <c r="E41491" s="39"/>
      <c r="F41491" s="39"/>
    </row>
    <row r="41492">
      <c r="D41492" s="39"/>
      <c r="E41492" s="39"/>
      <c r="F41492" s="39"/>
    </row>
    <row r="41493">
      <c r="D41493" s="39"/>
      <c r="E41493" s="39"/>
      <c r="F41493" s="39"/>
    </row>
    <row r="41494">
      <c r="D41494" s="39"/>
      <c r="E41494" s="39"/>
      <c r="F41494" s="39"/>
    </row>
    <row r="41495">
      <c r="D41495" s="39"/>
      <c r="E41495" s="39"/>
      <c r="F41495" s="39"/>
    </row>
    <row r="41496">
      <c r="D41496" s="39"/>
      <c r="E41496" s="39"/>
      <c r="F41496" s="39"/>
    </row>
    <row r="41497">
      <c r="D41497" s="39"/>
      <c r="E41497" s="39"/>
      <c r="F41497" s="39"/>
    </row>
    <row r="41498">
      <c r="D41498" s="39"/>
      <c r="E41498" s="39"/>
      <c r="F41498" s="39"/>
    </row>
    <row r="41499">
      <c r="D41499" s="39"/>
      <c r="E41499" s="39"/>
      <c r="F41499" s="39"/>
    </row>
    <row r="41500">
      <c r="D41500" s="39"/>
      <c r="E41500" s="39"/>
      <c r="F41500" s="39"/>
    </row>
    <row r="41501">
      <c r="D41501" s="39"/>
      <c r="E41501" s="39"/>
      <c r="F41501" s="39"/>
    </row>
    <row r="41502">
      <c r="D41502" s="39"/>
      <c r="E41502" s="39"/>
      <c r="F41502" s="39"/>
    </row>
    <row r="41503">
      <c r="D41503" s="39"/>
      <c r="E41503" s="39"/>
      <c r="F41503" s="39"/>
    </row>
    <row r="41504">
      <c r="D41504" s="39"/>
      <c r="E41504" s="39"/>
      <c r="F41504" s="39"/>
    </row>
    <row r="41505">
      <c r="D41505" s="39"/>
      <c r="E41505" s="39"/>
      <c r="F41505" s="39"/>
    </row>
    <row r="41506">
      <c r="D41506" s="39"/>
      <c r="E41506" s="39"/>
      <c r="F41506" s="39"/>
    </row>
    <row r="41507">
      <c r="D41507" s="39"/>
      <c r="E41507" s="39"/>
      <c r="F41507" s="39"/>
    </row>
    <row r="41508">
      <c r="D41508" s="39"/>
      <c r="E41508" s="39"/>
      <c r="F41508" s="39"/>
    </row>
    <row r="41509">
      <c r="D41509" s="39"/>
      <c r="E41509" s="39"/>
      <c r="F41509" s="39"/>
    </row>
    <row r="41510">
      <c r="D41510" s="39"/>
      <c r="E41510" s="39"/>
      <c r="F41510" s="39"/>
    </row>
    <row r="41511">
      <c r="D41511" s="39"/>
      <c r="E41511" s="39"/>
      <c r="F41511" s="39"/>
    </row>
    <row r="41512">
      <c r="D41512" s="39"/>
      <c r="E41512" s="39"/>
      <c r="F41512" s="39"/>
    </row>
    <row r="41513">
      <c r="D41513" s="39"/>
      <c r="E41513" s="39"/>
      <c r="F41513" s="39"/>
    </row>
    <row r="41514">
      <c r="D41514" s="39"/>
      <c r="E41514" s="39"/>
      <c r="F41514" s="39"/>
    </row>
    <row r="41515">
      <c r="D41515" s="39"/>
      <c r="E41515" s="39"/>
      <c r="F41515" s="39"/>
    </row>
    <row r="41516">
      <c r="D41516" s="39"/>
      <c r="E41516" s="39"/>
      <c r="F41516" s="39"/>
    </row>
    <row r="41517">
      <c r="D41517" s="39"/>
      <c r="E41517" s="39"/>
      <c r="F41517" s="39"/>
    </row>
    <row r="41518">
      <c r="D41518" s="39"/>
      <c r="E41518" s="39"/>
      <c r="F41518" s="39"/>
    </row>
    <row r="41519">
      <c r="D41519" s="39"/>
      <c r="E41519" s="39"/>
      <c r="F41519" s="39"/>
    </row>
    <row r="41520">
      <c r="D41520" s="39"/>
      <c r="E41520" s="39"/>
      <c r="F41520" s="39"/>
    </row>
    <row r="41521">
      <c r="D41521" s="39"/>
      <c r="E41521" s="39"/>
      <c r="F41521" s="39"/>
    </row>
    <row r="41522">
      <c r="D41522" s="39"/>
      <c r="E41522" s="39"/>
      <c r="F41522" s="39"/>
    </row>
    <row r="41523">
      <c r="D41523" s="39"/>
      <c r="E41523" s="39"/>
      <c r="F41523" s="39"/>
    </row>
    <row r="41524">
      <c r="D41524" s="39"/>
      <c r="E41524" s="39"/>
      <c r="F41524" s="39"/>
    </row>
    <row r="41525">
      <c r="D41525" s="39"/>
      <c r="E41525" s="39"/>
      <c r="F41525" s="39"/>
    </row>
    <row r="41526">
      <c r="D41526" s="39"/>
      <c r="E41526" s="39"/>
      <c r="F41526" s="39"/>
    </row>
    <row r="41527">
      <c r="D41527" s="39"/>
      <c r="E41527" s="39"/>
      <c r="F41527" s="39"/>
    </row>
    <row r="41528">
      <c r="D41528" s="39"/>
      <c r="E41528" s="39"/>
      <c r="F41528" s="39"/>
    </row>
    <row r="41529">
      <c r="D41529" s="39"/>
      <c r="E41529" s="39"/>
      <c r="F41529" s="39"/>
    </row>
    <row r="41530">
      <c r="D41530" s="39"/>
      <c r="E41530" s="39"/>
      <c r="F41530" s="39"/>
    </row>
    <row r="41531">
      <c r="D41531" s="39"/>
      <c r="E41531" s="39"/>
      <c r="F41531" s="39"/>
    </row>
    <row r="41532">
      <c r="D41532" s="39"/>
      <c r="E41532" s="39"/>
      <c r="F41532" s="39"/>
    </row>
    <row r="41533">
      <c r="D41533" s="39"/>
      <c r="E41533" s="39"/>
      <c r="F41533" s="39"/>
    </row>
    <row r="41534">
      <c r="D41534" s="39"/>
      <c r="E41534" s="39"/>
      <c r="F41534" s="39"/>
    </row>
    <row r="41535">
      <c r="D41535" s="39"/>
      <c r="E41535" s="39"/>
      <c r="F41535" s="39"/>
    </row>
    <row r="41536">
      <c r="D41536" s="39"/>
      <c r="E41536" s="39"/>
      <c r="F41536" s="39"/>
    </row>
    <row r="41537">
      <c r="D41537" s="39"/>
      <c r="E41537" s="39"/>
      <c r="F41537" s="39"/>
    </row>
    <row r="41538">
      <c r="D41538" s="39"/>
      <c r="E41538" s="39"/>
      <c r="F41538" s="39"/>
    </row>
    <row r="41539">
      <c r="D41539" s="39"/>
      <c r="E41539" s="39"/>
      <c r="F41539" s="39"/>
    </row>
    <row r="41540">
      <c r="D41540" s="39"/>
      <c r="E41540" s="39"/>
      <c r="F41540" s="39"/>
    </row>
    <row r="41541">
      <c r="D41541" s="39"/>
      <c r="E41541" s="39"/>
      <c r="F41541" s="39"/>
    </row>
    <row r="41542">
      <c r="D41542" s="39"/>
      <c r="E41542" s="39"/>
      <c r="F41542" s="39"/>
    </row>
    <row r="41543">
      <c r="D41543" s="39"/>
      <c r="E41543" s="39"/>
      <c r="F41543" s="39"/>
    </row>
    <row r="41544">
      <c r="D41544" s="39"/>
      <c r="E41544" s="39"/>
      <c r="F41544" s="39"/>
    </row>
    <row r="41545">
      <c r="D41545" s="39"/>
      <c r="E41545" s="39"/>
      <c r="F41545" s="39"/>
    </row>
    <row r="41546">
      <c r="D41546" s="39"/>
      <c r="E41546" s="39"/>
      <c r="F41546" s="39"/>
    </row>
    <row r="41547">
      <c r="D41547" s="39"/>
      <c r="E41547" s="39"/>
      <c r="F41547" s="39"/>
    </row>
    <row r="41548">
      <c r="D41548" s="39"/>
      <c r="E41548" s="39"/>
      <c r="F41548" s="39"/>
    </row>
    <row r="41549">
      <c r="D41549" s="39"/>
      <c r="E41549" s="39"/>
      <c r="F41549" s="39"/>
    </row>
    <row r="41550">
      <c r="D41550" s="39"/>
      <c r="E41550" s="39"/>
      <c r="F41550" s="39"/>
    </row>
    <row r="41551">
      <c r="D41551" s="39"/>
      <c r="E41551" s="39"/>
      <c r="F41551" s="39"/>
    </row>
    <row r="41552">
      <c r="D41552" s="39"/>
      <c r="E41552" s="39"/>
      <c r="F41552" s="39"/>
    </row>
    <row r="41553">
      <c r="D41553" s="39"/>
      <c r="E41553" s="39"/>
      <c r="F41553" s="39"/>
    </row>
    <row r="41554">
      <c r="D41554" s="39"/>
      <c r="E41554" s="39"/>
      <c r="F41554" s="39"/>
    </row>
    <row r="41555">
      <c r="D41555" s="39"/>
      <c r="E41555" s="39"/>
      <c r="F41555" s="39"/>
    </row>
    <row r="41556">
      <c r="D41556" s="39"/>
      <c r="E41556" s="39"/>
      <c r="F41556" s="39"/>
    </row>
    <row r="41557">
      <c r="D41557" s="39"/>
      <c r="E41557" s="39"/>
      <c r="F41557" s="39"/>
    </row>
    <row r="41558">
      <c r="D41558" s="39"/>
      <c r="E41558" s="39"/>
      <c r="F41558" s="39"/>
    </row>
    <row r="41559">
      <c r="D41559" s="39"/>
      <c r="E41559" s="39"/>
      <c r="F41559" s="39"/>
    </row>
    <row r="41560">
      <c r="D41560" s="39"/>
      <c r="E41560" s="39"/>
      <c r="F41560" s="39"/>
    </row>
    <row r="41561">
      <c r="D41561" s="39"/>
      <c r="E41561" s="39"/>
      <c r="F41561" s="39"/>
    </row>
    <row r="41562">
      <c r="D41562" s="39"/>
      <c r="E41562" s="39"/>
      <c r="F41562" s="39"/>
    </row>
    <row r="41563">
      <c r="D41563" s="39"/>
      <c r="E41563" s="39"/>
      <c r="F41563" s="39"/>
    </row>
    <row r="41564">
      <c r="D41564" s="39"/>
      <c r="E41564" s="39"/>
      <c r="F41564" s="39"/>
    </row>
    <row r="41565">
      <c r="D41565" s="39"/>
      <c r="E41565" s="39"/>
      <c r="F41565" s="39"/>
    </row>
    <row r="41566">
      <c r="D41566" s="39"/>
      <c r="E41566" s="39"/>
      <c r="F41566" s="39"/>
    </row>
    <row r="41567">
      <c r="D41567" s="39"/>
      <c r="E41567" s="39"/>
      <c r="F41567" s="39"/>
    </row>
    <row r="41568">
      <c r="D41568" s="39"/>
      <c r="E41568" s="39"/>
      <c r="F41568" s="39"/>
    </row>
    <row r="41569">
      <c r="D41569" s="39"/>
      <c r="E41569" s="39"/>
      <c r="F41569" s="39"/>
    </row>
    <row r="41570">
      <c r="D41570" s="39"/>
      <c r="E41570" s="39"/>
      <c r="F41570" s="39"/>
    </row>
    <row r="41571">
      <c r="D41571" s="39"/>
      <c r="E41571" s="39"/>
      <c r="F41571" s="39"/>
    </row>
    <row r="41572">
      <c r="D41572" s="39"/>
      <c r="E41572" s="39"/>
      <c r="F41572" s="39"/>
    </row>
    <row r="41573">
      <c r="D41573" s="39"/>
      <c r="E41573" s="39"/>
      <c r="F41573" s="39"/>
    </row>
    <row r="41574">
      <c r="D41574" s="39"/>
      <c r="E41574" s="39"/>
      <c r="F41574" s="39"/>
    </row>
    <row r="41575">
      <c r="D41575" s="39"/>
      <c r="E41575" s="39"/>
      <c r="F41575" s="39"/>
    </row>
    <row r="41576">
      <c r="D41576" s="39"/>
      <c r="E41576" s="39"/>
      <c r="F41576" s="39"/>
    </row>
    <row r="41577">
      <c r="D41577" s="39"/>
      <c r="E41577" s="39"/>
      <c r="F41577" s="39"/>
    </row>
    <row r="41578">
      <c r="D41578" s="39"/>
      <c r="E41578" s="39"/>
      <c r="F41578" s="39"/>
    </row>
    <row r="41579">
      <c r="D41579" s="39"/>
      <c r="E41579" s="39"/>
      <c r="F41579" s="39"/>
    </row>
    <row r="41580">
      <c r="D41580" s="39"/>
      <c r="E41580" s="39"/>
      <c r="F41580" s="39"/>
    </row>
    <row r="41581">
      <c r="D41581" s="39"/>
      <c r="E41581" s="39"/>
      <c r="F41581" s="39"/>
    </row>
    <row r="41582">
      <c r="D41582" s="39"/>
      <c r="E41582" s="39"/>
      <c r="F41582" s="39"/>
    </row>
    <row r="41583">
      <c r="D41583" s="39"/>
      <c r="E41583" s="39"/>
      <c r="F41583" s="39"/>
    </row>
    <row r="41584">
      <c r="D41584" s="39"/>
      <c r="E41584" s="39"/>
      <c r="F41584" s="39"/>
    </row>
    <row r="41585">
      <c r="D41585" s="39"/>
      <c r="E41585" s="39"/>
      <c r="F41585" s="39"/>
    </row>
    <row r="41586">
      <c r="D41586" s="39"/>
      <c r="E41586" s="39"/>
      <c r="F41586" s="39"/>
    </row>
    <row r="41587">
      <c r="D41587" s="39"/>
      <c r="E41587" s="39"/>
      <c r="F41587" s="39"/>
    </row>
    <row r="41588">
      <c r="D41588" s="39"/>
      <c r="E41588" s="39"/>
      <c r="F41588" s="39"/>
    </row>
    <row r="41589">
      <c r="D41589" s="39"/>
      <c r="E41589" s="39"/>
      <c r="F41589" s="39"/>
    </row>
    <row r="41590">
      <c r="D41590" s="39"/>
      <c r="E41590" s="39"/>
      <c r="F41590" s="39"/>
    </row>
    <row r="41591">
      <c r="D41591" s="39"/>
      <c r="E41591" s="39"/>
      <c r="F41591" s="39"/>
    </row>
    <row r="41592">
      <c r="D41592" s="39"/>
      <c r="E41592" s="39"/>
      <c r="F41592" s="39"/>
    </row>
    <row r="41593">
      <c r="D41593" s="39"/>
      <c r="E41593" s="39"/>
      <c r="F41593" s="39"/>
    </row>
    <row r="41594">
      <c r="D41594" s="39"/>
      <c r="E41594" s="39"/>
      <c r="F41594" s="39"/>
    </row>
    <row r="41595">
      <c r="D41595" s="39"/>
      <c r="E41595" s="39"/>
      <c r="F41595" s="39"/>
    </row>
    <row r="41596">
      <c r="D41596" s="39"/>
      <c r="E41596" s="39"/>
      <c r="F41596" s="39"/>
    </row>
    <row r="41597">
      <c r="D41597" s="39"/>
      <c r="E41597" s="39"/>
      <c r="F41597" s="39"/>
    </row>
    <row r="41598">
      <c r="D41598" s="39"/>
      <c r="E41598" s="39"/>
      <c r="F41598" s="39"/>
    </row>
    <row r="41599">
      <c r="D41599" s="39"/>
      <c r="E41599" s="39"/>
      <c r="F41599" s="39"/>
    </row>
    <row r="41600">
      <c r="D41600" s="39"/>
      <c r="E41600" s="39"/>
      <c r="F41600" s="39"/>
    </row>
    <row r="41601">
      <c r="D41601" s="39"/>
      <c r="E41601" s="39"/>
      <c r="F41601" s="39"/>
    </row>
    <row r="41602">
      <c r="D41602" s="39"/>
      <c r="E41602" s="39"/>
      <c r="F41602" s="39"/>
    </row>
    <row r="41603">
      <c r="D41603" s="39"/>
      <c r="E41603" s="39"/>
      <c r="F41603" s="39"/>
    </row>
    <row r="41604">
      <c r="D41604" s="39"/>
      <c r="E41604" s="39"/>
      <c r="F41604" s="39"/>
    </row>
    <row r="41605">
      <c r="D41605" s="39"/>
      <c r="E41605" s="39"/>
      <c r="F41605" s="39"/>
    </row>
    <row r="41606">
      <c r="D41606" s="39"/>
      <c r="E41606" s="39"/>
      <c r="F41606" s="39"/>
    </row>
    <row r="41607">
      <c r="D41607" s="39"/>
      <c r="E41607" s="39"/>
      <c r="F41607" s="39"/>
    </row>
    <row r="41608">
      <c r="D41608" s="39"/>
      <c r="E41608" s="39"/>
      <c r="F41608" s="39"/>
    </row>
    <row r="41609">
      <c r="D41609" s="39"/>
      <c r="E41609" s="39"/>
      <c r="F41609" s="39"/>
    </row>
    <row r="41610">
      <c r="D41610" s="39"/>
      <c r="E41610" s="39"/>
      <c r="F41610" s="39"/>
    </row>
    <row r="41611">
      <c r="D41611" s="39"/>
      <c r="E41611" s="39"/>
      <c r="F41611" s="39"/>
    </row>
    <row r="41612">
      <c r="D41612" s="39"/>
      <c r="E41612" s="39"/>
      <c r="F41612" s="39"/>
    </row>
    <row r="41613">
      <c r="D41613" s="39"/>
      <c r="E41613" s="39"/>
      <c r="F41613" s="39"/>
    </row>
    <row r="41614">
      <c r="D41614" s="39"/>
      <c r="E41614" s="39"/>
      <c r="F41614" s="39"/>
    </row>
    <row r="41615">
      <c r="D41615" s="39"/>
      <c r="E41615" s="39"/>
      <c r="F41615" s="39"/>
    </row>
    <row r="41616">
      <c r="D41616" s="39"/>
      <c r="E41616" s="39"/>
      <c r="F41616" s="39"/>
    </row>
    <row r="41617">
      <c r="D41617" s="39"/>
      <c r="E41617" s="39"/>
      <c r="F41617" s="39"/>
    </row>
    <row r="41618">
      <c r="D41618" s="39"/>
      <c r="E41618" s="39"/>
      <c r="F41618" s="39"/>
    </row>
    <row r="41619">
      <c r="D41619" s="39"/>
      <c r="E41619" s="39"/>
      <c r="F41619" s="39"/>
    </row>
    <row r="41620">
      <c r="D41620" s="39"/>
      <c r="E41620" s="39"/>
      <c r="F41620" s="39"/>
    </row>
    <row r="41621">
      <c r="D41621" s="39"/>
      <c r="E41621" s="39"/>
      <c r="F41621" s="39"/>
    </row>
    <row r="41622">
      <c r="D41622" s="39"/>
      <c r="E41622" s="39"/>
      <c r="F41622" s="39"/>
    </row>
    <row r="41623">
      <c r="D41623" s="39"/>
      <c r="E41623" s="39"/>
      <c r="F41623" s="39"/>
    </row>
    <row r="41624">
      <c r="D41624" s="39"/>
      <c r="E41624" s="39"/>
      <c r="F41624" s="39"/>
    </row>
    <row r="41625">
      <c r="D41625" s="39"/>
      <c r="E41625" s="39"/>
      <c r="F41625" s="39"/>
    </row>
    <row r="41626">
      <c r="D41626" s="39"/>
      <c r="E41626" s="39"/>
      <c r="F41626" s="39"/>
    </row>
    <row r="41627">
      <c r="D41627" s="39"/>
      <c r="E41627" s="39"/>
      <c r="F41627" s="39"/>
    </row>
    <row r="41628">
      <c r="D41628" s="39"/>
      <c r="E41628" s="39"/>
      <c r="F41628" s="39"/>
    </row>
    <row r="41629">
      <c r="D41629" s="39"/>
      <c r="E41629" s="39"/>
      <c r="F41629" s="39"/>
    </row>
    <row r="41630">
      <c r="D41630" s="39"/>
      <c r="E41630" s="39"/>
      <c r="F41630" s="39"/>
    </row>
    <row r="41631">
      <c r="D41631" s="39"/>
      <c r="E41631" s="39"/>
      <c r="F41631" s="39"/>
    </row>
    <row r="41632">
      <c r="D41632" s="39"/>
      <c r="E41632" s="39"/>
      <c r="F41632" s="39"/>
    </row>
    <row r="41633">
      <c r="D41633" s="39"/>
      <c r="E41633" s="39"/>
      <c r="F41633" s="39"/>
    </row>
    <row r="41634">
      <c r="D41634" s="39"/>
      <c r="E41634" s="39"/>
      <c r="F41634" s="39"/>
    </row>
    <row r="41635">
      <c r="D41635" s="39"/>
      <c r="E41635" s="39"/>
      <c r="F41635" s="39"/>
    </row>
    <row r="41636">
      <c r="D41636" s="39"/>
      <c r="E41636" s="39"/>
      <c r="F41636" s="39"/>
    </row>
    <row r="41637">
      <c r="D41637" s="39"/>
      <c r="E41637" s="39"/>
      <c r="F41637" s="39"/>
    </row>
    <row r="41638">
      <c r="D41638" s="39"/>
      <c r="E41638" s="39"/>
      <c r="F41638" s="39"/>
    </row>
    <row r="41639">
      <c r="D41639" s="39"/>
      <c r="E41639" s="39"/>
      <c r="F41639" s="39"/>
    </row>
    <row r="41640">
      <c r="D41640" s="39"/>
      <c r="E41640" s="39"/>
      <c r="F41640" s="39"/>
    </row>
    <row r="41641">
      <c r="D41641" s="39"/>
      <c r="E41641" s="39"/>
      <c r="F41641" s="39"/>
    </row>
    <row r="41642">
      <c r="D41642" s="39"/>
      <c r="E41642" s="39"/>
      <c r="F41642" s="39"/>
    </row>
    <row r="41643">
      <c r="D41643" s="39"/>
      <c r="E41643" s="39"/>
      <c r="F41643" s="39"/>
    </row>
    <row r="41644">
      <c r="D41644" s="39"/>
      <c r="E41644" s="39"/>
      <c r="F41644" s="39"/>
    </row>
    <row r="41645">
      <c r="D41645" s="39"/>
      <c r="E41645" s="39"/>
      <c r="F41645" s="39"/>
    </row>
    <row r="41646">
      <c r="D41646" s="39"/>
      <c r="E41646" s="39"/>
      <c r="F41646" s="39"/>
    </row>
    <row r="41647">
      <c r="D41647" s="39"/>
      <c r="E41647" s="39"/>
      <c r="F41647" s="39"/>
    </row>
    <row r="41648">
      <c r="D41648" s="39"/>
      <c r="E41648" s="39"/>
      <c r="F41648" s="39"/>
    </row>
    <row r="41649">
      <c r="D41649" s="39"/>
      <c r="E41649" s="39"/>
      <c r="F41649" s="39"/>
    </row>
    <row r="41650">
      <c r="D41650" s="39"/>
      <c r="E41650" s="39"/>
      <c r="F41650" s="39"/>
    </row>
    <row r="41651">
      <c r="D41651" s="39"/>
      <c r="E41651" s="39"/>
      <c r="F41651" s="39"/>
    </row>
    <row r="41652">
      <c r="D41652" s="39"/>
      <c r="E41652" s="39"/>
      <c r="F41652" s="39"/>
    </row>
    <row r="41653">
      <c r="D41653" s="39"/>
      <c r="E41653" s="39"/>
      <c r="F41653" s="39"/>
    </row>
    <row r="41654">
      <c r="D41654" s="39"/>
      <c r="E41654" s="39"/>
      <c r="F41654" s="39"/>
    </row>
    <row r="41655">
      <c r="D41655" s="39"/>
      <c r="E41655" s="39"/>
      <c r="F41655" s="39"/>
    </row>
    <row r="41656">
      <c r="D41656" s="39"/>
      <c r="E41656" s="39"/>
      <c r="F41656" s="39"/>
    </row>
    <row r="41657">
      <c r="D41657" s="39"/>
      <c r="E41657" s="39"/>
      <c r="F41657" s="39"/>
    </row>
    <row r="41658">
      <c r="D41658" s="39"/>
      <c r="E41658" s="39"/>
      <c r="F41658" s="39"/>
    </row>
    <row r="41659">
      <c r="D41659" s="39"/>
      <c r="E41659" s="39"/>
      <c r="F41659" s="39"/>
    </row>
    <row r="41660">
      <c r="D41660" s="39"/>
      <c r="E41660" s="39"/>
      <c r="F41660" s="39"/>
    </row>
    <row r="41661">
      <c r="D41661" s="39"/>
      <c r="E41661" s="39"/>
      <c r="F41661" s="39"/>
    </row>
    <row r="41662">
      <c r="D41662" s="39"/>
      <c r="E41662" s="39"/>
      <c r="F41662" s="39"/>
    </row>
    <row r="41663">
      <c r="D41663" s="39"/>
      <c r="E41663" s="39"/>
      <c r="F41663" s="39"/>
    </row>
    <row r="41664">
      <c r="D41664" s="39"/>
      <c r="E41664" s="39"/>
      <c r="F41664" s="39"/>
    </row>
    <row r="41665">
      <c r="D41665" s="39"/>
      <c r="E41665" s="39"/>
      <c r="F41665" s="39"/>
    </row>
    <row r="41666">
      <c r="D41666" s="39"/>
      <c r="E41666" s="39"/>
      <c r="F41666" s="39"/>
    </row>
    <row r="41667">
      <c r="D41667" s="39"/>
      <c r="E41667" s="39"/>
      <c r="F41667" s="39"/>
    </row>
    <row r="41668">
      <c r="D41668" s="39"/>
      <c r="E41668" s="39"/>
      <c r="F41668" s="39"/>
    </row>
    <row r="41669">
      <c r="D41669" s="39"/>
      <c r="E41669" s="39"/>
      <c r="F41669" s="39"/>
    </row>
    <row r="41670">
      <c r="D41670" s="39"/>
      <c r="E41670" s="39"/>
      <c r="F41670" s="39"/>
    </row>
    <row r="41671">
      <c r="D41671" s="39"/>
      <c r="E41671" s="39"/>
      <c r="F41671" s="39"/>
    </row>
    <row r="41672">
      <c r="D41672" s="39"/>
      <c r="E41672" s="39"/>
      <c r="F41672" s="39"/>
    </row>
    <row r="41673">
      <c r="D41673" s="39"/>
      <c r="E41673" s="39"/>
      <c r="F41673" s="39"/>
    </row>
    <row r="41674">
      <c r="D41674" s="39"/>
      <c r="E41674" s="39"/>
      <c r="F41674" s="39"/>
    </row>
    <row r="41675">
      <c r="D41675" s="39"/>
      <c r="E41675" s="39"/>
      <c r="F41675" s="39"/>
    </row>
    <row r="41676">
      <c r="D41676" s="39"/>
      <c r="E41676" s="39"/>
      <c r="F41676" s="39"/>
    </row>
    <row r="41677">
      <c r="D41677" s="39"/>
      <c r="E41677" s="39"/>
      <c r="F41677" s="39"/>
    </row>
    <row r="41678">
      <c r="D41678" s="39"/>
      <c r="E41678" s="39"/>
      <c r="F41678" s="39"/>
    </row>
    <row r="41679">
      <c r="D41679" s="39"/>
      <c r="E41679" s="39"/>
      <c r="F41679" s="39"/>
    </row>
    <row r="41680">
      <c r="D41680" s="39"/>
      <c r="E41680" s="39"/>
      <c r="F41680" s="39"/>
    </row>
    <row r="41681">
      <c r="D41681" s="39"/>
      <c r="E41681" s="39"/>
      <c r="F41681" s="39"/>
    </row>
    <row r="41682">
      <c r="D41682" s="39"/>
      <c r="E41682" s="39"/>
      <c r="F41682" s="39"/>
    </row>
    <row r="41683">
      <c r="D41683" s="39"/>
      <c r="E41683" s="39"/>
      <c r="F41683" s="39"/>
    </row>
    <row r="41684">
      <c r="D41684" s="39"/>
      <c r="E41684" s="39"/>
      <c r="F41684" s="39"/>
    </row>
    <row r="41685">
      <c r="D41685" s="39"/>
      <c r="E41685" s="39"/>
      <c r="F41685" s="39"/>
    </row>
    <row r="41686">
      <c r="D41686" s="39"/>
      <c r="E41686" s="39"/>
      <c r="F41686" s="39"/>
    </row>
    <row r="41687">
      <c r="D41687" s="39"/>
      <c r="E41687" s="39"/>
      <c r="F41687" s="39"/>
    </row>
    <row r="41688">
      <c r="D41688" s="39"/>
      <c r="E41688" s="39"/>
      <c r="F41688" s="39"/>
    </row>
    <row r="41689">
      <c r="D41689" s="39"/>
      <c r="E41689" s="39"/>
      <c r="F41689" s="39"/>
    </row>
    <row r="41690">
      <c r="D41690" s="39"/>
      <c r="E41690" s="39"/>
      <c r="F41690" s="39"/>
    </row>
    <row r="41691">
      <c r="D41691" s="39"/>
      <c r="E41691" s="39"/>
      <c r="F41691" s="39"/>
    </row>
    <row r="41692">
      <c r="D41692" s="39"/>
      <c r="E41692" s="39"/>
      <c r="F41692" s="39"/>
    </row>
    <row r="41693">
      <c r="D41693" s="39"/>
      <c r="E41693" s="39"/>
      <c r="F41693" s="39"/>
    </row>
    <row r="41694">
      <c r="D41694" s="39"/>
      <c r="E41694" s="39"/>
      <c r="F41694" s="39"/>
    </row>
    <row r="41695">
      <c r="D41695" s="39"/>
      <c r="E41695" s="39"/>
      <c r="F41695" s="39"/>
    </row>
    <row r="41696">
      <c r="D41696" s="39"/>
      <c r="E41696" s="39"/>
      <c r="F41696" s="39"/>
    </row>
    <row r="41697">
      <c r="D41697" s="39"/>
      <c r="E41697" s="39"/>
      <c r="F41697" s="39"/>
    </row>
    <row r="41698">
      <c r="D41698" s="39"/>
      <c r="E41698" s="39"/>
      <c r="F41698" s="39"/>
    </row>
    <row r="41699">
      <c r="D41699" s="39"/>
      <c r="E41699" s="39"/>
      <c r="F41699" s="39"/>
    </row>
    <row r="41700">
      <c r="D41700" s="39"/>
      <c r="E41700" s="39"/>
      <c r="F41700" s="39"/>
    </row>
    <row r="41701">
      <c r="D41701" s="39"/>
      <c r="E41701" s="39"/>
      <c r="F41701" s="39"/>
    </row>
    <row r="41702">
      <c r="D41702" s="39"/>
      <c r="E41702" s="39"/>
      <c r="F41702" s="39"/>
    </row>
    <row r="41703">
      <c r="D41703" s="39"/>
      <c r="E41703" s="39"/>
      <c r="F41703" s="39"/>
    </row>
    <row r="41704">
      <c r="D41704" s="39"/>
      <c r="E41704" s="39"/>
      <c r="F41704" s="39"/>
    </row>
    <row r="41705">
      <c r="D41705" s="39"/>
      <c r="E41705" s="39"/>
      <c r="F41705" s="39"/>
    </row>
    <row r="41706">
      <c r="D41706" s="39"/>
      <c r="E41706" s="39"/>
      <c r="F41706" s="39"/>
    </row>
    <row r="41707">
      <c r="D41707" s="39"/>
      <c r="E41707" s="39"/>
      <c r="F41707" s="39"/>
    </row>
    <row r="41708">
      <c r="D41708" s="39"/>
      <c r="E41708" s="39"/>
      <c r="F41708" s="39"/>
    </row>
    <row r="41709">
      <c r="D41709" s="39"/>
      <c r="E41709" s="39"/>
      <c r="F41709" s="39"/>
    </row>
    <row r="41710">
      <c r="D41710" s="39"/>
      <c r="E41710" s="39"/>
      <c r="F41710" s="39"/>
    </row>
    <row r="41711">
      <c r="D41711" s="39"/>
      <c r="E41711" s="39"/>
      <c r="F41711" s="39"/>
    </row>
    <row r="41712">
      <c r="D41712" s="39"/>
      <c r="E41712" s="39"/>
      <c r="F41712" s="39"/>
    </row>
    <row r="41713">
      <c r="D41713" s="39"/>
      <c r="E41713" s="39"/>
      <c r="F41713" s="39"/>
    </row>
    <row r="41714">
      <c r="D41714" s="39"/>
      <c r="E41714" s="39"/>
      <c r="F41714" s="39"/>
    </row>
    <row r="41715">
      <c r="D41715" s="39"/>
      <c r="E41715" s="39"/>
      <c r="F41715" s="39"/>
    </row>
    <row r="41716">
      <c r="D41716" s="39"/>
      <c r="E41716" s="39"/>
      <c r="F41716" s="39"/>
    </row>
    <row r="41717">
      <c r="D41717" s="39"/>
      <c r="E41717" s="39"/>
      <c r="F41717" s="39"/>
    </row>
    <row r="41718">
      <c r="D41718" s="39"/>
      <c r="E41718" s="39"/>
      <c r="F41718" s="39"/>
    </row>
    <row r="41719">
      <c r="D41719" s="39"/>
      <c r="E41719" s="39"/>
      <c r="F41719" s="39"/>
    </row>
    <row r="41720">
      <c r="D41720" s="39"/>
      <c r="E41720" s="39"/>
      <c r="F41720" s="39"/>
    </row>
    <row r="41721">
      <c r="D41721" s="39"/>
      <c r="E41721" s="39"/>
      <c r="F41721" s="39"/>
    </row>
    <row r="41722">
      <c r="D41722" s="39"/>
      <c r="E41722" s="39"/>
      <c r="F41722" s="39"/>
    </row>
    <row r="41723">
      <c r="D41723" s="39"/>
      <c r="E41723" s="39"/>
      <c r="F41723" s="39"/>
    </row>
    <row r="41724">
      <c r="D41724" s="39"/>
      <c r="E41724" s="39"/>
      <c r="F41724" s="39"/>
    </row>
    <row r="41725">
      <c r="D41725" s="39"/>
      <c r="E41725" s="39"/>
      <c r="F41725" s="39"/>
    </row>
    <row r="41726">
      <c r="D41726" s="39"/>
      <c r="E41726" s="39"/>
      <c r="F41726" s="39"/>
    </row>
    <row r="41727">
      <c r="D41727" s="39"/>
      <c r="E41727" s="39"/>
      <c r="F41727" s="39"/>
    </row>
    <row r="41728">
      <c r="D41728" s="39"/>
      <c r="E41728" s="39"/>
      <c r="F41728" s="39"/>
    </row>
    <row r="41729">
      <c r="D41729" s="39"/>
      <c r="E41729" s="39"/>
      <c r="F41729" s="39"/>
    </row>
    <row r="41730">
      <c r="D41730" s="39"/>
      <c r="E41730" s="39"/>
      <c r="F41730" s="39"/>
    </row>
    <row r="41731">
      <c r="D41731" s="39"/>
      <c r="E41731" s="39"/>
      <c r="F41731" s="39"/>
    </row>
    <row r="41732">
      <c r="D41732" s="39"/>
      <c r="E41732" s="39"/>
      <c r="F41732" s="39"/>
    </row>
    <row r="41733">
      <c r="D41733" s="39"/>
      <c r="E41733" s="39"/>
      <c r="F41733" s="39"/>
    </row>
    <row r="41734">
      <c r="D41734" s="39"/>
      <c r="E41734" s="39"/>
      <c r="F41734" s="39"/>
    </row>
    <row r="41735">
      <c r="D41735" s="39"/>
      <c r="E41735" s="39"/>
      <c r="F41735" s="39"/>
    </row>
    <row r="41736">
      <c r="D41736" s="39"/>
      <c r="E41736" s="39"/>
      <c r="F41736" s="39"/>
    </row>
    <row r="41737">
      <c r="D41737" s="39"/>
      <c r="E41737" s="39"/>
      <c r="F41737" s="39"/>
    </row>
    <row r="41738">
      <c r="D41738" s="39"/>
      <c r="E41738" s="39"/>
      <c r="F41738" s="39"/>
    </row>
    <row r="41739">
      <c r="D41739" s="39"/>
      <c r="E41739" s="39"/>
      <c r="F41739" s="39"/>
    </row>
    <row r="41740">
      <c r="D41740" s="39"/>
      <c r="E41740" s="39"/>
      <c r="F41740" s="39"/>
    </row>
    <row r="41741">
      <c r="D41741" s="39"/>
      <c r="E41741" s="39"/>
      <c r="F41741" s="39"/>
    </row>
    <row r="41742">
      <c r="D41742" s="39"/>
      <c r="E41742" s="39"/>
      <c r="F41742" s="39"/>
    </row>
    <row r="41743">
      <c r="D41743" s="39"/>
      <c r="E41743" s="39"/>
      <c r="F41743" s="39"/>
    </row>
    <row r="41744">
      <c r="D41744" s="39"/>
      <c r="E41744" s="39"/>
      <c r="F41744" s="39"/>
    </row>
    <row r="41745">
      <c r="D41745" s="39"/>
      <c r="E41745" s="39"/>
      <c r="F41745" s="39"/>
    </row>
    <row r="41746">
      <c r="D41746" s="39"/>
      <c r="E41746" s="39"/>
      <c r="F41746" s="39"/>
    </row>
    <row r="41747">
      <c r="D41747" s="39"/>
      <c r="E41747" s="39"/>
      <c r="F41747" s="39"/>
    </row>
    <row r="41748">
      <c r="D41748" s="39"/>
      <c r="E41748" s="39"/>
      <c r="F41748" s="39"/>
    </row>
    <row r="41749">
      <c r="D41749" s="39"/>
      <c r="E41749" s="39"/>
      <c r="F41749" s="39"/>
    </row>
    <row r="41750">
      <c r="D41750" s="39"/>
      <c r="E41750" s="39"/>
      <c r="F41750" s="39"/>
    </row>
    <row r="41751">
      <c r="D41751" s="39"/>
      <c r="E41751" s="39"/>
      <c r="F41751" s="39"/>
    </row>
    <row r="41752">
      <c r="D41752" s="39"/>
      <c r="E41752" s="39"/>
      <c r="F41752" s="39"/>
    </row>
    <row r="41753">
      <c r="D41753" s="39"/>
      <c r="E41753" s="39"/>
      <c r="F41753" s="39"/>
    </row>
    <row r="41754">
      <c r="D41754" s="39"/>
      <c r="E41754" s="39"/>
      <c r="F41754" s="39"/>
    </row>
    <row r="41755">
      <c r="D41755" s="39"/>
      <c r="E41755" s="39"/>
      <c r="F41755" s="39"/>
    </row>
    <row r="41756">
      <c r="D41756" s="39"/>
      <c r="E41756" s="39"/>
      <c r="F41756" s="39"/>
    </row>
    <row r="41757">
      <c r="D41757" s="39"/>
      <c r="E41757" s="39"/>
      <c r="F41757" s="39"/>
    </row>
    <row r="41758">
      <c r="D41758" s="39"/>
      <c r="E41758" s="39"/>
      <c r="F41758" s="39"/>
    </row>
    <row r="41759">
      <c r="D41759" s="39"/>
      <c r="E41759" s="39"/>
      <c r="F41759" s="39"/>
    </row>
    <row r="41760">
      <c r="D41760" s="39"/>
      <c r="E41760" s="39"/>
      <c r="F41760" s="39"/>
    </row>
    <row r="41761">
      <c r="D41761" s="39"/>
      <c r="E41761" s="39"/>
      <c r="F41761" s="39"/>
    </row>
    <row r="41762">
      <c r="D41762" s="39"/>
      <c r="E41762" s="39"/>
      <c r="F41762" s="39"/>
    </row>
    <row r="41763">
      <c r="D41763" s="39"/>
      <c r="E41763" s="39"/>
      <c r="F41763" s="39"/>
    </row>
    <row r="41764">
      <c r="D41764" s="39"/>
      <c r="E41764" s="39"/>
      <c r="F41764" s="39"/>
    </row>
    <row r="41765">
      <c r="D41765" s="39"/>
      <c r="E41765" s="39"/>
      <c r="F41765" s="39"/>
    </row>
    <row r="41766">
      <c r="D41766" s="39"/>
      <c r="E41766" s="39"/>
      <c r="F41766" s="39"/>
    </row>
    <row r="41767">
      <c r="D41767" s="39"/>
      <c r="E41767" s="39"/>
      <c r="F41767" s="39"/>
    </row>
    <row r="41768">
      <c r="D41768" s="39"/>
      <c r="E41768" s="39"/>
      <c r="F41768" s="39"/>
    </row>
    <row r="41769">
      <c r="D41769" s="39"/>
      <c r="E41769" s="39"/>
      <c r="F41769" s="39"/>
    </row>
    <row r="41770">
      <c r="D41770" s="39"/>
      <c r="E41770" s="39"/>
      <c r="F41770" s="39"/>
    </row>
    <row r="41771">
      <c r="D41771" s="39"/>
      <c r="E41771" s="39"/>
      <c r="F41771" s="39"/>
    </row>
    <row r="41772">
      <c r="D41772" s="39"/>
      <c r="E41772" s="39"/>
      <c r="F41772" s="39"/>
    </row>
    <row r="41773">
      <c r="D41773" s="39"/>
      <c r="E41773" s="39"/>
      <c r="F41773" s="39"/>
    </row>
    <row r="41774">
      <c r="D41774" s="39"/>
      <c r="E41774" s="39"/>
      <c r="F41774" s="39"/>
    </row>
    <row r="41775">
      <c r="D41775" s="39"/>
      <c r="E41775" s="39"/>
      <c r="F41775" s="39"/>
    </row>
    <row r="41776">
      <c r="D41776" s="39"/>
      <c r="E41776" s="39"/>
      <c r="F41776" s="39"/>
    </row>
    <row r="41777">
      <c r="D41777" s="39"/>
      <c r="E41777" s="39"/>
      <c r="F41777" s="39"/>
    </row>
    <row r="41778">
      <c r="D41778" s="39"/>
      <c r="E41778" s="39"/>
      <c r="F41778" s="39"/>
    </row>
    <row r="41779">
      <c r="D41779" s="39"/>
      <c r="E41779" s="39"/>
      <c r="F41779" s="39"/>
    </row>
    <row r="41780">
      <c r="D41780" s="39"/>
      <c r="E41780" s="39"/>
      <c r="F41780" s="39"/>
    </row>
    <row r="41781">
      <c r="D41781" s="39"/>
      <c r="E41781" s="39"/>
      <c r="F41781" s="39"/>
    </row>
    <row r="41782">
      <c r="D41782" s="39"/>
      <c r="E41782" s="39"/>
      <c r="F41782" s="39"/>
    </row>
    <row r="41783">
      <c r="D41783" s="39"/>
      <c r="E41783" s="39"/>
      <c r="F41783" s="39"/>
    </row>
    <row r="41784">
      <c r="D41784" s="39"/>
      <c r="E41784" s="39"/>
      <c r="F41784" s="39"/>
    </row>
    <row r="41785">
      <c r="D41785" s="39"/>
      <c r="E41785" s="39"/>
      <c r="F41785" s="39"/>
    </row>
    <row r="41786">
      <c r="D41786" s="39"/>
      <c r="E41786" s="39"/>
      <c r="F41786" s="39"/>
    </row>
    <row r="41787">
      <c r="D41787" s="39"/>
      <c r="E41787" s="39"/>
      <c r="F41787" s="39"/>
    </row>
    <row r="41788">
      <c r="D41788" s="39"/>
      <c r="E41788" s="39"/>
      <c r="F41788" s="39"/>
    </row>
    <row r="41789">
      <c r="D41789" s="39"/>
      <c r="E41789" s="39"/>
      <c r="F41789" s="39"/>
    </row>
    <row r="41790">
      <c r="D41790" s="39"/>
      <c r="E41790" s="39"/>
      <c r="F41790" s="39"/>
    </row>
    <row r="41791">
      <c r="D41791" s="39"/>
      <c r="E41791" s="39"/>
      <c r="F41791" s="39"/>
    </row>
    <row r="41792">
      <c r="D41792" s="39"/>
      <c r="E41792" s="39"/>
      <c r="F41792" s="39"/>
    </row>
    <row r="41793">
      <c r="D41793" s="39"/>
      <c r="E41793" s="39"/>
      <c r="F41793" s="39"/>
    </row>
    <row r="41794">
      <c r="D41794" s="39"/>
      <c r="E41794" s="39"/>
      <c r="F41794" s="39"/>
    </row>
    <row r="41795">
      <c r="D41795" s="39"/>
      <c r="E41795" s="39"/>
      <c r="F41795" s="39"/>
    </row>
    <row r="41796">
      <c r="D41796" s="39"/>
      <c r="E41796" s="39"/>
      <c r="F41796" s="39"/>
    </row>
    <row r="41797">
      <c r="D41797" s="39"/>
      <c r="E41797" s="39"/>
      <c r="F41797" s="39"/>
    </row>
    <row r="41798">
      <c r="D41798" s="39"/>
      <c r="E41798" s="39"/>
      <c r="F41798" s="39"/>
    </row>
    <row r="41799">
      <c r="D41799" s="39"/>
      <c r="E41799" s="39"/>
      <c r="F41799" s="39"/>
    </row>
    <row r="41800">
      <c r="D41800" s="39"/>
      <c r="E41800" s="39"/>
      <c r="F41800" s="39"/>
    </row>
    <row r="41801">
      <c r="D41801" s="39"/>
      <c r="E41801" s="39"/>
      <c r="F41801" s="39"/>
    </row>
    <row r="41802">
      <c r="D41802" s="39"/>
      <c r="E41802" s="39"/>
      <c r="F41802" s="39"/>
    </row>
    <row r="41803">
      <c r="D41803" s="39"/>
      <c r="E41803" s="39"/>
      <c r="F41803" s="39"/>
    </row>
    <row r="41804">
      <c r="D41804" s="39"/>
      <c r="E41804" s="39"/>
      <c r="F41804" s="39"/>
    </row>
    <row r="41805">
      <c r="D41805" s="39"/>
      <c r="E41805" s="39"/>
      <c r="F41805" s="39"/>
    </row>
    <row r="41806">
      <c r="D41806" s="39"/>
      <c r="E41806" s="39"/>
      <c r="F41806" s="39"/>
    </row>
    <row r="41807">
      <c r="D41807" s="39"/>
      <c r="E41807" s="39"/>
      <c r="F41807" s="39"/>
    </row>
    <row r="41808">
      <c r="D41808" s="39"/>
      <c r="E41808" s="39"/>
      <c r="F41808" s="39"/>
    </row>
    <row r="41809">
      <c r="D41809" s="39"/>
      <c r="E41809" s="39"/>
      <c r="F41809" s="39"/>
    </row>
    <row r="41810">
      <c r="D41810" s="39"/>
      <c r="E41810" s="39"/>
      <c r="F41810" s="39"/>
    </row>
    <row r="41811">
      <c r="D41811" s="39"/>
      <c r="E41811" s="39"/>
      <c r="F41811" s="39"/>
    </row>
    <row r="41812">
      <c r="D41812" s="39"/>
      <c r="E41812" s="39"/>
      <c r="F41812" s="39"/>
    </row>
    <row r="41813">
      <c r="D41813" s="39"/>
      <c r="E41813" s="39"/>
      <c r="F41813" s="39"/>
    </row>
    <row r="41814">
      <c r="D41814" s="39"/>
      <c r="E41814" s="39"/>
      <c r="F41814" s="39"/>
    </row>
    <row r="41815">
      <c r="D41815" s="39"/>
      <c r="E41815" s="39"/>
      <c r="F41815" s="39"/>
    </row>
    <row r="41816">
      <c r="D41816" s="39"/>
      <c r="E41816" s="39"/>
      <c r="F41816" s="39"/>
    </row>
    <row r="41817">
      <c r="D41817" s="39"/>
      <c r="E41817" s="39"/>
      <c r="F41817" s="39"/>
    </row>
    <row r="41818">
      <c r="D41818" s="39"/>
      <c r="E41818" s="39"/>
      <c r="F41818" s="39"/>
    </row>
    <row r="41819">
      <c r="D41819" s="39"/>
      <c r="E41819" s="39"/>
      <c r="F41819" s="39"/>
    </row>
    <row r="41820">
      <c r="D41820" s="39"/>
      <c r="E41820" s="39"/>
      <c r="F41820" s="39"/>
    </row>
    <row r="41821">
      <c r="D41821" s="39"/>
      <c r="E41821" s="39"/>
      <c r="F41821" s="39"/>
    </row>
    <row r="41822">
      <c r="D41822" s="39"/>
      <c r="E41822" s="39"/>
      <c r="F41822" s="39"/>
    </row>
    <row r="41823">
      <c r="D41823" s="39"/>
      <c r="E41823" s="39"/>
      <c r="F41823" s="39"/>
    </row>
    <row r="41824">
      <c r="D41824" s="39"/>
      <c r="E41824" s="39"/>
      <c r="F41824" s="39"/>
    </row>
    <row r="41825">
      <c r="D41825" s="39"/>
      <c r="E41825" s="39"/>
      <c r="F41825" s="39"/>
    </row>
    <row r="41826">
      <c r="D41826" s="39"/>
      <c r="E41826" s="39"/>
      <c r="F41826" s="39"/>
    </row>
    <row r="41827">
      <c r="D41827" s="39"/>
      <c r="E41827" s="39"/>
      <c r="F41827" s="39"/>
    </row>
    <row r="41828">
      <c r="D41828" s="39"/>
      <c r="E41828" s="39"/>
      <c r="F41828" s="39"/>
    </row>
    <row r="41829">
      <c r="D41829" s="39"/>
      <c r="E41829" s="39"/>
      <c r="F41829" s="39"/>
    </row>
    <row r="41830">
      <c r="D41830" s="39"/>
      <c r="E41830" s="39"/>
      <c r="F41830" s="39"/>
    </row>
    <row r="41831">
      <c r="D41831" s="39"/>
      <c r="E41831" s="39"/>
      <c r="F41831" s="39"/>
    </row>
    <row r="41832">
      <c r="D41832" s="39"/>
      <c r="E41832" s="39"/>
      <c r="F41832" s="39"/>
    </row>
    <row r="41833">
      <c r="D41833" s="39"/>
      <c r="E41833" s="39"/>
      <c r="F41833" s="39"/>
    </row>
    <row r="41834">
      <c r="D41834" s="39"/>
      <c r="E41834" s="39"/>
      <c r="F41834" s="39"/>
    </row>
    <row r="41835">
      <c r="D41835" s="39"/>
      <c r="E41835" s="39"/>
      <c r="F41835" s="39"/>
    </row>
    <row r="41836">
      <c r="D41836" s="39"/>
      <c r="E41836" s="39"/>
      <c r="F41836" s="39"/>
    </row>
    <row r="41837">
      <c r="D41837" s="39"/>
      <c r="E41837" s="39"/>
      <c r="F41837" s="39"/>
    </row>
    <row r="41838">
      <c r="D41838" s="39"/>
      <c r="E41838" s="39"/>
      <c r="F41838" s="39"/>
    </row>
    <row r="41839">
      <c r="D41839" s="39"/>
      <c r="E41839" s="39"/>
      <c r="F41839" s="39"/>
    </row>
    <row r="41840">
      <c r="D41840" s="39"/>
      <c r="E41840" s="39"/>
      <c r="F41840" s="39"/>
    </row>
    <row r="41841">
      <c r="D41841" s="39"/>
      <c r="E41841" s="39"/>
      <c r="F41841" s="39"/>
    </row>
    <row r="41842">
      <c r="D41842" s="39"/>
      <c r="E41842" s="39"/>
      <c r="F41842" s="39"/>
    </row>
    <row r="41843">
      <c r="D41843" s="39"/>
      <c r="E41843" s="39"/>
      <c r="F41843" s="39"/>
    </row>
    <row r="41844">
      <c r="D41844" s="39"/>
      <c r="E41844" s="39"/>
      <c r="F41844" s="39"/>
    </row>
    <row r="41845">
      <c r="D41845" s="39"/>
      <c r="E41845" s="39"/>
      <c r="F41845" s="39"/>
    </row>
    <row r="41846">
      <c r="D41846" s="39"/>
      <c r="E41846" s="39"/>
      <c r="F41846" s="39"/>
    </row>
    <row r="41847">
      <c r="D41847" s="39"/>
      <c r="E41847" s="39"/>
      <c r="F41847" s="39"/>
    </row>
    <row r="41848">
      <c r="D41848" s="39"/>
      <c r="E41848" s="39"/>
      <c r="F41848" s="39"/>
    </row>
    <row r="41849">
      <c r="D41849" s="39"/>
      <c r="E41849" s="39"/>
      <c r="F41849" s="39"/>
    </row>
    <row r="41850">
      <c r="D41850" s="39"/>
      <c r="E41850" s="39"/>
      <c r="F41850" s="39"/>
    </row>
    <row r="41851">
      <c r="D41851" s="39"/>
      <c r="E41851" s="39"/>
      <c r="F41851" s="39"/>
    </row>
    <row r="41852">
      <c r="D41852" s="39"/>
      <c r="E41852" s="39"/>
      <c r="F41852" s="39"/>
    </row>
    <row r="41853">
      <c r="D41853" s="39"/>
      <c r="E41853" s="39"/>
      <c r="F41853" s="39"/>
    </row>
    <row r="41854">
      <c r="D41854" s="39"/>
      <c r="E41854" s="39"/>
      <c r="F41854" s="39"/>
    </row>
    <row r="41855">
      <c r="D41855" s="39"/>
      <c r="E41855" s="39"/>
      <c r="F41855" s="39"/>
    </row>
    <row r="41856">
      <c r="D41856" s="39"/>
      <c r="E41856" s="39"/>
      <c r="F41856" s="39"/>
    </row>
    <row r="41857">
      <c r="D41857" s="39"/>
      <c r="E41857" s="39"/>
      <c r="F41857" s="39"/>
    </row>
    <row r="41858">
      <c r="D41858" s="39"/>
      <c r="E41858" s="39"/>
      <c r="F41858" s="39"/>
    </row>
    <row r="41859">
      <c r="D41859" s="39"/>
      <c r="E41859" s="39"/>
      <c r="F41859" s="39"/>
    </row>
    <row r="41860">
      <c r="D41860" s="39"/>
      <c r="E41860" s="39"/>
      <c r="F41860" s="39"/>
    </row>
    <row r="41861">
      <c r="D41861" s="39"/>
      <c r="E41861" s="39"/>
      <c r="F41861" s="39"/>
    </row>
    <row r="41862">
      <c r="D41862" s="39"/>
      <c r="E41862" s="39"/>
      <c r="F41862" s="39"/>
    </row>
    <row r="41863">
      <c r="D41863" s="39"/>
      <c r="E41863" s="39"/>
      <c r="F41863" s="39"/>
    </row>
    <row r="41864">
      <c r="D41864" s="39"/>
      <c r="E41864" s="39"/>
      <c r="F41864" s="39"/>
    </row>
    <row r="41865">
      <c r="D41865" s="39"/>
      <c r="E41865" s="39"/>
      <c r="F41865" s="39"/>
    </row>
    <row r="41866">
      <c r="D41866" s="39"/>
      <c r="E41866" s="39"/>
      <c r="F41866" s="39"/>
    </row>
    <row r="41867">
      <c r="D41867" s="39"/>
      <c r="E41867" s="39"/>
      <c r="F41867" s="39"/>
    </row>
    <row r="41868">
      <c r="D41868" s="39"/>
      <c r="E41868" s="39"/>
      <c r="F41868" s="39"/>
    </row>
    <row r="41869">
      <c r="D41869" s="39"/>
      <c r="E41869" s="39"/>
      <c r="F41869" s="39"/>
    </row>
    <row r="41870">
      <c r="D41870" s="39"/>
      <c r="E41870" s="39"/>
      <c r="F41870" s="39"/>
    </row>
    <row r="41871">
      <c r="D41871" s="39"/>
      <c r="E41871" s="39"/>
      <c r="F41871" s="39"/>
    </row>
    <row r="41872">
      <c r="D41872" s="39"/>
      <c r="E41872" s="39"/>
      <c r="F41872" s="39"/>
    </row>
    <row r="41873">
      <c r="D41873" s="39"/>
      <c r="E41873" s="39"/>
      <c r="F41873" s="39"/>
    </row>
    <row r="41874">
      <c r="D41874" s="39"/>
      <c r="E41874" s="39"/>
      <c r="F41874" s="39"/>
    </row>
    <row r="41875">
      <c r="D41875" s="39"/>
      <c r="E41875" s="39"/>
      <c r="F41875" s="39"/>
    </row>
    <row r="41876">
      <c r="D41876" s="39"/>
      <c r="E41876" s="39"/>
      <c r="F41876" s="39"/>
    </row>
    <row r="41877">
      <c r="D41877" s="39"/>
      <c r="E41877" s="39"/>
      <c r="F41877" s="39"/>
    </row>
    <row r="41878">
      <c r="D41878" s="39"/>
      <c r="E41878" s="39"/>
      <c r="F41878" s="39"/>
    </row>
    <row r="41879">
      <c r="D41879" s="39"/>
      <c r="E41879" s="39"/>
      <c r="F41879" s="39"/>
    </row>
    <row r="41880">
      <c r="D41880" s="39"/>
      <c r="E41880" s="39"/>
      <c r="F41880" s="39"/>
    </row>
    <row r="41881">
      <c r="D41881" s="39"/>
      <c r="E41881" s="39"/>
      <c r="F41881" s="39"/>
    </row>
    <row r="41882">
      <c r="D41882" s="39"/>
      <c r="E41882" s="39"/>
      <c r="F41882" s="39"/>
    </row>
    <row r="41883">
      <c r="D41883" s="39"/>
      <c r="E41883" s="39"/>
      <c r="F41883" s="39"/>
    </row>
    <row r="41884">
      <c r="D41884" s="39"/>
      <c r="E41884" s="39"/>
      <c r="F41884" s="39"/>
    </row>
    <row r="41885">
      <c r="D41885" s="39"/>
      <c r="E41885" s="39"/>
      <c r="F41885" s="39"/>
    </row>
    <row r="41886">
      <c r="D41886" s="39"/>
      <c r="E41886" s="39"/>
      <c r="F41886" s="39"/>
    </row>
    <row r="41887">
      <c r="D41887" s="39"/>
      <c r="E41887" s="39"/>
      <c r="F41887" s="39"/>
    </row>
    <row r="41888">
      <c r="D41888" s="39"/>
      <c r="E41888" s="39"/>
      <c r="F41888" s="39"/>
    </row>
    <row r="41889">
      <c r="D41889" s="39"/>
      <c r="E41889" s="39"/>
      <c r="F41889" s="39"/>
    </row>
    <row r="41890">
      <c r="D41890" s="39"/>
      <c r="E41890" s="39"/>
      <c r="F41890" s="39"/>
    </row>
    <row r="41891">
      <c r="D41891" s="39"/>
      <c r="E41891" s="39"/>
      <c r="F41891" s="39"/>
    </row>
    <row r="41892">
      <c r="D41892" s="39"/>
      <c r="E41892" s="39"/>
      <c r="F41892" s="39"/>
    </row>
    <row r="41893">
      <c r="D41893" s="39"/>
      <c r="E41893" s="39"/>
      <c r="F41893" s="39"/>
    </row>
    <row r="41894">
      <c r="D41894" s="39"/>
      <c r="E41894" s="39"/>
      <c r="F41894" s="39"/>
    </row>
    <row r="41895">
      <c r="D41895" s="39"/>
      <c r="E41895" s="39"/>
      <c r="F41895" s="39"/>
    </row>
    <row r="41896">
      <c r="D41896" s="39"/>
      <c r="E41896" s="39"/>
      <c r="F41896" s="39"/>
    </row>
    <row r="41897">
      <c r="D41897" s="39"/>
      <c r="E41897" s="39"/>
      <c r="F41897" s="39"/>
    </row>
    <row r="41898">
      <c r="D41898" s="39"/>
      <c r="E41898" s="39"/>
      <c r="F41898" s="39"/>
    </row>
    <row r="41899">
      <c r="D41899" s="39"/>
      <c r="E41899" s="39"/>
      <c r="F41899" s="39"/>
    </row>
    <row r="41900">
      <c r="D41900" s="39"/>
      <c r="E41900" s="39"/>
      <c r="F41900" s="39"/>
    </row>
    <row r="41901">
      <c r="D41901" s="39"/>
      <c r="E41901" s="39"/>
      <c r="F41901" s="39"/>
    </row>
    <row r="41902">
      <c r="D41902" s="39"/>
      <c r="E41902" s="39"/>
      <c r="F41902" s="39"/>
    </row>
    <row r="41903">
      <c r="D41903" s="39"/>
      <c r="E41903" s="39"/>
      <c r="F41903" s="39"/>
    </row>
    <row r="41904">
      <c r="D41904" s="39"/>
      <c r="E41904" s="39"/>
      <c r="F41904" s="39"/>
    </row>
    <row r="41905">
      <c r="D41905" s="39"/>
      <c r="E41905" s="39"/>
      <c r="F41905" s="39"/>
    </row>
    <row r="41906">
      <c r="D41906" s="39"/>
      <c r="E41906" s="39"/>
      <c r="F41906" s="39"/>
    </row>
    <row r="41907">
      <c r="D41907" s="39"/>
      <c r="E41907" s="39"/>
      <c r="F41907" s="39"/>
    </row>
    <row r="41908">
      <c r="D41908" s="39"/>
      <c r="E41908" s="39"/>
      <c r="F41908" s="39"/>
    </row>
    <row r="41909">
      <c r="D41909" s="39"/>
      <c r="E41909" s="39"/>
      <c r="F41909" s="39"/>
    </row>
    <row r="41910">
      <c r="D41910" s="39"/>
      <c r="E41910" s="39"/>
      <c r="F41910" s="39"/>
    </row>
    <row r="41911">
      <c r="D41911" s="39"/>
      <c r="E41911" s="39"/>
      <c r="F41911" s="39"/>
    </row>
    <row r="41912">
      <c r="D41912" s="39"/>
      <c r="E41912" s="39"/>
      <c r="F41912" s="39"/>
    </row>
    <row r="41913">
      <c r="D41913" s="39"/>
      <c r="E41913" s="39"/>
      <c r="F41913" s="39"/>
    </row>
    <row r="41914">
      <c r="D41914" s="39"/>
      <c r="E41914" s="39"/>
      <c r="F41914" s="39"/>
    </row>
    <row r="41915">
      <c r="D41915" s="39"/>
      <c r="E41915" s="39"/>
      <c r="F41915" s="39"/>
    </row>
    <row r="41916">
      <c r="D41916" s="39"/>
      <c r="E41916" s="39"/>
      <c r="F41916" s="39"/>
    </row>
    <row r="41917">
      <c r="D41917" s="39"/>
      <c r="E41917" s="39"/>
      <c r="F41917" s="39"/>
    </row>
    <row r="41918">
      <c r="D41918" s="39"/>
      <c r="E41918" s="39"/>
      <c r="F41918" s="39"/>
    </row>
    <row r="41919">
      <c r="D41919" s="39"/>
      <c r="E41919" s="39"/>
      <c r="F41919" s="39"/>
    </row>
    <row r="41920">
      <c r="D41920" s="39"/>
      <c r="E41920" s="39"/>
      <c r="F41920" s="39"/>
    </row>
    <row r="41921">
      <c r="D41921" s="39"/>
      <c r="E41921" s="39"/>
      <c r="F41921" s="39"/>
    </row>
    <row r="41922">
      <c r="D41922" s="39"/>
      <c r="E41922" s="39"/>
      <c r="F41922" s="39"/>
    </row>
    <row r="41923">
      <c r="D41923" s="39"/>
      <c r="E41923" s="39"/>
      <c r="F41923" s="39"/>
    </row>
    <row r="41924">
      <c r="D41924" s="39"/>
      <c r="E41924" s="39"/>
      <c r="F41924" s="39"/>
    </row>
    <row r="41925">
      <c r="D41925" s="39"/>
      <c r="E41925" s="39"/>
      <c r="F41925" s="39"/>
    </row>
    <row r="41926">
      <c r="D41926" s="39"/>
      <c r="E41926" s="39"/>
      <c r="F41926" s="39"/>
    </row>
    <row r="41927">
      <c r="D41927" s="39"/>
      <c r="E41927" s="39"/>
      <c r="F41927" s="39"/>
    </row>
    <row r="41928">
      <c r="D41928" s="39"/>
      <c r="E41928" s="39"/>
      <c r="F41928" s="39"/>
    </row>
    <row r="41929">
      <c r="D41929" s="39"/>
      <c r="E41929" s="39"/>
      <c r="F41929" s="39"/>
    </row>
    <row r="41930">
      <c r="D41930" s="39"/>
      <c r="E41930" s="39"/>
      <c r="F41930" s="39"/>
    </row>
    <row r="41931">
      <c r="D41931" s="39"/>
      <c r="E41931" s="39"/>
      <c r="F41931" s="39"/>
    </row>
    <row r="41932">
      <c r="D41932" s="39"/>
      <c r="E41932" s="39"/>
      <c r="F41932" s="39"/>
    </row>
    <row r="41933">
      <c r="D41933" s="39"/>
      <c r="E41933" s="39"/>
      <c r="F41933" s="39"/>
    </row>
    <row r="41934">
      <c r="D41934" s="39"/>
      <c r="E41934" s="39"/>
      <c r="F41934" s="39"/>
    </row>
    <row r="41935">
      <c r="D41935" s="39"/>
      <c r="E41935" s="39"/>
      <c r="F41935" s="39"/>
    </row>
    <row r="41936">
      <c r="D41936" s="39"/>
      <c r="E41936" s="39"/>
      <c r="F41936" s="39"/>
    </row>
    <row r="41937">
      <c r="D41937" s="39"/>
      <c r="E41937" s="39"/>
      <c r="F41937" s="39"/>
    </row>
    <row r="41938">
      <c r="D41938" s="39"/>
      <c r="E41938" s="39"/>
      <c r="F41938" s="39"/>
    </row>
    <row r="41939">
      <c r="D41939" s="39"/>
      <c r="E41939" s="39"/>
      <c r="F41939" s="39"/>
    </row>
    <row r="41940">
      <c r="D41940" s="39"/>
      <c r="E41940" s="39"/>
      <c r="F41940" s="39"/>
    </row>
    <row r="41941">
      <c r="D41941" s="39"/>
      <c r="E41941" s="39"/>
      <c r="F41941" s="39"/>
    </row>
    <row r="41942">
      <c r="D41942" s="39"/>
      <c r="E41942" s="39"/>
      <c r="F41942" s="39"/>
    </row>
    <row r="41943">
      <c r="D41943" s="39"/>
      <c r="E41943" s="39"/>
      <c r="F41943" s="39"/>
    </row>
    <row r="41944">
      <c r="D41944" s="39"/>
      <c r="E41944" s="39"/>
      <c r="F41944" s="39"/>
    </row>
    <row r="41945">
      <c r="D41945" s="39"/>
      <c r="E41945" s="39"/>
      <c r="F41945" s="39"/>
    </row>
    <row r="41946">
      <c r="D41946" s="39"/>
      <c r="E41946" s="39"/>
      <c r="F41946" s="39"/>
    </row>
    <row r="41947">
      <c r="D41947" s="39"/>
      <c r="E41947" s="39"/>
      <c r="F41947" s="39"/>
    </row>
    <row r="41948">
      <c r="D41948" s="39"/>
      <c r="E41948" s="39"/>
      <c r="F41948" s="39"/>
    </row>
    <row r="41949">
      <c r="D41949" s="39"/>
      <c r="E41949" s="39"/>
      <c r="F41949" s="39"/>
    </row>
    <row r="41950">
      <c r="D41950" s="39"/>
      <c r="E41950" s="39"/>
      <c r="F41950" s="39"/>
    </row>
    <row r="41951">
      <c r="D41951" s="39"/>
      <c r="E41951" s="39"/>
      <c r="F41951" s="39"/>
    </row>
    <row r="41952">
      <c r="D41952" s="39"/>
      <c r="E41952" s="39"/>
      <c r="F41952" s="39"/>
    </row>
    <row r="41953">
      <c r="D41953" s="39"/>
      <c r="E41953" s="39"/>
      <c r="F41953" s="39"/>
    </row>
    <row r="41954">
      <c r="D41954" s="39"/>
      <c r="E41954" s="39"/>
      <c r="F41954" s="39"/>
    </row>
    <row r="41955">
      <c r="D41955" s="39"/>
      <c r="E41955" s="39"/>
      <c r="F41955" s="39"/>
    </row>
    <row r="41956">
      <c r="D41956" s="39"/>
      <c r="E41956" s="39"/>
      <c r="F41956" s="39"/>
    </row>
    <row r="41957">
      <c r="D41957" s="39"/>
      <c r="E41957" s="39"/>
      <c r="F41957" s="39"/>
    </row>
    <row r="41958">
      <c r="D41958" s="39"/>
      <c r="E41958" s="39"/>
      <c r="F41958" s="39"/>
    </row>
    <row r="41959">
      <c r="D41959" s="39"/>
      <c r="E41959" s="39"/>
      <c r="F41959" s="39"/>
    </row>
    <row r="41960">
      <c r="D41960" s="39"/>
      <c r="E41960" s="39"/>
      <c r="F41960" s="39"/>
    </row>
    <row r="41961">
      <c r="D41961" s="39"/>
      <c r="E41961" s="39"/>
      <c r="F41961" s="39"/>
    </row>
    <row r="41962">
      <c r="D41962" s="39"/>
      <c r="E41962" s="39"/>
      <c r="F41962" s="39"/>
    </row>
    <row r="41963">
      <c r="D41963" s="39"/>
      <c r="E41963" s="39"/>
      <c r="F41963" s="39"/>
    </row>
    <row r="41964">
      <c r="D41964" s="39"/>
      <c r="E41964" s="39"/>
      <c r="F41964" s="39"/>
    </row>
    <row r="41965">
      <c r="D41965" s="39"/>
      <c r="E41965" s="39"/>
      <c r="F41965" s="39"/>
    </row>
    <row r="41966">
      <c r="D41966" s="39"/>
      <c r="E41966" s="39"/>
      <c r="F41966" s="39"/>
    </row>
    <row r="41967">
      <c r="D41967" s="39"/>
      <c r="E41967" s="39"/>
      <c r="F41967" s="39"/>
    </row>
    <row r="41968">
      <c r="D41968" s="39"/>
      <c r="E41968" s="39"/>
      <c r="F41968" s="39"/>
    </row>
    <row r="41969">
      <c r="D41969" s="39"/>
      <c r="E41969" s="39"/>
      <c r="F41969" s="39"/>
    </row>
    <row r="41970">
      <c r="D41970" s="39"/>
      <c r="E41970" s="39"/>
      <c r="F41970" s="39"/>
    </row>
    <row r="41971">
      <c r="D41971" s="39"/>
      <c r="E41971" s="39"/>
      <c r="F41971" s="39"/>
    </row>
    <row r="41972">
      <c r="D41972" s="39"/>
      <c r="E41972" s="39"/>
      <c r="F41972" s="39"/>
    </row>
    <row r="41973">
      <c r="D41973" s="39"/>
      <c r="E41973" s="39"/>
      <c r="F41973" s="39"/>
    </row>
    <row r="41974">
      <c r="D41974" s="39"/>
      <c r="E41974" s="39"/>
      <c r="F41974" s="39"/>
    </row>
    <row r="41975">
      <c r="D41975" s="39"/>
      <c r="E41975" s="39"/>
      <c r="F41975" s="39"/>
    </row>
    <row r="41976">
      <c r="D41976" s="39"/>
      <c r="E41976" s="39"/>
      <c r="F41976" s="39"/>
    </row>
    <row r="41977">
      <c r="D41977" s="39"/>
      <c r="E41977" s="39"/>
      <c r="F41977" s="39"/>
    </row>
    <row r="41978">
      <c r="D41978" s="39"/>
      <c r="E41978" s="39"/>
      <c r="F41978" s="39"/>
    </row>
    <row r="41979">
      <c r="D41979" s="39"/>
      <c r="E41979" s="39"/>
      <c r="F41979" s="39"/>
    </row>
    <row r="41980">
      <c r="D41980" s="39"/>
      <c r="E41980" s="39"/>
      <c r="F41980" s="39"/>
    </row>
    <row r="41981">
      <c r="D41981" s="39"/>
      <c r="E41981" s="39"/>
      <c r="F41981" s="39"/>
    </row>
    <row r="41982">
      <c r="D41982" s="39"/>
      <c r="E41982" s="39"/>
      <c r="F41982" s="39"/>
    </row>
    <row r="41983">
      <c r="D41983" s="39"/>
      <c r="E41983" s="39"/>
      <c r="F41983" s="39"/>
    </row>
    <row r="41984">
      <c r="D41984" s="39"/>
      <c r="E41984" s="39"/>
      <c r="F41984" s="39"/>
    </row>
    <row r="41985">
      <c r="D41985" s="39"/>
      <c r="E41985" s="39"/>
      <c r="F41985" s="39"/>
    </row>
    <row r="41986">
      <c r="D41986" s="39"/>
      <c r="E41986" s="39"/>
      <c r="F41986" s="39"/>
    </row>
    <row r="41987">
      <c r="D41987" s="39"/>
      <c r="E41987" s="39"/>
      <c r="F41987" s="39"/>
    </row>
    <row r="41988">
      <c r="D41988" s="39"/>
      <c r="E41988" s="39"/>
      <c r="F41988" s="39"/>
    </row>
    <row r="41989">
      <c r="D41989" s="39"/>
      <c r="E41989" s="39"/>
      <c r="F41989" s="39"/>
    </row>
    <row r="41990">
      <c r="D41990" s="39"/>
      <c r="E41990" s="39"/>
      <c r="F41990" s="39"/>
    </row>
    <row r="41991">
      <c r="D41991" s="39"/>
      <c r="E41991" s="39"/>
      <c r="F41991" s="39"/>
    </row>
    <row r="41992">
      <c r="D41992" s="39"/>
      <c r="E41992" s="39"/>
      <c r="F41992" s="39"/>
    </row>
    <row r="41993">
      <c r="D41993" s="39"/>
      <c r="E41993" s="39"/>
      <c r="F41993" s="39"/>
    </row>
    <row r="41994">
      <c r="D41994" s="39"/>
      <c r="E41994" s="39"/>
      <c r="F41994" s="39"/>
    </row>
    <row r="41995">
      <c r="D41995" s="39"/>
      <c r="E41995" s="39"/>
      <c r="F41995" s="39"/>
    </row>
    <row r="41996">
      <c r="D41996" s="39"/>
      <c r="E41996" s="39"/>
      <c r="F41996" s="39"/>
    </row>
    <row r="41997">
      <c r="D41997" s="39"/>
      <c r="E41997" s="39"/>
      <c r="F41997" s="39"/>
    </row>
    <row r="41998">
      <c r="D41998" s="39"/>
      <c r="E41998" s="39"/>
      <c r="F41998" s="39"/>
    </row>
    <row r="41999">
      <c r="D41999" s="39"/>
      <c r="E41999" s="39"/>
      <c r="F41999" s="39"/>
    </row>
    <row r="42000">
      <c r="D42000" s="39"/>
      <c r="E42000" s="39"/>
      <c r="F42000" s="39"/>
    </row>
    <row r="42001">
      <c r="D42001" s="39"/>
      <c r="E42001" s="39"/>
      <c r="F42001" s="39"/>
    </row>
    <row r="42002">
      <c r="D42002" s="39"/>
      <c r="E42002" s="39"/>
      <c r="F42002" s="39"/>
    </row>
    <row r="42003">
      <c r="D42003" s="39"/>
      <c r="E42003" s="39"/>
      <c r="F42003" s="39"/>
    </row>
    <row r="42004">
      <c r="D42004" s="39"/>
      <c r="E42004" s="39"/>
      <c r="F42004" s="39"/>
    </row>
    <row r="42005">
      <c r="D42005" s="39"/>
      <c r="E42005" s="39"/>
      <c r="F42005" s="39"/>
    </row>
    <row r="42006">
      <c r="D42006" s="39"/>
      <c r="E42006" s="39"/>
      <c r="F42006" s="39"/>
    </row>
    <row r="42007">
      <c r="D42007" s="39"/>
      <c r="E42007" s="39"/>
      <c r="F42007" s="39"/>
    </row>
    <row r="42008">
      <c r="D42008" s="39"/>
      <c r="E42008" s="39"/>
      <c r="F42008" s="39"/>
    </row>
    <row r="42009">
      <c r="D42009" s="39"/>
      <c r="E42009" s="39"/>
      <c r="F42009" s="39"/>
    </row>
    <row r="42010">
      <c r="D42010" s="39"/>
      <c r="E42010" s="39"/>
      <c r="F42010" s="39"/>
    </row>
    <row r="42011">
      <c r="D42011" s="39"/>
      <c r="E42011" s="39"/>
      <c r="F42011" s="39"/>
    </row>
    <row r="42012">
      <c r="D42012" s="39"/>
      <c r="E42012" s="39"/>
      <c r="F42012" s="39"/>
    </row>
    <row r="42013">
      <c r="D42013" s="39"/>
      <c r="E42013" s="39"/>
      <c r="F42013" s="39"/>
    </row>
    <row r="42014">
      <c r="D42014" s="39"/>
      <c r="E42014" s="39"/>
      <c r="F42014" s="39"/>
    </row>
    <row r="42015">
      <c r="D42015" s="39"/>
      <c r="E42015" s="39"/>
      <c r="F42015" s="39"/>
    </row>
    <row r="42016">
      <c r="D42016" s="39"/>
      <c r="E42016" s="39"/>
      <c r="F42016" s="39"/>
    </row>
    <row r="42017">
      <c r="D42017" s="39"/>
      <c r="E42017" s="39"/>
      <c r="F42017" s="39"/>
    </row>
    <row r="42018">
      <c r="D42018" s="39"/>
      <c r="E42018" s="39"/>
      <c r="F42018" s="39"/>
    </row>
    <row r="42019">
      <c r="D42019" s="39"/>
      <c r="E42019" s="39"/>
      <c r="F42019" s="39"/>
    </row>
    <row r="42020">
      <c r="D42020" s="39"/>
      <c r="E42020" s="39"/>
      <c r="F42020" s="39"/>
    </row>
    <row r="42021">
      <c r="D42021" s="39"/>
      <c r="E42021" s="39"/>
      <c r="F42021" s="39"/>
    </row>
    <row r="42022">
      <c r="D42022" s="39"/>
      <c r="E42022" s="39"/>
      <c r="F42022" s="39"/>
    </row>
    <row r="42023">
      <c r="D42023" s="39"/>
      <c r="E42023" s="39"/>
      <c r="F42023" s="39"/>
    </row>
    <row r="42024">
      <c r="D42024" s="39"/>
      <c r="E42024" s="39"/>
      <c r="F42024" s="39"/>
    </row>
    <row r="42025">
      <c r="D42025" s="39"/>
      <c r="E42025" s="39"/>
      <c r="F42025" s="39"/>
    </row>
    <row r="42026">
      <c r="D42026" s="39"/>
      <c r="E42026" s="39"/>
      <c r="F42026" s="39"/>
    </row>
    <row r="42027">
      <c r="D42027" s="39"/>
      <c r="E42027" s="39"/>
      <c r="F42027" s="39"/>
    </row>
    <row r="42028">
      <c r="D42028" s="39"/>
      <c r="E42028" s="39"/>
      <c r="F42028" s="39"/>
    </row>
    <row r="42029">
      <c r="D42029" s="39"/>
      <c r="E42029" s="39"/>
      <c r="F42029" s="39"/>
    </row>
    <row r="42030">
      <c r="D42030" s="39"/>
      <c r="E42030" s="39"/>
      <c r="F42030" s="39"/>
    </row>
    <row r="42031">
      <c r="D42031" s="39"/>
      <c r="E42031" s="39"/>
      <c r="F42031" s="39"/>
    </row>
    <row r="42032">
      <c r="D42032" s="39"/>
      <c r="E42032" s="39"/>
      <c r="F42032" s="39"/>
    </row>
    <row r="42033">
      <c r="D42033" s="39"/>
      <c r="E42033" s="39"/>
      <c r="F42033" s="39"/>
    </row>
    <row r="42034">
      <c r="D42034" s="39"/>
      <c r="E42034" s="39"/>
      <c r="F42034" s="39"/>
    </row>
    <row r="42035">
      <c r="D42035" s="39"/>
      <c r="E42035" s="39"/>
      <c r="F42035" s="39"/>
    </row>
    <row r="42036">
      <c r="D42036" s="39"/>
      <c r="E42036" s="39"/>
      <c r="F42036" s="39"/>
    </row>
    <row r="42037">
      <c r="D42037" s="39"/>
      <c r="E42037" s="39"/>
      <c r="F42037" s="39"/>
    </row>
    <row r="42038">
      <c r="D42038" s="39"/>
      <c r="E42038" s="39"/>
      <c r="F42038" s="39"/>
    </row>
    <row r="42039">
      <c r="D42039" s="39"/>
      <c r="E42039" s="39"/>
      <c r="F42039" s="39"/>
    </row>
    <row r="42040">
      <c r="D42040" s="39"/>
      <c r="E42040" s="39"/>
      <c r="F42040" s="39"/>
    </row>
    <row r="42041">
      <c r="D42041" s="39"/>
      <c r="E42041" s="39"/>
      <c r="F42041" s="39"/>
    </row>
    <row r="42042">
      <c r="D42042" s="39"/>
      <c r="E42042" s="39"/>
      <c r="F42042" s="39"/>
    </row>
    <row r="42043">
      <c r="D42043" s="39"/>
      <c r="E42043" s="39"/>
      <c r="F42043" s="39"/>
    </row>
    <row r="42044">
      <c r="D42044" s="39"/>
      <c r="E42044" s="39"/>
      <c r="F42044" s="39"/>
    </row>
    <row r="42045">
      <c r="D42045" s="39"/>
      <c r="E42045" s="39"/>
      <c r="F42045" s="39"/>
    </row>
    <row r="42046">
      <c r="D42046" s="39"/>
      <c r="E42046" s="39"/>
      <c r="F42046" s="39"/>
    </row>
    <row r="42047">
      <c r="D42047" s="39"/>
      <c r="E42047" s="39"/>
      <c r="F42047" s="39"/>
    </row>
    <row r="42048">
      <c r="D42048" s="39"/>
      <c r="E42048" s="39"/>
      <c r="F42048" s="39"/>
    </row>
    <row r="42049">
      <c r="D42049" s="39"/>
      <c r="E42049" s="39"/>
      <c r="F42049" s="39"/>
    </row>
    <row r="42050">
      <c r="D42050" s="39"/>
      <c r="E42050" s="39"/>
      <c r="F42050" s="39"/>
    </row>
    <row r="42051">
      <c r="D42051" s="39"/>
      <c r="E42051" s="39"/>
      <c r="F42051" s="39"/>
    </row>
    <row r="42052">
      <c r="D42052" s="39"/>
      <c r="E42052" s="39"/>
      <c r="F42052" s="39"/>
    </row>
    <row r="42053">
      <c r="D42053" s="39"/>
      <c r="E42053" s="39"/>
      <c r="F42053" s="39"/>
    </row>
    <row r="42054">
      <c r="D42054" s="39"/>
      <c r="E42054" s="39"/>
      <c r="F42054" s="39"/>
    </row>
    <row r="42055">
      <c r="D42055" s="39"/>
      <c r="E42055" s="39"/>
      <c r="F42055" s="39"/>
    </row>
    <row r="42056">
      <c r="D42056" s="39"/>
      <c r="E42056" s="39"/>
      <c r="F42056" s="39"/>
    </row>
    <row r="42057">
      <c r="D42057" s="39"/>
      <c r="E42057" s="39"/>
      <c r="F42057" s="39"/>
    </row>
    <row r="42058">
      <c r="D42058" s="39"/>
      <c r="E42058" s="39"/>
      <c r="F42058" s="39"/>
    </row>
    <row r="42059">
      <c r="D42059" s="39"/>
      <c r="E42059" s="39"/>
      <c r="F42059" s="39"/>
    </row>
    <row r="42060">
      <c r="D42060" s="39"/>
      <c r="E42060" s="39"/>
      <c r="F42060" s="39"/>
    </row>
    <row r="42061">
      <c r="D42061" s="39"/>
      <c r="E42061" s="39"/>
      <c r="F42061" s="39"/>
    </row>
    <row r="42062">
      <c r="D42062" s="39"/>
      <c r="E42062" s="39"/>
      <c r="F42062" s="39"/>
    </row>
    <row r="42063">
      <c r="D42063" s="39"/>
      <c r="E42063" s="39"/>
      <c r="F42063" s="39"/>
    </row>
    <row r="42064">
      <c r="D42064" s="39"/>
      <c r="E42064" s="39"/>
      <c r="F42064" s="39"/>
    </row>
    <row r="42065">
      <c r="D42065" s="39"/>
      <c r="E42065" s="39"/>
      <c r="F42065" s="39"/>
    </row>
    <row r="42066">
      <c r="D42066" s="39"/>
      <c r="E42066" s="39"/>
      <c r="F42066" s="39"/>
    </row>
    <row r="42067">
      <c r="D42067" s="39"/>
      <c r="E42067" s="39"/>
      <c r="F42067" s="39"/>
    </row>
    <row r="42068">
      <c r="D42068" s="39"/>
      <c r="E42068" s="39"/>
      <c r="F42068" s="39"/>
    </row>
    <row r="42069">
      <c r="D42069" s="39"/>
      <c r="E42069" s="39"/>
      <c r="F42069" s="39"/>
    </row>
    <row r="42070">
      <c r="D42070" s="39"/>
      <c r="E42070" s="39"/>
      <c r="F42070" s="39"/>
    </row>
    <row r="42071">
      <c r="D42071" s="39"/>
      <c r="E42071" s="39"/>
      <c r="F42071" s="39"/>
    </row>
    <row r="42072">
      <c r="D42072" s="39"/>
      <c r="E42072" s="39"/>
      <c r="F42072" s="39"/>
    </row>
    <row r="42073">
      <c r="D42073" s="39"/>
      <c r="E42073" s="39"/>
      <c r="F42073" s="39"/>
    </row>
    <row r="42074">
      <c r="D42074" s="39"/>
      <c r="E42074" s="39"/>
      <c r="F42074" s="39"/>
    </row>
    <row r="42075">
      <c r="D42075" s="39"/>
      <c r="E42075" s="39"/>
      <c r="F42075" s="39"/>
    </row>
    <row r="42076">
      <c r="D42076" s="39"/>
      <c r="E42076" s="39"/>
      <c r="F42076" s="39"/>
    </row>
    <row r="42077">
      <c r="D42077" s="39"/>
      <c r="E42077" s="39"/>
      <c r="F42077" s="39"/>
    </row>
    <row r="42078">
      <c r="D42078" s="39"/>
      <c r="E42078" s="39"/>
      <c r="F42078" s="39"/>
    </row>
    <row r="42079">
      <c r="D42079" s="39"/>
      <c r="E42079" s="39"/>
      <c r="F42079" s="39"/>
    </row>
    <row r="42080">
      <c r="D42080" s="39"/>
      <c r="E42080" s="39"/>
      <c r="F42080" s="39"/>
    </row>
    <row r="42081">
      <c r="D42081" s="39"/>
      <c r="E42081" s="39"/>
      <c r="F42081" s="39"/>
    </row>
    <row r="42082">
      <c r="D42082" s="39"/>
      <c r="E42082" s="39"/>
      <c r="F42082" s="39"/>
    </row>
    <row r="42083">
      <c r="D42083" s="39"/>
      <c r="E42083" s="39"/>
      <c r="F42083" s="39"/>
    </row>
    <row r="42084">
      <c r="D42084" s="39"/>
      <c r="E42084" s="39"/>
      <c r="F42084" s="39"/>
    </row>
    <row r="42085">
      <c r="D42085" s="39"/>
      <c r="E42085" s="39"/>
      <c r="F42085" s="39"/>
    </row>
    <row r="42086">
      <c r="D42086" s="39"/>
      <c r="E42086" s="39"/>
      <c r="F42086" s="39"/>
    </row>
    <row r="42087">
      <c r="D42087" s="39"/>
      <c r="E42087" s="39"/>
      <c r="F42087" s="39"/>
    </row>
    <row r="42088">
      <c r="D42088" s="39"/>
      <c r="E42088" s="39"/>
      <c r="F42088" s="39"/>
    </row>
    <row r="42089">
      <c r="D42089" s="39"/>
      <c r="E42089" s="39"/>
      <c r="F42089" s="39"/>
    </row>
    <row r="42090">
      <c r="D42090" s="39"/>
      <c r="E42090" s="39"/>
      <c r="F42090" s="39"/>
    </row>
    <row r="42091">
      <c r="D42091" s="39"/>
      <c r="E42091" s="39"/>
      <c r="F42091" s="39"/>
    </row>
    <row r="42092">
      <c r="D42092" s="39"/>
      <c r="E42092" s="39"/>
      <c r="F42092" s="39"/>
    </row>
    <row r="42093">
      <c r="D42093" s="39"/>
      <c r="E42093" s="39"/>
      <c r="F42093" s="39"/>
    </row>
    <row r="42094">
      <c r="D42094" s="39"/>
      <c r="E42094" s="39"/>
      <c r="F42094" s="39"/>
    </row>
    <row r="42095">
      <c r="D42095" s="39"/>
      <c r="E42095" s="39"/>
      <c r="F42095" s="39"/>
    </row>
    <row r="42096">
      <c r="D42096" s="39"/>
      <c r="E42096" s="39"/>
      <c r="F42096" s="39"/>
    </row>
    <row r="42097">
      <c r="D42097" s="39"/>
      <c r="E42097" s="39"/>
      <c r="F42097" s="39"/>
    </row>
    <row r="42098">
      <c r="D42098" s="39"/>
      <c r="E42098" s="39"/>
      <c r="F42098" s="39"/>
    </row>
    <row r="42099">
      <c r="D42099" s="39"/>
      <c r="E42099" s="39"/>
      <c r="F42099" s="39"/>
    </row>
    <row r="42100">
      <c r="D42100" s="39"/>
      <c r="E42100" s="39"/>
      <c r="F42100" s="39"/>
    </row>
    <row r="42101">
      <c r="D42101" s="39"/>
      <c r="E42101" s="39"/>
      <c r="F42101" s="39"/>
    </row>
    <row r="42102">
      <c r="D42102" s="39"/>
      <c r="E42102" s="39"/>
      <c r="F42102" s="39"/>
    </row>
    <row r="42103">
      <c r="D42103" s="39"/>
      <c r="E42103" s="39"/>
      <c r="F42103" s="39"/>
    </row>
    <row r="42104">
      <c r="D42104" s="39"/>
      <c r="E42104" s="39"/>
      <c r="F42104" s="39"/>
    </row>
    <row r="42105">
      <c r="D42105" s="39"/>
      <c r="E42105" s="39"/>
      <c r="F42105" s="39"/>
    </row>
    <row r="42106">
      <c r="D42106" s="39"/>
      <c r="E42106" s="39"/>
      <c r="F42106" s="39"/>
    </row>
    <row r="42107">
      <c r="D42107" s="39"/>
      <c r="E42107" s="39"/>
      <c r="F42107" s="39"/>
    </row>
    <row r="42108">
      <c r="D42108" s="39"/>
      <c r="E42108" s="39"/>
      <c r="F42108" s="39"/>
    </row>
    <row r="42109">
      <c r="D42109" s="39"/>
      <c r="E42109" s="39"/>
      <c r="F42109" s="39"/>
    </row>
    <row r="42110">
      <c r="D42110" s="39"/>
      <c r="E42110" s="39"/>
      <c r="F42110" s="39"/>
    </row>
    <row r="42111">
      <c r="D42111" s="39"/>
      <c r="E42111" s="39"/>
      <c r="F42111" s="39"/>
    </row>
    <row r="42112">
      <c r="D42112" s="39"/>
      <c r="E42112" s="39"/>
      <c r="F42112" s="39"/>
    </row>
    <row r="42113">
      <c r="D42113" s="39"/>
      <c r="E42113" s="39"/>
      <c r="F42113" s="39"/>
    </row>
    <row r="42114">
      <c r="D42114" s="39"/>
      <c r="E42114" s="39"/>
      <c r="F42114" s="39"/>
    </row>
    <row r="42115">
      <c r="D42115" s="39"/>
      <c r="E42115" s="39"/>
      <c r="F42115" s="39"/>
    </row>
    <row r="42116">
      <c r="D42116" s="39"/>
      <c r="E42116" s="39"/>
      <c r="F42116" s="39"/>
    </row>
    <row r="42117">
      <c r="D42117" s="39"/>
      <c r="E42117" s="39"/>
      <c r="F42117" s="39"/>
    </row>
    <row r="42118">
      <c r="D42118" s="39"/>
      <c r="E42118" s="39"/>
      <c r="F42118" s="39"/>
    </row>
    <row r="42119">
      <c r="D42119" s="39"/>
      <c r="E42119" s="39"/>
      <c r="F42119" s="39"/>
    </row>
    <row r="42120">
      <c r="D42120" s="39"/>
      <c r="E42120" s="39"/>
      <c r="F42120" s="39"/>
    </row>
    <row r="42121">
      <c r="D42121" s="39"/>
      <c r="E42121" s="39"/>
      <c r="F42121" s="39"/>
    </row>
    <row r="42122">
      <c r="D42122" s="39"/>
      <c r="E42122" s="39"/>
      <c r="F42122" s="39"/>
    </row>
    <row r="42123">
      <c r="D42123" s="39"/>
      <c r="E42123" s="39"/>
      <c r="F42123" s="39"/>
    </row>
    <row r="42124">
      <c r="D42124" s="39"/>
      <c r="E42124" s="39"/>
      <c r="F42124" s="39"/>
    </row>
    <row r="42125">
      <c r="D42125" s="39"/>
      <c r="E42125" s="39"/>
      <c r="F42125" s="39"/>
    </row>
    <row r="42126">
      <c r="D42126" s="39"/>
      <c r="E42126" s="39"/>
      <c r="F42126" s="39"/>
    </row>
    <row r="42127">
      <c r="D42127" s="39"/>
      <c r="E42127" s="39"/>
      <c r="F42127" s="39"/>
    </row>
    <row r="42128">
      <c r="D42128" s="39"/>
      <c r="E42128" s="39"/>
      <c r="F42128" s="39"/>
    </row>
    <row r="42129">
      <c r="D42129" s="39"/>
      <c r="E42129" s="39"/>
      <c r="F42129" s="39"/>
    </row>
    <row r="42130">
      <c r="D42130" s="39"/>
      <c r="E42130" s="39"/>
      <c r="F42130" s="39"/>
    </row>
    <row r="42131">
      <c r="D42131" s="39"/>
      <c r="E42131" s="39"/>
      <c r="F42131" s="39"/>
    </row>
    <row r="42132">
      <c r="D42132" s="39"/>
      <c r="E42132" s="39"/>
      <c r="F42132" s="39"/>
    </row>
    <row r="42133">
      <c r="D42133" s="39"/>
      <c r="E42133" s="39"/>
      <c r="F42133" s="39"/>
    </row>
    <row r="42134">
      <c r="D42134" s="39"/>
      <c r="E42134" s="39"/>
      <c r="F42134" s="39"/>
    </row>
    <row r="42135">
      <c r="D42135" s="39"/>
      <c r="E42135" s="39"/>
      <c r="F42135" s="39"/>
    </row>
    <row r="42136">
      <c r="D42136" s="39"/>
      <c r="E42136" s="39"/>
      <c r="F42136" s="39"/>
    </row>
    <row r="42137">
      <c r="D42137" s="39"/>
      <c r="E42137" s="39"/>
      <c r="F42137" s="39"/>
    </row>
    <row r="42138">
      <c r="D42138" s="39"/>
      <c r="E42138" s="39"/>
      <c r="F42138" s="39"/>
    </row>
    <row r="42139">
      <c r="D42139" s="39"/>
      <c r="E42139" s="39"/>
      <c r="F42139" s="39"/>
    </row>
    <row r="42140">
      <c r="D42140" s="39"/>
      <c r="E42140" s="39"/>
      <c r="F42140" s="39"/>
    </row>
    <row r="42141">
      <c r="D42141" s="39"/>
      <c r="E42141" s="39"/>
      <c r="F42141" s="39"/>
    </row>
    <row r="42142">
      <c r="D42142" s="39"/>
      <c r="E42142" s="39"/>
      <c r="F42142" s="39"/>
    </row>
    <row r="42143">
      <c r="D42143" s="39"/>
      <c r="E42143" s="39"/>
      <c r="F42143" s="39"/>
    </row>
    <row r="42144">
      <c r="D42144" s="39"/>
      <c r="E42144" s="39"/>
      <c r="F42144" s="39"/>
    </row>
    <row r="42145">
      <c r="D42145" s="39"/>
      <c r="E42145" s="39"/>
      <c r="F42145" s="39"/>
    </row>
    <row r="42146">
      <c r="D42146" s="39"/>
      <c r="E42146" s="39"/>
      <c r="F42146" s="39"/>
    </row>
    <row r="42147">
      <c r="D42147" s="39"/>
      <c r="E42147" s="39"/>
      <c r="F42147" s="39"/>
    </row>
    <row r="42148">
      <c r="D42148" s="39"/>
      <c r="E42148" s="39"/>
      <c r="F42148" s="39"/>
    </row>
    <row r="42149">
      <c r="D42149" s="39"/>
      <c r="E42149" s="39"/>
      <c r="F42149" s="39"/>
    </row>
    <row r="42150">
      <c r="D42150" s="39"/>
      <c r="E42150" s="39"/>
      <c r="F42150" s="39"/>
    </row>
    <row r="42151">
      <c r="D42151" s="39"/>
      <c r="E42151" s="39"/>
      <c r="F42151" s="39"/>
    </row>
    <row r="42152">
      <c r="D42152" s="39"/>
      <c r="E42152" s="39"/>
      <c r="F42152" s="39"/>
    </row>
    <row r="42153">
      <c r="D42153" s="39"/>
      <c r="E42153" s="39"/>
      <c r="F42153" s="39"/>
    </row>
    <row r="42154">
      <c r="D42154" s="39"/>
      <c r="E42154" s="39"/>
      <c r="F42154" s="39"/>
    </row>
    <row r="42155">
      <c r="D42155" s="39"/>
      <c r="E42155" s="39"/>
      <c r="F42155" s="39"/>
    </row>
    <row r="42156">
      <c r="D42156" s="39"/>
      <c r="E42156" s="39"/>
      <c r="F42156" s="39"/>
    </row>
    <row r="42157">
      <c r="D42157" s="39"/>
      <c r="E42157" s="39"/>
      <c r="F42157" s="39"/>
    </row>
    <row r="42158">
      <c r="D42158" s="39"/>
      <c r="E42158" s="39"/>
      <c r="F42158" s="39"/>
    </row>
    <row r="42159">
      <c r="D42159" s="39"/>
      <c r="E42159" s="39"/>
      <c r="F42159" s="39"/>
    </row>
    <row r="42160">
      <c r="D42160" s="39"/>
      <c r="E42160" s="39"/>
      <c r="F42160" s="39"/>
    </row>
    <row r="42161">
      <c r="D42161" s="39"/>
      <c r="E42161" s="39"/>
      <c r="F42161" s="39"/>
    </row>
    <row r="42162">
      <c r="D42162" s="39"/>
      <c r="E42162" s="39"/>
      <c r="F42162" s="39"/>
    </row>
    <row r="42163">
      <c r="D42163" s="39"/>
      <c r="E42163" s="39"/>
      <c r="F42163" s="39"/>
    </row>
    <row r="42164">
      <c r="D42164" s="39"/>
      <c r="E42164" s="39"/>
      <c r="F42164" s="39"/>
    </row>
    <row r="42165">
      <c r="D42165" s="39"/>
      <c r="E42165" s="39"/>
      <c r="F42165" s="39"/>
    </row>
    <row r="42166">
      <c r="D42166" s="39"/>
      <c r="E42166" s="39"/>
      <c r="F42166" s="39"/>
    </row>
    <row r="42167">
      <c r="D42167" s="39"/>
      <c r="E42167" s="39"/>
      <c r="F42167" s="39"/>
    </row>
    <row r="42168">
      <c r="D42168" s="39"/>
      <c r="E42168" s="39"/>
      <c r="F42168" s="39"/>
    </row>
    <row r="42169">
      <c r="D42169" s="39"/>
      <c r="E42169" s="39"/>
      <c r="F42169" s="39"/>
    </row>
    <row r="42170">
      <c r="D42170" s="39"/>
      <c r="E42170" s="39"/>
      <c r="F42170" s="39"/>
    </row>
    <row r="42171">
      <c r="D42171" s="39"/>
      <c r="E42171" s="39"/>
      <c r="F42171" s="39"/>
    </row>
    <row r="42172">
      <c r="D42172" s="39"/>
      <c r="E42172" s="39"/>
      <c r="F42172" s="39"/>
    </row>
    <row r="42173">
      <c r="D42173" s="39"/>
      <c r="E42173" s="39"/>
      <c r="F42173" s="39"/>
    </row>
    <row r="42174">
      <c r="D42174" s="39"/>
      <c r="E42174" s="39"/>
      <c r="F42174" s="39"/>
    </row>
    <row r="42175">
      <c r="D42175" s="39"/>
      <c r="E42175" s="39"/>
      <c r="F42175" s="39"/>
    </row>
    <row r="42176">
      <c r="D42176" s="39"/>
      <c r="E42176" s="39"/>
      <c r="F42176" s="39"/>
    </row>
    <row r="42177">
      <c r="D42177" s="39"/>
      <c r="E42177" s="39"/>
      <c r="F42177" s="39"/>
    </row>
    <row r="42178">
      <c r="D42178" s="39"/>
      <c r="E42178" s="39"/>
      <c r="F42178" s="39"/>
    </row>
    <row r="42179">
      <c r="D42179" s="39"/>
      <c r="E42179" s="39"/>
      <c r="F42179" s="39"/>
    </row>
    <row r="42180">
      <c r="D42180" s="39"/>
      <c r="E42180" s="39"/>
      <c r="F42180" s="39"/>
    </row>
    <row r="42181">
      <c r="D42181" s="39"/>
      <c r="E42181" s="39"/>
      <c r="F42181" s="39"/>
    </row>
    <row r="42182">
      <c r="D42182" s="39"/>
      <c r="E42182" s="39"/>
      <c r="F42182" s="39"/>
    </row>
    <row r="42183">
      <c r="D42183" s="39"/>
      <c r="E42183" s="39"/>
      <c r="F42183" s="39"/>
    </row>
    <row r="42184">
      <c r="D42184" s="39"/>
      <c r="E42184" s="39"/>
      <c r="F42184" s="39"/>
    </row>
    <row r="42185">
      <c r="D42185" s="39"/>
      <c r="E42185" s="39"/>
      <c r="F42185" s="39"/>
    </row>
    <row r="42186">
      <c r="D42186" s="39"/>
      <c r="E42186" s="39"/>
      <c r="F42186" s="39"/>
    </row>
    <row r="42187">
      <c r="D42187" s="39"/>
      <c r="E42187" s="39"/>
      <c r="F42187" s="39"/>
    </row>
    <row r="42188">
      <c r="D42188" s="39"/>
      <c r="E42188" s="39"/>
      <c r="F42188" s="39"/>
    </row>
    <row r="42189">
      <c r="D42189" s="39"/>
      <c r="E42189" s="39"/>
      <c r="F42189" s="39"/>
    </row>
    <row r="42190">
      <c r="D42190" s="39"/>
      <c r="E42190" s="39"/>
      <c r="F42190" s="39"/>
    </row>
    <row r="42191">
      <c r="D42191" s="39"/>
      <c r="E42191" s="39"/>
      <c r="F42191" s="39"/>
    </row>
    <row r="42192">
      <c r="D42192" s="39"/>
      <c r="E42192" s="39"/>
      <c r="F42192" s="39"/>
    </row>
    <row r="42193">
      <c r="D42193" s="39"/>
      <c r="E42193" s="39"/>
      <c r="F42193" s="39"/>
    </row>
    <row r="42194">
      <c r="D42194" s="39"/>
      <c r="E42194" s="39"/>
      <c r="F42194" s="39"/>
    </row>
    <row r="42195">
      <c r="D42195" s="39"/>
      <c r="E42195" s="39"/>
      <c r="F42195" s="39"/>
    </row>
    <row r="42196">
      <c r="D42196" s="39"/>
      <c r="E42196" s="39"/>
      <c r="F42196" s="39"/>
    </row>
    <row r="42197">
      <c r="D42197" s="39"/>
      <c r="E42197" s="39"/>
      <c r="F42197" s="39"/>
    </row>
    <row r="42198">
      <c r="D42198" s="39"/>
      <c r="E42198" s="39"/>
      <c r="F42198" s="39"/>
    </row>
    <row r="42199">
      <c r="D42199" s="39"/>
      <c r="E42199" s="39"/>
      <c r="F42199" s="39"/>
    </row>
    <row r="42200">
      <c r="D42200" s="39"/>
      <c r="E42200" s="39"/>
      <c r="F42200" s="39"/>
    </row>
    <row r="42201">
      <c r="D42201" s="39"/>
      <c r="E42201" s="39"/>
      <c r="F42201" s="39"/>
    </row>
    <row r="42202">
      <c r="D42202" s="39"/>
      <c r="E42202" s="39"/>
      <c r="F42202" s="39"/>
    </row>
    <row r="42203">
      <c r="D42203" s="39"/>
      <c r="E42203" s="39"/>
      <c r="F42203" s="39"/>
    </row>
    <row r="42204">
      <c r="D42204" s="39"/>
      <c r="E42204" s="39"/>
      <c r="F42204" s="39"/>
    </row>
    <row r="42205">
      <c r="D42205" s="39"/>
      <c r="E42205" s="39"/>
      <c r="F42205" s="39"/>
    </row>
    <row r="42206">
      <c r="D42206" s="39"/>
      <c r="E42206" s="39"/>
      <c r="F42206" s="39"/>
    </row>
    <row r="42207">
      <c r="D42207" s="39"/>
      <c r="E42207" s="39"/>
      <c r="F42207" s="39"/>
    </row>
    <row r="42208">
      <c r="D42208" s="39"/>
      <c r="E42208" s="39"/>
      <c r="F42208" s="39"/>
    </row>
    <row r="42209">
      <c r="D42209" s="39"/>
      <c r="E42209" s="39"/>
      <c r="F42209" s="39"/>
    </row>
    <row r="42210">
      <c r="D42210" s="39"/>
      <c r="E42210" s="39"/>
      <c r="F42210" s="39"/>
    </row>
    <row r="42211">
      <c r="D42211" s="39"/>
      <c r="E42211" s="39"/>
      <c r="F42211" s="39"/>
    </row>
    <row r="42212">
      <c r="D42212" s="39"/>
      <c r="E42212" s="39"/>
      <c r="F42212" s="39"/>
    </row>
    <row r="42213">
      <c r="D42213" s="39"/>
      <c r="E42213" s="39"/>
      <c r="F42213" s="39"/>
    </row>
    <row r="42214">
      <c r="D42214" s="39"/>
      <c r="E42214" s="39"/>
      <c r="F42214" s="39"/>
    </row>
    <row r="42215">
      <c r="D42215" s="39"/>
      <c r="E42215" s="39"/>
      <c r="F42215" s="39"/>
    </row>
    <row r="42216">
      <c r="D42216" s="39"/>
      <c r="E42216" s="39"/>
      <c r="F42216" s="39"/>
    </row>
    <row r="42217">
      <c r="D42217" s="39"/>
      <c r="E42217" s="39"/>
      <c r="F42217" s="39"/>
    </row>
    <row r="42218">
      <c r="D42218" s="39"/>
      <c r="E42218" s="39"/>
      <c r="F42218" s="39"/>
    </row>
    <row r="42219">
      <c r="D42219" s="39"/>
      <c r="E42219" s="39"/>
      <c r="F42219" s="39"/>
    </row>
    <row r="42220">
      <c r="D42220" s="39"/>
      <c r="E42220" s="39"/>
      <c r="F42220" s="39"/>
    </row>
    <row r="42221">
      <c r="D42221" s="39"/>
      <c r="E42221" s="39"/>
      <c r="F42221" s="39"/>
    </row>
    <row r="42222">
      <c r="D42222" s="39"/>
      <c r="E42222" s="39"/>
      <c r="F42222" s="39"/>
    </row>
    <row r="42223">
      <c r="D42223" s="39"/>
      <c r="E42223" s="39"/>
      <c r="F42223" s="39"/>
    </row>
    <row r="42224">
      <c r="D42224" s="39"/>
      <c r="E42224" s="39"/>
      <c r="F42224" s="39"/>
    </row>
    <row r="42225">
      <c r="D42225" s="39"/>
      <c r="E42225" s="39"/>
      <c r="F42225" s="39"/>
    </row>
    <row r="42226">
      <c r="D42226" s="39"/>
      <c r="E42226" s="39"/>
      <c r="F42226" s="39"/>
    </row>
    <row r="42227">
      <c r="D42227" s="39"/>
      <c r="E42227" s="39"/>
      <c r="F42227" s="39"/>
    </row>
    <row r="42228">
      <c r="D42228" s="39"/>
      <c r="E42228" s="39"/>
      <c r="F42228" s="39"/>
    </row>
    <row r="42229">
      <c r="D42229" s="39"/>
      <c r="E42229" s="39"/>
      <c r="F42229" s="39"/>
    </row>
    <row r="42230">
      <c r="D42230" s="39"/>
      <c r="E42230" s="39"/>
      <c r="F42230" s="39"/>
    </row>
    <row r="42231">
      <c r="D42231" s="39"/>
      <c r="E42231" s="39"/>
      <c r="F42231" s="39"/>
    </row>
    <row r="42232">
      <c r="D42232" s="39"/>
      <c r="E42232" s="39"/>
      <c r="F42232" s="39"/>
    </row>
    <row r="42233">
      <c r="D42233" s="39"/>
      <c r="E42233" s="39"/>
      <c r="F42233" s="39"/>
    </row>
    <row r="42234">
      <c r="D42234" s="39"/>
      <c r="E42234" s="39"/>
      <c r="F42234" s="39"/>
    </row>
    <row r="42235">
      <c r="D42235" s="39"/>
      <c r="E42235" s="39"/>
      <c r="F42235" s="39"/>
    </row>
    <row r="42236">
      <c r="D42236" s="39"/>
      <c r="E42236" s="39"/>
      <c r="F42236" s="39"/>
    </row>
    <row r="42237">
      <c r="D42237" s="39"/>
      <c r="E42237" s="39"/>
      <c r="F42237" s="39"/>
    </row>
    <row r="42238">
      <c r="D42238" s="39"/>
      <c r="E42238" s="39"/>
      <c r="F42238" s="39"/>
    </row>
    <row r="42239">
      <c r="D42239" s="39"/>
      <c r="E42239" s="39"/>
      <c r="F42239" s="39"/>
    </row>
    <row r="42240">
      <c r="D42240" s="39"/>
      <c r="E42240" s="39"/>
      <c r="F42240" s="39"/>
    </row>
    <row r="42241">
      <c r="D42241" s="39"/>
      <c r="E42241" s="39"/>
      <c r="F42241" s="39"/>
    </row>
    <row r="42242">
      <c r="D42242" s="39"/>
      <c r="E42242" s="39"/>
      <c r="F42242" s="39"/>
    </row>
    <row r="42243">
      <c r="D42243" s="39"/>
      <c r="E42243" s="39"/>
      <c r="F42243" s="39"/>
    </row>
    <row r="42244">
      <c r="D42244" s="39"/>
      <c r="E42244" s="39"/>
      <c r="F42244" s="39"/>
    </row>
    <row r="42245">
      <c r="D42245" s="39"/>
      <c r="E42245" s="39"/>
      <c r="F42245" s="39"/>
    </row>
    <row r="42246">
      <c r="D42246" s="39"/>
      <c r="E42246" s="39"/>
      <c r="F42246" s="39"/>
    </row>
    <row r="42247">
      <c r="D42247" s="39"/>
      <c r="E42247" s="39"/>
      <c r="F42247" s="39"/>
    </row>
    <row r="42248">
      <c r="D42248" s="39"/>
      <c r="E42248" s="39"/>
      <c r="F42248" s="39"/>
    </row>
    <row r="42249">
      <c r="D42249" s="39"/>
      <c r="E42249" s="39"/>
      <c r="F42249" s="39"/>
    </row>
    <row r="42250">
      <c r="D42250" s="39"/>
      <c r="E42250" s="39"/>
      <c r="F42250" s="39"/>
    </row>
    <row r="42251">
      <c r="D42251" s="39"/>
      <c r="E42251" s="39"/>
      <c r="F42251" s="39"/>
    </row>
    <row r="42252">
      <c r="D42252" s="39"/>
      <c r="E42252" s="39"/>
      <c r="F42252" s="39"/>
    </row>
    <row r="42253">
      <c r="D42253" s="39"/>
      <c r="E42253" s="39"/>
      <c r="F42253" s="39"/>
    </row>
    <row r="42254">
      <c r="D42254" s="39"/>
      <c r="E42254" s="39"/>
      <c r="F42254" s="39"/>
    </row>
    <row r="42255">
      <c r="D42255" s="39"/>
      <c r="E42255" s="39"/>
      <c r="F42255" s="39"/>
    </row>
    <row r="42256">
      <c r="D42256" s="39"/>
      <c r="E42256" s="39"/>
      <c r="F42256" s="39"/>
    </row>
    <row r="42257">
      <c r="D42257" s="39"/>
      <c r="E42257" s="39"/>
      <c r="F42257" s="39"/>
    </row>
    <row r="42258">
      <c r="D42258" s="39"/>
      <c r="E42258" s="39"/>
      <c r="F42258" s="39"/>
    </row>
    <row r="42259">
      <c r="D42259" s="39"/>
      <c r="E42259" s="39"/>
      <c r="F42259" s="39"/>
    </row>
    <row r="42260">
      <c r="D42260" s="39"/>
      <c r="E42260" s="39"/>
      <c r="F42260" s="39"/>
    </row>
    <row r="42261">
      <c r="D42261" s="39"/>
      <c r="E42261" s="39"/>
      <c r="F42261" s="39"/>
    </row>
    <row r="42262">
      <c r="D42262" s="39"/>
      <c r="E42262" s="39"/>
      <c r="F42262" s="39"/>
    </row>
    <row r="42263">
      <c r="D42263" s="39"/>
      <c r="E42263" s="39"/>
      <c r="F42263" s="39"/>
    </row>
    <row r="42264">
      <c r="D42264" s="39"/>
      <c r="E42264" s="39"/>
      <c r="F42264" s="39"/>
    </row>
    <row r="42265">
      <c r="D42265" s="39"/>
      <c r="E42265" s="39"/>
      <c r="F42265" s="39"/>
    </row>
    <row r="42266">
      <c r="D42266" s="39"/>
      <c r="E42266" s="39"/>
      <c r="F42266" s="39"/>
    </row>
    <row r="42267">
      <c r="D42267" s="39"/>
      <c r="E42267" s="39"/>
      <c r="F42267" s="39"/>
    </row>
    <row r="42268">
      <c r="D42268" s="39"/>
      <c r="E42268" s="39"/>
      <c r="F42268" s="39"/>
    </row>
    <row r="42269">
      <c r="D42269" s="39"/>
      <c r="E42269" s="39"/>
      <c r="F42269" s="39"/>
    </row>
    <row r="42270">
      <c r="D42270" s="39"/>
      <c r="E42270" s="39"/>
      <c r="F42270" s="39"/>
    </row>
    <row r="42271">
      <c r="D42271" s="39"/>
      <c r="E42271" s="39"/>
      <c r="F42271" s="39"/>
    </row>
    <row r="42272">
      <c r="D42272" s="39"/>
      <c r="E42272" s="39"/>
      <c r="F42272" s="39"/>
    </row>
    <row r="42273">
      <c r="D42273" s="39"/>
      <c r="E42273" s="39"/>
      <c r="F42273" s="39"/>
    </row>
    <row r="42274">
      <c r="D42274" s="39"/>
      <c r="E42274" s="39"/>
      <c r="F42274" s="39"/>
    </row>
    <row r="42275">
      <c r="D42275" s="39"/>
      <c r="E42275" s="39"/>
      <c r="F42275" s="39"/>
    </row>
    <row r="42276">
      <c r="D42276" s="39"/>
      <c r="E42276" s="39"/>
      <c r="F42276" s="39"/>
    </row>
    <row r="42277">
      <c r="D42277" s="39"/>
      <c r="E42277" s="39"/>
      <c r="F42277" s="39"/>
    </row>
    <row r="42278">
      <c r="D42278" s="39"/>
      <c r="E42278" s="39"/>
      <c r="F42278" s="39"/>
    </row>
    <row r="42279">
      <c r="D42279" s="39"/>
      <c r="E42279" s="39"/>
      <c r="F42279" s="39"/>
    </row>
    <row r="42280">
      <c r="D42280" s="39"/>
      <c r="E42280" s="39"/>
      <c r="F42280" s="39"/>
    </row>
    <row r="42281">
      <c r="D42281" s="39"/>
      <c r="E42281" s="39"/>
      <c r="F42281" s="39"/>
    </row>
    <row r="42282">
      <c r="D42282" s="39"/>
      <c r="E42282" s="39"/>
      <c r="F42282" s="39"/>
    </row>
    <row r="42283">
      <c r="D42283" s="39"/>
      <c r="E42283" s="39"/>
      <c r="F42283" s="39"/>
    </row>
    <row r="42284">
      <c r="D42284" s="39"/>
      <c r="E42284" s="39"/>
      <c r="F42284" s="39"/>
    </row>
    <row r="42285">
      <c r="D42285" s="39"/>
      <c r="E42285" s="39"/>
      <c r="F42285" s="39"/>
    </row>
    <row r="42286">
      <c r="D42286" s="39"/>
      <c r="E42286" s="39"/>
      <c r="F42286" s="39"/>
    </row>
    <row r="42287">
      <c r="D42287" s="39"/>
      <c r="E42287" s="39"/>
      <c r="F42287" s="39"/>
    </row>
    <row r="42288">
      <c r="D42288" s="39"/>
      <c r="E42288" s="39"/>
      <c r="F42288" s="39"/>
    </row>
    <row r="42289">
      <c r="D42289" s="39"/>
      <c r="E42289" s="39"/>
      <c r="F42289" s="39"/>
    </row>
    <row r="42290">
      <c r="D42290" s="39"/>
      <c r="E42290" s="39"/>
      <c r="F42290" s="39"/>
    </row>
    <row r="42291">
      <c r="D42291" s="39"/>
      <c r="E42291" s="39"/>
      <c r="F42291" s="39"/>
    </row>
    <row r="42292">
      <c r="D42292" s="39"/>
      <c r="E42292" s="39"/>
      <c r="F42292" s="39"/>
    </row>
    <row r="42293">
      <c r="D42293" s="39"/>
      <c r="E42293" s="39"/>
      <c r="F42293" s="39"/>
    </row>
    <row r="42294">
      <c r="D42294" s="39"/>
      <c r="E42294" s="39"/>
      <c r="F42294" s="39"/>
    </row>
    <row r="42295">
      <c r="D42295" s="39"/>
      <c r="E42295" s="39"/>
      <c r="F42295" s="39"/>
    </row>
    <row r="42296">
      <c r="D42296" s="39"/>
      <c r="E42296" s="39"/>
      <c r="F42296" s="39"/>
    </row>
    <row r="42297">
      <c r="D42297" s="39"/>
      <c r="E42297" s="39"/>
      <c r="F42297" s="39"/>
    </row>
    <row r="42298">
      <c r="D42298" s="39"/>
      <c r="E42298" s="39"/>
      <c r="F42298" s="39"/>
    </row>
    <row r="42299">
      <c r="D42299" s="39"/>
      <c r="E42299" s="39"/>
      <c r="F42299" s="39"/>
    </row>
    <row r="42300">
      <c r="D42300" s="39"/>
      <c r="E42300" s="39"/>
      <c r="F42300" s="39"/>
    </row>
    <row r="42301">
      <c r="D42301" s="39"/>
      <c r="E42301" s="39"/>
      <c r="F42301" s="39"/>
    </row>
    <row r="42302">
      <c r="D42302" s="39"/>
      <c r="E42302" s="39"/>
      <c r="F42302" s="39"/>
    </row>
    <row r="42303">
      <c r="D42303" s="39"/>
      <c r="E42303" s="39"/>
      <c r="F42303" s="39"/>
    </row>
    <row r="42304">
      <c r="D42304" s="39"/>
      <c r="E42304" s="39"/>
      <c r="F42304" s="39"/>
    </row>
    <row r="42305">
      <c r="D42305" s="39"/>
      <c r="E42305" s="39"/>
      <c r="F42305" s="39"/>
    </row>
    <row r="42306">
      <c r="D42306" s="39"/>
      <c r="E42306" s="39"/>
      <c r="F42306" s="39"/>
    </row>
    <row r="42307">
      <c r="D42307" s="39"/>
      <c r="E42307" s="39"/>
      <c r="F42307" s="39"/>
    </row>
    <row r="42308">
      <c r="D42308" s="39"/>
      <c r="E42308" s="39"/>
      <c r="F42308" s="39"/>
    </row>
    <row r="42309">
      <c r="D42309" s="39"/>
      <c r="E42309" s="39"/>
      <c r="F42309" s="39"/>
    </row>
    <row r="42310">
      <c r="D42310" s="39"/>
      <c r="E42310" s="39"/>
      <c r="F42310" s="39"/>
    </row>
    <row r="42311">
      <c r="D42311" s="39"/>
      <c r="E42311" s="39"/>
      <c r="F42311" s="39"/>
    </row>
    <row r="42312">
      <c r="D42312" s="39"/>
      <c r="E42312" s="39"/>
      <c r="F42312" s="39"/>
    </row>
    <row r="42313">
      <c r="D42313" s="39"/>
      <c r="E42313" s="39"/>
      <c r="F42313" s="39"/>
    </row>
    <row r="42314">
      <c r="D42314" s="39"/>
      <c r="E42314" s="39"/>
      <c r="F42314" s="39"/>
    </row>
    <row r="42315">
      <c r="D42315" s="39"/>
      <c r="E42315" s="39"/>
      <c r="F42315" s="39"/>
    </row>
    <row r="42316">
      <c r="D42316" s="39"/>
      <c r="E42316" s="39"/>
      <c r="F42316" s="39"/>
    </row>
    <row r="42317">
      <c r="D42317" s="39"/>
      <c r="E42317" s="39"/>
      <c r="F42317" s="39"/>
    </row>
    <row r="42318">
      <c r="D42318" s="39"/>
      <c r="E42318" s="39"/>
      <c r="F42318" s="39"/>
    </row>
    <row r="42319">
      <c r="D42319" s="39"/>
      <c r="E42319" s="39"/>
      <c r="F42319" s="39"/>
    </row>
    <row r="42320">
      <c r="D42320" s="39"/>
      <c r="E42320" s="39"/>
      <c r="F42320" s="39"/>
    </row>
    <row r="42321">
      <c r="D42321" s="39"/>
      <c r="E42321" s="39"/>
      <c r="F42321" s="39"/>
    </row>
    <row r="42322">
      <c r="D42322" s="39"/>
      <c r="E42322" s="39"/>
      <c r="F42322" s="39"/>
    </row>
    <row r="42323">
      <c r="D42323" s="39"/>
      <c r="E42323" s="39"/>
      <c r="F42323" s="39"/>
    </row>
    <row r="42324">
      <c r="D42324" s="39"/>
      <c r="E42324" s="39"/>
      <c r="F42324" s="39"/>
    </row>
    <row r="42325">
      <c r="D42325" s="39"/>
      <c r="E42325" s="39"/>
      <c r="F42325" s="39"/>
    </row>
    <row r="42326">
      <c r="D42326" s="39"/>
      <c r="E42326" s="39"/>
      <c r="F42326" s="39"/>
    </row>
    <row r="42327">
      <c r="D42327" s="39"/>
      <c r="E42327" s="39"/>
      <c r="F42327" s="39"/>
    </row>
    <row r="42328">
      <c r="D42328" s="39"/>
      <c r="E42328" s="39"/>
      <c r="F42328" s="39"/>
    </row>
    <row r="42329">
      <c r="D42329" s="39"/>
      <c r="E42329" s="39"/>
      <c r="F42329" s="39"/>
    </row>
    <row r="42330">
      <c r="D42330" s="39"/>
      <c r="E42330" s="39"/>
      <c r="F42330" s="39"/>
    </row>
    <row r="42331">
      <c r="D42331" s="39"/>
      <c r="E42331" s="39"/>
      <c r="F42331" s="39"/>
    </row>
    <row r="42332">
      <c r="D42332" s="39"/>
      <c r="E42332" s="39"/>
      <c r="F42332" s="39"/>
    </row>
    <row r="42333">
      <c r="D42333" s="39"/>
      <c r="E42333" s="39"/>
      <c r="F42333" s="39"/>
    </row>
    <row r="42334">
      <c r="D42334" s="39"/>
      <c r="E42334" s="39"/>
      <c r="F42334" s="39"/>
    </row>
    <row r="42335">
      <c r="D42335" s="39"/>
      <c r="E42335" s="39"/>
      <c r="F42335" s="39"/>
    </row>
    <row r="42336">
      <c r="D42336" s="39"/>
      <c r="E42336" s="39"/>
      <c r="F42336" s="39"/>
    </row>
    <row r="42337">
      <c r="D42337" s="39"/>
      <c r="E42337" s="39"/>
      <c r="F42337" s="39"/>
    </row>
    <row r="42338">
      <c r="D42338" s="39"/>
      <c r="E42338" s="39"/>
      <c r="F42338" s="39"/>
    </row>
    <row r="42339">
      <c r="D42339" s="39"/>
      <c r="E42339" s="39"/>
      <c r="F42339" s="39"/>
    </row>
    <row r="42340">
      <c r="D42340" s="39"/>
      <c r="E42340" s="39"/>
      <c r="F42340" s="39"/>
    </row>
    <row r="42341">
      <c r="D42341" s="39"/>
      <c r="E42341" s="39"/>
      <c r="F42341" s="39"/>
    </row>
    <row r="42342">
      <c r="D42342" s="39"/>
      <c r="E42342" s="39"/>
      <c r="F42342" s="39"/>
    </row>
    <row r="42343">
      <c r="D42343" s="39"/>
      <c r="E42343" s="39"/>
      <c r="F42343" s="39"/>
    </row>
    <row r="42344">
      <c r="D42344" s="39"/>
      <c r="E42344" s="39"/>
      <c r="F42344" s="39"/>
    </row>
    <row r="42345">
      <c r="D42345" s="39"/>
      <c r="E42345" s="39"/>
      <c r="F42345" s="39"/>
    </row>
    <row r="42346">
      <c r="D42346" s="39"/>
      <c r="E42346" s="39"/>
      <c r="F42346" s="39"/>
    </row>
    <row r="42347">
      <c r="D42347" s="39"/>
      <c r="E42347" s="39"/>
      <c r="F42347" s="39"/>
    </row>
    <row r="42348">
      <c r="D42348" s="39"/>
      <c r="E42348" s="39"/>
      <c r="F42348" s="39"/>
    </row>
    <row r="42349">
      <c r="D42349" s="39"/>
      <c r="E42349" s="39"/>
      <c r="F42349" s="39"/>
    </row>
    <row r="42350">
      <c r="D42350" s="39"/>
      <c r="E42350" s="39"/>
      <c r="F42350" s="39"/>
    </row>
    <row r="42351">
      <c r="D42351" s="39"/>
      <c r="E42351" s="39"/>
      <c r="F42351" s="39"/>
    </row>
    <row r="42352">
      <c r="D42352" s="39"/>
      <c r="E42352" s="39"/>
      <c r="F42352" s="39"/>
    </row>
    <row r="42353">
      <c r="D42353" s="39"/>
      <c r="E42353" s="39"/>
      <c r="F42353" s="39"/>
    </row>
    <row r="42354">
      <c r="D42354" s="39"/>
      <c r="E42354" s="39"/>
      <c r="F42354" s="39"/>
    </row>
    <row r="42355">
      <c r="D42355" s="39"/>
      <c r="E42355" s="39"/>
      <c r="F42355" s="39"/>
    </row>
    <row r="42356">
      <c r="D42356" s="39"/>
      <c r="E42356" s="39"/>
      <c r="F42356" s="39"/>
    </row>
    <row r="42357">
      <c r="D42357" s="39"/>
      <c r="E42357" s="39"/>
      <c r="F42357" s="39"/>
    </row>
    <row r="42358">
      <c r="D42358" s="39"/>
      <c r="E42358" s="39"/>
      <c r="F42358" s="39"/>
    </row>
    <row r="42359">
      <c r="D42359" s="39"/>
      <c r="E42359" s="39"/>
      <c r="F42359" s="39"/>
    </row>
    <row r="42360">
      <c r="D42360" s="39"/>
      <c r="E42360" s="39"/>
      <c r="F42360" s="39"/>
    </row>
    <row r="42361">
      <c r="D42361" s="39"/>
      <c r="E42361" s="39"/>
      <c r="F42361" s="39"/>
    </row>
    <row r="42362">
      <c r="D42362" s="39"/>
      <c r="E42362" s="39"/>
      <c r="F42362" s="39"/>
    </row>
    <row r="42363">
      <c r="D42363" s="39"/>
      <c r="E42363" s="39"/>
      <c r="F42363" s="39"/>
    </row>
    <row r="42364">
      <c r="D42364" s="39"/>
      <c r="E42364" s="39"/>
      <c r="F42364" s="39"/>
    </row>
    <row r="42365">
      <c r="D42365" s="39"/>
      <c r="E42365" s="39"/>
      <c r="F42365" s="39"/>
    </row>
    <row r="42366">
      <c r="D42366" s="39"/>
      <c r="E42366" s="39"/>
      <c r="F42366" s="39"/>
    </row>
    <row r="42367">
      <c r="D42367" s="39"/>
      <c r="E42367" s="39"/>
      <c r="F42367" s="39"/>
    </row>
    <row r="42368">
      <c r="D42368" s="39"/>
      <c r="E42368" s="39"/>
      <c r="F42368" s="39"/>
    </row>
    <row r="42369">
      <c r="D42369" s="39"/>
      <c r="E42369" s="39"/>
      <c r="F42369" s="39"/>
    </row>
    <row r="42370">
      <c r="D42370" s="39"/>
      <c r="E42370" s="39"/>
      <c r="F42370" s="39"/>
    </row>
    <row r="42371">
      <c r="D42371" s="39"/>
      <c r="E42371" s="39"/>
      <c r="F42371" s="39"/>
    </row>
    <row r="42372">
      <c r="D42372" s="39"/>
      <c r="E42372" s="39"/>
      <c r="F42372" s="39"/>
    </row>
    <row r="42373">
      <c r="D42373" s="39"/>
      <c r="E42373" s="39"/>
      <c r="F42373" s="39"/>
    </row>
    <row r="42374">
      <c r="D42374" s="39"/>
      <c r="E42374" s="39"/>
      <c r="F42374" s="39"/>
    </row>
    <row r="42375">
      <c r="D42375" s="39"/>
      <c r="E42375" s="39"/>
      <c r="F42375" s="39"/>
    </row>
    <row r="42376">
      <c r="D42376" s="39"/>
      <c r="E42376" s="39"/>
      <c r="F42376" s="39"/>
    </row>
    <row r="42377">
      <c r="D42377" s="39"/>
      <c r="E42377" s="39"/>
      <c r="F42377" s="39"/>
    </row>
    <row r="42378">
      <c r="D42378" s="39"/>
      <c r="E42378" s="39"/>
      <c r="F42378" s="39"/>
    </row>
    <row r="42379">
      <c r="D42379" s="39"/>
      <c r="E42379" s="39"/>
      <c r="F42379" s="39"/>
    </row>
    <row r="42380">
      <c r="D42380" s="39"/>
      <c r="E42380" s="39"/>
      <c r="F42380" s="39"/>
    </row>
    <row r="42381">
      <c r="D42381" s="39"/>
      <c r="E42381" s="39"/>
      <c r="F42381" s="39"/>
    </row>
    <row r="42382">
      <c r="D42382" s="39"/>
      <c r="E42382" s="39"/>
      <c r="F42382" s="39"/>
    </row>
    <row r="42383">
      <c r="D42383" s="39"/>
      <c r="E42383" s="39"/>
      <c r="F42383" s="39"/>
    </row>
    <row r="42384">
      <c r="D42384" s="39"/>
      <c r="E42384" s="39"/>
      <c r="F42384" s="39"/>
    </row>
    <row r="42385">
      <c r="D42385" s="39"/>
      <c r="E42385" s="39"/>
      <c r="F42385" s="39"/>
    </row>
    <row r="42386">
      <c r="D42386" s="39"/>
      <c r="E42386" s="39"/>
      <c r="F42386" s="39"/>
    </row>
    <row r="42387">
      <c r="D42387" s="39"/>
      <c r="E42387" s="39"/>
      <c r="F42387" s="39"/>
    </row>
    <row r="42388">
      <c r="D42388" s="39"/>
      <c r="E42388" s="39"/>
      <c r="F42388" s="39"/>
    </row>
    <row r="42389">
      <c r="D42389" s="39"/>
      <c r="E42389" s="39"/>
      <c r="F42389" s="39"/>
    </row>
    <row r="42390">
      <c r="D42390" s="39"/>
      <c r="E42390" s="39"/>
      <c r="F42390" s="39"/>
    </row>
    <row r="42391">
      <c r="D42391" s="39"/>
      <c r="E42391" s="39"/>
      <c r="F42391" s="39"/>
    </row>
    <row r="42392">
      <c r="D42392" s="39"/>
      <c r="E42392" s="39"/>
      <c r="F42392" s="39"/>
    </row>
    <row r="42393">
      <c r="D42393" s="39"/>
      <c r="E42393" s="39"/>
      <c r="F42393" s="39"/>
    </row>
    <row r="42394">
      <c r="D42394" s="39"/>
      <c r="E42394" s="39"/>
      <c r="F42394" s="39"/>
    </row>
    <row r="42395">
      <c r="D42395" s="39"/>
      <c r="E42395" s="39"/>
      <c r="F42395" s="39"/>
    </row>
    <row r="42396">
      <c r="D42396" s="39"/>
      <c r="E42396" s="39"/>
      <c r="F42396" s="39"/>
    </row>
    <row r="42397">
      <c r="D42397" s="39"/>
      <c r="E42397" s="39"/>
      <c r="F42397" s="39"/>
    </row>
    <row r="42398">
      <c r="D42398" s="39"/>
      <c r="E42398" s="39"/>
      <c r="F42398" s="39"/>
    </row>
    <row r="42399">
      <c r="D42399" s="39"/>
      <c r="E42399" s="39"/>
      <c r="F42399" s="39"/>
    </row>
    <row r="42400">
      <c r="D42400" s="39"/>
      <c r="E42400" s="39"/>
      <c r="F42400" s="39"/>
    </row>
    <row r="42401">
      <c r="D42401" s="39"/>
      <c r="E42401" s="39"/>
      <c r="F42401" s="39"/>
    </row>
    <row r="42402">
      <c r="D42402" s="39"/>
      <c r="E42402" s="39"/>
      <c r="F42402" s="39"/>
    </row>
    <row r="42403">
      <c r="D42403" s="39"/>
      <c r="E42403" s="39"/>
      <c r="F42403" s="39"/>
    </row>
    <row r="42404">
      <c r="D42404" s="39"/>
      <c r="E42404" s="39"/>
      <c r="F42404" s="39"/>
    </row>
    <row r="42405">
      <c r="D42405" s="39"/>
      <c r="E42405" s="39"/>
      <c r="F42405" s="39"/>
    </row>
    <row r="42406">
      <c r="D42406" s="39"/>
      <c r="E42406" s="39"/>
      <c r="F42406" s="39"/>
    </row>
    <row r="42407">
      <c r="D42407" s="39"/>
      <c r="E42407" s="39"/>
      <c r="F42407" s="39"/>
    </row>
    <row r="42408">
      <c r="D42408" s="39"/>
      <c r="E42408" s="39"/>
      <c r="F42408" s="39"/>
    </row>
    <row r="42409">
      <c r="D42409" s="39"/>
      <c r="E42409" s="39"/>
      <c r="F42409" s="39"/>
    </row>
    <row r="42410">
      <c r="D42410" s="39"/>
      <c r="E42410" s="39"/>
      <c r="F42410" s="39"/>
    </row>
    <row r="42411">
      <c r="D42411" s="39"/>
      <c r="E42411" s="39"/>
      <c r="F42411" s="39"/>
    </row>
    <row r="42412">
      <c r="D42412" s="39"/>
      <c r="E42412" s="39"/>
      <c r="F42412" s="39"/>
    </row>
    <row r="42413">
      <c r="D42413" s="39"/>
      <c r="E42413" s="39"/>
      <c r="F42413" s="39"/>
    </row>
    <row r="42414">
      <c r="D42414" s="39"/>
      <c r="E42414" s="39"/>
      <c r="F42414" s="39"/>
    </row>
    <row r="42415">
      <c r="D42415" s="39"/>
      <c r="E42415" s="39"/>
      <c r="F42415" s="39"/>
    </row>
    <row r="42416">
      <c r="D42416" s="39"/>
      <c r="E42416" s="39"/>
      <c r="F42416" s="39"/>
    </row>
    <row r="42417">
      <c r="D42417" s="39"/>
      <c r="E42417" s="39"/>
      <c r="F42417" s="39"/>
    </row>
    <row r="42418">
      <c r="D42418" s="39"/>
      <c r="E42418" s="39"/>
      <c r="F42418" s="39"/>
    </row>
    <row r="42419">
      <c r="D42419" s="39"/>
      <c r="E42419" s="39"/>
      <c r="F42419" s="39"/>
    </row>
    <row r="42420">
      <c r="D42420" s="39"/>
      <c r="E42420" s="39"/>
      <c r="F42420" s="39"/>
    </row>
    <row r="42421">
      <c r="D42421" s="39"/>
      <c r="E42421" s="39"/>
      <c r="F42421" s="39"/>
    </row>
    <row r="42422">
      <c r="D42422" s="39"/>
      <c r="E42422" s="39"/>
      <c r="F42422" s="39"/>
    </row>
    <row r="42423">
      <c r="D42423" s="39"/>
      <c r="E42423" s="39"/>
      <c r="F42423" s="39"/>
    </row>
    <row r="42424">
      <c r="D42424" s="39"/>
      <c r="E42424" s="39"/>
      <c r="F42424" s="39"/>
    </row>
    <row r="42425">
      <c r="D42425" s="39"/>
      <c r="E42425" s="39"/>
      <c r="F42425" s="39"/>
    </row>
    <row r="42426">
      <c r="D42426" s="39"/>
      <c r="E42426" s="39"/>
      <c r="F42426" s="39"/>
    </row>
    <row r="42427">
      <c r="D42427" s="39"/>
      <c r="E42427" s="39"/>
      <c r="F42427" s="39"/>
    </row>
    <row r="42428">
      <c r="D42428" s="39"/>
      <c r="E42428" s="39"/>
      <c r="F42428" s="39"/>
    </row>
    <row r="42429">
      <c r="D42429" s="39"/>
      <c r="E42429" s="39"/>
      <c r="F42429" s="39"/>
    </row>
    <row r="42430">
      <c r="D42430" s="39"/>
      <c r="E42430" s="39"/>
      <c r="F42430" s="39"/>
    </row>
    <row r="42431">
      <c r="D42431" s="39"/>
      <c r="E42431" s="39"/>
      <c r="F42431" s="39"/>
    </row>
    <row r="42432">
      <c r="D42432" s="39"/>
      <c r="E42432" s="39"/>
      <c r="F42432" s="39"/>
    </row>
    <row r="42433">
      <c r="D42433" s="39"/>
      <c r="E42433" s="39"/>
      <c r="F42433" s="39"/>
    </row>
    <row r="42434">
      <c r="D42434" s="39"/>
      <c r="E42434" s="39"/>
      <c r="F42434" s="39"/>
    </row>
    <row r="42435">
      <c r="D42435" s="39"/>
      <c r="E42435" s="39"/>
      <c r="F42435" s="39"/>
    </row>
    <row r="42436">
      <c r="D42436" s="39"/>
      <c r="E42436" s="39"/>
      <c r="F42436" s="39"/>
    </row>
    <row r="42437">
      <c r="D42437" s="39"/>
      <c r="E42437" s="39"/>
      <c r="F42437" s="39"/>
    </row>
    <row r="42438">
      <c r="D42438" s="39"/>
      <c r="E42438" s="39"/>
      <c r="F42438" s="39"/>
    </row>
    <row r="42439">
      <c r="D42439" s="39"/>
      <c r="E42439" s="39"/>
      <c r="F42439" s="39"/>
    </row>
    <row r="42440">
      <c r="D42440" s="39"/>
      <c r="E42440" s="39"/>
      <c r="F42440" s="39"/>
    </row>
    <row r="42441">
      <c r="D42441" s="39"/>
      <c r="E42441" s="39"/>
      <c r="F42441" s="39"/>
    </row>
    <row r="42442">
      <c r="D42442" s="39"/>
      <c r="E42442" s="39"/>
      <c r="F42442" s="39"/>
    </row>
    <row r="42443">
      <c r="D42443" s="39"/>
      <c r="E42443" s="39"/>
      <c r="F42443" s="39"/>
    </row>
    <row r="42444">
      <c r="D42444" s="39"/>
      <c r="E42444" s="39"/>
      <c r="F42444" s="39"/>
    </row>
    <row r="42445">
      <c r="D42445" s="39"/>
      <c r="E42445" s="39"/>
      <c r="F42445" s="39"/>
    </row>
    <row r="42446">
      <c r="D42446" s="39"/>
      <c r="E42446" s="39"/>
      <c r="F42446" s="39"/>
    </row>
    <row r="42447">
      <c r="D42447" s="39"/>
      <c r="E42447" s="39"/>
      <c r="F42447" s="39"/>
    </row>
    <row r="42448">
      <c r="D42448" s="39"/>
      <c r="E42448" s="39"/>
      <c r="F42448" s="39"/>
    </row>
    <row r="42449">
      <c r="D42449" s="39"/>
      <c r="E42449" s="39"/>
      <c r="F42449" s="39"/>
    </row>
    <row r="42450">
      <c r="D42450" s="39"/>
      <c r="E42450" s="39"/>
      <c r="F42450" s="39"/>
    </row>
    <row r="42451">
      <c r="D42451" s="39"/>
      <c r="E42451" s="39"/>
      <c r="F42451" s="39"/>
    </row>
    <row r="42452">
      <c r="D42452" s="39"/>
      <c r="E42452" s="39"/>
      <c r="F42452" s="39"/>
    </row>
    <row r="42453">
      <c r="D42453" s="39"/>
      <c r="E42453" s="39"/>
      <c r="F42453" s="39"/>
    </row>
    <row r="42454">
      <c r="D42454" s="39"/>
      <c r="E42454" s="39"/>
      <c r="F42454" s="39"/>
    </row>
    <row r="42455">
      <c r="D42455" s="39"/>
      <c r="E42455" s="39"/>
      <c r="F42455" s="39"/>
    </row>
    <row r="42456">
      <c r="D42456" s="39"/>
      <c r="E42456" s="39"/>
      <c r="F42456" s="39"/>
    </row>
    <row r="42457">
      <c r="D42457" s="39"/>
      <c r="E42457" s="39"/>
      <c r="F42457" s="39"/>
    </row>
    <row r="42458">
      <c r="D42458" s="39"/>
      <c r="E42458" s="39"/>
      <c r="F42458" s="39"/>
    </row>
    <row r="42459">
      <c r="D42459" s="39"/>
      <c r="E42459" s="39"/>
      <c r="F42459" s="39"/>
    </row>
    <row r="42460">
      <c r="D42460" s="39"/>
      <c r="E42460" s="39"/>
      <c r="F42460" s="39"/>
    </row>
    <row r="42461">
      <c r="D42461" s="39"/>
      <c r="E42461" s="39"/>
      <c r="F42461" s="39"/>
    </row>
    <row r="42462">
      <c r="D42462" s="39"/>
      <c r="E42462" s="39"/>
      <c r="F42462" s="39"/>
    </row>
    <row r="42463">
      <c r="D42463" s="39"/>
      <c r="E42463" s="39"/>
      <c r="F42463" s="39"/>
    </row>
    <row r="42464">
      <c r="D42464" s="39"/>
      <c r="E42464" s="39"/>
      <c r="F42464" s="39"/>
    </row>
    <row r="42465">
      <c r="D42465" s="39"/>
      <c r="E42465" s="39"/>
      <c r="F42465" s="39"/>
    </row>
    <row r="42466">
      <c r="D42466" s="39"/>
      <c r="E42466" s="39"/>
      <c r="F42466" s="39"/>
    </row>
    <row r="42467">
      <c r="D42467" s="39"/>
      <c r="E42467" s="39"/>
      <c r="F42467" s="39"/>
    </row>
    <row r="42468">
      <c r="D42468" s="39"/>
      <c r="E42468" s="39"/>
      <c r="F42468" s="39"/>
    </row>
    <row r="42469">
      <c r="D42469" s="39"/>
      <c r="E42469" s="39"/>
      <c r="F42469" s="39"/>
    </row>
    <row r="42470">
      <c r="D42470" s="39"/>
      <c r="E42470" s="39"/>
      <c r="F42470" s="39"/>
    </row>
    <row r="42471">
      <c r="D42471" s="39"/>
      <c r="E42471" s="39"/>
      <c r="F42471" s="39"/>
    </row>
    <row r="42472">
      <c r="D42472" s="39"/>
      <c r="E42472" s="39"/>
      <c r="F42472" s="39"/>
    </row>
    <row r="42473">
      <c r="D42473" s="39"/>
      <c r="E42473" s="39"/>
      <c r="F42473" s="39"/>
    </row>
    <row r="42474">
      <c r="D42474" s="39"/>
      <c r="E42474" s="39"/>
      <c r="F42474" s="39"/>
    </row>
    <row r="42475">
      <c r="D42475" s="39"/>
      <c r="E42475" s="39"/>
      <c r="F42475" s="39"/>
    </row>
    <row r="42476">
      <c r="D42476" s="39"/>
      <c r="E42476" s="39"/>
      <c r="F42476" s="39"/>
    </row>
    <row r="42477">
      <c r="D42477" s="39"/>
      <c r="E42477" s="39"/>
      <c r="F42477" s="39"/>
    </row>
    <row r="42478">
      <c r="D42478" s="39"/>
      <c r="E42478" s="39"/>
      <c r="F42478" s="39"/>
    </row>
    <row r="42479">
      <c r="D42479" s="39"/>
      <c r="E42479" s="39"/>
      <c r="F42479" s="39"/>
    </row>
    <row r="42480">
      <c r="D42480" s="39"/>
      <c r="E42480" s="39"/>
      <c r="F42480" s="39"/>
    </row>
    <row r="42481">
      <c r="D42481" s="39"/>
      <c r="E42481" s="39"/>
      <c r="F42481" s="39"/>
    </row>
    <row r="42482">
      <c r="D42482" s="39"/>
      <c r="E42482" s="39"/>
      <c r="F42482" s="39"/>
    </row>
    <row r="42483">
      <c r="D42483" s="39"/>
      <c r="E42483" s="39"/>
      <c r="F42483" s="39"/>
    </row>
    <row r="42484">
      <c r="D42484" s="39"/>
      <c r="E42484" s="39"/>
      <c r="F42484" s="39"/>
    </row>
    <row r="42485">
      <c r="D42485" s="39"/>
      <c r="E42485" s="39"/>
      <c r="F42485" s="39"/>
    </row>
    <row r="42486">
      <c r="D42486" s="39"/>
      <c r="E42486" s="39"/>
      <c r="F42486" s="39"/>
    </row>
    <row r="42487">
      <c r="D42487" s="39"/>
      <c r="E42487" s="39"/>
      <c r="F42487" s="39"/>
    </row>
    <row r="42488">
      <c r="D42488" s="39"/>
      <c r="E42488" s="39"/>
      <c r="F42488" s="39"/>
    </row>
    <row r="42489">
      <c r="D42489" s="39"/>
      <c r="E42489" s="39"/>
      <c r="F42489" s="39"/>
    </row>
    <row r="42490">
      <c r="D42490" s="39"/>
      <c r="E42490" s="39"/>
      <c r="F42490" s="39"/>
    </row>
    <row r="42491">
      <c r="D42491" s="39"/>
      <c r="E42491" s="39"/>
      <c r="F42491" s="39"/>
    </row>
    <row r="42492">
      <c r="D42492" s="39"/>
      <c r="E42492" s="39"/>
      <c r="F42492" s="39"/>
    </row>
    <row r="42493">
      <c r="D42493" s="39"/>
      <c r="E42493" s="39"/>
      <c r="F42493" s="39"/>
    </row>
    <row r="42494">
      <c r="D42494" s="39"/>
      <c r="E42494" s="39"/>
      <c r="F42494" s="39"/>
    </row>
    <row r="42495">
      <c r="D42495" s="39"/>
      <c r="E42495" s="39"/>
      <c r="F42495" s="39"/>
    </row>
    <row r="42496">
      <c r="D42496" s="39"/>
      <c r="E42496" s="39"/>
      <c r="F42496" s="39"/>
    </row>
    <row r="42497">
      <c r="D42497" s="39"/>
      <c r="E42497" s="39"/>
      <c r="F42497" s="39"/>
    </row>
    <row r="42498">
      <c r="D42498" s="39"/>
      <c r="E42498" s="39"/>
      <c r="F42498" s="39"/>
    </row>
    <row r="42499">
      <c r="D42499" s="39"/>
      <c r="E42499" s="39"/>
      <c r="F42499" s="39"/>
    </row>
    <row r="42500">
      <c r="D42500" s="39"/>
      <c r="E42500" s="39"/>
      <c r="F42500" s="39"/>
    </row>
    <row r="42501">
      <c r="D42501" s="39"/>
      <c r="E42501" s="39"/>
      <c r="F42501" s="39"/>
    </row>
    <row r="42502">
      <c r="D42502" s="39"/>
      <c r="E42502" s="39"/>
      <c r="F42502" s="39"/>
    </row>
    <row r="42503">
      <c r="D42503" s="39"/>
      <c r="E42503" s="39"/>
      <c r="F42503" s="39"/>
    </row>
    <row r="42504">
      <c r="D42504" s="39"/>
      <c r="E42504" s="39"/>
      <c r="F42504" s="39"/>
    </row>
    <row r="42505">
      <c r="D42505" s="39"/>
      <c r="E42505" s="39"/>
      <c r="F42505" s="39"/>
    </row>
    <row r="42506">
      <c r="D42506" s="39"/>
      <c r="E42506" s="39"/>
      <c r="F42506" s="39"/>
    </row>
    <row r="42507">
      <c r="D42507" s="39"/>
      <c r="E42507" s="39"/>
      <c r="F42507" s="39"/>
    </row>
    <row r="42508">
      <c r="D42508" s="39"/>
      <c r="E42508" s="39"/>
      <c r="F42508" s="39"/>
    </row>
    <row r="42509">
      <c r="D42509" s="39"/>
      <c r="E42509" s="39"/>
      <c r="F42509" s="39"/>
    </row>
    <row r="42510">
      <c r="D42510" s="39"/>
      <c r="E42510" s="39"/>
      <c r="F42510" s="39"/>
    </row>
    <row r="42511">
      <c r="D42511" s="39"/>
      <c r="E42511" s="39"/>
      <c r="F42511" s="39"/>
    </row>
    <row r="42512">
      <c r="D42512" s="39"/>
      <c r="E42512" s="39"/>
      <c r="F42512" s="39"/>
    </row>
    <row r="42513">
      <c r="D42513" s="39"/>
      <c r="E42513" s="39"/>
      <c r="F42513" s="39"/>
    </row>
    <row r="42514">
      <c r="D42514" s="39"/>
      <c r="E42514" s="39"/>
      <c r="F42514" s="39"/>
    </row>
    <row r="42515">
      <c r="D42515" s="39"/>
      <c r="E42515" s="39"/>
      <c r="F42515" s="39"/>
    </row>
    <row r="42516">
      <c r="D42516" s="39"/>
      <c r="E42516" s="39"/>
      <c r="F42516" s="39"/>
    </row>
    <row r="42517">
      <c r="D42517" s="39"/>
      <c r="E42517" s="39"/>
      <c r="F42517" s="39"/>
    </row>
    <row r="42518">
      <c r="D42518" s="39"/>
      <c r="E42518" s="39"/>
      <c r="F42518" s="39"/>
    </row>
    <row r="42519">
      <c r="D42519" s="39"/>
      <c r="E42519" s="39"/>
      <c r="F42519" s="39"/>
    </row>
    <row r="42520">
      <c r="D42520" s="39"/>
      <c r="E42520" s="39"/>
      <c r="F42520" s="39"/>
    </row>
    <row r="42521">
      <c r="D42521" s="39"/>
      <c r="E42521" s="39"/>
      <c r="F42521" s="39"/>
    </row>
    <row r="42522">
      <c r="D42522" s="39"/>
      <c r="E42522" s="39"/>
      <c r="F42522" s="39"/>
    </row>
    <row r="42523">
      <c r="D42523" s="39"/>
      <c r="E42523" s="39"/>
      <c r="F42523" s="39"/>
    </row>
    <row r="42524">
      <c r="D42524" s="39"/>
      <c r="E42524" s="39"/>
      <c r="F42524" s="39"/>
    </row>
    <row r="42525">
      <c r="D42525" s="39"/>
      <c r="E42525" s="39"/>
      <c r="F42525" s="39"/>
    </row>
    <row r="42526">
      <c r="D42526" s="39"/>
      <c r="E42526" s="39"/>
      <c r="F42526" s="39"/>
    </row>
    <row r="42527">
      <c r="D42527" s="39"/>
      <c r="E42527" s="39"/>
      <c r="F42527" s="39"/>
    </row>
    <row r="42528">
      <c r="D42528" s="39"/>
      <c r="E42528" s="39"/>
      <c r="F42528" s="39"/>
    </row>
    <row r="42529">
      <c r="D42529" s="39"/>
      <c r="E42529" s="39"/>
      <c r="F42529" s="39"/>
    </row>
    <row r="42530">
      <c r="D42530" s="39"/>
      <c r="E42530" s="39"/>
      <c r="F42530" s="39"/>
    </row>
    <row r="42531">
      <c r="D42531" s="39"/>
      <c r="E42531" s="39"/>
      <c r="F42531" s="39"/>
    </row>
    <row r="42532">
      <c r="D42532" s="39"/>
      <c r="E42532" s="39"/>
      <c r="F42532" s="39"/>
    </row>
    <row r="42533">
      <c r="D42533" s="39"/>
      <c r="E42533" s="39"/>
      <c r="F42533" s="39"/>
    </row>
    <row r="42534">
      <c r="D42534" s="39"/>
      <c r="E42534" s="39"/>
      <c r="F42534" s="39"/>
    </row>
    <row r="42535">
      <c r="D42535" s="39"/>
      <c r="E42535" s="39"/>
      <c r="F42535" s="39"/>
    </row>
    <row r="42536">
      <c r="D42536" s="39"/>
      <c r="E42536" s="39"/>
      <c r="F42536" s="39"/>
    </row>
    <row r="42537">
      <c r="D42537" s="39"/>
      <c r="E42537" s="39"/>
      <c r="F42537" s="39"/>
    </row>
    <row r="42538">
      <c r="D42538" s="39"/>
      <c r="E42538" s="39"/>
      <c r="F42538" s="39"/>
    </row>
    <row r="42539">
      <c r="D42539" s="39"/>
      <c r="E42539" s="39"/>
      <c r="F42539" s="39"/>
    </row>
    <row r="42540">
      <c r="D42540" s="39"/>
      <c r="E42540" s="39"/>
      <c r="F42540" s="39"/>
    </row>
    <row r="42541">
      <c r="D42541" s="39"/>
      <c r="E42541" s="39"/>
      <c r="F42541" s="39"/>
    </row>
    <row r="42542">
      <c r="D42542" s="39"/>
      <c r="E42542" s="39"/>
      <c r="F42542" s="39"/>
    </row>
    <row r="42543">
      <c r="D42543" s="39"/>
      <c r="E42543" s="39"/>
      <c r="F42543" s="39"/>
    </row>
    <row r="42544">
      <c r="D42544" s="39"/>
      <c r="E42544" s="39"/>
      <c r="F42544" s="39"/>
    </row>
    <row r="42545">
      <c r="D42545" s="39"/>
      <c r="E42545" s="39"/>
      <c r="F42545" s="39"/>
    </row>
    <row r="42546">
      <c r="D42546" s="39"/>
      <c r="E42546" s="39"/>
      <c r="F42546" s="39"/>
    </row>
    <row r="42547">
      <c r="D42547" s="39"/>
      <c r="E42547" s="39"/>
      <c r="F42547" s="39"/>
    </row>
    <row r="42548">
      <c r="D42548" s="39"/>
      <c r="E42548" s="39"/>
      <c r="F42548" s="39"/>
    </row>
    <row r="42549">
      <c r="D42549" s="39"/>
      <c r="E42549" s="39"/>
      <c r="F42549" s="39"/>
    </row>
    <row r="42550">
      <c r="D42550" s="39"/>
      <c r="E42550" s="39"/>
      <c r="F42550" s="39"/>
    </row>
    <row r="42551">
      <c r="D42551" s="39"/>
      <c r="E42551" s="39"/>
      <c r="F42551" s="39"/>
    </row>
    <row r="42552">
      <c r="D42552" s="39"/>
      <c r="E42552" s="39"/>
      <c r="F42552" s="39"/>
    </row>
    <row r="42553">
      <c r="D42553" s="39"/>
      <c r="E42553" s="39"/>
      <c r="F42553" s="39"/>
    </row>
    <row r="42554">
      <c r="D42554" s="39"/>
      <c r="E42554" s="39"/>
      <c r="F42554" s="39"/>
    </row>
    <row r="42555">
      <c r="D42555" s="39"/>
      <c r="E42555" s="39"/>
      <c r="F42555" s="39"/>
    </row>
    <row r="42556">
      <c r="D42556" s="39"/>
      <c r="E42556" s="39"/>
      <c r="F42556" s="39"/>
    </row>
    <row r="42557">
      <c r="D42557" s="39"/>
      <c r="E42557" s="39"/>
      <c r="F42557" s="39"/>
    </row>
    <row r="42558">
      <c r="D42558" s="39"/>
      <c r="E42558" s="39"/>
      <c r="F42558" s="39"/>
    </row>
    <row r="42559">
      <c r="D42559" s="39"/>
      <c r="E42559" s="39"/>
      <c r="F42559" s="39"/>
    </row>
    <row r="42560">
      <c r="D42560" s="39"/>
      <c r="E42560" s="39"/>
      <c r="F42560" s="39"/>
    </row>
    <row r="42561">
      <c r="D42561" s="39"/>
      <c r="E42561" s="39"/>
      <c r="F42561" s="39"/>
    </row>
    <row r="42562">
      <c r="D42562" s="39"/>
      <c r="E42562" s="39"/>
      <c r="F42562" s="39"/>
    </row>
    <row r="42563">
      <c r="D42563" s="39"/>
      <c r="E42563" s="39"/>
      <c r="F42563" s="39"/>
    </row>
    <row r="42564">
      <c r="D42564" s="39"/>
      <c r="E42564" s="39"/>
      <c r="F42564" s="39"/>
    </row>
    <row r="42565">
      <c r="D42565" s="39"/>
      <c r="E42565" s="39"/>
      <c r="F42565" s="39"/>
    </row>
    <row r="42566">
      <c r="D42566" s="39"/>
      <c r="E42566" s="39"/>
      <c r="F42566" s="39"/>
    </row>
    <row r="42567">
      <c r="D42567" s="39"/>
      <c r="E42567" s="39"/>
      <c r="F42567" s="39"/>
    </row>
    <row r="42568">
      <c r="D42568" s="39"/>
      <c r="E42568" s="39"/>
      <c r="F42568" s="39"/>
    </row>
    <row r="42569">
      <c r="D42569" s="39"/>
      <c r="E42569" s="39"/>
      <c r="F42569" s="39"/>
    </row>
    <row r="42570">
      <c r="D42570" s="39"/>
      <c r="E42570" s="39"/>
      <c r="F42570" s="39"/>
    </row>
    <row r="42571">
      <c r="D42571" s="39"/>
      <c r="E42571" s="39"/>
      <c r="F42571" s="39"/>
    </row>
    <row r="42572">
      <c r="D42572" s="39"/>
      <c r="E42572" s="39"/>
      <c r="F42572" s="39"/>
    </row>
    <row r="42573">
      <c r="D42573" s="39"/>
      <c r="E42573" s="39"/>
      <c r="F42573" s="39"/>
    </row>
    <row r="42574">
      <c r="D42574" s="39"/>
      <c r="E42574" s="39"/>
      <c r="F42574" s="39"/>
    </row>
    <row r="42575">
      <c r="D42575" s="39"/>
      <c r="E42575" s="39"/>
      <c r="F42575" s="39"/>
    </row>
    <row r="42576">
      <c r="D42576" s="39"/>
      <c r="E42576" s="39"/>
      <c r="F42576" s="39"/>
    </row>
    <row r="42577">
      <c r="D42577" s="39"/>
      <c r="E42577" s="39"/>
      <c r="F42577" s="39"/>
    </row>
    <row r="42578">
      <c r="D42578" s="39"/>
      <c r="E42578" s="39"/>
      <c r="F42578" s="39"/>
    </row>
    <row r="42579">
      <c r="D42579" s="39"/>
      <c r="E42579" s="39"/>
      <c r="F42579" s="39"/>
    </row>
    <row r="42580">
      <c r="D42580" s="39"/>
      <c r="E42580" s="39"/>
      <c r="F42580" s="39"/>
    </row>
    <row r="42581">
      <c r="D42581" s="39"/>
      <c r="E42581" s="39"/>
      <c r="F42581" s="39"/>
    </row>
    <row r="42582">
      <c r="D42582" s="39"/>
      <c r="E42582" s="39"/>
      <c r="F42582" s="39"/>
    </row>
    <row r="42583">
      <c r="D42583" s="39"/>
      <c r="E42583" s="39"/>
      <c r="F42583" s="39"/>
    </row>
    <row r="42584">
      <c r="D42584" s="39"/>
      <c r="E42584" s="39"/>
      <c r="F42584" s="39"/>
    </row>
    <row r="42585">
      <c r="D42585" s="39"/>
      <c r="E42585" s="39"/>
      <c r="F42585" s="39"/>
    </row>
    <row r="42586">
      <c r="D42586" s="39"/>
      <c r="E42586" s="39"/>
      <c r="F42586" s="39"/>
    </row>
    <row r="42587">
      <c r="D42587" s="39"/>
      <c r="E42587" s="39"/>
      <c r="F42587" s="39"/>
    </row>
    <row r="42588">
      <c r="D42588" s="39"/>
      <c r="E42588" s="39"/>
      <c r="F42588" s="39"/>
    </row>
    <row r="42589">
      <c r="D42589" s="39"/>
      <c r="E42589" s="39"/>
      <c r="F42589" s="39"/>
    </row>
    <row r="42590">
      <c r="D42590" s="39"/>
      <c r="E42590" s="39"/>
      <c r="F42590" s="39"/>
    </row>
    <row r="42591">
      <c r="D42591" s="39"/>
      <c r="E42591" s="39"/>
      <c r="F42591" s="39"/>
    </row>
    <row r="42592">
      <c r="D42592" s="39"/>
      <c r="E42592" s="39"/>
      <c r="F42592" s="39"/>
    </row>
    <row r="42593">
      <c r="D42593" s="39"/>
      <c r="E42593" s="39"/>
      <c r="F42593" s="39"/>
    </row>
    <row r="42594">
      <c r="D42594" s="39"/>
      <c r="E42594" s="39"/>
      <c r="F42594" s="39"/>
    </row>
    <row r="42595">
      <c r="D42595" s="39"/>
      <c r="E42595" s="39"/>
      <c r="F42595" s="39"/>
    </row>
    <row r="42596">
      <c r="D42596" s="39"/>
      <c r="E42596" s="39"/>
      <c r="F42596" s="39"/>
    </row>
    <row r="42597">
      <c r="D42597" s="39"/>
      <c r="E42597" s="39"/>
      <c r="F42597" s="39"/>
    </row>
    <row r="42598">
      <c r="D42598" s="39"/>
      <c r="E42598" s="39"/>
      <c r="F42598" s="39"/>
    </row>
    <row r="42599">
      <c r="D42599" s="39"/>
      <c r="E42599" s="39"/>
      <c r="F42599" s="39"/>
    </row>
    <row r="42600">
      <c r="D42600" s="39"/>
      <c r="E42600" s="39"/>
      <c r="F42600" s="39"/>
    </row>
    <row r="42601">
      <c r="D42601" s="39"/>
      <c r="E42601" s="39"/>
      <c r="F42601" s="39"/>
    </row>
    <row r="42602">
      <c r="D42602" s="39"/>
      <c r="E42602" s="39"/>
      <c r="F42602" s="39"/>
    </row>
    <row r="42603">
      <c r="D42603" s="39"/>
      <c r="E42603" s="39"/>
      <c r="F42603" s="39"/>
    </row>
    <row r="42604">
      <c r="D42604" s="39"/>
      <c r="E42604" s="39"/>
      <c r="F42604" s="39"/>
    </row>
    <row r="42605">
      <c r="D42605" s="39"/>
      <c r="E42605" s="39"/>
      <c r="F42605" s="39"/>
    </row>
    <row r="42606">
      <c r="D42606" s="39"/>
      <c r="E42606" s="39"/>
      <c r="F42606" s="39"/>
    </row>
    <row r="42607">
      <c r="D42607" s="39"/>
      <c r="E42607" s="39"/>
      <c r="F42607" s="39"/>
    </row>
    <row r="42608">
      <c r="D42608" s="39"/>
      <c r="E42608" s="39"/>
      <c r="F42608" s="39"/>
    </row>
    <row r="42609">
      <c r="D42609" s="39"/>
      <c r="E42609" s="39"/>
      <c r="F42609" s="39"/>
    </row>
    <row r="42610">
      <c r="D42610" s="39"/>
      <c r="E42610" s="39"/>
      <c r="F42610" s="39"/>
    </row>
    <row r="42611">
      <c r="D42611" s="39"/>
      <c r="E42611" s="39"/>
      <c r="F42611" s="39"/>
    </row>
    <row r="42612">
      <c r="D42612" s="39"/>
      <c r="E42612" s="39"/>
      <c r="F42612" s="39"/>
    </row>
    <row r="42613">
      <c r="D42613" s="39"/>
      <c r="E42613" s="39"/>
      <c r="F42613" s="39"/>
    </row>
    <row r="42614">
      <c r="D42614" s="39"/>
      <c r="E42614" s="39"/>
      <c r="F42614" s="39"/>
    </row>
    <row r="42615">
      <c r="D42615" s="39"/>
      <c r="E42615" s="39"/>
      <c r="F42615" s="39"/>
    </row>
    <row r="42616">
      <c r="D42616" s="39"/>
      <c r="E42616" s="39"/>
      <c r="F42616" s="39"/>
    </row>
    <row r="42617">
      <c r="D42617" s="39"/>
      <c r="E42617" s="39"/>
      <c r="F42617" s="39"/>
    </row>
    <row r="42618">
      <c r="D42618" s="39"/>
      <c r="E42618" s="39"/>
      <c r="F42618" s="39"/>
    </row>
    <row r="42619">
      <c r="D42619" s="39"/>
      <c r="E42619" s="39"/>
      <c r="F42619" s="39"/>
    </row>
    <row r="42620">
      <c r="D42620" s="39"/>
      <c r="E42620" s="39"/>
      <c r="F42620" s="39"/>
    </row>
    <row r="42621">
      <c r="D42621" s="39"/>
      <c r="E42621" s="39"/>
      <c r="F42621" s="39"/>
    </row>
    <row r="42622">
      <c r="D42622" s="39"/>
      <c r="E42622" s="39"/>
      <c r="F42622" s="39"/>
    </row>
    <row r="42623">
      <c r="D42623" s="39"/>
      <c r="E42623" s="39"/>
      <c r="F42623" s="39"/>
    </row>
    <row r="42624">
      <c r="D42624" s="39"/>
      <c r="E42624" s="39"/>
      <c r="F42624" s="39"/>
    </row>
    <row r="42625">
      <c r="D42625" s="39"/>
      <c r="E42625" s="39"/>
      <c r="F42625" s="39"/>
    </row>
    <row r="42626">
      <c r="D42626" s="39"/>
      <c r="E42626" s="39"/>
      <c r="F42626" s="39"/>
    </row>
    <row r="42627">
      <c r="D42627" s="39"/>
      <c r="E42627" s="39"/>
      <c r="F42627" s="39"/>
    </row>
    <row r="42628">
      <c r="D42628" s="39"/>
      <c r="E42628" s="39"/>
      <c r="F42628" s="39"/>
    </row>
    <row r="42629">
      <c r="D42629" s="39"/>
      <c r="E42629" s="39"/>
      <c r="F42629" s="39"/>
    </row>
    <row r="42630">
      <c r="D42630" s="39"/>
      <c r="E42630" s="39"/>
      <c r="F42630" s="39"/>
    </row>
    <row r="42631">
      <c r="D42631" s="39"/>
      <c r="E42631" s="39"/>
      <c r="F42631" s="39"/>
    </row>
    <row r="42632">
      <c r="D42632" s="39"/>
      <c r="E42632" s="39"/>
      <c r="F42632" s="39"/>
    </row>
    <row r="42633">
      <c r="D42633" s="39"/>
      <c r="E42633" s="39"/>
      <c r="F42633" s="39"/>
    </row>
    <row r="42634">
      <c r="D42634" s="39"/>
      <c r="E42634" s="39"/>
      <c r="F42634" s="39"/>
    </row>
    <row r="42635">
      <c r="D42635" s="39"/>
      <c r="E42635" s="39"/>
      <c r="F42635" s="39"/>
    </row>
    <row r="42636">
      <c r="D42636" s="39"/>
      <c r="E42636" s="39"/>
      <c r="F42636" s="39"/>
    </row>
    <row r="42637">
      <c r="D42637" s="39"/>
      <c r="E42637" s="39"/>
      <c r="F42637" s="39"/>
    </row>
    <row r="42638">
      <c r="D42638" s="39"/>
      <c r="E42638" s="39"/>
      <c r="F42638" s="39"/>
    </row>
    <row r="42639">
      <c r="D42639" s="39"/>
      <c r="E42639" s="39"/>
      <c r="F42639" s="39"/>
    </row>
    <row r="42640">
      <c r="D42640" s="39"/>
      <c r="E42640" s="39"/>
      <c r="F42640" s="39"/>
    </row>
    <row r="42641">
      <c r="D42641" s="39"/>
      <c r="E42641" s="39"/>
      <c r="F42641" s="39"/>
    </row>
    <row r="42642">
      <c r="D42642" s="39"/>
      <c r="E42642" s="39"/>
      <c r="F42642" s="39"/>
    </row>
    <row r="42643">
      <c r="D42643" s="39"/>
      <c r="E42643" s="39"/>
      <c r="F42643" s="39"/>
    </row>
    <row r="42644">
      <c r="D42644" s="39"/>
      <c r="E42644" s="39"/>
      <c r="F42644" s="39"/>
    </row>
    <row r="42645">
      <c r="D42645" s="39"/>
      <c r="E42645" s="39"/>
      <c r="F42645" s="39"/>
    </row>
    <row r="42646">
      <c r="D42646" s="39"/>
      <c r="E42646" s="39"/>
      <c r="F42646" s="39"/>
    </row>
    <row r="42647">
      <c r="D42647" s="39"/>
      <c r="E42647" s="39"/>
      <c r="F42647" s="39"/>
    </row>
    <row r="42648">
      <c r="D42648" s="39"/>
      <c r="E42648" s="39"/>
      <c r="F42648" s="39"/>
    </row>
    <row r="42649">
      <c r="D42649" s="39"/>
      <c r="E42649" s="39"/>
      <c r="F42649" s="39"/>
    </row>
    <row r="42650">
      <c r="D42650" s="39"/>
      <c r="E42650" s="39"/>
      <c r="F42650" s="39"/>
    </row>
    <row r="42651">
      <c r="D42651" s="39"/>
      <c r="E42651" s="39"/>
      <c r="F42651" s="39"/>
    </row>
    <row r="42652">
      <c r="D42652" s="39"/>
      <c r="E42652" s="39"/>
      <c r="F42652" s="39"/>
    </row>
    <row r="42653">
      <c r="D42653" s="39"/>
      <c r="E42653" s="39"/>
      <c r="F42653" s="39"/>
    </row>
    <row r="42654">
      <c r="D42654" s="39"/>
      <c r="E42654" s="39"/>
      <c r="F42654" s="39"/>
    </row>
    <row r="42655">
      <c r="D42655" s="39"/>
      <c r="E42655" s="39"/>
      <c r="F42655" s="39"/>
    </row>
    <row r="42656">
      <c r="D42656" s="39"/>
      <c r="E42656" s="39"/>
      <c r="F42656" s="39"/>
    </row>
    <row r="42657">
      <c r="D42657" s="39"/>
      <c r="E42657" s="39"/>
      <c r="F42657" s="39"/>
    </row>
    <row r="42658">
      <c r="D42658" s="39"/>
      <c r="E42658" s="39"/>
      <c r="F42658" s="39"/>
    </row>
    <row r="42659">
      <c r="D42659" s="39"/>
      <c r="E42659" s="39"/>
      <c r="F42659" s="39"/>
    </row>
    <row r="42660">
      <c r="D42660" s="39"/>
      <c r="E42660" s="39"/>
      <c r="F42660" s="39"/>
    </row>
    <row r="42661">
      <c r="D42661" s="39"/>
      <c r="E42661" s="39"/>
      <c r="F42661" s="39"/>
    </row>
    <row r="42662">
      <c r="D42662" s="39"/>
      <c r="E42662" s="39"/>
      <c r="F42662" s="39"/>
    </row>
    <row r="42663">
      <c r="D42663" s="39"/>
      <c r="E42663" s="39"/>
      <c r="F42663" s="39"/>
    </row>
    <row r="42664">
      <c r="D42664" s="39"/>
      <c r="E42664" s="39"/>
      <c r="F42664" s="39"/>
    </row>
    <row r="42665">
      <c r="D42665" s="39"/>
      <c r="E42665" s="39"/>
      <c r="F42665" s="39"/>
    </row>
    <row r="42666">
      <c r="D42666" s="39"/>
      <c r="E42666" s="39"/>
      <c r="F42666" s="39"/>
    </row>
    <row r="42667">
      <c r="D42667" s="39"/>
      <c r="E42667" s="39"/>
      <c r="F42667" s="39"/>
    </row>
    <row r="42668">
      <c r="D42668" s="39"/>
      <c r="E42668" s="39"/>
      <c r="F42668" s="39"/>
    </row>
    <row r="42669">
      <c r="D42669" s="39"/>
      <c r="E42669" s="39"/>
      <c r="F42669" s="39"/>
    </row>
    <row r="42670">
      <c r="D42670" s="39"/>
      <c r="E42670" s="39"/>
      <c r="F42670" s="39"/>
    </row>
    <row r="42671">
      <c r="D42671" s="39"/>
      <c r="E42671" s="39"/>
      <c r="F42671" s="39"/>
    </row>
    <row r="42672">
      <c r="D42672" s="39"/>
      <c r="E42672" s="39"/>
      <c r="F42672" s="39"/>
    </row>
    <row r="42673">
      <c r="D42673" s="39"/>
      <c r="E42673" s="39"/>
      <c r="F42673" s="39"/>
    </row>
    <row r="42674">
      <c r="D42674" s="39"/>
      <c r="E42674" s="39"/>
      <c r="F42674" s="39"/>
    </row>
    <row r="42675">
      <c r="D42675" s="39"/>
      <c r="E42675" s="39"/>
      <c r="F42675" s="39"/>
    </row>
    <row r="42676">
      <c r="D42676" s="39"/>
      <c r="E42676" s="39"/>
      <c r="F42676" s="39"/>
    </row>
    <row r="42677">
      <c r="D42677" s="39"/>
      <c r="E42677" s="39"/>
      <c r="F42677" s="39"/>
    </row>
    <row r="42678">
      <c r="D42678" s="39"/>
      <c r="E42678" s="39"/>
      <c r="F42678" s="39"/>
    </row>
    <row r="42679">
      <c r="D42679" s="39"/>
      <c r="E42679" s="39"/>
      <c r="F42679" s="39"/>
    </row>
    <row r="42680">
      <c r="D42680" s="39"/>
      <c r="E42680" s="39"/>
      <c r="F42680" s="39"/>
    </row>
    <row r="42681">
      <c r="D42681" s="39"/>
      <c r="E42681" s="39"/>
      <c r="F42681" s="39"/>
    </row>
    <row r="42682">
      <c r="D42682" s="39"/>
      <c r="E42682" s="39"/>
      <c r="F42682" s="39"/>
    </row>
    <row r="42683">
      <c r="D42683" s="39"/>
      <c r="E42683" s="39"/>
      <c r="F42683" s="39"/>
    </row>
    <row r="42684">
      <c r="D42684" s="39"/>
      <c r="E42684" s="39"/>
      <c r="F42684" s="39"/>
    </row>
    <row r="42685">
      <c r="D42685" s="39"/>
      <c r="E42685" s="39"/>
      <c r="F42685" s="39"/>
    </row>
    <row r="42686">
      <c r="D42686" s="39"/>
      <c r="E42686" s="39"/>
      <c r="F42686" s="39"/>
    </row>
    <row r="42687">
      <c r="D42687" s="39"/>
      <c r="E42687" s="39"/>
      <c r="F42687" s="39"/>
    </row>
    <row r="42688">
      <c r="D42688" s="39"/>
      <c r="E42688" s="39"/>
      <c r="F42688" s="39"/>
    </row>
    <row r="42689">
      <c r="D42689" s="39"/>
      <c r="E42689" s="39"/>
      <c r="F42689" s="39"/>
    </row>
    <row r="42690">
      <c r="D42690" s="39"/>
      <c r="E42690" s="39"/>
      <c r="F42690" s="39"/>
    </row>
    <row r="42691">
      <c r="D42691" s="39"/>
      <c r="E42691" s="39"/>
      <c r="F42691" s="39"/>
    </row>
    <row r="42692">
      <c r="D42692" s="39"/>
      <c r="E42692" s="39"/>
      <c r="F42692" s="39"/>
    </row>
    <row r="42693">
      <c r="D42693" s="39"/>
      <c r="E42693" s="39"/>
      <c r="F42693" s="39"/>
    </row>
    <row r="42694">
      <c r="D42694" s="39"/>
      <c r="E42694" s="39"/>
      <c r="F42694" s="39"/>
    </row>
    <row r="42695">
      <c r="D42695" s="39"/>
      <c r="E42695" s="39"/>
      <c r="F42695" s="39"/>
    </row>
    <row r="42696">
      <c r="D42696" s="39"/>
      <c r="E42696" s="39"/>
      <c r="F42696" s="39"/>
    </row>
    <row r="42697">
      <c r="D42697" s="39"/>
      <c r="E42697" s="39"/>
      <c r="F42697" s="39"/>
    </row>
    <row r="42698">
      <c r="D42698" s="39"/>
      <c r="E42698" s="39"/>
      <c r="F42698" s="39"/>
    </row>
    <row r="42699">
      <c r="D42699" s="39"/>
      <c r="E42699" s="39"/>
      <c r="F42699" s="39"/>
    </row>
    <row r="42700">
      <c r="D42700" s="39"/>
      <c r="E42700" s="39"/>
      <c r="F42700" s="39"/>
    </row>
    <row r="42701">
      <c r="D42701" s="39"/>
      <c r="E42701" s="39"/>
      <c r="F42701" s="39"/>
    </row>
    <row r="42702">
      <c r="D42702" s="39"/>
      <c r="E42702" s="39"/>
      <c r="F42702" s="39"/>
    </row>
    <row r="42703">
      <c r="D42703" s="39"/>
      <c r="E42703" s="39"/>
      <c r="F42703" s="39"/>
    </row>
    <row r="42704">
      <c r="D42704" s="39"/>
      <c r="E42704" s="39"/>
      <c r="F42704" s="39"/>
    </row>
    <row r="42705">
      <c r="D42705" s="39"/>
      <c r="E42705" s="39"/>
      <c r="F42705" s="39"/>
    </row>
    <row r="42706">
      <c r="D42706" s="39"/>
      <c r="E42706" s="39"/>
      <c r="F42706" s="39"/>
    </row>
    <row r="42707">
      <c r="D42707" s="39"/>
      <c r="E42707" s="39"/>
      <c r="F42707" s="39"/>
    </row>
    <row r="42708">
      <c r="D42708" s="39"/>
      <c r="E42708" s="39"/>
      <c r="F42708" s="39"/>
    </row>
    <row r="42709">
      <c r="D42709" s="39"/>
      <c r="E42709" s="39"/>
      <c r="F42709" s="39"/>
    </row>
    <row r="42710">
      <c r="D42710" s="39"/>
      <c r="E42710" s="39"/>
      <c r="F42710" s="39"/>
    </row>
    <row r="42711">
      <c r="D42711" s="39"/>
      <c r="E42711" s="39"/>
      <c r="F42711" s="39"/>
    </row>
    <row r="42712">
      <c r="D42712" s="39"/>
      <c r="E42712" s="39"/>
      <c r="F42712" s="39"/>
    </row>
    <row r="42713">
      <c r="D42713" s="39"/>
      <c r="E42713" s="39"/>
      <c r="F42713" s="39"/>
    </row>
    <row r="42714">
      <c r="D42714" s="39"/>
      <c r="E42714" s="39"/>
      <c r="F42714" s="39"/>
    </row>
    <row r="42715">
      <c r="D42715" s="39"/>
      <c r="E42715" s="39"/>
      <c r="F42715" s="39"/>
    </row>
    <row r="42716">
      <c r="D42716" s="39"/>
      <c r="E42716" s="39"/>
      <c r="F42716" s="39"/>
    </row>
    <row r="42717">
      <c r="D42717" s="39"/>
      <c r="E42717" s="39"/>
      <c r="F42717" s="39"/>
    </row>
    <row r="42718">
      <c r="D42718" s="39"/>
      <c r="E42718" s="39"/>
      <c r="F42718" s="39"/>
    </row>
    <row r="42719">
      <c r="D42719" s="39"/>
      <c r="E42719" s="39"/>
      <c r="F42719" s="39"/>
    </row>
    <row r="42720">
      <c r="D42720" s="39"/>
      <c r="E42720" s="39"/>
      <c r="F42720" s="39"/>
    </row>
    <row r="42721">
      <c r="D42721" s="39"/>
      <c r="E42721" s="39"/>
      <c r="F42721" s="39"/>
    </row>
    <row r="42722">
      <c r="D42722" s="39"/>
      <c r="E42722" s="39"/>
      <c r="F42722" s="39"/>
    </row>
    <row r="42723">
      <c r="D42723" s="39"/>
      <c r="E42723" s="39"/>
      <c r="F42723" s="39"/>
    </row>
    <row r="42724">
      <c r="D42724" s="39"/>
      <c r="E42724" s="39"/>
      <c r="F42724" s="39"/>
    </row>
    <row r="42725">
      <c r="D42725" s="39"/>
      <c r="E42725" s="39"/>
      <c r="F42725" s="39"/>
    </row>
    <row r="42726">
      <c r="D42726" s="39"/>
      <c r="E42726" s="39"/>
      <c r="F42726" s="39"/>
    </row>
    <row r="42727">
      <c r="D42727" s="39"/>
      <c r="E42727" s="39"/>
      <c r="F42727" s="39"/>
    </row>
    <row r="42728">
      <c r="D42728" s="39"/>
      <c r="E42728" s="39"/>
      <c r="F42728" s="39"/>
    </row>
    <row r="42729">
      <c r="D42729" s="39"/>
      <c r="E42729" s="39"/>
      <c r="F42729" s="39"/>
    </row>
    <row r="42730">
      <c r="D42730" s="39"/>
      <c r="E42730" s="39"/>
      <c r="F42730" s="39"/>
    </row>
    <row r="42731">
      <c r="D42731" s="39"/>
      <c r="E42731" s="39"/>
      <c r="F42731" s="39"/>
    </row>
    <row r="42732">
      <c r="D42732" s="39"/>
      <c r="E42732" s="39"/>
      <c r="F42732" s="39"/>
    </row>
    <row r="42733">
      <c r="D42733" s="39"/>
      <c r="E42733" s="39"/>
      <c r="F42733" s="39"/>
    </row>
    <row r="42734">
      <c r="D42734" s="39"/>
      <c r="E42734" s="39"/>
      <c r="F42734" s="39"/>
    </row>
    <row r="42735">
      <c r="D42735" s="39"/>
      <c r="E42735" s="39"/>
      <c r="F42735" s="39"/>
    </row>
    <row r="42736">
      <c r="D42736" s="39"/>
      <c r="E42736" s="39"/>
      <c r="F42736" s="39"/>
    </row>
    <row r="42737">
      <c r="D42737" s="39"/>
      <c r="E42737" s="39"/>
      <c r="F42737" s="39"/>
    </row>
    <row r="42738">
      <c r="D42738" s="39"/>
      <c r="E42738" s="39"/>
      <c r="F42738" s="39"/>
    </row>
    <row r="42739">
      <c r="D42739" s="39"/>
      <c r="E42739" s="39"/>
      <c r="F42739" s="39"/>
    </row>
    <row r="42740">
      <c r="D42740" s="39"/>
      <c r="E42740" s="39"/>
      <c r="F42740" s="39"/>
    </row>
    <row r="42741">
      <c r="D42741" s="39"/>
      <c r="E42741" s="39"/>
      <c r="F42741" s="39"/>
    </row>
    <row r="42742">
      <c r="D42742" s="39"/>
      <c r="E42742" s="39"/>
      <c r="F42742" s="39"/>
    </row>
    <row r="42743">
      <c r="D42743" s="39"/>
      <c r="E42743" s="39"/>
      <c r="F42743" s="39"/>
    </row>
    <row r="42744">
      <c r="D42744" s="39"/>
      <c r="E42744" s="39"/>
      <c r="F42744" s="39"/>
    </row>
    <row r="42745">
      <c r="D42745" s="39"/>
      <c r="E42745" s="39"/>
      <c r="F42745" s="39"/>
    </row>
    <row r="42746">
      <c r="D42746" s="39"/>
      <c r="E42746" s="39"/>
      <c r="F42746" s="39"/>
    </row>
    <row r="42747">
      <c r="D42747" s="39"/>
      <c r="E42747" s="39"/>
      <c r="F42747" s="39"/>
    </row>
    <row r="42748">
      <c r="D42748" s="39"/>
      <c r="E42748" s="39"/>
      <c r="F42748" s="39"/>
    </row>
    <row r="42749">
      <c r="D42749" s="39"/>
      <c r="E42749" s="39"/>
      <c r="F42749" s="39"/>
    </row>
    <row r="42750">
      <c r="D42750" s="39"/>
      <c r="E42750" s="39"/>
      <c r="F42750" s="39"/>
    </row>
    <row r="42751">
      <c r="D42751" s="39"/>
      <c r="E42751" s="39"/>
      <c r="F42751" s="39"/>
    </row>
    <row r="42752">
      <c r="D42752" s="39"/>
      <c r="E42752" s="39"/>
      <c r="F42752" s="39"/>
    </row>
    <row r="42753">
      <c r="D42753" s="39"/>
      <c r="E42753" s="39"/>
      <c r="F42753" s="39"/>
    </row>
    <row r="42754">
      <c r="D42754" s="39"/>
      <c r="E42754" s="39"/>
      <c r="F42754" s="39"/>
    </row>
    <row r="42755">
      <c r="D42755" s="39"/>
      <c r="E42755" s="39"/>
      <c r="F42755" s="39"/>
    </row>
    <row r="42756">
      <c r="D42756" s="39"/>
      <c r="E42756" s="39"/>
      <c r="F42756" s="39"/>
    </row>
    <row r="42757">
      <c r="D42757" s="39"/>
      <c r="E42757" s="39"/>
      <c r="F42757" s="39"/>
    </row>
    <row r="42758">
      <c r="D42758" s="39"/>
      <c r="E42758" s="39"/>
      <c r="F42758" s="39"/>
    </row>
    <row r="42759">
      <c r="D42759" s="39"/>
      <c r="E42759" s="39"/>
      <c r="F42759" s="39"/>
    </row>
    <row r="42760">
      <c r="D42760" s="39"/>
      <c r="E42760" s="39"/>
      <c r="F42760" s="39"/>
    </row>
    <row r="42761">
      <c r="D42761" s="39"/>
      <c r="E42761" s="39"/>
      <c r="F42761" s="39"/>
    </row>
    <row r="42762">
      <c r="D42762" s="39"/>
      <c r="E42762" s="39"/>
      <c r="F42762" s="39"/>
    </row>
    <row r="42763">
      <c r="D42763" s="39"/>
      <c r="E42763" s="39"/>
      <c r="F42763" s="39"/>
    </row>
    <row r="42764">
      <c r="D42764" s="39"/>
      <c r="E42764" s="39"/>
      <c r="F42764" s="39"/>
    </row>
    <row r="42765">
      <c r="D42765" s="39"/>
      <c r="E42765" s="39"/>
      <c r="F42765" s="39"/>
    </row>
    <row r="42766">
      <c r="D42766" s="39"/>
      <c r="E42766" s="39"/>
      <c r="F42766" s="39"/>
    </row>
    <row r="42767">
      <c r="D42767" s="39"/>
      <c r="E42767" s="39"/>
      <c r="F42767" s="39"/>
    </row>
    <row r="42768">
      <c r="D42768" s="39"/>
      <c r="E42768" s="39"/>
      <c r="F42768" s="39"/>
    </row>
    <row r="42769">
      <c r="D42769" s="39"/>
      <c r="E42769" s="39"/>
      <c r="F42769" s="39"/>
    </row>
    <row r="42770">
      <c r="D42770" s="39"/>
      <c r="E42770" s="39"/>
      <c r="F42770" s="39"/>
    </row>
    <row r="42771">
      <c r="D42771" s="39"/>
      <c r="E42771" s="39"/>
      <c r="F42771" s="39"/>
    </row>
    <row r="42772">
      <c r="D42772" s="39"/>
      <c r="E42772" s="39"/>
      <c r="F42772" s="39"/>
    </row>
    <row r="42773">
      <c r="D42773" s="39"/>
      <c r="E42773" s="39"/>
      <c r="F42773" s="39"/>
    </row>
    <row r="42774">
      <c r="D42774" s="39"/>
      <c r="E42774" s="39"/>
      <c r="F42774" s="39"/>
    </row>
    <row r="42775">
      <c r="D42775" s="39"/>
      <c r="E42775" s="39"/>
      <c r="F42775" s="39"/>
    </row>
    <row r="42776">
      <c r="D42776" s="39"/>
      <c r="E42776" s="39"/>
      <c r="F42776" s="39"/>
    </row>
    <row r="42777">
      <c r="D42777" s="39"/>
      <c r="E42777" s="39"/>
      <c r="F42777" s="39"/>
    </row>
    <row r="42778">
      <c r="D42778" s="39"/>
      <c r="E42778" s="39"/>
      <c r="F42778" s="39"/>
    </row>
    <row r="42779">
      <c r="D42779" s="39"/>
      <c r="E42779" s="39"/>
      <c r="F42779" s="39"/>
    </row>
    <row r="42780">
      <c r="D42780" s="39"/>
      <c r="E42780" s="39"/>
      <c r="F42780" s="39"/>
    </row>
    <row r="42781">
      <c r="D42781" s="39"/>
      <c r="E42781" s="39"/>
      <c r="F42781" s="39"/>
    </row>
    <row r="42782">
      <c r="D42782" s="39"/>
      <c r="E42782" s="39"/>
      <c r="F42782" s="39"/>
    </row>
    <row r="42783">
      <c r="D42783" s="39"/>
      <c r="E42783" s="39"/>
      <c r="F42783" s="39"/>
    </row>
    <row r="42784">
      <c r="D42784" s="39"/>
      <c r="E42784" s="39"/>
      <c r="F42784" s="39"/>
    </row>
    <row r="42785">
      <c r="D42785" s="39"/>
      <c r="E42785" s="39"/>
      <c r="F42785" s="39"/>
    </row>
    <row r="42786">
      <c r="D42786" s="39"/>
      <c r="E42786" s="39"/>
      <c r="F42786" s="39"/>
    </row>
    <row r="42787">
      <c r="D42787" s="39"/>
      <c r="E42787" s="39"/>
      <c r="F42787" s="39"/>
    </row>
    <row r="42788">
      <c r="D42788" s="39"/>
      <c r="E42788" s="39"/>
      <c r="F42788" s="39"/>
    </row>
    <row r="42789">
      <c r="D42789" s="39"/>
      <c r="E42789" s="39"/>
      <c r="F42789" s="39"/>
    </row>
    <row r="42790">
      <c r="D42790" s="39"/>
      <c r="E42790" s="39"/>
      <c r="F42790" s="39"/>
    </row>
    <row r="42791">
      <c r="D42791" s="39"/>
      <c r="E42791" s="39"/>
      <c r="F42791" s="39"/>
    </row>
    <row r="42792">
      <c r="D42792" s="39"/>
      <c r="E42792" s="39"/>
      <c r="F42792" s="39"/>
    </row>
    <row r="42793">
      <c r="D42793" s="39"/>
      <c r="E42793" s="39"/>
      <c r="F42793" s="39"/>
    </row>
    <row r="42794">
      <c r="D42794" s="39"/>
      <c r="E42794" s="39"/>
      <c r="F42794" s="39"/>
    </row>
    <row r="42795">
      <c r="D42795" s="39"/>
      <c r="E42795" s="39"/>
      <c r="F42795" s="39"/>
    </row>
    <row r="42796">
      <c r="D42796" s="39"/>
      <c r="E42796" s="39"/>
      <c r="F42796" s="39"/>
    </row>
    <row r="42797">
      <c r="D42797" s="39"/>
      <c r="E42797" s="39"/>
      <c r="F42797" s="39"/>
    </row>
    <row r="42798">
      <c r="D42798" s="39"/>
      <c r="E42798" s="39"/>
      <c r="F42798" s="39"/>
    </row>
    <row r="42799">
      <c r="D42799" s="39"/>
      <c r="E42799" s="39"/>
      <c r="F42799" s="39"/>
    </row>
    <row r="42800">
      <c r="D42800" s="39"/>
      <c r="E42800" s="39"/>
      <c r="F42800" s="39"/>
    </row>
    <row r="42801">
      <c r="D42801" s="39"/>
      <c r="E42801" s="39"/>
      <c r="F42801" s="39"/>
    </row>
    <row r="42802">
      <c r="D42802" s="39"/>
      <c r="E42802" s="39"/>
      <c r="F42802" s="39"/>
    </row>
    <row r="42803">
      <c r="D42803" s="39"/>
      <c r="E42803" s="39"/>
      <c r="F42803" s="39"/>
    </row>
    <row r="42804">
      <c r="D42804" s="39"/>
      <c r="E42804" s="39"/>
      <c r="F42804" s="39"/>
    </row>
    <row r="42805">
      <c r="D42805" s="39"/>
      <c r="E42805" s="39"/>
      <c r="F42805" s="39"/>
    </row>
    <row r="42806">
      <c r="D42806" s="39"/>
      <c r="E42806" s="39"/>
      <c r="F42806" s="39"/>
    </row>
    <row r="42807">
      <c r="D42807" s="39"/>
      <c r="E42807" s="39"/>
      <c r="F42807" s="39"/>
    </row>
    <row r="42808">
      <c r="D42808" s="39"/>
      <c r="E42808" s="39"/>
      <c r="F42808" s="39"/>
    </row>
    <row r="42809">
      <c r="D42809" s="39"/>
      <c r="E42809" s="39"/>
      <c r="F42809" s="39"/>
    </row>
    <row r="42810">
      <c r="D42810" s="39"/>
      <c r="E42810" s="39"/>
      <c r="F42810" s="39"/>
    </row>
    <row r="42811">
      <c r="D42811" s="39"/>
      <c r="E42811" s="39"/>
      <c r="F42811" s="39"/>
    </row>
    <row r="42812">
      <c r="D42812" s="39"/>
      <c r="E42812" s="39"/>
      <c r="F42812" s="39"/>
    </row>
    <row r="42813">
      <c r="D42813" s="39"/>
      <c r="E42813" s="39"/>
      <c r="F42813" s="39"/>
    </row>
    <row r="42814">
      <c r="D42814" s="39"/>
      <c r="E42814" s="39"/>
      <c r="F42814" s="39"/>
    </row>
    <row r="42815">
      <c r="D42815" s="39"/>
      <c r="E42815" s="39"/>
      <c r="F42815" s="39"/>
    </row>
    <row r="42816">
      <c r="D42816" s="39"/>
      <c r="E42816" s="39"/>
      <c r="F42816" s="39"/>
    </row>
    <row r="42817">
      <c r="D42817" s="39"/>
      <c r="E42817" s="39"/>
      <c r="F42817" s="39"/>
    </row>
    <row r="42818">
      <c r="D42818" s="39"/>
      <c r="E42818" s="39"/>
      <c r="F42818" s="39"/>
    </row>
    <row r="42819">
      <c r="D42819" s="39"/>
      <c r="E42819" s="39"/>
      <c r="F42819" s="39"/>
    </row>
    <row r="42820">
      <c r="D42820" s="39"/>
      <c r="E42820" s="39"/>
      <c r="F42820" s="39"/>
    </row>
    <row r="42821">
      <c r="D42821" s="39"/>
      <c r="E42821" s="39"/>
      <c r="F42821" s="39"/>
    </row>
    <row r="42822">
      <c r="D42822" s="39"/>
      <c r="E42822" s="39"/>
      <c r="F42822" s="39"/>
    </row>
    <row r="42823">
      <c r="D42823" s="39"/>
      <c r="E42823" s="39"/>
      <c r="F42823" s="39"/>
    </row>
    <row r="42824">
      <c r="D42824" s="39"/>
      <c r="E42824" s="39"/>
      <c r="F42824" s="39"/>
    </row>
    <row r="42825">
      <c r="D42825" s="39"/>
      <c r="E42825" s="39"/>
      <c r="F42825" s="39"/>
    </row>
    <row r="42826">
      <c r="D42826" s="39"/>
      <c r="E42826" s="39"/>
      <c r="F42826" s="39"/>
    </row>
    <row r="42827">
      <c r="D42827" s="39"/>
      <c r="E42827" s="39"/>
      <c r="F42827" s="39"/>
    </row>
    <row r="42828">
      <c r="D42828" s="39"/>
      <c r="E42828" s="39"/>
      <c r="F42828" s="39"/>
    </row>
    <row r="42829">
      <c r="D42829" s="39"/>
      <c r="E42829" s="39"/>
      <c r="F42829" s="39"/>
    </row>
    <row r="42830">
      <c r="D42830" s="39"/>
      <c r="E42830" s="39"/>
      <c r="F42830" s="39"/>
    </row>
    <row r="42831">
      <c r="D42831" s="39"/>
      <c r="E42831" s="39"/>
      <c r="F42831" s="39"/>
    </row>
    <row r="42832">
      <c r="D42832" s="39"/>
      <c r="E42832" s="39"/>
      <c r="F42832" s="39"/>
    </row>
    <row r="42833">
      <c r="D42833" s="39"/>
      <c r="E42833" s="39"/>
      <c r="F42833" s="39"/>
    </row>
    <row r="42834">
      <c r="D42834" s="39"/>
      <c r="E42834" s="39"/>
      <c r="F42834" s="39"/>
    </row>
    <row r="42835">
      <c r="D42835" s="39"/>
      <c r="E42835" s="39"/>
      <c r="F42835" s="39"/>
    </row>
    <row r="42836">
      <c r="D42836" s="39"/>
      <c r="E42836" s="39"/>
      <c r="F42836" s="39"/>
    </row>
    <row r="42837">
      <c r="D42837" s="39"/>
      <c r="E42837" s="39"/>
      <c r="F42837" s="39"/>
    </row>
    <row r="42838">
      <c r="D42838" s="39"/>
      <c r="E42838" s="39"/>
      <c r="F42838" s="39"/>
    </row>
    <row r="42839">
      <c r="D42839" s="39"/>
      <c r="E42839" s="39"/>
      <c r="F42839" s="39"/>
    </row>
    <row r="42840">
      <c r="D42840" s="39"/>
      <c r="E42840" s="39"/>
      <c r="F42840" s="39"/>
    </row>
    <row r="42841">
      <c r="D42841" s="39"/>
      <c r="E42841" s="39"/>
      <c r="F42841" s="39"/>
    </row>
    <row r="42842">
      <c r="D42842" s="39"/>
      <c r="E42842" s="39"/>
      <c r="F42842" s="39"/>
    </row>
    <row r="42843">
      <c r="D42843" s="39"/>
      <c r="E42843" s="39"/>
      <c r="F42843" s="39"/>
    </row>
    <row r="42844">
      <c r="D42844" s="39"/>
      <c r="E42844" s="39"/>
      <c r="F42844" s="39"/>
    </row>
    <row r="42845">
      <c r="D42845" s="39"/>
      <c r="E42845" s="39"/>
      <c r="F42845" s="39"/>
    </row>
    <row r="42846">
      <c r="D42846" s="39"/>
      <c r="E42846" s="39"/>
      <c r="F42846" s="39"/>
    </row>
    <row r="42847">
      <c r="D42847" s="39"/>
      <c r="E42847" s="39"/>
      <c r="F42847" s="39"/>
    </row>
    <row r="42848">
      <c r="D42848" s="39"/>
      <c r="E42848" s="39"/>
      <c r="F42848" s="39"/>
    </row>
    <row r="42849">
      <c r="D42849" s="39"/>
      <c r="E42849" s="39"/>
      <c r="F42849" s="39"/>
    </row>
    <row r="42850">
      <c r="D42850" s="39"/>
      <c r="E42850" s="39"/>
      <c r="F42850" s="39"/>
    </row>
    <row r="42851">
      <c r="D42851" s="39"/>
      <c r="E42851" s="39"/>
      <c r="F42851" s="39"/>
    </row>
    <row r="42852">
      <c r="D42852" s="39"/>
      <c r="E42852" s="39"/>
      <c r="F42852" s="39"/>
    </row>
    <row r="42853">
      <c r="D42853" s="39"/>
      <c r="E42853" s="39"/>
      <c r="F42853" s="39"/>
    </row>
    <row r="42854">
      <c r="D42854" s="39"/>
      <c r="E42854" s="39"/>
      <c r="F42854" s="39"/>
    </row>
    <row r="42855">
      <c r="D42855" s="39"/>
      <c r="E42855" s="39"/>
      <c r="F42855" s="39"/>
    </row>
    <row r="42856">
      <c r="D42856" s="39"/>
      <c r="E42856" s="39"/>
      <c r="F42856" s="39"/>
    </row>
    <row r="42857">
      <c r="D42857" s="39"/>
      <c r="E42857" s="39"/>
      <c r="F42857" s="39"/>
    </row>
    <row r="42858">
      <c r="D42858" s="39"/>
      <c r="E42858" s="39"/>
      <c r="F42858" s="39"/>
    </row>
    <row r="42859">
      <c r="D42859" s="39"/>
      <c r="E42859" s="39"/>
      <c r="F42859" s="39"/>
    </row>
    <row r="42860">
      <c r="D42860" s="39"/>
      <c r="E42860" s="39"/>
      <c r="F42860" s="39"/>
    </row>
    <row r="42861">
      <c r="D42861" s="39"/>
      <c r="E42861" s="39"/>
      <c r="F42861" s="39"/>
    </row>
    <row r="42862">
      <c r="D42862" s="39"/>
      <c r="E42862" s="39"/>
      <c r="F42862" s="39"/>
    </row>
    <row r="42863">
      <c r="D42863" s="39"/>
      <c r="E42863" s="39"/>
      <c r="F42863" s="39"/>
    </row>
    <row r="42864">
      <c r="D42864" s="39"/>
      <c r="E42864" s="39"/>
      <c r="F42864" s="39"/>
    </row>
    <row r="42865">
      <c r="D42865" s="39"/>
      <c r="E42865" s="39"/>
      <c r="F42865" s="39"/>
    </row>
    <row r="42866">
      <c r="D42866" s="39"/>
      <c r="E42866" s="39"/>
      <c r="F42866" s="39"/>
    </row>
    <row r="42867">
      <c r="D42867" s="39"/>
      <c r="E42867" s="39"/>
      <c r="F42867" s="39"/>
    </row>
    <row r="42868">
      <c r="D42868" s="39"/>
      <c r="E42868" s="39"/>
      <c r="F42868" s="39"/>
    </row>
    <row r="42869">
      <c r="D42869" s="39"/>
      <c r="E42869" s="39"/>
      <c r="F42869" s="39"/>
    </row>
    <row r="42870">
      <c r="D42870" s="39"/>
      <c r="E42870" s="39"/>
      <c r="F42870" s="39"/>
    </row>
    <row r="42871">
      <c r="D42871" s="39"/>
      <c r="E42871" s="39"/>
      <c r="F42871" s="39"/>
    </row>
    <row r="42872">
      <c r="D42872" s="39"/>
      <c r="E42872" s="39"/>
      <c r="F42872" s="39"/>
    </row>
    <row r="42873">
      <c r="D42873" s="39"/>
      <c r="E42873" s="39"/>
      <c r="F42873" s="39"/>
    </row>
    <row r="42874">
      <c r="D42874" s="39"/>
      <c r="E42874" s="39"/>
      <c r="F42874" s="39"/>
    </row>
    <row r="42875">
      <c r="D42875" s="39"/>
      <c r="E42875" s="39"/>
      <c r="F42875" s="39"/>
    </row>
    <row r="42876">
      <c r="D42876" s="39"/>
      <c r="E42876" s="39"/>
      <c r="F42876" s="39"/>
    </row>
    <row r="42877">
      <c r="D42877" s="39"/>
      <c r="E42877" s="39"/>
      <c r="F42877" s="39"/>
    </row>
    <row r="42878">
      <c r="D42878" s="39"/>
      <c r="E42878" s="39"/>
      <c r="F42878" s="39"/>
    </row>
    <row r="42879">
      <c r="D42879" s="39"/>
      <c r="E42879" s="39"/>
      <c r="F42879" s="39"/>
    </row>
    <row r="42880">
      <c r="D42880" s="39"/>
      <c r="E42880" s="39"/>
      <c r="F42880" s="39"/>
    </row>
    <row r="42881">
      <c r="D42881" s="39"/>
      <c r="E42881" s="39"/>
      <c r="F42881" s="39"/>
    </row>
    <row r="42882">
      <c r="D42882" s="39"/>
      <c r="E42882" s="39"/>
      <c r="F42882" s="39"/>
    </row>
    <row r="42883">
      <c r="D42883" s="39"/>
      <c r="E42883" s="39"/>
      <c r="F42883" s="39"/>
    </row>
    <row r="42884">
      <c r="D42884" s="39"/>
      <c r="E42884" s="39"/>
      <c r="F42884" s="39"/>
    </row>
    <row r="42885">
      <c r="D42885" s="39"/>
      <c r="E42885" s="39"/>
      <c r="F42885" s="39"/>
    </row>
    <row r="42886">
      <c r="D42886" s="39"/>
      <c r="E42886" s="39"/>
      <c r="F42886" s="39"/>
    </row>
    <row r="42887">
      <c r="D42887" s="39"/>
      <c r="E42887" s="39"/>
      <c r="F42887" s="39"/>
    </row>
    <row r="42888">
      <c r="D42888" s="39"/>
      <c r="E42888" s="39"/>
      <c r="F42888" s="39"/>
    </row>
    <row r="42889">
      <c r="D42889" s="39"/>
      <c r="E42889" s="39"/>
      <c r="F42889" s="39"/>
    </row>
    <row r="42890">
      <c r="D42890" s="39"/>
      <c r="E42890" s="39"/>
      <c r="F42890" s="39"/>
    </row>
    <row r="42891">
      <c r="D42891" s="39"/>
      <c r="E42891" s="39"/>
      <c r="F42891" s="39"/>
    </row>
    <row r="42892">
      <c r="D42892" s="39"/>
      <c r="E42892" s="39"/>
      <c r="F42892" s="39"/>
    </row>
    <row r="42893">
      <c r="D42893" s="39"/>
      <c r="E42893" s="39"/>
      <c r="F42893" s="39"/>
    </row>
    <row r="42894">
      <c r="D42894" s="39"/>
      <c r="E42894" s="39"/>
      <c r="F42894" s="39"/>
    </row>
    <row r="42895">
      <c r="D42895" s="39"/>
      <c r="E42895" s="39"/>
      <c r="F42895" s="39"/>
    </row>
    <row r="42896">
      <c r="D42896" s="39"/>
      <c r="E42896" s="39"/>
      <c r="F42896" s="39"/>
    </row>
    <row r="42897">
      <c r="D42897" s="39"/>
      <c r="E42897" s="39"/>
      <c r="F42897" s="39"/>
    </row>
    <row r="42898">
      <c r="D42898" s="39"/>
      <c r="E42898" s="39"/>
      <c r="F42898" s="39"/>
    </row>
    <row r="42899">
      <c r="D42899" s="39"/>
      <c r="E42899" s="39"/>
      <c r="F42899" s="39"/>
    </row>
    <row r="42900">
      <c r="D42900" s="39"/>
      <c r="E42900" s="39"/>
      <c r="F42900" s="39"/>
    </row>
    <row r="42901">
      <c r="D42901" s="39"/>
      <c r="E42901" s="39"/>
      <c r="F42901" s="39"/>
    </row>
    <row r="42902">
      <c r="D42902" s="39"/>
      <c r="E42902" s="39"/>
      <c r="F42902" s="39"/>
    </row>
    <row r="42903">
      <c r="D42903" s="39"/>
      <c r="E42903" s="39"/>
      <c r="F42903" s="39"/>
    </row>
    <row r="42904">
      <c r="D42904" s="39"/>
      <c r="E42904" s="39"/>
      <c r="F42904" s="39"/>
    </row>
    <row r="42905">
      <c r="D42905" s="39"/>
      <c r="E42905" s="39"/>
      <c r="F42905" s="39"/>
    </row>
    <row r="42906">
      <c r="D42906" s="39"/>
      <c r="E42906" s="39"/>
      <c r="F42906" s="39"/>
    </row>
    <row r="42907">
      <c r="D42907" s="39"/>
      <c r="E42907" s="39"/>
      <c r="F42907" s="39"/>
    </row>
    <row r="42908">
      <c r="D42908" s="39"/>
      <c r="E42908" s="39"/>
      <c r="F42908" s="39"/>
    </row>
    <row r="42909">
      <c r="D42909" s="39"/>
      <c r="E42909" s="39"/>
      <c r="F42909" s="39"/>
    </row>
    <row r="42910">
      <c r="D42910" s="39"/>
      <c r="E42910" s="39"/>
      <c r="F42910" s="39"/>
    </row>
    <row r="42911">
      <c r="D42911" s="39"/>
      <c r="E42911" s="39"/>
      <c r="F42911" s="39"/>
    </row>
    <row r="42912">
      <c r="D42912" s="39"/>
      <c r="E42912" s="39"/>
      <c r="F42912" s="39"/>
    </row>
    <row r="42913">
      <c r="D42913" s="39"/>
      <c r="E42913" s="39"/>
      <c r="F42913" s="39"/>
    </row>
    <row r="42914">
      <c r="D42914" s="39"/>
      <c r="E42914" s="39"/>
      <c r="F42914" s="39"/>
    </row>
    <row r="42915">
      <c r="D42915" s="39"/>
      <c r="E42915" s="39"/>
      <c r="F42915" s="39"/>
    </row>
    <row r="42916">
      <c r="D42916" s="39"/>
      <c r="E42916" s="39"/>
      <c r="F42916" s="39"/>
    </row>
    <row r="42917">
      <c r="D42917" s="39"/>
      <c r="E42917" s="39"/>
      <c r="F42917" s="39"/>
    </row>
    <row r="42918">
      <c r="D42918" s="39"/>
      <c r="E42918" s="39"/>
      <c r="F42918" s="39"/>
    </row>
    <row r="42919">
      <c r="D42919" s="39"/>
      <c r="E42919" s="39"/>
      <c r="F42919" s="39"/>
    </row>
    <row r="42920">
      <c r="D42920" s="39"/>
      <c r="E42920" s="39"/>
      <c r="F42920" s="39"/>
    </row>
    <row r="42921">
      <c r="D42921" s="39"/>
      <c r="E42921" s="39"/>
      <c r="F42921" s="39"/>
    </row>
    <row r="42922">
      <c r="D42922" s="39"/>
      <c r="E42922" s="39"/>
      <c r="F42922" s="39"/>
    </row>
    <row r="42923">
      <c r="D42923" s="39"/>
      <c r="E42923" s="39"/>
      <c r="F42923" s="39"/>
    </row>
    <row r="42924">
      <c r="D42924" s="39"/>
      <c r="E42924" s="39"/>
      <c r="F42924" s="39"/>
    </row>
    <row r="42925">
      <c r="D42925" s="39"/>
      <c r="E42925" s="39"/>
      <c r="F42925" s="39"/>
    </row>
    <row r="42926">
      <c r="D42926" s="39"/>
      <c r="E42926" s="39"/>
      <c r="F42926" s="39"/>
    </row>
    <row r="42927">
      <c r="D42927" s="39"/>
      <c r="E42927" s="39"/>
      <c r="F42927" s="39"/>
    </row>
    <row r="42928">
      <c r="D42928" s="39"/>
      <c r="E42928" s="39"/>
      <c r="F42928" s="39"/>
    </row>
    <row r="42929">
      <c r="D42929" s="39"/>
      <c r="E42929" s="39"/>
      <c r="F42929" s="39"/>
    </row>
    <row r="42930">
      <c r="D42930" s="39"/>
      <c r="E42930" s="39"/>
      <c r="F42930" s="39"/>
    </row>
    <row r="42931">
      <c r="D42931" s="39"/>
      <c r="E42931" s="39"/>
      <c r="F42931" s="39"/>
    </row>
    <row r="42932">
      <c r="D42932" s="39"/>
      <c r="E42932" s="39"/>
      <c r="F42932" s="39"/>
    </row>
    <row r="42933">
      <c r="D42933" s="39"/>
      <c r="E42933" s="39"/>
      <c r="F42933" s="39"/>
    </row>
    <row r="42934">
      <c r="D42934" s="39"/>
      <c r="E42934" s="39"/>
      <c r="F42934" s="39"/>
    </row>
    <row r="42935">
      <c r="D42935" s="39"/>
      <c r="E42935" s="39"/>
      <c r="F42935" s="39"/>
    </row>
    <row r="42936">
      <c r="D42936" s="39"/>
      <c r="E42936" s="39"/>
      <c r="F42936" s="39"/>
    </row>
    <row r="42937">
      <c r="D42937" s="39"/>
      <c r="E42937" s="39"/>
      <c r="F42937" s="39"/>
    </row>
    <row r="42938">
      <c r="D42938" s="39"/>
      <c r="E42938" s="39"/>
      <c r="F42938" s="39"/>
    </row>
    <row r="42939">
      <c r="D42939" s="39"/>
      <c r="E42939" s="39"/>
      <c r="F42939" s="39"/>
    </row>
    <row r="42940">
      <c r="D42940" s="39"/>
      <c r="E42940" s="39"/>
      <c r="F42940" s="39"/>
    </row>
    <row r="42941">
      <c r="D42941" s="39"/>
      <c r="E42941" s="39"/>
      <c r="F42941" s="39"/>
    </row>
    <row r="42942">
      <c r="D42942" s="39"/>
      <c r="E42942" s="39"/>
      <c r="F42942" s="39"/>
    </row>
    <row r="42943">
      <c r="D42943" s="39"/>
      <c r="E42943" s="39"/>
      <c r="F42943" s="39"/>
    </row>
    <row r="42944">
      <c r="D42944" s="39"/>
      <c r="E42944" s="39"/>
      <c r="F42944" s="39"/>
    </row>
    <row r="42945">
      <c r="D42945" s="39"/>
      <c r="E42945" s="39"/>
      <c r="F42945" s="39"/>
    </row>
    <row r="42946">
      <c r="D42946" s="39"/>
      <c r="E42946" s="39"/>
      <c r="F42946" s="39"/>
    </row>
    <row r="42947">
      <c r="D42947" s="39"/>
      <c r="E42947" s="39"/>
      <c r="F42947" s="39"/>
    </row>
    <row r="42948">
      <c r="D42948" s="39"/>
      <c r="E42948" s="39"/>
      <c r="F42948" s="39"/>
    </row>
    <row r="42949">
      <c r="D42949" s="39"/>
      <c r="E42949" s="39"/>
      <c r="F42949" s="39"/>
    </row>
    <row r="42950">
      <c r="D42950" s="39"/>
      <c r="E42950" s="39"/>
      <c r="F42950" s="39"/>
    </row>
    <row r="42951">
      <c r="D42951" s="39"/>
      <c r="E42951" s="39"/>
      <c r="F42951" s="39"/>
    </row>
    <row r="42952">
      <c r="D42952" s="39"/>
      <c r="E42952" s="39"/>
      <c r="F42952" s="39"/>
    </row>
    <row r="42953">
      <c r="D42953" s="39"/>
      <c r="E42953" s="39"/>
      <c r="F42953" s="39"/>
    </row>
    <row r="42954">
      <c r="D42954" s="39"/>
      <c r="E42954" s="39"/>
      <c r="F42954" s="39"/>
    </row>
    <row r="42955">
      <c r="D42955" s="39"/>
      <c r="E42955" s="39"/>
      <c r="F42955" s="39"/>
    </row>
    <row r="42956">
      <c r="D42956" s="39"/>
      <c r="E42956" s="39"/>
      <c r="F42956" s="39"/>
    </row>
    <row r="42957">
      <c r="D42957" s="39"/>
      <c r="E42957" s="39"/>
      <c r="F42957" s="39"/>
    </row>
    <row r="42958">
      <c r="D42958" s="39"/>
      <c r="E42958" s="39"/>
      <c r="F42958" s="39"/>
    </row>
    <row r="42959">
      <c r="D42959" s="39"/>
      <c r="E42959" s="39"/>
      <c r="F42959" s="39"/>
    </row>
    <row r="42960">
      <c r="D42960" s="39"/>
      <c r="E42960" s="39"/>
      <c r="F42960" s="39"/>
    </row>
    <row r="42961">
      <c r="D42961" s="39"/>
      <c r="E42961" s="39"/>
      <c r="F42961" s="39"/>
    </row>
    <row r="42962">
      <c r="D42962" s="39"/>
      <c r="E42962" s="39"/>
      <c r="F42962" s="39"/>
    </row>
    <row r="42963">
      <c r="D42963" s="39"/>
      <c r="E42963" s="39"/>
      <c r="F42963" s="39"/>
    </row>
    <row r="42964">
      <c r="D42964" s="39"/>
      <c r="E42964" s="39"/>
      <c r="F42964" s="39"/>
    </row>
    <row r="42965">
      <c r="D42965" s="39"/>
      <c r="E42965" s="39"/>
      <c r="F42965" s="39"/>
    </row>
    <row r="42966">
      <c r="D42966" s="39"/>
      <c r="E42966" s="39"/>
      <c r="F42966" s="39"/>
    </row>
    <row r="42967">
      <c r="D42967" s="39"/>
      <c r="E42967" s="39"/>
      <c r="F42967" s="39"/>
    </row>
    <row r="42968">
      <c r="D42968" s="39"/>
      <c r="E42968" s="39"/>
      <c r="F42968" s="39"/>
    </row>
    <row r="42969">
      <c r="D42969" s="39"/>
      <c r="E42969" s="39"/>
      <c r="F42969" s="39"/>
    </row>
    <row r="42970">
      <c r="D42970" s="39"/>
      <c r="E42970" s="39"/>
      <c r="F42970" s="39"/>
    </row>
    <row r="42971">
      <c r="D42971" s="39"/>
      <c r="E42971" s="39"/>
      <c r="F42971" s="39"/>
    </row>
    <row r="42972">
      <c r="D42972" s="39"/>
      <c r="E42972" s="39"/>
      <c r="F42972" s="39"/>
    </row>
    <row r="42973">
      <c r="D42973" s="39"/>
      <c r="E42973" s="39"/>
      <c r="F42973" s="39"/>
    </row>
    <row r="42974">
      <c r="D42974" s="39"/>
      <c r="E42974" s="39"/>
      <c r="F42974" s="39"/>
    </row>
    <row r="42975">
      <c r="D42975" s="39"/>
      <c r="E42975" s="39"/>
      <c r="F42975" s="39"/>
    </row>
    <row r="42976">
      <c r="D42976" s="39"/>
      <c r="E42976" s="39"/>
      <c r="F42976" s="39"/>
    </row>
    <row r="42977">
      <c r="D42977" s="39"/>
      <c r="E42977" s="39"/>
      <c r="F42977" s="39"/>
    </row>
    <row r="42978">
      <c r="D42978" s="39"/>
      <c r="E42978" s="39"/>
      <c r="F42978" s="39"/>
    </row>
    <row r="42979">
      <c r="D42979" s="39"/>
      <c r="E42979" s="39"/>
      <c r="F42979" s="39"/>
    </row>
    <row r="42980">
      <c r="D42980" s="39"/>
      <c r="E42980" s="39"/>
      <c r="F42980" s="39"/>
    </row>
    <row r="42981">
      <c r="D42981" s="39"/>
      <c r="E42981" s="39"/>
      <c r="F42981" s="39"/>
    </row>
    <row r="42982">
      <c r="D42982" s="39"/>
      <c r="E42982" s="39"/>
      <c r="F42982" s="39"/>
    </row>
    <row r="42983">
      <c r="D42983" s="39"/>
      <c r="E42983" s="39"/>
      <c r="F42983" s="39"/>
    </row>
    <row r="42984">
      <c r="D42984" s="39"/>
      <c r="E42984" s="39"/>
      <c r="F42984" s="39"/>
    </row>
    <row r="42985">
      <c r="D42985" s="39"/>
      <c r="E42985" s="39"/>
      <c r="F42985" s="39"/>
    </row>
    <row r="42986">
      <c r="D42986" s="39"/>
      <c r="E42986" s="39"/>
      <c r="F42986" s="39"/>
    </row>
    <row r="42987">
      <c r="D42987" s="39"/>
      <c r="E42987" s="39"/>
      <c r="F42987" s="39"/>
    </row>
    <row r="42988">
      <c r="D42988" s="39"/>
      <c r="E42988" s="39"/>
      <c r="F42988" s="39"/>
    </row>
    <row r="42989">
      <c r="D42989" s="39"/>
      <c r="E42989" s="39"/>
      <c r="F42989" s="39"/>
    </row>
    <row r="42990">
      <c r="D42990" s="39"/>
      <c r="E42990" s="39"/>
      <c r="F42990" s="39"/>
    </row>
    <row r="42991">
      <c r="D42991" s="39"/>
      <c r="E42991" s="39"/>
      <c r="F42991" s="39"/>
    </row>
    <row r="42992">
      <c r="D42992" s="39"/>
      <c r="E42992" s="39"/>
      <c r="F42992" s="39"/>
    </row>
    <row r="42993">
      <c r="D42993" s="39"/>
      <c r="E42993" s="39"/>
      <c r="F42993" s="39"/>
    </row>
    <row r="42994">
      <c r="D42994" s="39"/>
      <c r="E42994" s="39"/>
      <c r="F42994" s="39"/>
    </row>
    <row r="42995">
      <c r="D42995" s="39"/>
      <c r="E42995" s="39"/>
      <c r="F42995" s="39"/>
    </row>
    <row r="42996">
      <c r="D42996" s="39"/>
      <c r="E42996" s="39"/>
      <c r="F42996" s="39"/>
    </row>
    <row r="42997">
      <c r="D42997" s="39"/>
      <c r="E42997" s="39"/>
      <c r="F42997" s="39"/>
    </row>
    <row r="42998">
      <c r="D42998" s="39"/>
      <c r="E42998" s="39"/>
      <c r="F42998" s="39"/>
    </row>
    <row r="42999">
      <c r="D42999" s="39"/>
      <c r="E42999" s="39"/>
      <c r="F42999" s="39"/>
    </row>
    <row r="43000">
      <c r="D43000" s="39"/>
      <c r="E43000" s="39"/>
      <c r="F43000" s="39"/>
    </row>
    <row r="43001">
      <c r="D43001" s="39"/>
      <c r="E43001" s="39"/>
      <c r="F43001" s="39"/>
    </row>
    <row r="43002">
      <c r="D43002" s="39"/>
      <c r="E43002" s="39"/>
      <c r="F43002" s="39"/>
    </row>
    <row r="43003">
      <c r="D43003" s="39"/>
      <c r="E43003" s="39"/>
      <c r="F43003" s="39"/>
    </row>
    <row r="43004">
      <c r="D43004" s="39"/>
      <c r="E43004" s="39"/>
      <c r="F43004" s="39"/>
    </row>
    <row r="43005">
      <c r="D43005" s="39"/>
      <c r="E43005" s="39"/>
      <c r="F43005" s="39"/>
    </row>
    <row r="43006">
      <c r="D43006" s="39"/>
      <c r="E43006" s="39"/>
      <c r="F43006" s="39"/>
    </row>
    <row r="43007">
      <c r="D43007" s="39"/>
      <c r="E43007" s="39"/>
      <c r="F43007" s="39"/>
    </row>
    <row r="43008">
      <c r="D43008" s="39"/>
      <c r="E43008" s="39"/>
      <c r="F43008" s="39"/>
    </row>
    <row r="43009">
      <c r="D43009" s="39"/>
      <c r="E43009" s="39"/>
      <c r="F43009" s="39"/>
    </row>
    <row r="43010">
      <c r="D43010" s="39"/>
      <c r="E43010" s="39"/>
      <c r="F43010" s="39"/>
    </row>
    <row r="43011">
      <c r="D43011" s="39"/>
      <c r="E43011" s="39"/>
      <c r="F43011" s="39"/>
    </row>
    <row r="43012">
      <c r="D43012" s="39"/>
      <c r="E43012" s="39"/>
      <c r="F43012" s="39"/>
    </row>
    <row r="43013">
      <c r="D43013" s="39"/>
      <c r="E43013" s="39"/>
      <c r="F43013" s="39"/>
    </row>
    <row r="43014">
      <c r="D43014" s="39"/>
      <c r="E43014" s="39"/>
      <c r="F43014" s="39"/>
    </row>
    <row r="43015">
      <c r="D43015" s="39"/>
      <c r="E43015" s="39"/>
      <c r="F43015" s="39"/>
    </row>
    <row r="43016">
      <c r="D43016" s="39"/>
      <c r="E43016" s="39"/>
      <c r="F43016" s="39"/>
    </row>
    <row r="43017">
      <c r="D43017" s="39"/>
      <c r="E43017" s="39"/>
      <c r="F43017" s="39"/>
    </row>
    <row r="43018">
      <c r="D43018" s="39"/>
      <c r="E43018" s="39"/>
      <c r="F43018" s="39"/>
    </row>
    <row r="43019">
      <c r="D43019" s="39"/>
      <c r="E43019" s="39"/>
      <c r="F43019" s="39"/>
    </row>
    <row r="43020">
      <c r="D43020" s="39"/>
      <c r="E43020" s="39"/>
      <c r="F43020" s="39"/>
    </row>
    <row r="43021">
      <c r="D43021" s="39"/>
      <c r="E43021" s="39"/>
      <c r="F43021" s="39"/>
    </row>
    <row r="43022">
      <c r="D43022" s="39"/>
      <c r="E43022" s="39"/>
      <c r="F43022" s="39"/>
    </row>
    <row r="43023">
      <c r="D43023" s="39"/>
      <c r="E43023" s="39"/>
      <c r="F43023" s="39"/>
    </row>
    <row r="43024">
      <c r="D43024" s="39"/>
      <c r="E43024" s="39"/>
      <c r="F43024" s="39"/>
    </row>
    <row r="43025">
      <c r="D43025" s="39"/>
      <c r="E43025" s="39"/>
      <c r="F43025" s="39"/>
    </row>
    <row r="43026">
      <c r="D43026" s="39"/>
      <c r="E43026" s="39"/>
      <c r="F43026" s="39"/>
    </row>
    <row r="43027">
      <c r="D43027" s="39"/>
      <c r="E43027" s="39"/>
      <c r="F43027" s="39"/>
    </row>
    <row r="43028">
      <c r="D43028" s="39"/>
      <c r="E43028" s="39"/>
      <c r="F43028" s="39"/>
    </row>
    <row r="43029">
      <c r="D43029" s="39"/>
      <c r="E43029" s="39"/>
      <c r="F43029" s="39"/>
    </row>
    <row r="43030">
      <c r="D43030" s="39"/>
      <c r="E43030" s="39"/>
      <c r="F43030" s="39"/>
    </row>
    <row r="43031">
      <c r="D43031" s="39"/>
      <c r="E43031" s="39"/>
      <c r="F43031" s="39"/>
    </row>
    <row r="43032">
      <c r="D43032" s="39"/>
      <c r="E43032" s="39"/>
      <c r="F43032" s="39"/>
    </row>
    <row r="43033">
      <c r="D43033" s="39"/>
      <c r="E43033" s="39"/>
      <c r="F43033" s="39"/>
    </row>
    <row r="43034">
      <c r="D43034" s="39"/>
      <c r="E43034" s="39"/>
      <c r="F43034" s="39"/>
    </row>
    <row r="43035">
      <c r="D43035" s="39"/>
      <c r="E43035" s="39"/>
      <c r="F43035" s="39"/>
    </row>
    <row r="43036">
      <c r="D43036" s="39"/>
      <c r="E43036" s="39"/>
      <c r="F43036" s="39"/>
    </row>
    <row r="43037">
      <c r="D43037" s="39"/>
      <c r="E43037" s="39"/>
      <c r="F43037" s="39"/>
    </row>
    <row r="43038">
      <c r="D43038" s="39"/>
      <c r="E43038" s="39"/>
      <c r="F43038" s="39"/>
    </row>
    <row r="43039">
      <c r="D43039" s="39"/>
      <c r="E43039" s="39"/>
      <c r="F43039" s="39"/>
    </row>
    <row r="43040">
      <c r="D43040" s="39"/>
      <c r="E43040" s="39"/>
      <c r="F43040" s="39"/>
    </row>
    <row r="43041">
      <c r="D43041" s="39"/>
      <c r="E43041" s="39"/>
      <c r="F43041" s="39"/>
    </row>
    <row r="43042">
      <c r="D43042" s="39"/>
      <c r="E43042" s="39"/>
      <c r="F43042" s="39"/>
    </row>
    <row r="43043">
      <c r="D43043" s="39"/>
      <c r="E43043" s="39"/>
      <c r="F43043" s="39"/>
    </row>
    <row r="43044">
      <c r="D43044" s="39"/>
      <c r="E43044" s="39"/>
      <c r="F43044" s="39"/>
    </row>
    <row r="43045">
      <c r="D43045" s="39"/>
      <c r="E43045" s="39"/>
      <c r="F43045" s="39"/>
    </row>
    <row r="43046">
      <c r="D43046" s="39"/>
      <c r="E43046" s="39"/>
      <c r="F43046" s="39"/>
    </row>
    <row r="43047">
      <c r="D43047" s="39"/>
      <c r="E43047" s="39"/>
      <c r="F43047" s="39"/>
    </row>
    <row r="43048">
      <c r="D43048" s="39"/>
      <c r="E43048" s="39"/>
      <c r="F43048" s="39"/>
    </row>
    <row r="43049">
      <c r="D43049" s="39"/>
      <c r="E43049" s="39"/>
      <c r="F43049" s="39"/>
    </row>
    <row r="43050">
      <c r="D43050" s="39"/>
      <c r="E43050" s="39"/>
      <c r="F43050" s="39"/>
    </row>
    <row r="43051">
      <c r="D43051" s="39"/>
      <c r="E43051" s="39"/>
      <c r="F43051" s="39"/>
    </row>
    <row r="43052">
      <c r="D43052" s="39"/>
      <c r="E43052" s="39"/>
      <c r="F43052" s="39"/>
    </row>
    <row r="43053">
      <c r="D43053" s="39"/>
      <c r="E43053" s="39"/>
      <c r="F43053" s="39"/>
    </row>
    <row r="43054">
      <c r="D43054" s="39"/>
      <c r="E43054" s="39"/>
      <c r="F43054" s="39"/>
    </row>
    <row r="43055">
      <c r="D43055" s="39"/>
      <c r="E43055" s="39"/>
      <c r="F43055" s="39"/>
    </row>
    <row r="43056">
      <c r="D43056" s="39"/>
      <c r="E43056" s="39"/>
      <c r="F43056" s="39"/>
    </row>
    <row r="43057">
      <c r="D43057" s="39"/>
      <c r="E43057" s="39"/>
      <c r="F43057" s="39"/>
    </row>
    <row r="43058">
      <c r="D43058" s="39"/>
      <c r="E43058" s="39"/>
      <c r="F43058" s="39"/>
    </row>
    <row r="43059">
      <c r="D43059" s="39"/>
      <c r="E43059" s="39"/>
      <c r="F43059" s="39"/>
    </row>
    <row r="43060">
      <c r="D43060" s="39"/>
      <c r="E43060" s="39"/>
      <c r="F43060" s="39"/>
    </row>
    <row r="43061">
      <c r="D43061" s="39"/>
      <c r="E43061" s="39"/>
      <c r="F43061" s="39"/>
    </row>
    <row r="43062">
      <c r="D43062" s="39"/>
      <c r="E43062" s="39"/>
      <c r="F43062" s="39"/>
    </row>
    <row r="43063">
      <c r="D43063" s="39"/>
      <c r="E43063" s="39"/>
      <c r="F43063" s="39"/>
    </row>
    <row r="43064">
      <c r="D43064" s="39"/>
      <c r="E43064" s="39"/>
      <c r="F43064" s="39"/>
    </row>
    <row r="43065">
      <c r="D43065" s="39"/>
      <c r="E43065" s="39"/>
      <c r="F43065" s="39"/>
    </row>
    <row r="43066">
      <c r="D43066" s="39"/>
      <c r="E43066" s="39"/>
      <c r="F43066" s="39"/>
    </row>
    <row r="43067">
      <c r="D43067" s="39"/>
      <c r="E43067" s="39"/>
      <c r="F43067" s="39"/>
    </row>
    <row r="43068">
      <c r="D43068" s="39"/>
      <c r="E43068" s="39"/>
      <c r="F43068" s="39"/>
    </row>
    <row r="43069">
      <c r="D43069" s="39"/>
      <c r="E43069" s="39"/>
      <c r="F43069" s="39"/>
    </row>
    <row r="43070">
      <c r="D43070" s="39"/>
      <c r="E43070" s="39"/>
      <c r="F43070" s="39"/>
    </row>
    <row r="43071">
      <c r="D43071" s="39"/>
      <c r="E43071" s="39"/>
      <c r="F43071" s="39"/>
    </row>
    <row r="43072">
      <c r="D43072" s="39"/>
      <c r="E43072" s="39"/>
      <c r="F43072" s="39"/>
    </row>
    <row r="43073">
      <c r="D43073" s="39"/>
      <c r="E43073" s="39"/>
      <c r="F43073" s="39"/>
    </row>
    <row r="43074">
      <c r="D43074" s="39"/>
      <c r="E43074" s="39"/>
      <c r="F43074" s="39"/>
    </row>
    <row r="43075">
      <c r="D43075" s="39"/>
      <c r="E43075" s="39"/>
      <c r="F43075" s="39"/>
    </row>
    <row r="43076">
      <c r="D43076" s="39"/>
      <c r="E43076" s="39"/>
      <c r="F43076" s="39"/>
    </row>
    <row r="43077">
      <c r="D43077" s="39"/>
      <c r="E43077" s="39"/>
      <c r="F43077" s="39"/>
    </row>
    <row r="43078">
      <c r="D43078" s="39"/>
      <c r="E43078" s="39"/>
      <c r="F43078" s="39"/>
    </row>
    <row r="43079">
      <c r="D43079" s="39"/>
      <c r="E43079" s="39"/>
      <c r="F43079" s="39"/>
    </row>
    <row r="43080">
      <c r="D43080" s="39"/>
      <c r="E43080" s="39"/>
      <c r="F43080" s="39"/>
    </row>
    <row r="43081">
      <c r="D43081" s="39"/>
      <c r="E43081" s="39"/>
      <c r="F43081" s="39"/>
    </row>
    <row r="43082">
      <c r="D43082" s="39"/>
      <c r="E43082" s="39"/>
      <c r="F43082" s="39"/>
    </row>
    <row r="43083">
      <c r="D43083" s="39"/>
      <c r="E43083" s="39"/>
      <c r="F43083" s="39"/>
    </row>
    <row r="43084">
      <c r="D43084" s="39"/>
      <c r="E43084" s="39"/>
      <c r="F43084" s="39"/>
    </row>
    <row r="43085">
      <c r="D43085" s="39"/>
      <c r="E43085" s="39"/>
      <c r="F43085" s="39"/>
    </row>
    <row r="43086">
      <c r="D43086" s="39"/>
      <c r="E43086" s="39"/>
      <c r="F43086" s="39"/>
    </row>
    <row r="43087">
      <c r="D43087" s="39"/>
      <c r="E43087" s="39"/>
      <c r="F43087" s="39"/>
    </row>
    <row r="43088">
      <c r="D43088" s="39"/>
      <c r="E43088" s="39"/>
      <c r="F43088" s="39"/>
    </row>
    <row r="43089">
      <c r="D43089" s="39"/>
      <c r="E43089" s="39"/>
      <c r="F43089" s="39"/>
    </row>
    <row r="43090">
      <c r="D43090" s="39"/>
      <c r="E43090" s="39"/>
      <c r="F43090" s="39"/>
    </row>
    <row r="43091">
      <c r="D43091" s="39"/>
      <c r="E43091" s="39"/>
      <c r="F43091" s="39"/>
    </row>
    <row r="43092">
      <c r="D43092" s="39"/>
      <c r="E43092" s="39"/>
      <c r="F43092" s="39"/>
    </row>
    <row r="43093">
      <c r="D43093" s="39"/>
      <c r="E43093" s="39"/>
      <c r="F43093" s="39"/>
    </row>
    <row r="43094">
      <c r="D43094" s="39"/>
      <c r="E43094" s="39"/>
      <c r="F43094" s="39"/>
    </row>
    <row r="43095">
      <c r="D43095" s="39"/>
      <c r="E43095" s="39"/>
      <c r="F43095" s="39"/>
    </row>
    <row r="43096">
      <c r="D43096" s="39"/>
      <c r="E43096" s="39"/>
      <c r="F43096" s="39"/>
    </row>
    <row r="43097">
      <c r="D43097" s="39"/>
      <c r="E43097" s="39"/>
      <c r="F43097" s="39"/>
    </row>
    <row r="43098">
      <c r="D43098" s="39"/>
      <c r="E43098" s="39"/>
      <c r="F43098" s="39"/>
    </row>
    <row r="43099">
      <c r="D43099" s="39"/>
      <c r="E43099" s="39"/>
      <c r="F43099" s="39"/>
    </row>
    <row r="43100">
      <c r="D43100" s="39"/>
      <c r="E43100" s="39"/>
      <c r="F43100" s="39"/>
    </row>
    <row r="43101">
      <c r="D43101" s="39"/>
      <c r="E43101" s="39"/>
      <c r="F43101" s="39"/>
    </row>
    <row r="43102">
      <c r="D43102" s="39"/>
      <c r="E43102" s="39"/>
      <c r="F43102" s="39"/>
    </row>
    <row r="43103">
      <c r="D43103" s="39"/>
      <c r="E43103" s="39"/>
      <c r="F43103" s="39"/>
    </row>
    <row r="43104">
      <c r="D43104" s="39"/>
      <c r="E43104" s="39"/>
      <c r="F43104" s="39"/>
    </row>
    <row r="43105">
      <c r="D43105" s="39"/>
      <c r="E43105" s="39"/>
      <c r="F43105" s="39"/>
    </row>
    <row r="43106">
      <c r="D43106" s="39"/>
      <c r="E43106" s="39"/>
      <c r="F43106" s="39"/>
    </row>
    <row r="43107">
      <c r="D43107" s="39"/>
      <c r="E43107" s="39"/>
      <c r="F43107" s="39"/>
    </row>
    <row r="43108">
      <c r="D43108" s="39"/>
      <c r="E43108" s="39"/>
      <c r="F43108" s="39"/>
    </row>
    <row r="43109">
      <c r="D43109" s="39"/>
      <c r="E43109" s="39"/>
      <c r="F43109" s="39"/>
    </row>
    <row r="43110">
      <c r="D43110" s="39"/>
      <c r="E43110" s="39"/>
      <c r="F43110" s="39"/>
    </row>
    <row r="43111">
      <c r="D43111" s="39"/>
      <c r="E43111" s="39"/>
      <c r="F43111" s="39"/>
    </row>
    <row r="43112">
      <c r="D43112" s="39"/>
      <c r="E43112" s="39"/>
      <c r="F43112" s="39"/>
    </row>
    <row r="43113">
      <c r="D43113" s="39"/>
      <c r="E43113" s="39"/>
      <c r="F43113" s="39"/>
    </row>
    <row r="43114">
      <c r="D43114" s="39"/>
      <c r="E43114" s="39"/>
      <c r="F43114" s="39"/>
    </row>
    <row r="43115">
      <c r="D43115" s="39"/>
      <c r="E43115" s="39"/>
      <c r="F43115" s="39"/>
    </row>
    <row r="43116">
      <c r="D43116" s="39"/>
      <c r="E43116" s="39"/>
      <c r="F43116" s="39"/>
    </row>
    <row r="43117">
      <c r="D43117" s="39"/>
      <c r="E43117" s="39"/>
      <c r="F43117" s="39"/>
    </row>
    <row r="43118">
      <c r="D43118" s="39"/>
      <c r="E43118" s="39"/>
      <c r="F43118" s="39"/>
    </row>
    <row r="43119">
      <c r="D43119" s="39"/>
      <c r="E43119" s="39"/>
      <c r="F43119" s="39"/>
    </row>
    <row r="43120">
      <c r="D43120" s="39"/>
      <c r="E43120" s="39"/>
      <c r="F43120" s="39"/>
    </row>
    <row r="43121">
      <c r="D43121" s="39"/>
      <c r="E43121" s="39"/>
      <c r="F43121" s="39"/>
    </row>
    <row r="43122">
      <c r="D43122" s="39"/>
      <c r="E43122" s="39"/>
      <c r="F43122" s="39"/>
    </row>
    <row r="43123">
      <c r="D43123" s="39"/>
      <c r="E43123" s="39"/>
      <c r="F43123" s="39"/>
    </row>
    <row r="43124">
      <c r="D43124" s="39"/>
      <c r="E43124" s="39"/>
      <c r="F43124" s="39"/>
    </row>
    <row r="43125">
      <c r="D43125" s="39"/>
      <c r="E43125" s="39"/>
      <c r="F43125" s="39"/>
    </row>
    <row r="43126">
      <c r="D43126" s="39"/>
      <c r="E43126" s="39"/>
      <c r="F43126" s="39"/>
    </row>
    <row r="43127">
      <c r="D43127" s="39"/>
      <c r="E43127" s="39"/>
      <c r="F43127" s="39"/>
    </row>
    <row r="43128">
      <c r="D43128" s="39"/>
      <c r="E43128" s="39"/>
      <c r="F43128" s="39"/>
    </row>
    <row r="43129">
      <c r="D43129" s="39"/>
      <c r="E43129" s="39"/>
      <c r="F43129" s="39"/>
    </row>
    <row r="43130">
      <c r="D43130" s="39"/>
      <c r="E43130" s="39"/>
      <c r="F43130" s="39"/>
    </row>
    <row r="43131">
      <c r="D43131" s="39"/>
      <c r="E43131" s="39"/>
      <c r="F43131" s="39"/>
    </row>
    <row r="43132">
      <c r="D43132" s="39"/>
      <c r="E43132" s="39"/>
      <c r="F43132" s="39"/>
    </row>
    <row r="43133">
      <c r="D43133" s="39"/>
      <c r="E43133" s="39"/>
      <c r="F43133" s="39"/>
    </row>
    <row r="43134">
      <c r="D43134" s="39"/>
      <c r="E43134" s="39"/>
      <c r="F43134" s="39"/>
    </row>
    <row r="43135">
      <c r="D43135" s="39"/>
      <c r="E43135" s="39"/>
      <c r="F43135" s="39"/>
    </row>
    <row r="43136">
      <c r="D43136" s="39"/>
      <c r="E43136" s="39"/>
      <c r="F43136" s="39"/>
    </row>
    <row r="43137">
      <c r="D43137" s="39"/>
      <c r="E43137" s="39"/>
      <c r="F43137" s="39"/>
    </row>
    <row r="43138">
      <c r="D43138" s="39"/>
      <c r="E43138" s="39"/>
      <c r="F43138" s="39"/>
    </row>
    <row r="43139">
      <c r="D43139" s="39"/>
      <c r="E43139" s="39"/>
      <c r="F43139" s="39"/>
    </row>
    <row r="43140">
      <c r="D43140" s="39"/>
      <c r="E43140" s="39"/>
      <c r="F43140" s="39"/>
    </row>
    <row r="43141">
      <c r="D43141" s="39"/>
      <c r="E43141" s="39"/>
      <c r="F43141" s="39"/>
    </row>
    <row r="43142">
      <c r="D43142" s="39"/>
      <c r="E43142" s="39"/>
      <c r="F43142" s="39"/>
    </row>
    <row r="43143">
      <c r="D43143" s="39"/>
      <c r="E43143" s="39"/>
      <c r="F43143" s="39"/>
    </row>
    <row r="43144">
      <c r="D43144" s="39"/>
      <c r="E43144" s="39"/>
      <c r="F43144" s="39"/>
    </row>
    <row r="43145">
      <c r="D43145" s="39"/>
      <c r="E43145" s="39"/>
      <c r="F43145" s="39"/>
    </row>
    <row r="43146">
      <c r="D43146" s="39"/>
      <c r="E43146" s="39"/>
      <c r="F43146" s="39"/>
    </row>
    <row r="43147">
      <c r="D43147" s="39"/>
      <c r="E43147" s="39"/>
      <c r="F43147" s="39"/>
    </row>
    <row r="43148">
      <c r="D43148" s="39"/>
      <c r="E43148" s="39"/>
      <c r="F43148" s="39"/>
    </row>
    <row r="43149">
      <c r="D43149" s="39"/>
      <c r="E43149" s="39"/>
      <c r="F43149" s="39"/>
    </row>
    <row r="43150">
      <c r="D43150" s="39"/>
      <c r="E43150" s="39"/>
      <c r="F43150" s="39"/>
    </row>
    <row r="43151">
      <c r="D43151" s="39"/>
      <c r="E43151" s="39"/>
      <c r="F43151" s="39"/>
    </row>
    <row r="43152">
      <c r="D43152" s="39"/>
      <c r="E43152" s="39"/>
      <c r="F43152" s="39"/>
    </row>
    <row r="43153">
      <c r="D43153" s="39"/>
      <c r="E43153" s="39"/>
      <c r="F43153" s="39"/>
    </row>
    <row r="43154">
      <c r="D43154" s="39"/>
      <c r="E43154" s="39"/>
      <c r="F43154" s="39"/>
    </row>
    <row r="43155">
      <c r="D43155" s="39"/>
      <c r="E43155" s="39"/>
      <c r="F43155" s="39"/>
    </row>
    <row r="43156">
      <c r="D43156" s="39"/>
      <c r="E43156" s="39"/>
      <c r="F43156" s="39"/>
    </row>
    <row r="43157">
      <c r="D43157" s="39"/>
      <c r="E43157" s="39"/>
      <c r="F43157" s="39"/>
    </row>
    <row r="43158">
      <c r="D43158" s="39"/>
      <c r="E43158" s="39"/>
      <c r="F43158" s="39"/>
    </row>
    <row r="43159">
      <c r="D43159" s="39"/>
      <c r="E43159" s="39"/>
      <c r="F43159" s="39"/>
    </row>
    <row r="43160">
      <c r="D43160" s="39"/>
      <c r="E43160" s="39"/>
      <c r="F43160" s="39"/>
    </row>
    <row r="43161">
      <c r="D43161" s="39"/>
      <c r="E43161" s="39"/>
      <c r="F43161" s="39"/>
    </row>
    <row r="43162">
      <c r="D43162" s="39"/>
      <c r="E43162" s="39"/>
      <c r="F43162" s="39"/>
    </row>
    <row r="43163">
      <c r="D43163" s="39"/>
      <c r="E43163" s="39"/>
      <c r="F43163" s="39"/>
    </row>
    <row r="43164">
      <c r="D43164" s="39"/>
      <c r="E43164" s="39"/>
      <c r="F43164" s="39"/>
    </row>
    <row r="43165">
      <c r="D43165" s="39"/>
      <c r="E43165" s="39"/>
      <c r="F43165" s="39"/>
    </row>
    <row r="43166">
      <c r="D43166" s="39"/>
      <c r="E43166" s="39"/>
      <c r="F43166" s="39"/>
    </row>
    <row r="43167">
      <c r="D43167" s="39"/>
      <c r="E43167" s="39"/>
      <c r="F43167" s="39"/>
    </row>
    <row r="43168">
      <c r="D43168" s="39"/>
      <c r="E43168" s="39"/>
      <c r="F43168" s="39"/>
    </row>
    <row r="43169">
      <c r="D43169" s="39"/>
      <c r="E43169" s="39"/>
      <c r="F43169" s="39"/>
    </row>
    <row r="43170">
      <c r="D43170" s="39"/>
      <c r="E43170" s="39"/>
      <c r="F43170" s="39"/>
    </row>
    <row r="43171">
      <c r="D43171" s="39"/>
      <c r="E43171" s="39"/>
      <c r="F43171" s="39"/>
    </row>
    <row r="43172">
      <c r="D43172" s="39"/>
      <c r="E43172" s="39"/>
      <c r="F43172" s="39"/>
    </row>
    <row r="43173">
      <c r="D43173" s="39"/>
      <c r="E43173" s="39"/>
      <c r="F43173" s="39"/>
    </row>
    <row r="43174">
      <c r="D43174" s="39"/>
      <c r="E43174" s="39"/>
      <c r="F43174" s="39"/>
    </row>
    <row r="43175">
      <c r="D43175" s="39"/>
      <c r="E43175" s="39"/>
      <c r="F43175" s="39"/>
    </row>
    <row r="43176">
      <c r="D43176" s="39"/>
      <c r="E43176" s="39"/>
      <c r="F43176" s="39"/>
    </row>
    <row r="43177">
      <c r="D43177" s="39"/>
      <c r="E43177" s="39"/>
      <c r="F43177" s="39"/>
    </row>
    <row r="43178">
      <c r="D43178" s="39"/>
      <c r="E43178" s="39"/>
      <c r="F43178" s="39"/>
    </row>
    <row r="43179">
      <c r="D43179" s="39"/>
      <c r="E43179" s="39"/>
      <c r="F43179" s="39"/>
    </row>
    <row r="43180">
      <c r="D43180" s="39"/>
      <c r="E43180" s="39"/>
      <c r="F43180" s="39"/>
    </row>
    <row r="43181">
      <c r="D43181" s="39"/>
      <c r="E43181" s="39"/>
      <c r="F43181" s="39"/>
    </row>
    <row r="43182">
      <c r="D43182" s="39"/>
      <c r="E43182" s="39"/>
      <c r="F43182" s="39"/>
    </row>
    <row r="43183">
      <c r="D43183" s="39"/>
      <c r="E43183" s="39"/>
      <c r="F43183" s="39"/>
    </row>
    <row r="43184">
      <c r="D43184" s="39"/>
      <c r="E43184" s="39"/>
      <c r="F43184" s="39"/>
    </row>
    <row r="43185">
      <c r="D43185" s="39"/>
      <c r="E43185" s="39"/>
      <c r="F43185" s="39"/>
    </row>
    <row r="43186">
      <c r="D43186" s="39"/>
      <c r="E43186" s="39"/>
      <c r="F43186" s="39"/>
    </row>
    <row r="43187">
      <c r="D43187" s="39"/>
      <c r="E43187" s="39"/>
      <c r="F43187" s="39"/>
    </row>
    <row r="43188">
      <c r="D43188" s="39"/>
      <c r="E43188" s="39"/>
      <c r="F43188" s="39"/>
    </row>
    <row r="43189">
      <c r="D43189" s="39"/>
      <c r="E43189" s="39"/>
      <c r="F43189" s="39"/>
    </row>
    <row r="43190">
      <c r="D43190" s="39"/>
      <c r="E43190" s="39"/>
      <c r="F43190" s="39"/>
    </row>
    <row r="43191">
      <c r="D43191" s="39"/>
      <c r="E43191" s="39"/>
      <c r="F43191" s="39"/>
    </row>
    <row r="43192">
      <c r="D43192" s="39"/>
      <c r="E43192" s="39"/>
      <c r="F43192" s="39"/>
    </row>
    <row r="43193">
      <c r="D43193" s="39"/>
      <c r="E43193" s="39"/>
      <c r="F43193" s="39"/>
    </row>
    <row r="43194">
      <c r="D43194" s="39"/>
      <c r="E43194" s="39"/>
      <c r="F43194" s="39"/>
    </row>
    <row r="43195">
      <c r="D43195" s="39"/>
      <c r="E43195" s="39"/>
      <c r="F43195" s="39"/>
    </row>
    <row r="43196">
      <c r="D43196" s="39"/>
      <c r="E43196" s="39"/>
      <c r="F43196" s="39"/>
    </row>
    <row r="43197">
      <c r="D43197" s="39"/>
      <c r="E43197" s="39"/>
      <c r="F43197" s="39"/>
    </row>
    <row r="43198">
      <c r="D43198" s="39"/>
      <c r="E43198" s="39"/>
      <c r="F43198" s="39"/>
    </row>
    <row r="43199">
      <c r="D43199" s="39"/>
      <c r="E43199" s="39"/>
      <c r="F43199" s="39"/>
    </row>
    <row r="43200">
      <c r="D43200" s="39"/>
      <c r="E43200" s="39"/>
      <c r="F43200" s="39"/>
    </row>
    <row r="43201">
      <c r="D43201" s="39"/>
      <c r="E43201" s="39"/>
      <c r="F43201" s="39"/>
    </row>
    <row r="43202">
      <c r="D43202" s="39"/>
      <c r="E43202" s="39"/>
      <c r="F43202" s="39"/>
    </row>
    <row r="43203">
      <c r="D43203" s="39"/>
      <c r="E43203" s="39"/>
      <c r="F43203" s="39"/>
    </row>
    <row r="43204">
      <c r="D43204" s="39"/>
      <c r="E43204" s="39"/>
      <c r="F43204" s="39"/>
    </row>
    <row r="43205">
      <c r="D43205" s="39"/>
      <c r="E43205" s="39"/>
      <c r="F43205" s="39"/>
    </row>
    <row r="43206">
      <c r="D43206" s="39"/>
      <c r="E43206" s="39"/>
      <c r="F43206" s="39"/>
    </row>
    <row r="43207">
      <c r="D43207" s="39"/>
      <c r="E43207" s="39"/>
      <c r="F43207" s="39"/>
    </row>
    <row r="43208">
      <c r="D43208" s="39"/>
      <c r="E43208" s="39"/>
      <c r="F43208" s="39"/>
    </row>
    <row r="43209">
      <c r="D43209" s="39"/>
      <c r="E43209" s="39"/>
      <c r="F43209" s="39"/>
    </row>
    <row r="43210">
      <c r="D43210" s="39"/>
      <c r="E43210" s="39"/>
      <c r="F43210" s="39"/>
    </row>
    <row r="43211">
      <c r="D43211" s="39"/>
      <c r="E43211" s="39"/>
      <c r="F43211" s="39"/>
    </row>
    <row r="43212">
      <c r="D43212" s="39"/>
      <c r="E43212" s="39"/>
      <c r="F43212" s="39"/>
    </row>
    <row r="43213">
      <c r="D43213" s="39"/>
      <c r="E43213" s="39"/>
      <c r="F43213" s="39"/>
    </row>
    <row r="43214">
      <c r="D43214" s="39"/>
      <c r="E43214" s="39"/>
      <c r="F43214" s="39"/>
    </row>
    <row r="43215">
      <c r="D43215" s="39"/>
      <c r="E43215" s="39"/>
      <c r="F43215" s="39"/>
    </row>
    <row r="43216">
      <c r="D43216" s="39"/>
      <c r="E43216" s="39"/>
      <c r="F43216" s="39"/>
    </row>
    <row r="43217">
      <c r="D43217" s="39"/>
      <c r="E43217" s="39"/>
      <c r="F43217" s="39"/>
    </row>
    <row r="43218">
      <c r="D43218" s="39"/>
      <c r="E43218" s="39"/>
      <c r="F43218" s="39"/>
    </row>
    <row r="43219">
      <c r="D43219" s="39"/>
      <c r="E43219" s="39"/>
      <c r="F43219" s="39"/>
    </row>
    <row r="43220">
      <c r="D43220" s="39"/>
      <c r="E43220" s="39"/>
      <c r="F43220" s="39"/>
    </row>
    <row r="43221">
      <c r="D43221" s="39"/>
      <c r="E43221" s="39"/>
      <c r="F43221" s="39"/>
    </row>
    <row r="43222">
      <c r="D43222" s="39"/>
      <c r="E43222" s="39"/>
      <c r="F43222" s="39"/>
    </row>
    <row r="43223">
      <c r="D43223" s="39"/>
      <c r="E43223" s="39"/>
      <c r="F43223" s="39"/>
    </row>
    <row r="43224">
      <c r="D43224" s="39"/>
      <c r="E43224" s="39"/>
      <c r="F43224" s="39"/>
    </row>
    <row r="43225">
      <c r="D43225" s="39"/>
      <c r="E43225" s="39"/>
      <c r="F43225" s="39"/>
    </row>
    <row r="43226">
      <c r="D43226" s="39"/>
      <c r="E43226" s="39"/>
      <c r="F43226" s="39"/>
    </row>
    <row r="43227">
      <c r="D43227" s="39"/>
      <c r="E43227" s="39"/>
      <c r="F43227" s="39"/>
    </row>
    <row r="43228">
      <c r="D43228" s="39"/>
      <c r="E43228" s="39"/>
      <c r="F43228" s="39"/>
    </row>
    <row r="43229">
      <c r="D43229" s="39"/>
      <c r="E43229" s="39"/>
      <c r="F43229" s="39"/>
    </row>
    <row r="43230">
      <c r="D43230" s="39"/>
      <c r="E43230" s="39"/>
      <c r="F43230" s="39"/>
    </row>
    <row r="43231">
      <c r="D43231" s="39"/>
      <c r="E43231" s="39"/>
      <c r="F43231" s="39"/>
    </row>
    <row r="43232">
      <c r="D43232" s="39"/>
      <c r="E43232" s="39"/>
      <c r="F43232" s="39"/>
    </row>
    <row r="43233">
      <c r="D43233" s="39"/>
      <c r="E43233" s="39"/>
      <c r="F43233" s="39"/>
    </row>
    <row r="43234">
      <c r="D43234" s="39"/>
      <c r="E43234" s="39"/>
      <c r="F43234" s="39"/>
    </row>
    <row r="43235">
      <c r="D43235" s="39"/>
      <c r="E43235" s="39"/>
      <c r="F43235" s="39"/>
    </row>
    <row r="43236">
      <c r="D43236" s="39"/>
      <c r="E43236" s="39"/>
      <c r="F43236" s="39"/>
    </row>
    <row r="43237">
      <c r="D43237" s="39"/>
      <c r="E43237" s="39"/>
      <c r="F43237" s="39"/>
    </row>
    <row r="43238">
      <c r="D43238" s="39"/>
      <c r="E43238" s="39"/>
      <c r="F43238" s="39"/>
    </row>
    <row r="43239">
      <c r="D43239" s="39"/>
      <c r="E43239" s="39"/>
      <c r="F43239" s="39"/>
    </row>
    <row r="43240">
      <c r="D43240" s="39"/>
      <c r="E43240" s="39"/>
      <c r="F43240" s="39"/>
    </row>
    <row r="43241">
      <c r="D43241" s="39"/>
      <c r="E43241" s="39"/>
      <c r="F43241" s="39"/>
    </row>
    <row r="43242">
      <c r="D43242" s="39"/>
      <c r="E43242" s="39"/>
      <c r="F43242" s="39"/>
    </row>
    <row r="43243">
      <c r="D43243" s="39"/>
      <c r="E43243" s="39"/>
      <c r="F43243" s="39"/>
    </row>
    <row r="43244">
      <c r="D43244" s="39"/>
      <c r="E43244" s="39"/>
      <c r="F43244" s="39"/>
    </row>
    <row r="43245">
      <c r="D43245" s="39"/>
      <c r="E43245" s="39"/>
      <c r="F43245" s="39"/>
    </row>
    <row r="43246">
      <c r="D43246" s="39"/>
      <c r="E43246" s="39"/>
      <c r="F43246" s="39"/>
    </row>
    <row r="43247">
      <c r="D43247" s="39"/>
      <c r="E43247" s="39"/>
      <c r="F43247" s="39"/>
    </row>
    <row r="43248">
      <c r="D43248" s="39"/>
      <c r="E43248" s="39"/>
      <c r="F43248" s="39"/>
    </row>
    <row r="43249">
      <c r="D43249" s="39"/>
      <c r="E43249" s="39"/>
      <c r="F43249" s="39"/>
    </row>
    <row r="43250">
      <c r="D43250" s="39"/>
      <c r="E43250" s="39"/>
      <c r="F43250" s="39"/>
    </row>
    <row r="43251">
      <c r="D43251" s="39"/>
      <c r="E43251" s="39"/>
      <c r="F43251" s="39"/>
    </row>
    <row r="43252">
      <c r="D43252" s="39"/>
      <c r="E43252" s="39"/>
      <c r="F43252" s="39"/>
    </row>
    <row r="43253">
      <c r="D43253" s="39"/>
      <c r="E43253" s="39"/>
      <c r="F43253" s="39"/>
    </row>
    <row r="43254">
      <c r="D43254" s="39"/>
      <c r="E43254" s="39"/>
      <c r="F43254" s="39"/>
    </row>
    <row r="43255">
      <c r="D43255" s="39"/>
      <c r="E43255" s="39"/>
      <c r="F43255" s="39"/>
    </row>
    <row r="43256">
      <c r="D43256" s="39"/>
      <c r="E43256" s="39"/>
      <c r="F43256" s="39"/>
    </row>
    <row r="43257">
      <c r="D43257" s="39"/>
      <c r="E43257" s="39"/>
      <c r="F43257" s="39"/>
    </row>
    <row r="43258">
      <c r="D43258" s="39"/>
      <c r="E43258" s="39"/>
      <c r="F43258" s="39"/>
    </row>
    <row r="43259">
      <c r="D43259" s="39"/>
      <c r="E43259" s="39"/>
      <c r="F43259" s="39"/>
    </row>
    <row r="43260">
      <c r="D43260" s="39"/>
      <c r="E43260" s="39"/>
      <c r="F43260" s="39"/>
    </row>
    <row r="43261">
      <c r="D43261" s="39"/>
      <c r="E43261" s="39"/>
      <c r="F43261" s="39"/>
    </row>
    <row r="43262">
      <c r="D43262" s="39"/>
      <c r="E43262" s="39"/>
      <c r="F43262" s="39"/>
    </row>
    <row r="43263">
      <c r="D43263" s="39"/>
      <c r="E43263" s="39"/>
      <c r="F43263" s="39"/>
    </row>
    <row r="43264">
      <c r="D43264" s="39"/>
      <c r="E43264" s="39"/>
      <c r="F43264" s="39"/>
    </row>
    <row r="43265">
      <c r="D43265" s="39"/>
      <c r="E43265" s="39"/>
      <c r="F43265" s="39"/>
    </row>
    <row r="43266">
      <c r="D43266" s="39"/>
      <c r="E43266" s="39"/>
      <c r="F43266" s="39"/>
    </row>
    <row r="43267">
      <c r="D43267" s="39"/>
      <c r="E43267" s="39"/>
      <c r="F43267" s="39"/>
    </row>
    <row r="43268">
      <c r="D43268" s="39"/>
      <c r="E43268" s="39"/>
      <c r="F43268" s="39"/>
    </row>
    <row r="43269">
      <c r="D43269" s="39"/>
      <c r="E43269" s="39"/>
      <c r="F43269" s="39"/>
    </row>
    <row r="43270">
      <c r="D43270" s="39"/>
      <c r="E43270" s="39"/>
      <c r="F43270" s="39"/>
    </row>
    <row r="43271">
      <c r="D43271" s="39"/>
      <c r="E43271" s="39"/>
      <c r="F43271" s="39"/>
    </row>
    <row r="43272">
      <c r="D43272" s="39"/>
      <c r="E43272" s="39"/>
      <c r="F43272" s="39"/>
    </row>
    <row r="43273">
      <c r="D43273" s="39"/>
      <c r="E43273" s="39"/>
      <c r="F43273" s="39"/>
    </row>
    <row r="43274">
      <c r="D43274" s="39"/>
      <c r="E43274" s="39"/>
      <c r="F43274" s="39"/>
    </row>
    <row r="43275">
      <c r="D43275" s="39"/>
      <c r="E43275" s="39"/>
      <c r="F43275" s="39"/>
    </row>
    <row r="43276">
      <c r="D43276" s="39"/>
      <c r="E43276" s="39"/>
      <c r="F43276" s="39"/>
    </row>
    <row r="43277">
      <c r="D43277" s="39"/>
      <c r="E43277" s="39"/>
      <c r="F43277" s="39"/>
    </row>
    <row r="43278">
      <c r="D43278" s="39"/>
      <c r="E43278" s="39"/>
      <c r="F43278" s="39"/>
    </row>
    <row r="43279">
      <c r="D43279" s="39"/>
      <c r="E43279" s="39"/>
      <c r="F43279" s="39"/>
    </row>
    <row r="43280">
      <c r="D43280" s="39"/>
      <c r="E43280" s="39"/>
      <c r="F43280" s="39"/>
    </row>
    <row r="43281">
      <c r="D43281" s="39"/>
      <c r="E43281" s="39"/>
      <c r="F43281" s="39"/>
    </row>
    <row r="43282">
      <c r="D43282" s="39"/>
      <c r="E43282" s="39"/>
      <c r="F43282" s="39"/>
    </row>
    <row r="43283">
      <c r="D43283" s="39"/>
      <c r="E43283" s="39"/>
      <c r="F43283" s="39"/>
    </row>
    <row r="43284">
      <c r="D43284" s="39"/>
      <c r="E43284" s="39"/>
      <c r="F43284" s="39"/>
    </row>
    <row r="43285">
      <c r="D43285" s="39"/>
      <c r="E43285" s="39"/>
      <c r="F43285" s="39"/>
    </row>
    <row r="43286">
      <c r="D43286" s="39"/>
      <c r="E43286" s="39"/>
      <c r="F43286" s="39"/>
    </row>
    <row r="43287">
      <c r="D43287" s="39"/>
      <c r="E43287" s="39"/>
      <c r="F43287" s="39"/>
    </row>
    <row r="43288">
      <c r="D43288" s="39"/>
      <c r="E43288" s="39"/>
      <c r="F43288" s="39"/>
    </row>
    <row r="43289">
      <c r="D43289" s="39"/>
      <c r="E43289" s="39"/>
      <c r="F43289" s="39"/>
    </row>
    <row r="43290">
      <c r="D43290" s="39"/>
      <c r="E43290" s="39"/>
      <c r="F43290" s="39"/>
    </row>
    <row r="43291">
      <c r="D43291" s="39"/>
      <c r="E43291" s="39"/>
      <c r="F43291" s="39"/>
    </row>
    <row r="43292">
      <c r="D43292" s="39"/>
      <c r="E43292" s="39"/>
      <c r="F43292" s="39"/>
    </row>
    <row r="43293">
      <c r="D43293" s="39"/>
      <c r="E43293" s="39"/>
      <c r="F43293" s="39"/>
    </row>
    <row r="43294">
      <c r="D43294" s="39"/>
      <c r="E43294" s="39"/>
      <c r="F43294" s="39"/>
    </row>
    <row r="43295">
      <c r="D43295" s="39"/>
      <c r="E43295" s="39"/>
      <c r="F43295" s="39"/>
    </row>
    <row r="43296">
      <c r="D43296" s="39"/>
      <c r="E43296" s="39"/>
      <c r="F43296" s="39"/>
    </row>
    <row r="43297">
      <c r="D43297" s="39"/>
      <c r="E43297" s="39"/>
      <c r="F43297" s="39"/>
    </row>
    <row r="43298">
      <c r="D43298" s="39"/>
      <c r="E43298" s="39"/>
      <c r="F43298" s="39"/>
    </row>
    <row r="43299">
      <c r="D43299" s="39"/>
      <c r="E43299" s="39"/>
      <c r="F43299" s="39"/>
    </row>
    <row r="43300">
      <c r="D43300" s="39"/>
      <c r="E43300" s="39"/>
      <c r="F43300" s="39"/>
    </row>
    <row r="43301">
      <c r="D43301" s="39"/>
      <c r="E43301" s="39"/>
      <c r="F43301" s="39"/>
    </row>
    <row r="43302">
      <c r="D43302" s="39"/>
      <c r="E43302" s="39"/>
      <c r="F43302" s="39"/>
    </row>
    <row r="43303">
      <c r="D43303" s="39"/>
      <c r="E43303" s="39"/>
      <c r="F43303" s="39"/>
    </row>
    <row r="43304">
      <c r="D43304" s="39"/>
      <c r="E43304" s="39"/>
      <c r="F43304" s="39"/>
    </row>
    <row r="43305">
      <c r="D43305" s="39"/>
      <c r="E43305" s="39"/>
      <c r="F43305" s="39"/>
    </row>
    <row r="43306">
      <c r="D43306" s="39"/>
      <c r="E43306" s="39"/>
      <c r="F43306" s="39"/>
    </row>
    <row r="43307">
      <c r="D43307" s="39"/>
      <c r="E43307" s="39"/>
      <c r="F43307" s="39"/>
    </row>
    <row r="43308">
      <c r="D43308" s="39"/>
      <c r="E43308" s="39"/>
      <c r="F43308" s="39"/>
    </row>
    <row r="43309">
      <c r="D43309" s="39"/>
      <c r="E43309" s="39"/>
      <c r="F43309" s="39"/>
    </row>
    <row r="43310">
      <c r="D43310" s="39"/>
      <c r="E43310" s="39"/>
      <c r="F43310" s="39"/>
    </row>
    <row r="43311">
      <c r="D43311" s="39"/>
      <c r="E43311" s="39"/>
      <c r="F43311" s="39"/>
    </row>
    <row r="43312">
      <c r="D43312" s="39"/>
      <c r="E43312" s="39"/>
      <c r="F43312" s="39"/>
    </row>
    <row r="43313">
      <c r="D43313" s="39"/>
      <c r="E43313" s="39"/>
      <c r="F43313" s="39"/>
    </row>
    <row r="43314">
      <c r="D43314" s="39"/>
      <c r="E43314" s="39"/>
      <c r="F43314" s="39"/>
    </row>
    <row r="43315">
      <c r="D43315" s="39"/>
      <c r="E43315" s="39"/>
      <c r="F43315" s="39"/>
    </row>
    <row r="43316">
      <c r="D43316" s="39"/>
      <c r="E43316" s="39"/>
      <c r="F43316" s="39"/>
    </row>
    <row r="43317">
      <c r="D43317" s="39"/>
      <c r="E43317" s="39"/>
      <c r="F43317" s="39"/>
    </row>
    <row r="43318">
      <c r="D43318" s="39"/>
      <c r="E43318" s="39"/>
      <c r="F43318" s="39"/>
    </row>
    <row r="43319">
      <c r="D43319" s="39"/>
      <c r="E43319" s="39"/>
      <c r="F43319" s="39"/>
    </row>
    <row r="43320">
      <c r="D43320" s="39"/>
      <c r="E43320" s="39"/>
      <c r="F43320" s="39"/>
    </row>
    <row r="43321">
      <c r="D43321" s="39"/>
      <c r="E43321" s="39"/>
      <c r="F43321" s="39"/>
    </row>
    <row r="43322">
      <c r="D43322" s="39"/>
      <c r="E43322" s="39"/>
      <c r="F43322" s="39"/>
    </row>
    <row r="43323">
      <c r="D43323" s="39"/>
      <c r="E43323" s="39"/>
      <c r="F43323" s="39"/>
    </row>
    <row r="43324">
      <c r="D43324" s="39"/>
      <c r="E43324" s="39"/>
      <c r="F43324" s="39"/>
    </row>
    <row r="43325">
      <c r="D43325" s="39"/>
      <c r="E43325" s="39"/>
      <c r="F43325" s="39"/>
    </row>
    <row r="43326">
      <c r="D43326" s="39"/>
      <c r="E43326" s="39"/>
      <c r="F43326" s="39"/>
    </row>
    <row r="43327">
      <c r="D43327" s="39"/>
      <c r="E43327" s="39"/>
      <c r="F43327" s="39"/>
    </row>
    <row r="43328">
      <c r="D43328" s="39"/>
      <c r="E43328" s="39"/>
      <c r="F43328" s="39"/>
    </row>
    <row r="43329">
      <c r="D43329" s="39"/>
      <c r="E43329" s="39"/>
      <c r="F43329" s="39"/>
    </row>
    <row r="43330">
      <c r="D43330" s="39"/>
      <c r="E43330" s="39"/>
      <c r="F43330" s="39"/>
    </row>
    <row r="43331">
      <c r="D43331" s="39"/>
      <c r="E43331" s="39"/>
      <c r="F43331" s="39"/>
    </row>
    <row r="43332">
      <c r="D43332" s="39"/>
      <c r="E43332" s="39"/>
      <c r="F43332" s="39"/>
    </row>
    <row r="43333">
      <c r="D43333" s="39"/>
      <c r="E43333" s="39"/>
      <c r="F43333" s="39"/>
    </row>
    <row r="43334">
      <c r="D43334" s="39"/>
      <c r="E43334" s="39"/>
      <c r="F43334" s="39"/>
    </row>
    <row r="43335">
      <c r="D43335" s="39"/>
      <c r="E43335" s="39"/>
      <c r="F43335" s="39"/>
    </row>
    <row r="43336">
      <c r="D43336" s="39"/>
      <c r="E43336" s="39"/>
      <c r="F43336" s="39"/>
    </row>
    <row r="43337">
      <c r="D43337" s="39"/>
      <c r="E43337" s="39"/>
      <c r="F43337" s="39"/>
    </row>
    <row r="43338">
      <c r="D43338" s="39"/>
      <c r="E43338" s="39"/>
      <c r="F43338" s="39"/>
    </row>
    <row r="43339">
      <c r="D43339" s="39"/>
      <c r="E43339" s="39"/>
      <c r="F43339" s="39"/>
    </row>
    <row r="43340">
      <c r="D43340" s="39"/>
      <c r="E43340" s="39"/>
      <c r="F43340" s="39"/>
    </row>
    <row r="43341">
      <c r="D43341" s="39"/>
      <c r="E43341" s="39"/>
      <c r="F43341" s="39"/>
    </row>
    <row r="43342">
      <c r="D43342" s="39"/>
      <c r="E43342" s="39"/>
      <c r="F43342" s="39"/>
    </row>
    <row r="43343">
      <c r="D43343" s="39"/>
      <c r="E43343" s="39"/>
      <c r="F43343" s="39"/>
    </row>
    <row r="43344">
      <c r="D43344" s="39"/>
      <c r="E43344" s="39"/>
      <c r="F43344" s="39"/>
    </row>
    <row r="43345">
      <c r="D43345" s="39"/>
      <c r="E43345" s="39"/>
      <c r="F43345" s="39"/>
    </row>
    <row r="43346">
      <c r="D43346" s="39"/>
      <c r="E43346" s="39"/>
      <c r="F43346" s="39"/>
    </row>
    <row r="43347">
      <c r="D43347" s="39"/>
      <c r="E43347" s="39"/>
      <c r="F43347" s="39"/>
    </row>
    <row r="43348">
      <c r="D43348" s="39"/>
      <c r="E43348" s="39"/>
      <c r="F43348" s="39"/>
    </row>
    <row r="43349">
      <c r="D43349" s="39"/>
      <c r="E43349" s="39"/>
      <c r="F43349" s="39"/>
    </row>
    <row r="43350">
      <c r="D43350" s="39"/>
      <c r="E43350" s="39"/>
      <c r="F43350" s="39"/>
    </row>
    <row r="43351">
      <c r="D43351" s="39"/>
      <c r="E43351" s="39"/>
      <c r="F43351" s="39"/>
    </row>
    <row r="43352">
      <c r="D43352" s="39"/>
      <c r="E43352" s="39"/>
      <c r="F43352" s="39"/>
    </row>
    <row r="43353">
      <c r="D43353" s="39"/>
      <c r="E43353" s="39"/>
      <c r="F43353" s="39"/>
    </row>
    <row r="43354">
      <c r="D43354" s="39"/>
      <c r="E43354" s="39"/>
      <c r="F43354" s="39"/>
    </row>
    <row r="43355">
      <c r="D43355" s="39"/>
      <c r="E43355" s="39"/>
      <c r="F43355" s="39"/>
    </row>
    <row r="43356">
      <c r="D43356" s="39"/>
      <c r="E43356" s="39"/>
      <c r="F43356" s="39"/>
    </row>
    <row r="43357">
      <c r="D43357" s="39"/>
      <c r="E43357" s="39"/>
      <c r="F43357" s="39"/>
    </row>
    <row r="43358">
      <c r="D43358" s="39"/>
      <c r="E43358" s="39"/>
      <c r="F43358" s="39"/>
    </row>
    <row r="43359">
      <c r="D43359" s="39"/>
      <c r="E43359" s="39"/>
      <c r="F43359" s="39"/>
    </row>
    <row r="43360">
      <c r="D43360" s="39"/>
      <c r="E43360" s="39"/>
      <c r="F43360" s="39"/>
    </row>
    <row r="43361">
      <c r="D43361" s="39"/>
      <c r="E43361" s="39"/>
      <c r="F43361" s="39"/>
    </row>
    <row r="43362">
      <c r="D43362" s="39"/>
      <c r="E43362" s="39"/>
      <c r="F43362" s="39"/>
    </row>
    <row r="43363">
      <c r="D43363" s="39"/>
      <c r="E43363" s="39"/>
      <c r="F43363" s="39"/>
    </row>
    <row r="43364">
      <c r="D43364" s="39"/>
      <c r="E43364" s="39"/>
      <c r="F43364" s="39"/>
    </row>
    <row r="43365">
      <c r="D43365" s="39"/>
      <c r="E43365" s="39"/>
      <c r="F43365" s="39"/>
    </row>
    <row r="43366">
      <c r="D43366" s="39"/>
      <c r="E43366" s="39"/>
      <c r="F43366" s="39"/>
    </row>
    <row r="43367">
      <c r="D43367" s="39"/>
      <c r="E43367" s="39"/>
      <c r="F43367" s="39"/>
    </row>
    <row r="43368">
      <c r="D43368" s="39"/>
      <c r="E43368" s="39"/>
      <c r="F43368" s="39"/>
    </row>
    <row r="43369">
      <c r="D43369" s="39"/>
      <c r="E43369" s="39"/>
      <c r="F43369" s="39"/>
    </row>
    <row r="43370">
      <c r="D43370" s="39"/>
      <c r="E43370" s="39"/>
      <c r="F43370" s="39"/>
    </row>
    <row r="43371">
      <c r="D43371" s="39"/>
      <c r="E43371" s="39"/>
      <c r="F43371" s="39"/>
    </row>
    <row r="43372">
      <c r="D43372" s="39"/>
      <c r="E43372" s="39"/>
      <c r="F43372" s="39"/>
    </row>
    <row r="43373">
      <c r="D43373" s="39"/>
      <c r="E43373" s="39"/>
      <c r="F43373" s="39"/>
    </row>
    <row r="43374">
      <c r="D43374" s="39"/>
      <c r="E43374" s="39"/>
      <c r="F43374" s="39"/>
    </row>
    <row r="43375">
      <c r="D43375" s="39"/>
      <c r="E43375" s="39"/>
      <c r="F43375" s="39"/>
    </row>
    <row r="43376">
      <c r="D43376" s="39"/>
      <c r="E43376" s="39"/>
      <c r="F43376" s="39"/>
    </row>
    <row r="43377">
      <c r="D43377" s="39"/>
      <c r="E43377" s="39"/>
      <c r="F43377" s="39"/>
    </row>
    <row r="43378">
      <c r="D43378" s="39"/>
      <c r="E43378" s="39"/>
      <c r="F43378" s="39"/>
    </row>
    <row r="43379">
      <c r="D43379" s="39"/>
      <c r="E43379" s="39"/>
      <c r="F43379" s="39"/>
    </row>
    <row r="43380">
      <c r="D43380" s="39"/>
      <c r="E43380" s="39"/>
      <c r="F43380" s="39"/>
    </row>
    <row r="43381">
      <c r="D43381" s="39"/>
      <c r="E43381" s="39"/>
      <c r="F43381" s="39"/>
    </row>
    <row r="43382">
      <c r="D43382" s="39"/>
      <c r="E43382" s="39"/>
      <c r="F43382" s="39"/>
    </row>
    <row r="43383">
      <c r="D43383" s="39"/>
      <c r="E43383" s="39"/>
      <c r="F43383" s="39"/>
    </row>
    <row r="43384">
      <c r="D43384" s="39"/>
      <c r="E43384" s="39"/>
      <c r="F43384" s="39"/>
    </row>
    <row r="43385">
      <c r="D43385" s="39"/>
      <c r="E43385" s="39"/>
      <c r="F43385" s="39"/>
    </row>
    <row r="43386">
      <c r="D43386" s="39"/>
      <c r="E43386" s="39"/>
      <c r="F43386" s="39"/>
    </row>
    <row r="43387">
      <c r="D43387" s="39"/>
      <c r="E43387" s="39"/>
      <c r="F43387" s="39"/>
    </row>
    <row r="43388">
      <c r="D43388" s="39"/>
      <c r="E43388" s="39"/>
      <c r="F43388" s="39"/>
    </row>
    <row r="43389">
      <c r="D43389" s="39"/>
      <c r="E43389" s="39"/>
      <c r="F43389" s="39"/>
    </row>
    <row r="43390">
      <c r="D43390" s="39"/>
      <c r="E43390" s="39"/>
      <c r="F43390" s="39"/>
    </row>
    <row r="43391">
      <c r="D43391" s="39"/>
      <c r="E43391" s="39"/>
      <c r="F43391" s="39"/>
    </row>
    <row r="43392">
      <c r="D43392" s="39"/>
      <c r="E43392" s="39"/>
      <c r="F43392" s="39"/>
    </row>
    <row r="43393">
      <c r="D43393" s="39"/>
      <c r="E43393" s="39"/>
      <c r="F43393" s="39"/>
    </row>
    <row r="43394">
      <c r="D43394" s="39"/>
      <c r="E43394" s="39"/>
      <c r="F43394" s="39"/>
    </row>
    <row r="43395">
      <c r="D43395" s="39"/>
      <c r="E43395" s="39"/>
      <c r="F43395" s="39"/>
    </row>
    <row r="43396">
      <c r="D43396" s="39"/>
      <c r="E43396" s="39"/>
      <c r="F43396" s="39"/>
    </row>
    <row r="43397">
      <c r="D43397" s="39"/>
      <c r="E43397" s="39"/>
      <c r="F43397" s="39"/>
    </row>
    <row r="43398">
      <c r="D43398" s="39"/>
      <c r="E43398" s="39"/>
      <c r="F43398" s="39"/>
    </row>
    <row r="43399">
      <c r="D43399" s="39"/>
      <c r="E43399" s="39"/>
      <c r="F43399" s="39"/>
    </row>
    <row r="43400">
      <c r="D43400" s="39"/>
      <c r="E43400" s="39"/>
      <c r="F43400" s="39"/>
    </row>
    <row r="43401">
      <c r="D43401" s="39"/>
      <c r="E43401" s="39"/>
      <c r="F43401" s="39"/>
    </row>
    <row r="43402">
      <c r="D43402" s="39"/>
      <c r="E43402" s="39"/>
      <c r="F43402" s="39"/>
    </row>
    <row r="43403">
      <c r="D43403" s="39"/>
      <c r="E43403" s="39"/>
      <c r="F43403" s="39"/>
    </row>
    <row r="43404">
      <c r="D43404" s="39"/>
      <c r="E43404" s="39"/>
      <c r="F43404" s="39"/>
    </row>
    <row r="43405">
      <c r="D43405" s="39"/>
      <c r="E43405" s="39"/>
      <c r="F43405" s="39"/>
    </row>
    <row r="43406">
      <c r="D43406" s="39"/>
      <c r="E43406" s="39"/>
      <c r="F43406" s="39"/>
    </row>
    <row r="43407">
      <c r="D43407" s="39"/>
      <c r="E43407" s="39"/>
      <c r="F43407" s="39"/>
    </row>
    <row r="43408">
      <c r="D43408" s="39"/>
      <c r="E43408" s="39"/>
      <c r="F43408" s="39"/>
    </row>
    <row r="43409">
      <c r="D43409" s="39"/>
      <c r="E43409" s="39"/>
      <c r="F43409" s="39"/>
    </row>
    <row r="43410">
      <c r="D43410" s="39"/>
      <c r="E43410" s="39"/>
      <c r="F43410" s="39"/>
    </row>
    <row r="43411">
      <c r="D43411" s="39"/>
      <c r="E43411" s="39"/>
      <c r="F43411" s="39"/>
    </row>
    <row r="43412">
      <c r="D43412" s="39"/>
      <c r="E43412" s="39"/>
      <c r="F43412" s="39"/>
    </row>
    <row r="43413">
      <c r="D43413" s="39"/>
      <c r="E43413" s="39"/>
      <c r="F43413" s="39"/>
    </row>
    <row r="43414">
      <c r="D43414" s="39"/>
      <c r="E43414" s="39"/>
      <c r="F43414" s="39"/>
    </row>
    <row r="43415">
      <c r="D43415" s="39"/>
      <c r="E43415" s="39"/>
      <c r="F43415" s="39"/>
    </row>
    <row r="43416">
      <c r="D43416" s="39"/>
      <c r="E43416" s="39"/>
      <c r="F43416" s="39"/>
    </row>
    <row r="43417">
      <c r="D43417" s="39"/>
      <c r="E43417" s="39"/>
      <c r="F43417" s="39"/>
    </row>
    <row r="43418">
      <c r="D43418" s="39"/>
      <c r="E43418" s="39"/>
      <c r="F43418" s="39"/>
    </row>
    <row r="43419">
      <c r="D43419" s="39"/>
      <c r="E43419" s="39"/>
      <c r="F43419" s="39"/>
    </row>
    <row r="43420">
      <c r="D43420" s="39"/>
      <c r="E43420" s="39"/>
      <c r="F43420" s="39"/>
    </row>
    <row r="43421">
      <c r="D43421" s="39"/>
      <c r="E43421" s="39"/>
      <c r="F43421" s="39"/>
    </row>
    <row r="43422">
      <c r="D43422" s="39"/>
      <c r="E43422" s="39"/>
      <c r="F43422" s="39"/>
    </row>
    <row r="43423">
      <c r="D43423" s="39"/>
      <c r="E43423" s="39"/>
      <c r="F43423" s="39"/>
    </row>
    <row r="43424">
      <c r="D43424" s="39"/>
      <c r="E43424" s="39"/>
      <c r="F43424" s="39"/>
    </row>
    <row r="43425">
      <c r="D43425" s="39"/>
      <c r="E43425" s="39"/>
      <c r="F43425" s="39"/>
    </row>
    <row r="43426">
      <c r="D43426" s="39"/>
      <c r="E43426" s="39"/>
      <c r="F43426" s="39"/>
    </row>
    <row r="43427">
      <c r="D43427" s="39"/>
      <c r="E43427" s="39"/>
      <c r="F43427" s="39"/>
    </row>
    <row r="43428">
      <c r="D43428" s="39"/>
      <c r="E43428" s="39"/>
      <c r="F43428" s="39"/>
    </row>
    <row r="43429">
      <c r="D43429" s="39"/>
      <c r="E43429" s="39"/>
      <c r="F43429" s="39"/>
    </row>
    <row r="43430">
      <c r="D43430" s="39"/>
      <c r="E43430" s="39"/>
      <c r="F43430" s="39"/>
    </row>
    <row r="43431">
      <c r="D43431" s="39"/>
      <c r="E43431" s="39"/>
      <c r="F43431" s="39"/>
    </row>
    <row r="43432">
      <c r="D43432" s="39"/>
      <c r="E43432" s="39"/>
      <c r="F43432" s="39"/>
    </row>
    <row r="43433">
      <c r="D43433" s="39"/>
      <c r="E43433" s="39"/>
      <c r="F43433" s="39"/>
    </row>
    <row r="43434">
      <c r="D43434" s="39"/>
      <c r="E43434" s="39"/>
      <c r="F43434" s="39"/>
    </row>
    <row r="43435">
      <c r="D43435" s="39"/>
      <c r="E43435" s="39"/>
      <c r="F43435" s="39"/>
    </row>
    <row r="43436">
      <c r="D43436" s="39"/>
      <c r="E43436" s="39"/>
      <c r="F43436" s="39"/>
    </row>
    <row r="43437">
      <c r="D43437" s="39"/>
      <c r="E43437" s="39"/>
      <c r="F43437" s="39"/>
    </row>
    <row r="43438">
      <c r="D43438" s="39"/>
      <c r="E43438" s="39"/>
      <c r="F43438" s="39"/>
    </row>
    <row r="43439">
      <c r="D43439" s="39"/>
      <c r="E43439" s="39"/>
      <c r="F43439" s="39"/>
    </row>
    <row r="43440">
      <c r="D43440" s="39"/>
      <c r="E43440" s="39"/>
      <c r="F43440" s="39"/>
    </row>
    <row r="43441">
      <c r="D43441" s="39"/>
      <c r="E43441" s="39"/>
      <c r="F43441" s="39"/>
    </row>
    <row r="43442">
      <c r="D43442" s="39"/>
      <c r="E43442" s="39"/>
      <c r="F43442" s="39"/>
    </row>
    <row r="43443">
      <c r="D43443" s="39"/>
      <c r="E43443" s="39"/>
      <c r="F43443" s="39"/>
    </row>
    <row r="43444">
      <c r="D43444" s="39"/>
      <c r="E43444" s="39"/>
      <c r="F43444" s="39"/>
    </row>
    <row r="43445">
      <c r="D43445" s="39"/>
      <c r="E43445" s="39"/>
      <c r="F43445" s="39"/>
    </row>
    <row r="43446">
      <c r="D43446" s="39"/>
      <c r="E43446" s="39"/>
      <c r="F43446" s="39"/>
    </row>
    <row r="43447">
      <c r="D43447" s="39"/>
      <c r="E43447" s="39"/>
      <c r="F43447" s="39"/>
    </row>
    <row r="43448">
      <c r="D43448" s="39"/>
      <c r="E43448" s="39"/>
      <c r="F43448" s="39"/>
    </row>
    <row r="43449">
      <c r="D43449" s="39"/>
      <c r="E43449" s="39"/>
      <c r="F43449" s="39"/>
    </row>
    <row r="43450">
      <c r="D43450" s="39"/>
      <c r="E43450" s="39"/>
      <c r="F43450" s="39"/>
    </row>
    <row r="43451">
      <c r="D43451" s="39"/>
      <c r="E43451" s="39"/>
      <c r="F43451" s="39"/>
    </row>
    <row r="43452">
      <c r="D43452" s="39"/>
      <c r="E43452" s="39"/>
      <c r="F43452" s="39"/>
    </row>
    <row r="43453">
      <c r="D43453" s="39"/>
      <c r="E43453" s="39"/>
      <c r="F43453" s="39"/>
    </row>
    <row r="43454">
      <c r="D43454" s="39"/>
      <c r="E43454" s="39"/>
      <c r="F43454" s="39"/>
    </row>
    <row r="43455">
      <c r="D43455" s="39"/>
      <c r="E43455" s="39"/>
      <c r="F43455" s="39"/>
    </row>
    <row r="43456">
      <c r="D43456" s="39"/>
      <c r="E43456" s="39"/>
      <c r="F43456" s="39"/>
    </row>
    <row r="43457">
      <c r="D43457" s="39"/>
      <c r="E43457" s="39"/>
      <c r="F43457" s="39"/>
    </row>
    <row r="43458">
      <c r="D43458" s="39"/>
      <c r="E43458" s="39"/>
      <c r="F43458" s="39"/>
    </row>
    <row r="43459">
      <c r="D43459" s="39"/>
      <c r="E43459" s="39"/>
      <c r="F43459" s="39"/>
    </row>
    <row r="43460">
      <c r="D43460" s="39"/>
      <c r="E43460" s="39"/>
      <c r="F43460" s="39"/>
    </row>
    <row r="43461">
      <c r="D43461" s="39"/>
      <c r="E43461" s="39"/>
      <c r="F43461" s="39"/>
    </row>
    <row r="43462">
      <c r="D43462" s="39"/>
      <c r="E43462" s="39"/>
      <c r="F43462" s="39"/>
    </row>
    <row r="43463">
      <c r="D43463" s="39"/>
      <c r="E43463" s="39"/>
      <c r="F43463" s="39"/>
    </row>
    <row r="43464">
      <c r="D43464" s="39"/>
      <c r="E43464" s="39"/>
      <c r="F43464" s="39"/>
    </row>
    <row r="43465">
      <c r="D43465" s="39"/>
      <c r="E43465" s="39"/>
      <c r="F43465" s="39"/>
    </row>
    <row r="43466">
      <c r="D43466" s="39"/>
      <c r="E43466" s="39"/>
      <c r="F43466" s="39"/>
    </row>
    <row r="43467">
      <c r="D43467" s="39"/>
      <c r="E43467" s="39"/>
      <c r="F43467" s="39"/>
    </row>
    <row r="43468">
      <c r="D43468" s="39"/>
      <c r="E43468" s="39"/>
      <c r="F43468" s="39"/>
    </row>
    <row r="43469">
      <c r="D43469" s="39"/>
      <c r="E43469" s="39"/>
      <c r="F43469" s="39"/>
    </row>
    <row r="43470">
      <c r="D43470" s="39"/>
      <c r="E43470" s="39"/>
      <c r="F43470" s="39"/>
    </row>
    <row r="43471">
      <c r="D43471" s="39"/>
      <c r="E43471" s="39"/>
      <c r="F43471" s="39"/>
    </row>
    <row r="43472">
      <c r="D43472" s="39"/>
      <c r="E43472" s="39"/>
      <c r="F43472" s="39"/>
    </row>
    <row r="43473">
      <c r="D43473" s="39"/>
      <c r="E43473" s="39"/>
      <c r="F43473" s="39"/>
    </row>
    <row r="43474">
      <c r="D43474" s="39"/>
      <c r="E43474" s="39"/>
      <c r="F43474" s="39"/>
    </row>
    <row r="43475">
      <c r="D43475" s="39"/>
      <c r="E43475" s="39"/>
      <c r="F43475" s="39"/>
    </row>
    <row r="43476">
      <c r="D43476" s="39"/>
      <c r="E43476" s="39"/>
      <c r="F43476" s="39"/>
    </row>
    <row r="43477">
      <c r="D43477" s="39"/>
      <c r="E43477" s="39"/>
      <c r="F43477" s="39"/>
    </row>
    <row r="43478">
      <c r="D43478" s="39"/>
      <c r="E43478" s="39"/>
      <c r="F43478" s="39"/>
    </row>
    <row r="43479">
      <c r="D43479" s="39"/>
      <c r="E43479" s="39"/>
      <c r="F43479" s="39"/>
    </row>
    <row r="43480">
      <c r="D43480" s="39"/>
      <c r="E43480" s="39"/>
      <c r="F43480" s="39"/>
    </row>
    <row r="43481">
      <c r="D43481" s="39"/>
      <c r="E43481" s="39"/>
      <c r="F43481" s="39"/>
    </row>
    <row r="43482">
      <c r="D43482" s="39"/>
      <c r="E43482" s="39"/>
      <c r="F43482" s="39"/>
    </row>
    <row r="43483">
      <c r="D43483" s="39"/>
      <c r="E43483" s="39"/>
      <c r="F43483" s="39"/>
    </row>
    <row r="43484">
      <c r="D43484" s="39"/>
      <c r="E43484" s="39"/>
      <c r="F43484" s="39"/>
    </row>
    <row r="43485">
      <c r="D43485" s="39"/>
      <c r="E43485" s="39"/>
      <c r="F43485" s="39"/>
    </row>
    <row r="43486">
      <c r="D43486" s="39"/>
      <c r="E43486" s="39"/>
      <c r="F43486" s="39"/>
    </row>
    <row r="43487">
      <c r="D43487" s="39"/>
      <c r="E43487" s="39"/>
      <c r="F43487" s="39"/>
    </row>
    <row r="43488">
      <c r="D43488" s="39"/>
      <c r="E43488" s="39"/>
      <c r="F43488" s="39"/>
    </row>
    <row r="43489">
      <c r="D43489" s="39"/>
      <c r="E43489" s="39"/>
      <c r="F43489" s="39"/>
    </row>
    <row r="43490">
      <c r="D43490" s="39"/>
      <c r="E43490" s="39"/>
      <c r="F43490" s="39"/>
    </row>
    <row r="43491">
      <c r="D43491" s="39"/>
      <c r="E43491" s="39"/>
      <c r="F43491" s="39"/>
    </row>
    <row r="43492">
      <c r="D43492" s="39"/>
      <c r="E43492" s="39"/>
      <c r="F43492" s="39"/>
    </row>
    <row r="43493">
      <c r="D43493" s="39"/>
      <c r="E43493" s="39"/>
      <c r="F43493" s="39"/>
    </row>
    <row r="43494">
      <c r="D43494" s="39"/>
      <c r="E43494" s="39"/>
      <c r="F43494" s="39"/>
    </row>
    <row r="43495">
      <c r="D43495" s="39"/>
      <c r="E43495" s="39"/>
      <c r="F43495" s="39"/>
    </row>
    <row r="43496">
      <c r="D43496" s="39"/>
      <c r="E43496" s="39"/>
      <c r="F43496" s="39"/>
    </row>
    <row r="43497">
      <c r="D43497" s="39"/>
      <c r="E43497" s="39"/>
      <c r="F43497" s="39"/>
    </row>
    <row r="43498">
      <c r="D43498" s="39"/>
      <c r="E43498" s="39"/>
      <c r="F43498" s="39"/>
    </row>
    <row r="43499">
      <c r="D43499" s="39"/>
      <c r="E43499" s="39"/>
      <c r="F43499" s="39"/>
    </row>
    <row r="43500">
      <c r="D43500" s="39"/>
      <c r="E43500" s="39"/>
      <c r="F43500" s="39"/>
    </row>
    <row r="43501">
      <c r="D43501" s="39"/>
      <c r="E43501" s="39"/>
      <c r="F43501" s="39"/>
    </row>
    <row r="43502">
      <c r="D43502" s="39"/>
      <c r="E43502" s="39"/>
      <c r="F43502" s="39"/>
    </row>
    <row r="43503">
      <c r="D43503" s="39"/>
      <c r="E43503" s="39"/>
      <c r="F43503" s="39"/>
    </row>
    <row r="43504">
      <c r="D43504" s="39"/>
      <c r="E43504" s="39"/>
      <c r="F43504" s="39"/>
    </row>
    <row r="43505">
      <c r="D43505" s="39"/>
      <c r="E43505" s="39"/>
      <c r="F43505" s="39"/>
    </row>
    <row r="43506">
      <c r="D43506" s="39"/>
      <c r="E43506" s="39"/>
      <c r="F43506" s="39"/>
    </row>
    <row r="43507">
      <c r="D43507" s="39"/>
      <c r="E43507" s="39"/>
      <c r="F43507" s="39"/>
    </row>
    <row r="43508">
      <c r="D43508" s="39"/>
      <c r="E43508" s="39"/>
      <c r="F43508" s="39"/>
    </row>
    <row r="43509">
      <c r="D43509" s="39"/>
      <c r="E43509" s="39"/>
      <c r="F43509" s="39"/>
    </row>
    <row r="43510">
      <c r="D43510" s="39"/>
      <c r="E43510" s="39"/>
      <c r="F43510" s="39"/>
    </row>
    <row r="43511">
      <c r="D43511" s="39"/>
      <c r="E43511" s="39"/>
      <c r="F43511" s="39"/>
    </row>
    <row r="43512">
      <c r="D43512" s="39"/>
      <c r="E43512" s="39"/>
      <c r="F43512" s="39"/>
    </row>
    <row r="43513">
      <c r="D43513" s="39"/>
      <c r="E43513" s="39"/>
      <c r="F43513" s="39"/>
    </row>
    <row r="43514">
      <c r="D43514" s="39"/>
      <c r="E43514" s="39"/>
      <c r="F43514" s="39"/>
    </row>
    <row r="43515">
      <c r="D43515" s="39"/>
      <c r="E43515" s="39"/>
      <c r="F43515" s="39"/>
    </row>
    <row r="43516">
      <c r="D43516" s="39"/>
      <c r="E43516" s="39"/>
      <c r="F43516" s="39"/>
    </row>
    <row r="43517">
      <c r="D43517" s="39"/>
      <c r="E43517" s="39"/>
      <c r="F43517" s="39"/>
    </row>
    <row r="43518">
      <c r="D43518" s="39"/>
      <c r="E43518" s="39"/>
      <c r="F43518" s="39"/>
    </row>
    <row r="43519">
      <c r="D43519" s="39"/>
      <c r="E43519" s="39"/>
      <c r="F43519" s="39"/>
    </row>
    <row r="43520">
      <c r="D43520" s="39"/>
      <c r="E43520" s="39"/>
      <c r="F43520" s="39"/>
    </row>
    <row r="43521">
      <c r="D43521" s="39"/>
      <c r="E43521" s="39"/>
      <c r="F43521" s="39"/>
    </row>
    <row r="43522">
      <c r="D43522" s="39"/>
      <c r="E43522" s="39"/>
      <c r="F43522" s="39"/>
    </row>
    <row r="43523">
      <c r="D43523" s="39"/>
      <c r="E43523" s="39"/>
      <c r="F43523" s="39"/>
    </row>
    <row r="43524">
      <c r="D43524" s="39"/>
      <c r="E43524" s="39"/>
      <c r="F43524" s="39"/>
    </row>
    <row r="43525">
      <c r="D43525" s="39"/>
      <c r="E43525" s="39"/>
      <c r="F43525" s="39"/>
    </row>
    <row r="43526">
      <c r="D43526" s="39"/>
      <c r="E43526" s="39"/>
      <c r="F43526" s="39"/>
    </row>
    <row r="43527">
      <c r="D43527" s="39"/>
      <c r="E43527" s="39"/>
      <c r="F43527" s="39"/>
    </row>
    <row r="43528">
      <c r="D43528" s="39"/>
      <c r="E43528" s="39"/>
      <c r="F43528" s="39"/>
    </row>
    <row r="43529">
      <c r="D43529" s="39"/>
      <c r="E43529" s="39"/>
      <c r="F43529" s="39"/>
    </row>
    <row r="43530">
      <c r="D43530" s="39"/>
      <c r="E43530" s="39"/>
      <c r="F43530" s="39"/>
    </row>
    <row r="43531">
      <c r="D43531" s="39"/>
      <c r="E43531" s="39"/>
      <c r="F43531" s="39"/>
    </row>
    <row r="43532">
      <c r="D43532" s="39"/>
      <c r="E43532" s="39"/>
      <c r="F43532" s="39"/>
    </row>
    <row r="43533">
      <c r="D43533" s="39"/>
      <c r="E43533" s="39"/>
      <c r="F43533" s="39"/>
    </row>
    <row r="43534">
      <c r="D43534" s="39"/>
      <c r="E43534" s="39"/>
      <c r="F43534" s="39"/>
    </row>
    <row r="43535">
      <c r="D43535" s="39"/>
      <c r="E43535" s="39"/>
      <c r="F43535" s="39"/>
    </row>
    <row r="43536">
      <c r="D43536" s="39"/>
      <c r="E43536" s="39"/>
      <c r="F43536" s="39"/>
    </row>
    <row r="43537">
      <c r="D43537" s="39"/>
      <c r="E43537" s="39"/>
      <c r="F43537" s="39"/>
    </row>
    <row r="43538">
      <c r="D43538" s="39"/>
      <c r="E43538" s="39"/>
      <c r="F43538" s="39"/>
    </row>
    <row r="43539">
      <c r="D43539" s="39"/>
      <c r="E43539" s="39"/>
      <c r="F43539" s="39"/>
    </row>
    <row r="43540">
      <c r="D43540" s="39"/>
      <c r="E43540" s="39"/>
      <c r="F43540" s="39"/>
    </row>
    <row r="43541">
      <c r="D43541" s="39"/>
      <c r="E43541" s="39"/>
      <c r="F43541" s="39"/>
    </row>
    <row r="43542">
      <c r="D43542" s="39"/>
      <c r="E43542" s="39"/>
      <c r="F43542" s="39"/>
    </row>
    <row r="43543">
      <c r="D43543" s="39"/>
      <c r="E43543" s="39"/>
      <c r="F43543" s="39"/>
    </row>
    <row r="43544">
      <c r="D43544" s="39"/>
      <c r="E43544" s="39"/>
      <c r="F43544" s="39"/>
    </row>
    <row r="43545">
      <c r="D43545" s="39"/>
      <c r="E43545" s="39"/>
      <c r="F43545" s="39"/>
    </row>
    <row r="43546">
      <c r="D43546" s="39"/>
      <c r="E43546" s="39"/>
      <c r="F43546" s="39"/>
    </row>
    <row r="43547">
      <c r="D43547" s="39"/>
      <c r="E43547" s="39"/>
      <c r="F43547" s="39"/>
    </row>
    <row r="43548">
      <c r="D43548" s="39"/>
      <c r="E43548" s="39"/>
      <c r="F43548" s="39"/>
    </row>
    <row r="43549">
      <c r="D43549" s="39"/>
      <c r="E43549" s="39"/>
      <c r="F43549" s="39"/>
    </row>
    <row r="43550">
      <c r="D43550" s="39"/>
      <c r="E43550" s="39"/>
      <c r="F43550" s="39"/>
    </row>
    <row r="43551">
      <c r="D43551" s="39"/>
      <c r="E43551" s="39"/>
      <c r="F43551" s="39"/>
    </row>
    <row r="43552">
      <c r="D43552" s="39"/>
      <c r="E43552" s="39"/>
      <c r="F43552" s="39"/>
    </row>
    <row r="43553">
      <c r="D43553" s="39"/>
      <c r="E43553" s="39"/>
      <c r="F43553" s="39"/>
    </row>
    <row r="43554">
      <c r="D43554" s="39"/>
      <c r="E43554" s="39"/>
      <c r="F43554" s="39"/>
    </row>
    <row r="43555">
      <c r="D43555" s="39"/>
      <c r="E43555" s="39"/>
      <c r="F43555" s="39"/>
    </row>
    <row r="43556">
      <c r="D43556" s="39"/>
      <c r="E43556" s="39"/>
      <c r="F43556" s="39"/>
    </row>
    <row r="43557">
      <c r="D43557" s="39"/>
      <c r="E43557" s="39"/>
      <c r="F43557" s="39"/>
    </row>
    <row r="43558">
      <c r="D43558" s="39"/>
      <c r="E43558" s="39"/>
      <c r="F43558" s="39"/>
    </row>
    <row r="43559">
      <c r="D43559" s="39"/>
      <c r="E43559" s="39"/>
      <c r="F43559" s="39"/>
    </row>
    <row r="43560">
      <c r="D43560" s="39"/>
      <c r="E43560" s="39"/>
      <c r="F43560" s="39"/>
    </row>
    <row r="43561">
      <c r="D43561" s="39"/>
      <c r="E43561" s="39"/>
      <c r="F43561" s="39"/>
    </row>
    <row r="43562">
      <c r="D43562" s="39"/>
      <c r="E43562" s="39"/>
      <c r="F43562" s="39"/>
    </row>
    <row r="43563">
      <c r="D43563" s="39"/>
      <c r="E43563" s="39"/>
      <c r="F43563" s="39"/>
    </row>
    <row r="43564">
      <c r="D43564" s="39"/>
      <c r="E43564" s="39"/>
      <c r="F43564" s="39"/>
    </row>
    <row r="43565">
      <c r="D43565" s="39"/>
      <c r="E43565" s="39"/>
      <c r="F43565" s="39"/>
    </row>
    <row r="43566">
      <c r="D43566" s="39"/>
      <c r="E43566" s="39"/>
      <c r="F43566" s="39"/>
    </row>
    <row r="43567">
      <c r="D43567" s="39"/>
      <c r="E43567" s="39"/>
      <c r="F43567" s="39"/>
    </row>
    <row r="43568">
      <c r="D43568" s="39"/>
      <c r="E43568" s="39"/>
      <c r="F43568" s="39"/>
    </row>
    <row r="43569">
      <c r="D43569" s="39"/>
      <c r="E43569" s="39"/>
      <c r="F43569" s="39"/>
    </row>
    <row r="43570">
      <c r="D43570" s="39"/>
      <c r="E43570" s="39"/>
      <c r="F43570" s="39"/>
    </row>
    <row r="43571">
      <c r="D43571" s="39"/>
      <c r="E43571" s="39"/>
      <c r="F43571" s="39"/>
    </row>
    <row r="43572">
      <c r="D43572" s="39"/>
      <c r="E43572" s="39"/>
      <c r="F43572" s="39"/>
    </row>
    <row r="43573">
      <c r="D43573" s="39"/>
      <c r="E43573" s="39"/>
      <c r="F43573" s="39"/>
    </row>
    <row r="43574">
      <c r="D43574" s="39"/>
      <c r="E43574" s="39"/>
      <c r="F43574" s="39"/>
    </row>
    <row r="43575">
      <c r="D43575" s="39"/>
      <c r="E43575" s="39"/>
      <c r="F43575" s="39"/>
    </row>
    <row r="43576">
      <c r="D43576" s="39"/>
      <c r="E43576" s="39"/>
      <c r="F43576" s="39"/>
    </row>
    <row r="43577">
      <c r="D43577" s="39"/>
      <c r="E43577" s="39"/>
      <c r="F43577" s="39"/>
    </row>
    <row r="43578">
      <c r="D43578" s="39"/>
      <c r="E43578" s="39"/>
      <c r="F43578" s="39"/>
    </row>
    <row r="43579">
      <c r="D43579" s="39"/>
      <c r="E43579" s="39"/>
      <c r="F43579" s="39"/>
    </row>
    <row r="43580">
      <c r="D43580" s="39"/>
      <c r="E43580" s="39"/>
      <c r="F43580" s="39"/>
    </row>
    <row r="43581">
      <c r="D43581" s="39"/>
      <c r="E43581" s="39"/>
      <c r="F43581" s="39"/>
    </row>
    <row r="43582">
      <c r="D43582" s="39"/>
      <c r="E43582" s="39"/>
      <c r="F43582" s="39"/>
    </row>
    <row r="43583">
      <c r="D43583" s="39"/>
      <c r="E43583" s="39"/>
      <c r="F43583" s="39"/>
    </row>
    <row r="43584">
      <c r="D43584" s="39"/>
      <c r="E43584" s="39"/>
      <c r="F43584" s="39"/>
    </row>
    <row r="43585">
      <c r="D43585" s="39"/>
      <c r="E43585" s="39"/>
      <c r="F43585" s="39"/>
    </row>
    <row r="43586">
      <c r="D43586" s="39"/>
      <c r="E43586" s="39"/>
      <c r="F43586" s="39"/>
    </row>
    <row r="43587">
      <c r="D43587" s="39"/>
      <c r="E43587" s="39"/>
      <c r="F43587" s="39"/>
    </row>
    <row r="43588">
      <c r="D43588" s="39"/>
      <c r="E43588" s="39"/>
      <c r="F43588" s="39"/>
    </row>
    <row r="43589">
      <c r="D43589" s="39"/>
      <c r="E43589" s="39"/>
      <c r="F43589" s="39"/>
    </row>
    <row r="43590">
      <c r="D43590" s="39"/>
      <c r="E43590" s="39"/>
      <c r="F43590" s="39"/>
    </row>
    <row r="43591">
      <c r="D43591" s="39"/>
      <c r="E43591" s="39"/>
      <c r="F43591" s="39"/>
    </row>
    <row r="43592">
      <c r="D43592" s="39"/>
      <c r="E43592" s="39"/>
      <c r="F43592" s="39"/>
    </row>
    <row r="43593">
      <c r="D43593" s="39"/>
      <c r="E43593" s="39"/>
      <c r="F43593" s="39"/>
    </row>
    <row r="43594">
      <c r="D43594" s="39"/>
      <c r="E43594" s="39"/>
      <c r="F43594" s="39"/>
    </row>
    <row r="43595">
      <c r="D43595" s="39"/>
      <c r="E43595" s="39"/>
      <c r="F43595" s="39"/>
    </row>
    <row r="43596">
      <c r="D43596" s="39"/>
      <c r="E43596" s="39"/>
      <c r="F43596" s="39"/>
    </row>
    <row r="43597">
      <c r="D43597" s="39"/>
      <c r="E43597" s="39"/>
      <c r="F43597" s="39"/>
    </row>
    <row r="43598">
      <c r="D43598" s="39"/>
      <c r="E43598" s="39"/>
      <c r="F43598" s="39"/>
    </row>
    <row r="43599">
      <c r="D43599" s="39"/>
      <c r="E43599" s="39"/>
      <c r="F43599" s="39"/>
    </row>
    <row r="43600">
      <c r="D43600" s="39"/>
      <c r="E43600" s="39"/>
      <c r="F43600" s="39"/>
    </row>
    <row r="43601">
      <c r="D43601" s="39"/>
      <c r="E43601" s="39"/>
      <c r="F43601" s="39"/>
    </row>
    <row r="43602">
      <c r="D43602" s="39"/>
      <c r="E43602" s="39"/>
      <c r="F43602" s="39"/>
    </row>
    <row r="43603">
      <c r="D43603" s="39"/>
      <c r="E43603" s="39"/>
      <c r="F43603" s="39"/>
    </row>
    <row r="43604">
      <c r="D43604" s="39"/>
      <c r="E43604" s="39"/>
      <c r="F43604" s="39"/>
    </row>
    <row r="43605">
      <c r="D43605" s="39"/>
      <c r="E43605" s="39"/>
      <c r="F43605" s="39"/>
    </row>
    <row r="43606">
      <c r="D43606" s="39"/>
      <c r="E43606" s="39"/>
      <c r="F43606" s="39"/>
    </row>
    <row r="43607">
      <c r="D43607" s="39"/>
      <c r="E43607" s="39"/>
      <c r="F43607" s="39"/>
    </row>
    <row r="43608">
      <c r="D43608" s="39"/>
      <c r="E43608" s="39"/>
      <c r="F43608" s="39"/>
    </row>
    <row r="43609">
      <c r="D43609" s="39"/>
      <c r="E43609" s="39"/>
      <c r="F43609" s="39"/>
    </row>
    <row r="43610">
      <c r="D43610" s="39"/>
      <c r="E43610" s="39"/>
      <c r="F43610" s="39"/>
    </row>
    <row r="43611">
      <c r="D43611" s="39"/>
      <c r="E43611" s="39"/>
      <c r="F43611" s="39"/>
    </row>
    <row r="43612">
      <c r="D43612" s="39"/>
      <c r="E43612" s="39"/>
      <c r="F43612" s="39"/>
    </row>
    <row r="43613">
      <c r="D43613" s="39"/>
      <c r="E43613" s="39"/>
      <c r="F43613" s="39"/>
    </row>
    <row r="43614">
      <c r="D43614" s="39"/>
      <c r="E43614" s="39"/>
      <c r="F43614" s="39"/>
    </row>
    <row r="43615">
      <c r="D43615" s="39"/>
      <c r="E43615" s="39"/>
      <c r="F43615" s="39"/>
    </row>
    <row r="43616">
      <c r="D43616" s="39"/>
      <c r="E43616" s="39"/>
      <c r="F43616" s="39"/>
    </row>
    <row r="43617">
      <c r="D43617" s="39"/>
      <c r="E43617" s="39"/>
      <c r="F43617" s="39"/>
    </row>
    <row r="43618">
      <c r="D43618" s="39"/>
      <c r="E43618" s="39"/>
      <c r="F43618" s="39"/>
    </row>
    <row r="43619">
      <c r="D43619" s="39"/>
      <c r="E43619" s="39"/>
      <c r="F43619" s="39"/>
    </row>
    <row r="43620">
      <c r="D43620" s="39"/>
      <c r="E43620" s="39"/>
      <c r="F43620" s="39"/>
    </row>
    <row r="43621">
      <c r="D43621" s="39"/>
      <c r="E43621" s="39"/>
      <c r="F43621" s="39"/>
    </row>
    <row r="43622">
      <c r="D43622" s="39"/>
      <c r="E43622" s="39"/>
      <c r="F43622" s="39"/>
    </row>
    <row r="43623">
      <c r="D43623" s="39"/>
      <c r="E43623" s="39"/>
      <c r="F43623" s="39"/>
    </row>
    <row r="43624">
      <c r="D43624" s="39"/>
      <c r="E43624" s="39"/>
      <c r="F43624" s="39"/>
    </row>
    <row r="43625">
      <c r="D43625" s="39"/>
      <c r="E43625" s="39"/>
      <c r="F43625" s="39"/>
    </row>
    <row r="43626">
      <c r="D43626" s="39"/>
      <c r="E43626" s="39"/>
      <c r="F43626" s="39"/>
    </row>
    <row r="43627">
      <c r="D43627" s="39"/>
      <c r="E43627" s="39"/>
      <c r="F43627" s="39"/>
    </row>
    <row r="43628">
      <c r="D43628" s="39"/>
      <c r="E43628" s="39"/>
      <c r="F43628" s="39"/>
    </row>
    <row r="43629">
      <c r="D43629" s="39"/>
      <c r="E43629" s="39"/>
      <c r="F43629" s="39"/>
    </row>
    <row r="43630">
      <c r="D43630" s="39"/>
      <c r="E43630" s="39"/>
      <c r="F43630" s="39"/>
    </row>
    <row r="43631">
      <c r="D43631" s="39"/>
      <c r="E43631" s="39"/>
      <c r="F43631" s="39"/>
    </row>
    <row r="43632">
      <c r="D43632" s="39"/>
      <c r="E43632" s="39"/>
      <c r="F43632" s="39"/>
    </row>
    <row r="43633">
      <c r="D43633" s="39"/>
      <c r="E43633" s="39"/>
      <c r="F43633" s="39"/>
    </row>
    <row r="43634">
      <c r="D43634" s="39"/>
      <c r="E43634" s="39"/>
      <c r="F43634" s="39"/>
    </row>
    <row r="43635">
      <c r="D43635" s="39"/>
      <c r="E43635" s="39"/>
      <c r="F43635" s="39"/>
    </row>
    <row r="43636">
      <c r="D43636" s="39"/>
      <c r="E43636" s="39"/>
      <c r="F43636" s="39"/>
    </row>
    <row r="43637">
      <c r="D43637" s="39"/>
      <c r="E43637" s="39"/>
      <c r="F43637" s="39"/>
    </row>
    <row r="43638">
      <c r="D43638" s="39"/>
      <c r="E43638" s="39"/>
      <c r="F43638" s="39"/>
    </row>
    <row r="43639">
      <c r="D43639" s="39"/>
      <c r="E43639" s="39"/>
      <c r="F43639" s="39"/>
    </row>
    <row r="43640">
      <c r="D43640" s="39"/>
      <c r="E43640" s="39"/>
      <c r="F43640" s="39"/>
    </row>
    <row r="43641">
      <c r="D43641" s="39"/>
      <c r="E43641" s="39"/>
      <c r="F43641" s="39"/>
    </row>
    <row r="43642">
      <c r="D43642" s="39"/>
      <c r="E43642" s="39"/>
      <c r="F43642" s="39"/>
    </row>
    <row r="43643">
      <c r="D43643" s="39"/>
      <c r="E43643" s="39"/>
      <c r="F43643" s="39"/>
    </row>
    <row r="43644">
      <c r="D43644" s="39"/>
      <c r="E43644" s="39"/>
      <c r="F43644" s="39"/>
    </row>
    <row r="43645">
      <c r="D43645" s="39"/>
      <c r="E43645" s="39"/>
      <c r="F43645" s="39"/>
    </row>
    <row r="43646">
      <c r="D43646" s="39"/>
      <c r="E43646" s="39"/>
      <c r="F43646" s="39"/>
    </row>
    <row r="43647">
      <c r="D43647" s="39"/>
      <c r="E43647" s="39"/>
      <c r="F43647" s="39"/>
    </row>
    <row r="43648">
      <c r="D43648" s="39"/>
      <c r="E43648" s="39"/>
      <c r="F43648" s="39"/>
    </row>
    <row r="43649">
      <c r="D43649" s="39"/>
      <c r="E43649" s="39"/>
      <c r="F43649" s="39"/>
    </row>
    <row r="43650">
      <c r="D43650" s="39"/>
      <c r="E43650" s="39"/>
      <c r="F43650" s="39"/>
    </row>
    <row r="43651">
      <c r="D43651" s="39"/>
      <c r="E43651" s="39"/>
      <c r="F43651" s="39"/>
    </row>
    <row r="43652">
      <c r="D43652" s="39"/>
      <c r="E43652" s="39"/>
      <c r="F43652" s="39"/>
    </row>
    <row r="43653">
      <c r="D43653" s="39"/>
      <c r="E43653" s="39"/>
      <c r="F43653" s="39"/>
    </row>
    <row r="43654">
      <c r="D43654" s="39"/>
      <c r="E43654" s="39"/>
      <c r="F43654" s="39"/>
    </row>
    <row r="43655">
      <c r="D43655" s="39"/>
      <c r="E43655" s="39"/>
      <c r="F43655" s="39"/>
    </row>
    <row r="43656">
      <c r="D43656" s="39"/>
      <c r="E43656" s="39"/>
      <c r="F43656" s="39"/>
    </row>
    <row r="43657">
      <c r="D43657" s="39"/>
      <c r="E43657" s="39"/>
      <c r="F43657" s="39"/>
    </row>
    <row r="43658">
      <c r="D43658" s="39"/>
      <c r="E43658" s="39"/>
      <c r="F43658" s="39"/>
    </row>
    <row r="43659">
      <c r="D43659" s="39"/>
      <c r="E43659" s="39"/>
      <c r="F43659" s="39"/>
    </row>
    <row r="43660">
      <c r="D43660" s="39"/>
      <c r="E43660" s="39"/>
      <c r="F43660" s="39"/>
    </row>
    <row r="43661">
      <c r="D43661" s="39"/>
      <c r="E43661" s="39"/>
      <c r="F43661" s="39"/>
    </row>
    <row r="43662">
      <c r="D43662" s="39"/>
      <c r="E43662" s="39"/>
      <c r="F43662" s="39"/>
    </row>
    <row r="43663">
      <c r="D43663" s="39"/>
      <c r="E43663" s="39"/>
      <c r="F43663" s="39"/>
    </row>
    <row r="43664">
      <c r="D43664" s="39"/>
      <c r="E43664" s="39"/>
      <c r="F43664" s="39"/>
    </row>
    <row r="43665">
      <c r="D43665" s="39"/>
      <c r="E43665" s="39"/>
      <c r="F43665" s="39"/>
    </row>
    <row r="43666">
      <c r="D43666" s="39"/>
      <c r="E43666" s="39"/>
      <c r="F43666" s="39"/>
    </row>
    <row r="43667">
      <c r="D43667" s="39"/>
      <c r="E43667" s="39"/>
      <c r="F43667" s="39"/>
    </row>
    <row r="43668">
      <c r="D43668" s="39"/>
      <c r="E43668" s="39"/>
      <c r="F43668" s="39"/>
    </row>
    <row r="43669">
      <c r="D43669" s="39"/>
      <c r="E43669" s="39"/>
      <c r="F43669" s="39"/>
    </row>
    <row r="43670">
      <c r="D43670" s="39"/>
      <c r="E43670" s="39"/>
      <c r="F43670" s="39"/>
    </row>
    <row r="43671">
      <c r="D43671" s="39"/>
      <c r="E43671" s="39"/>
      <c r="F43671" s="39"/>
    </row>
    <row r="43672">
      <c r="D43672" s="39"/>
      <c r="E43672" s="39"/>
      <c r="F43672" s="39"/>
    </row>
    <row r="43673">
      <c r="D43673" s="39"/>
      <c r="E43673" s="39"/>
      <c r="F43673" s="39"/>
    </row>
    <row r="43674">
      <c r="D43674" s="39"/>
      <c r="E43674" s="39"/>
      <c r="F43674" s="39"/>
    </row>
    <row r="43675">
      <c r="D43675" s="39"/>
      <c r="E43675" s="39"/>
      <c r="F43675" s="39"/>
    </row>
    <row r="43676">
      <c r="D43676" s="39"/>
      <c r="E43676" s="39"/>
      <c r="F43676" s="39"/>
    </row>
    <row r="43677">
      <c r="D43677" s="39"/>
      <c r="E43677" s="39"/>
      <c r="F43677" s="39"/>
    </row>
    <row r="43678">
      <c r="D43678" s="39"/>
      <c r="E43678" s="39"/>
      <c r="F43678" s="39"/>
    </row>
    <row r="43679">
      <c r="D43679" s="39"/>
      <c r="E43679" s="39"/>
      <c r="F43679" s="39"/>
    </row>
    <row r="43680">
      <c r="D43680" s="39"/>
      <c r="E43680" s="39"/>
      <c r="F43680" s="39"/>
    </row>
    <row r="43681">
      <c r="D43681" s="39"/>
      <c r="E43681" s="39"/>
      <c r="F43681" s="39"/>
    </row>
    <row r="43682">
      <c r="D43682" s="39"/>
      <c r="E43682" s="39"/>
      <c r="F43682" s="39"/>
    </row>
    <row r="43683">
      <c r="D43683" s="39"/>
      <c r="E43683" s="39"/>
      <c r="F43683" s="39"/>
    </row>
    <row r="43684">
      <c r="D43684" s="39"/>
      <c r="E43684" s="39"/>
      <c r="F43684" s="39"/>
    </row>
    <row r="43685">
      <c r="D43685" s="39"/>
      <c r="E43685" s="39"/>
      <c r="F43685" s="39"/>
    </row>
    <row r="43686">
      <c r="D43686" s="39"/>
      <c r="E43686" s="39"/>
      <c r="F43686" s="39"/>
    </row>
    <row r="43687">
      <c r="D43687" s="39"/>
      <c r="E43687" s="39"/>
      <c r="F43687" s="39"/>
    </row>
    <row r="43688">
      <c r="D43688" s="39"/>
      <c r="E43688" s="39"/>
      <c r="F43688" s="39"/>
    </row>
    <row r="43689">
      <c r="D43689" s="39"/>
      <c r="E43689" s="39"/>
      <c r="F43689" s="39"/>
    </row>
    <row r="43690">
      <c r="D43690" s="39"/>
      <c r="E43690" s="39"/>
      <c r="F43690" s="39"/>
    </row>
    <row r="43691">
      <c r="D43691" s="39"/>
      <c r="E43691" s="39"/>
      <c r="F43691" s="39"/>
    </row>
    <row r="43692">
      <c r="D43692" s="39"/>
      <c r="E43692" s="39"/>
      <c r="F43692" s="39"/>
    </row>
    <row r="43693">
      <c r="D43693" s="39"/>
      <c r="E43693" s="39"/>
      <c r="F43693" s="39"/>
    </row>
    <row r="43694">
      <c r="D43694" s="39"/>
      <c r="E43694" s="39"/>
      <c r="F43694" s="39"/>
    </row>
    <row r="43695">
      <c r="D43695" s="39"/>
      <c r="E43695" s="39"/>
      <c r="F43695" s="39"/>
    </row>
    <row r="43696">
      <c r="D43696" s="39"/>
      <c r="E43696" s="39"/>
      <c r="F43696" s="39"/>
    </row>
    <row r="43697">
      <c r="D43697" s="39"/>
      <c r="E43697" s="39"/>
      <c r="F43697" s="39"/>
    </row>
    <row r="43698">
      <c r="D43698" s="39"/>
      <c r="E43698" s="39"/>
      <c r="F43698" s="39"/>
    </row>
    <row r="43699">
      <c r="D43699" s="39"/>
      <c r="E43699" s="39"/>
      <c r="F43699" s="39"/>
    </row>
    <row r="43700">
      <c r="D43700" s="39"/>
      <c r="E43700" s="39"/>
      <c r="F43700" s="39"/>
    </row>
    <row r="43701">
      <c r="D43701" s="39"/>
      <c r="E43701" s="39"/>
      <c r="F43701" s="39"/>
    </row>
    <row r="43702">
      <c r="D43702" s="39"/>
      <c r="E43702" s="39"/>
      <c r="F43702" s="39"/>
    </row>
    <row r="43703">
      <c r="D43703" s="39"/>
      <c r="E43703" s="39"/>
      <c r="F43703" s="39"/>
    </row>
    <row r="43704">
      <c r="D43704" s="39"/>
      <c r="E43704" s="39"/>
      <c r="F43704" s="39"/>
    </row>
    <row r="43705">
      <c r="D43705" s="39"/>
      <c r="E43705" s="39"/>
      <c r="F43705" s="39"/>
    </row>
    <row r="43706">
      <c r="D43706" s="39"/>
      <c r="E43706" s="39"/>
      <c r="F43706" s="39"/>
    </row>
    <row r="43707">
      <c r="D43707" s="39"/>
      <c r="E43707" s="39"/>
      <c r="F43707" s="39"/>
    </row>
    <row r="43708">
      <c r="D43708" s="39"/>
      <c r="E43708" s="39"/>
      <c r="F43708" s="39"/>
    </row>
    <row r="43709">
      <c r="D43709" s="39"/>
      <c r="E43709" s="39"/>
      <c r="F43709" s="39"/>
    </row>
    <row r="43710">
      <c r="D43710" s="39"/>
      <c r="E43710" s="39"/>
      <c r="F43710" s="39"/>
    </row>
    <row r="43711">
      <c r="D43711" s="39"/>
      <c r="E43711" s="39"/>
      <c r="F43711" s="39"/>
    </row>
    <row r="43712">
      <c r="D43712" s="39"/>
      <c r="E43712" s="39"/>
      <c r="F43712" s="39"/>
    </row>
    <row r="43713">
      <c r="D43713" s="39"/>
      <c r="E43713" s="39"/>
      <c r="F43713" s="39"/>
    </row>
    <row r="43714">
      <c r="D43714" s="39"/>
      <c r="E43714" s="39"/>
      <c r="F43714" s="39"/>
    </row>
    <row r="43715">
      <c r="D43715" s="39"/>
      <c r="E43715" s="39"/>
      <c r="F43715" s="39"/>
    </row>
    <row r="43716">
      <c r="D43716" s="39"/>
      <c r="E43716" s="39"/>
      <c r="F43716" s="39"/>
    </row>
    <row r="43717">
      <c r="D43717" s="39"/>
      <c r="E43717" s="39"/>
      <c r="F43717" s="39"/>
    </row>
    <row r="43718">
      <c r="D43718" s="39"/>
      <c r="E43718" s="39"/>
      <c r="F43718" s="39"/>
    </row>
    <row r="43719">
      <c r="D43719" s="39"/>
      <c r="E43719" s="39"/>
      <c r="F43719" s="39"/>
    </row>
    <row r="43720">
      <c r="D43720" s="39"/>
      <c r="E43720" s="39"/>
      <c r="F43720" s="39"/>
    </row>
    <row r="43721">
      <c r="D43721" s="39"/>
      <c r="E43721" s="39"/>
      <c r="F43721" s="39"/>
    </row>
    <row r="43722">
      <c r="D43722" s="39"/>
      <c r="E43722" s="39"/>
      <c r="F43722" s="39"/>
    </row>
    <row r="43723">
      <c r="D43723" s="39"/>
      <c r="E43723" s="39"/>
      <c r="F43723" s="39"/>
    </row>
    <row r="43724">
      <c r="D43724" s="39"/>
      <c r="E43724" s="39"/>
      <c r="F43724" s="39"/>
    </row>
    <row r="43725">
      <c r="D43725" s="39"/>
      <c r="E43725" s="39"/>
      <c r="F43725" s="39"/>
    </row>
    <row r="43726">
      <c r="D43726" s="39"/>
      <c r="E43726" s="39"/>
      <c r="F43726" s="39"/>
    </row>
    <row r="43727">
      <c r="D43727" s="39"/>
      <c r="E43727" s="39"/>
      <c r="F43727" s="39"/>
    </row>
    <row r="43728">
      <c r="D43728" s="39"/>
      <c r="E43728" s="39"/>
      <c r="F43728" s="39"/>
    </row>
    <row r="43729">
      <c r="D43729" s="39"/>
      <c r="E43729" s="39"/>
      <c r="F43729" s="39"/>
    </row>
    <row r="43730">
      <c r="D43730" s="39"/>
      <c r="E43730" s="39"/>
      <c r="F43730" s="39"/>
    </row>
    <row r="43731">
      <c r="D43731" s="39"/>
      <c r="E43731" s="39"/>
      <c r="F43731" s="39"/>
    </row>
    <row r="43732">
      <c r="D43732" s="39"/>
      <c r="E43732" s="39"/>
      <c r="F43732" s="39"/>
    </row>
    <row r="43733">
      <c r="D43733" s="39"/>
      <c r="E43733" s="39"/>
      <c r="F43733" s="39"/>
    </row>
    <row r="43734">
      <c r="D43734" s="39"/>
      <c r="E43734" s="39"/>
      <c r="F43734" s="39"/>
    </row>
    <row r="43735">
      <c r="D43735" s="39"/>
      <c r="E43735" s="39"/>
      <c r="F43735" s="39"/>
    </row>
    <row r="43736">
      <c r="D43736" s="39"/>
      <c r="E43736" s="39"/>
      <c r="F43736" s="39"/>
    </row>
    <row r="43737">
      <c r="D43737" s="39"/>
      <c r="E43737" s="39"/>
      <c r="F43737" s="39"/>
    </row>
    <row r="43738">
      <c r="D43738" s="39"/>
      <c r="E43738" s="39"/>
      <c r="F43738" s="39"/>
    </row>
    <row r="43739">
      <c r="D43739" s="39"/>
      <c r="E43739" s="39"/>
      <c r="F43739" s="39"/>
    </row>
    <row r="43740">
      <c r="D43740" s="39"/>
      <c r="E43740" s="39"/>
      <c r="F43740" s="39"/>
    </row>
    <row r="43741">
      <c r="D43741" s="39"/>
      <c r="E43741" s="39"/>
      <c r="F43741" s="39"/>
    </row>
    <row r="43742">
      <c r="D43742" s="39"/>
      <c r="E43742" s="39"/>
      <c r="F43742" s="39"/>
    </row>
    <row r="43743">
      <c r="D43743" s="39"/>
      <c r="E43743" s="39"/>
      <c r="F43743" s="39"/>
    </row>
    <row r="43744">
      <c r="D43744" s="39"/>
      <c r="E43744" s="39"/>
      <c r="F43744" s="39"/>
    </row>
    <row r="43745">
      <c r="D43745" s="39"/>
      <c r="E43745" s="39"/>
      <c r="F43745" s="39"/>
    </row>
    <row r="43746">
      <c r="D43746" s="39"/>
      <c r="E43746" s="39"/>
      <c r="F43746" s="39"/>
    </row>
    <row r="43747">
      <c r="D43747" s="39"/>
      <c r="E43747" s="39"/>
      <c r="F43747" s="39"/>
    </row>
    <row r="43748">
      <c r="D43748" s="39"/>
      <c r="E43748" s="39"/>
      <c r="F43748" s="39"/>
    </row>
    <row r="43749">
      <c r="D43749" s="39"/>
      <c r="E43749" s="39"/>
      <c r="F43749" s="39"/>
    </row>
    <row r="43750">
      <c r="D43750" s="39"/>
      <c r="E43750" s="39"/>
      <c r="F43750" s="39"/>
    </row>
    <row r="43751">
      <c r="D43751" s="39"/>
      <c r="E43751" s="39"/>
      <c r="F43751" s="39"/>
    </row>
    <row r="43752">
      <c r="D43752" s="39"/>
      <c r="E43752" s="39"/>
      <c r="F43752" s="39"/>
    </row>
    <row r="43753">
      <c r="D43753" s="39"/>
      <c r="E43753" s="39"/>
      <c r="F43753" s="39"/>
    </row>
    <row r="43754">
      <c r="D43754" s="39"/>
      <c r="E43754" s="39"/>
      <c r="F43754" s="39"/>
    </row>
    <row r="43755">
      <c r="D43755" s="39"/>
      <c r="E43755" s="39"/>
      <c r="F43755" s="39"/>
    </row>
    <row r="43756">
      <c r="D43756" s="39"/>
      <c r="E43756" s="39"/>
      <c r="F43756" s="39"/>
    </row>
    <row r="43757">
      <c r="D43757" s="39"/>
      <c r="E43757" s="39"/>
      <c r="F43757" s="39"/>
    </row>
    <row r="43758">
      <c r="D43758" s="39"/>
      <c r="E43758" s="39"/>
      <c r="F43758" s="39"/>
    </row>
    <row r="43759">
      <c r="D43759" s="39"/>
      <c r="E43759" s="39"/>
      <c r="F43759" s="39"/>
    </row>
    <row r="43760">
      <c r="D43760" s="39"/>
      <c r="E43760" s="39"/>
      <c r="F43760" s="39"/>
    </row>
    <row r="43761">
      <c r="D43761" s="39"/>
      <c r="E43761" s="39"/>
      <c r="F43761" s="39"/>
    </row>
    <row r="43762">
      <c r="D43762" s="39"/>
      <c r="E43762" s="39"/>
      <c r="F43762" s="39"/>
    </row>
    <row r="43763">
      <c r="D43763" s="39"/>
      <c r="E43763" s="39"/>
      <c r="F43763" s="39"/>
    </row>
    <row r="43764">
      <c r="D43764" s="39"/>
      <c r="E43764" s="39"/>
      <c r="F43764" s="39"/>
    </row>
    <row r="43765">
      <c r="D43765" s="39"/>
      <c r="E43765" s="39"/>
      <c r="F43765" s="39"/>
    </row>
    <row r="43766">
      <c r="D43766" s="39"/>
      <c r="E43766" s="39"/>
      <c r="F43766" s="39"/>
    </row>
    <row r="43767">
      <c r="D43767" s="39"/>
      <c r="E43767" s="39"/>
      <c r="F43767" s="39"/>
    </row>
    <row r="43768">
      <c r="D43768" s="39"/>
      <c r="E43768" s="39"/>
      <c r="F43768" s="39"/>
    </row>
    <row r="43769">
      <c r="D43769" s="39"/>
      <c r="E43769" s="39"/>
      <c r="F43769" s="39"/>
    </row>
    <row r="43770">
      <c r="D43770" s="39"/>
      <c r="E43770" s="39"/>
      <c r="F43770" s="39"/>
    </row>
    <row r="43771">
      <c r="D43771" s="39"/>
      <c r="E43771" s="39"/>
      <c r="F43771" s="39"/>
    </row>
    <row r="43772">
      <c r="D43772" s="39"/>
      <c r="E43772" s="39"/>
      <c r="F43772" s="39"/>
    </row>
    <row r="43773">
      <c r="D43773" s="39"/>
      <c r="E43773" s="39"/>
      <c r="F43773" s="39"/>
    </row>
    <row r="43774">
      <c r="D43774" s="39"/>
      <c r="E43774" s="39"/>
      <c r="F43774" s="39"/>
    </row>
    <row r="43775">
      <c r="D43775" s="39"/>
      <c r="E43775" s="39"/>
      <c r="F43775" s="39"/>
    </row>
    <row r="43776">
      <c r="D43776" s="39"/>
      <c r="E43776" s="39"/>
      <c r="F43776" s="39"/>
    </row>
    <row r="43777">
      <c r="D43777" s="39"/>
      <c r="E43777" s="39"/>
      <c r="F43777" s="39"/>
    </row>
    <row r="43778">
      <c r="D43778" s="39"/>
      <c r="E43778" s="39"/>
      <c r="F43778" s="39"/>
    </row>
    <row r="43779">
      <c r="D43779" s="39"/>
      <c r="E43779" s="39"/>
      <c r="F43779" s="39"/>
    </row>
    <row r="43780">
      <c r="D43780" s="39"/>
      <c r="E43780" s="39"/>
      <c r="F43780" s="39"/>
    </row>
    <row r="43781">
      <c r="D43781" s="39"/>
      <c r="E43781" s="39"/>
      <c r="F43781" s="39"/>
    </row>
    <row r="43782">
      <c r="D43782" s="39"/>
      <c r="E43782" s="39"/>
      <c r="F43782" s="39"/>
    </row>
    <row r="43783">
      <c r="D43783" s="39"/>
      <c r="E43783" s="39"/>
      <c r="F43783" s="39"/>
    </row>
    <row r="43784">
      <c r="D43784" s="39"/>
      <c r="E43784" s="39"/>
      <c r="F43784" s="39"/>
    </row>
    <row r="43785">
      <c r="D43785" s="39"/>
      <c r="E43785" s="39"/>
      <c r="F43785" s="39"/>
    </row>
    <row r="43786">
      <c r="D43786" s="39"/>
      <c r="E43786" s="39"/>
      <c r="F43786" s="39"/>
    </row>
    <row r="43787">
      <c r="D43787" s="39"/>
      <c r="E43787" s="39"/>
      <c r="F43787" s="39"/>
    </row>
    <row r="43788">
      <c r="D43788" s="39"/>
      <c r="E43788" s="39"/>
      <c r="F43788" s="39"/>
    </row>
    <row r="43789">
      <c r="D43789" s="39"/>
      <c r="E43789" s="39"/>
      <c r="F43789" s="39"/>
    </row>
    <row r="43790">
      <c r="D43790" s="39"/>
      <c r="E43790" s="39"/>
      <c r="F43790" s="39"/>
    </row>
    <row r="43791">
      <c r="D43791" s="39"/>
      <c r="E43791" s="39"/>
      <c r="F43791" s="39"/>
    </row>
    <row r="43792">
      <c r="D43792" s="39"/>
      <c r="E43792" s="39"/>
      <c r="F43792" s="39"/>
    </row>
    <row r="43793">
      <c r="D43793" s="39"/>
      <c r="E43793" s="39"/>
      <c r="F43793" s="39"/>
    </row>
    <row r="43794">
      <c r="D43794" s="39"/>
      <c r="E43794" s="39"/>
      <c r="F43794" s="39"/>
    </row>
    <row r="43795">
      <c r="D43795" s="39"/>
      <c r="E43795" s="39"/>
      <c r="F43795" s="39"/>
    </row>
    <row r="43796">
      <c r="D43796" s="39"/>
      <c r="E43796" s="39"/>
      <c r="F43796" s="39"/>
    </row>
    <row r="43797">
      <c r="D43797" s="39"/>
      <c r="E43797" s="39"/>
      <c r="F43797" s="39"/>
    </row>
    <row r="43798">
      <c r="D43798" s="39"/>
      <c r="E43798" s="39"/>
      <c r="F43798" s="39"/>
    </row>
    <row r="43799">
      <c r="D43799" s="39"/>
      <c r="E43799" s="39"/>
      <c r="F43799" s="39"/>
    </row>
    <row r="43800">
      <c r="D43800" s="39"/>
      <c r="E43800" s="39"/>
      <c r="F43800" s="39"/>
    </row>
    <row r="43801">
      <c r="D43801" s="39"/>
      <c r="E43801" s="39"/>
      <c r="F43801" s="39"/>
    </row>
    <row r="43802">
      <c r="D43802" s="39"/>
      <c r="E43802" s="39"/>
      <c r="F43802" s="39"/>
    </row>
    <row r="43803">
      <c r="D43803" s="39"/>
      <c r="E43803" s="39"/>
      <c r="F43803" s="39"/>
    </row>
    <row r="43804">
      <c r="D43804" s="39"/>
      <c r="E43804" s="39"/>
      <c r="F43804" s="39"/>
    </row>
    <row r="43805">
      <c r="D43805" s="39"/>
      <c r="E43805" s="39"/>
      <c r="F43805" s="39"/>
    </row>
    <row r="43806">
      <c r="D43806" s="39"/>
      <c r="E43806" s="39"/>
      <c r="F43806" s="39"/>
    </row>
    <row r="43807">
      <c r="D43807" s="39"/>
      <c r="E43807" s="39"/>
      <c r="F43807" s="39"/>
    </row>
    <row r="43808">
      <c r="D43808" s="39"/>
      <c r="E43808" s="39"/>
      <c r="F43808" s="39"/>
    </row>
    <row r="43809">
      <c r="D43809" s="39"/>
      <c r="E43809" s="39"/>
      <c r="F43809" s="39"/>
    </row>
    <row r="43810">
      <c r="D43810" s="39"/>
      <c r="E43810" s="39"/>
      <c r="F43810" s="39"/>
    </row>
    <row r="43811">
      <c r="D43811" s="39"/>
      <c r="E43811" s="39"/>
      <c r="F43811" s="39"/>
    </row>
    <row r="43812">
      <c r="D43812" s="39"/>
      <c r="E43812" s="39"/>
      <c r="F43812" s="39"/>
    </row>
    <row r="43813">
      <c r="D43813" s="39"/>
      <c r="E43813" s="39"/>
      <c r="F43813" s="39"/>
    </row>
    <row r="43814">
      <c r="D43814" s="39"/>
      <c r="E43814" s="39"/>
      <c r="F43814" s="39"/>
    </row>
    <row r="43815">
      <c r="D43815" s="39"/>
      <c r="E43815" s="39"/>
      <c r="F43815" s="39"/>
    </row>
    <row r="43816">
      <c r="D43816" s="39"/>
      <c r="E43816" s="39"/>
      <c r="F43816" s="39"/>
    </row>
    <row r="43817">
      <c r="D43817" s="39"/>
      <c r="E43817" s="39"/>
      <c r="F43817" s="39"/>
    </row>
    <row r="43818">
      <c r="D43818" s="39"/>
      <c r="E43818" s="39"/>
      <c r="F43818" s="39"/>
    </row>
    <row r="43819">
      <c r="D43819" s="39"/>
      <c r="E43819" s="39"/>
      <c r="F43819" s="39"/>
    </row>
    <row r="43820">
      <c r="D43820" s="39"/>
      <c r="E43820" s="39"/>
      <c r="F43820" s="39"/>
    </row>
    <row r="43821">
      <c r="D43821" s="39"/>
      <c r="E43821" s="39"/>
      <c r="F43821" s="39"/>
    </row>
    <row r="43822">
      <c r="D43822" s="39"/>
      <c r="E43822" s="39"/>
      <c r="F43822" s="39"/>
    </row>
    <row r="43823">
      <c r="D43823" s="39"/>
      <c r="E43823" s="39"/>
      <c r="F43823" s="39"/>
    </row>
    <row r="43824">
      <c r="D43824" s="39"/>
      <c r="E43824" s="39"/>
      <c r="F43824" s="39"/>
    </row>
    <row r="43825">
      <c r="D43825" s="39"/>
      <c r="E43825" s="39"/>
      <c r="F43825" s="39"/>
    </row>
    <row r="43826">
      <c r="D43826" s="39"/>
      <c r="E43826" s="39"/>
      <c r="F43826" s="39"/>
    </row>
    <row r="43827">
      <c r="D43827" s="39"/>
      <c r="E43827" s="39"/>
      <c r="F43827" s="39"/>
    </row>
    <row r="43828">
      <c r="D43828" s="39"/>
      <c r="E43828" s="39"/>
      <c r="F43828" s="39"/>
    </row>
    <row r="43829">
      <c r="D43829" s="39"/>
      <c r="E43829" s="39"/>
      <c r="F43829" s="39"/>
    </row>
    <row r="43830">
      <c r="D43830" s="39"/>
      <c r="E43830" s="39"/>
      <c r="F43830" s="39"/>
    </row>
    <row r="43831">
      <c r="D43831" s="39"/>
      <c r="E43831" s="39"/>
      <c r="F43831" s="39"/>
    </row>
    <row r="43832">
      <c r="D43832" s="39"/>
      <c r="E43832" s="39"/>
      <c r="F43832" s="39"/>
    </row>
    <row r="43833">
      <c r="D43833" s="39"/>
      <c r="E43833" s="39"/>
      <c r="F43833" s="39"/>
    </row>
    <row r="43834">
      <c r="D43834" s="39"/>
      <c r="E43834" s="39"/>
      <c r="F43834" s="39"/>
    </row>
    <row r="43835">
      <c r="D43835" s="39"/>
      <c r="E43835" s="39"/>
      <c r="F43835" s="39"/>
    </row>
    <row r="43836">
      <c r="D43836" s="39"/>
      <c r="E43836" s="39"/>
      <c r="F43836" s="39"/>
    </row>
    <row r="43837">
      <c r="D43837" s="39"/>
      <c r="E43837" s="39"/>
      <c r="F43837" s="39"/>
    </row>
    <row r="43838">
      <c r="D43838" s="39"/>
      <c r="E43838" s="39"/>
      <c r="F43838" s="39"/>
    </row>
    <row r="43839">
      <c r="D43839" s="39"/>
      <c r="E43839" s="39"/>
      <c r="F43839" s="39"/>
    </row>
    <row r="43840">
      <c r="D43840" s="39"/>
      <c r="E43840" s="39"/>
      <c r="F43840" s="39"/>
    </row>
    <row r="43841">
      <c r="D43841" s="39"/>
      <c r="E43841" s="39"/>
      <c r="F43841" s="39"/>
    </row>
    <row r="43842">
      <c r="D43842" s="39"/>
      <c r="E43842" s="39"/>
      <c r="F43842" s="39"/>
    </row>
    <row r="43843">
      <c r="D43843" s="39"/>
      <c r="E43843" s="39"/>
      <c r="F43843" s="39"/>
    </row>
    <row r="43844">
      <c r="D43844" s="39"/>
      <c r="E43844" s="39"/>
      <c r="F43844" s="39"/>
    </row>
    <row r="43845">
      <c r="D43845" s="39"/>
      <c r="E43845" s="39"/>
      <c r="F43845" s="39"/>
    </row>
    <row r="43846">
      <c r="D43846" s="39"/>
      <c r="E43846" s="39"/>
      <c r="F43846" s="39"/>
    </row>
    <row r="43847">
      <c r="D43847" s="39"/>
      <c r="E43847" s="39"/>
      <c r="F43847" s="39"/>
    </row>
    <row r="43848">
      <c r="D43848" s="39"/>
      <c r="E43848" s="39"/>
      <c r="F43848" s="39"/>
    </row>
    <row r="43849">
      <c r="D43849" s="39"/>
      <c r="E43849" s="39"/>
      <c r="F43849" s="39"/>
    </row>
    <row r="43850">
      <c r="D43850" s="39"/>
      <c r="E43850" s="39"/>
      <c r="F43850" s="39"/>
    </row>
    <row r="43851">
      <c r="D43851" s="39"/>
      <c r="E43851" s="39"/>
      <c r="F43851" s="39"/>
    </row>
    <row r="43852">
      <c r="D43852" s="39"/>
      <c r="E43852" s="39"/>
      <c r="F43852" s="39"/>
    </row>
    <row r="43853">
      <c r="D43853" s="39"/>
      <c r="E43853" s="39"/>
      <c r="F43853" s="39"/>
    </row>
    <row r="43854">
      <c r="D43854" s="39"/>
      <c r="E43854" s="39"/>
      <c r="F43854" s="39"/>
    </row>
    <row r="43855">
      <c r="D43855" s="39"/>
      <c r="E43855" s="39"/>
      <c r="F43855" s="39"/>
    </row>
    <row r="43856">
      <c r="D43856" s="39"/>
      <c r="E43856" s="39"/>
      <c r="F43856" s="39"/>
    </row>
    <row r="43857">
      <c r="D43857" s="39"/>
      <c r="E43857" s="39"/>
      <c r="F43857" s="39"/>
    </row>
    <row r="43858">
      <c r="D43858" s="39"/>
      <c r="E43858" s="39"/>
      <c r="F43858" s="39"/>
    </row>
    <row r="43859">
      <c r="D43859" s="39"/>
      <c r="E43859" s="39"/>
      <c r="F43859" s="39"/>
    </row>
    <row r="43860">
      <c r="D43860" s="39"/>
      <c r="E43860" s="39"/>
      <c r="F43860" s="39"/>
    </row>
    <row r="43861">
      <c r="D43861" s="39"/>
      <c r="E43861" s="39"/>
      <c r="F43861" s="39"/>
    </row>
    <row r="43862">
      <c r="D43862" s="39"/>
      <c r="E43862" s="39"/>
      <c r="F43862" s="39"/>
    </row>
    <row r="43863">
      <c r="D43863" s="39"/>
      <c r="E43863" s="39"/>
      <c r="F43863" s="39"/>
    </row>
    <row r="43864">
      <c r="D43864" s="39"/>
      <c r="E43864" s="39"/>
      <c r="F43864" s="39"/>
    </row>
    <row r="43865">
      <c r="D43865" s="39"/>
      <c r="E43865" s="39"/>
      <c r="F43865" s="39"/>
    </row>
    <row r="43866">
      <c r="D43866" s="39"/>
      <c r="E43866" s="39"/>
      <c r="F43866" s="39"/>
    </row>
    <row r="43867">
      <c r="D43867" s="39"/>
      <c r="E43867" s="39"/>
      <c r="F43867" s="39"/>
    </row>
    <row r="43868">
      <c r="D43868" s="39"/>
      <c r="E43868" s="39"/>
      <c r="F43868" s="39"/>
    </row>
    <row r="43869">
      <c r="D43869" s="39"/>
      <c r="E43869" s="39"/>
      <c r="F43869" s="39"/>
    </row>
    <row r="43870">
      <c r="D43870" s="39"/>
      <c r="E43870" s="39"/>
      <c r="F43870" s="39"/>
    </row>
    <row r="43871">
      <c r="D43871" s="39"/>
      <c r="E43871" s="39"/>
      <c r="F43871" s="39"/>
    </row>
    <row r="43872">
      <c r="D43872" s="39"/>
      <c r="E43872" s="39"/>
      <c r="F43872" s="39"/>
    </row>
    <row r="43873">
      <c r="D43873" s="39"/>
      <c r="E43873" s="39"/>
      <c r="F43873" s="39"/>
    </row>
    <row r="43874">
      <c r="D43874" s="39"/>
      <c r="E43874" s="39"/>
      <c r="F43874" s="39"/>
    </row>
    <row r="43875">
      <c r="D43875" s="39"/>
      <c r="E43875" s="39"/>
      <c r="F43875" s="39"/>
    </row>
    <row r="43876">
      <c r="D43876" s="39"/>
      <c r="E43876" s="39"/>
      <c r="F43876" s="39"/>
    </row>
    <row r="43877">
      <c r="D43877" s="39"/>
      <c r="E43877" s="39"/>
      <c r="F43877" s="39"/>
    </row>
    <row r="43878">
      <c r="D43878" s="39"/>
      <c r="E43878" s="39"/>
      <c r="F43878" s="39"/>
    </row>
    <row r="43879">
      <c r="D43879" s="39"/>
      <c r="E43879" s="39"/>
      <c r="F43879" s="39"/>
    </row>
    <row r="43880">
      <c r="D43880" s="39"/>
      <c r="E43880" s="39"/>
      <c r="F43880" s="39"/>
    </row>
    <row r="43881">
      <c r="D43881" s="39"/>
      <c r="E43881" s="39"/>
      <c r="F43881" s="39"/>
    </row>
    <row r="43882">
      <c r="D43882" s="39"/>
      <c r="E43882" s="39"/>
      <c r="F43882" s="39"/>
    </row>
    <row r="43883">
      <c r="D43883" s="39"/>
      <c r="E43883" s="39"/>
      <c r="F43883" s="39"/>
    </row>
    <row r="43884">
      <c r="D43884" s="39"/>
      <c r="E43884" s="39"/>
      <c r="F43884" s="39"/>
    </row>
    <row r="43885">
      <c r="D43885" s="39"/>
      <c r="E43885" s="39"/>
      <c r="F43885" s="39"/>
    </row>
    <row r="43886">
      <c r="D43886" s="39"/>
      <c r="E43886" s="39"/>
      <c r="F43886" s="39"/>
    </row>
    <row r="43887">
      <c r="D43887" s="39"/>
      <c r="E43887" s="39"/>
      <c r="F43887" s="39"/>
    </row>
    <row r="43888">
      <c r="D43888" s="39"/>
      <c r="E43888" s="39"/>
      <c r="F43888" s="39"/>
    </row>
    <row r="43889">
      <c r="D43889" s="39"/>
      <c r="E43889" s="39"/>
      <c r="F43889" s="39"/>
    </row>
    <row r="43890">
      <c r="D43890" s="39"/>
      <c r="E43890" s="39"/>
      <c r="F43890" s="39"/>
    </row>
    <row r="43891">
      <c r="D43891" s="39"/>
      <c r="E43891" s="39"/>
      <c r="F43891" s="39"/>
    </row>
    <row r="43892">
      <c r="D43892" s="39"/>
      <c r="E43892" s="39"/>
      <c r="F43892" s="39"/>
    </row>
    <row r="43893">
      <c r="D43893" s="39"/>
      <c r="E43893" s="39"/>
      <c r="F43893" s="39"/>
    </row>
    <row r="43894">
      <c r="D43894" s="39"/>
      <c r="E43894" s="39"/>
      <c r="F43894" s="39"/>
    </row>
    <row r="43895">
      <c r="D43895" s="39"/>
      <c r="E43895" s="39"/>
      <c r="F43895" s="39"/>
    </row>
    <row r="43896">
      <c r="D43896" s="39"/>
      <c r="E43896" s="39"/>
      <c r="F43896" s="39"/>
    </row>
    <row r="43897">
      <c r="D43897" s="39"/>
      <c r="E43897" s="39"/>
      <c r="F43897" s="39"/>
    </row>
    <row r="43898">
      <c r="D43898" s="39"/>
      <c r="E43898" s="39"/>
      <c r="F43898" s="39"/>
    </row>
    <row r="43899">
      <c r="D43899" s="39"/>
      <c r="E43899" s="39"/>
      <c r="F43899" s="39"/>
    </row>
    <row r="43900">
      <c r="D43900" s="39"/>
      <c r="E43900" s="39"/>
      <c r="F43900" s="39"/>
    </row>
    <row r="43901">
      <c r="D43901" s="39"/>
      <c r="E43901" s="39"/>
      <c r="F43901" s="39"/>
    </row>
    <row r="43902">
      <c r="D43902" s="39"/>
      <c r="E43902" s="39"/>
      <c r="F43902" s="39"/>
    </row>
    <row r="43903">
      <c r="D43903" s="39"/>
      <c r="E43903" s="39"/>
      <c r="F43903" s="39"/>
    </row>
    <row r="43904">
      <c r="D43904" s="39"/>
      <c r="E43904" s="39"/>
      <c r="F43904" s="39"/>
    </row>
    <row r="43905">
      <c r="D43905" s="39"/>
      <c r="E43905" s="39"/>
      <c r="F43905" s="39"/>
    </row>
    <row r="43906">
      <c r="D43906" s="39"/>
      <c r="E43906" s="39"/>
      <c r="F43906" s="39"/>
    </row>
    <row r="43907">
      <c r="D43907" s="39"/>
      <c r="E43907" s="39"/>
      <c r="F43907" s="39"/>
    </row>
    <row r="43908">
      <c r="D43908" s="39"/>
      <c r="E43908" s="39"/>
      <c r="F43908" s="39"/>
    </row>
    <row r="43909">
      <c r="D43909" s="39"/>
      <c r="E43909" s="39"/>
      <c r="F43909" s="39"/>
    </row>
    <row r="43910">
      <c r="D43910" s="39"/>
      <c r="E43910" s="39"/>
      <c r="F43910" s="39"/>
    </row>
    <row r="43911">
      <c r="D43911" s="39"/>
      <c r="E43911" s="39"/>
      <c r="F43911" s="39"/>
    </row>
    <row r="43912">
      <c r="D43912" s="39"/>
      <c r="E43912" s="39"/>
      <c r="F43912" s="39"/>
    </row>
    <row r="43913">
      <c r="D43913" s="39"/>
      <c r="E43913" s="39"/>
      <c r="F43913" s="39"/>
    </row>
    <row r="43914">
      <c r="D43914" s="39"/>
      <c r="E43914" s="39"/>
      <c r="F43914" s="39"/>
    </row>
    <row r="43915">
      <c r="D43915" s="39"/>
      <c r="E43915" s="39"/>
      <c r="F43915" s="39"/>
    </row>
    <row r="43916">
      <c r="D43916" s="39"/>
      <c r="E43916" s="39"/>
      <c r="F43916" s="39"/>
    </row>
    <row r="43917">
      <c r="D43917" s="39"/>
      <c r="E43917" s="39"/>
      <c r="F43917" s="39"/>
    </row>
    <row r="43918">
      <c r="D43918" s="39"/>
      <c r="E43918" s="39"/>
      <c r="F43918" s="39"/>
    </row>
    <row r="43919">
      <c r="D43919" s="39"/>
      <c r="E43919" s="39"/>
      <c r="F43919" s="39"/>
    </row>
    <row r="43920">
      <c r="D43920" s="39"/>
      <c r="E43920" s="39"/>
      <c r="F43920" s="39"/>
    </row>
    <row r="43921">
      <c r="D43921" s="39"/>
      <c r="E43921" s="39"/>
      <c r="F43921" s="39"/>
    </row>
    <row r="43922">
      <c r="D43922" s="39"/>
      <c r="E43922" s="39"/>
      <c r="F43922" s="39"/>
    </row>
    <row r="43923">
      <c r="D43923" s="39"/>
      <c r="E43923" s="39"/>
      <c r="F43923" s="39"/>
    </row>
    <row r="43924">
      <c r="D43924" s="39"/>
      <c r="E43924" s="39"/>
      <c r="F43924" s="39"/>
    </row>
    <row r="43925">
      <c r="D43925" s="39"/>
      <c r="E43925" s="39"/>
      <c r="F43925" s="39"/>
    </row>
    <row r="43926">
      <c r="D43926" s="39"/>
      <c r="E43926" s="39"/>
      <c r="F43926" s="39"/>
    </row>
    <row r="43927">
      <c r="D43927" s="39"/>
      <c r="E43927" s="39"/>
      <c r="F43927" s="39"/>
    </row>
    <row r="43928">
      <c r="D43928" s="39"/>
      <c r="E43928" s="39"/>
      <c r="F43928" s="39"/>
    </row>
    <row r="43929">
      <c r="D43929" s="39"/>
      <c r="E43929" s="39"/>
      <c r="F43929" s="39"/>
    </row>
    <row r="43930">
      <c r="D43930" s="39"/>
      <c r="E43930" s="39"/>
      <c r="F43930" s="39"/>
    </row>
    <row r="43931">
      <c r="D43931" s="39"/>
      <c r="E43931" s="39"/>
      <c r="F43931" s="39"/>
    </row>
    <row r="43932">
      <c r="D43932" s="39"/>
      <c r="E43932" s="39"/>
      <c r="F43932" s="39"/>
    </row>
    <row r="43933">
      <c r="D43933" s="39"/>
      <c r="E43933" s="39"/>
      <c r="F43933" s="39"/>
    </row>
    <row r="43934">
      <c r="D43934" s="39"/>
      <c r="E43934" s="39"/>
      <c r="F43934" s="39"/>
    </row>
    <row r="43935">
      <c r="D43935" s="39"/>
      <c r="E43935" s="39"/>
      <c r="F43935" s="39"/>
    </row>
    <row r="43936">
      <c r="D43936" s="39"/>
      <c r="E43936" s="39"/>
      <c r="F43936" s="39"/>
    </row>
    <row r="43937">
      <c r="D43937" s="39"/>
      <c r="E43937" s="39"/>
      <c r="F43937" s="39"/>
    </row>
    <row r="43938">
      <c r="D43938" s="39"/>
      <c r="E43938" s="39"/>
      <c r="F43938" s="39"/>
    </row>
    <row r="43939">
      <c r="D43939" s="39"/>
      <c r="E43939" s="39"/>
      <c r="F43939" s="39"/>
    </row>
    <row r="43940">
      <c r="D43940" s="39"/>
      <c r="E43940" s="39"/>
      <c r="F43940" s="39"/>
    </row>
    <row r="43941">
      <c r="D43941" s="39"/>
      <c r="E43941" s="39"/>
      <c r="F43941" s="39"/>
    </row>
    <row r="43942">
      <c r="D43942" s="39"/>
      <c r="E43942" s="39"/>
      <c r="F43942" s="39"/>
    </row>
    <row r="43943">
      <c r="D43943" s="39"/>
      <c r="E43943" s="39"/>
      <c r="F43943" s="39"/>
    </row>
    <row r="43944">
      <c r="D43944" s="39"/>
      <c r="E43944" s="39"/>
      <c r="F43944" s="39"/>
    </row>
    <row r="43945">
      <c r="D43945" s="39"/>
      <c r="E43945" s="39"/>
      <c r="F43945" s="39"/>
    </row>
    <row r="43946">
      <c r="D43946" s="39"/>
      <c r="E43946" s="39"/>
      <c r="F43946" s="39"/>
    </row>
    <row r="43947">
      <c r="D43947" s="39"/>
      <c r="E43947" s="39"/>
      <c r="F43947" s="39"/>
    </row>
    <row r="43948">
      <c r="D43948" s="39"/>
      <c r="E43948" s="39"/>
      <c r="F43948" s="39"/>
    </row>
    <row r="43949">
      <c r="D43949" s="39"/>
      <c r="E43949" s="39"/>
      <c r="F43949" s="39"/>
    </row>
    <row r="43950">
      <c r="D43950" s="39"/>
      <c r="E43950" s="39"/>
      <c r="F43950" s="39"/>
    </row>
    <row r="43951">
      <c r="D43951" s="39"/>
      <c r="E43951" s="39"/>
      <c r="F43951" s="39"/>
    </row>
    <row r="43952">
      <c r="D43952" s="39"/>
      <c r="E43952" s="39"/>
      <c r="F43952" s="39"/>
    </row>
    <row r="43953">
      <c r="D43953" s="39"/>
      <c r="E43953" s="39"/>
      <c r="F43953" s="39"/>
    </row>
    <row r="43954">
      <c r="D43954" s="39"/>
      <c r="E43954" s="39"/>
      <c r="F43954" s="39"/>
    </row>
    <row r="43955">
      <c r="D43955" s="39"/>
      <c r="E43955" s="39"/>
      <c r="F43955" s="39"/>
    </row>
    <row r="43956">
      <c r="D43956" s="39"/>
      <c r="E43956" s="39"/>
      <c r="F43956" s="39"/>
    </row>
    <row r="43957">
      <c r="D43957" s="39"/>
      <c r="E43957" s="39"/>
      <c r="F43957" s="39"/>
    </row>
    <row r="43958">
      <c r="D43958" s="39"/>
      <c r="E43958" s="39"/>
      <c r="F43958" s="39"/>
    </row>
    <row r="43959">
      <c r="D43959" s="39"/>
      <c r="E43959" s="39"/>
      <c r="F43959" s="39"/>
    </row>
    <row r="43960">
      <c r="D43960" s="39"/>
      <c r="E43960" s="39"/>
      <c r="F43960" s="39"/>
    </row>
    <row r="43961">
      <c r="D43961" s="39"/>
      <c r="E43961" s="39"/>
      <c r="F43961" s="39"/>
    </row>
    <row r="43962">
      <c r="D43962" s="39"/>
      <c r="E43962" s="39"/>
      <c r="F43962" s="39"/>
    </row>
    <row r="43963">
      <c r="D43963" s="39"/>
      <c r="E43963" s="39"/>
      <c r="F43963" s="39"/>
    </row>
    <row r="43964">
      <c r="D43964" s="39"/>
      <c r="E43964" s="39"/>
      <c r="F43964" s="39"/>
    </row>
    <row r="43965">
      <c r="D43965" s="39"/>
      <c r="E43965" s="39"/>
      <c r="F43965" s="39"/>
    </row>
    <row r="43966">
      <c r="D43966" s="39"/>
      <c r="E43966" s="39"/>
      <c r="F43966" s="39"/>
    </row>
    <row r="43967">
      <c r="D43967" s="39"/>
      <c r="E43967" s="39"/>
      <c r="F43967" s="39"/>
    </row>
    <row r="43968">
      <c r="D43968" s="39"/>
      <c r="E43968" s="39"/>
      <c r="F43968" s="39"/>
    </row>
    <row r="43969">
      <c r="D43969" s="39"/>
      <c r="E43969" s="39"/>
      <c r="F43969" s="39"/>
    </row>
    <row r="43970">
      <c r="D43970" s="39"/>
      <c r="E43970" s="39"/>
      <c r="F43970" s="39"/>
    </row>
    <row r="43971">
      <c r="D43971" s="39"/>
      <c r="E43971" s="39"/>
      <c r="F43971" s="39"/>
    </row>
    <row r="43972">
      <c r="D43972" s="39"/>
      <c r="E43972" s="39"/>
      <c r="F43972" s="39"/>
    </row>
    <row r="43973">
      <c r="D43973" s="39"/>
      <c r="E43973" s="39"/>
      <c r="F43973" s="39"/>
    </row>
    <row r="43974">
      <c r="D43974" s="39"/>
      <c r="E43974" s="39"/>
      <c r="F43974" s="39"/>
    </row>
    <row r="43975">
      <c r="D43975" s="39"/>
      <c r="E43975" s="39"/>
      <c r="F43975" s="39"/>
    </row>
    <row r="43976">
      <c r="D43976" s="39"/>
      <c r="E43976" s="39"/>
      <c r="F43976" s="39"/>
    </row>
    <row r="43977">
      <c r="D43977" s="39"/>
      <c r="E43977" s="39"/>
      <c r="F43977" s="39"/>
    </row>
    <row r="43978">
      <c r="D43978" s="39"/>
      <c r="E43978" s="39"/>
      <c r="F43978" s="39"/>
    </row>
    <row r="43979">
      <c r="D43979" s="39"/>
      <c r="E43979" s="39"/>
      <c r="F43979" s="39"/>
    </row>
    <row r="43980">
      <c r="D43980" s="39"/>
      <c r="E43980" s="39"/>
      <c r="F43980" s="39"/>
    </row>
    <row r="43981">
      <c r="D43981" s="39"/>
      <c r="E43981" s="39"/>
      <c r="F43981" s="39"/>
    </row>
    <row r="43982">
      <c r="D43982" s="39"/>
      <c r="E43982" s="39"/>
      <c r="F43982" s="39"/>
    </row>
    <row r="43983">
      <c r="D43983" s="39"/>
      <c r="E43983" s="39"/>
      <c r="F43983" s="39"/>
    </row>
    <row r="43984">
      <c r="D43984" s="39"/>
      <c r="E43984" s="39"/>
      <c r="F43984" s="39"/>
    </row>
    <row r="43985">
      <c r="D43985" s="39"/>
      <c r="E43985" s="39"/>
      <c r="F43985" s="39"/>
    </row>
    <row r="43986">
      <c r="D43986" s="39"/>
      <c r="E43986" s="39"/>
      <c r="F43986" s="39"/>
    </row>
    <row r="43987">
      <c r="D43987" s="39"/>
      <c r="E43987" s="39"/>
      <c r="F43987" s="39"/>
    </row>
    <row r="43988">
      <c r="D43988" s="39"/>
      <c r="E43988" s="39"/>
      <c r="F43988" s="39"/>
    </row>
    <row r="43989">
      <c r="D43989" s="39"/>
      <c r="E43989" s="39"/>
      <c r="F43989" s="39"/>
    </row>
    <row r="43990">
      <c r="D43990" s="39"/>
      <c r="E43990" s="39"/>
      <c r="F43990" s="39"/>
    </row>
    <row r="43991">
      <c r="D43991" s="39"/>
      <c r="E43991" s="39"/>
      <c r="F43991" s="39"/>
    </row>
    <row r="43992">
      <c r="D43992" s="39"/>
      <c r="E43992" s="39"/>
      <c r="F43992" s="39"/>
    </row>
    <row r="43993">
      <c r="D43993" s="39"/>
      <c r="E43993" s="39"/>
      <c r="F43993" s="39"/>
    </row>
    <row r="43994">
      <c r="D43994" s="39"/>
      <c r="E43994" s="39"/>
      <c r="F43994" s="39"/>
    </row>
    <row r="43995">
      <c r="D43995" s="39"/>
      <c r="E43995" s="39"/>
      <c r="F43995" s="39"/>
    </row>
    <row r="43996">
      <c r="D43996" s="39"/>
      <c r="E43996" s="39"/>
      <c r="F43996" s="39"/>
    </row>
    <row r="43997">
      <c r="D43997" s="39"/>
      <c r="E43997" s="39"/>
      <c r="F43997" s="39"/>
    </row>
    <row r="43998">
      <c r="D43998" s="39"/>
      <c r="E43998" s="39"/>
      <c r="F43998" s="39"/>
    </row>
    <row r="43999">
      <c r="D43999" s="39"/>
      <c r="E43999" s="39"/>
      <c r="F43999" s="39"/>
    </row>
    <row r="44000">
      <c r="D44000" s="39"/>
      <c r="E44000" s="39"/>
      <c r="F44000" s="39"/>
    </row>
    <row r="44001">
      <c r="D44001" s="39"/>
      <c r="E44001" s="39"/>
      <c r="F44001" s="39"/>
    </row>
    <row r="44002">
      <c r="D44002" s="39"/>
      <c r="E44002" s="39"/>
      <c r="F44002" s="39"/>
    </row>
    <row r="44003">
      <c r="D44003" s="39"/>
      <c r="E44003" s="39"/>
      <c r="F44003" s="39"/>
    </row>
    <row r="44004">
      <c r="D44004" s="39"/>
      <c r="E44004" s="39"/>
      <c r="F44004" s="39"/>
    </row>
    <row r="44005">
      <c r="D44005" s="39"/>
      <c r="E44005" s="39"/>
      <c r="F44005" s="39"/>
    </row>
    <row r="44006">
      <c r="D44006" s="39"/>
      <c r="E44006" s="39"/>
      <c r="F44006" s="39"/>
    </row>
    <row r="44007">
      <c r="D44007" s="39"/>
      <c r="E44007" s="39"/>
      <c r="F44007" s="39"/>
    </row>
    <row r="44008">
      <c r="D44008" s="39"/>
      <c r="E44008" s="39"/>
      <c r="F44008" s="39"/>
    </row>
    <row r="44009">
      <c r="D44009" s="39"/>
      <c r="E44009" s="39"/>
      <c r="F44009" s="39"/>
    </row>
    <row r="44010">
      <c r="D44010" s="39"/>
      <c r="E44010" s="39"/>
      <c r="F44010" s="39"/>
    </row>
    <row r="44011">
      <c r="D44011" s="39"/>
      <c r="E44011" s="39"/>
      <c r="F44011" s="39"/>
    </row>
    <row r="44012">
      <c r="D44012" s="39"/>
      <c r="E44012" s="39"/>
      <c r="F44012" s="39"/>
    </row>
    <row r="44013">
      <c r="D44013" s="39"/>
      <c r="E44013" s="39"/>
      <c r="F44013" s="39"/>
    </row>
    <row r="44014">
      <c r="D44014" s="39"/>
      <c r="E44014" s="39"/>
      <c r="F44014" s="39"/>
    </row>
    <row r="44015">
      <c r="D44015" s="39"/>
      <c r="E44015" s="39"/>
      <c r="F44015" s="39"/>
    </row>
    <row r="44016">
      <c r="D44016" s="39"/>
      <c r="E44016" s="39"/>
      <c r="F44016" s="39"/>
    </row>
    <row r="44017">
      <c r="D44017" s="39"/>
      <c r="E44017" s="39"/>
      <c r="F44017" s="39"/>
    </row>
    <row r="44018">
      <c r="D44018" s="39"/>
      <c r="E44018" s="39"/>
      <c r="F44018" s="39"/>
    </row>
    <row r="44019">
      <c r="D44019" s="39"/>
      <c r="E44019" s="39"/>
      <c r="F44019" s="39"/>
    </row>
    <row r="44020">
      <c r="D44020" s="39"/>
      <c r="E44020" s="39"/>
      <c r="F44020" s="39"/>
    </row>
    <row r="44021">
      <c r="D44021" s="39"/>
      <c r="E44021" s="39"/>
      <c r="F44021" s="39"/>
    </row>
    <row r="44022">
      <c r="D44022" s="39"/>
      <c r="E44022" s="39"/>
      <c r="F44022" s="39"/>
    </row>
    <row r="44023">
      <c r="D44023" s="39"/>
      <c r="E44023" s="39"/>
      <c r="F44023" s="39"/>
    </row>
    <row r="44024">
      <c r="D44024" s="39"/>
      <c r="E44024" s="39"/>
      <c r="F44024" s="39"/>
    </row>
    <row r="44025">
      <c r="D44025" s="39"/>
      <c r="E44025" s="39"/>
      <c r="F44025" s="39"/>
    </row>
    <row r="44026">
      <c r="D44026" s="39"/>
      <c r="E44026" s="39"/>
      <c r="F44026" s="39"/>
    </row>
    <row r="44027">
      <c r="D44027" s="39"/>
      <c r="E44027" s="39"/>
      <c r="F44027" s="39"/>
    </row>
    <row r="44028">
      <c r="D44028" s="39"/>
      <c r="E44028" s="39"/>
      <c r="F44028" s="39"/>
    </row>
    <row r="44029">
      <c r="D44029" s="39"/>
      <c r="E44029" s="39"/>
      <c r="F44029" s="39"/>
    </row>
    <row r="44030">
      <c r="D44030" s="39"/>
      <c r="E44030" s="39"/>
      <c r="F44030" s="39"/>
    </row>
    <row r="44031">
      <c r="D44031" s="39"/>
      <c r="E44031" s="39"/>
      <c r="F44031" s="39"/>
    </row>
    <row r="44032">
      <c r="D44032" s="39"/>
      <c r="E44032" s="39"/>
      <c r="F44032" s="39"/>
    </row>
    <row r="44033">
      <c r="D44033" s="39"/>
      <c r="E44033" s="39"/>
      <c r="F44033" s="39"/>
    </row>
    <row r="44034">
      <c r="D44034" s="39"/>
      <c r="E44034" s="39"/>
      <c r="F44034" s="39"/>
    </row>
    <row r="44035">
      <c r="D44035" s="39"/>
      <c r="E44035" s="39"/>
      <c r="F44035" s="39"/>
    </row>
    <row r="44036">
      <c r="D44036" s="39"/>
      <c r="E44036" s="39"/>
      <c r="F44036" s="39"/>
    </row>
    <row r="44037">
      <c r="D44037" s="39"/>
      <c r="E44037" s="39"/>
      <c r="F44037" s="39"/>
    </row>
    <row r="44038">
      <c r="D44038" s="39"/>
      <c r="E44038" s="39"/>
      <c r="F44038" s="39"/>
    </row>
    <row r="44039">
      <c r="D44039" s="39"/>
      <c r="E44039" s="39"/>
      <c r="F44039" s="39"/>
    </row>
    <row r="44040">
      <c r="D44040" s="39"/>
      <c r="E44040" s="39"/>
      <c r="F44040" s="39"/>
    </row>
    <row r="44041">
      <c r="D44041" s="39"/>
      <c r="E44041" s="39"/>
      <c r="F44041" s="39"/>
    </row>
    <row r="44042">
      <c r="D44042" s="39"/>
      <c r="E44042" s="39"/>
      <c r="F44042" s="39"/>
    </row>
    <row r="44043">
      <c r="D44043" s="39"/>
      <c r="E44043" s="39"/>
      <c r="F44043" s="39"/>
    </row>
    <row r="44044">
      <c r="D44044" s="39"/>
      <c r="E44044" s="39"/>
      <c r="F44044" s="39"/>
    </row>
    <row r="44045">
      <c r="D44045" s="39"/>
      <c r="E44045" s="39"/>
      <c r="F44045" s="39"/>
    </row>
    <row r="44046">
      <c r="D44046" s="39"/>
      <c r="E44046" s="39"/>
      <c r="F44046" s="39"/>
    </row>
    <row r="44047">
      <c r="D44047" s="39"/>
      <c r="E44047" s="39"/>
      <c r="F44047" s="39"/>
    </row>
    <row r="44048">
      <c r="D44048" s="39"/>
      <c r="E44048" s="39"/>
      <c r="F44048" s="39"/>
    </row>
    <row r="44049">
      <c r="D44049" s="39"/>
      <c r="E44049" s="39"/>
      <c r="F44049" s="39"/>
    </row>
    <row r="44050">
      <c r="D44050" s="39"/>
      <c r="E44050" s="39"/>
      <c r="F44050" s="39"/>
    </row>
    <row r="44051">
      <c r="D44051" s="39"/>
      <c r="E44051" s="39"/>
      <c r="F44051" s="39"/>
    </row>
    <row r="44052">
      <c r="D44052" s="39"/>
      <c r="E44052" s="39"/>
      <c r="F44052" s="39"/>
    </row>
    <row r="44053">
      <c r="D44053" s="39"/>
      <c r="E44053" s="39"/>
      <c r="F44053" s="39"/>
    </row>
    <row r="44054">
      <c r="D44054" s="39"/>
      <c r="E44054" s="39"/>
      <c r="F44054" s="39"/>
    </row>
    <row r="44055">
      <c r="D44055" s="39"/>
      <c r="E44055" s="39"/>
      <c r="F44055" s="39"/>
    </row>
    <row r="44056">
      <c r="D44056" s="39"/>
      <c r="E44056" s="39"/>
      <c r="F44056" s="39"/>
    </row>
    <row r="44057">
      <c r="D44057" s="39"/>
      <c r="E44057" s="39"/>
      <c r="F44057" s="39"/>
    </row>
    <row r="44058">
      <c r="D44058" s="39"/>
      <c r="E44058" s="39"/>
      <c r="F44058" s="39"/>
    </row>
    <row r="44059">
      <c r="D44059" s="39"/>
      <c r="E44059" s="39"/>
      <c r="F44059" s="39"/>
    </row>
    <row r="44060">
      <c r="D44060" s="39"/>
      <c r="E44060" s="39"/>
      <c r="F44060" s="39"/>
    </row>
    <row r="44061">
      <c r="D44061" s="39"/>
      <c r="E44061" s="39"/>
      <c r="F44061" s="39"/>
    </row>
    <row r="44062">
      <c r="D44062" s="39"/>
      <c r="E44062" s="39"/>
      <c r="F44062" s="39"/>
    </row>
    <row r="44063">
      <c r="D44063" s="39"/>
      <c r="E44063" s="39"/>
      <c r="F44063" s="39"/>
    </row>
    <row r="44064">
      <c r="D44064" s="39"/>
      <c r="E44064" s="39"/>
      <c r="F44064" s="39"/>
    </row>
    <row r="44065">
      <c r="D44065" s="39"/>
      <c r="E44065" s="39"/>
      <c r="F44065" s="39"/>
    </row>
    <row r="44066">
      <c r="D44066" s="39"/>
      <c r="E44066" s="39"/>
      <c r="F44066" s="39"/>
    </row>
    <row r="44067">
      <c r="D44067" s="39"/>
      <c r="E44067" s="39"/>
      <c r="F44067" s="39"/>
    </row>
    <row r="44068">
      <c r="D44068" s="39"/>
      <c r="E44068" s="39"/>
      <c r="F44068" s="39"/>
    </row>
    <row r="44069">
      <c r="D44069" s="39"/>
      <c r="E44069" s="39"/>
      <c r="F44069" s="39"/>
    </row>
    <row r="44070">
      <c r="D44070" s="39"/>
      <c r="E44070" s="39"/>
      <c r="F44070" s="39"/>
    </row>
    <row r="44071">
      <c r="D44071" s="39"/>
      <c r="E44071" s="39"/>
      <c r="F44071" s="39"/>
    </row>
    <row r="44072">
      <c r="D44072" s="39"/>
      <c r="E44072" s="39"/>
      <c r="F44072" s="39"/>
    </row>
    <row r="44073">
      <c r="D44073" s="39"/>
      <c r="E44073" s="39"/>
      <c r="F44073" s="39"/>
    </row>
    <row r="44074">
      <c r="D44074" s="39"/>
      <c r="E44074" s="39"/>
      <c r="F44074" s="39"/>
    </row>
    <row r="44075">
      <c r="D44075" s="39"/>
      <c r="E44075" s="39"/>
      <c r="F44075" s="39"/>
    </row>
    <row r="44076">
      <c r="D44076" s="39"/>
      <c r="E44076" s="39"/>
      <c r="F44076" s="39"/>
    </row>
    <row r="44077">
      <c r="D44077" s="39"/>
      <c r="E44077" s="39"/>
      <c r="F44077" s="39"/>
    </row>
    <row r="44078">
      <c r="D44078" s="39"/>
      <c r="E44078" s="39"/>
      <c r="F44078" s="39"/>
    </row>
    <row r="44079">
      <c r="D44079" s="39"/>
      <c r="E44079" s="39"/>
      <c r="F44079" s="39"/>
    </row>
    <row r="44080">
      <c r="D44080" s="39"/>
      <c r="E44080" s="39"/>
      <c r="F44080" s="39"/>
    </row>
    <row r="44081">
      <c r="D44081" s="39"/>
      <c r="E44081" s="39"/>
      <c r="F44081" s="39"/>
    </row>
    <row r="44082">
      <c r="D44082" s="39"/>
      <c r="E44082" s="39"/>
      <c r="F44082" s="39"/>
    </row>
    <row r="44083">
      <c r="D44083" s="39"/>
      <c r="E44083" s="39"/>
      <c r="F44083" s="39"/>
    </row>
    <row r="44084">
      <c r="D44084" s="39"/>
      <c r="E44084" s="39"/>
      <c r="F44084" s="39"/>
    </row>
    <row r="44085">
      <c r="D44085" s="39"/>
      <c r="E44085" s="39"/>
      <c r="F44085" s="39"/>
    </row>
    <row r="44086">
      <c r="D44086" s="39"/>
      <c r="E44086" s="39"/>
      <c r="F44086" s="39"/>
    </row>
    <row r="44087">
      <c r="D44087" s="39"/>
      <c r="E44087" s="39"/>
      <c r="F44087" s="39"/>
    </row>
    <row r="44088">
      <c r="D44088" s="39"/>
      <c r="E44088" s="39"/>
      <c r="F44088" s="39"/>
    </row>
    <row r="44089">
      <c r="D44089" s="39"/>
      <c r="E44089" s="39"/>
      <c r="F44089" s="39"/>
    </row>
    <row r="44090">
      <c r="D44090" s="39"/>
      <c r="E44090" s="39"/>
      <c r="F44090" s="39"/>
    </row>
    <row r="44091">
      <c r="D44091" s="39"/>
      <c r="E44091" s="39"/>
      <c r="F44091" s="39"/>
    </row>
    <row r="44092">
      <c r="D44092" s="39"/>
      <c r="E44092" s="39"/>
      <c r="F44092" s="39"/>
    </row>
    <row r="44093">
      <c r="D44093" s="39"/>
      <c r="E44093" s="39"/>
      <c r="F44093" s="39"/>
    </row>
    <row r="44094">
      <c r="D44094" s="39"/>
      <c r="E44094" s="39"/>
      <c r="F44094" s="39"/>
    </row>
    <row r="44095">
      <c r="D44095" s="39"/>
      <c r="E44095" s="39"/>
      <c r="F44095" s="39"/>
    </row>
    <row r="44096">
      <c r="D44096" s="39"/>
      <c r="E44096" s="39"/>
      <c r="F44096" s="39"/>
    </row>
    <row r="44097">
      <c r="D44097" s="39"/>
      <c r="E44097" s="39"/>
      <c r="F44097" s="39"/>
    </row>
    <row r="44098">
      <c r="D44098" s="39"/>
      <c r="E44098" s="39"/>
      <c r="F44098" s="39"/>
    </row>
    <row r="44099">
      <c r="D44099" s="39"/>
      <c r="E44099" s="39"/>
      <c r="F44099" s="39"/>
    </row>
    <row r="44100">
      <c r="D44100" s="39"/>
      <c r="E44100" s="39"/>
      <c r="F44100" s="39"/>
    </row>
    <row r="44101">
      <c r="D44101" s="39"/>
      <c r="E44101" s="39"/>
      <c r="F44101" s="39"/>
    </row>
    <row r="44102">
      <c r="D44102" s="39"/>
      <c r="E44102" s="39"/>
      <c r="F44102" s="39"/>
    </row>
    <row r="44103">
      <c r="D44103" s="39"/>
      <c r="E44103" s="39"/>
      <c r="F44103" s="39"/>
    </row>
    <row r="44104">
      <c r="D44104" s="39"/>
      <c r="E44104" s="39"/>
      <c r="F44104" s="39"/>
    </row>
    <row r="44105">
      <c r="D44105" s="39"/>
      <c r="E44105" s="39"/>
      <c r="F44105" s="39"/>
    </row>
    <row r="44106">
      <c r="D44106" s="39"/>
      <c r="E44106" s="39"/>
      <c r="F44106" s="39"/>
    </row>
    <row r="44107">
      <c r="D44107" s="39"/>
      <c r="E44107" s="39"/>
      <c r="F44107" s="39"/>
    </row>
    <row r="44108">
      <c r="D44108" s="39"/>
      <c r="E44108" s="39"/>
      <c r="F44108" s="39"/>
    </row>
    <row r="44109">
      <c r="D44109" s="39"/>
      <c r="E44109" s="39"/>
      <c r="F44109" s="39"/>
    </row>
    <row r="44110">
      <c r="D44110" s="39"/>
      <c r="E44110" s="39"/>
      <c r="F44110" s="39"/>
    </row>
    <row r="44111">
      <c r="D44111" s="39"/>
      <c r="E44111" s="39"/>
      <c r="F44111" s="39"/>
    </row>
    <row r="44112">
      <c r="D44112" s="39"/>
      <c r="E44112" s="39"/>
      <c r="F44112" s="39"/>
    </row>
    <row r="44113">
      <c r="D44113" s="39"/>
      <c r="E44113" s="39"/>
      <c r="F44113" s="39"/>
    </row>
    <row r="44114">
      <c r="D44114" s="39"/>
      <c r="E44114" s="39"/>
      <c r="F44114" s="39"/>
    </row>
    <row r="44115">
      <c r="D44115" s="39"/>
      <c r="E44115" s="39"/>
      <c r="F44115" s="39"/>
    </row>
    <row r="44116">
      <c r="D44116" s="39"/>
      <c r="E44116" s="39"/>
      <c r="F44116" s="39"/>
    </row>
    <row r="44117">
      <c r="D44117" s="39"/>
      <c r="E44117" s="39"/>
      <c r="F44117" s="39"/>
    </row>
    <row r="44118">
      <c r="D44118" s="39"/>
      <c r="E44118" s="39"/>
      <c r="F44118" s="39"/>
    </row>
    <row r="44119">
      <c r="D44119" s="39"/>
      <c r="E44119" s="39"/>
      <c r="F44119" s="39"/>
    </row>
    <row r="44120">
      <c r="D44120" s="39"/>
      <c r="E44120" s="39"/>
      <c r="F44120" s="39"/>
    </row>
    <row r="44121">
      <c r="D44121" s="39"/>
      <c r="E44121" s="39"/>
      <c r="F44121" s="39"/>
    </row>
    <row r="44122">
      <c r="D44122" s="39"/>
      <c r="E44122" s="39"/>
      <c r="F44122" s="39"/>
    </row>
    <row r="44123">
      <c r="D44123" s="39"/>
      <c r="E44123" s="39"/>
      <c r="F44123" s="39"/>
    </row>
    <row r="44124">
      <c r="D44124" s="39"/>
      <c r="E44124" s="39"/>
      <c r="F44124" s="39"/>
    </row>
    <row r="44125">
      <c r="D44125" s="39"/>
      <c r="E44125" s="39"/>
      <c r="F44125" s="39"/>
    </row>
    <row r="44126">
      <c r="D44126" s="39"/>
      <c r="E44126" s="39"/>
      <c r="F44126" s="39"/>
    </row>
    <row r="44127">
      <c r="D44127" s="39"/>
      <c r="E44127" s="39"/>
      <c r="F44127" s="39"/>
    </row>
    <row r="44128">
      <c r="D44128" s="39"/>
      <c r="E44128" s="39"/>
      <c r="F44128" s="39"/>
    </row>
    <row r="44129">
      <c r="D44129" s="39"/>
      <c r="E44129" s="39"/>
      <c r="F44129" s="39"/>
    </row>
    <row r="44130">
      <c r="D44130" s="39"/>
      <c r="E44130" s="39"/>
      <c r="F44130" s="39"/>
    </row>
    <row r="44131">
      <c r="D44131" s="39"/>
      <c r="E44131" s="39"/>
      <c r="F44131" s="39"/>
    </row>
    <row r="44132">
      <c r="D44132" s="39"/>
      <c r="E44132" s="39"/>
      <c r="F44132" s="39"/>
    </row>
    <row r="44133">
      <c r="D44133" s="39"/>
      <c r="E44133" s="39"/>
      <c r="F44133" s="39"/>
    </row>
    <row r="44134">
      <c r="D44134" s="39"/>
      <c r="E44134" s="39"/>
      <c r="F44134" s="39"/>
    </row>
    <row r="44135">
      <c r="D44135" s="39"/>
      <c r="E44135" s="39"/>
      <c r="F44135" s="39"/>
    </row>
    <row r="44136">
      <c r="D44136" s="39"/>
      <c r="E44136" s="39"/>
      <c r="F44136" s="39"/>
    </row>
    <row r="44137">
      <c r="D44137" s="39"/>
      <c r="E44137" s="39"/>
      <c r="F44137" s="39"/>
    </row>
    <row r="44138">
      <c r="D44138" s="39"/>
      <c r="E44138" s="39"/>
      <c r="F44138" s="39"/>
    </row>
    <row r="44139">
      <c r="D44139" s="39"/>
      <c r="E44139" s="39"/>
      <c r="F44139" s="39"/>
    </row>
    <row r="44140">
      <c r="D44140" s="39"/>
      <c r="E44140" s="39"/>
      <c r="F44140" s="39"/>
    </row>
    <row r="44141">
      <c r="D44141" s="39"/>
      <c r="E44141" s="39"/>
      <c r="F44141" s="39"/>
    </row>
    <row r="44142">
      <c r="D44142" s="39"/>
      <c r="E44142" s="39"/>
      <c r="F44142" s="39"/>
    </row>
    <row r="44143">
      <c r="D44143" s="39"/>
      <c r="E44143" s="39"/>
      <c r="F44143" s="39"/>
    </row>
    <row r="44144">
      <c r="D44144" s="39"/>
      <c r="E44144" s="39"/>
      <c r="F44144" s="39"/>
    </row>
    <row r="44145">
      <c r="D44145" s="39"/>
      <c r="E44145" s="39"/>
      <c r="F44145" s="39"/>
    </row>
    <row r="44146">
      <c r="D44146" s="39"/>
      <c r="E44146" s="39"/>
      <c r="F44146" s="39"/>
    </row>
    <row r="44147">
      <c r="D44147" s="39"/>
      <c r="E44147" s="39"/>
      <c r="F44147" s="39"/>
    </row>
    <row r="44148">
      <c r="D44148" s="39"/>
      <c r="E44148" s="39"/>
      <c r="F44148" s="39"/>
    </row>
    <row r="44149">
      <c r="D44149" s="39"/>
      <c r="E44149" s="39"/>
      <c r="F44149" s="39"/>
    </row>
    <row r="44150">
      <c r="D44150" s="39"/>
      <c r="E44150" s="39"/>
      <c r="F44150" s="39"/>
    </row>
    <row r="44151">
      <c r="D44151" s="39"/>
      <c r="E44151" s="39"/>
      <c r="F44151" s="39"/>
    </row>
    <row r="44152">
      <c r="D44152" s="39"/>
      <c r="E44152" s="39"/>
      <c r="F44152" s="39"/>
    </row>
    <row r="44153">
      <c r="D44153" s="39"/>
      <c r="E44153" s="39"/>
      <c r="F44153" s="39"/>
    </row>
    <row r="44154">
      <c r="D44154" s="39"/>
      <c r="E44154" s="39"/>
      <c r="F44154" s="39"/>
    </row>
    <row r="44155">
      <c r="D44155" s="39"/>
      <c r="E44155" s="39"/>
      <c r="F44155" s="39"/>
    </row>
    <row r="44156">
      <c r="D44156" s="39"/>
      <c r="E44156" s="39"/>
      <c r="F44156" s="39"/>
    </row>
    <row r="44157">
      <c r="D44157" s="39"/>
      <c r="E44157" s="39"/>
      <c r="F44157" s="39"/>
    </row>
    <row r="44158">
      <c r="D44158" s="39"/>
      <c r="E44158" s="39"/>
      <c r="F44158" s="39"/>
    </row>
    <row r="44159">
      <c r="D44159" s="39"/>
      <c r="E44159" s="39"/>
      <c r="F44159" s="39"/>
    </row>
    <row r="44160">
      <c r="D44160" s="39"/>
      <c r="E44160" s="39"/>
      <c r="F44160" s="39"/>
    </row>
    <row r="44161">
      <c r="D44161" s="39"/>
      <c r="E44161" s="39"/>
      <c r="F44161" s="39"/>
    </row>
    <row r="44162">
      <c r="D44162" s="39"/>
      <c r="E44162" s="39"/>
      <c r="F44162" s="39"/>
    </row>
    <row r="44163">
      <c r="D44163" s="39"/>
      <c r="E44163" s="39"/>
      <c r="F44163" s="39"/>
    </row>
    <row r="44164">
      <c r="D44164" s="39"/>
      <c r="E44164" s="39"/>
      <c r="F44164" s="39"/>
    </row>
    <row r="44165">
      <c r="D44165" s="39"/>
      <c r="E44165" s="39"/>
      <c r="F44165" s="39"/>
    </row>
    <row r="44166">
      <c r="D44166" s="39"/>
      <c r="E44166" s="39"/>
      <c r="F44166" s="39"/>
    </row>
    <row r="44167">
      <c r="D44167" s="39"/>
      <c r="E44167" s="39"/>
      <c r="F44167" s="39"/>
    </row>
    <row r="44168">
      <c r="D44168" s="39"/>
      <c r="E44168" s="39"/>
      <c r="F44168" s="39"/>
    </row>
    <row r="44169">
      <c r="D44169" s="39"/>
      <c r="E44169" s="39"/>
      <c r="F44169" s="39"/>
    </row>
    <row r="44170">
      <c r="D44170" s="39"/>
      <c r="E44170" s="39"/>
      <c r="F44170" s="39"/>
    </row>
    <row r="44171">
      <c r="D44171" s="39"/>
      <c r="E44171" s="39"/>
      <c r="F44171" s="39"/>
    </row>
    <row r="44172">
      <c r="D44172" s="39"/>
      <c r="E44172" s="39"/>
      <c r="F44172" s="39"/>
    </row>
    <row r="44173">
      <c r="D44173" s="39"/>
      <c r="E44173" s="39"/>
      <c r="F44173" s="39"/>
    </row>
    <row r="44174">
      <c r="D44174" s="39"/>
      <c r="E44174" s="39"/>
      <c r="F44174" s="39"/>
    </row>
    <row r="44175">
      <c r="D44175" s="39"/>
      <c r="E44175" s="39"/>
      <c r="F44175" s="39"/>
    </row>
    <row r="44176">
      <c r="D44176" s="39"/>
      <c r="E44176" s="39"/>
      <c r="F44176" s="39"/>
    </row>
    <row r="44177">
      <c r="D44177" s="39"/>
      <c r="E44177" s="39"/>
      <c r="F44177" s="39"/>
    </row>
    <row r="44178">
      <c r="D44178" s="39"/>
      <c r="E44178" s="39"/>
      <c r="F44178" s="39"/>
    </row>
    <row r="44179">
      <c r="D44179" s="39"/>
      <c r="E44179" s="39"/>
      <c r="F44179" s="39"/>
    </row>
    <row r="44180">
      <c r="D44180" s="39"/>
      <c r="E44180" s="39"/>
      <c r="F44180" s="39"/>
    </row>
    <row r="44181">
      <c r="D44181" s="39"/>
      <c r="E44181" s="39"/>
      <c r="F44181" s="39"/>
    </row>
    <row r="44182">
      <c r="D44182" s="39"/>
      <c r="E44182" s="39"/>
      <c r="F44182" s="39"/>
    </row>
    <row r="44183">
      <c r="D44183" s="39"/>
      <c r="E44183" s="39"/>
      <c r="F44183" s="39"/>
    </row>
    <row r="44184">
      <c r="D44184" s="39"/>
      <c r="E44184" s="39"/>
      <c r="F44184" s="39"/>
    </row>
    <row r="44185">
      <c r="D44185" s="39"/>
      <c r="E44185" s="39"/>
      <c r="F44185" s="39"/>
    </row>
    <row r="44186">
      <c r="D44186" s="39"/>
      <c r="E44186" s="39"/>
      <c r="F44186" s="39"/>
    </row>
    <row r="44187">
      <c r="D44187" s="39"/>
      <c r="E44187" s="39"/>
      <c r="F44187" s="39"/>
    </row>
    <row r="44188">
      <c r="D44188" s="39"/>
      <c r="E44188" s="39"/>
      <c r="F44188" s="39"/>
    </row>
    <row r="44189">
      <c r="D44189" s="39"/>
      <c r="E44189" s="39"/>
      <c r="F44189" s="39"/>
    </row>
    <row r="44190">
      <c r="D44190" s="39"/>
      <c r="E44190" s="39"/>
      <c r="F44190" s="39"/>
    </row>
    <row r="44191">
      <c r="D44191" s="39"/>
      <c r="E44191" s="39"/>
      <c r="F44191" s="39"/>
    </row>
    <row r="44192">
      <c r="D44192" s="39"/>
      <c r="E44192" s="39"/>
      <c r="F44192" s="39"/>
    </row>
    <row r="44193">
      <c r="D44193" s="39"/>
      <c r="E44193" s="39"/>
      <c r="F44193" s="39"/>
    </row>
    <row r="44194">
      <c r="D44194" s="39"/>
      <c r="E44194" s="39"/>
      <c r="F44194" s="39"/>
    </row>
    <row r="44195">
      <c r="D44195" s="39"/>
      <c r="E44195" s="39"/>
      <c r="F44195" s="39"/>
    </row>
    <row r="44196">
      <c r="D44196" s="39"/>
      <c r="E44196" s="39"/>
      <c r="F44196" s="39"/>
    </row>
    <row r="44197">
      <c r="D44197" s="39"/>
      <c r="E44197" s="39"/>
      <c r="F44197" s="39"/>
    </row>
    <row r="44198">
      <c r="D44198" s="39"/>
      <c r="E44198" s="39"/>
      <c r="F44198" s="39"/>
    </row>
    <row r="44199">
      <c r="D44199" s="39"/>
      <c r="E44199" s="39"/>
      <c r="F44199" s="39"/>
    </row>
    <row r="44200">
      <c r="D44200" s="39"/>
      <c r="E44200" s="39"/>
      <c r="F44200" s="39"/>
    </row>
    <row r="44201">
      <c r="D44201" s="39"/>
      <c r="E44201" s="39"/>
      <c r="F44201" s="39"/>
    </row>
    <row r="44202">
      <c r="D44202" s="39"/>
      <c r="E44202" s="39"/>
      <c r="F44202" s="39"/>
    </row>
    <row r="44203">
      <c r="D44203" s="39"/>
      <c r="E44203" s="39"/>
      <c r="F44203" s="39"/>
    </row>
    <row r="44204">
      <c r="D44204" s="39"/>
      <c r="E44204" s="39"/>
      <c r="F44204" s="39"/>
    </row>
    <row r="44205">
      <c r="D44205" s="39"/>
      <c r="E44205" s="39"/>
      <c r="F44205" s="39"/>
    </row>
    <row r="44206">
      <c r="D44206" s="39"/>
      <c r="E44206" s="39"/>
      <c r="F44206" s="39"/>
    </row>
    <row r="44207">
      <c r="D44207" s="39"/>
      <c r="E44207" s="39"/>
      <c r="F44207" s="39"/>
    </row>
    <row r="44208">
      <c r="D44208" s="39"/>
      <c r="E44208" s="39"/>
      <c r="F44208" s="39"/>
    </row>
    <row r="44209">
      <c r="D44209" s="39"/>
      <c r="E44209" s="39"/>
      <c r="F44209" s="39"/>
    </row>
    <row r="44210">
      <c r="D44210" s="39"/>
      <c r="E44210" s="39"/>
      <c r="F44210" s="39"/>
    </row>
    <row r="44211">
      <c r="D44211" s="39"/>
      <c r="E44211" s="39"/>
      <c r="F44211" s="39"/>
    </row>
    <row r="44212">
      <c r="D44212" s="39"/>
      <c r="E44212" s="39"/>
      <c r="F44212" s="39"/>
    </row>
    <row r="44213">
      <c r="D44213" s="39"/>
      <c r="E44213" s="39"/>
      <c r="F44213" s="39"/>
    </row>
    <row r="44214">
      <c r="D44214" s="39"/>
      <c r="E44214" s="39"/>
      <c r="F44214" s="39"/>
    </row>
    <row r="44215">
      <c r="D44215" s="39"/>
      <c r="E44215" s="39"/>
      <c r="F44215" s="39"/>
    </row>
    <row r="44216">
      <c r="D44216" s="39"/>
      <c r="E44216" s="39"/>
      <c r="F44216" s="39"/>
    </row>
    <row r="44217">
      <c r="D44217" s="39"/>
      <c r="E44217" s="39"/>
      <c r="F44217" s="39"/>
    </row>
    <row r="44218">
      <c r="D44218" s="39"/>
      <c r="E44218" s="39"/>
      <c r="F44218" s="39"/>
    </row>
    <row r="44219">
      <c r="D44219" s="39"/>
      <c r="E44219" s="39"/>
      <c r="F44219" s="39"/>
    </row>
    <row r="44220">
      <c r="D44220" s="39"/>
      <c r="E44220" s="39"/>
      <c r="F44220" s="39"/>
    </row>
    <row r="44221">
      <c r="D44221" s="39"/>
      <c r="E44221" s="39"/>
      <c r="F44221" s="39"/>
    </row>
    <row r="44222">
      <c r="D44222" s="39"/>
      <c r="E44222" s="39"/>
      <c r="F44222" s="39"/>
    </row>
    <row r="44223">
      <c r="D44223" s="39"/>
      <c r="E44223" s="39"/>
      <c r="F44223" s="39"/>
    </row>
    <row r="44224">
      <c r="D44224" s="39"/>
      <c r="E44224" s="39"/>
      <c r="F44224" s="39"/>
    </row>
    <row r="44225">
      <c r="D44225" s="39"/>
      <c r="E44225" s="39"/>
      <c r="F44225" s="39"/>
    </row>
    <row r="44226">
      <c r="D44226" s="39"/>
      <c r="E44226" s="39"/>
      <c r="F44226" s="39"/>
    </row>
    <row r="44227">
      <c r="D44227" s="39"/>
      <c r="E44227" s="39"/>
      <c r="F44227" s="39"/>
    </row>
    <row r="44228">
      <c r="D44228" s="39"/>
      <c r="E44228" s="39"/>
      <c r="F44228" s="39"/>
    </row>
    <row r="44229">
      <c r="D44229" s="39"/>
      <c r="E44229" s="39"/>
      <c r="F44229" s="39"/>
    </row>
    <row r="44230">
      <c r="D44230" s="39"/>
      <c r="E44230" s="39"/>
      <c r="F44230" s="39"/>
    </row>
    <row r="44231">
      <c r="D44231" s="39"/>
      <c r="E44231" s="39"/>
      <c r="F44231" s="39"/>
    </row>
    <row r="44232">
      <c r="D44232" s="39"/>
      <c r="E44232" s="39"/>
      <c r="F44232" s="39"/>
    </row>
    <row r="44233">
      <c r="D44233" s="39"/>
      <c r="E44233" s="39"/>
      <c r="F44233" s="39"/>
    </row>
    <row r="44234">
      <c r="D44234" s="39"/>
      <c r="E44234" s="39"/>
      <c r="F44234" s="39"/>
    </row>
    <row r="44235">
      <c r="D44235" s="39"/>
      <c r="E44235" s="39"/>
      <c r="F44235" s="39"/>
    </row>
    <row r="44236">
      <c r="D44236" s="39"/>
      <c r="E44236" s="39"/>
      <c r="F44236" s="39"/>
    </row>
    <row r="44237">
      <c r="D44237" s="39"/>
      <c r="E44237" s="39"/>
      <c r="F44237" s="39"/>
    </row>
    <row r="44238">
      <c r="D44238" s="39"/>
      <c r="E44238" s="39"/>
      <c r="F44238" s="39"/>
    </row>
    <row r="44239">
      <c r="D44239" s="39"/>
      <c r="E44239" s="39"/>
      <c r="F44239" s="39"/>
    </row>
    <row r="44240">
      <c r="D44240" s="39"/>
      <c r="E44240" s="39"/>
      <c r="F44240" s="39"/>
    </row>
    <row r="44241">
      <c r="D44241" s="39"/>
      <c r="E44241" s="39"/>
      <c r="F44241" s="39"/>
    </row>
    <row r="44242">
      <c r="D44242" s="39"/>
      <c r="E44242" s="39"/>
      <c r="F44242" s="39"/>
    </row>
    <row r="44243">
      <c r="D44243" s="39"/>
      <c r="E44243" s="39"/>
      <c r="F44243" s="39"/>
    </row>
    <row r="44244">
      <c r="D44244" s="39"/>
      <c r="E44244" s="39"/>
      <c r="F44244" s="39"/>
    </row>
    <row r="44245">
      <c r="D44245" s="39"/>
      <c r="E44245" s="39"/>
      <c r="F44245" s="39"/>
    </row>
    <row r="44246">
      <c r="D44246" s="39"/>
      <c r="E44246" s="39"/>
      <c r="F44246" s="39"/>
    </row>
    <row r="44247">
      <c r="D44247" s="39"/>
      <c r="E44247" s="39"/>
      <c r="F44247" s="39"/>
    </row>
    <row r="44248">
      <c r="D44248" s="39"/>
      <c r="E44248" s="39"/>
      <c r="F44248" s="39"/>
    </row>
    <row r="44249">
      <c r="D44249" s="39"/>
      <c r="E44249" s="39"/>
      <c r="F44249" s="39"/>
    </row>
    <row r="44250">
      <c r="D44250" s="39"/>
      <c r="E44250" s="39"/>
      <c r="F44250" s="39"/>
    </row>
    <row r="44251">
      <c r="D44251" s="39"/>
      <c r="E44251" s="39"/>
      <c r="F44251" s="39"/>
    </row>
    <row r="44252">
      <c r="D44252" s="39"/>
      <c r="E44252" s="39"/>
      <c r="F44252" s="39"/>
    </row>
    <row r="44253">
      <c r="D44253" s="39"/>
      <c r="E44253" s="39"/>
      <c r="F44253" s="39"/>
    </row>
    <row r="44254">
      <c r="D44254" s="39"/>
      <c r="E44254" s="39"/>
      <c r="F44254" s="39"/>
    </row>
    <row r="44255">
      <c r="D44255" s="39"/>
      <c r="E44255" s="39"/>
      <c r="F44255" s="39"/>
    </row>
    <row r="44256">
      <c r="D44256" s="39"/>
      <c r="E44256" s="39"/>
      <c r="F44256" s="39"/>
    </row>
    <row r="44257">
      <c r="D44257" s="39"/>
      <c r="E44257" s="39"/>
      <c r="F44257" s="39"/>
    </row>
    <row r="44258">
      <c r="D44258" s="39"/>
      <c r="E44258" s="39"/>
      <c r="F44258" s="39"/>
    </row>
    <row r="44259">
      <c r="D44259" s="39"/>
      <c r="E44259" s="39"/>
      <c r="F44259" s="39"/>
    </row>
    <row r="44260">
      <c r="D44260" s="39"/>
      <c r="E44260" s="39"/>
      <c r="F44260" s="39"/>
    </row>
    <row r="44261">
      <c r="D44261" s="39"/>
      <c r="E44261" s="39"/>
      <c r="F44261" s="39"/>
    </row>
    <row r="44262">
      <c r="D44262" s="39"/>
      <c r="E44262" s="39"/>
      <c r="F44262" s="39"/>
    </row>
    <row r="44263">
      <c r="D44263" s="39"/>
      <c r="E44263" s="39"/>
      <c r="F44263" s="39"/>
    </row>
    <row r="44264">
      <c r="D44264" s="39"/>
      <c r="E44264" s="39"/>
      <c r="F44264" s="39"/>
    </row>
    <row r="44265">
      <c r="D44265" s="39"/>
      <c r="E44265" s="39"/>
      <c r="F44265" s="39"/>
    </row>
    <row r="44266">
      <c r="D44266" s="39"/>
      <c r="E44266" s="39"/>
      <c r="F44266" s="39"/>
    </row>
    <row r="44267">
      <c r="D44267" s="39"/>
      <c r="E44267" s="39"/>
      <c r="F44267" s="39"/>
    </row>
    <row r="44268">
      <c r="D44268" s="39"/>
      <c r="E44268" s="39"/>
      <c r="F44268" s="39"/>
    </row>
    <row r="44269">
      <c r="D44269" s="39"/>
      <c r="E44269" s="39"/>
      <c r="F44269" s="39"/>
    </row>
    <row r="44270">
      <c r="D44270" s="39"/>
      <c r="E44270" s="39"/>
      <c r="F44270" s="39"/>
    </row>
    <row r="44271">
      <c r="D44271" s="39"/>
      <c r="E44271" s="39"/>
      <c r="F44271" s="39"/>
    </row>
    <row r="44272">
      <c r="D44272" s="39"/>
      <c r="E44272" s="39"/>
      <c r="F44272" s="39"/>
    </row>
    <row r="44273">
      <c r="D44273" s="39"/>
      <c r="E44273" s="39"/>
      <c r="F44273" s="39"/>
    </row>
    <row r="44274">
      <c r="D44274" s="39"/>
      <c r="E44274" s="39"/>
      <c r="F44274" s="39"/>
    </row>
    <row r="44275">
      <c r="D44275" s="39"/>
      <c r="E44275" s="39"/>
      <c r="F44275" s="39"/>
    </row>
    <row r="44276">
      <c r="D44276" s="39"/>
      <c r="E44276" s="39"/>
      <c r="F44276" s="39"/>
    </row>
    <row r="44277">
      <c r="D44277" s="39"/>
      <c r="E44277" s="39"/>
      <c r="F44277" s="39"/>
    </row>
    <row r="44278">
      <c r="D44278" s="39"/>
      <c r="E44278" s="39"/>
      <c r="F44278" s="39"/>
    </row>
    <row r="44279">
      <c r="D44279" s="39"/>
      <c r="E44279" s="39"/>
      <c r="F44279" s="39"/>
    </row>
    <row r="44280">
      <c r="D44280" s="39"/>
      <c r="E44280" s="39"/>
      <c r="F44280" s="39"/>
    </row>
    <row r="44281">
      <c r="D44281" s="39"/>
      <c r="E44281" s="39"/>
      <c r="F44281" s="39"/>
    </row>
    <row r="44282">
      <c r="D44282" s="39"/>
      <c r="E44282" s="39"/>
      <c r="F44282" s="39"/>
    </row>
    <row r="44283">
      <c r="D44283" s="39"/>
      <c r="E44283" s="39"/>
      <c r="F44283" s="39"/>
    </row>
    <row r="44284">
      <c r="D44284" s="39"/>
      <c r="E44284" s="39"/>
      <c r="F44284" s="39"/>
    </row>
    <row r="44285">
      <c r="D44285" s="39"/>
      <c r="E44285" s="39"/>
      <c r="F44285" s="39"/>
    </row>
    <row r="44286">
      <c r="D44286" s="39"/>
      <c r="E44286" s="39"/>
      <c r="F44286" s="39"/>
    </row>
    <row r="44287">
      <c r="D44287" s="39"/>
      <c r="E44287" s="39"/>
      <c r="F44287" s="39"/>
    </row>
    <row r="44288">
      <c r="D44288" s="39"/>
      <c r="E44288" s="39"/>
      <c r="F44288" s="39"/>
    </row>
    <row r="44289">
      <c r="D44289" s="39"/>
      <c r="E44289" s="39"/>
      <c r="F44289" s="39"/>
    </row>
    <row r="44290">
      <c r="D44290" s="39"/>
      <c r="E44290" s="39"/>
      <c r="F44290" s="39"/>
    </row>
    <row r="44291">
      <c r="D44291" s="39"/>
      <c r="E44291" s="39"/>
      <c r="F44291" s="39"/>
    </row>
    <row r="44292">
      <c r="D44292" s="39"/>
      <c r="E44292" s="39"/>
      <c r="F44292" s="39"/>
    </row>
    <row r="44293">
      <c r="D44293" s="39"/>
      <c r="E44293" s="39"/>
      <c r="F44293" s="39"/>
    </row>
    <row r="44294">
      <c r="D44294" s="39"/>
      <c r="E44294" s="39"/>
      <c r="F44294" s="39"/>
    </row>
    <row r="44295">
      <c r="D44295" s="39"/>
      <c r="E44295" s="39"/>
      <c r="F44295" s="39"/>
    </row>
    <row r="44296">
      <c r="D44296" s="39"/>
      <c r="E44296" s="39"/>
      <c r="F44296" s="39"/>
    </row>
    <row r="44297">
      <c r="D44297" s="39"/>
      <c r="E44297" s="39"/>
      <c r="F44297" s="39"/>
    </row>
    <row r="44298">
      <c r="D44298" s="39"/>
      <c r="E44298" s="39"/>
      <c r="F44298" s="39"/>
    </row>
    <row r="44299">
      <c r="D44299" s="39"/>
      <c r="E44299" s="39"/>
      <c r="F44299" s="39"/>
    </row>
    <row r="44300">
      <c r="D44300" s="39"/>
      <c r="E44300" s="39"/>
      <c r="F44300" s="39"/>
    </row>
    <row r="44301">
      <c r="D44301" s="39"/>
      <c r="E44301" s="39"/>
      <c r="F44301" s="39"/>
    </row>
    <row r="44302">
      <c r="D44302" s="39"/>
      <c r="E44302" s="39"/>
      <c r="F44302" s="39"/>
    </row>
    <row r="44303">
      <c r="D44303" s="39"/>
      <c r="E44303" s="39"/>
      <c r="F44303" s="39"/>
    </row>
    <row r="44304">
      <c r="D44304" s="39"/>
      <c r="E44304" s="39"/>
      <c r="F44304" s="39"/>
    </row>
    <row r="44305">
      <c r="D44305" s="39"/>
      <c r="E44305" s="39"/>
      <c r="F44305" s="39"/>
    </row>
    <row r="44306">
      <c r="D44306" s="39"/>
      <c r="E44306" s="39"/>
      <c r="F44306" s="39"/>
    </row>
    <row r="44307">
      <c r="D44307" s="39"/>
      <c r="E44307" s="39"/>
      <c r="F44307" s="39"/>
    </row>
    <row r="44308">
      <c r="D44308" s="39"/>
      <c r="E44308" s="39"/>
      <c r="F44308" s="39"/>
    </row>
    <row r="44309">
      <c r="D44309" s="39"/>
      <c r="E44309" s="39"/>
      <c r="F44309" s="39"/>
    </row>
    <row r="44310">
      <c r="D44310" s="39"/>
      <c r="E44310" s="39"/>
      <c r="F44310" s="39"/>
    </row>
    <row r="44311">
      <c r="D44311" s="39"/>
      <c r="E44311" s="39"/>
      <c r="F44311" s="39"/>
    </row>
    <row r="44312">
      <c r="D44312" s="39"/>
      <c r="E44312" s="39"/>
      <c r="F44312" s="39"/>
    </row>
    <row r="44313">
      <c r="D44313" s="39"/>
      <c r="E44313" s="39"/>
      <c r="F44313" s="39"/>
    </row>
    <row r="44314">
      <c r="D44314" s="39"/>
      <c r="E44314" s="39"/>
      <c r="F44314" s="39"/>
    </row>
    <row r="44315">
      <c r="D44315" s="39"/>
      <c r="E44315" s="39"/>
      <c r="F44315" s="39"/>
    </row>
    <row r="44316">
      <c r="D44316" s="39"/>
      <c r="E44316" s="39"/>
      <c r="F44316" s="39"/>
    </row>
    <row r="44317">
      <c r="D44317" s="39"/>
      <c r="E44317" s="39"/>
      <c r="F44317" s="39"/>
    </row>
    <row r="44318">
      <c r="D44318" s="39"/>
      <c r="E44318" s="39"/>
      <c r="F44318" s="39"/>
    </row>
    <row r="44319">
      <c r="D44319" s="39"/>
      <c r="E44319" s="39"/>
      <c r="F44319" s="39"/>
    </row>
    <row r="44320">
      <c r="D44320" s="39"/>
      <c r="E44320" s="39"/>
      <c r="F44320" s="39"/>
    </row>
    <row r="44321">
      <c r="D44321" s="39"/>
      <c r="E44321" s="39"/>
      <c r="F44321" s="39"/>
    </row>
    <row r="44322">
      <c r="D44322" s="39"/>
      <c r="E44322" s="39"/>
      <c r="F44322" s="39"/>
    </row>
    <row r="44323">
      <c r="D44323" s="39"/>
      <c r="E44323" s="39"/>
      <c r="F44323" s="39"/>
    </row>
    <row r="44324">
      <c r="D44324" s="39"/>
      <c r="E44324" s="39"/>
      <c r="F44324" s="39"/>
    </row>
    <row r="44325">
      <c r="D44325" s="39"/>
      <c r="E44325" s="39"/>
      <c r="F44325" s="39"/>
    </row>
    <row r="44326">
      <c r="D44326" s="39"/>
      <c r="E44326" s="39"/>
      <c r="F44326" s="39"/>
    </row>
    <row r="44327">
      <c r="D44327" s="39"/>
      <c r="E44327" s="39"/>
      <c r="F44327" s="39"/>
    </row>
    <row r="44328">
      <c r="D44328" s="39"/>
      <c r="E44328" s="39"/>
      <c r="F44328" s="39"/>
    </row>
    <row r="44329">
      <c r="D44329" s="39"/>
      <c r="E44329" s="39"/>
      <c r="F44329" s="39"/>
    </row>
    <row r="44330">
      <c r="D44330" s="39"/>
      <c r="E44330" s="39"/>
      <c r="F44330" s="39"/>
    </row>
    <row r="44331">
      <c r="D44331" s="39"/>
      <c r="E44331" s="39"/>
      <c r="F44331" s="39"/>
    </row>
    <row r="44332">
      <c r="D44332" s="39"/>
      <c r="E44332" s="39"/>
      <c r="F44332" s="39"/>
    </row>
    <row r="44333">
      <c r="D44333" s="39"/>
      <c r="E44333" s="39"/>
      <c r="F44333" s="39"/>
    </row>
    <row r="44334">
      <c r="D44334" s="39"/>
      <c r="E44334" s="39"/>
      <c r="F44334" s="39"/>
    </row>
    <row r="44335">
      <c r="D44335" s="39"/>
      <c r="E44335" s="39"/>
      <c r="F44335" s="39"/>
    </row>
    <row r="44336">
      <c r="D44336" s="39"/>
      <c r="E44336" s="39"/>
      <c r="F44336" s="39"/>
    </row>
    <row r="44337">
      <c r="D44337" s="39"/>
      <c r="E44337" s="39"/>
      <c r="F44337" s="39"/>
    </row>
    <row r="44338">
      <c r="D44338" s="39"/>
      <c r="E44338" s="39"/>
      <c r="F44338" s="39"/>
    </row>
    <row r="44339">
      <c r="D44339" s="39"/>
      <c r="E44339" s="39"/>
      <c r="F44339" s="39"/>
    </row>
    <row r="44340">
      <c r="D44340" s="39"/>
      <c r="E44340" s="39"/>
      <c r="F44340" s="39"/>
    </row>
    <row r="44341">
      <c r="D44341" s="39"/>
      <c r="E44341" s="39"/>
      <c r="F44341" s="39"/>
    </row>
    <row r="44342">
      <c r="D44342" s="39"/>
      <c r="E44342" s="39"/>
      <c r="F44342" s="39"/>
    </row>
    <row r="44343">
      <c r="D44343" s="39"/>
      <c r="E44343" s="39"/>
      <c r="F44343" s="39"/>
    </row>
    <row r="44344">
      <c r="D44344" s="39"/>
      <c r="E44344" s="39"/>
      <c r="F44344" s="39"/>
    </row>
    <row r="44345">
      <c r="D44345" s="39"/>
      <c r="E44345" s="39"/>
      <c r="F44345" s="39"/>
    </row>
    <row r="44346">
      <c r="D44346" s="39"/>
      <c r="E44346" s="39"/>
      <c r="F44346" s="39"/>
    </row>
    <row r="44347">
      <c r="D44347" s="39"/>
      <c r="E44347" s="39"/>
      <c r="F44347" s="39"/>
    </row>
    <row r="44348">
      <c r="D44348" s="39"/>
      <c r="E44348" s="39"/>
      <c r="F44348" s="39"/>
    </row>
    <row r="44349">
      <c r="D44349" s="39"/>
      <c r="E44349" s="39"/>
      <c r="F44349" s="39"/>
    </row>
    <row r="44350">
      <c r="D44350" s="39"/>
      <c r="E44350" s="39"/>
      <c r="F44350" s="39"/>
    </row>
    <row r="44351">
      <c r="D44351" s="39"/>
      <c r="E44351" s="39"/>
      <c r="F44351" s="39"/>
    </row>
    <row r="44352">
      <c r="D44352" s="39"/>
      <c r="E44352" s="39"/>
      <c r="F44352" s="39"/>
    </row>
    <row r="44353">
      <c r="D44353" s="39"/>
      <c r="E44353" s="39"/>
      <c r="F44353" s="39"/>
    </row>
    <row r="44354">
      <c r="D44354" s="39"/>
      <c r="E44354" s="39"/>
      <c r="F44354" s="39"/>
    </row>
    <row r="44355">
      <c r="D44355" s="39"/>
      <c r="E44355" s="39"/>
      <c r="F44355" s="39"/>
    </row>
    <row r="44356">
      <c r="D44356" s="39"/>
      <c r="E44356" s="39"/>
      <c r="F44356" s="39"/>
    </row>
    <row r="44357">
      <c r="D44357" s="39"/>
      <c r="E44357" s="39"/>
      <c r="F44357" s="39"/>
    </row>
    <row r="44358">
      <c r="D44358" s="39"/>
      <c r="E44358" s="39"/>
      <c r="F44358" s="39"/>
    </row>
    <row r="44359">
      <c r="D44359" s="39"/>
      <c r="E44359" s="39"/>
      <c r="F44359" s="39"/>
    </row>
    <row r="44360">
      <c r="D44360" s="39"/>
      <c r="E44360" s="39"/>
      <c r="F44360" s="39"/>
    </row>
    <row r="44361">
      <c r="D44361" s="39"/>
      <c r="E44361" s="39"/>
      <c r="F44361" s="39"/>
    </row>
    <row r="44362">
      <c r="D44362" s="39"/>
      <c r="E44362" s="39"/>
      <c r="F44362" s="39"/>
    </row>
    <row r="44363">
      <c r="D44363" s="39"/>
      <c r="E44363" s="39"/>
      <c r="F44363" s="39"/>
    </row>
    <row r="44364">
      <c r="D44364" s="39"/>
      <c r="E44364" s="39"/>
      <c r="F44364" s="39"/>
    </row>
    <row r="44365">
      <c r="D44365" s="39"/>
      <c r="E44365" s="39"/>
      <c r="F44365" s="39"/>
    </row>
    <row r="44366">
      <c r="D44366" s="39"/>
      <c r="E44366" s="39"/>
      <c r="F44366" s="39"/>
    </row>
    <row r="44367">
      <c r="D44367" s="39"/>
      <c r="E44367" s="39"/>
      <c r="F44367" s="39"/>
    </row>
    <row r="44368">
      <c r="D44368" s="39"/>
      <c r="E44368" s="39"/>
      <c r="F44368" s="39"/>
    </row>
    <row r="44369">
      <c r="D44369" s="39"/>
      <c r="E44369" s="39"/>
      <c r="F44369" s="39"/>
    </row>
    <row r="44370">
      <c r="D44370" s="39"/>
      <c r="E44370" s="39"/>
      <c r="F44370" s="39"/>
    </row>
    <row r="44371">
      <c r="D44371" s="39"/>
      <c r="E44371" s="39"/>
      <c r="F44371" s="39"/>
    </row>
    <row r="44372">
      <c r="D44372" s="39"/>
      <c r="E44372" s="39"/>
      <c r="F44372" s="39"/>
    </row>
    <row r="44373">
      <c r="D44373" s="39"/>
      <c r="E44373" s="39"/>
      <c r="F44373" s="39"/>
    </row>
    <row r="44374">
      <c r="D44374" s="39"/>
      <c r="E44374" s="39"/>
      <c r="F44374" s="39"/>
    </row>
    <row r="44375">
      <c r="D44375" s="39"/>
      <c r="E44375" s="39"/>
      <c r="F44375" s="39"/>
    </row>
    <row r="44376">
      <c r="D44376" s="39"/>
      <c r="E44376" s="39"/>
      <c r="F44376" s="39"/>
    </row>
    <row r="44377">
      <c r="D44377" s="39"/>
      <c r="E44377" s="39"/>
      <c r="F44377" s="39"/>
    </row>
    <row r="44378">
      <c r="D44378" s="39"/>
      <c r="E44378" s="39"/>
      <c r="F44378" s="39"/>
    </row>
    <row r="44379">
      <c r="D44379" s="39"/>
      <c r="E44379" s="39"/>
      <c r="F44379" s="39"/>
    </row>
    <row r="44380">
      <c r="D44380" s="39"/>
      <c r="E44380" s="39"/>
      <c r="F44380" s="39"/>
    </row>
    <row r="44381">
      <c r="D44381" s="39"/>
      <c r="E44381" s="39"/>
      <c r="F44381" s="39"/>
    </row>
    <row r="44382">
      <c r="D44382" s="39"/>
      <c r="E44382" s="39"/>
      <c r="F44382" s="39"/>
    </row>
    <row r="44383">
      <c r="D44383" s="39"/>
      <c r="E44383" s="39"/>
      <c r="F44383" s="39"/>
    </row>
    <row r="44384">
      <c r="D44384" s="39"/>
      <c r="E44384" s="39"/>
      <c r="F44384" s="39"/>
    </row>
    <row r="44385">
      <c r="D44385" s="39"/>
      <c r="E44385" s="39"/>
      <c r="F44385" s="39"/>
    </row>
    <row r="44386">
      <c r="D44386" s="39"/>
      <c r="E44386" s="39"/>
      <c r="F44386" s="39"/>
    </row>
    <row r="44387">
      <c r="D44387" s="39"/>
      <c r="E44387" s="39"/>
      <c r="F44387" s="39"/>
    </row>
    <row r="44388">
      <c r="D44388" s="39"/>
      <c r="E44388" s="39"/>
      <c r="F44388" s="39"/>
    </row>
    <row r="44389">
      <c r="D44389" s="39"/>
      <c r="E44389" s="39"/>
      <c r="F44389" s="39"/>
    </row>
    <row r="44390">
      <c r="D44390" s="39"/>
      <c r="E44390" s="39"/>
      <c r="F44390" s="39"/>
    </row>
    <row r="44391">
      <c r="D44391" s="39"/>
      <c r="E44391" s="39"/>
      <c r="F44391" s="39"/>
    </row>
    <row r="44392">
      <c r="D44392" s="39"/>
      <c r="E44392" s="39"/>
      <c r="F44392" s="39"/>
    </row>
    <row r="44393">
      <c r="D44393" s="39"/>
      <c r="E44393" s="39"/>
      <c r="F44393" s="39"/>
    </row>
    <row r="44394">
      <c r="D44394" s="39"/>
      <c r="E44394" s="39"/>
      <c r="F44394" s="39"/>
    </row>
    <row r="44395">
      <c r="D44395" s="39"/>
      <c r="E44395" s="39"/>
      <c r="F44395" s="39"/>
    </row>
    <row r="44396">
      <c r="D44396" s="39"/>
      <c r="E44396" s="39"/>
      <c r="F44396" s="39"/>
    </row>
    <row r="44397">
      <c r="D44397" s="39"/>
      <c r="E44397" s="39"/>
      <c r="F44397" s="39"/>
    </row>
    <row r="44398">
      <c r="D44398" s="39"/>
      <c r="E44398" s="39"/>
      <c r="F44398" s="39"/>
    </row>
    <row r="44399">
      <c r="D44399" s="39"/>
      <c r="E44399" s="39"/>
      <c r="F44399" s="39"/>
    </row>
    <row r="44400">
      <c r="D44400" s="39"/>
      <c r="E44400" s="39"/>
      <c r="F44400" s="39"/>
    </row>
    <row r="44401">
      <c r="D44401" s="39"/>
      <c r="E44401" s="39"/>
      <c r="F44401" s="39"/>
    </row>
    <row r="44402">
      <c r="D44402" s="39"/>
      <c r="E44402" s="39"/>
      <c r="F44402" s="39"/>
    </row>
    <row r="44403">
      <c r="D44403" s="39"/>
      <c r="E44403" s="39"/>
      <c r="F44403" s="39"/>
    </row>
    <row r="44404">
      <c r="D44404" s="39"/>
      <c r="E44404" s="39"/>
      <c r="F44404" s="39"/>
    </row>
    <row r="44405">
      <c r="D44405" s="39"/>
      <c r="E44405" s="39"/>
      <c r="F44405" s="39"/>
    </row>
    <row r="44406">
      <c r="D44406" s="39"/>
      <c r="E44406" s="39"/>
      <c r="F44406" s="39"/>
    </row>
    <row r="44407">
      <c r="D44407" s="39"/>
      <c r="E44407" s="39"/>
      <c r="F44407" s="39"/>
    </row>
    <row r="44408">
      <c r="D44408" s="39"/>
      <c r="E44408" s="39"/>
      <c r="F44408" s="39"/>
    </row>
    <row r="44409">
      <c r="D44409" s="39"/>
      <c r="E44409" s="39"/>
      <c r="F44409" s="39"/>
    </row>
    <row r="44410">
      <c r="D44410" s="39"/>
      <c r="E44410" s="39"/>
      <c r="F44410" s="39"/>
    </row>
    <row r="44411">
      <c r="D44411" s="39"/>
      <c r="E44411" s="39"/>
      <c r="F44411" s="39"/>
    </row>
    <row r="44412">
      <c r="D44412" s="39"/>
      <c r="E44412" s="39"/>
      <c r="F44412" s="39"/>
    </row>
    <row r="44413">
      <c r="D44413" s="39"/>
      <c r="E44413" s="39"/>
      <c r="F44413" s="39"/>
    </row>
    <row r="44414">
      <c r="D44414" s="39"/>
      <c r="E44414" s="39"/>
      <c r="F44414" s="39"/>
    </row>
    <row r="44415">
      <c r="D44415" s="39"/>
      <c r="E44415" s="39"/>
      <c r="F44415" s="39"/>
    </row>
    <row r="44416">
      <c r="D44416" s="39"/>
      <c r="E44416" s="39"/>
      <c r="F44416" s="39"/>
    </row>
    <row r="44417">
      <c r="D44417" s="39"/>
      <c r="E44417" s="39"/>
      <c r="F44417" s="39"/>
    </row>
    <row r="44418">
      <c r="D44418" s="39"/>
      <c r="E44418" s="39"/>
      <c r="F44418" s="39"/>
    </row>
    <row r="44419">
      <c r="D44419" s="39"/>
      <c r="E44419" s="39"/>
      <c r="F44419" s="39"/>
    </row>
    <row r="44420">
      <c r="D44420" s="39"/>
      <c r="E44420" s="39"/>
      <c r="F44420" s="39"/>
    </row>
    <row r="44421">
      <c r="D44421" s="39"/>
      <c r="E44421" s="39"/>
      <c r="F44421" s="39"/>
    </row>
    <row r="44422">
      <c r="D44422" s="39"/>
      <c r="E44422" s="39"/>
      <c r="F44422" s="39"/>
    </row>
    <row r="44423">
      <c r="D44423" s="39"/>
      <c r="E44423" s="39"/>
      <c r="F44423" s="39"/>
    </row>
    <row r="44424">
      <c r="D44424" s="39"/>
      <c r="E44424" s="39"/>
      <c r="F44424" s="39"/>
    </row>
    <row r="44425">
      <c r="D44425" s="39"/>
      <c r="E44425" s="39"/>
      <c r="F44425" s="39"/>
    </row>
    <row r="44426">
      <c r="D44426" s="39"/>
      <c r="E44426" s="39"/>
      <c r="F44426" s="39"/>
    </row>
    <row r="44427">
      <c r="D44427" s="39"/>
      <c r="E44427" s="39"/>
      <c r="F44427" s="39"/>
    </row>
    <row r="44428">
      <c r="D44428" s="39"/>
      <c r="E44428" s="39"/>
      <c r="F44428" s="39"/>
    </row>
    <row r="44429">
      <c r="D44429" s="39"/>
      <c r="E44429" s="39"/>
      <c r="F44429" s="39"/>
    </row>
    <row r="44430">
      <c r="D44430" s="39"/>
      <c r="E44430" s="39"/>
      <c r="F44430" s="39"/>
    </row>
    <row r="44431">
      <c r="D44431" s="39"/>
      <c r="E44431" s="39"/>
      <c r="F44431" s="39"/>
    </row>
    <row r="44432">
      <c r="D44432" s="39"/>
      <c r="E44432" s="39"/>
      <c r="F44432" s="39"/>
    </row>
    <row r="44433">
      <c r="D44433" s="39"/>
      <c r="E44433" s="39"/>
      <c r="F44433" s="39"/>
    </row>
    <row r="44434">
      <c r="D44434" s="39"/>
      <c r="E44434" s="39"/>
      <c r="F44434" s="39"/>
    </row>
    <row r="44435">
      <c r="D44435" s="39"/>
      <c r="E44435" s="39"/>
      <c r="F44435" s="39"/>
    </row>
    <row r="44436">
      <c r="D44436" s="39"/>
      <c r="E44436" s="39"/>
      <c r="F44436" s="39"/>
    </row>
    <row r="44437">
      <c r="D44437" s="39"/>
      <c r="E44437" s="39"/>
      <c r="F44437" s="39"/>
    </row>
    <row r="44438">
      <c r="D44438" s="39"/>
      <c r="E44438" s="39"/>
      <c r="F44438" s="39"/>
    </row>
    <row r="44439">
      <c r="D44439" s="39"/>
      <c r="E44439" s="39"/>
      <c r="F44439" s="39"/>
    </row>
    <row r="44440">
      <c r="D44440" s="39"/>
      <c r="E44440" s="39"/>
      <c r="F44440" s="39"/>
    </row>
    <row r="44441">
      <c r="D44441" s="39"/>
      <c r="E44441" s="39"/>
      <c r="F44441" s="39"/>
    </row>
    <row r="44442">
      <c r="D44442" s="39"/>
      <c r="E44442" s="39"/>
      <c r="F44442" s="39"/>
    </row>
    <row r="44443">
      <c r="D44443" s="39"/>
      <c r="E44443" s="39"/>
      <c r="F44443" s="39"/>
    </row>
    <row r="44444">
      <c r="D44444" s="39"/>
      <c r="E44444" s="39"/>
      <c r="F44444" s="39"/>
    </row>
    <row r="44445">
      <c r="D44445" s="39"/>
      <c r="E44445" s="39"/>
      <c r="F44445" s="39"/>
    </row>
    <row r="44446">
      <c r="D44446" s="39"/>
      <c r="E44446" s="39"/>
      <c r="F44446" s="39"/>
    </row>
    <row r="44447">
      <c r="D44447" s="39"/>
      <c r="E44447" s="39"/>
      <c r="F44447" s="39"/>
    </row>
    <row r="44448">
      <c r="D44448" s="39"/>
      <c r="E44448" s="39"/>
      <c r="F44448" s="39"/>
    </row>
    <row r="44449">
      <c r="D44449" s="39"/>
      <c r="E44449" s="39"/>
      <c r="F44449" s="39"/>
    </row>
    <row r="44450">
      <c r="D44450" s="39"/>
      <c r="E44450" s="39"/>
      <c r="F44450" s="39"/>
    </row>
    <row r="44451">
      <c r="D44451" s="39"/>
      <c r="E44451" s="39"/>
      <c r="F44451" s="39"/>
    </row>
    <row r="44452">
      <c r="D44452" s="39"/>
      <c r="E44452" s="39"/>
      <c r="F44452" s="39"/>
    </row>
    <row r="44453">
      <c r="D44453" s="39"/>
      <c r="E44453" s="39"/>
      <c r="F44453" s="39"/>
    </row>
    <row r="44454">
      <c r="D44454" s="39"/>
      <c r="E44454" s="39"/>
      <c r="F44454" s="39"/>
    </row>
    <row r="44455">
      <c r="D44455" s="39"/>
      <c r="E44455" s="39"/>
      <c r="F44455" s="39"/>
    </row>
    <row r="44456">
      <c r="D44456" s="39"/>
      <c r="E44456" s="39"/>
      <c r="F44456" s="39"/>
    </row>
    <row r="44457">
      <c r="D44457" s="39"/>
      <c r="E44457" s="39"/>
      <c r="F44457" s="39"/>
    </row>
    <row r="44458">
      <c r="D44458" s="39"/>
      <c r="E44458" s="39"/>
      <c r="F44458" s="39"/>
    </row>
    <row r="44459">
      <c r="D44459" s="39"/>
      <c r="E44459" s="39"/>
      <c r="F44459" s="39"/>
    </row>
    <row r="44460">
      <c r="D44460" s="39"/>
      <c r="E44460" s="39"/>
      <c r="F44460" s="39"/>
    </row>
    <row r="44461">
      <c r="D44461" s="39"/>
      <c r="E44461" s="39"/>
      <c r="F44461" s="39"/>
    </row>
    <row r="44462">
      <c r="D44462" s="39"/>
      <c r="E44462" s="39"/>
      <c r="F44462" s="39"/>
    </row>
    <row r="44463">
      <c r="D44463" s="39"/>
      <c r="E44463" s="39"/>
      <c r="F44463" s="39"/>
    </row>
    <row r="44464">
      <c r="D44464" s="39"/>
      <c r="E44464" s="39"/>
      <c r="F44464" s="39"/>
    </row>
    <row r="44465">
      <c r="D44465" s="39"/>
      <c r="E44465" s="39"/>
      <c r="F44465" s="39"/>
    </row>
    <row r="44466">
      <c r="D44466" s="39"/>
      <c r="E44466" s="39"/>
      <c r="F44466" s="39"/>
    </row>
    <row r="44467">
      <c r="D44467" s="39"/>
      <c r="E44467" s="39"/>
      <c r="F44467" s="39"/>
    </row>
    <row r="44468">
      <c r="D44468" s="39"/>
      <c r="E44468" s="39"/>
      <c r="F44468" s="39"/>
    </row>
    <row r="44469">
      <c r="D44469" s="39"/>
      <c r="E44469" s="39"/>
      <c r="F44469" s="39"/>
    </row>
    <row r="44470">
      <c r="D44470" s="39"/>
      <c r="E44470" s="39"/>
      <c r="F44470" s="39"/>
    </row>
    <row r="44471">
      <c r="D44471" s="39"/>
      <c r="E44471" s="39"/>
      <c r="F44471" s="39"/>
    </row>
    <row r="44472">
      <c r="D44472" s="39"/>
      <c r="E44472" s="39"/>
      <c r="F44472" s="39"/>
    </row>
    <row r="44473">
      <c r="D44473" s="39"/>
      <c r="E44473" s="39"/>
      <c r="F44473" s="39"/>
    </row>
    <row r="44474">
      <c r="D44474" s="39"/>
      <c r="E44474" s="39"/>
      <c r="F44474" s="39"/>
    </row>
    <row r="44475">
      <c r="D44475" s="39"/>
      <c r="E44475" s="39"/>
      <c r="F44475" s="39"/>
    </row>
    <row r="44476">
      <c r="D44476" s="39"/>
      <c r="E44476" s="39"/>
      <c r="F44476" s="39"/>
    </row>
    <row r="44477">
      <c r="D44477" s="39"/>
      <c r="E44477" s="39"/>
      <c r="F44477" s="39"/>
    </row>
    <row r="44478">
      <c r="D44478" s="39"/>
      <c r="E44478" s="39"/>
      <c r="F44478" s="39"/>
    </row>
    <row r="44479">
      <c r="D44479" s="39"/>
      <c r="E44479" s="39"/>
      <c r="F44479" s="39"/>
    </row>
    <row r="44480">
      <c r="D44480" s="39"/>
      <c r="E44480" s="39"/>
      <c r="F44480" s="39"/>
    </row>
    <row r="44481">
      <c r="D44481" s="39"/>
      <c r="E44481" s="39"/>
      <c r="F44481" s="39"/>
    </row>
    <row r="44482">
      <c r="D44482" s="39"/>
      <c r="E44482" s="39"/>
      <c r="F44482" s="39"/>
    </row>
    <row r="44483">
      <c r="D44483" s="39"/>
      <c r="E44483" s="39"/>
      <c r="F44483" s="39"/>
    </row>
    <row r="44484">
      <c r="D44484" s="39"/>
      <c r="E44484" s="39"/>
      <c r="F44484" s="39"/>
    </row>
    <row r="44485">
      <c r="D44485" s="39"/>
      <c r="E44485" s="39"/>
      <c r="F44485" s="39"/>
    </row>
    <row r="44486">
      <c r="D44486" s="39"/>
      <c r="E44486" s="39"/>
      <c r="F44486" s="39"/>
    </row>
    <row r="44487">
      <c r="D44487" s="39"/>
      <c r="E44487" s="39"/>
      <c r="F44487" s="39"/>
    </row>
    <row r="44488">
      <c r="D44488" s="39"/>
      <c r="E44488" s="39"/>
      <c r="F44488" s="39"/>
    </row>
    <row r="44489">
      <c r="D44489" s="39"/>
      <c r="E44489" s="39"/>
      <c r="F44489" s="39"/>
    </row>
    <row r="44490">
      <c r="D44490" s="39"/>
      <c r="E44490" s="39"/>
      <c r="F44490" s="39"/>
    </row>
    <row r="44491">
      <c r="D44491" s="39"/>
      <c r="E44491" s="39"/>
      <c r="F44491" s="39"/>
    </row>
    <row r="44492">
      <c r="D44492" s="39"/>
      <c r="E44492" s="39"/>
      <c r="F44492" s="39"/>
    </row>
    <row r="44493">
      <c r="D44493" s="39"/>
      <c r="E44493" s="39"/>
      <c r="F44493" s="39"/>
    </row>
    <row r="44494">
      <c r="D44494" s="39"/>
      <c r="E44494" s="39"/>
      <c r="F44494" s="39"/>
    </row>
    <row r="44495">
      <c r="D44495" s="39"/>
      <c r="E44495" s="39"/>
      <c r="F44495" s="39"/>
    </row>
    <row r="44496">
      <c r="D44496" s="39"/>
      <c r="E44496" s="39"/>
      <c r="F44496" s="39"/>
    </row>
    <row r="44497">
      <c r="D44497" s="39"/>
      <c r="E44497" s="39"/>
      <c r="F44497" s="39"/>
    </row>
    <row r="44498">
      <c r="D44498" s="39"/>
      <c r="E44498" s="39"/>
      <c r="F44498" s="39"/>
    </row>
    <row r="44499">
      <c r="D44499" s="39"/>
      <c r="E44499" s="39"/>
      <c r="F44499" s="39"/>
    </row>
    <row r="44500">
      <c r="D44500" s="39"/>
      <c r="E44500" s="39"/>
      <c r="F44500" s="39"/>
    </row>
    <row r="44501">
      <c r="D44501" s="39"/>
      <c r="E44501" s="39"/>
      <c r="F44501" s="39"/>
    </row>
    <row r="44502">
      <c r="D44502" s="39"/>
      <c r="E44502" s="39"/>
      <c r="F44502" s="39"/>
    </row>
    <row r="44503">
      <c r="D44503" s="39"/>
      <c r="E44503" s="39"/>
      <c r="F44503" s="39"/>
    </row>
    <row r="44504">
      <c r="D44504" s="39"/>
      <c r="E44504" s="39"/>
      <c r="F44504" s="39"/>
    </row>
    <row r="44505">
      <c r="D44505" s="39"/>
      <c r="E44505" s="39"/>
      <c r="F44505" s="39"/>
    </row>
    <row r="44506">
      <c r="D44506" s="39"/>
      <c r="E44506" s="39"/>
      <c r="F44506" s="39"/>
    </row>
    <row r="44507">
      <c r="D44507" s="39"/>
      <c r="E44507" s="39"/>
      <c r="F44507" s="39"/>
    </row>
    <row r="44508">
      <c r="D44508" s="39"/>
      <c r="E44508" s="39"/>
      <c r="F44508" s="39"/>
    </row>
    <row r="44509">
      <c r="D44509" s="39"/>
      <c r="E44509" s="39"/>
      <c r="F44509" s="39"/>
    </row>
    <row r="44510">
      <c r="D44510" s="39"/>
      <c r="E44510" s="39"/>
      <c r="F44510" s="39"/>
    </row>
    <row r="44511">
      <c r="D44511" s="39"/>
      <c r="E44511" s="39"/>
      <c r="F44511" s="39"/>
    </row>
    <row r="44512">
      <c r="D44512" s="39"/>
      <c r="E44512" s="39"/>
      <c r="F44512" s="39"/>
    </row>
    <row r="44513">
      <c r="D44513" s="39"/>
      <c r="E44513" s="39"/>
      <c r="F44513" s="39"/>
    </row>
    <row r="44514">
      <c r="D44514" s="39"/>
      <c r="E44514" s="39"/>
      <c r="F44514" s="39"/>
    </row>
    <row r="44515">
      <c r="D44515" s="39"/>
      <c r="E44515" s="39"/>
      <c r="F44515" s="39"/>
    </row>
    <row r="44516">
      <c r="D44516" s="39"/>
      <c r="E44516" s="39"/>
      <c r="F44516" s="39"/>
    </row>
    <row r="44517">
      <c r="D44517" s="39"/>
      <c r="E44517" s="39"/>
      <c r="F44517" s="39"/>
    </row>
    <row r="44518">
      <c r="D44518" s="39"/>
      <c r="E44518" s="39"/>
      <c r="F44518" s="39"/>
    </row>
    <row r="44519">
      <c r="D44519" s="39"/>
      <c r="E44519" s="39"/>
      <c r="F44519" s="39"/>
    </row>
    <row r="44520">
      <c r="D44520" s="39"/>
      <c r="E44520" s="39"/>
      <c r="F44520" s="39"/>
    </row>
    <row r="44521">
      <c r="D44521" s="39"/>
      <c r="E44521" s="39"/>
      <c r="F44521" s="39"/>
    </row>
    <row r="44522">
      <c r="D44522" s="39"/>
      <c r="E44522" s="39"/>
      <c r="F44522" s="39"/>
    </row>
    <row r="44523">
      <c r="D44523" s="39"/>
      <c r="E44523" s="39"/>
      <c r="F44523" s="39"/>
    </row>
    <row r="44524">
      <c r="D44524" s="39"/>
      <c r="E44524" s="39"/>
      <c r="F44524" s="39"/>
    </row>
    <row r="44525">
      <c r="D44525" s="39"/>
      <c r="E44525" s="39"/>
      <c r="F44525" s="39"/>
    </row>
    <row r="44526">
      <c r="D44526" s="39"/>
      <c r="E44526" s="39"/>
      <c r="F44526" s="39"/>
    </row>
    <row r="44527">
      <c r="D44527" s="39"/>
      <c r="E44527" s="39"/>
      <c r="F44527" s="39"/>
    </row>
    <row r="44528">
      <c r="D44528" s="39"/>
      <c r="E44528" s="39"/>
      <c r="F44528" s="39"/>
    </row>
    <row r="44529">
      <c r="D44529" s="39"/>
      <c r="E44529" s="39"/>
      <c r="F44529" s="39"/>
    </row>
    <row r="44530">
      <c r="D44530" s="39"/>
      <c r="E44530" s="39"/>
      <c r="F44530" s="39"/>
    </row>
    <row r="44531">
      <c r="D44531" s="39"/>
      <c r="E44531" s="39"/>
      <c r="F44531" s="39"/>
    </row>
    <row r="44532">
      <c r="D44532" s="39"/>
      <c r="E44532" s="39"/>
      <c r="F44532" s="39"/>
    </row>
    <row r="44533">
      <c r="D44533" s="39"/>
      <c r="E44533" s="39"/>
      <c r="F44533" s="39"/>
    </row>
    <row r="44534">
      <c r="D44534" s="39"/>
      <c r="E44534" s="39"/>
      <c r="F44534" s="39"/>
    </row>
    <row r="44535">
      <c r="D44535" s="39"/>
      <c r="E44535" s="39"/>
      <c r="F44535" s="39"/>
    </row>
    <row r="44536">
      <c r="D44536" s="39"/>
      <c r="E44536" s="39"/>
      <c r="F44536" s="39"/>
    </row>
    <row r="44537">
      <c r="D44537" s="39"/>
      <c r="E44537" s="39"/>
      <c r="F44537" s="39"/>
    </row>
    <row r="44538">
      <c r="D44538" s="39"/>
      <c r="E44538" s="39"/>
      <c r="F44538" s="39"/>
    </row>
    <row r="44539">
      <c r="D44539" s="39"/>
      <c r="E44539" s="39"/>
      <c r="F44539" s="39"/>
    </row>
    <row r="44540">
      <c r="D44540" s="39"/>
      <c r="E44540" s="39"/>
      <c r="F44540" s="39"/>
    </row>
    <row r="44541">
      <c r="D44541" s="39"/>
      <c r="E44541" s="39"/>
      <c r="F44541" s="39"/>
    </row>
    <row r="44542">
      <c r="D44542" s="39"/>
      <c r="E44542" s="39"/>
      <c r="F44542" s="39"/>
    </row>
    <row r="44543">
      <c r="D44543" s="39"/>
      <c r="E44543" s="39"/>
      <c r="F44543" s="39"/>
    </row>
    <row r="44544">
      <c r="D44544" s="39"/>
      <c r="E44544" s="39"/>
      <c r="F44544" s="39"/>
    </row>
    <row r="44545">
      <c r="D44545" s="39"/>
      <c r="E44545" s="39"/>
      <c r="F44545" s="39"/>
    </row>
    <row r="44546">
      <c r="D44546" s="39"/>
      <c r="E44546" s="39"/>
      <c r="F44546" s="39"/>
    </row>
    <row r="44547">
      <c r="D44547" s="39"/>
      <c r="E44547" s="39"/>
      <c r="F44547" s="39"/>
    </row>
    <row r="44548">
      <c r="D44548" s="39"/>
      <c r="E44548" s="39"/>
      <c r="F44548" s="39"/>
    </row>
    <row r="44549">
      <c r="D44549" s="39"/>
      <c r="E44549" s="39"/>
      <c r="F44549" s="39"/>
    </row>
    <row r="44550">
      <c r="D44550" s="39"/>
      <c r="E44550" s="39"/>
      <c r="F44550" s="39"/>
    </row>
    <row r="44551">
      <c r="D44551" s="39"/>
      <c r="E44551" s="39"/>
      <c r="F44551" s="39"/>
    </row>
    <row r="44552">
      <c r="D44552" s="39"/>
      <c r="E44552" s="39"/>
      <c r="F44552" s="39"/>
    </row>
    <row r="44553">
      <c r="D44553" s="39"/>
      <c r="E44553" s="39"/>
      <c r="F44553" s="39"/>
    </row>
    <row r="44554">
      <c r="D44554" s="39"/>
      <c r="E44554" s="39"/>
      <c r="F44554" s="39"/>
    </row>
    <row r="44555">
      <c r="D44555" s="39"/>
      <c r="E44555" s="39"/>
      <c r="F44555" s="39"/>
    </row>
    <row r="44556">
      <c r="D44556" s="39"/>
      <c r="E44556" s="39"/>
      <c r="F44556" s="39"/>
    </row>
    <row r="44557">
      <c r="D44557" s="39"/>
      <c r="E44557" s="39"/>
      <c r="F44557" s="39"/>
    </row>
    <row r="44558">
      <c r="D44558" s="39"/>
      <c r="E44558" s="39"/>
      <c r="F44558" s="39"/>
    </row>
    <row r="44559">
      <c r="D44559" s="39"/>
      <c r="E44559" s="39"/>
      <c r="F44559" s="39"/>
    </row>
    <row r="44560">
      <c r="D44560" s="39"/>
      <c r="E44560" s="39"/>
      <c r="F44560" s="39"/>
    </row>
    <row r="44561">
      <c r="D44561" s="39"/>
      <c r="E44561" s="39"/>
      <c r="F44561" s="39"/>
    </row>
    <row r="44562">
      <c r="D44562" s="39"/>
      <c r="E44562" s="39"/>
      <c r="F44562" s="39"/>
    </row>
    <row r="44563">
      <c r="D44563" s="39"/>
      <c r="E44563" s="39"/>
      <c r="F44563" s="39"/>
    </row>
    <row r="44564">
      <c r="D44564" s="39"/>
      <c r="E44564" s="39"/>
      <c r="F44564" s="39"/>
    </row>
    <row r="44565">
      <c r="D44565" s="39"/>
      <c r="E44565" s="39"/>
      <c r="F44565" s="39"/>
    </row>
    <row r="44566">
      <c r="D44566" s="39"/>
      <c r="E44566" s="39"/>
      <c r="F44566" s="39"/>
    </row>
    <row r="44567">
      <c r="D44567" s="39"/>
      <c r="E44567" s="39"/>
      <c r="F44567" s="39"/>
    </row>
    <row r="44568">
      <c r="D44568" s="39"/>
      <c r="E44568" s="39"/>
      <c r="F44568" s="39"/>
    </row>
    <row r="44569">
      <c r="D44569" s="39"/>
      <c r="E44569" s="39"/>
      <c r="F44569" s="39"/>
    </row>
    <row r="44570">
      <c r="D44570" s="39"/>
      <c r="E44570" s="39"/>
      <c r="F44570" s="39"/>
    </row>
    <row r="44571">
      <c r="D44571" s="39"/>
      <c r="E44571" s="39"/>
      <c r="F44571" s="39"/>
    </row>
    <row r="44572">
      <c r="D44572" s="39"/>
      <c r="E44572" s="39"/>
      <c r="F44572" s="39"/>
    </row>
    <row r="44573">
      <c r="D44573" s="39"/>
      <c r="E44573" s="39"/>
      <c r="F44573" s="39"/>
    </row>
    <row r="44574">
      <c r="D44574" s="39"/>
      <c r="E44574" s="39"/>
      <c r="F44574" s="39"/>
    </row>
    <row r="44575">
      <c r="D44575" s="39"/>
      <c r="E44575" s="39"/>
      <c r="F44575" s="39"/>
    </row>
    <row r="44576">
      <c r="D44576" s="39"/>
      <c r="E44576" s="39"/>
      <c r="F44576" s="39"/>
    </row>
    <row r="44577">
      <c r="D44577" s="39"/>
      <c r="E44577" s="39"/>
      <c r="F44577" s="39"/>
    </row>
    <row r="44578">
      <c r="D44578" s="39"/>
      <c r="E44578" s="39"/>
      <c r="F44578" s="39"/>
    </row>
    <row r="44579">
      <c r="D44579" s="39"/>
      <c r="E44579" s="39"/>
      <c r="F44579" s="39"/>
    </row>
    <row r="44580">
      <c r="D44580" s="39"/>
      <c r="E44580" s="39"/>
      <c r="F44580" s="39"/>
    </row>
    <row r="44581">
      <c r="D44581" s="39"/>
      <c r="E44581" s="39"/>
      <c r="F44581" s="39"/>
    </row>
    <row r="44582">
      <c r="D44582" s="39"/>
      <c r="E44582" s="39"/>
      <c r="F44582" s="39"/>
    </row>
    <row r="44583">
      <c r="D44583" s="39"/>
      <c r="E44583" s="39"/>
      <c r="F44583" s="39"/>
    </row>
    <row r="44584">
      <c r="D44584" s="39"/>
      <c r="E44584" s="39"/>
      <c r="F44584" s="39"/>
    </row>
    <row r="44585">
      <c r="D44585" s="39"/>
      <c r="E44585" s="39"/>
      <c r="F44585" s="39"/>
    </row>
    <row r="44586">
      <c r="D44586" s="39"/>
      <c r="E44586" s="39"/>
      <c r="F44586" s="39"/>
    </row>
    <row r="44587">
      <c r="D44587" s="39"/>
      <c r="E44587" s="39"/>
      <c r="F44587" s="39"/>
    </row>
    <row r="44588">
      <c r="D44588" s="39"/>
      <c r="E44588" s="39"/>
      <c r="F44588" s="39"/>
    </row>
    <row r="44589">
      <c r="D44589" s="39"/>
      <c r="E44589" s="39"/>
      <c r="F44589" s="39"/>
    </row>
    <row r="44590">
      <c r="D44590" s="39"/>
      <c r="E44590" s="39"/>
      <c r="F44590" s="39"/>
    </row>
    <row r="44591">
      <c r="D44591" s="39"/>
      <c r="E44591" s="39"/>
      <c r="F44591" s="39"/>
    </row>
    <row r="44592">
      <c r="D44592" s="39"/>
      <c r="E44592" s="39"/>
      <c r="F44592" s="39"/>
    </row>
    <row r="44593">
      <c r="D44593" s="39"/>
      <c r="E44593" s="39"/>
      <c r="F44593" s="39"/>
    </row>
    <row r="44594">
      <c r="D44594" s="39"/>
      <c r="E44594" s="39"/>
      <c r="F44594" s="39"/>
    </row>
    <row r="44595">
      <c r="D44595" s="39"/>
      <c r="E44595" s="39"/>
      <c r="F44595" s="39"/>
    </row>
    <row r="44596">
      <c r="D44596" s="39"/>
      <c r="E44596" s="39"/>
      <c r="F44596" s="39"/>
    </row>
    <row r="44597">
      <c r="D44597" s="39"/>
      <c r="E44597" s="39"/>
      <c r="F44597" s="39"/>
    </row>
    <row r="44598">
      <c r="D44598" s="39"/>
      <c r="E44598" s="39"/>
      <c r="F44598" s="39"/>
    </row>
    <row r="44599">
      <c r="D44599" s="39"/>
      <c r="E44599" s="39"/>
      <c r="F44599" s="39"/>
    </row>
    <row r="44600">
      <c r="D44600" s="39"/>
      <c r="E44600" s="39"/>
      <c r="F44600" s="39"/>
    </row>
    <row r="44601">
      <c r="D44601" s="39"/>
      <c r="E44601" s="39"/>
      <c r="F44601" s="39"/>
    </row>
    <row r="44602">
      <c r="D44602" s="39"/>
      <c r="E44602" s="39"/>
      <c r="F44602" s="39"/>
    </row>
    <row r="44603">
      <c r="D44603" s="39"/>
      <c r="E44603" s="39"/>
      <c r="F44603" s="39"/>
    </row>
    <row r="44604">
      <c r="D44604" s="39"/>
      <c r="E44604" s="39"/>
      <c r="F44604" s="39"/>
    </row>
    <row r="44605">
      <c r="D44605" s="39"/>
      <c r="E44605" s="39"/>
      <c r="F44605" s="39"/>
    </row>
    <row r="44606">
      <c r="D44606" s="39"/>
      <c r="E44606" s="39"/>
      <c r="F44606" s="39"/>
    </row>
    <row r="44607">
      <c r="D44607" s="39"/>
      <c r="E44607" s="39"/>
      <c r="F44607" s="39"/>
    </row>
    <row r="44608">
      <c r="D44608" s="39"/>
      <c r="E44608" s="39"/>
      <c r="F44608" s="39"/>
    </row>
    <row r="44609">
      <c r="D44609" s="39"/>
      <c r="E44609" s="39"/>
      <c r="F44609" s="39"/>
    </row>
    <row r="44610">
      <c r="D44610" s="39"/>
      <c r="E44610" s="39"/>
      <c r="F44610" s="39"/>
    </row>
    <row r="44611">
      <c r="D44611" s="39"/>
      <c r="E44611" s="39"/>
      <c r="F44611" s="39"/>
    </row>
    <row r="44612">
      <c r="D44612" s="39"/>
      <c r="E44612" s="39"/>
      <c r="F44612" s="39"/>
    </row>
    <row r="44613">
      <c r="D44613" s="39"/>
      <c r="E44613" s="39"/>
      <c r="F44613" s="39"/>
    </row>
    <row r="44614">
      <c r="D44614" s="39"/>
      <c r="E44614" s="39"/>
      <c r="F44614" s="39"/>
    </row>
    <row r="44615">
      <c r="D44615" s="39"/>
      <c r="E44615" s="39"/>
      <c r="F44615" s="39"/>
    </row>
    <row r="44616">
      <c r="D44616" s="39"/>
      <c r="E44616" s="39"/>
      <c r="F44616" s="39"/>
    </row>
    <row r="44617">
      <c r="D44617" s="39"/>
      <c r="E44617" s="39"/>
      <c r="F44617" s="39"/>
    </row>
    <row r="44618">
      <c r="D44618" s="39"/>
      <c r="E44618" s="39"/>
      <c r="F44618" s="39"/>
    </row>
    <row r="44619">
      <c r="D44619" s="39"/>
      <c r="E44619" s="39"/>
      <c r="F44619" s="39"/>
    </row>
    <row r="44620">
      <c r="D44620" s="39"/>
      <c r="E44620" s="39"/>
      <c r="F44620" s="39"/>
    </row>
    <row r="44621">
      <c r="D44621" s="39"/>
      <c r="E44621" s="39"/>
      <c r="F44621" s="39"/>
    </row>
    <row r="44622">
      <c r="D44622" s="39"/>
      <c r="E44622" s="39"/>
      <c r="F44622" s="39"/>
    </row>
    <row r="44623">
      <c r="D44623" s="39"/>
      <c r="E44623" s="39"/>
      <c r="F44623" s="39"/>
    </row>
    <row r="44624">
      <c r="D44624" s="39"/>
      <c r="E44624" s="39"/>
      <c r="F44624" s="39"/>
    </row>
    <row r="44625">
      <c r="D44625" s="39"/>
      <c r="E44625" s="39"/>
      <c r="F44625" s="39"/>
    </row>
    <row r="44626">
      <c r="D44626" s="39"/>
      <c r="E44626" s="39"/>
      <c r="F44626" s="39"/>
    </row>
    <row r="44627">
      <c r="D44627" s="39"/>
      <c r="E44627" s="39"/>
      <c r="F44627" s="39"/>
    </row>
    <row r="44628">
      <c r="D44628" s="39"/>
      <c r="E44628" s="39"/>
      <c r="F44628" s="39"/>
    </row>
    <row r="44629">
      <c r="D44629" s="39"/>
      <c r="E44629" s="39"/>
      <c r="F44629" s="39"/>
    </row>
    <row r="44630">
      <c r="D44630" s="39"/>
      <c r="E44630" s="39"/>
      <c r="F44630" s="39"/>
    </row>
    <row r="44631">
      <c r="D44631" s="39"/>
      <c r="E44631" s="39"/>
      <c r="F44631" s="39"/>
    </row>
    <row r="44632">
      <c r="D44632" s="39"/>
      <c r="E44632" s="39"/>
      <c r="F44632" s="39"/>
    </row>
    <row r="44633">
      <c r="D44633" s="39"/>
      <c r="E44633" s="39"/>
      <c r="F44633" s="39"/>
    </row>
    <row r="44634">
      <c r="D44634" s="39"/>
      <c r="E44634" s="39"/>
      <c r="F44634" s="39"/>
    </row>
    <row r="44635">
      <c r="D44635" s="39"/>
      <c r="E44635" s="39"/>
      <c r="F44635" s="39"/>
    </row>
    <row r="44636">
      <c r="D44636" s="39"/>
      <c r="E44636" s="39"/>
      <c r="F44636" s="39"/>
    </row>
    <row r="44637">
      <c r="D44637" s="39"/>
      <c r="E44637" s="39"/>
      <c r="F44637" s="39"/>
    </row>
    <row r="44638">
      <c r="D44638" s="39"/>
      <c r="E44638" s="39"/>
      <c r="F44638" s="39"/>
    </row>
    <row r="44639">
      <c r="D44639" s="39"/>
      <c r="E44639" s="39"/>
      <c r="F44639" s="39"/>
    </row>
    <row r="44640">
      <c r="D44640" s="39"/>
      <c r="E44640" s="39"/>
      <c r="F44640" s="39"/>
    </row>
    <row r="44641">
      <c r="D44641" s="39"/>
      <c r="E44641" s="39"/>
      <c r="F44641" s="39"/>
    </row>
    <row r="44642">
      <c r="D44642" s="39"/>
      <c r="E44642" s="39"/>
      <c r="F44642" s="39"/>
    </row>
    <row r="44643">
      <c r="D44643" s="39"/>
      <c r="E44643" s="39"/>
      <c r="F44643" s="39"/>
    </row>
    <row r="44644">
      <c r="D44644" s="39"/>
      <c r="E44644" s="39"/>
      <c r="F44644" s="39"/>
    </row>
    <row r="44645">
      <c r="D44645" s="39"/>
      <c r="E44645" s="39"/>
      <c r="F44645" s="39"/>
    </row>
    <row r="44646">
      <c r="D44646" s="39"/>
      <c r="E44646" s="39"/>
      <c r="F44646" s="39"/>
    </row>
    <row r="44647">
      <c r="D44647" s="39"/>
      <c r="E44647" s="39"/>
      <c r="F44647" s="39"/>
    </row>
    <row r="44648">
      <c r="D44648" s="39"/>
      <c r="E44648" s="39"/>
      <c r="F44648" s="39"/>
    </row>
    <row r="44649">
      <c r="D44649" s="39"/>
      <c r="E44649" s="39"/>
      <c r="F44649" s="39"/>
    </row>
    <row r="44650">
      <c r="D44650" s="39"/>
      <c r="E44650" s="39"/>
      <c r="F44650" s="39"/>
    </row>
    <row r="44651">
      <c r="D44651" s="39"/>
      <c r="E44651" s="39"/>
      <c r="F44651" s="39"/>
    </row>
    <row r="44652">
      <c r="D44652" s="39"/>
      <c r="E44652" s="39"/>
      <c r="F44652" s="39"/>
    </row>
    <row r="44653">
      <c r="D44653" s="39"/>
      <c r="E44653" s="39"/>
      <c r="F44653" s="39"/>
    </row>
    <row r="44654">
      <c r="D44654" s="39"/>
      <c r="E44654" s="39"/>
      <c r="F44654" s="39"/>
    </row>
    <row r="44655">
      <c r="D44655" s="39"/>
      <c r="E44655" s="39"/>
      <c r="F44655" s="39"/>
    </row>
    <row r="44656">
      <c r="D44656" s="39"/>
      <c r="E44656" s="39"/>
      <c r="F44656" s="39"/>
    </row>
    <row r="44657">
      <c r="D44657" s="39"/>
      <c r="E44657" s="39"/>
      <c r="F44657" s="39"/>
    </row>
    <row r="44658">
      <c r="D44658" s="39"/>
      <c r="E44658" s="39"/>
      <c r="F44658" s="39"/>
    </row>
    <row r="44659">
      <c r="D44659" s="39"/>
      <c r="E44659" s="39"/>
      <c r="F44659" s="39"/>
    </row>
    <row r="44660">
      <c r="D44660" s="39"/>
      <c r="E44660" s="39"/>
      <c r="F44660" s="39"/>
    </row>
    <row r="44661">
      <c r="D44661" s="39"/>
      <c r="E44661" s="39"/>
      <c r="F44661" s="39"/>
    </row>
    <row r="44662">
      <c r="D44662" s="39"/>
      <c r="E44662" s="39"/>
      <c r="F44662" s="39"/>
    </row>
    <row r="44663">
      <c r="D44663" s="39"/>
      <c r="E44663" s="39"/>
      <c r="F44663" s="39"/>
    </row>
    <row r="44664">
      <c r="D44664" s="39"/>
      <c r="E44664" s="39"/>
      <c r="F44664" s="39"/>
    </row>
    <row r="44665">
      <c r="D44665" s="39"/>
      <c r="E44665" s="39"/>
      <c r="F44665" s="39"/>
    </row>
    <row r="44666">
      <c r="D44666" s="39"/>
      <c r="E44666" s="39"/>
      <c r="F44666" s="39"/>
    </row>
    <row r="44667">
      <c r="D44667" s="39"/>
      <c r="E44667" s="39"/>
      <c r="F44667" s="39"/>
    </row>
    <row r="44668">
      <c r="D44668" s="39"/>
      <c r="E44668" s="39"/>
      <c r="F44668" s="39"/>
    </row>
    <row r="44669">
      <c r="D44669" s="39"/>
      <c r="E44669" s="39"/>
      <c r="F44669" s="39"/>
    </row>
    <row r="44670">
      <c r="D44670" s="39"/>
      <c r="E44670" s="39"/>
      <c r="F44670" s="39"/>
    </row>
    <row r="44671">
      <c r="D44671" s="39"/>
      <c r="E44671" s="39"/>
      <c r="F44671" s="39"/>
    </row>
    <row r="44672">
      <c r="D44672" s="39"/>
      <c r="E44672" s="39"/>
      <c r="F44672" s="39"/>
    </row>
    <row r="44673">
      <c r="D44673" s="39"/>
      <c r="E44673" s="39"/>
      <c r="F44673" s="39"/>
    </row>
    <row r="44674">
      <c r="D44674" s="39"/>
      <c r="E44674" s="39"/>
      <c r="F44674" s="39"/>
    </row>
    <row r="44675">
      <c r="D44675" s="39"/>
      <c r="E44675" s="39"/>
      <c r="F44675" s="39"/>
    </row>
    <row r="44676">
      <c r="D44676" s="39"/>
      <c r="E44676" s="39"/>
      <c r="F44676" s="39"/>
    </row>
    <row r="44677">
      <c r="D44677" s="39"/>
      <c r="E44677" s="39"/>
      <c r="F44677" s="39"/>
    </row>
    <row r="44678">
      <c r="D44678" s="39"/>
      <c r="E44678" s="39"/>
      <c r="F44678" s="39"/>
    </row>
    <row r="44679">
      <c r="D44679" s="39"/>
      <c r="E44679" s="39"/>
      <c r="F44679" s="39"/>
    </row>
    <row r="44680">
      <c r="D44680" s="39"/>
      <c r="E44680" s="39"/>
      <c r="F44680" s="39"/>
    </row>
    <row r="44681">
      <c r="D44681" s="39"/>
      <c r="E44681" s="39"/>
      <c r="F44681" s="39"/>
    </row>
    <row r="44682">
      <c r="D44682" s="39"/>
      <c r="E44682" s="39"/>
      <c r="F44682" s="39"/>
    </row>
    <row r="44683">
      <c r="D44683" s="39"/>
      <c r="E44683" s="39"/>
      <c r="F44683" s="39"/>
    </row>
    <row r="44684">
      <c r="D44684" s="39"/>
      <c r="E44684" s="39"/>
      <c r="F44684" s="39"/>
    </row>
    <row r="44685">
      <c r="D44685" s="39"/>
      <c r="E44685" s="39"/>
      <c r="F44685" s="39"/>
    </row>
    <row r="44686">
      <c r="D44686" s="39"/>
      <c r="E44686" s="39"/>
      <c r="F44686" s="39"/>
    </row>
    <row r="44687">
      <c r="D44687" s="39"/>
      <c r="E44687" s="39"/>
      <c r="F44687" s="39"/>
    </row>
    <row r="44688">
      <c r="D44688" s="39"/>
      <c r="E44688" s="39"/>
      <c r="F44688" s="39"/>
    </row>
    <row r="44689">
      <c r="D44689" s="39"/>
      <c r="E44689" s="39"/>
      <c r="F44689" s="39"/>
    </row>
    <row r="44690">
      <c r="D44690" s="39"/>
      <c r="E44690" s="39"/>
      <c r="F44690" s="39"/>
    </row>
    <row r="44691">
      <c r="D44691" s="39"/>
      <c r="E44691" s="39"/>
      <c r="F44691" s="39"/>
    </row>
    <row r="44692">
      <c r="D44692" s="39"/>
      <c r="E44692" s="39"/>
      <c r="F44692" s="39"/>
    </row>
    <row r="44693">
      <c r="D44693" s="39"/>
      <c r="E44693" s="39"/>
      <c r="F44693" s="39"/>
    </row>
    <row r="44694">
      <c r="D44694" s="39"/>
      <c r="E44694" s="39"/>
      <c r="F44694" s="39"/>
    </row>
    <row r="44695">
      <c r="D44695" s="39"/>
      <c r="E44695" s="39"/>
      <c r="F44695" s="39"/>
    </row>
    <row r="44696">
      <c r="D44696" s="39"/>
      <c r="E44696" s="39"/>
      <c r="F44696" s="39"/>
    </row>
    <row r="44697">
      <c r="D44697" s="39"/>
      <c r="E44697" s="39"/>
      <c r="F44697" s="39"/>
    </row>
    <row r="44698">
      <c r="D44698" s="39"/>
      <c r="E44698" s="39"/>
      <c r="F44698" s="39"/>
    </row>
    <row r="44699">
      <c r="D44699" s="39"/>
      <c r="E44699" s="39"/>
      <c r="F44699" s="39"/>
    </row>
    <row r="44700">
      <c r="D44700" s="39"/>
      <c r="E44700" s="39"/>
      <c r="F44700" s="39"/>
    </row>
    <row r="44701">
      <c r="D44701" s="39"/>
      <c r="E44701" s="39"/>
      <c r="F44701" s="39"/>
    </row>
    <row r="44702">
      <c r="D44702" s="39"/>
      <c r="E44702" s="39"/>
      <c r="F44702" s="39"/>
    </row>
    <row r="44703">
      <c r="D44703" s="39"/>
      <c r="E44703" s="39"/>
      <c r="F44703" s="39"/>
    </row>
    <row r="44704">
      <c r="D44704" s="39"/>
      <c r="E44704" s="39"/>
      <c r="F44704" s="39"/>
    </row>
    <row r="44705">
      <c r="D44705" s="39"/>
      <c r="E44705" s="39"/>
      <c r="F44705" s="39"/>
    </row>
    <row r="44706">
      <c r="D44706" s="39"/>
      <c r="E44706" s="39"/>
      <c r="F44706" s="39"/>
    </row>
    <row r="44707">
      <c r="D44707" s="39"/>
      <c r="E44707" s="39"/>
      <c r="F44707" s="39"/>
    </row>
    <row r="44708">
      <c r="D44708" s="39"/>
      <c r="E44708" s="39"/>
      <c r="F44708" s="39"/>
    </row>
    <row r="44709">
      <c r="D44709" s="39"/>
      <c r="E44709" s="39"/>
      <c r="F44709" s="39"/>
    </row>
    <row r="44710">
      <c r="D44710" s="39"/>
      <c r="E44710" s="39"/>
      <c r="F44710" s="39"/>
    </row>
    <row r="44711">
      <c r="D44711" s="39"/>
      <c r="E44711" s="39"/>
      <c r="F44711" s="39"/>
    </row>
    <row r="44712">
      <c r="D44712" s="39"/>
      <c r="E44712" s="39"/>
      <c r="F44712" s="39"/>
    </row>
    <row r="44713">
      <c r="D44713" s="39"/>
      <c r="E44713" s="39"/>
      <c r="F44713" s="39"/>
    </row>
    <row r="44714">
      <c r="D44714" s="39"/>
      <c r="E44714" s="39"/>
      <c r="F44714" s="39"/>
    </row>
    <row r="44715">
      <c r="D44715" s="39"/>
      <c r="E44715" s="39"/>
      <c r="F44715" s="39"/>
    </row>
    <row r="44716">
      <c r="D44716" s="39"/>
      <c r="E44716" s="39"/>
      <c r="F44716" s="39"/>
    </row>
    <row r="44717">
      <c r="D44717" s="39"/>
      <c r="E44717" s="39"/>
      <c r="F44717" s="39"/>
    </row>
    <row r="44718">
      <c r="D44718" s="39"/>
      <c r="E44718" s="39"/>
      <c r="F44718" s="39"/>
    </row>
    <row r="44719">
      <c r="D44719" s="39"/>
      <c r="E44719" s="39"/>
      <c r="F44719" s="39"/>
    </row>
    <row r="44720">
      <c r="D44720" s="39"/>
      <c r="E44720" s="39"/>
      <c r="F44720" s="39"/>
    </row>
    <row r="44721">
      <c r="D44721" s="39"/>
      <c r="E44721" s="39"/>
      <c r="F44721" s="39"/>
    </row>
    <row r="44722">
      <c r="D44722" s="39"/>
      <c r="E44722" s="39"/>
      <c r="F44722" s="39"/>
    </row>
    <row r="44723">
      <c r="D44723" s="39"/>
      <c r="E44723" s="39"/>
      <c r="F44723" s="39"/>
    </row>
    <row r="44724">
      <c r="D44724" s="39"/>
      <c r="E44724" s="39"/>
      <c r="F44724" s="39"/>
    </row>
    <row r="44725">
      <c r="D44725" s="39"/>
      <c r="E44725" s="39"/>
      <c r="F44725" s="39"/>
    </row>
    <row r="44726">
      <c r="D44726" s="39"/>
      <c r="E44726" s="39"/>
      <c r="F44726" s="39"/>
    </row>
    <row r="44727">
      <c r="D44727" s="39"/>
      <c r="E44727" s="39"/>
      <c r="F44727" s="39"/>
    </row>
    <row r="44728">
      <c r="D44728" s="39"/>
      <c r="E44728" s="39"/>
      <c r="F44728" s="39"/>
    </row>
    <row r="44729">
      <c r="D44729" s="39"/>
      <c r="E44729" s="39"/>
      <c r="F44729" s="39"/>
    </row>
    <row r="44730">
      <c r="D44730" s="39"/>
      <c r="E44730" s="39"/>
      <c r="F44730" s="39"/>
    </row>
    <row r="44731">
      <c r="D44731" s="39"/>
      <c r="E44731" s="39"/>
      <c r="F44731" s="39"/>
    </row>
    <row r="44732">
      <c r="D44732" s="39"/>
      <c r="E44732" s="39"/>
      <c r="F44732" s="39"/>
    </row>
    <row r="44733">
      <c r="D44733" s="39"/>
      <c r="E44733" s="39"/>
      <c r="F44733" s="39"/>
    </row>
    <row r="44734">
      <c r="D44734" s="39"/>
      <c r="E44734" s="39"/>
      <c r="F44734" s="39"/>
    </row>
    <row r="44735">
      <c r="D44735" s="39"/>
      <c r="E44735" s="39"/>
      <c r="F44735" s="39"/>
    </row>
    <row r="44736">
      <c r="D44736" s="39"/>
      <c r="E44736" s="39"/>
      <c r="F44736" s="39"/>
    </row>
    <row r="44737">
      <c r="D44737" s="39"/>
      <c r="E44737" s="39"/>
      <c r="F44737" s="39"/>
    </row>
    <row r="44738">
      <c r="D44738" s="39"/>
      <c r="E44738" s="39"/>
      <c r="F44738" s="39"/>
    </row>
    <row r="44739">
      <c r="D44739" s="39"/>
      <c r="E44739" s="39"/>
      <c r="F44739" s="39"/>
    </row>
    <row r="44740">
      <c r="D44740" s="39"/>
      <c r="E44740" s="39"/>
      <c r="F44740" s="39"/>
    </row>
    <row r="44741">
      <c r="D44741" s="39"/>
      <c r="E44741" s="39"/>
      <c r="F44741" s="39"/>
    </row>
    <row r="44742">
      <c r="D44742" s="39"/>
      <c r="E44742" s="39"/>
      <c r="F44742" s="39"/>
    </row>
    <row r="44743">
      <c r="D44743" s="39"/>
      <c r="E44743" s="39"/>
      <c r="F44743" s="39"/>
    </row>
    <row r="44744">
      <c r="D44744" s="39"/>
      <c r="E44744" s="39"/>
      <c r="F44744" s="39"/>
    </row>
    <row r="44745">
      <c r="D44745" s="39"/>
      <c r="E44745" s="39"/>
      <c r="F44745" s="39"/>
    </row>
    <row r="44746">
      <c r="D44746" s="39"/>
      <c r="E44746" s="39"/>
      <c r="F44746" s="39"/>
    </row>
    <row r="44747">
      <c r="D44747" s="39"/>
      <c r="E44747" s="39"/>
      <c r="F44747" s="39"/>
    </row>
    <row r="44748">
      <c r="D44748" s="39"/>
      <c r="E44748" s="39"/>
      <c r="F44748" s="39"/>
    </row>
    <row r="44749">
      <c r="D44749" s="39"/>
      <c r="E44749" s="39"/>
      <c r="F44749" s="39"/>
    </row>
    <row r="44750">
      <c r="D44750" s="39"/>
      <c r="E44750" s="39"/>
      <c r="F44750" s="39"/>
    </row>
    <row r="44751">
      <c r="D44751" s="39"/>
      <c r="E44751" s="39"/>
      <c r="F44751" s="39"/>
    </row>
    <row r="44752">
      <c r="D44752" s="39"/>
      <c r="E44752" s="39"/>
      <c r="F44752" s="39"/>
    </row>
    <row r="44753">
      <c r="D44753" s="39"/>
      <c r="E44753" s="39"/>
      <c r="F44753" s="39"/>
    </row>
    <row r="44754">
      <c r="D44754" s="39"/>
      <c r="E44754" s="39"/>
      <c r="F44754" s="39"/>
    </row>
    <row r="44755">
      <c r="D44755" s="39"/>
      <c r="E44755" s="39"/>
      <c r="F44755" s="39"/>
    </row>
    <row r="44756">
      <c r="D44756" s="39"/>
      <c r="E44756" s="39"/>
      <c r="F44756" s="39"/>
    </row>
    <row r="44757">
      <c r="D44757" s="39"/>
      <c r="E44757" s="39"/>
      <c r="F44757" s="39"/>
    </row>
    <row r="44758">
      <c r="D44758" s="39"/>
      <c r="E44758" s="39"/>
      <c r="F44758" s="39"/>
    </row>
    <row r="44759">
      <c r="D44759" s="39"/>
      <c r="E44759" s="39"/>
      <c r="F44759" s="39"/>
    </row>
    <row r="44760">
      <c r="D44760" s="39"/>
      <c r="E44760" s="39"/>
      <c r="F44760" s="39"/>
    </row>
    <row r="44761">
      <c r="D44761" s="39"/>
      <c r="E44761" s="39"/>
      <c r="F44761" s="39"/>
    </row>
    <row r="44762">
      <c r="D44762" s="39"/>
      <c r="E44762" s="39"/>
      <c r="F44762" s="39"/>
    </row>
    <row r="44763">
      <c r="D44763" s="39"/>
      <c r="E44763" s="39"/>
      <c r="F44763" s="39"/>
    </row>
    <row r="44764">
      <c r="D44764" s="39"/>
      <c r="E44764" s="39"/>
      <c r="F44764" s="39"/>
    </row>
    <row r="44765">
      <c r="D44765" s="39"/>
      <c r="E44765" s="39"/>
      <c r="F44765" s="39"/>
    </row>
    <row r="44766">
      <c r="D44766" s="39"/>
      <c r="E44766" s="39"/>
      <c r="F44766" s="39"/>
    </row>
    <row r="44767">
      <c r="D44767" s="39"/>
      <c r="E44767" s="39"/>
      <c r="F44767" s="39"/>
    </row>
    <row r="44768">
      <c r="D44768" s="39"/>
      <c r="E44768" s="39"/>
      <c r="F44768" s="39"/>
    </row>
    <row r="44769">
      <c r="D44769" s="39"/>
      <c r="E44769" s="39"/>
      <c r="F44769" s="39"/>
    </row>
    <row r="44770">
      <c r="D44770" s="39"/>
      <c r="E44770" s="39"/>
      <c r="F44770" s="39"/>
    </row>
    <row r="44771">
      <c r="D44771" s="39"/>
      <c r="E44771" s="39"/>
      <c r="F44771" s="39"/>
    </row>
    <row r="44772">
      <c r="D44772" s="39"/>
      <c r="E44772" s="39"/>
      <c r="F44772" s="39"/>
    </row>
    <row r="44773">
      <c r="D44773" s="39"/>
      <c r="E44773" s="39"/>
      <c r="F44773" s="39"/>
    </row>
    <row r="44774">
      <c r="D44774" s="39"/>
      <c r="E44774" s="39"/>
      <c r="F44774" s="39"/>
    </row>
    <row r="44775">
      <c r="D44775" s="39"/>
      <c r="E44775" s="39"/>
      <c r="F44775" s="39"/>
    </row>
    <row r="44776">
      <c r="D44776" s="39"/>
      <c r="E44776" s="39"/>
      <c r="F44776" s="39"/>
    </row>
    <row r="44777">
      <c r="D44777" s="39"/>
      <c r="E44777" s="39"/>
      <c r="F44777" s="39"/>
    </row>
    <row r="44778">
      <c r="D44778" s="39"/>
      <c r="E44778" s="39"/>
      <c r="F44778" s="39"/>
    </row>
    <row r="44779">
      <c r="D44779" s="39"/>
      <c r="E44779" s="39"/>
      <c r="F44779" s="39"/>
    </row>
    <row r="44780">
      <c r="D44780" s="39"/>
      <c r="E44780" s="39"/>
      <c r="F44780" s="39"/>
    </row>
    <row r="44781">
      <c r="D44781" s="39"/>
      <c r="E44781" s="39"/>
      <c r="F44781" s="39"/>
    </row>
    <row r="44782">
      <c r="D44782" s="39"/>
      <c r="E44782" s="39"/>
      <c r="F44782" s="39"/>
    </row>
    <row r="44783">
      <c r="D44783" s="39"/>
      <c r="E44783" s="39"/>
      <c r="F44783" s="39"/>
    </row>
    <row r="44784">
      <c r="D44784" s="39"/>
      <c r="E44784" s="39"/>
      <c r="F44784" s="39"/>
    </row>
    <row r="44785">
      <c r="D44785" s="39"/>
      <c r="E44785" s="39"/>
      <c r="F44785" s="39"/>
    </row>
    <row r="44786">
      <c r="D44786" s="39"/>
      <c r="E44786" s="39"/>
      <c r="F44786" s="39"/>
    </row>
    <row r="44787">
      <c r="D44787" s="39"/>
      <c r="E44787" s="39"/>
      <c r="F44787" s="39"/>
    </row>
    <row r="44788">
      <c r="D44788" s="39"/>
      <c r="E44788" s="39"/>
      <c r="F44788" s="39"/>
    </row>
    <row r="44789">
      <c r="D44789" s="39"/>
      <c r="E44789" s="39"/>
      <c r="F44789" s="39"/>
    </row>
    <row r="44790">
      <c r="D44790" s="39"/>
      <c r="E44790" s="39"/>
      <c r="F44790" s="39"/>
    </row>
    <row r="44791">
      <c r="D44791" s="39"/>
      <c r="E44791" s="39"/>
      <c r="F44791" s="39"/>
    </row>
    <row r="44792">
      <c r="D44792" s="39"/>
      <c r="E44792" s="39"/>
      <c r="F44792" s="39"/>
    </row>
    <row r="44793">
      <c r="D44793" s="39"/>
      <c r="E44793" s="39"/>
      <c r="F44793" s="39"/>
    </row>
    <row r="44794">
      <c r="D44794" s="39"/>
      <c r="E44794" s="39"/>
      <c r="F44794" s="39"/>
    </row>
    <row r="44795">
      <c r="D44795" s="39"/>
      <c r="E44795" s="39"/>
      <c r="F44795" s="39"/>
    </row>
    <row r="44796">
      <c r="D44796" s="39"/>
      <c r="E44796" s="39"/>
      <c r="F44796" s="39"/>
    </row>
    <row r="44797">
      <c r="D44797" s="39"/>
      <c r="E44797" s="39"/>
      <c r="F44797" s="39"/>
    </row>
    <row r="44798">
      <c r="D44798" s="39"/>
      <c r="E44798" s="39"/>
      <c r="F44798" s="39"/>
    </row>
    <row r="44799">
      <c r="D44799" s="39"/>
      <c r="E44799" s="39"/>
      <c r="F44799" s="39"/>
    </row>
    <row r="44800">
      <c r="D44800" s="39"/>
      <c r="E44800" s="39"/>
      <c r="F44800" s="39"/>
    </row>
    <row r="44801">
      <c r="D44801" s="39"/>
      <c r="E44801" s="39"/>
      <c r="F44801" s="39"/>
    </row>
    <row r="44802">
      <c r="D44802" s="39"/>
      <c r="E44802" s="39"/>
      <c r="F44802" s="39"/>
    </row>
    <row r="44803">
      <c r="D44803" s="39"/>
      <c r="E44803" s="39"/>
      <c r="F44803" s="39"/>
    </row>
    <row r="44804">
      <c r="D44804" s="39"/>
      <c r="E44804" s="39"/>
      <c r="F44804" s="39"/>
    </row>
    <row r="44805">
      <c r="D44805" s="39"/>
      <c r="E44805" s="39"/>
      <c r="F44805" s="39"/>
    </row>
    <row r="44806">
      <c r="D44806" s="39"/>
      <c r="E44806" s="39"/>
      <c r="F44806" s="39"/>
    </row>
    <row r="44807">
      <c r="D44807" s="39"/>
      <c r="E44807" s="39"/>
      <c r="F44807" s="39"/>
    </row>
    <row r="44808">
      <c r="D44808" s="39"/>
      <c r="E44808" s="39"/>
      <c r="F44808" s="39"/>
    </row>
    <row r="44809">
      <c r="D44809" s="39"/>
      <c r="E44809" s="39"/>
      <c r="F44809" s="39"/>
    </row>
    <row r="44810">
      <c r="D44810" s="39"/>
      <c r="E44810" s="39"/>
      <c r="F44810" s="39"/>
    </row>
    <row r="44811">
      <c r="D44811" s="39"/>
      <c r="E44811" s="39"/>
      <c r="F44811" s="39"/>
    </row>
    <row r="44812">
      <c r="D44812" s="39"/>
      <c r="E44812" s="39"/>
      <c r="F44812" s="39"/>
    </row>
    <row r="44813">
      <c r="D44813" s="39"/>
      <c r="E44813" s="39"/>
      <c r="F44813" s="39"/>
    </row>
    <row r="44814">
      <c r="D44814" s="39"/>
      <c r="E44814" s="39"/>
      <c r="F44814" s="39"/>
    </row>
    <row r="44815">
      <c r="D44815" s="39"/>
      <c r="E44815" s="39"/>
      <c r="F44815" s="39"/>
    </row>
    <row r="44816">
      <c r="D44816" s="39"/>
      <c r="E44816" s="39"/>
      <c r="F44816" s="39"/>
    </row>
    <row r="44817">
      <c r="D44817" s="39"/>
      <c r="E44817" s="39"/>
      <c r="F44817" s="39"/>
    </row>
    <row r="44818">
      <c r="D44818" s="39"/>
      <c r="E44818" s="39"/>
      <c r="F44818" s="39"/>
    </row>
    <row r="44819">
      <c r="D44819" s="39"/>
      <c r="E44819" s="39"/>
      <c r="F44819" s="39"/>
    </row>
    <row r="44820">
      <c r="D44820" s="39"/>
      <c r="E44820" s="39"/>
      <c r="F44820" s="39"/>
    </row>
    <row r="44821">
      <c r="D44821" s="39"/>
      <c r="E44821" s="39"/>
      <c r="F44821" s="39"/>
    </row>
    <row r="44822">
      <c r="D44822" s="39"/>
      <c r="E44822" s="39"/>
      <c r="F44822" s="39"/>
    </row>
    <row r="44823">
      <c r="D44823" s="39"/>
      <c r="E44823" s="39"/>
      <c r="F44823" s="39"/>
    </row>
    <row r="44824">
      <c r="D44824" s="39"/>
      <c r="E44824" s="39"/>
      <c r="F44824" s="39"/>
    </row>
    <row r="44825">
      <c r="D44825" s="39"/>
      <c r="E44825" s="39"/>
      <c r="F44825" s="39"/>
    </row>
    <row r="44826">
      <c r="D44826" s="39"/>
      <c r="E44826" s="39"/>
      <c r="F44826" s="39"/>
    </row>
    <row r="44827">
      <c r="D44827" s="39"/>
      <c r="E44827" s="39"/>
      <c r="F44827" s="39"/>
    </row>
    <row r="44828">
      <c r="D44828" s="39"/>
      <c r="E44828" s="39"/>
      <c r="F44828" s="39"/>
    </row>
    <row r="44829">
      <c r="D44829" s="39"/>
      <c r="E44829" s="39"/>
      <c r="F44829" s="39"/>
    </row>
    <row r="44830">
      <c r="D44830" s="39"/>
      <c r="E44830" s="39"/>
      <c r="F44830" s="39"/>
    </row>
    <row r="44831">
      <c r="D44831" s="39"/>
      <c r="E44831" s="39"/>
      <c r="F44831" s="39"/>
    </row>
    <row r="44832">
      <c r="D44832" s="39"/>
      <c r="E44832" s="39"/>
      <c r="F44832" s="39"/>
    </row>
    <row r="44833">
      <c r="D44833" s="39"/>
      <c r="E44833" s="39"/>
      <c r="F44833" s="39"/>
    </row>
    <row r="44834">
      <c r="D44834" s="39"/>
      <c r="E44834" s="39"/>
      <c r="F44834" s="39"/>
    </row>
    <row r="44835">
      <c r="D44835" s="39"/>
      <c r="E44835" s="39"/>
      <c r="F44835" s="39"/>
    </row>
    <row r="44836">
      <c r="D44836" s="39"/>
      <c r="E44836" s="39"/>
      <c r="F44836" s="39"/>
    </row>
    <row r="44837">
      <c r="D44837" s="39"/>
      <c r="E44837" s="39"/>
      <c r="F44837" s="39"/>
    </row>
    <row r="44838">
      <c r="D44838" s="39"/>
      <c r="E44838" s="39"/>
      <c r="F44838" s="39"/>
    </row>
    <row r="44839">
      <c r="D44839" s="39"/>
      <c r="E44839" s="39"/>
      <c r="F44839" s="39"/>
    </row>
    <row r="44840">
      <c r="D44840" s="39"/>
      <c r="E44840" s="39"/>
      <c r="F44840" s="39"/>
    </row>
    <row r="44841">
      <c r="D44841" s="39"/>
      <c r="E44841" s="39"/>
      <c r="F44841" s="39"/>
    </row>
    <row r="44842">
      <c r="D44842" s="39"/>
      <c r="E44842" s="39"/>
      <c r="F44842" s="39"/>
    </row>
    <row r="44843">
      <c r="D44843" s="39"/>
      <c r="E44843" s="39"/>
      <c r="F44843" s="39"/>
    </row>
    <row r="44844">
      <c r="D44844" s="39"/>
      <c r="E44844" s="39"/>
      <c r="F44844" s="39"/>
    </row>
    <row r="44845">
      <c r="D44845" s="39"/>
      <c r="E44845" s="39"/>
      <c r="F44845" s="39"/>
    </row>
    <row r="44846">
      <c r="D44846" s="39"/>
      <c r="E44846" s="39"/>
      <c r="F44846" s="39"/>
    </row>
    <row r="44847">
      <c r="D44847" s="39"/>
      <c r="E44847" s="39"/>
      <c r="F44847" s="39"/>
    </row>
    <row r="44848">
      <c r="D44848" s="39"/>
      <c r="E44848" s="39"/>
      <c r="F44848" s="39"/>
    </row>
    <row r="44849">
      <c r="D44849" s="39"/>
      <c r="E44849" s="39"/>
      <c r="F44849" s="39"/>
    </row>
    <row r="44850">
      <c r="D44850" s="39"/>
      <c r="E44850" s="39"/>
      <c r="F44850" s="39"/>
    </row>
    <row r="44851">
      <c r="D44851" s="39"/>
      <c r="E44851" s="39"/>
      <c r="F44851" s="39"/>
    </row>
    <row r="44852">
      <c r="D44852" s="39"/>
      <c r="E44852" s="39"/>
      <c r="F44852" s="39"/>
    </row>
    <row r="44853">
      <c r="D44853" s="39"/>
      <c r="E44853" s="39"/>
      <c r="F44853" s="39"/>
    </row>
    <row r="44854">
      <c r="D44854" s="39"/>
      <c r="E44854" s="39"/>
      <c r="F44854" s="39"/>
    </row>
    <row r="44855">
      <c r="D44855" s="39"/>
      <c r="E44855" s="39"/>
      <c r="F44855" s="39"/>
    </row>
    <row r="44856">
      <c r="D44856" s="39"/>
      <c r="E44856" s="39"/>
      <c r="F44856" s="39"/>
    </row>
    <row r="44857">
      <c r="D44857" s="39"/>
      <c r="E44857" s="39"/>
      <c r="F44857" s="39"/>
    </row>
    <row r="44858">
      <c r="D44858" s="39"/>
      <c r="E44858" s="39"/>
      <c r="F44858" s="39"/>
    </row>
    <row r="44859">
      <c r="D44859" s="39"/>
      <c r="E44859" s="39"/>
      <c r="F44859" s="39"/>
    </row>
    <row r="44860">
      <c r="D44860" s="39"/>
      <c r="E44860" s="39"/>
      <c r="F44860" s="39"/>
    </row>
    <row r="44861">
      <c r="D44861" s="39"/>
      <c r="E44861" s="39"/>
      <c r="F44861" s="39"/>
    </row>
    <row r="44862">
      <c r="D44862" s="39"/>
      <c r="E44862" s="39"/>
      <c r="F44862" s="39"/>
    </row>
    <row r="44863">
      <c r="D44863" s="39"/>
      <c r="E44863" s="39"/>
      <c r="F44863" s="39"/>
    </row>
    <row r="44864">
      <c r="D44864" s="39"/>
      <c r="E44864" s="39"/>
      <c r="F44864" s="39"/>
    </row>
    <row r="44865">
      <c r="D44865" s="39"/>
      <c r="E44865" s="39"/>
      <c r="F44865" s="39"/>
    </row>
    <row r="44866">
      <c r="D44866" s="39"/>
      <c r="E44866" s="39"/>
      <c r="F44866" s="39"/>
    </row>
    <row r="44867">
      <c r="D44867" s="39"/>
      <c r="E44867" s="39"/>
      <c r="F44867" s="39"/>
    </row>
    <row r="44868">
      <c r="D44868" s="39"/>
      <c r="E44868" s="39"/>
      <c r="F44868" s="39"/>
    </row>
    <row r="44869">
      <c r="D44869" s="39"/>
      <c r="E44869" s="39"/>
      <c r="F44869" s="39"/>
    </row>
    <row r="44870">
      <c r="D44870" s="39"/>
      <c r="E44870" s="39"/>
      <c r="F44870" s="39"/>
    </row>
    <row r="44871">
      <c r="D44871" s="39"/>
      <c r="E44871" s="39"/>
      <c r="F44871" s="39"/>
    </row>
    <row r="44872">
      <c r="D44872" s="39"/>
      <c r="E44872" s="39"/>
      <c r="F44872" s="39"/>
    </row>
    <row r="44873">
      <c r="D44873" s="39"/>
      <c r="E44873" s="39"/>
      <c r="F44873" s="39"/>
    </row>
    <row r="44874">
      <c r="D44874" s="39"/>
      <c r="E44874" s="39"/>
      <c r="F44874" s="39"/>
    </row>
    <row r="44875">
      <c r="D44875" s="39"/>
      <c r="E44875" s="39"/>
      <c r="F44875" s="39"/>
    </row>
    <row r="44876">
      <c r="D44876" s="39"/>
      <c r="E44876" s="39"/>
      <c r="F44876" s="39"/>
    </row>
    <row r="44877">
      <c r="D44877" s="39"/>
      <c r="E44877" s="39"/>
      <c r="F44877" s="39"/>
    </row>
    <row r="44878">
      <c r="D44878" s="39"/>
      <c r="E44878" s="39"/>
      <c r="F44878" s="39"/>
    </row>
    <row r="44879">
      <c r="D44879" s="39"/>
      <c r="E44879" s="39"/>
      <c r="F44879" s="39"/>
    </row>
    <row r="44880">
      <c r="D44880" s="39"/>
      <c r="E44880" s="39"/>
      <c r="F44880" s="39"/>
    </row>
    <row r="44881">
      <c r="D44881" s="39"/>
      <c r="E44881" s="39"/>
      <c r="F44881" s="39"/>
    </row>
    <row r="44882">
      <c r="D44882" s="39"/>
      <c r="E44882" s="39"/>
      <c r="F44882" s="39"/>
    </row>
    <row r="44883">
      <c r="D44883" s="39"/>
      <c r="E44883" s="39"/>
      <c r="F44883" s="39"/>
    </row>
    <row r="44884">
      <c r="D44884" s="39"/>
      <c r="E44884" s="39"/>
      <c r="F44884" s="39"/>
    </row>
    <row r="44885">
      <c r="D44885" s="39"/>
      <c r="E44885" s="39"/>
      <c r="F44885" s="39"/>
    </row>
    <row r="44886">
      <c r="D44886" s="39"/>
      <c r="E44886" s="39"/>
      <c r="F44886" s="39"/>
    </row>
    <row r="44887">
      <c r="D44887" s="39"/>
      <c r="E44887" s="39"/>
      <c r="F44887" s="39"/>
    </row>
    <row r="44888">
      <c r="D44888" s="39"/>
      <c r="E44888" s="39"/>
      <c r="F44888" s="39"/>
    </row>
    <row r="44889">
      <c r="D44889" s="39"/>
      <c r="E44889" s="39"/>
      <c r="F44889" s="39"/>
    </row>
    <row r="44890">
      <c r="D44890" s="39"/>
      <c r="E44890" s="39"/>
      <c r="F44890" s="39"/>
    </row>
    <row r="44891">
      <c r="D44891" s="39"/>
      <c r="E44891" s="39"/>
      <c r="F44891" s="39"/>
    </row>
    <row r="44892">
      <c r="D44892" s="39"/>
      <c r="E44892" s="39"/>
      <c r="F44892" s="39"/>
    </row>
    <row r="44893">
      <c r="D44893" s="39"/>
      <c r="E44893" s="39"/>
      <c r="F44893" s="39"/>
    </row>
    <row r="44894">
      <c r="D44894" s="39"/>
      <c r="E44894" s="39"/>
      <c r="F44894" s="39"/>
    </row>
    <row r="44895">
      <c r="D44895" s="39"/>
      <c r="E44895" s="39"/>
      <c r="F44895" s="39"/>
    </row>
    <row r="44896">
      <c r="D44896" s="39"/>
      <c r="E44896" s="39"/>
      <c r="F44896" s="39"/>
    </row>
    <row r="44897">
      <c r="D44897" s="39"/>
      <c r="E44897" s="39"/>
      <c r="F44897" s="39"/>
    </row>
    <row r="44898">
      <c r="D44898" s="39"/>
      <c r="E44898" s="39"/>
      <c r="F44898" s="39"/>
    </row>
    <row r="44899">
      <c r="D44899" s="39"/>
      <c r="E44899" s="39"/>
      <c r="F44899" s="39"/>
    </row>
    <row r="44900">
      <c r="D44900" s="39"/>
      <c r="E44900" s="39"/>
      <c r="F44900" s="39"/>
    </row>
    <row r="44901">
      <c r="D44901" s="39"/>
      <c r="E44901" s="39"/>
      <c r="F44901" s="39"/>
    </row>
    <row r="44902">
      <c r="D44902" s="39"/>
      <c r="E44902" s="39"/>
      <c r="F44902" s="39"/>
    </row>
    <row r="44903">
      <c r="D44903" s="39"/>
      <c r="E44903" s="39"/>
      <c r="F44903" s="39"/>
    </row>
    <row r="44904">
      <c r="D44904" s="39"/>
      <c r="E44904" s="39"/>
      <c r="F44904" s="39"/>
    </row>
    <row r="44905">
      <c r="D44905" s="39"/>
      <c r="E44905" s="39"/>
      <c r="F44905" s="39"/>
    </row>
    <row r="44906">
      <c r="D44906" s="39"/>
      <c r="E44906" s="39"/>
      <c r="F44906" s="39"/>
    </row>
    <row r="44907">
      <c r="D44907" s="39"/>
      <c r="E44907" s="39"/>
      <c r="F44907" s="39"/>
    </row>
    <row r="44908">
      <c r="D44908" s="39"/>
      <c r="E44908" s="39"/>
      <c r="F44908" s="39"/>
    </row>
    <row r="44909">
      <c r="D44909" s="39"/>
      <c r="E44909" s="39"/>
      <c r="F44909" s="39"/>
    </row>
    <row r="44910">
      <c r="D44910" s="39"/>
      <c r="E44910" s="39"/>
      <c r="F44910" s="39"/>
    </row>
    <row r="44911">
      <c r="D44911" s="39"/>
      <c r="E44911" s="39"/>
      <c r="F44911" s="39"/>
    </row>
    <row r="44912">
      <c r="D44912" s="39"/>
      <c r="E44912" s="39"/>
      <c r="F44912" s="39"/>
    </row>
    <row r="44913">
      <c r="D44913" s="39"/>
      <c r="E44913" s="39"/>
      <c r="F44913" s="39"/>
    </row>
    <row r="44914">
      <c r="D44914" s="39"/>
      <c r="E44914" s="39"/>
      <c r="F44914" s="39"/>
    </row>
    <row r="44915">
      <c r="D44915" s="39"/>
      <c r="E44915" s="39"/>
      <c r="F44915" s="39"/>
    </row>
    <row r="44916">
      <c r="D44916" s="39"/>
      <c r="E44916" s="39"/>
      <c r="F44916" s="39"/>
    </row>
    <row r="44917">
      <c r="D44917" s="39"/>
      <c r="E44917" s="39"/>
      <c r="F44917" s="39"/>
    </row>
    <row r="44918">
      <c r="D44918" s="39"/>
      <c r="E44918" s="39"/>
      <c r="F44918" s="39"/>
    </row>
    <row r="44919">
      <c r="D44919" s="39"/>
      <c r="E44919" s="39"/>
      <c r="F44919" s="39"/>
    </row>
    <row r="44920">
      <c r="D44920" s="39"/>
      <c r="E44920" s="39"/>
      <c r="F44920" s="39"/>
    </row>
    <row r="44921">
      <c r="D44921" s="39"/>
      <c r="E44921" s="39"/>
      <c r="F44921" s="39"/>
    </row>
    <row r="44922">
      <c r="D44922" s="39"/>
      <c r="E44922" s="39"/>
      <c r="F44922" s="39"/>
    </row>
    <row r="44923">
      <c r="D44923" s="39"/>
      <c r="E44923" s="39"/>
      <c r="F44923" s="39"/>
    </row>
    <row r="44924">
      <c r="D44924" s="39"/>
      <c r="E44924" s="39"/>
      <c r="F44924" s="39"/>
    </row>
    <row r="44925">
      <c r="D44925" s="39"/>
      <c r="E44925" s="39"/>
      <c r="F44925" s="39"/>
    </row>
    <row r="44926">
      <c r="D44926" s="39"/>
      <c r="E44926" s="39"/>
      <c r="F44926" s="39"/>
    </row>
    <row r="44927">
      <c r="D44927" s="39"/>
      <c r="E44927" s="39"/>
      <c r="F44927" s="39"/>
    </row>
    <row r="44928">
      <c r="D44928" s="39"/>
      <c r="E44928" s="39"/>
      <c r="F44928" s="39"/>
    </row>
    <row r="44929">
      <c r="D44929" s="39"/>
      <c r="E44929" s="39"/>
      <c r="F44929" s="39"/>
    </row>
    <row r="44930">
      <c r="D44930" s="39"/>
      <c r="E44930" s="39"/>
      <c r="F44930" s="39"/>
    </row>
    <row r="44931">
      <c r="D44931" s="39"/>
      <c r="E44931" s="39"/>
      <c r="F44931" s="39"/>
    </row>
    <row r="44932">
      <c r="D44932" s="39"/>
      <c r="E44932" s="39"/>
      <c r="F44932" s="39"/>
    </row>
    <row r="44933">
      <c r="D44933" s="39"/>
      <c r="E44933" s="39"/>
      <c r="F44933" s="39"/>
    </row>
    <row r="44934">
      <c r="D44934" s="39"/>
      <c r="E44934" s="39"/>
      <c r="F44934" s="39"/>
    </row>
    <row r="44935">
      <c r="D44935" s="39"/>
      <c r="E44935" s="39"/>
      <c r="F44935" s="39"/>
    </row>
    <row r="44936">
      <c r="D44936" s="39"/>
      <c r="E44936" s="39"/>
      <c r="F44936" s="39"/>
    </row>
    <row r="44937">
      <c r="D44937" s="39"/>
      <c r="E44937" s="39"/>
      <c r="F44937" s="39"/>
    </row>
    <row r="44938">
      <c r="D44938" s="39"/>
      <c r="E44938" s="39"/>
      <c r="F44938" s="39"/>
    </row>
    <row r="44939">
      <c r="D44939" s="39"/>
      <c r="E44939" s="39"/>
      <c r="F44939" s="39"/>
    </row>
    <row r="44940">
      <c r="D44940" s="39"/>
      <c r="E44940" s="39"/>
      <c r="F44940" s="39"/>
    </row>
    <row r="44941">
      <c r="D44941" s="39"/>
      <c r="E44941" s="39"/>
      <c r="F44941" s="39"/>
    </row>
    <row r="44942">
      <c r="D44942" s="39"/>
      <c r="E44942" s="39"/>
      <c r="F44942" s="39"/>
    </row>
    <row r="44943">
      <c r="D44943" s="39"/>
      <c r="E44943" s="39"/>
      <c r="F44943" s="39"/>
    </row>
    <row r="44944">
      <c r="D44944" s="39"/>
      <c r="E44944" s="39"/>
      <c r="F44944" s="39"/>
    </row>
    <row r="44945">
      <c r="D44945" s="39"/>
      <c r="E44945" s="39"/>
      <c r="F44945" s="39"/>
    </row>
    <row r="44946">
      <c r="D44946" s="39"/>
      <c r="E44946" s="39"/>
      <c r="F44946" s="39"/>
    </row>
    <row r="44947">
      <c r="D44947" s="39"/>
      <c r="E44947" s="39"/>
      <c r="F44947" s="39"/>
    </row>
    <row r="44948">
      <c r="D44948" s="39"/>
      <c r="E44948" s="39"/>
      <c r="F44948" s="39"/>
    </row>
    <row r="44949">
      <c r="D44949" s="39"/>
      <c r="E44949" s="39"/>
      <c r="F44949" s="39"/>
    </row>
    <row r="44950">
      <c r="D44950" s="39"/>
      <c r="E44950" s="39"/>
      <c r="F44950" s="39"/>
    </row>
    <row r="44951">
      <c r="D44951" s="39"/>
      <c r="E44951" s="39"/>
      <c r="F44951" s="39"/>
    </row>
    <row r="44952">
      <c r="D44952" s="39"/>
      <c r="E44952" s="39"/>
      <c r="F44952" s="39"/>
    </row>
    <row r="44953">
      <c r="D44953" s="39"/>
      <c r="E44953" s="39"/>
      <c r="F44953" s="39"/>
    </row>
    <row r="44954">
      <c r="D44954" s="39"/>
      <c r="E44954" s="39"/>
      <c r="F44954" s="39"/>
    </row>
    <row r="44955">
      <c r="D44955" s="39"/>
      <c r="E44955" s="39"/>
      <c r="F44955" s="39"/>
    </row>
    <row r="44956">
      <c r="D44956" s="39"/>
      <c r="E44956" s="39"/>
      <c r="F44956" s="39"/>
    </row>
    <row r="44957">
      <c r="D44957" s="39"/>
      <c r="E44957" s="39"/>
      <c r="F44957" s="39"/>
    </row>
    <row r="44958">
      <c r="D44958" s="39"/>
      <c r="E44958" s="39"/>
      <c r="F44958" s="39"/>
    </row>
    <row r="44959">
      <c r="D44959" s="39"/>
      <c r="E44959" s="39"/>
      <c r="F44959" s="39"/>
    </row>
    <row r="44960">
      <c r="D44960" s="39"/>
      <c r="E44960" s="39"/>
      <c r="F44960" s="39"/>
    </row>
    <row r="44961">
      <c r="D44961" s="39"/>
      <c r="E44961" s="39"/>
      <c r="F44961" s="39"/>
    </row>
    <row r="44962">
      <c r="D44962" s="39"/>
      <c r="E44962" s="39"/>
      <c r="F44962" s="39"/>
    </row>
    <row r="44963">
      <c r="D44963" s="39"/>
      <c r="E44963" s="39"/>
      <c r="F44963" s="39"/>
    </row>
    <row r="44964">
      <c r="D44964" s="39"/>
      <c r="E44964" s="39"/>
      <c r="F44964" s="39"/>
    </row>
    <row r="44965">
      <c r="D44965" s="39"/>
      <c r="E44965" s="39"/>
      <c r="F44965" s="39"/>
    </row>
    <row r="44966">
      <c r="D44966" s="39"/>
      <c r="E44966" s="39"/>
      <c r="F44966" s="39"/>
    </row>
    <row r="44967">
      <c r="D44967" s="39"/>
      <c r="E44967" s="39"/>
      <c r="F44967" s="39"/>
    </row>
    <row r="44968">
      <c r="D44968" s="39"/>
      <c r="E44968" s="39"/>
      <c r="F44968" s="39"/>
    </row>
    <row r="44969">
      <c r="D44969" s="39"/>
      <c r="E44969" s="39"/>
      <c r="F44969" s="39"/>
    </row>
    <row r="44970">
      <c r="D44970" s="39"/>
      <c r="E44970" s="39"/>
      <c r="F44970" s="39"/>
    </row>
    <row r="44971">
      <c r="D44971" s="39"/>
      <c r="E44971" s="39"/>
      <c r="F44971" s="39"/>
    </row>
    <row r="44972">
      <c r="D44972" s="39"/>
      <c r="E44972" s="39"/>
      <c r="F44972" s="39"/>
    </row>
    <row r="44973">
      <c r="D44973" s="39"/>
      <c r="E44973" s="39"/>
      <c r="F44973" s="39"/>
    </row>
    <row r="44974">
      <c r="D44974" s="39"/>
      <c r="E44974" s="39"/>
      <c r="F44974" s="39"/>
    </row>
    <row r="44975">
      <c r="D44975" s="39"/>
      <c r="E44975" s="39"/>
      <c r="F44975" s="39"/>
    </row>
    <row r="44976">
      <c r="D44976" s="39"/>
      <c r="E44976" s="39"/>
      <c r="F44976" s="39"/>
    </row>
    <row r="44977">
      <c r="D44977" s="39"/>
      <c r="E44977" s="39"/>
      <c r="F44977" s="39"/>
    </row>
    <row r="44978">
      <c r="D44978" s="39"/>
      <c r="E44978" s="39"/>
      <c r="F44978" s="39"/>
    </row>
    <row r="44979">
      <c r="D44979" s="39"/>
      <c r="E44979" s="39"/>
      <c r="F44979" s="39"/>
    </row>
    <row r="44980">
      <c r="D44980" s="39"/>
      <c r="E44980" s="39"/>
      <c r="F44980" s="39"/>
    </row>
    <row r="44981">
      <c r="D44981" s="39"/>
      <c r="E44981" s="39"/>
      <c r="F44981" s="39"/>
    </row>
    <row r="44982">
      <c r="D44982" s="39"/>
      <c r="E44982" s="39"/>
      <c r="F44982" s="39"/>
    </row>
    <row r="44983">
      <c r="D44983" s="39"/>
      <c r="E44983" s="39"/>
      <c r="F44983" s="39"/>
    </row>
    <row r="44984">
      <c r="D44984" s="39"/>
      <c r="E44984" s="39"/>
      <c r="F44984" s="39"/>
    </row>
    <row r="44985">
      <c r="D44985" s="39"/>
      <c r="E44985" s="39"/>
      <c r="F44985" s="39"/>
    </row>
    <row r="44986">
      <c r="D44986" s="39"/>
      <c r="E44986" s="39"/>
      <c r="F44986" s="39"/>
    </row>
    <row r="44987">
      <c r="D44987" s="39"/>
      <c r="E44987" s="39"/>
      <c r="F44987" s="39"/>
    </row>
    <row r="44988">
      <c r="D44988" s="39"/>
      <c r="E44988" s="39"/>
      <c r="F44988" s="39"/>
    </row>
    <row r="44989">
      <c r="D44989" s="39"/>
      <c r="E44989" s="39"/>
      <c r="F44989" s="39"/>
    </row>
    <row r="44990">
      <c r="D44990" s="39"/>
      <c r="E44990" s="39"/>
      <c r="F44990" s="39"/>
    </row>
    <row r="44991">
      <c r="D44991" s="39"/>
      <c r="E44991" s="39"/>
      <c r="F44991" s="39"/>
    </row>
    <row r="44992">
      <c r="D44992" s="39"/>
      <c r="E44992" s="39"/>
      <c r="F44992" s="39"/>
    </row>
    <row r="44993">
      <c r="D44993" s="39"/>
      <c r="E44993" s="39"/>
      <c r="F44993" s="39"/>
    </row>
    <row r="44994">
      <c r="D44994" s="39"/>
      <c r="E44994" s="39"/>
      <c r="F44994" s="39"/>
    </row>
    <row r="44995">
      <c r="D44995" s="39"/>
      <c r="E44995" s="39"/>
      <c r="F44995" s="39"/>
    </row>
    <row r="44996">
      <c r="D44996" s="39"/>
      <c r="E44996" s="39"/>
      <c r="F44996" s="39"/>
    </row>
    <row r="44997">
      <c r="D44997" s="39"/>
      <c r="E44997" s="39"/>
      <c r="F44997" s="39"/>
    </row>
    <row r="44998">
      <c r="D44998" s="39"/>
      <c r="E44998" s="39"/>
      <c r="F44998" s="39"/>
    </row>
    <row r="44999">
      <c r="D44999" s="39"/>
      <c r="E44999" s="39"/>
      <c r="F44999" s="39"/>
    </row>
    <row r="45000">
      <c r="D45000" s="39"/>
      <c r="E45000" s="39"/>
      <c r="F45000" s="39"/>
    </row>
    <row r="45001">
      <c r="D45001" s="39"/>
      <c r="E45001" s="39"/>
      <c r="F45001" s="39"/>
    </row>
    <row r="45002">
      <c r="D45002" s="39"/>
      <c r="E45002" s="39"/>
      <c r="F45002" s="39"/>
    </row>
    <row r="45003">
      <c r="D45003" s="39"/>
      <c r="E45003" s="39"/>
      <c r="F45003" s="39"/>
    </row>
    <row r="45004">
      <c r="D45004" s="39"/>
      <c r="E45004" s="39"/>
      <c r="F45004" s="39"/>
    </row>
    <row r="45005">
      <c r="D45005" s="39"/>
      <c r="E45005" s="39"/>
      <c r="F45005" s="39"/>
    </row>
    <row r="45006">
      <c r="D45006" s="39"/>
      <c r="E45006" s="39"/>
      <c r="F45006" s="39"/>
    </row>
    <row r="45007">
      <c r="D45007" s="39"/>
      <c r="E45007" s="39"/>
      <c r="F45007" s="39"/>
    </row>
    <row r="45008">
      <c r="D45008" s="39"/>
      <c r="E45008" s="39"/>
      <c r="F45008" s="39"/>
    </row>
    <row r="45009">
      <c r="D45009" s="39"/>
      <c r="E45009" s="39"/>
      <c r="F45009" s="39"/>
    </row>
    <row r="45010">
      <c r="D45010" s="39"/>
      <c r="E45010" s="39"/>
      <c r="F45010" s="39"/>
    </row>
    <row r="45011">
      <c r="D45011" s="39"/>
      <c r="E45011" s="39"/>
      <c r="F45011" s="39"/>
    </row>
    <row r="45012">
      <c r="D45012" s="39"/>
      <c r="E45012" s="39"/>
      <c r="F45012" s="39"/>
    </row>
    <row r="45013">
      <c r="D45013" s="39"/>
      <c r="E45013" s="39"/>
      <c r="F45013" s="39"/>
    </row>
    <row r="45014">
      <c r="D45014" s="39"/>
      <c r="E45014" s="39"/>
      <c r="F45014" s="39"/>
    </row>
    <row r="45015">
      <c r="D45015" s="39"/>
      <c r="E45015" s="39"/>
      <c r="F45015" s="39"/>
    </row>
    <row r="45016">
      <c r="D45016" s="39"/>
      <c r="E45016" s="39"/>
      <c r="F45016" s="39"/>
    </row>
    <row r="45017">
      <c r="D45017" s="39"/>
      <c r="E45017" s="39"/>
      <c r="F45017" s="39"/>
    </row>
    <row r="45018">
      <c r="D45018" s="39"/>
      <c r="E45018" s="39"/>
      <c r="F45018" s="39"/>
    </row>
    <row r="45019">
      <c r="D45019" s="39"/>
      <c r="E45019" s="39"/>
      <c r="F45019" s="39"/>
    </row>
    <row r="45020">
      <c r="D45020" s="39"/>
      <c r="E45020" s="39"/>
      <c r="F45020" s="39"/>
    </row>
    <row r="45021">
      <c r="D45021" s="39"/>
      <c r="E45021" s="39"/>
      <c r="F45021" s="39"/>
    </row>
    <row r="45022">
      <c r="D45022" s="39"/>
      <c r="E45022" s="39"/>
      <c r="F45022" s="39"/>
    </row>
    <row r="45023">
      <c r="D45023" s="39"/>
      <c r="E45023" s="39"/>
      <c r="F45023" s="39"/>
    </row>
    <row r="45024">
      <c r="D45024" s="39"/>
      <c r="E45024" s="39"/>
      <c r="F45024" s="39"/>
    </row>
    <row r="45025">
      <c r="D45025" s="39"/>
      <c r="E45025" s="39"/>
      <c r="F45025" s="39"/>
    </row>
    <row r="45026">
      <c r="D45026" s="39"/>
      <c r="E45026" s="39"/>
      <c r="F45026" s="39"/>
    </row>
    <row r="45027">
      <c r="D45027" s="39"/>
      <c r="E45027" s="39"/>
      <c r="F45027" s="39"/>
    </row>
    <row r="45028">
      <c r="D45028" s="39"/>
      <c r="E45028" s="39"/>
      <c r="F45028" s="39"/>
    </row>
    <row r="45029">
      <c r="D45029" s="39"/>
      <c r="E45029" s="39"/>
      <c r="F45029" s="39"/>
    </row>
    <row r="45030">
      <c r="D45030" s="39"/>
      <c r="E45030" s="39"/>
      <c r="F45030" s="39"/>
    </row>
    <row r="45031">
      <c r="D45031" s="39"/>
      <c r="E45031" s="39"/>
      <c r="F45031" s="39"/>
    </row>
    <row r="45032">
      <c r="D45032" s="39"/>
      <c r="E45032" s="39"/>
      <c r="F45032" s="39"/>
    </row>
    <row r="45033">
      <c r="D45033" s="39"/>
      <c r="E45033" s="39"/>
      <c r="F45033" s="39"/>
    </row>
    <row r="45034">
      <c r="D45034" s="39"/>
      <c r="E45034" s="39"/>
      <c r="F45034" s="39"/>
    </row>
    <row r="45035">
      <c r="D45035" s="39"/>
      <c r="E45035" s="39"/>
      <c r="F45035" s="39"/>
    </row>
    <row r="45036">
      <c r="D45036" s="39"/>
      <c r="E45036" s="39"/>
      <c r="F45036" s="39"/>
    </row>
    <row r="45037">
      <c r="D45037" s="39"/>
      <c r="E45037" s="39"/>
      <c r="F45037" s="39"/>
    </row>
    <row r="45038">
      <c r="D45038" s="39"/>
      <c r="E45038" s="39"/>
      <c r="F45038" s="39"/>
    </row>
    <row r="45039">
      <c r="D45039" s="39"/>
      <c r="E45039" s="39"/>
      <c r="F45039" s="39"/>
    </row>
    <row r="45040">
      <c r="D45040" s="39"/>
      <c r="E45040" s="39"/>
      <c r="F45040" s="39"/>
    </row>
    <row r="45041">
      <c r="D45041" s="39"/>
      <c r="E45041" s="39"/>
      <c r="F45041" s="39"/>
    </row>
    <row r="45042">
      <c r="D45042" s="39"/>
      <c r="E45042" s="39"/>
      <c r="F45042" s="39"/>
    </row>
    <row r="45043">
      <c r="D45043" s="39"/>
      <c r="E45043" s="39"/>
      <c r="F45043" s="39"/>
    </row>
    <row r="45044">
      <c r="D45044" s="39"/>
      <c r="E45044" s="39"/>
      <c r="F45044" s="39"/>
    </row>
    <row r="45045">
      <c r="D45045" s="39"/>
      <c r="E45045" s="39"/>
      <c r="F45045" s="39"/>
    </row>
    <row r="45046">
      <c r="D45046" s="39"/>
      <c r="E45046" s="39"/>
      <c r="F45046" s="39"/>
    </row>
    <row r="45047">
      <c r="D45047" s="39"/>
      <c r="E45047" s="39"/>
      <c r="F45047" s="39"/>
    </row>
    <row r="45048">
      <c r="D45048" s="39"/>
      <c r="E45048" s="39"/>
      <c r="F45048" s="39"/>
    </row>
    <row r="45049">
      <c r="D45049" s="39"/>
      <c r="E45049" s="39"/>
      <c r="F45049" s="39"/>
    </row>
    <row r="45050">
      <c r="D45050" s="39"/>
      <c r="E45050" s="39"/>
      <c r="F45050" s="39"/>
    </row>
    <row r="45051">
      <c r="D45051" s="39"/>
      <c r="E45051" s="39"/>
      <c r="F45051" s="39"/>
    </row>
    <row r="45052">
      <c r="D45052" s="39"/>
      <c r="E45052" s="39"/>
      <c r="F45052" s="39"/>
    </row>
    <row r="45053">
      <c r="D45053" s="39"/>
      <c r="E45053" s="39"/>
      <c r="F45053" s="39"/>
    </row>
    <row r="45054">
      <c r="D45054" s="39"/>
      <c r="E45054" s="39"/>
      <c r="F45054" s="39"/>
    </row>
    <row r="45055">
      <c r="D45055" s="39"/>
      <c r="E45055" s="39"/>
      <c r="F45055" s="39"/>
    </row>
    <row r="45056">
      <c r="D45056" s="39"/>
      <c r="E45056" s="39"/>
      <c r="F45056" s="39"/>
    </row>
    <row r="45057">
      <c r="D45057" s="39"/>
      <c r="E45057" s="39"/>
      <c r="F45057" s="39"/>
    </row>
    <row r="45058">
      <c r="D45058" s="39"/>
      <c r="E45058" s="39"/>
      <c r="F45058" s="39"/>
    </row>
    <row r="45059">
      <c r="D45059" s="39"/>
      <c r="E45059" s="39"/>
      <c r="F45059" s="39"/>
    </row>
    <row r="45060">
      <c r="D45060" s="39"/>
      <c r="E45060" s="39"/>
      <c r="F45060" s="39"/>
    </row>
    <row r="45061">
      <c r="D45061" s="39"/>
      <c r="E45061" s="39"/>
      <c r="F45061" s="39"/>
    </row>
    <row r="45062">
      <c r="D45062" s="39"/>
      <c r="E45062" s="39"/>
      <c r="F45062" s="39"/>
    </row>
    <row r="45063">
      <c r="D45063" s="39"/>
      <c r="E45063" s="39"/>
      <c r="F45063" s="39"/>
    </row>
    <row r="45064">
      <c r="D45064" s="39"/>
      <c r="E45064" s="39"/>
      <c r="F45064" s="39"/>
    </row>
    <row r="45065">
      <c r="D45065" s="39"/>
      <c r="E45065" s="39"/>
      <c r="F45065" s="39"/>
    </row>
    <row r="45066">
      <c r="D45066" s="39"/>
      <c r="E45066" s="39"/>
      <c r="F45066" s="39"/>
    </row>
    <row r="45067">
      <c r="D45067" s="39"/>
      <c r="E45067" s="39"/>
      <c r="F45067" s="39"/>
    </row>
    <row r="45068">
      <c r="D45068" s="39"/>
      <c r="E45068" s="39"/>
      <c r="F45068" s="39"/>
    </row>
    <row r="45069">
      <c r="D45069" s="39"/>
      <c r="E45069" s="39"/>
      <c r="F45069" s="39"/>
    </row>
    <row r="45070">
      <c r="D45070" s="39"/>
      <c r="E45070" s="39"/>
      <c r="F45070" s="39"/>
    </row>
    <row r="45071">
      <c r="D45071" s="39"/>
      <c r="E45071" s="39"/>
      <c r="F45071" s="39"/>
    </row>
    <row r="45072">
      <c r="D45072" s="39"/>
      <c r="E45072" s="39"/>
      <c r="F45072" s="39"/>
    </row>
    <row r="45073">
      <c r="D45073" s="39"/>
      <c r="E45073" s="39"/>
      <c r="F45073" s="39"/>
    </row>
    <row r="45074">
      <c r="D45074" s="39"/>
      <c r="E45074" s="39"/>
      <c r="F45074" s="39"/>
    </row>
    <row r="45075">
      <c r="D45075" s="39"/>
      <c r="E45075" s="39"/>
      <c r="F45075" s="39"/>
    </row>
    <row r="45076">
      <c r="D45076" s="39"/>
      <c r="E45076" s="39"/>
      <c r="F45076" s="39"/>
    </row>
    <row r="45077">
      <c r="D45077" s="39"/>
      <c r="E45077" s="39"/>
      <c r="F45077" s="39"/>
    </row>
    <row r="45078">
      <c r="D45078" s="39"/>
      <c r="E45078" s="39"/>
      <c r="F45078" s="39"/>
    </row>
    <row r="45079">
      <c r="D45079" s="39"/>
      <c r="E45079" s="39"/>
      <c r="F45079" s="39"/>
    </row>
    <row r="45080">
      <c r="D45080" s="39"/>
      <c r="E45080" s="39"/>
      <c r="F45080" s="39"/>
    </row>
    <row r="45081">
      <c r="D45081" s="39"/>
      <c r="E45081" s="39"/>
      <c r="F45081" s="39"/>
    </row>
    <row r="45082">
      <c r="D45082" s="39"/>
      <c r="E45082" s="39"/>
      <c r="F45082" s="39"/>
    </row>
    <row r="45083">
      <c r="D45083" s="39"/>
      <c r="E45083" s="39"/>
      <c r="F45083" s="39"/>
    </row>
    <row r="45084">
      <c r="D45084" s="39"/>
      <c r="E45084" s="39"/>
      <c r="F45084" s="39"/>
    </row>
    <row r="45085">
      <c r="D45085" s="39"/>
      <c r="E45085" s="39"/>
      <c r="F45085" s="39"/>
    </row>
    <row r="45086">
      <c r="D45086" s="39"/>
      <c r="E45086" s="39"/>
      <c r="F45086" s="39"/>
    </row>
    <row r="45087">
      <c r="D45087" s="39"/>
      <c r="E45087" s="39"/>
      <c r="F45087" s="39"/>
    </row>
    <row r="45088">
      <c r="D45088" s="39"/>
      <c r="E45088" s="39"/>
      <c r="F45088" s="39"/>
    </row>
    <row r="45089">
      <c r="D45089" s="39"/>
      <c r="E45089" s="39"/>
      <c r="F45089" s="39"/>
    </row>
    <row r="45090">
      <c r="D45090" s="39"/>
      <c r="E45090" s="39"/>
      <c r="F45090" s="39"/>
    </row>
    <row r="45091">
      <c r="D45091" s="39"/>
      <c r="E45091" s="39"/>
      <c r="F45091" s="39"/>
    </row>
    <row r="45092">
      <c r="D45092" s="39"/>
      <c r="E45092" s="39"/>
      <c r="F45092" s="39"/>
    </row>
    <row r="45093">
      <c r="D45093" s="39"/>
      <c r="E45093" s="39"/>
      <c r="F45093" s="39"/>
    </row>
    <row r="45094">
      <c r="D45094" s="39"/>
      <c r="E45094" s="39"/>
      <c r="F45094" s="39"/>
    </row>
    <row r="45095">
      <c r="D45095" s="39"/>
      <c r="E45095" s="39"/>
      <c r="F45095" s="39"/>
    </row>
    <row r="45096">
      <c r="D45096" s="39"/>
      <c r="E45096" s="39"/>
      <c r="F45096" s="39"/>
    </row>
    <row r="45097">
      <c r="D45097" s="39"/>
      <c r="E45097" s="39"/>
      <c r="F45097" s="39"/>
    </row>
    <row r="45098">
      <c r="D45098" s="39"/>
      <c r="E45098" s="39"/>
      <c r="F45098" s="39"/>
    </row>
    <row r="45099">
      <c r="D45099" s="39"/>
      <c r="E45099" s="39"/>
      <c r="F45099" s="39"/>
    </row>
    <row r="45100">
      <c r="D45100" s="39"/>
      <c r="E45100" s="39"/>
      <c r="F45100" s="39"/>
    </row>
    <row r="45101">
      <c r="D45101" s="39"/>
      <c r="E45101" s="39"/>
      <c r="F45101" s="39"/>
    </row>
    <row r="45102">
      <c r="D45102" s="39"/>
      <c r="E45102" s="39"/>
      <c r="F45102" s="39"/>
    </row>
    <row r="45103">
      <c r="D45103" s="39"/>
      <c r="E45103" s="39"/>
      <c r="F45103" s="39"/>
    </row>
    <row r="45104">
      <c r="D45104" s="39"/>
      <c r="E45104" s="39"/>
      <c r="F45104" s="39"/>
    </row>
    <row r="45105">
      <c r="D45105" s="39"/>
      <c r="E45105" s="39"/>
      <c r="F45105" s="39"/>
    </row>
    <row r="45106">
      <c r="D45106" s="39"/>
      <c r="E45106" s="39"/>
      <c r="F45106" s="39"/>
    </row>
    <row r="45107">
      <c r="D45107" s="39"/>
      <c r="E45107" s="39"/>
      <c r="F45107" s="39"/>
    </row>
    <row r="45108">
      <c r="D45108" s="39"/>
      <c r="E45108" s="39"/>
      <c r="F45108" s="39"/>
    </row>
    <row r="45109">
      <c r="D45109" s="39"/>
      <c r="E45109" s="39"/>
      <c r="F45109" s="39"/>
    </row>
    <row r="45110">
      <c r="D45110" s="39"/>
      <c r="E45110" s="39"/>
      <c r="F45110" s="39"/>
    </row>
    <row r="45111">
      <c r="D45111" s="39"/>
      <c r="E45111" s="39"/>
      <c r="F45111" s="39"/>
    </row>
    <row r="45112">
      <c r="D45112" s="39"/>
      <c r="E45112" s="39"/>
      <c r="F45112" s="39"/>
    </row>
    <row r="45113">
      <c r="D45113" s="39"/>
      <c r="E45113" s="39"/>
      <c r="F45113" s="39"/>
    </row>
    <row r="45114">
      <c r="D45114" s="39"/>
      <c r="E45114" s="39"/>
      <c r="F45114" s="39"/>
    </row>
    <row r="45115">
      <c r="D45115" s="39"/>
      <c r="E45115" s="39"/>
      <c r="F45115" s="39"/>
    </row>
    <row r="45116">
      <c r="D45116" s="39"/>
      <c r="E45116" s="39"/>
      <c r="F45116" s="39"/>
    </row>
    <row r="45117">
      <c r="D45117" s="39"/>
      <c r="E45117" s="39"/>
      <c r="F45117" s="39"/>
    </row>
    <row r="45118">
      <c r="D45118" s="39"/>
      <c r="E45118" s="39"/>
      <c r="F45118" s="39"/>
    </row>
    <row r="45119">
      <c r="D45119" s="39"/>
      <c r="E45119" s="39"/>
      <c r="F45119" s="39"/>
    </row>
    <row r="45120">
      <c r="D45120" s="39"/>
      <c r="E45120" s="39"/>
      <c r="F45120" s="39"/>
    </row>
    <row r="45121">
      <c r="D45121" s="39"/>
      <c r="E45121" s="39"/>
      <c r="F45121" s="39"/>
    </row>
    <row r="45122">
      <c r="D45122" s="39"/>
      <c r="E45122" s="39"/>
      <c r="F45122" s="39"/>
    </row>
    <row r="45123">
      <c r="D45123" s="39"/>
      <c r="E45123" s="39"/>
      <c r="F45123" s="39"/>
    </row>
    <row r="45124">
      <c r="D45124" s="39"/>
      <c r="E45124" s="39"/>
      <c r="F45124" s="39"/>
    </row>
    <row r="45125">
      <c r="D45125" s="39"/>
      <c r="E45125" s="39"/>
      <c r="F45125" s="39"/>
    </row>
    <row r="45126">
      <c r="D45126" s="39"/>
      <c r="E45126" s="39"/>
      <c r="F45126" s="39"/>
    </row>
    <row r="45127">
      <c r="D45127" s="39"/>
      <c r="E45127" s="39"/>
      <c r="F45127" s="39"/>
    </row>
    <row r="45128">
      <c r="D45128" s="39"/>
      <c r="E45128" s="39"/>
      <c r="F45128" s="39"/>
    </row>
    <row r="45129">
      <c r="D45129" s="39"/>
      <c r="E45129" s="39"/>
      <c r="F45129" s="39"/>
    </row>
    <row r="45130">
      <c r="D45130" s="39"/>
      <c r="E45130" s="39"/>
      <c r="F45130" s="39"/>
    </row>
    <row r="45131">
      <c r="D45131" s="39"/>
      <c r="E45131" s="39"/>
      <c r="F45131" s="39"/>
    </row>
    <row r="45132">
      <c r="D45132" s="39"/>
      <c r="E45132" s="39"/>
      <c r="F45132" s="39"/>
    </row>
    <row r="45133">
      <c r="D45133" s="39"/>
      <c r="E45133" s="39"/>
      <c r="F45133" s="39"/>
    </row>
    <row r="45134">
      <c r="D45134" s="39"/>
      <c r="E45134" s="39"/>
      <c r="F45134" s="39"/>
    </row>
    <row r="45135">
      <c r="D45135" s="39"/>
      <c r="E45135" s="39"/>
      <c r="F45135" s="39"/>
    </row>
    <row r="45136">
      <c r="D45136" s="39"/>
      <c r="E45136" s="39"/>
      <c r="F45136" s="39"/>
    </row>
    <row r="45137">
      <c r="D45137" s="39"/>
      <c r="E45137" s="39"/>
      <c r="F45137" s="39"/>
    </row>
    <row r="45138">
      <c r="D45138" s="39"/>
      <c r="E45138" s="39"/>
      <c r="F45138" s="39"/>
    </row>
    <row r="45139">
      <c r="D45139" s="39"/>
      <c r="E45139" s="39"/>
      <c r="F45139" s="39"/>
    </row>
    <row r="45140">
      <c r="D45140" s="39"/>
      <c r="E45140" s="39"/>
      <c r="F45140" s="39"/>
    </row>
    <row r="45141">
      <c r="D45141" s="39"/>
      <c r="E45141" s="39"/>
      <c r="F45141" s="39"/>
    </row>
    <row r="45142">
      <c r="D45142" s="39"/>
      <c r="E45142" s="39"/>
      <c r="F45142" s="39"/>
    </row>
    <row r="45143">
      <c r="D45143" s="39"/>
      <c r="E45143" s="39"/>
      <c r="F45143" s="39"/>
    </row>
    <row r="45144">
      <c r="D45144" s="39"/>
      <c r="E45144" s="39"/>
      <c r="F45144" s="39"/>
    </row>
    <row r="45145">
      <c r="D45145" s="39"/>
      <c r="E45145" s="39"/>
      <c r="F45145" s="39"/>
    </row>
    <row r="45146">
      <c r="D45146" s="39"/>
      <c r="E45146" s="39"/>
      <c r="F45146" s="39"/>
    </row>
    <row r="45147">
      <c r="D45147" s="39"/>
      <c r="E45147" s="39"/>
      <c r="F45147" s="39"/>
    </row>
    <row r="45148">
      <c r="D45148" s="39"/>
      <c r="E45148" s="39"/>
      <c r="F45148" s="39"/>
    </row>
    <row r="45149">
      <c r="D45149" s="39"/>
      <c r="E45149" s="39"/>
      <c r="F45149" s="39"/>
    </row>
    <row r="45150">
      <c r="D45150" s="39"/>
      <c r="E45150" s="39"/>
      <c r="F45150" s="39"/>
    </row>
    <row r="45151">
      <c r="D45151" s="39"/>
      <c r="E45151" s="39"/>
      <c r="F45151" s="39"/>
    </row>
    <row r="45152">
      <c r="D45152" s="39"/>
      <c r="E45152" s="39"/>
      <c r="F45152" s="39"/>
    </row>
    <row r="45153">
      <c r="D45153" s="39"/>
      <c r="E45153" s="39"/>
      <c r="F45153" s="39"/>
    </row>
    <row r="45154">
      <c r="D45154" s="39"/>
      <c r="E45154" s="39"/>
      <c r="F45154" s="39"/>
    </row>
    <row r="45155">
      <c r="D45155" s="39"/>
      <c r="E45155" s="39"/>
      <c r="F45155" s="39"/>
    </row>
    <row r="45156">
      <c r="D45156" s="39"/>
      <c r="E45156" s="39"/>
      <c r="F45156" s="39"/>
    </row>
    <row r="45157">
      <c r="D45157" s="39"/>
      <c r="E45157" s="39"/>
      <c r="F45157" s="39"/>
    </row>
    <row r="45158">
      <c r="D45158" s="39"/>
      <c r="E45158" s="39"/>
      <c r="F45158" s="39"/>
    </row>
    <row r="45159">
      <c r="D45159" s="39"/>
      <c r="E45159" s="39"/>
      <c r="F45159" s="39"/>
    </row>
    <row r="45160">
      <c r="D45160" s="39"/>
      <c r="E45160" s="39"/>
      <c r="F45160" s="39"/>
    </row>
    <row r="45161">
      <c r="D45161" s="39"/>
      <c r="E45161" s="39"/>
      <c r="F45161" s="39"/>
    </row>
    <row r="45162">
      <c r="D45162" s="39"/>
      <c r="E45162" s="39"/>
      <c r="F45162" s="39"/>
    </row>
    <row r="45163">
      <c r="D45163" s="39"/>
      <c r="E45163" s="39"/>
      <c r="F45163" s="39"/>
    </row>
    <row r="45164">
      <c r="D45164" s="39"/>
      <c r="E45164" s="39"/>
      <c r="F45164" s="39"/>
    </row>
    <row r="45165">
      <c r="D45165" s="39"/>
      <c r="E45165" s="39"/>
      <c r="F45165" s="39"/>
    </row>
    <row r="45166">
      <c r="D45166" s="39"/>
      <c r="E45166" s="39"/>
      <c r="F45166" s="39"/>
    </row>
    <row r="45167">
      <c r="D45167" s="39"/>
      <c r="E45167" s="39"/>
      <c r="F45167" s="39"/>
    </row>
    <row r="45168">
      <c r="D45168" s="39"/>
      <c r="E45168" s="39"/>
      <c r="F45168" s="39"/>
    </row>
    <row r="45169">
      <c r="D45169" s="39"/>
      <c r="E45169" s="39"/>
      <c r="F45169" s="39"/>
    </row>
    <row r="45170">
      <c r="D45170" s="39"/>
      <c r="E45170" s="39"/>
      <c r="F45170" s="39"/>
    </row>
    <row r="45171">
      <c r="D45171" s="39"/>
      <c r="E45171" s="39"/>
      <c r="F45171" s="39"/>
    </row>
    <row r="45172">
      <c r="D45172" s="39"/>
      <c r="E45172" s="39"/>
      <c r="F45172" s="39"/>
    </row>
    <row r="45173">
      <c r="D45173" s="39"/>
      <c r="E45173" s="39"/>
      <c r="F45173" s="39"/>
    </row>
    <row r="45174">
      <c r="D45174" s="39"/>
      <c r="E45174" s="39"/>
      <c r="F45174" s="39"/>
    </row>
    <row r="45175">
      <c r="D45175" s="39"/>
      <c r="E45175" s="39"/>
      <c r="F45175" s="39"/>
    </row>
    <row r="45176">
      <c r="D45176" s="39"/>
      <c r="E45176" s="39"/>
      <c r="F45176" s="39"/>
    </row>
    <row r="45177">
      <c r="D45177" s="39"/>
      <c r="E45177" s="39"/>
      <c r="F45177" s="39"/>
    </row>
    <row r="45178">
      <c r="D45178" s="39"/>
      <c r="E45178" s="39"/>
      <c r="F45178" s="39"/>
    </row>
    <row r="45179">
      <c r="D45179" s="39"/>
      <c r="E45179" s="39"/>
      <c r="F45179" s="39"/>
    </row>
    <row r="45180">
      <c r="D45180" s="39"/>
      <c r="E45180" s="39"/>
      <c r="F45180" s="39"/>
    </row>
    <row r="45181">
      <c r="D45181" s="39"/>
      <c r="E45181" s="39"/>
      <c r="F45181" s="39"/>
    </row>
    <row r="45182">
      <c r="D45182" s="39"/>
      <c r="E45182" s="39"/>
      <c r="F45182" s="39"/>
    </row>
    <row r="45183">
      <c r="D45183" s="39"/>
      <c r="E45183" s="39"/>
      <c r="F45183" s="39"/>
    </row>
    <row r="45184">
      <c r="D45184" s="39"/>
      <c r="E45184" s="39"/>
      <c r="F45184" s="39"/>
    </row>
    <row r="45185">
      <c r="D45185" s="39"/>
      <c r="E45185" s="39"/>
      <c r="F45185" s="39"/>
    </row>
    <row r="45186">
      <c r="D45186" s="39"/>
      <c r="E45186" s="39"/>
      <c r="F45186" s="39"/>
    </row>
    <row r="45187">
      <c r="D45187" s="39"/>
      <c r="E45187" s="39"/>
      <c r="F45187" s="39"/>
    </row>
    <row r="45188">
      <c r="D45188" s="39"/>
      <c r="E45188" s="39"/>
      <c r="F45188" s="39"/>
    </row>
    <row r="45189">
      <c r="D45189" s="39"/>
      <c r="E45189" s="39"/>
      <c r="F45189" s="39"/>
    </row>
    <row r="45190">
      <c r="D45190" s="39"/>
      <c r="E45190" s="39"/>
      <c r="F45190" s="39"/>
    </row>
    <row r="45191">
      <c r="D45191" s="39"/>
      <c r="E45191" s="39"/>
      <c r="F45191" s="39"/>
    </row>
    <row r="45192">
      <c r="D45192" s="39"/>
      <c r="E45192" s="39"/>
      <c r="F45192" s="39"/>
    </row>
    <row r="45193">
      <c r="D45193" s="39"/>
      <c r="E45193" s="39"/>
      <c r="F45193" s="39"/>
    </row>
    <row r="45194">
      <c r="D45194" s="39"/>
      <c r="E45194" s="39"/>
      <c r="F45194" s="39"/>
    </row>
    <row r="45195">
      <c r="D45195" s="39"/>
      <c r="E45195" s="39"/>
      <c r="F45195" s="39"/>
    </row>
    <row r="45196">
      <c r="D45196" s="39"/>
      <c r="E45196" s="39"/>
      <c r="F45196" s="39"/>
    </row>
    <row r="45197">
      <c r="D45197" s="39"/>
      <c r="E45197" s="39"/>
      <c r="F45197" s="39"/>
    </row>
    <row r="45198">
      <c r="D45198" s="39"/>
      <c r="E45198" s="39"/>
      <c r="F45198" s="39"/>
    </row>
    <row r="45199">
      <c r="D45199" s="39"/>
      <c r="E45199" s="39"/>
      <c r="F45199" s="39"/>
    </row>
    <row r="45200">
      <c r="D45200" s="39"/>
      <c r="E45200" s="39"/>
      <c r="F45200" s="39"/>
    </row>
    <row r="45201">
      <c r="D45201" s="39"/>
      <c r="E45201" s="39"/>
      <c r="F45201" s="39"/>
    </row>
    <row r="45202">
      <c r="D45202" s="39"/>
      <c r="E45202" s="39"/>
      <c r="F45202" s="39"/>
    </row>
    <row r="45203">
      <c r="D45203" s="39"/>
      <c r="E45203" s="39"/>
      <c r="F45203" s="39"/>
    </row>
    <row r="45204">
      <c r="D45204" s="39"/>
      <c r="E45204" s="39"/>
      <c r="F45204" s="39"/>
    </row>
    <row r="45205">
      <c r="D45205" s="39"/>
      <c r="E45205" s="39"/>
      <c r="F45205" s="39"/>
    </row>
    <row r="45206">
      <c r="D45206" s="39"/>
      <c r="E45206" s="39"/>
      <c r="F45206" s="39"/>
    </row>
    <row r="45207">
      <c r="D45207" s="39"/>
      <c r="E45207" s="39"/>
      <c r="F45207" s="39"/>
    </row>
    <row r="45208">
      <c r="D45208" s="39"/>
      <c r="E45208" s="39"/>
      <c r="F45208" s="39"/>
    </row>
    <row r="45209">
      <c r="D45209" s="39"/>
      <c r="E45209" s="39"/>
      <c r="F45209" s="39"/>
    </row>
    <row r="45210">
      <c r="D45210" s="39"/>
      <c r="E45210" s="39"/>
      <c r="F45210" s="39"/>
    </row>
    <row r="45211">
      <c r="D45211" s="39"/>
      <c r="E45211" s="39"/>
      <c r="F45211" s="39"/>
    </row>
    <row r="45212">
      <c r="D45212" s="39"/>
      <c r="E45212" s="39"/>
      <c r="F45212" s="39"/>
    </row>
    <row r="45213">
      <c r="D45213" s="39"/>
      <c r="E45213" s="39"/>
      <c r="F45213" s="39"/>
    </row>
    <row r="45214">
      <c r="D45214" s="39"/>
      <c r="E45214" s="39"/>
      <c r="F45214" s="39"/>
    </row>
    <row r="45215">
      <c r="D45215" s="39"/>
      <c r="E45215" s="39"/>
      <c r="F45215" s="39"/>
    </row>
    <row r="45216">
      <c r="D45216" s="39"/>
      <c r="E45216" s="39"/>
      <c r="F45216" s="39"/>
    </row>
    <row r="45217">
      <c r="D45217" s="39"/>
      <c r="E45217" s="39"/>
      <c r="F45217" s="39"/>
    </row>
    <row r="45218">
      <c r="D45218" s="39"/>
      <c r="E45218" s="39"/>
      <c r="F45218" s="39"/>
    </row>
    <row r="45219">
      <c r="D45219" s="39"/>
      <c r="E45219" s="39"/>
      <c r="F45219" s="39"/>
    </row>
    <row r="45220">
      <c r="D45220" s="39"/>
      <c r="E45220" s="39"/>
      <c r="F45220" s="39"/>
    </row>
    <row r="45221">
      <c r="D45221" s="39"/>
      <c r="E45221" s="39"/>
      <c r="F45221" s="39"/>
    </row>
    <row r="45222">
      <c r="D45222" s="39"/>
      <c r="E45222" s="39"/>
      <c r="F45222" s="39"/>
    </row>
    <row r="45223">
      <c r="D45223" s="39"/>
      <c r="E45223" s="39"/>
      <c r="F45223" s="39"/>
    </row>
    <row r="45224">
      <c r="D45224" s="39"/>
      <c r="E45224" s="39"/>
      <c r="F45224" s="39"/>
    </row>
    <row r="45225">
      <c r="D45225" s="39"/>
      <c r="E45225" s="39"/>
      <c r="F45225" s="39"/>
    </row>
    <row r="45226">
      <c r="D45226" s="39"/>
      <c r="E45226" s="39"/>
      <c r="F45226" s="39"/>
    </row>
    <row r="45227">
      <c r="D45227" s="39"/>
      <c r="E45227" s="39"/>
      <c r="F45227" s="39"/>
    </row>
    <row r="45228">
      <c r="D45228" s="39"/>
      <c r="E45228" s="39"/>
      <c r="F45228" s="39"/>
    </row>
    <row r="45229">
      <c r="D45229" s="39"/>
      <c r="E45229" s="39"/>
      <c r="F45229" s="39"/>
    </row>
    <row r="45230">
      <c r="D45230" s="39"/>
      <c r="E45230" s="39"/>
      <c r="F45230" s="39"/>
    </row>
    <row r="45231">
      <c r="D45231" s="39"/>
      <c r="E45231" s="39"/>
      <c r="F45231" s="39"/>
    </row>
    <row r="45232">
      <c r="D45232" s="39"/>
      <c r="E45232" s="39"/>
      <c r="F45232" s="39"/>
    </row>
    <row r="45233">
      <c r="D45233" s="39"/>
      <c r="E45233" s="39"/>
      <c r="F45233" s="39"/>
    </row>
    <row r="45234">
      <c r="D45234" s="39"/>
      <c r="E45234" s="39"/>
      <c r="F45234" s="39"/>
    </row>
    <row r="45235">
      <c r="D45235" s="39"/>
      <c r="E45235" s="39"/>
      <c r="F45235" s="39"/>
    </row>
    <row r="45236">
      <c r="D45236" s="39"/>
      <c r="E45236" s="39"/>
      <c r="F45236" s="39"/>
    </row>
    <row r="45237">
      <c r="D45237" s="39"/>
      <c r="E45237" s="39"/>
      <c r="F45237" s="39"/>
    </row>
    <row r="45238">
      <c r="D45238" s="39"/>
      <c r="E45238" s="39"/>
      <c r="F45238" s="39"/>
    </row>
    <row r="45239">
      <c r="D45239" s="39"/>
      <c r="E45239" s="39"/>
      <c r="F45239" s="39"/>
    </row>
    <row r="45240">
      <c r="D45240" s="39"/>
      <c r="E45240" s="39"/>
      <c r="F45240" s="39"/>
    </row>
    <row r="45241">
      <c r="D45241" s="39"/>
      <c r="E45241" s="39"/>
      <c r="F45241" s="39"/>
    </row>
    <row r="45242">
      <c r="D45242" s="39"/>
      <c r="E45242" s="39"/>
      <c r="F45242" s="39"/>
    </row>
    <row r="45243">
      <c r="D45243" s="39"/>
      <c r="E45243" s="39"/>
      <c r="F45243" s="39"/>
    </row>
    <row r="45244">
      <c r="D45244" s="39"/>
      <c r="E45244" s="39"/>
      <c r="F45244" s="39"/>
    </row>
    <row r="45245">
      <c r="D45245" s="39"/>
      <c r="E45245" s="39"/>
      <c r="F45245" s="39"/>
    </row>
    <row r="45246">
      <c r="D45246" s="39"/>
      <c r="E45246" s="39"/>
      <c r="F45246" s="39"/>
    </row>
    <row r="45247">
      <c r="D45247" s="39"/>
      <c r="E45247" s="39"/>
      <c r="F45247" s="39"/>
    </row>
    <row r="45248">
      <c r="D45248" s="39"/>
      <c r="E45248" s="39"/>
      <c r="F45248" s="39"/>
    </row>
    <row r="45249">
      <c r="D45249" s="39"/>
      <c r="E45249" s="39"/>
      <c r="F45249" s="39"/>
    </row>
    <row r="45250">
      <c r="D45250" s="39"/>
      <c r="E45250" s="39"/>
      <c r="F45250" s="39"/>
    </row>
    <row r="45251">
      <c r="D45251" s="39"/>
      <c r="E45251" s="39"/>
      <c r="F45251" s="39"/>
    </row>
    <row r="45252">
      <c r="D45252" s="39"/>
      <c r="E45252" s="39"/>
      <c r="F45252" s="39"/>
    </row>
    <row r="45253">
      <c r="D45253" s="39"/>
      <c r="E45253" s="39"/>
      <c r="F45253" s="39"/>
    </row>
    <row r="45254">
      <c r="D45254" s="39"/>
      <c r="E45254" s="39"/>
      <c r="F45254" s="39"/>
    </row>
    <row r="45255">
      <c r="D45255" s="39"/>
      <c r="E45255" s="39"/>
      <c r="F45255" s="39"/>
    </row>
    <row r="45256">
      <c r="D45256" s="39"/>
      <c r="E45256" s="39"/>
      <c r="F45256" s="39"/>
    </row>
    <row r="45257">
      <c r="D45257" s="39"/>
      <c r="E45257" s="39"/>
      <c r="F45257" s="39"/>
    </row>
    <row r="45258">
      <c r="D45258" s="39"/>
      <c r="E45258" s="39"/>
      <c r="F45258" s="39"/>
    </row>
    <row r="45259">
      <c r="D45259" s="39"/>
      <c r="E45259" s="39"/>
      <c r="F45259" s="39"/>
    </row>
    <row r="45260">
      <c r="D45260" s="39"/>
      <c r="E45260" s="39"/>
      <c r="F45260" s="39"/>
    </row>
    <row r="45261">
      <c r="D45261" s="39"/>
      <c r="E45261" s="39"/>
      <c r="F45261" s="39"/>
    </row>
    <row r="45262">
      <c r="D45262" s="39"/>
      <c r="E45262" s="39"/>
      <c r="F45262" s="39"/>
    </row>
    <row r="45263">
      <c r="D45263" s="39"/>
      <c r="E45263" s="39"/>
      <c r="F45263" s="39"/>
    </row>
    <row r="45264">
      <c r="D45264" s="39"/>
      <c r="E45264" s="39"/>
      <c r="F45264" s="39"/>
    </row>
    <row r="45265">
      <c r="D45265" s="39"/>
      <c r="E45265" s="39"/>
      <c r="F45265" s="39"/>
    </row>
    <row r="45266">
      <c r="D45266" s="39"/>
      <c r="E45266" s="39"/>
      <c r="F45266" s="39"/>
    </row>
    <row r="45267">
      <c r="D45267" s="39"/>
      <c r="E45267" s="39"/>
      <c r="F45267" s="39"/>
    </row>
    <row r="45268">
      <c r="D45268" s="39"/>
      <c r="E45268" s="39"/>
      <c r="F45268" s="39"/>
    </row>
    <row r="45269">
      <c r="D45269" s="39"/>
      <c r="E45269" s="39"/>
      <c r="F45269" s="39"/>
    </row>
    <row r="45270">
      <c r="D45270" s="39"/>
      <c r="E45270" s="39"/>
      <c r="F45270" s="39"/>
    </row>
    <row r="45271">
      <c r="D45271" s="39"/>
      <c r="E45271" s="39"/>
      <c r="F45271" s="39"/>
    </row>
    <row r="45272">
      <c r="D45272" s="39"/>
      <c r="E45272" s="39"/>
      <c r="F45272" s="39"/>
    </row>
    <row r="45273">
      <c r="D45273" s="39"/>
      <c r="E45273" s="39"/>
      <c r="F45273" s="39"/>
    </row>
    <row r="45274">
      <c r="D45274" s="39"/>
      <c r="E45274" s="39"/>
      <c r="F45274" s="39"/>
    </row>
    <row r="45275">
      <c r="D45275" s="39"/>
      <c r="E45275" s="39"/>
      <c r="F45275" s="39"/>
    </row>
    <row r="45276">
      <c r="D45276" s="39"/>
      <c r="E45276" s="39"/>
      <c r="F45276" s="39"/>
    </row>
    <row r="45277">
      <c r="D45277" s="39"/>
      <c r="E45277" s="39"/>
      <c r="F45277" s="39"/>
    </row>
    <row r="45278">
      <c r="D45278" s="39"/>
      <c r="E45278" s="39"/>
      <c r="F45278" s="39"/>
    </row>
    <row r="45279">
      <c r="D45279" s="39"/>
      <c r="E45279" s="39"/>
      <c r="F45279" s="39"/>
    </row>
    <row r="45280">
      <c r="D45280" s="39"/>
      <c r="E45280" s="39"/>
      <c r="F45280" s="39"/>
    </row>
    <row r="45281">
      <c r="D45281" s="39"/>
      <c r="E45281" s="39"/>
      <c r="F45281" s="39"/>
    </row>
    <row r="45282">
      <c r="D45282" s="39"/>
      <c r="E45282" s="39"/>
      <c r="F45282" s="39"/>
    </row>
    <row r="45283">
      <c r="D45283" s="39"/>
      <c r="E45283" s="39"/>
      <c r="F45283" s="39"/>
    </row>
    <row r="45284">
      <c r="D45284" s="39"/>
      <c r="E45284" s="39"/>
      <c r="F45284" s="39"/>
    </row>
    <row r="45285">
      <c r="D45285" s="39"/>
      <c r="E45285" s="39"/>
      <c r="F45285" s="39"/>
    </row>
    <row r="45286">
      <c r="D45286" s="39"/>
      <c r="E45286" s="39"/>
      <c r="F45286" s="39"/>
    </row>
    <row r="45287">
      <c r="D45287" s="39"/>
      <c r="E45287" s="39"/>
      <c r="F45287" s="39"/>
    </row>
    <row r="45288">
      <c r="D45288" s="39"/>
      <c r="E45288" s="39"/>
      <c r="F45288" s="39"/>
    </row>
    <row r="45289">
      <c r="D45289" s="39"/>
      <c r="E45289" s="39"/>
      <c r="F45289" s="39"/>
    </row>
    <row r="45290">
      <c r="D45290" s="39"/>
      <c r="E45290" s="39"/>
      <c r="F45290" s="39"/>
    </row>
    <row r="45291">
      <c r="D45291" s="39"/>
      <c r="E45291" s="39"/>
      <c r="F45291" s="39"/>
    </row>
    <row r="45292">
      <c r="D45292" s="39"/>
      <c r="E45292" s="39"/>
      <c r="F45292" s="39"/>
    </row>
    <row r="45293">
      <c r="D45293" s="39"/>
      <c r="E45293" s="39"/>
      <c r="F45293" s="39"/>
    </row>
    <row r="45294">
      <c r="D45294" s="39"/>
      <c r="E45294" s="39"/>
      <c r="F45294" s="39"/>
    </row>
    <row r="45295">
      <c r="D45295" s="39"/>
      <c r="E45295" s="39"/>
      <c r="F45295" s="39"/>
    </row>
    <row r="45296">
      <c r="D45296" s="39"/>
      <c r="E45296" s="39"/>
      <c r="F45296" s="39"/>
    </row>
    <row r="45297">
      <c r="D45297" s="39"/>
      <c r="E45297" s="39"/>
      <c r="F45297" s="39"/>
    </row>
    <row r="45298">
      <c r="D45298" s="39"/>
      <c r="E45298" s="39"/>
      <c r="F45298" s="39"/>
    </row>
    <row r="45299">
      <c r="D45299" s="39"/>
      <c r="E45299" s="39"/>
      <c r="F45299" s="39"/>
    </row>
    <row r="45300">
      <c r="D45300" s="39"/>
      <c r="E45300" s="39"/>
      <c r="F45300" s="39"/>
    </row>
    <row r="45301">
      <c r="D45301" s="39"/>
      <c r="E45301" s="39"/>
      <c r="F45301" s="39"/>
    </row>
    <row r="45302">
      <c r="D45302" s="39"/>
      <c r="E45302" s="39"/>
      <c r="F45302" s="39"/>
    </row>
    <row r="45303">
      <c r="D45303" s="39"/>
      <c r="E45303" s="39"/>
      <c r="F45303" s="39"/>
    </row>
    <row r="45304">
      <c r="D45304" s="39"/>
      <c r="E45304" s="39"/>
      <c r="F45304" s="39"/>
    </row>
    <row r="45305">
      <c r="D45305" s="39"/>
      <c r="E45305" s="39"/>
      <c r="F45305" s="39"/>
    </row>
    <row r="45306">
      <c r="D45306" s="39"/>
      <c r="E45306" s="39"/>
      <c r="F45306" s="39"/>
    </row>
    <row r="45307">
      <c r="D45307" s="39"/>
      <c r="E45307" s="39"/>
      <c r="F45307" s="39"/>
    </row>
    <row r="45308">
      <c r="D45308" s="39"/>
      <c r="E45308" s="39"/>
      <c r="F45308" s="39"/>
    </row>
    <row r="45309">
      <c r="D45309" s="39"/>
      <c r="E45309" s="39"/>
      <c r="F45309" s="39"/>
    </row>
    <row r="45310">
      <c r="D45310" s="39"/>
      <c r="E45310" s="39"/>
      <c r="F45310" s="39"/>
    </row>
    <row r="45311">
      <c r="D45311" s="39"/>
      <c r="E45311" s="39"/>
      <c r="F45311" s="39"/>
    </row>
    <row r="45312">
      <c r="D45312" s="39"/>
      <c r="E45312" s="39"/>
      <c r="F45312" s="39"/>
    </row>
    <row r="45313">
      <c r="D45313" s="39"/>
      <c r="E45313" s="39"/>
      <c r="F45313" s="39"/>
    </row>
    <row r="45314">
      <c r="D45314" s="39"/>
      <c r="E45314" s="39"/>
      <c r="F45314" s="39"/>
    </row>
    <row r="45315">
      <c r="D45315" s="39"/>
      <c r="E45315" s="39"/>
      <c r="F45315" s="39"/>
    </row>
    <row r="45316">
      <c r="D45316" s="39"/>
      <c r="E45316" s="39"/>
      <c r="F45316" s="39"/>
    </row>
    <row r="45317">
      <c r="D45317" s="39"/>
      <c r="E45317" s="39"/>
      <c r="F45317" s="39"/>
    </row>
    <row r="45318">
      <c r="D45318" s="39"/>
      <c r="E45318" s="39"/>
      <c r="F45318" s="39"/>
    </row>
    <row r="45319">
      <c r="D45319" s="39"/>
      <c r="E45319" s="39"/>
      <c r="F45319" s="39"/>
    </row>
    <row r="45320">
      <c r="D45320" s="39"/>
      <c r="E45320" s="39"/>
      <c r="F45320" s="39"/>
    </row>
    <row r="45321">
      <c r="D45321" s="39"/>
      <c r="E45321" s="39"/>
      <c r="F45321" s="39"/>
    </row>
    <row r="45322">
      <c r="D45322" s="39"/>
      <c r="E45322" s="39"/>
      <c r="F45322" s="39"/>
    </row>
    <row r="45323">
      <c r="D45323" s="39"/>
      <c r="E45323" s="39"/>
      <c r="F45323" s="39"/>
    </row>
    <row r="45324">
      <c r="D45324" s="39"/>
      <c r="E45324" s="39"/>
      <c r="F45324" s="39"/>
    </row>
    <row r="45325">
      <c r="D45325" s="39"/>
      <c r="E45325" s="39"/>
      <c r="F45325" s="39"/>
    </row>
    <row r="45326">
      <c r="D45326" s="39"/>
      <c r="E45326" s="39"/>
      <c r="F45326" s="39"/>
    </row>
    <row r="45327">
      <c r="D45327" s="39"/>
      <c r="E45327" s="39"/>
      <c r="F45327" s="39"/>
    </row>
    <row r="45328">
      <c r="D45328" s="39"/>
      <c r="E45328" s="39"/>
      <c r="F45328" s="39"/>
    </row>
    <row r="45329">
      <c r="D45329" s="39"/>
      <c r="E45329" s="39"/>
      <c r="F45329" s="39"/>
    </row>
    <row r="45330">
      <c r="D45330" s="39"/>
      <c r="E45330" s="39"/>
      <c r="F45330" s="39"/>
    </row>
    <row r="45331">
      <c r="D45331" s="39"/>
      <c r="E45331" s="39"/>
      <c r="F45331" s="39"/>
    </row>
    <row r="45332">
      <c r="D45332" s="39"/>
      <c r="E45332" s="39"/>
      <c r="F45332" s="39"/>
    </row>
    <row r="45333">
      <c r="D45333" s="39"/>
      <c r="E45333" s="39"/>
      <c r="F45333" s="39"/>
    </row>
    <row r="45334">
      <c r="D45334" s="39"/>
      <c r="E45334" s="39"/>
      <c r="F45334" s="39"/>
    </row>
    <row r="45335">
      <c r="D45335" s="39"/>
      <c r="E45335" s="39"/>
      <c r="F45335" s="39"/>
    </row>
    <row r="45336">
      <c r="D45336" s="39"/>
      <c r="E45336" s="39"/>
      <c r="F45336" s="39"/>
    </row>
    <row r="45337">
      <c r="D45337" s="39"/>
      <c r="E45337" s="39"/>
      <c r="F45337" s="39"/>
    </row>
    <row r="45338">
      <c r="D45338" s="39"/>
      <c r="E45338" s="39"/>
      <c r="F45338" s="39"/>
    </row>
    <row r="45339">
      <c r="D45339" s="39"/>
      <c r="E45339" s="39"/>
      <c r="F45339" s="39"/>
    </row>
    <row r="45340">
      <c r="D45340" s="39"/>
      <c r="E45340" s="39"/>
      <c r="F45340" s="39"/>
    </row>
    <row r="45341">
      <c r="D45341" s="39"/>
      <c r="E45341" s="39"/>
      <c r="F45341" s="39"/>
    </row>
    <row r="45342">
      <c r="D45342" s="39"/>
      <c r="E45342" s="39"/>
      <c r="F45342" s="39"/>
    </row>
    <row r="45343">
      <c r="D45343" s="39"/>
      <c r="E45343" s="39"/>
      <c r="F45343" s="39"/>
    </row>
    <row r="45344">
      <c r="D45344" s="39"/>
      <c r="E45344" s="39"/>
      <c r="F45344" s="39"/>
    </row>
    <row r="45345">
      <c r="D45345" s="39"/>
      <c r="E45345" s="39"/>
      <c r="F45345" s="39"/>
    </row>
    <row r="45346">
      <c r="D45346" s="39"/>
      <c r="E45346" s="39"/>
      <c r="F45346" s="39"/>
    </row>
    <row r="45347">
      <c r="D45347" s="39"/>
      <c r="E45347" s="39"/>
      <c r="F45347" s="39"/>
    </row>
    <row r="45348">
      <c r="D45348" s="39"/>
      <c r="E45348" s="39"/>
      <c r="F45348" s="39"/>
    </row>
    <row r="45349">
      <c r="D45349" s="39"/>
      <c r="E45349" s="39"/>
      <c r="F45349" s="39"/>
    </row>
    <row r="45350">
      <c r="D45350" s="39"/>
      <c r="E45350" s="39"/>
      <c r="F45350" s="39"/>
    </row>
    <row r="45351">
      <c r="D45351" s="39"/>
      <c r="E45351" s="39"/>
      <c r="F45351" s="39"/>
    </row>
    <row r="45352">
      <c r="D45352" s="39"/>
      <c r="E45352" s="39"/>
      <c r="F45352" s="39"/>
    </row>
    <row r="45353">
      <c r="D45353" s="39"/>
      <c r="E45353" s="39"/>
      <c r="F45353" s="39"/>
    </row>
    <row r="45354">
      <c r="D45354" s="39"/>
      <c r="E45354" s="39"/>
      <c r="F45354" s="39"/>
    </row>
    <row r="45355">
      <c r="D45355" s="39"/>
      <c r="E45355" s="39"/>
      <c r="F45355" s="39"/>
    </row>
    <row r="45356">
      <c r="D45356" s="39"/>
      <c r="E45356" s="39"/>
      <c r="F45356" s="39"/>
    </row>
    <row r="45357">
      <c r="D45357" s="39"/>
      <c r="E45357" s="39"/>
      <c r="F45357" s="39"/>
    </row>
    <row r="45358">
      <c r="D45358" s="39"/>
      <c r="E45358" s="39"/>
      <c r="F45358" s="39"/>
    </row>
    <row r="45359">
      <c r="D45359" s="39"/>
      <c r="E45359" s="39"/>
      <c r="F45359" s="39"/>
    </row>
    <row r="45360">
      <c r="D45360" s="39"/>
      <c r="E45360" s="39"/>
      <c r="F45360" s="39"/>
    </row>
    <row r="45361">
      <c r="D45361" s="39"/>
      <c r="E45361" s="39"/>
      <c r="F45361" s="39"/>
    </row>
    <row r="45362">
      <c r="D45362" s="39"/>
      <c r="E45362" s="39"/>
      <c r="F45362" s="39"/>
    </row>
    <row r="45363">
      <c r="D45363" s="39"/>
      <c r="E45363" s="39"/>
      <c r="F45363" s="39"/>
    </row>
    <row r="45364">
      <c r="D45364" s="39"/>
      <c r="E45364" s="39"/>
      <c r="F45364" s="39"/>
    </row>
    <row r="45365">
      <c r="D45365" s="39"/>
      <c r="E45365" s="39"/>
      <c r="F45365" s="39"/>
    </row>
    <row r="45366">
      <c r="D45366" s="39"/>
      <c r="E45366" s="39"/>
      <c r="F45366" s="39"/>
    </row>
    <row r="45367">
      <c r="D45367" s="39"/>
      <c r="E45367" s="39"/>
      <c r="F45367" s="39"/>
    </row>
    <row r="45368">
      <c r="D45368" s="39"/>
      <c r="E45368" s="39"/>
      <c r="F45368" s="39"/>
    </row>
    <row r="45369">
      <c r="D45369" s="39"/>
      <c r="E45369" s="39"/>
      <c r="F45369" s="39"/>
    </row>
    <row r="45370">
      <c r="D45370" s="39"/>
      <c r="E45370" s="39"/>
      <c r="F45370" s="39"/>
    </row>
    <row r="45371">
      <c r="D45371" s="39"/>
      <c r="E45371" s="39"/>
      <c r="F45371" s="39"/>
    </row>
    <row r="45372">
      <c r="D45372" s="39"/>
      <c r="E45372" s="39"/>
      <c r="F45372" s="39"/>
    </row>
    <row r="45373">
      <c r="D45373" s="39"/>
      <c r="E45373" s="39"/>
      <c r="F45373" s="39"/>
    </row>
    <row r="45374">
      <c r="D45374" s="39"/>
      <c r="E45374" s="39"/>
      <c r="F45374" s="39"/>
    </row>
    <row r="45375">
      <c r="D45375" s="39"/>
      <c r="E45375" s="39"/>
      <c r="F45375" s="39"/>
    </row>
    <row r="45376">
      <c r="D45376" s="39"/>
      <c r="E45376" s="39"/>
      <c r="F45376" s="39"/>
    </row>
    <row r="45377">
      <c r="D45377" s="39"/>
      <c r="E45377" s="39"/>
      <c r="F45377" s="39"/>
    </row>
    <row r="45378">
      <c r="D45378" s="39"/>
      <c r="E45378" s="39"/>
      <c r="F45378" s="39"/>
    </row>
    <row r="45379">
      <c r="D45379" s="39"/>
      <c r="E45379" s="39"/>
      <c r="F45379" s="39"/>
    </row>
    <row r="45380">
      <c r="D45380" s="39"/>
      <c r="E45380" s="39"/>
      <c r="F45380" s="39"/>
    </row>
    <row r="45381">
      <c r="D45381" s="39"/>
      <c r="E45381" s="39"/>
      <c r="F45381" s="39"/>
    </row>
    <row r="45382">
      <c r="D45382" s="39"/>
      <c r="E45382" s="39"/>
      <c r="F45382" s="39"/>
    </row>
    <row r="45383">
      <c r="D45383" s="39"/>
      <c r="E45383" s="39"/>
      <c r="F45383" s="39"/>
    </row>
    <row r="45384">
      <c r="D45384" s="39"/>
      <c r="E45384" s="39"/>
      <c r="F45384" s="39"/>
    </row>
    <row r="45385">
      <c r="D45385" s="39"/>
      <c r="E45385" s="39"/>
      <c r="F45385" s="39"/>
    </row>
    <row r="45386">
      <c r="D45386" s="39"/>
      <c r="E45386" s="39"/>
      <c r="F45386" s="39"/>
    </row>
    <row r="45387">
      <c r="D45387" s="39"/>
      <c r="E45387" s="39"/>
      <c r="F45387" s="39"/>
    </row>
    <row r="45388">
      <c r="D45388" s="39"/>
      <c r="E45388" s="39"/>
      <c r="F45388" s="39"/>
    </row>
    <row r="45389">
      <c r="D45389" s="39"/>
      <c r="E45389" s="39"/>
      <c r="F45389" s="39"/>
    </row>
    <row r="45390">
      <c r="D45390" s="39"/>
      <c r="E45390" s="39"/>
      <c r="F45390" s="39"/>
    </row>
    <row r="45391">
      <c r="D45391" s="39"/>
      <c r="E45391" s="39"/>
      <c r="F45391" s="39"/>
    </row>
    <row r="45392">
      <c r="D45392" s="39"/>
      <c r="E45392" s="39"/>
      <c r="F45392" s="39"/>
    </row>
    <row r="45393">
      <c r="D45393" s="39"/>
      <c r="E45393" s="39"/>
      <c r="F45393" s="39"/>
    </row>
    <row r="45394">
      <c r="D45394" s="39"/>
      <c r="E45394" s="39"/>
      <c r="F45394" s="39"/>
    </row>
    <row r="45395">
      <c r="D45395" s="39"/>
      <c r="E45395" s="39"/>
      <c r="F45395" s="39"/>
    </row>
    <row r="45396">
      <c r="D45396" s="39"/>
      <c r="E45396" s="39"/>
      <c r="F45396" s="39"/>
    </row>
    <row r="45397">
      <c r="D45397" s="39"/>
      <c r="E45397" s="39"/>
      <c r="F45397" s="39"/>
    </row>
    <row r="45398">
      <c r="D45398" s="39"/>
      <c r="E45398" s="39"/>
      <c r="F45398" s="39"/>
    </row>
    <row r="45399">
      <c r="D45399" s="39"/>
      <c r="E45399" s="39"/>
      <c r="F45399" s="39"/>
    </row>
    <row r="45400">
      <c r="D45400" s="39"/>
      <c r="E45400" s="39"/>
      <c r="F45400" s="39"/>
    </row>
    <row r="45401">
      <c r="D45401" s="39"/>
      <c r="E45401" s="39"/>
      <c r="F45401" s="39"/>
    </row>
    <row r="45402">
      <c r="D45402" s="39"/>
      <c r="E45402" s="39"/>
      <c r="F45402" s="39"/>
    </row>
    <row r="45403">
      <c r="D45403" s="39"/>
      <c r="E45403" s="39"/>
      <c r="F45403" s="39"/>
    </row>
    <row r="45404">
      <c r="D45404" s="39"/>
      <c r="E45404" s="39"/>
      <c r="F45404" s="39"/>
    </row>
    <row r="45405">
      <c r="D45405" s="39"/>
      <c r="E45405" s="39"/>
      <c r="F45405" s="39"/>
    </row>
    <row r="45406">
      <c r="D45406" s="39"/>
      <c r="E45406" s="39"/>
      <c r="F45406" s="39"/>
    </row>
    <row r="45407">
      <c r="D45407" s="39"/>
      <c r="E45407" s="39"/>
      <c r="F45407" s="39"/>
    </row>
    <row r="45408">
      <c r="D45408" s="39"/>
      <c r="E45408" s="39"/>
      <c r="F45408" s="39"/>
    </row>
    <row r="45409">
      <c r="D45409" s="39"/>
      <c r="E45409" s="39"/>
      <c r="F45409" s="39"/>
    </row>
    <row r="45410">
      <c r="D45410" s="39"/>
      <c r="E45410" s="39"/>
      <c r="F45410" s="39"/>
    </row>
    <row r="45411">
      <c r="D45411" s="39"/>
      <c r="E45411" s="39"/>
      <c r="F45411" s="39"/>
    </row>
    <row r="45412">
      <c r="D45412" s="39"/>
      <c r="E45412" s="39"/>
      <c r="F45412" s="39"/>
    </row>
    <row r="45413">
      <c r="D45413" s="39"/>
      <c r="E45413" s="39"/>
      <c r="F45413" s="39"/>
    </row>
    <row r="45414">
      <c r="D45414" s="39"/>
      <c r="E45414" s="39"/>
      <c r="F45414" s="39"/>
    </row>
    <row r="45415">
      <c r="D45415" s="39"/>
      <c r="E45415" s="39"/>
      <c r="F45415" s="39"/>
    </row>
    <row r="45416">
      <c r="D45416" s="39"/>
      <c r="E45416" s="39"/>
      <c r="F45416" s="39"/>
    </row>
    <row r="45417">
      <c r="D45417" s="39"/>
      <c r="E45417" s="39"/>
      <c r="F45417" s="39"/>
    </row>
    <row r="45418">
      <c r="D45418" s="39"/>
      <c r="E45418" s="39"/>
      <c r="F45418" s="39"/>
    </row>
    <row r="45419">
      <c r="D45419" s="39"/>
      <c r="E45419" s="39"/>
      <c r="F45419" s="39"/>
    </row>
    <row r="45420">
      <c r="D45420" s="39"/>
      <c r="E45420" s="39"/>
      <c r="F45420" s="39"/>
    </row>
    <row r="45421">
      <c r="D45421" s="39"/>
      <c r="E45421" s="39"/>
      <c r="F45421" s="39"/>
    </row>
    <row r="45422">
      <c r="D45422" s="39"/>
      <c r="E45422" s="39"/>
      <c r="F45422" s="39"/>
    </row>
    <row r="45423">
      <c r="D45423" s="39"/>
      <c r="E45423" s="39"/>
      <c r="F45423" s="39"/>
    </row>
    <row r="45424">
      <c r="D45424" s="39"/>
      <c r="E45424" s="39"/>
      <c r="F45424" s="39"/>
    </row>
    <row r="45425">
      <c r="D45425" s="39"/>
      <c r="E45425" s="39"/>
      <c r="F45425" s="39"/>
    </row>
    <row r="45426">
      <c r="D45426" s="39"/>
      <c r="E45426" s="39"/>
      <c r="F45426" s="39"/>
    </row>
    <row r="45427">
      <c r="D45427" s="39"/>
      <c r="E45427" s="39"/>
      <c r="F45427" s="39"/>
    </row>
    <row r="45428">
      <c r="D45428" s="39"/>
      <c r="E45428" s="39"/>
      <c r="F45428" s="39"/>
    </row>
    <row r="45429">
      <c r="D45429" s="39"/>
      <c r="E45429" s="39"/>
      <c r="F45429" s="39"/>
    </row>
    <row r="45430">
      <c r="D45430" s="39"/>
      <c r="E45430" s="39"/>
      <c r="F45430" s="39"/>
    </row>
    <row r="45431">
      <c r="D45431" s="39"/>
      <c r="E45431" s="39"/>
      <c r="F45431" s="39"/>
    </row>
    <row r="45432">
      <c r="D45432" s="39"/>
      <c r="E45432" s="39"/>
      <c r="F45432" s="39"/>
    </row>
    <row r="45433">
      <c r="D45433" s="39"/>
      <c r="E45433" s="39"/>
      <c r="F45433" s="39"/>
    </row>
    <row r="45434">
      <c r="D45434" s="39"/>
      <c r="E45434" s="39"/>
      <c r="F45434" s="39"/>
    </row>
    <row r="45435">
      <c r="D45435" s="39"/>
      <c r="E45435" s="39"/>
      <c r="F45435" s="39"/>
    </row>
    <row r="45436">
      <c r="D45436" s="39"/>
      <c r="E45436" s="39"/>
      <c r="F45436" s="39"/>
    </row>
    <row r="45437">
      <c r="D45437" s="39"/>
      <c r="E45437" s="39"/>
      <c r="F45437" s="39"/>
    </row>
    <row r="45438">
      <c r="D45438" s="39"/>
      <c r="E45438" s="39"/>
      <c r="F45438" s="39"/>
    </row>
    <row r="45439">
      <c r="D45439" s="39"/>
      <c r="E45439" s="39"/>
      <c r="F45439" s="39"/>
    </row>
    <row r="45440">
      <c r="D45440" s="39"/>
      <c r="E45440" s="39"/>
      <c r="F45440" s="39"/>
    </row>
    <row r="45441">
      <c r="D45441" s="39"/>
      <c r="E45441" s="39"/>
      <c r="F45441" s="39"/>
    </row>
    <row r="45442">
      <c r="D45442" s="39"/>
      <c r="E45442" s="39"/>
      <c r="F45442" s="39"/>
    </row>
    <row r="45443">
      <c r="D45443" s="39"/>
      <c r="E45443" s="39"/>
      <c r="F45443" s="39"/>
    </row>
    <row r="45444">
      <c r="D45444" s="39"/>
      <c r="E45444" s="39"/>
      <c r="F45444" s="39"/>
    </row>
    <row r="45445">
      <c r="D45445" s="39"/>
      <c r="E45445" s="39"/>
      <c r="F45445" s="39"/>
    </row>
    <row r="45446">
      <c r="D45446" s="39"/>
      <c r="E45446" s="39"/>
      <c r="F45446" s="39"/>
    </row>
    <row r="45447">
      <c r="D45447" s="39"/>
      <c r="E45447" s="39"/>
      <c r="F45447" s="39"/>
    </row>
    <row r="45448">
      <c r="D45448" s="39"/>
      <c r="E45448" s="39"/>
      <c r="F45448" s="39"/>
    </row>
    <row r="45449">
      <c r="D45449" s="39"/>
      <c r="E45449" s="39"/>
      <c r="F45449" s="39"/>
    </row>
    <row r="45450">
      <c r="D45450" s="39"/>
      <c r="E45450" s="39"/>
      <c r="F45450" s="39"/>
    </row>
    <row r="45451">
      <c r="D45451" s="39"/>
      <c r="E45451" s="39"/>
      <c r="F45451" s="39"/>
    </row>
    <row r="45452">
      <c r="D45452" s="39"/>
      <c r="E45452" s="39"/>
      <c r="F45452" s="39"/>
    </row>
    <row r="45453">
      <c r="D45453" s="39"/>
      <c r="E45453" s="39"/>
      <c r="F45453" s="39"/>
    </row>
    <row r="45454">
      <c r="D45454" s="39"/>
      <c r="E45454" s="39"/>
      <c r="F45454" s="39"/>
    </row>
    <row r="45455">
      <c r="D45455" s="39"/>
      <c r="E45455" s="39"/>
      <c r="F45455" s="39"/>
    </row>
    <row r="45456">
      <c r="D45456" s="39"/>
      <c r="E45456" s="39"/>
      <c r="F45456" s="39"/>
    </row>
    <row r="45457">
      <c r="D45457" s="39"/>
      <c r="E45457" s="39"/>
      <c r="F45457" s="39"/>
    </row>
    <row r="45458">
      <c r="D45458" s="39"/>
      <c r="E45458" s="39"/>
      <c r="F45458" s="39"/>
    </row>
    <row r="45459">
      <c r="D45459" s="39"/>
      <c r="E45459" s="39"/>
      <c r="F45459" s="39"/>
    </row>
    <row r="45460">
      <c r="D45460" s="39"/>
      <c r="E45460" s="39"/>
      <c r="F45460" s="39"/>
    </row>
    <row r="45461">
      <c r="D45461" s="39"/>
      <c r="E45461" s="39"/>
      <c r="F45461" s="39"/>
    </row>
    <row r="45462">
      <c r="D45462" s="39"/>
      <c r="E45462" s="39"/>
      <c r="F45462" s="39"/>
    </row>
    <row r="45463">
      <c r="D45463" s="39"/>
      <c r="E45463" s="39"/>
      <c r="F45463" s="39"/>
    </row>
    <row r="45464">
      <c r="D45464" s="39"/>
      <c r="E45464" s="39"/>
      <c r="F45464" s="39"/>
    </row>
    <row r="45465">
      <c r="D45465" s="39"/>
      <c r="E45465" s="39"/>
      <c r="F45465" s="39"/>
    </row>
    <row r="45466">
      <c r="D45466" s="39"/>
      <c r="E45466" s="39"/>
      <c r="F45466" s="39"/>
    </row>
    <row r="45467">
      <c r="D45467" s="39"/>
      <c r="E45467" s="39"/>
      <c r="F45467" s="39"/>
    </row>
    <row r="45468">
      <c r="D45468" s="39"/>
      <c r="E45468" s="39"/>
      <c r="F45468" s="39"/>
    </row>
    <row r="45469">
      <c r="D45469" s="39"/>
      <c r="E45469" s="39"/>
      <c r="F45469" s="39"/>
    </row>
    <row r="45470">
      <c r="D45470" s="39"/>
      <c r="E45470" s="39"/>
      <c r="F45470" s="39"/>
    </row>
    <row r="45471">
      <c r="D45471" s="39"/>
      <c r="E45471" s="39"/>
      <c r="F45471" s="39"/>
    </row>
    <row r="45472">
      <c r="D45472" s="39"/>
      <c r="E45472" s="39"/>
      <c r="F45472" s="39"/>
    </row>
    <row r="45473">
      <c r="D45473" s="39"/>
      <c r="E45473" s="39"/>
      <c r="F45473" s="39"/>
    </row>
    <row r="45474">
      <c r="D45474" s="39"/>
      <c r="E45474" s="39"/>
      <c r="F45474" s="39"/>
    </row>
    <row r="45475">
      <c r="D45475" s="39"/>
      <c r="E45475" s="39"/>
      <c r="F45475" s="39"/>
    </row>
    <row r="45476">
      <c r="D45476" s="39"/>
      <c r="E45476" s="39"/>
      <c r="F45476" s="39"/>
    </row>
    <row r="45477">
      <c r="D45477" s="39"/>
      <c r="E45477" s="39"/>
      <c r="F45477" s="39"/>
    </row>
    <row r="45478">
      <c r="D45478" s="39"/>
      <c r="E45478" s="39"/>
      <c r="F45478" s="39"/>
    </row>
    <row r="45479">
      <c r="D45479" s="39"/>
      <c r="E45479" s="39"/>
      <c r="F45479" s="39"/>
    </row>
    <row r="45480">
      <c r="D45480" s="39"/>
      <c r="E45480" s="39"/>
      <c r="F45480" s="39"/>
    </row>
    <row r="45481">
      <c r="D45481" s="39"/>
      <c r="E45481" s="39"/>
      <c r="F45481" s="39"/>
    </row>
    <row r="45482">
      <c r="D45482" s="39"/>
      <c r="E45482" s="39"/>
      <c r="F45482" s="39"/>
    </row>
    <row r="45483">
      <c r="D45483" s="39"/>
      <c r="E45483" s="39"/>
      <c r="F45483" s="39"/>
    </row>
    <row r="45484">
      <c r="D45484" s="39"/>
      <c r="E45484" s="39"/>
      <c r="F45484" s="39"/>
    </row>
    <row r="45485">
      <c r="D45485" s="39"/>
      <c r="E45485" s="39"/>
      <c r="F45485" s="39"/>
    </row>
    <row r="45486">
      <c r="D45486" s="39"/>
      <c r="E45486" s="39"/>
      <c r="F45486" s="39"/>
    </row>
    <row r="45487">
      <c r="D45487" s="39"/>
      <c r="E45487" s="39"/>
      <c r="F45487" s="39"/>
    </row>
    <row r="45488">
      <c r="D45488" s="39"/>
      <c r="E45488" s="39"/>
      <c r="F45488" s="39"/>
    </row>
    <row r="45489">
      <c r="D45489" s="39"/>
      <c r="E45489" s="39"/>
      <c r="F45489" s="39"/>
    </row>
    <row r="45490">
      <c r="D45490" s="39"/>
      <c r="E45490" s="39"/>
      <c r="F45490" s="39"/>
    </row>
    <row r="45491">
      <c r="D45491" s="39"/>
      <c r="E45491" s="39"/>
      <c r="F45491" s="39"/>
    </row>
    <row r="45492">
      <c r="D45492" s="39"/>
      <c r="E45492" s="39"/>
      <c r="F45492" s="39"/>
    </row>
    <row r="45493">
      <c r="D45493" s="39"/>
      <c r="E45493" s="39"/>
      <c r="F45493" s="39"/>
    </row>
    <row r="45494">
      <c r="D45494" s="39"/>
      <c r="E45494" s="39"/>
      <c r="F45494" s="39"/>
    </row>
    <row r="45495">
      <c r="D45495" s="39"/>
      <c r="E45495" s="39"/>
      <c r="F45495" s="39"/>
    </row>
    <row r="45496">
      <c r="D45496" s="39"/>
      <c r="E45496" s="39"/>
      <c r="F45496" s="39"/>
    </row>
    <row r="45497">
      <c r="D45497" s="39"/>
      <c r="E45497" s="39"/>
      <c r="F45497" s="39"/>
    </row>
    <row r="45498">
      <c r="D45498" s="39"/>
      <c r="E45498" s="39"/>
      <c r="F45498" s="39"/>
    </row>
    <row r="45499">
      <c r="D45499" s="39"/>
      <c r="E45499" s="39"/>
      <c r="F45499" s="39"/>
    </row>
    <row r="45500">
      <c r="D45500" s="39"/>
      <c r="E45500" s="39"/>
      <c r="F45500" s="39"/>
    </row>
    <row r="45501">
      <c r="D45501" s="39"/>
      <c r="E45501" s="39"/>
      <c r="F45501" s="39"/>
    </row>
    <row r="45502">
      <c r="D45502" s="39"/>
      <c r="E45502" s="39"/>
      <c r="F45502" s="39"/>
    </row>
    <row r="45503">
      <c r="D45503" s="39"/>
      <c r="E45503" s="39"/>
      <c r="F45503" s="39"/>
    </row>
    <row r="45504">
      <c r="D45504" s="39"/>
      <c r="E45504" s="39"/>
      <c r="F45504" s="39"/>
    </row>
    <row r="45505">
      <c r="D45505" s="39"/>
      <c r="E45505" s="39"/>
      <c r="F45505" s="39"/>
    </row>
    <row r="45506">
      <c r="D45506" s="39"/>
      <c r="E45506" s="39"/>
      <c r="F45506" s="39"/>
    </row>
    <row r="45507">
      <c r="D45507" s="39"/>
      <c r="E45507" s="39"/>
      <c r="F45507" s="39"/>
    </row>
    <row r="45508">
      <c r="D45508" s="39"/>
      <c r="E45508" s="39"/>
      <c r="F45508" s="39"/>
    </row>
    <row r="45509">
      <c r="D45509" s="39"/>
      <c r="E45509" s="39"/>
      <c r="F45509" s="39"/>
    </row>
    <row r="45510">
      <c r="D45510" s="39"/>
      <c r="E45510" s="39"/>
      <c r="F45510" s="39"/>
    </row>
    <row r="45511">
      <c r="D45511" s="39"/>
      <c r="E45511" s="39"/>
      <c r="F45511" s="39"/>
    </row>
    <row r="45512">
      <c r="D45512" s="39"/>
      <c r="E45512" s="39"/>
      <c r="F45512" s="39"/>
    </row>
    <row r="45513">
      <c r="D45513" s="39"/>
      <c r="E45513" s="39"/>
      <c r="F45513" s="39"/>
    </row>
    <row r="45514">
      <c r="D45514" s="39"/>
      <c r="E45514" s="39"/>
      <c r="F45514" s="39"/>
    </row>
    <row r="45515">
      <c r="D45515" s="39"/>
      <c r="E45515" s="39"/>
      <c r="F45515" s="39"/>
    </row>
    <row r="45516">
      <c r="D45516" s="39"/>
      <c r="E45516" s="39"/>
      <c r="F45516" s="39"/>
    </row>
    <row r="45517">
      <c r="D45517" s="39"/>
      <c r="E45517" s="39"/>
      <c r="F45517" s="39"/>
    </row>
    <row r="45518">
      <c r="D45518" s="39"/>
      <c r="E45518" s="39"/>
      <c r="F45518" s="39"/>
    </row>
    <row r="45519">
      <c r="D45519" s="39"/>
      <c r="E45519" s="39"/>
      <c r="F45519" s="39"/>
    </row>
    <row r="45520">
      <c r="D45520" s="39"/>
      <c r="E45520" s="39"/>
      <c r="F45520" s="39"/>
    </row>
    <row r="45521">
      <c r="D45521" s="39"/>
      <c r="E45521" s="39"/>
      <c r="F45521" s="39"/>
    </row>
    <row r="45522">
      <c r="D45522" s="39"/>
      <c r="E45522" s="39"/>
      <c r="F45522" s="39"/>
    </row>
    <row r="45523">
      <c r="D45523" s="39"/>
      <c r="E45523" s="39"/>
      <c r="F45523" s="39"/>
    </row>
    <row r="45524">
      <c r="D45524" s="39"/>
      <c r="E45524" s="39"/>
      <c r="F45524" s="39"/>
    </row>
    <row r="45525">
      <c r="D45525" s="39"/>
      <c r="E45525" s="39"/>
      <c r="F45525" s="39"/>
    </row>
    <row r="45526">
      <c r="D45526" s="39"/>
      <c r="E45526" s="39"/>
      <c r="F45526" s="39"/>
    </row>
    <row r="45527">
      <c r="D45527" s="39"/>
      <c r="E45527" s="39"/>
      <c r="F45527" s="39"/>
    </row>
    <row r="45528">
      <c r="D45528" s="39"/>
      <c r="E45528" s="39"/>
      <c r="F45528" s="39"/>
    </row>
    <row r="45529">
      <c r="D45529" s="39"/>
      <c r="E45529" s="39"/>
      <c r="F45529" s="39"/>
    </row>
    <row r="45530">
      <c r="D45530" s="39"/>
      <c r="E45530" s="39"/>
      <c r="F45530" s="39"/>
    </row>
    <row r="45531">
      <c r="D45531" s="39"/>
      <c r="E45531" s="39"/>
      <c r="F45531" s="39"/>
    </row>
    <row r="45532">
      <c r="D45532" s="39"/>
      <c r="E45532" s="39"/>
      <c r="F45532" s="39"/>
    </row>
    <row r="45533">
      <c r="D45533" s="39"/>
      <c r="E45533" s="39"/>
      <c r="F45533" s="39"/>
    </row>
    <row r="45534">
      <c r="D45534" s="39"/>
      <c r="E45534" s="39"/>
      <c r="F45534" s="39"/>
    </row>
    <row r="45535">
      <c r="D45535" s="39"/>
      <c r="E45535" s="39"/>
      <c r="F45535" s="39"/>
    </row>
    <row r="45536">
      <c r="D45536" s="39"/>
      <c r="E45536" s="39"/>
      <c r="F45536" s="39"/>
    </row>
    <row r="45537">
      <c r="D45537" s="39"/>
      <c r="E45537" s="39"/>
      <c r="F45537" s="39"/>
    </row>
    <row r="45538">
      <c r="D45538" s="39"/>
      <c r="E45538" s="39"/>
      <c r="F45538" s="39"/>
    </row>
    <row r="45539">
      <c r="D45539" s="39"/>
      <c r="E45539" s="39"/>
      <c r="F45539" s="39"/>
    </row>
    <row r="45540">
      <c r="D45540" s="39"/>
      <c r="E45540" s="39"/>
      <c r="F45540" s="39"/>
    </row>
    <row r="45541">
      <c r="D45541" s="39"/>
      <c r="E45541" s="39"/>
      <c r="F45541" s="39"/>
    </row>
    <row r="45542">
      <c r="D45542" s="39"/>
      <c r="E45542" s="39"/>
      <c r="F45542" s="39"/>
    </row>
    <row r="45543">
      <c r="D45543" s="39"/>
      <c r="E45543" s="39"/>
      <c r="F45543" s="39"/>
    </row>
    <row r="45544">
      <c r="D45544" s="39"/>
      <c r="E45544" s="39"/>
      <c r="F45544" s="39"/>
    </row>
    <row r="45545">
      <c r="D45545" s="39"/>
      <c r="E45545" s="39"/>
      <c r="F45545" s="39"/>
    </row>
    <row r="45546">
      <c r="D45546" s="39"/>
      <c r="E45546" s="39"/>
      <c r="F45546" s="39"/>
    </row>
    <row r="45547">
      <c r="D45547" s="39"/>
      <c r="E45547" s="39"/>
      <c r="F45547" s="39"/>
    </row>
    <row r="45548">
      <c r="D45548" s="39"/>
      <c r="E45548" s="39"/>
      <c r="F45548" s="39"/>
    </row>
    <row r="45549">
      <c r="D45549" s="39"/>
      <c r="E45549" s="39"/>
      <c r="F45549" s="39"/>
    </row>
    <row r="45550">
      <c r="D45550" s="39"/>
      <c r="E45550" s="39"/>
      <c r="F45550" s="39"/>
    </row>
    <row r="45551">
      <c r="D45551" s="39"/>
      <c r="E45551" s="39"/>
      <c r="F45551" s="39"/>
    </row>
    <row r="45552">
      <c r="D45552" s="39"/>
      <c r="E45552" s="39"/>
      <c r="F45552" s="39"/>
    </row>
    <row r="45553">
      <c r="D45553" s="39"/>
      <c r="E45553" s="39"/>
      <c r="F45553" s="39"/>
    </row>
    <row r="45554">
      <c r="D45554" s="39"/>
      <c r="E45554" s="39"/>
      <c r="F45554" s="39"/>
    </row>
    <row r="45555">
      <c r="D45555" s="39"/>
      <c r="E45555" s="39"/>
      <c r="F45555" s="39"/>
    </row>
    <row r="45556">
      <c r="D45556" s="39"/>
      <c r="E45556" s="39"/>
      <c r="F45556" s="39"/>
    </row>
    <row r="45557">
      <c r="D45557" s="39"/>
      <c r="E45557" s="39"/>
      <c r="F45557" s="39"/>
    </row>
    <row r="45558">
      <c r="D45558" s="39"/>
      <c r="E45558" s="39"/>
      <c r="F45558" s="39"/>
    </row>
    <row r="45559">
      <c r="D45559" s="39"/>
      <c r="E45559" s="39"/>
      <c r="F45559" s="39"/>
    </row>
    <row r="45560">
      <c r="D45560" s="39"/>
      <c r="E45560" s="39"/>
      <c r="F45560" s="39"/>
    </row>
    <row r="45561">
      <c r="D45561" s="39"/>
      <c r="E45561" s="39"/>
      <c r="F45561" s="39"/>
    </row>
    <row r="45562">
      <c r="D45562" s="39"/>
      <c r="E45562" s="39"/>
      <c r="F45562" s="39"/>
    </row>
    <row r="45563">
      <c r="D45563" s="39"/>
      <c r="E45563" s="39"/>
      <c r="F45563" s="39"/>
    </row>
    <row r="45564">
      <c r="D45564" s="39"/>
      <c r="E45564" s="39"/>
      <c r="F45564" s="39"/>
    </row>
    <row r="45565">
      <c r="D45565" s="39"/>
      <c r="E45565" s="39"/>
      <c r="F45565" s="39"/>
    </row>
    <row r="45566">
      <c r="D45566" s="39"/>
      <c r="E45566" s="39"/>
      <c r="F45566" s="39"/>
    </row>
    <row r="45567">
      <c r="D45567" s="39"/>
      <c r="E45567" s="39"/>
      <c r="F45567" s="39"/>
    </row>
    <row r="45568">
      <c r="D45568" s="39"/>
      <c r="E45568" s="39"/>
      <c r="F45568" s="39"/>
    </row>
    <row r="45569">
      <c r="D45569" s="39"/>
      <c r="E45569" s="39"/>
      <c r="F45569" s="39"/>
    </row>
    <row r="45570">
      <c r="D45570" s="39"/>
      <c r="E45570" s="39"/>
      <c r="F45570" s="39"/>
    </row>
    <row r="45571">
      <c r="D45571" s="39"/>
      <c r="E45571" s="39"/>
      <c r="F45571" s="39"/>
    </row>
    <row r="45572">
      <c r="D45572" s="39"/>
      <c r="E45572" s="39"/>
      <c r="F45572" s="39"/>
    </row>
    <row r="45573">
      <c r="D45573" s="39"/>
      <c r="E45573" s="39"/>
      <c r="F45573" s="39"/>
    </row>
    <row r="45574">
      <c r="D45574" s="39"/>
      <c r="E45574" s="39"/>
      <c r="F45574" s="39"/>
    </row>
    <row r="45575">
      <c r="D45575" s="39"/>
      <c r="E45575" s="39"/>
      <c r="F45575" s="39"/>
    </row>
    <row r="45576">
      <c r="D45576" s="39"/>
      <c r="E45576" s="39"/>
      <c r="F45576" s="39"/>
    </row>
    <row r="45577">
      <c r="D45577" s="39"/>
      <c r="E45577" s="39"/>
      <c r="F45577" s="39"/>
    </row>
    <row r="45578">
      <c r="D45578" s="39"/>
      <c r="E45578" s="39"/>
      <c r="F45578" s="39"/>
    </row>
    <row r="45579">
      <c r="D45579" s="39"/>
      <c r="E45579" s="39"/>
      <c r="F45579" s="39"/>
    </row>
    <row r="45580">
      <c r="D45580" s="39"/>
      <c r="E45580" s="39"/>
      <c r="F45580" s="39"/>
    </row>
    <row r="45581">
      <c r="D45581" s="39"/>
      <c r="E45581" s="39"/>
      <c r="F45581" s="39"/>
    </row>
    <row r="45582">
      <c r="D45582" s="39"/>
      <c r="E45582" s="39"/>
      <c r="F45582" s="39"/>
    </row>
    <row r="45583">
      <c r="D45583" s="39"/>
      <c r="E45583" s="39"/>
      <c r="F45583" s="39"/>
    </row>
    <row r="45584">
      <c r="D45584" s="39"/>
      <c r="E45584" s="39"/>
      <c r="F45584" s="39"/>
    </row>
    <row r="45585">
      <c r="D45585" s="39"/>
      <c r="E45585" s="39"/>
      <c r="F45585" s="39"/>
    </row>
    <row r="45586">
      <c r="D45586" s="39"/>
      <c r="E45586" s="39"/>
      <c r="F45586" s="39"/>
    </row>
    <row r="45587">
      <c r="D45587" s="39"/>
      <c r="E45587" s="39"/>
      <c r="F45587" s="39"/>
    </row>
    <row r="45588">
      <c r="D45588" s="39"/>
      <c r="E45588" s="39"/>
      <c r="F45588" s="39"/>
    </row>
    <row r="45589">
      <c r="D45589" s="39"/>
      <c r="E45589" s="39"/>
      <c r="F45589" s="39"/>
    </row>
    <row r="45590">
      <c r="D45590" s="39"/>
      <c r="E45590" s="39"/>
      <c r="F45590" s="39"/>
    </row>
    <row r="45591">
      <c r="D45591" s="39"/>
      <c r="E45591" s="39"/>
      <c r="F45591" s="39"/>
    </row>
    <row r="45592">
      <c r="D45592" s="39"/>
      <c r="E45592" s="39"/>
      <c r="F45592" s="39"/>
    </row>
    <row r="45593">
      <c r="D45593" s="39"/>
      <c r="E45593" s="39"/>
      <c r="F45593" s="39"/>
    </row>
    <row r="45594">
      <c r="D45594" s="39"/>
      <c r="E45594" s="39"/>
      <c r="F45594" s="39"/>
    </row>
    <row r="45595">
      <c r="D45595" s="39"/>
      <c r="E45595" s="39"/>
      <c r="F45595" s="39"/>
    </row>
    <row r="45596">
      <c r="D45596" s="39"/>
      <c r="E45596" s="39"/>
      <c r="F45596" s="39"/>
    </row>
    <row r="45597">
      <c r="D45597" s="39"/>
      <c r="E45597" s="39"/>
      <c r="F45597" s="39"/>
    </row>
    <row r="45598">
      <c r="D45598" s="39"/>
      <c r="E45598" s="39"/>
      <c r="F45598" s="39"/>
    </row>
    <row r="45599">
      <c r="D45599" s="39"/>
      <c r="E45599" s="39"/>
      <c r="F45599" s="39"/>
    </row>
    <row r="45600">
      <c r="D45600" s="39"/>
      <c r="E45600" s="39"/>
      <c r="F45600" s="39"/>
    </row>
    <row r="45601">
      <c r="D45601" s="39"/>
      <c r="E45601" s="39"/>
      <c r="F45601" s="39"/>
    </row>
    <row r="45602">
      <c r="D45602" s="39"/>
      <c r="E45602" s="39"/>
      <c r="F45602" s="39"/>
    </row>
    <row r="45603">
      <c r="D45603" s="39"/>
      <c r="E45603" s="39"/>
      <c r="F45603" s="39"/>
    </row>
    <row r="45604">
      <c r="D45604" s="39"/>
      <c r="E45604" s="39"/>
      <c r="F45604" s="39"/>
    </row>
    <row r="45605">
      <c r="D45605" s="39"/>
      <c r="E45605" s="39"/>
      <c r="F45605" s="39"/>
    </row>
    <row r="45606">
      <c r="D45606" s="39"/>
      <c r="E45606" s="39"/>
      <c r="F45606" s="39"/>
    </row>
    <row r="45607">
      <c r="D45607" s="39"/>
      <c r="E45607" s="39"/>
      <c r="F45607" s="39"/>
    </row>
    <row r="45608">
      <c r="D45608" s="39"/>
      <c r="E45608" s="39"/>
      <c r="F45608" s="39"/>
    </row>
    <row r="45609">
      <c r="D45609" s="39"/>
      <c r="E45609" s="39"/>
      <c r="F45609" s="39"/>
    </row>
    <row r="45610">
      <c r="D45610" s="39"/>
      <c r="E45610" s="39"/>
      <c r="F45610" s="39"/>
    </row>
    <row r="45611">
      <c r="D45611" s="39"/>
      <c r="E45611" s="39"/>
      <c r="F45611" s="39"/>
    </row>
    <row r="45612">
      <c r="D45612" s="39"/>
      <c r="E45612" s="39"/>
      <c r="F45612" s="39"/>
    </row>
    <row r="45613">
      <c r="D45613" s="39"/>
      <c r="E45613" s="39"/>
      <c r="F45613" s="39"/>
    </row>
    <row r="45614">
      <c r="D45614" s="39"/>
      <c r="E45614" s="39"/>
      <c r="F45614" s="39"/>
    </row>
    <row r="45615">
      <c r="D45615" s="39"/>
      <c r="E45615" s="39"/>
      <c r="F45615" s="39"/>
    </row>
    <row r="45616">
      <c r="D45616" s="39"/>
      <c r="E45616" s="39"/>
      <c r="F45616" s="39"/>
    </row>
    <row r="45617">
      <c r="D45617" s="39"/>
      <c r="E45617" s="39"/>
      <c r="F45617" s="39"/>
    </row>
    <row r="45618">
      <c r="D45618" s="39"/>
      <c r="E45618" s="39"/>
      <c r="F45618" s="39"/>
    </row>
    <row r="45619">
      <c r="D45619" s="39"/>
      <c r="E45619" s="39"/>
      <c r="F45619" s="39"/>
    </row>
    <row r="45620">
      <c r="D45620" s="39"/>
      <c r="E45620" s="39"/>
      <c r="F45620" s="39"/>
    </row>
    <row r="45621">
      <c r="D45621" s="39"/>
      <c r="E45621" s="39"/>
      <c r="F45621" s="39"/>
    </row>
    <row r="45622">
      <c r="D45622" s="39"/>
      <c r="E45622" s="39"/>
      <c r="F45622" s="39"/>
    </row>
    <row r="45623">
      <c r="D45623" s="39"/>
      <c r="E45623" s="39"/>
      <c r="F45623" s="39"/>
    </row>
    <row r="45624">
      <c r="D45624" s="39"/>
      <c r="E45624" s="39"/>
      <c r="F45624" s="39"/>
    </row>
    <row r="45625">
      <c r="D45625" s="39"/>
      <c r="E45625" s="39"/>
      <c r="F45625" s="39"/>
    </row>
    <row r="45626">
      <c r="D45626" s="39"/>
      <c r="E45626" s="39"/>
      <c r="F45626" s="39"/>
    </row>
    <row r="45627">
      <c r="D45627" s="39"/>
      <c r="E45627" s="39"/>
      <c r="F45627" s="39"/>
    </row>
    <row r="45628">
      <c r="D45628" s="39"/>
      <c r="E45628" s="39"/>
      <c r="F45628" s="39"/>
    </row>
    <row r="45629">
      <c r="D45629" s="39"/>
      <c r="E45629" s="39"/>
      <c r="F45629" s="39"/>
    </row>
    <row r="45630">
      <c r="D45630" s="39"/>
      <c r="E45630" s="39"/>
      <c r="F45630" s="39"/>
    </row>
    <row r="45631">
      <c r="D45631" s="39"/>
      <c r="E45631" s="39"/>
      <c r="F45631" s="39"/>
    </row>
    <row r="45632">
      <c r="D45632" s="39"/>
      <c r="E45632" s="39"/>
      <c r="F45632" s="39"/>
    </row>
    <row r="45633">
      <c r="D45633" s="39"/>
      <c r="E45633" s="39"/>
      <c r="F45633" s="39"/>
    </row>
    <row r="45634">
      <c r="D45634" s="39"/>
      <c r="E45634" s="39"/>
      <c r="F45634" s="39"/>
    </row>
    <row r="45635">
      <c r="D45635" s="39"/>
      <c r="E45635" s="39"/>
      <c r="F45635" s="39"/>
    </row>
    <row r="45636">
      <c r="D45636" s="39"/>
      <c r="E45636" s="39"/>
      <c r="F45636" s="39"/>
    </row>
    <row r="45637">
      <c r="D45637" s="39"/>
      <c r="E45637" s="39"/>
      <c r="F45637" s="39"/>
    </row>
    <row r="45638">
      <c r="D45638" s="39"/>
      <c r="E45638" s="39"/>
      <c r="F45638" s="39"/>
    </row>
    <row r="45639">
      <c r="D45639" s="39"/>
      <c r="E45639" s="39"/>
      <c r="F45639" s="39"/>
    </row>
    <row r="45640">
      <c r="D45640" s="39"/>
      <c r="E45640" s="39"/>
      <c r="F45640" s="39"/>
    </row>
    <row r="45641">
      <c r="D45641" s="39"/>
      <c r="E45641" s="39"/>
      <c r="F45641" s="39"/>
    </row>
    <row r="45642">
      <c r="D45642" s="39"/>
      <c r="E45642" s="39"/>
      <c r="F45642" s="39"/>
    </row>
    <row r="45643">
      <c r="D45643" s="39"/>
      <c r="E45643" s="39"/>
      <c r="F45643" s="39"/>
    </row>
    <row r="45644">
      <c r="D45644" s="39"/>
      <c r="E45644" s="39"/>
      <c r="F45644" s="39"/>
    </row>
    <row r="45645">
      <c r="D45645" s="39"/>
      <c r="E45645" s="39"/>
      <c r="F45645" s="39"/>
    </row>
    <row r="45646">
      <c r="D45646" s="39"/>
      <c r="E45646" s="39"/>
      <c r="F45646" s="39"/>
    </row>
    <row r="45647">
      <c r="D45647" s="39"/>
      <c r="E45647" s="39"/>
      <c r="F45647" s="39"/>
    </row>
    <row r="45648">
      <c r="D45648" s="39"/>
      <c r="E45648" s="39"/>
      <c r="F45648" s="39"/>
    </row>
    <row r="45649">
      <c r="D45649" s="39"/>
      <c r="E45649" s="39"/>
      <c r="F45649" s="39"/>
    </row>
    <row r="45650">
      <c r="D45650" s="39"/>
      <c r="E45650" s="39"/>
      <c r="F45650" s="39"/>
    </row>
    <row r="45651">
      <c r="D45651" s="39"/>
      <c r="E45651" s="39"/>
      <c r="F45651" s="39"/>
    </row>
    <row r="45652">
      <c r="D45652" s="39"/>
      <c r="E45652" s="39"/>
      <c r="F45652" s="39"/>
    </row>
    <row r="45653">
      <c r="D45653" s="39"/>
      <c r="E45653" s="39"/>
      <c r="F45653" s="39"/>
    </row>
    <row r="45654">
      <c r="D45654" s="39"/>
      <c r="E45654" s="39"/>
      <c r="F45654" s="39"/>
    </row>
    <row r="45655">
      <c r="D45655" s="39"/>
      <c r="E45655" s="39"/>
      <c r="F45655" s="39"/>
    </row>
    <row r="45656">
      <c r="D45656" s="39"/>
      <c r="E45656" s="39"/>
      <c r="F45656" s="39"/>
    </row>
    <row r="45657">
      <c r="D45657" s="39"/>
      <c r="E45657" s="39"/>
      <c r="F45657" s="39"/>
    </row>
    <row r="45658">
      <c r="D45658" s="39"/>
      <c r="E45658" s="39"/>
      <c r="F45658" s="39"/>
    </row>
    <row r="45659">
      <c r="D45659" s="39"/>
      <c r="E45659" s="39"/>
      <c r="F45659" s="39"/>
    </row>
    <row r="45660">
      <c r="D45660" s="39"/>
      <c r="E45660" s="39"/>
      <c r="F45660" s="39"/>
    </row>
    <row r="45661">
      <c r="D45661" s="39"/>
      <c r="E45661" s="39"/>
      <c r="F45661" s="39"/>
    </row>
    <row r="45662">
      <c r="D45662" s="39"/>
      <c r="E45662" s="39"/>
      <c r="F45662" s="39"/>
    </row>
    <row r="45663">
      <c r="D45663" s="39"/>
      <c r="E45663" s="39"/>
      <c r="F45663" s="39"/>
    </row>
    <row r="45664">
      <c r="D45664" s="39"/>
      <c r="E45664" s="39"/>
      <c r="F45664" s="39"/>
    </row>
    <row r="45665">
      <c r="D45665" s="39"/>
      <c r="E45665" s="39"/>
      <c r="F45665" s="39"/>
    </row>
    <row r="45666">
      <c r="D45666" s="39"/>
      <c r="E45666" s="39"/>
      <c r="F45666" s="39"/>
    </row>
    <row r="45667">
      <c r="D45667" s="39"/>
      <c r="E45667" s="39"/>
      <c r="F45667" s="39"/>
    </row>
    <row r="45668">
      <c r="D45668" s="39"/>
      <c r="E45668" s="39"/>
      <c r="F45668" s="39"/>
    </row>
    <row r="45669">
      <c r="D45669" s="39"/>
      <c r="E45669" s="39"/>
      <c r="F45669" s="39"/>
    </row>
    <row r="45670">
      <c r="D45670" s="39"/>
      <c r="E45670" s="39"/>
      <c r="F45670" s="39"/>
    </row>
    <row r="45671">
      <c r="D45671" s="39"/>
      <c r="E45671" s="39"/>
      <c r="F45671" s="39"/>
    </row>
    <row r="45672">
      <c r="D45672" s="39"/>
      <c r="E45672" s="39"/>
      <c r="F45672" s="39"/>
    </row>
    <row r="45673">
      <c r="D45673" s="39"/>
      <c r="E45673" s="39"/>
      <c r="F45673" s="39"/>
    </row>
    <row r="45674">
      <c r="D45674" s="39"/>
      <c r="E45674" s="39"/>
      <c r="F45674" s="39"/>
    </row>
    <row r="45675">
      <c r="D45675" s="39"/>
      <c r="E45675" s="39"/>
      <c r="F45675" s="39"/>
    </row>
    <row r="45676">
      <c r="D45676" s="39"/>
      <c r="E45676" s="39"/>
      <c r="F45676" s="39"/>
    </row>
    <row r="45677">
      <c r="D45677" s="39"/>
      <c r="E45677" s="39"/>
      <c r="F45677" s="39"/>
    </row>
    <row r="45678">
      <c r="D45678" s="39"/>
      <c r="E45678" s="39"/>
      <c r="F45678" s="39"/>
    </row>
    <row r="45679">
      <c r="D45679" s="39"/>
      <c r="E45679" s="39"/>
      <c r="F45679" s="39"/>
    </row>
    <row r="45680">
      <c r="D45680" s="39"/>
      <c r="E45680" s="39"/>
      <c r="F45680" s="39"/>
    </row>
    <row r="45681">
      <c r="D45681" s="39"/>
      <c r="E45681" s="39"/>
      <c r="F45681" s="39"/>
    </row>
    <row r="45682">
      <c r="D45682" s="39"/>
      <c r="E45682" s="39"/>
      <c r="F45682" s="39"/>
    </row>
    <row r="45683">
      <c r="D45683" s="39"/>
      <c r="E45683" s="39"/>
      <c r="F45683" s="39"/>
    </row>
    <row r="45684">
      <c r="D45684" s="39"/>
      <c r="E45684" s="39"/>
      <c r="F45684" s="39"/>
    </row>
    <row r="45685">
      <c r="D45685" s="39"/>
      <c r="E45685" s="39"/>
      <c r="F45685" s="39"/>
    </row>
    <row r="45686">
      <c r="D45686" s="39"/>
      <c r="E45686" s="39"/>
      <c r="F45686" s="39"/>
    </row>
    <row r="45687">
      <c r="D45687" s="39"/>
      <c r="E45687" s="39"/>
      <c r="F45687" s="39"/>
    </row>
    <row r="45688">
      <c r="D45688" s="39"/>
      <c r="E45688" s="39"/>
      <c r="F45688" s="39"/>
    </row>
    <row r="45689">
      <c r="D45689" s="39"/>
      <c r="E45689" s="39"/>
      <c r="F45689" s="39"/>
    </row>
    <row r="45690">
      <c r="D45690" s="39"/>
      <c r="E45690" s="39"/>
      <c r="F45690" s="39"/>
    </row>
    <row r="45691">
      <c r="D45691" s="39"/>
      <c r="E45691" s="39"/>
      <c r="F45691" s="39"/>
    </row>
    <row r="45692">
      <c r="D45692" s="39"/>
      <c r="E45692" s="39"/>
      <c r="F45692" s="39"/>
    </row>
    <row r="45693">
      <c r="D45693" s="39"/>
      <c r="E45693" s="39"/>
      <c r="F45693" s="39"/>
    </row>
    <row r="45694">
      <c r="D45694" s="39"/>
      <c r="E45694" s="39"/>
      <c r="F45694" s="39"/>
    </row>
    <row r="45695">
      <c r="D45695" s="39"/>
      <c r="E45695" s="39"/>
      <c r="F45695" s="39"/>
    </row>
    <row r="45696">
      <c r="D45696" s="39"/>
      <c r="E45696" s="39"/>
      <c r="F45696" s="39"/>
    </row>
    <row r="45697">
      <c r="D45697" s="39"/>
      <c r="E45697" s="39"/>
      <c r="F45697" s="39"/>
    </row>
    <row r="45698">
      <c r="D45698" s="39"/>
      <c r="E45698" s="39"/>
      <c r="F45698" s="39"/>
    </row>
    <row r="45699">
      <c r="D45699" s="39"/>
      <c r="E45699" s="39"/>
      <c r="F45699" s="39"/>
    </row>
    <row r="45700">
      <c r="D45700" s="39"/>
      <c r="E45700" s="39"/>
      <c r="F45700" s="39"/>
    </row>
    <row r="45701">
      <c r="D45701" s="39"/>
      <c r="E45701" s="39"/>
      <c r="F45701" s="39"/>
    </row>
    <row r="45702">
      <c r="D45702" s="39"/>
      <c r="E45702" s="39"/>
      <c r="F45702" s="39"/>
    </row>
    <row r="45703">
      <c r="D45703" s="39"/>
      <c r="E45703" s="39"/>
      <c r="F45703" s="39"/>
    </row>
    <row r="45704">
      <c r="D45704" s="39"/>
      <c r="E45704" s="39"/>
      <c r="F45704" s="39"/>
    </row>
    <row r="45705">
      <c r="D45705" s="39"/>
      <c r="E45705" s="39"/>
      <c r="F45705" s="39"/>
    </row>
    <row r="45706">
      <c r="D45706" s="39"/>
      <c r="E45706" s="39"/>
      <c r="F45706" s="39"/>
    </row>
    <row r="45707">
      <c r="D45707" s="39"/>
      <c r="E45707" s="39"/>
      <c r="F45707" s="39"/>
    </row>
    <row r="45708">
      <c r="D45708" s="39"/>
      <c r="E45708" s="39"/>
      <c r="F45708" s="39"/>
    </row>
    <row r="45709">
      <c r="D45709" s="39"/>
      <c r="E45709" s="39"/>
      <c r="F45709" s="39"/>
    </row>
    <row r="45710">
      <c r="D45710" s="39"/>
      <c r="E45710" s="39"/>
      <c r="F45710" s="39"/>
    </row>
    <row r="45711">
      <c r="D45711" s="39"/>
      <c r="E45711" s="39"/>
      <c r="F45711" s="39"/>
    </row>
    <row r="45712">
      <c r="D45712" s="39"/>
      <c r="E45712" s="39"/>
      <c r="F45712" s="39"/>
    </row>
    <row r="45713">
      <c r="D45713" s="39"/>
      <c r="E45713" s="39"/>
      <c r="F45713" s="39"/>
    </row>
    <row r="45714">
      <c r="D45714" s="39"/>
      <c r="E45714" s="39"/>
      <c r="F45714" s="39"/>
    </row>
    <row r="45715">
      <c r="D45715" s="39"/>
      <c r="E45715" s="39"/>
      <c r="F45715" s="39"/>
    </row>
    <row r="45716">
      <c r="D45716" s="39"/>
      <c r="E45716" s="39"/>
      <c r="F45716" s="39"/>
    </row>
    <row r="45717">
      <c r="D45717" s="39"/>
      <c r="E45717" s="39"/>
      <c r="F45717" s="39"/>
    </row>
    <row r="45718">
      <c r="D45718" s="39"/>
      <c r="E45718" s="39"/>
      <c r="F45718" s="39"/>
    </row>
    <row r="45719">
      <c r="D45719" s="39"/>
      <c r="E45719" s="39"/>
      <c r="F45719" s="39"/>
    </row>
    <row r="45720">
      <c r="D45720" s="39"/>
      <c r="E45720" s="39"/>
      <c r="F45720" s="39"/>
    </row>
    <row r="45721">
      <c r="D45721" s="39"/>
      <c r="E45721" s="39"/>
      <c r="F45721" s="39"/>
    </row>
    <row r="45722">
      <c r="D45722" s="39"/>
      <c r="E45722" s="39"/>
      <c r="F45722" s="39"/>
    </row>
    <row r="45723">
      <c r="D45723" s="39"/>
      <c r="E45723" s="39"/>
      <c r="F45723" s="39"/>
    </row>
    <row r="45724">
      <c r="D45724" s="39"/>
      <c r="E45724" s="39"/>
      <c r="F45724" s="39"/>
    </row>
    <row r="45725">
      <c r="D45725" s="39"/>
      <c r="E45725" s="39"/>
      <c r="F45725" s="39"/>
    </row>
    <row r="45726">
      <c r="D45726" s="39"/>
      <c r="E45726" s="39"/>
      <c r="F45726" s="39"/>
    </row>
    <row r="45727">
      <c r="D45727" s="39"/>
      <c r="E45727" s="39"/>
      <c r="F45727" s="39"/>
    </row>
    <row r="45728">
      <c r="D45728" s="39"/>
      <c r="E45728" s="39"/>
      <c r="F45728" s="39"/>
    </row>
    <row r="45729">
      <c r="D45729" s="39"/>
      <c r="E45729" s="39"/>
      <c r="F45729" s="39"/>
    </row>
    <row r="45730">
      <c r="D45730" s="39"/>
      <c r="E45730" s="39"/>
      <c r="F45730" s="39"/>
    </row>
    <row r="45731">
      <c r="D45731" s="39"/>
      <c r="E45731" s="39"/>
      <c r="F45731" s="39"/>
    </row>
    <row r="45732">
      <c r="D45732" s="39"/>
      <c r="E45732" s="39"/>
      <c r="F45732" s="39"/>
    </row>
    <row r="45733">
      <c r="D45733" s="39"/>
      <c r="E45733" s="39"/>
      <c r="F45733" s="39"/>
    </row>
    <row r="45734">
      <c r="D45734" s="39"/>
      <c r="E45734" s="39"/>
      <c r="F45734" s="39"/>
    </row>
    <row r="45735">
      <c r="D45735" s="39"/>
      <c r="E45735" s="39"/>
      <c r="F45735" s="39"/>
    </row>
    <row r="45736">
      <c r="D45736" s="39"/>
      <c r="E45736" s="39"/>
      <c r="F45736" s="39"/>
    </row>
    <row r="45737">
      <c r="D45737" s="39"/>
      <c r="E45737" s="39"/>
      <c r="F45737" s="39"/>
    </row>
    <row r="45738">
      <c r="D45738" s="39"/>
      <c r="E45738" s="39"/>
      <c r="F45738" s="39"/>
    </row>
    <row r="45739">
      <c r="D45739" s="39"/>
      <c r="E45739" s="39"/>
      <c r="F45739" s="39"/>
    </row>
    <row r="45740">
      <c r="D45740" s="39"/>
      <c r="E45740" s="39"/>
      <c r="F45740" s="39"/>
    </row>
    <row r="45741">
      <c r="D45741" s="39"/>
      <c r="E45741" s="39"/>
      <c r="F45741" s="39"/>
    </row>
    <row r="45742">
      <c r="D45742" s="39"/>
      <c r="E45742" s="39"/>
      <c r="F45742" s="39"/>
    </row>
    <row r="45743">
      <c r="D45743" s="39"/>
      <c r="E45743" s="39"/>
      <c r="F45743" s="39"/>
    </row>
    <row r="45744">
      <c r="D45744" s="39"/>
      <c r="E45744" s="39"/>
      <c r="F45744" s="39"/>
    </row>
    <row r="45745">
      <c r="D45745" s="39"/>
      <c r="E45745" s="39"/>
      <c r="F45745" s="39"/>
    </row>
    <row r="45746">
      <c r="D45746" s="39"/>
      <c r="E45746" s="39"/>
      <c r="F45746" s="39"/>
    </row>
    <row r="45747">
      <c r="D45747" s="39"/>
      <c r="E45747" s="39"/>
      <c r="F45747" s="39"/>
    </row>
    <row r="45748">
      <c r="D45748" s="39"/>
      <c r="E45748" s="39"/>
      <c r="F45748" s="39"/>
    </row>
    <row r="45749">
      <c r="D45749" s="39"/>
      <c r="E45749" s="39"/>
      <c r="F45749" s="39"/>
    </row>
    <row r="45750">
      <c r="D45750" s="39"/>
      <c r="E45750" s="39"/>
      <c r="F45750" s="39"/>
    </row>
    <row r="45751">
      <c r="D45751" s="39"/>
      <c r="E45751" s="39"/>
      <c r="F45751" s="39"/>
    </row>
    <row r="45752">
      <c r="D45752" s="39"/>
      <c r="E45752" s="39"/>
      <c r="F45752" s="39"/>
    </row>
    <row r="45753">
      <c r="D45753" s="39"/>
      <c r="E45753" s="39"/>
      <c r="F45753" s="39"/>
    </row>
    <row r="45754">
      <c r="D45754" s="39"/>
      <c r="E45754" s="39"/>
      <c r="F45754" s="39"/>
    </row>
    <row r="45755">
      <c r="D45755" s="39"/>
      <c r="E45755" s="39"/>
      <c r="F45755" s="39"/>
    </row>
    <row r="45756">
      <c r="D45756" s="39"/>
      <c r="E45756" s="39"/>
      <c r="F45756" s="39"/>
    </row>
    <row r="45757">
      <c r="D45757" s="39"/>
      <c r="E45757" s="39"/>
      <c r="F45757" s="39"/>
    </row>
    <row r="45758">
      <c r="D45758" s="39"/>
      <c r="E45758" s="39"/>
      <c r="F45758" s="39"/>
    </row>
    <row r="45759">
      <c r="D45759" s="39"/>
      <c r="E45759" s="39"/>
      <c r="F45759" s="39"/>
    </row>
    <row r="45760">
      <c r="D45760" s="39"/>
      <c r="E45760" s="39"/>
      <c r="F45760" s="39"/>
    </row>
    <row r="45761">
      <c r="D45761" s="39"/>
      <c r="E45761" s="39"/>
      <c r="F45761" s="39"/>
    </row>
    <row r="45762">
      <c r="D45762" s="39"/>
      <c r="E45762" s="39"/>
      <c r="F45762" s="39"/>
    </row>
    <row r="45763">
      <c r="D45763" s="39"/>
      <c r="E45763" s="39"/>
      <c r="F45763" s="39"/>
    </row>
    <row r="45764">
      <c r="D45764" s="39"/>
      <c r="E45764" s="39"/>
      <c r="F45764" s="39"/>
    </row>
    <row r="45765">
      <c r="D45765" s="39"/>
      <c r="E45765" s="39"/>
      <c r="F45765" s="39"/>
    </row>
    <row r="45766">
      <c r="D45766" s="39"/>
      <c r="E45766" s="39"/>
      <c r="F45766" s="39"/>
    </row>
    <row r="45767">
      <c r="D45767" s="39"/>
      <c r="E45767" s="39"/>
      <c r="F45767" s="39"/>
    </row>
    <row r="45768">
      <c r="D45768" s="39"/>
      <c r="E45768" s="39"/>
      <c r="F45768" s="39"/>
    </row>
    <row r="45769">
      <c r="D45769" s="39"/>
      <c r="E45769" s="39"/>
      <c r="F45769" s="39"/>
    </row>
    <row r="45770">
      <c r="D45770" s="39"/>
      <c r="E45770" s="39"/>
      <c r="F45770" s="39"/>
    </row>
    <row r="45771">
      <c r="D45771" s="39"/>
      <c r="E45771" s="39"/>
      <c r="F45771" s="39"/>
    </row>
    <row r="45772">
      <c r="D45772" s="39"/>
      <c r="E45772" s="39"/>
      <c r="F45772" s="39"/>
    </row>
    <row r="45773">
      <c r="D45773" s="39"/>
      <c r="E45773" s="39"/>
      <c r="F45773" s="39"/>
    </row>
    <row r="45774">
      <c r="D45774" s="39"/>
      <c r="E45774" s="39"/>
      <c r="F45774" s="39"/>
    </row>
    <row r="45775">
      <c r="D45775" s="39"/>
      <c r="E45775" s="39"/>
      <c r="F45775" s="39"/>
    </row>
    <row r="45776">
      <c r="D45776" s="39"/>
      <c r="E45776" s="39"/>
      <c r="F45776" s="39"/>
    </row>
    <row r="45777">
      <c r="D45777" s="39"/>
      <c r="E45777" s="39"/>
      <c r="F45777" s="39"/>
    </row>
    <row r="45778">
      <c r="D45778" s="39"/>
      <c r="E45778" s="39"/>
      <c r="F45778" s="39"/>
    </row>
    <row r="45779">
      <c r="D45779" s="39"/>
      <c r="E45779" s="39"/>
      <c r="F45779" s="39"/>
    </row>
    <row r="45780">
      <c r="D45780" s="39"/>
      <c r="E45780" s="39"/>
      <c r="F45780" s="39"/>
    </row>
    <row r="45781">
      <c r="D45781" s="39"/>
      <c r="E45781" s="39"/>
      <c r="F45781" s="39"/>
    </row>
    <row r="45782">
      <c r="D45782" s="39"/>
      <c r="E45782" s="39"/>
      <c r="F45782" s="39"/>
    </row>
    <row r="45783">
      <c r="D45783" s="39"/>
      <c r="E45783" s="39"/>
      <c r="F45783" s="39"/>
    </row>
    <row r="45784">
      <c r="D45784" s="39"/>
      <c r="E45784" s="39"/>
      <c r="F45784" s="39"/>
    </row>
    <row r="45785">
      <c r="D45785" s="39"/>
      <c r="E45785" s="39"/>
      <c r="F45785" s="39"/>
    </row>
    <row r="45786">
      <c r="D45786" s="39"/>
      <c r="E45786" s="39"/>
      <c r="F45786" s="39"/>
    </row>
    <row r="45787">
      <c r="D45787" s="39"/>
      <c r="E45787" s="39"/>
      <c r="F45787" s="39"/>
    </row>
    <row r="45788">
      <c r="D45788" s="39"/>
      <c r="E45788" s="39"/>
      <c r="F45788" s="39"/>
    </row>
    <row r="45789">
      <c r="D45789" s="39"/>
      <c r="E45789" s="39"/>
      <c r="F45789" s="39"/>
    </row>
    <row r="45790">
      <c r="D45790" s="39"/>
      <c r="E45790" s="39"/>
      <c r="F45790" s="39"/>
    </row>
    <row r="45791">
      <c r="D45791" s="39"/>
      <c r="E45791" s="39"/>
      <c r="F45791" s="39"/>
    </row>
    <row r="45792">
      <c r="D45792" s="39"/>
      <c r="E45792" s="39"/>
      <c r="F45792" s="39"/>
    </row>
    <row r="45793">
      <c r="D45793" s="39"/>
      <c r="E45793" s="39"/>
      <c r="F45793" s="39"/>
    </row>
    <row r="45794">
      <c r="D45794" s="39"/>
      <c r="E45794" s="39"/>
      <c r="F45794" s="39"/>
    </row>
    <row r="45795">
      <c r="D45795" s="39"/>
      <c r="E45795" s="39"/>
      <c r="F45795" s="39"/>
    </row>
    <row r="45796">
      <c r="D45796" s="39"/>
      <c r="E45796" s="39"/>
      <c r="F45796" s="39"/>
    </row>
    <row r="45797">
      <c r="D45797" s="39"/>
      <c r="E45797" s="39"/>
      <c r="F45797" s="39"/>
    </row>
    <row r="45798">
      <c r="D45798" s="39"/>
      <c r="E45798" s="39"/>
      <c r="F45798" s="39"/>
    </row>
    <row r="45799">
      <c r="D45799" s="39"/>
      <c r="E45799" s="39"/>
      <c r="F45799" s="39"/>
    </row>
    <row r="45800">
      <c r="D45800" s="39"/>
      <c r="E45800" s="39"/>
      <c r="F45800" s="39"/>
    </row>
    <row r="45801">
      <c r="D45801" s="39"/>
      <c r="E45801" s="39"/>
      <c r="F45801" s="39"/>
    </row>
    <row r="45802">
      <c r="D45802" s="39"/>
      <c r="E45802" s="39"/>
      <c r="F45802" s="39"/>
    </row>
    <row r="45803">
      <c r="D45803" s="39"/>
      <c r="E45803" s="39"/>
      <c r="F45803" s="39"/>
    </row>
    <row r="45804">
      <c r="D45804" s="39"/>
      <c r="E45804" s="39"/>
      <c r="F45804" s="39"/>
    </row>
    <row r="45805">
      <c r="D45805" s="39"/>
      <c r="E45805" s="39"/>
      <c r="F45805" s="39"/>
    </row>
    <row r="45806">
      <c r="D45806" s="39"/>
      <c r="E45806" s="39"/>
      <c r="F45806" s="39"/>
    </row>
    <row r="45807">
      <c r="D45807" s="39"/>
      <c r="E45807" s="39"/>
      <c r="F45807" s="39"/>
    </row>
    <row r="45808">
      <c r="D45808" s="39"/>
      <c r="E45808" s="39"/>
      <c r="F45808" s="39"/>
    </row>
    <row r="45809">
      <c r="D45809" s="39"/>
      <c r="E45809" s="39"/>
      <c r="F45809" s="39"/>
    </row>
    <row r="45810">
      <c r="D45810" s="39"/>
      <c r="E45810" s="39"/>
      <c r="F45810" s="39"/>
    </row>
    <row r="45811">
      <c r="D45811" s="39"/>
      <c r="E45811" s="39"/>
      <c r="F45811" s="39"/>
    </row>
    <row r="45812">
      <c r="D45812" s="39"/>
      <c r="E45812" s="39"/>
      <c r="F45812" s="39"/>
    </row>
    <row r="45813">
      <c r="D45813" s="39"/>
      <c r="E45813" s="39"/>
      <c r="F45813" s="39"/>
    </row>
    <row r="45814">
      <c r="D45814" s="39"/>
      <c r="E45814" s="39"/>
      <c r="F45814" s="39"/>
    </row>
    <row r="45815">
      <c r="D45815" s="39"/>
      <c r="E45815" s="39"/>
      <c r="F45815" s="39"/>
    </row>
    <row r="45816">
      <c r="D45816" s="39"/>
      <c r="E45816" s="39"/>
      <c r="F45816" s="39"/>
    </row>
    <row r="45817">
      <c r="D45817" s="39"/>
      <c r="E45817" s="39"/>
      <c r="F45817" s="39"/>
    </row>
    <row r="45818">
      <c r="D45818" s="39"/>
      <c r="E45818" s="39"/>
      <c r="F45818" s="39"/>
    </row>
    <row r="45819">
      <c r="D45819" s="39"/>
      <c r="E45819" s="39"/>
      <c r="F45819" s="39"/>
    </row>
    <row r="45820">
      <c r="D45820" s="39"/>
      <c r="E45820" s="39"/>
      <c r="F45820" s="39"/>
    </row>
    <row r="45821">
      <c r="D45821" s="39"/>
      <c r="E45821" s="39"/>
      <c r="F45821" s="39"/>
    </row>
    <row r="45822">
      <c r="D45822" s="39"/>
      <c r="E45822" s="39"/>
      <c r="F45822" s="39"/>
    </row>
    <row r="45823">
      <c r="D45823" s="39"/>
      <c r="E45823" s="39"/>
      <c r="F45823" s="39"/>
    </row>
    <row r="45824">
      <c r="D45824" s="39"/>
      <c r="E45824" s="39"/>
      <c r="F45824" s="39"/>
    </row>
    <row r="45825">
      <c r="D45825" s="39"/>
      <c r="E45825" s="39"/>
      <c r="F45825" s="39"/>
    </row>
    <row r="45826">
      <c r="D45826" s="39"/>
      <c r="E45826" s="39"/>
      <c r="F45826" s="39"/>
    </row>
    <row r="45827">
      <c r="D45827" s="39"/>
      <c r="E45827" s="39"/>
      <c r="F45827" s="39"/>
    </row>
    <row r="45828">
      <c r="D45828" s="39"/>
      <c r="E45828" s="39"/>
      <c r="F45828" s="39"/>
    </row>
    <row r="45829">
      <c r="D45829" s="39"/>
      <c r="E45829" s="39"/>
      <c r="F45829" s="39"/>
    </row>
    <row r="45830">
      <c r="D45830" s="39"/>
      <c r="E45830" s="39"/>
      <c r="F45830" s="39"/>
    </row>
    <row r="45831">
      <c r="D45831" s="39"/>
      <c r="E45831" s="39"/>
      <c r="F45831" s="39"/>
    </row>
    <row r="45832">
      <c r="D45832" s="39"/>
      <c r="E45832" s="39"/>
      <c r="F45832" s="39"/>
    </row>
    <row r="45833">
      <c r="D45833" s="39"/>
      <c r="E45833" s="39"/>
      <c r="F45833" s="39"/>
    </row>
    <row r="45834">
      <c r="D45834" s="39"/>
      <c r="E45834" s="39"/>
      <c r="F45834" s="39"/>
    </row>
    <row r="45835">
      <c r="D45835" s="39"/>
      <c r="E45835" s="39"/>
      <c r="F45835" s="39"/>
    </row>
    <row r="45836">
      <c r="D45836" s="39"/>
      <c r="E45836" s="39"/>
      <c r="F45836" s="39"/>
    </row>
    <row r="45837">
      <c r="D45837" s="39"/>
      <c r="E45837" s="39"/>
      <c r="F45837" s="39"/>
    </row>
    <row r="45838">
      <c r="D45838" s="39"/>
      <c r="E45838" s="39"/>
      <c r="F45838" s="39"/>
    </row>
    <row r="45839">
      <c r="D45839" s="39"/>
      <c r="E45839" s="39"/>
      <c r="F45839" s="39"/>
    </row>
    <row r="45840">
      <c r="D45840" s="39"/>
      <c r="E45840" s="39"/>
      <c r="F45840" s="39"/>
    </row>
    <row r="45841">
      <c r="D45841" s="39"/>
      <c r="E45841" s="39"/>
      <c r="F45841" s="39"/>
    </row>
    <row r="45842">
      <c r="D45842" s="39"/>
      <c r="E45842" s="39"/>
      <c r="F45842" s="39"/>
    </row>
    <row r="45843">
      <c r="D45843" s="39"/>
      <c r="E45843" s="39"/>
      <c r="F45843" s="39"/>
    </row>
    <row r="45844">
      <c r="D45844" s="39"/>
      <c r="E45844" s="39"/>
      <c r="F45844" s="39"/>
    </row>
    <row r="45845">
      <c r="D45845" s="39"/>
      <c r="E45845" s="39"/>
      <c r="F45845" s="39"/>
    </row>
    <row r="45846">
      <c r="D45846" s="39"/>
      <c r="E45846" s="39"/>
      <c r="F45846" s="39"/>
    </row>
    <row r="45847">
      <c r="D45847" s="39"/>
      <c r="E45847" s="39"/>
      <c r="F45847" s="39"/>
    </row>
    <row r="45848">
      <c r="D45848" s="39"/>
      <c r="E45848" s="39"/>
      <c r="F45848" s="39"/>
    </row>
    <row r="45849">
      <c r="D45849" s="39"/>
      <c r="E45849" s="39"/>
      <c r="F45849" s="39"/>
    </row>
    <row r="45850">
      <c r="D45850" s="39"/>
      <c r="E45850" s="39"/>
      <c r="F45850" s="39"/>
    </row>
    <row r="45851">
      <c r="D45851" s="39"/>
      <c r="E45851" s="39"/>
      <c r="F45851" s="39"/>
    </row>
    <row r="45852">
      <c r="D45852" s="39"/>
      <c r="E45852" s="39"/>
      <c r="F45852" s="39"/>
    </row>
    <row r="45853">
      <c r="D45853" s="39"/>
      <c r="E45853" s="39"/>
      <c r="F45853" s="39"/>
    </row>
    <row r="45854">
      <c r="D45854" s="39"/>
      <c r="E45854" s="39"/>
      <c r="F45854" s="39"/>
    </row>
    <row r="45855">
      <c r="D45855" s="39"/>
      <c r="E45855" s="39"/>
      <c r="F45855" s="39"/>
    </row>
    <row r="45856">
      <c r="D45856" s="39"/>
      <c r="E45856" s="39"/>
      <c r="F45856" s="39"/>
    </row>
    <row r="45857">
      <c r="D45857" s="39"/>
      <c r="E45857" s="39"/>
      <c r="F45857" s="39"/>
    </row>
    <row r="45858">
      <c r="D45858" s="39"/>
      <c r="E45858" s="39"/>
      <c r="F45858" s="39"/>
    </row>
    <row r="45859">
      <c r="D45859" s="39"/>
      <c r="E45859" s="39"/>
      <c r="F45859" s="39"/>
    </row>
    <row r="45860">
      <c r="D45860" s="39"/>
      <c r="E45860" s="39"/>
      <c r="F45860" s="39"/>
    </row>
    <row r="45861">
      <c r="D45861" s="39"/>
      <c r="E45861" s="39"/>
      <c r="F45861" s="39"/>
    </row>
    <row r="45862">
      <c r="D45862" s="39"/>
      <c r="E45862" s="39"/>
      <c r="F45862" s="39"/>
    </row>
    <row r="45863">
      <c r="D45863" s="39"/>
      <c r="E45863" s="39"/>
      <c r="F45863" s="39"/>
    </row>
    <row r="45864">
      <c r="D45864" s="39"/>
      <c r="E45864" s="39"/>
      <c r="F45864" s="39"/>
    </row>
    <row r="45865">
      <c r="D45865" s="39"/>
      <c r="E45865" s="39"/>
      <c r="F45865" s="39"/>
    </row>
    <row r="45866">
      <c r="D45866" s="39"/>
      <c r="E45866" s="39"/>
      <c r="F45866" s="39"/>
    </row>
    <row r="45867">
      <c r="D45867" s="39"/>
      <c r="E45867" s="39"/>
      <c r="F45867" s="39"/>
    </row>
    <row r="45868">
      <c r="D45868" s="39"/>
      <c r="E45868" s="39"/>
      <c r="F45868" s="39"/>
    </row>
    <row r="45869">
      <c r="D45869" s="39"/>
      <c r="E45869" s="39"/>
      <c r="F45869" s="39"/>
    </row>
    <row r="45870">
      <c r="D45870" s="39"/>
      <c r="E45870" s="39"/>
      <c r="F45870" s="39"/>
    </row>
    <row r="45871">
      <c r="D45871" s="39"/>
      <c r="E45871" s="39"/>
      <c r="F45871" s="39"/>
    </row>
    <row r="45872">
      <c r="D45872" s="39"/>
      <c r="E45872" s="39"/>
      <c r="F45872" s="39"/>
    </row>
    <row r="45873">
      <c r="D45873" s="39"/>
      <c r="E45873" s="39"/>
      <c r="F45873" s="39"/>
    </row>
    <row r="45874">
      <c r="D45874" s="39"/>
      <c r="E45874" s="39"/>
      <c r="F45874" s="39"/>
    </row>
    <row r="45875">
      <c r="D45875" s="39"/>
      <c r="E45875" s="39"/>
      <c r="F45875" s="39"/>
    </row>
    <row r="45876">
      <c r="D45876" s="39"/>
      <c r="E45876" s="39"/>
      <c r="F45876" s="39"/>
    </row>
    <row r="45877">
      <c r="D45877" s="39"/>
      <c r="E45877" s="39"/>
      <c r="F45877" s="39"/>
    </row>
    <row r="45878">
      <c r="D45878" s="39"/>
      <c r="E45878" s="39"/>
      <c r="F45878" s="39"/>
    </row>
    <row r="45879">
      <c r="D45879" s="39"/>
      <c r="E45879" s="39"/>
      <c r="F45879" s="39"/>
    </row>
    <row r="45880">
      <c r="D45880" s="39"/>
      <c r="E45880" s="39"/>
      <c r="F45880" s="39"/>
    </row>
    <row r="45881">
      <c r="D45881" s="39"/>
      <c r="E45881" s="39"/>
      <c r="F45881" s="39"/>
    </row>
    <row r="45882">
      <c r="D45882" s="39"/>
      <c r="E45882" s="39"/>
      <c r="F45882" s="39"/>
    </row>
    <row r="45883">
      <c r="D45883" s="39"/>
      <c r="E45883" s="39"/>
      <c r="F45883" s="39"/>
    </row>
    <row r="45884">
      <c r="D45884" s="39"/>
      <c r="E45884" s="39"/>
      <c r="F45884" s="39"/>
    </row>
    <row r="45885">
      <c r="D45885" s="39"/>
      <c r="E45885" s="39"/>
      <c r="F45885" s="39"/>
    </row>
    <row r="45886">
      <c r="D45886" s="39"/>
      <c r="E45886" s="39"/>
      <c r="F45886" s="39"/>
    </row>
    <row r="45887">
      <c r="D45887" s="39"/>
      <c r="E45887" s="39"/>
      <c r="F45887" s="39"/>
    </row>
    <row r="45888">
      <c r="D45888" s="39"/>
      <c r="E45888" s="39"/>
      <c r="F45888" s="39"/>
    </row>
    <row r="45889">
      <c r="D45889" s="39"/>
      <c r="E45889" s="39"/>
      <c r="F45889" s="39"/>
    </row>
    <row r="45890">
      <c r="D45890" s="39"/>
      <c r="E45890" s="39"/>
      <c r="F45890" s="39"/>
    </row>
    <row r="45891">
      <c r="D45891" s="39"/>
      <c r="E45891" s="39"/>
      <c r="F45891" s="39"/>
    </row>
    <row r="45892">
      <c r="D45892" s="39"/>
      <c r="E45892" s="39"/>
      <c r="F45892" s="39"/>
    </row>
    <row r="45893">
      <c r="D45893" s="39"/>
      <c r="E45893" s="39"/>
      <c r="F45893" s="39"/>
    </row>
    <row r="45894">
      <c r="D45894" s="39"/>
      <c r="E45894" s="39"/>
      <c r="F45894" s="39"/>
    </row>
    <row r="45895">
      <c r="D45895" s="39"/>
      <c r="E45895" s="39"/>
      <c r="F45895" s="39"/>
    </row>
    <row r="45896">
      <c r="D45896" s="39"/>
      <c r="E45896" s="39"/>
      <c r="F45896" s="39"/>
    </row>
    <row r="45897">
      <c r="D45897" s="39"/>
      <c r="E45897" s="39"/>
      <c r="F45897" s="39"/>
    </row>
    <row r="45898">
      <c r="D45898" s="39"/>
      <c r="E45898" s="39"/>
      <c r="F45898" s="39"/>
    </row>
    <row r="45899">
      <c r="D45899" s="39"/>
      <c r="E45899" s="39"/>
      <c r="F45899" s="39"/>
    </row>
    <row r="45900">
      <c r="D45900" s="39"/>
      <c r="E45900" s="39"/>
      <c r="F45900" s="39"/>
    </row>
    <row r="45901">
      <c r="D45901" s="39"/>
      <c r="E45901" s="39"/>
      <c r="F45901" s="39"/>
    </row>
    <row r="45902">
      <c r="D45902" s="39"/>
      <c r="E45902" s="39"/>
      <c r="F45902" s="39"/>
    </row>
    <row r="45903">
      <c r="D45903" s="39"/>
      <c r="E45903" s="39"/>
      <c r="F45903" s="39"/>
    </row>
    <row r="45904">
      <c r="D45904" s="39"/>
      <c r="E45904" s="39"/>
      <c r="F45904" s="39"/>
    </row>
    <row r="45905">
      <c r="D45905" s="39"/>
      <c r="E45905" s="39"/>
      <c r="F45905" s="39"/>
    </row>
    <row r="45906">
      <c r="D45906" s="39"/>
      <c r="E45906" s="39"/>
      <c r="F45906" s="39"/>
    </row>
    <row r="45907">
      <c r="D45907" s="39"/>
      <c r="E45907" s="39"/>
      <c r="F45907" s="39"/>
    </row>
    <row r="45908">
      <c r="D45908" s="39"/>
      <c r="E45908" s="39"/>
      <c r="F45908" s="39"/>
    </row>
    <row r="45909">
      <c r="D45909" s="39"/>
      <c r="E45909" s="39"/>
      <c r="F45909" s="39"/>
    </row>
    <row r="45910">
      <c r="D45910" s="39"/>
      <c r="E45910" s="39"/>
      <c r="F45910" s="39"/>
    </row>
    <row r="45911">
      <c r="D45911" s="39"/>
      <c r="E45911" s="39"/>
      <c r="F45911" s="39"/>
    </row>
    <row r="45912">
      <c r="D45912" s="39"/>
      <c r="E45912" s="39"/>
      <c r="F45912" s="39"/>
    </row>
    <row r="45913">
      <c r="D45913" s="39"/>
      <c r="E45913" s="39"/>
      <c r="F45913" s="39"/>
    </row>
    <row r="45914">
      <c r="D45914" s="39"/>
      <c r="E45914" s="39"/>
      <c r="F45914" s="39"/>
    </row>
    <row r="45915">
      <c r="D45915" s="39"/>
      <c r="E45915" s="39"/>
      <c r="F45915" s="39"/>
    </row>
    <row r="45916">
      <c r="D45916" s="39"/>
      <c r="E45916" s="39"/>
      <c r="F45916" s="39"/>
    </row>
    <row r="45917">
      <c r="D45917" s="39"/>
      <c r="E45917" s="39"/>
      <c r="F45917" s="39"/>
    </row>
    <row r="45918">
      <c r="D45918" s="39"/>
      <c r="E45918" s="39"/>
      <c r="F45918" s="39"/>
    </row>
    <row r="45919">
      <c r="D45919" s="39"/>
      <c r="E45919" s="39"/>
      <c r="F45919" s="39"/>
    </row>
    <row r="45920">
      <c r="D45920" s="39"/>
      <c r="E45920" s="39"/>
      <c r="F45920" s="39"/>
    </row>
    <row r="45921">
      <c r="D45921" s="39"/>
      <c r="E45921" s="39"/>
      <c r="F45921" s="39"/>
    </row>
    <row r="45922">
      <c r="D45922" s="39"/>
      <c r="E45922" s="39"/>
      <c r="F45922" s="39"/>
    </row>
    <row r="45923">
      <c r="D45923" s="39"/>
      <c r="E45923" s="39"/>
      <c r="F45923" s="39"/>
    </row>
    <row r="45924">
      <c r="D45924" s="39"/>
      <c r="E45924" s="39"/>
      <c r="F45924" s="39"/>
    </row>
    <row r="45925">
      <c r="D45925" s="39"/>
      <c r="E45925" s="39"/>
      <c r="F45925" s="39"/>
    </row>
    <row r="45926">
      <c r="D45926" s="39"/>
      <c r="E45926" s="39"/>
      <c r="F45926" s="39"/>
    </row>
    <row r="45927">
      <c r="D45927" s="39"/>
      <c r="E45927" s="39"/>
      <c r="F45927" s="39"/>
    </row>
    <row r="45928">
      <c r="D45928" s="39"/>
      <c r="E45928" s="39"/>
      <c r="F45928" s="39"/>
    </row>
    <row r="45929">
      <c r="D45929" s="39"/>
      <c r="E45929" s="39"/>
      <c r="F45929" s="39"/>
    </row>
    <row r="45930">
      <c r="D45930" s="39"/>
      <c r="E45930" s="39"/>
      <c r="F45930" s="39"/>
    </row>
    <row r="45931">
      <c r="D45931" s="39"/>
      <c r="E45931" s="39"/>
      <c r="F45931" s="39"/>
    </row>
    <row r="45932">
      <c r="D45932" s="39"/>
      <c r="E45932" s="39"/>
      <c r="F45932" s="39"/>
    </row>
    <row r="45933">
      <c r="D45933" s="39"/>
      <c r="E45933" s="39"/>
      <c r="F45933" s="39"/>
    </row>
    <row r="45934">
      <c r="D45934" s="39"/>
      <c r="E45934" s="39"/>
      <c r="F45934" s="39"/>
    </row>
    <row r="45935">
      <c r="D45935" s="39"/>
      <c r="E45935" s="39"/>
      <c r="F45935" s="39"/>
    </row>
    <row r="45936">
      <c r="D45936" s="39"/>
      <c r="E45936" s="39"/>
      <c r="F45936" s="39"/>
    </row>
    <row r="45937">
      <c r="D45937" s="39"/>
      <c r="E45937" s="39"/>
      <c r="F45937" s="39"/>
    </row>
    <row r="45938">
      <c r="D45938" s="39"/>
      <c r="E45938" s="39"/>
      <c r="F45938" s="39"/>
    </row>
    <row r="45939">
      <c r="D45939" s="39"/>
      <c r="E45939" s="39"/>
      <c r="F45939" s="39"/>
    </row>
    <row r="45940">
      <c r="D45940" s="39"/>
      <c r="E45940" s="39"/>
      <c r="F45940" s="39"/>
    </row>
    <row r="45941">
      <c r="D45941" s="39"/>
      <c r="E45941" s="39"/>
      <c r="F45941" s="39"/>
    </row>
    <row r="45942">
      <c r="D45942" s="39"/>
      <c r="E45942" s="39"/>
      <c r="F45942" s="39"/>
    </row>
    <row r="45943">
      <c r="D45943" s="39"/>
      <c r="E45943" s="39"/>
      <c r="F45943" s="39"/>
    </row>
    <row r="45944">
      <c r="D45944" s="39"/>
      <c r="E45944" s="39"/>
      <c r="F45944" s="39"/>
    </row>
    <row r="45945">
      <c r="D45945" s="39"/>
      <c r="E45945" s="39"/>
      <c r="F45945" s="39"/>
    </row>
    <row r="45946">
      <c r="D45946" s="39"/>
      <c r="E45946" s="39"/>
      <c r="F45946" s="39"/>
    </row>
    <row r="45947">
      <c r="D45947" s="39"/>
      <c r="E45947" s="39"/>
      <c r="F45947" s="39"/>
    </row>
    <row r="45948">
      <c r="D45948" s="39"/>
      <c r="E45948" s="39"/>
      <c r="F45948" s="39"/>
    </row>
    <row r="45949">
      <c r="D45949" s="39"/>
      <c r="E45949" s="39"/>
      <c r="F45949" s="39"/>
    </row>
    <row r="45950">
      <c r="D45950" s="39"/>
      <c r="E45950" s="39"/>
      <c r="F45950" s="39"/>
    </row>
    <row r="45951">
      <c r="D45951" s="39"/>
      <c r="E45951" s="39"/>
      <c r="F45951" s="39"/>
    </row>
    <row r="45952">
      <c r="D45952" s="39"/>
      <c r="E45952" s="39"/>
      <c r="F45952" s="39"/>
    </row>
    <row r="45953">
      <c r="D45953" s="39"/>
      <c r="E45953" s="39"/>
      <c r="F45953" s="39"/>
    </row>
    <row r="45954">
      <c r="D45954" s="39"/>
      <c r="E45954" s="39"/>
      <c r="F45954" s="39"/>
    </row>
    <row r="45955">
      <c r="D45955" s="39"/>
      <c r="E45955" s="39"/>
      <c r="F45955" s="39"/>
    </row>
    <row r="45956">
      <c r="D45956" s="39"/>
      <c r="E45956" s="39"/>
      <c r="F45956" s="39"/>
    </row>
    <row r="45957">
      <c r="D45957" s="39"/>
      <c r="E45957" s="39"/>
      <c r="F45957" s="39"/>
    </row>
    <row r="45958">
      <c r="D45958" s="39"/>
      <c r="E45958" s="39"/>
      <c r="F45958" s="39"/>
    </row>
    <row r="45959">
      <c r="D45959" s="39"/>
      <c r="E45959" s="39"/>
      <c r="F45959" s="39"/>
    </row>
    <row r="45960">
      <c r="D45960" s="39"/>
      <c r="E45960" s="39"/>
      <c r="F45960" s="39"/>
    </row>
    <row r="45961">
      <c r="D45961" s="39"/>
      <c r="E45961" s="39"/>
      <c r="F45961" s="39"/>
    </row>
    <row r="45962">
      <c r="D45962" s="39"/>
      <c r="E45962" s="39"/>
      <c r="F45962" s="39"/>
    </row>
    <row r="45963">
      <c r="D45963" s="39"/>
      <c r="E45963" s="39"/>
      <c r="F45963" s="39"/>
    </row>
    <row r="45964">
      <c r="D45964" s="39"/>
      <c r="E45964" s="39"/>
      <c r="F45964" s="39"/>
    </row>
    <row r="45965">
      <c r="D45965" s="39"/>
      <c r="E45965" s="39"/>
      <c r="F45965" s="39"/>
    </row>
    <row r="45966">
      <c r="D45966" s="39"/>
      <c r="E45966" s="39"/>
      <c r="F45966" s="39"/>
    </row>
    <row r="45967">
      <c r="D45967" s="39"/>
      <c r="E45967" s="39"/>
      <c r="F45967" s="39"/>
    </row>
    <row r="45968">
      <c r="D45968" s="39"/>
      <c r="E45968" s="39"/>
      <c r="F45968" s="39"/>
    </row>
    <row r="45969">
      <c r="D45969" s="39"/>
      <c r="E45969" s="39"/>
      <c r="F45969" s="39"/>
    </row>
    <row r="45970">
      <c r="D45970" s="39"/>
      <c r="E45970" s="39"/>
      <c r="F45970" s="39"/>
    </row>
    <row r="45971">
      <c r="D45971" s="39"/>
      <c r="E45971" s="39"/>
      <c r="F45971" s="39"/>
    </row>
    <row r="45972">
      <c r="D45972" s="39"/>
      <c r="E45972" s="39"/>
      <c r="F45972" s="39"/>
    </row>
    <row r="45973">
      <c r="D45973" s="39"/>
      <c r="E45973" s="39"/>
      <c r="F45973" s="39"/>
    </row>
    <row r="45974">
      <c r="D45974" s="39"/>
      <c r="E45974" s="39"/>
      <c r="F45974" s="39"/>
    </row>
    <row r="45975">
      <c r="D45975" s="39"/>
      <c r="E45975" s="39"/>
      <c r="F45975" s="39"/>
    </row>
    <row r="45976">
      <c r="D45976" s="39"/>
      <c r="E45976" s="39"/>
      <c r="F45976" s="39"/>
    </row>
    <row r="45977">
      <c r="D45977" s="39"/>
      <c r="E45977" s="39"/>
      <c r="F45977" s="39"/>
    </row>
    <row r="45978">
      <c r="D45978" s="39"/>
      <c r="E45978" s="39"/>
      <c r="F45978" s="39"/>
    </row>
    <row r="45979">
      <c r="D45979" s="39"/>
      <c r="E45979" s="39"/>
      <c r="F45979" s="39"/>
    </row>
    <row r="45980">
      <c r="D45980" s="39"/>
      <c r="E45980" s="39"/>
      <c r="F45980" s="39"/>
    </row>
    <row r="45981">
      <c r="D45981" s="39"/>
      <c r="E45981" s="39"/>
      <c r="F45981" s="39"/>
    </row>
    <row r="45982">
      <c r="D45982" s="39"/>
      <c r="E45982" s="39"/>
      <c r="F45982" s="39"/>
    </row>
    <row r="45983">
      <c r="D45983" s="39"/>
      <c r="E45983" s="39"/>
      <c r="F45983" s="39"/>
    </row>
    <row r="45984">
      <c r="D45984" s="39"/>
      <c r="E45984" s="39"/>
      <c r="F45984" s="39"/>
    </row>
    <row r="45985">
      <c r="D45985" s="39"/>
      <c r="E45985" s="39"/>
      <c r="F45985" s="39"/>
    </row>
    <row r="45986">
      <c r="D45986" s="39"/>
      <c r="E45986" s="39"/>
      <c r="F45986" s="39"/>
    </row>
    <row r="45987">
      <c r="D45987" s="39"/>
      <c r="E45987" s="39"/>
      <c r="F45987" s="39"/>
    </row>
    <row r="45988">
      <c r="D45988" s="39"/>
      <c r="E45988" s="39"/>
      <c r="F45988" s="39"/>
    </row>
    <row r="45989">
      <c r="D45989" s="39"/>
      <c r="E45989" s="39"/>
      <c r="F45989" s="39"/>
    </row>
    <row r="45990">
      <c r="D45990" s="39"/>
      <c r="E45990" s="39"/>
      <c r="F45990" s="39"/>
    </row>
    <row r="45991">
      <c r="D45991" s="39"/>
      <c r="E45991" s="39"/>
      <c r="F45991" s="39"/>
    </row>
    <row r="45992">
      <c r="D45992" s="39"/>
      <c r="E45992" s="39"/>
      <c r="F45992" s="39"/>
    </row>
    <row r="45993">
      <c r="D45993" s="39"/>
      <c r="E45993" s="39"/>
      <c r="F45993" s="39"/>
    </row>
    <row r="45994">
      <c r="D45994" s="39"/>
      <c r="E45994" s="39"/>
      <c r="F45994" s="39"/>
    </row>
    <row r="45995">
      <c r="D45995" s="39"/>
      <c r="E45995" s="39"/>
      <c r="F45995" s="39"/>
    </row>
    <row r="45996">
      <c r="D45996" s="39"/>
      <c r="E45996" s="39"/>
      <c r="F45996" s="39"/>
    </row>
    <row r="45997">
      <c r="D45997" s="39"/>
      <c r="E45997" s="39"/>
      <c r="F45997" s="39"/>
    </row>
    <row r="45998">
      <c r="D45998" s="39"/>
      <c r="E45998" s="39"/>
      <c r="F45998" s="39"/>
    </row>
    <row r="45999">
      <c r="D45999" s="39"/>
      <c r="E45999" s="39"/>
      <c r="F45999" s="39"/>
    </row>
    <row r="46000">
      <c r="D46000" s="39"/>
      <c r="E46000" s="39"/>
      <c r="F46000" s="39"/>
    </row>
    <row r="46001">
      <c r="D46001" s="39"/>
      <c r="E46001" s="39"/>
      <c r="F46001" s="39"/>
    </row>
    <row r="46002">
      <c r="D46002" s="39"/>
      <c r="E46002" s="39"/>
      <c r="F46002" s="39"/>
    </row>
    <row r="46003">
      <c r="D46003" s="39"/>
      <c r="E46003" s="39"/>
      <c r="F46003" s="39"/>
    </row>
    <row r="46004">
      <c r="D46004" s="39"/>
      <c r="E46004" s="39"/>
      <c r="F46004" s="39"/>
    </row>
    <row r="46005">
      <c r="D46005" s="39"/>
      <c r="E46005" s="39"/>
      <c r="F46005" s="39"/>
    </row>
    <row r="46006">
      <c r="D46006" s="39"/>
      <c r="E46006" s="39"/>
      <c r="F46006" s="39"/>
    </row>
    <row r="46007">
      <c r="D46007" s="39"/>
      <c r="E46007" s="39"/>
      <c r="F46007" s="39"/>
    </row>
    <row r="46008">
      <c r="D46008" s="39"/>
      <c r="E46008" s="39"/>
      <c r="F46008" s="39"/>
    </row>
    <row r="46009">
      <c r="D46009" s="39"/>
      <c r="E46009" s="39"/>
      <c r="F46009" s="39"/>
    </row>
    <row r="46010">
      <c r="D46010" s="39"/>
      <c r="E46010" s="39"/>
      <c r="F46010" s="39"/>
    </row>
    <row r="46011">
      <c r="D46011" s="39"/>
      <c r="E46011" s="39"/>
      <c r="F46011" s="39"/>
    </row>
    <row r="46012">
      <c r="D46012" s="39"/>
      <c r="E46012" s="39"/>
      <c r="F46012" s="39"/>
    </row>
    <row r="46013">
      <c r="D46013" s="39"/>
      <c r="E46013" s="39"/>
      <c r="F46013" s="39"/>
    </row>
    <row r="46014">
      <c r="D46014" s="39"/>
      <c r="E46014" s="39"/>
      <c r="F46014" s="39"/>
    </row>
    <row r="46015">
      <c r="D46015" s="39"/>
      <c r="E46015" s="39"/>
      <c r="F46015" s="39"/>
    </row>
    <row r="46016">
      <c r="D46016" s="39"/>
      <c r="E46016" s="39"/>
      <c r="F46016" s="39"/>
    </row>
    <row r="46017">
      <c r="D46017" s="39"/>
      <c r="E46017" s="39"/>
      <c r="F46017" s="39"/>
    </row>
    <row r="46018">
      <c r="D46018" s="39"/>
      <c r="E46018" s="39"/>
      <c r="F46018" s="39"/>
    </row>
    <row r="46019">
      <c r="D46019" s="39"/>
      <c r="E46019" s="39"/>
      <c r="F46019" s="39"/>
    </row>
    <row r="46020">
      <c r="D46020" s="39"/>
      <c r="E46020" s="39"/>
      <c r="F46020" s="39"/>
    </row>
    <row r="46021">
      <c r="D46021" s="39"/>
      <c r="E46021" s="39"/>
      <c r="F46021" s="39"/>
    </row>
    <row r="46022">
      <c r="D46022" s="39"/>
      <c r="E46022" s="39"/>
      <c r="F46022" s="39"/>
    </row>
    <row r="46023">
      <c r="D46023" s="39"/>
      <c r="E46023" s="39"/>
      <c r="F46023" s="39"/>
    </row>
    <row r="46024">
      <c r="D46024" s="39"/>
      <c r="E46024" s="39"/>
      <c r="F46024" s="39"/>
    </row>
    <row r="46025">
      <c r="D46025" s="39"/>
      <c r="E46025" s="39"/>
      <c r="F46025" s="39"/>
    </row>
    <row r="46026">
      <c r="D46026" s="39"/>
      <c r="E46026" s="39"/>
      <c r="F46026" s="39"/>
    </row>
    <row r="46027">
      <c r="D46027" s="39"/>
      <c r="E46027" s="39"/>
      <c r="F46027" s="39"/>
    </row>
    <row r="46028">
      <c r="D46028" s="39"/>
      <c r="E46028" s="39"/>
      <c r="F46028" s="39"/>
    </row>
    <row r="46029">
      <c r="D46029" s="39"/>
      <c r="E46029" s="39"/>
      <c r="F46029" s="39"/>
    </row>
    <row r="46030">
      <c r="D46030" s="39"/>
      <c r="E46030" s="39"/>
      <c r="F46030" s="39"/>
    </row>
    <row r="46031">
      <c r="D46031" s="39"/>
      <c r="E46031" s="39"/>
      <c r="F46031" s="39"/>
    </row>
    <row r="46032">
      <c r="D46032" s="39"/>
      <c r="E46032" s="39"/>
      <c r="F46032" s="39"/>
    </row>
    <row r="46033">
      <c r="D46033" s="39"/>
      <c r="E46033" s="39"/>
      <c r="F46033" s="39"/>
    </row>
    <row r="46034">
      <c r="D46034" s="39"/>
      <c r="E46034" s="39"/>
      <c r="F46034" s="39"/>
    </row>
    <row r="46035">
      <c r="D46035" s="39"/>
      <c r="E46035" s="39"/>
      <c r="F46035" s="39"/>
    </row>
    <row r="46036">
      <c r="D46036" s="39"/>
      <c r="E46036" s="39"/>
      <c r="F46036" s="39"/>
    </row>
    <row r="46037">
      <c r="D46037" s="39"/>
      <c r="E46037" s="39"/>
      <c r="F46037" s="39"/>
    </row>
    <row r="46038">
      <c r="D46038" s="39"/>
      <c r="E46038" s="39"/>
      <c r="F46038" s="39"/>
    </row>
    <row r="46039">
      <c r="D46039" s="39"/>
      <c r="E46039" s="39"/>
      <c r="F46039" s="39"/>
    </row>
    <row r="46040">
      <c r="D46040" s="39"/>
      <c r="E46040" s="39"/>
      <c r="F46040" s="39"/>
    </row>
    <row r="46041">
      <c r="D46041" s="39"/>
      <c r="E46041" s="39"/>
      <c r="F46041" s="39"/>
    </row>
    <row r="46042">
      <c r="D46042" s="39"/>
      <c r="E46042" s="39"/>
      <c r="F46042" s="39"/>
    </row>
    <row r="46043">
      <c r="D46043" s="39"/>
      <c r="E46043" s="39"/>
      <c r="F46043" s="39"/>
    </row>
    <row r="46044">
      <c r="D46044" s="39"/>
      <c r="E46044" s="39"/>
      <c r="F46044" s="39"/>
    </row>
    <row r="46045">
      <c r="D46045" s="39"/>
      <c r="E46045" s="39"/>
      <c r="F46045" s="39"/>
    </row>
    <row r="46046">
      <c r="D46046" s="39"/>
      <c r="E46046" s="39"/>
      <c r="F46046" s="39"/>
    </row>
    <row r="46047">
      <c r="D46047" s="39"/>
      <c r="E46047" s="39"/>
      <c r="F46047" s="39"/>
    </row>
    <row r="46048">
      <c r="D46048" s="39"/>
      <c r="E46048" s="39"/>
      <c r="F46048" s="39"/>
    </row>
    <row r="46049">
      <c r="D46049" s="39"/>
      <c r="E46049" s="39"/>
      <c r="F46049" s="39"/>
    </row>
    <row r="46050">
      <c r="D46050" s="39"/>
      <c r="E46050" s="39"/>
      <c r="F46050" s="39"/>
    </row>
    <row r="46051">
      <c r="D46051" s="39"/>
      <c r="E46051" s="39"/>
      <c r="F46051" s="39"/>
    </row>
    <row r="46052">
      <c r="D46052" s="39"/>
      <c r="E46052" s="39"/>
      <c r="F46052" s="39"/>
    </row>
    <row r="46053">
      <c r="D46053" s="39"/>
      <c r="E46053" s="39"/>
      <c r="F46053" s="39"/>
    </row>
    <row r="46054">
      <c r="D46054" s="39"/>
      <c r="E46054" s="39"/>
      <c r="F46054" s="39"/>
    </row>
    <row r="46055">
      <c r="D46055" s="39"/>
      <c r="E46055" s="39"/>
      <c r="F46055" s="39"/>
    </row>
    <row r="46056">
      <c r="D46056" s="39"/>
      <c r="E46056" s="39"/>
      <c r="F46056" s="39"/>
    </row>
    <row r="46057">
      <c r="D46057" s="39"/>
      <c r="E46057" s="39"/>
      <c r="F46057" s="39"/>
    </row>
    <row r="46058">
      <c r="D46058" s="39"/>
      <c r="E46058" s="39"/>
      <c r="F46058" s="39"/>
    </row>
    <row r="46059">
      <c r="D46059" s="39"/>
      <c r="E46059" s="39"/>
      <c r="F46059" s="39"/>
    </row>
    <row r="46060">
      <c r="D46060" s="39"/>
      <c r="E46060" s="39"/>
      <c r="F46060" s="39"/>
    </row>
    <row r="46061">
      <c r="D46061" s="39"/>
      <c r="E46061" s="39"/>
      <c r="F46061" s="39"/>
    </row>
    <row r="46062">
      <c r="D46062" s="39"/>
      <c r="E46062" s="39"/>
      <c r="F46062" s="39"/>
    </row>
    <row r="46063">
      <c r="D46063" s="39"/>
      <c r="E46063" s="39"/>
      <c r="F46063" s="39"/>
    </row>
    <row r="46064">
      <c r="D46064" s="39"/>
      <c r="E46064" s="39"/>
      <c r="F46064" s="39"/>
    </row>
    <row r="46065">
      <c r="D46065" s="39"/>
      <c r="E46065" s="39"/>
      <c r="F46065" s="39"/>
    </row>
    <row r="46066">
      <c r="D46066" s="39"/>
      <c r="E46066" s="39"/>
      <c r="F46066" s="39"/>
    </row>
    <row r="46067">
      <c r="D46067" s="39"/>
      <c r="E46067" s="39"/>
      <c r="F46067" s="39"/>
    </row>
    <row r="46068">
      <c r="D46068" s="39"/>
      <c r="E46068" s="39"/>
      <c r="F46068" s="39"/>
    </row>
    <row r="46069">
      <c r="D46069" s="39"/>
      <c r="E46069" s="39"/>
      <c r="F46069" s="39"/>
    </row>
    <row r="46070">
      <c r="D46070" s="39"/>
      <c r="E46070" s="39"/>
      <c r="F46070" s="39"/>
    </row>
    <row r="46071">
      <c r="D46071" s="39"/>
      <c r="E46071" s="39"/>
      <c r="F46071" s="39"/>
    </row>
    <row r="46072">
      <c r="D46072" s="39"/>
      <c r="E46072" s="39"/>
      <c r="F46072" s="39"/>
    </row>
    <row r="46073">
      <c r="D46073" s="39"/>
      <c r="E46073" s="39"/>
      <c r="F46073" s="39"/>
    </row>
    <row r="46074">
      <c r="D46074" s="39"/>
      <c r="E46074" s="39"/>
      <c r="F46074" s="39"/>
    </row>
    <row r="46075">
      <c r="D46075" s="39"/>
      <c r="E46075" s="39"/>
      <c r="F46075" s="39"/>
    </row>
    <row r="46076">
      <c r="D46076" s="39"/>
      <c r="E46076" s="39"/>
      <c r="F46076" s="39"/>
    </row>
    <row r="46077">
      <c r="D46077" s="39"/>
      <c r="E46077" s="39"/>
      <c r="F46077" s="39"/>
    </row>
    <row r="46078">
      <c r="D46078" s="39"/>
      <c r="E46078" s="39"/>
      <c r="F46078" s="39"/>
    </row>
    <row r="46079">
      <c r="D46079" s="39"/>
      <c r="E46079" s="39"/>
      <c r="F46079" s="39"/>
    </row>
    <row r="46080">
      <c r="D46080" s="39"/>
      <c r="E46080" s="39"/>
      <c r="F46080" s="39"/>
    </row>
    <row r="46081">
      <c r="D46081" s="39"/>
      <c r="E46081" s="39"/>
      <c r="F46081" s="39"/>
    </row>
    <row r="46082">
      <c r="D46082" s="39"/>
      <c r="E46082" s="39"/>
      <c r="F46082" s="39"/>
    </row>
    <row r="46083">
      <c r="D46083" s="39"/>
      <c r="E46083" s="39"/>
      <c r="F46083" s="39"/>
    </row>
    <row r="46084">
      <c r="D46084" s="39"/>
      <c r="E46084" s="39"/>
      <c r="F46084" s="39"/>
    </row>
    <row r="46085">
      <c r="D46085" s="39"/>
      <c r="E46085" s="39"/>
      <c r="F46085" s="39"/>
    </row>
    <row r="46086">
      <c r="D46086" s="39"/>
      <c r="E46086" s="39"/>
      <c r="F46086" s="39"/>
    </row>
    <row r="46087">
      <c r="D46087" s="39"/>
      <c r="E46087" s="39"/>
      <c r="F46087" s="39"/>
    </row>
    <row r="46088">
      <c r="D46088" s="39"/>
      <c r="E46088" s="39"/>
      <c r="F46088" s="39"/>
    </row>
    <row r="46089">
      <c r="D46089" s="39"/>
      <c r="E46089" s="39"/>
      <c r="F46089" s="39"/>
    </row>
    <row r="46090">
      <c r="D46090" s="39"/>
      <c r="E46090" s="39"/>
      <c r="F46090" s="39"/>
    </row>
    <row r="46091">
      <c r="D46091" s="39"/>
      <c r="E46091" s="39"/>
      <c r="F46091" s="39"/>
    </row>
    <row r="46092">
      <c r="D46092" s="39"/>
      <c r="E46092" s="39"/>
      <c r="F46092" s="39"/>
    </row>
    <row r="46093">
      <c r="D46093" s="39"/>
      <c r="E46093" s="39"/>
      <c r="F46093" s="39"/>
    </row>
    <row r="46094">
      <c r="D46094" s="39"/>
      <c r="E46094" s="39"/>
      <c r="F46094" s="39"/>
    </row>
    <row r="46095">
      <c r="D46095" s="39"/>
      <c r="E46095" s="39"/>
      <c r="F46095" s="39"/>
    </row>
    <row r="46096">
      <c r="D46096" s="39"/>
      <c r="E46096" s="39"/>
      <c r="F46096" s="39"/>
    </row>
    <row r="46097">
      <c r="D46097" s="39"/>
      <c r="E46097" s="39"/>
      <c r="F46097" s="39"/>
    </row>
    <row r="46098">
      <c r="D46098" s="39"/>
      <c r="E46098" s="39"/>
      <c r="F46098" s="39"/>
    </row>
    <row r="46099">
      <c r="D46099" s="39"/>
      <c r="E46099" s="39"/>
      <c r="F46099" s="39"/>
    </row>
    <row r="46100">
      <c r="D46100" s="39"/>
      <c r="E46100" s="39"/>
      <c r="F46100" s="39"/>
    </row>
    <row r="46101">
      <c r="D46101" s="39"/>
      <c r="E46101" s="39"/>
      <c r="F46101" s="39"/>
    </row>
    <row r="46102">
      <c r="D46102" s="39"/>
      <c r="E46102" s="39"/>
      <c r="F46102" s="39"/>
    </row>
    <row r="46103">
      <c r="D46103" s="39"/>
      <c r="E46103" s="39"/>
      <c r="F46103" s="39"/>
    </row>
    <row r="46104">
      <c r="D46104" s="39"/>
      <c r="E46104" s="39"/>
      <c r="F46104" s="39"/>
    </row>
    <row r="46105">
      <c r="D46105" s="39"/>
      <c r="E46105" s="39"/>
      <c r="F46105" s="39"/>
    </row>
    <row r="46106">
      <c r="D46106" s="39"/>
      <c r="E46106" s="39"/>
      <c r="F46106" s="39"/>
    </row>
    <row r="46107">
      <c r="D46107" s="39"/>
      <c r="E46107" s="39"/>
      <c r="F46107" s="39"/>
    </row>
    <row r="46108">
      <c r="D46108" s="39"/>
      <c r="E46108" s="39"/>
      <c r="F46108" s="39"/>
    </row>
    <row r="46109">
      <c r="D46109" s="39"/>
      <c r="E46109" s="39"/>
      <c r="F46109" s="39"/>
    </row>
    <row r="46110">
      <c r="D46110" s="39"/>
      <c r="E46110" s="39"/>
      <c r="F46110" s="39"/>
    </row>
    <row r="46111">
      <c r="D46111" s="39"/>
      <c r="E46111" s="39"/>
      <c r="F46111" s="39"/>
    </row>
    <row r="46112">
      <c r="D46112" s="39"/>
      <c r="E46112" s="39"/>
      <c r="F46112" s="39"/>
    </row>
    <row r="46113">
      <c r="D46113" s="39"/>
      <c r="E46113" s="39"/>
      <c r="F46113" s="39"/>
    </row>
    <row r="46114">
      <c r="D46114" s="39"/>
      <c r="E46114" s="39"/>
      <c r="F46114" s="39"/>
    </row>
    <row r="46115">
      <c r="D46115" s="39"/>
      <c r="E46115" s="39"/>
      <c r="F46115" s="39"/>
    </row>
    <row r="46116">
      <c r="D46116" s="39"/>
      <c r="E46116" s="39"/>
      <c r="F46116" s="39"/>
    </row>
    <row r="46117">
      <c r="D46117" s="39"/>
      <c r="E46117" s="39"/>
      <c r="F46117" s="39"/>
    </row>
    <row r="46118">
      <c r="D46118" s="39"/>
      <c r="E46118" s="39"/>
      <c r="F46118" s="39"/>
    </row>
    <row r="46119">
      <c r="D46119" s="39"/>
      <c r="E46119" s="39"/>
      <c r="F46119" s="39"/>
    </row>
    <row r="46120">
      <c r="D46120" s="39"/>
      <c r="E46120" s="39"/>
      <c r="F46120" s="39"/>
    </row>
    <row r="46121">
      <c r="D46121" s="39"/>
      <c r="E46121" s="39"/>
      <c r="F46121" s="39"/>
    </row>
    <row r="46122">
      <c r="D46122" s="39"/>
      <c r="E46122" s="39"/>
      <c r="F46122" s="39"/>
    </row>
    <row r="46123">
      <c r="D46123" s="39"/>
      <c r="E46123" s="39"/>
      <c r="F46123" s="39"/>
    </row>
    <row r="46124">
      <c r="D46124" s="39"/>
      <c r="E46124" s="39"/>
      <c r="F46124" s="39"/>
    </row>
    <row r="46125">
      <c r="D46125" s="39"/>
      <c r="E46125" s="39"/>
      <c r="F46125" s="39"/>
    </row>
    <row r="46126">
      <c r="D46126" s="39"/>
      <c r="E46126" s="39"/>
      <c r="F46126" s="39"/>
    </row>
    <row r="46127">
      <c r="D46127" s="39"/>
      <c r="E46127" s="39"/>
      <c r="F46127" s="39"/>
    </row>
    <row r="46128">
      <c r="D46128" s="39"/>
      <c r="E46128" s="39"/>
      <c r="F46128" s="39"/>
    </row>
    <row r="46129">
      <c r="D46129" s="39"/>
      <c r="E46129" s="39"/>
      <c r="F46129" s="39"/>
    </row>
    <row r="46130">
      <c r="D46130" s="39"/>
      <c r="E46130" s="39"/>
      <c r="F46130" s="39"/>
    </row>
    <row r="46131">
      <c r="D46131" s="39"/>
      <c r="E46131" s="39"/>
      <c r="F46131" s="39"/>
    </row>
    <row r="46132">
      <c r="D46132" s="39"/>
      <c r="E46132" s="39"/>
      <c r="F46132" s="39"/>
    </row>
    <row r="46133">
      <c r="D46133" s="39"/>
      <c r="E46133" s="39"/>
      <c r="F46133" s="39"/>
    </row>
    <row r="46134">
      <c r="D46134" s="39"/>
      <c r="E46134" s="39"/>
      <c r="F46134" s="39"/>
    </row>
    <row r="46135">
      <c r="D46135" s="39"/>
      <c r="E46135" s="39"/>
      <c r="F46135" s="39"/>
    </row>
    <row r="46136">
      <c r="D46136" s="39"/>
      <c r="E46136" s="39"/>
      <c r="F46136" s="39"/>
    </row>
    <row r="46137">
      <c r="D46137" s="39"/>
      <c r="E46137" s="39"/>
      <c r="F46137" s="39"/>
    </row>
    <row r="46138">
      <c r="D46138" s="39"/>
      <c r="E46138" s="39"/>
      <c r="F46138" s="39"/>
    </row>
    <row r="46139">
      <c r="D46139" s="39"/>
      <c r="E46139" s="39"/>
      <c r="F46139" s="39"/>
    </row>
    <row r="46140">
      <c r="D46140" s="39"/>
      <c r="E46140" s="39"/>
      <c r="F46140" s="39"/>
    </row>
    <row r="46141">
      <c r="D46141" s="39"/>
      <c r="E46141" s="39"/>
      <c r="F46141" s="39"/>
    </row>
    <row r="46142">
      <c r="D46142" s="39"/>
      <c r="E46142" s="39"/>
      <c r="F46142" s="39"/>
    </row>
    <row r="46143">
      <c r="D46143" s="39"/>
      <c r="E46143" s="39"/>
      <c r="F46143" s="39"/>
    </row>
    <row r="46144">
      <c r="D46144" s="39"/>
      <c r="E46144" s="39"/>
      <c r="F46144" s="39"/>
    </row>
    <row r="46145">
      <c r="D46145" s="39"/>
      <c r="E46145" s="39"/>
      <c r="F46145" s="39"/>
    </row>
    <row r="46146">
      <c r="D46146" s="39"/>
      <c r="E46146" s="39"/>
      <c r="F46146" s="39"/>
    </row>
    <row r="46147">
      <c r="D46147" s="39"/>
      <c r="E46147" s="39"/>
      <c r="F46147" s="39"/>
    </row>
    <row r="46148">
      <c r="D46148" s="39"/>
      <c r="E46148" s="39"/>
      <c r="F46148" s="39"/>
    </row>
    <row r="46149">
      <c r="D46149" s="39"/>
      <c r="E46149" s="39"/>
      <c r="F46149" s="39"/>
    </row>
    <row r="46150">
      <c r="D46150" s="39"/>
      <c r="E46150" s="39"/>
      <c r="F46150" s="39"/>
    </row>
    <row r="46151">
      <c r="D46151" s="39"/>
      <c r="E46151" s="39"/>
      <c r="F46151" s="39"/>
    </row>
    <row r="46152">
      <c r="D46152" s="39"/>
      <c r="E46152" s="39"/>
      <c r="F46152" s="39"/>
    </row>
    <row r="46153">
      <c r="D46153" s="39"/>
      <c r="E46153" s="39"/>
      <c r="F46153" s="39"/>
    </row>
    <row r="46154">
      <c r="D46154" s="39"/>
      <c r="E46154" s="39"/>
      <c r="F46154" s="39"/>
    </row>
    <row r="46155">
      <c r="D46155" s="39"/>
      <c r="E46155" s="39"/>
      <c r="F46155" s="39"/>
    </row>
    <row r="46156">
      <c r="D46156" s="39"/>
      <c r="E46156" s="39"/>
      <c r="F46156" s="39"/>
    </row>
    <row r="46157">
      <c r="D46157" s="39"/>
      <c r="E46157" s="39"/>
      <c r="F46157" s="39"/>
    </row>
    <row r="46158">
      <c r="D46158" s="39"/>
      <c r="E46158" s="39"/>
      <c r="F46158" s="39"/>
    </row>
    <row r="46159">
      <c r="D46159" s="39"/>
      <c r="E46159" s="39"/>
      <c r="F46159" s="39"/>
    </row>
    <row r="46160">
      <c r="D46160" s="39"/>
      <c r="E46160" s="39"/>
      <c r="F46160" s="39"/>
    </row>
    <row r="46161">
      <c r="D46161" s="39"/>
      <c r="E46161" s="39"/>
      <c r="F46161" s="39"/>
    </row>
    <row r="46162">
      <c r="D46162" s="39"/>
      <c r="E46162" s="39"/>
      <c r="F46162" s="39"/>
    </row>
    <row r="46163">
      <c r="D46163" s="39"/>
      <c r="E46163" s="39"/>
      <c r="F46163" s="39"/>
    </row>
    <row r="46164">
      <c r="D46164" s="39"/>
      <c r="E46164" s="39"/>
      <c r="F46164" s="39"/>
    </row>
    <row r="46165">
      <c r="D46165" s="39"/>
      <c r="E46165" s="39"/>
      <c r="F46165" s="39"/>
    </row>
    <row r="46166">
      <c r="D46166" s="39"/>
      <c r="E46166" s="39"/>
      <c r="F46166" s="39"/>
    </row>
    <row r="46167">
      <c r="D46167" s="39"/>
      <c r="E46167" s="39"/>
      <c r="F46167" s="39"/>
    </row>
    <row r="46168">
      <c r="D46168" s="39"/>
      <c r="E46168" s="39"/>
      <c r="F46168" s="39"/>
    </row>
    <row r="46169">
      <c r="D46169" s="39"/>
      <c r="E46169" s="39"/>
      <c r="F46169" s="39"/>
    </row>
    <row r="46170">
      <c r="D46170" s="39"/>
      <c r="E46170" s="39"/>
      <c r="F46170" s="39"/>
    </row>
    <row r="46171">
      <c r="D46171" s="39"/>
      <c r="E46171" s="39"/>
      <c r="F46171" s="39"/>
    </row>
    <row r="46172">
      <c r="D46172" s="39"/>
      <c r="E46172" s="39"/>
      <c r="F46172" s="39"/>
    </row>
    <row r="46173">
      <c r="D46173" s="39"/>
      <c r="E46173" s="39"/>
      <c r="F46173" s="39"/>
    </row>
    <row r="46174">
      <c r="D46174" s="39"/>
      <c r="E46174" s="39"/>
      <c r="F46174" s="39"/>
    </row>
    <row r="46175">
      <c r="D46175" s="39"/>
      <c r="E46175" s="39"/>
      <c r="F46175" s="39"/>
    </row>
    <row r="46176">
      <c r="D46176" s="39"/>
      <c r="E46176" s="39"/>
      <c r="F46176" s="39"/>
    </row>
    <row r="46177">
      <c r="D46177" s="39"/>
      <c r="E46177" s="39"/>
      <c r="F46177" s="39"/>
    </row>
    <row r="46178">
      <c r="D46178" s="39"/>
      <c r="E46178" s="39"/>
      <c r="F46178" s="39"/>
    </row>
    <row r="46179">
      <c r="D46179" s="39"/>
      <c r="E46179" s="39"/>
      <c r="F46179" s="39"/>
    </row>
    <row r="46180">
      <c r="D46180" s="39"/>
      <c r="E46180" s="39"/>
      <c r="F46180" s="39"/>
    </row>
    <row r="46181">
      <c r="D46181" s="39"/>
      <c r="E46181" s="39"/>
      <c r="F46181" s="39"/>
    </row>
    <row r="46182">
      <c r="D46182" s="39"/>
      <c r="E46182" s="39"/>
      <c r="F46182" s="39"/>
    </row>
    <row r="46183">
      <c r="D46183" s="39"/>
      <c r="E46183" s="39"/>
      <c r="F46183" s="39"/>
    </row>
    <row r="46184">
      <c r="D46184" s="39"/>
      <c r="E46184" s="39"/>
      <c r="F46184" s="39"/>
    </row>
    <row r="46185">
      <c r="D46185" s="39"/>
      <c r="E46185" s="39"/>
      <c r="F46185" s="39"/>
    </row>
    <row r="46186">
      <c r="D46186" s="39"/>
      <c r="E46186" s="39"/>
      <c r="F46186" s="39"/>
    </row>
    <row r="46187">
      <c r="D46187" s="39"/>
      <c r="E46187" s="39"/>
      <c r="F46187" s="39"/>
    </row>
    <row r="46188">
      <c r="D46188" s="39"/>
      <c r="E46188" s="39"/>
      <c r="F46188" s="39"/>
    </row>
    <row r="46189">
      <c r="D46189" s="39"/>
      <c r="E46189" s="39"/>
      <c r="F46189" s="39"/>
    </row>
    <row r="46190">
      <c r="D46190" s="39"/>
      <c r="E46190" s="39"/>
      <c r="F46190" s="39"/>
    </row>
    <row r="46191">
      <c r="D46191" s="39"/>
      <c r="E46191" s="39"/>
      <c r="F46191" s="39"/>
    </row>
    <row r="46192">
      <c r="D46192" s="39"/>
      <c r="E46192" s="39"/>
      <c r="F46192" s="39"/>
    </row>
    <row r="46193">
      <c r="D46193" s="39"/>
      <c r="E46193" s="39"/>
      <c r="F46193" s="39"/>
    </row>
    <row r="46194">
      <c r="D46194" s="39"/>
      <c r="E46194" s="39"/>
      <c r="F46194" s="39"/>
    </row>
    <row r="46195">
      <c r="D46195" s="39"/>
      <c r="E46195" s="39"/>
      <c r="F46195" s="39"/>
    </row>
    <row r="46196">
      <c r="D46196" s="39"/>
      <c r="E46196" s="39"/>
      <c r="F46196" s="39"/>
    </row>
    <row r="46197">
      <c r="D46197" s="39"/>
      <c r="E46197" s="39"/>
      <c r="F46197" s="39"/>
    </row>
    <row r="46198">
      <c r="D46198" s="39"/>
      <c r="E46198" s="39"/>
      <c r="F46198" s="39"/>
    </row>
    <row r="46199">
      <c r="D46199" s="39"/>
      <c r="E46199" s="39"/>
      <c r="F46199" s="39"/>
    </row>
    <row r="46200">
      <c r="D46200" s="39"/>
      <c r="E46200" s="39"/>
      <c r="F46200" s="39"/>
    </row>
    <row r="46201">
      <c r="D46201" s="39"/>
      <c r="E46201" s="39"/>
      <c r="F46201" s="39"/>
    </row>
    <row r="46202">
      <c r="D46202" s="39"/>
      <c r="E46202" s="39"/>
      <c r="F46202" s="39"/>
    </row>
    <row r="46203">
      <c r="D46203" s="39"/>
      <c r="E46203" s="39"/>
      <c r="F46203" s="39"/>
    </row>
    <row r="46204">
      <c r="D46204" s="39"/>
      <c r="E46204" s="39"/>
      <c r="F46204" s="39"/>
    </row>
    <row r="46205">
      <c r="D46205" s="39"/>
      <c r="E46205" s="39"/>
      <c r="F46205" s="39"/>
    </row>
    <row r="46206">
      <c r="D46206" s="39"/>
      <c r="E46206" s="39"/>
      <c r="F46206" s="39"/>
    </row>
    <row r="46207">
      <c r="D46207" s="39"/>
      <c r="E46207" s="39"/>
      <c r="F46207" s="39"/>
    </row>
    <row r="46208">
      <c r="D46208" s="39"/>
      <c r="E46208" s="39"/>
      <c r="F46208" s="39"/>
    </row>
    <row r="46209">
      <c r="D46209" s="39"/>
      <c r="E46209" s="39"/>
      <c r="F46209" s="39"/>
    </row>
    <row r="46210">
      <c r="D46210" s="39"/>
      <c r="E46210" s="39"/>
      <c r="F46210" s="39"/>
    </row>
    <row r="46211">
      <c r="D46211" s="39"/>
      <c r="E46211" s="39"/>
      <c r="F46211" s="39"/>
    </row>
    <row r="46212">
      <c r="D46212" s="39"/>
      <c r="E46212" s="39"/>
      <c r="F46212" s="39"/>
    </row>
    <row r="46213">
      <c r="D46213" s="39"/>
      <c r="E46213" s="39"/>
      <c r="F46213" s="39"/>
    </row>
    <row r="46214">
      <c r="D46214" s="39"/>
      <c r="E46214" s="39"/>
      <c r="F46214" s="39"/>
    </row>
    <row r="46215">
      <c r="D46215" s="39"/>
      <c r="E46215" s="39"/>
      <c r="F46215" s="39"/>
    </row>
    <row r="46216">
      <c r="D46216" s="39"/>
      <c r="E46216" s="39"/>
      <c r="F46216" s="39"/>
    </row>
    <row r="46217">
      <c r="D46217" s="39"/>
      <c r="E46217" s="39"/>
      <c r="F46217" s="39"/>
    </row>
    <row r="46218">
      <c r="D46218" s="39"/>
      <c r="E46218" s="39"/>
      <c r="F46218" s="39"/>
    </row>
    <row r="46219">
      <c r="D46219" s="39"/>
      <c r="E46219" s="39"/>
      <c r="F46219" s="39"/>
    </row>
    <row r="46220">
      <c r="D46220" s="39"/>
      <c r="E46220" s="39"/>
      <c r="F46220" s="39"/>
    </row>
    <row r="46221">
      <c r="D46221" s="39"/>
      <c r="E46221" s="39"/>
      <c r="F46221" s="39"/>
    </row>
    <row r="46222">
      <c r="D46222" s="39"/>
      <c r="E46222" s="39"/>
      <c r="F46222" s="39"/>
    </row>
    <row r="46223">
      <c r="D46223" s="39"/>
      <c r="E46223" s="39"/>
      <c r="F46223" s="39"/>
    </row>
    <row r="46224">
      <c r="D46224" s="39"/>
      <c r="E46224" s="39"/>
      <c r="F46224" s="39"/>
    </row>
    <row r="46225">
      <c r="D46225" s="39"/>
      <c r="E46225" s="39"/>
      <c r="F46225" s="39"/>
    </row>
    <row r="46226">
      <c r="D46226" s="39"/>
      <c r="E46226" s="39"/>
      <c r="F46226" s="39"/>
    </row>
    <row r="46227">
      <c r="D46227" s="39"/>
      <c r="E46227" s="39"/>
      <c r="F46227" s="39"/>
    </row>
    <row r="46228">
      <c r="D46228" s="39"/>
      <c r="E46228" s="39"/>
      <c r="F46228" s="39"/>
    </row>
    <row r="46229">
      <c r="D46229" s="39"/>
      <c r="E46229" s="39"/>
      <c r="F46229" s="39"/>
    </row>
    <row r="46230">
      <c r="D46230" s="39"/>
      <c r="E46230" s="39"/>
      <c r="F46230" s="39"/>
    </row>
    <row r="46231">
      <c r="D46231" s="39"/>
      <c r="E46231" s="39"/>
      <c r="F46231" s="39"/>
    </row>
    <row r="46232">
      <c r="D46232" s="39"/>
      <c r="E46232" s="39"/>
      <c r="F46232" s="39"/>
    </row>
    <row r="46233">
      <c r="D46233" s="39"/>
      <c r="E46233" s="39"/>
      <c r="F46233" s="39"/>
    </row>
    <row r="46234">
      <c r="D46234" s="39"/>
      <c r="E46234" s="39"/>
      <c r="F46234" s="39"/>
    </row>
    <row r="46235">
      <c r="D46235" s="39"/>
      <c r="E46235" s="39"/>
      <c r="F46235" s="39"/>
    </row>
    <row r="46236">
      <c r="D46236" s="39"/>
      <c r="E46236" s="39"/>
      <c r="F46236" s="39"/>
    </row>
    <row r="46237">
      <c r="D46237" s="39"/>
      <c r="E46237" s="39"/>
      <c r="F46237" s="39"/>
    </row>
    <row r="46238">
      <c r="D46238" s="39"/>
      <c r="E46238" s="39"/>
      <c r="F46238" s="39"/>
    </row>
    <row r="46239">
      <c r="D46239" s="39"/>
      <c r="E46239" s="39"/>
      <c r="F46239" s="39"/>
    </row>
    <row r="46240">
      <c r="D46240" s="39"/>
      <c r="E46240" s="39"/>
      <c r="F46240" s="39"/>
    </row>
    <row r="46241">
      <c r="D46241" s="39"/>
      <c r="E46241" s="39"/>
      <c r="F46241" s="39"/>
    </row>
    <row r="46242">
      <c r="D46242" s="39"/>
      <c r="E46242" s="39"/>
      <c r="F46242" s="39"/>
    </row>
    <row r="46243">
      <c r="D46243" s="39"/>
      <c r="E46243" s="39"/>
      <c r="F46243" s="39"/>
    </row>
    <row r="46244">
      <c r="D46244" s="39"/>
      <c r="E46244" s="39"/>
      <c r="F46244" s="39"/>
    </row>
    <row r="46245">
      <c r="D46245" s="39"/>
      <c r="E46245" s="39"/>
      <c r="F46245" s="39"/>
    </row>
    <row r="46246">
      <c r="D46246" s="39"/>
      <c r="E46246" s="39"/>
      <c r="F46246" s="39"/>
    </row>
    <row r="46247">
      <c r="D46247" s="39"/>
      <c r="E46247" s="39"/>
      <c r="F46247" s="39"/>
    </row>
    <row r="46248">
      <c r="D46248" s="39"/>
      <c r="E46248" s="39"/>
      <c r="F46248" s="39"/>
    </row>
    <row r="46249">
      <c r="D46249" s="39"/>
      <c r="E46249" s="39"/>
      <c r="F46249" s="39"/>
    </row>
    <row r="46250">
      <c r="D46250" s="39"/>
      <c r="E46250" s="39"/>
      <c r="F46250" s="39"/>
    </row>
    <row r="46251">
      <c r="D46251" s="39"/>
      <c r="E46251" s="39"/>
      <c r="F46251" s="39"/>
    </row>
    <row r="46252">
      <c r="D46252" s="39"/>
      <c r="E46252" s="39"/>
      <c r="F46252" s="39"/>
    </row>
    <row r="46253">
      <c r="D46253" s="39"/>
      <c r="E46253" s="39"/>
      <c r="F46253" s="39"/>
    </row>
    <row r="46254">
      <c r="D46254" s="39"/>
      <c r="E46254" s="39"/>
      <c r="F46254" s="39"/>
    </row>
    <row r="46255">
      <c r="D46255" s="39"/>
      <c r="E46255" s="39"/>
      <c r="F46255" s="39"/>
    </row>
    <row r="46256">
      <c r="D46256" s="39"/>
      <c r="E46256" s="39"/>
      <c r="F46256" s="39"/>
    </row>
    <row r="46257">
      <c r="D46257" s="39"/>
      <c r="E46257" s="39"/>
      <c r="F46257" s="39"/>
    </row>
    <row r="46258">
      <c r="D46258" s="39"/>
      <c r="E46258" s="39"/>
      <c r="F46258" s="39"/>
    </row>
    <row r="46259">
      <c r="D46259" s="39"/>
      <c r="E46259" s="39"/>
      <c r="F46259" s="39"/>
    </row>
    <row r="46260">
      <c r="D46260" s="39"/>
      <c r="E46260" s="39"/>
      <c r="F46260" s="39"/>
    </row>
    <row r="46261">
      <c r="D46261" s="39"/>
      <c r="E46261" s="39"/>
      <c r="F46261" s="39"/>
    </row>
    <row r="46262">
      <c r="D46262" s="39"/>
      <c r="E46262" s="39"/>
      <c r="F46262" s="39"/>
    </row>
    <row r="46263">
      <c r="D46263" s="39"/>
      <c r="E46263" s="39"/>
      <c r="F46263" s="39"/>
    </row>
    <row r="46264">
      <c r="D46264" s="39"/>
      <c r="E46264" s="39"/>
      <c r="F46264" s="39"/>
    </row>
    <row r="46265">
      <c r="D46265" s="39"/>
      <c r="E46265" s="39"/>
      <c r="F46265" s="39"/>
    </row>
    <row r="46266">
      <c r="D46266" s="39"/>
      <c r="E46266" s="39"/>
      <c r="F46266" s="39"/>
    </row>
    <row r="46267">
      <c r="D46267" s="39"/>
      <c r="E46267" s="39"/>
      <c r="F46267" s="39"/>
    </row>
    <row r="46268">
      <c r="D46268" s="39"/>
      <c r="E46268" s="39"/>
      <c r="F46268" s="39"/>
    </row>
    <row r="46269">
      <c r="D46269" s="39"/>
      <c r="E46269" s="39"/>
      <c r="F46269" s="39"/>
    </row>
    <row r="46270">
      <c r="D46270" s="39"/>
      <c r="E46270" s="39"/>
      <c r="F46270" s="39"/>
    </row>
    <row r="46271">
      <c r="D46271" s="39"/>
      <c r="E46271" s="39"/>
      <c r="F46271" s="39"/>
    </row>
    <row r="46272">
      <c r="D46272" s="39"/>
      <c r="E46272" s="39"/>
      <c r="F46272" s="39"/>
    </row>
    <row r="46273">
      <c r="D46273" s="39"/>
      <c r="E46273" s="39"/>
      <c r="F46273" s="39"/>
    </row>
    <row r="46274">
      <c r="D46274" s="39"/>
      <c r="E46274" s="39"/>
      <c r="F46274" s="39"/>
    </row>
    <row r="46275">
      <c r="D46275" s="39"/>
      <c r="E46275" s="39"/>
      <c r="F46275" s="39"/>
    </row>
    <row r="46276">
      <c r="D46276" s="39"/>
      <c r="E46276" s="39"/>
      <c r="F46276" s="39"/>
    </row>
    <row r="46277">
      <c r="D46277" s="39"/>
      <c r="E46277" s="39"/>
      <c r="F46277" s="39"/>
    </row>
    <row r="46278">
      <c r="D46278" s="39"/>
      <c r="E46278" s="39"/>
      <c r="F46278" s="39"/>
    </row>
    <row r="46279">
      <c r="D46279" s="39"/>
      <c r="E46279" s="39"/>
      <c r="F46279" s="39"/>
    </row>
    <row r="46280">
      <c r="D46280" s="39"/>
      <c r="E46280" s="39"/>
      <c r="F46280" s="39"/>
    </row>
    <row r="46281">
      <c r="D46281" s="39"/>
      <c r="E46281" s="39"/>
      <c r="F46281" s="39"/>
    </row>
    <row r="46282">
      <c r="D46282" s="39"/>
      <c r="E46282" s="39"/>
      <c r="F46282" s="39"/>
    </row>
    <row r="46283">
      <c r="D46283" s="39"/>
      <c r="E46283" s="39"/>
      <c r="F46283" s="39"/>
    </row>
    <row r="46284">
      <c r="D46284" s="39"/>
      <c r="E46284" s="39"/>
      <c r="F46284" s="39"/>
    </row>
    <row r="46285">
      <c r="D46285" s="39"/>
      <c r="E46285" s="39"/>
      <c r="F46285" s="39"/>
    </row>
    <row r="46286">
      <c r="D46286" s="39"/>
      <c r="E46286" s="39"/>
      <c r="F46286" s="39"/>
    </row>
    <row r="46287">
      <c r="D46287" s="39"/>
      <c r="E46287" s="39"/>
      <c r="F46287" s="39"/>
    </row>
    <row r="46288">
      <c r="D46288" s="39"/>
      <c r="E46288" s="39"/>
      <c r="F46288" s="39"/>
    </row>
    <row r="46289">
      <c r="D46289" s="39"/>
      <c r="E46289" s="39"/>
      <c r="F46289" s="39"/>
    </row>
    <row r="46290">
      <c r="D46290" s="39"/>
      <c r="E46290" s="39"/>
      <c r="F46290" s="39"/>
    </row>
    <row r="46291">
      <c r="D46291" s="39"/>
      <c r="E46291" s="39"/>
      <c r="F46291" s="39"/>
    </row>
    <row r="46292">
      <c r="D46292" s="39"/>
      <c r="E46292" s="39"/>
      <c r="F46292" s="39"/>
    </row>
    <row r="46293">
      <c r="D46293" s="39"/>
      <c r="E46293" s="39"/>
      <c r="F46293" s="39"/>
    </row>
    <row r="46294">
      <c r="D46294" s="39"/>
      <c r="E46294" s="39"/>
      <c r="F46294" s="39"/>
    </row>
    <row r="46295">
      <c r="D46295" s="39"/>
      <c r="E46295" s="39"/>
      <c r="F46295" s="39"/>
    </row>
    <row r="46296">
      <c r="D46296" s="39"/>
      <c r="E46296" s="39"/>
      <c r="F46296" s="39"/>
    </row>
    <row r="46297">
      <c r="D46297" s="39"/>
      <c r="E46297" s="39"/>
      <c r="F46297" s="39"/>
    </row>
    <row r="46298">
      <c r="D46298" s="39"/>
      <c r="E46298" s="39"/>
      <c r="F46298" s="39"/>
    </row>
    <row r="46299">
      <c r="D46299" s="39"/>
      <c r="E46299" s="39"/>
      <c r="F46299" s="39"/>
    </row>
    <row r="46300">
      <c r="D46300" s="39"/>
      <c r="E46300" s="39"/>
      <c r="F46300" s="39"/>
    </row>
    <row r="46301">
      <c r="D46301" s="39"/>
      <c r="E46301" s="39"/>
      <c r="F46301" s="39"/>
    </row>
    <row r="46302">
      <c r="D46302" s="39"/>
      <c r="E46302" s="39"/>
      <c r="F46302" s="39"/>
    </row>
    <row r="46303">
      <c r="D46303" s="39"/>
      <c r="E46303" s="39"/>
      <c r="F46303" s="39"/>
    </row>
    <row r="46304">
      <c r="D46304" s="39"/>
      <c r="E46304" s="39"/>
      <c r="F46304" s="39"/>
    </row>
    <row r="46305">
      <c r="D46305" s="39"/>
      <c r="E46305" s="39"/>
      <c r="F46305" s="39"/>
    </row>
    <row r="46306">
      <c r="D46306" s="39"/>
      <c r="E46306" s="39"/>
      <c r="F46306" s="39"/>
    </row>
    <row r="46307">
      <c r="D46307" s="39"/>
      <c r="E46307" s="39"/>
      <c r="F46307" s="39"/>
    </row>
    <row r="46308">
      <c r="D46308" s="39"/>
      <c r="E46308" s="39"/>
      <c r="F46308" s="39"/>
    </row>
    <row r="46309">
      <c r="D46309" s="39"/>
      <c r="E46309" s="39"/>
      <c r="F46309" s="39"/>
    </row>
    <row r="46310">
      <c r="D46310" s="39"/>
      <c r="E46310" s="39"/>
      <c r="F46310" s="39"/>
    </row>
    <row r="46311">
      <c r="D46311" s="39"/>
      <c r="E46311" s="39"/>
      <c r="F46311" s="39"/>
    </row>
    <row r="46312">
      <c r="D46312" s="39"/>
      <c r="E46312" s="39"/>
      <c r="F46312" s="39"/>
    </row>
    <row r="46313">
      <c r="D46313" s="39"/>
      <c r="E46313" s="39"/>
      <c r="F46313" s="39"/>
    </row>
    <row r="46314">
      <c r="D46314" s="39"/>
      <c r="E46314" s="39"/>
      <c r="F46314" s="39"/>
    </row>
    <row r="46315">
      <c r="D46315" s="39"/>
      <c r="E46315" s="39"/>
      <c r="F46315" s="39"/>
    </row>
    <row r="46316">
      <c r="D46316" s="39"/>
      <c r="E46316" s="39"/>
      <c r="F46316" s="39"/>
    </row>
    <row r="46317">
      <c r="D46317" s="39"/>
      <c r="E46317" s="39"/>
      <c r="F46317" s="39"/>
    </row>
    <row r="46318">
      <c r="D46318" s="39"/>
      <c r="E46318" s="39"/>
      <c r="F46318" s="39"/>
    </row>
    <row r="46319">
      <c r="D46319" s="39"/>
      <c r="E46319" s="39"/>
      <c r="F46319" s="39"/>
    </row>
    <row r="46320">
      <c r="D46320" s="39"/>
      <c r="E46320" s="39"/>
      <c r="F46320" s="39"/>
    </row>
    <row r="46321">
      <c r="D46321" s="39"/>
      <c r="E46321" s="39"/>
      <c r="F46321" s="39"/>
    </row>
    <row r="46322">
      <c r="D46322" s="39"/>
      <c r="E46322" s="39"/>
      <c r="F46322" s="39"/>
    </row>
    <row r="46323">
      <c r="D46323" s="39"/>
      <c r="E46323" s="39"/>
      <c r="F46323" s="39"/>
    </row>
    <row r="46324">
      <c r="D46324" s="39"/>
      <c r="E46324" s="39"/>
      <c r="F46324" s="39"/>
    </row>
    <row r="46325">
      <c r="D46325" s="39"/>
      <c r="E46325" s="39"/>
      <c r="F46325" s="39"/>
    </row>
    <row r="46326">
      <c r="D46326" s="39"/>
      <c r="E46326" s="39"/>
      <c r="F46326" s="39"/>
    </row>
    <row r="46327">
      <c r="D46327" s="39"/>
      <c r="E46327" s="39"/>
      <c r="F46327" s="39"/>
    </row>
    <row r="46328">
      <c r="D46328" s="39"/>
      <c r="E46328" s="39"/>
      <c r="F46328" s="39"/>
    </row>
    <row r="46329">
      <c r="D46329" s="39"/>
      <c r="E46329" s="39"/>
      <c r="F46329" s="39"/>
    </row>
    <row r="46330">
      <c r="D46330" s="39"/>
      <c r="E46330" s="39"/>
      <c r="F46330" s="39"/>
    </row>
    <row r="46331">
      <c r="D46331" s="39"/>
      <c r="E46331" s="39"/>
      <c r="F46331" s="39"/>
    </row>
    <row r="46332">
      <c r="D46332" s="39"/>
      <c r="E46332" s="39"/>
      <c r="F46332" s="39"/>
    </row>
    <row r="46333">
      <c r="D46333" s="39"/>
      <c r="E46333" s="39"/>
      <c r="F46333" s="39"/>
    </row>
    <row r="46334">
      <c r="D46334" s="39"/>
      <c r="E46334" s="39"/>
      <c r="F46334" s="39"/>
    </row>
    <row r="46335">
      <c r="D46335" s="39"/>
      <c r="E46335" s="39"/>
      <c r="F46335" s="39"/>
    </row>
    <row r="46336">
      <c r="D46336" s="39"/>
      <c r="E46336" s="39"/>
      <c r="F46336" s="39"/>
    </row>
    <row r="46337">
      <c r="D46337" s="39"/>
      <c r="E46337" s="39"/>
      <c r="F46337" s="39"/>
    </row>
    <row r="46338">
      <c r="D46338" s="39"/>
      <c r="E46338" s="39"/>
      <c r="F46338" s="39"/>
    </row>
    <row r="46339">
      <c r="D46339" s="39"/>
      <c r="E46339" s="39"/>
      <c r="F46339" s="39"/>
    </row>
    <row r="46340">
      <c r="D46340" s="39"/>
      <c r="E46340" s="39"/>
      <c r="F46340" s="39"/>
    </row>
    <row r="46341">
      <c r="D46341" s="39"/>
      <c r="E46341" s="39"/>
      <c r="F46341" s="39"/>
    </row>
    <row r="46342">
      <c r="D46342" s="39"/>
      <c r="E46342" s="39"/>
      <c r="F46342" s="39"/>
    </row>
    <row r="46343">
      <c r="D46343" s="39"/>
      <c r="E46343" s="39"/>
      <c r="F46343" s="39"/>
    </row>
    <row r="46344">
      <c r="D46344" s="39"/>
      <c r="E46344" s="39"/>
      <c r="F46344" s="39"/>
    </row>
    <row r="46345">
      <c r="D46345" s="39"/>
      <c r="E46345" s="39"/>
      <c r="F46345" s="39"/>
    </row>
    <row r="46346">
      <c r="D46346" s="39"/>
      <c r="E46346" s="39"/>
      <c r="F46346" s="39"/>
    </row>
    <row r="46347">
      <c r="D46347" s="39"/>
      <c r="E46347" s="39"/>
      <c r="F46347" s="39"/>
    </row>
    <row r="46348">
      <c r="D46348" s="39"/>
      <c r="E46348" s="39"/>
      <c r="F46348" s="39"/>
    </row>
    <row r="46349">
      <c r="D46349" s="39"/>
      <c r="E46349" s="39"/>
      <c r="F46349" s="39"/>
    </row>
    <row r="46350">
      <c r="D46350" s="39"/>
      <c r="E46350" s="39"/>
      <c r="F46350" s="39"/>
    </row>
    <row r="46351">
      <c r="D46351" s="39"/>
      <c r="E46351" s="39"/>
      <c r="F46351" s="39"/>
    </row>
    <row r="46352">
      <c r="D46352" s="39"/>
      <c r="E46352" s="39"/>
      <c r="F46352" s="39"/>
    </row>
    <row r="46353">
      <c r="D46353" s="39"/>
      <c r="E46353" s="39"/>
      <c r="F46353" s="39"/>
    </row>
    <row r="46354">
      <c r="D46354" s="39"/>
      <c r="E46354" s="39"/>
      <c r="F46354" s="39"/>
    </row>
    <row r="46355">
      <c r="D46355" s="39"/>
      <c r="E46355" s="39"/>
      <c r="F46355" s="39"/>
    </row>
    <row r="46356">
      <c r="D46356" s="39"/>
      <c r="E46356" s="39"/>
      <c r="F46356" s="39"/>
    </row>
    <row r="46357">
      <c r="D46357" s="39"/>
      <c r="E46357" s="39"/>
      <c r="F46357" s="39"/>
    </row>
    <row r="46358">
      <c r="D46358" s="39"/>
      <c r="E46358" s="39"/>
      <c r="F46358" s="39"/>
    </row>
    <row r="46359">
      <c r="D46359" s="39"/>
      <c r="E46359" s="39"/>
      <c r="F46359" s="39"/>
    </row>
    <row r="46360">
      <c r="D46360" s="39"/>
      <c r="E46360" s="39"/>
      <c r="F46360" s="39"/>
    </row>
    <row r="46361">
      <c r="D46361" s="39"/>
      <c r="E46361" s="39"/>
      <c r="F46361" s="39"/>
    </row>
    <row r="46362">
      <c r="D46362" s="39"/>
      <c r="E46362" s="39"/>
      <c r="F46362" s="39"/>
    </row>
    <row r="46363">
      <c r="D46363" s="39"/>
      <c r="E46363" s="39"/>
      <c r="F46363" s="39"/>
    </row>
    <row r="46364">
      <c r="D46364" s="39"/>
      <c r="E46364" s="39"/>
      <c r="F46364" s="39"/>
    </row>
    <row r="46365">
      <c r="D46365" s="39"/>
      <c r="E46365" s="39"/>
      <c r="F46365" s="39"/>
    </row>
    <row r="46366">
      <c r="D46366" s="39"/>
      <c r="E46366" s="39"/>
      <c r="F46366" s="39"/>
    </row>
    <row r="46367">
      <c r="D46367" s="39"/>
      <c r="E46367" s="39"/>
      <c r="F46367" s="39"/>
    </row>
    <row r="46368">
      <c r="D46368" s="39"/>
      <c r="E46368" s="39"/>
      <c r="F46368" s="39"/>
    </row>
    <row r="46369">
      <c r="D46369" s="39"/>
      <c r="E46369" s="39"/>
      <c r="F46369" s="39"/>
    </row>
    <row r="46370">
      <c r="D46370" s="39"/>
      <c r="E46370" s="39"/>
      <c r="F46370" s="39"/>
    </row>
    <row r="46371">
      <c r="D46371" s="39"/>
      <c r="E46371" s="39"/>
      <c r="F46371" s="39"/>
    </row>
    <row r="46372">
      <c r="D46372" s="39"/>
      <c r="E46372" s="39"/>
      <c r="F46372" s="39"/>
    </row>
    <row r="46373">
      <c r="D46373" s="39"/>
      <c r="E46373" s="39"/>
      <c r="F46373" s="39"/>
    </row>
    <row r="46374">
      <c r="D46374" s="39"/>
      <c r="E46374" s="39"/>
      <c r="F46374" s="39"/>
    </row>
    <row r="46375">
      <c r="D46375" s="39"/>
      <c r="E46375" s="39"/>
      <c r="F46375" s="39"/>
    </row>
    <row r="46376">
      <c r="D46376" s="39"/>
      <c r="E46376" s="39"/>
      <c r="F46376" s="39"/>
    </row>
    <row r="46377">
      <c r="D46377" s="39"/>
      <c r="E46377" s="39"/>
      <c r="F46377" s="39"/>
    </row>
    <row r="46378">
      <c r="D46378" s="39"/>
      <c r="E46378" s="39"/>
      <c r="F46378" s="39"/>
    </row>
    <row r="46379">
      <c r="D46379" s="39"/>
      <c r="E46379" s="39"/>
      <c r="F46379" s="39"/>
    </row>
    <row r="46380">
      <c r="D46380" s="39"/>
      <c r="E46380" s="39"/>
      <c r="F46380" s="39"/>
    </row>
    <row r="46381">
      <c r="D46381" s="39"/>
      <c r="E46381" s="39"/>
      <c r="F46381" s="39"/>
    </row>
    <row r="46382">
      <c r="D46382" s="39"/>
      <c r="E46382" s="39"/>
      <c r="F46382" s="39"/>
    </row>
    <row r="46383">
      <c r="D46383" s="39"/>
      <c r="E46383" s="39"/>
      <c r="F46383" s="39"/>
    </row>
    <row r="46384">
      <c r="D46384" s="39"/>
      <c r="E46384" s="39"/>
      <c r="F46384" s="39"/>
    </row>
    <row r="46385">
      <c r="D46385" s="39"/>
      <c r="E46385" s="39"/>
      <c r="F46385" s="39"/>
    </row>
    <row r="46386">
      <c r="D46386" s="39"/>
      <c r="E46386" s="39"/>
      <c r="F46386" s="39"/>
    </row>
    <row r="46387">
      <c r="D46387" s="39"/>
      <c r="E46387" s="39"/>
      <c r="F46387" s="39"/>
    </row>
    <row r="46388">
      <c r="D46388" s="39"/>
      <c r="E46388" s="39"/>
      <c r="F46388" s="39"/>
    </row>
    <row r="46389">
      <c r="D46389" s="39"/>
      <c r="E46389" s="39"/>
      <c r="F46389" s="39"/>
    </row>
    <row r="46390">
      <c r="D46390" s="39"/>
      <c r="E46390" s="39"/>
      <c r="F46390" s="39"/>
    </row>
    <row r="46391">
      <c r="D46391" s="39"/>
      <c r="E46391" s="39"/>
      <c r="F46391" s="39"/>
    </row>
    <row r="46392">
      <c r="D46392" s="39"/>
      <c r="E46392" s="39"/>
      <c r="F46392" s="39"/>
    </row>
    <row r="46393">
      <c r="D46393" s="39"/>
      <c r="E46393" s="39"/>
      <c r="F46393" s="39"/>
    </row>
    <row r="46394">
      <c r="D46394" s="39"/>
      <c r="E46394" s="39"/>
      <c r="F46394" s="39"/>
    </row>
    <row r="46395">
      <c r="D46395" s="39"/>
      <c r="E46395" s="39"/>
      <c r="F46395" s="39"/>
    </row>
    <row r="46396">
      <c r="D46396" s="39"/>
      <c r="E46396" s="39"/>
      <c r="F46396" s="39"/>
    </row>
    <row r="46397">
      <c r="D46397" s="39"/>
      <c r="E46397" s="39"/>
      <c r="F46397" s="39"/>
    </row>
    <row r="46398">
      <c r="D46398" s="39"/>
      <c r="E46398" s="39"/>
      <c r="F46398" s="39"/>
    </row>
    <row r="46399">
      <c r="D46399" s="39"/>
      <c r="E46399" s="39"/>
      <c r="F46399" s="39"/>
    </row>
    <row r="46400">
      <c r="D46400" s="39"/>
      <c r="E46400" s="39"/>
      <c r="F46400" s="39"/>
    </row>
    <row r="46401">
      <c r="D46401" s="39"/>
      <c r="E46401" s="39"/>
      <c r="F46401" s="39"/>
    </row>
    <row r="46402">
      <c r="D46402" s="39"/>
      <c r="E46402" s="39"/>
      <c r="F46402" s="39"/>
    </row>
    <row r="46403">
      <c r="D46403" s="39"/>
      <c r="E46403" s="39"/>
      <c r="F46403" s="39"/>
    </row>
    <row r="46404">
      <c r="D46404" s="39"/>
      <c r="E46404" s="39"/>
      <c r="F46404" s="39"/>
    </row>
    <row r="46405">
      <c r="D46405" s="39"/>
      <c r="E46405" s="39"/>
      <c r="F46405" s="39"/>
    </row>
    <row r="46406">
      <c r="D46406" s="39"/>
      <c r="E46406" s="39"/>
      <c r="F46406" s="39"/>
    </row>
    <row r="46407">
      <c r="D46407" s="39"/>
      <c r="E46407" s="39"/>
      <c r="F46407" s="39"/>
    </row>
    <row r="46408">
      <c r="D46408" s="39"/>
      <c r="E46408" s="39"/>
      <c r="F46408" s="39"/>
    </row>
    <row r="46409">
      <c r="D46409" s="39"/>
      <c r="E46409" s="39"/>
      <c r="F46409" s="39"/>
    </row>
    <row r="46410">
      <c r="D46410" s="39"/>
      <c r="E46410" s="39"/>
      <c r="F46410" s="39"/>
    </row>
    <row r="46411">
      <c r="D46411" s="39"/>
      <c r="E46411" s="39"/>
      <c r="F46411" s="39"/>
    </row>
    <row r="46412">
      <c r="D46412" s="39"/>
      <c r="E46412" s="39"/>
      <c r="F46412" s="39"/>
    </row>
    <row r="46413">
      <c r="D46413" s="39"/>
      <c r="E46413" s="39"/>
      <c r="F46413" s="39"/>
    </row>
    <row r="46414">
      <c r="D46414" s="39"/>
      <c r="E46414" s="39"/>
      <c r="F46414" s="39"/>
    </row>
    <row r="46415">
      <c r="D46415" s="39"/>
      <c r="E46415" s="39"/>
      <c r="F46415" s="39"/>
    </row>
    <row r="46416">
      <c r="D46416" s="39"/>
      <c r="E46416" s="39"/>
      <c r="F46416" s="39"/>
    </row>
    <row r="46417">
      <c r="D46417" s="39"/>
      <c r="E46417" s="39"/>
      <c r="F46417" s="39"/>
    </row>
    <row r="46418">
      <c r="D46418" s="39"/>
      <c r="E46418" s="39"/>
      <c r="F46418" s="39"/>
    </row>
    <row r="46419">
      <c r="D46419" s="39"/>
      <c r="E46419" s="39"/>
      <c r="F46419" s="39"/>
    </row>
    <row r="46420">
      <c r="D46420" s="39"/>
      <c r="E46420" s="39"/>
      <c r="F46420" s="39"/>
    </row>
    <row r="46421">
      <c r="D46421" s="39"/>
      <c r="E46421" s="39"/>
      <c r="F46421" s="39"/>
    </row>
    <row r="46422">
      <c r="D46422" s="39"/>
      <c r="E46422" s="39"/>
      <c r="F46422" s="39"/>
    </row>
    <row r="46423">
      <c r="D46423" s="39"/>
      <c r="E46423" s="39"/>
      <c r="F46423" s="39"/>
    </row>
    <row r="46424">
      <c r="D46424" s="39"/>
      <c r="E46424" s="39"/>
      <c r="F46424" s="39"/>
    </row>
    <row r="46425">
      <c r="D46425" s="39"/>
      <c r="E46425" s="39"/>
      <c r="F46425" s="39"/>
    </row>
    <row r="46426">
      <c r="D46426" s="39"/>
      <c r="E46426" s="39"/>
      <c r="F46426" s="39"/>
    </row>
    <row r="46427">
      <c r="D46427" s="39"/>
      <c r="E46427" s="39"/>
      <c r="F46427" s="39"/>
    </row>
    <row r="46428">
      <c r="D46428" s="39"/>
      <c r="E46428" s="39"/>
      <c r="F46428" s="39"/>
    </row>
    <row r="46429">
      <c r="D46429" s="39"/>
      <c r="E46429" s="39"/>
      <c r="F46429" s="39"/>
    </row>
    <row r="46430">
      <c r="D46430" s="39"/>
      <c r="E46430" s="39"/>
      <c r="F46430" s="39"/>
    </row>
    <row r="46431">
      <c r="D46431" s="39"/>
      <c r="E46431" s="39"/>
      <c r="F46431" s="39"/>
    </row>
    <row r="46432">
      <c r="D46432" s="39"/>
      <c r="E46432" s="39"/>
      <c r="F46432" s="39"/>
    </row>
    <row r="46433">
      <c r="D46433" s="39"/>
      <c r="E46433" s="39"/>
      <c r="F46433" s="39"/>
    </row>
    <row r="46434">
      <c r="D46434" s="39"/>
      <c r="E46434" s="39"/>
      <c r="F46434" s="39"/>
    </row>
    <row r="46435">
      <c r="D46435" s="39"/>
      <c r="E46435" s="39"/>
      <c r="F46435" s="39"/>
    </row>
    <row r="46436">
      <c r="D46436" s="39"/>
      <c r="E46436" s="39"/>
      <c r="F46436" s="39"/>
    </row>
    <row r="46437">
      <c r="D46437" s="39"/>
      <c r="E46437" s="39"/>
      <c r="F46437" s="39"/>
    </row>
    <row r="46438">
      <c r="D46438" s="39"/>
      <c r="E46438" s="39"/>
      <c r="F46438" s="39"/>
    </row>
    <row r="46439">
      <c r="D46439" s="39"/>
      <c r="E46439" s="39"/>
      <c r="F46439" s="39"/>
    </row>
    <row r="46440">
      <c r="D46440" s="39"/>
      <c r="E46440" s="39"/>
      <c r="F46440" s="39"/>
    </row>
    <row r="46441">
      <c r="D46441" s="39"/>
      <c r="E46441" s="39"/>
      <c r="F46441" s="39"/>
    </row>
    <row r="46442">
      <c r="D46442" s="39"/>
      <c r="E46442" s="39"/>
      <c r="F46442" s="39"/>
    </row>
    <row r="46443">
      <c r="D46443" s="39"/>
      <c r="E46443" s="39"/>
      <c r="F46443" s="39"/>
    </row>
    <row r="46444">
      <c r="D46444" s="39"/>
      <c r="E46444" s="39"/>
      <c r="F46444" s="39"/>
    </row>
    <row r="46445">
      <c r="D46445" s="39"/>
      <c r="E46445" s="39"/>
      <c r="F46445" s="39"/>
    </row>
    <row r="46446">
      <c r="D46446" s="39"/>
      <c r="E46446" s="39"/>
      <c r="F46446" s="39"/>
    </row>
    <row r="46447">
      <c r="D46447" s="39"/>
      <c r="E46447" s="39"/>
      <c r="F46447" s="39"/>
    </row>
    <row r="46448">
      <c r="D46448" s="39"/>
      <c r="E46448" s="39"/>
      <c r="F46448" s="39"/>
    </row>
    <row r="46449">
      <c r="D46449" s="39"/>
      <c r="E46449" s="39"/>
      <c r="F46449" s="39"/>
    </row>
    <row r="46450">
      <c r="D46450" s="39"/>
      <c r="E46450" s="39"/>
      <c r="F46450" s="39"/>
    </row>
    <row r="46451">
      <c r="D46451" s="39"/>
      <c r="E46451" s="39"/>
      <c r="F46451" s="39"/>
    </row>
    <row r="46452">
      <c r="D46452" s="39"/>
      <c r="E46452" s="39"/>
      <c r="F46452" s="39"/>
    </row>
    <row r="46453">
      <c r="D46453" s="39"/>
      <c r="E46453" s="39"/>
      <c r="F46453" s="39"/>
    </row>
    <row r="46454">
      <c r="D46454" s="39"/>
      <c r="E46454" s="39"/>
      <c r="F46454" s="39"/>
    </row>
    <row r="46455">
      <c r="D46455" s="39"/>
      <c r="E46455" s="39"/>
      <c r="F46455" s="39"/>
    </row>
    <row r="46456">
      <c r="D46456" s="39"/>
      <c r="E46456" s="39"/>
      <c r="F46456" s="39"/>
    </row>
    <row r="46457">
      <c r="D46457" s="39"/>
      <c r="E46457" s="39"/>
      <c r="F46457" s="39"/>
    </row>
    <row r="46458">
      <c r="D46458" s="39"/>
      <c r="E46458" s="39"/>
      <c r="F46458" s="39"/>
    </row>
    <row r="46459">
      <c r="D46459" s="39"/>
      <c r="E46459" s="39"/>
      <c r="F46459" s="39"/>
    </row>
    <row r="46460">
      <c r="D46460" s="39"/>
      <c r="E46460" s="39"/>
      <c r="F46460" s="39"/>
    </row>
    <row r="46461">
      <c r="D46461" s="39"/>
      <c r="E46461" s="39"/>
      <c r="F46461" s="39"/>
    </row>
    <row r="46462">
      <c r="D46462" s="39"/>
      <c r="E46462" s="39"/>
      <c r="F46462" s="39"/>
    </row>
    <row r="46463">
      <c r="D46463" s="39"/>
      <c r="E46463" s="39"/>
      <c r="F46463" s="39"/>
    </row>
    <row r="46464">
      <c r="D46464" s="39"/>
      <c r="E46464" s="39"/>
      <c r="F46464" s="39"/>
    </row>
    <row r="46465">
      <c r="D46465" s="39"/>
      <c r="E46465" s="39"/>
      <c r="F46465" s="39"/>
    </row>
    <row r="46466">
      <c r="D46466" s="39"/>
      <c r="E46466" s="39"/>
      <c r="F46466" s="39"/>
    </row>
    <row r="46467">
      <c r="D46467" s="39"/>
      <c r="E46467" s="39"/>
      <c r="F46467" s="39"/>
    </row>
    <row r="46468">
      <c r="D46468" s="39"/>
      <c r="E46468" s="39"/>
      <c r="F46468" s="39"/>
    </row>
    <row r="46469">
      <c r="D46469" s="39"/>
      <c r="E46469" s="39"/>
      <c r="F46469" s="39"/>
    </row>
    <row r="46470">
      <c r="D46470" s="39"/>
      <c r="E46470" s="39"/>
      <c r="F46470" s="39"/>
    </row>
    <row r="46471">
      <c r="D46471" s="39"/>
      <c r="E46471" s="39"/>
      <c r="F46471" s="39"/>
    </row>
    <row r="46472">
      <c r="D46472" s="39"/>
      <c r="E46472" s="39"/>
      <c r="F46472" s="39"/>
    </row>
    <row r="46473">
      <c r="D46473" s="39"/>
      <c r="E46473" s="39"/>
      <c r="F46473" s="39"/>
    </row>
    <row r="46474">
      <c r="D46474" s="39"/>
      <c r="E46474" s="39"/>
      <c r="F46474" s="39"/>
    </row>
    <row r="46475">
      <c r="D46475" s="39"/>
      <c r="E46475" s="39"/>
      <c r="F46475" s="39"/>
    </row>
    <row r="46476">
      <c r="D46476" s="39"/>
      <c r="E46476" s="39"/>
      <c r="F46476" s="39"/>
    </row>
    <row r="46477">
      <c r="D46477" s="39"/>
      <c r="E46477" s="39"/>
      <c r="F46477" s="39"/>
    </row>
    <row r="46478">
      <c r="D46478" s="39"/>
      <c r="E46478" s="39"/>
      <c r="F46478" s="39"/>
    </row>
    <row r="46479">
      <c r="D46479" s="39"/>
      <c r="E46479" s="39"/>
      <c r="F46479" s="39"/>
    </row>
    <row r="46480">
      <c r="D46480" s="39"/>
      <c r="E46480" s="39"/>
      <c r="F46480" s="39"/>
    </row>
    <row r="46481">
      <c r="D46481" s="39"/>
      <c r="E46481" s="39"/>
      <c r="F46481" s="39"/>
    </row>
    <row r="46482">
      <c r="D46482" s="39"/>
      <c r="E46482" s="39"/>
      <c r="F46482" s="39"/>
    </row>
    <row r="46483">
      <c r="D46483" s="39"/>
      <c r="E46483" s="39"/>
      <c r="F46483" s="39"/>
    </row>
    <row r="46484">
      <c r="D46484" s="39"/>
      <c r="E46484" s="39"/>
      <c r="F46484" s="39"/>
    </row>
    <row r="46485">
      <c r="D46485" s="39"/>
      <c r="E46485" s="39"/>
      <c r="F46485" s="39"/>
    </row>
    <row r="46486">
      <c r="D46486" s="39"/>
      <c r="E46486" s="39"/>
      <c r="F46486" s="39"/>
    </row>
    <row r="46487">
      <c r="D46487" s="39"/>
      <c r="E46487" s="39"/>
      <c r="F46487" s="39"/>
    </row>
    <row r="46488">
      <c r="D46488" s="39"/>
      <c r="E46488" s="39"/>
      <c r="F46488" s="39"/>
    </row>
    <row r="46489">
      <c r="D46489" s="39"/>
      <c r="E46489" s="39"/>
      <c r="F46489" s="39"/>
    </row>
    <row r="46490">
      <c r="D46490" s="39"/>
      <c r="E46490" s="39"/>
      <c r="F46490" s="39"/>
    </row>
    <row r="46491">
      <c r="D46491" s="39"/>
      <c r="E46491" s="39"/>
      <c r="F46491" s="39"/>
    </row>
    <row r="46492">
      <c r="D46492" s="39"/>
      <c r="E46492" s="39"/>
      <c r="F46492" s="39"/>
    </row>
    <row r="46493">
      <c r="D46493" s="39"/>
      <c r="E46493" s="39"/>
      <c r="F46493" s="39"/>
    </row>
    <row r="46494">
      <c r="D46494" s="39"/>
      <c r="E46494" s="39"/>
      <c r="F46494" s="39"/>
    </row>
    <row r="46495">
      <c r="D46495" s="39"/>
      <c r="E46495" s="39"/>
      <c r="F46495" s="39"/>
    </row>
    <row r="46496">
      <c r="D46496" s="39"/>
      <c r="E46496" s="39"/>
      <c r="F46496" s="39"/>
    </row>
    <row r="46497">
      <c r="D46497" s="39"/>
      <c r="E46497" s="39"/>
      <c r="F46497" s="39"/>
    </row>
    <row r="46498">
      <c r="D46498" s="39"/>
      <c r="E46498" s="39"/>
      <c r="F46498" s="39"/>
    </row>
    <row r="46499">
      <c r="D46499" s="39"/>
      <c r="E46499" s="39"/>
      <c r="F46499" s="39"/>
    </row>
    <row r="46500">
      <c r="D46500" s="39"/>
      <c r="E46500" s="39"/>
      <c r="F46500" s="39"/>
    </row>
    <row r="46501">
      <c r="D46501" s="39"/>
      <c r="E46501" s="39"/>
      <c r="F46501" s="39"/>
    </row>
    <row r="46502">
      <c r="D46502" s="39"/>
      <c r="E46502" s="39"/>
      <c r="F46502" s="39"/>
    </row>
    <row r="46503">
      <c r="D46503" s="39"/>
      <c r="E46503" s="39"/>
      <c r="F46503" s="39"/>
    </row>
    <row r="46504">
      <c r="D46504" s="39"/>
      <c r="E46504" s="39"/>
      <c r="F46504" s="39"/>
    </row>
    <row r="46505">
      <c r="D46505" s="39"/>
      <c r="E46505" s="39"/>
      <c r="F46505" s="39"/>
    </row>
    <row r="46506">
      <c r="D46506" s="39"/>
      <c r="E46506" s="39"/>
      <c r="F46506" s="39"/>
    </row>
    <row r="46507">
      <c r="D46507" s="39"/>
      <c r="E46507" s="39"/>
      <c r="F46507" s="39"/>
    </row>
    <row r="46508">
      <c r="D46508" s="39"/>
      <c r="E46508" s="39"/>
      <c r="F46508" s="39"/>
    </row>
    <row r="46509">
      <c r="D46509" s="39"/>
      <c r="E46509" s="39"/>
      <c r="F46509" s="39"/>
    </row>
    <row r="46510">
      <c r="D46510" s="39"/>
      <c r="E46510" s="39"/>
      <c r="F46510" s="39"/>
    </row>
    <row r="46511">
      <c r="D46511" s="39"/>
      <c r="E46511" s="39"/>
      <c r="F46511" s="39"/>
    </row>
    <row r="46512">
      <c r="D46512" s="39"/>
      <c r="E46512" s="39"/>
      <c r="F46512" s="39"/>
    </row>
    <row r="46513">
      <c r="D46513" s="39"/>
      <c r="E46513" s="39"/>
      <c r="F46513" s="39"/>
    </row>
    <row r="46514">
      <c r="D46514" s="39"/>
      <c r="E46514" s="39"/>
      <c r="F46514" s="39"/>
    </row>
    <row r="46515">
      <c r="D46515" s="39"/>
      <c r="E46515" s="39"/>
      <c r="F46515" s="39"/>
    </row>
    <row r="46516">
      <c r="D46516" s="39"/>
      <c r="E46516" s="39"/>
      <c r="F46516" s="39"/>
    </row>
    <row r="46517">
      <c r="D46517" s="39"/>
      <c r="E46517" s="39"/>
      <c r="F46517" s="39"/>
    </row>
    <row r="46518">
      <c r="D46518" s="39"/>
      <c r="E46518" s="39"/>
      <c r="F46518" s="39"/>
    </row>
    <row r="46519">
      <c r="D46519" s="39"/>
      <c r="E46519" s="39"/>
      <c r="F46519" s="39"/>
    </row>
    <row r="46520">
      <c r="D46520" s="39"/>
      <c r="E46520" s="39"/>
      <c r="F46520" s="39"/>
    </row>
    <row r="46521">
      <c r="D46521" s="39"/>
      <c r="E46521" s="39"/>
      <c r="F46521" s="39"/>
    </row>
    <row r="46522">
      <c r="D46522" s="39"/>
      <c r="E46522" s="39"/>
      <c r="F46522" s="39"/>
    </row>
    <row r="46523">
      <c r="D46523" s="39"/>
      <c r="E46523" s="39"/>
      <c r="F46523" s="39"/>
    </row>
    <row r="46524">
      <c r="D46524" s="39"/>
      <c r="E46524" s="39"/>
      <c r="F46524" s="39"/>
    </row>
    <row r="46525">
      <c r="D46525" s="39"/>
      <c r="E46525" s="39"/>
      <c r="F46525" s="39"/>
    </row>
    <row r="46526">
      <c r="D46526" s="39"/>
      <c r="E46526" s="39"/>
      <c r="F46526" s="39"/>
    </row>
    <row r="46527">
      <c r="D46527" s="39"/>
      <c r="E46527" s="39"/>
      <c r="F46527" s="39"/>
    </row>
    <row r="46528">
      <c r="D46528" s="39"/>
      <c r="E46528" s="39"/>
      <c r="F46528" s="39"/>
    </row>
    <row r="46529">
      <c r="D46529" s="39"/>
      <c r="E46529" s="39"/>
      <c r="F46529" s="39"/>
    </row>
    <row r="46530">
      <c r="D46530" s="39"/>
      <c r="E46530" s="39"/>
      <c r="F46530" s="39"/>
    </row>
    <row r="46531">
      <c r="D46531" s="39"/>
      <c r="E46531" s="39"/>
      <c r="F46531" s="39"/>
    </row>
    <row r="46532">
      <c r="D46532" s="39"/>
      <c r="E46532" s="39"/>
      <c r="F46532" s="39"/>
    </row>
    <row r="46533">
      <c r="D46533" s="39"/>
      <c r="E46533" s="39"/>
      <c r="F46533" s="39"/>
    </row>
    <row r="46534">
      <c r="D46534" s="39"/>
      <c r="E46534" s="39"/>
      <c r="F46534" s="39"/>
    </row>
    <row r="46535">
      <c r="D46535" s="39"/>
      <c r="E46535" s="39"/>
      <c r="F46535" s="39"/>
    </row>
    <row r="46536">
      <c r="D46536" s="39"/>
      <c r="E46536" s="39"/>
      <c r="F46536" s="39"/>
    </row>
    <row r="46537">
      <c r="D46537" s="39"/>
      <c r="E46537" s="39"/>
      <c r="F46537" s="39"/>
    </row>
    <row r="46538">
      <c r="D46538" s="39"/>
      <c r="E46538" s="39"/>
      <c r="F46538" s="39"/>
    </row>
    <row r="46539">
      <c r="D46539" s="39"/>
      <c r="E46539" s="39"/>
      <c r="F46539" s="39"/>
    </row>
    <row r="46540">
      <c r="D46540" s="39"/>
      <c r="E46540" s="39"/>
      <c r="F46540" s="39"/>
    </row>
    <row r="46541">
      <c r="D46541" s="39"/>
      <c r="E46541" s="39"/>
      <c r="F46541" s="39"/>
    </row>
    <row r="46542">
      <c r="D46542" s="39"/>
      <c r="E46542" s="39"/>
      <c r="F46542" s="39"/>
    </row>
    <row r="46543">
      <c r="D46543" s="39"/>
      <c r="E46543" s="39"/>
      <c r="F46543" s="39"/>
    </row>
    <row r="46544">
      <c r="D46544" s="39"/>
      <c r="E46544" s="39"/>
      <c r="F46544" s="39"/>
    </row>
    <row r="46545">
      <c r="D46545" s="39"/>
      <c r="E46545" s="39"/>
      <c r="F46545" s="39"/>
    </row>
    <row r="46546">
      <c r="D46546" s="39"/>
      <c r="E46546" s="39"/>
      <c r="F46546" s="39"/>
    </row>
    <row r="46547">
      <c r="D46547" s="39"/>
      <c r="E46547" s="39"/>
      <c r="F46547" s="39"/>
    </row>
    <row r="46548">
      <c r="D46548" s="39"/>
      <c r="E46548" s="39"/>
      <c r="F46548" s="39"/>
    </row>
    <row r="46549">
      <c r="D46549" s="39"/>
      <c r="E46549" s="39"/>
      <c r="F46549" s="39"/>
    </row>
    <row r="46550">
      <c r="D46550" s="39"/>
      <c r="E46550" s="39"/>
      <c r="F46550" s="39"/>
    </row>
    <row r="46551">
      <c r="D46551" s="39"/>
      <c r="E46551" s="39"/>
      <c r="F46551" s="39"/>
    </row>
    <row r="46552">
      <c r="D46552" s="39"/>
      <c r="E46552" s="39"/>
      <c r="F46552" s="39"/>
    </row>
    <row r="46553">
      <c r="D46553" s="39"/>
      <c r="E46553" s="39"/>
      <c r="F46553" s="39"/>
    </row>
    <row r="46554">
      <c r="D46554" s="39"/>
      <c r="E46554" s="39"/>
      <c r="F46554" s="39"/>
    </row>
    <row r="46555">
      <c r="D46555" s="39"/>
      <c r="E46555" s="39"/>
      <c r="F46555" s="39"/>
    </row>
    <row r="46556">
      <c r="D46556" s="39"/>
      <c r="E46556" s="39"/>
      <c r="F46556" s="39"/>
    </row>
    <row r="46557">
      <c r="D46557" s="39"/>
      <c r="E46557" s="39"/>
      <c r="F46557" s="39"/>
    </row>
    <row r="46558">
      <c r="D46558" s="39"/>
      <c r="E46558" s="39"/>
      <c r="F46558" s="39"/>
    </row>
    <row r="46559">
      <c r="D46559" s="39"/>
      <c r="E46559" s="39"/>
      <c r="F46559" s="39"/>
    </row>
    <row r="46560">
      <c r="D46560" s="39"/>
      <c r="E46560" s="39"/>
      <c r="F46560" s="39"/>
    </row>
    <row r="46561">
      <c r="D46561" s="39"/>
      <c r="E46561" s="39"/>
      <c r="F46561" s="39"/>
    </row>
    <row r="46562">
      <c r="D46562" s="39"/>
      <c r="E46562" s="39"/>
      <c r="F46562" s="39"/>
    </row>
    <row r="46563">
      <c r="D46563" s="39"/>
      <c r="E46563" s="39"/>
      <c r="F46563" s="39"/>
    </row>
    <row r="46564">
      <c r="D46564" s="39"/>
      <c r="E46564" s="39"/>
      <c r="F46564" s="39"/>
    </row>
    <row r="46565">
      <c r="D46565" s="39"/>
      <c r="E46565" s="39"/>
      <c r="F46565" s="39"/>
    </row>
    <row r="46566">
      <c r="D46566" s="39"/>
      <c r="E46566" s="39"/>
      <c r="F46566" s="39"/>
    </row>
    <row r="46567">
      <c r="D46567" s="39"/>
      <c r="E46567" s="39"/>
      <c r="F46567" s="39"/>
    </row>
    <row r="46568">
      <c r="D46568" s="39"/>
      <c r="E46568" s="39"/>
      <c r="F46568" s="39"/>
    </row>
    <row r="46569">
      <c r="D46569" s="39"/>
      <c r="E46569" s="39"/>
      <c r="F46569" s="39"/>
    </row>
    <row r="46570">
      <c r="D46570" s="39"/>
      <c r="E46570" s="39"/>
      <c r="F46570" s="39"/>
    </row>
    <row r="46571">
      <c r="D46571" s="39"/>
      <c r="E46571" s="39"/>
      <c r="F46571" s="39"/>
    </row>
    <row r="46572">
      <c r="D46572" s="39"/>
      <c r="E46572" s="39"/>
      <c r="F46572" s="39"/>
    </row>
    <row r="46573">
      <c r="D46573" s="39"/>
      <c r="E46573" s="39"/>
      <c r="F46573" s="39"/>
    </row>
    <row r="46574">
      <c r="D46574" s="39"/>
      <c r="E46574" s="39"/>
      <c r="F46574" s="39"/>
    </row>
    <row r="46575">
      <c r="D46575" s="39"/>
      <c r="E46575" s="39"/>
      <c r="F46575" s="39"/>
    </row>
    <row r="46576">
      <c r="D46576" s="39"/>
      <c r="E46576" s="39"/>
      <c r="F46576" s="39"/>
    </row>
    <row r="46577">
      <c r="D46577" s="39"/>
      <c r="E46577" s="39"/>
      <c r="F46577" s="39"/>
    </row>
    <row r="46578">
      <c r="D46578" s="39"/>
      <c r="E46578" s="39"/>
      <c r="F46578" s="39"/>
    </row>
    <row r="46579">
      <c r="D46579" s="39"/>
      <c r="E46579" s="39"/>
      <c r="F46579" s="39"/>
    </row>
    <row r="46580">
      <c r="D46580" s="39"/>
      <c r="E46580" s="39"/>
      <c r="F46580" s="39"/>
    </row>
    <row r="46581">
      <c r="D46581" s="39"/>
      <c r="E46581" s="39"/>
      <c r="F46581" s="39"/>
    </row>
    <row r="46582">
      <c r="D46582" s="39"/>
      <c r="E46582" s="39"/>
      <c r="F46582" s="39"/>
    </row>
    <row r="46583">
      <c r="D46583" s="39"/>
      <c r="E46583" s="39"/>
      <c r="F46583" s="39"/>
    </row>
    <row r="46584">
      <c r="D46584" s="39"/>
      <c r="E46584" s="39"/>
      <c r="F46584" s="39"/>
    </row>
    <row r="46585">
      <c r="D46585" s="39"/>
      <c r="E46585" s="39"/>
      <c r="F46585" s="39"/>
    </row>
    <row r="46586">
      <c r="D46586" s="39"/>
      <c r="E46586" s="39"/>
      <c r="F46586" s="39"/>
    </row>
    <row r="46587">
      <c r="D46587" s="39"/>
      <c r="E46587" s="39"/>
      <c r="F46587" s="39"/>
    </row>
    <row r="46588">
      <c r="D46588" s="39"/>
      <c r="E46588" s="39"/>
      <c r="F46588" s="39"/>
    </row>
    <row r="46589">
      <c r="D46589" s="39"/>
      <c r="E46589" s="39"/>
      <c r="F46589" s="39"/>
    </row>
    <row r="46590">
      <c r="D46590" s="39"/>
      <c r="E46590" s="39"/>
      <c r="F46590" s="39"/>
    </row>
    <row r="46591">
      <c r="D46591" s="39"/>
      <c r="E46591" s="39"/>
      <c r="F46591" s="39"/>
    </row>
    <row r="46592">
      <c r="D46592" s="39"/>
      <c r="E46592" s="39"/>
      <c r="F46592" s="39"/>
    </row>
    <row r="46593">
      <c r="D46593" s="39"/>
      <c r="E46593" s="39"/>
      <c r="F46593" s="39"/>
    </row>
    <row r="46594">
      <c r="D46594" s="39"/>
      <c r="E46594" s="39"/>
      <c r="F46594" s="39"/>
    </row>
    <row r="46595">
      <c r="D46595" s="39"/>
      <c r="E46595" s="39"/>
      <c r="F46595" s="39"/>
    </row>
    <row r="46596">
      <c r="D46596" s="39"/>
      <c r="E46596" s="39"/>
      <c r="F46596" s="39"/>
    </row>
    <row r="46597">
      <c r="D46597" s="39"/>
      <c r="E46597" s="39"/>
      <c r="F46597" s="39"/>
    </row>
    <row r="46598">
      <c r="D46598" s="39"/>
      <c r="E46598" s="39"/>
      <c r="F46598" s="39"/>
    </row>
    <row r="46599">
      <c r="D46599" s="39"/>
      <c r="E46599" s="39"/>
      <c r="F46599" s="39"/>
    </row>
    <row r="46600">
      <c r="D46600" s="39"/>
      <c r="E46600" s="39"/>
      <c r="F46600" s="39"/>
    </row>
    <row r="46601">
      <c r="D46601" s="39"/>
      <c r="E46601" s="39"/>
      <c r="F46601" s="39"/>
    </row>
    <row r="46602">
      <c r="D46602" s="39"/>
      <c r="E46602" s="39"/>
      <c r="F46602" s="39"/>
    </row>
    <row r="46603">
      <c r="D46603" s="39"/>
      <c r="E46603" s="39"/>
      <c r="F46603" s="39"/>
    </row>
    <row r="46604">
      <c r="D46604" s="39"/>
      <c r="E46604" s="39"/>
      <c r="F46604" s="39"/>
    </row>
    <row r="46605">
      <c r="D46605" s="39"/>
      <c r="E46605" s="39"/>
      <c r="F46605" s="39"/>
    </row>
    <row r="46606">
      <c r="D46606" s="39"/>
      <c r="E46606" s="39"/>
      <c r="F46606" s="39"/>
    </row>
    <row r="46607">
      <c r="D46607" s="39"/>
      <c r="E46607" s="39"/>
      <c r="F46607" s="39"/>
    </row>
    <row r="46608">
      <c r="D46608" s="39"/>
      <c r="E46608" s="39"/>
      <c r="F46608" s="39"/>
    </row>
    <row r="46609">
      <c r="D46609" s="39"/>
      <c r="E46609" s="39"/>
      <c r="F46609" s="39"/>
    </row>
    <row r="46610">
      <c r="D46610" s="39"/>
      <c r="E46610" s="39"/>
      <c r="F46610" s="39"/>
    </row>
    <row r="46611">
      <c r="D46611" s="39"/>
      <c r="E46611" s="39"/>
      <c r="F46611" s="39"/>
    </row>
    <row r="46612">
      <c r="D46612" s="39"/>
      <c r="E46612" s="39"/>
      <c r="F46612" s="39"/>
    </row>
    <row r="46613">
      <c r="D46613" s="39"/>
      <c r="E46613" s="39"/>
      <c r="F46613" s="39"/>
    </row>
    <row r="46614">
      <c r="D46614" s="39"/>
      <c r="E46614" s="39"/>
      <c r="F46614" s="39"/>
    </row>
    <row r="46615">
      <c r="D46615" s="39"/>
      <c r="E46615" s="39"/>
      <c r="F46615" s="39"/>
    </row>
    <row r="46616">
      <c r="D46616" s="39"/>
      <c r="E46616" s="39"/>
      <c r="F46616" s="39"/>
    </row>
    <row r="46617">
      <c r="D46617" s="39"/>
      <c r="E46617" s="39"/>
      <c r="F46617" s="39"/>
    </row>
    <row r="46618">
      <c r="D46618" s="39"/>
      <c r="E46618" s="39"/>
      <c r="F46618" s="39"/>
    </row>
    <row r="46619">
      <c r="D46619" s="39"/>
      <c r="E46619" s="39"/>
      <c r="F46619" s="39"/>
    </row>
    <row r="46620">
      <c r="D46620" s="39"/>
      <c r="E46620" s="39"/>
      <c r="F46620" s="39"/>
    </row>
    <row r="46621">
      <c r="D46621" s="39"/>
      <c r="E46621" s="39"/>
      <c r="F46621" s="39"/>
    </row>
    <row r="46622">
      <c r="D46622" s="39"/>
      <c r="E46622" s="39"/>
      <c r="F46622" s="39"/>
    </row>
    <row r="46623">
      <c r="D46623" s="39"/>
      <c r="E46623" s="39"/>
      <c r="F46623" s="39"/>
    </row>
    <row r="46624">
      <c r="D46624" s="39"/>
      <c r="E46624" s="39"/>
      <c r="F46624" s="39"/>
    </row>
    <row r="46625">
      <c r="D46625" s="39"/>
      <c r="E46625" s="39"/>
      <c r="F46625" s="39"/>
    </row>
    <row r="46626">
      <c r="D46626" s="39"/>
      <c r="E46626" s="39"/>
      <c r="F46626" s="39"/>
    </row>
    <row r="46627">
      <c r="D46627" s="39"/>
      <c r="E46627" s="39"/>
      <c r="F46627" s="39"/>
    </row>
    <row r="46628">
      <c r="D46628" s="39"/>
      <c r="E46628" s="39"/>
      <c r="F46628" s="39"/>
    </row>
    <row r="46629">
      <c r="D46629" s="39"/>
      <c r="E46629" s="39"/>
      <c r="F46629" s="39"/>
    </row>
    <row r="46630">
      <c r="D46630" s="39"/>
      <c r="E46630" s="39"/>
      <c r="F46630" s="39"/>
    </row>
    <row r="46631">
      <c r="D46631" s="39"/>
      <c r="E46631" s="39"/>
      <c r="F46631" s="39"/>
    </row>
    <row r="46632">
      <c r="D46632" s="39"/>
      <c r="E46632" s="39"/>
      <c r="F46632" s="39"/>
    </row>
    <row r="46633">
      <c r="D46633" s="39"/>
      <c r="E46633" s="39"/>
      <c r="F46633" s="39"/>
    </row>
    <row r="46634">
      <c r="D46634" s="39"/>
      <c r="E46634" s="39"/>
      <c r="F46634" s="39"/>
    </row>
    <row r="46635">
      <c r="D46635" s="39"/>
      <c r="E46635" s="39"/>
      <c r="F46635" s="39"/>
    </row>
    <row r="46636">
      <c r="D46636" s="39"/>
      <c r="E46636" s="39"/>
      <c r="F46636" s="39"/>
    </row>
    <row r="46637">
      <c r="D46637" s="39"/>
      <c r="E46637" s="39"/>
      <c r="F46637" s="39"/>
    </row>
    <row r="46638">
      <c r="D46638" s="39"/>
      <c r="E46638" s="39"/>
      <c r="F46638" s="39"/>
    </row>
    <row r="46639">
      <c r="D46639" s="39"/>
      <c r="E46639" s="39"/>
      <c r="F46639" s="39"/>
    </row>
    <row r="46640">
      <c r="D46640" s="39"/>
      <c r="E46640" s="39"/>
      <c r="F46640" s="39"/>
    </row>
    <row r="46641">
      <c r="D46641" s="39"/>
      <c r="E46641" s="39"/>
      <c r="F46641" s="39"/>
    </row>
    <row r="46642">
      <c r="D46642" s="39"/>
      <c r="E46642" s="39"/>
      <c r="F46642" s="39"/>
    </row>
    <row r="46643">
      <c r="D46643" s="39"/>
      <c r="E46643" s="39"/>
      <c r="F46643" s="39"/>
    </row>
    <row r="46644">
      <c r="D46644" s="39"/>
      <c r="E46644" s="39"/>
      <c r="F46644" s="39"/>
    </row>
    <row r="46645">
      <c r="D46645" s="39"/>
      <c r="E46645" s="39"/>
      <c r="F46645" s="39"/>
    </row>
    <row r="46646">
      <c r="D46646" s="39"/>
      <c r="E46646" s="39"/>
      <c r="F46646" s="39"/>
    </row>
    <row r="46647">
      <c r="D46647" s="39"/>
      <c r="E46647" s="39"/>
      <c r="F46647" s="39"/>
    </row>
    <row r="46648">
      <c r="D46648" s="39"/>
      <c r="E46648" s="39"/>
      <c r="F46648" s="39"/>
    </row>
    <row r="46649">
      <c r="D46649" s="39"/>
      <c r="E46649" s="39"/>
      <c r="F46649" s="39"/>
    </row>
    <row r="46650">
      <c r="D46650" s="39"/>
      <c r="E46650" s="39"/>
      <c r="F46650" s="39"/>
    </row>
    <row r="46651">
      <c r="D46651" s="39"/>
      <c r="E46651" s="39"/>
      <c r="F46651" s="39"/>
    </row>
    <row r="46652">
      <c r="D46652" s="39"/>
      <c r="E46652" s="39"/>
      <c r="F46652" s="39"/>
    </row>
    <row r="46653">
      <c r="D46653" s="39"/>
      <c r="E46653" s="39"/>
      <c r="F46653" s="39"/>
    </row>
    <row r="46654">
      <c r="D46654" s="39"/>
      <c r="E46654" s="39"/>
      <c r="F46654" s="39"/>
    </row>
    <row r="46655">
      <c r="D46655" s="39"/>
      <c r="E46655" s="39"/>
      <c r="F46655" s="39"/>
    </row>
    <row r="46656">
      <c r="D46656" s="39"/>
      <c r="E46656" s="39"/>
      <c r="F46656" s="39"/>
    </row>
    <row r="46657">
      <c r="D46657" s="39"/>
      <c r="E46657" s="39"/>
      <c r="F46657" s="39"/>
    </row>
    <row r="46658">
      <c r="D46658" s="39"/>
      <c r="E46658" s="39"/>
      <c r="F46658" s="39"/>
    </row>
    <row r="46659">
      <c r="D46659" s="39"/>
      <c r="E46659" s="39"/>
      <c r="F46659" s="39"/>
    </row>
    <row r="46660">
      <c r="D46660" s="39"/>
      <c r="E46660" s="39"/>
      <c r="F46660" s="39"/>
    </row>
    <row r="46661">
      <c r="D46661" s="39"/>
      <c r="E46661" s="39"/>
      <c r="F46661" s="39"/>
    </row>
    <row r="46662">
      <c r="D46662" s="39"/>
      <c r="E46662" s="39"/>
      <c r="F46662" s="39"/>
    </row>
    <row r="46663">
      <c r="D46663" s="39"/>
      <c r="E46663" s="39"/>
      <c r="F46663" s="39"/>
    </row>
    <row r="46664">
      <c r="D46664" s="39"/>
      <c r="E46664" s="39"/>
      <c r="F46664" s="39"/>
    </row>
    <row r="46665">
      <c r="D46665" s="39"/>
      <c r="E46665" s="39"/>
      <c r="F46665" s="39"/>
    </row>
    <row r="46666">
      <c r="D46666" s="39"/>
      <c r="E46666" s="39"/>
      <c r="F46666" s="39"/>
    </row>
    <row r="46667">
      <c r="D46667" s="39"/>
      <c r="E46667" s="39"/>
      <c r="F46667" s="39"/>
    </row>
    <row r="46668">
      <c r="D46668" s="39"/>
      <c r="E46668" s="39"/>
      <c r="F46668" s="39"/>
    </row>
    <row r="46669">
      <c r="D46669" s="39"/>
      <c r="E46669" s="39"/>
      <c r="F46669" s="39"/>
    </row>
    <row r="46670">
      <c r="D46670" s="39"/>
      <c r="E46670" s="39"/>
      <c r="F46670" s="39"/>
    </row>
    <row r="46671">
      <c r="D46671" s="39"/>
      <c r="E46671" s="39"/>
      <c r="F46671" s="39"/>
    </row>
    <row r="46672">
      <c r="D46672" s="39"/>
      <c r="E46672" s="39"/>
      <c r="F46672" s="39"/>
    </row>
    <row r="46673">
      <c r="D46673" s="39"/>
      <c r="E46673" s="39"/>
      <c r="F46673" s="39"/>
    </row>
    <row r="46674">
      <c r="D46674" s="39"/>
      <c r="E46674" s="39"/>
      <c r="F46674" s="39"/>
    </row>
    <row r="46675">
      <c r="D46675" s="39"/>
      <c r="E46675" s="39"/>
      <c r="F46675" s="39"/>
    </row>
    <row r="46676">
      <c r="D46676" s="39"/>
      <c r="E46676" s="39"/>
      <c r="F46676" s="39"/>
    </row>
    <row r="46677">
      <c r="D46677" s="39"/>
      <c r="E46677" s="39"/>
      <c r="F46677" s="39"/>
    </row>
    <row r="46678">
      <c r="D46678" s="39"/>
      <c r="E46678" s="39"/>
      <c r="F46678" s="39"/>
    </row>
    <row r="46679">
      <c r="D46679" s="39"/>
      <c r="E46679" s="39"/>
      <c r="F46679" s="39"/>
    </row>
    <row r="46680">
      <c r="D46680" s="39"/>
      <c r="E46680" s="39"/>
      <c r="F46680" s="39"/>
    </row>
    <row r="46681">
      <c r="D46681" s="39"/>
      <c r="E46681" s="39"/>
      <c r="F46681" s="39"/>
    </row>
    <row r="46682">
      <c r="D46682" s="39"/>
      <c r="E46682" s="39"/>
      <c r="F46682" s="39"/>
    </row>
    <row r="46683">
      <c r="D46683" s="39"/>
      <c r="E46683" s="39"/>
      <c r="F46683" s="39"/>
    </row>
    <row r="46684">
      <c r="D46684" s="39"/>
      <c r="E46684" s="39"/>
      <c r="F46684" s="39"/>
    </row>
    <row r="46685">
      <c r="D46685" s="39"/>
      <c r="E46685" s="39"/>
      <c r="F46685" s="39"/>
    </row>
    <row r="46686">
      <c r="D46686" s="39"/>
      <c r="E46686" s="39"/>
      <c r="F46686" s="39"/>
    </row>
    <row r="46687">
      <c r="D46687" s="39"/>
      <c r="E46687" s="39"/>
      <c r="F46687" s="39"/>
    </row>
    <row r="46688">
      <c r="D46688" s="39"/>
      <c r="E46688" s="39"/>
      <c r="F46688" s="39"/>
    </row>
    <row r="46689">
      <c r="D46689" s="39"/>
      <c r="E46689" s="39"/>
      <c r="F46689" s="39"/>
    </row>
    <row r="46690">
      <c r="D46690" s="39"/>
      <c r="E46690" s="39"/>
      <c r="F46690" s="39"/>
    </row>
    <row r="46691">
      <c r="D46691" s="39"/>
      <c r="E46691" s="39"/>
      <c r="F46691" s="39"/>
    </row>
    <row r="46692">
      <c r="D46692" s="39"/>
      <c r="E46692" s="39"/>
      <c r="F46692" s="39"/>
    </row>
    <row r="46693">
      <c r="D46693" s="39"/>
      <c r="E46693" s="39"/>
      <c r="F46693" s="39"/>
    </row>
    <row r="46694">
      <c r="D46694" s="39"/>
      <c r="E46694" s="39"/>
      <c r="F46694" s="39"/>
    </row>
    <row r="46695">
      <c r="D46695" s="39"/>
      <c r="E46695" s="39"/>
      <c r="F46695" s="39"/>
    </row>
    <row r="46696">
      <c r="D46696" s="39"/>
      <c r="E46696" s="39"/>
      <c r="F46696" s="39"/>
    </row>
    <row r="46697">
      <c r="D46697" s="39"/>
      <c r="E46697" s="39"/>
      <c r="F46697" s="39"/>
    </row>
    <row r="46698">
      <c r="D46698" s="39"/>
      <c r="E46698" s="39"/>
      <c r="F46698" s="39"/>
    </row>
    <row r="46699">
      <c r="D46699" s="39"/>
      <c r="E46699" s="39"/>
      <c r="F46699" s="39"/>
    </row>
    <row r="46700">
      <c r="D46700" s="39"/>
      <c r="E46700" s="39"/>
      <c r="F46700" s="39"/>
    </row>
    <row r="46701">
      <c r="D46701" s="39"/>
      <c r="E46701" s="39"/>
      <c r="F46701" s="39"/>
    </row>
    <row r="46702">
      <c r="D46702" s="39"/>
      <c r="E46702" s="39"/>
      <c r="F46702" s="39"/>
    </row>
    <row r="46703">
      <c r="D46703" s="39"/>
      <c r="E46703" s="39"/>
      <c r="F46703" s="39"/>
    </row>
    <row r="46704">
      <c r="D46704" s="39"/>
      <c r="E46704" s="39"/>
      <c r="F46704" s="39"/>
    </row>
    <row r="46705">
      <c r="D46705" s="39"/>
      <c r="E46705" s="39"/>
      <c r="F46705" s="39"/>
    </row>
    <row r="46706">
      <c r="D46706" s="39"/>
      <c r="E46706" s="39"/>
      <c r="F46706" s="39"/>
    </row>
    <row r="46707">
      <c r="D46707" s="39"/>
      <c r="E46707" s="39"/>
      <c r="F46707" s="39"/>
    </row>
    <row r="46708">
      <c r="D46708" s="39"/>
      <c r="E46708" s="39"/>
      <c r="F46708" s="39"/>
    </row>
    <row r="46709">
      <c r="D46709" s="39"/>
      <c r="E46709" s="39"/>
      <c r="F46709" s="39"/>
    </row>
    <row r="46710">
      <c r="D46710" s="39"/>
      <c r="E46710" s="39"/>
      <c r="F46710" s="39"/>
    </row>
    <row r="46711">
      <c r="D46711" s="39"/>
      <c r="E46711" s="39"/>
      <c r="F46711" s="39"/>
    </row>
    <row r="46712">
      <c r="D46712" s="39"/>
      <c r="E46712" s="39"/>
      <c r="F46712" s="39"/>
    </row>
    <row r="46713">
      <c r="D46713" s="39"/>
      <c r="E46713" s="39"/>
      <c r="F46713" s="39"/>
    </row>
    <row r="46714">
      <c r="D46714" s="39"/>
      <c r="E46714" s="39"/>
      <c r="F46714" s="39"/>
    </row>
    <row r="46715">
      <c r="D46715" s="39"/>
      <c r="E46715" s="39"/>
      <c r="F46715" s="39"/>
    </row>
    <row r="46716">
      <c r="D46716" s="39"/>
      <c r="E46716" s="39"/>
      <c r="F46716" s="39"/>
    </row>
    <row r="46717">
      <c r="D46717" s="39"/>
      <c r="E46717" s="39"/>
      <c r="F46717" s="39"/>
    </row>
    <row r="46718">
      <c r="D46718" s="39"/>
      <c r="E46718" s="39"/>
      <c r="F46718" s="39"/>
    </row>
    <row r="46719">
      <c r="D46719" s="39"/>
      <c r="E46719" s="39"/>
      <c r="F46719" s="39"/>
    </row>
    <row r="46720">
      <c r="D46720" s="39"/>
      <c r="E46720" s="39"/>
      <c r="F46720" s="39"/>
    </row>
    <row r="46721">
      <c r="D46721" s="39"/>
      <c r="E46721" s="39"/>
      <c r="F46721" s="39"/>
    </row>
    <row r="46722">
      <c r="D46722" s="39"/>
      <c r="E46722" s="39"/>
      <c r="F46722" s="39"/>
    </row>
    <row r="46723">
      <c r="D46723" s="39"/>
      <c r="E46723" s="39"/>
      <c r="F46723" s="39"/>
    </row>
    <row r="46724">
      <c r="D46724" s="39"/>
      <c r="E46724" s="39"/>
      <c r="F46724" s="39"/>
    </row>
    <row r="46725">
      <c r="D46725" s="39"/>
      <c r="E46725" s="39"/>
      <c r="F46725" s="39"/>
    </row>
    <row r="46726">
      <c r="D46726" s="39"/>
      <c r="E46726" s="39"/>
      <c r="F46726" s="39"/>
    </row>
    <row r="46727">
      <c r="D46727" s="39"/>
      <c r="E46727" s="39"/>
      <c r="F46727" s="39"/>
    </row>
    <row r="46728">
      <c r="D46728" s="39"/>
      <c r="E46728" s="39"/>
      <c r="F46728" s="39"/>
    </row>
    <row r="46729">
      <c r="D46729" s="39"/>
      <c r="E46729" s="39"/>
      <c r="F46729" s="39"/>
    </row>
    <row r="46730">
      <c r="D46730" s="39"/>
      <c r="E46730" s="39"/>
      <c r="F46730" s="39"/>
    </row>
    <row r="46731">
      <c r="D46731" s="39"/>
      <c r="E46731" s="39"/>
      <c r="F46731" s="39"/>
    </row>
    <row r="46732">
      <c r="D46732" s="39"/>
      <c r="E46732" s="39"/>
      <c r="F46732" s="39"/>
    </row>
    <row r="46733">
      <c r="D46733" s="39"/>
      <c r="E46733" s="39"/>
      <c r="F46733" s="39"/>
    </row>
    <row r="46734">
      <c r="D46734" s="39"/>
      <c r="E46734" s="39"/>
      <c r="F46734" s="39"/>
    </row>
    <row r="46735">
      <c r="D46735" s="39"/>
      <c r="E46735" s="39"/>
      <c r="F46735" s="39"/>
    </row>
    <row r="46736">
      <c r="D46736" s="39"/>
      <c r="E46736" s="39"/>
      <c r="F46736" s="39"/>
    </row>
    <row r="46737">
      <c r="D46737" s="39"/>
      <c r="E46737" s="39"/>
      <c r="F46737" s="39"/>
    </row>
    <row r="46738">
      <c r="D46738" s="39"/>
      <c r="E46738" s="39"/>
      <c r="F46738" s="39"/>
    </row>
    <row r="46739">
      <c r="D46739" s="39"/>
      <c r="E46739" s="39"/>
      <c r="F46739" s="39"/>
    </row>
    <row r="46740">
      <c r="D46740" s="39"/>
      <c r="E46740" s="39"/>
      <c r="F46740" s="39"/>
    </row>
    <row r="46741">
      <c r="D46741" s="39"/>
      <c r="E46741" s="39"/>
      <c r="F46741" s="39"/>
    </row>
    <row r="46742">
      <c r="D46742" s="39"/>
      <c r="E46742" s="39"/>
      <c r="F46742" s="39"/>
    </row>
    <row r="46743">
      <c r="D46743" s="39"/>
      <c r="E46743" s="39"/>
      <c r="F46743" s="39"/>
    </row>
    <row r="46744">
      <c r="D46744" s="39"/>
      <c r="E46744" s="39"/>
      <c r="F46744" s="39"/>
    </row>
    <row r="46745">
      <c r="D46745" s="39"/>
      <c r="E46745" s="39"/>
      <c r="F46745" s="39"/>
    </row>
    <row r="46746">
      <c r="D46746" s="39"/>
      <c r="E46746" s="39"/>
      <c r="F46746" s="39"/>
    </row>
    <row r="46747">
      <c r="D46747" s="39"/>
      <c r="E46747" s="39"/>
      <c r="F46747" s="39"/>
    </row>
    <row r="46748">
      <c r="D46748" s="39"/>
      <c r="E46748" s="39"/>
      <c r="F46748" s="39"/>
    </row>
    <row r="46749">
      <c r="D46749" s="39"/>
      <c r="E46749" s="39"/>
      <c r="F46749" s="39"/>
    </row>
    <row r="46750">
      <c r="D46750" s="39"/>
      <c r="E46750" s="39"/>
      <c r="F46750" s="39"/>
    </row>
    <row r="46751">
      <c r="D46751" s="39"/>
      <c r="E46751" s="39"/>
      <c r="F46751" s="39"/>
    </row>
    <row r="46752">
      <c r="D46752" s="39"/>
      <c r="E46752" s="39"/>
      <c r="F46752" s="39"/>
    </row>
    <row r="46753">
      <c r="D46753" s="39"/>
      <c r="E46753" s="39"/>
      <c r="F46753" s="39"/>
    </row>
    <row r="46754">
      <c r="D46754" s="39"/>
      <c r="E46754" s="39"/>
      <c r="F46754" s="39"/>
    </row>
    <row r="46755">
      <c r="D46755" s="39"/>
      <c r="E46755" s="39"/>
      <c r="F46755" s="39"/>
    </row>
    <row r="46756">
      <c r="D46756" s="39"/>
      <c r="E46756" s="39"/>
      <c r="F46756" s="39"/>
    </row>
    <row r="46757">
      <c r="D46757" s="39"/>
      <c r="E46757" s="39"/>
      <c r="F46757" s="39"/>
    </row>
    <row r="46758">
      <c r="D46758" s="39"/>
      <c r="E46758" s="39"/>
      <c r="F46758" s="39"/>
    </row>
    <row r="46759">
      <c r="D46759" s="39"/>
      <c r="E46759" s="39"/>
      <c r="F46759" s="39"/>
    </row>
    <row r="46760">
      <c r="D46760" s="39"/>
      <c r="E46760" s="39"/>
      <c r="F46760" s="39"/>
    </row>
    <row r="46761">
      <c r="D46761" s="39"/>
      <c r="E46761" s="39"/>
      <c r="F46761" s="39"/>
    </row>
    <row r="46762">
      <c r="D46762" s="39"/>
      <c r="E46762" s="39"/>
      <c r="F46762" s="39"/>
    </row>
    <row r="46763">
      <c r="D46763" s="39"/>
      <c r="E46763" s="39"/>
      <c r="F46763" s="39"/>
    </row>
    <row r="46764">
      <c r="D46764" s="39"/>
      <c r="E46764" s="39"/>
      <c r="F46764" s="39"/>
    </row>
    <row r="46765">
      <c r="D46765" s="39"/>
      <c r="E46765" s="39"/>
      <c r="F46765" s="39"/>
    </row>
    <row r="46766">
      <c r="D46766" s="39"/>
      <c r="E46766" s="39"/>
      <c r="F46766" s="39"/>
    </row>
    <row r="46767">
      <c r="D46767" s="39"/>
      <c r="E46767" s="39"/>
      <c r="F46767" s="39"/>
    </row>
    <row r="46768">
      <c r="D46768" s="39"/>
      <c r="E46768" s="39"/>
      <c r="F46768" s="39"/>
    </row>
    <row r="46769">
      <c r="D46769" s="39"/>
      <c r="E46769" s="39"/>
      <c r="F46769" s="39"/>
    </row>
    <row r="46770">
      <c r="D46770" s="39"/>
      <c r="E46770" s="39"/>
      <c r="F46770" s="39"/>
    </row>
    <row r="46771">
      <c r="D46771" s="39"/>
      <c r="E46771" s="39"/>
      <c r="F46771" s="39"/>
    </row>
    <row r="46772">
      <c r="D46772" s="39"/>
      <c r="E46772" s="39"/>
      <c r="F46772" s="39"/>
    </row>
    <row r="46773">
      <c r="D46773" s="39"/>
      <c r="E46773" s="39"/>
      <c r="F46773" s="39"/>
    </row>
    <row r="46774">
      <c r="D46774" s="39"/>
      <c r="E46774" s="39"/>
      <c r="F46774" s="39"/>
    </row>
    <row r="46775">
      <c r="D46775" s="39"/>
      <c r="E46775" s="39"/>
      <c r="F46775" s="39"/>
    </row>
    <row r="46776">
      <c r="D46776" s="39"/>
      <c r="E46776" s="39"/>
      <c r="F46776" s="39"/>
    </row>
    <row r="46777">
      <c r="D46777" s="39"/>
      <c r="E46777" s="39"/>
      <c r="F46777" s="39"/>
    </row>
    <row r="46778">
      <c r="D46778" s="39"/>
      <c r="E46778" s="39"/>
      <c r="F46778" s="39"/>
    </row>
    <row r="46779">
      <c r="D46779" s="39"/>
      <c r="E46779" s="39"/>
      <c r="F46779" s="39"/>
    </row>
    <row r="46780">
      <c r="D46780" s="39"/>
      <c r="E46780" s="39"/>
      <c r="F46780" s="39"/>
    </row>
    <row r="46781">
      <c r="D46781" s="39"/>
      <c r="E46781" s="39"/>
      <c r="F46781" s="39"/>
    </row>
    <row r="46782">
      <c r="D46782" s="39"/>
      <c r="E46782" s="39"/>
      <c r="F46782" s="39"/>
    </row>
    <row r="46783">
      <c r="D46783" s="39"/>
      <c r="E46783" s="39"/>
      <c r="F46783" s="39"/>
    </row>
    <row r="46784">
      <c r="D46784" s="39"/>
      <c r="E46784" s="39"/>
      <c r="F46784" s="39"/>
    </row>
    <row r="46785">
      <c r="D46785" s="39"/>
      <c r="E46785" s="39"/>
      <c r="F46785" s="39"/>
    </row>
    <row r="46786">
      <c r="D46786" s="39"/>
      <c r="E46786" s="39"/>
      <c r="F46786" s="39"/>
    </row>
    <row r="46787">
      <c r="D46787" s="39"/>
      <c r="E46787" s="39"/>
      <c r="F46787" s="39"/>
    </row>
    <row r="46788">
      <c r="D46788" s="39"/>
      <c r="E46788" s="39"/>
      <c r="F46788" s="39"/>
    </row>
    <row r="46789">
      <c r="D46789" s="39"/>
      <c r="E46789" s="39"/>
      <c r="F46789" s="39"/>
    </row>
    <row r="46790">
      <c r="D46790" s="39"/>
      <c r="E46790" s="39"/>
      <c r="F46790" s="39"/>
    </row>
    <row r="46791">
      <c r="D46791" s="39"/>
      <c r="E46791" s="39"/>
      <c r="F46791" s="39"/>
    </row>
    <row r="46792">
      <c r="D46792" s="39"/>
      <c r="E46792" s="39"/>
      <c r="F46792" s="39"/>
    </row>
    <row r="46793">
      <c r="D46793" s="39"/>
      <c r="E46793" s="39"/>
      <c r="F46793" s="39"/>
    </row>
    <row r="46794">
      <c r="D46794" s="39"/>
      <c r="E46794" s="39"/>
      <c r="F46794" s="39"/>
    </row>
    <row r="46795">
      <c r="D46795" s="39"/>
      <c r="E46795" s="39"/>
      <c r="F46795" s="39"/>
    </row>
    <row r="46796">
      <c r="D46796" s="39"/>
      <c r="E46796" s="39"/>
      <c r="F46796" s="39"/>
    </row>
    <row r="46797">
      <c r="D46797" s="39"/>
      <c r="E46797" s="39"/>
      <c r="F46797" s="39"/>
    </row>
    <row r="46798">
      <c r="D46798" s="39"/>
      <c r="E46798" s="39"/>
      <c r="F46798" s="39"/>
    </row>
    <row r="46799">
      <c r="D46799" s="39"/>
      <c r="E46799" s="39"/>
      <c r="F46799" s="39"/>
    </row>
    <row r="46800">
      <c r="D46800" s="39"/>
      <c r="E46800" s="39"/>
      <c r="F46800" s="39"/>
    </row>
    <row r="46801">
      <c r="D46801" s="39"/>
      <c r="E46801" s="39"/>
      <c r="F46801" s="39"/>
    </row>
    <row r="46802">
      <c r="D46802" s="39"/>
      <c r="E46802" s="39"/>
      <c r="F46802" s="39"/>
    </row>
    <row r="46803">
      <c r="D46803" s="39"/>
      <c r="E46803" s="39"/>
      <c r="F46803" s="39"/>
    </row>
    <row r="46804">
      <c r="D46804" s="39"/>
      <c r="E46804" s="39"/>
      <c r="F46804" s="39"/>
    </row>
    <row r="46805">
      <c r="D46805" s="39"/>
      <c r="E46805" s="39"/>
      <c r="F46805" s="39"/>
    </row>
    <row r="46806">
      <c r="D46806" s="39"/>
      <c r="E46806" s="39"/>
      <c r="F46806" s="39"/>
    </row>
    <row r="46807">
      <c r="D46807" s="39"/>
      <c r="E46807" s="39"/>
      <c r="F46807" s="39"/>
    </row>
    <row r="46808">
      <c r="D46808" s="39"/>
      <c r="E46808" s="39"/>
      <c r="F46808" s="39"/>
    </row>
    <row r="46809">
      <c r="D46809" s="39"/>
      <c r="E46809" s="39"/>
      <c r="F46809" s="39"/>
    </row>
    <row r="46810">
      <c r="D46810" s="39"/>
      <c r="E46810" s="39"/>
      <c r="F46810" s="39"/>
    </row>
    <row r="46811">
      <c r="D46811" s="39"/>
      <c r="E46811" s="39"/>
      <c r="F46811" s="39"/>
    </row>
    <row r="46812">
      <c r="D46812" s="39"/>
      <c r="E46812" s="39"/>
      <c r="F46812" s="39"/>
    </row>
    <row r="46813">
      <c r="D46813" s="39"/>
      <c r="E46813" s="39"/>
      <c r="F46813" s="39"/>
    </row>
    <row r="46814">
      <c r="D46814" s="39"/>
      <c r="E46814" s="39"/>
      <c r="F46814" s="39"/>
    </row>
    <row r="46815">
      <c r="D46815" s="39"/>
      <c r="E46815" s="39"/>
      <c r="F46815" s="39"/>
    </row>
    <row r="46816">
      <c r="D46816" s="39"/>
      <c r="E46816" s="39"/>
      <c r="F46816" s="39"/>
    </row>
    <row r="46817">
      <c r="D46817" s="39"/>
      <c r="E46817" s="39"/>
      <c r="F46817" s="39"/>
    </row>
    <row r="46818">
      <c r="D46818" s="39"/>
      <c r="E46818" s="39"/>
      <c r="F46818" s="39"/>
    </row>
    <row r="46819">
      <c r="D46819" s="39"/>
      <c r="E46819" s="39"/>
      <c r="F46819" s="39"/>
    </row>
    <row r="46820">
      <c r="D46820" s="39"/>
      <c r="E46820" s="39"/>
      <c r="F46820" s="39"/>
    </row>
    <row r="46821">
      <c r="D46821" s="39"/>
      <c r="E46821" s="39"/>
      <c r="F46821" s="39"/>
    </row>
    <row r="46822">
      <c r="D46822" s="39"/>
      <c r="E46822" s="39"/>
      <c r="F46822" s="39"/>
    </row>
    <row r="46823">
      <c r="D46823" s="39"/>
      <c r="E46823" s="39"/>
      <c r="F46823" s="39"/>
    </row>
    <row r="46824">
      <c r="D46824" s="39"/>
      <c r="E46824" s="39"/>
      <c r="F46824" s="39"/>
    </row>
    <row r="46825">
      <c r="D46825" s="39"/>
      <c r="E46825" s="39"/>
      <c r="F46825" s="39"/>
    </row>
    <row r="46826">
      <c r="D46826" s="39"/>
      <c r="E46826" s="39"/>
      <c r="F46826" s="39"/>
    </row>
    <row r="46827">
      <c r="D46827" s="39"/>
      <c r="E46827" s="39"/>
      <c r="F46827" s="39"/>
    </row>
    <row r="46828">
      <c r="D46828" s="39"/>
      <c r="E46828" s="39"/>
      <c r="F46828" s="39"/>
    </row>
    <row r="46829">
      <c r="D46829" s="39"/>
      <c r="E46829" s="39"/>
      <c r="F46829" s="39"/>
    </row>
    <row r="46830">
      <c r="D46830" s="39"/>
      <c r="E46830" s="39"/>
      <c r="F46830" s="39"/>
    </row>
    <row r="46831">
      <c r="D46831" s="39"/>
      <c r="E46831" s="39"/>
      <c r="F46831" s="39"/>
    </row>
    <row r="46832">
      <c r="D46832" s="39"/>
      <c r="E46832" s="39"/>
      <c r="F46832" s="39"/>
    </row>
    <row r="46833">
      <c r="D46833" s="39"/>
      <c r="E46833" s="39"/>
      <c r="F46833" s="39"/>
    </row>
    <row r="46834">
      <c r="D46834" s="39"/>
      <c r="E46834" s="39"/>
      <c r="F46834" s="39"/>
    </row>
    <row r="46835">
      <c r="D46835" s="39"/>
      <c r="E46835" s="39"/>
      <c r="F46835" s="39"/>
    </row>
    <row r="46836">
      <c r="D46836" s="39"/>
      <c r="E46836" s="39"/>
      <c r="F46836" s="39"/>
    </row>
    <row r="46837">
      <c r="D46837" s="39"/>
      <c r="E46837" s="39"/>
      <c r="F46837" s="39"/>
    </row>
    <row r="46838">
      <c r="D46838" s="39"/>
      <c r="E46838" s="39"/>
      <c r="F46838" s="39"/>
    </row>
    <row r="46839">
      <c r="D46839" s="39"/>
      <c r="E46839" s="39"/>
      <c r="F46839" s="39"/>
    </row>
    <row r="46840">
      <c r="D46840" s="39"/>
      <c r="E46840" s="39"/>
      <c r="F46840" s="39"/>
    </row>
    <row r="46841">
      <c r="D46841" s="39"/>
      <c r="E46841" s="39"/>
      <c r="F46841" s="39"/>
    </row>
    <row r="46842">
      <c r="D46842" s="39"/>
      <c r="E46842" s="39"/>
      <c r="F46842" s="39"/>
    </row>
    <row r="46843">
      <c r="D46843" s="39"/>
      <c r="E46843" s="39"/>
      <c r="F46843" s="39"/>
    </row>
    <row r="46844">
      <c r="D46844" s="39"/>
      <c r="E46844" s="39"/>
      <c r="F46844" s="39"/>
    </row>
    <row r="46845">
      <c r="D46845" s="39"/>
      <c r="E46845" s="39"/>
      <c r="F46845" s="39"/>
    </row>
    <row r="46846">
      <c r="D46846" s="39"/>
      <c r="E46846" s="39"/>
      <c r="F46846" s="39"/>
    </row>
    <row r="46847">
      <c r="D46847" s="39"/>
      <c r="E46847" s="39"/>
      <c r="F46847" s="39"/>
    </row>
    <row r="46848">
      <c r="D46848" s="39"/>
      <c r="E46848" s="39"/>
      <c r="F46848" s="39"/>
    </row>
    <row r="46849">
      <c r="D46849" s="39"/>
      <c r="E46849" s="39"/>
      <c r="F46849" s="39"/>
    </row>
    <row r="46850">
      <c r="D46850" s="39"/>
      <c r="E46850" s="39"/>
      <c r="F46850" s="39"/>
    </row>
    <row r="46851">
      <c r="D46851" s="39"/>
      <c r="E46851" s="39"/>
      <c r="F46851" s="39"/>
    </row>
    <row r="46852">
      <c r="D46852" s="39"/>
      <c r="E46852" s="39"/>
      <c r="F46852" s="39"/>
    </row>
    <row r="46853">
      <c r="D46853" s="39"/>
      <c r="E46853" s="39"/>
      <c r="F46853" s="39"/>
    </row>
    <row r="46854">
      <c r="D46854" s="39"/>
      <c r="E46854" s="39"/>
      <c r="F46854" s="39"/>
    </row>
    <row r="46855">
      <c r="D46855" s="39"/>
      <c r="E46855" s="39"/>
      <c r="F46855" s="39"/>
    </row>
    <row r="46856">
      <c r="D46856" s="39"/>
      <c r="E46856" s="39"/>
      <c r="F46856" s="39"/>
    </row>
    <row r="46857">
      <c r="D46857" s="39"/>
      <c r="E46857" s="39"/>
      <c r="F46857" s="39"/>
    </row>
    <row r="46858">
      <c r="D46858" s="39"/>
      <c r="E46858" s="39"/>
      <c r="F46858" s="39"/>
    </row>
    <row r="46859">
      <c r="D46859" s="39"/>
      <c r="E46859" s="39"/>
      <c r="F46859" s="39"/>
    </row>
    <row r="46860">
      <c r="D46860" s="39"/>
      <c r="E46860" s="39"/>
      <c r="F46860" s="39"/>
    </row>
    <row r="46861">
      <c r="D46861" s="39"/>
      <c r="E46861" s="39"/>
      <c r="F46861" s="39"/>
    </row>
    <row r="46862">
      <c r="D46862" s="39"/>
      <c r="E46862" s="39"/>
      <c r="F46862" s="39"/>
    </row>
    <row r="46863">
      <c r="D46863" s="39"/>
      <c r="E46863" s="39"/>
      <c r="F46863" s="39"/>
    </row>
    <row r="46864">
      <c r="D46864" s="39"/>
      <c r="E46864" s="39"/>
      <c r="F46864" s="39"/>
    </row>
    <row r="46865">
      <c r="D46865" s="39"/>
      <c r="E46865" s="39"/>
      <c r="F46865" s="39"/>
    </row>
    <row r="46866">
      <c r="D46866" s="39"/>
      <c r="E46866" s="39"/>
      <c r="F46866" s="39"/>
    </row>
    <row r="46867">
      <c r="D46867" s="39"/>
      <c r="E46867" s="39"/>
      <c r="F46867" s="39"/>
    </row>
    <row r="46868">
      <c r="D46868" s="39"/>
      <c r="E46868" s="39"/>
      <c r="F46868" s="39"/>
    </row>
    <row r="46869">
      <c r="D46869" s="39"/>
      <c r="E46869" s="39"/>
      <c r="F46869" s="39"/>
    </row>
    <row r="46870">
      <c r="D46870" s="39"/>
      <c r="E46870" s="39"/>
      <c r="F46870" s="39"/>
    </row>
    <row r="46871">
      <c r="D46871" s="39"/>
      <c r="E46871" s="39"/>
      <c r="F46871" s="39"/>
    </row>
    <row r="46872">
      <c r="D46872" s="39"/>
      <c r="E46872" s="39"/>
      <c r="F46872" s="39"/>
    </row>
    <row r="46873">
      <c r="D46873" s="39"/>
      <c r="E46873" s="39"/>
      <c r="F46873" s="39"/>
    </row>
    <row r="46874">
      <c r="D46874" s="39"/>
      <c r="E46874" s="39"/>
      <c r="F46874" s="39"/>
    </row>
    <row r="46875">
      <c r="D46875" s="39"/>
      <c r="E46875" s="39"/>
      <c r="F46875" s="39"/>
    </row>
    <row r="46876">
      <c r="D46876" s="39"/>
      <c r="E46876" s="39"/>
      <c r="F46876" s="39"/>
    </row>
    <row r="46877">
      <c r="D46877" s="39"/>
      <c r="E46877" s="39"/>
      <c r="F46877" s="39"/>
    </row>
    <row r="46878">
      <c r="D46878" s="39"/>
      <c r="E46878" s="39"/>
      <c r="F46878" s="39"/>
    </row>
    <row r="46879">
      <c r="D46879" s="39"/>
      <c r="E46879" s="39"/>
      <c r="F46879" s="39"/>
    </row>
    <row r="46880">
      <c r="D46880" s="39"/>
      <c r="E46880" s="39"/>
      <c r="F46880" s="39"/>
    </row>
    <row r="46881">
      <c r="D46881" s="39"/>
      <c r="E46881" s="39"/>
      <c r="F46881" s="39"/>
    </row>
    <row r="46882">
      <c r="D46882" s="39"/>
      <c r="E46882" s="39"/>
      <c r="F46882" s="39"/>
    </row>
    <row r="46883">
      <c r="D46883" s="39"/>
      <c r="E46883" s="39"/>
      <c r="F46883" s="39"/>
    </row>
    <row r="46884">
      <c r="D46884" s="39"/>
      <c r="E46884" s="39"/>
      <c r="F46884" s="39"/>
    </row>
    <row r="46885">
      <c r="D46885" s="39"/>
      <c r="E46885" s="39"/>
      <c r="F46885" s="39"/>
    </row>
    <row r="46886">
      <c r="D46886" s="39"/>
      <c r="E46886" s="39"/>
      <c r="F46886" s="39"/>
    </row>
    <row r="46887">
      <c r="D46887" s="39"/>
      <c r="E46887" s="39"/>
      <c r="F46887" s="39"/>
    </row>
    <row r="46888">
      <c r="D46888" s="39"/>
      <c r="E46888" s="39"/>
      <c r="F46888" s="39"/>
    </row>
    <row r="46889">
      <c r="D46889" s="39"/>
      <c r="E46889" s="39"/>
      <c r="F46889" s="39"/>
    </row>
    <row r="46890">
      <c r="D46890" s="39"/>
      <c r="E46890" s="39"/>
      <c r="F46890" s="39"/>
    </row>
    <row r="46891">
      <c r="D46891" s="39"/>
      <c r="E46891" s="39"/>
      <c r="F46891" s="39"/>
    </row>
    <row r="46892">
      <c r="D46892" s="39"/>
      <c r="E46892" s="39"/>
      <c r="F46892" s="39"/>
    </row>
    <row r="46893">
      <c r="D46893" s="39"/>
      <c r="E46893" s="39"/>
      <c r="F46893" s="39"/>
    </row>
    <row r="46894">
      <c r="D46894" s="39"/>
      <c r="E46894" s="39"/>
      <c r="F46894" s="39"/>
    </row>
    <row r="46895">
      <c r="D46895" s="39"/>
      <c r="E46895" s="39"/>
      <c r="F46895" s="39"/>
    </row>
    <row r="46896">
      <c r="D46896" s="39"/>
      <c r="E46896" s="39"/>
      <c r="F46896" s="39"/>
    </row>
    <row r="46897">
      <c r="D46897" s="39"/>
      <c r="E46897" s="39"/>
      <c r="F46897" s="39"/>
    </row>
    <row r="46898">
      <c r="D46898" s="39"/>
      <c r="E46898" s="39"/>
      <c r="F46898" s="39"/>
    </row>
    <row r="46899">
      <c r="D46899" s="39"/>
      <c r="E46899" s="39"/>
      <c r="F46899" s="39"/>
    </row>
    <row r="46900">
      <c r="D46900" s="39"/>
      <c r="E46900" s="39"/>
      <c r="F46900" s="39"/>
    </row>
    <row r="46901">
      <c r="D46901" s="39"/>
      <c r="E46901" s="39"/>
      <c r="F46901" s="39"/>
    </row>
    <row r="46902">
      <c r="D46902" s="39"/>
      <c r="E46902" s="39"/>
      <c r="F46902" s="39"/>
    </row>
    <row r="46903">
      <c r="D46903" s="39"/>
      <c r="E46903" s="39"/>
      <c r="F46903" s="39"/>
    </row>
    <row r="46904">
      <c r="D46904" s="39"/>
      <c r="E46904" s="39"/>
      <c r="F46904" s="39"/>
    </row>
    <row r="46905">
      <c r="D46905" s="39"/>
      <c r="E46905" s="39"/>
      <c r="F46905" s="39"/>
    </row>
    <row r="46906">
      <c r="D46906" s="39"/>
      <c r="E46906" s="39"/>
      <c r="F46906" s="39"/>
    </row>
    <row r="46907">
      <c r="D46907" s="39"/>
      <c r="E46907" s="39"/>
      <c r="F46907" s="39"/>
    </row>
    <row r="46908">
      <c r="D46908" s="39"/>
      <c r="E46908" s="39"/>
      <c r="F46908" s="39"/>
    </row>
    <row r="46909">
      <c r="D46909" s="39"/>
      <c r="E46909" s="39"/>
      <c r="F46909" s="39"/>
    </row>
    <row r="46910">
      <c r="D46910" s="39"/>
      <c r="E46910" s="39"/>
      <c r="F46910" s="39"/>
    </row>
    <row r="46911">
      <c r="D46911" s="39"/>
      <c r="E46911" s="39"/>
      <c r="F46911" s="39"/>
    </row>
    <row r="46912">
      <c r="D46912" s="39"/>
      <c r="E46912" s="39"/>
      <c r="F46912" s="39"/>
    </row>
    <row r="46913">
      <c r="D46913" s="39"/>
      <c r="E46913" s="39"/>
      <c r="F46913" s="39"/>
    </row>
    <row r="46914">
      <c r="D46914" s="39"/>
      <c r="E46914" s="39"/>
      <c r="F46914" s="39"/>
    </row>
    <row r="46915">
      <c r="D46915" s="39"/>
      <c r="E46915" s="39"/>
      <c r="F46915" s="39"/>
    </row>
    <row r="46916">
      <c r="D46916" s="39"/>
      <c r="E46916" s="39"/>
      <c r="F46916" s="39"/>
    </row>
    <row r="46917">
      <c r="D46917" s="39"/>
      <c r="E46917" s="39"/>
      <c r="F46917" s="39"/>
    </row>
    <row r="46918">
      <c r="D46918" s="39"/>
      <c r="E46918" s="39"/>
      <c r="F46918" s="39"/>
    </row>
    <row r="46919">
      <c r="D46919" s="39"/>
      <c r="E46919" s="39"/>
      <c r="F46919" s="39"/>
    </row>
    <row r="46920">
      <c r="D46920" s="39"/>
      <c r="E46920" s="39"/>
      <c r="F46920" s="39"/>
    </row>
    <row r="46921">
      <c r="D46921" s="39"/>
      <c r="E46921" s="39"/>
      <c r="F46921" s="39"/>
    </row>
    <row r="46922">
      <c r="D46922" s="39"/>
      <c r="E46922" s="39"/>
      <c r="F46922" s="39"/>
    </row>
    <row r="46923">
      <c r="D46923" s="39"/>
      <c r="E46923" s="39"/>
      <c r="F46923" s="39"/>
    </row>
    <row r="46924">
      <c r="D46924" s="39"/>
      <c r="E46924" s="39"/>
      <c r="F46924" s="39"/>
    </row>
    <row r="46925">
      <c r="D46925" s="39"/>
      <c r="E46925" s="39"/>
      <c r="F46925" s="39"/>
    </row>
    <row r="46926">
      <c r="D46926" s="39"/>
      <c r="E46926" s="39"/>
      <c r="F46926" s="39"/>
    </row>
    <row r="46927">
      <c r="D46927" s="39"/>
      <c r="E46927" s="39"/>
      <c r="F46927" s="39"/>
    </row>
    <row r="46928">
      <c r="D46928" s="39"/>
      <c r="E46928" s="39"/>
      <c r="F46928" s="39"/>
    </row>
    <row r="46929">
      <c r="D46929" s="39"/>
      <c r="E46929" s="39"/>
      <c r="F46929" s="39"/>
    </row>
    <row r="46930">
      <c r="D46930" s="39"/>
      <c r="E46930" s="39"/>
      <c r="F46930" s="39"/>
    </row>
    <row r="46931">
      <c r="D46931" s="39"/>
      <c r="E46931" s="39"/>
      <c r="F46931" s="39"/>
    </row>
    <row r="46932">
      <c r="D46932" s="39"/>
      <c r="E46932" s="39"/>
      <c r="F46932" s="39"/>
    </row>
    <row r="46933">
      <c r="D46933" s="39"/>
      <c r="E46933" s="39"/>
      <c r="F46933" s="39"/>
    </row>
    <row r="46934">
      <c r="D46934" s="39"/>
      <c r="E46934" s="39"/>
      <c r="F46934" s="39"/>
    </row>
    <row r="46935">
      <c r="D46935" s="39"/>
      <c r="E46935" s="39"/>
      <c r="F46935" s="39"/>
    </row>
    <row r="46936">
      <c r="D46936" s="39"/>
      <c r="E46936" s="39"/>
      <c r="F46936" s="39"/>
    </row>
    <row r="46937">
      <c r="D46937" s="39"/>
      <c r="E46937" s="39"/>
      <c r="F46937" s="39"/>
    </row>
    <row r="46938">
      <c r="D46938" s="39"/>
      <c r="E46938" s="39"/>
      <c r="F46938" s="39"/>
    </row>
    <row r="46939">
      <c r="D46939" s="39"/>
      <c r="E46939" s="39"/>
      <c r="F46939" s="39"/>
    </row>
    <row r="46940">
      <c r="D46940" s="39"/>
      <c r="E46940" s="39"/>
      <c r="F46940" s="39"/>
    </row>
    <row r="46941">
      <c r="D46941" s="39"/>
      <c r="E46941" s="39"/>
      <c r="F46941" s="39"/>
    </row>
    <row r="46942">
      <c r="D46942" s="39"/>
      <c r="E46942" s="39"/>
      <c r="F46942" s="39"/>
    </row>
    <row r="46943">
      <c r="D46943" s="39"/>
      <c r="E46943" s="39"/>
      <c r="F46943" s="39"/>
    </row>
    <row r="46944">
      <c r="D46944" s="39"/>
      <c r="E46944" s="39"/>
      <c r="F46944" s="39"/>
    </row>
    <row r="46945">
      <c r="D46945" s="39"/>
      <c r="E46945" s="39"/>
      <c r="F46945" s="39"/>
    </row>
    <row r="46946">
      <c r="D46946" s="39"/>
      <c r="E46946" s="39"/>
      <c r="F46946" s="39"/>
    </row>
    <row r="46947">
      <c r="D46947" s="39"/>
      <c r="E46947" s="39"/>
      <c r="F46947" s="39"/>
    </row>
    <row r="46948">
      <c r="D46948" s="39"/>
      <c r="E46948" s="39"/>
      <c r="F46948" s="39"/>
    </row>
    <row r="46949">
      <c r="D46949" s="39"/>
      <c r="E46949" s="39"/>
      <c r="F46949" s="39"/>
    </row>
    <row r="46950">
      <c r="D46950" s="39"/>
      <c r="E46950" s="39"/>
      <c r="F46950" s="39"/>
    </row>
    <row r="46951">
      <c r="D46951" s="39"/>
      <c r="E46951" s="39"/>
      <c r="F46951" s="39"/>
    </row>
    <row r="46952">
      <c r="D46952" s="39"/>
      <c r="E46952" s="39"/>
      <c r="F46952" s="39"/>
    </row>
    <row r="46953">
      <c r="D46953" s="39"/>
      <c r="E46953" s="39"/>
      <c r="F46953" s="39"/>
    </row>
    <row r="46954">
      <c r="D46954" s="39"/>
      <c r="E46954" s="39"/>
      <c r="F46954" s="39"/>
    </row>
    <row r="46955">
      <c r="D46955" s="39"/>
      <c r="E46955" s="39"/>
      <c r="F46955" s="39"/>
    </row>
    <row r="46956">
      <c r="D46956" s="39"/>
      <c r="E46956" s="39"/>
      <c r="F46956" s="39"/>
    </row>
    <row r="46957">
      <c r="D46957" s="39"/>
      <c r="E46957" s="39"/>
      <c r="F46957" s="39"/>
    </row>
    <row r="46958">
      <c r="D46958" s="39"/>
      <c r="E46958" s="39"/>
      <c r="F46958" s="39"/>
    </row>
    <row r="46959">
      <c r="D46959" s="39"/>
      <c r="E46959" s="39"/>
      <c r="F46959" s="39"/>
    </row>
    <row r="46960">
      <c r="D46960" s="39"/>
      <c r="E46960" s="39"/>
      <c r="F46960" s="39"/>
    </row>
    <row r="46961">
      <c r="D46961" s="39"/>
      <c r="E46961" s="39"/>
      <c r="F46961" s="39"/>
    </row>
    <row r="46962">
      <c r="D46962" s="39"/>
      <c r="E46962" s="39"/>
      <c r="F46962" s="39"/>
    </row>
    <row r="46963">
      <c r="D46963" s="39"/>
      <c r="E46963" s="39"/>
      <c r="F46963" s="39"/>
    </row>
    <row r="46964">
      <c r="D46964" s="39"/>
      <c r="E46964" s="39"/>
      <c r="F46964" s="39"/>
    </row>
    <row r="46965">
      <c r="D46965" s="39"/>
      <c r="E46965" s="39"/>
      <c r="F46965" s="39"/>
    </row>
    <row r="46966">
      <c r="D46966" s="39"/>
      <c r="E46966" s="39"/>
      <c r="F46966" s="39"/>
    </row>
    <row r="46967">
      <c r="D46967" s="39"/>
      <c r="E46967" s="39"/>
      <c r="F46967" s="39"/>
    </row>
    <row r="46968">
      <c r="D46968" s="39"/>
      <c r="E46968" s="39"/>
      <c r="F46968" s="39"/>
    </row>
    <row r="46969">
      <c r="D46969" s="39"/>
      <c r="E46969" s="39"/>
      <c r="F46969" s="39"/>
    </row>
    <row r="46970">
      <c r="D46970" s="39"/>
      <c r="E46970" s="39"/>
      <c r="F46970" s="39"/>
    </row>
    <row r="46971">
      <c r="D46971" s="39"/>
      <c r="E46971" s="39"/>
      <c r="F46971" s="39"/>
    </row>
    <row r="46972">
      <c r="D46972" s="39"/>
      <c r="E46972" s="39"/>
      <c r="F46972" s="39"/>
    </row>
    <row r="46973">
      <c r="D46973" s="39"/>
      <c r="E46973" s="39"/>
      <c r="F46973" s="39"/>
    </row>
    <row r="46974">
      <c r="D46974" s="39"/>
      <c r="E46974" s="39"/>
      <c r="F46974" s="39"/>
    </row>
    <row r="46975">
      <c r="D46975" s="39"/>
      <c r="E46975" s="39"/>
      <c r="F46975" s="39"/>
    </row>
    <row r="46976">
      <c r="D46976" s="39"/>
      <c r="E46976" s="39"/>
      <c r="F46976" s="39"/>
    </row>
    <row r="46977">
      <c r="D46977" s="39"/>
      <c r="E46977" s="39"/>
      <c r="F46977" s="39"/>
    </row>
    <row r="46978">
      <c r="D46978" s="39"/>
      <c r="E46978" s="39"/>
      <c r="F46978" s="39"/>
    </row>
    <row r="46979">
      <c r="D46979" s="39"/>
      <c r="E46979" s="39"/>
      <c r="F46979" s="39"/>
    </row>
    <row r="46980">
      <c r="D46980" s="39"/>
      <c r="E46980" s="39"/>
      <c r="F46980" s="39"/>
    </row>
    <row r="46981">
      <c r="D46981" s="39"/>
      <c r="E46981" s="39"/>
      <c r="F46981" s="39"/>
    </row>
    <row r="46982">
      <c r="D46982" s="39"/>
      <c r="E46982" s="39"/>
      <c r="F46982" s="39"/>
    </row>
    <row r="46983">
      <c r="D46983" s="39"/>
      <c r="E46983" s="39"/>
      <c r="F46983" s="39"/>
    </row>
    <row r="46984">
      <c r="D46984" s="39"/>
      <c r="E46984" s="39"/>
      <c r="F46984" s="39"/>
    </row>
    <row r="46985">
      <c r="D46985" s="39"/>
      <c r="E46985" s="39"/>
      <c r="F46985" s="39"/>
    </row>
    <row r="46986">
      <c r="D46986" s="39"/>
      <c r="E46986" s="39"/>
      <c r="F46986" s="39"/>
    </row>
    <row r="46987">
      <c r="D46987" s="39"/>
      <c r="E46987" s="39"/>
      <c r="F46987" s="39"/>
    </row>
    <row r="46988">
      <c r="D46988" s="39"/>
      <c r="E46988" s="39"/>
      <c r="F46988" s="39"/>
    </row>
    <row r="46989">
      <c r="D46989" s="39"/>
      <c r="E46989" s="39"/>
      <c r="F46989" s="39"/>
    </row>
    <row r="46990">
      <c r="D46990" s="39"/>
      <c r="E46990" s="39"/>
      <c r="F46990" s="39"/>
    </row>
    <row r="46991">
      <c r="D46991" s="39"/>
      <c r="E46991" s="39"/>
      <c r="F46991" s="39"/>
    </row>
    <row r="46992">
      <c r="D46992" s="39"/>
      <c r="E46992" s="39"/>
      <c r="F46992" s="39"/>
    </row>
    <row r="46993">
      <c r="D46993" s="39"/>
      <c r="E46993" s="39"/>
      <c r="F46993" s="39"/>
    </row>
    <row r="46994">
      <c r="D46994" s="39"/>
      <c r="E46994" s="39"/>
      <c r="F46994" s="39"/>
    </row>
    <row r="46995">
      <c r="D46995" s="39"/>
      <c r="E46995" s="39"/>
      <c r="F46995" s="39"/>
    </row>
    <row r="46996">
      <c r="D46996" s="39"/>
      <c r="E46996" s="39"/>
      <c r="F46996" s="39"/>
    </row>
    <row r="46997">
      <c r="D46997" s="39"/>
      <c r="E46997" s="39"/>
      <c r="F46997" s="39"/>
    </row>
    <row r="46998">
      <c r="D46998" s="39"/>
      <c r="E46998" s="39"/>
      <c r="F46998" s="39"/>
    </row>
    <row r="46999">
      <c r="D46999" s="39"/>
      <c r="E46999" s="39"/>
      <c r="F46999" s="39"/>
    </row>
    <row r="47000">
      <c r="D47000" s="39"/>
      <c r="E47000" s="39"/>
      <c r="F47000" s="39"/>
    </row>
    <row r="47001">
      <c r="D47001" s="39"/>
      <c r="E47001" s="39"/>
      <c r="F47001" s="39"/>
    </row>
    <row r="47002">
      <c r="D47002" s="39"/>
      <c r="E47002" s="39"/>
      <c r="F47002" s="39"/>
    </row>
    <row r="47003">
      <c r="D47003" s="39"/>
      <c r="E47003" s="39"/>
      <c r="F47003" s="39"/>
    </row>
    <row r="47004">
      <c r="D47004" s="39"/>
      <c r="E47004" s="39"/>
      <c r="F47004" s="39"/>
    </row>
    <row r="47005">
      <c r="D47005" s="39"/>
      <c r="E47005" s="39"/>
      <c r="F47005" s="39"/>
    </row>
    <row r="47006">
      <c r="D47006" s="39"/>
      <c r="E47006" s="39"/>
      <c r="F47006" s="39"/>
    </row>
    <row r="47007">
      <c r="D47007" s="39"/>
      <c r="E47007" s="39"/>
      <c r="F47007" s="39"/>
    </row>
    <row r="47008">
      <c r="D47008" s="39"/>
      <c r="E47008" s="39"/>
      <c r="F47008" s="39"/>
    </row>
    <row r="47009">
      <c r="D47009" s="39"/>
      <c r="E47009" s="39"/>
      <c r="F47009" s="39"/>
    </row>
    <row r="47010">
      <c r="D47010" s="39"/>
      <c r="E47010" s="39"/>
      <c r="F47010" s="39"/>
    </row>
    <row r="47011">
      <c r="D47011" s="39"/>
      <c r="E47011" s="39"/>
      <c r="F47011" s="39"/>
    </row>
    <row r="47012">
      <c r="D47012" s="39"/>
      <c r="E47012" s="39"/>
      <c r="F47012" s="39"/>
    </row>
    <row r="47013">
      <c r="D47013" s="39"/>
      <c r="E47013" s="39"/>
      <c r="F47013" s="39"/>
    </row>
    <row r="47014">
      <c r="D47014" s="39"/>
      <c r="E47014" s="39"/>
      <c r="F47014" s="39"/>
    </row>
    <row r="47015">
      <c r="D47015" s="39"/>
      <c r="E47015" s="39"/>
      <c r="F47015" s="39"/>
    </row>
    <row r="47016">
      <c r="D47016" s="39"/>
      <c r="E47016" s="39"/>
      <c r="F47016" s="39"/>
    </row>
    <row r="47017">
      <c r="D47017" s="39"/>
      <c r="E47017" s="39"/>
      <c r="F47017" s="39"/>
    </row>
    <row r="47018">
      <c r="D47018" s="39"/>
      <c r="E47018" s="39"/>
      <c r="F47018" s="39"/>
    </row>
    <row r="47019">
      <c r="D47019" s="39"/>
      <c r="E47019" s="39"/>
      <c r="F47019" s="39"/>
    </row>
    <row r="47020">
      <c r="D47020" s="39"/>
      <c r="E47020" s="39"/>
      <c r="F47020" s="39"/>
    </row>
    <row r="47021">
      <c r="D47021" s="39"/>
      <c r="E47021" s="39"/>
      <c r="F47021" s="39"/>
    </row>
    <row r="47022">
      <c r="D47022" s="39"/>
      <c r="E47022" s="39"/>
      <c r="F47022" s="39"/>
    </row>
    <row r="47023">
      <c r="D47023" s="39"/>
      <c r="E47023" s="39"/>
      <c r="F47023" s="39"/>
    </row>
    <row r="47024">
      <c r="D47024" s="39"/>
      <c r="E47024" s="39"/>
      <c r="F47024" s="39"/>
    </row>
    <row r="47025">
      <c r="D47025" s="39"/>
      <c r="E47025" s="39"/>
      <c r="F47025" s="39"/>
    </row>
    <row r="47026">
      <c r="D47026" s="39"/>
      <c r="E47026" s="39"/>
      <c r="F47026" s="39"/>
    </row>
    <row r="47027">
      <c r="D47027" s="39"/>
      <c r="E47027" s="39"/>
      <c r="F47027" s="39"/>
    </row>
    <row r="47028">
      <c r="D47028" s="39"/>
      <c r="E47028" s="39"/>
      <c r="F47028" s="39"/>
    </row>
    <row r="47029">
      <c r="D47029" s="39"/>
      <c r="E47029" s="39"/>
      <c r="F47029" s="39"/>
    </row>
    <row r="47030">
      <c r="D47030" s="39"/>
      <c r="E47030" s="39"/>
      <c r="F47030" s="39"/>
    </row>
    <row r="47031">
      <c r="D47031" s="39"/>
      <c r="E47031" s="39"/>
      <c r="F47031" s="39"/>
    </row>
    <row r="47032">
      <c r="D47032" s="39"/>
      <c r="E47032" s="39"/>
      <c r="F47032" s="39"/>
    </row>
    <row r="47033">
      <c r="D47033" s="39"/>
      <c r="E47033" s="39"/>
      <c r="F47033" s="39"/>
    </row>
    <row r="47034">
      <c r="D47034" s="39"/>
      <c r="E47034" s="39"/>
      <c r="F47034" s="39"/>
    </row>
    <row r="47035">
      <c r="D47035" s="39"/>
      <c r="E47035" s="39"/>
      <c r="F47035" s="39"/>
    </row>
    <row r="47036">
      <c r="D47036" s="39"/>
      <c r="E47036" s="39"/>
      <c r="F47036" s="39"/>
    </row>
    <row r="47037">
      <c r="D47037" s="39"/>
      <c r="E47037" s="39"/>
      <c r="F47037" s="39"/>
    </row>
    <row r="47038">
      <c r="D47038" s="39"/>
      <c r="E47038" s="39"/>
      <c r="F47038" s="39"/>
    </row>
    <row r="47039">
      <c r="D47039" s="39"/>
      <c r="E47039" s="39"/>
      <c r="F47039" s="39"/>
    </row>
    <row r="47040">
      <c r="D47040" s="39"/>
      <c r="E47040" s="39"/>
      <c r="F47040" s="39"/>
    </row>
    <row r="47041">
      <c r="D47041" s="39"/>
      <c r="E47041" s="39"/>
      <c r="F47041" s="39"/>
    </row>
    <row r="47042">
      <c r="D47042" s="39"/>
      <c r="E47042" s="39"/>
      <c r="F47042" s="39"/>
    </row>
    <row r="47043">
      <c r="D47043" s="39"/>
      <c r="E47043" s="39"/>
      <c r="F47043" s="39"/>
    </row>
    <row r="47044">
      <c r="D47044" s="39"/>
      <c r="E47044" s="39"/>
      <c r="F47044" s="39"/>
    </row>
    <row r="47045">
      <c r="D47045" s="39"/>
      <c r="E47045" s="39"/>
      <c r="F47045" s="39"/>
    </row>
    <row r="47046">
      <c r="D47046" s="39"/>
      <c r="E47046" s="39"/>
      <c r="F47046" s="39"/>
    </row>
    <row r="47047">
      <c r="D47047" s="39"/>
      <c r="E47047" s="39"/>
      <c r="F47047" s="39"/>
    </row>
    <row r="47048">
      <c r="D47048" s="39"/>
      <c r="E47048" s="39"/>
      <c r="F47048" s="39"/>
    </row>
    <row r="47049">
      <c r="D47049" s="39"/>
      <c r="E47049" s="39"/>
      <c r="F47049" s="39"/>
    </row>
    <row r="47050">
      <c r="D47050" s="39"/>
      <c r="E47050" s="39"/>
      <c r="F47050" s="39"/>
    </row>
    <row r="47051">
      <c r="D47051" s="39"/>
      <c r="E47051" s="39"/>
      <c r="F47051" s="39"/>
    </row>
    <row r="47052">
      <c r="D47052" s="39"/>
      <c r="E47052" s="39"/>
      <c r="F47052" s="39"/>
    </row>
    <row r="47053">
      <c r="D47053" s="39"/>
      <c r="E47053" s="39"/>
      <c r="F47053" s="39"/>
    </row>
    <row r="47054">
      <c r="D47054" s="39"/>
      <c r="E47054" s="39"/>
      <c r="F47054" s="39"/>
    </row>
    <row r="47055">
      <c r="D47055" s="39"/>
      <c r="E47055" s="39"/>
      <c r="F47055" s="39"/>
    </row>
    <row r="47056">
      <c r="D47056" s="39"/>
      <c r="E47056" s="39"/>
      <c r="F47056" s="39"/>
    </row>
    <row r="47057">
      <c r="D47057" s="39"/>
      <c r="E47057" s="39"/>
      <c r="F47057" s="39"/>
    </row>
    <row r="47058">
      <c r="D47058" s="39"/>
      <c r="E47058" s="39"/>
      <c r="F47058" s="39"/>
    </row>
    <row r="47059">
      <c r="D47059" s="39"/>
      <c r="E47059" s="39"/>
      <c r="F47059" s="39"/>
    </row>
    <row r="47060">
      <c r="D47060" s="39"/>
      <c r="E47060" s="39"/>
      <c r="F47060" s="39"/>
    </row>
    <row r="47061">
      <c r="D47061" s="39"/>
      <c r="E47061" s="39"/>
      <c r="F47061" s="39"/>
    </row>
    <row r="47062">
      <c r="D47062" s="39"/>
      <c r="E47062" s="39"/>
      <c r="F47062" s="39"/>
    </row>
    <row r="47063">
      <c r="D47063" s="39"/>
      <c r="E47063" s="39"/>
      <c r="F47063" s="39"/>
    </row>
    <row r="47064">
      <c r="D47064" s="39"/>
      <c r="E47064" s="39"/>
      <c r="F47064" s="39"/>
    </row>
    <row r="47065">
      <c r="D47065" s="39"/>
      <c r="E47065" s="39"/>
      <c r="F47065" s="39"/>
    </row>
    <row r="47066">
      <c r="D47066" s="39"/>
      <c r="E47066" s="39"/>
      <c r="F47066" s="39"/>
    </row>
    <row r="47067">
      <c r="D47067" s="39"/>
      <c r="E47067" s="39"/>
      <c r="F47067" s="39"/>
    </row>
    <row r="47068">
      <c r="D47068" s="39"/>
      <c r="E47068" s="39"/>
      <c r="F47068" s="39"/>
    </row>
    <row r="47069">
      <c r="D47069" s="39"/>
      <c r="E47069" s="39"/>
      <c r="F47069" s="39"/>
    </row>
    <row r="47070">
      <c r="D47070" s="39"/>
      <c r="E47070" s="39"/>
      <c r="F47070" s="39"/>
    </row>
    <row r="47071">
      <c r="D47071" s="39"/>
      <c r="E47071" s="39"/>
      <c r="F47071" s="39"/>
    </row>
    <row r="47072">
      <c r="D47072" s="39"/>
      <c r="E47072" s="39"/>
      <c r="F47072" s="39"/>
    </row>
    <row r="47073">
      <c r="D47073" s="39"/>
      <c r="E47073" s="39"/>
      <c r="F47073" s="39"/>
    </row>
    <row r="47074">
      <c r="D47074" s="39"/>
      <c r="E47074" s="39"/>
      <c r="F47074" s="39"/>
    </row>
    <row r="47075">
      <c r="D47075" s="39"/>
      <c r="E47075" s="39"/>
      <c r="F47075" s="39"/>
    </row>
    <row r="47076">
      <c r="D47076" s="39"/>
      <c r="E47076" s="39"/>
      <c r="F47076" s="39"/>
    </row>
    <row r="47077">
      <c r="D47077" s="39"/>
      <c r="E47077" s="39"/>
      <c r="F47077" s="39"/>
    </row>
    <row r="47078">
      <c r="D47078" s="39"/>
      <c r="E47078" s="39"/>
      <c r="F47078" s="39"/>
    </row>
    <row r="47079">
      <c r="D47079" s="39"/>
      <c r="E47079" s="39"/>
      <c r="F47079" s="39"/>
    </row>
    <row r="47080">
      <c r="D47080" s="39"/>
      <c r="E47080" s="39"/>
      <c r="F47080" s="39"/>
    </row>
    <row r="47081">
      <c r="D47081" s="39"/>
      <c r="E47081" s="39"/>
      <c r="F47081" s="39"/>
    </row>
    <row r="47082">
      <c r="D47082" s="39"/>
      <c r="E47082" s="39"/>
      <c r="F47082" s="39"/>
    </row>
    <row r="47083">
      <c r="D47083" s="39"/>
      <c r="E47083" s="39"/>
      <c r="F47083" s="39"/>
    </row>
    <row r="47084">
      <c r="D47084" s="39"/>
      <c r="E47084" s="39"/>
      <c r="F47084" s="39"/>
    </row>
    <row r="47085">
      <c r="D47085" s="39"/>
      <c r="E47085" s="39"/>
      <c r="F47085" s="39"/>
    </row>
    <row r="47086">
      <c r="D47086" s="39"/>
      <c r="E47086" s="39"/>
      <c r="F47086" s="39"/>
    </row>
    <row r="47087">
      <c r="D47087" s="39"/>
      <c r="E47087" s="39"/>
      <c r="F47087" s="39"/>
    </row>
    <row r="47088">
      <c r="D47088" s="39"/>
      <c r="E47088" s="39"/>
      <c r="F47088" s="39"/>
    </row>
    <row r="47089">
      <c r="D47089" s="39"/>
      <c r="E47089" s="39"/>
      <c r="F47089" s="39"/>
    </row>
    <row r="47090">
      <c r="D47090" s="39"/>
      <c r="E47090" s="39"/>
      <c r="F47090" s="39"/>
    </row>
    <row r="47091">
      <c r="D47091" s="39"/>
      <c r="E47091" s="39"/>
      <c r="F47091" s="39"/>
    </row>
    <row r="47092">
      <c r="D47092" s="39"/>
      <c r="E47092" s="39"/>
      <c r="F47092" s="39"/>
    </row>
    <row r="47093">
      <c r="D47093" s="39"/>
      <c r="E47093" s="39"/>
      <c r="F47093" s="39"/>
    </row>
    <row r="47094">
      <c r="D47094" s="39"/>
      <c r="E47094" s="39"/>
      <c r="F47094" s="39"/>
    </row>
    <row r="47095">
      <c r="D47095" s="39"/>
      <c r="E47095" s="39"/>
      <c r="F47095" s="39"/>
    </row>
    <row r="47096">
      <c r="D47096" s="39"/>
      <c r="E47096" s="39"/>
      <c r="F47096" s="39"/>
    </row>
    <row r="47097">
      <c r="D47097" s="39"/>
      <c r="E47097" s="39"/>
      <c r="F47097" s="39"/>
    </row>
    <row r="47098">
      <c r="D47098" s="39"/>
      <c r="E47098" s="39"/>
      <c r="F47098" s="39"/>
    </row>
    <row r="47099">
      <c r="D47099" s="39"/>
      <c r="E47099" s="39"/>
      <c r="F47099" s="39"/>
    </row>
    <row r="47100">
      <c r="D47100" s="39"/>
      <c r="E47100" s="39"/>
      <c r="F47100" s="39"/>
    </row>
    <row r="47101">
      <c r="D47101" s="39"/>
      <c r="E47101" s="39"/>
      <c r="F47101" s="39"/>
    </row>
    <row r="47102">
      <c r="D47102" s="39"/>
      <c r="E47102" s="39"/>
      <c r="F47102" s="39"/>
    </row>
    <row r="47103">
      <c r="D47103" s="39"/>
      <c r="E47103" s="39"/>
      <c r="F47103" s="39"/>
    </row>
    <row r="47104">
      <c r="D47104" s="39"/>
      <c r="E47104" s="39"/>
      <c r="F47104" s="39"/>
    </row>
    <row r="47105">
      <c r="D47105" s="39"/>
      <c r="E47105" s="39"/>
      <c r="F47105" s="39"/>
    </row>
    <row r="47106">
      <c r="D47106" s="39"/>
      <c r="E47106" s="39"/>
      <c r="F47106" s="39"/>
    </row>
    <row r="47107">
      <c r="D47107" s="39"/>
      <c r="E47107" s="39"/>
      <c r="F47107" s="39"/>
    </row>
    <row r="47108">
      <c r="D47108" s="39"/>
      <c r="E47108" s="39"/>
      <c r="F47108" s="39"/>
    </row>
    <row r="47109">
      <c r="D47109" s="39"/>
      <c r="E47109" s="39"/>
      <c r="F47109" s="39"/>
    </row>
    <row r="47110">
      <c r="D47110" s="39"/>
      <c r="E47110" s="39"/>
      <c r="F47110" s="39"/>
    </row>
    <row r="47111">
      <c r="D47111" s="39"/>
      <c r="E47111" s="39"/>
      <c r="F47111" s="39"/>
    </row>
    <row r="47112">
      <c r="D47112" s="39"/>
      <c r="E47112" s="39"/>
      <c r="F47112" s="39"/>
    </row>
    <row r="47113">
      <c r="D47113" s="39"/>
      <c r="E47113" s="39"/>
      <c r="F47113" s="39"/>
    </row>
    <row r="47114">
      <c r="D47114" s="39"/>
      <c r="E47114" s="39"/>
      <c r="F47114" s="39"/>
    </row>
    <row r="47115">
      <c r="D47115" s="39"/>
      <c r="E47115" s="39"/>
      <c r="F47115" s="39"/>
    </row>
    <row r="47116">
      <c r="D47116" s="39"/>
      <c r="E47116" s="39"/>
      <c r="F47116" s="39"/>
    </row>
    <row r="47117">
      <c r="D47117" s="39"/>
      <c r="E47117" s="39"/>
      <c r="F47117" s="39"/>
    </row>
    <row r="47118">
      <c r="D47118" s="39"/>
      <c r="E47118" s="39"/>
      <c r="F47118" s="39"/>
    </row>
    <row r="47119">
      <c r="D47119" s="39"/>
      <c r="E47119" s="39"/>
      <c r="F47119" s="39"/>
    </row>
    <row r="47120">
      <c r="D47120" s="39"/>
      <c r="E47120" s="39"/>
      <c r="F47120" s="39"/>
    </row>
    <row r="47121">
      <c r="D47121" s="39"/>
      <c r="E47121" s="39"/>
      <c r="F47121" s="39"/>
    </row>
    <row r="47122">
      <c r="D47122" s="39"/>
      <c r="E47122" s="39"/>
      <c r="F47122" s="39"/>
    </row>
    <row r="47123">
      <c r="D47123" s="39"/>
      <c r="E47123" s="39"/>
      <c r="F47123" s="39"/>
    </row>
    <row r="47124">
      <c r="D47124" s="39"/>
      <c r="E47124" s="39"/>
      <c r="F47124" s="39"/>
    </row>
    <row r="47125">
      <c r="D47125" s="39"/>
      <c r="E47125" s="39"/>
      <c r="F47125" s="39"/>
    </row>
    <row r="47126">
      <c r="D47126" s="39"/>
      <c r="E47126" s="39"/>
      <c r="F47126" s="39"/>
    </row>
    <row r="47127">
      <c r="D47127" s="39"/>
      <c r="E47127" s="39"/>
      <c r="F47127" s="39"/>
    </row>
    <row r="47128">
      <c r="D47128" s="39"/>
      <c r="E47128" s="39"/>
      <c r="F47128" s="39"/>
    </row>
    <row r="47129">
      <c r="D47129" s="39"/>
      <c r="E47129" s="39"/>
      <c r="F47129" s="39"/>
    </row>
    <row r="47130">
      <c r="D47130" s="39"/>
      <c r="E47130" s="39"/>
      <c r="F47130" s="39"/>
    </row>
    <row r="47131">
      <c r="D47131" s="39"/>
      <c r="E47131" s="39"/>
      <c r="F47131" s="39"/>
    </row>
    <row r="47132">
      <c r="D47132" s="39"/>
      <c r="E47132" s="39"/>
      <c r="F47132" s="39"/>
    </row>
    <row r="47133">
      <c r="D47133" s="39"/>
      <c r="E47133" s="39"/>
      <c r="F47133" s="39"/>
    </row>
    <row r="47134">
      <c r="D47134" s="39"/>
      <c r="E47134" s="39"/>
      <c r="F47134" s="39"/>
    </row>
    <row r="47135">
      <c r="D47135" s="39"/>
      <c r="E47135" s="39"/>
      <c r="F47135" s="39"/>
    </row>
    <row r="47136">
      <c r="D47136" s="39"/>
      <c r="E47136" s="39"/>
      <c r="F47136" s="39"/>
    </row>
    <row r="47137">
      <c r="D47137" s="39"/>
      <c r="E47137" s="39"/>
      <c r="F47137" s="39"/>
    </row>
    <row r="47138">
      <c r="D47138" s="39"/>
      <c r="E47138" s="39"/>
      <c r="F47138" s="39"/>
    </row>
    <row r="47139">
      <c r="D47139" s="39"/>
      <c r="E47139" s="39"/>
      <c r="F47139" s="39"/>
    </row>
    <row r="47140">
      <c r="D47140" s="39"/>
      <c r="E47140" s="39"/>
      <c r="F47140" s="39"/>
    </row>
    <row r="47141">
      <c r="D47141" s="39"/>
      <c r="E47141" s="39"/>
      <c r="F47141" s="39"/>
    </row>
    <row r="47142">
      <c r="D47142" s="39"/>
      <c r="E47142" s="39"/>
      <c r="F47142" s="39"/>
    </row>
    <row r="47143">
      <c r="D47143" s="39"/>
      <c r="E47143" s="39"/>
      <c r="F47143" s="39"/>
    </row>
    <row r="47144">
      <c r="D47144" s="39"/>
      <c r="E47144" s="39"/>
      <c r="F47144" s="39"/>
    </row>
    <row r="47145">
      <c r="D47145" s="39"/>
      <c r="E47145" s="39"/>
      <c r="F47145" s="39"/>
    </row>
    <row r="47146">
      <c r="D47146" s="39"/>
      <c r="E47146" s="39"/>
      <c r="F47146" s="39"/>
    </row>
    <row r="47147">
      <c r="D47147" s="39"/>
      <c r="E47147" s="39"/>
      <c r="F47147" s="39"/>
    </row>
    <row r="47148">
      <c r="D47148" s="39"/>
      <c r="E47148" s="39"/>
      <c r="F47148" s="39"/>
    </row>
    <row r="47149">
      <c r="D47149" s="39"/>
      <c r="E47149" s="39"/>
      <c r="F47149" s="39"/>
    </row>
    <row r="47150">
      <c r="D47150" s="39"/>
      <c r="E47150" s="39"/>
      <c r="F47150" s="39"/>
    </row>
    <row r="47151">
      <c r="D47151" s="39"/>
      <c r="E47151" s="39"/>
      <c r="F47151" s="39"/>
    </row>
    <row r="47152">
      <c r="D47152" s="39"/>
      <c r="E47152" s="39"/>
      <c r="F47152" s="39"/>
    </row>
    <row r="47153">
      <c r="D47153" s="39"/>
      <c r="E47153" s="39"/>
      <c r="F47153" s="39"/>
    </row>
    <row r="47154">
      <c r="D47154" s="39"/>
      <c r="E47154" s="39"/>
      <c r="F47154" s="39"/>
    </row>
    <row r="47155">
      <c r="D47155" s="39"/>
      <c r="E47155" s="39"/>
      <c r="F47155" s="39"/>
    </row>
    <row r="47156">
      <c r="D47156" s="39"/>
      <c r="E47156" s="39"/>
      <c r="F47156" s="39"/>
    </row>
    <row r="47157">
      <c r="D47157" s="39"/>
      <c r="E47157" s="39"/>
      <c r="F47157" s="39"/>
    </row>
    <row r="47158">
      <c r="D47158" s="39"/>
      <c r="E47158" s="39"/>
      <c r="F47158" s="39"/>
    </row>
    <row r="47159">
      <c r="D47159" s="39"/>
      <c r="E47159" s="39"/>
      <c r="F47159" s="39"/>
    </row>
    <row r="47160">
      <c r="D47160" s="39"/>
      <c r="E47160" s="39"/>
      <c r="F47160" s="39"/>
    </row>
    <row r="47161">
      <c r="D47161" s="39"/>
      <c r="E47161" s="39"/>
      <c r="F47161" s="39"/>
    </row>
    <row r="47162">
      <c r="D47162" s="39"/>
      <c r="E47162" s="39"/>
      <c r="F47162" s="39"/>
    </row>
    <row r="47163">
      <c r="D47163" s="39"/>
      <c r="E47163" s="39"/>
      <c r="F47163" s="39"/>
    </row>
    <row r="47164">
      <c r="D47164" s="39"/>
      <c r="E47164" s="39"/>
      <c r="F47164" s="39"/>
    </row>
    <row r="47165">
      <c r="D47165" s="39"/>
      <c r="E47165" s="39"/>
      <c r="F47165" s="39"/>
    </row>
    <row r="47166">
      <c r="D47166" s="39"/>
      <c r="E47166" s="39"/>
      <c r="F47166" s="39"/>
    </row>
    <row r="47167">
      <c r="D47167" s="39"/>
      <c r="E47167" s="39"/>
      <c r="F47167" s="39"/>
    </row>
    <row r="47168">
      <c r="D47168" s="39"/>
      <c r="E47168" s="39"/>
      <c r="F47168" s="39"/>
    </row>
    <row r="47169">
      <c r="D47169" s="39"/>
      <c r="E47169" s="39"/>
      <c r="F47169" s="39"/>
    </row>
    <row r="47170">
      <c r="D47170" s="39"/>
      <c r="E47170" s="39"/>
      <c r="F47170" s="39"/>
    </row>
    <row r="47171">
      <c r="D47171" s="39"/>
      <c r="E47171" s="39"/>
      <c r="F47171" s="39"/>
    </row>
    <row r="47172">
      <c r="D47172" s="39"/>
      <c r="E47172" s="39"/>
      <c r="F47172" s="39"/>
    </row>
    <row r="47173">
      <c r="D47173" s="39"/>
      <c r="E47173" s="39"/>
      <c r="F47173" s="39"/>
    </row>
    <row r="47174">
      <c r="D47174" s="39"/>
      <c r="E47174" s="39"/>
      <c r="F47174" s="39"/>
    </row>
    <row r="47175">
      <c r="D47175" s="39"/>
      <c r="E47175" s="39"/>
      <c r="F47175" s="39"/>
    </row>
    <row r="47176">
      <c r="D47176" s="39"/>
      <c r="E47176" s="39"/>
      <c r="F47176" s="39"/>
    </row>
    <row r="47177">
      <c r="D47177" s="39"/>
      <c r="E47177" s="39"/>
      <c r="F47177" s="39"/>
    </row>
    <row r="47178">
      <c r="D47178" s="39"/>
      <c r="E47178" s="39"/>
      <c r="F47178" s="39"/>
    </row>
    <row r="47179">
      <c r="D47179" s="39"/>
      <c r="E47179" s="39"/>
      <c r="F47179" s="39"/>
    </row>
    <row r="47180">
      <c r="D47180" s="39"/>
      <c r="E47180" s="39"/>
      <c r="F47180" s="39"/>
    </row>
    <row r="47181">
      <c r="D47181" s="39"/>
      <c r="E47181" s="39"/>
      <c r="F47181" s="39"/>
    </row>
    <row r="47182">
      <c r="D47182" s="39"/>
      <c r="E47182" s="39"/>
      <c r="F47182" s="39"/>
    </row>
    <row r="47183">
      <c r="D47183" s="39"/>
      <c r="E47183" s="39"/>
      <c r="F47183" s="39"/>
    </row>
    <row r="47184">
      <c r="D47184" s="39"/>
      <c r="E47184" s="39"/>
      <c r="F47184" s="39"/>
    </row>
    <row r="47185">
      <c r="D47185" s="39"/>
      <c r="E47185" s="39"/>
      <c r="F47185" s="39"/>
    </row>
    <row r="47186">
      <c r="D47186" s="39"/>
      <c r="E47186" s="39"/>
      <c r="F47186" s="39"/>
    </row>
    <row r="47187">
      <c r="D47187" s="39"/>
      <c r="E47187" s="39"/>
      <c r="F47187" s="39"/>
    </row>
    <row r="47188">
      <c r="D47188" s="39"/>
      <c r="E47188" s="39"/>
      <c r="F47188" s="39"/>
    </row>
    <row r="47189">
      <c r="D47189" s="39"/>
      <c r="E47189" s="39"/>
      <c r="F47189" s="39"/>
    </row>
    <row r="47190">
      <c r="D47190" s="39"/>
      <c r="E47190" s="39"/>
      <c r="F47190" s="39"/>
    </row>
    <row r="47191">
      <c r="D47191" s="39"/>
      <c r="E47191" s="39"/>
      <c r="F47191" s="39"/>
    </row>
    <row r="47192">
      <c r="D47192" s="39"/>
      <c r="E47192" s="39"/>
      <c r="F47192" s="39"/>
    </row>
    <row r="47193">
      <c r="D47193" s="39"/>
      <c r="E47193" s="39"/>
      <c r="F47193" s="39"/>
    </row>
    <row r="47194">
      <c r="D47194" s="39"/>
      <c r="E47194" s="39"/>
      <c r="F47194" s="39"/>
    </row>
    <row r="47195">
      <c r="D47195" s="39"/>
      <c r="E47195" s="39"/>
      <c r="F47195" s="39"/>
    </row>
    <row r="47196">
      <c r="D47196" s="39"/>
      <c r="E47196" s="39"/>
      <c r="F47196" s="39"/>
    </row>
    <row r="47197">
      <c r="D47197" s="39"/>
      <c r="E47197" s="39"/>
      <c r="F47197" s="39"/>
    </row>
    <row r="47198">
      <c r="D47198" s="39"/>
      <c r="E47198" s="39"/>
      <c r="F47198" s="39"/>
    </row>
    <row r="47199">
      <c r="D47199" s="39"/>
      <c r="E47199" s="39"/>
      <c r="F47199" s="39"/>
    </row>
    <row r="47200">
      <c r="D47200" s="39"/>
      <c r="E47200" s="39"/>
      <c r="F47200" s="39"/>
    </row>
    <row r="47201">
      <c r="D47201" s="39"/>
      <c r="E47201" s="39"/>
      <c r="F47201" s="39"/>
    </row>
    <row r="47202">
      <c r="D47202" s="39"/>
      <c r="E47202" s="39"/>
      <c r="F47202" s="39"/>
    </row>
    <row r="47203">
      <c r="D47203" s="39"/>
      <c r="E47203" s="39"/>
      <c r="F47203" s="39"/>
    </row>
    <row r="47204">
      <c r="D47204" s="39"/>
      <c r="E47204" s="39"/>
      <c r="F47204" s="39"/>
    </row>
    <row r="47205">
      <c r="D47205" s="39"/>
      <c r="E47205" s="39"/>
      <c r="F47205" s="39"/>
    </row>
    <row r="47206">
      <c r="D47206" s="39"/>
      <c r="E47206" s="39"/>
      <c r="F47206" s="39"/>
    </row>
    <row r="47207">
      <c r="D47207" s="39"/>
      <c r="E47207" s="39"/>
      <c r="F47207" s="39"/>
    </row>
    <row r="47208">
      <c r="D47208" s="39"/>
      <c r="E47208" s="39"/>
      <c r="F47208" s="39"/>
    </row>
    <row r="47209">
      <c r="D47209" s="39"/>
      <c r="E47209" s="39"/>
      <c r="F47209" s="39"/>
    </row>
    <row r="47210">
      <c r="D47210" s="39"/>
      <c r="E47210" s="39"/>
      <c r="F47210" s="39"/>
    </row>
    <row r="47211">
      <c r="D47211" s="39"/>
      <c r="E47211" s="39"/>
      <c r="F47211" s="39"/>
    </row>
    <row r="47212">
      <c r="D47212" s="39"/>
      <c r="E47212" s="39"/>
      <c r="F47212" s="39"/>
    </row>
    <row r="47213">
      <c r="D47213" s="39"/>
      <c r="E47213" s="39"/>
      <c r="F47213" s="39"/>
    </row>
    <row r="47214">
      <c r="D47214" s="39"/>
      <c r="E47214" s="39"/>
      <c r="F47214" s="39"/>
    </row>
    <row r="47215">
      <c r="D47215" s="39"/>
      <c r="E47215" s="39"/>
      <c r="F47215" s="39"/>
    </row>
    <row r="47216">
      <c r="D47216" s="39"/>
      <c r="E47216" s="39"/>
      <c r="F47216" s="39"/>
    </row>
    <row r="47217">
      <c r="D47217" s="39"/>
      <c r="E47217" s="39"/>
      <c r="F47217" s="39"/>
    </row>
    <row r="47218">
      <c r="D47218" s="39"/>
      <c r="E47218" s="39"/>
      <c r="F47218" s="39"/>
    </row>
    <row r="47219">
      <c r="D47219" s="39"/>
      <c r="E47219" s="39"/>
      <c r="F47219" s="39"/>
    </row>
    <row r="47220">
      <c r="D47220" s="39"/>
      <c r="E47220" s="39"/>
      <c r="F47220" s="39"/>
    </row>
    <row r="47221">
      <c r="D47221" s="39"/>
      <c r="E47221" s="39"/>
      <c r="F47221" s="39"/>
    </row>
    <row r="47222">
      <c r="D47222" s="39"/>
      <c r="E47222" s="39"/>
      <c r="F47222" s="39"/>
    </row>
    <row r="47223">
      <c r="D47223" s="39"/>
      <c r="E47223" s="39"/>
      <c r="F47223" s="39"/>
    </row>
    <row r="47224">
      <c r="D47224" s="39"/>
      <c r="E47224" s="39"/>
      <c r="F47224" s="39"/>
    </row>
    <row r="47225">
      <c r="D47225" s="39"/>
      <c r="E47225" s="39"/>
      <c r="F47225" s="39"/>
    </row>
    <row r="47226">
      <c r="D47226" s="39"/>
      <c r="E47226" s="39"/>
      <c r="F47226" s="39"/>
    </row>
    <row r="47227">
      <c r="D47227" s="39"/>
      <c r="E47227" s="39"/>
      <c r="F47227" s="39"/>
    </row>
    <row r="47228">
      <c r="D47228" s="39"/>
      <c r="E47228" s="39"/>
      <c r="F47228" s="39"/>
    </row>
    <row r="47229">
      <c r="D47229" s="39"/>
      <c r="E47229" s="39"/>
      <c r="F47229" s="39"/>
    </row>
    <row r="47230">
      <c r="D47230" s="39"/>
      <c r="E47230" s="39"/>
      <c r="F47230" s="39"/>
    </row>
    <row r="47231">
      <c r="D47231" s="39"/>
      <c r="E47231" s="39"/>
      <c r="F47231" s="39"/>
    </row>
    <row r="47232">
      <c r="D47232" s="39"/>
      <c r="E47232" s="39"/>
      <c r="F47232" s="39"/>
    </row>
    <row r="47233">
      <c r="D47233" s="39"/>
      <c r="E47233" s="39"/>
      <c r="F47233" s="39"/>
    </row>
    <row r="47234">
      <c r="D47234" s="39"/>
      <c r="E47234" s="39"/>
      <c r="F47234" s="39"/>
    </row>
    <row r="47235">
      <c r="D47235" s="39"/>
      <c r="E47235" s="39"/>
      <c r="F47235" s="39"/>
    </row>
    <row r="47236">
      <c r="D47236" s="39"/>
      <c r="E47236" s="39"/>
      <c r="F47236" s="39"/>
    </row>
    <row r="47237">
      <c r="D47237" s="39"/>
      <c r="E47237" s="39"/>
      <c r="F47237" s="39"/>
    </row>
    <row r="47238">
      <c r="D47238" s="39"/>
      <c r="E47238" s="39"/>
      <c r="F47238" s="39"/>
    </row>
    <row r="47239">
      <c r="D47239" s="39"/>
      <c r="E47239" s="39"/>
      <c r="F47239" s="39"/>
    </row>
    <row r="47240">
      <c r="D47240" s="39"/>
      <c r="E47240" s="39"/>
      <c r="F47240" s="39"/>
    </row>
    <row r="47241">
      <c r="D47241" s="39"/>
      <c r="E47241" s="39"/>
      <c r="F47241" s="39"/>
    </row>
    <row r="47242">
      <c r="D47242" s="39"/>
      <c r="E47242" s="39"/>
      <c r="F47242" s="39"/>
    </row>
    <row r="47243">
      <c r="D47243" s="39"/>
      <c r="E47243" s="39"/>
      <c r="F47243" s="39"/>
    </row>
    <row r="47244">
      <c r="D47244" s="39"/>
      <c r="E47244" s="39"/>
      <c r="F47244" s="39"/>
    </row>
    <row r="47245">
      <c r="D47245" s="39"/>
      <c r="E47245" s="39"/>
      <c r="F47245" s="39"/>
    </row>
    <row r="47246">
      <c r="D47246" s="39"/>
      <c r="E47246" s="39"/>
      <c r="F47246" s="39"/>
    </row>
    <row r="47247">
      <c r="D47247" s="39"/>
      <c r="E47247" s="39"/>
      <c r="F47247" s="39"/>
    </row>
    <row r="47248">
      <c r="D47248" s="39"/>
      <c r="E47248" s="39"/>
      <c r="F47248" s="39"/>
    </row>
    <row r="47249">
      <c r="D47249" s="39"/>
      <c r="E47249" s="39"/>
      <c r="F47249" s="39"/>
    </row>
    <row r="47250">
      <c r="D47250" s="39"/>
      <c r="E47250" s="39"/>
      <c r="F47250" s="39"/>
    </row>
    <row r="47251">
      <c r="D47251" s="39"/>
      <c r="E47251" s="39"/>
      <c r="F47251" s="39"/>
    </row>
    <row r="47252">
      <c r="D47252" s="39"/>
      <c r="E47252" s="39"/>
      <c r="F47252" s="39"/>
    </row>
    <row r="47253">
      <c r="D47253" s="39"/>
      <c r="E47253" s="39"/>
      <c r="F47253" s="39"/>
    </row>
    <row r="47254">
      <c r="D47254" s="39"/>
      <c r="E47254" s="39"/>
      <c r="F47254" s="39"/>
    </row>
    <row r="47255">
      <c r="D47255" s="39"/>
      <c r="E47255" s="39"/>
      <c r="F47255" s="39"/>
    </row>
    <row r="47256">
      <c r="D47256" s="39"/>
      <c r="E47256" s="39"/>
      <c r="F47256" s="39"/>
    </row>
    <row r="47257">
      <c r="D47257" s="39"/>
      <c r="E47257" s="39"/>
      <c r="F47257" s="39"/>
    </row>
    <row r="47258">
      <c r="D47258" s="39"/>
      <c r="E47258" s="39"/>
      <c r="F47258" s="39"/>
    </row>
    <row r="47259">
      <c r="D47259" s="39"/>
      <c r="E47259" s="39"/>
      <c r="F47259" s="39"/>
    </row>
    <row r="47260">
      <c r="D47260" s="39"/>
      <c r="E47260" s="39"/>
      <c r="F47260" s="39"/>
    </row>
    <row r="47261">
      <c r="D47261" s="39"/>
      <c r="E47261" s="39"/>
      <c r="F47261" s="39"/>
    </row>
    <row r="47262">
      <c r="D47262" s="39"/>
      <c r="E47262" s="39"/>
      <c r="F47262" s="39"/>
    </row>
    <row r="47263">
      <c r="D47263" s="39"/>
      <c r="E47263" s="39"/>
      <c r="F47263" s="39"/>
    </row>
    <row r="47264">
      <c r="D47264" s="39"/>
      <c r="E47264" s="39"/>
      <c r="F47264" s="39"/>
    </row>
    <row r="47265">
      <c r="D47265" s="39"/>
      <c r="E47265" s="39"/>
      <c r="F47265" s="39"/>
    </row>
    <row r="47266">
      <c r="D47266" s="39"/>
      <c r="E47266" s="39"/>
      <c r="F47266" s="39"/>
    </row>
    <row r="47267">
      <c r="D47267" s="39"/>
      <c r="E47267" s="39"/>
      <c r="F47267" s="39"/>
    </row>
    <row r="47268">
      <c r="D47268" s="39"/>
      <c r="E47268" s="39"/>
      <c r="F47268" s="39"/>
    </row>
    <row r="47269">
      <c r="D47269" s="39"/>
      <c r="E47269" s="39"/>
      <c r="F47269" s="39"/>
    </row>
    <row r="47270">
      <c r="D47270" s="39"/>
      <c r="E47270" s="39"/>
      <c r="F47270" s="39"/>
    </row>
    <row r="47271">
      <c r="D47271" s="39"/>
      <c r="E47271" s="39"/>
      <c r="F47271" s="39"/>
    </row>
    <row r="47272">
      <c r="D47272" s="39"/>
      <c r="E47272" s="39"/>
      <c r="F47272" s="39"/>
    </row>
    <row r="47273">
      <c r="D47273" s="39"/>
      <c r="E47273" s="39"/>
      <c r="F47273" s="39"/>
    </row>
    <row r="47274">
      <c r="D47274" s="39"/>
      <c r="E47274" s="39"/>
      <c r="F47274" s="39"/>
    </row>
    <row r="47275">
      <c r="D47275" s="39"/>
      <c r="E47275" s="39"/>
      <c r="F47275" s="39"/>
    </row>
    <row r="47276">
      <c r="D47276" s="39"/>
      <c r="E47276" s="39"/>
      <c r="F47276" s="39"/>
    </row>
    <row r="47277">
      <c r="D47277" s="39"/>
      <c r="E47277" s="39"/>
      <c r="F47277" s="39"/>
    </row>
    <row r="47278">
      <c r="D47278" s="39"/>
      <c r="E47278" s="39"/>
      <c r="F47278" s="39"/>
    </row>
    <row r="47279">
      <c r="D47279" s="39"/>
      <c r="E47279" s="39"/>
      <c r="F47279" s="39"/>
    </row>
    <row r="47280">
      <c r="D47280" s="39"/>
      <c r="E47280" s="39"/>
      <c r="F47280" s="39"/>
    </row>
    <row r="47281">
      <c r="D47281" s="39"/>
      <c r="E47281" s="39"/>
      <c r="F47281" s="39"/>
    </row>
    <row r="47282">
      <c r="D47282" s="39"/>
      <c r="E47282" s="39"/>
      <c r="F47282" s="39"/>
    </row>
    <row r="47283">
      <c r="D47283" s="39"/>
      <c r="E47283" s="39"/>
      <c r="F47283" s="39"/>
    </row>
    <row r="47284">
      <c r="D47284" s="39"/>
      <c r="E47284" s="39"/>
      <c r="F47284" s="39"/>
    </row>
    <row r="47285">
      <c r="D47285" s="39"/>
      <c r="E47285" s="39"/>
      <c r="F47285" s="39"/>
    </row>
    <row r="47286">
      <c r="D47286" s="39"/>
      <c r="E47286" s="39"/>
      <c r="F47286" s="39"/>
    </row>
    <row r="47287">
      <c r="D47287" s="39"/>
      <c r="E47287" s="39"/>
      <c r="F47287" s="39"/>
    </row>
    <row r="47288">
      <c r="D47288" s="39"/>
      <c r="E47288" s="39"/>
      <c r="F47288" s="39"/>
    </row>
    <row r="47289">
      <c r="D47289" s="39"/>
      <c r="E47289" s="39"/>
      <c r="F47289" s="39"/>
    </row>
    <row r="47290">
      <c r="D47290" s="39"/>
      <c r="E47290" s="39"/>
      <c r="F47290" s="39"/>
    </row>
    <row r="47291">
      <c r="D47291" s="39"/>
      <c r="E47291" s="39"/>
      <c r="F47291" s="39"/>
    </row>
    <row r="47292">
      <c r="D47292" s="39"/>
      <c r="E47292" s="39"/>
      <c r="F47292" s="39"/>
    </row>
    <row r="47293">
      <c r="D47293" s="39"/>
      <c r="E47293" s="39"/>
      <c r="F47293" s="39"/>
    </row>
    <row r="47294">
      <c r="D47294" s="39"/>
      <c r="E47294" s="39"/>
      <c r="F47294" s="39"/>
    </row>
    <row r="47295">
      <c r="D47295" s="39"/>
      <c r="E47295" s="39"/>
      <c r="F47295" s="39"/>
    </row>
    <row r="47296">
      <c r="D47296" s="39"/>
      <c r="E47296" s="39"/>
      <c r="F47296" s="39"/>
    </row>
    <row r="47297">
      <c r="D47297" s="39"/>
      <c r="E47297" s="39"/>
      <c r="F47297" s="39"/>
    </row>
    <row r="47298">
      <c r="D47298" s="39"/>
      <c r="E47298" s="39"/>
      <c r="F47298" s="39"/>
    </row>
    <row r="47299">
      <c r="D47299" s="39"/>
      <c r="E47299" s="39"/>
      <c r="F47299" s="39"/>
    </row>
    <row r="47300">
      <c r="D47300" s="39"/>
      <c r="E47300" s="39"/>
      <c r="F47300" s="39"/>
    </row>
    <row r="47301">
      <c r="D47301" s="39"/>
      <c r="E47301" s="39"/>
      <c r="F47301" s="39"/>
    </row>
    <row r="47302">
      <c r="D47302" s="39"/>
      <c r="E47302" s="39"/>
      <c r="F47302" s="39"/>
    </row>
    <row r="47303">
      <c r="D47303" s="39"/>
      <c r="E47303" s="39"/>
      <c r="F47303" s="39"/>
    </row>
    <row r="47304">
      <c r="D47304" s="39"/>
      <c r="E47304" s="39"/>
      <c r="F47304" s="39"/>
    </row>
    <row r="47305">
      <c r="D47305" s="39"/>
      <c r="E47305" s="39"/>
      <c r="F47305" s="39"/>
    </row>
    <row r="47306">
      <c r="D47306" s="39"/>
      <c r="E47306" s="39"/>
      <c r="F47306" s="39"/>
    </row>
    <row r="47307">
      <c r="D47307" s="39"/>
      <c r="E47307" s="39"/>
      <c r="F47307" s="39"/>
    </row>
    <row r="47308">
      <c r="D47308" s="39"/>
      <c r="E47308" s="39"/>
      <c r="F47308" s="39"/>
    </row>
    <row r="47309">
      <c r="D47309" s="39"/>
      <c r="E47309" s="39"/>
      <c r="F47309" s="39"/>
    </row>
    <row r="47310">
      <c r="D47310" s="39"/>
      <c r="E47310" s="39"/>
      <c r="F47310" s="39"/>
    </row>
    <row r="47311">
      <c r="D47311" s="39"/>
      <c r="E47311" s="39"/>
      <c r="F47311" s="39"/>
    </row>
    <row r="47312">
      <c r="D47312" s="39"/>
      <c r="E47312" s="39"/>
      <c r="F47312" s="39"/>
    </row>
    <row r="47313">
      <c r="D47313" s="39"/>
      <c r="E47313" s="39"/>
      <c r="F47313" s="39"/>
    </row>
    <row r="47314">
      <c r="D47314" s="39"/>
      <c r="E47314" s="39"/>
      <c r="F47314" s="39"/>
    </row>
    <row r="47315">
      <c r="D47315" s="39"/>
      <c r="E47315" s="39"/>
      <c r="F47315" s="39"/>
    </row>
    <row r="47316">
      <c r="D47316" s="39"/>
      <c r="E47316" s="39"/>
      <c r="F47316" s="39"/>
    </row>
    <row r="47317">
      <c r="D47317" s="39"/>
      <c r="E47317" s="39"/>
      <c r="F47317" s="39"/>
    </row>
    <row r="47318">
      <c r="D47318" s="39"/>
      <c r="E47318" s="39"/>
      <c r="F47318" s="39"/>
    </row>
    <row r="47319">
      <c r="D47319" s="39"/>
      <c r="E47319" s="39"/>
      <c r="F47319" s="39"/>
    </row>
    <row r="47320">
      <c r="D47320" s="39"/>
      <c r="E47320" s="39"/>
      <c r="F47320" s="39"/>
    </row>
    <row r="47321">
      <c r="D47321" s="39"/>
      <c r="E47321" s="39"/>
      <c r="F47321" s="39"/>
    </row>
    <row r="47322">
      <c r="D47322" s="39"/>
      <c r="E47322" s="39"/>
      <c r="F47322" s="39"/>
    </row>
    <row r="47323">
      <c r="D47323" s="39"/>
      <c r="E47323" s="39"/>
      <c r="F47323" s="39"/>
    </row>
    <row r="47324">
      <c r="D47324" s="39"/>
      <c r="E47324" s="39"/>
      <c r="F47324" s="39"/>
    </row>
    <row r="47325">
      <c r="D47325" s="39"/>
      <c r="E47325" s="39"/>
      <c r="F47325" s="39"/>
    </row>
    <row r="47326">
      <c r="D47326" s="39"/>
      <c r="E47326" s="39"/>
      <c r="F47326" s="39"/>
    </row>
    <row r="47327">
      <c r="D47327" s="39"/>
      <c r="E47327" s="39"/>
      <c r="F47327" s="39"/>
    </row>
    <row r="47328">
      <c r="D47328" s="39"/>
      <c r="E47328" s="39"/>
      <c r="F47328" s="39"/>
    </row>
    <row r="47329">
      <c r="D47329" s="39"/>
      <c r="E47329" s="39"/>
      <c r="F47329" s="39"/>
    </row>
    <row r="47330">
      <c r="D47330" s="39"/>
      <c r="E47330" s="39"/>
      <c r="F47330" s="39"/>
    </row>
    <row r="47331">
      <c r="D47331" s="39"/>
      <c r="E47331" s="39"/>
      <c r="F47331" s="39"/>
    </row>
    <row r="47332">
      <c r="D47332" s="39"/>
      <c r="E47332" s="39"/>
      <c r="F47332" s="39"/>
    </row>
    <row r="47333">
      <c r="D47333" s="39"/>
      <c r="E47333" s="39"/>
      <c r="F47333" s="39"/>
    </row>
    <row r="47334">
      <c r="D47334" s="39"/>
      <c r="E47334" s="39"/>
      <c r="F47334" s="39"/>
    </row>
    <row r="47335">
      <c r="D47335" s="39"/>
      <c r="E47335" s="39"/>
      <c r="F47335" s="39"/>
    </row>
    <row r="47336">
      <c r="D47336" s="39"/>
      <c r="E47336" s="39"/>
      <c r="F47336" s="39"/>
    </row>
    <row r="47337">
      <c r="D47337" s="39"/>
      <c r="E47337" s="39"/>
      <c r="F47337" s="39"/>
    </row>
    <row r="47338">
      <c r="D47338" s="39"/>
      <c r="E47338" s="39"/>
      <c r="F47338" s="39"/>
    </row>
    <row r="47339">
      <c r="D47339" s="39"/>
      <c r="E47339" s="39"/>
      <c r="F47339" s="39"/>
    </row>
    <row r="47340">
      <c r="D47340" s="39"/>
      <c r="E47340" s="39"/>
      <c r="F47340" s="39"/>
    </row>
    <row r="47341">
      <c r="D47341" s="39"/>
      <c r="E47341" s="39"/>
      <c r="F47341" s="39"/>
    </row>
    <row r="47342">
      <c r="D47342" s="39"/>
      <c r="E47342" s="39"/>
      <c r="F47342" s="39"/>
    </row>
    <row r="47343">
      <c r="D47343" s="39"/>
      <c r="E47343" s="39"/>
      <c r="F47343" s="39"/>
    </row>
    <row r="47344">
      <c r="D47344" s="39"/>
      <c r="E47344" s="39"/>
      <c r="F47344" s="39"/>
    </row>
    <row r="47345">
      <c r="D47345" s="39"/>
      <c r="E47345" s="39"/>
      <c r="F47345" s="39"/>
    </row>
    <row r="47346">
      <c r="D47346" s="39"/>
      <c r="E47346" s="39"/>
      <c r="F47346" s="39"/>
    </row>
    <row r="47347">
      <c r="D47347" s="39"/>
      <c r="E47347" s="39"/>
      <c r="F47347" s="39"/>
    </row>
    <row r="47348">
      <c r="D47348" s="39"/>
      <c r="E47348" s="39"/>
      <c r="F47348" s="39"/>
    </row>
    <row r="47349">
      <c r="D47349" s="39"/>
      <c r="E47349" s="39"/>
      <c r="F47349" s="39"/>
    </row>
    <row r="47350">
      <c r="D47350" s="39"/>
      <c r="E47350" s="39"/>
      <c r="F47350" s="39"/>
    </row>
    <row r="47351">
      <c r="D47351" s="39"/>
      <c r="E47351" s="39"/>
      <c r="F47351" s="39"/>
    </row>
    <row r="47352">
      <c r="D47352" s="39"/>
      <c r="E47352" s="39"/>
      <c r="F47352" s="39"/>
    </row>
    <row r="47353">
      <c r="D47353" s="39"/>
      <c r="E47353" s="39"/>
      <c r="F47353" s="39"/>
    </row>
    <row r="47354">
      <c r="D47354" s="39"/>
      <c r="E47354" s="39"/>
      <c r="F47354" s="39"/>
    </row>
    <row r="47355">
      <c r="D47355" s="39"/>
      <c r="E47355" s="39"/>
      <c r="F47355" s="39"/>
    </row>
    <row r="47356">
      <c r="D47356" s="39"/>
      <c r="E47356" s="39"/>
      <c r="F47356" s="39"/>
    </row>
    <row r="47357">
      <c r="D47357" s="39"/>
      <c r="E47357" s="39"/>
      <c r="F47357" s="39"/>
    </row>
    <row r="47358">
      <c r="D47358" s="39"/>
      <c r="E47358" s="39"/>
      <c r="F47358" s="39"/>
    </row>
    <row r="47359">
      <c r="D47359" s="39"/>
      <c r="E47359" s="39"/>
      <c r="F47359" s="39"/>
    </row>
    <row r="47360">
      <c r="D47360" s="39"/>
      <c r="E47360" s="39"/>
      <c r="F47360" s="39"/>
    </row>
    <row r="47361">
      <c r="D47361" s="39"/>
      <c r="E47361" s="39"/>
      <c r="F47361" s="39"/>
    </row>
    <row r="47362">
      <c r="D47362" s="39"/>
      <c r="E47362" s="39"/>
      <c r="F47362" s="39"/>
    </row>
    <row r="47363">
      <c r="D47363" s="39"/>
      <c r="E47363" s="39"/>
      <c r="F47363" s="39"/>
    </row>
    <row r="47364">
      <c r="D47364" s="39"/>
      <c r="E47364" s="39"/>
      <c r="F47364" s="39"/>
    </row>
    <row r="47365">
      <c r="D47365" s="39"/>
      <c r="E47365" s="39"/>
      <c r="F47365" s="39"/>
    </row>
    <row r="47366">
      <c r="D47366" s="39"/>
      <c r="E47366" s="39"/>
      <c r="F47366" s="39"/>
    </row>
    <row r="47367">
      <c r="D47367" s="39"/>
      <c r="E47367" s="39"/>
      <c r="F47367" s="39"/>
    </row>
    <row r="47368">
      <c r="D47368" s="39"/>
      <c r="E47368" s="39"/>
      <c r="F47368" s="39"/>
    </row>
    <row r="47369">
      <c r="D47369" s="39"/>
      <c r="E47369" s="39"/>
      <c r="F47369" s="39"/>
    </row>
    <row r="47370">
      <c r="D47370" s="39"/>
      <c r="E47370" s="39"/>
      <c r="F47370" s="39"/>
    </row>
    <row r="47371">
      <c r="D47371" s="39"/>
      <c r="E47371" s="39"/>
      <c r="F47371" s="39"/>
    </row>
    <row r="47372">
      <c r="D47372" s="39"/>
      <c r="E47372" s="39"/>
      <c r="F47372" s="39"/>
    </row>
    <row r="47373">
      <c r="D47373" s="39"/>
      <c r="E47373" s="39"/>
      <c r="F47373" s="39"/>
    </row>
    <row r="47374">
      <c r="D47374" s="39"/>
      <c r="E47374" s="39"/>
      <c r="F47374" s="39"/>
    </row>
    <row r="47375">
      <c r="D47375" s="39"/>
      <c r="E47375" s="39"/>
      <c r="F47375" s="39"/>
    </row>
    <row r="47376">
      <c r="D47376" s="39"/>
      <c r="E47376" s="39"/>
      <c r="F47376" s="39"/>
    </row>
    <row r="47377">
      <c r="D47377" s="39"/>
      <c r="E47377" s="39"/>
      <c r="F47377" s="39"/>
    </row>
    <row r="47378">
      <c r="D47378" s="39"/>
      <c r="E47378" s="39"/>
      <c r="F47378" s="39"/>
    </row>
    <row r="47379">
      <c r="D47379" s="39"/>
      <c r="E47379" s="39"/>
      <c r="F47379" s="39"/>
    </row>
    <row r="47380">
      <c r="D47380" s="39"/>
      <c r="E47380" s="39"/>
      <c r="F47380" s="39"/>
    </row>
    <row r="47381">
      <c r="D47381" s="39"/>
      <c r="E47381" s="39"/>
      <c r="F47381" s="39"/>
    </row>
    <row r="47382">
      <c r="D47382" s="39"/>
      <c r="E47382" s="39"/>
      <c r="F47382" s="39"/>
    </row>
    <row r="47383">
      <c r="D47383" s="39"/>
      <c r="E47383" s="39"/>
      <c r="F47383" s="39"/>
    </row>
    <row r="47384">
      <c r="D47384" s="39"/>
      <c r="E47384" s="39"/>
      <c r="F47384" s="39"/>
    </row>
    <row r="47385">
      <c r="D47385" s="39"/>
      <c r="E47385" s="39"/>
      <c r="F47385" s="39"/>
    </row>
    <row r="47386">
      <c r="D47386" s="39"/>
      <c r="E47386" s="39"/>
      <c r="F47386" s="39"/>
    </row>
    <row r="47387">
      <c r="D47387" s="39"/>
      <c r="E47387" s="39"/>
      <c r="F47387" s="39"/>
    </row>
    <row r="47388">
      <c r="D47388" s="39"/>
      <c r="E47388" s="39"/>
      <c r="F47388" s="39"/>
    </row>
    <row r="47389">
      <c r="D47389" s="39"/>
      <c r="E47389" s="39"/>
      <c r="F47389" s="39"/>
    </row>
    <row r="47390">
      <c r="D47390" s="39"/>
      <c r="E47390" s="39"/>
      <c r="F47390" s="39"/>
    </row>
    <row r="47391">
      <c r="D47391" s="39"/>
      <c r="E47391" s="39"/>
      <c r="F47391" s="39"/>
    </row>
    <row r="47392">
      <c r="D47392" s="39"/>
      <c r="E47392" s="39"/>
      <c r="F47392" s="39"/>
    </row>
    <row r="47393">
      <c r="D47393" s="39"/>
      <c r="E47393" s="39"/>
      <c r="F47393" s="39"/>
    </row>
    <row r="47394">
      <c r="D47394" s="39"/>
      <c r="E47394" s="39"/>
      <c r="F47394" s="39"/>
    </row>
    <row r="47395">
      <c r="D47395" s="39"/>
      <c r="E47395" s="39"/>
      <c r="F47395" s="39"/>
    </row>
    <row r="47396">
      <c r="D47396" s="39"/>
      <c r="E47396" s="39"/>
      <c r="F47396" s="39"/>
    </row>
    <row r="47397">
      <c r="D47397" s="39"/>
      <c r="E47397" s="39"/>
      <c r="F47397" s="39"/>
    </row>
    <row r="47398">
      <c r="D47398" s="39"/>
      <c r="E47398" s="39"/>
      <c r="F47398" s="39"/>
    </row>
    <row r="47399">
      <c r="D47399" s="39"/>
      <c r="E47399" s="39"/>
      <c r="F47399" s="39"/>
    </row>
    <row r="47400">
      <c r="D47400" s="39"/>
      <c r="E47400" s="39"/>
      <c r="F47400" s="39"/>
    </row>
    <row r="47401">
      <c r="D47401" s="39"/>
      <c r="E47401" s="39"/>
      <c r="F47401" s="39"/>
    </row>
    <row r="47402">
      <c r="D47402" s="39"/>
      <c r="E47402" s="39"/>
      <c r="F47402" s="39"/>
    </row>
    <row r="47403">
      <c r="D47403" s="39"/>
      <c r="E47403" s="39"/>
      <c r="F47403" s="39"/>
    </row>
    <row r="47404">
      <c r="D47404" s="39"/>
      <c r="E47404" s="39"/>
      <c r="F47404" s="39"/>
    </row>
    <row r="47405">
      <c r="D47405" s="39"/>
      <c r="E47405" s="39"/>
      <c r="F47405" s="39"/>
    </row>
    <row r="47406">
      <c r="D47406" s="39"/>
      <c r="E47406" s="39"/>
      <c r="F47406" s="39"/>
    </row>
    <row r="47407">
      <c r="D47407" s="39"/>
      <c r="E47407" s="39"/>
      <c r="F47407" s="39"/>
    </row>
    <row r="47408">
      <c r="D47408" s="39"/>
      <c r="E47408" s="39"/>
      <c r="F47408" s="39"/>
    </row>
    <row r="47409">
      <c r="D47409" s="39"/>
      <c r="E47409" s="39"/>
      <c r="F47409" s="39"/>
    </row>
    <row r="47410">
      <c r="D47410" s="39"/>
      <c r="E47410" s="39"/>
      <c r="F47410" s="39"/>
    </row>
    <row r="47411">
      <c r="D47411" s="39"/>
      <c r="E47411" s="39"/>
      <c r="F47411" s="39"/>
    </row>
    <row r="47412">
      <c r="D47412" s="39"/>
      <c r="E47412" s="39"/>
      <c r="F47412" s="39"/>
    </row>
    <row r="47413">
      <c r="D47413" s="39"/>
      <c r="E47413" s="39"/>
      <c r="F47413" s="39"/>
    </row>
    <row r="47414">
      <c r="D47414" s="39"/>
      <c r="E47414" s="39"/>
      <c r="F47414" s="39"/>
    </row>
    <row r="47415">
      <c r="D47415" s="39"/>
      <c r="E47415" s="39"/>
      <c r="F47415" s="39"/>
    </row>
    <row r="47416">
      <c r="D47416" s="39"/>
      <c r="E47416" s="39"/>
      <c r="F47416" s="39"/>
    </row>
    <row r="47417">
      <c r="D47417" s="39"/>
      <c r="E47417" s="39"/>
      <c r="F47417" s="39"/>
    </row>
    <row r="47418">
      <c r="D47418" s="39"/>
      <c r="E47418" s="39"/>
      <c r="F47418" s="39"/>
    </row>
    <row r="47419">
      <c r="D47419" s="39"/>
      <c r="E47419" s="39"/>
      <c r="F47419" s="39"/>
    </row>
    <row r="47420">
      <c r="D47420" s="39"/>
      <c r="E47420" s="39"/>
      <c r="F47420" s="39"/>
    </row>
    <row r="47421">
      <c r="D47421" s="39"/>
      <c r="E47421" s="39"/>
      <c r="F47421" s="39"/>
    </row>
    <row r="47422">
      <c r="D47422" s="39"/>
      <c r="E47422" s="39"/>
      <c r="F47422" s="39"/>
    </row>
    <row r="47423">
      <c r="D47423" s="39"/>
      <c r="E47423" s="39"/>
      <c r="F47423" s="39"/>
    </row>
    <row r="47424">
      <c r="D47424" s="39"/>
      <c r="E47424" s="39"/>
      <c r="F47424" s="39"/>
    </row>
    <row r="47425">
      <c r="D47425" s="39"/>
      <c r="E47425" s="39"/>
      <c r="F47425" s="39"/>
    </row>
    <row r="47426">
      <c r="D47426" s="39"/>
      <c r="E47426" s="39"/>
      <c r="F47426" s="39"/>
    </row>
    <row r="47427">
      <c r="D47427" s="39"/>
      <c r="E47427" s="39"/>
      <c r="F47427" s="39"/>
    </row>
    <row r="47428">
      <c r="D47428" s="39"/>
      <c r="E47428" s="39"/>
      <c r="F47428" s="39"/>
    </row>
    <row r="47429">
      <c r="D47429" s="39"/>
      <c r="E47429" s="39"/>
      <c r="F47429" s="39"/>
    </row>
    <row r="47430">
      <c r="D47430" s="39"/>
      <c r="E47430" s="39"/>
      <c r="F47430" s="39"/>
    </row>
    <row r="47431">
      <c r="D47431" s="39"/>
      <c r="E47431" s="39"/>
      <c r="F47431" s="39"/>
    </row>
    <row r="47432">
      <c r="D47432" s="39"/>
      <c r="E47432" s="39"/>
      <c r="F47432" s="39"/>
    </row>
    <row r="47433">
      <c r="D47433" s="39"/>
      <c r="E47433" s="39"/>
      <c r="F47433" s="39"/>
    </row>
    <row r="47434">
      <c r="D47434" s="39"/>
      <c r="E47434" s="39"/>
      <c r="F47434" s="39"/>
    </row>
    <row r="47435">
      <c r="D47435" s="39"/>
      <c r="E47435" s="39"/>
      <c r="F47435" s="39"/>
    </row>
    <row r="47436">
      <c r="D47436" s="39"/>
      <c r="E47436" s="39"/>
      <c r="F47436" s="39"/>
    </row>
    <row r="47437">
      <c r="D47437" s="39"/>
      <c r="E47437" s="39"/>
      <c r="F47437" s="39"/>
    </row>
    <row r="47438">
      <c r="D47438" s="39"/>
      <c r="E47438" s="39"/>
      <c r="F47438" s="39"/>
    </row>
    <row r="47439">
      <c r="D47439" s="39"/>
      <c r="E47439" s="39"/>
      <c r="F47439" s="39"/>
    </row>
    <row r="47440">
      <c r="D47440" s="39"/>
      <c r="E47440" s="39"/>
      <c r="F47440" s="39"/>
    </row>
    <row r="47441">
      <c r="D47441" s="39"/>
      <c r="E47441" s="39"/>
      <c r="F47441" s="39"/>
    </row>
    <row r="47442">
      <c r="D47442" s="39"/>
      <c r="E47442" s="39"/>
      <c r="F47442" s="39"/>
    </row>
    <row r="47443">
      <c r="D47443" s="39"/>
      <c r="E47443" s="39"/>
      <c r="F47443" s="39"/>
    </row>
    <row r="47444">
      <c r="D47444" s="39"/>
      <c r="E47444" s="39"/>
      <c r="F47444" s="39"/>
    </row>
    <row r="47445">
      <c r="D47445" s="39"/>
      <c r="E47445" s="39"/>
      <c r="F47445" s="39"/>
    </row>
    <row r="47446">
      <c r="D47446" s="39"/>
      <c r="E47446" s="39"/>
      <c r="F47446" s="39"/>
    </row>
    <row r="47447">
      <c r="D47447" s="39"/>
      <c r="E47447" s="39"/>
      <c r="F47447" s="39"/>
    </row>
    <row r="47448">
      <c r="D47448" s="39"/>
      <c r="E47448" s="39"/>
      <c r="F47448" s="39"/>
    </row>
    <row r="47449">
      <c r="D47449" s="39"/>
      <c r="E47449" s="39"/>
      <c r="F47449" s="39"/>
    </row>
    <row r="47450">
      <c r="D47450" s="39"/>
      <c r="E47450" s="39"/>
      <c r="F47450" s="39"/>
    </row>
    <row r="47451">
      <c r="D47451" s="39"/>
      <c r="E47451" s="39"/>
      <c r="F47451" s="39"/>
    </row>
    <row r="47452">
      <c r="D47452" s="39"/>
      <c r="E47452" s="39"/>
      <c r="F47452" s="39"/>
    </row>
    <row r="47453">
      <c r="D47453" s="39"/>
      <c r="E47453" s="39"/>
      <c r="F47453" s="39"/>
    </row>
    <row r="47454">
      <c r="D47454" s="39"/>
      <c r="E47454" s="39"/>
      <c r="F47454" s="39"/>
    </row>
    <row r="47455">
      <c r="D47455" s="39"/>
      <c r="E47455" s="39"/>
      <c r="F47455" s="39"/>
    </row>
    <row r="47456">
      <c r="D47456" s="39"/>
      <c r="E47456" s="39"/>
      <c r="F47456" s="39"/>
    </row>
    <row r="47457">
      <c r="D47457" s="39"/>
      <c r="E47457" s="39"/>
      <c r="F47457" s="39"/>
    </row>
    <row r="47458">
      <c r="D47458" s="39"/>
      <c r="E47458" s="39"/>
      <c r="F47458" s="39"/>
    </row>
    <row r="47459">
      <c r="D47459" s="39"/>
      <c r="E47459" s="39"/>
      <c r="F47459" s="39"/>
    </row>
    <row r="47460">
      <c r="D47460" s="39"/>
      <c r="E47460" s="39"/>
      <c r="F47460" s="39"/>
    </row>
    <row r="47461">
      <c r="D47461" s="39"/>
      <c r="E47461" s="39"/>
      <c r="F47461" s="39"/>
    </row>
    <row r="47462">
      <c r="D47462" s="39"/>
      <c r="E47462" s="39"/>
      <c r="F47462" s="39"/>
    </row>
    <row r="47463">
      <c r="D47463" s="39"/>
      <c r="E47463" s="39"/>
      <c r="F47463" s="39"/>
    </row>
    <row r="47464">
      <c r="D47464" s="39"/>
      <c r="E47464" s="39"/>
      <c r="F47464" s="39"/>
    </row>
    <row r="47465">
      <c r="D47465" s="39"/>
      <c r="E47465" s="39"/>
      <c r="F47465" s="39"/>
    </row>
    <row r="47466">
      <c r="D47466" s="39"/>
      <c r="E47466" s="39"/>
      <c r="F47466" s="39"/>
    </row>
    <row r="47467">
      <c r="D47467" s="39"/>
      <c r="E47467" s="39"/>
      <c r="F47467" s="39"/>
    </row>
    <row r="47468">
      <c r="D47468" s="39"/>
      <c r="E47468" s="39"/>
      <c r="F47468" s="39"/>
    </row>
    <row r="47469">
      <c r="D47469" s="39"/>
      <c r="E47469" s="39"/>
      <c r="F47469" s="39"/>
    </row>
    <row r="47470">
      <c r="D47470" s="39"/>
      <c r="E47470" s="39"/>
      <c r="F47470" s="39"/>
    </row>
    <row r="47471">
      <c r="D47471" s="39"/>
      <c r="E47471" s="39"/>
      <c r="F47471" s="39"/>
    </row>
    <row r="47472">
      <c r="D47472" s="39"/>
      <c r="E47472" s="39"/>
      <c r="F47472" s="39"/>
    </row>
    <row r="47473">
      <c r="D47473" s="39"/>
      <c r="E47473" s="39"/>
      <c r="F47473" s="39"/>
    </row>
    <row r="47474">
      <c r="D47474" s="39"/>
      <c r="E47474" s="39"/>
      <c r="F47474" s="39"/>
    </row>
    <row r="47475">
      <c r="D47475" s="39"/>
      <c r="E47475" s="39"/>
      <c r="F47475" s="39"/>
    </row>
    <row r="47476">
      <c r="D47476" s="39"/>
      <c r="E47476" s="39"/>
      <c r="F47476" s="39"/>
    </row>
    <row r="47477">
      <c r="D47477" s="39"/>
      <c r="E47477" s="39"/>
      <c r="F47477" s="39"/>
    </row>
    <row r="47478">
      <c r="D47478" s="39"/>
      <c r="E47478" s="39"/>
      <c r="F47478" s="39"/>
    </row>
    <row r="47479">
      <c r="D47479" s="39"/>
      <c r="E47479" s="39"/>
      <c r="F47479" s="39"/>
    </row>
    <row r="47480">
      <c r="D47480" s="39"/>
      <c r="E47480" s="39"/>
      <c r="F47480" s="39"/>
    </row>
    <row r="47481">
      <c r="D47481" s="39"/>
      <c r="E47481" s="39"/>
      <c r="F47481" s="39"/>
    </row>
    <row r="47482">
      <c r="D47482" s="39"/>
      <c r="E47482" s="39"/>
      <c r="F47482" s="39"/>
    </row>
    <row r="47483">
      <c r="D47483" s="39"/>
      <c r="E47483" s="39"/>
      <c r="F47483" s="39"/>
    </row>
    <row r="47484">
      <c r="D47484" s="39"/>
      <c r="E47484" s="39"/>
      <c r="F47484" s="39"/>
    </row>
    <row r="47485">
      <c r="D47485" s="39"/>
      <c r="E47485" s="39"/>
      <c r="F47485" s="39"/>
    </row>
    <row r="47486">
      <c r="D47486" s="39"/>
      <c r="E47486" s="39"/>
      <c r="F47486" s="39"/>
    </row>
    <row r="47487">
      <c r="D47487" s="39"/>
      <c r="E47487" s="39"/>
      <c r="F47487" s="39"/>
    </row>
    <row r="47488">
      <c r="D47488" s="39"/>
      <c r="E47488" s="39"/>
      <c r="F47488" s="39"/>
    </row>
    <row r="47489">
      <c r="D47489" s="39"/>
      <c r="E47489" s="39"/>
      <c r="F47489" s="39"/>
    </row>
    <row r="47490">
      <c r="D47490" s="39"/>
      <c r="E47490" s="39"/>
      <c r="F47490" s="39"/>
    </row>
    <row r="47491">
      <c r="D47491" s="39"/>
      <c r="E47491" s="39"/>
      <c r="F47491" s="39"/>
    </row>
    <row r="47492">
      <c r="D47492" s="39"/>
      <c r="E47492" s="39"/>
      <c r="F47492" s="39"/>
    </row>
    <row r="47493">
      <c r="D47493" s="39"/>
      <c r="E47493" s="39"/>
      <c r="F47493" s="39"/>
    </row>
    <row r="47494">
      <c r="D47494" s="39"/>
      <c r="E47494" s="39"/>
      <c r="F47494" s="39"/>
    </row>
    <row r="47495">
      <c r="D47495" s="39"/>
      <c r="E47495" s="39"/>
      <c r="F47495" s="39"/>
    </row>
    <row r="47496">
      <c r="D47496" s="39"/>
      <c r="E47496" s="39"/>
      <c r="F47496" s="39"/>
    </row>
    <row r="47497">
      <c r="D47497" s="39"/>
      <c r="E47497" s="39"/>
      <c r="F47497" s="39"/>
    </row>
    <row r="47498">
      <c r="D47498" s="39"/>
      <c r="E47498" s="39"/>
      <c r="F47498" s="39"/>
    </row>
    <row r="47499">
      <c r="D47499" s="39"/>
      <c r="E47499" s="39"/>
      <c r="F47499" s="39"/>
    </row>
    <row r="47500">
      <c r="D47500" s="39"/>
      <c r="E47500" s="39"/>
      <c r="F47500" s="39"/>
    </row>
    <row r="47501">
      <c r="D47501" s="39"/>
      <c r="E47501" s="39"/>
      <c r="F47501" s="39"/>
    </row>
    <row r="47502">
      <c r="D47502" s="39"/>
      <c r="E47502" s="39"/>
      <c r="F47502" s="39"/>
    </row>
    <row r="47503">
      <c r="D47503" s="39"/>
      <c r="E47503" s="39"/>
      <c r="F47503" s="39"/>
    </row>
    <row r="47504">
      <c r="D47504" s="39"/>
      <c r="E47504" s="39"/>
      <c r="F47504" s="39"/>
    </row>
    <row r="47505">
      <c r="D47505" s="39"/>
      <c r="E47505" s="39"/>
      <c r="F47505" s="39"/>
    </row>
    <row r="47506">
      <c r="D47506" s="39"/>
      <c r="E47506" s="39"/>
      <c r="F47506" s="39"/>
    </row>
    <row r="47507">
      <c r="D47507" s="39"/>
      <c r="E47507" s="39"/>
      <c r="F47507" s="39"/>
    </row>
    <row r="47508">
      <c r="D47508" s="39"/>
      <c r="E47508" s="39"/>
      <c r="F47508" s="39"/>
    </row>
    <row r="47509">
      <c r="D47509" s="39"/>
      <c r="E47509" s="39"/>
      <c r="F47509" s="39"/>
    </row>
    <row r="47510">
      <c r="D47510" s="39"/>
      <c r="E47510" s="39"/>
      <c r="F47510" s="39"/>
    </row>
    <row r="47511">
      <c r="D47511" s="39"/>
      <c r="E47511" s="39"/>
      <c r="F47511" s="39"/>
    </row>
    <row r="47512">
      <c r="D47512" s="39"/>
      <c r="E47512" s="39"/>
      <c r="F47512" s="39"/>
    </row>
    <row r="47513">
      <c r="D47513" s="39"/>
      <c r="E47513" s="39"/>
      <c r="F47513" s="39"/>
    </row>
    <row r="47514">
      <c r="D47514" s="39"/>
      <c r="E47514" s="39"/>
      <c r="F47514" s="39"/>
    </row>
    <row r="47515">
      <c r="D47515" s="39"/>
      <c r="E47515" s="39"/>
      <c r="F47515" s="39"/>
    </row>
    <row r="47516">
      <c r="D47516" s="39"/>
      <c r="E47516" s="39"/>
      <c r="F47516" s="39"/>
    </row>
    <row r="47517">
      <c r="D47517" s="39"/>
      <c r="E47517" s="39"/>
      <c r="F47517" s="39"/>
    </row>
    <row r="47518">
      <c r="D47518" s="39"/>
      <c r="E47518" s="39"/>
      <c r="F47518" s="39"/>
    </row>
    <row r="47519">
      <c r="D47519" s="39"/>
      <c r="E47519" s="39"/>
      <c r="F47519" s="39"/>
    </row>
    <row r="47520">
      <c r="D47520" s="39"/>
      <c r="E47520" s="39"/>
      <c r="F47520" s="39"/>
    </row>
    <row r="47521">
      <c r="D47521" s="39"/>
      <c r="E47521" s="39"/>
      <c r="F47521" s="39"/>
    </row>
    <row r="47522">
      <c r="D47522" s="39"/>
      <c r="E47522" s="39"/>
      <c r="F47522" s="39"/>
    </row>
    <row r="47523">
      <c r="D47523" s="39"/>
      <c r="E47523" s="39"/>
      <c r="F47523" s="39"/>
    </row>
    <row r="47524">
      <c r="D47524" s="39"/>
      <c r="E47524" s="39"/>
      <c r="F47524" s="39"/>
    </row>
    <row r="47525">
      <c r="D47525" s="39"/>
      <c r="E47525" s="39"/>
      <c r="F47525" s="39"/>
    </row>
    <row r="47526">
      <c r="D47526" s="39"/>
      <c r="E47526" s="39"/>
      <c r="F47526" s="39"/>
    </row>
    <row r="47527">
      <c r="D47527" s="39"/>
      <c r="E47527" s="39"/>
      <c r="F47527" s="39"/>
    </row>
    <row r="47528">
      <c r="D47528" s="39"/>
      <c r="E47528" s="39"/>
      <c r="F47528" s="39"/>
    </row>
    <row r="47529">
      <c r="D47529" s="39"/>
      <c r="E47529" s="39"/>
      <c r="F47529" s="39"/>
    </row>
    <row r="47530">
      <c r="D47530" s="39"/>
      <c r="E47530" s="39"/>
      <c r="F47530" s="39"/>
    </row>
    <row r="47531">
      <c r="D47531" s="39"/>
      <c r="E47531" s="39"/>
      <c r="F47531" s="39"/>
    </row>
    <row r="47532">
      <c r="D47532" s="39"/>
      <c r="E47532" s="39"/>
      <c r="F47532" s="39"/>
    </row>
    <row r="47533">
      <c r="D47533" s="39"/>
      <c r="E47533" s="39"/>
      <c r="F47533" s="39"/>
    </row>
    <row r="47534">
      <c r="D47534" s="39"/>
      <c r="E47534" s="39"/>
      <c r="F47534" s="39"/>
    </row>
    <row r="47535">
      <c r="D47535" s="39"/>
      <c r="E47535" s="39"/>
      <c r="F47535" s="39"/>
    </row>
    <row r="47536">
      <c r="D47536" s="39"/>
      <c r="E47536" s="39"/>
      <c r="F47536" s="39"/>
    </row>
    <row r="47537">
      <c r="D47537" s="39"/>
      <c r="E47537" s="39"/>
      <c r="F47537" s="39"/>
    </row>
    <row r="47538">
      <c r="D47538" s="39"/>
      <c r="E47538" s="39"/>
      <c r="F47538" s="39"/>
    </row>
    <row r="47539">
      <c r="D47539" s="39"/>
      <c r="E47539" s="39"/>
      <c r="F47539" s="39"/>
    </row>
    <row r="47540">
      <c r="D47540" s="39"/>
      <c r="E47540" s="39"/>
      <c r="F47540" s="39"/>
    </row>
    <row r="47541">
      <c r="D47541" s="39"/>
      <c r="E47541" s="39"/>
      <c r="F47541" s="39"/>
    </row>
    <row r="47542">
      <c r="D47542" s="39"/>
      <c r="E47542" s="39"/>
      <c r="F47542" s="39"/>
    </row>
    <row r="47543">
      <c r="D47543" s="39"/>
      <c r="E47543" s="39"/>
      <c r="F47543" s="39"/>
    </row>
    <row r="47544">
      <c r="D47544" s="39"/>
      <c r="E47544" s="39"/>
      <c r="F47544" s="39"/>
    </row>
    <row r="47545">
      <c r="D47545" s="39"/>
      <c r="E47545" s="39"/>
      <c r="F47545" s="39"/>
    </row>
    <row r="47546">
      <c r="D47546" s="39"/>
      <c r="E47546" s="39"/>
      <c r="F47546" s="39"/>
    </row>
    <row r="47547">
      <c r="D47547" s="39"/>
      <c r="E47547" s="39"/>
      <c r="F47547" s="39"/>
    </row>
    <row r="47548">
      <c r="D47548" s="39"/>
      <c r="E47548" s="39"/>
      <c r="F47548" s="39"/>
    </row>
    <row r="47549">
      <c r="D47549" s="39"/>
      <c r="E47549" s="39"/>
      <c r="F47549" s="39"/>
    </row>
    <row r="47550">
      <c r="D47550" s="39"/>
      <c r="E47550" s="39"/>
      <c r="F47550" s="39"/>
    </row>
    <row r="47551">
      <c r="D47551" s="39"/>
      <c r="E47551" s="39"/>
      <c r="F47551" s="39"/>
    </row>
    <row r="47552">
      <c r="D47552" s="39"/>
      <c r="E47552" s="39"/>
      <c r="F47552" s="39"/>
    </row>
    <row r="47553">
      <c r="D47553" s="39"/>
      <c r="E47553" s="39"/>
      <c r="F47553" s="39"/>
    </row>
    <row r="47554">
      <c r="D47554" s="39"/>
      <c r="E47554" s="39"/>
      <c r="F47554" s="39"/>
    </row>
    <row r="47555">
      <c r="D47555" s="39"/>
      <c r="E47555" s="39"/>
      <c r="F47555" s="39"/>
    </row>
    <row r="47556">
      <c r="D47556" s="39"/>
      <c r="E47556" s="39"/>
      <c r="F47556" s="39"/>
    </row>
    <row r="47557">
      <c r="D47557" s="39"/>
      <c r="E47557" s="39"/>
      <c r="F47557" s="39"/>
    </row>
    <row r="47558">
      <c r="D47558" s="39"/>
      <c r="E47558" s="39"/>
      <c r="F47558" s="39"/>
    </row>
    <row r="47559">
      <c r="D47559" s="39"/>
      <c r="E47559" s="39"/>
      <c r="F47559" s="39"/>
    </row>
    <row r="47560">
      <c r="D47560" s="39"/>
      <c r="E47560" s="39"/>
      <c r="F47560" s="39"/>
    </row>
    <row r="47561">
      <c r="D47561" s="39"/>
      <c r="E47561" s="39"/>
      <c r="F47561" s="39"/>
    </row>
    <row r="47562">
      <c r="D47562" s="39"/>
      <c r="E47562" s="39"/>
      <c r="F47562" s="39"/>
    </row>
    <row r="47563">
      <c r="D47563" s="39"/>
      <c r="E47563" s="39"/>
      <c r="F47563" s="39"/>
    </row>
    <row r="47564">
      <c r="D47564" s="39"/>
      <c r="E47564" s="39"/>
      <c r="F47564" s="39"/>
    </row>
    <row r="47565">
      <c r="D47565" s="39"/>
      <c r="E47565" s="39"/>
      <c r="F47565" s="39"/>
    </row>
    <row r="47566">
      <c r="D47566" s="39"/>
      <c r="E47566" s="39"/>
      <c r="F47566" s="39"/>
    </row>
    <row r="47567">
      <c r="D47567" s="39"/>
      <c r="E47567" s="39"/>
      <c r="F47567" s="39"/>
    </row>
    <row r="47568">
      <c r="D47568" s="39"/>
      <c r="E47568" s="39"/>
      <c r="F47568" s="39"/>
    </row>
    <row r="47569">
      <c r="D47569" s="39"/>
      <c r="E47569" s="39"/>
      <c r="F47569" s="39"/>
    </row>
    <row r="47570">
      <c r="D47570" s="39"/>
      <c r="E47570" s="39"/>
      <c r="F47570" s="39"/>
    </row>
    <row r="47571">
      <c r="D47571" s="39"/>
      <c r="E47571" s="39"/>
      <c r="F47571" s="39"/>
    </row>
    <row r="47572">
      <c r="D47572" s="39"/>
      <c r="E47572" s="39"/>
      <c r="F47572" s="39"/>
    </row>
    <row r="47573">
      <c r="D47573" s="39"/>
      <c r="E47573" s="39"/>
      <c r="F47573" s="39"/>
    </row>
    <row r="47574">
      <c r="D47574" s="39"/>
      <c r="E47574" s="39"/>
      <c r="F47574" s="39"/>
    </row>
    <row r="47575">
      <c r="D47575" s="39"/>
      <c r="E47575" s="39"/>
      <c r="F47575" s="39"/>
    </row>
    <row r="47576">
      <c r="D47576" s="39"/>
      <c r="E47576" s="39"/>
      <c r="F47576" s="39"/>
    </row>
    <row r="47577">
      <c r="D47577" s="39"/>
      <c r="E47577" s="39"/>
      <c r="F47577" s="39"/>
    </row>
    <row r="47578">
      <c r="D47578" s="39"/>
      <c r="E47578" s="39"/>
      <c r="F47578" s="39"/>
    </row>
    <row r="47579">
      <c r="D47579" s="39"/>
      <c r="E47579" s="39"/>
      <c r="F47579" s="39"/>
    </row>
    <row r="47580">
      <c r="D47580" s="39"/>
      <c r="E47580" s="39"/>
      <c r="F47580" s="39"/>
    </row>
    <row r="47581">
      <c r="D47581" s="39"/>
      <c r="E47581" s="39"/>
      <c r="F47581" s="39"/>
    </row>
    <row r="47582">
      <c r="D47582" s="39"/>
      <c r="E47582" s="39"/>
      <c r="F47582" s="39"/>
    </row>
    <row r="47583">
      <c r="D47583" s="39"/>
      <c r="E47583" s="39"/>
      <c r="F47583" s="39"/>
    </row>
    <row r="47584">
      <c r="D47584" s="39"/>
      <c r="E47584" s="39"/>
      <c r="F47584" s="39"/>
    </row>
    <row r="47585">
      <c r="D47585" s="39"/>
      <c r="E47585" s="39"/>
      <c r="F47585" s="39"/>
    </row>
    <row r="47586">
      <c r="D47586" s="39"/>
      <c r="E47586" s="39"/>
      <c r="F47586" s="39"/>
    </row>
    <row r="47587">
      <c r="D47587" s="39"/>
      <c r="E47587" s="39"/>
      <c r="F47587" s="39"/>
    </row>
    <row r="47588">
      <c r="D47588" s="39"/>
      <c r="E47588" s="39"/>
      <c r="F47588" s="39"/>
    </row>
    <row r="47589">
      <c r="D47589" s="39"/>
      <c r="E47589" s="39"/>
      <c r="F47589" s="39"/>
    </row>
    <row r="47590">
      <c r="D47590" s="39"/>
      <c r="E47590" s="39"/>
      <c r="F47590" s="39"/>
    </row>
    <row r="47591">
      <c r="D47591" s="39"/>
      <c r="E47591" s="39"/>
      <c r="F47591" s="39"/>
    </row>
    <row r="47592">
      <c r="D47592" s="39"/>
      <c r="E47592" s="39"/>
      <c r="F47592" s="39"/>
    </row>
    <row r="47593">
      <c r="D47593" s="39"/>
      <c r="E47593" s="39"/>
      <c r="F47593" s="39"/>
    </row>
    <row r="47594">
      <c r="D47594" s="39"/>
      <c r="E47594" s="39"/>
      <c r="F47594" s="39"/>
    </row>
    <row r="47595">
      <c r="D47595" s="39"/>
      <c r="E47595" s="39"/>
      <c r="F47595" s="39"/>
    </row>
    <row r="47596">
      <c r="D47596" s="39"/>
      <c r="E47596" s="39"/>
      <c r="F47596" s="39"/>
    </row>
    <row r="47597">
      <c r="D47597" s="39"/>
      <c r="E47597" s="39"/>
      <c r="F47597" s="39"/>
    </row>
    <row r="47598">
      <c r="D47598" s="39"/>
      <c r="E47598" s="39"/>
      <c r="F47598" s="39"/>
    </row>
    <row r="47599">
      <c r="D47599" s="39"/>
      <c r="E47599" s="39"/>
      <c r="F47599" s="39"/>
    </row>
    <row r="47600">
      <c r="D47600" s="39"/>
      <c r="E47600" s="39"/>
      <c r="F47600" s="39"/>
    </row>
    <row r="47601">
      <c r="D47601" s="39"/>
      <c r="E47601" s="39"/>
      <c r="F47601" s="39"/>
    </row>
    <row r="47602">
      <c r="D47602" s="39"/>
      <c r="E47602" s="39"/>
      <c r="F47602" s="39"/>
    </row>
    <row r="47603">
      <c r="D47603" s="39"/>
      <c r="E47603" s="39"/>
      <c r="F47603" s="39"/>
    </row>
    <row r="47604">
      <c r="D47604" s="39"/>
      <c r="E47604" s="39"/>
      <c r="F47604" s="39"/>
    </row>
    <row r="47605">
      <c r="D47605" s="39"/>
      <c r="E47605" s="39"/>
      <c r="F47605" s="39"/>
    </row>
    <row r="47606">
      <c r="D47606" s="39"/>
      <c r="E47606" s="39"/>
      <c r="F47606" s="39"/>
    </row>
    <row r="47607">
      <c r="D47607" s="39"/>
      <c r="E47607" s="39"/>
      <c r="F47607" s="39"/>
    </row>
    <row r="47608">
      <c r="D47608" s="39"/>
      <c r="E47608" s="39"/>
      <c r="F47608" s="39"/>
    </row>
    <row r="47609">
      <c r="D47609" s="39"/>
      <c r="E47609" s="39"/>
      <c r="F47609" s="39"/>
    </row>
    <row r="47610">
      <c r="D47610" s="39"/>
      <c r="E47610" s="39"/>
      <c r="F47610" s="39"/>
    </row>
    <row r="47611">
      <c r="D47611" s="39"/>
      <c r="E47611" s="39"/>
      <c r="F47611" s="39"/>
    </row>
    <row r="47612">
      <c r="D47612" s="39"/>
      <c r="E47612" s="39"/>
      <c r="F47612" s="39"/>
    </row>
    <row r="47613">
      <c r="D47613" s="39"/>
      <c r="E47613" s="39"/>
      <c r="F47613" s="39"/>
    </row>
    <row r="47614">
      <c r="D47614" s="39"/>
      <c r="E47614" s="39"/>
      <c r="F47614" s="39"/>
    </row>
    <row r="47615">
      <c r="D47615" s="39"/>
      <c r="E47615" s="39"/>
      <c r="F47615" s="39"/>
    </row>
    <row r="47616">
      <c r="D47616" s="39"/>
      <c r="E47616" s="39"/>
      <c r="F47616" s="39"/>
    </row>
    <row r="47617">
      <c r="D47617" s="39"/>
      <c r="E47617" s="39"/>
      <c r="F47617" s="39"/>
    </row>
    <row r="47618">
      <c r="D47618" s="39"/>
      <c r="E47618" s="39"/>
      <c r="F47618" s="39"/>
    </row>
    <row r="47619">
      <c r="D47619" s="39"/>
      <c r="E47619" s="39"/>
      <c r="F47619" s="39"/>
    </row>
    <row r="47620">
      <c r="D47620" s="39"/>
      <c r="E47620" s="39"/>
      <c r="F47620" s="39"/>
    </row>
    <row r="47621">
      <c r="D47621" s="39"/>
      <c r="E47621" s="39"/>
      <c r="F47621" s="39"/>
    </row>
    <row r="47622">
      <c r="D47622" s="39"/>
      <c r="E47622" s="39"/>
      <c r="F47622" s="39"/>
    </row>
    <row r="47623">
      <c r="D47623" s="39"/>
      <c r="E47623" s="39"/>
      <c r="F47623" s="39"/>
    </row>
    <row r="47624">
      <c r="D47624" s="39"/>
      <c r="E47624" s="39"/>
      <c r="F47624" s="39"/>
    </row>
    <row r="47625">
      <c r="D47625" s="39"/>
      <c r="E47625" s="39"/>
      <c r="F47625" s="39"/>
    </row>
    <row r="47626">
      <c r="D47626" s="39"/>
      <c r="E47626" s="39"/>
      <c r="F47626" s="39"/>
    </row>
    <row r="47627">
      <c r="D47627" s="39"/>
      <c r="E47627" s="39"/>
      <c r="F47627" s="39"/>
    </row>
    <row r="47628">
      <c r="D47628" s="39"/>
      <c r="E47628" s="39"/>
      <c r="F47628" s="39"/>
    </row>
    <row r="47629">
      <c r="D47629" s="39"/>
      <c r="E47629" s="39"/>
      <c r="F47629" s="39"/>
    </row>
    <row r="47630">
      <c r="D47630" s="39"/>
      <c r="E47630" s="39"/>
      <c r="F47630" s="39"/>
    </row>
    <row r="47631">
      <c r="D47631" s="39"/>
      <c r="E47631" s="39"/>
      <c r="F47631" s="39"/>
    </row>
    <row r="47632">
      <c r="D47632" s="39"/>
      <c r="E47632" s="39"/>
      <c r="F47632" s="39"/>
    </row>
    <row r="47633">
      <c r="D47633" s="39"/>
      <c r="E47633" s="39"/>
      <c r="F47633" s="39"/>
    </row>
    <row r="47634">
      <c r="D47634" s="39"/>
      <c r="E47634" s="39"/>
      <c r="F47634" s="39"/>
    </row>
    <row r="47635">
      <c r="D47635" s="39"/>
      <c r="E47635" s="39"/>
      <c r="F47635" s="39"/>
    </row>
    <row r="47636">
      <c r="D47636" s="39"/>
      <c r="E47636" s="39"/>
      <c r="F47636" s="39"/>
    </row>
    <row r="47637">
      <c r="D47637" s="39"/>
      <c r="E47637" s="39"/>
      <c r="F47637" s="39"/>
    </row>
    <row r="47638">
      <c r="D47638" s="39"/>
      <c r="E47638" s="39"/>
      <c r="F47638" s="39"/>
    </row>
    <row r="47639">
      <c r="D47639" s="39"/>
      <c r="E47639" s="39"/>
      <c r="F47639" s="39"/>
    </row>
    <row r="47640">
      <c r="D47640" s="39"/>
      <c r="E47640" s="39"/>
      <c r="F47640" s="39"/>
    </row>
    <row r="47641">
      <c r="D47641" s="39"/>
      <c r="E47641" s="39"/>
      <c r="F47641" s="39"/>
    </row>
    <row r="47642">
      <c r="D47642" s="39"/>
      <c r="E47642" s="39"/>
      <c r="F47642" s="39"/>
    </row>
    <row r="47643">
      <c r="D47643" s="39"/>
      <c r="E47643" s="39"/>
      <c r="F47643" s="39"/>
    </row>
    <row r="47644">
      <c r="D47644" s="39"/>
      <c r="E47644" s="39"/>
      <c r="F47644" s="39"/>
    </row>
    <row r="47645">
      <c r="D47645" s="39"/>
      <c r="E47645" s="39"/>
      <c r="F47645" s="39"/>
    </row>
    <row r="47646">
      <c r="D47646" s="39"/>
      <c r="E47646" s="39"/>
      <c r="F47646" s="39"/>
    </row>
    <row r="47647">
      <c r="D47647" s="39"/>
      <c r="E47647" s="39"/>
      <c r="F47647" s="39"/>
    </row>
    <row r="47648">
      <c r="D47648" s="39"/>
      <c r="E47648" s="39"/>
      <c r="F47648" s="39"/>
    </row>
    <row r="47649">
      <c r="D47649" s="39"/>
      <c r="E47649" s="39"/>
      <c r="F47649" s="39"/>
    </row>
    <row r="47650">
      <c r="D47650" s="39"/>
      <c r="E47650" s="39"/>
      <c r="F47650" s="39"/>
    </row>
    <row r="47651">
      <c r="D47651" s="39"/>
      <c r="E47651" s="39"/>
      <c r="F47651" s="39"/>
    </row>
    <row r="47652">
      <c r="D47652" s="39"/>
      <c r="E47652" s="39"/>
      <c r="F47652" s="39"/>
    </row>
    <row r="47653">
      <c r="D47653" s="39"/>
      <c r="E47653" s="39"/>
      <c r="F47653" s="39"/>
    </row>
    <row r="47654">
      <c r="D47654" s="39"/>
      <c r="E47654" s="39"/>
      <c r="F47654" s="39"/>
    </row>
    <row r="47655">
      <c r="D47655" s="39"/>
      <c r="E47655" s="39"/>
      <c r="F47655" s="39"/>
    </row>
    <row r="47656">
      <c r="D47656" s="39"/>
      <c r="E47656" s="39"/>
      <c r="F47656" s="39"/>
    </row>
    <row r="47657">
      <c r="D47657" s="39"/>
      <c r="E47657" s="39"/>
      <c r="F47657" s="39"/>
    </row>
    <row r="47658">
      <c r="D47658" s="39"/>
      <c r="E47658" s="39"/>
      <c r="F47658" s="39"/>
    </row>
    <row r="47659">
      <c r="D47659" s="39"/>
      <c r="E47659" s="39"/>
      <c r="F47659" s="39"/>
    </row>
    <row r="47660">
      <c r="D47660" s="39"/>
      <c r="E47660" s="39"/>
      <c r="F47660" s="39"/>
    </row>
    <row r="47661">
      <c r="D47661" s="39"/>
      <c r="E47661" s="39"/>
      <c r="F47661" s="39"/>
    </row>
    <row r="47662">
      <c r="D47662" s="39"/>
      <c r="E47662" s="39"/>
      <c r="F47662" s="39"/>
    </row>
    <row r="47663">
      <c r="D47663" s="39"/>
      <c r="E47663" s="39"/>
      <c r="F47663" s="39"/>
    </row>
    <row r="47664">
      <c r="D47664" s="39"/>
      <c r="E47664" s="39"/>
      <c r="F47664" s="39"/>
    </row>
    <row r="47665">
      <c r="D47665" s="39"/>
      <c r="E47665" s="39"/>
      <c r="F47665" s="39"/>
    </row>
    <row r="47666">
      <c r="D47666" s="39"/>
      <c r="E47666" s="39"/>
      <c r="F47666" s="39"/>
    </row>
    <row r="47667">
      <c r="D47667" s="39"/>
      <c r="E47667" s="39"/>
      <c r="F47667" s="39"/>
    </row>
    <row r="47668">
      <c r="D47668" s="39"/>
      <c r="E47668" s="39"/>
      <c r="F47668" s="39"/>
    </row>
    <row r="47669">
      <c r="D47669" s="39"/>
      <c r="E47669" s="39"/>
      <c r="F47669" s="39"/>
    </row>
    <row r="47670">
      <c r="D47670" s="39"/>
      <c r="E47670" s="39"/>
      <c r="F47670" s="39"/>
    </row>
    <row r="47671">
      <c r="D47671" s="39"/>
      <c r="E47671" s="39"/>
      <c r="F47671" s="39"/>
    </row>
    <row r="47672">
      <c r="D47672" s="39"/>
      <c r="E47672" s="39"/>
      <c r="F47672" s="39"/>
    </row>
    <row r="47673">
      <c r="D47673" s="39"/>
      <c r="E47673" s="39"/>
      <c r="F47673" s="39"/>
    </row>
    <row r="47674">
      <c r="D47674" s="39"/>
      <c r="E47674" s="39"/>
      <c r="F47674" s="39"/>
    </row>
    <row r="47675">
      <c r="D47675" s="39"/>
      <c r="E47675" s="39"/>
      <c r="F47675" s="39"/>
    </row>
    <row r="47676">
      <c r="D47676" s="39"/>
      <c r="E47676" s="39"/>
      <c r="F47676" s="39"/>
    </row>
    <row r="47677">
      <c r="D47677" s="39"/>
      <c r="E47677" s="39"/>
      <c r="F47677" s="39"/>
    </row>
    <row r="47678">
      <c r="D47678" s="39"/>
      <c r="E47678" s="39"/>
      <c r="F47678" s="39"/>
    </row>
    <row r="47679">
      <c r="D47679" s="39"/>
      <c r="E47679" s="39"/>
      <c r="F47679" s="39"/>
    </row>
    <row r="47680">
      <c r="D47680" s="39"/>
      <c r="E47680" s="39"/>
      <c r="F47680" s="39"/>
    </row>
    <row r="47681">
      <c r="D47681" s="39"/>
      <c r="E47681" s="39"/>
      <c r="F47681" s="39"/>
    </row>
    <row r="47682">
      <c r="D47682" s="39"/>
      <c r="E47682" s="39"/>
      <c r="F47682" s="39"/>
    </row>
    <row r="47683">
      <c r="D47683" s="39"/>
      <c r="E47683" s="39"/>
      <c r="F47683" s="39"/>
    </row>
    <row r="47684">
      <c r="D47684" s="39"/>
      <c r="E47684" s="39"/>
      <c r="F47684" s="39"/>
    </row>
    <row r="47685">
      <c r="D47685" s="39"/>
      <c r="E47685" s="39"/>
      <c r="F47685" s="39"/>
    </row>
    <row r="47686">
      <c r="D47686" s="39"/>
      <c r="E47686" s="39"/>
      <c r="F47686" s="39"/>
    </row>
    <row r="47687">
      <c r="D47687" s="39"/>
      <c r="E47687" s="39"/>
      <c r="F47687" s="39"/>
    </row>
    <row r="47688">
      <c r="D47688" s="39"/>
      <c r="E47688" s="39"/>
      <c r="F47688" s="39"/>
    </row>
    <row r="47689">
      <c r="D47689" s="39"/>
      <c r="E47689" s="39"/>
      <c r="F47689" s="39"/>
    </row>
    <row r="47690">
      <c r="D47690" s="39"/>
      <c r="E47690" s="39"/>
      <c r="F47690" s="39"/>
    </row>
    <row r="47691">
      <c r="D47691" s="39"/>
      <c r="E47691" s="39"/>
      <c r="F47691" s="39"/>
    </row>
    <row r="47692">
      <c r="D47692" s="39"/>
      <c r="E47692" s="39"/>
      <c r="F47692" s="39"/>
    </row>
    <row r="47693">
      <c r="D47693" s="39"/>
      <c r="E47693" s="39"/>
      <c r="F47693" s="39"/>
    </row>
    <row r="47694">
      <c r="D47694" s="39"/>
      <c r="E47694" s="39"/>
      <c r="F47694" s="39"/>
    </row>
    <row r="47695">
      <c r="D47695" s="39"/>
      <c r="E47695" s="39"/>
      <c r="F47695" s="39"/>
    </row>
    <row r="47696">
      <c r="D47696" s="39"/>
      <c r="E47696" s="39"/>
      <c r="F47696" s="39"/>
    </row>
    <row r="47697">
      <c r="D47697" s="39"/>
      <c r="E47697" s="39"/>
      <c r="F47697" s="39"/>
    </row>
    <row r="47698">
      <c r="D47698" s="39"/>
      <c r="E47698" s="39"/>
      <c r="F47698" s="39"/>
    </row>
    <row r="47699">
      <c r="D47699" s="39"/>
      <c r="E47699" s="39"/>
      <c r="F47699" s="39"/>
    </row>
    <row r="47700">
      <c r="D47700" s="39"/>
      <c r="E47700" s="39"/>
      <c r="F47700" s="39"/>
    </row>
    <row r="47701">
      <c r="D47701" s="39"/>
      <c r="E47701" s="39"/>
      <c r="F47701" s="39"/>
    </row>
    <row r="47702">
      <c r="D47702" s="39"/>
      <c r="E47702" s="39"/>
      <c r="F47702" s="39"/>
    </row>
    <row r="47703">
      <c r="D47703" s="39"/>
      <c r="E47703" s="39"/>
      <c r="F47703" s="39"/>
    </row>
    <row r="47704">
      <c r="D47704" s="39"/>
      <c r="E47704" s="39"/>
      <c r="F47704" s="39"/>
    </row>
    <row r="47705">
      <c r="D47705" s="39"/>
      <c r="E47705" s="39"/>
      <c r="F47705" s="39"/>
    </row>
    <row r="47706">
      <c r="D47706" s="39"/>
      <c r="E47706" s="39"/>
      <c r="F47706" s="39"/>
    </row>
    <row r="47707">
      <c r="D47707" s="39"/>
      <c r="E47707" s="39"/>
      <c r="F47707" s="39"/>
    </row>
    <row r="47708">
      <c r="D47708" s="39"/>
      <c r="E47708" s="39"/>
      <c r="F47708" s="39"/>
    </row>
    <row r="47709">
      <c r="D47709" s="39"/>
      <c r="E47709" s="39"/>
      <c r="F47709" s="39"/>
    </row>
    <row r="47710">
      <c r="D47710" s="39"/>
      <c r="E47710" s="39"/>
      <c r="F47710" s="39"/>
    </row>
    <row r="47711">
      <c r="D47711" s="39"/>
      <c r="E47711" s="39"/>
      <c r="F47711" s="39"/>
    </row>
    <row r="47712">
      <c r="D47712" s="39"/>
      <c r="E47712" s="39"/>
      <c r="F47712" s="39"/>
    </row>
    <row r="47713">
      <c r="D47713" s="39"/>
      <c r="E47713" s="39"/>
      <c r="F47713" s="39"/>
    </row>
    <row r="47714">
      <c r="D47714" s="39"/>
      <c r="E47714" s="39"/>
      <c r="F47714" s="39"/>
    </row>
    <row r="47715">
      <c r="D47715" s="39"/>
      <c r="E47715" s="39"/>
      <c r="F47715" s="39"/>
    </row>
    <row r="47716">
      <c r="D47716" s="39"/>
      <c r="E47716" s="39"/>
      <c r="F47716" s="39"/>
    </row>
    <row r="47717">
      <c r="D47717" s="39"/>
      <c r="E47717" s="39"/>
      <c r="F47717" s="39"/>
    </row>
    <row r="47718">
      <c r="D47718" s="39"/>
      <c r="E47718" s="39"/>
      <c r="F47718" s="39"/>
    </row>
    <row r="47719">
      <c r="D47719" s="39"/>
      <c r="E47719" s="39"/>
      <c r="F47719" s="39"/>
    </row>
    <row r="47720">
      <c r="D47720" s="39"/>
      <c r="E47720" s="39"/>
      <c r="F47720" s="39"/>
    </row>
    <row r="47721">
      <c r="D47721" s="39"/>
      <c r="E47721" s="39"/>
      <c r="F47721" s="39"/>
    </row>
    <row r="47722">
      <c r="D47722" s="39"/>
      <c r="E47722" s="39"/>
      <c r="F47722" s="39"/>
    </row>
    <row r="47723">
      <c r="D47723" s="39"/>
      <c r="E47723" s="39"/>
      <c r="F47723" s="39"/>
    </row>
    <row r="47724">
      <c r="D47724" s="39"/>
      <c r="E47724" s="39"/>
      <c r="F47724" s="39"/>
    </row>
    <row r="47725">
      <c r="D47725" s="39"/>
      <c r="E47725" s="39"/>
      <c r="F47725" s="39"/>
    </row>
    <row r="47726">
      <c r="D47726" s="39"/>
      <c r="E47726" s="39"/>
      <c r="F47726" s="39"/>
    </row>
    <row r="47727">
      <c r="D47727" s="39"/>
      <c r="E47727" s="39"/>
      <c r="F47727" s="39"/>
    </row>
    <row r="47728">
      <c r="D47728" s="39"/>
      <c r="E47728" s="39"/>
      <c r="F47728" s="39"/>
    </row>
    <row r="47729">
      <c r="D47729" s="39"/>
      <c r="E47729" s="39"/>
      <c r="F47729" s="39"/>
    </row>
    <row r="47730">
      <c r="D47730" s="39"/>
      <c r="E47730" s="39"/>
      <c r="F47730" s="39"/>
    </row>
    <row r="47731">
      <c r="D47731" s="39"/>
      <c r="E47731" s="39"/>
      <c r="F47731" s="39"/>
    </row>
    <row r="47732">
      <c r="D47732" s="39"/>
      <c r="E47732" s="39"/>
      <c r="F47732" s="39"/>
    </row>
    <row r="47733">
      <c r="D47733" s="39"/>
      <c r="E47733" s="39"/>
      <c r="F47733" s="39"/>
    </row>
    <row r="47734">
      <c r="D47734" s="39"/>
      <c r="E47734" s="39"/>
      <c r="F47734" s="39"/>
    </row>
    <row r="47735">
      <c r="D47735" s="39"/>
      <c r="E47735" s="39"/>
      <c r="F47735" s="39"/>
    </row>
    <row r="47736">
      <c r="D47736" s="39"/>
      <c r="E47736" s="39"/>
      <c r="F47736" s="39"/>
    </row>
    <row r="47737">
      <c r="D47737" s="39"/>
      <c r="E47737" s="39"/>
      <c r="F47737" s="39"/>
    </row>
    <row r="47738">
      <c r="D47738" s="39"/>
      <c r="E47738" s="39"/>
      <c r="F47738" s="39"/>
    </row>
    <row r="47739">
      <c r="D47739" s="39"/>
      <c r="E47739" s="39"/>
      <c r="F47739" s="39"/>
    </row>
    <row r="47740">
      <c r="D47740" s="39"/>
      <c r="E47740" s="39"/>
      <c r="F47740" s="39"/>
    </row>
    <row r="47741">
      <c r="D47741" s="39"/>
      <c r="E47741" s="39"/>
      <c r="F47741" s="39"/>
    </row>
    <row r="47742">
      <c r="D47742" s="39"/>
      <c r="E47742" s="39"/>
      <c r="F47742" s="39"/>
    </row>
    <row r="47743">
      <c r="D47743" s="39"/>
      <c r="E47743" s="39"/>
      <c r="F47743" s="39"/>
    </row>
    <row r="47744">
      <c r="D47744" s="39"/>
      <c r="E47744" s="39"/>
      <c r="F47744" s="39"/>
    </row>
    <row r="47745">
      <c r="D47745" s="39"/>
      <c r="E47745" s="39"/>
      <c r="F47745" s="39"/>
    </row>
    <row r="47746">
      <c r="D47746" s="39"/>
      <c r="E47746" s="39"/>
      <c r="F47746" s="39"/>
    </row>
    <row r="47747">
      <c r="D47747" s="39"/>
      <c r="E47747" s="39"/>
      <c r="F47747" s="39"/>
    </row>
    <row r="47748">
      <c r="D47748" s="39"/>
      <c r="E47748" s="39"/>
      <c r="F47748" s="39"/>
    </row>
    <row r="47749">
      <c r="D47749" s="39"/>
      <c r="E47749" s="39"/>
      <c r="F47749" s="39"/>
    </row>
    <row r="47750">
      <c r="D47750" s="39"/>
      <c r="E47750" s="39"/>
      <c r="F47750" s="39"/>
    </row>
    <row r="47751">
      <c r="D47751" s="39"/>
      <c r="E47751" s="39"/>
      <c r="F47751" s="39"/>
    </row>
    <row r="47752">
      <c r="D47752" s="39"/>
      <c r="E47752" s="39"/>
      <c r="F47752" s="39"/>
    </row>
    <row r="47753">
      <c r="D47753" s="39"/>
      <c r="E47753" s="39"/>
      <c r="F47753" s="39"/>
    </row>
    <row r="47754">
      <c r="D47754" s="39"/>
      <c r="E47754" s="39"/>
      <c r="F47754" s="39"/>
    </row>
    <row r="47755">
      <c r="D47755" s="39"/>
      <c r="E47755" s="39"/>
      <c r="F47755" s="39"/>
    </row>
    <row r="47756">
      <c r="D47756" s="39"/>
      <c r="E47756" s="39"/>
      <c r="F47756" s="39"/>
    </row>
    <row r="47757">
      <c r="D47757" s="39"/>
      <c r="E47757" s="39"/>
      <c r="F47757" s="39"/>
    </row>
    <row r="47758">
      <c r="D47758" s="39"/>
      <c r="E47758" s="39"/>
      <c r="F47758" s="39"/>
    </row>
    <row r="47759">
      <c r="D47759" s="39"/>
      <c r="E47759" s="39"/>
      <c r="F47759" s="39"/>
    </row>
    <row r="47760">
      <c r="D47760" s="39"/>
      <c r="E47760" s="39"/>
      <c r="F47760" s="39"/>
    </row>
    <row r="47761">
      <c r="D47761" s="39"/>
      <c r="E47761" s="39"/>
      <c r="F47761" s="39"/>
    </row>
    <row r="47762">
      <c r="D47762" s="39"/>
      <c r="E47762" s="39"/>
      <c r="F47762" s="39"/>
    </row>
    <row r="47763">
      <c r="D47763" s="39"/>
      <c r="E47763" s="39"/>
      <c r="F47763" s="39"/>
    </row>
    <row r="47764">
      <c r="D47764" s="39"/>
      <c r="E47764" s="39"/>
      <c r="F47764" s="39"/>
    </row>
    <row r="47765">
      <c r="D47765" s="39"/>
      <c r="E47765" s="39"/>
      <c r="F47765" s="39"/>
    </row>
    <row r="47766">
      <c r="D47766" s="39"/>
      <c r="E47766" s="39"/>
      <c r="F47766" s="39"/>
    </row>
    <row r="47767">
      <c r="D47767" s="39"/>
      <c r="E47767" s="39"/>
      <c r="F47767" s="39"/>
    </row>
    <row r="47768">
      <c r="D47768" s="39"/>
      <c r="E47768" s="39"/>
      <c r="F47768" s="39"/>
    </row>
    <row r="47769">
      <c r="D47769" s="39"/>
      <c r="E47769" s="39"/>
      <c r="F47769" s="39"/>
    </row>
    <row r="47770">
      <c r="D47770" s="39"/>
      <c r="E47770" s="39"/>
      <c r="F47770" s="39"/>
    </row>
    <row r="47771">
      <c r="D47771" s="39"/>
      <c r="E47771" s="39"/>
      <c r="F47771" s="39"/>
    </row>
    <row r="47772">
      <c r="D47772" s="39"/>
      <c r="E47772" s="39"/>
      <c r="F47772" s="39"/>
    </row>
    <row r="47773">
      <c r="D47773" s="39"/>
      <c r="E47773" s="39"/>
      <c r="F47773" s="39"/>
    </row>
    <row r="47774">
      <c r="D47774" s="39"/>
      <c r="E47774" s="39"/>
      <c r="F47774" s="39"/>
    </row>
    <row r="47775">
      <c r="D47775" s="39"/>
      <c r="E47775" s="39"/>
      <c r="F47775" s="39"/>
    </row>
    <row r="47776">
      <c r="D47776" s="39"/>
      <c r="E47776" s="39"/>
      <c r="F47776" s="39"/>
    </row>
    <row r="47777">
      <c r="D47777" s="39"/>
      <c r="E47777" s="39"/>
      <c r="F47777" s="39"/>
    </row>
    <row r="47778">
      <c r="D47778" s="39"/>
      <c r="E47778" s="39"/>
      <c r="F47778" s="39"/>
    </row>
    <row r="47779">
      <c r="D47779" s="39"/>
      <c r="E47779" s="39"/>
      <c r="F47779" s="39"/>
    </row>
    <row r="47780">
      <c r="D47780" s="39"/>
      <c r="E47780" s="39"/>
      <c r="F47780" s="39"/>
    </row>
    <row r="47781">
      <c r="D47781" s="39"/>
      <c r="E47781" s="39"/>
      <c r="F47781" s="39"/>
    </row>
    <row r="47782">
      <c r="D47782" s="39"/>
      <c r="E47782" s="39"/>
      <c r="F47782" s="39"/>
    </row>
    <row r="47783">
      <c r="D47783" s="39"/>
      <c r="E47783" s="39"/>
      <c r="F47783" s="39"/>
    </row>
    <row r="47784">
      <c r="D47784" s="39"/>
      <c r="E47784" s="39"/>
      <c r="F47784" s="39"/>
    </row>
    <row r="47785">
      <c r="D47785" s="39"/>
      <c r="E47785" s="39"/>
      <c r="F47785" s="39"/>
    </row>
    <row r="47786">
      <c r="D47786" s="39"/>
      <c r="E47786" s="39"/>
      <c r="F47786" s="39"/>
    </row>
    <row r="47787">
      <c r="D47787" s="39"/>
      <c r="E47787" s="39"/>
      <c r="F47787" s="39"/>
    </row>
    <row r="47788">
      <c r="D47788" s="39"/>
      <c r="E47788" s="39"/>
      <c r="F47788" s="39"/>
    </row>
    <row r="47789">
      <c r="D47789" s="39"/>
      <c r="E47789" s="39"/>
      <c r="F47789" s="39"/>
    </row>
    <row r="47790">
      <c r="D47790" s="39"/>
      <c r="E47790" s="39"/>
      <c r="F47790" s="39"/>
    </row>
    <row r="47791">
      <c r="D47791" s="39"/>
      <c r="E47791" s="39"/>
      <c r="F47791" s="39"/>
    </row>
    <row r="47792">
      <c r="D47792" s="39"/>
      <c r="E47792" s="39"/>
      <c r="F47792" s="39"/>
    </row>
    <row r="47793">
      <c r="D47793" s="39"/>
      <c r="E47793" s="39"/>
      <c r="F47793" s="39"/>
    </row>
    <row r="47794">
      <c r="D47794" s="39"/>
      <c r="E47794" s="39"/>
      <c r="F47794" s="39"/>
    </row>
    <row r="47795">
      <c r="D47795" s="39"/>
      <c r="E47795" s="39"/>
      <c r="F47795" s="39"/>
    </row>
    <row r="47796">
      <c r="D47796" s="39"/>
      <c r="E47796" s="39"/>
      <c r="F47796" s="39"/>
    </row>
    <row r="47797">
      <c r="D47797" s="39"/>
      <c r="E47797" s="39"/>
      <c r="F47797" s="39"/>
    </row>
    <row r="47798">
      <c r="D47798" s="39"/>
      <c r="E47798" s="39"/>
      <c r="F47798" s="39"/>
    </row>
    <row r="47799">
      <c r="D47799" s="39"/>
      <c r="E47799" s="39"/>
      <c r="F47799" s="39"/>
    </row>
    <row r="47800">
      <c r="D47800" s="39"/>
      <c r="E47800" s="39"/>
      <c r="F47800" s="39"/>
    </row>
    <row r="47801">
      <c r="D47801" s="39"/>
      <c r="E47801" s="39"/>
      <c r="F47801" s="39"/>
    </row>
    <row r="47802">
      <c r="D47802" s="39"/>
      <c r="E47802" s="39"/>
      <c r="F47802" s="39"/>
    </row>
    <row r="47803">
      <c r="D47803" s="39"/>
      <c r="E47803" s="39"/>
      <c r="F47803" s="39"/>
    </row>
    <row r="47804">
      <c r="D47804" s="39"/>
      <c r="E47804" s="39"/>
      <c r="F47804" s="39"/>
    </row>
    <row r="47805">
      <c r="D47805" s="39"/>
      <c r="E47805" s="39"/>
      <c r="F47805" s="39"/>
    </row>
    <row r="47806">
      <c r="D47806" s="39"/>
      <c r="E47806" s="39"/>
      <c r="F47806" s="39"/>
    </row>
    <row r="47807">
      <c r="D47807" s="39"/>
      <c r="E47807" s="39"/>
      <c r="F47807" s="39"/>
    </row>
    <row r="47808">
      <c r="D47808" s="39"/>
      <c r="E47808" s="39"/>
      <c r="F47808" s="39"/>
    </row>
    <row r="47809">
      <c r="D47809" s="39"/>
      <c r="E47809" s="39"/>
      <c r="F47809" s="39"/>
    </row>
    <row r="47810">
      <c r="D47810" s="39"/>
      <c r="E47810" s="39"/>
      <c r="F47810" s="39"/>
    </row>
    <row r="47811">
      <c r="D47811" s="39"/>
      <c r="E47811" s="39"/>
      <c r="F47811" s="39"/>
    </row>
    <row r="47812">
      <c r="D47812" s="39"/>
      <c r="E47812" s="39"/>
      <c r="F47812" s="39"/>
    </row>
    <row r="47813">
      <c r="D47813" s="39"/>
      <c r="E47813" s="39"/>
      <c r="F47813" s="39"/>
    </row>
    <row r="47814">
      <c r="D47814" s="39"/>
      <c r="E47814" s="39"/>
      <c r="F47814" s="39"/>
    </row>
    <row r="47815">
      <c r="D47815" s="39"/>
      <c r="E47815" s="39"/>
      <c r="F47815" s="39"/>
    </row>
    <row r="47816">
      <c r="D47816" s="39"/>
      <c r="E47816" s="39"/>
      <c r="F47816" s="39"/>
    </row>
    <row r="47817">
      <c r="D47817" s="39"/>
      <c r="E47817" s="39"/>
      <c r="F47817" s="39"/>
    </row>
    <row r="47818">
      <c r="D47818" s="39"/>
      <c r="E47818" s="39"/>
      <c r="F47818" s="39"/>
    </row>
    <row r="47819">
      <c r="D47819" s="39"/>
      <c r="E47819" s="39"/>
      <c r="F47819" s="39"/>
    </row>
    <row r="47820">
      <c r="D47820" s="39"/>
      <c r="E47820" s="39"/>
      <c r="F47820" s="39"/>
    </row>
    <row r="47821">
      <c r="D47821" s="39"/>
      <c r="E47821" s="39"/>
      <c r="F47821" s="39"/>
    </row>
    <row r="47822">
      <c r="D47822" s="39"/>
      <c r="E47822" s="39"/>
      <c r="F47822" s="39"/>
    </row>
    <row r="47823">
      <c r="D47823" s="39"/>
      <c r="E47823" s="39"/>
      <c r="F47823" s="39"/>
    </row>
    <row r="47824">
      <c r="D47824" s="39"/>
      <c r="E47824" s="39"/>
      <c r="F47824" s="39"/>
    </row>
    <row r="47825">
      <c r="D47825" s="39"/>
      <c r="E47825" s="39"/>
      <c r="F47825" s="39"/>
    </row>
    <row r="47826">
      <c r="D47826" s="39"/>
      <c r="E47826" s="39"/>
      <c r="F47826" s="39"/>
    </row>
    <row r="47827">
      <c r="D47827" s="39"/>
      <c r="E47827" s="39"/>
      <c r="F47827" s="39"/>
    </row>
    <row r="47828">
      <c r="D47828" s="39"/>
      <c r="E47828" s="39"/>
      <c r="F47828" s="39"/>
    </row>
    <row r="47829">
      <c r="D47829" s="39"/>
      <c r="E47829" s="39"/>
      <c r="F47829" s="39"/>
    </row>
    <row r="47830">
      <c r="D47830" s="39"/>
      <c r="E47830" s="39"/>
      <c r="F47830" s="39"/>
    </row>
    <row r="47831">
      <c r="D47831" s="39"/>
      <c r="E47831" s="39"/>
      <c r="F47831" s="39"/>
    </row>
    <row r="47832">
      <c r="D47832" s="39"/>
      <c r="E47832" s="39"/>
      <c r="F47832" s="39"/>
    </row>
    <row r="47833">
      <c r="D47833" s="39"/>
      <c r="E47833" s="39"/>
      <c r="F47833" s="39"/>
    </row>
    <row r="47834">
      <c r="D47834" s="39"/>
      <c r="E47834" s="39"/>
      <c r="F47834" s="39"/>
    </row>
    <row r="47835">
      <c r="D47835" s="39"/>
      <c r="E47835" s="39"/>
      <c r="F47835" s="39"/>
    </row>
    <row r="47836">
      <c r="D47836" s="39"/>
      <c r="E47836" s="39"/>
      <c r="F47836" s="39"/>
    </row>
    <row r="47837">
      <c r="D47837" s="39"/>
      <c r="E47837" s="39"/>
      <c r="F47837" s="39"/>
    </row>
    <row r="47838">
      <c r="D47838" s="39"/>
      <c r="E47838" s="39"/>
      <c r="F47838" s="39"/>
    </row>
    <row r="47839">
      <c r="D47839" s="39"/>
      <c r="E47839" s="39"/>
      <c r="F47839" s="39"/>
    </row>
    <row r="47840">
      <c r="D47840" s="39"/>
      <c r="E47840" s="39"/>
      <c r="F47840" s="39"/>
    </row>
    <row r="47841">
      <c r="D47841" s="39"/>
      <c r="E47841" s="39"/>
      <c r="F47841" s="39"/>
    </row>
    <row r="47842">
      <c r="D47842" s="39"/>
      <c r="E47842" s="39"/>
      <c r="F47842" s="39"/>
    </row>
    <row r="47843">
      <c r="D47843" s="39"/>
      <c r="E47843" s="39"/>
      <c r="F47843" s="39"/>
    </row>
    <row r="47844">
      <c r="D47844" s="39"/>
      <c r="E47844" s="39"/>
      <c r="F47844" s="39"/>
    </row>
    <row r="47845">
      <c r="D47845" s="39"/>
      <c r="E47845" s="39"/>
      <c r="F47845" s="39"/>
    </row>
    <row r="47846">
      <c r="D47846" s="39"/>
      <c r="E47846" s="39"/>
      <c r="F47846" s="39"/>
    </row>
    <row r="47847">
      <c r="D47847" s="39"/>
      <c r="E47847" s="39"/>
      <c r="F47847" s="39"/>
    </row>
    <row r="47848">
      <c r="D47848" s="39"/>
      <c r="E47848" s="39"/>
      <c r="F47848" s="39"/>
    </row>
    <row r="47849">
      <c r="D47849" s="39"/>
      <c r="E47849" s="39"/>
      <c r="F47849" s="39"/>
    </row>
    <row r="47850">
      <c r="D47850" s="39"/>
      <c r="E47850" s="39"/>
      <c r="F47850" s="39"/>
    </row>
    <row r="47851">
      <c r="D47851" s="39"/>
      <c r="E47851" s="39"/>
      <c r="F47851" s="39"/>
    </row>
    <row r="47852">
      <c r="D47852" s="39"/>
      <c r="E47852" s="39"/>
      <c r="F47852" s="39"/>
    </row>
    <row r="47853">
      <c r="D47853" s="39"/>
      <c r="E47853" s="39"/>
      <c r="F47853" s="39"/>
    </row>
    <row r="47854">
      <c r="D47854" s="39"/>
      <c r="E47854" s="39"/>
      <c r="F47854" s="39"/>
    </row>
    <row r="47855">
      <c r="D47855" s="39"/>
      <c r="E47855" s="39"/>
      <c r="F47855" s="39"/>
    </row>
    <row r="47856">
      <c r="D47856" s="39"/>
      <c r="E47856" s="39"/>
      <c r="F47856" s="39"/>
    </row>
    <row r="47857">
      <c r="D47857" s="39"/>
      <c r="E47857" s="39"/>
      <c r="F47857" s="39"/>
    </row>
    <row r="47858">
      <c r="D47858" s="39"/>
      <c r="E47858" s="39"/>
      <c r="F47858" s="39"/>
    </row>
    <row r="47859">
      <c r="D47859" s="39"/>
      <c r="E47859" s="39"/>
      <c r="F47859" s="39"/>
    </row>
    <row r="47860">
      <c r="D47860" s="39"/>
      <c r="E47860" s="39"/>
      <c r="F47860" s="39"/>
    </row>
    <row r="47861">
      <c r="D47861" s="39"/>
      <c r="E47861" s="39"/>
      <c r="F47861" s="39"/>
    </row>
    <row r="47862">
      <c r="D47862" s="39"/>
      <c r="E47862" s="39"/>
      <c r="F47862" s="39"/>
    </row>
    <row r="47863">
      <c r="D47863" s="39"/>
      <c r="E47863" s="39"/>
      <c r="F47863" s="39"/>
    </row>
    <row r="47864">
      <c r="D47864" s="39"/>
      <c r="E47864" s="39"/>
      <c r="F47864" s="39"/>
    </row>
    <row r="47865">
      <c r="D47865" s="39"/>
      <c r="E47865" s="39"/>
      <c r="F47865" s="39"/>
    </row>
    <row r="47866">
      <c r="D47866" s="39"/>
      <c r="E47866" s="39"/>
      <c r="F47866" s="39"/>
    </row>
    <row r="47867">
      <c r="D47867" s="39"/>
      <c r="E47867" s="39"/>
      <c r="F47867" s="39"/>
    </row>
    <row r="47868">
      <c r="D47868" s="39"/>
      <c r="E47868" s="39"/>
      <c r="F47868" s="39"/>
    </row>
    <row r="47869">
      <c r="D47869" s="39"/>
      <c r="E47869" s="39"/>
      <c r="F47869" s="39"/>
    </row>
    <row r="47870">
      <c r="D47870" s="39"/>
      <c r="E47870" s="39"/>
      <c r="F47870" s="39"/>
    </row>
    <row r="47871">
      <c r="D47871" s="39"/>
      <c r="E47871" s="39"/>
      <c r="F47871" s="39"/>
    </row>
    <row r="47872">
      <c r="D47872" s="39"/>
      <c r="E47872" s="39"/>
      <c r="F47872" s="39"/>
    </row>
    <row r="47873">
      <c r="D47873" s="39"/>
      <c r="E47873" s="39"/>
      <c r="F47873" s="39"/>
    </row>
    <row r="47874">
      <c r="D47874" s="39"/>
      <c r="E47874" s="39"/>
      <c r="F47874" s="39"/>
    </row>
    <row r="47875">
      <c r="D47875" s="39"/>
      <c r="E47875" s="39"/>
      <c r="F47875" s="39"/>
    </row>
    <row r="47876">
      <c r="D47876" s="39"/>
      <c r="E47876" s="39"/>
      <c r="F47876" s="39"/>
    </row>
    <row r="47877">
      <c r="D47877" s="39"/>
      <c r="E47877" s="39"/>
      <c r="F47877" s="39"/>
    </row>
    <row r="47878">
      <c r="D47878" s="39"/>
      <c r="E47878" s="39"/>
      <c r="F47878" s="39"/>
    </row>
    <row r="47879">
      <c r="D47879" s="39"/>
      <c r="E47879" s="39"/>
      <c r="F47879" s="39"/>
    </row>
    <row r="47880">
      <c r="D47880" s="39"/>
      <c r="E47880" s="39"/>
      <c r="F47880" s="39"/>
    </row>
    <row r="47881">
      <c r="D47881" s="39"/>
      <c r="E47881" s="39"/>
      <c r="F47881" s="39"/>
    </row>
    <row r="47882">
      <c r="D47882" s="39"/>
      <c r="E47882" s="39"/>
      <c r="F47882" s="39"/>
    </row>
    <row r="47883">
      <c r="D47883" s="39"/>
      <c r="E47883" s="39"/>
      <c r="F47883" s="39"/>
    </row>
    <row r="47884">
      <c r="D47884" s="39"/>
      <c r="E47884" s="39"/>
      <c r="F47884" s="39"/>
    </row>
    <row r="47885">
      <c r="D47885" s="39"/>
      <c r="E47885" s="39"/>
      <c r="F47885" s="39"/>
    </row>
    <row r="47886">
      <c r="D47886" s="39"/>
      <c r="E47886" s="39"/>
      <c r="F47886" s="39"/>
    </row>
    <row r="47887">
      <c r="D47887" s="39"/>
      <c r="E47887" s="39"/>
      <c r="F47887" s="39"/>
    </row>
    <row r="47888">
      <c r="D47888" s="39"/>
      <c r="E47888" s="39"/>
      <c r="F47888" s="39"/>
    </row>
    <row r="47889">
      <c r="D47889" s="39"/>
      <c r="E47889" s="39"/>
      <c r="F47889" s="39"/>
    </row>
    <row r="47890">
      <c r="D47890" s="39"/>
      <c r="E47890" s="39"/>
      <c r="F47890" s="39"/>
    </row>
    <row r="47891">
      <c r="D47891" s="39"/>
      <c r="E47891" s="39"/>
      <c r="F47891" s="39"/>
    </row>
    <row r="47892">
      <c r="D47892" s="39"/>
      <c r="E47892" s="39"/>
      <c r="F47892" s="39"/>
    </row>
    <row r="47893">
      <c r="D47893" s="39"/>
      <c r="E47893" s="39"/>
      <c r="F47893" s="39"/>
    </row>
    <row r="47894">
      <c r="D47894" s="39"/>
      <c r="E47894" s="39"/>
      <c r="F47894" s="39"/>
    </row>
    <row r="47895">
      <c r="D47895" s="39"/>
      <c r="E47895" s="39"/>
      <c r="F47895" s="39"/>
    </row>
    <row r="47896">
      <c r="D47896" s="39"/>
      <c r="E47896" s="39"/>
      <c r="F47896" s="39"/>
    </row>
    <row r="47897">
      <c r="D47897" s="39"/>
      <c r="E47897" s="39"/>
      <c r="F47897" s="39"/>
    </row>
    <row r="47898">
      <c r="D47898" s="39"/>
      <c r="E47898" s="39"/>
      <c r="F47898" s="39"/>
    </row>
    <row r="47899">
      <c r="D47899" s="39"/>
      <c r="E47899" s="39"/>
      <c r="F47899" s="39"/>
    </row>
    <row r="47900">
      <c r="D47900" s="39"/>
      <c r="E47900" s="39"/>
      <c r="F47900" s="39"/>
    </row>
    <row r="47901">
      <c r="D47901" s="39"/>
      <c r="E47901" s="39"/>
      <c r="F47901" s="39"/>
    </row>
    <row r="47902">
      <c r="D47902" s="39"/>
      <c r="E47902" s="39"/>
      <c r="F47902" s="39"/>
    </row>
    <row r="47903">
      <c r="D47903" s="39"/>
      <c r="E47903" s="39"/>
      <c r="F47903" s="39"/>
    </row>
    <row r="47904">
      <c r="D47904" s="39"/>
      <c r="E47904" s="39"/>
      <c r="F47904" s="39"/>
    </row>
    <row r="47905">
      <c r="D47905" s="39"/>
      <c r="E47905" s="39"/>
      <c r="F47905" s="39"/>
    </row>
    <row r="47906">
      <c r="D47906" s="39"/>
      <c r="E47906" s="39"/>
      <c r="F47906" s="39"/>
    </row>
    <row r="47907">
      <c r="D47907" s="39"/>
      <c r="E47907" s="39"/>
      <c r="F47907" s="39"/>
    </row>
    <row r="47908">
      <c r="D47908" s="39"/>
      <c r="E47908" s="39"/>
      <c r="F47908" s="39"/>
    </row>
    <row r="47909">
      <c r="D47909" s="39"/>
      <c r="E47909" s="39"/>
      <c r="F47909" s="39"/>
    </row>
    <row r="47910">
      <c r="D47910" s="39"/>
      <c r="E47910" s="39"/>
      <c r="F47910" s="39"/>
    </row>
    <row r="47911">
      <c r="D47911" s="39"/>
      <c r="E47911" s="39"/>
      <c r="F47911" s="39"/>
    </row>
    <row r="47912">
      <c r="D47912" s="39"/>
      <c r="E47912" s="39"/>
      <c r="F47912" s="39"/>
    </row>
    <row r="47913">
      <c r="D47913" s="39"/>
      <c r="E47913" s="39"/>
      <c r="F47913" s="39"/>
    </row>
    <row r="47914">
      <c r="D47914" s="39"/>
      <c r="E47914" s="39"/>
      <c r="F47914" s="39"/>
    </row>
    <row r="47915">
      <c r="D47915" s="39"/>
      <c r="E47915" s="39"/>
      <c r="F47915" s="39"/>
    </row>
    <row r="47916">
      <c r="D47916" s="39"/>
      <c r="E47916" s="39"/>
      <c r="F47916" s="39"/>
    </row>
    <row r="47917">
      <c r="D47917" s="39"/>
      <c r="E47917" s="39"/>
      <c r="F47917" s="39"/>
    </row>
    <row r="47918">
      <c r="D47918" s="39"/>
      <c r="E47918" s="39"/>
      <c r="F47918" s="39"/>
    </row>
    <row r="47919">
      <c r="D47919" s="39"/>
      <c r="E47919" s="39"/>
      <c r="F47919" s="39"/>
    </row>
    <row r="47920">
      <c r="D47920" s="39"/>
      <c r="E47920" s="39"/>
      <c r="F47920" s="39"/>
    </row>
    <row r="47921">
      <c r="D47921" s="39"/>
      <c r="E47921" s="39"/>
      <c r="F47921" s="39"/>
    </row>
    <row r="47922">
      <c r="D47922" s="39"/>
      <c r="E47922" s="39"/>
      <c r="F47922" s="39"/>
    </row>
    <row r="47923">
      <c r="D47923" s="39"/>
      <c r="E47923" s="39"/>
      <c r="F47923" s="39"/>
    </row>
    <row r="47924">
      <c r="D47924" s="39"/>
      <c r="E47924" s="39"/>
      <c r="F47924" s="39"/>
    </row>
    <row r="47925">
      <c r="D47925" s="39"/>
      <c r="E47925" s="39"/>
      <c r="F47925" s="39"/>
    </row>
    <row r="47926">
      <c r="D47926" s="39"/>
      <c r="E47926" s="39"/>
      <c r="F47926" s="39"/>
    </row>
    <row r="47927">
      <c r="D47927" s="39"/>
      <c r="E47927" s="39"/>
      <c r="F47927" s="39"/>
    </row>
    <row r="47928">
      <c r="D47928" s="39"/>
      <c r="E47928" s="39"/>
      <c r="F47928" s="39"/>
    </row>
    <row r="47929">
      <c r="D47929" s="39"/>
      <c r="E47929" s="39"/>
      <c r="F47929" s="39"/>
    </row>
    <row r="47930">
      <c r="D47930" s="39"/>
      <c r="E47930" s="39"/>
      <c r="F47930" s="39"/>
    </row>
    <row r="47931">
      <c r="D47931" s="39"/>
      <c r="E47931" s="39"/>
      <c r="F47931" s="39"/>
    </row>
    <row r="47932">
      <c r="D47932" s="39"/>
      <c r="E47932" s="39"/>
      <c r="F47932" s="39"/>
    </row>
    <row r="47933">
      <c r="D47933" s="39"/>
      <c r="E47933" s="39"/>
      <c r="F47933" s="39"/>
    </row>
    <row r="47934">
      <c r="D47934" s="39"/>
      <c r="E47934" s="39"/>
      <c r="F47934" s="39"/>
    </row>
    <row r="47935">
      <c r="D47935" s="39"/>
      <c r="E47935" s="39"/>
      <c r="F47935" s="39"/>
    </row>
    <row r="47936">
      <c r="D47936" s="39"/>
      <c r="E47936" s="39"/>
      <c r="F47936" s="39"/>
    </row>
    <row r="47937">
      <c r="D47937" s="39"/>
      <c r="E47937" s="39"/>
      <c r="F47937" s="39"/>
    </row>
    <row r="47938">
      <c r="D47938" s="39"/>
      <c r="E47938" s="39"/>
      <c r="F47938" s="39"/>
    </row>
    <row r="47939">
      <c r="D47939" s="39"/>
      <c r="E47939" s="39"/>
      <c r="F47939" s="39"/>
    </row>
    <row r="47940">
      <c r="D47940" s="39"/>
      <c r="E47940" s="39"/>
      <c r="F47940" s="39"/>
    </row>
    <row r="47941">
      <c r="D47941" s="39"/>
      <c r="E47941" s="39"/>
      <c r="F47941" s="39"/>
    </row>
    <row r="47942">
      <c r="D47942" s="39"/>
      <c r="E47942" s="39"/>
      <c r="F47942" s="39"/>
    </row>
    <row r="47943">
      <c r="D47943" s="39"/>
      <c r="E47943" s="39"/>
      <c r="F47943" s="39"/>
    </row>
    <row r="47944">
      <c r="D47944" s="39"/>
      <c r="E47944" s="39"/>
      <c r="F47944" s="39"/>
    </row>
    <row r="47945">
      <c r="D47945" s="39"/>
      <c r="E47945" s="39"/>
      <c r="F47945" s="39"/>
    </row>
    <row r="47946">
      <c r="D47946" s="39"/>
      <c r="E47946" s="39"/>
      <c r="F47946" s="39"/>
    </row>
    <row r="47947">
      <c r="D47947" s="39"/>
      <c r="E47947" s="39"/>
      <c r="F47947" s="39"/>
    </row>
    <row r="47948">
      <c r="D47948" s="39"/>
      <c r="E47948" s="39"/>
      <c r="F47948" s="39"/>
    </row>
    <row r="47949">
      <c r="D47949" s="39"/>
      <c r="E47949" s="39"/>
      <c r="F47949" s="39"/>
    </row>
    <row r="47950">
      <c r="D47950" s="39"/>
      <c r="E47950" s="39"/>
      <c r="F47950" s="39"/>
    </row>
    <row r="47951">
      <c r="D47951" s="39"/>
      <c r="E47951" s="39"/>
      <c r="F47951" s="39"/>
    </row>
    <row r="47952">
      <c r="D47952" s="39"/>
      <c r="E47952" s="39"/>
      <c r="F47952" s="39"/>
    </row>
    <row r="47953">
      <c r="D47953" s="39"/>
      <c r="E47953" s="39"/>
      <c r="F47953" s="39"/>
    </row>
    <row r="47954">
      <c r="D47954" s="39"/>
      <c r="E47954" s="39"/>
      <c r="F47954" s="39"/>
    </row>
    <row r="47955">
      <c r="D47955" s="39"/>
      <c r="E47955" s="39"/>
      <c r="F47955" s="39"/>
    </row>
    <row r="47956">
      <c r="D47956" s="39"/>
      <c r="E47956" s="39"/>
      <c r="F47956" s="39"/>
    </row>
    <row r="47957">
      <c r="D47957" s="39"/>
      <c r="E47957" s="39"/>
      <c r="F47957" s="39"/>
    </row>
    <row r="47958">
      <c r="D47958" s="39"/>
      <c r="E47958" s="39"/>
      <c r="F47958" s="39"/>
    </row>
    <row r="47959">
      <c r="D47959" s="39"/>
      <c r="E47959" s="39"/>
      <c r="F47959" s="39"/>
    </row>
    <row r="47960">
      <c r="D47960" s="39"/>
      <c r="E47960" s="39"/>
      <c r="F47960" s="39"/>
    </row>
    <row r="47961">
      <c r="D47961" s="39"/>
      <c r="E47961" s="39"/>
      <c r="F47961" s="39"/>
    </row>
    <row r="47962">
      <c r="D47962" s="39"/>
      <c r="E47962" s="39"/>
      <c r="F47962" s="39"/>
    </row>
    <row r="47963">
      <c r="D47963" s="39"/>
      <c r="E47963" s="39"/>
      <c r="F47963" s="39"/>
    </row>
    <row r="47964">
      <c r="D47964" s="39"/>
      <c r="E47964" s="39"/>
      <c r="F47964" s="39"/>
    </row>
    <row r="47965">
      <c r="D47965" s="39"/>
      <c r="E47965" s="39"/>
      <c r="F47965" s="39"/>
    </row>
    <row r="47966">
      <c r="D47966" s="39"/>
      <c r="E47966" s="39"/>
      <c r="F47966" s="39"/>
    </row>
    <row r="47967">
      <c r="D47967" s="39"/>
      <c r="E47967" s="39"/>
      <c r="F47967" s="39"/>
    </row>
    <row r="47968">
      <c r="D47968" s="39"/>
      <c r="E47968" s="39"/>
      <c r="F47968" s="39"/>
    </row>
    <row r="47969">
      <c r="D47969" s="39"/>
      <c r="E47969" s="39"/>
      <c r="F47969" s="39"/>
    </row>
    <row r="47970">
      <c r="D47970" s="39"/>
      <c r="E47970" s="39"/>
      <c r="F47970" s="39"/>
    </row>
    <row r="47971">
      <c r="D47971" s="39"/>
      <c r="E47971" s="39"/>
      <c r="F47971" s="39"/>
    </row>
    <row r="47972">
      <c r="D47972" s="39"/>
      <c r="E47972" s="39"/>
      <c r="F47972" s="39"/>
    </row>
    <row r="47973">
      <c r="D47973" s="39"/>
      <c r="E47973" s="39"/>
      <c r="F47973" s="39"/>
    </row>
    <row r="47974">
      <c r="D47974" s="39"/>
      <c r="E47974" s="39"/>
      <c r="F47974" s="39"/>
    </row>
    <row r="47975">
      <c r="D47975" s="39"/>
      <c r="E47975" s="39"/>
      <c r="F47975" s="39"/>
    </row>
    <row r="47976">
      <c r="D47976" s="39"/>
      <c r="E47976" s="39"/>
      <c r="F47976" s="39"/>
    </row>
    <row r="47977">
      <c r="D47977" s="39"/>
      <c r="E47977" s="39"/>
      <c r="F47977" s="39"/>
    </row>
    <row r="47978">
      <c r="D47978" s="39"/>
      <c r="E47978" s="39"/>
      <c r="F47978" s="39"/>
    </row>
    <row r="47979">
      <c r="D47979" s="39"/>
      <c r="E47979" s="39"/>
      <c r="F47979" s="39"/>
    </row>
    <row r="47980">
      <c r="D47980" s="39"/>
      <c r="E47980" s="39"/>
      <c r="F47980" s="39"/>
    </row>
    <row r="47981">
      <c r="D47981" s="39"/>
      <c r="E47981" s="39"/>
      <c r="F47981" s="39"/>
    </row>
    <row r="47982">
      <c r="D47982" s="39"/>
      <c r="E47982" s="39"/>
      <c r="F47982" s="39"/>
    </row>
    <row r="47983">
      <c r="D47983" s="39"/>
      <c r="E47983" s="39"/>
      <c r="F47983" s="39"/>
    </row>
    <row r="47984">
      <c r="D47984" s="39"/>
      <c r="E47984" s="39"/>
      <c r="F47984" s="39"/>
    </row>
    <row r="47985">
      <c r="D47985" s="39"/>
      <c r="E47985" s="39"/>
      <c r="F47985" s="39"/>
    </row>
    <row r="47986">
      <c r="D47986" s="39"/>
      <c r="E47986" s="39"/>
      <c r="F47986" s="39"/>
    </row>
    <row r="47987">
      <c r="D47987" s="39"/>
      <c r="E47987" s="39"/>
      <c r="F47987" s="39"/>
    </row>
    <row r="47988">
      <c r="D47988" s="39"/>
      <c r="E47988" s="39"/>
      <c r="F47988" s="39"/>
    </row>
    <row r="47989">
      <c r="D47989" s="39"/>
      <c r="E47989" s="39"/>
      <c r="F47989" s="39"/>
    </row>
    <row r="47990">
      <c r="D47990" s="39"/>
      <c r="E47990" s="39"/>
      <c r="F47990" s="39"/>
    </row>
    <row r="47991">
      <c r="D47991" s="39"/>
      <c r="E47991" s="39"/>
      <c r="F47991" s="39"/>
    </row>
    <row r="47992">
      <c r="D47992" s="39"/>
      <c r="E47992" s="39"/>
      <c r="F47992" s="39"/>
    </row>
    <row r="47993">
      <c r="D47993" s="39"/>
      <c r="E47993" s="39"/>
      <c r="F47993" s="39"/>
    </row>
    <row r="47994">
      <c r="D47994" s="39"/>
      <c r="E47994" s="39"/>
      <c r="F47994" s="39"/>
    </row>
    <row r="47995">
      <c r="D47995" s="39"/>
      <c r="E47995" s="39"/>
      <c r="F47995" s="39"/>
    </row>
    <row r="47996">
      <c r="D47996" s="39"/>
      <c r="E47996" s="39"/>
      <c r="F47996" s="39"/>
    </row>
    <row r="47997">
      <c r="D47997" s="39"/>
      <c r="E47997" s="39"/>
      <c r="F47997" s="39"/>
    </row>
    <row r="47998">
      <c r="D47998" s="39"/>
      <c r="E47998" s="39"/>
      <c r="F47998" s="39"/>
    </row>
    <row r="47999">
      <c r="D47999" s="39"/>
      <c r="E47999" s="39"/>
      <c r="F47999" s="39"/>
    </row>
    <row r="48000">
      <c r="D48000" s="39"/>
      <c r="E48000" s="39"/>
      <c r="F48000" s="39"/>
    </row>
    <row r="48001">
      <c r="D48001" s="39"/>
      <c r="E48001" s="39"/>
      <c r="F48001" s="39"/>
    </row>
    <row r="48002">
      <c r="D48002" s="39"/>
      <c r="E48002" s="39"/>
      <c r="F48002" s="39"/>
    </row>
    <row r="48003">
      <c r="D48003" s="39"/>
      <c r="E48003" s="39"/>
      <c r="F48003" s="39"/>
    </row>
    <row r="48004">
      <c r="D48004" s="39"/>
      <c r="E48004" s="39"/>
      <c r="F48004" s="39"/>
    </row>
    <row r="48005">
      <c r="D48005" s="39"/>
      <c r="E48005" s="39"/>
      <c r="F48005" s="39"/>
    </row>
    <row r="48006">
      <c r="D48006" s="39"/>
      <c r="E48006" s="39"/>
      <c r="F48006" s="39"/>
    </row>
    <row r="48007">
      <c r="D48007" s="39"/>
      <c r="E48007" s="39"/>
      <c r="F48007" s="39"/>
    </row>
    <row r="48008">
      <c r="D48008" s="39"/>
      <c r="E48008" s="39"/>
      <c r="F48008" s="39"/>
    </row>
    <row r="48009">
      <c r="D48009" s="39"/>
      <c r="E48009" s="39"/>
      <c r="F48009" s="39"/>
    </row>
    <row r="48010">
      <c r="D48010" s="39"/>
      <c r="E48010" s="39"/>
      <c r="F48010" s="39"/>
    </row>
    <row r="48011">
      <c r="D48011" s="39"/>
      <c r="E48011" s="39"/>
      <c r="F48011" s="39"/>
    </row>
    <row r="48012">
      <c r="D48012" s="39"/>
      <c r="E48012" s="39"/>
      <c r="F48012" s="39"/>
    </row>
    <row r="48013">
      <c r="D48013" s="39"/>
      <c r="E48013" s="39"/>
      <c r="F48013" s="39"/>
    </row>
    <row r="48014">
      <c r="D48014" s="39"/>
      <c r="E48014" s="39"/>
      <c r="F48014" s="39"/>
    </row>
    <row r="48015">
      <c r="D48015" s="39"/>
      <c r="E48015" s="39"/>
      <c r="F48015" s="39"/>
    </row>
    <row r="48016">
      <c r="D48016" s="39"/>
      <c r="E48016" s="39"/>
      <c r="F48016" s="39"/>
    </row>
    <row r="48017">
      <c r="D48017" s="39"/>
      <c r="E48017" s="39"/>
      <c r="F48017" s="39"/>
    </row>
    <row r="48018">
      <c r="D48018" s="39"/>
      <c r="E48018" s="39"/>
      <c r="F48018" s="39"/>
    </row>
    <row r="48019">
      <c r="D48019" s="39"/>
      <c r="E48019" s="39"/>
      <c r="F48019" s="39"/>
    </row>
    <row r="48020">
      <c r="D48020" s="39"/>
      <c r="E48020" s="39"/>
      <c r="F48020" s="39"/>
    </row>
    <row r="48021">
      <c r="D48021" s="39"/>
      <c r="E48021" s="39"/>
      <c r="F48021" s="39"/>
    </row>
    <row r="48022">
      <c r="D48022" s="39"/>
      <c r="E48022" s="39"/>
      <c r="F48022" s="39"/>
    </row>
    <row r="48023">
      <c r="D48023" s="39"/>
      <c r="E48023" s="39"/>
      <c r="F48023" s="39"/>
    </row>
    <row r="48024">
      <c r="D48024" s="39"/>
      <c r="E48024" s="39"/>
      <c r="F48024" s="39"/>
    </row>
    <row r="48025">
      <c r="D48025" s="39"/>
      <c r="E48025" s="39"/>
      <c r="F48025" s="39"/>
    </row>
    <row r="48026">
      <c r="D48026" s="39"/>
      <c r="E48026" s="39"/>
      <c r="F48026" s="39"/>
    </row>
    <row r="48027">
      <c r="D48027" s="39"/>
      <c r="E48027" s="39"/>
      <c r="F48027" s="39"/>
    </row>
    <row r="48028">
      <c r="D48028" s="39"/>
      <c r="E48028" s="39"/>
      <c r="F48028" s="39"/>
    </row>
    <row r="48029">
      <c r="D48029" s="39"/>
      <c r="E48029" s="39"/>
      <c r="F48029" s="39"/>
    </row>
    <row r="48030">
      <c r="D48030" s="39"/>
      <c r="E48030" s="39"/>
      <c r="F48030" s="39"/>
    </row>
    <row r="48031">
      <c r="D48031" s="39"/>
      <c r="E48031" s="39"/>
      <c r="F48031" s="39"/>
    </row>
    <row r="48032">
      <c r="D48032" s="39"/>
      <c r="E48032" s="39"/>
      <c r="F48032" s="39"/>
    </row>
    <row r="48033">
      <c r="D48033" s="39"/>
      <c r="E48033" s="39"/>
      <c r="F48033" s="39"/>
    </row>
    <row r="48034">
      <c r="D48034" s="39"/>
      <c r="E48034" s="39"/>
      <c r="F48034" s="39"/>
    </row>
    <row r="48035">
      <c r="D48035" s="39"/>
      <c r="E48035" s="39"/>
      <c r="F48035" s="39"/>
    </row>
    <row r="48036">
      <c r="D48036" s="39"/>
      <c r="E48036" s="39"/>
      <c r="F48036" s="39"/>
    </row>
    <row r="48037">
      <c r="D48037" s="39"/>
      <c r="E48037" s="39"/>
      <c r="F48037" s="39"/>
    </row>
    <row r="48038">
      <c r="D48038" s="39"/>
      <c r="E48038" s="39"/>
      <c r="F48038" s="39"/>
    </row>
    <row r="48039">
      <c r="D48039" s="39"/>
      <c r="E48039" s="39"/>
      <c r="F48039" s="39"/>
    </row>
    <row r="48040">
      <c r="D48040" s="39"/>
      <c r="E48040" s="39"/>
      <c r="F48040" s="39"/>
    </row>
    <row r="48041">
      <c r="D48041" s="39"/>
      <c r="E48041" s="39"/>
      <c r="F48041" s="39"/>
    </row>
    <row r="48042">
      <c r="D48042" s="39"/>
      <c r="E48042" s="39"/>
      <c r="F48042" s="39"/>
    </row>
    <row r="48043">
      <c r="D48043" s="39"/>
      <c r="E48043" s="39"/>
      <c r="F48043" s="39"/>
    </row>
    <row r="48044">
      <c r="D48044" s="39"/>
      <c r="E48044" s="39"/>
      <c r="F48044" s="39"/>
    </row>
    <row r="48045">
      <c r="D48045" s="39"/>
      <c r="E48045" s="39"/>
      <c r="F48045" s="39"/>
    </row>
    <row r="48046">
      <c r="D48046" s="39"/>
      <c r="E48046" s="39"/>
      <c r="F48046" s="39"/>
    </row>
    <row r="48047">
      <c r="D48047" s="39"/>
      <c r="E48047" s="39"/>
      <c r="F48047" s="39"/>
    </row>
    <row r="48048">
      <c r="D48048" s="39"/>
      <c r="E48048" s="39"/>
      <c r="F48048" s="39"/>
    </row>
    <row r="48049">
      <c r="D48049" s="39"/>
      <c r="E48049" s="39"/>
      <c r="F48049" s="39"/>
    </row>
    <row r="48050">
      <c r="D48050" s="39"/>
      <c r="E48050" s="39"/>
      <c r="F48050" s="39"/>
    </row>
    <row r="48051">
      <c r="D48051" s="39"/>
      <c r="E48051" s="39"/>
      <c r="F48051" s="39"/>
    </row>
    <row r="48052">
      <c r="D48052" s="39"/>
      <c r="E48052" s="39"/>
      <c r="F48052" s="39"/>
    </row>
    <row r="48053">
      <c r="D48053" s="39"/>
      <c r="E48053" s="39"/>
      <c r="F48053" s="39"/>
    </row>
    <row r="48054">
      <c r="D48054" s="39"/>
      <c r="E48054" s="39"/>
      <c r="F48054" s="39"/>
    </row>
    <row r="48055">
      <c r="D48055" s="39"/>
      <c r="E48055" s="39"/>
      <c r="F48055" s="39"/>
    </row>
    <row r="48056">
      <c r="D48056" s="39"/>
      <c r="E48056" s="39"/>
      <c r="F48056" s="39"/>
    </row>
    <row r="48057">
      <c r="D48057" s="39"/>
      <c r="E48057" s="39"/>
      <c r="F48057" s="39"/>
    </row>
    <row r="48058">
      <c r="D48058" s="39"/>
      <c r="E48058" s="39"/>
      <c r="F48058" s="39"/>
    </row>
    <row r="48059">
      <c r="D48059" s="39"/>
      <c r="E48059" s="39"/>
      <c r="F48059" s="39"/>
    </row>
    <row r="48060">
      <c r="D48060" s="39"/>
      <c r="E48060" s="39"/>
      <c r="F48060" s="39"/>
    </row>
    <row r="48061">
      <c r="D48061" s="39"/>
      <c r="E48061" s="39"/>
      <c r="F48061" s="39"/>
    </row>
    <row r="48062">
      <c r="D48062" s="39"/>
      <c r="E48062" s="39"/>
      <c r="F48062" s="39"/>
    </row>
    <row r="48063">
      <c r="D48063" s="39"/>
      <c r="E48063" s="39"/>
      <c r="F48063" s="39"/>
    </row>
    <row r="48064">
      <c r="D48064" s="39"/>
      <c r="E48064" s="39"/>
      <c r="F48064" s="39"/>
    </row>
    <row r="48065">
      <c r="D48065" s="39"/>
      <c r="E48065" s="39"/>
      <c r="F48065" s="39"/>
    </row>
    <row r="48066">
      <c r="D48066" s="39"/>
      <c r="E48066" s="39"/>
      <c r="F48066" s="39"/>
    </row>
    <row r="48067">
      <c r="D48067" s="39"/>
      <c r="E48067" s="39"/>
      <c r="F48067" s="39"/>
    </row>
    <row r="48068">
      <c r="D48068" s="39"/>
      <c r="E48068" s="39"/>
      <c r="F48068" s="39"/>
    </row>
    <row r="48069">
      <c r="D48069" s="39"/>
      <c r="E48069" s="39"/>
      <c r="F48069" s="39"/>
    </row>
    <row r="48070">
      <c r="D48070" s="39"/>
      <c r="E48070" s="39"/>
      <c r="F48070" s="39"/>
    </row>
    <row r="48071">
      <c r="D48071" s="39"/>
      <c r="E48071" s="39"/>
      <c r="F48071" s="39"/>
    </row>
    <row r="48072">
      <c r="D48072" s="39"/>
      <c r="E48072" s="39"/>
      <c r="F48072" s="39"/>
    </row>
    <row r="48073">
      <c r="D48073" s="39"/>
      <c r="E48073" s="39"/>
      <c r="F48073" s="39"/>
    </row>
    <row r="48074">
      <c r="D48074" s="39"/>
      <c r="E48074" s="39"/>
      <c r="F48074" s="39"/>
    </row>
    <row r="48075">
      <c r="D48075" s="39"/>
      <c r="E48075" s="39"/>
      <c r="F48075" s="39"/>
    </row>
    <row r="48076">
      <c r="D48076" s="39"/>
      <c r="E48076" s="39"/>
      <c r="F48076" s="39"/>
    </row>
    <row r="48077">
      <c r="D48077" s="39"/>
      <c r="E48077" s="39"/>
      <c r="F48077" s="39"/>
    </row>
    <row r="48078">
      <c r="D48078" s="39"/>
      <c r="E48078" s="39"/>
      <c r="F48078" s="39"/>
    </row>
    <row r="48079">
      <c r="D48079" s="39"/>
      <c r="E48079" s="39"/>
      <c r="F48079" s="39"/>
    </row>
    <row r="48080">
      <c r="D48080" s="39"/>
      <c r="E48080" s="39"/>
      <c r="F48080" s="39"/>
    </row>
    <row r="48081">
      <c r="D48081" s="39"/>
      <c r="E48081" s="39"/>
      <c r="F48081" s="39"/>
    </row>
    <row r="48082">
      <c r="D48082" s="39"/>
      <c r="E48082" s="39"/>
      <c r="F48082" s="39"/>
    </row>
    <row r="48083">
      <c r="D48083" s="39"/>
      <c r="E48083" s="39"/>
      <c r="F48083" s="39"/>
    </row>
    <row r="48084">
      <c r="D48084" s="39"/>
      <c r="E48084" s="39"/>
      <c r="F48084" s="39"/>
    </row>
    <row r="48085">
      <c r="D48085" s="39"/>
      <c r="E48085" s="39"/>
      <c r="F48085" s="39"/>
    </row>
    <row r="48086">
      <c r="D48086" s="39"/>
      <c r="E48086" s="39"/>
      <c r="F48086" s="39"/>
    </row>
    <row r="48087">
      <c r="D48087" s="39"/>
      <c r="E48087" s="39"/>
      <c r="F48087" s="39"/>
    </row>
    <row r="48088">
      <c r="D48088" s="39"/>
      <c r="E48088" s="39"/>
      <c r="F48088" s="39"/>
    </row>
    <row r="48089">
      <c r="D48089" s="39"/>
      <c r="E48089" s="39"/>
      <c r="F48089" s="39"/>
    </row>
    <row r="48090">
      <c r="D48090" s="39"/>
      <c r="E48090" s="39"/>
      <c r="F48090" s="39"/>
    </row>
    <row r="48091">
      <c r="D48091" s="39"/>
      <c r="E48091" s="39"/>
      <c r="F48091" s="39"/>
    </row>
    <row r="48092">
      <c r="D48092" s="39"/>
      <c r="E48092" s="39"/>
      <c r="F48092" s="39"/>
    </row>
    <row r="48093">
      <c r="D48093" s="39"/>
      <c r="E48093" s="39"/>
      <c r="F48093" s="39"/>
    </row>
    <row r="48094">
      <c r="D48094" s="39"/>
      <c r="E48094" s="39"/>
      <c r="F48094" s="39"/>
    </row>
    <row r="48095">
      <c r="D48095" s="39"/>
      <c r="E48095" s="39"/>
      <c r="F48095" s="39"/>
    </row>
    <row r="48096">
      <c r="D48096" s="39"/>
      <c r="E48096" s="39"/>
      <c r="F48096" s="39"/>
    </row>
    <row r="48097">
      <c r="D48097" s="39"/>
      <c r="E48097" s="39"/>
      <c r="F48097" s="39"/>
    </row>
    <row r="48098">
      <c r="D48098" s="39"/>
      <c r="E48098" s="39"/>
      <c r="F48098" s="39"/>
    </row>
    <row r="48099">
      <c r="D48099" s="39"/>
      <c r="E48099" s="39"/>
      <c r="F48099" s="39"/>
    </row>
    <row r="48100">
      <c r="D48100" s="39"/>
      <c r="E48100" s="39"/>
      <c r="F48100" s="39"/>
    </row>
    <row r="48101">
      <c r="D48101" s="39"/>
      <c r="E48101" s="39"/>
      <c r="F48101" s="39"/>
    </row>
    <row r="48102">
      <c r="D48102" s="39"/>
      <c r="E48102" s="39"/>
      <c r="F48102" s="39"/>
    </row>
    <row r="48103">
      <c r="D48103" s="39"/>
      <c r="E48103" s="39"/>
      <c r="F48103" s="39"/>
    </row>
    <row r="48104">
      <c r="D48104" s="39"/>
      <c r="E48104" s="39"/>
      <c r="F48104" s="39"/>
    </row>
    <row r="48105">
      <c r="D48105" s="39"/>
      <c r="E48105" s="39"/>
      <c r="F48105" s="39"/>
    </row>
    <row r="48106">
      <c r="D48106" s="39"/>
      <c r="E48106" s="39"/>
      <c r="F48106" s="39"/>
    </row>
    <row r="48107">
      <c r="D48107" s="39"/>
      <c r="E48107" s="39"/>
      <c r="F48107" s="39"/>
    </row>
    <row r="48108">
      <c r="D48108" s="39"/>
      <c r="E48108" s="39"/>
      <c r="F48108" s="39"/>
    </row>
    <row r="48109">
      <c r="D48109" s="39"/>
      <c r="E48109" s="39"/>
      <c r="F48109" s="39"/>
    </row>
    <row r="48110">
      <c r="D48110" s="39"/>
      <c r="E48110" s="39"/>
      <c r="F48110" s="39"/>
    </row>
    <row r="48111">
      <c r="D48111" s="39"/>
      <c r="E48111" s="39"/>
      <c r="F48111" s="39"/>
    </row>
    <row r="48112">
      <c r="D48112" s="39"/>
      <c r="E48112" s="39"/>
      <c r="F48112" s="39"/>
    </row>
    <row r="48113">
      <c r="D48113" s="39"/>
      <c r="E48113" s="39"/>
      <c r="F48113" s="39"/>
    </row>
    <row r="48114">
      <c r="D48114" s="39"/>
      <c r="E48114" s="39"/>
      <c r="F48114" s="39"/>
    </row>
    <row r="48115">
      <c r="D48115" s="39"/>
      <c r="E48115" s="39"/>
      <c r="F48115" s="39"/>
    </row>
    <row r="48116">
      <c r="D48116" s="39"/>
      <c r="E48116" s="39"/>
      <c r="F48116" s="39"/>
    </row>
    <row r="48117">
      <c r="D48117" s="39"/>
      <c r="E48117" s="39"/>
      <c r="F48117" s="39"/>
    </row>
    <row r="48118">
      <c r="D48118" s="39"/>
      <c r="E48118" s="39"/>
      <c r="F48118" s="39"/>
    </row>
    <row r="48119">
      <c r="D48119" s="39"/>
      <c r="E48119" s="39"/>
      <c r="F48119" s="39"/>
    </row>
    <row r="48120">
      <c r="D48120" s="39"/>
      <c r="E48120" s="39"/>
      <c r="F48120" s="39"/>
    </row>
    <row r="48121">
      <c r="D48121" s="39"/>
      <c r="E48121" s="39"/>
      <c r="F48121" s="39"/>
    </row>
    <row r="48122">
      <c r="D48122" s="39"/>
      <c r="E48122" s="39"/>
      <c r="F48122" s="39"/>
    </row>
    <row r="48123">
      <c r="D48123" s="39"/>
      <c r="E48123" s="39"/>
      <c r="F48123" s="39"/>
    </row>
    <row r="48124">
      <c r="D48124" s="39"/>
      <c r="E48124" s="39"/>
      <c r="F48124" s="39"/>
    </row>
    <row r="48125">
      <c r="D48125" s="39"/>
      <c r="E48125" s="39"/>
      <c r="F48125" s="39"/>
    </row>
    <row r="48126">
      <c r="D48126" s="39"/>
      <c r="E48126" s="39"/>
      <c r="F48126" s="39"/>
    </row>
    <row r="48127">
      <c r="D48127" s="39"/>
      <c r="E48127" s="39"/>
      <c r="F48127" s="39"/>
    </row>
    <row r="48128">
      <c r="D48128" s="39"/>
      <c r="E48128" s="39"/>
      <c r="F48128" s="39"/>
    </row>
    <row r="48129">
      <c r="D48129" s="39"/>
      <c r="E48129" s="39"/>
      <c r="F48129" s="39"/>
    </row>
    <row r="48130">
      <c r="D48130" s="39"/>
      <c r="E48130" s="39"/>
      <c r="F48130" s="39"/>
    </row>
    <row r="48131">
      <c r="D48131" s="39"/>
      <c r="E48131" s="39"/>
      <c r="F48131" s="39"/>
    </row>
    <row r="48132">
      <c r="D48132" s="39"/>
      <c r="E48132" s="39"/>
      <c r="F48132" s="39"/>
    </row>
    <row r="48133">
      <c r="D48133" s="39"/>
      <c r="E48133" s="39"/>
      <c r="F48133" s="39"/>
    </row>
    <row r="48134">
      <c r="D48134" s="39"/>
      <c r="E48134" s="39"/>
      <c r="F48134" s="39"/>
    </row>
    <row r="48135">
      <c r="D48135" s="39"/>
      <c r="E48135" s="39"/>
      <c r="F48135" s="39"/>
    </row>
    <row r="48136">
      <c r="D48136" s="39"/>
      <c r="E48136" s="39"/>
      <c r="F48136" s="39"/>
    </row>
    <row r="48137">
      <c r="D48137" s="39"/>
      <c r="E48137" s="39"/>
      <c r="F48137" s="39"/>
    </row>
    <row r="48138">
      <c r="D48138" s="39"/>
      <c r="E48138" s="39"/>
      <c r="F48138" s="39"/>
    </row>
    <row r="48139">
      <c r="D48139" s="39"/>
      <c r="E48139" s="39"/>
      <c r="F48139" s="39"/>
    </row>
    <row r="48140">
      <c r="D48140" s="39"/>
      <c r="E48140" s="39"/>
      <c r="F48140" s="39"/>
    </row>
    <row r="48141">
      <c r="D48141" s="39"/>
      <c r="E48141" s="39"/>
      <c r="F48141" s="39"/>
    </row>
    <row r="48142">
      <c r="D48142" s="39"/>
      <c r="E48142" s="39"/>
      <c r="F48142" s="39"/>
    </row>
    <row r="48143">
      <c r="D48143" s="39"/>
      <c r="E48143" s="39"/>
      <c r="F48143" s="39"/>
    </row>
    <row r="48144">
      <c r="D48144" s="39"/>
      <c r="E48144" s="39"/>
      <c r="F48144" s="39"/>
    </row>
    <row r="48145">
      <c r="D48145" s="39"/>
      <c r="E48145" s="39"/>
      <c r="F48145" s="39"/>
    </row>
    <row r="48146">
      <c r="D48146" s="39"/>
      <c r="E48146" s="39"/>
      <c r="F48146" s="39"/>
    </row>
    <row r="48147">
      <c r="D48147" s="39"/>
      <c r="E48147" s="39"/>
      <c r="F48147" s="39"/>
    </row>
    <row r="48148">
      <c r="D48148" s="39"/>
      <c r="E48148" s="39"/>
      <c r="F48148" s="39"/>
    </row>
    <row r="48149">
      <c r="D48149" s="39"/>
      <c r="E48149" s="39"/>
      <c r="F48149" s="39"/>
    </row>
    <row r="48150">
      <c r="D48150" s="39"/>
      <c r="E48150" s="39"/>
      <c r="F48150" s="39"/>
    </row>
    <row r="48151">
      <c r="D48151" s="39"/>
      <c r="E48151" s="39"/>
      <c r="F48151" s="39"/>
    </row>
    <row r="48152">
      <c r="D48152" s="39"/>
      <c r="E48152" s="39"/>
      <c r="F48152" s="39"/>
    </row>
    <row r="48153">
      <c r="D48153" s="39"/>
      <c r="E48153" s="39"/>
      <c r="F48153" s="39"/>
    </row>
    <row r="48154">
      <c r="D48154" s="39"/>
      <c r="E48154" s="39"/>
      <c r="F48154" s="39"/>
    </row>
    <row r="48155">
      <c r="D48155" s="39"/>
      <c r="E48155" s="39"/>
      <c r="F48155" s="39"/>
    </row>
    <row r="48156">
      <c r="D48156" s="39"/>
      <c r="E48156" s="39"/>
      <c r="F48156" s="39"/>
    </row>
    <row r="48157">
      <c r="D48157" s="39"/>
      <c r="E48157" s="39"/>
      <c r="F48157" s="39"/>
    </row>
    <row r="48158">
      <c r="D48158" s="39"/>
      <c r="E48158" s="39"/>
      <c r="F48158" s="39"/>
    </row>
    <row r="48159">
      <c r="D48159" s="39"/>
      <c r="E48159" s="39"/>
      <c r="F48159" s="39"/>
    </row>
    <row r="48160">
      <c r="D48160" s="39"/>
      <c r="E48160" s="39"/>
      <c r="F48160" s="39"/>
    </row>
    <row r="48161">
      <c r="D48161" s="39"/>
      <c r="E48161" s="39"/>
      <c r="F48161" s="39"/>
    </row>
    <row r="48162">
      <c r="D48162" s="39"/>
      <c r="E48162" s="39"/>
      <c r="F48162" s="39"/>
    </row>
    <row r="48163">
      <c r="D48163" s="39"/>
      <c r="E48163" s="39"/>
      <c r="F48163" s="39"/>
    </row>
    <row r="48164">
      <c r="D48164" s="39"/>
      <c r="E48164" s="39"/>
      <c r="F48164" s="39"/>
    </row>
    <row r="48165">
      <c r="D48165" s="39"/>
      <c r="E48165" s="39"/>
      <c r="F48165" s="39"/>
    </row>
    <row r="48166">
      <c r="D48166" s="39"/>
      <c r="E48166" s="39"/>
      <c r="F48166" s="39"/>
    </row>
    <row r="48167">
      <c r="D48167" s="39"/>
      <c r="E48167" s="39"/>
      <c r="F48167" s="39"/>
    </row>
    <row r="48168">
      <c r="D48168" s="39"/>
      <c r="E48168" s="39"/>
      <c r="F48168" s="39"/>
    </row>
    <row r="48169">
      <c r="D48169" s="39"/>
      <c r="E48169" s="39"/>
      <c r="F48169" s="39"/>
    </row>
    <row r="48170">
      <c r="D48170" s="39"/>
      <c r="E48170" s="39"/>
      <c r="F48170" s="39"/>
    </row>
    <row r="48171">
      <c r="D48171" s="39"/>
      <c r="E48171" s="39"/>
      <c r="F48171" s="39"/>
    </row>
    <row r="48172">
      <c r="D48172" s="39"/>
      <c r="E48172" s="39"/>
      <c r="F48172" s="39"/>
    </row>
    <row r="48173">
      <c r="D48173" s="39"/>
      <c r="E48173" s="39"/>
      <c r="F48173" s="39"/>
    </row>
    <row r="48174">
      <c r="D48174" s="39"/>
      <c r="E48174" s="39"/>
      <c r="F48174" s="39"/>
    </row>
    <row r="48175">
      <c r="D48175" s="39"/>
      <c r="E48175" s="39"/>
      <c r="F48175" s="39"/>
    </row>
    <row r="48176">
      <c r="D48176" s="39"/>
      <c r="E48176" s="39"/>
      <c r="F48176" s="39"/>
    </row>
    <row r="48177">
      <c r="D48177" s="39"/>
      <c r="E48177" s="39"/>
      <c r="F48177" s="39"/>
    </row>
    <row r="48178">
      <c r="D48178" s="39"/>
      <c r="E48178" s="39"/>
      <c r="F48178" s="39"/>
    </row>
    <row r="48179">
      <c r="D48179" s="39"/>
      <c r="E48179" s="39"/>
      <c r="F48179" s="39"/>
    </row>
    <row r="48180">
      <c r="D48180" s="39"/>
      <c r="E48180" s="39"/>
      <c r="F48180" s="39"/>
    </row>
    <row r="48181">
      <c r="D48181" s="39"/>
      <c r="E48181" s="39"/>
      <c r="F48181" s="39"/>
    </row>
    <row r="48182">
      <c r="D48182" s="39"/>
      <c r="E48182" s="39"/>
      <c r="F48182" s="39"/>
    </row>
    <row r="48183">
      <c r="D48183" s="39"/>
      <c r="E48183" s="39"/>
      <c r="F48183" s="39"/>
    </row>
    <row r="48184">
      <c r="D48184" s="39"/>
      <c r="E48184" s="39"/>
      <c r="F48184" s="39"/>
    </row>
    <row r="48185">
      <c r="D48185" s="39"/>
      <c r="E48185" s="39"/>
      <c r="F48185" s="39"/>
    </row>
    <row r="48186">
      <c r="D48186" s="39"/>
      <c r="E48186" s="39"/>
      <c r="F48186" s="39"/>
    </row>
    <row r="48187">
      <c r="D48187" s="39"/>
      <c r="E48187" s="39"/>
      <c r="F48187" s="39"/>
    </row>
    <row r="48188">
      <c r="D48188" s="39"/>
      <c r="E48188" s="39"/>
      <c r="F48188" s="39"/>
    </row>
    <row r="48189">
      <c r="D48189" s="39"/>
      <c r="E48189" s="39"/>
      <c r="F48189" s="39"/>
    </row>
    <row r="48190">
      <c r="D48190" s="39"/>
      <c r="E48190" s="39"/>
      <c r="F48190" s="39"/>
    </row>
    <row r="48191">
      <c r="D48191" s="39"/>
      <c r="E48191" s="39"/>
      <c r="F48191" s="39"/>
    </row>
    <row r="48192">
      <c r="D48192" s="39"/>
      <c r="E48192" s="39"/>
      <c r="F48192" s="39"/>
    </row>
    <row r="48193">
      <c r="D48193" s="39"/>
      <c r="E48193" s="39"/>
      <c r="F48193" s="39"/>
    </row>
    <row r="48194">
      <c r="D48194" s="39"/>
      <c r="E48194" s="39"/>
      <c r="F48194" s="39"/>
    </row>
    <row r="48195">
      <c r="D48195" s="39"/>
      <c r="E48195" s="39"/>
      <c r="F48195" s="39"/>
    </row>
    <row r="48196">
      <c r="D48196" s="39"/>
      <c r="E48196" s="39"/>
      <c r="F48196" s="39"/>
    </row>
    <row r="48197">
      <c r="D48197" s="39"/>
      <c r="E48197" s="39"/>
      <c r="F48197" s="39"/>
    </row>
    <row r="48198">
      <c r="D48198" s="39"/>
      <c r="E48198" s="39"/>
      <c r="F48198" s="39"/>
    </row>
    <row r="48199">
      <c r="D48199" s="39"/>
      <c r="E48199" s="39"/>
      <c r="F48199" s="39"/>
    </row>
    <row r="48200">
      <c r="D48200" s="39"/>
      <c r="E48200" s="39"/>
      <c r="F48200" s="39"/>
    </row>
    <row r="48201">
      <c r="D48201" s="39"/>
      <c r="E48201" s="39"/>
      <c r="F48201" s="39"/>
    </row>
    <row r="48202">
      <c r="D48202" s="39"/>
      <c r="E48202" s="39"/>
      <c r="F48202" s="39"/>
    </row>
    <row r="48203">
      <c r="D48203" s="39"/>
      <c r="E48203" s="39"/>
      <c r="F48203" s="39"/>
    </row>
    <row r="48204">
      <c r="D48204" s="39"/>
      <c r="E48204" s="39"/>
      <c r="F48204" s="39"/>
    </row>
    <row r="48205">
      <c r="D48205" s="39"/>
      <c r="E48205" s="39"/>
      <c r="F48205" s="39"/>
    </row>
    <row r="48206">
      <c r="D48206" s="39"/>
      <c r="E48206" s="39"/>
      <c r="F48206" s="39"/>
    </row>
    <row r="48207">
      <c r="D48207" s="39"/>
      <c r="E48207" s="39"/>
      <c r="F48207" s="39"/>
    </row>
    <row r="48208">
      <c r="D48208" s="39"/>
      <c r="E48208" s="39"/>
      <c r="F48208" s="39"/>
    </row>
    <row r="48209">
      <c r="D48209" s="39"/>
      <c r="E48209" s="39"/>
      <c r="F48209" s="39"/>
    </row>
    <row r="48210">
      <c r="D48210" s="39"/>
      <c r="E48210" s="39"/>
      <c r="F48210" s="39"/>
    </row>
    <row r="48211">
      <c r="D48211" s="39"/>
      <c r="E48211" s="39"/>
      <c r="F48211" s="39"/>
    </row>
    <row r="48212">
      <c r="D48212" s="39"/>
      <c r="E48212" s="39"/>
      <c r="F48212" s="39"/>
    </row>
    <row r="48213">
      <c r="D48213" s="39"/>
      <c r="E48213" s="39"/>
      <c r="F48213" s="39"/>
    </row>
    <row r="48214">
      <c r="D48214" s="39"/>
      <c r="E48214" s="39"/>
      <c r="F48214" s="39"/>
    </row>
    <row r="48215">
      <c r="D48215" s="39"/>
      <c r="E48215" s="39"/>
      <c r="F48215" s="39"/>
    </row>
    <row r="48216">
      <c r="D48216" s="39"/>
      <c r="E48216" s="39"/>
      <c r="F48216" s="39"/>
    </row>
    <row r="48217">
      <c r="D48217" s="39"/>
      <c r="E48217" s="39"/>
      <c r="F48217" s="39"/>
    </row>
    <row r="48218">
      <c r="D48218" s="39"/>
      <c r="E48218" s="39"/>
      <c r="F48218" s="39"/>
    </row>
    <row r="48219">
      <c r="D48219" s="39"/>
      <c r="E48219" s="39"/>
      <c r="F48219" s="39"/>
    </row>
    <row r="48220">
      <c r="D48220" s="39"/>
      <c r="E48220" s="39"/>
      <c r="F48220" s="39"/>
    </row>
    <row r="48221">
      <c r="D48221" s="39"/>
      <c r="E48221" s="39"/>
      <c r="F48221" s="39"/>
    </row>
    <row r="48222">
      <c r="D48222" s="39"/>
      <c r="E48222" s="39"/>
      <c r="F48222" s="39"/>
    </row>
    <row r="48223">
      <c r="D48223" s="39"/>
      <c r="E48223" s="39"/>
      <c r="F48223" s="39"/>
    </row>
    <row r="48224">
      <c r="D48224" s="39"/>
      <c r="E48224" s="39"/>
      <c r="F48224" s="39"/>
    </row>
    <row r="48225">
      <c r="D48225" s="39"/>
      <c r="E48225" s="39"/>
      <c r="F48225" s="39"/>
    </row>
    <row r="48226">
      <c r="D48226" s="39"/>
      <c r="E48226" s="39"/>
      <c r="F48226" s="39"/>
    </row>
    <row r="48227">
      <c r="D48227" s="39"/>
      <c r="E48227" s="39"/>
      <c r="F48227" s="39"/>
    </row>
    <row r="48228">
      <c r="D48228" s="39"/>
      <c r="E48228" s="39"/>
      <c r="F48228" s="39"/>
    </row>
    <row r="48229">
      <c r="D48229" s="39"/>
      <c r="E48229" s="39"/>
      <c r="F48229" s="39"/>
    </row>
    <row r="48230">
      <c r="D48230" s="39"/>
      <c r="E48230" s="39"/>
      <c r="F48230" s="39"/>
    </row>
    <row r="48231">
      <c r="D48231" s="39"/>
      <c r="E48231" s="39"/>
      <c r="F48231" s="39"/>
    </row>
    <row r="48232">
      <c r="D48232" s="39"/>
      <c r="E48232" s="39"/>
      <c r="F48232" s="39"/>
    </row>
    <row r="48233">
      <c r="D48233" s="39"/>
      <c r="E48233" s="39"/>
      <c r="F48233" s="39"/>
    </row>
    <row r="48234">
      <c r="D48234" s="39"/>
      <c r="E48234" s="39"/>
      <c r="F48234" s="39"/>
    </row>
    <row r="48235">
      <c r="D48235" s="39"/>
      <c r="E48235" s="39"/>
      <c r="F48235" s="39"/>
    </row>
    <row r="48236">
      <c r="D48236" s="39"/>
      <c r="E48236" s="39"/>
      <c r="F48236" s="39"/>
    </row>
    <row r="48237">
      <c r="D48237" s="39"/>
      <c r="E48237" s="39"/>
      <c r="F48237" s="39"/>
    </row>
    <row r="48238">
      <c r="D48238" s="39"/>
      <c r="E48238" s="39"/>
      <c r="F48238" s="39"/>
    </row>
    <row r="48239">
      <c r="D48239" s="39"/>
      <c r="E48239" s="39"/>
      <c r="F48239" s="39"/>
    </row>
    <row r="48240">
      <c r="D48240" s="39"/>
      <c r="E48240" s="39"/>
      <c r="F48240" s="39"/>
    </row>
    <row r="48241">
      <c r="D48241" s="39"/>
      <c r="E48241" s="39"/>
      <c r="F48241" s="39"/>
    </row>
    <row r="48242">
      <c r="D48242" s="39"/>
      <c r="E48242" s="39"/>
      <c r="F48242" s="39"/>
    </row>
    <row r="48243">
      <c r="D48243" s="39"/>
      <c r="E48243" s="39"/>
      <c r="F48243" s="39"/>
    </row>
    <row r="48244">
      <c r="D48244" s="39"/>
      <c r="E48244" s="39"/>
      <c r="F48244" s="39"/>
    </row>
    <row r="48245">
      <c r="D48245" s="39"/>
      <c r="E48245" s="39"/>
      <c r="F48245" s="39"/>
    </row>
    <row r="48246">
      <c r="D48246" s="39"/>
      <c r="E48246" s="39"/>
      <c r="F48246" s="39"/>
    </row>
    <row r="48247">
      <c r="D48247" s="39"/>
      <c r="E48247" s="39"/>
      <c r="F48247" s="39"/>
    </row>
    <row r="48248">
      <c r="D48248" s="39"/>
      <c r="E48248" s="39"/>
      <c r="F48248" s="39"/>
    </row>
    <row r="48249">
      <c r="D48249" s="39"/>
      <c r="E48249" s="39"/>
      <c r="F48249" s="39"/>
    </row>
    <row r="48250">
      <c r="D48250" s="39"/>
      <c r="E48250" s="39"/>
      <c r="F48250" s="39"/>
    </row>
    <row r="48251">
      <c r="D48251" s="39"/>
      <c r="E48251" s="39"/>
      <c r="F48251" s="39"/>
    </row>
    <row r="48252">
      <c r="D48252" s="39"/>
      <c r="E48252" s="39"/>
      <c r="F48252" s="39"/>
    </row>
    <row r="48253">
      <c r="D48253" s="39"/>
      <c r="E48253" s="39"/>
      <c r="F48253" s="39"/>
    </row>
    <row r="48254">
      <c r="D48254" s="39"/>
      <c r="E48254" s="39"/>
      <c r="F48254" s="39"/>
    </row>
    <row r="48255">
      <c r="D48255" s="39"/>
      <c r="E48255" s="39"/>
      <c r="F48255" s="39"/>
    </row>
    <row r="48256">
      <c r="D48256" s="39"/>
      <c r="E48256" s="39"/>
      <c r="F48256" s="39"/>
    </row>
    <row r="48257">
      <c r="D48257" s="39"/>
      <c r="E48257" s="39"/>
      <c r="F48257" s="39"/>
    </row>
    <row r="48258">
      <c r="D48258" s="39"/>
      <c r="E48258" s="39"/>
      <c r="F48258" s="39"/>
    </row>
    <row r="48259">
      <c r="D48259" s="39"/>
      <c r="E48259" s="39"/>
      <c r="F48259" s="39"/>
    </row>
    <row r="48260">
      <c r="D48260" s="39"/>
      <c r="E48260" s="39"/>
      <c r="F48260" s="39"/>
    </row>
    <row r="48261">
      <c r="D48261" s="39"/>
      <c r="E48261" s="39"/>
      <c r="F48261" s="39"/>
    </row>
    <row r="48262">
      <c r="D48262" s="39"/>
      <c r="E48262" s="39"/>
      <c r="F48262" s="39"/>
    </row>
    <row r="48263">
      <c r="D48263" s="39"/>
      <c r="E48263" s="39"/>
      <c r="F48263" s="39"/>
    </row>
    <row r="48264">
      <c r="D48264" s="39"/>
      <c r="E48264" s="39"/>
      <c r="F48264" s="39"/>
    </row>
    <row r="48265">
      <c r="D48265" s="39"/>
      <c r="E48265" s="39"/>
      <c r="F48265" s="39"/>
    </row>
    <row r="48266">
      <c r="D48266" s="39"/>
      <c r="E48266" s="39"/>
      <c r="F48266" s="39"/>
    </row>
    <row r="48267">
      <c r="D48267" s="39"/>
      <c r="E48267" s="39"/>
      <c r="F48267" s="39"/>
    </row>
    <row r="48268">
      <c r="D48268" s="39"/>
      <c r="E48268" s="39"/>
      <c r="F48268" s="39"/>
    </row>
    <row r="48269">
      <c r="D48269" s="39"/>
      <c r="E48269" s="39"/>
      <c r="F48269" s="39"/>
    </row>
    <row r="48270">
      <c r="D48270" s="39"/>
      <c r="E48270" s="39"/>
      <c r="F48270" s="39"/>
    </row>
    <row r="48271">
      <c r="D48271" s="39"/>
      <c r="E48271" s="39"/>
      <c r="F48271" s="39"/>
    </row>
    <row r="48272">
      <c r="D48272" s="39"/>
      <c r="E48272" s="39"/>
      <c r="F48272" s="39"/>
    </row>
    <row r="48273">
      <c r="D48273" s="39"/>
      <c r="E48273" s="39"/>
      <c r="F48273" s="39"/>
    </row>
    <row r="48274">
      <c r="D48274" s="39"/>
      <c r="E48274" s="39"/>
      <c r="F48274" s="39"/>
    </row>
    <row r="48275">
      <c r="D48275" s="39"/>
      <c r="E48275" s="39"/>
      <c r="F48275" s="39"/>
    </row>
    <row r="48276">
      <c r="D48276" s="39"/>
      <c r="E48276" s="39"/>
      <c r="F48276" s="39"/>
    </row>
    <row r="48277">
      <c r="D48277" s="39"/>
      <c r="E48277" s="39"/>
      <c r="F48277" s="39"/>
    </row>
    <row r="48278">
      <c r="D48278" s="39"/>
      <c r="E48278" s="39"/>
      <c r="F48278" s="39"/>
    </row>
    <row r="48279">
      <c r="D48279" s="39"/>
      <c r="E48279" s="39"/>
      <c r="F48279" s="39"/>
    </row>
    <row r="48280">
      <c r="D48280" s="39"/>
      <c r="E48280" s="39"/>
      <c r="F48280" s="39"/>
    </row>
    <row r="48281">
      <c r="D48281" s="39"/>
      <c r="E48281" s="39"/>
      <c r="F48281" s="39"/>
    </row>
    <row r="48282">
      <c r="D48282" s="39"/>
      <c r="E48282" s="39"/>
      <c r="F48282" s="39"/>
    </row>
    <row r="48283">
      <c r="D48283" s="39"/>
      <c r="E48283" s="39"/>
      <c r="F48283" s="39"/>
    </row>
    <row r="48284">
      <c r="D48284" s="39"/>
      <c r="E48284" s="39"/>
      <c r="F48284" s="39"/>
    </row>
    <row r="48285">
      <c r="D48285" s="39"/>
      <c r="E48285" s="39"/>
      <c r="F48285" s="39"/>
    </row>
    <row r="48286">
      <c r="D48286" s="39"/>
      <c r="E48286" s="39"/>
      <c r="F48286" s="39"/>
    </row>
    <row r="48287">
      <c r="D48287" s="39"/>
      <c r="E48287" s="39"/>
      <c r="F48287" s="39"/>
    </row>
    <row r="48288">
      <c r="D48288" s="39"/>
      <c r="E48288" s="39"/>
      <c r="F48288" s="39"/>
    </row>
    <row r="48289">
      <c r="D48289" s="39"/>
      <c r="E48289" s="39"/>
      <c r="F48289" s="39"/>
    </row>
    <row r="48290">
      <c r="D48290" s="39"/>
      <c r="E48290" s="39"/>
      <c r="F48290" s="39"/>
    </row>
    <row r="48291">
      <c r="D48291" s="39"/>
      <c r="E48291" s="39"/>
      <c r="F48291" s="39"/>
    </row>
    <row r="48292">
      <c r="D48292" s="39"/>
      <c r="E48292" s="39"/>
      <c r="F48292" s="39"/>
    </row>
    <row r="48293">
      <c r="D48293" s="39"/>
      <c r="E48293" s="39"/>
      <c r="F48293" s="39"/>
    </row>
    <row r="48294">
      <c r="D48294" s="39"/>
      <c r="E48294" s="39"/>
      <c r="F48294" s="39"/>
    </row>
    <row r="48295">
      <c r="D48295" s="39"/>
      <c r="E48295" s="39"/>
      <c r="F48295" s="39"/>
    </row>
    <row r="48296">
      <c r="D48296" s="39"/>
      <c r="E48296" s="39"/>
      <c r="F48296" s="39"/>
    </row>
    <row r="48297">
      <c r="D48297" s="39"/>
      <c r="E48297" s="39"/>
      <c r="F48297" s="39"/>
    </row>
    <row r="48298">
      <c r="D48298" s="39"/>
      <c r="E48298" s="39"/>
      <c r="F48298" s="39"/>
    </row>
    <row r="48299">
      <c r="D48299" s="39"/>
      <c r="E48299" s="39"/>
      <c r="F48299" s="39"/>
    </row>
    <row r="48300">
      <c r="D48300" s="39"/>
      <c r="E48300" s="39"/>
      <c r="F48300" s="39"/>
    </row>
    <row r="48301">
      <c r="D48301" s="39"/>
      <c r="E48301" s="39"/>
      <c r="F48301" s="39"/>
    </row>
    <row r="48302">
      <c r="D48302" s="39"/>
      <c r="E48302" s="39"/>
      <c r="F48302" s="39"/>
    </row>
    <row r="48303">
      <c r="D48303" s="39"/>
      <c r="E48303" s="39"/>
      <c r="F48303" s="39"/>
    </row>
    <row r="48304">
      <c r="D48304" s="39"/>
      <c r="E48304" s="39"/>
      <c r="F48304" s="39"/>
    </row>
    <row r="48305">
      <c r="D48305" s="39"/>
      <c r="E48305" s="39"/>
      <c r="F48305" s="39"/>
    </row>
    <row r="48306">
      <c r="D48306" s="39"/>
      <c r="E48306" s="39"/>
      <c r="F48306" s="39"/>
    </row>
    <row r="48307">
      <c r="D48307" s="39"/>
      <c r="E48307" s="39"/>
      <c r="F48307" s="39"/>
    </row>
    <row r="48308">
      <c r="D48308" s="39"/>
      <c r="E48308" s="39"/>
      <c r="F48308" s="39"/>
    </row>
    <row r="48309">
      <c r="D48309" s="39"/>
      <c r="E48309" s="39"/>
      <c r="F48309" s="39"/>
    </row>
    <row r="48310">
      <c r="D48310" s="39"/>
      <c r="E48310" s="39"/>
      <c r="F48310" s="39"/>
    </row>
    <row r="48311">
      <c r="D48311" s="39"/>
      <c r="E48311" s="39"/>
      <c r="F48311" s="39"/>
    </row>
    <row r="48312">
      <c r="D48312" s="39"/>
      <c r="E48312" s="39"/>
      <c r="F48312" s="39"/>
    </row>
    <row r="48313">
      <c r="D48313" s="39"/>
      <c r="E48313" s="39"/>
      <c r="F48313" s="39"/>
    </row>
    <row r="48314">
      <c r="D48314" s="39"/>
      <c r="E48314" s="39"/>
      <c r="F48314" s="39"/>
    </row>
    <row r="48315">
      <c r="D48315" s="39"/>
      <c r="E48315" s="39"/>
      <c r="F48315" s="39"/>
    </row>
    <row r="48316">
      <c r="D48316" s="39"/>
      <c r="E48316" s="39"/>
      <c r="F48316" s="39"/>
    </row>
    <row r="48317">
      <c r="D48317" s="39"/>
      <c r="E48317" s="39"/>
      <c r="F48317" s="39"/>
    </row>
    <row r="48318">
      <c r="D48318" s="39"/>
      <c r="E48318" s="39"/>
      <c r="F48318" s="39"/>
    </row>
    <row r="48319">
      <c r="D48319" s="39"/>
      <c r="E48319" s="39"/>
      <c r="F48319" s="39"/>
    </row>
    <row r="48320">
      <c r="D48320" s="39"/>
      <c r="E48320" s="39"/>
      <c r="F48320" s="39"/>
    </row>
    <row r="48321">
      <c r="D48321" s="39"/>
      <c r="E48321" s="39"/>
      <c r="F48321" s="39"/>
    </row>
    <row r="48322">
      <c r="D48322" s="39"/>
      <c r="E48322" s="39"/>
      <c r="F48322" s="39"/>
    </row>
    <row r="48323">
      <c r="D48323" s="39"/>
      <c r="E48323" s="39"/>
      <c r="F48323" s="39"/>
    </row>
    <row r="48324">
      <c r="D48324" s="39"/>
      <c r="E48324" s="39"/>
      <c r="F48324" s="39"/>
    </row>
    <row r="48325">
      <c r="D48325" s="39"/>
      <c r="E48325" s="39"/>
      <c r="F48325" s="39"/>
    </row>
    <row r="48326">
      <c r="D48326" s="39"/>
      <c r="E48326" s="39"/>
      <c r="F48326" s="39"/>
    </row>
    <row r="48327">
      <c r="D48327" s="39"/>
      <c r="E48327" s="39"/>
      <c r="F48327" s="39"/>
    </row>
    <row r="48328">
      <c r="D48328" s="39"/>
      <c r="E48328" s="39"/>
      <c r="F48328" s="39"/>
    </row>
    <row r="48329">
      <c r="D48329" s="39"/>
      <c r="E48329" s="39"/>
      <c r="F48329" s="39"/>
    </row>
    <row r="48330">
      <c r="D48330" s="39"/>
      <c r="E48330" s="39"/>
      <c r="F48330" s="39"/>
    </row>
    <row r="48331">
      <c r="D48331" s="39"/>
      <c r="E48331" s="39"/>
      <c r="F48331" s="39"/>
    </row>
    <row r="48332">
      <c r="D48332" s="39"/>
      <c r="E48332" s="39"/>
      <c r="F48332" s="39"/>
    </row>
    <row r="48333">
      <c r="D48333" s="39"/>
      <c r="E48333" s="39"/>
      <c r="F48333" s="39"/>
    </row>
    <row r="48334">
      <c r="D48334" s="39"/>
      <c r="E48334" s="39"/>
      <c r="F48334" s="39"/>
    </row>
    <row r="48335">
      <c r="D48335" s="39"/>
      <c r="E48335" s="39"/>
      <c r="F48335" s="39"/>
    </row>
    <row r="48336">
      <c r="D48336" s="39"/>
      <c r="E48336" s="39"/>
      <c r="F48336" s="39"/>
    </row>
    <row r="48337">
      <c r="D48337" s="39"/>
      <c r="E48337" s="39"/>
      <c r="F48337" s="39"/>
    </row>
    <row r="48338">
      <c r="D48338" s="39"/>
      <c r="E48338" s="39"/>
      <c r="F48338" s="39"/>
    </row>
    <row r="48339">
      <c r="D48339" s="39"/>
      <c r="E48339" s="39"/>
      <c r="F48339" s="39"/>
    </row>
    <row r="48340">
      <c r="D48340" s="39"/>
      <c r="E48340" s="39"/>
      <c r="F48340" s="39"/>
    </row>
    <row r="48341">
      <c r="D48341" s="39"/>
      <c r="E48341" s="39"/>
      <c r="F48341" s="39"/>
    </row>
    <row r="48342">
      <c r="D48342" s="39"/>
      <c r="E48342" s="39"/>
      <c r="F48342" s="39"/>
    </row>
    <row r="48343">
      <c r="D48343" s="39"/>
      <c r="E48343" s="39"/>
      <c r="F48343" s="39"/>
    </row>
    <row r="48344">
      <c r="D48344" s="39"/>
      <c r="E48344" s="39"/>
      <c r="F48344" s="39"/>
    </row>
    <row r="48345">
      <c r="D48345" s="39"/>
      <c r="E48345" s="39"/>
      <c r="F48345" s="39"/>
    </row>
    <row r="48346">
      <c r="D48346" s="39"/>
      <c r="E48346" s="39"/>
      <c r="F48346" s="39"/>
    </row>
    <row r="48347">
      <c r="D48347" s="39"/>
      <c r="E48347" s="39"/>
      <c r="F48347" s="39"/>
    </row>
    <row r="48348">
      <c r="D48348" s="39"/>
      <c r="E48348" s="39"/>
      <c r="F48348" s="39"/>
    </row>
    <row r="48349">
      <c r="D48349" s="39"/>
      <c r="E48349" s="39"/>
      <c r="F48349" s="39"/>
    </row>
    <row r="48350">
      <c r="D48350" s="39"/>
      <c r="E48350" s="39"/>
      <c r="F48350" s="39"/>
    </row>
    <row r="48351">
      <c r="D48351" s="39"/>
      <c r="E48351" s="39"/>
      <c r="F48351" s="39"/>
    </row>
    <row r="48352">
      <c r="D48352" s="39"/>
      <c r="E48352" s="39"/>
      <c r="F48352" s="39"/>
    </row>
    <row r="48353">
      <c r="D48353" s="39"/>
      <c r="E48353" s="39"/>
      <c r="F48353" s="39"/>
    </row>
    <row r="48354">
      <c r="D48354" s="39"/>
      <c r="E48354" s="39"/>
      <c r="F48354" s="39"/>
    </row>
    <row r="48355">
      <c r="D48355" s="39"/>
      <c r="E48355" s="39"/>
      <c r="F48355" s="39"/>
    </row>
    <row r="48356">
      <c r="D48356" s="39"/>
      <c r="E48356" s="39"/>
      <c r="F48356" s="39"/>
    </row>
    <row r="48357">
      <c r="D48357" s="39"/>
      <c r="E48357" s="39"/>
      <c r="F48357" s="39"/>
    </row>
    <row r="48358">
      <c r="D48358" s="39"/>
      <c r="E48358" s="39"/>
      <c r="F48358" s="39"/>
    </row>
    <row r="48359">
      <c r="D48359" s="39"/>
      <c r="E48359" s="39"/>
      <c r="F48359" s="39"/>
    </row>
    <row r="48360">
      <c r="D48360" s="39"/>
      <c r="E48360" s="39"/>
      <c r="F48360" s="39"/>
    </row>
    <row r="48361">
      <c r="D48361" s="39"/>
      <c r="E48361" s="39"/>
      <c r="F48361" s="39"/>
    </row>
    <row r="48362">
      <c r="D48362" s="39"/>
      <c r="E48362" s="39"/>
      <c r="F48362" s="39"/>
    </row>
    <row r="48363">
      <c r="D48363" s="39"/>
      <c r="E48363" s="39"/>
      <c r="F48363" s="39"/>
    </row>
    <row r="48364">
      <c r="D48364" s="39"/>
      <c r="E48364" s="39"/>
      <c r="F48364" s="39"/>
    </row>
    <row r="48365">
      <c r="D48365" s="39"/>
      <c r="E48365" s="39"/>
      <c r="F48365" s="39"/>
    </row>
    <row r="48366">
      <c r="D48366" s="39"/>
      <c r="E48366" s="39"/>
      <c r="F48366" s="39"/>
    </row>
    <row r="48367">
      <c r="D48367" s="39"/>
      <c r="E48367" s="39"/>
      <c r="F48367" s="39"/>
    </row>
    <row r="48368">
      <c r="D48368" s="39"/>
      <c r="E48368" s="39"/>
      <c r="F48368" s="39"/>
    </row>
    <row r="48369">
      <c r="D48369" s="39"/>
      <c r="E48369" s="39"/>
      <c r="F48369" s="39"/>
    </row>
    <row r="48370">
      <c r="D48370" s="39"/>
      <c r="E48370" s="39"/>
      <c r="F48370" s="39"/>
    </row>
    <row r="48371">
      <c r="D48371" s="39"/>
      <c r="E48371" s="39"/>
      <c r="F48371" s="39"/>
    </row>
    <row r="48372">
      <c r="D48372" s="39"/>
      <c r="E48372" s="39"/>
      <c r="F48372" s="39"/>
    </row>
    <row r="48373">
      <c r="D48373" s="39"/>
      <c r="E48373" s="39"/>
      <c r="F48373" s="39"/>
    </row>
    <row r="48374">
      <c r="D48374" s="39"/>
      <c r="E48374" s="39"/>
      <c r="F48374" s="39"/>
    </row>
    <row r="48375">
      <c r="D48375" s="39"/>
      <c r="E48375" s="39"/>
      <c r="F48375" s="39"/>
    </row>
    <row r="48376">
      <c r="D48376" s="39"/>
      <c r="E48376" s="39"/>
      <c r="F48376" s="39"/>
    </row>
    <row r="48377">
      <c r="D48377" s="39"/>
      <c r="E48377" s="39"/>
      <c r="F48377" s="39"/>
    </row>
    <row r="48378">
      <c r="D48378" s="39"/>
      <c r="E48378" s="39"/>
      <c r="F48378" s="39"/>
    </row>
    <row r="48379">
      <c r="D48379" s="39"/>
      <c r="E48379" s="39"/>
      <c r="F48379" s="39"/>
    </row>
    <row r="48380">
      <c r="D48380" s="39"/>
      <c r="E48380" s="39"/>
      <c r="F48380" s="39"/>
    </row>
    <row r="48381">
      <c r="D48381" s="39"/>
      <c r="E48381" s="39"/>
      <c r="F48381" s="39"/>
    </row>
    <row r="48382">
      <c r="D48382" s="39"/>
      <c r="E48382" s="39"/>
      <c r="F48382" s="39"/>
    </row>
    <row r="48383">
      <c r="D48383" s="39"/>
      <c r="E48383" s="39"/>
      <c r="F48383" s="39"/>
    </row>
    <row r="48384">
      <c r="D48384" s="39"/>
      <c r="E48384" s="39"/>
      <c r="F48384" s="39"/>
    </row>
    <row r="48385">
      <c r="D48385" s="39"/>
      <c r="E48385" s="39"/>
      <c r="F48385" s="39"/>
    </row>
    <row r="48386">
      <c r="D48386" s="39"/>
      <c r="E48386" s="39"/>
      <c r="F48386" s="39"/>
    </row>
    <row r="48387">
      <c r="D48387" s="39"/>
      <c r="E48387" s="39"/>
      <c r="F48387" s="39"/>
    </row>
    <row r="48388">
      <c r="D48388" s="39"/>
      <c r="E48388" s="39"/>
      <c r="F48388" s="39"/>
    </row>
    <row r="48389">
      <c r="D48389" s="39"/>
      <c r="E48389" s="39"/>
      <c r="F48389" s="39"/>
    </row>
    <row r="48390">
      <c r="D48390" s="39"/>
      <c r="E48390" s="39"/>
      <c r="F48390" s="39"/>
    </row>
    <row r="48391">
      <c r="D48391" s="39"/>
      <c r="E48391" s="39"/>
      <c r="F48391" s="39"/>
    </row>
    <row r="48392">
      <c r="D48392" s="39"/>
      <c r="E48392" s="39"/>
      <c r="F48392" s="39"/>
    </row>
    <row r="48393">
      <c r="D48393" s="39"/>
      <c r="E48393" s="39"/>
      <c r="F48393" s="39"/>
    </row>
    <row r="48394">
      <c r="D48394" s="39"/>
      <c r="E48394" s="39"/>
      <c r="F48394" s="39"/>
    </row>
    <row r="48395">
      <c r="D48395" s="39"/>
      <c r="E48395" s="39"/>
      <c r="F48395" s="39"/>
    </row>
    <row r="48396">
      <c r="D48396" s="39"/>
      <c r="E48396" s="39"/>
      <c r="F48396" s="39"/>
    </row>
    <row r="48397">
      <c r="D48397" s="39"/>
      <c r="E48397" s="39"/>
      <c r="F48397" s="39"/>
    </row>
    <row r="48398">
      <c r="D48398" s="39"/>
      <c r="E48398" s="39"/>
      <c r="F48398" s="39"/>
    </row>
    <row r="48399">
      <c r="D48399" s="39"/>
      <c r="E48399" s="39"/>
      <c r="F48399" s="39"/>
    </row>
    <row r="48400">
      <c r="D48400" s="39"/>
      <c r="E48400" s="39"/>
      <c r="F48400" s="39"/>
    </row>
    <row r="48401">
      <c r="D48401" s="39"/>
      <c r="E48401" s="39"/>
      <c r="F48401" s="39"/>
    </row>
    <row r="48402">
      <c r="D48402" s="39"/>
      <c r="E48402" s="39"/>
      <c r="F48402" s="39"/>
    </row>
    <row r="48403">
      <c r="D48403" s="39"/>
      <c r="E48403" s="39"/>
      <c r="F48403" s="39"/>
    </row>
    <row r="48404">
      <c r="D48404" s="39"/>
      <c r="E48404" s="39"/>
      <c r="F48404" s="39"/>
    </row>
    <row r="48405">
      <c r="D48405" s="39"/>
      <c r="E48405" s="39"/>
      <c r="F48405" s="39"/>
    </row>
    <row r="48406">
      <c r="D48406" s="39"/>
      <c r="E48406" s="39"/>
      <c r="F48406" s="39"/>
    </row>
    <row r="48407">
      <c r="D48407" s="39"/>
      <c r="E48407" s="39"/>
      <c r="F48407" s="39"/>
    </row>
    <row r="48408">
      <c r="D48408" s="39"/>
      <c r="E48408" s="39"/>
      <c r="F48408" s="39"/>
    </row>
    <row r="48409">
      <c r="D48409" s="39"/>
      <c r="E48409" s="39"/>
      <c r="F48409" s="39"/>
    </row>
    <row r="48410">
      <c r="D48410" s="39"/>
      <c r="E48410" s="39"/>
      <c r="F48410" s="39"/>
    </row>
    <row r="48411">
      <c r="D48411" s="39"/>
      <c r="E48411" s="39"/>
      <c r="F48411" s="39"/>
    </row>
    <row r="48412">
      <c r="D48412" s="39"/>
      <c r="E48412" s="39"/>
      <c r="F48412" s="39"/>
    </row>
    <row r="48413">
      <c r="D48413" s="39"/>
      <c r="E48413" s="39"/>
      <c r="F48413" s="39"/>
    </row>
    <row r="48414">
      <c r="D48414" s="39"/>
      <c r="E48414" s="39"/>
      <c r="F48414" s="39"/>
    </row>
    <row r="48415">
      <c r="D48415" s="39"/>
      <c r="E48415" s="39"/>
      <c r="F48415" s="39"/>
    </row>
    <row r="48416">
      <c r="D48416" s="39"/>
      <c r="E48416" s="39"/>
      <c r="F48416" s="39"/>
    </row>
    <row r="48417">
      <c r="D48417" s="39"/>
      <c r="E48417" s="39"/>
      <c r="F48417" s="39"/>
    </row>
    <row r="48418">
      <c r="D48418" s="39"/>
      <c r="E48418" s="39"/>
      <c r="F48418" s="39"/>
    </row>
    <row r="48419">
      <c r="D48419" s="39"/>
      <c r="E48419" s="39"/>
      <c r="F48419" s="39"/>
    </row>
    <row r="48420">
      <c r="D48420" s="39"/>
      <c r="E48420" s="39"/>
      <c r="F48420" s="39"/>
    </row>
    <row r="48421">
      <c r="D48421" s="39"/>
      <c r="E48421" s="39"/>
      <c r="F48421" s="39"/>
    </row>
    <row r="48422">
      <c r="D48422" s="39"/>
      <c r="E48422" s="39"/>
      <c r="F48422" s="39"/>
    </row>
    <row r="48423">
      <c r="D48423" s="39"/>
      <c r="E48423" s="39"/>
      <c r="F48423" s="39"/>
    </row>
    <row r="48424">
      <c r="D48424" s="39"/>
      <c r="E48424" s="39"/>
      <c r="F48424" s="39"/>
    </row>
    <row r="48425">
      <c r="D48425" s="39"/>
      <c r="E48425" s="39"/>
      <c r="F48425" s="39"/>
    </row>
    <row r="48426">
      <c r="D48426" s="39"/>
      <c r="E48426" s="39"/>
      <c r="F48426" s="39"/>
    </row>
    <row r="48427">
      <c r="D48427" s="39"/>
      <c r="E48427" s="39"/>
      <c r="F48427" s="39"/>
    </row>
    <row r="48428">
      <c r="D48428" s="39"/>
      <c r="E48428" s="39"/>
      <c r="F48428" s="39"/>
    </row>
    <row r="48429">
      <c r="D48429" s="39"/>
      <c r="E48429" s="39"/>
      <c r="F48429" s="39"/>
    </row>
    <row r="48430">
      <c r="D48430" s="39"/>
      <c r="E48430" s="39"/>
      <c r="F48430" s="39"/>
    </row>
    <row r="48431">
      <c r="D48431" s="39"/>
      <c r="E48431" s="39"/>
      <c r="F48431" s="39"/>
    </row>
    <row r="48432">
      <c r="D48432" s="39"/>
      <c r="E48432" s="39"/>
      <c r="F48432" s="39"/>
    </row>
    <row r="48433">
      <c r="D48433" s="39"/>
      <c r="E48433" s="39"/>
      <c r="F48433" s="39"/>
    </row>
    <row r="48434">
      <c r="D48434" s="39"/>
      <c r="E48434" s="39"/>
      <c r="F48434" s="39"/>
    </row>
    <row r="48435">
      <c r="D48435" s="39"/>
      <c r="E48435" s="39"/>
      <c r="F48435" s="39"/>
    </row>
    <row r="48436">
      <c r="D48436" s="39"/>
      <c r="E48436" s="39"/>
      <c r="F48436" s="39"/>
    </row>
    <row r="48437">
      <c r="D48437" s="39"/>
      <c r="E48437" s="39"/>
      <c r="F48437" s="39"/>
    </row>
    <row r="48438">
      <c r="D48438" s="39"/>
      <c r="E48438" s="39"/>
      <c r="F48438" s="39"/>
    </row>
    <row r="48439">
      <c r="D48439" s="39"/>
      <c r="E48439" s="39"/>
      <c r="F48439" s="39"/>
    </row>
    <row r="48440">
      <c r="D48440" s="39"/>
      <c r="E48440" s="39"/>
      <c r="F48440" s="39"/>
    </row>
    <row r="48441">
      <c r="D48441" s="39"/>
      <c r="E48441" s="39"/>
      <c r="F48441" s="39"/>
    </row>
    <row r="48442">
      <c r="D48442" s="39"/>
      <c r="E48442" s="39"/>
      <c r="F48442" s="39"/>
    </row>
    <row r="48443">
      <c r="D48443" s="39"/>
      <c r="E48443" s="39"/>
      <c r="F48443" s="39"/>
    </row>
    <row r="48444">
      <c r="D48444" s="39"/>
      <c r="E48444" s="39"/>
      <c r="F48444" s="39"/>
    </row>
    <row r="48445">
      <c r="D48445" s="39"/>
      <c r="E48445" s="39"/>
      <c r="F48445" s="39"/>
    </row>
    <row r="48446">
      <c r="D48446" s="39"/>
      <c r="E48446" s="39"/>
      <c r="F48446" s="39"/>
    </row>
    <row r="48447">
      <c r="D48447" s="39"/>
      <c r="E48447" s="39"/>
      <c r="F48447" s="39"/>
    </row>
    <row r="48448">
      <c r="D48448" s="39"/>
      <c r="E48448" s="39"/>
      <c r="F48448" s="39"/>
    </row>
    <row r="48449">
      <c r="D48449" s="39"/>
      <c r="E48449" s="39"/>
      <c r="F48449" s="39"/>
    </row>
    <row r="48450">
      <c r="D48450" s="39"/>
      <c r="E48450" s="39"/>
      <c r="F48450" s="39"/>
    </row>
    <row r="48451">
      <c r="D48451" s="39"/>
      <c r="E48451" s="39"/>
      <c r="F48451" s="39"/>
    </row>
    <row r="48452">
      <c r="D48452" s="39"/>
      <c r="E48452" s="39"/>
      <c r="F48452" s="39"/>
    </row>
    <row r="48453">
      <c r="D48453" s="39"/>
      <c r="E48453" s="39"/>
      <c r="F48453" s="39"/>
    </row>
    <row r="48454">
      <c r="D48454" s="39"/>
      <c r="E48454" s="39"/>
      <c r="F48454" s="39"/>
    </row>
    <row r="48455">
      <c r="D48455" s="39"/>
      <c r="E48455" s="39"/>
      <c r="F48455" s="39"/>
    </row>
    <row r="48456">
      <c r="D48456" s="39"/>
      <c r="E48456" s="39"/>
      <c r="F48456" s="39"/>
    </row>
    <row r="48457">
      <c r="D48457" s="39"/>
      <c r="E48457" s="39"/>
      <c r="F48457" s="39"/>
    </row>
    <row r="48458">
      <c r="D48458" s="39"/>
      <c r="E48458" s="39"/>
      <c r="F48458" s="39"/>
    </row>
    <row r="48459">
      <c r="D48459" s="39"/>
      <c r="E48459" s="39"/>
      <c r="F48459" s="39"/>
    </row>
    <row r="48460">
      <c r="D48460" s="39"/>
      <c r="E48460" s="39"/>
      <c r="F48460" s="39"/>
    </row>
    <row r="48461">
      <c r="D48461" s="39"/>
      <c r="E48461" s="39"/>
      <c r="F48461" s="39"/>
    </row>
    <row r="48462">
      <c r="D48462" s="39"/>
      <c r="E48462" s="39"/>
      <c r="F48462" s="39"/>
    </row>
    <row r="48463">
      <c r="D48463" s="39"/>
      <c r="E48463" s="39"/>
      <c r="F48463" s="39"/>
    </row>
    <row r="48464">
      <c r="D48464" s="39"/>
      <c r="E48464" s="39"/>
      <c r="F48464" s="39"/>
    </row>
    <row r="48465">
      <c r="D48465" s="39"/>
      <c r="E48465" s="39"/>
      <c r="F48465" s="39"/>
    </row>
    <row r="48466">
      <c r="D48466" s="39"/>
      <c r="E48466" s="39"/>
      <c r="F48466" s="39"/>
    </row>
    <row r="48467">
      <c r="D48467" s="39"/>
      <c r="E48467" s="39"/>
      <c r="F48467" s="39"/>
    </row>
    <row r="48468">
      <c r="D48468" s="39"/>
      <c r="E48468" s="39"/>
      <c r="F48468" s="39"/>
    </row>
    <row r="48469">
      <c r="D48469" s="39"/>
      <c r="E48469" s="39"/>
      <c r="F48469" s="39"/>
    </row>
    <row r="48470">
      <c r="D48470" s="39"/>
      <c r="E48470" s="39"/>
      <c r="F48470" s="39"/>
    </row>
    <row r="48471">
      <c r="D48471" s="39"/>
      <c r="E48471" s="39"/>
      <c r="F48471" s="39"/>
    </row>
    <row r="48472">
      <c r="D48472" s="39"/>
      <c r="E48472" s="39"/>
      <c r="F48472" s="39"/>
    </row>
    <row r="48473">
      <c r="D48473" s="39"/>
      <c r="E48473" s="39"/>
      <c r="F48473" s="39"/>
    </row>
    <row r="48474">
      <c r="D48474" s="39"/>
      <c r="E48474" s="39"/>
      <c r="F48474" s="39"/>
    </row>
    <row r="48475">
      <c r="D48475" s="39"/>
      <c r="E48475" s="39"/>
      <c r="F48475" s="39"/>
    </row>
    <row r="48476">
      <c r="D48476" s="39"/>
      <c r="E48476" s="39"/>
      <c r="F48476" s="39"/>
    </row>
    <row r="48477">
      <c r="D48477" s="39"/>
      <c r="E48477" s="39"/>
      <c r="F48477" s="39"/>
    </row>
    <row r="48478">
      <c r="D48478" s="39"/>
      <c r="E48478" s="39"/>
      <c r="F48478" s="39"/>
    </row>
    <row r="48479">
      <c r="D48479" s="39"/>
      <c r="E48479" s="39"/>
      <c r="F48479" s="39"/>
    </row>
    <row r="48480">
      <c r="D48480" s="39"/>
      <c r="E48480" s="39"/>
      <c r="F48480" s="39"/>
    </row>
    <row r="48481">
      <c r="D48481" s="39"/>
      <c r="E48481" s="39"/>
      <c r="F48481" s="39"/>
    </row>
    <row r="48482">
      <c r="D48482" s="39"/>
      <c r="E48482" s="39"/>
      <c r="F48482" s="39"/>
    </row>
    <row r="48483">
      <c r="D48483" s="39"/>
      <c r="E48483" s="39"/>
      <c r="F48483" s="39"/>
    </row>
    <row r="48484">
      <c r="D48484" s="39"/>
      <c r="E48484" s="39"/>
      <c r="F48484" s="39"/>
    </row>
    <row r="48485">
      <c r="D48485" s="39"/>
      <c r="E48485" s="39"/>
      <c r="F48485" s="39"/>
    </row>
    <row r="48486">
      <c r="D48486" s="39"/>
      <c r="E48486" s="39"/>
      <c r="F48486" s="39"/>
    </row>
    <row r="48487">
      <c r="D48487" s="39"/>
      <c r="E48487" s="39"/>
      <c r="F48487" s="39"/>
    </row>
    <row r="48488">
      <c r="D48488" s="39"/>
      <c r="E48488" s="39"/>
      <c r="F48488" s="39"/>
    </row>
    <row r="48489">
      <c r="D48489" s="39"/>
      <c r="E48489" s="39"/>
      <c r="F48489" s="39"/>
    </row>
    <row r="48490">
      <c r="D48490" s="39"/>
      <c r="E48490" s="39"/>
      <c r="F48490" s="39"/>
    </row>
    <row r="48491">
      <c r="D48491" s="39"/>
      <c r="E48491" s="39"/>
      <c r="F48491" s="39"/>
    </row>
    <row r="48492">
      <c r="D48492" s="39"/>
      <c r="E48492" s="39"/>
      <c r="F48492" s="39"/>
    </row>
    <row r="48493">
      <c r="D48493" s="39"/>
      <c r="E48493" s="39"/>
      <c r="F48493" s="39"/>
    </row>
    <row r="48494">
      <c r="D48494" s="39"/>
      <c r="E48494" s="39"/>
      <c r="F48494" s="39"/>
    </row>
    <row r="48495">
      <c r="D48495" s="39"/>
      <c r="E48495" s="39"/>
      <c r="F48495" s="39"/>
    </row>
    <row r="48496">
      <c r="D48496" s="39"/>
      <c r="E48496" s="39"/>
      <c r="F48496" s="39"/>
    </row>
    <row r="48497">
      <c r="D48497" s="39"/>
      <c r="E48497" s="39"/>
      <c r="F48497" s="39"/>
    </row>
    <row r="48498">
      <c r="D48498" s="39"/>
      <c r="E48498" s="39"/>
      <c r="F48498" s="39"/>
    </row>
    <row r="48499">
      <c r="D48499" s="39"/>
      <c r="E48499" s="39"/>
      <c r="F48499" s="39"/>
    </row>
    <row r="48500">
      <c r="D48500" s="39"/>
      <c r="E48500" s="39"/>
      <c r="F48500" s="39"/>
    </row>
    <row r="48501">
      <c r="D48501" s="39"/>
      <c r="E48501" s="39"/>
      <c r="F48501" s="39"/>
    </row>
    <row r="48502">
      <c r="D48502" s="39"/>
      <c r="E48502" s="39"/>
      <c r="F48502" s="39"/>
    </row>
    <row r="48503">
      <c r="D48503" s="39"/>
      <c r="E48503" s="39"/>
      <c r="F48503" s="39"/>
    </row>
    <row r="48504">
      <c r="D48504" s="39"/>
      <c r="E48504" s="39"/>
      <c r="F48504" s="39"/>
    </row>
    <row r="48505">
      <c r="D48505" s="39"/>
      <c r="E48505" s="39"/>
      <c r="F48505" s="39"/>
    </row>
    <row r="48506">
      <c r="D48506" s="39"/>
      <c r="E48506" s="39"/>
      <c r="F48506" s="39"/>
    </row>
    <row r="48507">
      <c r="D48507" s="39"/>
      <c r="E48507" s="39"/>
      <c r="F48507" s="39"/>
    </row>
    <row r="48508">
      <c r="D48508" s="39"/>
      <c r="E48508" s="39"/>
      <c r="F48508" s="39"/>
    </row>
    <row r="48509">
      <c r="D48509" s="39"/>
      <c r="E48509" s="39"/>
      <c r="F48509" s="39"/>
    </row>
    <row r="48510">
      <c r="D48510" s="39"/>
      <c r="E48510" s="39"/>
      <c r="F48510" s="39"/>
    </row>
    <row r="48511">
      <c r="D48511" s="39"/>
      <c r="E48511" s="39"/>
      <c r="F48511" s="39"/>
    </row>
    <row r="48512">
      <c r="D48512" s="39"/>
      <c r="E48512" s="39"/>
      <c r="F48512" s="39"/>
    </row>
    <row r="48513">
      <c r="D48513" s="39"/>
      <c r="E48513" s="39"/>
      <c r="F48513" s="39"/>
    </row>
    <row r="48514">
      <c r="D48514" s="39"/>
      <c r="E48514" s="39"/>
      <c r="F48514" s="39"/>
    </row>
    <row r="48515">
      <c r="D48515" s="39"/>
      <c r="E48515" s="39"/>
      <c r="F48515" s="39"/>
    </row>
    <row r="48516">
      <c r="D48516" s="39"/>
      <c r="E48516" s="39"/>
      <c r="F48516" s="39"/>
    </row>
    <row r="48517">
      <c r="D48517" s="39"/>
      <c r="E48517" s="39"/>
      <c r="F48517" s="39"/>
    </row>
    <row r="48518">
      <c r="D48518" s="39"/>
      <c r="E48518" s="39"/>
      <c r="F48518" s="39"/>
    </row>
    <row r="48519">
      <c r="D48519" s="39"/>
      <c r="E48519" s="39"/>
      <c r="F48519" s="39"/>
    </row>
    <row r="48520">
      <c r="D48520" s="39"/>
      <c r="E48520" s="39"/>
      <c r="F48520" s="39"/>
    </row>
    <row r="48521">
      <c r="D48521" s="39"/>
      <c r="E48521" s="39"/>
      <c r="F48521" s="39"/>
    </row>
    <row r="48522">
      <c r="D48522" s="39"/>
      <c r="E48522" s="39"/>
      <c r="F48522" s="39"/>
    </row>
    <row r="48523">
      <c r="D48523" s="39"/>
      <c r="E48523" s="39"/>
      <c r="F48523" s="39"/>
    </row>
    <row r="48524">
      <c r="D48524" s="39"/>
      <c r="E48524" s="39"/>
      <c r="F48524" s="39"/>
    </row>
    <row r="48525">
      <c r="D48525" s="39"/>
      <c r="E48525" s="39"/>
      <c r="F48525" s="39"/>
    </row>
    <row r="48526">
      <c r="D48526" s="39"/>
      <c r="E48526" s="39"/>
      <c r="F48526" s="39"/>
    </row>
    <row r="48527">
      <c r="D48527" s="39"/>
      <c r="E48527" s="39"/>
      <c r="F48527" s="39"/>
    </row>
    <row r="48528">
      <c r="D48528" s="39"/>
      <c r="E48528" s="39"/>
      <c r="F48528" s="39"/>
    </row>
    <row r="48529">
      <c r="D48529" s="39"/>
      <c r="E48529" s="39"/>
      <c r="F48529" s="39"/>
    </row>
    <row r="48530">
      <c r="D48530" s="39"/>
      <c r="E48530" s="39"/>
      <c r="F48530" s="39"/>
    </row>
    <row r="48531">
      <c r="D48531" s="39"/>
      <c r="E48531" s="39"/>
      <c r="F48531" s="39"/>
    </row>
    <row r="48532">
      <c r="D48532" s="39"/>
      <c r="E48532" s="39"/>
      <c r="F48532" s="39"/>
    </row>
    <row r="48533">
      <c r="D48533" s="39"/>
      <c r="E48533" s="39"/>
      <c r="F48533" s="39"/>
    </row>
    <row r="48534">
      <c r="D48534" s="39"/>
      <c r="E48534" s="39"/>
      <c r="F48534" s="39"/>
    </row>
    <row r="48535">
      <c r="D48535" s="39"/>
      <c r="E48535" s="39"/>
      <c r="F48535" s="39"/>
    </row>
    <row r="48536">
      <c r="D48536" s="39"/>
      <c r="E48536" s="39"/>
      <c r="F48536" s="39"/>
    </row>
    <row r="48537">
      <c r="D48537" s="39"/>
      <c r="E48537" s="39"/>
      <c r="F48537" s="39"/>
    </row>
    <row r="48538">
      <c r="D48538" s="39"/>
      <c r="E48538" s="39"/>
      <c r="F48538" s="39"/>
    </row>
    <row r="48539">
      <c r="D48539" s="39"/>
      <c r="E48539" s="39"/>
      <c r="F48539" s="39"/>
    </row>
    <row r="48540">
      <c r="D48540" s="39"/>
      <c r="E48540" s="39"/>
      <c r="F48540" s="39"/>
    </row>
    <row r="48541">
      <c r="D48541" s="39"/>
      <c r="E48541" s="39"/>
      <c r="F48541" s="39"/>
    </row>
    <row r="48542">
      <c r="D48542" s="39"/>
      <c r="E48542" s="39"/>
      <c r="F48542" s="39"/>
    </row>
    <row r="48543">
      <c r="D48543" s="39"/>
      <c r="E48543" s="39"/>
      <c r="F48543" s="39"/>
    </row>
    <row r="48544">
      <c r="D48544" s="39"/>
      <c r="E48544" s="39"/>
      <c r="F48544" s="39"/>
    </row>
    <row r="48545">
      <c r="D48545" s="39"/>
      <c r="E48545" s="39"/>
      <c r="F48545" s="39"/>
    </row>
    <row r="48546">
      <c r="D48546" s="39"/>
      <c r="E48546" s="39"/>
      <c r="F48546" s="39"/>
    </row>
    <row r="48547">
      <c r="D48547" s="39"/>
      <c r="E48547" s="39"/>
      <c r="F48547" s="39"/>
    </row>
    <row r="48548">
      <c r="D48548" s="39"/>
      <c r="E48548" s="39"/>
      <c r="F48548" s="39"/>
    </row>
    <row r="48549">
      <c r="D48549" s="39"/>
      <c r="E48549" s="39"/>
      <c r="F48549" s="39"/>
    </row>
    <row r="48550">
      <c r="D48550" s="39"/>
      <c r="E48550" s="39"/>
      <c r="F48550" s="39"/>
    </row>
    <row r="48551">
      <c r="D48551" s="39"/>
      <c r="E48551" s="39"/>
      <c r="F48551" s="39"/>
    </row>
    <row r="48552">
      <c r="D48552" s="39"/>
      <c r="E48552" s="39"/>
      <c r="F48552" s="39"/>
    </row>
    <row r="48553">
      <c r="D48553" s="39"/>
      <c r="E48553" s="39"/>
      <c r="F48553" s="39"/>
    </row>
    <row r="48554">
      <c r="D48554" s="39"/>
      <c r="E48554" s="39"/>
      <c r="F48554" s="39"/>
    </row>
    <row r="48555">
      <c r="D48555" s="39"/>
      <c r="E48555" s="39"/>
      <c r="F48555" s="39"/>
    </row>
    <row r="48556">
      <c r="D48556" s="39"/>
      <c r="E48556" s="39"/>
      <c r="F48556" s="39"/>
    </row>
    <row r="48557">
      <c r="D48557" s="39"/>
      <c r="E48557" s="39"/>
      <c r="F48557" s="39"/>
    </row>
    <row r="48558">
      <c r="D48558" s="39"/>
      <c r="E48558" s="39"/>
      <c r="F48558" s="39"/>
    </row>
    <row r="48559">
      <c r="D48559" s="39"/>
      <c r="E48559" s="39"/>
      <c r="F48559" s="39"/>
    </row>
    <row r="48560">
      <c r="D48560" s="39"/>
      <c r="E48560" s="39"/>
      <c r="F48560" s="39"/>
    </row>
    <row r="48561">
      <c r="D48561" s="39"/>
      <c r="E48561" s="39"/>
      <c r="F48561" s="39"/>
    </row>
    <row r="48562">
      <c r="D48562" s="39"/>
      <c r="E48562" s="39"/>
      <c r="F48562" s="39"/>
    </row>
    <row r="48563">
      <c r="D48563" s="39"/>
      <c r="E48563" s="39"/>
      <c r="F48563" s="39"/>
    </row>
    <row r="48564">
      <c r="D48564" s="39"/>
      <c r="E48564" s="39"/>
      <c r="F48564" s="39"/>
    </row>
    <row r="48565">
      <c r="D48565" s="39"/>
      <c r="E48565" s="39"/>
      <c r="F48565" s="39"/>
    </row>
    <row r="48566">
      <c r="D48566" s="39"/>
      <c r="E48566" s="39"/>
      <c r="F48566" s="39"/>
    </row>
    <row r="48567">
      <c r="D48567" s="39"/>
      <c r="E48567" s="39"/>
      <c r="F48567" s="39"/>
    </row>
    <row r="48568">
      <c r="D48568" s="39"/>
      <c r="E48568" s="39"/>
      <c r="F48568" s="39"/>
    </row>
    <row r="48569">
      <c r="D48569" s="39"/>
      <c r="E48569" s="39"/>
      <c r="F48569" s="39"/>
    </row>
    <row r="48570">
      <c r="D48570" s="39"/>
      <c r="E48570" s="39"/>
      <c r="F48570" s="39"/>
    </row>
    <row r="48571">
      <c r="D48571" s="39"/>
      <c r="E48571" s="39"/>
      <c r="F48571" s="39"/>
    </row>
    <row r="48572">
      <c r="D48572" s="39"/>
      <c r="E48572" s="39"/>
      <c r="F48572" s="39"/>
    </row>
    <row r="48573">
      <c r="D48573" s="39"/>
      <c r="E48573" s="39"/>
      <c r="F48573" s="39"/>
    </row>
    <row r="48574">
      <c r="D48574" s="39"/>
      <c r="E48574" s="39"/>
      <c r="F48574" s="39"/>
    </row>
    <row r="48575">
      <c r="D48575" s="39"/>
      <c r="E48575" s="39"/>
      <c r="F48575" s="39"/>
    </row>
    <row r="48576">
      <c r="D48576" s="39"/>
      <c r="E48576" s="39"/>
      <c r="F48576" s="39"/>
    </row>
    <row r="48577">
      <c r="D48577" s="39"/>
      <c r="E48577" s="39"/>
      <c r="F48577" s="39"/>
    </row>
    <row r="48578">
      <c r="D48578" s="39"/>
      <c r="E48578" s="39"/>
      <c r="F48578" s="39"/>
    </row>
    <row r="48579">
      <c r="D48579" s="39"/>
      <c r="E48579" s="39"/>
      <c r="F48579" s="39"/>
    </row>
    <row r="48580">
      <c r="D48580" s="39"/>
      <c r="E48580" s="39"/>
      <c r="F48580" s="39"/>
    </row>
    <row r="48581">
      <c r="D48581" s="39"/>
      <c r="E48581" s="39"/>
      <c r="F48581" s="39"/>
    </row>
    <row r="48582">
      <c r="D48582" s="39"/>
      <c r="E48582" s="39"/>
      <c r="F48582" s="39"/>
    </row>
    <row r="48583">
      <c r="D48583" s="39"/>
      <c r="E48583" s="39"/>
      <c r="F48583" s="39"/>
    </row>
    <row r="48584">
      <c r="D48584" s="39"/>
      <c r="E48584" s="39"/>
      <c r="F48584" s="39"/>
    </row>
    <row r="48585">
      <c r="D48585" s="39"/>
      <c r="E48585" s="39"/>
      <c r="F48585" s="39"/>
    </row>
    <row r="48586">
      <c r="D48586" s="39"/>
      <c r="E48586" s="39"/>
      <c r="F48586" s="39"/>
    </row>
    <row r="48587">
      <c r="D48587" s="39"/>
      <c r="E48587" s="39"/>
      <c r="F48587" s="39"/>
    </row>
    <row r="48588">
      <c r="D48588" s="39"/>
      <c r="E48588" s="39"/>
      <c r="F48588" s="39"/>
    </row>
    <row r="48589">
      <c r="D48589" s="39"/>
      <c r="E48589" s="39"/>
      <c r="F48589" s="39"/>
    </row>
    <row r="48590">
      <c r="D48590" s="39"/>
      <c r="E48590" s="39"/>
      <c r="F48590" s="39"/>
    </row>
    <row r="48591">
      <c r="D48591" s="39"/>
      <c r="E48591" s="39"/>
      <c r="F48591" s="39"/>
    </row>
    <row r="48592">
      <c r="D48592" s="39"/>
      <c r="E48592" s="39"/>
      <c r="F48592" s="39"/>
    </row>
    <row r="48593">
      <c r="D48593" s="39"/>
      <c r="E48593" s="39"/>
      <c r="F48593" s="39"/>
    </row>
    <row r="48594">
      <c r="D48594" s="39"/>
      <c r="E48594" s="39"/>
      <c r="F48594" s="39"/>
    </row>
    <row r="48595">
      <c r="D48595" s="39"/>
      <c r="E48595" s="39"/>
      <c r="F48595" s="39"/>
    </row>
    <row r="48596">
      <c r="D48596" s="39"/>
      <c r="E48596" s="39"/>
      <c r="F48596" s="39"/>
    </row>
    <row r="48597">
      <c r="D48597" s="39"/>
      <c r="E48597" s="39"/>
      <c r="F48597" s="39"/>
    </row>
    <row r="48598">
      <c r="D48598" s="39"/>
      <c r="E48598" s="39"/>
      <c r="F48598" s="39"/>
    </row>
    <row r="48599">
      <c r="D48599" s="39"/>
      <c r="E48599" s="39"/>
      <c r="F48599" s="39"/>
    </row>
    <row r="48600">
      <c r="D48600" s="39"/>
      <c r="E48600" s="39"/>
      <c r="F48600" s="39"/>
    </row>
    <row r="48601">
      <c r="D48601" s="39"/>
      <c r="E48601" s="39"/>
      <c r="F48601" s="39"/>
    </row>
    <row r="48602">
      <c r="D48602" s="39"/>
      <c r="E48602" s="39"/>
      <c r="F48602" s="39"/>
    </row>
    <row r="48603">
      <c r="D48603" s="39"/>
      <c r="E48603" s="39"/>
      <c r="F48603" s="39"/>
    </row>
    <row r="48604">
      <c r="D48604" s="39"/>
      <c r="E48604" s="39"/>
      <c r="F48604" s="39"/>
    </row>
    <row r="48605">
      <c r="D48605" s="39"/>
      <c r="E48605" s="39"/>
      <c r="F48605" s="39"/>
    </row>
    <row r="48606">
      <c r="D48606" s="39"/>
      <c r="E48606" s="39"/>
      <c r="F48606" s="39"/>
    </row>
    <row r="48607">
      <c r="D48607" s="39"/>
      <c r="E48607" s="39"/>
      <c r="F48607" s="39"/>
    </row>
    <row r="48608">
      <c r="D48608" s="39"/>
      <c r="E48608" s="39"/>
      <c r="F48608" s="39"/>
    </row>
    <row r="48609">
      <c r="D48609" s="39"/>
      <c r="E48609" s="39"/>
      <c r="F48609" s="39"/>
    </row>
    <row r="48610">
      <c r="D48610" s="39"/>
      <c r="E48610" s="39"/>
      <c r="F48610" s="39"/>
    </row>
    <row r="48611">
      <c r="D48611" s="39"/>
      <c r="E48611" s="39"/>
      <c r="F48611" s="39"/>
    </row>
    <row r="48612">
      <c r="D48612" s="39"/>
      <c r="E48612" s="39"/>
      <c r="F48612" s="39"/>
    </row>
    <row r="48613">
      <c r="D48613" s="39"/>
      <c r="E48613" s="39"/>
      <c r="F48613" s="39"/>
    </row>
    <row r="48614">
      <c r="D48614" s="39"/>
      <c r="E48614" s="39"/>
      <c r="F48614" s="39"/>
    </row>
    <row r="48615">
      <c r="D48615" s="39"/>
      <c r="E48615" s="39"/>
      <c r="F48615" s="39"/>
    </row>
    <row r="48616">
      <c r="D48616" s="39"/>
      <c r="E48616" s="39"/>
      <c r="F48616" s="39"/>
    </row>
    <row r="48617">
      <c r="D48617" s="39"/>
      <c r="E48617" s="39"/>
      <c r="F48617" s="39"/>
    </row>
    <row r="48618">
      <c r="D48618" s="39"/>
      <c r="E48618" s="39"/>
      <c r="F48618" s="39"/>
    </row>
    <row r="48619">
      <c r="D48619" s="39"/>
      <c r="E48619" s="39"/>
      <c r="F48619" s="39"/>
    </row>
    <row r="48620">
      <c r="D48620" s="39"/>
      <c r="E48620" s="39"/>
      <c r="F48620" s="39"/>
    </row>
    <row r="48621">
      <c r="D48621" s="39"/>
      <c r="E48621" s="39"/>
      <c r="F48621" s="39"/>
    </row>
    <row r="48622">
      <c r="D48622" s="39"/>
      <c r="E48622" s="39"/>
      <c r="F48622" s="39"/>
    </row>
    <row r="48623">
      <c r="D48623" s="39"/>
      <c r="E48623" s="39"/>
      <c r="F48623" s="39"/>
    </row>
    <row r="48624">
      <c r="D48624" s="39"/>
      <c r="E48624" s="39"/>
      <c r="F48624" s="39"/>
    </row>
    <row r="48625">
      <c r="D48625" s="39"/>
      <c r="E48625" s="39"/>
      <c r="F48625" s="39"/>
    </row>
    <row r="48626">
      <c r="D48626" s="39"/>
      <c r="E48626" s="39"/>
      <c r="F48626" s="39"/>
    </row>
    <row r="48627">
      <c r="D48627" s="39"/>
      <c r="E48627" s="39"/>
      <c r="F48627" s="39"/>
    </row>
    <row r="48628">
      <c r="D48628" s="39"/>
      <c r="E48628" s="39"/>
      <c r="F48628" s="39"/>
    </row>
    <row r="48629">
      <c r="D48629" s="39"/>
      <c r="E48629" s="39"/>
      <c r="F48629" s="39"/>
    </row>
    <row r="48630">
      <c r="D48630" s="39"/>
      <c r="E48630" s="39"/>
      <c r="F48630" s="39"/>
    </row>
    <row r="48631">
      <c r="D48631" s="39"/>
      <c r="E48631" s="39"/>
      <c r="F48631" s="39"/>
    </row>
    <row r="48632">
      <c r="D48632" s="39"/>
      <c r="E48632" s="39"/>
      <c r="F48632" s="39"/>
    </row>
    <row r="48633">
      <c r="D48633" s="39"/>
      <c r="E48633" s="39"/>
      <c r="F48633" s="39"/>
    </row>
    <row r="48634">
      <c r="D48634" s="39"/>
      <c r="E48634" s="39"/>
      <c r="F48634" s="39"/>
    </row>
    <row r="48635">
      <c r="D48635" s="39"/>
      <c r="E48635" s="39"/>
      <c r="F48635" s="39"/>
    </row>
    <row r="48636">
      <c r="D48636" s="39"/>
      <c r="E48636" s="39"/>
      <c r="F48636" s="39"/>
    </row>
    <row r="48637">
      <c r="D48637" s="39"/>
      <c r="E48637" s="39"/>
      <c r="F48637" s="39"/>
    </row>
    <row r="48638">
      <c r="D48638" s="39"/>
      <c r="E48638" s="39"/>
      <c r="F48638" s="39"/>
    </row>
    <row r="48639">
      <c r="D48639" s="39"/>
      <c r="E48639" s="39"/>
      <c r="F48639" s="39"/>
    </row>
    <row r="48640">
      <c r="D48640" s="39"/>
      <c r="E48640" s="39"/>
      <c r="F48640" s="39"/>
    </row>
    <row r="48641">
      <c r="D48641" s="39"/>
      <c r="E48641" s="39"/>
      <c r="F48641" s="39"/>
    </row>
    <row r="48642">
      <c r="D48642" s="39"/>
      <c r="E48642" s="39"/>
      <c r="F48642" s="39"/>
    </row>
    <row r="48643">
      <c r="D48643" s="39"/>
      <c r="E48643" s="39"/>
      <c r="F48643" s="39"/>
    </row>
    <row r="48644">
      <c r="D48644" s="39"/>
      <c r="E48644" s="39"/>
      <c r="F48644" s="39"/>
    </row>
    <row r="48645">
      <c r="D48645" s="39"/>
      <c r="E48645" s="39"/>
      <c r="F48645" s="39"/>
    </row>
    <row r="48646">
      <c r="D48646" s="39"/>
      <c r="E48646" s="39"/>
      <c r="F48646" s="39"/>
    </row>
    <row r="48647">
      <c r="D48647" s="39"/>
      <c r="E48647" s="39"/>
      <c r="F48647" s="39"/>
    </row>
    <row r="48648">
      <c r="D48648" s="39"/>
      <c r="E48648" s="39"/>
      <c r="F48648" s="39"/>
    </row>
    <row r="48649">
      <c r="D48649" s="39"/>
      <c r="E48649" s="39"/>
      <c r="F48649" s="39"/>
    </row>
    <row r="48650">
      <c r="D48650" s="39"/>
      <c r="E48650" s="39"/>
      <c r="F48650" s="39"/>
    </row>
    <row r="48651">
      <c r="D48651" s="39"/>
      <c r="E48651" s="39"/>
      <c r="F48651" s="39"/>
    </row>
    <row r="48652">
      <c r="D48652" s="39"/>
      <c r="E48652" s="39"/>
      <c r="F48652" s="39"/>
    </row>
    <row r="48653">
      <c r="D48653" s="39"/>
      <c r="E48653" s="39"/>
      <c r="F48653" s="39"/>
    </row>
    <row r="48654">
      <c r="D48654" s="39"/>
      <c r="E48654" s="39"/>
      <c r="F48654" s="39"/>
    </row>
    <row r="48655">
      <c r="D48655" s="39"/>
      <c r="E48655" s="39"/>
      <c r="F48655" s="39"/>
    </row>
    <row r="48656">
      <c r="D48656" s="39"/>
      <c r="E48656" s="39"/>
      <c r="F48656" s="39"/>
    </row>
    <row r="48657">
      <c r="D48657" s="39"/>
      <c r="E48657" s="39"/>
      <c r="F48657" s="39"/>
    </row>
    <row r="48658">
      <c r="D48658" s="39"/>
      <c r="E48658" s="39"/>
      <c r="F48658" s="39"/>
    </row>
    <row r="48659">
      <c r="D48659" s="39"/>
      <c r="E48659" s="39"/>
      <c r="F48659" s="39"/>
    </row>
    <row r="48660">
      <c r="D48660" s="39"/>
      <c r="E48660" s="39"/>
      <c r="F48660" s="39"/>
    </row>
    <row r="48661">
      <c r="D48661" s="39"/>
      <c r="E48661" s="39"/>
      <c r="F48661" s="39"/>
    </row>
    <row r="48662">
      <c r="D48662" s="39"/>
      <c r="E48662" s="39"/>
      <c r="F48662" s="39"/>
    </row>
    <row r="48663">
      <c r="D48663" s="39"/>
      <c r="E48663" s="39"/>
      <c r="F48663" s="39"/>
    </row>
    <row r="48664">
      <c r="D48664" s="39"/>
      <c r="E48664" s="39"/>
      <c r="F48664" s="39"/>
    </row>
    <row r="48665">
      <c r="D48665" s="39"/>
      <c r="E48665" s="39"/>
      <c r="F48665" s="39"/>
    </row>
    <row r="48666">
      <c r="D48666" s="39"/>
      <c r="E48666" s="39"/>
      <c r="F48666" s="39"/>
    </row>
    <row r="48667">
      <c r="D48667" s="39"/>
      <c r="E48667" s="39"/>
      <c r="F48667" s="39"/>
    </row>
    <row r="48668">
      <c r="D48668" s="39"/>
      <c r="E48668" s="39"/>
      <c r="F48668" s="39"/>
    </row>
    <row r="48669">
      <c r="D48669" s="39"/>
      <c r="E48669" s="39"/>
      <c r="F48669" s="39"/>
    </row>
    <row r="48670">
      <c r="D48670" s="39"/>
      <c r="E48670" s="39"/>
      <c r="F48670" s="39"/>
    </row>
    <row r="48671">
      <c r="D48671" s="39"/>
      <c r="E48671" s="39"/>
      <c r="F48671" s="39"/>
    </row>
    <row r="48672">
      <c r="D48672" s="39"/>
      <c r="E48672" s="39"/>
      <c r="F48672" s="39"/>
    </row>
    <row r="48673">
      <c r="D48673" s="39"/>
      <c r="E48673" s="39"/>
      <c r="F48673" s="39"/>
    </row>
    <row r="48674">
      <c r="D48674" s="39"/>
      <c r="E48674" s="39"/>
      <c r="F48674" s="39"/>
    </row>
    <row r="48675">
      <c r="D48675" s="39"/>
      <c r="E48675" s="39"/>
      <c r="F48675" s="39"/>
    </row>
    <row r="48676">
      <c r="D48676" s="39"/>
      <c r="E48676" s="39"/>
      <c r="F48676" s="39"/>
    </row>
    <row r="48677">
      <c r="D48677" s="39"/>
      <c r="E48677" s="39"/>
      <c r="F48677" s="39"/>
    </row>
    <row r="48678">
      <c r="D48678" s="39"/>
      <c r="E48678" s="39"/>
      <c r="F48678" s="39"/>
    </row>
    <row r="48679">
      <c r="D48679" s="39"/>
      <c r="E48679" s="39"/>
      <c r="F48679" s="39"/>
    </row>
    <row r="48680">
      <c r="D48680" s="39"/>
      <c r="E48680" s="39"/>
      <c r="F48680" s="39"/>
    </row>
    <row r="48681">
      <c r="D48681" s="39"/>
      <c r="E48681" s="39"/>
      <c r="F48681" s="39"/>
    </row>
    <row r="48682">
      <c r="D48682" s="39"/>
      <c r="E48682" s="39"/>
      <c r="F48682" s="39"/>
    </row>
    <row r="48683">
      <c r="D48683" s="39"/>
      <c r="E48683" s="39"/>
      <c r="F48683" s="39"/>
    </row>
    <row r="48684">
      <c r="D48684" s="39"/>
      <c r="E48684" s="39"/>
      <c r="F48684" s="39"/>
    </row>
    <row r="48685">
      <c r="D48685" s="39"/>
      <c r="E48685" s="39"/>
      <c r="F48685" s="39"/>
    </row>
    <row r="48686">
      <c r="D48686" s="39"/>
      <c r="E48686" s="39"/>
      <c r="F48686" s="39"/>
    </row>
    <row r="48687">
      <c r="D48687" s="39"/>
      <c r="E48687" s="39"/>
      <c r="F48687" s="39"/>
    </row>
    <row r="48688">
      <c r="D48688" s="39"/>
      <c r="E48688" s="39"/>
      <c r="F48688" s="39"/>
    </row>
    <row r="48689">
      <c r="D48689" s="39"/>
      <c r="E48689" s="39"/>
      <c r="F48689" s="39"/>
    </row>
    <row r="48690">
      <c r="D48690" s="39"/>
      <c r="E48690" s="39"/>
      <c r="F48690" s="39"/>
    </row>
    <row r="48691">
      <c r="D48691" s="39"/>
      <c r="E48691" s="39"/>
      <c r="F48691" s="39"/>
    </row>
    <row r="48692">
      <c r="D48692" s="39"/>
      <c r="E48692" s="39"/>
      <c r="F48692" s="39"/>
    </row>
    <row r="48693">
      <c r="D48693" s="39"/>
      <c r="E48693" s="39"/>
      <c r="F48693" s="39"/>
    </row>
    <row r="48694">
      <c r="D48694" s="39"/>
      <c r="E48694" s="39"/>
      <c r="F48694" s="39"/>
    </row>
    <row r="48695">
      <c r="D48695" s="39"/>
      <c r="E48695" s="39"/>
      <c r="F48695" s="39"/>
    </row>
    <row r="48696">
      <c r="D48696" s="39"/>
      <c r="E48696" s="39"/>
      <c r="F48696" s="39"/>
    </row>
    <row r="48697">
      <c r="D48697" s="39"/>
      <c r="E48697" s="39"/>
      <c r="F48697" s="39"/>
    </row>
    <row r="48698">
      <c r="D48698" s="39"/>
      <c r="E48698" s="39"/>
      <c r="F48698" s="39"/>
    </row>
    <row r="48699">
      <c r="D48699" s="39"/>
      <c r="E48699" s="39"/>
      <c r="F48699" s="39"/>
    </row>
    <row r="48700">
      <c r="D48700" s="39"/>
      <c r="E48700" s="39"/>
      <c r="F48700" s="39"/>
    </row>
    <row r="48701">
      <c r="D48701" s="39"/>
      <c r="E48701" s="39"/>
      <c r="F48701" s="39"/>
    </row>
    <row r="48702">
      <c r="D48702" s="39"/>
      <c r="E48702" s="39"/>
      <c r="F48702" s="39"/>
    </row>
    <row r="48703">
      <c r="D48703" s="39"/>
      <c r="E48703" s="39"/>
      <c r="F48703" s="39"/>
    </row>
    <row r="48704">
      <c r="D48704" s="39"/>
      <c r="E48704" s="39"/>
      <c r="F48704" s="39"/>
    </row>
    <row r="48705">
      <c r="D48705" s="39"/>
      <c r="E48705" s="39"/>
      <c r="F48705" s="39"/>
    </row>
    <row r="48706">
      <c r="D48706" s="39"/>
      <c r="E48706" s="39"/>
      <c r="F48706" s="39"/>
    </row>
    <row r="48707">
      <c r="D48707" s="39"/>
      <c r="E48707" s="39"/>
      <c r="F48707" s="39"/>
    </row>
    <row r="48708">
      <c r="D48708" s="39"/>
      <c r="E48708" s="39"/>
      <c r="F48708" s="39"/>
    </row>
    <row r="48709">
      <c r="D48709" s="39"/>
      <c r="E48709" s="39"/>
      <c r="F48709" s="39"/>
    </row>
    <row r="48710">
      <c r="D48710" s="39"/>
      <c r="E48710" s="39"/>
      <c r="F48710" s="39"/>
    </row>
    <row r="48711">
      <c r="D48711" s="39"/>
      <c r="E48711" s="39"/>
      <c r="F48711" s="39"/>
    </row>
    <row r="48712">
      <c r="D48712" s="39"/>
      <c r="E48712" s="39"/>
      <c r="F48712" s="39"/>
    </row>
    <row r="48713">
      <c r="D48713" s="39"/>
      <c r="E48713" s="39"/>
      <c r="F48713" s="39"/>
    </row>
    <row r="48714">
      <c r="D48714" s="39"/>
      <c r="E48714" s="39"/>
      <c r="F48714" s="39"/>
    </row>
    <row r="48715">
      <c r="D48715" s="39"/>
      <c r="E48715" s="39"/>
      <c r="F48715" s="39"/>
    </row>
    <row r="48716">
      <c r="D48716" s="39"/>
      <c r="E48716" s="39"/>
      <c r="F48716" s="39"/>
    </row>
    <row r="48717">
      <c r="D48717" s="39"/>
      <c r="E48717" s="39"/>
      <c r="F48717" s="39"/>
    </row>
    <row r="48718">
      <c r="D48718" s="39"/>
      <c r="E48718" s="39"/>
      <c r="F48718" s="39"/>
    </row>
    <row r="48719">
      <c r="D48719" s="39"/>
      <c r="E48719" s="39"/>
      <c r="F48719" s="39"/>
    </row>
    <row r="48720">
      <c r="D48720" s="39"/>
      <c r="E48720" s="39"/>
      <c r="F48720" s="39"/>
    </row>
    <row r="48721">
      <c r="D48721" s="39"/>
      <c r="E48721" s="39"/>
      <c r="F48721" s="39"/>
    </row>
    <row r="48722">
      <c r="D48722" s="39"/>
      <c r="E48722" s="39"/>
      <c r="F48722" s="39"/>
    </row>
    <row r="48723">
      <c r="D48723" s="39"/>
      <c r="E48723" s="39"/>
      <c r="F48723" s="39"/>
    </row>
    <row r="48724">
      <c r="D48724" s="39"/>
      <c r="E48724" s="39"/>
      <c r="F48724" s="39"/>
    </row>
    <row r="48725">
      <c r="D48725" s="39"/>
      <c r="E48725" s="39"/>
      <c r="F48725" s="39"/>
    </row>
    <row r="48726">
      <c r="D48726" s="39"/>
      <c r="E48726" s="39"/>
      <c r="F48726" s="39"/>
    </row>
    <row r="48727">
      <c r="D48727" s="39"/>
      <c r="E48727" s="39"/>
      <c r="F48727" s="39"/>
    </row>
    <row r="48728">
      <c r="D48728" s="39"/>
      <c r="E48728" s="39"/>
      <c r="F48728" s="39"/>
    </row>
    <row r="48729">
      <c r="D48729" s="39"/>
      <c r="E48729" s="39"/>
      <c r="F48729" s="39"/>
    </row>
    <row r="48730">
      <c r="D48730" s="39"/>
      <c r="E48730" s="39"/>
      <c r="F48730" s="39"/>
    </row>
    <row r="48731">
      <c r="D48731" s="39"/>
      <c r="E48731" s="39"/>
      <c r="F48731" s="39"/>
    </row>
    <row r="48732">
      <c r="D48732" s="39"/>
      <c r="E48732" s="39"/>
      <c r="F48732" s="39"/>
    </row>
    <row r="48733">
      <c r="D48733" s="39"/>
      <c r="E48733" s="39"/>
      <c r="F48733" s="39"/>
    </row>
    <row r="48734">
      <c r="D48734" s="39"/>
      <c r="E48734" s="39"/>
      <c r="F48734" s="39"/>
    </row>
    <row r="48735">
      <c r="D48735" s="39"/>
      <c r="E48735" s="39"/>
      <c r="F48735" s="39"/>
    </row>
    <row r="48736">
      <c r="D48736" s="39"/>
      <c r="E48736" s="39"/>
      <c r="F48736" s="39"/>
    </row>
    <row r="48737">
      <c r="D48737" s="39"/>
      <c r="E48737" s="39"/>
      <c r="F48737" s="39"/>
    </row>
    <row r="48738">
      <c r="D48738" s="39"/>
      <c r="E48738" s="39"/>
      <c r="F48738" s="39"/>
    </row>
    <row r="48739">
      <c r="D48739" s="39"/>
      <c r="E48739" s="39"/>
      <c r="F48739" s="39"/>
    </row>
    <row r="48740">
      <c r="D48740" s="39"/>
      <c r="E48740" s="39"/>
      <c r="F48740" s="39"/>
    </row>
    <row r="48741">
      <c r="D48741" s="39"/>
      <c r="E48741" s="39"/>
      <c r="F48741" s="39"/>
    </row>
    <row r="48742">
      <c r="D48742" s="39"/>
      <c r="E48742" s="39"/>
      <c r="F48742" s="39"/>
    </row>
    <row r="48743">
      <c r="D48743" s="39"/>
      <c r="E48743" s="39"/>
      <c r="F48743" s="39"/>
    </row>
    <row r="48744">
      <c r="D48744" s="39"/>
      <c r="E48744" s="39"/>
      <c r="F48744" s="39"/>
    </row>
    <row r="48745">
      <c r="D48745" s="39"/>
      <c r="E48745" s="39"/>
      <c r="F48745" s="39"/>
    </row>
    <row r="48746">
      <c r="D48746" s="39"/>
      <c r="E48746" s="39"/>
      <c r="F48746" s="39"/>
    </row>
    <row r="48747">
      <c r="D48747" s="39"/>
      <c r="E48747" s="39"/>
      <c r="F48747" s="39"/>
    </row>
    <row r="48748">
      <c r="D48748" s="39"/>
      <c r="E48748" s="39"/>
      <c r="F48748" s="39"/>
    </row>
    <row r="48749">
      <c r="D48749" s="39"/>
      <c r="E48749" s="39"/>
      <c r="F48749" s="39"/>
    </row>
    <row r="48750">
      <c r="D48750" s="39"/>
      <c r="E48750" s="39"/>
      <c r="F48750" s="39"/>
    </row>
    <row r="48751">
      <c r="D48751" s="39"/>
      <c r="E48751" s="39"/>
      <c r="F48751" s="39"/>
    </row>
    <row r="48752">
      <c r="D48752" s="39"/>
      <c r="E48752" s="39"/>
      <c r="F48752" s="39"/>
    </row>
    <row r="48753">
      <c r="D48753" s="39"/>
      <c r="E48753" s="39"/>
      <c r="F48753" s="39"/>
    </row>
    <row r="48754">
      <c r="D48754" s="39"/>
      <c r="E48754" s="39"/>
      <c r="F48754" s="39"/>
    </row>
    <row r="48755">
      <c r="D48755" s="39"/>
      <c r="E48755" s="39"/>
      <c r="F48755" s="39"/>
    </row>
    <row r="48756">
      <c r="D48756" s="39"/>
      <c r="E48756" s="39"/>
      <c r="F48756" s="39"/>
    </row>
    <row r="48757">
      <c r="D48757" s="39"/>
      <c r="E48757" s="39"/>
      <c r="F48757" s="39"/>
    </row>
    <row r="48758">
      <c r="D48758" s="39"/>
      <c r="E48758" s="39"/>
      <c r="F48758" s="39"/>
    </row>
    <row r="48759">
      <c r="D48759" s="39"/>
      <c r="E48759" s="39"/>
      <c r="F48759" s="39"/>
    </row>
    <row r="48760">
      <c r="D48760" s="39"/>
      <c r="E48760" s="39"/>
      <c r="F48760" s="39"/>
    </row>
    <row r="48761">
      <c r="D48761" s="39"/>
      <c r="E48761" s="39"/>
      <c r="F48761" s="39"/>
    </row>
    <row r="48762">
      <c r="D48762" s="39"/>
      <c r="E48762" s="39"/>
      <c r="F48762" s="39"/>
    </row>
    <row r="48763">
      <c r="D48763" s="39"/>
      <c r="E48763" s="39"/>
      <c r="F48763" s="39"/>
    </row>
    <row r="48764">
      <c r="D48764" s="39"/>
      <c r="E48764" s="39"/>
      <c r="F48764" s="39"/>
    </row>
    <row r="48765">
      <c r="D48765" s="39"/>
      <c r="E48765" s="39"/>
      <c r="F48765" s="39"/>
    </row>
    <row r="48766">
      <c r="D48766" s="39"/>
      <c r="E48766" s="39"/>
      <c r="F48766" s="39"/>
    </row>
    <row r="48767">
      <c r="D48767" s="39"/>
      <c r="E48767" s="39"/>
      <c r="F48767" s="39"/>
    </row>
    <row r="48768">
      <c r="D48768" s="39"/>
      <c r="E48768" s="39"/>
      <c r="F48768" s="39"/>
    </row>
    <row r="48769">
      <c r="D48769" s="39"/>
      <c r="E48769" s="39"/>
      <c r="F48769" s="39"/>
    </row>
    <row r="48770">
      <c r="D48770" s="39"/>
      <c r="E48770" s="39"/>
      <c r="F48770" s="39"/>
    </row>
    <row r="48771">
      <c r="D48771" s="39"/>
      <c r="E48771" s="39"/>
      <c r="F48771" s="39"/>
    </row>
    <row r="48772">
      <c r="D48772" s="39"/>
      <c r="E48772" s="39"/>
      <c r="F48772" s="39"/>
    </row>
    <row r="48773">
      <c r="D48773" s="39"/>
      <c r="E48773" s="39"/>
      <c r="F48773" s="39"/>
    </row>
    <row r="48774">
      <c r="D48774" s="39"/>
      <c r="E48774" s="39"/>
      <c r="F48774" s="39"/>
    </row>
    <row r="48775">
      <c r="D48775" s="39"/>
      <c r="E48775" s="39"/>
      <c r="F48775" s="39"/>
    </row>
    <row r="48776">
      <c r="D48776" s="39"/>
      <c r="E48776" s="39"/>
      <c r="F48776" s="39"/>
    </row>
    <row r="48777">
      <c r="D48777" s="39"/>
      <c r="E48777" s="39"/>
      <c r="F48777" s="39"/>
    </row>
    <row r="48778">
      <c r="D48778" s="39"/>
      <c r="E48778" s="39"/>
      <c r="F48778" s="39"/>
    </row>
    <row r="48779">
      <c r="D48779" s="39"/>
      <c r="E48779" s="39"/>
      <c r="F48779" s="39"/>
    </row>
    <row r="48780">
      <c r="D48780" s="39"/>
      <c r="E48780" s="39"/>
      <c r="F48780" s="39"/>
    </row>
    <row r="48781">
      <c r="D48781" s="39"/>
      <c r="E48781" s="39"/>
      <c r="F48781" s="39"/>
    </row>
    <row r="48782">
      <c r="D48782" s="39"/>
      <c r="E48782" s="39"/>
      <c r="F48782" s="39"/>
    </row>
    <row r="48783">
      <c r="D48783" s="39"/>
      <c r="E48783" s="39"/>
      <c r="F48783" s="39"/>
    </row>
    <row r="48784">
      <c r="D48784" s="39"/>
      <c r="E48784" s="39"/>
      <c r="F48784" s="39"/>
    </row>
    <row r="48785">
      <c r="D48785" s="39"/>
      <c r="E48785" s="39"/>
      <c r="F48785" s="39"/>
    </row>
    <row r="48786">
      <c r="D48786" s="39"/>
      <c r="E48786" s="39"/>
      <c r="F48786" s="39"/>
    </row>
    <row r="48787">
      <c r="D48787" s="39"/>
      <c r="E48787" s="39"/>
      <c r="F48787" s="39"/>
    </row>
    <row r="48788">
      <c r="D48788" s="39"/>
      <c r="E48788" s="39"/>
      <c r="F48788" s="39"/>
    </row>
    <row r="48789">
      <c r="D48789" s="39"/>
      <c r="E48789" s="39"/>
      <c r="F48789" s="39"/>
    </row>
    <row r="48790">
      <c r="D48790" s="39"/>
      <c r="E48790" s="39"/>
      <c r="F48790" s="39"/>
    </row>
    <row r="48791">
      <c r="D48791" s="39"/>
      <c r="E48791" s="39"/>
      <c r="F48791" s="39"/>
    </row>
    <row r="48792">
      <c r="D48792" s="39"/>
      <c r="E48792" s="39"/>
      <c r="F48792" s="39"/>
    </row>
    <row r="48793">
      <c r="D48793" s="39"/>
      <c r="E48793" s="39"/>
      <c r="F48793" s="39"/>
    </row>
    <row r="48794">
      <c r="D48794" s="39"/>
      <c r="E48794" s="39"/>
      <c r="F48794" s="39"/>
    </row>
    <row r="48795">
      <c r="D48795" s="39"/>
      <c r="E48795" s="39"/>
      <c r="F48795" s="39"/>
    </row>
    <row r="48796">
      <c r="D48796" s="39"/>
      <c r="E48796" s="39"/>
      <c r="F48796" s="39"/>
    </row>
    <row r="48797">
      <c r="D48797" s="39"/>
      <c r="E48797" s="39"/>
      <c r="F48797" s="39"/>
    </row>
    <row r="48798">
      <c r="D48798" s="39"/>
      <c r="E48798" s="39"/>
      <c r="F48798" s="39"/>
    </row>
    <row r="48799">
      <c r="D48799" s="39"/>
      <c r="E48799" s="39"/>
      <c r="F48799" s="39"/>
    </row>
    <row r="48800">
      <c r="D48800" s="39"/>
      <c r="E48800" s="39"/>
      <c r="F48800" s="39"/>
    </row>
    <row r="48801">
      <c r="D48801" s="39"/>
      <c r="E48801" s="39"/>
      <c r="F48801" s="39"/>
    </row>
    <row r="48802">
      <c r="D48802" s="39"/>
      <c r="E48802" s="39"/>
      <c r="F48802" s="39"/>
    </row>
    <row r="48803">
      <c r="D48803" s="39"/>
      <c r="E48803" s="39"/>
      <c r="F48803" s="39"/>
    </row>
    <row r="48804">
      <c r="D48804" s="39"/>
      <c r="E48804" s="39"/>
      <c r="F48804" s="39"/>
    </row>
    <row r="48805">
      <c r="D48805" s="39"/>
      <c r="E48805" s="39"/>
      <c r="F48805" s="39"/>
    </row>
    <row r="48806">
      <c r="D48806" s="39"/>
      <c r="E48806" s="39"/>
      <c r="F48806" s="39"/>
    </row>
    <row r="48807">
      <c r="D48807" s="39"/>
      <c r="E48807" s="39"/>
      <c r="F48807" s="39"/>
    </row>
    <row r="48808">
      <c r="D48808" s="39"/>
      <c r="E48808" s="39"/>
      <c r="F48808" s="39"/>
    </row>
    <row r="48809">
      <c r="D48809" s="39"/>
      <c r="E48809" s="39"/>
      <c r="F48809" s="39"/>
    </row>
    <row r="48810">
      <c r="D48810" s="39"/>
      <c r="E48810" s="39"/>
      <c r="F48810" s="39"/>
    </row>
    <row r="48811">
      <c r="D48811" s="39"/>
      <c r="E48811" s="39"/>
      <c r="F48811" s="39"/>
    </row>
    <row r="48812">
      <c r="D48812" s="39"/>
      <c r="E48812" s="39"/>
      <c r="F48812" s="39"/>
    </row>
    <row r="48813">
      <c r="D48813" s="39"/>
      <c r="E48813" s="39"/>
      <c r="F48813" s="39"/>
    </row>
    <row r="48814">
      <c r="D48814" s="39"/>
      <c r="E48814" s="39"/>
      <c r="F48814" s="39"/>
    </row>
    <row r="48815">
      <c r="D48815" s="39"/>
      <c r="E48815" s="39"/>
      <c r="F48815" s="39"/>
    </row>
    <row r="48816">
      <c r="D48816" s="39"/>
      <c r="E48816" s="39"/>
      <c r="F48816" s="39"/>
    </row>
    <row r="48817">
      <c r="D48817" s="39"/>
      <c r="E48817" s="39"/>
      <c r="F48817" s="39"/>
    </row>
    <row r="48818">
      <c r="D48818" s="39"/>
      <c r="E48818" s="39"/>
      <c r="F48818" s="39"/>
    </row>
    <row r="48819">
      <c r="D48819" s="39"/>
      <c r="E48819" s="39"/>
      <c r="F48819" s="39"/>
    </row>
    <row r="48820">
      <c r="D48820" s="39"/>
      <c r="E48820" s="39"/>
      <c r="F48820" s="39"/>
    </row>
    <row r="48821">
      <c r="D48821" s="39"/>
      <c r="E48821" s="39"/>
      <c r="F48821" s="39"/>
    </row>
    <row r="48822">
      <c r="D48822" s="39"/>
      <c r="E48822" s="39"/>
      <c r="F48822" s="39"/>
    </row>
    <row r="48823">
      <c r="D48823" s="39"/>
      <c r="E48823" s="39"/>
      <c r="F48823" s="39"/>
    </row>
    <row r="48824">
      <c r="D48824" s="39"/>
      <c r="E48824" s="39"/>
      <c r="F48824" s="39"/>
    </row>
    <row r="48825">
      <c r="D48825" s="39"/>
      <c r="E48825" s="39"/>
      <c r="F48825" s="39"/>
    </row>
    <row r="48826">
      <c r="D48826" s="39"/>
      <c r="E48826" s="39"/>
      <c r="F48826" s="39"/>
    </row>
    <row r="48827">
      <c r="D48827" s="39"/>
      <c r="E48827" s="39"/>
      <c r="F48827" s="39"/>
    </row>
    <row r="48828">
      <c r="D48828" s="39"/>
      <c r="E48828" s="39"/>
      <c r="F48828" s="39"/>
    </row>
    <row r="48829">
      <c r="D48829" s="39"/>
      <c r="E48829" s="39"/>
      <c r="F48829" s="39"/>
    </row>
    <row r="48830">
      <c r="D48830" s="39"/>
      <c r="E48830" s="39"/>
      <c r="F48830" s="39"/>
    </row>
    <row r="48831">
      <c r="D48831" s="39"/>
      <c r="E48831" s="39"/>
      <c r="F48831" s="39"/>
    </row>
    <row r="48832">
      <c r="D48832" s="39"/>
      <c r="E48832" s="39"/>
      <c r="F48832" s="39"/>
    </row>
    <row r="48833">
      <c r="D48833" s="39"/>
      <c r="E48833" s="39"/>
      <c r="F48833" s="39"/>
    </row>
    <row r="48834">
      <c r="D48834" s="39"/>
      <c r="E48834" s="39"/>
      <c r="F48834" s="39"/>
    </row>
    <row r="48835">
      <c r="D48835" s="39"/>
      <c r="E48835" s="39"/>
      <c r="F48835" s="39"/>
    </row>
    <row r="48836">
      <c r="D48836" s="39"/>
      <c r="E48836" s="39"/>
      <c r="F48836" s="39"/>
    </row>
    <row r="48837">
      <c r="D48837" s="39"/>
      <c r="E48837" s="39"/>
      <c r="F48837" s="39"/>
    </row>
    <row r="48838">
      <c r="D48838" s="39"/>
      <c r="E48838" s="39"/>
      <c r="F48838" s="39"/>
    </row>
    <row r="48839">
      <c r="D48839" s="39"/>
      <c r="E48839" s="39"/>
      <c r="F48839" s="39"/>
    </row>
    <row r="48840">
      <c r="D48840" s="39"/>
      <c r="E48840" s="39"/>
      <c r="F48840" s="39"/>
    </row>
    <row r="48841">
      <c r="D48841" s="39"/>
      <c r="E48841" s="39"/>
      <c r="F48841" s="39"/>
    </row>
    <row r="48842">
      <c r="D48842" s="39"/>
      <c r="E48842" s="39"/>
      <c r="F48842" s="39"/>
    </row>
    <row r="48843">
      <c r="D48843" s="39"/>
      <c r="E48843" s="39"/>
      <c r="F48843" s="39"/>
    </row>
    <row r="48844">
      <c r="D48844" s="39"/>
      <c r="E48844" s="39"/>
      <c r="F48844" s="39"/>
    </row>
    <row r="48845">
      <c r="D48845" s="39"/>
      <c r="E48845" s="39"/>
      <c r="F48845" s="39"/>
    </row>
    <row r="48846">
      <c r="D48846" s="39"/>
      <c r="E48846" s="39"/>
      <c r="F48846" s="39"/>
    </row>
    <row r="48847">
      <c r="D48847" s="39"/>
      <c r="E48847" s="39"/>
      <c r="F48847" s="39"/>
    </row>
    <row r="48848">
      <c r="D48848" s="39"/>
      <c r="E48848" s="39"/>
      <c r="F48848" s="39"/>
    </row>
    <row r="48849">
      <c r="D48849" s="39"/>
      <c r="E48849" s="39"/>
      <c r="F48849" s="39"/>
    </row>
    <row r="48850">
      <c r="D48850" s="39"/>
      <c r="E48850" s="39"/>
      <c r="F48850" s="39"/>
    </row>
    <row r="48851">
      <c r="D48851" s="39"/>
      <c r="E48851" s="39"/>
      <c r="F48851" s="39"/>
    </row>
    <row r="48852">
      <c r="D48852" s="39"/>
      <c r="E48852" s="39"/>
      <c r="F48852" s="39"/>
    </row>
    <row r="48853">
      <c r="D48853" s="39"/>
      <c r="E48853" s="39"/>
      <c r="F48853" s="39"/>
    </row>
    <row r="48854">
      <c r="D48854" s="39"/>
      <c r="E48854" s="39"/>
      <c r="F48854" s="39"/>
    </row>
    <row r="48855">
      <c r="D48855" s="39"/>
      <c r="E48855" s="39"/>
      <c r="F48855" s="39"/>
    </row>
    <row r="48856">
      <c r="D48856" s="39"/>
      <c r="E48856" s="39"/>
      <c r="F48856" s="39"/>
    </row>
    <row r="48857">
      <c r="D48857" s="39"/>
      <c r="E48857" s="39"/>
      <c r="F48857" s="39"/>
    </row>
    <row r="48858">
      <c r="D48858" s="39"/>
      <c r="E48858" s="39"/>
      <c r="F48858" s="39"/>
    </row>
    <row r="48859">
      <c r="D48859" s="39"/>
      <c r="E48859" s="39"/>
      <c r="F48859" s="39"/>
    </row>
    <row r="48860">
      <c r="D48860" s="39"/>
      <c r="E48860" s="39"/>
      <c r="F48860" s="39"/>
    </row>
    <row r="48861">
      <c r="D48861" s="39"/>
      <c r="E48861" s="39"/>
      <c r="F48861" s="39"/>
    </row>
    <row r="48862">
      <c r="D48862" s="39"/>
      <c r="E48862" s="39"/>
      <c r="F48862" s="39"/>
    </row>
    <row r="48863">
      <c r="D48863" s="39"/>
      <c r="E48863" s="39"/>
      <c r="F48863" s="39"/>
    </row>
    <row r="48864">
      <c r="D48864" s="39"/>
      <c r="E48864" s="39"/>
      <c r="F48864" s="39"/>
    </row>
    <row r="48865">
      <c r="D48865" s="39"/>
      <c r="E48865" s="39"/>
      <c r="F48865" s="39"/>
    </row>
    <row r="48866">
      <c r="D48866" s="39"/>
      <c r="E48866" s="39"/>
      <c r="F48866" s="39"/>
    </row>
    <row r="48867">
      <c r="D48867" s="39"/>
      <c r="E48867" s="39"/>
      <c r="F48867" s="39"/>
    </row>
    <row r="48868">
      <c r="D48868" s="39"/>
      <c r="E48868" s="39"/>
      <c r="F48868" s="39"/>
    </row>
    <row r="48869">
      <c r="D48869" s="39"/>
      <c r="E48869" s="39"/>
      <c r="F48869" s="39"/>
    </row>
    <row r="48870">
      <c r="D48870" s="39"/>
      <c r="E48870" s="39"/>
      <c r="F48870" s="39"/>
    </row>
    <row r="48871">
      <c r="D48871" s="39"/>
      <c r="E48871" s="39"/>
      <c r="F48871" s="39"/>
    </row>
    <row r="48872">
      <c r="D48872" s="39"/>
      <c r="E48872" s="39"/>
      <c r="F48872" s="39"/>
    </row>
    <row r="48873">
      <c r="D48873" s="39"/>
      <c r="E48873" s="39"/>
      <c r="F48873" s="39"/>
    </row>
    <row r="48874">
      <c r="D48874" s="39"/>
      <c r="E48874" s="39"/>
      <c r="F48874" s="39"/>
    </row>
    <row r="48875">
      <c r="D48875" s="39"/>
      <c r="E48875" s="39"/>
      <c r="F48875" s="39"/>
    </row>
    <row r="48876">
      <c r="D48876" s="39"/>
      <c r="E48876" s="39"/>
      <c r="F48876" s="39"/>
    </row>
    <row r="48877">
      <c r="D48877" s="39"/>
      <c r="E48877" s="39"/>
      <c r="F48877" s="39"/>
    </row>
    <row r="48878">
      <c r="D48878" s="39"/>
      <c r="E48878" s="39"/>
      <c r="F48878" s="39"/>
    </row>
    <row r="48879">
      <c r="D48879" s="39"/>
      <c r="E48879" s="39"/>
      <c r="F48879" s="39"/>
    </row>
    <row r="48880">
      <c r="D48880" s="39"/>
      <c r="E48880" s="39"/>
      <c r="F48880" s="39"/>
    </row>
    <row r="48881">
      <c r="D48881" s="39"/>
      <c r="E48881" s="39"/>
      <c r="F48881" s="39"/>
    </row>
    <row r="48882">
      <c r="D48882" s="39"/>
      <c r="E48882" s="39"/>
      <c r="F48882" s="39"/>
    </row>
    <row r="48883">
      <c r="D48883" s="39"/>
      <c r="E48883" s="39"/>
      <c r="F48883" s="39"/>
    </row>
    <row r="48884">
      <c r="D48884" s="39"/>
      <c r="E48884" s="39"/>
      <c r="F48884" s="39"/>
    </row>
    <row r="48885">
      <c r="D48885" s="39"/>
      <c r="E48885" s="39"/>
      <c r="F48885" s="39"/>
    </row>
    <row r="48886">
      <c r="D48886" s="39"/>
      <c r="E48886" s="39"/>
      <c r="F48886" s="39"/>
    </row>
    <row r="48887">
      <c r="D48887" s="39"/>
      <c r="E48887" s="39"/>
      <c r="F48887" s="39"/>
    </row>
    <row r="48888">
      <c r="D48888" s="39"/>
      <c r="E48888" s="39"/>
      <c r="F48888" s="39"/>
    </row>
    <row r="48889">
      <c r="D48889" s="39"/>
      <c r="E48889" s="39"/>
      <c r="F48889" s="39"/>
    </row>
    <row r="48890">
      <c r="D48890" s="39"/>
      <c r="E48890" s="39"/>
      <c r="F48890" s="39"/>
    </row>
    <row r="48891">
      <c r="D48891" s="39"/>
      <c r="E48891" s="39"/>
      <c r="F48891" s="39"/>
    </row>
    <row r="48892">
      <c r="D48892" s="39"/>
      <c r="E48892" s="39"/>
      <c r="F48892" s="39"/>
    </row>
    <row r="48893">
      <c r="D48893" s="39"/>
      <c r="E48893" s="39"/>
      <c r="F48893" s="39"/>
    </row>
    <row r="48894">
      <c r="D48894" s="39"/>
      <c r="E48894" s="39"/>
      <c r="F48894" s="39"/>
    </row>
    <row r="48895">
      <c r="D48895" s="39"/>
      <c r="E48895" s="39"/>
      <c r="F48895" s="39"/>
    </row>
    <row r="48896">
      <c r="D48896" s="39"/>
      <c r="E48896" s="39"/>
      <c r="F48896" s="39"/>
    </row>
    <row r="48897">
      <c r="D48897" s="39"/>
      <c r="E48897" s="39"/>
      <c r="F48897" s="39"/>
    </row>
    <row r="48898">
      <c r="D48898" s="39"/>
      <c r="E48898" s="39"/>
      <c r="F48898" s="39"/>
    </row>
    <row r="48899">
      <c r="D48899" s="39"/>
      <c r="E48899" s="39"/>
      <c r="F48899" s="39"/>
    </row>
    <row r="48900">
      <c r="D48900" s="39"/>
      <c r="E48900" s="39"/>
      <c r="F48900" s="39"/>
    </row>
    <row r="48901">
      <c r="D48901" s="39"/>
      <c r="E48901" s="39"/>
      <c r="F48901" s="39"/>
    </row>
    <row r="48902">
      <c r="D48902" s="39"/>
      <c r="E48902" s="39"/>
      <c r="F48902" s="39"/>
    </row>
    <row r="48903">
      <c r="D48903" s="39"/>
      <c r="E48903" s="39"/>
      <c r="F48903" s="39"/>
    </row>
    <row r="48904">
      <c r="D48904" s="39"/>
      <c r="E48904" s="39"/>
      <c r="F48904" s="39"/>
    </row>
    <row r="48905">
      <c r="D48905" s="39"/>
      <c r="E48905" s="39"/>
      <c r="F48905" s="39"/>
    </row>
    <row r="48906">
      <c r="D48906" s="39"/>
      <c r="E48906" s="39"/>
      <c r="F48906" s="39"/>
    </row>
    <row r="48907">
      <c r="D48907" s="39"/>
      <c r="E48907" s="39"/>
      <c r="F48907" s="39"/>
    </row>
    <row r="48908">
      <c r="D48908" s="39"/>
      <c r="E48908" s="39"/>
      <c r="F48908" s="39"/>
    </row>
    <row r="48909">
      <c r="D48909" s="39"/>
      <c r="E48909" s="39"/>
      <c r="F48909" s="39"/>
    </row>
    <row r="48910">
      <c r="D48910" s="39"/>
      <c r="E48910" s="39"/>
      <c r="F48910" s="39"/>
    </row>
    <row r="48911">
      <c r="D48911" s="39"/>
      <c r="E48911" s="39"/>
      <c r="F48911" s="39"/>
    </row>
    <row r="48912">
      <c r="D48912" s="39"/>
      <c r="E48912" s="39"/>
      <c r="F48912" s="39"/>
    </row>
    <row r="48913">
      <c r="D48913" s="39"/>
      <c r="E48913" s="39"/>
      <c r="F48913" s="39"/>
    </row>
    <row r="48914">
      <c r="D48914" s="39"/>
      <c r="E48914" s="39"/>
      <c r="F48914" s="39"/>
    </row>
    <row r="48915">
      <c r="D48915" s="39"/>
      <c r="E48915" s="39"/>
      <c r="F48915" s="39"/>
    </row>
    <row r="48916">
      <c r="D48916" s="39"/>
      <c r="E48916" s="39"/>
      <c r="F48916" s="39"/>
    </row>
    <row r="48917">
      <c r="D48917" s="39"/>
      <c r="E48917" s="39"/>
      <c r="F48917" s="39"/>
    </row>
    <row r="48918">
      <c r="D48918" s="39"/>
      <c r="E48918" s="39"/>
      <c r="F48918" s="39"/>
    </row>
    <row r="48919">
      <c r="D48919" s="39"/>
      <c r="E48919" s="39"/>
      <c r="F48919" s="39"/>
    </row>
    <row r="48920">
      <c r="D48920" s="39"/>
      <c r="E48920" s="39"/>
      <c r="F48920" s="39"/>
    </row>
    <row r="48921">
      <c r="D48921" s="39"/>
      <c r="E48921" s="39"/>
      <c r="F48921" s="39"/>
    </row>
    <row r="48922">
      <c r="D48922" s="39"/>
      <c r="E48922" s="39"/>
      <c r="F48922" s="39"/>
    </row>
    <row r="48923">
      <c r="D48923" s="39"/>
      <c r="E48923" s="39"/>
      <c r="F48923" s="39"/>
    </row>
    <row r="48924">
      <c r="D48924" s="39"/>
      <c r="E48924" s="39"/>
      <c r="F48924" s="39"/>
    </row>
    <row r="48925">
      <c r="D48925" s="39"/>
      <c r="E48925" s="39"/>
      <c r="F48925" s="39"/>
    </row>
    <row r="48926">
      <c r="D48926" s="39"/>
      <c r="E48926" s="39"/>
      <c r="F48926" s="39"/>
    </row>
    <row r="48927">
      <c r="D48927" s="39"/>
      <c r="E48927" s="39"/>
      <c r="F48927" s="39"/>
    </row>
    <row r="48928">
      <c r="D48928" s="39"/>
      <c r="E48928" s="39"/>
      <c r="F48928" s="39"/>
    </row>
    <row r="48929">
      <c r="D48929" s="39"/>
      <c r="E48929" s="39"/>
      <c r="F48929" s="39"/>
    </row>
    <row r="48930">
      <c r="D48930" s="39"/>
      <c r="E48930" s="39"/>
      <c r="F48930" s="39"/>
    </row>
    <row r="48931">
      <c r="D48931" s="39"/>
      <c r="E48931" s="39"/>
      <c r="F48931" s="39"/>
    </row>
    <row r="48932">
      <c r="D48932" s="39"/>
      <c r="E48932" s="39"/>
      <c r="F48932" s="39"/>
    </row>
    <row r="48933">
      <c r="D48933" s="39"/>
      <c r="E48933" s="39"/>
      <c r="F48933" s="39"/>
    </row>
    <row r="48934">
      <c r="D48934" s="39"/>
      <c r="E48934" s="39"/>
      <c r="F48934" s="39"/>
    </row>
    <row r="48935">
      <c r="D48935" s="39"/>
      <c r="E48935" s="39"/>
      <c r="F48935" s="39"/>
    </row>
    <row r="48936">
      <c r="D48936" s="39"/>
      <c r="E48936" s="39"/>
      <c r="F48936" s="39"/>
    </row>
    <row r="48937">
      <c r="D48937" s="39"/>
      <c r="E48937" s="39"/>
      <c r="F48937" s="39"/>
    </row>
    <row r="48938">
      <c r="D48938" s="39"/>
      <c r="E48938" s="39"/>
      <c r="F48938" s="39"/>
    </row>
    <row r="48939">
      <c r="D48939" s="39"/>
      <c r="E48939" s="39"/>
      <c r="F48939" s="39"/>
    </row>
    <row r="48940">
      <c r="D48940" s="39"/>
      <c r="E48940" s="39"/>
      <c r="F48940" s="39"/>
    </row>
    <row r="48941">
      <c r="D48941" s="39"/>
      <c r="E48941" s="39"/>
      <c r="F48941" s="39"/>
    </row>
    <row r="48942">
      <c r="D48942" s="39"/>
      <c r="E48942" s="39"/>
      <c r="F48942" s="39"/>
    </row>
    <row r="48943">
      <c r="D48943" s="39"/>
      <c r="E48943" s="39"/>
      <c r="F48943" s="39"/>
    </row>
    <row r="48944">
      <c r="D48944" s="39"/>
      <c r="E48944" s="39"/>
      <c r="F48944" s="39"/>
    </row>
    <row r="48945">
      <c r="D48945" s="39"/>
      <c r="E48945" s="39"/>
      <c r="F48945" s="39"/>
    </row>
    <row r="48946">
      <c r="D48946" s="39"/>
      <c r="E48946" s="39"/>
      <c r="F48946" s="39"/>
    </row>
    <row r="48947">
      <c r="D48947" s="39"/>
      <c r="E48947" s="39"/>
      <c r="F48947" s="39"/>
    </row>
    <row r="48948">
      <c r="D48948" s="39"/>
      <c r="E48948" s="39"/>
      <c r="F48948" s="39"/>
    </row>
    <row r="48949">
      <c r="D48949" s="39"/>
      <c r="E48949" s="39"/>
      <c r="F48949" s="39"/>
    </row>
    <row r="48950">
      <c r="D48950" s="39"/>
      <c r="E48950" s="39"/>
      <c r="F48950" s="39"/>
    </row>
    <row r="48951">
      <c r="D48951" s="39"/>
      <c r="E48951" s="39"/>
      <c r="F48951" s="39"/>
    </row>
    <row r="48952">
      <c r="D48952" s="39"/>
      <c r="E48952" s="39"/>
      <c r="F48952" s="39"/>
    </row>
    <row r="48953">
      <c r="D48953" s="39"/>
      <c r="E48953" s="39"/>
      <c r="F48953" s="39"/>
    </row>
    <row r="48954">
      <c r="D48954" s="39"/>
      <c r="E48954" s="39"/>
      <c r="F48954" s="39"/>
    </row>
    <row r="48955">
      <c r="D48955" s="39"/>
      <c r="E48955" s="39"/>
      <c r="F48955" s="39"/>
    </row>
    <row r="48956">
      <c r="D48956" s="39"/>
      <c r="E48956" s="39"/>
      <c r="F48956" s="39"/>
    </row>
    <row r="48957">
      <c r="D48957" s="39"/>
      <c r="E48957" s="39"/>
      <c r="F48957" s="39"/>
    </row>
    <row r="48958">
      <c r="D48958" s="39"/>
      <c r="E48958" s="39"/>
      <c r="F48958" s="39"/>
    </row>
    <row r="48959">
      <c r="D48959" s="39"/>
      <c r="E48959" s="39"/>
      <c r="F48959" s="39"/>
    </row>
    <row r="48960">
      <c r="D48960" s="39"/>
      <c r="E48960" s="39"/>
      <c r="F48960" s="39"/>
    </row>
    <row r="48961">
      <c r="D48961" s="39"/>
      <c r="E48961" s="39"/>
      <c r="F48961" s="39"/>
    </row>
    <row r="48962">
      <c r="D48962" s="39"/>
      <c r="E48962" s="39"/>
      <c r="F48962" s="39"/>
    </row>
    <row r="48963">
      <c r="D48963" s="39"/>
      <c r="E48963" s="39"/>
      <c r="F48963" s="39"/>
    </row>
    <row r="48964">
      <c r="D48964" s="39"/>
      <c r="E48964" s="39"/>
      <c r="F48964" s="39"/>
    </row>
    <row r="48965">
      <c r="D48965" s="39"/>
      <c r="E48965" s="39"/>
      <c r="F48965" s="39"/>
    </row>
    <row r="48966">
      <c r="D48966" s="39"/>
      <c r="E48966" s="39"/>
      <c r="F48966" s="39"/>
    </row>
    <row r="48967">
      <c r="D48967" s="39"/>
      <c r="E48967" s="39"/>
      <c r="F48967" s="39"/>
    </row>
    <row r="48968">
      <c r="D48968" s="39"/>
      <c r="E48968" s="39"/>
      <c r="F48968" s="39"/>
    </row>
    <row r="48969">
      <c r="D48969" s="39"/>
      <c r="E48969" s="39"/>
      <c r="F48969" s="39"/>
    </row>
    <row r="48970">
      <c r="D48970" s="39"/>
      <c r="E48970" s="39"/>
      <c r="F48970" s="39"/>
    </row>
    <row r="48971">
      <c r="D48971" s="39"/>
      <c r="E48971" s="39"/>
      <c r="F48971" s="39"/>
    </row>
    <row r="48972">
      <c r="D48972" s="39"/>
      <c r="E48972" s="39"/>
      <c r="F48972" s="39"/>
    </row>
    <row r="48973">
      <c r="D48973" s="39"/>
      <c r="E48973" s="39"/>
      <c r="F48973" s="39"/>
    </row>
    <row r="48974">
      <c r="D48974" s="39"/>
      <c r="E48974" s="39"/>
      <c r="F48974" s="39"/>
    </row>
    <row r="48975">
      <c r="D48975" s="39"/>
      <c r="E48975" s="39"/>
      <c r="F48975" s="39"/>
    </row>
    <row r="48976">
      <c r="D48976" s="39"/>
      <c r="E48976" s="39"/>
      <c r="F48976" s="39"/>
    </row>
    <row r="48977">
      <c r="D48977" s="39"/>
      <c r="E48977" s="39"/>
      <c r="F48977" s="39"/>
    </row>
    <row r="48978">
      <c r="D48978" s="39"/>
      <c r="E48978" s="39"/>
      <c r="F48978" s="39"/>
    </row>
    <row r="48979">
      <c r="D48979" s="39"/>
      <c r="E48979" s="39"/>
      <c r="F48979" s="39"/>
    </row>
    <row r="48980">
      <c r="D48980" s="39"/>
      <c r="E48980" s="39"/>
      <c r="F48980" s="39"/>
    </row>
    <row r="48981">
      <c r="D48981" s="39"/>
      <c r="E48981" s="39"/>
      <c r="F48981" s="39"/>
    </row>
    <row r="48982">
      <c r="D48982" s="39"/>
      <c r="E48982" s="39"/>
      <c r="F48982" s="39"/>
    </row>
    <row r="48983">
      <c r="D48983" s="39"/>
      <c r="E48983" s="39"/>
      <c r="F48983" s="39"/>
    </row>
    <row r="48984">
      <c r="D48984" s="39"/>
      <c r="E48984" s="39"/>
      <c r="F48984" s="39"/>
    </row>
    <row r="48985">
      <c r="D48985" s="39"/>
      <c r="E48985" s="39"/>
      <c r="F48985" s="39"/>
    </row>
    <row r="48986">
      <c r="D48986" s="39"/>
      <c r="E48986" s="39"/>
      <c r="F48986" s="39"/>
    </row>
    <row r="48987">
      <c r="D48987" s="39"/>
      <c r="E48987" s="39"/>
      <c r="F48987" s="39"/>
    </row>
    <row r="48988">
      <c r="D48988" s="39"/>
      <c r="E48988" s="39"/>
      <c r="F48988" s="39"/>
    </row>
    <row r="48989">
      <c r="D48989" s="39"/>
      <c r="E48989" s="39"/>
      <c r="F48989" s="39"/>
    </row>
    <row r="48990">
      <c r="D48990" s="39"/>
      <c r="E48990" s="39"/>
      <c r="F48990" s="39"/>
    </row>
    <row r="48991">
      <c r="D48991" s="39"/>
      <c r="E48991" s="39"/>
      <c r="F48991" s="39"/>
    </row>
    <row r="48992">
      <c r="D48992" s="39"/>
      <c r="E48992" s="39"/>
      <c r="F48992" s="39"/>
    </row>
    <row r="48993">
      <c r="D48993" s="39"/>
      <c r="E48993" s="39"/>
      <c r="F48993" s="39"/>
    </row>
    <row r="48994">
      <c r="D48994" s="39"/>
      <c r="E48994" s="39"/>
      <c r="F48994" s="39"/>
    </row>
    <row r="48995">
      <c r="D48995" s="39"/>
      <c r="E48995" s="39"/>
      <c r="F48995" s="39"/>
    </row>
    <row r="48996">
      <c r="D48996" s="39"/>
      <c r="E48996" s="39"/>
      <c r="F48996" s="39"/>
    </row>
    <row r="48997">
      <c r="D48997" s="39"/>
      <c r="E48997" s="39"/>
      <c r="F48997" s="39"/>
    </row>
    <row r="48998">
      <c r="D48998" s="39"/>
      <c r="E48998" s="39"/>
      <c r="F48998" s="39"/>
    </row>
    <row r="48999">
      <c r="D48999" s="39"/>
      <c r="E48999" s="39"/>
      <c r="F48999" s="39"/>
    </row>
    <row r="49000">
      <c r="D49000" s="39"/>
      <c r="E49000" s="39"/>
      <c r="F49000" s="39"/>
    </row>
    <row r="49001">
      <c r="D49001" s="39"/>
      <c r="E49001" s="39"/>
      <c r="F49001" s="39"/>
    </row>
    <row r="49002">
      <c r="D49002" s="39"/>
      <c r="E49002" s="39"/>
      <c r="F49002" s="39"/>
    </row>
    <row r="49003">
      <c r="D49003" s="39"/>
      <c r="E49003" s="39"/>
      <c r="F49003" s="39"/>
    </row>
    <row r="49004">
      <c r="D49004" s="39"/>
      <c r="E49004" s="39"/>
      <c r="F49004" s="39"/>
    </row>
    <row r="49005">
      <c r="D49005" s="39"/>
      <c r="E49005" s="39"/>
      <c r="F49005" s="39"/>
    </row>
    <row r="49006">
      <c r="D49006" s="39"/>
      <c r="E49006" s="39"/>
      <c r="F49006" s="39"/>
    </row>
    <row r="49007">
      <c r="D49007" s="39"/>
      <c r="E49007" s="39"/>
      <c r="F49007" s="39"/>
    </row>
    <row r="49008">
      <c r="D49008" s="39"/>
      <c r="E49008" s="39"/>
      <c r="F49008" s="39"/>
    </row>
    <row r="49009">
      <c r="D49009" s="39"/>
      <c r="E49009" s="39"/>
      <c r="F49009" s="39"/>
    </row>
    <row r="49010">
      <c r="D49010" s="39"/>
      <c r="E49010" s="39"/>
      <c r="F49010" s="39"/>
    </row>
    <row r="49011">
      <c r="D49011" s="39"/>
      <c r="E49011" s="39"/>
      <c r="F49011" s="39"/>
    </row>
    <row r="49012">
      <c r="D49012" s="39"/>
      <c r="E49012" s="39"/>
      <c r="F49012" s="39"/>
    </row>
    <row r="49013">
      <c r="D49013" s="39"/>
      <c r="E49013" s="39"/>
      <c r="F49013" s="39"/>
    </row>
    <row r="49014">
      <c r="D49014" s="39"/>
      <c r="E49014" s="39"/>
      <c r="F49014" s="39"/>
    </row>
    <row r="49015">
      <c r="D49015" s="39"/>
      <c r="E49015" s="39"/>
      <c r="F49015" s="39"/>
    </row>
    <row r="49016">
      <c r="D49016" s="39"/>
      <c r="E49016" s="39"/>
      <c r="F49016" s="39"/>
    </row>
    <row r="49017">
      <c r="D49017" s="39"/>
      <c r="E49017" s="39"/>
      <c r="F49017" s="39"/>
    </row>
    <row r="49018">
      <c r="D49018" s="39"/>
      <c r="E49018" s="39"/>
      <c r="F49018" s="39"/>
    </row>
    <row r="49019">
      <c r="D49019" s="39"/>
      <c r="E49019" s="39"/>
      <c r="F49019" s="39"/>
    </row>
    <row r="49020">
      <c r="D49020" s="39"/>
      <c r="E49020" s="39"/>
      <c r="F49020" s="39"/>
    </row>
    <row r="49021">
      <c r="D49021" s="39"/>
      <c r="E49021" s="39"/>
      <c r="F49021" s="39"/>
    </row>
    <row r="49022">
      <c r="D49022" s="39"/>
      <c r="E49022" s="39"/>
      <c r="F49022" s="39"/>
    </row>
    <row r="49023">
      <c r="D49023" s="39"/>
      <c r="E49023" s="39"/>
      <c r="F49023" s="39"/>
    </row>
    <row r="49024">
      <c r="D49024" s="39"/>
      <c r="E49024" s="39"/>
      <c r="F49024" s="39"/>
    </row>
    <row r="49025">
      <c r="D49025" s="39"/>
      <c r="E49025" s="39"/>
      <c r="F49025" s="39"/>
    </row>
    <row r="49026">
      <c r="D49026" s="39"/>
      <c r="E49026" s="39"/>
      <c r="F49026" s="39"/>
    </row>
    <row r="49027">
      <c r="D49027" s="39"/>
      <c r="E49027" s="39"/>
      <c r="F49027" s="39"/>
    </row>
    <row r="49028">
      <c r="D49028" s="39"/>
      <c r="E49028" s="39"/>
      <c r="F49028" s="39"/>
    </row>
    <row r="49029">
      <c r="D49029" s="39"/>
      <c r="E49029" s="39"/>
      <c r="F49029" s="39"/>
    </row>
    <row r="49030">
      <c r="D49030" s="39"/>
      <c r="E49030" s="39"/>
      <c r="F49030" s="39"/>
    </row>
    <row r="49031">
      <c r="D49031" s="39"/>
      <c r="E49031" s="39"/>
      <c r="F49031" s="39"/>
    </row>
    <row r="49032">
      <c r="D49032" s="39"/>
      <c r="E49032" s="39"/>
      <c r="F49032" s="39"/>
    </row>
    <row r="49033">
      <c r="D49033" s="39"/>
      <c r="E49033" s="39"/>
      <c r="F49033" s="39"/>
    </row>
    <row r="49034">
      <c r="D49034" s="39"/>
      <c r="E49034" s="39"/>
      <c r="F49034" s="39"/>
    </row>
    <row r="49035">
      <c r="D49035" s="39"/>
      <c r="E49035" s="39"/>
      <c r="F49035" s="39"/>
    </row>
    <row r="49036">
      <c r="D49036" s="39"/>
      <c r="E49036" s="39"/>
      <c r="F49036" s="39"/>
    </row>
    <row r="49037">
      <c r="D49037" s="39"/>
      <c r="E49037" s="39"/>
      <c r="F49037" s="39"/>
    </row>
    <row r="49038">
      <c r="D49038" s="39"/>
      <c r="E49038" s="39"/>
      <c r="F49038" s="39"/>
    </row>
    <row r="49039">
      <c r="D49039" s="39"/>
      <c r="E49039" s="39"/>
      <c r="F49039" s="39"/>
    </row>
    <row r="49040">
      <c r="D49040" s="39"/>
      <c r="E49040" s="39"/>
      <c r="F49040" s="39"/>
    </row>
    <row r="49041">
      <c r="D49041" s="39"/>
      <c r="E49041" s="39"/>
      <c r="F49041" s="39"/>
    </row>
    <row r="49042">
      <c r="D49042" s="39"/>
      <c r="E49042" s="39"/>
      <c r="F49042" s="39"/>
    </row>
    <row r="49043">
      <c r="D49043" s="39"/>
      <c r="E49043" s="39"/>
      <c r="F49043" s="39"/>
    </row>
    <row r="49044">
      <c r="D49044" s="39"/>
      <c r="E49044" s="39"/>
      <c r="F49044" s="39"/>
    </row>
    <row r="49045">
      <c r="D49045" s="39"/>
      <c r="E49045" s="39"/>
      <c r="F49045" s="39"/>
    </row>
    <row r="49046">
      <c r="D49046" s="39"/>
      <c r="E49046" s="39"/>
      <c r="F49046" s="39"/>
    </row>
    <row r="49047">
      <c r="D49047" s="39"/>
      <c r="E49047" s="39"/>
      <c r="F49047" s="39"/>
    </row>
    <row r="49048">
      <c r="D49048" s="39"/>
      <c r="E49048" s="39"/>
      <c r="F49048" s="39"/>
    </row>
    <row r="49049">
      <c r="D49049" s="39"/>
      <c r="E49049" s="39"/>
      <c r="F49049" s="39"/>
    </row>
    <row r="49050">
      <c r="D49050" s="39"/>
      <c r="E49050" s="39"/>
      <c r="F49050" s="39"/>
    </row>
    <row r="49051">
      <c r="D49051" s="39"/>
      <c r="E49051" s="39"/>
      <c r="F49051" s="39"/>
    </row>
    <row r="49052">
      <c r="D49052" s="39"/>
      <c r="E49052" s="39"/>
      <c r="F49052" s="39"/>
    </row>
    <row r="49053">
      <c r="D49053" s="39"/>
      <c r="E49053" s="39"/>
      <c r="F49053" s="39"/>
    </row>
    <row r="49054">
      <c r="D49054" s="39"/>
      <c r="E49054" s="39"/>
      <c r="F49054" s="39"/>
    </row>
    <row r="49055">
      <c r="D49055" s="39"/>
      <c r="E49055" s="39"/>
      <c r="F49055" s="39"/>
    </row>
    <row r="49056">
      <c r="D49056" s="39"/>
      <c r="E49056" s="39"/>
      <c r="F49056" s="39"/>
    </row>
    <row r="49057">
      <c r="D49057" s="39"/>
      <c r="E49057" s="39"/>
      <c r="F49057" s="39"/>
    </row>
    <row r="49058">
      <c r="D49058" s="39"/>
      <c r="E49058" s="39"/>
      <c r="F49058" s="39"/>
    </row>
    <row r="49059">
      <c r="D49059" s="39"/>
      <c r="E49059" s="39"/>
      <c r="F49059" s="39"/>
    </row>
    <row r="49060">
      <c r="D49060" s="39"/>
      <c r="E49060" s="39"/>
      <c r="F49060" s="39"/>
    </row>
    <row r="49061">
      <c r="D49061" s="39"/>
      <c r="E49061" s="39"/>
      <c r="F49061" s="39"/>
    </row>
    <row r="49062">
      <c r="D49062" s="39"/>
      <c r="E49062" s="39"/>
      <c r="F49062" s="39"/>
    </row>
    <row r="49063">
      <c r="D49063" s="39"/>
      <c r="E49063" s="39"/>
      <c r="F49063" s="39"/>
    </row>
    <row r="49064">
      <c r="D49064" s="39"/>
      <c r="E49064" s="39"/>
      <c r="F49064" s="39"/>
    </row>
    <row r="49065">
      <c r="D49065" s="39"/>
      <c r="E49065" s="39"/>
      <c r="F49065" s="39"/>
    </row>
    <row r="49066">
      <c r="D49066" s="39"/>
      <c r="E49066" s="39"/>
      <c r="F49066" s="39"/>
    </row>
    <row r="49067">
      <c r="D49067" s="39"/>
      <c r="E49067" s="39"/>
      <c r="F49067" s="39"/>
    </row>
    <row r="49068">
      <c r="D49068" s="39"/>
      <c r="E49068" s="39"/>
      <c r="F49068" s="39"/>
    </row>
    <row r="49069">
      <c r="D49069" s="39"/>
      <c r="E49069" s="39"/>
      <c r="F49069" s="39"/>
    </row>
    <row r="49070">
      <c r="D49070" s="39"/>
      <c r="E49070" s="39"/>
      <c r="F49070" s="39"/>
    </row>
    <row r="49071">
      <c r="D49071" s="39"/>
      <c r="E49071" s="39"/>
      <c r="F49071" s="39"/>
    </row>
    <row r="49072">
      <c r="D49072" s="39"/>
      <c r="E49072" s="39"/>
      <c r="F49072" s="39"/>
    </row>
    <row r="49073">
      <c r="D49073" s="39"/>
      <c r="E49073" s="39"/>
      <c r="F49073" s="39"/>
    </row>
    <row r="49074">
      <c r="D49074" s="39"/>
      <c r="E49074" s="39"/>
      <c r="F49074" s="39"/>
    </row>
    <row r="49075">
      <c r="D49075" s="39"/>
      <c r="E49075" s="39"/>
      <c r="F49075" s="39"/>
    </row>
    <row r="49076">
      <c r="D49076" s="39"/>
      <c r="E49076" s="39"/>
      <c r="F49076" s="39"/>
    </row>
    <row r="49077">
      <c r="D49077" s="39"/>
      <c r="E49077" s="39"/>
      <c r="F49077" s="39"/>
    </row>
    <row r="49078">
      <c r="D49078" s="39"/>
      <c r="E49078" s="39"/>
      <c r="F49078" s="39"/>
    </row>
    <row r="49079">
      <c r="D49079" s="39"/>
      <c r="E49079" s="39"/>
      <c r="F49079" s="39"/>
    </row>
    <row r="49080">
      <c r="D49080" s="39"/>
      <c r="E49080" s="39"/>
      <c r="F49080" s="39"/>
    </row>
    <row r="49081">
      <c r="D49081" s="39"/>
      <c r="E49081" s="39"/>
      <c r="F49081" s="39"/>
    </row>
    <row r="49082">
      <c r="D49082" s="39"/>
      <c r="E49082" s="39"/>
      <c r="F49082" s="39"/>
    </row>
    <row r="49083">
      <c r="D49083" s="39"/>
      <c r="E49083" s="39"/>
      <c r="F49083" s="39"/>
    </row>
    <row r="49084">
      <c r="D49084" s="39"/>
      <c r="E49084" s="39"/>
      <c r="F49084" s="39"/>
    </row>
    <row r="49085">
      <c r="D49085" s="39"/>
      <c r="E49085" s="39"/>
      <c r="F49085" s="39"/>
    </row>
    <row r="49086">
      <c r="D49086" s="39"/>
      <c r="E49086" s="39"/>
      <c r="F49086" s="39"/>
    </row>
    <row r="49087">
      <c r="D49087" s="39"/>
      <c r="E49087" s="39"/>
      <c r="F49087" s="39"/>
    </row>
    <row r="49088">
      <c r="D49088" s="39"/>
      <c r="E49088" s="39"/>
      <c r="F49088" s="39"/>
    </row>
    <row r="49089">
      <c r="D49089" s="39"/>
      <c r="E49089" s="39"/>
      <c r="F49089" s="39"/>
    </row>
    <row r="49090">
      <c r="D49090" s="39"/>
      <c r="E49090" s="39"/>
      <c r="F49090" s="39"/>
    </row>
    <row r="49091">
      <c r="D49091" s="39"/>
      <c r="E49091" s="39"/>
      <c r="F49091" s="39"/>
    </row>
    <row r="49092">
      <c r="D49092" s="39"/>
      <c r="E49092" s="39"/>
      <c r="F49092" s="39"/>
    </row>
    <row r="49093">
      <c r="D49093" s="39"/>
      <c r="E49093" s="39"/>
      <c r="F49093" s="39"/>
    </row>
    <row r="49094">
      <c r="D49094" s="39"/>
      <c r="E49094" s="39"/>
      <c r="F49094" s="39"/>
    </row>
    <row r="49095">
      <c r="D49095" s="39"/>
      <c r="E49095" s="39"/>
      <c r="F49095" s="39"/>
    </row>
    <row r="49096">
      <c r="D49096" s="39"/>
      <c r="E49096" s="39"/>
      <c r="F49096" s="39"/>
    </row>
    <row r="49097">
      <c r="D49097" s="39"/>
      <c r="E49097" s="39"/>
      <c r="F49097" s="39"/>
    </row>
    <row r="49098">
      <c r="D49098" s="39"/>
      <c r="E49098" s="39"/>
      <c r="F49098" s="39"/>
    </row>
    <row r="49099">
      <c r="D49099" s="39"/>
      <c r="E49099" s="39"/>
      <c r="F49099" s="39"/>
    </row>
    <row r="49100">
      <c r="D49100" s="39"/>
      <c r="E49100" s="39"/>
      <c r="F49100" s="39"/>
    </row>
    <row r="49101">
      <c r="D49101" s="39"/>
      <c r="E49101" s="39"/>
      <c r="F49101" s="39"/>
    </row>
    <row r="49102">
      <c r="D49102" s="39"/>
      <c r="E49102" s="39"/>
      <c r="F49102" s="39"/>
    </row>
    <row r="49103">
      <c r="D49103" s="39"/>
      <c r="E49103" s="39"/>
      <c r="F49103" s="39"/>
    </row>
    <row r="49104">
      <c r="D49104" s="39"/>
      <c r="E49104" s="39"/>
      <c r="F49104" s="39"/>
    </row>
    <row r="49105">
      <c r="D49105" s="39"/>
      <c r="E49105" s="39"/>
      <c r="F49105" s="39"/>
    </row>
    <row r="49106">
      <c r="D49106" s="39"/>
      <c r="E49106" s="39"/>
      <c r="F49106" s="39"/>
    </row>
    <row r="49107">
      <c r="D49107" s="39"/>
      <c r="E49107" s="39"/>
      <c r="F49107" s="39"/>
    </row>
    <row r="49108">
      <c r="D49108" s="39"/>
      <c r="E49108" s="39"/>
      <c r="F49108" s="39"/>
    </row>
    <row r="49109">
      <c r="D49109" s="39"/>
      <c r="E49109" s="39"/>
      <c r="F49109" s="39"/>
    </row>
    <row r="49110">
      <c r="D49110" s="39"/>
      <c r="E49110" s="39"/>
      <c r="F49110" s="39"/>
    </row>
    <row r="49111">
      <c r="D49111" s="39"/>
      <c r="E49111" s="39"/>
      <c r="F49111" s="39"/>
    </row>
    <row r="49112">
      <c r="D49112" s="39"/>
      <c r="E49112" s="39"/>
      <c r="F49112" s="39"/>
    </row>
    <row r="49113">
      <c r="D49113" s="39"/>
      <c r="E49113" s="39"/>
      <c r="F49113" s="39"/>
    </row>
    <row r="49114">
      <c r="D49114" s="39"/>
      <c r="E49114" s="39"/>
      <c r="F49114" s="39"/>
    </row>
    <row r="49115">
      <c r="D49115" s="39"/>
      <c r="E49115" s="39"/>
      <c r="F49115" s="39"/>
    </row>
    <row r="49116">
      <c r="D49116" s="39"/>
      <c r="E49116" s="39"/>
      <c r="F49116" s="39"/>
    </row>
    <row r="49117">
      <c r="D49117" s="39"/>
      <c r="E49117" s="39"/>
      <c r="F49117" s="39"/>
    </row>
    <row r="49118">
      <c r="D49118" s="39"/>
      <c r="E49118" s="39"/>
      <c r="F49118" s="39"/>
    </row>
    <row r="49119">
      <c r="D49119" s="39"/>
      <c r="E49119" s="39"/>
      <c r="F49119" s="39"/>
    </row>
    <row r="49120">
      <c r="D49120" s="39"/>
      <c r="E49120" s="39"/>
      <c r="F49120" s="39"/>
    </row>
    <row r="49121">
      <c r="D49121" s="39"/>
      <c r="E49121" s="39"/>
      <c r="F49121" s="39"/>
    </row>
    <row r="49122">
      <c r="D49122" s="39"/>
      <c r="E49122" s="39"/>
      <c r="F49122" s="39"/>
    </row>
    <row r="49123">
      <c r="D49123" s="39"/>
      <c r="E49123" s="39"/>
      <c r="F49123" s="39"/>
    </row>
    <row r="49124">
      <c r="D49124" s="39"/>
      <c r="E49124" s="39"/>
      <c r="F49124" s="39"/>
    </row>
    <row r="49125">
      <c r="D49125" s="39"/>
      <c r="E49125" s="39"/>
      <c r="F49125" s="39"/>
    </row>
    <row r="49126">
      <c r="D49126" s="39"/>
      <c r="E49126" s="39"/>
      <c r="F49126" s="39"/>
    </row>
    <row r="49127">
      <c r="D49127" s="39"/>
      <c r="E49127" s="39"/>
      <c r="F49127" s="39"/>
    </row>
    <row r="49128">
      <c r="D49128" s="39"/>
      <c r="E49128" s="39"/>
      <c r="F49128" s="39"/>
    </row>
    <row r="49129">
      <c r="D49129" s="39"/>
      <c r="E49129" s="39"/>
      <c r="F49129" s="39"/>
    </row>
    <row r="49130">
      <c r="D49130" s="39"/>
      <c r="E49130" s="39"/>
      <c r="F49130" s="39"/>
    </row>
    <row r="49131">
      <c r="D49131" s="39"/>
      <c r="E49131" s="39"/>
      <c r="F49131" s="39"/>
    </row>
    <row r="49132">
      <c r="D49132" s="39"/>
      <c r="E49132" s="39"/>
      <c r="F49132" s="39"/>
    </row>
    <row r="49133">
      <c r="D49133" s="39"/>
      <c r="E49133" s="39"/>
      <c r="F49133" s="39"/>
    </row>
    <row r="49134">
      <c r="D49134" s="39"/>
      <c r="E49134" s="39"/>
      <c r="F49134" s="39"/>
    </row>
    <row r="49135">
      <c r="D49135" s="39"/>
      <c r="E49135" s="39"/>
      <c r="F49135" s="39"/>
    </row>
    <row r="49136">
      <c r="D49136" s="39"/>
      <c r="E49136" s="39"/>
      <c r="F49136" s="39"/>
    </row>
    <row r="49137">
      <c r="D49137" s="39"/>
      <c r="E49137" s="39"/>
      <c r="F49137" s="39"/>
    </row>
    <row r="49138">
      <c r="D49138" s="39"/>
      <c r="E49138" s="39"/>
      <c r="F49138" s="39"/>
    </row>
    <row r="49139">
      <c r="D49139" s="39"/>
      <c r="E49139" s="39"/>
      <c r="F49139" s="39"/>
    </row>
    <row r="49140">
      <c r="D49140" s="39"/>
      <c r="E49140" s="39"/>
      <c r="F49140" s="39"/>
    </row>
    <row r="49141">
      <c r="D49141" s="39"/>
      <c r="E49141" s="39"/>
      <c r="F49141" s="39"/>
    </row>
    <row r="49142">
      <c r="D49142" s="39"/>
      <c r="E49142" s="39"/>
      <c r="F49142" s="39"/>
    </row>
    <row r="49143">
      <c r="D49143" s="39"/>
      <c r="E49143" s="39"/>
      <c r="F49143" s="39"/>
    </row>
    <row r="49144">
      <c r="D49144" s="39"/>
      <c r="E49144" s="39"/>
      <c r="F49144" s="39"/>
    </row>
    <row r="49145">
      <c r="D49145" s="39"/>
      <c r="E49145" s="39"/>
      <c r="F49145" s="39"/>
    </row>
    <row r="49146">
      <c r="D49146" s="39"/>
      <c r="E49146" s="39"/>
      <c r="F49146" s="39"/>
    </row>
    <row r="49147">
      <c r="D49147" s="39"/>
      <c r="E49147" s="39"/>
      <c r="F49147" s="39"/>
    </row>
    <row r="49148">
      <c r="D49148" s="39"/>
      <c r="E49148" s="39"/>
      <c r="F49148" s="39"/>
    </row>
    <row r="49149">
      <c r="D49149" s="39"/>
      <c r="E49149" s="39"/>
      <c r="F49149" s="39"/>
    </row>
    <row r="49150">
      <c r="D49150" s="39"/>
      <c r="E49150" s="39"/>
      <c r="F49150" s="39"/>
    </row>
    <row r="49151">
      <c r="D49151" s="39"/>
      <c r="E49151" s="39"/>
      <c r="F49151" s="39"/>
    </row>
    <row r="49152">
      <c r="D49152" s="39"/>
      <c r="E49152" s="39"/>
      <c r="F49152" s="39"/>
    </row>
    <row r="49153">
      <c r="D49153" s="39"/>
      <c r="E49153" s="39"/>
      <c r="F49153" s="39"/>
    </row>
    <row r="49154">
      <c r="D49154" s="39"/>
      <c r="E49154" s="39"/>
      <c r="F49154" s="39"/>
    </row>
    <row r="49155">
      <c r="D49155" s="39"/>
      <c r="E49155" s="39"/>
      <c r="F49155" s="39"/>
    </row>
    <row r="49156">
      <c r="D49156" s="39"/>
      <c r="E49156" s="39"/>
      <c r="F49156" s="39"/>
    </row>
    <row r="49157">
      <c r="D49157" s="39"/>
      <c r="E49157" s="39"/>
      <c r="F49157" s="39"/>
    </row>
    <row r="49158">
      <c r="D49158" s="39"/>
      <c r="E49158" s="39"/>
      <c r="F49158" s="39"/>
    </row>
    <row r="49159">
      <c r="D49159" s="39"/>
      <c r="E49159" s="39"/>
      <c r="F49159" s="39"/>
    </row>
    <row r="49160">
      <c r="D49160" s="39"/>
      <c r="E49160" s="39"/>
      <c r="F49160" s="39"/>
    </row>
    <row r="49161">
      <c r="D49161" s="39"/>
      <c r="E49161" s="39"/>
      <c r="F49161" s="39"/>
    </row>
    <row r="49162">
      <c r="D49162" s="39"/>
      <c r="E49162" s="39"/>
      <c r="F49162" s="39"/>
    </row>
    <row r="49163">
      <c r="D49163" s="39"/>
      <c r="E49163" s="39"/>
      <c r="F49163" s="39"/>
    </row>
    <row r="49164">
      <c r="D49164" s="39"/>
      <c r="E49164" s="39"/>
      <c r="F49164" s="39"/>
    </row>
    <row r="49165">
      <c r="D49165" s="39"/>
      <c r="E49165" s="39"/>
      <c r="F49165" s="39"/>
    </row>
    <row r="49166">
      <c r="D49166" s="39"/>
      <c r="E49166" s="39"/>
      <c r="F49166" s="39"/>
    </row>
    <row r="49167">
      <c r="D49167" s="39"/>
      <c r="E49167" s="39"/>
      <c r="F49167" s="39"/>
    </row>
    <row r="49168">
      <c r="D49168" s="39"/>
      <c r="E49168" s="39"/>
      <c r="F49168" s="39"/>
    </row>
    <row r="49169">
      <c r="D49169" s="39"/>
      <c r="E49169" s="39"/>
      <c r="F49169" s="39"/>
    </row>
    <row r="49170">
      <c r="D49170" s="39"/>
      <c r="E49170" s="39"/>
      <c r="F49170" s="39"/>
    </row>
    <row r="49171">
      <c r="D49171" s="39"/>
      <c r="E49171" s="39"/>
      <c r="F49171" s="39"/>
    </row>
    <row r="49172">
      <c r="D49172" s="39"/>
      <c r="E49172" s="39"/>
      <c r="F49172" s="39"/>
    </row>
    <row r="49173">
      <c r="D49173" s="39"/>
      <c r="E49173" s="39"/>
      <c r="F49173" s="39"/>
    </row>
    <row r="49174">
      <c r="D49174" s="39"/>
      <c r="E49174" s="39"/>
      <c r="F49174" s="39"/>
    </row>
    <row r="49175">
      <c r="D49175" s="39"/>
      <c r="E49175" s="39"/>
      <c r="F49175" s="39"/>
    </row>
    <row r="49176">
      <c r="D49176" s="39"/>
      <c r="E49176" s="39"/>
      <c r="F49176" s="39"/>
    </row>
    <row r="49177">
      <c r="D49177" s="39"/>
      <c r="E49177" s="39"/>
      <c r="F49177" s="39"/>
    </row>
    <row r="49178">
      <c r="D49178" s="39"/>
      <c r="E49178" s="39"/>
      <c r="F49178" s="39"/>
    </row>
    <row r="49179">
      <c r="D49179" s="39"/>
      <c r="E49179" s="39"/>
      <c r="F49179" s="39"/>
    </row>
    <row r="49180">
      <c r="D49180" s="39"/>
      <c r="E49180" s="39"/>
      <c r="F49180" s="39"/>
    </row>
    <row r="49181">
      <c r="D49181" s="39"/>
      <c r="E49181" s="39"/>
      <c r="F49181" s="39"/>
    </row>
    <row r="49182">
      <c r="D49182" s="39"/>
      <c r="E49182" s="39"/>
      <c r="F49182" s="39"/>
    </row>
    <row r="49183">
      <c r="D49183" s="39"/>
      <c r="E49183" s="39"/>
      <c r="F49183" s="39"/>
    </row>
    <row r="49184">
      <c r="D49184" s="39"/>
      <c r="E49184" s="39"/>
      <c r="F49184" s="39"/>
    </row>
    <row r="49185">
      <c r="D49185" s="39"/>
      <c r="E49185" s="39"/>
      <c r="F49185" s="39"/>
    </row>
    <row r="49186">
      <c r="D49186" s="39"/>
      <c r="E49186" s="39"/>
      <c r="F49186" s="39"/>
    </row>
    <row r="49187">
      <c r="D49187" s="39"/>
      <c r="E49187" s="39"/>
      <c r="F49187" s="39"/>
    </row>
    <row r="49188">
      <c r="D49188" s="39"/>
      <c r="E49188" s="39"/>
      <c r="F49188" s="39"/>
    </row>
    <row r="49189">
      <c r="D49189" s="39"/>
      <c r="E49189" s="39"/>
      <c r="F49189" s="39"/>
    </row>
    <row r="49190">
      <c r="D49190" s="39"/>
      <c r="E49190" s="39"/>
      <c r="F49190" s="39"/>
    </row>
    <row r="49191">
      <c r="D49191" s="39"/>
      <c r="E49191" s="39"/>
      <c r="F49191" s="39"/>
    </row>
    <row r="49192">
      <c r="D49192" s="39"/>
      <c r="E49192" s="39"/>
      <c r="F49192" s="39"/>
    </row>
    <row r="49193">
      <c r="D49193" s="39"/>
      <c r="E49193" s="39"/>
      <c r="F49193" s="39"/>
    </row>
    <row r="49194">
      <c r="D49194" s="39"/>
      <c r="E49194" s="39"/>
      <c r="F49194" s="39"/>
    </row>
    <row r="49195">
      <c r="D49195" s="39"/>
      <c r="E49195" s="39"/>
      <c r="F49195" s="39"/>
    </row>
    <row r="49196">
      <c r="D49196" s="39"/>
      <c r="E49196" s="39"/>
      <c r="F49196" s="39"/>
    </row>
    <row r="49197">
      <c r="D49197" s="39"/>
      <c r="E49197" s="39"/>
      <c r="F49197" s="39"/>
    </row>
    <row r="49198">
      <c r="D49198" s="39"/>
      <c r="E49198" s="39"/>
      <c r="F49198" s="39"/>
    </row>
    <row r="49199">
      <c r="D49199" s="39"/>
      <c r="E49199" s="39"/>
      <c r="F49199" s="39"/>
    </row>
    <row r="49200">
      <c r="D49200" s="39"/>
      <c r="E49200" s="39"/>
      <c r="F49200" s="39"/>
    </row>
    <row r="49201">
      <c r="D49201" s="39"/>
      <c r="E49201" s="39"/>
      <c r="F49201" s="39"/>
    </row>
    <row r="49202">
      <c r="D49202" s="39"/>
      <c r="E49202" s="39"/>
      <c r="F49202" s="39"/>
    </row>
    <row r="49203">
      <c r="D49203" s="39"/>
      <c r="E49203" s="39"/>
      <c r="F49203" s="39"/>
    </row>
    <row r="49204">
      <c r="D49204" s="39"/>
      <c r="E49204" s="39"/>
      <c r="F49204" s="39"/>
    </row>
    <row r="49205">
      <c r="D49205" s="39"/>
      <c r="E49205" s="39"/>
      <c r="F49205" s="39"/>
    </row>
    <row r="49206">
      <c r="D49206" s="39"/>
      <c r="E49206" s="39"/>
      <c r="F49206" s="39"/>
    </row>
    <row r="49207">
      <c r="D49207" s="39"/>
      <c r="E49207" s="39"/>
      <c r="F49207" s="39"/>
    </row>
    <row r="49208">
      <c r="D49208" s="39"/>
      <c r="E49208" s="39"/>
      <c r="F49208" s="39"/>
    </row>
    <row r="49209">
      <c r="D49209" s="39"/>
      <c r="E49209" s="39"/>
      <c r="F49209" s="39"/>
    </row>
    <row r="49210">
      <c r="D49210" s="39"/>
      <c r="E49210" s="39"/>
      <c r="F49210" s="39"/>
    </row>
    <row r="49211">
      <c r="D49211" s="39"/>
      <c r="E49211" s="39"/>
      <c r="F49211" s="39"/>
    </row>
    <row r="49212">
      <c r="D49212" s="39"/>
      <c r="E49212" s="39"/>
      <c r="F49212" s="39"/>
    </row>
    <row r="49213">
      <c r="D49213" s="39"/>
      <c r="E49213" s="39"/>
      <c r="F49213" s="39"/>
    </row>
    <row r="49214">
      <c r="D49214" s="39"/>
      <c r="E49214" s="39"/>
      <c r="F49214" s="39"/>
    </row>
    <row r="49215">
      <c r="D49215" s="39"/>
      <c r="E49215" s="39"/>
      <c r="F49215" s="39"/>
    </row>
    <row r="49216">
      <c r="D49216" s="39"/>
      <c r="E49216" s="39"/>
      <c r="F49216" s="39"/>
    </row>
    <row r="49217">
      <c r="D49217" s="39"/>
      <c r="E49217" s="39"/>
      <c r="F49217" s="39"/>
    </row>
    <row r="49218">
      <c r="D49218" s="39"/>
      <c r="E49218" s="39"/>
      <c r="F49218" s="39"/>
    </row>
    <row r="49219">
      <c r="D49219" s="39"/>
      <c r="E49219" s="39"/>
      <c r="F49219" s="39"/>
    </row>
    <row r="49220">
      <c r="D49220" s="39"/>
      <c r="E49220" s="39"/>
      <c r="F49220" s="39"/>
    </row>
    <row r="49221">
      <c r="D49221" s="39"/>
      <c r="E49221" s="39"/>
      <c r="F49221" s="39"/>
    </row>
    <row r="49222">
      <c r="D49222" s="39"/>
      <c r="E49222" s="39"/>
      <c r="F49222" s="39"/>
    </row>
    <row r="49223">
      <c r="D49223" s="39"/>
      <c r="E49223" s="39"/>
      <c r="F49223" s="39"/>
    </row>
    <row r="49224">
      <c r="D49224" s="39"/>
      <c r="E49224" s="39"/>
      <c r="F49224" s="39"/>
    </row>
    <row r="49225">
      <c r="D49225" s="39"/>
      <c r="E49225" s="39"/>
      <c r="F49225" s="39"/>
    </row>
    <row r="49226">
      <c r="D49226" s="39"/>
      <c r="E49226" s="39"/>
      <c r="F49226" s="39"/>
    </row>
    <row r="49227">
      <c r="D49227" s="39"/>
      <c r="E49227" s="39"/>
      <c r="F49227" s="39"/>
    </row>
    <row r="49228">
      <c r="D49228" s="39"/>
      <c r="E49228" s="39"/>
      <c r="F49228" s="39"/>
    </row>
    <row r="49229">
      <c r="D49229" s="39"/>
      <c r="E49229" s="39"/>
      <c r="F49229" s="39"/>
    </row>
    <row r="49230">
      <c r="D49230" s="39"/>
      <c r="E49230" s="39"/>
      <c r="F49230" s="39"/>
    </row>
    <row r="49231">
      <c r="D49231" s="39"/>
      <c r="E49231" s="39"/>
      <c r="F49231" s="39"/>
    </row>
    <row r="49232">
      <c r="D49232" s="39"/>
      <c r="E49232" s="39"/>
      <c r="F49232" s="39"/>
    </row>
    <row r="49233">
      <c r="D49233" s="39"/>
      <c r="E49233" s="39"/>
      <c r="F49233" s="39"/>
    </row>
    <row r="49234">
      <c r="D49234" s="39"/>
      <c r="E49234" s="39"/>
      <c r="F49234" s="39"/>
    </row>
    <row r="49235">
      <c r="D49235" s="39"/>
      <c r="E49235" s="39"/>
      <c r="F49235" s="39"/>
    </row>
    <row r="49236">
      <c r="D49236" s="39"/>
      <c r="E49236" s="39"/>
      <c r="F49236" s="39"/>
    </row>
    <row r="49237">
      <c r="D49237" s="39"/>
      <c r="E49237" s="39"/>
      <c r="F49237" s="39"/>
    </row>
    <row r="49238">
      <c r="D49238" s="39"/>
      <c r="E49238" s="39"/>
      <c r="F49238" s="39"/>
    </row>
    <row r="49239">
      <c r="D49239" s="39"/>
      <c r="E49239" s="39"/>
      <c r="F49239" s="39"/>
    </row>
    <row r="49240">
      <c r="D49240" s="39"/>
      <c r="E49240" s="39"/>
      <c r="F49240" s="39"/>
    </row>
    <row r="49241">
      <c r="D49241" s="39"/>
      <c r="E49241" s="39"/>
      <c r="F49241" s="39"/>
    </row>
    <row r="49242">
      <c r="D49242" s="39"/>
      <c r="E49242" s="39"/>
      <c r="F49242" s="39"/>
    </row>
    <row r="49243">
      <c r="D49243" s="39"/>
      <c r="E49243" s="39"/>
      <c r="F49243" s="39"/>
    </row>
    <row r="49244">
      <c r="D49244" s="39"/>
      <c r="E49244" s="39"/>
      <c r="F49244" s="39"/>
    </row>
    <row r="49245">
      <c r="D49245" s="39"/>
      <c r="E49245" s="39"/>
      <c r="F49245" s="39"/>
    </row>
    <row r="49246">
      <c r="D49246" s="39"/>
      <c r="E49246" s="39"/>
      <c r="F49246" s="39"/>
    </row>
    <row r="49247">
      <c r="D49247" s="39"/>
      <c r="E49247" s="39"/>
      <c r="F49247" s="39"/>
    </row>
    <row r="49248">
      <c r="D49248" s="39"/>
      <c r="E49248" s="39"/>
      <c r="F49248" s="39"/>
    </row>
    <row r="49249">
      <c r="D49249" s="39"/>
      <c r="E49249" s="39"/>
      <c r="F49249" s="39"/>
    </row>
    <row r="49250">
      <c r="D49250" s="39"/>
      <c r="E49250" s="39"/>
      <c r="F49250" s="39"/>
    </row>
    <row r="49251">
      <c r="D49251" s="39"/>
      <c r="E49251" s="39"/>
      <c r="F49251" s="39"/>
    </row>
    <row r="49252">
      <c r="D49252" s="39"/>
      <c r="E49252" s="39"/>
      <c r="F49252" s="39"/>
    </row>
    <row r="49253">
      <c r="D49253" s="39"/>
      <c r="E49253" s="39"/>
      <c r="F49253" s="39"/>
    </row>
    <row r="49254">
      <c r="D49254" s="39"/>
      <c r="E49254" s="39"/>
      <c r="F49254" s="39"/>
    </row>
    <row r="49255">
      <c r="D49255" s="39"/>
      <c r="E49255" s="39"/>
      <c r="F49255" s="39"/>
    </row>
    <row r="49256">
      <c r="D49256" s="39"/>
      <c r="E49256" s="39"/>
      <c r="F49256" s="39"/>
    </row>
    <row r="49257">
      <c r="D49257" s="39"/>
      <c r="E49257" s="39"/>
      <c r="F49257" s="39"/>
    </row>
    <row r="49258">
      <c r="D49258" s="39"/>
      <c r="E49258" s="39"/>
      <c r="F49258" s="39"/>
    </row>
    <row r="49259">
      <c r="D49259" s="39"/>
      <c r="E49259" s="39"/>
      <c r="F49259" s="39"/>
    </row>
    <row r="49260">
      <c r="D49260" s="39"/>
      <c r="E49260" s="39"/>
      <c r="F49260" s="39"/>
    </row>
    <row r="49261">
      <c r="D49261" s="39"/>
      <c r="E49261" s="39"/>
      <c r="F49261" s="39"/>
    </row>
    <row r="49262">
      <c r="D49262" s="39"/>
      <c r="E49262" s="39"/>
      <c r="F49262" s="39"/>
    </row>
    <row r="49263">
      <c r="D49263" s="39"/>
      <c r="E49263" s="39"/>
      <c r="F49263" s="39"/>
    </row>
    <row r="49264">
      <c r="D49264" s="39"/>
      <c r="E49264" s="39"/>
      <c r="F49264" s="39"/>
    </row>
    <row r="49265">
      <c r="D49265" s="39"/>
      <c r="E49265" s="39"/>
      <c r="F49265" s="39"/>
    </row>
    <row r="49266">
      <c r="D49266" s="39"/>
      <c r="E49266" s="39"/>
      <c r="F49266" s="39"/>
    </row>
    <row r="49267">
      <c r="D49267" s="39"/>
      <c r="E49267" s="39"/>
      <c r="F49267" s="39"/>
    </row>
    <row r="49268">
      <c r="D49268" s="39"/>
      <c r="E49268" s="39"/>
      <c r="F49268" s="39"/>
    </row>
    <row r="49269">
      <c r="D49269" s="39"/>
      <c r="E49269" s="39"/>
      <c r="F49269" s="39"/>
    </row>
    <row r="49270">
      <c r="D49270" s="39"/>
      <c r="E49270" s="39"/>
      <c r="F49270" s="39"/>
    </row>
    <row r="49271">
      <c r="D49271" s="39"/>
      <c r="E49271" s="39"/>
      <c r="F49271" s="39"/>
    </row>
    <row r="49272">
      <c r="D49272" s="39"/>
      <c r="E49272" s="39"/>
      <c r="F49272" s="39"/>
    </row>
    <row r="49273">
      <c r="D49273" s="39"/>
      <c r="E49273" s="39"/>
      <c r="F49273" s="39"/>
    </row>
    <row r="49274">
      <c r="D49274" s="39"/>
      <c r="E49274" s="39"/>
      <c r="F49274" s="39"/>
    </row>
    <row r="49275">
      <c r="D49275" s="39"/>
      <c r="E49275" s="39"/>
      <c r="F49275" s="39"/>
    </row>
    <row r="49276">
      <c r="D49276" s="39"/>
      <c r="E49276" s="39"/>
      <c r="F49276" s="39"/>
    </row>
    <row r="49277">
      <c r="D49277" s="39"/>
      <c r="E49277" s="39"/>
      <c r="F49277" s="39"/>
    </row>
    <row r="49278">
      <c r="D49278" s="39"/>
      <c r="E49278" s="39"/>
      <c r="F49278" s="39"/>
    </row>
    <row r="49279">
      <c r="D49279" s="39"/>
      <c r="E49279" s="39"/>
      <c r="F49279" s="39"/>
    </row>
    <row r="49280">
      <c r="D49280" s="39"/>
      <c r="E49280" s="39"/>
      <c r="F49280" s="39"/>
    </row>
    <row r="49281">
      <c r="D49281" s="39"/>
      <c r="E49281" s="39"/>
      <c r="F49281" s="39"/>
    </row>
    <row r="49282">
      <c r="D49282" s="39"/>
      <c r="E49282" s="39"/>
      <c r="F49282" s="39"/>
    </row>
    <row r="49283">
      <c r="D49283" s="39"/>
      <c r="E49283" s="39"/>
      <c r="F49283" s="39"/>
    </row>
    <row r="49284">
      <c r="D49284" s="39"/>
      <c r="E49284" s="39"/>
      <c r="F49284" s="39"/>
    </row>
    <row r="49285">
      <c r="D49285" s="39"/>
      <c r="E49285" s="39"/>
      <c r="F49285" s="39"/>
    </row>
    <row r="49286">
      <c r="D49286" s="39"/>
      <c r="E49286" s="39"/>
      <c r="F49286" s="39"/>
    </row>
    <row r="49287">
      <c r="D49287" s="39"/>
      <c r="E49287" s="39"/>
      <c r="F49287" s="39"/>
    </row>
    <row r="49288">
      <c r="D49288" s="39"/>
      <c r="E49288" s="39"/>
      <c r="F49288" s="39"/>
    </row>
    <row r="49289">
      <c r="D49289" s="39"/>
      <c r="E49289" s="39"/>
      <c r="F49289" s="39"/>
    </row>
    <row r="49290">
      <c r="D49290" s="39"/>
      <c r="E49290" s="39"/>
      <c r="F49290" s="39"/>
    </row>
    <row r="49291">
      <c r="D49291" s="39"/>
      <c r="E49291" s="39"/>
      <c r="F49291" s="39"/>
    </row>
    <row r="49292">
      <c r="D49292" s="39"/>
      <c r="E49292" s="39"/>
      <c r="F49292" s="39"/>
    </row>
    <row r="49293">
      <c r="D49293" s="39"/>
      <c r="E49293" s="39"/>
      <c r="F49293" s="39"/>
    </row>
    <row r="49294">
      <c r="D49294" s="39"/>
      <c r="E49294" s="39"/>
      <c r="F49294" s="39"/>
    </row>
    <row r="49295">
      <c r="D49295" s="39"/>
      <c r="E49295" s="39"/>
      <c r="F49295" s="39"/>
    </row>
    <row r="49296">
      <c r="D49296" s="39"/>
      <c r="E49296" s="39"/>
      <c r="F49296" s="39"/>
    </row>
    <row r="49297">
      <c r="D49297" s="39"/>
      <c r="E49297" s="39"/>
      <c r="F49297" s="39"/>
    </row>
    <row r="49298">
      <c r="D49298" s="39"/>
      <c r="E49298" s="39"/>
      <c r="F49298" s="39"/>
    </row>
    <row r="49299">
      <c r="D49299" s="39"/>
      <c r="E49299" s="39"/>
      <c r="F49299" s="39"/>
    </row>
    <row r="49300">
      <c r="D49300" s="39"/>
      <c r="E49300" s="39"/>
      <c r="F49300" s="39"/>
    </row>
    <row r="49301">
      <c r="D49301" s="39"/>
      <c r="E49301" s="39"/>
      <c r="F49301" s="39"/>
    </row>
    <row r="49302">
      <c r="D49302" s="39"/>
      <c r="E49302" s="39"/>
      <c r="F49302" s="39"/>
    </row>
    <row r="49303">
      <c r="D49303" s="39"/>
      <c r="E49303" s="39"/>
      <c r="F49303" s="39"/>
    </row>
    <row r="49304">
      <c r="D49304" s="39"/>
      <c r="E49304" s="39"/>
      <c r="F49304" s="39"/>
    </row>
    <row r="49305">
      <c r="D49305" s="39"/>
      <c r="E49305" s="39"/>
      <c r="F49305" s="39"/>
    </row>
    <row r="49306">
      <c r="D49306" s="39"/>
      <c r="E49306" s="39"/>
      <c r="F49306" s="39"/>
    </row>
    <row r="49307">
      <c r="D49307" s="39"/>
      <c r="E49307" s="39"/>
      <c r="F49307" s="39"/>
    </row>
    <row r="49308">
      <c r="D49308" s="39"/>
      <c r="E49308" s="39"/>
      <c r="F49308" s="39"/>
    </row>
    <row r="49309">
      <c r="D49309" s="39"/>
      <c r="E49309" s="39"/>
      <c r="F49309" s="39"/>
    </row>
    <row r="49310">
      <c r="D49310" s="39"/>
      <c r="E49310" s="39"/>
      <c r="F49310" s="39"/>
    </row>
    <row r="49311">
      <c r="D49311" s="39"/>
      <c r="E49311" s="39"/>
      <c r="F49311" s="39"/>
    </row>
    <row r="49312">
      <c r="D49312" s="39"/>
      <c r="E49312" s="39"/>
      <c r="F49312" s="39"/>
    </row>
    <row r="49313">
      <c r="D49313" s="39"/>
      <c r="E49313" s="39"/>
      <c r="F49313" s="39"/>
    </row>
    <row r="49314">
      <c r="D49314" s="39"/>
      <c r="E49314" s="39"/>
      <c r="F49314" s="39"/>
    </row>
    <row r="49315">
      <c r="D49315" s="39"/>
      <c r="E49315" s="39"/>
      <c r="F49315" s="39"/>
    </row>
    <row r="49316">
      <c r="D49316" s="39"/>
      <c r="E49316" s="39"/>
      <c r="F49316" s="39"/>
    </row>
    <row r="49317">
      <c r="D49317" s="39"/>
      <c r="E49317" s="39"/>
      <c r="F49317" s="39"/>
    </row>
    <row r="49318">
      <c r="D49318" s="39"/>
      <c r="E49318" s="39"/>
      <c r="F49318" s="39"/>
    </row>
    <row r="49319">
      <c r="D49319" s="39"/>
      <c r="E49319" s="39"/>
      <c r="F49319" s="39"/>
    </row>
    <row r="49320">
      <c r="D49320" s="39"/>
      <c r="E49320" s="39"/>
      <c r="F49320" s="39"/>
    </row>
    <row r="49321">
      <c r="D49321" s="39"/>
      <c r="E49321" s="39"/>
      <c r="F49321" s="39"/>
    </row>
    <row r="49322">
      <c r="D49322" s="39"/>
      <c r="E49322" s="39"/>
      <c r="F49322" s="39"/>
    </row>
    <row r="49323">
      <c r="D49323" s="39"/>
      <c r="E49323" s="39"/>
      <c r="F49323" s="39"/>
    </row>
    <row r="49324">
      <c r="D49324" s="39"/>
      <c r="E49324" s="39"/>
      <c r="F49324" s="39"/>
    </row>
    <row r="49325">
      <c r="D49325" s="39"/>
      <c r="E49325" s="39"/>
      <c r="F49325" s="39"/>
    </row>
    <row r="49326">
      <c r="D49326" s="39"/>
      <c r="E49326" s="39"/>
      <c r="F49326" s="39"/>
    </row>
    <row r="49327">
      <c r="D49327" s="39"/>
      <c r="E49327" s="39"/>
      <c r="F49327" s="39"/>
    </row>
    <row r="49328">
      <c r="D49328" s="39"/>
      <c r="E49328" s="39"/>
      <c r="F49328" s="39"/>
    </row>
    <row r="49329">
      <c r="D49329" s="39"/>
      <c r="E49329" s="39"/>
      <c r="F49329" s="39"/>
    </row>
    <row r="49330">
      <c r="D49330" s="39"/>
      <c r="E49330" s="39"/>
      <c r="F49330" s="39"/>
    </row>
    <row r="49331">
      <c r="D49331" s="39"/>
      <c r="E49331" s="39"/>
      <c r="F49331" s="39"/>
    </row>
    <row r="49332">
      <c r="D49332" s="39"/>
      <c r="E49332" s="39"/>
      <c r="F49332" s="39"/>
    </row>
    <row r="49333">
      <c r="D49333" s="39"/>
      <c r="E49333" s="39"/>
      <c r="F49333" s="39"/>
    </row>
    <row r="49334">
      <c r="D49334" s="39"/>
      <c r="E49334" s="39"/>
      <c r="F49334" s="39"/>
    </row>
    <row r="49335">
      <c r="D49335" s="39"/>
      <c r="E49335" s="39"/>
      <c r="F49335" s="39"/>
    </row>
    <row r="49336">
      <c r="D49336" s="39"/>
      <c r="E49336" s="39"/>
      <c r="F49336" s="39"/>
    </row>
    <row r="49337">
      <c r="D49337" s="39"/>
      <c r="E49337" s="39"/>
      <c r="F49337" s="39"/>
    </row>
    <row r="49338">
      <c r="D49338" s="39"/>
      <c r="E49338" s="39"/>
      <c r="F49338" s="39"/>
    </row>
    <row r="49339">
      <c r="D49339" s="39"/>
      <c r="E49339" s="39"/>
      <c r="F49339" s="39"/>
    </row>
    <row r="49340">
      <c r="D49340" s="39"/>
      <c r="E49340" s="39"/>
      <c r="F49340" s="39"/>
    </row>
    <row r="49341">
      <c r="D49341" s="39"/>
      <c r="E49341" s="39"/>
      <c r="F49341" s="39"/>
    </row>
    <row r="49342">
      <c r="D49342" s="39"/>
      <c r="E49342" s="39"/>
      <c r="F49342" s="39"/>
    </row>
    <row r="49343">
      <c r="D49343" s="39"/>
      <c r="E49343" s="39"/>
      <c r="F49343" s="39"/>
    </row>
    <row r="49344">
      <c r="D49344" s="39"/>
      <c r="E49344" s="39"/>
      <c r="F49344" s="39"/>
    </row>
    <row r="49345">
      <c r="D49345" s="39"/>
      <c r="E49345" s="39"/>
      <c r="F49345" s="39"/>
    </row>
    <row r="49346">
      <c r="D49346" s="39"/>
      <c r="E49346" s="39"/>
      <c r="F49346" s="39"/>
    </row>
    <row r="49347">
      <c r="D49347" s="39"/>
      <c r="E49347" s="39"/>
      <c r="F49347" s="39"/>
    </row>
    <row r="49348">
      <c r="D49348" s="39"/>
      <c r="E49348" s="39"/>
      <c r="F49348" s="39"/>
    </row>
    <row r="49349">
      <c r="D49349" s="39"/>
      <c r="E49349" s="39"/>
      <c r="F49349" s="39"/>
    </row>
    <row r="49350">
      <c r="D49350" s="39"/>
      <c r="E49350" s="39"/>
      <c r="F49350" s="39"/>
    </row>
    <row r="49351">
      <c r="D49351" s="39"/>
      <c r="E49351" s="39"/>
      <c r="F49351" s="39"/>
    </row>
    <row r="49352">
      <c r="D49352" s="39"/>
      <c r="E49352" s="39"/>
      <c r="F49352" s="39"/>
    </row>
    <row r="49353">
      <c r="D49353" s="39"/>
      <c r="E49353" s="39"/>
      <c r="F49353" s="39"/>
    </row>
    <row r="49354">
      <c r="D49354" s="39"/>
      <c r="E49354" s="39"/>
      <c r="F49354" s="39"/>
    </row>
    <row r="49355">
      <c r="D49355" s="39"/>
      <c r="E49355" s="39"/>
      <c r="F49355" s="39"/>
    </row>
    <row r="49356">
      <c r="D49356" s="39"/>
      <c r="E49356" s="39"/>
      <c r="F49356" s="39"/>
    </row>
    <row r="49357">
      <c r="D49357" s="39"/>
      <c r="E49357" s="39"/>
      <c r="F49357" s="39"/>
    </row>
    <row r="49358">
      <c r="D49358" s="39"/>
      <c r="E49358" s="39"/>
      <c r="F49358" s="39"/>
    </row>
    <row r="49359">
      <c r="D49359" s="39"/>
      <c r="E49359" s="39"/>
      <c r="F49359" s="39"/>
    </row>
    <row r="49360">
      <c r="D49360" s="39"/>
      <c r="E49360" s="39"/>
      <c r="F49360" s="39"/>
    </row>
    <row r="49361">
      <c r="D49361" s="39"/>
      <c r="E49361" s="39"/>
      <c r="F49361" s="39"/>
    </row>
    <row r="49362">
      <c r="D49362" s="39"/>
      <c r="E49362" s="39"/>
      <c r="F49362" s="39"/>
    </row>
    <row r="49363">
      <c r="D49363" s="39"/>
      <c r="E49363" s="39"/>
      <c r="F49363" s="39"/>
    </row>
    <row r="49364">
      <c r="D49364" s="39"/>
      <c r="E49364" s="39"/>
      <c r="F49364" s="39"/>
    </row>
    <row r="49365">
      <c r="D49365" s="39"/>
      <c r="E49365" s="39"/>
      <c r="F49365" s="39"/>
    </row>
    <row r="49366">
      <c r="D49366" s="39"/>
      <c r="E49366" s="39"/>
      <c r="F49366" s="39"/>
    </row>
    <row r="49367">
      <c r="D49367" s="39"/>
      <c r="E49367" s="39"/>
      <c r="F49367" s="39"/>
    </row>
    <row r="49368">
      <c r="D49368" s="39"/>
      <c r="E49368" s="39"/>
      <c r="F49368" s="39"/>
    </row>
    <row r="49369">
      <c r="D49369" s="39"/>
      <c r="E49369" s="39"/>
      <c r="F49369" s="39"/>
    </row>
    <row r="49370">
      <c r="D49370" s="39"/>
      <c r="E49370" s="39"/>
      <c r="F49370" s="39"/>
    </row>
    <row r="49371">
      <c r="D49371" s="39"/>
      <c r="E49371" s="39"/>
      <c r="F49371" s="39"/>
    </row>
    <row r="49372">
      <c r="D49372" s="39"/>
      <c r="E49372" s="39"/>
      <c r="F49372" s="39"/>
    </row>
    <row r="49373">
      <c r="D49373" s="39"/>
      <c r="E49373" s="39"/>
      <c r="F49373" s="39"/>
    </row>
    <row r="49374">
      <c r="D49374" s="39"/>
      <c r="E49374" s="39"/>
      <c r="F49374" s="39"/>
    </row>
    <row r="49375">
      <c r="D49375" s="39"/>
      <c r="E49375" s="39"/>
      <c r="F49375" s="39"/>
    </row>
    <row r="49376">
      <c r="D49376" s="39"/>
      <c r="E49376" s="39"/>
      <c r="F49376" s="39"/>
    </row>
    <row r="49377">
      <c r="D49377" s="39"/>
      <c r="E49377" s="39"/>
      <c r="F49377" s="39"/>
    </row>
    <row r="49378">
      <c r="D49378" s="39"/>
      <c r="E49378" s="39"/>
      <c r="F49378" s="39"/>
    </row>
    <row r="49379">
      <c r="D49379" s="39"/>
      <c r="E49379" s="39"/>
      <c r="F49379" s="39"/>
    </row>
    <row r="49380">
      <c r="D49380" s="39"/>
      <c r="E49380" s="39"/>
      <c r="F49380" s="39"/>
    </row>
    <row r="49381">
      <c r="D49381" s="39"/>
      <c r="E49381" s="39"/>
      <c r="F49381" s="39"/>
    </row>
    <row r="49382">
      <c r="D49382" s="39"/>
      <c r="E49382" s="39"/>
      <c r="F49382" s="39"/>
    </row>
    <row r="49383">
      <c r="D49383" s="39"/>
      <c r="E49383" s="39"/>
      <c r="F49383" s="39"/>
    </row>
    <row r="49384">
      <c r="D49384" s="39"/>
      <c r="E49384" s="39"/>
      <c r="F49384" s="39"/>
    </row>
    <row r="49385">
      <c r="D49385" s="39"/>
      <c r="E49385" s="39"/>
      <c r="F49385" s="39"/>
    </row>
    <row r="49386">
      <c r="D49386" s="39"/>
      <c r="E49386" s="39"/>
      <c r="F49386" s="39"/>
    </row>
    <row r="49387">
      <c r="D49387" s="39"/>
      <c r="E49387" s="39"/>
      <c r="F49387" s="39"/>
    </row>
    <row r="49388">
      <c r="D49388" s="39"/>
      <c r="E49388" s="39"/>
      <c r="F49388" s="39"/>
    </row>
    <row r="49389">
      <c r="D49389" s="39"/>
      <c r="E49389" s="39"/>
      <c r="F49389" s="39"/>
    </row>
    <row r="49390">
      <c r="D49390" s="39"/>
      <c r="E49390" s="39"/>
      <c r="F49390" s="39"/>
    </row>
    <row r="49391">
      <c r="D49391" s="39"/>
      <c r="E49391" s="39"/>
      <c r="F49391" s="39"/>
    </row>
    <row r="49392">
      <c r="D49392" s="39"/>
      <c r="E49392" s="39"/>
      <c r="F49392" s="39"/>
    </row>
    <row r="49393">
      <c r="D49393" s="39"/>
      <c r="E49393" s="39"/>
      <c r="F49393" s="39"/>
    </row>
    <row r="49394">
      <c r="D49394" s="39"/>
      <c r="E49394" s="39"/>
      <c r="F49394" s="39"/>
    </row>
    <row r="49395">
      <c r="D49395" s="39"/>
      <c r="E49395" s="39"/>
      <c r="F49395" s="39"/>
    </row>
    <row r="49396">
      <c r="D49396" s="39"/>
      <c r="E49396" s="39"/>
      <c r="F49396" s="39"/>
    </row>
    <row r="49397">
      <c r="D49397" s="39"/>
      <c r="E49397" s="39"/>
      <c r="F49397" s="39"/>
    </row>
    <row r="49398">
      <c r="D49398" s="39"/>
      <c r="E49398" s="39"/>
      <c r="F49398" s="39"/>
    </row>
    <row r="49399">
      <c r="D49399" s="39"/>
      <c r="E49399" s="39"/>
      <c r="F49399" s="39"/>
    </row>
    <row r="49400">
      <c r="D49400" s="39"/>
      <c r="E49400" s="39"/>
      <c r="F49400" s="39"/>
    </row>
    <row r="49401">
      <c r="D49401" s="39"/>
      <c r="E49401" s="39"/>
      <c r="F49401" s="39"/>
    </row>
    <row r="49402">
      <c r="D49402" s="39"/>
      <c r="E49402" s="39"/>
      <c r="F49402" s="39"/>
    </row>
    <row r="49403">
      <c r="D49403" s="39"/>
      <c r="E49403" s="39"/>
      <c r="F49403" s="39"/>
    </row>
    <row r="49404">
      <c r="D49404" s="39"/>
      <c r="E49404" s="39"/>
      <c r="F49404" s="39"/>
    </row>
    <row r="49405">
      <c r="D49405" s="39"/>
      <c r="E49405" s="39"/>
      <c r="F49405" s="39"/>
    </row>
    <row r="49406">
      <c r="D49406" s="39"/>
      <c r="E49406" s="39"/>
      <c r="F49406" s="39"/>
    </row>
    <row r="49407">
      <c r="D49407" s="39"/>
      <c r="E49407" s="39"/>
      <c r="F49407" s="39"/>
    </row>
    <row r="49408">
      <c r="D49408" s="39"/>
      <c r="E49408" s="39"/>
      <c r="F49408" s="39"/>
    </row>
    <row r="49409">
      <c r="D49409" s="39"/>
      <c r="E49409" s="39"/>
      <c r="F49409" s="39"/>
    </row>
    <row r="49410">
      <c r="D49410" s="39"/>
      <c r="E49410" s="39"/>
      <c r="F49410" s="39"/>
    </row>
    <row r="49411">
      <c r="D49411" s="39"/>
      <c r="E49411" s="39"/>
      <c r="F49411" s="39"/>
    </row>
    <row r="49412">
      <c r="D49412" s="39"/>
      <c r="E49412" s="39"/>
      <c r="F49412" s="39"/>
    </row>
    <row r="49413">
      <c r="D49413" s="39"/>
      <c r="E49413" s="39"/>
      <c r="F49413" s="39"/>
    </row>
    <row r="49414">
      <c r="D49414" s="39"/>
      <c r="E49414" s="39"/>
      <c r="F49414" s="39"/>
    </row>
    <row r="49415">
      <c r="D49415" s="39"/>
      <c r="E49415" s="39"/>
      <c r="F49415" s="39"/>
    </row>
    <row r="49416">
      <c r="D49416" s="39"/>
      <c r="E49416" s="39"/>
      <c r="F49416" s="39"/>
    </row>
    <row r="49417">
      <c r="D49417" s="39"/>
      <c r="E49417" s="39"/>
      <c r="F49417" s="39"/>
    </row>
    <row r="49418">
      <c r="D49418" s="39"/>
      <c r="E49418" s="39"/>
      <c r="F49418" s="39"/>
    </row>
    <row r="49419">
      <c r="D49419" s="39"/>
      <c r="E49419" s="39"/>
      <c r="F49419" s="39"/>
    </row>
    <row r="49420">
      <c r="D49420" s="39"/>
      <c r="E49420" s="39"/>
      <c r="F49420" s="39"/>
    </row>
    <row r="49421">
      <c r="D49421" s="39"/>
      <c r="E49421" s="39"/>
      <c r="F49421" s="39"/>
    </row>
    <row r="49422">
      <c r="D49422" s="39"/>
      <c r="E49422" s="39"/>
      <c r="F49422" s="39"/>
    </row>
    <row r="49423">
      <c r="D49423" s="39"/>
      <c r="E49423" s="39"/>
      <c r="F49423" s="39"/>
    </row>
    <row r="49424">
      <c r="D49424" s="39"/>
      <c r="E49424" s="39"/>
      <c r="F49424" s="39"/>
    </row>
    <row r="49425">
      <c r="D49425" s="39"/>
      <c r="E49425" s="39"/>
      <c r="F49425" s="39"/>
    </row>
    <row r="49426">
      <c r="D49426" s="39"/>
      <c r="E49426" s="39"/>
      <c r="F49426" s="39"/>
    </row>
    <row r="49427">
      <c r="D49427" s="39"/>
      <c r="E49427" s="39"/>
      <c r="F49427" s="39"/>
    </row>
    <row r="49428">
      <c r="D49428" s="39"/>
      <c r="E49428" s="39"/>
      <c r="F49428" s="39"/>
    </row>
    <row r="49429">
      <c r="D49429" s="39"/>
      <c r="E49429" s="39"/>
      <c r="F49429" s="39"/>
    </row>
    <row r="49430">
      <c r="D49430" s="39"/>
      <c r="E49430" s="39"/>
      <c r="F49430" s="39"/>
    </row>
    <row r="49431">
      <c r="D49431" s="39"/>
      <c r="E49431" s="39"/>
      <c r="F49431" s="39"/>
    </row>
    <row r="49432">
      <c r="D49432" s="39"/>
      <c r="E49432" s="39"/>
      <c r="F49432" s="39"/>
    </row>
    <row r="49433">
      <c r="D49433" s="39"/>
      <c r="E49433" s="39"/>
      <c r="F49433" s="39"/>
    </row>
    <row r="49434">
      <c r="D49434" s="39"/>
      <c r="E49434" s="39"/>
      <c r="F49434" s="39"/>
    </row>
    <row r="49435">
      <c r="D49435" s="39"/>
      <c r="E49435" s="39"/>
      <c r="F49435" s="39"/>
    </row>
    <row r="49436">
      <c r="D49436" s="39"/>
      <c r="E49436" s="39"/>
      <c r="F49436" s="39"/>
    </row>
    <row r="49437">
      <c r="D49437" s="39"/>
      <c r="E49437" s="39"/>
      <c r="F49437" s="39"/>
    </row>
    <row r="49438">
      <c r="D49438" s="39"/>
      <c r="E49438" s="39"/>
      <c r="F49438" s="39"/>
    </row>
    <row r="49439">
      <c r="D49439" s="39"/>
      <c r="E49439" s="39"/>
      <c r="F49439" s="39"/>
    </row>
    <row r="49440">
      <c r="D49440" s="39"/>
      <c r="E49440" s="39"/>
      <c r="F49440" s="39"/>
    </row>
    <row r="49441">
      <c r="D49441" s="39"/>
      <c r="E49441" s="39"/>
      <c r="F49441" s="39"/>
    </row>
    <row r="49442">
      <c r="D49442" s="39"/>
      <c r="E49442" s="39"/>
      <c r="F49442" s="39"/>
    </row>
    <row r="49443">
      <c r="D49443" s="39"/>
      <c r="E49443" s="39"/>
      <c r="F49443" s="39"/>
    </row>
    <row r="49444">
      <c r="D49444" s="39"/>
      <c r="E49444" s="39"/>
      <c r="F49444" s="39"/>
    </row>
    <row r="49445">
      <c r="D49445" s="39"/>
      <c r="E49445" s="39"/>
      <c r="F49445" s="39"/>
    </row>
    <row r="49446">
      <c r="D49446" s="39"/>
      <c r="E49446" s="39"/>
      <c r="F49446" s="39"/>
    </row>
    <row r="49447">
      <c r="D49447" s="39"/>
      <c r="E49447" s="39"/>
      <c r="F49447" s="39"/>
    </row>
    <row r="49448">
      <c r="D49448" s="39"/>
      <c r="E49448" s="39"/>
      <c r="F49448" s="39"/>
    </row>
    <row r="49449">
      <c r="D49449" s="39"/>
      <c r="E49449" s="39"/>
      <c r="F49449" s="39"/>
    </row>
    <row r="49450">
      <c r="D49450" s="39"/>
      <c r="E49450" s="39"/>
      <c r="F49450" s="39"/>
    </row>
    <row r="49451">
      <c r="D49451" s="39"/>
      <c r="E49451" s="39"/>
      <c r="F49451" s="39"/>
    </row>
    <row r="49452">
      <c r="D49452" s="39"/>
      <c r="E49452" s="39"/>
      <c r="F49452" s="39"/>
    </row>
    <row r="49453">
      <c r="D49453" s="39"/>
      <c r="E49453" s="39"/>
      <c r="F49453" s="39"/>
    </row>
    <row r="49454">
      <c r="D49454" s="39"/>
      <c r="E49454" s="39"/>
      <c r="F49454" s="39"/>
    </row>
    <row r="49455">
      <c r="D49455" s="39"/>
      <c r="E49455" s="39"/>
      <c r="F49455" s="39"/>
    </row>
    <row r="49456">
      <c r="D49456" s="39"/>
      <c r="E49456" s="39"/>
      <c r="F49456" s="39"/>
    </row>
    <row r="49457">
      <c r="D49457" s="39"/>
      <c r="E49457" s="39"/>
      <c r="F49457" s="39"/>
    </row>
    <row r="49458">
      <c r="D49458" s="39"/>
      <c r="E49458" s="39"/>
      <c r="F49458" s="39"/>
    </row>
    <row r="49459">
      <c r="D49459" s="39"/>
      <c r="E49459" s="39"/>
      <c r="F49459" s="39"/>
    </row>
    <row r="49460">
      <c r="D49460" s="39"/>
      <c r="E49460" s="39"/>
      <c r="F49460" s="39"/>
    </row>
    <row r="49461">
      <c r="D49461" s="39"/>
      <c r="E49461" s="39"/>
      <c r="F49461" s="39"/>
    </row>
    <row r="49462">
      <c r="D49462" s="39"/>
      <c r="E49462" s="39"/>
      <c r="F49462" s="39"/>
    </row>
    <row r="49463">
      <c r="D49463" s="39"/>
      <c r="E49463" s="39"/>
      <c r="F49463" s="39"/>
    </row>
    <row r="49464">
      <c r="D49464" s="39"/>
      <c r="E49464" s="39"/>
      <c r="F49464" s="39"/>
    </row>
    <row r="49465">
      <c r="D49465" s="39"/>
      <c r="E49465" s="39"/>
      <c r="F49465" s="39"/>
    </row>
    <row r="49466">
      <c r="D49466" s="39"/>
      <c r="E49466" s="39"/>
      <c r="F49466" s="39"/>
    </row>
    <row r="49467">
      <c r="D49467" s="39"/>
      <c r="E49467" s="39"/>
      <c r="F49467" s="39"/>
    </row>
    <row r="49468">
      <c r="D49468" s="39"/>
      <c r="E49468" s="39"/>
      <c r="F49468" s="39"/>
    </row>
    <row r="49469">
      <c r="D49469" s="39"/>
      <c r="E49469" s="39"/>
      <c r="F49469" s="39"/>
    </row>
    <row r="49470">
      <c r="D49470" s="39"/>
      <c r="E49470" s="39"/>
      <c r="F49470" s="39"/>
    </row>
    <row r="49471">
      <c r="D49471" s="39"/>
      <c r="E49471" s="39"/>
      <c r="F49471" s="39"/>
    </row>
    <row r="49472">
      <c r="D49472" s="39"/>
      <c r="E49472" s="39"/>
      <c r="F49472" s="39"/>
    </row>
    <row r="49473">
      <c r="D49473" s="39"/>
      <c r="E49473" s="39"/>
      <c r="F49473" s="39"/>
    </row>
    <row r="49474">
      <c r="D49474" s="39"/>
      <c r="E49474" s="39"/>
      <c r="F49474" s="39"/>
    </row>
    <row r="49475">
      <c r="D49475" s="39"/>
      <c r="E49475" s="39"/>
      <c r="F49475" s="39"/>
    </row>
    <row r="49476">
      <c r="D49476" s="39"/>
      <c r="E49476" s="39"/>
      <c r="F49476" s="39"/>
    </row>
    <row r="49477">
      <c r="D49477" s="39"/>
      <c r="E49477" s="39"/>
      <c r="F49477" s="39"/>
    </row>
    <row r="49478">
      <c r="D49478" s="39"/>
      <c r="E49478" s="39"/>
      <c r="F49478" s="39"/>
    </row>
    <row r="49479">
      <c r="D49479" s="39"/>
      <c r="E49479" s="39"/>
      <c r="F49479" s="39"/>
    </row>
    <row r="49480">
      <c r="D49480" s="39"/>
      <c r="E49480" s="39"/>
      <c r="F49480" s="39"/>
    </row>
    <row r="49481">
      <c r="D49481" s="39"/>
      <c r="E49481" s="39"/>
      <c r="F49481" s="39"/>
    </row>
    <row r="49482">
      <c r="D49482" s="39"/>
      <c r="E49482" s="39"/>
      <c r="F49482" s="39"/>
    </row>
    <row r="49483">
      <c r="D49483" s="39"/>
      <c r="E49483" s="39"/>
      <c r="F49483" s="39"/>
    </row>
    <row r="49484">
      <c r="D49484" s="39"/>
      <c r="E49484" s="39"/>
      <c r="F49484" s="39"/>
    </row>
    <row r="49485">
      <c r="D49485" s="39"/>
      <c r="E49485" s="39"/>
      <c r="F49485" s="39"/>
    </row>
    <row r="49486">
      <c r="D49486" s="39"/>
      <c r="E49486" s="39"/>
      <c r="F49486" s="39"/>
    </row>
    <row r="49487">
      <c r="D49487" s="39"/>
      <c r="E49487" s="39"/>
      <c r="F49487" s="39"/>
    </row>
    <row r="49488">
      <c r="D49488" s="39"/>
      <c r="E49488" s="39"/>
      <c r="F49488" s="39"/>
    </row>
    <row r="49489">
      <c r="D49489" s="39"/>
      <c r="E49489" s="39"/>
      <c r="F49489" s="39"/>
    </row>
    <row r="49490">
      <c r="D49490" s="39"/>
      <c r="E49490" s="39"/>
      <c r="F49490" s="39"/>
    </row>
    <row r="49491">
      <c r="D49491" s="39"/>
      <c r="E49491" s="39"/>
      <c r="F49491" s="39"/>
    </row>
    <row r="49492">
      <c r="D49492" s="39"/>
      <c r="E49492" s="39"/>
      <c r="F49492" s="39"/>
    </row>
    <row r="49493">
      <c r="D49493" s="39"/>
      <c r="E49493" s="39"/>
      <c r="F49493" s="39"/>
    </row>
    <row r="49494">
      <c r="D49494" s="39"/>
      <c r="E49494" s="39"/>
      <c r="F49494" s="39"/>
    </row>
    <row r="49495">
      <c r="D49495" s="39"/>
      <c r="E49495" s="39"/>
      <c r="F49495" s="39"/>
    </row>
    <row r="49496">
      <c r="D49496" s="39"/>
      <c r="E49496" s="39"/>
      <c r="F49496" s="39"/>
    </row>
    <row r="49497">
      <c r="D49497" s="39"/>
      <c r="E49497" s="39"/>
      <c r="F49497" s="39"/>
    </row>
    <row r="49498">
      <c r="D49498" s="39"/>
      <c r="E49498" s="39"/>
      <c r="F49498" s="39"/>
    </row>
    <row r="49499">
      <c r="D49499" s="39"/>
      <c r="E49499" s="39"/>
      <c r="F49499" s="39"/>
    </row>
    <row r="49500">
      <c r="D49500" s="39"/>
      <c r="E49500" s="39"/>
      <c r="F49500" s="39"/>
    </row>
    <row r="49501">
      <c r="D49501" s="39"/>
      <c r="E49501" s="39"/>
      <c r="F49501" s="39"/>
    </row>
    <row r="49502">
      <c r="D49502" s="39"/>
      <c r="E49502" s="39"/>
      <c r="F49502" s="39"/>
    </row>
    <row r="49503">
      <c r="D49503" s="39"/>
      <c r="E49503" s="39"/>
      <c r="F49503" s="39"/>
    </row>
    <row r="49504">
      <c r="D49504" s="39"/>
      <c r="E49504" s="39"/>
      <c r="F49504" s="39"/>
    </row>
    <row r="49505">
      <c r="D49505" s="39"/>
      <c r="E49505" s="39"/>
      <c r="F49505" s="39"/>
    </row>
    <row r="49506">
      <c r="D49506" s="39"/>
      <c r="E49506" s="39"/>
      <c r="F49506" s="39"/>
    </row>
    <row r="49507">
      <c r="D49507" s="39"/>
      <c r="E49507" s="39"/>
      <c r="F49507" s="39"/>
    </row>
    <row r="49508">
      <c r="D49508" s="39"/>
      <c r="E49508" s="39"/>
      <c r="F49508" s="39"/>
    </row>
    <row r="49509">
      <c r="D49509" s="39"/>
      <c r="E49509" s="39"/>
      <c r="F49509" s="39"/>
    </row>
    <row r="49510">
      <c r="D49510" s="39"/>
      <c r="E49510" s="39"/>
      <c r="F49510" s="39"/>
    </row>
    <row r="49511">
      <c r="D49511" s="39"/>
      <c r="E49511" s="39"/>
      <c r="F49511" s="39"/>
    </row>
    <row r="49512">
      <c r="D49512" s="39"/>
      <c r="E49512" s="39"/>
      <c r="F49512" s="39"/>
    </row>
    <row r="49513">
      <c r="D49513" s="39"/>
      <c r="E49513" s="39"/>
      <c r="F49513" s="39"/>
    </row>
    <row r="49514">
      <c r="D49514" s="39"/>
      <c r="E49514" s="39"/>
      <c r="F49514" s="39"/>
    </row>
    <row r="49515">
      <c r="D49515" s="39"/>
      <c r="E49515" s="39"/>
      <c r="F49515" s="39"/>
    </row>
    <row r="49516">
      <c r="D49516" s="39"/>
      <c r="E49516" s="39"/>
      <c r="F49516" s="39"/>
    </row>
    <row r="49517">
      <c r="D49517" s="39"/>
      <c r="E49517" s="39"/>
      <c r="F49517" s="39"/>
    </row>
    <row r="49518">
      <c r="D49518" s="39"/>
      <c r="E49518" s="39"/>
      <c r="F49518" s="39"/>
    </row>
    <row r="49519">
      <c r="D49519" s="39"/>
      <c r="E49519" s="39"/>
      <c r="F49519" s="39"/>
    </row>
    <row r="49520">
      <c r="D49520" s="39"/>
      <c r="E49520" s="39"/>
      <c r="F49520" s="39"/>
    </row>
    <row r="49521">
      <c r="D49521" s="39"/>
      <c r="E49521" s="39"/>
      <c r="F49521" s="39"/>
    </row>
    <row r="49522">
      <c r="D49522" s="39"/>
      <c r="E49522" s="39"/>
      <c r="F49522" s="39"/>
    </row>
    <row r="49523">
      <c r="D49523" s="39"/>
      <c r="E49523" s="39"/>
      <c r="F49523" s="39"/>
    </row>
    <row r="49524">
      <c r="D49524" s="39"/>
      <c r="E49524" s="39"/>
      <c r="F49524" s="39"/>
    </row>
    <row r="49525">
      <c r="D49525" s="39"/>
      <c r="E49525" s="39"/>
      <c r="F49525" s="39"/>
    </row>
    <row r="49526">
      <c r="D49526" s="39"/>
      <c r="E49526" s="39"/>
      <c r="F49526" s="39"/>
    </row>
    <row r="49527">
      <c r="D49527" s="39"/>
      <c r="E49527" s="39"/>
      <c r="F49527" s="39"/>
    </row>
    <row r="49528">
      <c r="D49528" s="39"/>
      <c r="E49528" s="39"/>
      <c r="F49528" s="39"/>
    </row>
    <row r="49529">
      <c r="D49529" s="39"/>
      <c r="E49529" s="39"/>
      <c r="F49529" s="39"/>
    </row>
    <row r="49530">
      <c r="D49530" s="39"/>
      <c r="E49530" s="39"/>
      <c r="F49530" s="39"/>
    </row>
    <row r="49531">
      <c r="D49531" s="39"/>
      <c r="E49531" s="39"/>
      <c r="F49531" s="39"/>
    </row>
    <row r="49532">
      <c r="D49532" s="39"/>
      <c r="E49532" s="39"/>
      <c r="F49532" s="39"/>
    </row>
    <row r="49533">
      <c r="D49533" s="39"/>
      <c r="E49533" s="39"/>
      <c r="F49533" s="39"/>
    </row>
    <row r="49534">
      <c r="D49534" s="39"/>
      <c r="E49534" s="39"/>
      <c r="F49534" s="39"/>
    </row>
    <row r="49535">
      <c r="D49535" s="39"/>
      <c r="E49535" s="39"/>
      <c r="F49535" s="39"/>
    </row>
    <row r="49536">
      <c r="D49536" s="39"/>
      <c r="E49536" s="39"/>
      <c r="F49536" s="39"/>
    </row>
    <row r="49537">
      <c r="D49537" s="39"/>
      <c r="E49537" s="39"/>
      <c r="F49537" s="39"/>
    </row>
    <row r="49538">
      <c r="D49538" s="39"/>
      <c r="E49538" s="39"/>
      <c r="F49538" s="39"/>
    </row>
    <row r="49539">
      <c r="D49539" s="39"/>
      <c r="E49539" s="39"/>
      <c r="F49539" s="39"/>
    </row>
    <row r="49540">
      <c r="D49540" s="39"/>
      <c r="E49540" s="39"/>
      <c r="F49540" s="39"/>
    </row>
    <row r="49541">
      <c r="D49541" s="39"/>
      <c r="E49541" s="39"/>
      <c r="F49541" s="39"/>
    </row>
    <row r="49542">
      <c r="D49542" s="39"/>
      <c r="E49542" s="39"/>
      <c r="F49542" s="39"/>
    </row>
    <row r="49543">
      <c r="D49543" s="39"/>
      <c r="E49543" s="39"/>
      <c r="F49543" s="39"/>
    </row>
    <row r="49544">
      <c r="D49544" s="39"/>
      <c r="E49544" s="39"/>
      <c r="F49544" s="39"/>
    </row>
    <row r="49545">
      <c r="D49545" s="39"/>
      <c r="E49545" s="39"/>
      <c r="F49545" s="39"/>
    </row>
    <row r="49546">
      <c r="D49546" s="39"/>
      <c r="E49546" s="39"/>
      <c r="F49546" s="39"/>
    </row>
    <row r="49547">
      <c r="D49547" s="39"/>
      <c r="E49547" s="39"/>
      <c r="F49547" s="39"/>
    </row>
    <row r="49548">
      <c r="D49548" s="39"/>
      <c r="E49548" s="39"/>
      <c r="F49548" s="39"/>
    </row>
    <row r="49549">
      <c r="D49549" s="39"/>
      <c r="E49549" s="39"/>
      <c r="F49549" s="39"/>
    </row>
    <row r="49550">
      <c r="D49550" s="39"/>
      <c r="E49550" s="39"/>
      <c r="F49550" s="39"/>
    </row>
    <row r="49551">
      <c r="D49551" s="39"/>
      <c r="E49551" s="39"/>
      <c r="F49551" s="39"/>
    </row>
    <row r="49552">
      <c r="D49552" s="39"/>
      <c r="E49552" s="39"/>
      <c r="F49552" s="39"/>
    </row>
    <row r="49553">
      <c r="D49553" s="39"/>
      <c r="E49553" s="39"/>
      <c r="F49553" s="39"/>
    </row>
    <row r="49554">
      <c r="D49554" s="39"/>
      <c r="E49554" s="39"/>
      <c r="F49554" s="39"/>
    </row>
    <row r="49555">
      <c r="D49555" s="39"/>
      <c r="E49555" s="39"/>
      <c r="F49555" s="39"/>
    </row>
    <row r="49556">
      <c r="D49556" s="39"/>
      <c r="E49556" s="39"/>
      <c r="F49556" s="39"/>
    </row>
    <row r="49557">
      <c r="D49557" s="39"/>
      <c r="E49557" s="39"/>
      <c r="F49557" s="39"/>
    </row>
    <row r="49558">
      <c r="D49558" s="39"/>
      <c r="E49558" s="39"/>
      <c r="F49558" s="39"/>
    </row>
    <row r="49559">
      <c r="D49559" s="39"/>
      <c r="E49559" s="39"/>
      <c r="F49559" s="39"/>
    </row>
    <row r="49560">
      <c r="D49560" s="39"/>
      <c r="E49560" s="39"/>
      <c r="F49560" s="39"/>
    </row>
    <row r="49561">
      <c r="D49561" s="39"/>
      <c r="E49561" s="39"/>
      <c r="F49561" s="39"/>
    </row>
    <row r="49562">
      <c r="D49562" s="39"/>
      <c r="E49562" s="39"/>
      <c r="F49562" s="39"/>
    </row>
    <row r="49563">
      <c r="D49563" s="39"/>
      <c r="E49563" s="39"/>
      <c r="F49563" s="39"/>
    </row>
    <row r="49564">
      <c r="D49564" s="39"/>
      <c r="E49564" s="39"/>
      <c r="F49564" s="39"/>
    </row>
    <row r="49565">
      <c r="D49565" s="39"/>
      <c r="E49565" s="39"/>
      <c r="F49565" s="39"/>
    </row>
    <row r="49566">
      <c r="D49566" s="39"/>
      <c r="E49566" s="39"/>
      <c r="F49566" s="39"/>
    </row>
    <row r="49567">
      <c r="D49567" s="39"/>
      <c r="E49567" s="39"/>
      <c r="F49567" s="39"/>
    </row>
    <row r="49568">
      <c r="D49568" s="39"/>
      <c r="E49568" s="39"/>
      <c r="F49568" s="39"/>
    </row>
    <row r="49569">
      <c r="D49569" s="39"/>
      <c r="E49569" s="39"/>
      <c r="F49569" s="39"/>
    </row>
    <row r="49570">
      <c r="D49570" s="39"/>
      <c r="E49570" s="39"/>
      <c r="F49570" s="39"/>
    </row>
    <row r="49571">
      <c r="D49571" s="39"/>
      <c r="E49571" s="39"/>
      <c r="F49571" s="39"/>
    </row>
    <row r="49572">
      <c r="D49572" s="39"/>
      <c r="E49572" s="39"/>
      <c r="F49572" s="39"/>
    </row>
    <row r="49573">
      <c r="D49573" s="39"/>
      <c r="E49573" s="39"/>
      <c r="F49573" s="39"/>
    </row>
    <row r="49574">
      <c r="D49574" s="39"/>
      <c r="E49574" s="39"/>
      <c r="F49574" s="39"/>
    </row>
    <row r="49575">
      <c r="D49575" s="39"/>
      <c r="E49575" s="39"/>
      <c r="F49575" s="39"/>
    </row>
    <row r="49576">
      <c r="D49576" s="39"/>
      <c r="E49576" s="39"/>
      <c r="F49576" s="39"/>
    </row>
    <row r="49577">
      <c r="D49577" s="39"/>
      <c r="E49577" s="39"/>
      <c r="F49577" s="39"/>
    </row>
    <row r="49578">
      <c r="D49578" s="39"/>
      <c r="E49578" s="39"/>
      <c r="F49578" s="39"/>
    </row>
    <row r="49579">
      <c r="D49579" s="39"/>
      <c r="E49579" s="39"/>
      <c r="F49579" s="39"/>
    </row>
    <row r="49580">
      <c r="D49580" s="39"/>
      <c r="E49580" s="39"/>
      <c r="F49580" s="39"/>
    </row>
    <row r="49581">
      <c r="D49581" s="39"/>
      <c r="E49581" s="39"/>
      <c r="F49581" s="39"/>
    </row>
    <row r="49582">
      <c r="D49582" s="39"/>
      <c r="E49582" s="39"/>
      <c r="F49582" s="39"/>
    </row>
    <row r="49583">
      <c r="D49583" s="39"/>
      <c r="E49583" s="39"/>
      <c r="F49583" s="39"/>
    </row>
    <row r="49584">
      <c r="D49584" s="39"/>
      <c r="E49584" s="39"/>
      <c r="F49584" s="39"/>
    </row>
    <row r="49585">
      <c r="D49585" s="39"/>
      <c r="E49585" s="39"/>
      <c r="F49585" s="39"/>
    </row>
    <row r="49586">
      <c r="D49586" s="39"/>
      <c r="E49586" s="39"/>
      <c r="F49586" s="39"/>
    </row>
    <row r="49587">
      <c r="D49587" s="39"/>
      <c r="E49587" s="39"/>
      <c r="F49587" s="39"/>
    </row>
    <row r="49588">
      <c r="D49588" s="39"/>
      <c r="E49588" s="39"/>
      <c r="F49588" s="39"/>
    </row>
    <row r="49589">
      <c r="D49589" s="39"/>
      <c r="E49589" s="39"/>
      <c r="F49589" s="39"/>
    </row>
    <row r="49590">
      <c r="D49590" s="39"/>
      <c r="E49590" s="39"/>
      <c r="F49590" s="39"/>
    </row>
    <row r="49591">
      <c r="D49591" s="39"/>
      <c r="E49591" s="39"/>
      <c r="F49591" s="39"/>
    </row>
    <row r="49592">
      <c r="D49592" s="39"/>
      <c r="E49592" s="39"/>
      <c r="F49592" s="39"/>
    </row>
    <row r="49593">
      <c r="D49593" s="39"/>
      <c r="E49593" s="39"/>
      <c r="F49593" s="39"/>
    </row>
    <row r="49594">
      <c r="D49594" s="39"/>
      <c r="E49594" s="39"/>
      <c r="F49594" s="39"/>
    </row>
    <row r="49595">
      <c r="D49595" s="39"/>
      <c r="E49595" s="39"/>
      <c r="F49595" s="39"/>
    </row>
    <row r="49596">
      <c r="D49596" s="39"/>
      <c r="E49596" s="39"/>
      <c r="F49596" s="39"/>
    </row>
    <row r="49597">
      <c r="D49597" s="39"/>
      <c r="E49597" s="39"/>
      <c r="F49597" s="39"/>
    </row>
    <row r="49598">
      <c r="D49598" s="39"/>
      <c r="E49598" s="39"/>
      <c r="F49598" s="39"/>
    </row>
    <row r="49599">
      <c r="D49599" s="39"/>
      <c r="E49599" s="39"/>
      <c r="F49599" s="39"/>
    </row>
    <row r="49600">
      <c r="D49600" s="39"/>
      <c r="E49600" s="39"/>
      <c r="F49600" s="39"/>
    </row>
    <row r="49601">
      <c r="D49601" s="39"/>
      <c r="E49601" s="39"/>
      <c r="F49601" s="39"/>
    </row>
    <row r="49602">
      <c r="D49602" s="39"/>
      <c r="E49602" s="39"/>
      <c r="F49602" s="39"/>
    </row>
    <row r="49603">
      <c r="D49603" s="39"/>
      <c r="E49603" s="39"/>
      <c r="F49603" s="39"/>
    </row>
    <row r="49604">
      <c r="D49604" s="39"/>
      <c r="E49604" s="39"/>
      <c r="F49604" s="39"/>
    </row>
    <row r="49605">
      <c r="D49605" s="39"/>
      <c r="E49605" s="39"/>
      <c r="F49605" s="39"/>
    </row>
    <row r="49606">
      <c r="D49606" s="39"/>
      <c r="E49606" s="39"/>
      <c r="F49606" s="39"/>
    </row>
    <row r="49607">
      <c r="D49607" s="39"/>
      <c r="E49607" s="39"/>
      <c r="F49607" s="39"/>
    </row>
    <row r="49608">
      <c r="D49608" s="39"/>
      <c r="E49608" s="39"/>
      <c r="F49608" s="39"/>
    </row>
    <row r="49609">
      <c r="D49609" s="39"/>
      <c r="E49609" s="39"/>
      <c r="F49609" s="39"/>
    </row>
    <row r="49610">
      <c r="D49610" s="39"/>
      <c r="E49610" s="39"/>
      <c r="F49610" s="39"/>
    </row>
    <row r="49611">
      <c r="D49611" s="39"/>
      <c r="E49611" s="39"/>
      <c r="F49611" s="39"/>
    </row>
    <row r="49612">
      <c r="D49612" s="39"/>
      <c r="E49612" s="39"/>
      <c r="F49612" s="39"/>
    </row>
    <row r="49613">
      <c r="D49613" s="39"/>
      <c r="E49613" s="39"/>
      <c r="F49613" s="39"/>
    </row>
    <row r="49614">
      <c r="D49614" s="39"/>
      <c r="E49614" s="39"/>
      <c r="F49614" s="39"/>
    </row>
    <row r="49615">
      <c r="D49615" s="39"/>
      <c r="E49615" s="39"/>
      <c r="F49615" s="39"/>
    </row>
    <row r="49616">
      <c r="D49616" s="39"/>
      <c r="E49616" s="39"/>
      <c r="F49616" s="39"/>
    </row>
    <row r="49617">
      <c r="D49617" s="39"/>
      <c r="E49617" s="39"/>
      <c r="F49617" s="39"/>
    </row>
    <row r="49618">
      <c r="D49618" s="39"/>
      <c r="E49618" s="39"/>
      <c r="F49618" s="39"/>
    </row>
    <row r="49619">
      <c r="D49619" s="39"/>
      <c r="E49619" s="39"/>
      <c r="F49619" s="39"/>
    </row>
    <row r="49620">
      <c r="D49620" s="39"/>
      <c r="E49620" s="39"/>
      <c r="F49620" s="39"/>
    </row>
    <row r="49621">
      <c r="D49621" s="39"/>
      <c r="E49621" s="39"/>
      <c r="F49621" s="39"/>
    </row>
    <row r="49622">
      <c r="D49622" s="39"/>
      <c r="E49622" s="39"/>
      <c r="F49622" s="39"/>
    </row>
    <row r="49623">
      <c r="D49623" s="39"/>
      <c r="E49623" s="39"/>
      <c r="F49623" s="39"/>
    </row>
    <row r="49624">
      <c r="D49624" s="39"/>
      <c r="E49624" s="39"/>
      <c r="F49624" s="39"/>
    </row>
    <row r="49625">
      <c r="D49625" s="39"/>
      <c r="E49625" s="39"/>
      <c r="F49625" s="39"/>
    </row>
    <row r="49626">
      <c r="D49626" s="39"/>
      <c r="E49626" s="39"/>
      <c r="F49626" s="39"/>
    </row>
    <row r="49627">
      <c r="D49627" s="39"/>
      <c r="E49627" s="39"/>
      <c r="F49627" s="39"/>
    </row>
    <row r="49628">
      <c r="D49628" s="39"/>
      <c r="E49628" s="39"/>
      <c r="F49628" s="39"/>
    </row>
    <row r="49629">
      <c r="D49629" s="39"/>
      <c r="E49629" s="39"/>
      <c r="F49629" s="39"/>
    </row>
    <row r="49630">
      <c r="D49630" s="39"/>
      <c r="E49630" s="39"/>
      <c r="F49630" s="39"/>
    </row>
    <row r="49631">
      <c r="D49631" s="39"/>
      <c r="E49631" s="39"/>
      <c r="F49631" s="39"/>
    </row>
    <row r="49632">
      <c r="D49632" s="39"/>
      <c r="E49632" s="39"/>
      <c r="F49632" s="39"/>
    </row>
    <row r="49633">
      <c r="D49633" s="39"/>
      <c r="E49633" s="39"/>
      <c r="F49633" s="39"/>
    </row>
    <row r="49634">
      <c r="D49634" s="39"/>
      <c r="E49634" s="39"/>
      <c r="F49634" s="39"/>
    </row>
    <row r="49635">
      <c r="D49635" s="39"/>
      <c r="E49635" s="39"/>
      <c r="F49635" s="39"/>
    </row>
    <row r="49636">
      <c r="D49636" s="39"/>
      <c r="E49636" s="39"/>
      <c r="F49636" s="39"/>
    </row>
    <row r="49637">
      <c r="D49637" s="39"/>
      <c r="E49637" s="39"/>
      <c r="F49637" s="39"/>
    </row>
    <row r="49638">
      <c r="D49638" s="39"/>
      <c r="E49638" s="39"/>
      <c r="F49638" s="39"/>
    </row>
    <row r="49639">
      <c r="D49639" s="39"/>
      <c r="E49639" s="39"/>
      <c r="F49639" s="39"/>
    </row>
    <row r="49640">
      <c r="D49640" s="39"/>
      <c r="E49640" s="39"/>
      <c r="F49640" s="39"/>
    </row>
    <row r="49641">
      <c r="D49641" s="39"/>
      <c r="E49641" s="39"/>
      <c r="F49641" s="39"/>
    </row>
    <row r="49642">
      <c r="D49642" s="39"/>
      <c r="E49642" s="39"/>
      <c r="F49642" s="39"/>
    </row>
    <row r="49643">
      <c r="D49643" s="39"/>
      <c r="E49643" s="39"/>
      <c r="F49643" s="39"/>
    </row>
    <row r="49644">
      <c r="D49644" s="39"/>
      <c r="E49644" s="39"/>
      <c r="F49644" s="39"/>
    </row>
    <row r="49645">
      <c r="D49645" s="39"/>
      <c r="E49645" s="39"/>
      <c r="F49645" s="39"/>
    </row>
    <row r="49646">
      <c r="D49646" s="39"/>
      <c r="E49646" s="39"/>
      <c r="F49646" s="39"/>
    </row>
    <row r="49647">
      <c r="D49647" s="39"/>
      <c r="E49647" s="39"/>
      <c r="F49647" s="39"/>
    </row>
    <row r="49648">
      <c r="D49648" s="39"/>
      <c r="E49648" s="39"/>
      <c r="F49648" s="39"/>
    </row>
    <row r="49649">
      <c r="D49649" s="39"/>
      <c r="E49649" s="39"/>
      <c r="F49649" s="39"/>
    </row>
    <row r="49650">
      <c r="D49650" s="39"/>
      <c r="E49650" s="39"/>
      <c r="F49650" s="39"/>
    </row>
    <row r="49651">
      <c r="D49651" s="39"/>
      <c r="E49651" s="39"/>
      <c r="F49651" s="39"/>
    </row>
    <row r="49652">
      <c r="D49652" s="39"/>
      <c r="E49652" s="39"/>
      <c r="F49652" s="39"/>
    </row>
    <row r="49653">
      <c r="D49653" s="39"/>
      <c r="E49653" s="39"/>
      <c r="F49653" s="39"/>
    </row>
    <row r="49654">
      <c r="D49654" s="39"/>
      <c r="E49654" s="39"/>
      <c r="F49654" s="39"/>
    </row>
    <row r="49655">
      <c r="D49655" s="39"/>
      <c r="E49655" s="39"/>
      <c r="F49655" s="39"/>
    </row>
    <row r="49656">
      <c r="D49656" s="39"/>
      <c r="E49656" s="39"/>
      <c r="F49656" s="39"/>
    </row>
    <row r="49657">
      <c r="D49657" s="39"/>
      <c r="E49657" s="39"/>
      <c r="F49657" s="39"/>
    </row>
    <row r="49658">
      <c r="D49658" s="39"/>
      <c r="E49658" s="39"/>
      <c r="F49658" s="39"/>
    </row>
    <row r="49659">
      <c r="D49659" s="39"/>
      <c r="E49659" s="39"/>
      <c r="F49659" s="39"/>
    </row>
    <row r="49660">
      <c r="D49660" s="39"/>
      <c r="E49660" s="39"/>
      <c r="F49660" s="39"/>
    </row>
    <row r="49661">
      <c r="D49661" s="39"/>
      <c r="E49661" s="39"/>
      <c r="F49661" s="39"/>
    </row>
    <row r="49662">
      <c r="D49662" s="39"/>
      <c r="E49662" s="39"/>
      <c r="F49662" s="39"/>
    </row>
    <row r="49663">
      <c r="D49663" s="39"/>
      <c r="E49663" s="39"/>
      <c r="F49663" s="39"/>
    </row>
    <row r="49664">
      <c r="D49664" s="39"/>
      <c r="E49664" s="39"/>
      <c r="F49664" s="39"/>
    </row>
    <row r="49665">
      <c r="D49665" s="39"/>
      <c r="E49665" s="39"/>
      <c r="F49665" s="39"/>
    </row>
    <row r="49666">
      <c r="D49666" s="39"/>
      <c r="E49666" s="39"/>
      <c r="F49666" s="39"/>
    </row>
    <row r="49667">
      <c r="D49667" s="39"/>
      <c r="E49667" s="39"/>
      <c r="F49667" s="39"/>
    </row>
    <row r="49668">
      <c r="D49668" s="39"/>
      <c r="E49668" s="39"/>
      <c r="F49668" s="39"/>
    </row>
    <row r="49669">
      <c r="D49669" s="39"/>
      <c r="E49669" s="39"/>
      <c r="F49669" s="39"/>
    </row>
    <row r="49670">
      <c r="D49670" s="39"/>
      <c r="E49670" s="39"/>
      <c r="F49670" s="39"/>
    </row>
    <row r="49671">
      <c r="D49671" s="39"/>
      <c r="E49671" s="39"/>
      <c r="F49671" s="39"/>
    </row>
    <row r="49672">
      <c r="D49672" s="39"/>
      <c r="E49672" s="39"/>
      <c r="F49672" s="39"/>
    </row>
    <row r="49673">
      <c r="D49673" s="39"/>
      <c r="E49673" s="39"/>
      <c r="F49673" s="39"/>
    </row>
    <row r="49674">
      <c r="D49674" s="39"/>
      <c r="E49674" s="39"/>
      <c r="F49674" s="39"/>
    </row>
    <row r="49675">
      <c r="D49675" s="39"/>
      <c r="E49675" s="39"/>
      <c r="F49675" s="39"/>
    </row>
    <row r="49676">
      <c r="D49676" s="39"/>
      <c r="E49676" s="39"/>
      <c r="F49676" s="39"/>
    </row>
    <row r="49677">
      <c r="D49677" s="39"/>
      <c r="E49677" s="39"/>
      <c r="F49677" s="39"/>
    </row>
    <row r="49678">
      <c r="D49678" s="39"/>
      <c r="E49678" s="39"/>
      <c r="F49678" s="39"/>
    </row>
    <row r="49679">
      <c r="D49679" s="39"/>
      <c r="E49679" s="39"/>
      <c r="F49679" s="39"/>
    </row>
    <row r="49680">
      <c r="D49680" s="39"/>
      <c r="E49680" s="39"/>
      <c r="F49680" s="39"/>
    </row>
    <row r="49681">
      <c r="D49681" s="39"/>
      <c r="E49681" s="39"/>
      <c r="F49681" s="39"/>
    </row>
    <row r="49682">
      <c r="D49682" s="39"/>
      <c r="E49682" s="39"/>
      <c r="F49682" s="39"/>
    </row>
    <row r="49683">
      <c r="D49683" s="39"/>
      <c r="E49683" s="39"/>
      <c r="F49683" s="39"/>
    </row>
    <row r="49684">
      <c r="D49684" s="39"/>
      <c r="E49684" s="39"/>
      <c r="F49684" s="39"/>
    </row>
    <row r="49685">
      <c r="D49685" s="39"/>
      <c r="E49685" s="39"/>
      <c r="F49685" s="39"/>
    </row>
    <row r="49686">
      <c r="D49686" s="39"/>
      <c r="E49686" s="39"/>
      <c r="F49686" s="39"/>
    </row>
    <row r="49687">
      <c r="D49687" s="39"/>
      <c r="E49687" s="39"/>
      <c r="F49687" s="39"/>
    </row>
    <row r="49688">
      <c r="D49688" s="39"/>
      <c r="E49688" s="39"/>
      <c r="F49688" s="39"/>
    </row>
    <row r="49689">
      <c r="D49689" s="39"/>
      <c r="E49689" s="39"/>
      <c r="F49689" s="39"/>
    </row>
    <row r="49690">
      <c r="D49690" s="39"/>
      <c r="E49690" s="39"/>
      <c r="F49690" s="39"/>
    </row>
    <row r="49691">
      <c r="D49691" s="39"/>
      <c r="E49691" s="39"/>
      <c r="F49691" s="39"/>
    </row>
    <row r="49692">
      <c r="D49692" s="39"/>
      <c r="E49692" s="39"/>
      <c r="F49692" s="39"/>
    </row>
    <row r="49693">
      <c r="D49693" s="39"/>
      <c r="E49693" s="39"/>
      <c r="F49693" s="39"/>
    </row>
    <row r="49694">
      <c r="D49694" s="39"/>
      <c r="E49694" s="39"/>
      <c r="F49694" s="39"/>
    </row>
    <row r="49695">
      <c r="D49695" s="39"/>
      <c r="E49695" s="39"/>
      <c r="F49695" s="39"/>
    </row>
    <row r="49696">
      <c r="D49696" s="39"/>
      <c r="E49696" s="39"/>
      <c r="F49696" s="39"/>
    </row>
    <row r="49697">
      <c r="D49697" s="39"/>
      <c r="E49697" s="39"/>
      <c r="F49697" s="39"/>
    </row>
    <row r="49698">
      <c r="D49698" s="39"/>
      <c r="E49698" s="39"/>
      <c r="F49698" s="39"/>
    </row>
    <row r="49699">
      <c r="D49699" s="39"/>
      <c r="E49699" s="39"/>
      <c r="F49699" s="39"/>
    </row>
    <row r="49700">
      <c r="D49700" s="39"/>
      <c r="E49700" s="39"/>
      <c r="F49700" s="39"/>
    </row>
    <row r="49701">
      <c r="D49701" s="39"/>
      <c r="E49701" s="39"/>
      <c r="F49701" s="39"/>
    </row>
    <row r="49702">
      <c r="D49702" s="39"/>
      <c r="E49702" s="39"/>
      <c r="F49702" s="39"/>
    </row>
    <row r="49703">
      <c r="D49703" s="39"/>
      <c r="E49703" s="39"/>
      <c r="F49703" s="39"/>
    </row>
    <row r="49704">
      <c r="D49704" s="39"/>
      <c r="E49704" s="39"/>
      <c r="F49704" s="39"/>
    </row>
    <row r="49705">
      <c r="D49705" s="39"/>
      <c r="E49705" s="39"/>
      <c r="F49705" s="39"/>
    </row>
    <row r="49706">
      <c r="D49706" s="39"/>
      <c r="E49706" s="39"/>
      <c r="F49706" s="39"/>
    </row>
    <row r="49707">
      <c r="D49707" s="39"/>
      <c r="E49707" s="39"/>
      <c r="F49707" s="39"/>
    </row>
    <row r="49708">
      <c r="D49708" s="39"/>
      <c r="E49708" s="39"/>
      <c r="F49708" s="39"/>
    </row>
    <row r="49709">
      <c r="D49709" s="39"/>
      <c r="E49709" s="39"/>
      <c r="F49709" s="39"/>
    </row>
    <row r="49710">
      <c r="D49710" s="39"/>
      <c r="E49710" s="39"/>
      <c r="F49710" s="39"/>
    </row>
    <row r="49711">
      <c r="D49711" s="39"/>
      <c r="E49711" s="39"/>
      <c r="F49711" s="39"/>
    </row>
    <row r="49712">
      <c r="D49712" s="39"/>
      <c r="E49712" s="39"/>
      <c r="F49712" s="39"/>
    </row>
    <row r="49713">
      <c r="D49713" s="39"/>
      <c r="E49713" s="39"/>
      <c r="F49713" s="39"/>
    </row>
    <row r="49714">
      <c r="D49714" s="39"/>
      <c r="E49714" s="39"/>
      <c r="F49714" s="39"/>
    </row>
    <row r="49715">
      <c r="D49715" s="39"/>
      <c r="E49715" s="39"/>
      <c r="F49715" s="39"/>
    </row>
    <row r="49716">
      <c r="D49716" s="39"/>
      <c r="E49716" s="39"/>
      <c r="F49716" s="39"/>
    </row>
    <row r="49717">
      <c r="D49717" s="39"/>
      <c r="E49717" s="39"/>
      <c r="F49717" s="39"/>
    </row>
    <row r="49718">
      <c r="D49718" s="39"/>
      <c r="E49718" s="39"/>
      <c r="F49718" s="39"/>
    </row>
    <row r="49719">
      <c r="D49719" s="39"/>
      <c r="E49719" s="39"/>
      <c r="F49719" s="39"/>
    </row>
    <row r="49720">
      <c r="D49720" s="39"/>
      <c r="E49720" s="39"/>
      <c r="F49720" s="39"/>
    </row>
    <row r="49721">
      <c r="D49721" s="39"/>
      <c r="E49721" s="39"/>
      <c r="F49721" s="39"/>
    </row>
    <row r="49722">
      <c r="D49722" s="39"/>
      <c r="E49722" s="39"/>
      <c r="F49722" s="39"/>
    </row>
    <row r="49723">
      <c r="D49723" s="39"/>
      <c r="E49723" s="39"/>
      <c r="F49723" s="39"/>
    </row>
    <row r="49724">
      <c r="D49724" s="39"/>
      <c r="E49724" s="39"/>
      <c r="F49724" s="39"/>
    </row>
    <row r="49725">
      <c r="D49725" s="39"/>
      <c r="E49725" s="39"/>
      <c r="F49725" s="39"/>
    </row>
    <row r="49726">
      <c r="D49726" s="39"/>
      <c r="E49726" s="39"/>
      <c r="F49726" s="39"/>
    </row>
    <row r="49727">
      <c r="D49727" s="39"/>
      <c r="E49727" s="39"/>
      <c r="F49727" s="39"/>
    </row>
    <row r="49728">
      <c r="D49728" s="39"/>
      <c r="E49728" s="39"/>
      <c r="F49728" s="39"/>
    </row>
    <row r="49729">
      <c r="D49729" s="39"/>
      <c r="E49729" s="39"/>
      <c r="F49729" s="39"/>
    </row>
    <row r="49730">
      <c r="D49730" s="39"/>
      <c r="E49730" s="39"/>
      <c r="F49730" s="39"/>
    </row>
    <row r="49731">
      <c r="D49731" s="39"/>
      <c r="E49731" s="39"/>
      <c r="F49731" s="39"/>
    </row>
    <row r="49732">
      <c r="D49732" s="39"/>
      <c r="E49732" s="39"/>
      <c r="F49732" s="39"/>
    </row>
    <row r="49733">
      <c r="D49733" s="39"/>
      <c r="E49733" s="39"/>
      <c r="F49733" s="39"/>
    </row>
    <row r="49734">
      <c r="D49734" s="39"/>
      <c r="E49734" s="39"/>
      <c r="F49734" s="39"/>
    </row>
    <row r="49735">
      <c r="D49735" s="39"/>
      <c r="E49735" s="39"/>
      <c r="F49735" s="39"/>
    </row>
    <row r="49736">
      <c r="D49736" s="39"/>
      <c r="E49736" s="39"/>
      <c r="F49736" s="39"/>
    </row>
    <row r="49737">
      <c r="D49737" s="39"/>
      <c r="E49737" s="39"/>
      <c r="F49737" s="39"/>
    </row>
    <row r="49738">
      <c r="D49738" s="39"/>
      <c r="E49738" s="39"/>
      <c r="F49738" s="39"/>
    </row>
    <row r="49739">
      <c r="D49739" s="39"/>
      <c r="E49739" s="39"/>
      <c r="F49739" s="39"/>
    </row>
    <row r="49740">
      <c r="D49740" s="39"/>
      <c r="E49740" s="39"/>
      <c r="F49740" s="39"/>
    </row>
    <row r="49741">
      <c r="D49741" s="39"/>
      <c r="E49741" s="39"/>
      <c r="F49741" s="39"/>
    </row>
    <row r="49742">
      <c r="D49742" s="39"/>
      <c r="E49742" s="39"/>
      <c r="F49742" s="39"/>
    </row>
    <row r="49743">
      <c r="D49743" s="39"/>
      <c r="E49743" s="39"/>
      <c r="F49743" s="39"/>
    </row>
    <row r="49744">
      <c r="D49744" s="39"/>
      <c r="E49744" s="39"/>
      <c r="F49744" s="39"/>
    </row>
    <row r="49745">
      <c r="D49745" s="39"/>
      <c r="E49745" s="39"/>
      <c r="F49745" s="39"/>
    </row>
    <row r="49746">
      <c r="D49746" s="39"/>
      <c r="E49746" s="39"/>
      <c r="F49746" s="39"/>
    </row>
    <row r="49747">
      <c r="D49747" s="39"/>
      <c r="E49747" s="39"/>
      <c r="F49747" s="39"/>
    </row>
    <row r="49748">
      <c r="D49748" s="39"/>
      <c r="E49748" s="39"/>
      <c r="F49748" s="39"/>
    </row>
    <row r="49749">
      <c r="D49749" s="39"/>
      <c r="E49749" s="39"/>
      <c r="F49749" s="39"/>
    </row>
    <row r="49750">
      <c r="D49750" s="39"/>
      <c r="E49750" s="39"/>
      <c r="F49750" s="39"/>
    </row>
    <row r="49751">
      <c r="D49751" s="39"/>
      <c r="E49751" s="39"/>
      <c r="F49751" s="39"/>
    </row>
    <row r="49752">
      <c r="D49752" s="39"/>
      <c r="E49752" s="39"/>
      <c r="F49752" s="39"/>
    </row>
    <row r="49753">
      <c r="D49753" s="39"/>
      <c r="E49753" s="39"/>
      <c r="F49753" s="39"/>
    </row>
    <row r="49754">
      <c r="D49754" s="39"/>
      <c r="E49754" s="39"/>
      <c r="F49754" s="39"/>
    </row>
    <row r="49755">
      <c r="D49755" s="39"/>
      <c r="E49755" s="39"/>
      <c r="F49755" s="39"/>
    </row>
    <row r="49756">
      <c r="D49756" s="39"/>
      <c r="E49756" s="39"/>
      <c r="F49756" s="39"/>
    </row>
    <row r="49757">
      <c r="D49757" s="39"/>
      <c r="E49757" s="39"/>
      <c r="F49757" s="39"/>
    </row>
    <row r="49758">
      <c r="D49758" s="39"/>
      <c r="E49758" s="39"/>
      <c r="F49758" s="39"/>
    </row>
    <row r="49759">
      <c r="D49759" s="39"/>
      <c r="E49759" s="39"/>
      <c r="F49759" s="39"/>
    </row>
    <row r="49760">
      <c r="D49760" s="39"/>
      <c r="E49760" s="39"/>
      <c r="F49760" s="39"/>
    </row>
    <row r="49761">
      <c r="D49761" s="39"/>
      <c r="E49761" s="39"/>
      <c r="F49761" s="39"/>
    </row>
    <row r="49762">
      <c r="D49762" s="39"/>
      <c r="E49762" s="39"/>
      <c r="F49762" s="39"/>
    </row>
    <row r="49763">
      <c r="D49763" s="39"/>
      <c r="E49763" s="39"/>
      <c r="F49763" s="39"/>
    </row>
    <row r="49764">
      <c r="D49764" s="39"/>
      <c r="E49764" s="39"/>
      <c r="F49764" s="39"/>
    </row>
    <row r="49765">
      <c r="D49765" s="39"/>
      <c r="E49765" s="39"/>
      <c r="F49765" s="39"/>
    </row>
    <row r="49766">
      <c r="D49766" s="39"/>
      <c r="E49766" s="39"/>
      <c r="F49766" s="39"/>
    </row>
    <row r="49767">
      <c r="D49767" s="39"/>
      <c r="E49767" s="39"/>
      <c r="F49767" s="39"/>
    </row>
    <row r="49768">
      <c r="D49768" s="39"/>
      <c r="E49768" s="39"/>
      <c r="F49768" s="39"/>
    </row>
    <row r="49769">
      <c r="D49769" s="39"/>
      <c r="E49769" s="39"/>
      <c r="F49769" s="39"/>
    </row>
    <row r="49770">
      <c r="D49770" s="39"/>
      <c r="E49770" s="39"/>
      <c r="F49770" s="39"/>
    </row>
    <row r="49771">
      <c r="D49771" s="39"/>
      <c r="E49771" s="39"/>
      <c r="F49771" s="39"/>
    </row>
    <row r="49772">
      <c r="D49772" s="39"/>
      <c r="E49772" s="39"/>
      <c r="F49772" s="39"/>
    </row>
    <row r="49773">
      <c r="D49773" s="39"/>
      <c r="E49773" s="39"/>
      <c r="F49773" s="39"/>
    </row>
    <row r="49774">
      <c r="D49774" s="39"/>
      <c r="E49774" s="39"/>
      <c r="F49774" s="39"/>
    </row>
    <row r="49775">
      <c r="D49775" s="39"/>
      <c r="E49775" s="39"/>
      <c r="F49775" s="39"/>
    </row>
    <row r="49776">
      <c r="D49776" s="39"/>
      <c r="E49776" s="39"/>
      <c r="F49776" s="39"/>
    </row>
    <row r="49777">
      <c r="D49777" s="39"/>
      <c r="E49777" s="39"/>
      <c r="F49777" s="39"/>
    </row>
    <row r="49778">
      <c r="D49778" s="39"/>
      <c r="E49778" s="39"/>
      <c r="F49778" s="39"/>
    </row>
    <row r="49779">
      <c r="D49779" s="39"/>
      <c r="E49779" s="39"/>
      <c r="F49779" s="39"/>
    </row>
    <row r="49780">
      <c r="D49780" s="39"/>
      <c r="E49780" s="39"/>
      <c r="F49780" s="39"/>
    </row>
    <row r="49781">
      <c r="D49781" s="39"/>
      <c r="E49781" s="39"/>
      <c r="F49781" s="39"/>
    </row>
    <row r="49782">
      <c r="D49782" s="39"/>
      <c r="E49782" s="39"/>
      <c r="F49782" s="39"/>
    </row>
    <row r="49783">
      <c r="D49783" s="39"/>
      <c r="E49783" s="39"/>
      <c r="F49783" s="39"/>
    </row>
    <row r="49784">
      <c r="D49784" s="39"/>
      <c r="E49784" s="39"/>
      <c r="F49784" s="39"/>
    </row>
    <row r="49785">
      <c r="D49785" s="39"/>
      <c r="E49785" s="39"/>
      <c r="F49785" s="39"/>
    </row>
    <row r="49786">
      <c r="D49786" s="39"/>
      <c r="E49786" s="39"/>
      <c r="F49786" s="39"/>
    </row>
    <row r="49787">
      <c r="D49787" s="39"/>
      <c r="E49787" s="39"/>
      <c r="F49787" s="39"/>
    </row>
    <row r="49788">
      <c r="D49788" s="39"/>
      <c r="E49788" s="39"/>
      <c r="F49788" s="39"/>
    </row>
    <row r="49789">
      <c r="D49789" s="39"/>
      <c r="E49789" s="39"/>
      <c r="F49789" s="39"/>
    </row>
    <row r="49790">
      <c r="D49790" s="39"/>
      <c r="E49790" s="39"/>
      <c r="F49790" s="39"/>
    </row>
    <row r="49791">
      <c r="D49791" s="39"/>
      <c r="E49791" s="39"/>
      <c r="F49791" s="39"/>
    </row>
    <row r="49792">
      <c r="D49792" s="39"/>
      <c r="E49792" s="39"/>
      <c r="F49792" s="39"/>
    </row>
    <row r="49793">
      <c r="D49793" s="39"/>
      <c r="E49793" s="39"/>
      <c r="F49793" s="39"/>
    </row>
    <row r="49794">
      <c r="D49794" s="39"/>
      <c r="E49794" s="39"/>
      <c r="F49794" s="39"/>
    </row>
    <row r="49795">
      <c r="D49795" s="39"/>
      <c r="E49795" s="39"/>
      <c r="F49795" s="39"/>
    </row>
    <row r="49796">
      <c r="D49796" s="39"/>
      <c r="E49796" s="39"/>
      <c r="F49796" s="39"/>
    </row>
    <row r="49797">
      <c r="D49797" s="39"/>
      <c r="E49797" s="39"/>
      <c r="F49797" s="39"/>
    </row>
    <row r="49798">
      <c r="D49798" s="39"/>
      <c r="E49798" s="39"/>
      <c r="F49798" s="39"/>
    </row>
    <row r="49799">
      <c r="D49799" s="39"/>
      <c r="E49799" s="39"/>
      <c r="F49799" s="39"/>
    </row>
    <row r="49800">
      <c r="D49800" s="39"/>
      <c r="E49800" s="39"/>
      <c r="F49800" s="39"/>
    </row>
    <row r="49801">
      <c r="D49801" s="39"/>
      <c r="E49801" s="39"/>
      <c r="F49801" s="39"/>
    </row>
    <row r="49802">
      <c r="D49802" s="39"/>
      <c r="E49802" s="39"/>
      <c r="F49802" s="39"/>
    </row>
    <row r="49803">
      <c r="D49803" s="39"/>
      <c r="E49803" s="39"/>
      <c r="F49803" s="39"/>
    </row>
    <row r="49804">
      <c r="D49804" s="39"/>
      <c r="E49804" s="39"/>
      <c r="F49804" s="39"/>
    </row>
    <row r="49805">
      <c r="D49805" s="39"/>
      <c r="E49805" s="39"/>
      <c r="F49805" s="39"/>
    </row>
    <row r="49806">
      <c r="D49806" s="39"/>
      <c r="E49806" s="39"/>
      <c r="F49806" s="39"/>
    </row>
    <row r="49807">
      <c r="D49807" s="39"/>
      <c r="E49807" s="39"/>
      <c r="F49807" s="39"/>
    </row>
    <row r="49808">
      <c r="D49808" s="39"/>
      <c r="E49808" s="39"/>
      <c r="F49808" s="39"/>
    </row>
    <row r="49809">
      <c r="D49809" s="39"/>
      <c r="E49809" s="39"/>
      <c r="F49809" s="39"/>
    </row>
    <row r="49810">
      <c r="D49810" s="39"/>
      <c r="E49810" s="39"/>
      <c r="F49810" s="39"/>
    </row>
    <row r="49811">
      <c r="D49811" s="39"/>
      <c r="E49811" s="39"/>
      <c r="F49811" s="39"/>
    </row>
    <row r="49812">
      <c r="D49812" s="39"/>
      <c r="E49812" s="39"/>
      <c r="F49812" s="39"/>
    </row>
    <row r="49813">
      <c r="D49813" s="39"/>
      <c r="E49813" s="39"/>
      <c r="F49813" s="39"/>
    </row>
    <row r="49814">
      <c r="D49814" s="39"/>
      <c r="E49814" s="39"/>
      <c r="F49814" s="39"/>
    </row>
    <row r="49815">
      <c r="D49815" s="39"/>
      <c r="E49815" s="39"/>
      <c r="F49815" s="39"/>
    </row>
    <row r="49816">
      <c r="D49816" s="39"/>
      <c r="E49816" s="39"/>
      <c r="F49816" s="39"/>
    </row>
    <row r="49817">
      <c r="D49817" s="39"/>
      <c r="E49817" s="39"/>
      <c r="F49817" s="39"/>
    </row>
    <row r="49818">
      <c r="D49818" s="39"/>
      <c r="E49818" s="39"/>
      <c r="F49818" s="39"/>
    </row>
    <row r="49819">
      <c r="D49819" s="39"/>
      <c r="E49819" s="39"/>
      <c r="F49819" s="39"/>
    </row>
    <row r="49820">
      <c r="D49820" s="39"/>
      <c r="E49820" s="39"/>
      <c r="F49820" s="39"/>
    </row>
    <row r="49821">
      <c r="D49821" s="39"/>
      <c r="E49821" s="39"/>
      <c r="F49821" s="39"/>
    </row>
    <row r="49822">
      <c r="D49822" s="39"/>
      <c r="E49822" s="39"/>
      <c r="F49822" s="39"/>
    </row>
    <row r="49823">
      <c r="D49823" s="39"/>
      <c r="E49823" s="39"/>
      <c r="F49823" s="39"/>
    </row>
    <row r="49824">
      <c r="D49824" s="39"/>
      <c r="E49824" s="39"/>
      <c r="F49824" s="39"/>
    </row>
    <row r="49825">
      <c r="D49825" s="39"/>
      <c r="E49825" s="39"/>
      <c r="F49825" s="39"/>
    </row>
    <row r="49826">
      <c r="D49826" s="39"/>
      <c r="E49826" s="39"/>
      <c r="F49826" s="39"/>
    </row>
    <row r="49827">
      <c r="D49827" s="39"/>
      <c r="E49827" s="39"/>
      <c r="F49827" s="39"/>
    </row>
    <row r="49828">
      <c r="D49828" s="39"/>
      <c r="E49828" s="39"/>
      <c r="F49828" s="39"/>
    </row>
    <row r="49829">
      <c r="D49829" s="39"/>
      <c r="E49829" s="39"/>
      <c r="F49829" s="39"/>
    </row>
    <row r="49830">
      <c r="D49830" s="39"/>
      <c r="E49830" s="39"/>
      <c r="F49830" s="39"/>
    </row>
    <row r="49831">
      <c r="D49831" s="39"/>
      <c r="E49831" s="39"/>
      <c r="F49831" s="39"/>
    </row>
    <row r="49832">
      <c r="D49832" s="39"/>
      <c r="E49832" s="39"/>
      <c r="F49832" s="39"/>
    </row>
    <row r="49833">
      <c r="D49833" s="39"/>
      <c r="E49833" s="39"/>
      <c r="F49833" s="39"/>
    </row>
    <row r="49834">
      <c r="D49834" s="39"/>
      <c r="E49834" s="39"/>
      <c r="F49834" s="39"/>
    </row>
    <row r="49835">
      <c r="D49835" s="39"/>
      <c r="E49835" s="39"/>
      <c r="F49835" s="39"/>
    </row>
    <row r="49836">
      <c r="D49836" s="39"/>
      <c r="E49836" s="39"/>
      <c r="F49836" s="39"/>
    </row>
    <row r="49837">
      <c r="D49837" s="39"/>
      <c r="E49837" s="39"/>
      <c r="F49837" s="39"/>
    </row>
    <row r="49838">
      <c r="D49838" s="39"/>
      <c r="E49838" s="39"/>
      <c r="F49838" s="39"/>
    </row>
    <row r="49839">
      <c r="D49839" s="39"/>
      <c r="E49839" s="39"/>
      <c r="F49839" s="39"/>
    </row>
    <row r="49840">
      <c r="D49840" s="39"/>
      <c r="E49840" s="39"/>
      <c r="F49840" s="39"/>
    </row>
    <row r="49841">
      <c r="D49841" s="39"/>
      <c r="E49841" s="39"/>
      <c r="F49841" s="39"/>
    </row>
    <row r="49842">
      <c r="D49842" s="39"/>
      <c r="E49842" s="39"/>
      <c r="F49842" s="39"/>
    </row>
    <row r="49843">
      <c r="D49843" s="39"/>
      <c r="E49843" s="39"/>
      <c r="F49843" s="39"/>
    </row>
    <row r="49844">
      <c r="D49844" s="39"/>
      <c r="E49844" s="39"/>
      <c r="F49844" s="39"/>
    </row>
    <row r="49845">
      <c r="D49845" s="39"/>
      <c r="E49845" s="39"/>
      <c r="F49845" s="39"/>
    </row>
    <row r="49846">
      <c r="D49846" s="39"/>
      <c r="E49846" s="39"/>
      <c r="F49846" s="39"/>
    </row>
    <row r="49847">
      <c r="D49847" s="39"/>
      <c r="E49847" s="39"/>
      <c r="F49847" s="39"/>
    </row>
    <row r="49848">
      <c r="D49848" s="39"/>
      <c r="E49848" s="39"/>
      <c r="F49848" s="39"/>
    </row>
    <row r="49849">
      <c r="D49849" s="39"/>
      <c r="E49849" s="39"/>
      <c r="F49849" s="39"/>
    </row>
    <row r="49850">
      <c r="D49850" s="39"/>
      <c r="E49850" s="39"/>
      <c r="F49850" s="39"/>
    </row>
    <row r="49851">
      <c r="D49851" s="39"/>
      <c r="E49851" s="39"/>
      <c r="F49851" s="39"/>
    </row>
    <row r="49852">
      <c r="D49852" s="39"/>
      <c r="E49852" s="39"/>
      <c r="F49852" s="39"/>
    </row>
    <row r="49853">
      <c r="D49853" s="39"/>
      <c r="E49853" s="39"/>
      <c r="F49853" s="39"/>
    </row>
    <row r="49854">
      <c r="D49854" s="39"/>
      <c r="E49854" s="39"/>
      <c r="F49854" s="39"/>
    </row>
    <row r="49855">
      <c r="D49855" s="39"/>
      <c r="E49855" s="39"/>
      <c r="F49855" s="39"/>
    </row>
    <row r="49856">
      <c r="D49856" s="39"/>
      <c r="E49856" s="39"/>
      <c r="F49856" s="39"/>
    </row>
    <row r="49857">
      <c r="D49857" s="39"/>
      <c r="E49857" s="39"/>
      <c r="F49857" s="39"/>
    </row>
    <row r="49858">
      <c r="D49858" s="39"/>
      <c r="E49858" s="39"/>
      <c r="F49858" s="39"/>
    </row>
    <row r="49859">
      <c r="D49859" s="39"/>
      <c r="E49859" s="39"/>
      <c r="F49859" s="39"/>
    </row>
    <row r="49860">
      <c r="D49860" s="39"/>
      <c r="E49860" s="39"/>
      <c r="F49860" s="39"/>
    </row>
    <row r="49861">
      <c r="D49861" s="39"/>
      <c r="E49861" s="39"/>
      <c r="F49861" s="39"/>
    </row>
    <row r="49862">
      <c r="D49862" s="39"/>
      <c r="E49862" s="39"/>
      <c r="F49862" s="39"/>
    </row>
    <row r="49863">
      <c r="D49863" s="39"/>
      <c r="E49863" s="39"/>
      <c r="F49863" s="39"/>
    </row>
    <row r="49864">
      <c r="D49864" s="39"/>
      <c r="E49864" s="39"/>
      <c r="F49864" s="39"/>
    </row>
    <row r="49865">
      <c r="D49865" s="39"/>
      <c r="E49865" s="39"/>
      <c r="F49865" s="39"/>
    </row>
    <row r="49866">
      <c r="D49866" s="39"/>
      <c r="E49866" s="39"/>
      <c r="F49866" s="39"/>
    </row>
    <row r="49867">
      <c r="D49867" s="39"/>
      <c r="E49867" s="39"/>
      <c r="F49867" s="39"/>
    </row>
    <row r="49868">
      <c r="D49868" s="39"/>
      <c r="E49868" s="39"/>
      <c r="F49868" s="39"/>
    </row>
    <row r="49869">
      <c r="D49869" s="39"/>
      <c r="E49869" s="39"/>
      <c r="F49869" s="39"/>
    </row>
    <row r="49870">
      <c r="D49870" s="39"/>
      <c r="E49870" s="39"/>
      <c r="F49870" s="39"/>
    </row>
    <row r="49871">
      <c r="D49871" s="39"/>
      <c r="E49871" s="39"/>
      <c r="F49871" s="39"/>
    </row>
    <row r="49872">
      <c r="D49872" s="39"/>
      <c r="E49872" s="39"/>
      <c r="F49872" s="39"/>
    </row>
    <row r="49873">
      <c r="D49873" s="39"/>
      <c r="E49873" s="39"/>
      <c r="F49873" s="39"/>
    </row>
    <row r="49874">
      <c r="D49874" s="39"/>
      <c r="E49874" s="39"/>
      <c r="F49874" s="39"/>
    </row>
    <row r="49875">
      <c r="D49875" s="39"/>
      <c r="E49875" s="39"/>
      <c r="F49875" s="39"/>
    </row>
    <row r="49876">
      <c r="D49876" s="39"/>
      <c r="E49876" s="39"/>
      <c r="F49876" s="39"/>
    </row>
    <row r="49877">
      <c r="D49877" s="39"/>
      <c r="E49877" s="39"/>
      <c r="F49877" s="39"/>
    </row>
    <row r="49878">
      <c r="D49878" s="39"/>
      <c r="E49878" s="39"/>
      <c r="F49878" s="39"/>
    </row>
    <row r="49879">
      <c r="D49879" s="39"/>
      <c r="E49879" s="39"/>
      <c r="F49879" s="39"/>
    </row>
    <row r="49880">
      <c r="D49880" s="39"/>
      <c r="E49880" s="39"/>
      <c r="F49880" s="39"/>
    </row>
    <row r="49881">
      <c r="D49881" s="39"/>
      <c r="E49881" s="39"/>
      <c r="F49881" s="39"/>
    </row>
    <row r="49882">
      <c r="D49882" s="39"/>
      <c r="E49882" s="39"/>
      <c r="F49882" s="39"/>
    </row>
    <row r="49883">
      <c r="D49883" s="39"/>
      <c r="E49883" s="39"/>
      <c r="F49883" s="39"/>
    </row>
    <row r="49884">
      <c r="D49884" s="39"/>
      <c r="E49884" s="39"/>
      <c r="F49884" s="39"/>
    </row>
    <row r="49885">
      <c r="D49885" s="39"/>
      <c r="E49885" s="39"/>
      <c r="F49885" s="39"/>
    </row>
    <row r="49886">
      <c r="D49886" s="39"/>
      <c r="E49886" s="39"/>
      <c r="F49886" s="39"/>
    </row>
    <row r="49887">
      <c r="D49887" s="39"/>
      <c r="E49887" s="39"/>
      <c r="F49887" s="39"/>
    </row>
    <row r="49888">
      <c r="D49888" s="39"/>
      <c r="E49888" s="39"/>
      <c r="F49888" s="39"/>
    </row>
    <row r="49889">
      <c r="D49889" s="39"/>
      <c r="E49889" s="39"/>
      <c r="F49889" s="39"/>
    </row>
    <row r="49890">
      <c r="D49890" s="39"/>
      <c r="E49890" s="39"/>
      <c r="F49890" s="39"/>
    </row>
    <row r="49891">
      <c r="D49891" s="39"/>
      <c r="E49891" s="39"/>
      <c r="F49891" s="39"/>
    </row>
    <row r="49892">
      <c r="D49892" s="39"/>
      <c r="E49892" s="39"/>
      <c r="F49892" s="39"/>
    </row>
    <row r="49893">
      <c r="D49893" s="39"/>
      <c r="E49893" s="39"/>
      <c r="F49893" s="39"/>
    </row>
    <row r="49894">
      <c r="D49894" s="39"/>
      <c r="E49894" s="39"/>
      <c r="F49894" s="39"/>
    </row>
    <row r="49895">
      <c r="D49895" s="39"/>
      <c r="E49895" s="39"/>
      <c r="F49895" s="39"/>
    </row>
    <row r="49896">
      <c r="D49896" s="39"/>
      <c r="E49896" s="39"/>
      <c r="F49896" s="39"/>
    </row>
    <row r="49897">
      <c r="D49897" s="39"/>
      <c r="E49897" s="39"/>
      <c r="F49897" s="39"/>
    </row>
    <row r="49898">
      <c r="D49898" s="39"/>
      <c r="E49898" s="39"/>
      <c r="F49898" s="39"/>
    </row>
    <row r="49899">
      <c r="D49899" s="39"/>
      <c r="E49899" s="39"/>
      <c r="F49899" s="39"/>
    </row>
    <row r="49900">
      <c r="D49900" s="39"/>
      <c r="E49900" s="39"/>
      <c r="F49900" s="39"/>
    </row>
    <row r="49901">
      <c r="D49901" s="39"/>
      <c r="E49901" s="39"/>
      <c r="F49901" s="39"/>
    </row>
    <row r="49902">
      <c r="D49902" s="39"/>
      <c r="E49902" s="39"/>
      <c r="F49902" s="39"/>
    </row>
    <row r="49903">
      <c r="D49903" s="39"/>
      <c r="E49903" s="39"/>
      <c r="F49903" s="39"/>
    </row>
    <row r="49904">
      <c r="D49904" s="39"/>
      <c r="E49904" s="39"/>
      <c r="F49904" s="39"/>
    </row>
    <row r="49905">
      <c r="D49905" s="39"/>
      <c r="E49905" s="39"/>
      <c r="F49905" s="39"/>
    </row>
    <row r="49906">
      <c r="D49906" s="39"/>
      <c r="E49906" s="39"/>
      <c r="F49906" s="39"/>
    </row>
    <row r="49907">
      <c r="D49907" s="39"/>
      <c r="E49907" s="39"/>
      <c r="F49907" s="39"/>
    </row>
    <row r="49908">
      <c r="D49908" s="39"/>
      <c r="E49908" s="39"/>
      <c r="F49908" s="39"/>
    </row>
    <row r="49909">
      <c r="D49909" s="39"/>
      <c r="E49909" s="39"/>
      <c r="F49909" s="39"/>
    </row>
    <row r="49910">
      <c r="D49910" s="39"/>
      <c r="E49910" s="39"/>
      <c r="F49910" s="39"/>
    </row>
    <row r="49911">
      <c r="D49911" s="39"/>
      <c r="E49911" s="39"/>
      <c r="F49911" s="39"/>
    </row>
    <row r="49912">
      <c r="D49912" s="39"/>
      <c r="E49912" s="39"/>
      <c r="F49912" s="39"/>
    </row>
    <row r="49913">
      <c r="D49913" s="39"/>
      <c r="E49913" s="39"/>
      <c r="F49913" s="39"/>
    </row>
    <row r="49914">
      <c r="D49914" s="39"/>
      <c r="E49914" s="39"/>
      <c r="F49914" s="39"/>
    </row>
    <row r="49915">
      <c r="D49915" s="39"/>
      <c r="E49915" s="39"/>
      <c r="F49915" s="39"/>
    </row>
    <row r="49916">
      <c r="D49916" s="39"/>
      <c r="E49916" s="39"/>
      <c r="F49916" s="39"/>
    </row>
    <row r="49917">
      <c r="D49917" s="39"/>
      <c r="E49917" s="39"/>
      <c r="F49917" s="39"/>
    </row>
    <row r="49918">
      <c r="D49918" s="39"/>
      <c r="E49918" s="39"/>
      <c r="F49918" s="39"/>
    </row>
    <row r="49919">
      <c r="D49919" s="39"/>
      <c r="E49919" s="39"/>
      <c r="F49919" s="39"/>
    </row>
    <row r="49920">
      <c r="D49920" s="39"/>
      <c r="E49920" s="39"/>
      <c r="F49920" s="39"/>
    </row>
    <row r="49921">
      <c r="D49921" s="39"/>
      <c r="E49921" s="39"/>
      <c r="F49921" s="39"/>
    </row>
    <row r="49922">
      <c r="D49922" s="39"/>
      <c r="E49922" s="39"/>
      <c r="F49922" s="39"/>
    </row>
    <row r="49923">
      <c r="D49923" s="39"/>
      <c r="E49923" s="39"/>
      <c r="F49923" s="39"/>
    </row>
    <row r="49924">
      <c r="D49924" s="39"/>
      <c r="E49924" s="39"/>
      <c r="F49924" s="39"/>
    </row>
    <row r="49925">
      <c r="D49925" s="39"/>
      <c r="E49925" s="39"/>
      <c r="F49925" s="39"/>
    </row>
    <row r="49926">
      <c r="D49926" s="39"/>
      <c r="E49926" s="39"/>
      <c r="F49926" s="39"/>
    </row>
    <row r="49927">
      <c r="D49927" s="39"/>
      <c r="E49927" s="39"/>
      <c r="F49927" s="39"/>
    </row>
    <row r="49928">
      <c r="D49928" s="39"/>
      <c r="E49928" s="39"/>
      <c r="F49928" s="39"/>
    </row>
    <row r="49929">
      <c r="D49929" s="39"/>
      <c r="E49929" s="39"/>
      <c r="F49929" s="39"/>
    </row>
    <row r="49930">
      <c r="D49930" s="39"/>
      <c r="E49930" s="39"/>
      <c r="F49930" s="39"/>
    </row>
    <row r="49931">
      <c r="D49931" s="39"/>
      <c r="E49931" s="39"/>
      <c r="F49931" s="39"/>
    </row>
    <row r="49932">
      <c r="D49932" s="39"/>
      <c r="E49932" s="39"/>
      <c r="F49932" s="39"/>
    </row>
    <row r="49933">
      <c r="D49933" s="39"/>
      <c r="E49933" s="39"/>
      <c r="F49933" s="39"/>
    </row>
    <row r="49934">
      <c r="D49934" s="39"/>
      <c r="E49934" s="39"/>
      <c r="F49934" s="39"/>
    </row>
    <row r="49935">
      <c r="D49935" s="39"/>
      <c r="E49935" s="39"/>
      <c r="F49935" s="39"/>
    </row>
    <row r="49936">
      <c r="D49936" s="39"/>
      <c r="E49936" s="39"/>
      <c r="F49936" s="39"/>
    </row>
    <row r="49937">
      <c r="D49937" s="39"/>
      <c r="E49937" s="39"/>
      <c r="F49937" s="39"/>
    </row>
    <row r="49938">
      <c r="D49938" s="39"/>
      <c r="E49938" s="39"/>
      <c r="F49938" s="39"/>
    </row>
    <row r="49939">
      <c r="D49939" s="39"/>
      <c r="E49939" s="39"/>
      <c r="F49939" s="39"/>
    </row>
    <row r="49940">
      <c r="D49940" s="39"/>
      <c r="E49940" s="39"/>
      <c r="F49940" s="39"/>
    </row>
    <row r="49941">
      <c r="D49941" s="39"/>
      <c r="E49941" s="39"/>
      <c r="F49941" s="39"/>
    </row>
    <row r="49942">
      <c r="D49942" s="39"/>
      <c r="E49942" s="39"/>
      <c r="F49942" s="39"/>
    </row>
    <row r="49943">
      <c r="D49943" s="39"/>
      <c r="E49943" s="39"/>
      <c r="F49943" s="39"/>
    </row>
    <row r="49944">
      <c r="D49944" s="39"/>
      <c r="E49944" s="39"/>
      <c r="F49944" s="39"/>
    </row>
    <row r="49945">
      <c r="D49945" s="39"/>
      <c r="E49945" s="39"/>
      <c r="F49945" s="39"/>
    </row>
    <row r="49946">
      <c r="D49946" s="39"/>
      <c r="E49946" s="39"/>
      <c r="F49946" s="39"/>
    </row>
    <row r="49947">
      <c r="D49947" s="39"/>
      <c r="E49947" s="39"/>
      <c r="F49947" s="39"/>
    </row>
    <row r="49948">
      <c r="D49948" s="39"/>
      <c r="E49948" s="39"/>
      <c r="F49948" s="39"/>
    </row>
    <row r="49949">
      <c r="D49949" s="39"/>
      <c r="E49949" s="39"/>
      <c r="F49949" s="39"/>
    </row>
    <row r="49950">
      <c r="D49950" s="39"/>
      <c r="E49950" s="39"/>
      <c r="F49950" s="39"/>
    </row>
    <row r="49951">
      <c r="D49951" s="39"/>
      <c r="E49951" s="39"/>
      <c r="F49951" s="39"/>
    </row>
    <row r="49952">
      <c r="D49952" s="39"/>
      <c r="E49952" s="39"/>
      <c r="F49952" s="39"/>
    </row>
    <row r="49953">
      <c r="D49953" s="39"/>
      <c r="E49953" s="39"/>
      <c r="F49953" s="39"/>
    </row>
    <row r="49954">
      <c r="D49954" s="39"/>
      <c r="E49954" s="39"/>
      <c r="F49954" s="39"/>
    </row>
    <row r="49955">
      <c r="D49955" s="39"/>
      <c r="E49955" s="39"/>
      <c r="F49955" s="39"/>
    </row>
    <row r="49956">
      <c r="D49956" s="39"/>
      <c r="E49956" s="39"/>
      <c r="F49956" s="39"/>
    </row>
    <row r="49957">
      <c r="D49957" s="39"/>
      <c r="E49957" s="39"/>
      <c r="F49957" s="39"/>
    </row>
    <row r="49958">
      <c r="D49958" s="39"/>
      <c r="E49958" s="39"/>
      <c r="F49958" s="39"/>
    </row>
    <row r="49959">
      <c r="D49959" s="39"/>
      <c r="E49959" s="39"/>
      <c r="F49959" s="39"/>
    </row>
    <row r="49960">
      <c r="D49960" s="39"/>
      <c r="E49960" s="39"/>
      <c r="F49960" s="39"/>
    </row>
    <row r="49961">
      <c r="D49961" s="39"/>
      <c r="E49961" s="39"/>
      <c r="F49961" s="39"/>
    </row>
    <row r="49962">
      <c r="D49962" s="39"/>
      <c r="E49962" s="39"/>
      <c r="F49962" s="39"/>
    </row>
    <row r="49963">
      <c r="D49963" s="39"/>
      <c r="E49963" s="39"/>
      <c r="F49963" s="39"/>
    </row>
    <row r="49964">
      <c r="D49964" s="39"/>
      <c r="E49964" s="39"/>
      <c r="F49964" s="39"/>
    </row>
    <row r="49965">
      <c r="D49965" s="39"/>
      <c r="E49965" s="39"/>
      <c r="F49965" s="39"/>
    </row>
    <row r="49966">
      <c r="D49966" s="39"/>
      <c r="E49966" s="39"/>
      <c r="F49966" s="39"/>
    </row>
    <row r="49967">
      <c r="D49967" s="39"/>
      <c r="E49967" s="39"/>
      <c r="F49967" s="39"/>
    </row>
    <row r="49968">
      <c r="D49968" s="39"/>
      <c r="E49968" s="39"/>
      <c r="F49968" s="39"/>
    </row>
    <row r="49969">
      <c r="D49969" s="39"/>
      <c r="E49969" s="39"/>
      <c r="F49969" s="39"/>
    </row>
    <row r="49970">
      <c r="D49970" s="39"/>
      <c r="E49970" s="39"/>
      <c r="F49970" s="39"/>
    </row>
    <row r="49971">
      <c r="D49971" s="39"/>
      <c r="E49971" s="39"/>
      <c r="F49971" s="39"/>
    </row>
    <row r="49972">
      <c r="D49972" s="39"/>
      <c r="E49972" s="39"/>
      <c r="F49972" s="39"/>
    </row>
    <row r="49973">
      <c r="D49973" s="39"/>
      <c r="E49973" s="39"/>
      <c r="F49973" s="39"/>
    </row>
    <row r="49974">
      <c r="D49974" s="39"/>
      <c r="E49974" s="39"/>
      <c r="F49974" s="39"/>
    </row>
    <row r="49975">
      <c r="D49975" s="39"/>
      <c r="E49975" s="39"/>
      <c r="F49975" s="39"/>
    </row>
    <row r="49976">
      <c r="D49976" s="39"/>
      <c r="E49976" s="39"/>
      <c r="F49976" s="39"/>
    </row>
    <row r="49977">
      <c r="D49977" s="39"/>
      <c r="E49977" s="39"/>
      <c r="F49977" s="39"/>
    </row>
    <row r="49978">
      <c r="D49978" s="39"/>
      <c r="E49978" s="39"/>
      <c r="F49978" s="39"/>
    </row>
    <row r="49979">
      <c r="D49979" s="39"/>
      <c r="E49979" s="39"/>
      <c r="F49979" s="39"/>
    </row>
    <row r="49980">
      <c r="D49980" s="39"/>
      <c r="E49980" s="39"/>
      <c r="F49980" s="39"/>
    </row>
    <row r="49981">
      <c r="D49981" s="39"/>
      <c r="E49981" s="39"/>
      <c r="F49981" s="39"/>
    </row>
    <row r="49982">
      <c r="D49982" s="39"/>
      <c r="E49982" s="39"/>
      <c r="F49982" s="39"/>
    </row>
    <row r="49983">
      <c r="D49983" s="39"/>
      <c r="E49983" s="39"/>
      <c r="F49983" s="39"/>
    </row>
    <row r="49984">
      <c r="D49984" s="39"/>
      <c r="E49984" s="39"/>
      <c r="F49984" s="39"/>
    </row>
    <row r="49985">
      <c r="D49985" s="39"/>
      <c r="E49985" s="39"/>
      <c r="F49985" s="39"/>
    </row>
    <row r="49986">
      <c r="D49986" s="39"/>
      <c r="E49986" s="39"/>
      <c r="F49986" s="39"/>
    </row>
    <row r="49987">
      <c r="D49987" s="39"/>
      <c r="E49987" s="39"/>
      <c r="F49987" s="39"/>
    </row>
    <row r="49988">
      <c r="D49988" s="39"/>
      <c r="E49988" s="39"/>
      <c r="F49988" s="39"/>
    </row>
    <row r="49989">
      <c r="D49989" s="39"/>
      <c r="E49989" s="39"/>
      <c r="F49989" s="39"/>
    </row>
    <row r="49990">
      <c r="D49990" s="39"/>
      <c r="E49990" s="39"/>
      <c r="F49990" s="39"/>
    </row>
    <row r="49991">
      <c r="D49991" s="39"/>
      <c r="E49991" s="39"/>
      <c r="F49991" s="39"/>
    </row>
    <row r="49992">
      <c r="D49992" s="39"/>
      <c r="E49992" s="39"/>
      <c r="F49992" s="39"/>
    </row>
    <row r="49993">
      <c r="D49993" s="39"/>
      <c r="E49993" s="39"/>
      <c r="F49993" s="39"/>
    </row>
    <row r="49994">
      <c r="D49994" s="39"/>
      <c r="E49994" s="39"/>
      <c r="F49994" s="39"/>
    </row>
    <row r="49995">
      <c r="D49995" s="39"/>
      <c r="E49995" s="39"/>
      <c r="F49995" s="39"/>
    </row>
    <row r="49996">
      <c r="D49996" s="39"/>
      <c r="E49996" s="39"/>
      <c r="F49996" s="39"/>
    </row>
    <row r="49997">
      <c r="D49997" s="39"/>
      <c r="E49997" s="39"/>
      <c r="F49997" s="39"/>
    </row>
    <row r="49998">
      <c r="D49998" s="39"/>
      <c r="E49998" s="39"/>
      <c r="F49998" s="39"/>
    </row>
    <row r="49999">
      <c r="D49999" s="39"/>
      <c r="E49999" s="39"/>
      <c r="F49999" s="39"/>
    </row>
    <row r="50000">
      <c r="D50000" s="39"/>
      <c r="E50000" s="39"/>
      <c r="F50000" s="39"/>
    </row>
    <row r="50001">
      <c r="D50001" s="39"/>
      <c r="E50001" s="39"/>
      <c r="F50001" s="39"/>
    </row>
    <row r="50002">
      <c r="D50002" s="39"/>
      <c r="E50002" s="39"/>
      <c r="F50002" s="39"/>
    </row>
    <row r="50003">
      <c r="D50003" s="39"/>
      <c r="E50003" s="39"/>
      <c r="F50003" s="39"/>
    </row>
    <row r="50004">
      <c r="D50004" s="39"/>
      <c r="E50004" s="39"/>
      <c r="F50004" s="39"/>
    </row>
    <row r="50005">
      <c r="D50005" s="39"/>
      <c r="E50005" s="39"/>
      <c r="F50005" s="39"/>
    </row>
    <row r="50006">
      <c r="D50006" s="39"/>
      <c r="E50006" s="39"/>
      <c r="F50006" s="39"/>
    </row>
    <row r="50007">
      <c r="D50007" s="39"/>
      <c r="E50007" s="39"/>
      <c r="F50007" s="39"/>
    </row>
    <row r="50008">
      <c r="D50008" s="39"/>
      <c r="E50008" s="39"/>
      <c r="F50008" s="39"/>
    </row>
    <row r="50009">
      <c r="D50009" s="39"/>
      <c r="E50009" s="39"/>
      <c r="F50009" s="39"/>
    </row>
    <row r="50010">
      <c r="D50010" s="39"/>
      <c r="E50010" s="39"/>
      <c r="F50010" s="39"/>
    </row>
    <row r="50011">
      <c r="D50011" s="39"/>
      <c r="E50011" s="39"/>
      <c r="F50011" s="39"/>
    </row>
    <row r="50012">
      <c r="D50012" s="39"/>
      <c r="E50012" s="39"/>
      <c r="F50012" s="39"/>
    </row>
    <row r="50013">
      <c r="D50013" s="39"/>
      <c r="E50013" s="39"/>
      <c r="F50013" s="39"/>
    </row>
    <row r="50014">
      <c r="D50014" s="39"/>
      <c r="E50014" s="39"/>
      <c r="F50014" s="39"/>
    </row>
    <row r="50015">
      <c r="D50015" s="39"/>
      <c r="E50015" s="39"/>
      <c r="F50015" s="39"/>
    </row>
    <row r="50016">
      <c r="D50016" s="39"/>
      <c r="E50016" s="39"/>
      <c r="F50016" s="39"/>
    </row>
    <row r="50017">
      <c r="D50017" s="39"/>
      <c r="E50017" s="39"/>
      <c r="F50017" s="39"/>
    </row>
    <row r="50018">
      <c r="D50018" s="39"/>
      <c r="E50018" s="39"/>
      <c r="F50018" s="39"/>
    </row>
    <row r="50019">
      <c r="D50019" s="39"/>
      <c r="E50019" s="39"/>
      <c r="F50019" s="39"/>
    </row>
    <row r="50020">
      <c r="D50020" s="39"/>
      <c r="E50020" s="39"/>
      <c r="F50020" s="39"/>
    </row>
    <row r="50021">
      <c r="D50021" s="39"/>
      <c r="E50021" s="39"/>
      <c r="F50021" s="39"/>
    </row>
    <row r="50022">
      <c r="D50022" s="39"/>
      <c r="E50022" s="39"/>
      <c r="F50022" s="39"/>
    </row>
    <row r="50023">
      <c r="D50023" s="39"/>
      <c r="E50023" s="39"/>
      <c r="F50023" s="39"/>
    </row>
    <row r="50024">
      <c r="D50024" s="39"/>
      <c r="E50024" s="39"/>
      <c r="F50024" s="39"/>
    </row>
    <row r="50025">
      <c r="D50025" s="39"/>
      <c r="E50025" s="39"/>
      <c r="F50025" s="39"/>
    </row>
    <row r="50026">
      <c r="D50026" s="39"/>
      <c r="E50026" s="39"/>
      <c r="F50026" s="39"/>
    </row>
    <row r="50027">
      <c r="D50027" s="39"/>
      <c r="E50027" s="39"/>
      <c r="F50027" s="39"/>
    </row>
    <row r="50028">
      <c r="D50028" s="39"/>
      <c r="E50028" s="39"/>
      <c r="F50028" s="39"/>
    </row>
    <row r="50029">
      <c r="D50029" s="39"/>
      <c r="E50029" s="39"/>
      <c r="F50029" s="39"/>
    </row>
    <row r="50030">
      <c r="D50030" s="39"/>
      <c r="E50030" s="39"/>
      <c r="F50030" s="39"/>
    </row>
    <row r="50031">
      <c r="D50031" s="39"/>
      <c r="E50031" s="39"/>
      <c r="F50031" s="39"/>
    </row>
    <row r="50032">
      <c r="D50032" s="39"/>
      <c r="E50032" s="39"/>
      <c r="F50032" s="39"/>
    </row>
    <row r="50033">
      <c r="D50033" s="39"/>
      <c r="E50033" s="39"/>
      <c r="F50033" s="39"/>
    </row>
    <row r="50034">
      <c r="D50034" s="39"/>
      <c r="E50034" s="39"/>
      <c r="F50034" s="39"/>
    </row>
    <row r="50035">
      <c r="D50035" s="39"/>
      <c r="E50035" s="39"/>
      <c r="F50035" s="39"/>
    </row>
    <row r="50036">
      <c r="D50036" s="39"/>
      <c r="E50036" s="39"/>
      <c r="F50036" s="39"/>
    </row>
    <row r="50037">
      <c r="D50037" s="39"/>
      <c r="E50037" s="39"/>
      <c r="F50037" s="39"/>
    </row>
    <row r="50038">
      <c r="D50038" s="39"/>
      <c r="E50038" s="39"/>
      <c r="F50038" s="39"/>
    </row>
    <row r="50039">
      <c r="D50039" s="39"/>
      <c r="E50039" s="39"/>
      <c r="F50039" s="39"/>
    </row>
    <row r="50040">
      <c r="D50040" s="39"/>
      <c r="E50040" s="39"/>
      <c r="F50040" s="39"/>
    </row>
    <row r="50041">
      <c r="D50041" s="39"/>
      <c r="E50041" s="39"/>
      <c r="F50041" s="39"/>
    </row>
    <row r="50042">
      <c r="D50042" s="39"/>
      <c r="E50042" s="39"/>
      <c r="F50042" s="39"/>
    </row>
    <row r="50043">
      <c r="D50043" s="39"/>
      <c r="E50043" s="39"/>
      <c r="F50043" s="39"/>
    </row>
    <row r="50044">
      <c r="D50044" s="39"/>
      <c r="E50044" s="39"/>
      <c r="F50044" s="39"/>
    </row>
    <row r="50045">
      <c r="D50045" s="39"/>
      <c r="E50045" s="39"/>
      <c r="F50045" s="39"/>
    </row>
    <row r="50046">
      <c r="D50046" s="39"/>
      <c r="E50046" s="39"/>
      <c r="F50046" s="39"/>
    </row>
    <row r="50047">
      <c r="D50047" s="39"/>
      <c r="E50047" s="39"/>
      <c r="F50047" s="39"/>
    </row>
    <row r="50048">
      <c r="D50048" s="39"/>
      <c r="E50048" s="39"/>
      <c r="F50048" s="39"/>
    </row>
    <row r="50049">
      <c r="D50049" s="39"/>
      <c r="E50049" s="39"/>
      <c r="F50049" s="39"/>
    </row>
    <row r="50050">
      <c r="D50050" s="39"/>
      <c r="E50050" s="39"/>
      <c r="F50050" s="39"/>
    </row>
    <row r="50051">
      <c r="D50051" s="39"/>
      <c r="E50051" s="39"/>
      <c r="F50051" s="39"/>
    </row>
    <row r="50052">
      <c r="D50052" s="39"/>
      <c r="E50052" s="39"/>
      <c r="F50052" s="39"/>
    </row>
    <row r="50053">
      <c r="D50053" s="39"/>
      <c r="E50053" s="39"/>
      <c r="F50053" s="39"/>
    </row>
    <row r="50054">
      <c r="D50054" s="39"/>
      <c r="E50054" s="39"/>
      <c r="F50054" s="39"/>
    </row>
    <row r="50055">
      <c r="D50055" s="39"/>
      <c r="E50055" s="39"/>
      <c r="F50055" s="39"/>
    </row>
    <row r="50056">
      <c r="D50056" s="39"/>
      <c r="E50056" s="39"/>
      <c r="F50056" s="39"/>
    </row>
    <row r="50057">
      <c r="D50057" s="39"/>
      <c r="E50057" s="39"/>
      <c r="F50057" s="39"/>
    </row>
    <row r="50058">
      <c r="D50058" s="39"/>
      <c r="E50058" s="39"/>
      <c r="F50058" s="39"/>
    </row>
    <row r="50059">
      <c r="D50059" s="39"/>
      <c r="E50059" s="39"/>
      <c r="F50059" s="39"/>
    </row>
    <row r="50060">
      <c r="D50060" s="39"/>
      <c r="E50060" s="39"/>
      <c r="F50060" s="39"/>
    </row>
    <row r="50061">
      <c r="D50061" s="39"/>
      <c r="E50061" s="39"/>
      <c r="F50061" s="39"/>
    </row>
    <row r="50062">
      <c r="D50062" s="39"/>
      <c r="E50062" s="39"/>
      <c r="F50062" s="39"/>
    </row>
    <row r="50063">
      <c r="D50063" s="39"/>
      <c r="E50063" s="39"/>
      <c r="F50063" s="39"/>
    </row>
    <row r="50064">
      <c r="D50064" s="39"/>
      <c r="E50064" s="39"/>
      <c r="F50064" s="39"/>
    </row>
    <row r="50065">
      <c r="D50065" s="39"/>
      <c r="E50065" s="39"/>
      <c r="F50065" s="39"/>
    </row>
    <row r="50066">
      <c r="D50066" s="39"/>
      <c r="E50066" s="39"/>
      <c r="F50066" s="39"/>
    </row>
    <row r="50067">
      <c r="D50067" s="39"/>
      <c r="E50067" s="39"/>
      <c r="F50067" s="39"/>
    </row>
    <row r="50068">
      <c r="D50068" s="39"/>
      <c r="E50068" s="39"/>
      <c r="F50068" s="39"/>
    </row>
    <row r="50069">
      <c r="D50069" s="39"/>
      <c r="E50069" s="39"/>
      <c r="F50069" s="39"/>
    </row>
    <row r="50070">
      <c r="D50070" s="39"/>
      <c r="E50070" s="39"/>
      <c r="F50070" s="39"/>
    </row>
    <row r="50071">
      <c r="D50071" s="39"/>
      <c r="E50071" s="39"/>
      <c r="F50071" s="39"/>
    </row>
    <row r="50072">
      <c r="D50072" s="39"/>
      <c r="E50072" s="39"/>
      <c r="F50072" s="39"/>
    </row>
    <row r="50073">
      <c r="D50073" s="39"/>
      <c r="E50073" s="39"/>
      <c r="F50073" s="39"/>
    </row>
    <row r="50074">
      <c r="D50074" s="39"/>
      <c r="E50074" s="39"/>
      <c r="F50074" s="39"/>
    </row>
    <row r="50075">
      <c r="D50075" s="39"/>
      <c r="E50075" s="39"/>
      <c r="F50075" s="39"/>
    </row>
    <row r="50076">
      <c r="D50076" s="39"/>
      <c r="E50076" s="39"/>
      <c r="F50076" s="39"/>
    </row>
    <row r="50077">
      <c r="D50077" s="39"/>
      <c r="E50077" s="39"/>
      <c r="F50077" s="39"/>
    </row>
    <row r="50078">
      <c r="D50078" s="39"/>
      <c r="E50078" s="39"/>
      <c r="F50078" s="39"/>
    </row>
    <row r="50079">
      <c r="D50079" s="39"/>
      <c r="E50079" s="39"/>
      <c r="F50079" s="39"/>
    </row>
    <row r="50080">
      <c r="D50080" s="39"/>
      <c r="E50080" s="39"/>
      <c r="F50080" s="39"/>
    </row>
    <row r="50081">
      <c r="D50081" s="39"/>
      <c r="E50081" s="39"/>
      <c r="F50081" s="39"/>
    </row>
    <row r="50082">
      <c r="D50082" s="39"/>
      <c r="E50082" s="39"/>
      <c r="F50082" s="39"/>
    </row>
    <row r="50083">
      <c r="D50083" s="39"/>
      <c r="E50083" s="39"/>
      <c r="F50083" s="39"/>
    </row>
    <row r="50084">
      <c r="D50084" s="39"/>
      <c r="E50084" s="39"/>
      <c r="F50084" s="39"/>
    </row>
    <row r="50085">
      <c r="D50085" s="39"/>
      <c r="E50085" s="39"/>
      <c r="F50085" s="39"/>
    </row>
    <row r="50086">
      <c r="D50086" s="39"/>
      <c r="E50086" s="39"/>
      <c r="F50086" s="39"/>
    </row>
    <row r="50087">
      <c r="D50087" s="39"/>
      <c r="E50087" s="39"/>
      <c r="F50087" s="39"/>
    </row>
    <row r="50088">
      <c r="D50088" s="39"/>
      <c r="E50088" s="39"/>
      <c r="F50088" s="39"/>
    </row>
    <row r="50089">
      <c r="D50089" s="39"/>
      <c r="E50089" s="39"/>
      <c r="F50089" s="39"/>
    </row>
    <row r="50090">
      <c r="D50090" s="39"/>
      <c r="E50090" s="39"/>
      <c r="F50090" s="39"/>
    </row>
    <row r="50091">
      <c r="D50091" s="39"/>
      <c r="E50091" s="39"/>
      <c r="F50091" s="39"/>
    </row>
    <row r="50092">
      <c r="D50092" s="39"/>
      <c r="E50092" s="39"/>
      <c r="F50092" s="39"/>
    </row>
    <row r="50093">
      <c r="D50093" s="39"/>
      <c r="E50093" s="39"/>
      <c r="F50093" s="39"/>
    </row>
    <row r="50094">
      <c r="D50094" s="39"/>
      <c r="E50094" s="39"/>
      <c r="F50094" s="39"/>
    </row>
    <row r="50095">
      <c r="D50095" s="39"/>
      <c r="E50095" s="39"/>
      <c r="F50095" s="39"/>
    </row>
    <row r="50096">
      <c r="D50096" s="39"/>
      <c r="E50096" s="39"/>
      <c r="F50096" s="39"/>
    </row>
    <row r="50097">
      <c r="D50097" s="39"/>
      <c r="E50097" s="39"/>
      <c r="F50097" s="39"/>
    </row>
    <row r="50098">
      <c r="D50098" s="39"/>
      <c r="E50098" s="39"/>
      <c r="F50098" s="39"/>
    </row>
    <row r="50099">
      <c r="D50099" s="39"/>
      <c r="E50099" s="39"/>
      <c r="F50099" s="39"/>
    </row>
    <row r="50100">
      <c r="D50100" s="39"/>
      <c r="E50100" s="39"/>
      <c r="F50100" s="39"/>
    </row>
    <row r="50101">
      <c r="D50101" s="39"/>
      <c r="E50101" s="39"/>
      <c r="F50101" s="39"/>
    </row>
    <row r="50102">
      <c r="D50102" s="39"/>
      <c r="E50102" s="39"/>
      <c r="F50102" s="39"/>
    </row>
    <row r="50103">
      <c r="D50103" s="39"/>
      <c r="E50103" s="39"/>
      <c r="F50103" s="39"/>
    </row>
    <row r="50104">
      <c r="D50104" s="39"/>
      <c r="E50104" s="39"/>
      <c r="F50104" s="39"/>
    </row>
    <row r="50105">
      <c r="D50105" s="39"/>
      <c r="E50105" s="39"/>
      <c r="F50105" s="39"/>
    </row>
    <row r="50106">
      <c r="D50106" s="39"/>
      <c r="E50106" s="39"/>
      <c r="F50106" s="39"/>
    </row>
    <row r="50107">
      <c r="D50107" s="39"/>
      <c r="E50107" s="39"/>
      <c r="F50107" s="39"/>
    </row>
    <row r="50108">
      <c r="D50108" s="39"/>
      <c r="E50108" s="39"/>
      <c r="F50108" s="39"/>
    </row>
    <row r="50109">
      <c r="D50109" s="39"/>
      <c r="E50109" s="39"/>
      <c r="F50109" s="39"/>
    </row>
    <row r="50110">
      <c r="D50110" s="39"/>
      <c r="E50110" s="39"/>
      <c r="F50110" s="39"/>
    </row>
    <row r="50111">
      <c r="D50111" s="39"/>
      <c r="E50111" s="39"/>
      <c r="F50111" s="39"/>
    </row>
    <row r="50112">
      <c r="D50112" s="39"/>
      <c r="E50112" s="39"/>
      <c r="F50112" s="39"/>
    </row>
    <row r="50113">
      <c r="D50113" s="39"/>
      <c r="E50113" s="39"/>
      <c r="F50113" s="39"/>
    </row>
    <row r="50114">
      <c r="D50114" s="39"/>
      <c r="E50114" s="39"/>
      <c r="F50114" s="39"/>
    </row>
    <row r="50115">
      <c r="D50115" s="39"/>
      <c r="E50115" s="39"/>
      <c r="F50115" s="39"/>
    </row>
    <row r="50116">
      <c r="D50116" s="39"/>
      <c r="E50116" s="39"/>
      <c r="F50116" s="39"/>
    </row>
    <row r="50117">
      <c r="D50117" s="39"/>
      <c r="E50117" s="39"/>
      <c r="F50117" s="39"/>
    </row>
    <row r="50118">
      <c r="D50118" s="39"/>
      <c r="E50118" s="39"/>
      <c r="F50118" s="39"/>
    </row>
    <row r="50119">
      <c r="D50119" s="39"/>
      <c r="E50119" s="39"/>
      <c r="F50119" s="39"/>
    </row>
    <row r="50120">
      <c r="D50120" s="39"/>
      <c r="E50120" s="39"/>
      <c r="F50120" s="39"/>
    </row>
    <row r="50121">
      <c r="D50121" s="39"/>
      <c r="E50121" s="39"/>
      <c r="F50121" s="39"/>
    </row>
    <row r="50122">
      <c r="D50122" s="39"/>
      <c r="E50122" s="39"/>
      <c r="F50122" s="39"/>
    </row>
    <row r="50123">
      <c r="D50123" s="39"/>
      <c r="E50123" s="39"/>
      <c r="F50123" s="39"/>
    </row>
    <row r="50124">
      <c r="D50124" s="39"/>
      <c r="E50124" s="39"/>
      <c r="F50124" s="39"/>
    </row>
    <row r="50125">
      <c r="D50125" s="39"/>
      <c r="E50125" s="39"/>
      <c r="F50125" s="39"/>
    </row>
    <row r="50126">
      <c r="D50126" s="39"/>
      <c r="E50126" s="39"/>
      <c r="F50126" s="39"/>
    </row>
    <row r="50127">
      <c r="D50127" s="39"/>
      <c r="E50127" s="39"/>
      <c r="F50127" s="39"/>
    </row>
    <row r="50128">
      <c r="D50128" s="39"/>
      <c r="E50128" s="39"/>
      <c r="F50128" s="39"/>
    </row>
    <row r="50129">
      <c r="D50129" s="39"/>
      <c r="E50129" s="39"/>
      <c r="F50129" s="39"/>
    </row>
    <row r="50130">
      <c r="D50130" s="39"/>
      <c r="E50130" s="39"/>
      <c r="F50130" s="39"/>
    </row>
    <row r="50131">
      <c r="D50131" s="39"/>
      <c r="E50131" s="39"/>
      <c r="F50131" s="39"/>
    </row>
    <row r="50132">
      <c r="D50132" s="39"/>
      <c r="E50132" s="39"/>
      <c r="F50132" s="39"/>
    </row>
    <row r="50133">
      <c r="D50133" s="39"/>
      <c r="E50133" s="39"/>
      <c r="F50133" s="39"/>
    </row>
    <row r="50134">
      <c r="D50134" s="39"/>
      <c r="E50134" s="39"/>
      <c r="F50134" s="39"/>
    </row>
    <row r="50135">
      <c r="D50135" s="39"/>
      <c r="E50135" s="39"/>
      <c r="F50135" s="39"/>
    </row>
    <row r="50136">
      <c r="D50136" s="39"/>
      <c r="E50136" s="39"/>
      <c r="F50136" s="39"/>
    </row>
    <row r="50137">
      <c r="D50137" s="39"/>
      <c r="E50137" s="39"/>
      <c r="F50137" s="39"/>
    </row>
    <row r="50138">
      <c r="D50138" s="39"/>
      <c r="E50138" s="39"/>
      <c r="F50138" s="39"/>
    </row>
    <row r="50139">
      <c r="D50139" s="39"/>
      <c r="E50139" s="39"/>
      <c r="F50139" s="39"/>
    </row>
    <row r="50140">
      <c r="D50140" s="39"/>
      <c r="E50140" s="39"/>
      <c r="F50140" s="39"/>
    </row>
    <row r="50141">
      <c r="D50141" s="39"/>
      <c r="E50141" s="39"/>
      <c r="F50141" s="39"/>
    </row>
    <row r="50142">
      <c r="D50142" s="39"/>
      <c r="E50142" s="39"/>
      <c r="F50142" s="39"/>
    </row>
    <row r="50143">
      <c r="D50143" s="39"/>
      <c r="E50143" s="39"/>
      <c r="F50143" s="39"/>
    </row>
    <row r="50144">
      <c r="D50144" s="39"/>
      <c r="E50144" s="39"/>
      <c r="F50144" s="39"/>
    </row>
    <row r="50145">
      <c r="D50145" s="39"/>
      <c r="E50145" s="39"/>
      <c r="F50145" s="39"/>
    </row>
    <row r="50146">
      <c r="D50146" s="39"/>
      <c r="E50146" s="39"/>
      <c r="F50146" s="39"/>
    </row>
    <row r="50147">
      <c r="D50147" s="39"/>
      <c r="E50147" s="39"/>
      <c r="F50147" s="39"/>
    </row>
    <row r="50148">
      <c r="D50148" s="39"/>
      <c r="E50148" s="39"/>
      <c r="F50148" s="39"/>
    </row>
    <row r="50149">
      <c r="D50149" s="39"/>
      <c r="E50149" s="39"/>
      <c r="F50149" s="39"/>
    </row>
    <row r="50150">
      <c r="D50150" s="39"/>
      <c r="E50150" s="39"/>
      <c r="F50150" s="39"/>
    </row>
    <row r="50151">
      <c r="D50151" s="39"/>
      <c r="E50151" s="39"/>
      <c r="F50151" s="39"/>
    </row>
    <row r="50152">
      <c r="D50152" s="39"/>
      <c r="E50152" s="39"/>
      <c r="F50152" s="39"/>
    </row>
    <row r="50153">
      <c r="D50153" s="39"/>
      <c r="E50153" s="39"/>
      <c r="F50153" s="39"/>
    </row>
    <row r="50154">
      <c r="D50154" s="39"/>
      <c r="E50154" s="39"/>
      <c r="F50154" s="39"/>
    </row>
    <row r="50155">
      <c r="D50155" s="39"/>
      <c r="E50155" s="39"/>
      <c r="F50155" s="39"/>
    </row>
    <row r="50156">
      <c r="D50156" s="39"/>
      <c r="E50156" s="39"/>
      <c r="F50156" s="39"/>
    </row>
    <row r="50157">
      <c r="D50157" s="39"/>
      <c r="E50157" s="39"/>
      <c r="F50157" s="39"/>
    </row>
    <row r="50158">
      <c r="D50158" s="39"/>
      <c r="E50158" s="39"/>
      <c r="F50158" s="39"/>
    </row>
    <row r="50159">
      <c r="D50159" s="39"/>
      <c r="E50159" s="39"/>
      <c r="F50159" s="39"/>
    </row>
    <row r="50160">
      <c r="D50160" s="39"/>
      <c r="E50160" s="39"/>
      <c r="F50160" s="39"/>
    </row>
    <row r="50161">
      <c r="D50161" s="39"/>
      <c r="E50161" s="39"/>
      <c r="F50161" s="39"/>
    </row>
    <row r="50162">
      <c r="D50162" s="39"/>
      <c r="E50162" s="39"/>
      <c r="F50162" s="39"/>
    </row>
    <row r="50163">
      <c r="D50163" s="39"/>
      <c r="E50163" s="39"/>
      <c r="F50163" s="39"/>
    </row>
    <row r="50164">
      <c r="D50164" s="39"/>
      <c r="E50164" s="39"/>
      <c r="F50164" s="39"/>
    </row>
    <row r="50165">
      <c r="D50165" s="39"/>
      <c r="E50165" s="39"/>
      <c r="F50165" s="39"/>
    </row>
    <row r="50166">
      <c r="D50166" s="39"/>
      <c r="E50166" s="39"/>
      <c r="F50166" s="39"/>
    </row>
    <row r="50167">
      <c r="D50167" s="39"/>
      <c r="E50167" s="39"/>
      <c r="F50167" s="39"/>
    </row>
    <row r="50168">
      <c r="D50168" s="39"/>
      <c r="E50168" s="39"/>
      <c r="F50168" s="39"/>
    </row>
    <row r="50169">
      <c r="D50169" s="39"/>
      <c r="E50169" s="39"/>
      <c r="F50169" s="39"/>
    </row>
    <row r="50170">
      <c r="D50170" s="39"/>
      <c r="E50170" s="39"/>
      <c r="F50170" s="39"/>
    </row>
    <row r="50171">
      <c r="D50171" s="39"/>
      <c r="E50171" s="39"/>
      <c r="F50171" s="39"/>
    </row>
    <row r="50172">
      <c r="D50172" s="39"/>
      <c r="E50172" s="39"/>
      <c r="F50172" s="39"/>
    </row>
    <row r="50173">
      <c r="D50173" s="39"/>
      <c r="E50173" s="39"/>
      <c r="F50173" s="39"/>
    </row>
    <row r="50174">
      <c r="D50174" s="39"/>
      <c r="E50174" s="39"/>
      <c r="F50174" s="39"/>
    </row>
    <row r="50175">
      <c r="D50175" s="39"/>
      <c r="E50175" s="39"/>
      <c r="F50175" s="39"/>
    </row>
    <row r="50176">
      <c r="D50176" s="39"/>
      <c r="E50176" s="39"/>
      <c r="F50176" s="39"/>
    </row>
    <row r="50177">
      <c r="D50177" s="39"/>
      <c r="E50177" s="39"/>
      <c r="F50177" s="39"/>
    </row>
    <row r="50178">
      <c r="D50178" s="39"/>
      <c r="E50178" s="39"/>
      <c r="F50178" s="39"/>
    </row>
    <row r="50179">
      <c r="D50179" s="39"/>
      <c r="E50179" s="39"/>
      <c r="F50179" s="39"/>
    </row>
    <row r="50180">
      <c r="D50180" s="39"/>
      <c r="E50180" s="39"/>
      <c r="F50180" s="39"/>
    </row>
    <row r="50181">
      <c r="D50181" s="39"/>
      <c r="E50181" s="39"/>
      <c r="F50181" s="39"/>
    </row>
    <row r="50182">
      <c r="D50182" s="39"/>
      <c r="E50182" s="39"/>
      <c r="F50182" s="39"/>
    </row>
    <row r="50183">
      <c r="D50183" s="39"/>
      <c r="E50183" s="39"/>
      <c r="F50183" s="39"/>
    </row>
    <row r="50184">
      <c r="D50184" s="39"/>
      <c r="E50184" s="39"/>
      <c r="F50184" s="39"/>
    </row>
    <row r="50185">
      <c r="D50185" s="39"/>
      <c r="E50185" s="39"/>
      <c r="F50185" s="39"/>
    </row>
    <row r="50186">
      <c r="D50186" s="39"/>
      <c r="E50186" s="39"/>
      <c r="F50186" s="39"/>
    </row>
    <row r="50187">
      <c r="D50187" s="39"/>
      <c r="E50187" s="39"/>
      <c r="F50187" s="39"/>
    </row>
    <row r="50188">
      <c r="D50188" s="39"/>
      <c r="E50188" s="39"/>
      <c r="F50188" s="39"/>
    </row>
    <row r="50189">
      <c r="D50189" s="39"/>
      <c r="E50189" s="39"/>
      <c r="F50189" s="39"/>
    </row>
    <row r="50190">
      <c r="D50190" s="39"/>
      <c r="E50190" s="39"/>
      <c r="F50190" s="39"/>
    </row>
    <row r="50191">
      <c r="D50191" s="39"/>
      <c r="E50191" s="39"/>
      <c r="F50191" s="39"/>
    </row>
    <row r="50192">
      <c r="D50192" s="39"/>
      <c r="E50192" s="39"/>
      <c r="F50192" s="39"/>
    </row>
    <row r="50193">
      <c r="D50193" s="39"/>
      <c r="E50193" s="39"/>
      <c r="F50193" s="39"/>
    </row>
    <row r="50194">
      <c r="D50194" s="39"/>
      <c r="E50194" s="39"/>
      <c r="F50194" s="39"/>
    </row>
    <row r="50195">
      <c r="D50195" s="39"/>
      <c r="E50195" s="39"/>
      <c r="F50195" s="39"/>
    </row>
    <row r="50196">
      <c r="D50196" s="39"/>
      <c r="E50196" s="39"/>
      <c r="F50196" s="39"/>
    </row>
    <row r="50197">
      <c r="D50197" s="39"/>
      <c r="E50197" s="39"/>
      <c r="F50197" s="39"/>
    </row>
    <row r="50198">
      <c r="D50198" s="39"/>
      <c r="E50198" s="39"/>
      <c r="F50198" s="39"/>
    </row>
    <row r="50199">
      <c r="D50199" s="39"/>
      <c r="E50199" s="39"/>
      <c r="F50199" s="39"/>
    </row>
    <row r="50200">
      <c r="D50200" s="39"/>
      <c r="E50200" s="39"/>
      <c r="F50200" s="39"/>
    </row>
    <row r="50201">
      <c r="D50201" s="39"/>
      <c r="E50201" s="39"/>
      <c r="F50201" s="39"/>
    </row>
    <row r="50202">
      <c r="D50202" s="39"/>
      <c r="E50202" s="39"/>
      <c r="F50202" s="39"/>
    </row>
    <row r="50203">
      <c r="D50203" s="39"/>
      <c r="E50203" s="39"/>
      <c r="F50203" s="39"/>
    </row>
    <row r="50204">
      <c r="D50204" s="39"/>
      <c r="E50204" s="39"/>
      <c r="F50204" s="39"/>
    </row>
    <row r="50205">
      <c r="D50205" s="39"/>
      <c r="E50205" s="39"/>
      <c r="F50205" s="39"/>
    </row>
    <row r="50206">
      <c r="D50206" s="39"/>
      <c r="E50206" s="39"/>
      <c r="F50206" s="39"/>
    </row>
    <row r="50207">
      <c r="D50207" s="39"/>
      <c r="E50207" s="39"/>
      <c r="F50207" s="39"/>
    </row>
    <row r="50208">
      <c r="D50208" s="39"/>
      <c r="E50208" s="39"/>
      <c r="F50208" s="39"/>
    </row>
    <row r="50209">
      <c r="D50209" s="39"/>
      <c r="E50209" s="39"/>
      <c r="F50209" s="39"/>
    </row>
    <row r="50210">
      <c r="D50210" s="39"/>
      <c r="E50210" s="39"/>
      <c r="F50210" s="39"/>
    </row>
    <row r="50211">
      <c r="D50211" s="39"/>
      <c r="E50211" s="39"/>
      <c r="F50211" s="39"/>
    </row>
    <row r="50212">
      <c r="D50212" s="39"/>
      <c r="E50212" s="39"/>
      <c r="F50212" s="39"/>
    </row>
    <row r="50213">
      <c r="D50213" s="39"/>
      <c r="E50213" s="39"/>
      <c r="F50213" s="39"/>
    </row>
    <row r="50214">
      <c r="D50214" s="39"/>
      <c r="E50214" s="39"/>
      <c r="F50214" s="39"/>
    </row>
    <row r="50215">
      <c r="D50215" s="39"/>
      <c r="E50215" s="39"/>
      <c r="F50215" s="39"/>
    </row>
    <row r="50216">
      <c r="D50216" s="39"/>
      <c r="E50216" s="39"/>
      <c r="F50216" s="39"/>
    </row>
    <row r="50217">
      <c r="D50217" s="39"/>
      <c r="E50217" s="39"/>
      <c r="F50217" s="39"/>
    </row>
    <row r="50218">
      <c r="D50218" s="39"/>
      <c r="E50218" s="39"/>
      <c r="F50218" s="39"/>
    </row>
    <row r="50219">
      <c r="D50219" s="39"/>
      <c r="E50219" s="39"/>
      <c r="F50219" s="39"/>
    </row>
    <row r="50220">
      <c r="D50220" s="39"/>
      <c r="E50220" s="39"/>
      <c r="F50220" s="39"/>
    </row>
    <row r="50221">
      <c r="D50221" s="39"/>
      <c r="E50221" s="39"/>
      <c r="F50221" s="39"/>
    </row>
    <row r="50222">
      <c r="D50222" s="39"/>
      <c r="E50222" s="39"/>
      <c r="F50222" s="39"/>
    </row>
    <row r="50223">
      <c r="D50223" s="39"/>
      <c r="E50223" s="39"/>
      <c r="F50223" s="39"/>
    </row>
    <row r="50224">
      <c r="D50224" s="39"/>
      <c r="E50224" s="39"/>
      <c r="F50224" s="39"/>
    </row>
    <row r="50225">
      <c r="D50225" s="39"/>
      <c r="E50225" s="39"/>
      <c r="F50225" s="39"/>
    </row>
    <row r="50226">
      <c r="D50226" s="39"/>
      <c r="E50226" s="39"/>
      <c r="F50226" s="39"/>
    </row>
    <row r="50227">
      <c r="D50227" s="39"/>
      <c r="E50227" s="39"/>
      <c r="F50227" s="39"/>
    </row>
    <row r="50228">
      <c r="D50228" s="39"/>
      <c r="E50228" s="39"/>
      <c r="F50228" s="39"/>
    </row>
    <row r="50229">
      <c r="D50229" s="39"/>
      <c r="E50229" s="39"/>
      <c r="F50229" s="39"/>
    </row>
    <row r="50230">
      <c r="D50230" s="39"/>
      <c r="E50230" s="39"/>
      <c r="F50230" s="39"/>
    </row>
    <row r="50231">
      <c r="D50231" s="39"/>
      <c r="E50231" s="39"/>
      <c r="F50231" s="39"/>
    </row>
    <row r="50232">
      <c r="D50232" s="39"/>
      <c r="E50232" s="39"/>
      <c r="F50232" s="39"/>
    </row>
    <row r="50233">
      <c r="D50233" s="39"/>
      <c r="E50233" s="39"/>
      <c r="F50233" s="39"/>
    </row>
    <row r="50234">
      <c r="D50234" s="39"/>
      <c r="E50234" s="39"/>
      <c r="F50234" s="39"/>
    </row>
    <row r="50235">
      <c r="D50235" s="39"/>
      <c r="E50235" s="39"/>
      <c r="F50235" s="39"/>
    </row>
    <row r="50236">
      <c r="D50236" s="39"/>
      <c r="E50236" s="39"/>
      <c r="F50236" s="39"/>
    </row>
    <row r="50237">
      <c r="D50237" s="39"/>
      <c r="E50237" s="39"/>
      <c r="F50237" s="39"/>
    </row>
    <row r="50238">
      <c r="D50238" s="39"/>
      <c r="E50238" s="39"/>
      <c r="F50238" s="39"/>
    </row>
    <row r="50239">
      <c r="D50239" s="39"/>
      <c r="E50239" s="39"/>
      <c r="F50239" s="39"/>
    </row>
    <row r="50240">
      <c r="D50240" s="39"/>
      <c r="E50240" s="39"/>
      <c r="F50240" s="39"/>
    </row>
    <row r="50241">
      <c r="D50241" s="39"/>
      <c r="E50241" s="39"/>
      <c r="F50241" s="39"/>
    </row>
    <row r="50242">
      <c r="D50242" s="39"/>
      <c r="E50242" s="39"/>
      <c r="F50242" s="39"/>
    </row>
    <row r="50243">
      <c r="D50243" s="39"/>
      <c r="E50243" s="39"/>
      <c r="F50243" s="39"/>
    </row>
    <row r="50244">
      <c r="D50244" s="39"/>
      <c r="E50244" s="39"/>
      <c r="F50244" s="39"/>
    </row>
    <row r="50245">
      <c r="D50245" s="39"/>
      <c r="E50245" s="39"/>
      <c r="F50245" s="39"/>
    </row>
    <row r="50246">
      <c r="D50246" s="39"/>
      <c r="E50246" s="39"/>
      <c r="F50246" s="39"/>
    </row>
    <row r="50247">
      <c r="D50247" s="39"/>
      <c r="E50247" s="39"/>
      <c r="F50247" s="39"/>
    </row>
    <row r="50248">
      <c r="D50248" s="39"/>
      <c r="E50248" s="39"/>
      <c r="F50248" s="39"/>
    </row>
    <row r="50249">
      <c r="D50249" s="39"/>
      <c r="E50249" s="39"/>
      <c r="F50249" s="39"/>
    </row>
    <row r="50250">
      <c r="D50250" s="39"/>
      <c r="E50250" s="39"/>
      <c r="F50250" s="39"/>
    </row>
    <row r="50251">
      <c r="D50251" s="39"/>
      <c r="E50251" s="39"/>
      <c r="F50251" s="39"/>
    </row>
    <row r="50252">
      <c r="D50252" s="39"/>
      <c r="E50252" s="39"/>
      <c r="F50252" s="39"/>
    </row>
    <row r="50253">
      <c r="D50253" s="39"/>
      <c r="E50253" s="39"/>
      <c r="F50253" s="39"/>
    </row>
    <row r="50254">
      <c r="D50254" s="39"/>
      <c r="E50254" s="39"/>
      <c r="F50254" s="39"/>
    </row>
    <row r="50255">
      <c r="D50255" s="39"/>
      <c r="E50255" s="39"/>
      <c r="F50255" s="39"/>
    </row>
    <row r="50256">
      <c r="D50256" s="39"/>
      <c r="E50256" s="39"/>
      <c r="F50256" s="39"/>
    </row>
    <row r="50257">
      <c r="D50257" s="39"/>
      <c r="E50257" s="39"/>
      <c r="F50257" s="39"/>
    </row>
    <row r="50258">
      <c r="D50258" s="39"/>
      <c r="E50258" s="39"/>
      <c r="F50258" s="39"/>
    </row>
    <row r="50259">
      <c r="D50259" s="39"/>
      <c r="E50259" s="39"/>
      <c r="F50259" s="39"/>
    </row>
    <row r="50260">
      <c r="D50260" s="39"/>
      <c r="E50260" s="39"/>
      <c r="F50260" s="39"/>
    </row>
    <row r="50261">
      <c r="D50261" s="39"/>
      <c r="E50261" s="39"/>
      <c r="F50261" s="39"/>
    </row>
    <row r="50262">
      <c r="D50262" s="39"/>
      <c r="E50262" s="39"/>
      <c r="F50262" s="39"/>
    </row>
    <row r="50263">
      <c r="D50263" s="39"/>
      <c r="E50263" s="39"/>
      <c r="F50263" s="39"/>
    </row>
    <row r="50264">
      <c r="D50264" s="39"/>
      <c r="E50264" s="39"/>
      <c r="F50264" s="39"/>
    </row>
    <row r="50265">
      <c r="D50265" s="39"/>
      <c r="E50265" s="39"/>
      <c r="F50265" s="39"/>
    </row>
    <row r="50266">
      <c r="D50266" s="39"/>
      <c r="E50266" s="39"/>
      <c r="F50266" s="39"/>
    </row>
    <row r="50267">
      <c r="D50267" s="39"/>
      <c r="E50267" s="39"/>
      <c r="F50267" s="39"/>
    </row>
    <row r="50268">
      <c r="D50268" s="39"/>
      <c r="E50268" s="39"/>
      <c r="F50268" s="39"/>
    </row>
    <row r="50269">
      <c r="D50269" s="39"/>
      <c r="E50269" s="39"/>
      <c r="F50269" s="39"/>
    </row>
    <row r="50270">
      <c r="D50270" s="39"/>
      <c r="E50270" s="39"/>
      <c r="F50270" s="39"/>
    </row>
    <row r="50271">
      <c r="D50271" s="39"/>
      <c r="E50271" s="39"/>
      <c r="F50271" s="39"/>
    </row>
    <row r="50272">
      <c r="D50272" s="39"/>
      <c r="E50272" s="39"/>
      <c r="F50272" s="39"/>
    </row>
    <row r="50273">
      <c r="D50273" s="39"/>
      <c r="E50273" s="39"/>
      <c r="F50273" s="39"/>
    </row>
    <row r="50274">
      <c r="D50274" s="39"/>
      <c r="E50274" s="39"/>
      <c r="F50274" s="39"/>
    </row>
    <row r="50275">
      <c r="D50275" s="39"/>
      <c r="E50275" s="39"/>
      <c r="F50275" s="39"/>
    </row>
    <row r="50276">
      <c r="D50276" s="39"/>
      <c r="E50276" s="39"/>
      <c r="F50276" s="39"/>
    </row>
    <row r="50277">
      <c r="D50277" s="39"/>
      <c r="E50277" s="39"/>
      <c r="F50277" s="39"/>
    </row>
    <row r="50278">
      <c r="D50278" s="39"/>
      <c r="E50278" s="39"/>
      <c r="F50278" s="39"/>
    </row>
    <row r="50279">
      <c r="D50279" s="39"/>
      <c r="E50279" s="39"/>
      <c r="F50279" s="39"/>
    </row>
    <row r="50280">
      <c r="D50280" s="39"/>
      <c r="E50280" s="39"/>
      <c r="F50280" s="39"/>
    </row>
    <row r="50281">
      <c r="D50281" s="39"/>
      <c r="E50281" s="39"/>
      <c r="F50281" s="39"/>
    </row>
    <row r="50282">
      <c r="D50282" s="39"/>
      <c r="E50282" s="39"/>
      <c r="F50282" s="39"/>
    </row>
    <row r="50283">
      <c r="D50283" s="39"/>
      <c r="E50283" s="39"/>
      <c r="F50283" s="39"/>
    </row>
    <row r="50284">
      <c r="D50284" s="39"/>
      <c r="E50284" s="39"/>
      <c r="F50284" s="39"/>
    </row>
    <row r="50285">
      <c r="D50285" s="39"/>
      <c r="E50285" s="39"/>
      <c r="F50285" s="39"/>
    </row>
    <row r="50286">
      <c r="D50286" s="39"/>
      <c r="E50286" s="39"/>
      <c r="F50286" s="39"/>
    </row>
    <row r="50287">
      <c r="D50287" s="39"/>
      <c r="E50287" s="39"/>
      <c r="F50287" s="39"/>
    </row>
    <row r="50288">
      <c r="D50288" s="39"/>
      <c r="E50288" s="39"/>
      <c r="F50288" s="39"/>
    </row>
    <row r="50289">
      <c r="D50289" s="39"/>
      <c r="E50289" s="39"/>
      <c r="F50289" s="39"/>
    </row>
    <row r="50290">
      <c r="D50290" s="39"/>
      <c r="E50290" s="39"/>
      <c r="F50290" s="39"/>
    </row>
    <row r="50291">
      <c r="D50291" s="39"/>
      <c r="E50291" s="39"/>
      <c r="F50291" s="39"/>
    </row>
    <row r="50292">
      <c r="D50292" s="39"/>
      <c r="E50292" s="39"/>
      <c r="F50292" s="39"/>
    </row>
    <row r="50293">
      <c r="D50293" s="39"/>
      <c r="E50293" s="39"/>
      <c r="F50293" s="39"/>
    </row>
    <row r="50294">
      <c r="D50294" s="39"/>
      <c r="E50294" s="39"/>
      <c r="F50294" s="39"/>
    </row>
    <row r="50295">
      <c r="D50295" s="39"/>
      <c r="E50295" s="39"/>
      <c r="F50295" s="39"/>
    </row>
    <row r="50296">
      <c r="D50296" s="39"/>
      <c r="E50296" s="39"/>
      <c r="F50296" s="39"/>
    </row>
    <row r="50297">
      <c r="D50297" s="39"/>
      <c r="E50297" s="39"/>
      <c r="F50297" s="39"/>
    </row>
    <row r="50298">
      <c r="D50298" s="39"/>
      <c r="E50298" s="39"/>
      <c r="F50298" s="39"/>
    </row>
    <row r="50299">
      <c r="D50299" s="39"/>
      <c r="E50299" s="39"/>
      <c r="F50299" s="39"/>
    </row>
    <row r="50300">
      <c r="D50300" s="39"/>
      <c r="E50300" s="39"/>
      <c r="F50300" s="39"/>
    </row>
    <row r="50301">
      <c r="D50301" s="39"/>
      <c r="E50301" s="39"/>
      <c r="F50301" s="39"/>
    </row>
    <row r="50302">
      <c r="D50302" s="39"/>
      <c r="E50302" s="39"/>
      <c r="F50302" s="39"/>
    </row>
    <row r="50303">
      <c r="D50303" s="39"/>
      <c r="E50303" s="39"/>
      <c r="F50303" s="39"/>
    </row>
    <row r="50304">
      <c r="D50304" s="39"/>
      <c r="E50304" s="39"/>
      <c r="F50304" s="39"/>
    </row>
    <row r="50305">
      <c r="D50305" s="39"/>
      <c r="E50305" s="39"/>
      <c r="F50305" s="39"/>
    </row>
    <row r="50306">
      <c r="D50306" s="39"/>
      <c r="E50306" s="39"/>
      <c r="F50306" s="39"/>
    </row>
    <row r="50307">
      <c r="D50307" s="39"/>
      <c r="E50307" s="39"/>
      <c r="F50307" s="39"/>
    </row>
    <row r="50308">
      <c r="D50308" s="39"/>
      <c r="E50308" s="39"/>
      <c r="F50308" s="39"/>
    </row>
    <row r="50309">
      <c r="D50309" s="39"/>
      <c r="E50309" s="39"/>
      <c r="F50309" s="39"/>
    </row>
    <row r="50310">
      <c r="D50310" s="39"/>
      <c r="E50310" s="39"/>
      <c r="F50310" s="39"/>
    </row>
    <row r="50311">
      <c r="D50311" s="39"/>
      <c r="E50311" s="39"/>
      <c r="F50311" s="39"/>
    </row>
    <row r="50312">
      <c r="D50312" s="39"/>
      <c r="E50312" s="39"/>
      <c r="F50312" s="39"/>
    </row>
    <row r="50313">
      <c r="D50313" s="39"/>
      <c r="E50313" s="39"/>
      <c r="F50313" s="39"/>
    </row>
    <row r="50314">
      <c r="D50314" s="39"/>
      <c r="E50314" s="39"/>
      <c r="F50314" s="39"/>
    </row>
    <row r="50315">
      <c r="D50315" s="39"/>
      <c r="E50315" s="39"/>
      <c r="F50315" s="39"/>
    </row>
    <row r="50316">
      <c r="D50316" s="39"/>
      <c r="E50316" s="39"/>
      <c r="F50316" s="39"/>
    </row>
    <row r="50317">
      <c r="D50317" s="39"/>
      <c r="E50317" s="39"/>
      <c r="F50317" s="39"/>
    </row>
    <row r="50318">
      <c r="D50318" s="39"/>
      <c r="E50318" s="39"/>
      <c r="F50318" s="39"/>
    </row>
    <row r="50319">
      <c r="D50319" s="39"/>
      <c r="E50319" s="39"/>
      <c r="F50319" s="39"/>
    </row>
    <row r="50320">
      <c r="D50320" s="39"/>
      <c r="E50320" s="39"/>
      <c r="F50320" s="39"/>
    </row>
    <row r="50321">
      <c r="D50321" s="39"/>
      <c r="E50321" s="39"/>
      <c r="F50321" s="39"/>
    </row>
    <row r="50322">
      <c r="D50322" s="39"/>
      <c r="E50322" s="39"/>
      <c r="F50322" s="39"/>
    </row>
    <row r="50323">
      <c r="D50323" s="39"/>
      <c r="E50323" s="39"/>
      <c r="F50323" s="39"/>
    </row>
    <row r="50324">
      <c r="D50324" s="39"/>
      <c r="E50324" s="39"/>
      <c r="F50324" s="39"/>
    </row>
    <row r="50325">
      <c r="D50325" s="39"/>
      <c r="E50325" s="39"/>
      <c r="F50325" s="39"/>
    </row>
    <row r="50326">
      <c r="D50326" s="39"/>
      <c r="E50326" s="39"/>
      <c r="F50326" s="39"/>
    </row>
    <row r="50327">
      <c r="D50327" s="39"/>
      <c r="E50327" s="39"/>
      <c r="F50327" s="39"/>
    </row>
    <row r="50328">
      <c r="D50328" s="39"/>
      <c r="E50328" s="39"/>
      <c r="F50328" s="39"/>
    </row>
    <row r="50329">
      <c r="D50329" s="39"/>
      <c r="E50329" s="39"/>
      <c r="F50329" s="39"/>
    </row>
    <row r="50330">
      <c r="D50330" s="39"/>
      <c r="E50330" s="39"/>
      <c r="F50330" s="39"/>
    </row>
    <row r="50331">
      <c r="D50331" s="39"/>
      <c r="E50331" s="39"/>
      <c r="F50331" s="39"/>
    </row>
    <row r="50332">
      <c r="D50332" s="39"/>
      <c r="E50332" s="39"/>
      <c r="F50332" s="39"/>
    </row>
    <row r="50333">
      <c r="D50333" s="39"/>
      <c r="E50333" s="39"/>
      <c r="F50333" s="39"/>
    </row>
    <row r="50334">
      <c r="D50334" s="39"/>
      <c r="E50334" s="39"/>
      <c r="F50334" s="39"/>
    </row>
    <row r="50335">
      <c r="D50335" s="39"/>
      <c r="E50335" s="39"/>
      <c r="F50335" s="39"/>
    </row>
    <row r="50336">
      <c r="D50336" s="39"/>
      <c r="E50336" s="39"/>
      <c r="F50336" s="39"/>
    </row>
    <row r="50337">
      <c r="D50337" s="39"/>
      <c r="E50337" s="39"/>
      <c r="F50337" s="39"/>
    </row>
    <row r="50338">
      <c r="D50338" s="39"/>
      <c r="E50338" s="39"/>
      <c r="F50338" s="39"/>
    </row>
    <row r="50339">
      <c r="D50339" s="39"/>
      <c r="E50339" s="39"/>
      <c r="F50339" s="39"/>
    </row>
    <row r="50340">
      <c r="D50340" s="39"/>
      <c r="E50340" s="39"/>
      <c r="F50340" s="39"/>
    </row>
    <row r="50341">
      <c r="D50341" s="39"/>
      <c r="E50341" s="39"/>
      <c r="F50341" s="39"/>
    </row>
    <row r="50342">
      <c r="D50342" s="39"/>
      <c r="E50342" s="39"/>
      <c r="F50342" s="39"/>
    </row>
    <row r="50343">
      <c r="D50343" s="39"/>
      <c r="E50343" s="39"/>
      <c r="F50343" s="39"/>
    </row>
    <row r="50344">
      <c r="D50344" s="39"/>
      <c r="E50344" s="39"/>
      <c r="F50344" s="39"/>
    </row>
    <row r="50345">
      <c r="D50345" s="39"/>
      <c r="E50345" s="39"/>
      <c r="F50345" s="39"/>
    </row>
    <row r="50346">
      <c r="D50346" s="39"/>
      <c r="E50346" s="39"/>
      <c r="F50346" s="39"/>
    </row>
    <row r="50347">
      <c r="D50347" s="39"/>
      <c r="E50347" s="39"/>
      <c r="F50347" s="39"/>
    </row>
    <row r="50348">
      <c r="D50348" s="39"/>
      <c r="E50348" s="39"/>
      <c r="F50348" s="39"/>
    </row>
    <row r="50349">
      <c r="D50349" s="39"/>
      <c r="E50349" s="39"/>
      <c r="F50349" s="39"/>
    </row>
    <row r="50350">
      <c r="D50350" s="39"/>
      <c r="E50350" s="39"/>
      <c r="F50350" s="39"/>
    </row>
    <row r="50351">
      <c r="D50351" s="39"/>
      <c r="E50351" s="39"/>
      <c r="F50351" s="39"/>
    </row>
    <row r="50352">
      <c r="D50352" s="39"/>
      <c r="E50352" s="39"/>
      <c r="F50352" s="39"/>
    </row>
    <row r="50353">
      <c r="D50353" s="39"/>
      <c r="E50353" s="39"/>
      <c r="F50353" s="39"/>
    </row>
    <row r="50354">
      <c r="D50354" s="39"/>
      <c r="E50354" s="39"/>
      <c r="F50354" s="39"/>
    </row>
    <row r="50355">
      <c r="D50355" s="39"/>
      <c r="E50355" s="39"/>
      <c r="F50355" s="39"/>
    </row>
    <row r="50356">
      <c r="D50356" s="39"/>
      <c r="E50356" s="39"/>
      <c r="F50356" s="39"/>
    </row>
    <row r="50357">
      <c r="D50357" s="39"/>
      <c r="E50357" s="39"/>
      <c r="F50357" s="39"/>
    </row>
    <row r="50358">
      <c r="D50358" s="39"/>
      <c r="E50358" s="39"/>
      <c r="F50358" s="39"/>
    </row>
    <row r="50359">
      <c r="D50359" s="39"/>
      <c r="E50359" s="39"/>
      <c r="F50359" s="39"/>
    </row>
    <row r="50360">
      <c r="D50360" s="39"/>
      <c r="E50360" s="39"/>
      <c r="F50360" s="39"/>
    </row>
    <row r="50361">
      <c r="D50361" s="39"/>
      <c r="E50361" s="39"/>
      <c r="F50361" s="39"/>
    </row>
    <row r="50362">
      <c r="D50362" s="39"/>
      <c r="E50362" s="39"/>
      <c r="F50362" s="39"/>
    </row>
    <row r="50363">
      <c r="D50363" s="39"/>
      <c r="E50363" s="39"/>
      <c r="F50363" s="39"/>
    </row>
    <row r="50364">
      <c r="D50364" s="39"/>
      <c r="E50364" s="39"/>
      <c r="F50364" s="39"/>
    </row>
    <row r="50365">
      <c r="D50365" s="39"/>
      <c r="E50365" s="39"/>
      <c r="F50365" s="39"/>
    </row>
    <row r="50366">
      <c r="D50366" s="39"/>
      <c r="E50366" s="39"/>
      <c r="F50366" s="39"/>
    </row>
    <row r="50367">
      <c r="D50367" s="39"/>
      <c r="E50367" s="39"/>
      <c r="F50367" s="39"/>
    </row>
    <row r="50368">
      <c r="D50368" s="39"/>
      <c r="E50368" s="39"/>
      <c r="F50368" s="39"/>
    </row>
    <row r="50369">
      <c r="D50369" s="39"/>
      <c r="E50369" s="39"/>
      <c r="F50369" s="39"/>
    </row>
    <row r="50370">
      <c r="D50370" s="39"/>
      <c r="E50370" s="39"/>
      <c r="F50370" s="39"/>
    </row>
    <row r="50371">
      <c r="D50371" s="39"/>
      <c r="E50371" s="39"/>
      <c r="F50371" s="39"/>
    </row>
    <row r="50372">
      <c r="D50372" s="39"/>
      <c r="E50372" s="39"/>
      <c r="F50372" s="39"/>
    </row>
    <row r="50373">
      <c r="D50373" s="39"/>
      <c r="E50373" s="39"/>
      <c r="F50373" s="39"/>
    </row>
    <row r="50374">
      <c r="D50374" s="39"/>
      <c r="E50374" s="39"/>
      <c r="F50374" s="39"/>
    </row>
    <row r="50375">
      <c r="D50375" s="39"/>
      <c r="E50375" s="39"/>
      <c r="F50375" s="39"/>
    </row>
    <row r="50376">
      <c r="D50376" s="39"/>
      <c r="E50376" s="39"/>
      <c r="F50376" s="39"/>
    </row>
    <row r="50377">
      <c r="D50377" s="39"/>
      <c r="E50377" s="39"/>
      <c r="F50377" s="39"/>
    </row>
    <row r="50378">
      <c r="D50378" s="39"/>
      <c r="E50378" s="39"/>
      <c r="F50378" s="39"/>
    </row>
    <row r="50379">
      <c r="D50379" s="39"/>
      <c r="E50379" s="39"/>
      <c r="F50379" s="39"/>
    </row>
    <row r="50380">
      <c r="D50380" s="39"/>
      <c r="E50380" s="39"/>
      <c r="F50380" s="39"/>
    </row>
    <row r="50381">
      <c r="D50381" s="39"/>
      <c r="E50381" s="39"/>
      <c r="F50381" s="39"/>
    </row>
    <row r="50382">
      <c r="D50382" s="39"/>
      <c r="E50382" s="39"/>
      <c r="F50382" s="39"/>
    </row>
    <row r="50383">
      <c r="D50383" s="39"/>
      <c r="E50383" s="39"/>
      <c r="F50383" s="39"/>
    </row>
    <row r="50384">
      <c r="D50384" s="39"/>
      <c r="E50384" s="39"/>
      <c r="F50384" s="39"/>
    </row>
    <row r="50385">
      <c r="D50385" s="39"/>
      <c r="E50385" s="39"/>
      <c r="F50385" s="39"/>
    </row>
    <row r="50386">
      <c r="D50386" s="39"/>
      <c r="E50386" s="39"/>
      <c r="F50386" s="39"/>
    </row>
    <row r="50387">
      <c r="D50387" s="39"/>
      <c r="E50387" s="39"/>
      <c r="F50387" s="39"/>
    </row>
    <row r="50388">
      <c r="D50388" s="39"/>
      <c r="E50388" s="39"/>
      <c r="F50388" s="39"/>
    </row>
    <row r="50389">
      <c r="D50389" s="39"/>
      <c r="E50389" s="39"/>
      <c r="F50389" s="39"/>
    </row>
    <row r="50390">
      <c r="D50390" s="39"/>
      <c r="E50390" s="39"/>
      <c r="F50390" s="39"/>
    </row>
    <row r="50391">
      <c r="D50391" s="39"/>
      <c r="E50391" s="39"/>
      <c r="F50391" s="39"/>
    </row>
    <row r="50392">
      <c r="D50392" s="39"/>
      <c r="E50392" s="39"/>
      <c r="F50392" s="39"/>
    </row>
    <row r="50393">
      <c r="D50393" s="39"/>
      <c r="E50393" s="39"/>
      <c r="F50393" s="39"/>
    </row>
    <row r="50394">
      <c r="D50394" s="39"/>
      <c r="E50394" s="39"/>
      <c r="F50394" s="39"/>
    </row>
    <row r="50395">
      <c r="D50395" s="39"/>
      <c r="E50395" s="39"/>
      <c r="F50395" s="39"/>
    </row>
    <row r="50396">
      <c r="D50396" s="39"/>
      <c r="E50396" s="39"/>
      <c r="F50396" s="39"/>
    </row>
    <row r="50397">
      <c r="D50397" s="39"/>
      <c r="E50397" s="39"/>
      <c r="F50397" s="39"/>
    </row>
    <row r="50398">
      <c r="D50398" s="39"/>
      <c r="E50398" s="39"/>
      <c r="F50398" s="39"/>
    </row>
    <row r="50399">
      <c r="D50399" s="39"/>
      <c r="E50399" s="39"/>
      <c r="F50399" s="39"/>
    </row>
    <row r="50400">
      <c r="D50400" s="39"/>
      <c r="E50400" s="39"/>
      <c r="F50400" s="39"/>
    </row>
    <row r="50401">
      <c r="D50401" s="39"/>
      <c r="E50401" s="39"/>
      <c r="F50401" s="39"/>
    </row>
    <row r="50402">
      <c r="D50402" s="39"/>
      <c r="E50402" s="39"/>
      <c r="F50402" s="39"/>
    </row>
    <row r="50403">
      <c r="D50403" s="39"/>
      <c r="E50403" s="39"/>
      <c r="F50403" s="39"/>
    </row>
    <row r="50404">
      <c r="D50404" s="39"/>
      <c r="E50404" s="39"/>
      <c r="F50404" s="39"/>
    </row>
    <row r="50405">
      <c r="D50405" s="39"/>
      <c r="E50405" s="39"/>
      <c r="F50405" s="39"/>
    </row>
    <row r="50406">
      <c r="D50406" s="39"/>
      <c r="E50406" s="39"/>
      <c r="F50406" s="39"/>
    </row>
    <row r="50407">
      <c r="D50407" s="39"/>
      <c r="E50407" s="39"/>
      <c r="F50407" s="39"/>
    </row>
    <row r="50408">
      <c r="D50408" s="39"/>
      <c r="E50408" s="39"/>
      <c r="F50408" s="39"/>
    </row>
    <row r="50409">
      <c r="D50409" s="39"/>
      <c r="E50409" s="39"/>
      <c r="F50409" s="39"/>
    </row>
    <row r="50410">
      <c r="D50410" s="39"/>
      <c r="E50410" s="39"/>
      <c r="F50410" s="39"/>
    </row>
    <row r="50411">
      <c r="D50411" s="39"/>
      <c r="E50411" s="39"/>
      <c r="F50411" s="39"/>
    </row>
    <row r="50412">
      <c r="D50412" s="39"/>
      <c r="E50412" s="39"/>
      <c r="F50412" s="39"/>
    </row>
    <row r="50413">
      <c r="D50413" s="39"/>
      <c r="E50413" s="39"/>
      <c r="F50413" s="39"/>
    </row>
    <row r="50414">
      <c r="D50414" s="39"/>
      <c r="E50414" s="39"/>
      <c r="F50414" s="39"/>
    </row>
    <row r="50415">
      <c r="D50415" s="39"/>
      <c r="E50415" s="39"/>
      <c r="F50415" s="39"/>
    </row>
    <row r="50416">
      <c r="D50416" s="39"/>
      <c r="E50416" s="39"/>
      <c r="F50416" s="39"/>
    </row>
    <row r="50417">
      <c r="D50417" s="39"/>
      <c r="E50417" s="39"/>
      <c r="F50417" s="39"/>
    </row>
    <row r="50418">
      <c r="D50418" s="39"/>
      <c r="E50418" s="39"/>
      <c r="F50418" s="39"/>
    </row>
    <row r="50419">
      <c r="D50419" s="39"/>
      <c r="E50419" s="39"/>
      <c r="F50419" s="39"/>
    </row>
    <row r="50420">
      <c r="D50420" s="39"/>
      <c r="E50420" s="39"/>
      <c r="F50420" s="39"/>
    </row>
    <row r="50421">
      <c r="D50421" s="39"/>
      <c r="E50421" s="39"/>
      <c r="F50421" s="39"/>
    </row>
    <row r="50422">
      <c r="D50422" s="39"/>
      <c r="E50422" s="39"/>
      <c r="F50422" s="39"/>
    </row>
    <row r="50423">
      <c r="D50423" s="39"/>
      <c r="E50423" s="39"/>
      <c r="F50423" s="39"/>
    </row>
    <row r="50424">
      <c r="D50424" s="39"/>
      <c r="E50424" s="39"/>
      <c r="F50424" s="39"/>
    </row>
    <row r="50425">
      <c r="D50425" s="39"/>
      <c r="E50425" s="39"/>
      <c r="F50425" s="39"/>
    </row>
    <row r="50426">
      <c r="D50426" s="39"/>
      <c r="E50426" s="39"/>
      <c r="F50426" s="39"/>
    </row>
    <row r="50427">
      <c r="D50427" s="39"/>
      <c r="E50427" s="39"/>
      <c r="F50427" s="39"/>
    </row>
    <row r="50428">
      <c r="D50428" s="39"/>
      <c r="E50428" s="39"/>
      <c r="F50428" s="39"/>
    </row>
    <row r="50429">
      <c r="D50429" s="39"/>
      <c r="E50429" s="39"/>
      <c r="F50429" s="39"/>
    </row>
    <row r="50430">
      <c r="D50430" s="39"/>
      <c r="E50430" s="39"/>
      <c r="F50430" s="39"/>
    </row>
    <row r="50431">
      <c r="D50431" s="39"/>
      <c r="E50431" s="39"/>
      <c r="F50431" s="39"/>
    </row>
    <row r="50432">
      <c r="D50432" s="39"/>
      <c r="E50432" s="39"/>
      <c r="F50432" s="39"/>
    </row>
    <row r="50433">
      <c r="D50433" s="39"/>
      <c r="E50433" s="39"/>
      <c r="F50433" s="39"/>
    </row>
    <row r="50434">
      <c r="D50434" s="39"/>
      <c r="E50434" s="39"/>
      <c r="F50434" s="39"/>
    </row>
    <row r="50435">
      <c r="D50435" s="39"/>
      <c r="E50435" s="39"/>
      <c r="F50435" s="39"/>
    </row>
    <row r="50436">
      <c r="D50436" s="39"/>
      <c r="E50436" s="39"/>
      <c r="F50436" s="39"/>
    </row>
    <row r="50437">
      <c r="D50437" s="39"/>
      <c r="E50437" s="39"/>
      <c r="F50437" s="39"/>
    </row>
    <row r="50438">
      <c r="D50438" s="39"/>
      <c r="E50438" s="39"/>
      <c r="F50438" s="39"/>
    </row>
    <row r="50439">
      <c r="D50439" s="39"/>
      <c r="E50439" s="39"/>
      <c r="F50439" s="39"/>
    </row>
    <row r="50440">
      <c r="D50440" s="39"/>
      <c r="E50440" s="39"/>
      <c r="F50440" s="39"/>
    </row>
    <row r="50441">
      <c r="D50441" s="39"/>
      <c r="E50441" s="39"/>
      <c r="F50441" s="39"/>
    </row>
    <row r="50442">
      <c r="D50442" s="39"/>
      <c r="E50442" s="39"/>
      <c r="F50442" s="39"/>
    </row>
    <row r="50443">
      <c r="D50443" s="39"/>
      <c r="E50443" s="39"/>
      <c r="F50443" s="39"/>
    </row>
    <row r="50444">
      <c r="D50444" s="39"/>
      <c r="E50444" s="39"/>
      <c r="F50444" s="39"/>
    </row>
    <row r="50445">
      <c r="D50445" s="39"/>
      <c r="E50445" s="39"/>
      <c r="F50445" s="39"/>
    </row>
    <row r="50446">
      <c r="D50446" s="39"/>
      <c r="E50446" s="39"/>
      <c r="F50446" s="39"/>
    </row>
    <row r="50447">
      <c r="D50447" s="39"/>
      <c r="E50447" s="39"/>
      <c r="F50447" s="39"/>
    </row>
    <row r="50448">
      <c r="D50448" s="39"/>
      <c r="E50448" s="39"/>
      <c r="F50448" s="39"/>
    </row>
    <row r="50449">
      <c r="D50449" s="39"/>
      <c r="E50449" s="39"/>
      <c r="F50449" s="39"/>
    </row>
    <row r="50450">
      <c r="D50450" s="39"/>
      <c r="E50450" s="39"/>
      <c r="F50450" s="39"/>
    </row>
    <row r="50451">
      <c r="D50451" s="39"/>
      <c r="E50451" s="39"/>
      <c r="F50451" s="39"/>
    </row>
    <row r="50452">
      <c r="D50452" s="39"/>
      <c r="E50452" s="39"/>
      <c r="F50452" s="39"/>
    </row>
    <row r="50453">
      <c r="D50453" s="39"/>
      <c r="E50453" s="39"/>
      <c r="F50453" s="39"/>
    </row>
    <row r="50454">
      <c r="D50454" s="39"/>
      <c r="E50454" s="39"/>
      <c r="F50454" s="39"/>
    </row>
    <row r="50455">
      <c r="D50455" s="39"/>
      <c r="E50455" s="39"/>
      <c r="F50455" s="39"/>
    </row>
    <row r="50456">
      <c r="D50456" s="39"/>
      <c r="E50456" s="39"/>
      <c r="F50456" s="39"/>
    </row>
    <row r="50457">
      <c r="D50457" s="39"/>
      <c r="E50457" s="39"/>
      <c r="F50457" s="39"/>
    </row>
    <row r="50458">
      <c r="D50458" s="39"/>
      <c r="E50458" s="39"/>
      <c r="F50458" s="39"/>
    </row>
    <row r="50459">
      <c r="D50459" s="39"/>
      <c r="E50459" s="39"/>
      <c r="F50459" s="39"/>
    </row>
    <row r="50460">
      <c r="D50460" s="39"/>
      <c r="E50460" s="39"/>
      <c r="F50460" s="39"/>
    </row>
    <row r="50461">
      <c r="D50461" s="39"/>
      <c r="E50461" s="39"/>
      <c r="F50461" s="39"/>
    </row>
    <row r="50462">
      <c r="D50462" s="39"/>
      <c r="E50462" s="39"/>
      <c r="F50462" s="39"/>
    </row>
    <row r="50463">
      <c r="D50463" s="39"/>
      <c r="E50463" s="39"/>
      <c r="F50463" s="39"/>
    </row>
    <row r="50464">
      <c r="D50464" s="39"/>
      <c r="E50464" s="39"/>
      <c r="F50464" s="39"/>
    </row>
    <row r="50465">
      <c r="D50465" s="39"/>
      <c r="E50465" s="39"/>
      <c r="F50465" s="39"/>
    </row>
    <row r="50466">
      <c r="D50466" s="39"/>
      <c r="E50466" s="39"/>
      <c r="F50466" s="39"/>
    </row>
    <row r="50467">
      <c r="D50467" s="39"/>
      <c r="E50467" s="39"/>
      <c r="F50467" s="39"/>
    </row>
    <row r="50468">
      <c r="D50468" s="39"/>
      <c r="E50468" s="39"/>
      <c r="F50468" s="39"/>
    </row>
    <row r="50469">
      <c r="D50469" s="39"/>
      <c r="E50469" s="39"/>
      <c r="F50469" s="39"/>
    </row>
    <row r="50470">
      <c r="D50470" s="39"/>
      <c r="E50470" s="39"/>
      <c r="F50470" s="39"/>
    </row>
    <row r="50471">
      <c r="D50471" s="39"/>
      <c r="E50471" s="39"/>
      <c r="F50471" s="39"/>
    </row>
    <row r="50472">
      <c r="D50472" s="39"/>
      <c r="E50472" s="39"/>
      <c r="F50472" s="39"/>
    </row>
    <row r="50473">
      <c r="D50473" s="39"/>
      <c r="E50473" s="39"/>
      <c r="F50473" s="39"/>
    </row>
    <row r="50474">
      <c r="D50474" s="39"/>
      <c r="E50474" s="39"/>
      <c r="F50474" s="39"/>
    </row>
    <row r="50475">
      <c r="D50475" s="39"/>
      <c r="E50475" s="39"/>
      <c r="F50475" s="39"/>
    </row>
    <row r="50476">
      <c r="D50476" s="39"/>
      <c r="E50476" s="39"/>
      <c r="F50476" s="39"/>
    </row>
    <row r="50477">
      <c r="D50477" s="39"/>
      <c r="E50477" s="39"/>
      <c r="F50477" s="39"/>
    </row>
    <row r="50478">
      <c r="D50478" s="39"/>
      <c r="E50478" s="39"/>
      <c r="F50478" s="39"/>
    </row>
    <row r="50479">
      <c r="D50479" s="39"/>
      <c r="E50479" s="39"/>
      <c r="F50479" s="39"/>
    </row>
    <row r="50480">
      <c r="D50480" s="39"/>
      <c r="E50480" s="39"/>
      <c r="F50480" s="39"/>
    </row>
    <row r="50481">
      <c r="D50481" s="39"/>
      <c r="E50481" s="39"/>
      <c r="F50481" s="39"/>
    </row>
    <row r="50482">
      <c r="D50482" s="39"/>
      <c r="E50482" s="39"/>
      <c r="F50482" s="39"/>
    </row>
    <row r="50483">
      <c r="D50483" s="39"/>
      <c r="E50483" s="39"/>
      <c r="F50483" s="39"/>
    </row>
    <row r="50484">
      <c r="D50484" s="39"/>
      <c r="E50484" s="39"/>
      <c r="F50484" s="39"/>
    </row>
    <row r="50485">
      <c r="D50485" s="39"/>
      <c r="E50485" s="39"/>
      <c r="F50485" s="39"/>
    </row>
    <row r="50486">
      <c r="D50486" s="39"/>
      <c r="E50486" s="39"/>
      <c r="F50486" s="39"/>
    </row>
    <row r="50487">
      <c r="D50487" s="39"/>
      <c r="E50487" s="39"/>
      <c r="F50487" s="39"/>
    </row>
    <row r="50488">
      <c r="D50488" s="39"/>
      <c r="E50488" s="39"/>
      <c r="F50488" s="39"/>
    </row>
    <row r="50489">
      <c r="D50489" s="39"/>
      <c r="E50489" s="39"/>
      <c r="F50489" s="39"/>
    </row>
    <row r="50490">
      <c r="D50490" s="39"/>
      <c r="E50490" s="39"/>
      <c r="F50490" s="39"/>
    </row>
    <row r="50491">
      <c r="D50491" s="39"/>
      <c r="E50491" s="39"/>
      <c r="F50491" s="39"/>
    </row>
    <row r="50492">
      <c r="D50492" s="39"/>
      <c r="E50492" s="39"/>
      <c r="F50492" s="39"/>
    </row>
    <row r="50493">
      <c r="D50493" s="39"/>
      <c r="E50493" s="39"/>
      <c r="F50493" s="39"/>
    </row>
    <row r="50494">
      <c r="D50494" s="39"/>
      <c r="E50494" s="39"/>
      <c r="F50494" s="39"/>
    </row>
    <row r="50495">
      <c r="D50495" s="39"/>
      <c r="E50495" s="39"/>
      <c r="F50495" s="39"/>
    </row>
    <row r="50496">
      <c r="D50496" s="39"/>
      <c r="E50496" s="39"/>
      <c r="F50496" s="39"/>
    </row>
    <row r="50497">
      <c r="D50497" s="39"/>
      <c r="E50497" s="39"/>
      <c r="F50497" s="39"/>
    </row>
    <row r="50498">
      <c r="D50498" s="39"/>
      <c r="E50498" s="39"/>
      <c r="F50498" s="39"/>
    </row>
    <row r="50499">
      <c r="D50499" s="39"/>
      <c r="E50499" s="39"/>
      <c r="F50499" s="39"/>
    </row>
    <row r="50500">
      <c r="D50500" s="39"/>
      <c r="E50500" s="39"/>
      <c r="F50500" s="39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0"/>
    <col customWidth="1" min="2" max="2" width="12.38"/>
    <col customWidth="1" min="4" max="4" width="14.5"/>
    <col customWidth="1" min="7" max="7" width="19.88"/>
    <col customWidth="1" min="10" max="10" width="15.88"/>
    <col customWidth="1" min="11" max="11" width="15.5"/>
  </cols>
  <sheetData>
    <row r="1" ht="22.5" customHeight="1">
      <c r="A1" s="15" t="s">
        <v>8</v>
      </c>
      <c r="B1" s="15" t="s">
        <v>30</v>
      </c>
      <c r="C1" s="17"/>
      <c r="D1" s="15" t="s">
        <v>33</v>
      </c>
      <c r="E1" s="15" t="s">
        <v>30</v>
      </c>
      <c r="F1" s="17"/>
      <c r="G1" s="15" t="s">
        <v>37</v>
      </c>
      <c r="H1" s="15" t="s">
        <v>30</v>
      </c>
      <c r="I1" s="17"/>
      <c r="J1" s="15" t="s">
        <v>38</v>
      </c>
      <c r="K1" s="15" t="s">
        <v>30</v>
      </c>
      <c r="L1" s="17"/>
      <c r="M1" s="15" t="s">
        <v>40</v>
      </c>
      <c r="N1" s="15" t="s">
        <v>30</v>
      </c>
    </row>
    <row r="2" ht="22.5" customHeight="1">
      <c r="A2" s="24" t="str">
        <f>IFERROR(__xludf.DUMMYFUNCTION("importrange(""https://docs.google.com/spreadsheets/d/1d5jZRF54iX3SxYB3XXzNSD7tMPduQMIhRz21oSv_vsU/edit?gid=1253744388#gid=1253744388"",""Data Pelatihan!A2:B20"")"),"Otomotif")</f>
        <v>Otomotif</v>
      </c>
      <c r="B2" s="24">
        <f>IFERROR(__xludf.DUMMYFUNCTION("""COMPUTED_VALUE"""),207.0)</f>
        <v>207</v>
      </c>
      <c r="D2" s="24" t="str">
        <f>IFERROR(__xludf.DUMMYFUNCTION("importrange(""https://docs.google.com/spreadsheets/d/1d5jZRF54iX3SxYB3XXzNSD7tMPduQMIhRz21oSv_vsU/edit?gid=1253744388#gid=1253744388"",""Data Pelatihan!D2:E6"")"),"P")</f>
        <v>P</v>
      </c>
      <c r="E2" s="24">
        <f>IFERROR(__xludf.DUMMYFUNCTION("""COMPUTED_VALUE"""),1218.0)</f>
        <v>1218</v>
      </c>
      <c r="G2" s="24" t="str">
        <f>IFERROR(__xludf.DUMMYFUNCTION("importrange(""https://docs.google.com/spreadsheets/d/1d5jZRF54iX3SxYB3XXzNSD7tMPduQMIhRz21oSv_vsU/edit?gid=1253744388#gid=1253744388"",""Data Pelatihan!G2:H25"")"),"")</f>
        <v/>
      </c>
      <c r="H2" s="24" t="str">
        <f>IFERROR(__xludf.DUMMYFUNCTION("""COMPUTED_VALUE"""),"")</f>
        <v/>
      </c>
      <c r="J2" s="24">
        <f>IFERROR(__xludf.DUMMYFUNCTION("importrange(""https://docs.google.com/spreadsheets/d/1d5jZRF54iX3SxYB3XXzNSD7tMPduQMIhRz21oSv_vsU/edit?gid=1253744388#gid=1253744388"",""Data Pelatihan!J2:K10"")"),0.0)</f>
        <v>0</v>
      </c>
      <c r="K2" s="24">
        <f>IFERROR(__xludf.DUMMYFUNCTION("""COMPUTED_VALUE"""),641.0)</f>
        <v>641</v>
      </c>
      <c r="M2" s="24" t="str">
        <f>IFERROR(__xludf.DUMMYFUNCTION("importrange(""https://docs.google.com/spreadsheets/d/1d5jZRF54iX3SxYB3XXzNSD7tMPduQMIhRz21oSv_vsU/edit?gid=1253744388#gid=1253744388"",""Data Pelatihan!M2:N9"")"),"")</f>
        <v/>
      </c>
      <c r="N2" s="24" t="str">
        <f>IFERROR(__xludf.DUMMYFUNCTION("""COMPUTED_VALUE"""),"")</f>
        <v/>
      </c>
    </row>
    <row r="3" ht="22.5" customHeight="1">
      <c r="A3" s="29" t="str">
        <f>IFERROR(__xludf.DUMMYFUNCTION("""COMPUTED_VALUE"""),"Tata Kecantikan")</f>
        <v>Tata Kecantikan</v>
      </c>
      <c r="B3" s="29">
        <f>IFERROR(__xludf.DUMMYFUNCTION("""COMPUTED_VALUE"""),307.0)</f>
        <v>307</v>
      </c>
      <c r="D3" s="29" t="str">
        <f>IFERROR(__xludf.DUMMYFUNCTION("""COMPUTED_VALUE"""),"L")</f>
        <v>L</v>
      </c>
      <c r="E3" s="29">
        <f>IFERROR(__xludf.DUMMYFUNCTION("""COMPUTED_VALUE"""),752.0)</f>
        <v>752</v>
      </c>
      <c r="G3" s="29" t="str">
        <f>IFERROR(__xludf.DUMMYFUNCTION("""COMPUTED_VALUE"""),"Bekerja")</f>
        <v>Bekerja</v>
      </c>
      <c r="H3" s="29">
        <f>IFERROR(__xludf.DUMMYFUNCTION("""COMPUTED_VALUE"""),56.0)</f>
        <v>56</v>
      </c>
      <c r="J3" s="29">
        <f>IFERROR(__xludf.DUMMYFUNCTION("""COMPUTED_VALUE"""),1.0)</f>
        <v>1</v>
      </c>
      <c r="K3" s="29">
        <f>IFERROR(__xludf.DUMMYFUNCTION("""COMPUTED_VALUE"""),577.0)</f>
        <v>577</v>
      </c>
      <c r="M3" s="29"/>
      <c r="N3" s="29" t="str">
        <f>IFERROR(__xludf.DUMMYFUNCTION("""COMPUTED_VALUE"""),"")</f>
        <v/>
      </c>
    </row>
    <row r="4" ht="22.5" customHeight="1">
      <c r="A4" s="29" t="str">
        <f>IFERROR(__xludf.DUMMYFUNCTION("""COMPUTED_VALUE"""),"Las")</f>
        <v>Las</v>
      </c>
      <c r="B4" s="29">
        <f>IFERROR(__xludf.DUMMYFUNCTION("""COMPUTED_VALUE"""),117.0)</f>
        <v>117</v>
      </c>
      <c r="D4" s="29" t="str">
        <f>IFERROR(__xludf.DUMMYFUNCTION("""COMPUTED_VALUE""")," ")</f>
        <v> </v>
      </c>
      <c r="E4" s="29">
        <f>IFERROR(__xludf.DUMMYFUNCTION("""COMPUTED_VALUE"""),1.0)</f>
        <v>1</v>
      </c>
      <c r="G4" s="29"/>
      <c r="H4" s="29" t="str">
        <f>IFERROR(__xludf.DUMMYFUNCTION("""COMPUTED_VALUE"""),"")</f>
        <v/>
      </c>
      <c r="J4" s="29"/>
      <c r="K4" s="29" t="str">
        <f>IFERROR(__xludf.DUMMYFUNCTION("""COMPUTED_VALUE"""),"")</f>
        <v/>
      </c>
      <c r="M4" s="29"/>
      <c r="N4" s="29" t="str">
        <f>IFERROR(__xludf.DUMMYFUNCTION("""COMPUTED_VALUE"""),"")</f>
        <v/>
      </c>
    </row>
    <row r="5" ht="22.5" customHeight="1">
      <c r="A5" s="29" t="str">
        <f>IFERROR(__xludf.DUMMYFUNCTION("""COMPUTED_VALUE"""),"Teknologi Informasi Dan Komunikasi")</f>
        <v>Teknologi Informasi Dan Komunikasi</v>
      </c>
      <c r="B5" s="29">
        <f>IFERROR(__xludf.DUMMYFUNCTION("""COMPUTED_VALUE"""),349.0)</f>
        <v>349</v>
      </c>
      <c r="D5" s="29"/>
      <c r="E5" s="29" t="str">
        <f>IFERROR(__xludf.DUMMYFUNCTION("""COMPUTED_VALUE"""),"")</f>
        <v/>
      </c>
      <c r="G5" s="29"/>
      <c r="H5" s="29" t="str">
        <f>IFERROR(__xludf.DUMMYFUNCTION("""COMPUTED_VALUE"""),"")</f>
        <v/>
      </c>
      <c r="J5" s="29"/>
      <c r="K5" s="29" t="str">
        <f>IFERROR(__xludf.DUMMYFUNCTION("""COMPUTED_VALUE"""),"")</f>
        <v/>
      </c>
      <c r="M5" s="29"/>
      <c r="N5" s="29" t="str">
        <f>IFERROR(__xludf.DUMMYFUNCTION("""COMPUTED_VALUE"""),"")</f>
        <v/>
      </c>
    </row>
    <row r="6" ht="22.5" customHeight="1">
      <c r="A6" s="29" t="str">
        <f>IFERROR(__xludf.DUMMYFUNCTION("""COMPUTED_VALUE"""),"Bisnis Dan Manajemen")</f>
        <v>Bisnis Dan Manajemen</v>
      </c>
      <c r="B6" s="29">
        <f>IFERROR(__xludf.DUMMYFUNCTION("""COMPUTED_VALUE"""),294.0)</f>
        <v>294</v>
      </c>
      <c r="D6" s="29"/>
      <c r="E6" s="29" t="str">
        <f>IFERROR(__xludf.DUMMYFUNCTION("""COMPUTED_VALUE"""),"")</f>
        <v/>
      </c>
      <c r="G6" s="29"/>
      <c r="H6" s="29" t="str">
        <f>IFERROR(__xludf.DUMMYFUNCTION("""COMPUTED_VALUE"""),"")</f>
        <v/>
      </c>
      <c r="J6" s="29"/>
      <c r="K6" s="29" t="str">
        <f>IFERROR(__xludf.DUMMYFUNCTION("""COMPUTED_VALUE"""),"")</f>
        <v/>
      </c>
      <c r="M6" s="29"/>
      <c r="N6" s="29" t="str">
        <f>IFERROR(__xludf.DUMMYFUNCTION("""COMPUTED_VALUE"""),"")</f>
        <v/>
      </c>
    </row>
    <row r="7" ht="22.5" customHeight="1">
      <c r="A7" s="29" t="str">
        <f>IFERROR(__xludf.DUMMYFUNCTION("""COMPUTED_VALUE"""),"Listrik")</f>
        <v>Listrik</v>
      </c>
      <c r="B7" s="29">
        <f>IFERROR(__xludf.DUMMYFUNCTION("""COMPUTED_VALUE"""),85.0)</f>
        <v>85</v>
      </c>
      <c r="G7" s="29"/>
      <c r="H7" s="29" t="str">
        <f>IFERROR(__xludf.DUMMYFUNCTION("""COMPUTED_VALUE"""),"")</f>
        <v/>
      </c>
      <c r="J7" s="29"/>
      <c r="K7" s="29" t="str">
        <f>IFERROR(__xludf.DUMMYFUNCTION("""COMPUTED_VALUE"""),"")</f>
        <v/>
      </c>
      <c r="M7" s="29"/>
      <c r="N7" s="29" t="str">
        <f>IFERROR(__xludf.DUMMYFUNCTION("""COMPUTED_VALUE"""),"")</f>
        <v/>
      </c>
    </row>
    <row r="8" ht="22.5" customHeight="1">
      <c r="A8" s="29" t="str">
        <f>IFERROR(__xludf.DUMMYFUNCTION("""COMPUTED_VALUE"""),"Teknologi Pengolahan Agroindustri")</f>
        <v>Teknologi Pengolahan Agroindustri</v>
      </c>
      <c r="B8" s="29">
        <f>IFERROR(__xludf.DUMMYFUNCTION("""COMPUTED_VALUE"""),266.0)</f>
        <v>266</v>
      </c>
      <c r="D8" s="15" t="s">
        <v>45</v>
      </c>
      <c r="E8" s="15" t="s">
        <v>30</v>
      </c>
      <c r="G8" s="29"/>
      <c r="H8" s="29" t="str">
        <f>IFERROR(__xludf.DUMMYFUNCTION("""COMPUTED_VALUE"""),"")</f>
        <v/>
      </c>
      <c r="J8" s="29"/>
      <c r="K8" s="29" t="str">
        <f>IFERROR(__xludf.DUMMYFUNCTION("""COMPUTED_VALUE"""),"")</f>
        <v/>
      </c>
      <c r="M8" s="29"/>
      <c r="N8" s="29" t="str">
        <f>IFERROR(__xludf.DUMMYFUNCTION("""COMPUTED_VALUE"""),"")</f>
        <v/>
      </c>
    </row>
    <row r="9" ht="22.5" customHeight="1">
      <c r="A9" s="29" t="str">
        <f>IFERROR(__xludf.DUMMYFUNCTION("""COMPUTED_VALUE"""),"Fashion Technology")</f>
        <v>Fashion Technology</v>
      </c>
      <c r="B9" s="29">
        <f>IFERROR(__xludf.DUMMYFUNCTION("""COMPUTED_VALUE"""),128.0)</f>
        <v>128</v>
      </c>
      <c r="D9" s="24">
        <f>IFERROR(__xludf.DUMMYFUNCTION("importrange(""https://docs.google.com/spreadsheets/d/1d5jZRF54iX3SxYB3XXzNSD7tMPduQMIhRz21oSv_vsU/edit?gid=1253744388#gid=1253744388"",""Data Pelatihan!D9:E15"")"),1.0)</f>
        <v>1</v>
      </c>
      <c r="E9" s="24">
        <f>IFERROR(__xludf.DUMMYFUNCTION("""COMPUTED_VALUE"""),1969.0)</f>
        <v>1969</v>
      </c>
      <c r="G9" s="29"/>
      <c r="H9" s="29" t="str">
        <f>IFERROR(__xludf.DUMMYFUNCTION("""COMPUTED_VALUE"""),"")</f>
        <v/>
      </c>
      <c r="J9" s="29"/>
      <c r="K9" s="29" t="str">
        <f>IFERROR(__xludf.DUMMYFUNCTION("""COMPUTED_VALUE"""),"")</f>
        <v/>
      </c>
      <c r="M9" s="29"/>
      <c r="N9" s="29" t="str">
        <f>IFERROR(__xludf.DUMMYFUNCTION("""COMPUTED_VALUE"""),"")</f>
        <v/>
      </c>
    </row>
    <row r="10" ht="22.5" customHeight="1">
      <c r="A10" s="29" t="str">
        <f>IFERROR(__xludf.DUMMYFUNCTION("""COMPUTED_VALUE"""),"Konstruksi")</f>
        <v>Konstruksi</v>
      </c>
      <c r="B10" s="29">
        <f>IFERROR(__xludf.DUMMYFUNCTION("""COMPUTED_VALUE"""),12.0)</f>
        <v>12</v>
      </c>
      <c r="D10" s="29"/>
      <c r="E10" s="29" t="str">
        <f>IFERROR(__xludf.DUMMYFUNCTION("""COMPUTED_VALUE"""),"")</f>
        <v/>
      </c>
      <c r="G10" s="29"/>
      <c r="H10" s="29" t="str">
        <f>IFERROR(__xludf.DUMMYFUNCTION("""COMPUTED_VALUE"""),"")</f>
        <v/>
      </c>
      <c r="J10" s="29"/>
      <c r="K10" s="29" t="str">
        <f>IFERROR(__xludf.DUMMYFUNCTION("""COMPUTED_VALUE"""),"")</f>
        <v/>
      </c>
    </row>
    <row r="11" ht="22.5" customHeight="1">
      <c r="A11" s="29" t="str">
        <f>IFERROR(__xludf.DUMMYFUNCTION("""COMPUTED_VALUE"""),"Processing")</f>
        <v>Processing</v>
      </c>
      <c r="B11" s="29">
        <f>IFERROR(__xludf.DUMMYFUNCTION("""COMPUTED_VALUE"""),16.0)</f>
        <v>16</v>
      </c>
      <c r="D11" s="36"/>
      <c r="E11" s="36" t="str">
        <f>IFERROR(__xludf.DUMMYFUNCTION("""COMPUTED_VALUE"""),"")</f>
        <v/>
      </c>
      <c r="G11" s="29"/>
      <c r="H11" s="29" t="str">
        <f>IFERROR(__xludf.DUMMYFUNCTION("""COMPUTED_VALUE"""),"")</f>
        <v/>
      </c>
    </row>
    <row r="12" ht="22.5" customHeight="1">
      <c r="A12" s="29" t="str">
        <f>IFERROR(__xludf.DUMMYFUNCTION("""COMPUTED_VALUE"""),"Pariwisata")</f>
        <v>Pariwisata</v>
      </c>
      <c r="B12" s="29">
        <f>IFERROR(__xludf.DUMMYFUNCTION("""COMPUTED_VALUE"""),142.0)</f>
        <v>142</v>
      </c>
      <c r="D12" s="36"/>
      <c r="E12" s="36" t="str">
        <f>IFERROR(__xludf.DUMMYFUNCTION("""COMPUTED_VALUE"""),"")</f>
        <v/>
      </c>
      <c r="G12" s="29"/>
      <c r="H12" s="29" t="str">
        <f>IFERROR(__xludf.DUMMYFUNCTION("""COMPUTED_VALUE"""),"")</f>
        <v/>
      </c>
    </row>
    <row r="13" ht="22.5" customHeight="1">
      <c r="A13" s="29" t="str">
        <f>IFERROR(__xludf.DUMMYFUNCTION("""COMPUTED_VALUE"""),"Pertanian")</f>
        <v>Pertanian</v>
      </c>
      <c r="B13" s="29">
        <f>IFERROR(__xludf.DUMMYFUNCTION("""COMPUTED_VALUE"""),32.0)</f>
        <v>32</v>
      </c>
      <c r="D13" s="36"/>
      <c r="E13" s="36"/>
      <c r="G13" s="29"/>
      <c r="H13" s="29" t="str">
        <f>IFERROR(__xludf.DUMMYFUNCTION("""COMPUTED_VALUE"""),"")</f>
        <v/>
      </c>
    </row>
    <row r="14" ht="22.5" customHeight="1">
      <c r="A14" s="29" t="str">
        <f>IFERROR(__xludf.DUMMYFUNCTION("""COMPUTED_VALUE"""),"Elektronika")</f>
        <v>Elektronika</v>
      </c>
      <c r="B14" s="29">
        <f>IFERROR(__xludf.DUMMYFUNCTION("""COMPUTED_VALUE"""),16.0)</f>
        <v>16</v>
      </c>
      <c r="D14" s="36"/>
      <c r="E14" s="36"/>
      <c r="G14" s="29"/>
      <c r="H14" s="29" t="str">
        <f>IFERROR(__xludf.DUMMYFUNCTION("""COMPUTED_VALUE"""),"")</f>
        <v/>
      </c>
    </row>
    <row r="15" ht="22.5" customHeight="1">
      <c r="A15" s="29" t="str">
        <f>IFERROR(__xludf.DUMMYFUNCTION("""COMPUTED_VALUE"""),"")</f>
        <v/>
      </c>
      <c r="B15" s="29" t="str">
        <f>IFERROR(__xludf.DUMMYFUNCTION("""COMPUTED_VALUE"""),"")</f>
        <v/>
      </c>
      <c r="D15" s="36"/>
      <c r="E15" s="36"/>
      <c r="G15" s="29"/>
      <c r="H15" s="29" t="str">
        <f>IFERROR(__xludf.DUMMYFUNCTION("""COMPUTED_VALUE"""),"")</f>
        <v/>
      </c>
    </row>
    <row r="16" ht="22.5" customHeight="1">
      <c r="A16" s="29"/>
      <c r="B16" s="29" t="str">
        <f>IFERROR(__xludf.DUMMYFUNCTION("""COMPUTED_VALUE"""),"")</f>
        <v/>
      </c>
      <c r="G16" s="29"/>
      <c r="H16" s="29" t="str">
        <f>IFERROR(__xludf.DUMMYFUNCTION("""COMPUTED_VALUE"""),"")</f>
        <v/>
      </c>
    </row>
    <row r="17" ht="22.5" customHeight="1">
      <c r="A17" s="29"/>
      <c r="B17" s="29" t="str">
        <f>IFERROR(__xludf.DUMMYFUNCTION("""COMPUTED_VALUE"""),"")</f>
        <v/>
      </c>
      <c r="G17" s="29"/>
      <c r="H17" s="29" t="str">
        <f>IFERROR(__xludf.DUMMYFUNCTION("""COMPUTED_VALUE"""),"")</f>
        <v/>
      </c>
    </row>
    <row r="18" ht="22.5" customHeight="1">
      <c r="A18" s="29"/>
      <c r="B18" s="29" t="str">
        <f>IFERROR(__xludf.DUMMYFUNCTION("""COMPUTED_VALUE"""),"")</f>
        <v/>
      </c>
      <c r="G18" s="29"/>
      <c r="H18" s="29" t="str">
        <f>IFERROR(__xludf.DUMMYFUNCTION("""COMPUTED_VALUE"""),"")</f>
        <v/>
      </c>
    </row>
    <row r="19" ht="22.5" customHeight="1">
      <c r="A19" s="29"/>
      <c r="B19" s="29" t="str">
        <f>IFERROR(__xludf.DUMMYFUNCTION("""COMPUTED_VALUE"""),"")</f>
        <v/>
      </c>
      <c r="G19" s="29"/>
      <c r="H19" s="29" t="str">
        <f>IFERROR(__xludf.DUMMYFUNCTION("""COMPUTED_VALUE"""),"")</f>
        <v/>
      </c>
    </row>
    <row r="20" ht="22.5" customHeight="1">
      <c r="A20" s="29"/>
      <c r="B20" s="29" t="str">
        <f>IFERROR(__xludf.DUMMYFUNCTION("""COMPUTED_VALUE"""),"")</f>
        <v/>
      </c>
      <c r="G20" s="29"/>
      <c r="H20" s="29" t="str">
        <f>IFERROR(__xludf.DUMMYFUNCTION("""COMPUTED_VALUE"""),"")</f>
        <v/>
      </c>
    </row>
    <row r="21" ht="22.5" customHeight="1">
      <c r="G21" s="29"/>
      <c r="H21" s="29" t="str">
        <f>IFERROR(__xludf.DUMMYFUNCTION("""COMPUTED_VALUE"""),"")</f>
        <v/>
      </c>
    </row>
    <row r="22" ht="22.5" customHeight="1">
      <c r="G22" s="29"/>
      <c r="H22" s="29" t="str">
        <f>IFERROR(__xludf.DUMMYFUNCTION("""COMPUTED_VALUE"""),"")</f>
        <v/>
      </c>
    </row>
    <row r="23" ht="22.5" customHeight="1">
      <c r="G23" s="29"/>
      <c r="H23" s="29" t="str">
        <f>IFERROR(__xludf.DUMMYFUNCTION("""COMPUTED_VALUE"""),"")</f>
        <v/>
      </c>
    </row>
    <row r="24" ht="22.5" customHeight="1">
      <c r="G24" s="29"/>
      <c r="H24" s="29" t="str">
        <f>IFERROR(__xludf.DUMMYFUNCTION("""COMPUTED_VALUE"""),"")</f>
        <v/>
      </c>
    </row>
    <row r="25" ht="22.5" customHeight="1">
      <c r="G25" s="29"/>
      <c r="H25" s="29" t="str">
        <f>IFERROR(__xludf.DUMMYFUNCTION("""COMPUTED_VALUE"""),"")</f>
        <v/>
      </c>
    </row>
  </sheetData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20.5"/>
    <col customWidth="1" min="4" max="4" width="35.38"/>
    <col customWidth="1" min="7" max="7" width="65.0"/>
    <col customWidth="1" min="8" max="8" width="21.5"/>
    <col customWidth="1" min="9" max="9" width="22.0"/>
    <col customWidth="1" min="12" max="12" width="22.0"/>
    <col customWidth="1" min="14" max="14" width="28.13"/>
    <col customWidth="1" min="20" max="20" width="23.13"/>
  </cols>
  <sheetData>
    <row r="1">
      <c r="A1" s="1" t="s">
        <v>0</v>
      </c>
      <c r="B1" s="2"/>
      <c r="D1" s="3" t="s">
        <v>1</v>
      </c>
      <c r="E1" s="2"/>
      <c r="G1" s="4" t="s">
        <v>2</v>
      </c>
      <c r="M1" s="5"/>
      <c r="N1" s="5" t="s">
        <v>3</v>
      </c>
      <c r="Q1" s="5" t="s">
        <v>4</v>
      </c>
      <c r="T1" s="5" t="s">
        <v>5</v>
      </c>
    </row>
    <row r="2">
      <c r="A2" s="6" t="s">
        <v>6</v>
      </c>
      <c r="B2" s="6" t="s">
        <v>7</v>
      </c>
      <c r="D2" s="7" t="s">
        <v>8</v>
      </c>
      <c r="E2" s="7" t="s">
        <v>9</v>
      </c>
      <c r="G2" s="7" t="s">
        <v>10</v>
      </c>
      <c r="H2" s="8" t="s">
        <v>11</v>
      </c>
      <c r="I2" s="8" t="s">
        <v>12</v>
      </c>
      <c r="J2" s="7" t="s">
        <v>13</v>
      </c>
      <c r="K2" s="7" t="s">
        <v>14</v>
      </c>
      <c r="M2" s="5"/>
      <c r="N2" s="7" t="s">
        <v>15</v>
      </c>
      <c r="O2" s="7" t="s">
        <v>16</v>
      </c>
      <c r="Q2" s="5" t="s">
        <v>17</v>
      </c>
      <c r="R2" s="5" t="s">
        <v>16</v>
      </c>
      <c r="T2" s="7" t="s">
        <v>18</v>
      </c>
      <c r="U2" s="7" t="s">
        <v>9</v>
      </c>
    </row>
    <row r="3">
      <c r="A3" s="9" t="s">
        <v>19</v>
      </c>
      <c r="B3" s="10">
        <f t="array" ref="B3">_xlfn.XLOOKUP("L",Pelatihan2!D2:D6,Pelatihan2!E2:E6)</f>
        <v>752</v>
      </c>
      <c r="D3" s="10" t="str">
        <f t="array" ref="D3:D17">UNIQUE(Pelatihan2!A2:A25)</f>
        <v>Otomotif</v>
      </c>
      <c r="E3" s="33">
        <f t="array" ref="E3:E25">if(D3:D25="","",_xlfn.xlookup(D3:D25,Pelatihan2!$A$2:$A$25,Pelatihan2!$B$2:$B$25))</f>
        <v>207</v>
      </c>
      <c r="G3" s="10" t="str">
        <f t="array" ref="G3:G1001">IF(LEN(PelatihanData!C2:C1000), (PelatihanData!C2:C1000), "")
</f>
        <v>Pemasangan Sistim Integrasi Bangunan Cerdas 1</v>
      </c>
      <c r="H3" s="36" t="str">
        <f t="array" ref="H3:H1002">IF(ISBLANK(PelatihanData!E2:E1001), "", TEXT(PelatihanData!E2:E1001, "yyyy-mm-dd"))
</f>
        <v>2026-06-22</v>
      </c>
      <c r="I3" s="10" t="str">
        <f t="array" ref="I3:I1002">IF(ISBLANK(PelatihanData!F2:F1001), "", TEXT(PelatihanData!F2:F1001, "yyyy-mm-dd"))
</f>
        <v>2026-07-29</v>
      </c>
      <c r="J3" s="39">
        <f t="array" ref="J3:J1002">IF(ISBLANK(PelatihanData!L2:L1001), "", PelatihanData!L2:L1001)
</f>
        <v>7</v>
      </c>
      <c r="K3" s="33">
        <f t="array" ref="K3:K1002">IF(ISBLANK(PelatihanData!K2:K1001), "", PelatihanData!K2:K1001)
</f>
        <v>1</v>
      </c>
      <c r="N3" s="41" t="s">
        <v>46</v>
      </c>
      <c r="O3" s="36">
        <f t="array" ref="O3:O50500">IF(ISBLANK(N3:N50500), "", 
      SUMIF(PelatihanData!$G$2:$G50500, N3:N50500, PelatihanData!$J$2:$J50500) 
)</f>
        <v>0</v>
      </c>
      <c r="Q3" s="5" t="s">
        <v>47</v>
      </c>
      <c r="R3" s="5" t="str">
        <f t="array" ref="R3:R50500">if(Q3:Q50500="","",_xlfn.xlookup(Q3:Q50500,Pelatihan2!$M$2:$M$10,Pelatihan2!$N$2:$N$10))</f>
        <v>#N/A</v>
      </c>
      <c r="T3" s="41" t="str">
        <f t="array" ref="T3:U26">Table15[]</f>
        <v/>
      </c>
      <c r="U3" s="41" t="s">
        <v>48</v>
      </c>
    </row>
    <row r="4">
      <c r="A4" s="9" t="s">
        <v>14</v>
      </c>
      <c r="B4" s="10">
        <f t="array" ref="B4">_xlfn.XLOOKUP("P",Pelatihan2!D2:D6,Pelatihan2!E2:E6)</f>
        <v>1218</v>
      </c>
      <c r="D4" s="10" t="s">
        <v>49</v>
      </c>
      <c r="E4" s="33">
        <v>307.0</v>
      </c>
      <c r="G4" s="10" t="s">
        <v>50</v>
      </c>
      <c r="H4" s="42" t="s">
        <v>48</v>
      </c>
      <c r="I4" s="42" t="s">
        <v>48</v>
      </c>
      <c r="J4" s="33" t="s">
        <v>48</v>
      </c>
      <c r="K4" s="33" t="s">
        <v>48</v>
      </c>
      <c r="N4" s="41" t="s">
        <v>51</v>
      </c>
      <c r="O4" s="10">
        <v>0.0</v>
      </c>
      <c r="Q4" s="5" t="s">
        <v>52</v>
      </c>
      <c r="R4" s="36" t="e">
        <v>#N/A</v>
      </c>
      <c r="T4" s="41" t="s">
        <v>53</v>
      </c>
      <c r="U4" s="41">
        <v>56.0</v>
      </c>
    </row>
    <row r="5">
      <c r="A5" s="43"/>
      <c r="B5" s="10"/>
      <c r="D5" s="10" t="s">
        <v>54</v>
      </c>
      <c r="E5" s="33">
        <v>117.0</v>
      </c>
      <c r="G5" s="10" t="s">
        <v>55</v>
      </c>
      <c r="H5" s="42" t="s">
        <v>48</v>
      </c>
      <c r="I5" s="42" t="s">
        <v>48</v>
      </c>
      <c r="J5" s="33" t="s">
        <v>48</v>
      </c>
      <c r="K5" s="33" t="s">
        <v>48</v>
      </c>
      <c r="N5" s="41" t="s">
        <v>56</v>
      </c>
      <c r="O5" s="10">
        <v>0.0</v>
      </c>
      <c r="Q5" s="5" t="s">
        <v>57</v>
      </c>
      <c r="R5" s="36" t="e">
        <v>#N/A</v>
      </c>
      <c r="T5" s="41"/>
      <c r="U5" s="41" t="s">
        <v>48</v>
      </c>
    </row>
    <row r="6">
      <c r="A6" s="44" t="s">
        <v>58</v>
      </c>
      <c r="B6" s="10" t="str">
        <f t="array" ref="B6">_xlfn.xlookup(A6,Pelatihan2!$J$2:$J$10,Pelatihan2!$K$2:$K$10)</f>
        <v>#N/A</v>
      </c>
      <c r="D6" s="10" t="s">
        <v>59</v>
      </c>
      <c r="E6" s="33">
        <v>349.0</v>
      </c>
      <c r="G6" s="10" t="s">
        <v>60</v>
      </c>
      <c r="H6" s="42" t="s">
        <v>48</v>
      </c>
      <c r="I6" s="42" t="s">
        <v>48</v>
      </c>
      <c r="J6" s="33" t="s">
        <v>48</v>
      </c>
      <c r="K6" s="33" t="s">
        <v>48</v>
      </c>
      <c r="N6" s="41" t="s">
        <v>61</v>
      </c>
      <c r="O6" s="10">
        <v>98.0</v>
      </c>
      <c r="Q6" s="5" t="s">
        <v>62</v>
      </c>
      <c r="R6" s="36" t="e">
        <v>#N/A</v>
      </c>
      <c r="T6" s="41"/>
      <c r="U6" s="41" t="s">
        <v>48</v>
      </c>
    </row>
    <row r="7">
      <c r="A7" s="44" t="s">
        <v>63</v>
      </c>
      <c r="B7" s="10" t="str">
        <f t="array" ref="B7">_xlfn.xlookup(A7,Pelatihan2!$J$2:$J$10,Pelatihan2!$K$2:$K$10)</f>
        <v>#N/A</v>
      </c>
      <c r="D7" s="10" t="s">
        <v>64</v>
      </c>
      <c r="E7" s="33">
        <v>294.0</v>
      </c>
      <c r="G7" s="10" t="s">
        <v>65</v>
      </c>
      <c r="H7" s="42" t="s">
        <v>48</v>
      </c>
      <c r="I7" s="42" t="s">
        <v>48</v>
      </c>
      <c r="J7" s="33" t="s">
        <v>48</v>
      </c>
      <c r="K7" s="33" t="s">
        <v>48</v>
      </c>
      <c r="N7" s="41" t="s">
        <v>66</v>
      </c>
      <c r="O7" s="10">
        <v>0.0</v>
      </c>
      <c r="Q7" s="5" t="s">
        <v>67</v>
      </c>
      <c r="R7" s="36" t="e">
        <v>#N/A</v>
      </c>
      <c r="T7" s="41"/>
      <c r="U7" s="41" t="s">
        <v>48</v>
      </c>
    </row>
    <row r="8">
      <c r="A8" s="45" t="s">
        <v>68</v>
      </c>
      <c r="B8" s="10" t="str">
        <f t="array" ref="B8">_xlfn.xlookup("SMA",Pelatihan2!$J$2:$J$10,Pelatihan2!$K$2:$K$10)</f>
        <v>#N/A</v>
      </c>
      <c r="D8" s="10" t="s">
        <v>69</v>
      </c>
      <c r="E8" s="33">
        <v>85.0</v>
      </c>
      <c r="G8" s="10" t="s">
        <v>70</v>
      </c>
      <c r="H8" s="42" t="s">
        <v>48</v>
      </c>
      <c r="I8" s="42" t="s">
        <v>48</v>
      </c>
      <c r="J8" s="33" t="s">
        <v>48</v>
      </c>
      <c r="K8" s="33" t="s">
        <v>48</v>
      </c>
      <c r="N8" s="41" t="s">
        <v>71</v>
      </c>
      <c r="O8" s="10">
        <v>291.0</v>
      </c>
      <c r="R8" s="36" t="s">
        <v>48</v>
      </c>
      <c r="T8" s="41"/>
      <c r="U8" s="41" t="s">
        <v>48</v>
      </c>
    </row>
    <row r="9">
      <c r="A9" s="45" t="s">
        <v>72</v>
      </c>
      <c r="B9" s="10" t="str">
        <f t="array" ref="B9">_xlfn.xlookup(A9,Pelatihan2!$J$2:$J$10,Pelatihan2!$K$2:$K$10)</f>
        <v>#N/A</v>
      </c>
      <c r="D9" s="10" t="s">
        <v>73</v>
      </c>
      <c r="E9" s="33">
        <v>266.0</v>
      </c>
      <c r="G9" s="10" t="s">
        <v>74</v>
      </c>
      <c r="H9" s="42" t="s">
        <v>48</v>
      </c>
      <c r="I9" s="42" t="s">
        <v>48</v>
      </c>
      <c r="J9" s="33" t="s">
        <v>48</v>
      </c>
      <c r="K9" s="33" t="s">
        <v>48</v>
      </c>
      <c r="N9" s="41" t="s">
        <v>75</v>
      </c>
      <c r="O9" s="10">
        <v>192.0</v>
      </c>
      <c r="R9" s="36" t="s">
        <v>48</v>
      </c>
      <c r="T9" s="41"/>
      <c r="U9" s="41" t="s">
        <v>48</v>
      </c>
    </row>
    <row r="10">
      <c r="A10" s="45" t="s">
        <v>76</v>
      </c>
      <c r="B10" s="10" t="str">
        <f t="array" ref="B10">_xlfn.xlookup(A10,Pelatihan2!$J$2:$J$10,Pelatihan2!$K$2:$K$10)</f>
        <v>#N/A</v>
      </c>
      <c r="D10" s="10" t="s">
        <v>77</v>
      </c>
      <c r="E10" s="33">
        <v>128.0</v>
      </c>
      <c r="G10" s="10" t="s">
        <v>78</v>
      </c>
      <c r="H10" s="42" t="s">
        <v>48</v>
      </c>
      <c r="I10" s="42" t="s">
        <v>48</v>
      </c>
      <c r="J10" s="33" t="s">
        <v>48</v>
      </c>
      <c r="K10" s="33" t="s">
        <v>48</v>
      </c>
      <c r="N10" s="41" t="s">
        <v>79</v>
      </c>
      <c r="O10" s="10">
        <v>0.0</v>
      </c>
      <c r="R10" s="36" t="s">
        <v>48</v>
      </c>
      <c r="T10" s="41"/>
      <c r="U10" s="41" t="s">
        <v>48</v>
      </c>
    </row>
    <row r="11">
      <c r="A11" s="44" t="s">
        <v>45</v>
      </c>
      <c r="B11" s="10" t="str">
        <f t="array" ref="B11">_xlfn.xlookup(A11,Pelatihan2!D9:D10,Pelatihan2!E9:E10)</f>
        <v>#N/A</v>
      </c>
      <c r="D11" s="10" t="s">
        <v>80</v>
      </c>
      <c r="E11" s="33">
        <v>12.0</v>
      </c>
      <c r="G11" s="10" t="s">
        <v>81</v>
      </c>
      <c r="H11" s="42" t="s">
        <v>48</v>
      </c>
      <c r="I11" s="42" t="s">
        <v>48</v>
      </c>
      <c r="J11" s="33" t="s">
        <v>48</v>
      </c>
      <c r="K11" s="33" t="s">
        <v>48</v>
      </c>
      <c r="N11" s="41" t="s">
        <v>82</v>
      </c>
      <c r="O11" s="10">
        <v>0.0</v>
      </c>
      <c r="R11" s="36" t="s">
        <v>48</v>
      </c>
      <c r="T11" s="41"/>
      <c r="U11" s="41" t="s">
        <v>48</v>
      </c>
    </row>
    <row r="12">
      <c r="A12" s="46" t="s">
        <v>7</v>
      </c>
      <c r="B12" s="47">
        <f>SUM(B3:B4)</f>
        <v>1970</v>
      </c>
      <c r="D12" s="10" t="s">
        <v>83</v>
      </c>
      <c r="E12" s="33">
        <v>16.0</v>
      </c>
      <c r="G12" s="10" t="s">
        <v>84</v>
      </c>
      <c r="H12" s="42" t="s">
        <v>85</v>
      </c>
      <c r="I12" s="42" t="s">
        <v>86</v>
      </c>
      <c r="J12" s="33">
        <v>2.0</v>
      </c>
      <c r="K12" s="33">
        <v>10.0</v>
      </c>
      <c r="N12" s="41" t="s">
        <v>87</v>
      </c>
      <c r="O12" s="10">
        <v>0.0</v>
      </c>
      <c r="R12" s="36" t="s">
        <v>48</v>
      </c>
      <c r="T12" s="41"/>
      <c r="U12" s="41" t="s">
        <v>48</v>
      </c>
    </row>
    <row r="13">
      <c r="D13" s="10" t="s">
        <v>88</v>
      </c>
      <c r="E13" s="33">
        <v>142.0</v>
      </c>
      <c r="G13" s="10" t="s">
        <v>89</v>
      </c>
      <c r="H13" s="42" t="s">
        <v>90</v>
      </c>
      <c r="I13" s="42" t="s">
        <v>91</v>
      </c>
      <c r="J13" s="33">
        <v>3.0</v>
      </c>
      <c r="K13" s="33">
        <v>13.0</v>
      </c>
      <c r="N13" s="41" t="s">
        <v>92</v>
      </c>
      <c r="O13" s="10">
        <v>0.0</v>
      </c>
      <c r="R13" s="36" t="s">
        <v>48</v>
      </c>
      <c r="T13" s="48"/>
      <c r="U13" s="41" t="s">
        <v>48</v>
      </c>
    </row>
    <row r="14">
      <c r="A14" s="5" t="s">
        <v>93</v>
      </c>
      <c r="D14" s="10" t="s">
        <v>94</v>
      </c>
      <c r="E14" s="33">
        <v>32.0</v>
      </c>
      <c r="G14" s="10" t="s">
        <v>95</v>
      </c>
      <c r="H14" s="42" t="s">
        <v>90</v>
      </c>
      <c r="I14" s="42" t="s">
        <v>91</v>
      </c>
      <c r="J14" s="33">
        <v>5.0</v>
      </c>
      <c r="K14" s="33">
        <v>11.0</v>
      </c>
      <c r="N14" s="41" t="s">
        <v>96</v>
      </c>
      <c r="O14" s="10">
        <v>0.0</v>
      </c>
      <c r="R14" s="36" t="s">
        <v>48</v>
      </c>
      <c r="T14" s="48"/>
      <c r="U14" s="41" t="s">
        <v>48</v>
      </c>
    </row>
    <row r="15">
      <c r="A15" s="7" t="s">
        <v>97</v>
      </c>
      <c r="B15" s="7" t="s">
        <v>98</v>
      </c>
      <c r="D15" s="10" t="s">
        <v>99</v>
      </c>
      <c r="E15" s="33">
        <v>16.0</v>
      </c>
      <c r="G15" s="10" t="s">
        <v>100</v>
      </c>
      <c r="H15" s="42" t="s">
        <v>48</v>
      </c>
      <c r="I15" s="42" t="s">
        <v>48</v>
      </c>
      <c r="J15" s="33" t="s">
        <v>48</v>
      </c>
      <c r="K15" s="33" t="s">
        <v>48</v>
      </c>
      <c r="O15" s="36" t="s">
        <v>48</v>
      </c>
      <c r="R15" s="36" t="s">
        <v>48</v>
      </c>
      <c r="T15" s="48"/>
      <c r="U15" s="41" t="s">
        <v>48</v>
      </c>
    </row>
    <row r="16">
      <c r="A16" s="5" t="s">
        <v>101</v>
      </c>
      <c r="B16" s="41">
        <f>sum(PelatihanData!H2:H50500)</f>
        <v>428</v>
      </c>
      <c r="D16" s="10" t="s">
        <v>48</v>
      </c>
      <c r="E16" s="33" t="s">
        <v>48</v>
      </c>
      <c r="G16" s="10" t="s">
        <v>102</v>
      </c>
      <c r="H16" s="42" t="s">
        <v>48</v>
      </c>
      <c r="I16" s="42" t="s">
        <v>48</v>
      </c>
      <c r="J16" s="33" t="s">
        <v>48</v>
      </c>
      <c r="K16" s="33" t="s">
        <v>48</v>
      </c>
      <c r="O16" s="36" t="s">
        <v>48</v>
      </c>
      <c r="R16" s="36" t="s">
        <v>48</v>
      </c>
      <c r="T16" s="48"/>
      <c r="U16" s="41" t="s">
        <v>48</v>
      </c>
    </row>
    <row r="17">
      <c r="A17" s="5" t="s">
        <v>103</v>
      </c>
      <c r="B17" s="10">
        <f>sum(PelatihanData!I2:I50500)</f>
        <v>32</v>
      </c>
      <c r="D17" s="10"/>
      <c r="E17" s="33" t="s">
        <v>48</v>
      </c>
      <c r="G17" s="10" t="s">
        <v>104</v>
      </c>
      <c r="H17" s="42" t="s">
        <v>48</v>
      </c>
      <c r="I17" s="42" t="s">
        <v>48</v>
      </c>
      <c r="J17" s="33" t="s">
        <v>48</v>
      </c>
      <c r="K17" s="33" t="s">
        <v>48</v>
      </c>
      <c r="O17" s="36" t="s">
        <v>48</v>
      </c>
      <c r="R17" s="36" t="s">
        <v>48</v>
      </c>
      <c r="T17" s="48"/>
      <c r="U17" s="41" t="s">
        <v>48</v>
      </c>
    </row>
    <row r="18">
      <c r="D18" s="10"/>
      <c r="E18" s="33" t="s">
        <v>48</v>
      </c>
      <c r="G18" s="10" t="s">
        <v>105</v>
      </c>
      <c r="H18" s="42" t="s">
        <v>48</v>
      </c>
      <c r="I18" s="42" t="s">
        <v>48</v>
      </c>
      <c r="J18" s="33" t="s">
        <v>48</v>
      </c>
      <c r="K18" s="33" t="s">
        <v>48</v>
      </c>
      <c r="O18" s="36" t="s">
        <v>48</v>
      </c>
      <c r="R18" s="36" t="s">
        <v>48</v>
      </c>
      <c r="T18" s="48"/>
      <c r="U18" s="41" t="s">
        <v>48</v>
      </c>
    </row>
    <row r="19">
      <c r="D19" s="10"/>
      <c r="E19" s="33" t="s">
        <v>48</v>
      </c>
      <c r="G19" s="10" t="s">
        <v>106</v>
      </c>
      <c r="H19" s="42" t="s">
        <v>90</v>
      </c>
      <c r="I19" s="42" t="s">
        <v>91</v>
      </c>
      <c r="J19" s="33">
        <v>5.0</v>
      </c>
      <c r="K19" s="33">
        <v>8.0</v>
      </c>
      <c r="O19" s="36" t="s">
        <v>48</v>
      </c>
      <c r="R19" s="36" t="s">
        <v>48</v>
      </c>
      <c r="T19" s="48"/>
      <c r="U19" s="36" t="s">
        <v>48</v>
      </c>
    </row>
    <row r="20">
      <c r="A20" s="5" t="s">
        <v>107</v>
      </c>
      <c r="B20" s="36">
        <f>B3+B4+RingkasanPelatihanUPTD!I3+RingkasanPelatihanUPTD!I4</f>
        <v>1970</v>
      </c>
      <c r="E20" s="36" t="s">
        <v>48</v>
      </c>
      <c r="G20" s="10" t="s">
        <v>108</v>
      </c>
      <c r="H20" s="42" t="s">
        <v>48</v>
      </c>
      <c r="I20" s="42" t="s">
        <v>48</v>
      </c>
      <c r="J20" s="33" t="s">
        <v>48</v>
      </c>
      <c r="K20" s="33" t="s">
        <v>48</v>
      </c>
      <c r="O20" s="36" t="s">
        <v>48</v>
      </c>
      <c r="P20" s="49"/>
      <c r="R20" s="36" t="s">
        <v>48</v>
      </c>
      <c r="T20" s="36"/>
      <c r="U20" s="36" t="s">
        <v>48</v>
      </c>
    </row>
    <row r="21">
      <c r="E21" s="36" t="s">
        <v>48</v>
      </c>
      <c r="G21" s="10" t="s">
        <v>109</v>
      </c>
      <c r="H21" s="42" t="s">
        <v>90</v>
      </c>
      <c r="I21" s="42" t="s">
        <v>91</v>
      </c>
      <c r="J21" s="33">
        <v>7.0</v>
      </c>
      <c r="K21" s="33">
        <v>6.0</v>
      </c>
      <c r="O21" s="36" t="s">
        <v>48</v>
      </c>
      <c r="R21" s="36" t="s">
        <v>48</v>
      </c>
      <c r="T21" s="36"/>
      <c r="U21" s="36" t="s">
        <v>48</v>
      </c>
    </row>
    <row r="22">
      <c r="E22" s="36" t="s">
        <v>48</v>
      </c>
      <c r="G22" s="10" t="s">
        <v>110</v>
      </c>
      <c r="H22" s="42" t="s">
        <v>48</v>
      </c>
      <c r="I22" s="42" t="s">
        <v>48</v>
      </c>
      <c r="J22" s="33" t="s">
        <v>48</v>
      </c>
      <c r="K22" s="33" t="s">
        <v>48</v>
      </c>
      <c r="O22" s="36" t="s">
        <v>48</v>
      </c>
      <c r="R22" s="36" t="s">
        <v>48</v>
      </c>
      <c r="T22" s="36"/>
      <c r="U22" s="36" t="s">
        <v>48</v>
      </c>
    </row>
    <row r="23">
      <c r="E23" s="36" t="s">
        <v>48</v>
      </c>
      <c r="G23" s="10" t="s">
        <v>111</v>
      </c>
      <c r="H23" s="42" t="s">
        <v>90</v>
      </c>
      <c r="I23" s="42" t="s">
        <v>112</v>
      </c>
      <c r="J23" s="33">
        <v>16.0</v>
      </c>
      <c r="K23" s="33" t="s">
        <v>48</v>
      </c>
      <c r="O23" s="36" t="s">
        <v>48</v>
      </c>
      <c r="R23" s="36" t="s">
        <v>48</v>
      </c>
      <c r="T23" s="36"/>
      <c r="U23" s="36" t="s">
        <v>48</v>
      </c>
    </row>
    <row r="24">
      <c r="E24" s="36" t="s">
        <v>48</v>
      </c>
      <c r="G24" s="10" t="s">
        <v>113</v>
      </c>
      <c r="H24" s="42" t="s">
        <v>90</v>
      </c>
      <c r="I24" s="42" t="s">
        <v>112</v>
      </c>
      <c r="J24" s="33">
        <v>16.0</v>
      </c>
      <c r="K24" s="33" t="s">
        <v>48</v>
      </c>
      <c r="O24" s="36" t="s">
        <v>48</v>
      </c>
      <c r="R24" s="36" t="s">
        <v>48</v>
      </c>
      <c r="T24" s="36"/>
      <c r="U24" s="36" t="s">
        <v>48</v>
      </c>
    </row>
    <row r="25">
      <c r="E25" s="36" t="s">
        <v>48</v>
      </c>
      <c r="G25" s="10" t="s">
        <v>114</v>
      </c>
      <c r="H25" s="42" t="s">
        <v>85</v>
      </c>
      <c r="I25" s="42" t="s">
        <v>115</v>
      </c>
      <c r="J25" s="33">
        <v>13.0</v>
      </c>
      <c r="K25" s="33">
        <v>3.0</v>
      </c>
      <c r="O25" s="36" t="s">
        <v>48</v>
      </c>
      <c r="R25" s="36" t="s">
        <v>48</v>
      </c>
      <c r="T25" s="36"/>
      <c r="U25" s="36" t="s">
        <v>48</v>
      </c>
    </row>
    <row r="26">
      <c r="G26" s="10" t="s">
        <v>116</v>
      </c>
      <c r="H26" s="42" t="s">
        <v>48</v>
      </c>
      <c r="I26" s="42" t="s">
        <v>48</v>
      </c>
      <c r="J26" s="33" t="s">
        <v>48</v>
      </c>
      <c r="K26" s="33" t="s">
        <v>48</v>
      </c>
      <c r="O26" s="36" t="s">
        <v>48</v>
      </c>
      <c r="R26" s="36" t="s">
        <v>48</v>
      </c>
      <c r="T26" s="36"/>
      <c r="U26" s="36" t="s">
        <v>48</v>
      </c>
    </row>
    <row r="27">
      <c r="G27" s="10" t="s">
        <v>117</v>
      </c>
      <c r="H27" s="42" t="s">
        <v>90</v>
      </c>
      <c r="I27" s="42" t="s">
        <v>118</v>
      </c>
      <c r="J27" s="33">
        <v>16.0</v>
      </c>
      <c r="K27" s="33" t="s">
        <v>48</v>
      </c>
      <c r="O27" s="36" t="s">
        <v>48</v>
      </c>
      <c r="R27" s="36" t="s">
        <v>48</v>
      </c>
    </row>
    <row r="28">
      <c r="G28" s="10" t="s">
        <v>119</v>
      </c>
      <c r="H28" s="42" t="s">
        <v>85</v>
      </c>
      <c r="I28" s="42" t="s">
        <v>120</v>
      </c>
      <c r="J28" s="33">
        <v>7.0</v>
      </c>
      <c r="K28" s="33">
        <v>0.0</v>
      </c>
      <c r="O28" s="36" t="s">
        <v>48</v>
      </c>
      <c r="R28" s="36" t="s">
        <v>48</v>
      </c>
    </row>
    <row r="29">
      <c r="G29" s="10" t="s">
        <v>121</v>
      </c>
      <c r="H29" s="42" t="s">
        <v>90</v>
      </c>
      <c r="I29" s="42" t="s">
        <v>122</v>
      </c>
      <c r="J29" s="33">
        <v>16.0</v>
      </c>
      <c r="K29" s="33" t="s">
        <v>48</v>
      </c>
      <c r="O29" s="36" t="s">
        <v>48</v>
      </c>
      <c r="R29" s="36" t="s">
        <v>48</v>
      </c>
    </row>
    <row r="30">
      <c r="G30" s="10" t="s">
        <v>123</v>
      </c>
      <c r="H30" s="42" t="s">
        <v>90</v>
      </c>
      <c r="I30" s="42" t="s">
        <v>122</v>
      </c>
      <c r="J30" s="33">
        <v>16.0</v>
      </c>
      <c r="K30" s="33" t="s">
        <v>48</v>
      </c>
      <c r="O30" s="36" t="s">
        <v>48</v>
      </c>
      <c r="R30" s="36" t="s">
        <v>48</v>
      </c>
    </row>
    <row r="31">
      <c r="G31" s="10" t="s">
        <v>124</v>
      </c>
      <c r="H31" s="42" t="s">
        <v>90</v>
      </c>
      <c r="I31" s="42" t="s">
        <v>118</v>
      </c>
      <c r="J31" s="33">
        <v>7.0</v>
      </c>
      <c r="K31" s="33">
        <v>2.0</v>
      </c>
      <c r="O31" s="36" t="s">
        <v>48</v>
      </c>
      <c r="R31" s="36" t="s">
        <v>48</v>
      </c>
    </row>
    <row r="32">
      <c r="G32" s="10" t="s">
        <v>125</v>
      </c>
      <c r="H32" s="42" t="s">
        <v>48</v>
      </c>
      <c r="I32" s="42" t="s">
        <v>48</v>
      </c>
      <c r="J32" s="33" t="s">
        <v>48</v>
      </c>
      <c r="K32" s="33" t="s">
        <v>48</v>
      </c>
      <c r="O32" s="36" t="s">
        <v>48</v>
      </c>
      <c r="R32" s="36" t="s">
        <v>48</v>
      </c>
    </row>
    <row r="33">
      <c r="G33" s="10" t="s">
        <v>126</v>
      </c>
      <c r="H33" s="42" t="s">
        <v>48</v>
      </c>
      <c r="I33" s="42" t="s">
        <v>48</v>
      </c>
      <c r="J33" s="33" t="s">
        <v>48</v>
      </c>
      <c r="K33" s="33" t="s">
        <v>48</v>
      </c>
      <c r="O33" s="36" t="s">
        <v>48</v>
      </c>
      <c r="R33" s="36" t="s">
        <v>48</v>
      </c>
    </row>
    <row r="34">
      <c r="G34" s="10" t="s">
        <v>127</v>
      </c>
      <c r="H34" s="42" t="s">
        <v>48</v>
      </c>
      <c r="I34" s="42" t="s">
        <v>48</v>
      </c>
      <c r="J34" s="33" t="s">
        <v>48</v>
      </c>
      <c r="K34" s="33" t="s">
        <v>48</v>
      </c>
      <c r="O34" s="36" t="s">
        <v>48</v>
      </c>
      <c r="R34" s="36" t="s">
        <v>48</v>
      </c>
    </row>
    <row r="35">
      <c r="G35" s="10" t="s">
        <v>128</v>
      </c>
      <c r="H35" s="42" t="s">
        <v>48</v>
      </c>
      <c r="I35" s="42" t="s">
        <v>48</v>
      </c>
      <c r="J35" s="33" t="s">
        <v>48</v>
      </c>
      <c r="K35" s="33" t="s">
        <v>48</v>
      </c>
      <c r="O35" s="36" t="s">
        <v>48</v>
      </c>
      <c r="R35" s="36" t="s">
        <v>48</v>
      </c>
    </row>
    <row r="36">
      <c r="G36" s="10" t="s">
        <v>129</v>
      </c>
      <c r="H36" s="42" t="s">
        <v>85</v>
      </c>
      <c r="I36" s="42" t="s">
        <v>130</v>
      </c>
      <c r="J36" s="33">
        <v>0.0</v>
      </c>
      <c r="K36" s="33">
        <v>10.0</v>
      </c>
      <c r="O36" s="36" t="s">
        <v>48</v>
      </c>
      <c r="R36" s="36" t="s">
        <v>48</v>
      </c>
    </row>
    <row r="37">
      <c r="G37" s="10" t="s">
        <v>131</v>
      </c>
      <c r="H37" s="42" t="s">
        <v>85</v>
      </c>
      <c r="I37" s="42" t="s">
        <v>130</v>
      </c>
      <c r="J37" s="33">
        <v>0.0</v>
      </c>
      <c r="K37" s="33">
        <v>16.0</v>
      </c>
      <c r="O37" s="36" t="s">
        <v>48</v>
      </c>
      <c r="R37" s="36" t="s">
        <v>48</v>
      </c>
    </row>
    <row r="38">
      <c r="G38" s="10" t="s">
        <v>132</v>
      </c>
      <c r="H38" s="42" t="s">
        <v>90</v>
      </c>
      <c r="I38" s="42" t="s">
        <v>133</v>
      </c>
      <c r="J38" s="33" t="s">
        <v>48</v>
      </c>
      <c r="K38" s="33">
        <v>16.0</v>
      </c>
      <c r="O38" s="36" t="s">
        <v>48</v>
      </c>
      <c r="R38" s="36" t="s">
        <v>48</v>
      </c>
    </row>
    <row r="39">
      <c r="G39" s="10" t="s">
        <v>134</v>
      </c>
      <c r="H39" s="42" t="s">
        <v>90</v>
      </c>
      <c r="I39" s="42" t="s">
        <v>133</v>
      </c>
      <c r="J39" s="33" t="s">
        <v>48</v>
      </c>
      <c r="K39" s="33">
        <v>16.0</v>
      </c>
      <c r="O39" s="36" t="s">
        <v>48</v>
      </c>
      <c r="R39" s="36" t="s">
        <v>48</v>
      </c>
    </row>
    <row r="40">
      <c r="G40" s="10" t="s">
        <v>135</v>
      </c>
      <c r="H40" s="42" t="s">
        <v>90</v>
      </c>
      <c r="I40" s="42" t="s">
        <v>122</v>
      </c>
      <c r="J40" s="33" t="s">
        <v>48</v>
      </c>
      <c r="K40" s="33">
        <v>16.0</v>
      </c>
      <c r="O40" s="36" t="s">
        <v>48</v>
      </c>
      <c r="R40" s="36" t="s">
        <v>48</v>
      </c>
    </row>
    <row r="41">
      <c r="G41" s="10" t="s">
        <v>136</v>
      </c>
      <c r="H41" s="42" t="s">
        <v>48</v>
      </c>
      <c r="I41" s="42" t="s">
        <v>48</v>
      </c>
      <c r="J41" s="33" t="s">
        <v>48</v>
      </c>
      <c r="K41" s="33">
        <v>16.0</v>
      </c>
      <c r="O41" s="36" t="s">
        <v>48</v>
      </c>
      <c r="R41" s="36" t="s">
        <v>48</v>
      </c>
    </row>
    <row r="42">
      <c r="G42" s="10" t="s">
        <v>137</v>
      </c>
      <c r="H42" s="42" t="s">
        <v>48</v>
      </c>
      <c r="I42" s="42" t="s">
        <v>48</v>
      </c>
      <c r="J42" s="33" t="s">
        <v>48</v>
      </c>
      <c r="K42" s="33" t="s">
        <v>48</v>
      </c>
      <c r="O42" s="36" t="s">
        <v>48</v>
      </c>
      <c r="R42" s="36" t="s">
        <v>48</v>
      </c>
    </row>
    <row r="43">
      <c r="G43" s="10" t="s">
        <v>138</v>
      </c>
      <c r="H43" s="42" t="s">
        <v>48</v>
      </c>
      <c r="I43" s="42" t="s">
        <v>48</v>
      </c>
      <c r="J43" s="33" t="s">
        <v>48</v>
      </c>
      <c r="K43" s="33" t="s">
        <v>48</v>
      </c>
      <c r="O43" s="36" t="s">
        <v>48</v>
      </c>
      <c r="R43" s="36" t="s">
        <v>48</v>
      </c>
    </row>
    <row r="44">
      <c r="G44" s="10" t="s">
        <v>139</v>
      </c>
      <c r="H44" s="42" t="s">
        <v>48</v>
      </c>
      <c r="I44" s="42" t="s">
        <v>48</v>
      </c>
      <c r="J44" s="33" t="s">
        <v>48</v>
      </c>
      <c r="K44" s="33" t="s">
        <v>48</v>
      </c>
      <c r="O44" s="36" t="s">
        <v>48</v>
      </c>
      <c r="R44" s="36" t="s">
        <v>48</v>
      </c>
    </row>
    <row r="45">
      <c r="G45" s="10" t="s">
        <v>140</v>
      </c>
      <c r="H45" s="42" t="s">
        <v>48</v>
      </c>
      <c r="I45" s="42" t="s">
        <v>48</v>
      </c>
      <c r="J45" s="33" t="s">
        <v>48</v>
      </c>
      <c r="K45" s="33" t="s">
        <v>48</v>
      </c>
      <c r="O45" s="36" t="s">
        <v>48</v>
      </c>
      <c r="R45" s="36" t="s">
        <v>48</v>
      </c>
    </row>
    <row r="46">
      <c r="G46" s="10" t="s">
        <v>141</v>
      </c>
      <c r="H46" s="42" t="s">
        <v>90</v>
      </c>
      <c r="I46" s="42" t="s">
        <v>122</v>
      </c>
      <c r="J46" s="33">
        <v>9.0</v>
      </c>
      <c r="K46" s="33">
        <v>4.0</v>
      </c>
      <c r="O46" s="36" t="s">
        <v>48</v>
      </c>
      <c r="R46" s="36" t="s">
        <v>48</v>
      </c>
    </row>
    <row r="47">
      <c r="G47" s="10" t="s">
        <v>142</v>
      </c>
      <c r="H47" s="42" t="s">
        <v>48</v>
      </c>
      <c r="I47" s="42" t="s">
        <v>48</v>
      </c>
      <c r="J47" s="33" t="s">
        <v>48</v>
      </c>
      <c r="K47" s="33" t="s">
        <v>48</v>
      </c>
      <c r="O47" s="36" t="s">
        <v>48</v>
      </c>
      <c r="R47" s="36" t="s">
        <v>48</v>
      </c>
    </row>
    <row r="48">
      <c r="G48" s="10" t="s">
        <v>143</v>
      </c>
      <c r="H48" s="42" t="s">
        <v>90</v>
      </c>
      <c r="I48" s="42" t="s">
        <v>144</v>
      </c>
      <c r="J48" s="33">
        <v>4.0</v>
      </c>
      <c r="K48" s="33">
        <v>12.0</v>
      </c>
      <c r="O48" s="36" t="s">
        <v>48</v>
      </c>
      <c r="R48" s="36" t="s">
        <v>48</v>
      </c>
    </row>
    <row r="49">
      <c r="G49" s="10" t="s">
        <v>145</v>
      </c>
      <c r="H49" s="42" t="s">
        <v>48</v>
      </c>
      <c r="I49" s="42" t="s">
        <v>48</v>
      </c>
      <c r="J49" s="33" t="s">
        <v>48</v>
      </c>
      <c r="K49" s="33" t="s">
        <v>48</v>
      </c>
      <c r="O49" s="36" t="s">
        <v>48</v>
      </c>
      <c r="R49" s="36" t="s">
        <v>48</v>
      </c>
    </row>
    <row r="50">
      <c r="G50" s="10" t="s">
        <v>146</v>
      </c>
      <c r="H50" s="42" t="s">
        <v>90</v>
      </c>
      <c r="I50" s="42" t="s">
        <v>144</v>
      </c>
      <c r="J50" s="33">
        <v>4.0</v>
      </c>
      <c r="K50" s="33">
        <v>12.0</v>
      </c>
      <c r="O50" s="36" t="s">
        <v>48</v>
      </c>
      <c r="R50" s="36" t="s">
        <v>48</v>
      </c>
    </row>
    <row r="51">
      <c r="G51" s="10" t="s">
        <v>147</v>
      </c>
      <c r="H51" s="42" t="s">
        <v>48</v>
      </c>
      <c r="I51" s="42" t="s">
        <v>48</v>
      </c>
      <c r="J51" s="33" t="s">
        <v>48</v>
      </c>
      <c r="K51" s="33" t="s">
        <v>48</v>
      </c>
      <c r="O51" s="36" t="s">
        <v>48</v>
      </c>
      <c r="R51" s="36" t="s">
        <v>48</v>
      </c>
    </row>
    <row r="52">
      <c r="G52" s="10" t="s">
        <v>148</v>
      </c>
      <c r="H52" s="42" t="s">
        <v>48</v>
      </c>
      <c r="I52" s="42" t="s">
        <v>48</v>
      </c>
      <c r="J52" s="33" t="s">
        <v>48</v>
      </c>
      <c r="K52" s="33" t="s">
        <v>48</v>
      </c>
      <c r="O52" s="36" t="s">
        <v>48</v>
      </c>
      <c r="R52" s="36" t="s">
        <v>48</v>
      </c>
    </row>
    <row r="53">
      <c r="G53" s="10" t="s">
        <v>149</v>
      </c>
      <c r="H53" s="42" t="s">
        <v>48</v>
      </c>
      <c r="I53" s="42" t="s">
        <v>48</v>
      </c>
      <c r="J53" s="33" t="s">
        <v>48</v>
      </c>
      <c r="K53" s="33" t="s">
        <v>48</v>
      </c>
      <c r="O53" s="36" t="s">
        <v>48</v>
      </c>
      <c r="R53" s="36" t="s">
        <v>48</v>
      </c>
    </row>
    <row r="54">
      <c r="G54" s="10" t="s">
        <v>150</v>
      </c>
      <c r="H54" s="42" t="s">
        <v>85</v>
      </c>
      <c r="I54" s="42" t="s">
        <v>151</v>
      </c>
      <c r="J54" s="33">
        <v>6.0</v>
      </c>
      <c r="K54" s="33">
        <v>6.0</v>
      </c>
      <c r="O54" s="36" t="s">
        <v>48</v>
      </c>
      <c r="R54" s="36" t="s">
        <v>48</v>
      </c>
    </row>
    <row r="55">
      <c r="G55" s="10" t="s">
        <v>152</v>
      </c>
      <c r="H55" s="42" t="s">
        <v>85</v>
      </c>
      <c r="I55" s="42" t="s">
        <v>151</v>
      </c>
      <c r="J55" s="33">
        <v>2.0</v>
      </c>
      <c r="K55" s="33">
        <v>9.0</v>
      </c>
      <c r="O55" s="36" t="s">
        <v>48</v>
      </c>
      <c r="R55" s="36" t="s">
        <v>48</v>
      </c>
    </row>
    <row r="56">
      <c r="G56" s="10" t="s">
        <v>153</v>
      </c>
      <c r="H56" s="42" t="s">
        <v>85</v>
      </c>
      <c r="I56" s="42" t="s">
        <v>151</v>
      </c>
      <c r="J56" s="33">
        <v>0.0</v>
      </c>
      <c r="K56" s="33">
        <v>14.0</v>
      </c>
      <c r="O56" s="36" t="s">
        <v>48</v>
      </c>
      <c r="R56" s="36" t="s">
        <v>48</v>
      </c>
    </row>
    <row r="57">
      <c r="G57" s="10" t="s">
        <v>154</v>
      </c>
      <c r="H57" s="42" t="s">
        <v>48</v>
      </c>
      <c r="I57" s="42" t="s">
        <v>48</v>
      </c>
      <c r="J57" s="33" t="s">
        <v>48</v>
      </c>
      <c r="K57" s="33" t="s">
        <v>48</v>
      </c>
      <c r="O57" s="36" t="s">
        <v>48</v>
      </c>
      <c r="R57" s="36" t="s">
        <v>48</v>
      </c>
    </row>
    <row r="58">
      <c r="G58" s="10" t="s">
        <v>155</v>
      </c>
      <c r="H58" s="42" t="s">
        <v>90</v>
      </c>
      <c r="I58" s="42" t="s">
        <v>156</v>
      </c>
      <c r="J58" s="33">
        <v>9.0</v>
      </c>
      <c r="K58" s="33">
        <v>2.0</v>
      </c>
      <c r="O58" s="36" t="s">
        <v>48</v>
      </c>
      <c r="R58" s="36" t="s">
        <v>48</v>
      </c>
    </row>
    <row r="59">
      <c r="G59" s="10" t="s">
        <v>157</v>
      </c>
      <c r="H59" s="42" t="s">
        <v>158</v>
      </c>
      <c r="I59" s="42" t="s">
        <v>159</v>
      </c>
      <c r="J59" s="33">
        <v>1.0</v>
      </c>
      <c r="K59" s="33">
        <v>15.0</v>
      </c>
      <c r="O59" s="36" t="s">
        <v>48</v>
      </c>
      <c r="R59" s="36" t="s">
        <v>48</v>
      </c>
    </row>
    <row r="60">
      <c r="G60" s="10" t="s">
        <v>160</v>
      </c>
      <c r="H60" s="42" t="s">
        <v>158</v>
      </c>
      <c r="I60" s="42" t="s">
        <v>159</v>
      </c>
      <c r="J60" s="33">
        <v>0.0</v>
      </c>
      <c r="K60" s="33">
        <v>16.0</v>
      </c>
      <c r="O60" s="36" t="s">
        <v>48</v>
      </c>
      <c r="R60" s="36" t="s">
        <v>48</v>
      </c>
    </row>
    <row r="61">
      <c r="G61" s="10" t="s">
        <v>161</v>
      </c>
      <c r="H61" s="42" t="s">
        <v>162</v>
      </c>
      <c r="I61" s="42" t="s">
        <v>163</v>
      </c>
      <c r="J61" s="33">
        <v>16.0</v>
      </c>
      <c r="K61" s="33">
        <v>0.0</v>
      </c>
      <c r="O61" s="36" t="s">
        <v>48</v>
      </c>
      <c r="R61" s="36" t="s">
        <v>48</v>
      </c>
    </row>
    <row r="62">
      <c r="G62" s="10" t="s">
        <v>164</v>
      </c>
      <c r="H62" s="42" t="s">
        <v>165</v>
      </c>
      <c r="I62" s="42" t="s">
        <v>122</v>
      </c>
      <c r="J62" s="33">
        <v>6.0</v>
      </c>
      <c r="K62" s="33">
        <v>10.0</v>
      </c>
      <c r="O62" s="36" t="s">
        <v>48</v>
      </c>
      <c r="R62" s="36" t="s">
        <v>48</v>
      </c>
    </row>
    <row r="63">
      <c r="G63" s="10" t="s">
        <v>166</v>
      </c>
      <c r="H63" s="42" t="s">
        <v>162</v>
      </c>
      <c r="I63" s="42" t="s">
        <v>122</v>
      </c>
      <c r="J63" s="33">
        <v>0.0</v>
      </c>
      <c r="K63" s="33">
        <v>16.0</v>
      </c>
      <c r="O63" s="36" t="s">
        <v>48</v>
      </c>
      <c r="R63" s="36" t="s">
        <v>48</v>
      </c>
    </row>
    <row r="64">
      <c r="G64" s="10" t="s">
        <v>167</v>
      </c>
      <c r="H64" s="42" t="s">
        <v>162</v>
      </c>
      <c r="I64" s="42" t="s">
        <v>122</v>
      </c>
      <c r="J64" s="33">
        <v>0.0</v>
      </c>
      <c r="K64" s="33">
        <v>16.0</v>
      </c>
      <c r="O64" s="36" t="s">
        <v>48</v>
      </c>
      <c r="R64" s="36" t="s">
        <v>48</v>
      </c>
    </row>
    <row r="65">
      <c r="G65" s="10" t="s">
        <v>168</v>
      </c>
      <c r="H65" s="42" t="s">
        <v>162</v>
      </c>
      <c r="I65" s="42" t="s">
        <v>133</v>
      </c>
      <c r="J65" s="33">
        <v>0.0</v>
      </c>
      <c r="K65" s="33">
        <v>16.0</v>
      </c>
      <c r="O65" s="36" t="s">
        <v>48</v>
      </c>
      <c r="R65" s="36" t="s">
        <v>48</v>
      </c>
    </row>
    <row r="66">
      <c r="G66" s="10" t="s">
        <v>169</v>
      </c>
      <c r="H66" s="42" t="s">
        <v>170</v>
      </c>
      <c r="I66" s="42" t="s">
        <v>171</v>
      </c>
      <c r="J66" s="33">
        <v>0.0</v>
      </c>
      <c r="K66" s="33">
        <v>16.0</v>
      </c>
      <c r="O66" s="36" t="s">
        <v>48</v>
      </c>
      <c r="R66" s="36" t="s">
        <v>48</v>
      </c>
    </row>
    <row r="67">
      <c r="G67" s="10" t="s">
        <v>172</v>
      </c>
      <c r="H67" s="42" t="s">
        <v>162</v>
      </c>
      <c r="I67" s="42" t="s">
        <v>133</v>
      </c>
      <c r="J67" s="33">
        <v>0.0</v>
      </c>
      <c r="K67" s="33">
        <v>16.0</v>
      </c>
      <c r="O67" s="36" t="s">
        <v>48</v>
      </c>
      <c r="R67" s="36" t="s">
        <v>48</v>
      </c>
    </row>
    <row r="68">
      <c r="G68" s="10" t="s">
        <v>172</v>
      </c>
      <c r="H68" s="42" t="s">
        <v>165</v>
      </c>
      <c r="I68" s="42" t="s">
        <v>122</v>
      </c>
      <c r="J68" s="33">
        <v>0.0</v>
      </c>
      <c r="K68" s="33">
        <v>16.0</v>
      </c>
      <c r="O68" s="36" t="s">
        <v>48</v>
      </c>
      <c r="R68" s="36" t="s">
        <v>48</v>
      </c>
    </row>
    <row r="69">
      <c r="G69" s="10" t="s">
        <v>173</v>
      </c>
      <c r="H69" s="42" t="s">
        <v>174</v>
      </c>
      <c r="I69" s="42" t="s">
        <v>175</v>
      </c>
      <c r="J69" s="33">
        <v>0.0</v>
      </c>
      <c r="K69" s="33">
        <v>16.0</v>
      </c>
      <c r="O69" s="36" t="s">
        <v>48</v>
      </c>
      <c r="R69" s="36" t="s">
        <v>48</v>
      </c>
    </row>
    <row r="70">
      <c r="G70" s="10" t="s">
        <v>173</v>
      </c>
      <c r="H70" s="42" t="s">
        <v>133</v>
      </c>
      <c r="I70" s="42" t="s">
        <v>176</v>
      </c>
      <c r="J70" s="33" t="s">
        <v>48</v>
      </c>
      <c r="K70" s="33" t="s">
        <v>48</v>
      </c>
      <c r="O70" s="36" t="s">
        <v>48</v>
      </c>
      <c r="R70" s="36" t="s">
        <v>48</v>
      </c>
    </row>
    <row r="71">
      <c r="G71" s="10" t="s">
        <v>177</v>
      </c>
      <c r="H71" s="42" t="s">
        <v>174</v>
      </c>
      <c r="I71" s="42" t="s">
        <v>175</v>
      </c>
      <c r="J71" s="33">
        <v>0.0</v>
      </c>
      <c r="K71" s="33">
        <v>16.0</v>
      </c>
      <c r="O71" s="36" t="s">
        <v>48</v>
      </c>
      <c r="R71" s="36" t="s">
        <v>48</v>
      </c>
    </row>
    <row r="72">
      <c r="G72" s="10" t="s">
        <v>178</v>
      </c>
      <c r="H72" s="42" t="s">
        <v>133</v>
      </c>
      <c r="I72" s="42" t="s">
        <v>176</v>
      </c>
      <c r="J72" s="33">
        <v>0.0</v>
      </c>
      <c r="K72" s="33">
        <v>16.0</v>
      </c>
      <c r="O72" s="36" t="s">
        <v>48</v>
      </c>
      <c r="R72" s="36" t="s">
        <v>48</v>
      </c>
    </row>
    <row r="73">
      <c r="G73" s="10" t="s">
        <v>179</v>
      </c>
      <c r="H73" s="42" t="s">
        <v>174</v>
      </c>
      <c r="I73" s="42" t="s">
        <v>175</v>
      </c>
      <c r="J73" s="33">
        <v>1.0</v>
      </c>
      <c r="K73" s="33">
        <v>15.0</v>
      </c>
      <c r="O73" s="36" t="s">
        <v>48</v>
      </c>
      <c r="R73" s="36" t="s">
        <v>48</v>
      </c>
    </row>
    <row r="74">
      <c r="G74" s="10" t="s">
        <v>179</v>
      </c>
      <c r="H74" s="42" t="s">
        <v>180</v>
      </c>
      <c r="I74" s="42" t="s">
        <v>170</v>
      </c>
      <c r="J74" s="33" t="s">
        <v>48</v>
      </c>
      <c r="K74" s="33" t="s">
        <v>48</v>
      </c>
      <c r="O74" s="36" t="s">
        <v>48</v>
      </c>
      <c r="R74" s="36" t="s">
        <v>48</v>
      </c>
    </row>
    <row r="75">
      <c r="G75" s="10" t="s">
        <v>181</v>
      </c>
      <c r="H75" s="42" t="s">
        <v>174</v>
      </c>
      <c r="I75" s="42" t="s">
        <v>175</v>
      </c>
      <c r="J75" s="33" t="s">
        <v>48</v>
      </c>
      <c r="K75" s="33" t="s">
        <v>48</v>
      </c>
      <c r="O75" s="36" t="s">
        <v>48</v>
      </c>
      <c r="R75" s="36" t="s">
        <v>48</v>
      </c>
    </row>
    <row r="76">
      <c r="G76" s="10" t="s">
        <v>182</v>
      </c>
      <c r="H76" s="42" t="s">
        <v>133</v>
      </c>
      <c r="I76" s="42" t="s">
        <v>176</v>
      </c>
      <c r="J76" s="33" t="s">
        <v>48</v>
      </c>
      <c r="K76" s="33" t="s">
        <v>48</v>
      </c>
      <c r="O76" s="36" t="s">
        <v>48</v>
      </c>
      <c r="R76" s="36" t="s">
        <v>48</v>
      </c>
    </row>
    <row r="77">
      <c r="G77" s="10" t="s">
        <v>183</v>
      </c>
      <c r="H77" s="42" t="s">
        <v>184</v>
      </c>
      <c r="I77" s="42" t="s">
        <v>185</v>
      </c>
      <c r="J77" s="33" t="s">
        <v>48</v>
      </c>
      <c r="K77" s="33" t="s">
        <v>48</v>
      </c>
      <c r="O77" s="36" t="s">
        <v>48</v>
      </c>
      <c r="R77" s="36" t="s">
        <v>48</v>
      </c>
    </row>
    <row r="78">
      <c r="G78" s="10" t="s">
        <v>182</v>
      </c>
      <c r="H78" s="42" t="s">
        <v>184</v>
      </c>
      <c r="I78" s="42" t="s">
        <v>186</v>
      </c>
      <c r="J78" s="33" t="s">
        <v>48</v>
      </c>
      <c r="K78" s="33" t="s">
        <v>48</v>
      </c>
      <c r="O78" s="36" t="s">
        <v>48</v>
      </c>
      <c r="R78" s="36" t="s">
        <v>48</v>
      </c>
    </row>
    <row r="79">
      <c r="G79" s="10" t="s">
        <v>172</v>
      </c>
      <c r="H79" s="42" t="s">
        <v>184</v>
      </c>
      <c r="I79" s="42" t="s">
        <v>185</v>
      </c>
      <c r="J79" s="33" t="s">
        <v>48</v>
      </c>
      <c r="K79" s="33" t="s">
        <v>48</v>
      </c>
      <c r="O79" s="36" t="s">
        <v>48</v>
      </c>
      <c r="R79" s="36" t="s">
        <v>48</v>
      </c>
    </row>
    <row r="80">
      <c r="G80" s="10" t="s">
        <v>178</v>
      </c>
      <c r="H80" s="42" t="s">
        <v>184</v>
      </c>
      <c r="I80" s="42" t="s">
        <v>185</v>
      </c>
      <c r="J80" s="33" t="s">
        <v>48</v>
      </c>
      <c r="K80" s="33" t="s">
        <v>48</v>
      </c>
      <c r="O80" s="36" t="s">
        <v>48</v>
      </c>
      <c r="R80" s="36" t="s">
        <v>48</v>
      </c>
    </row>
    <row r="81">
      <c r="G81" s="10" t="s">
        <v>178</v>
      </c>
      <c r="H81" s="42" t="s">
        <v>91</v>
      </c>
      <c r="I81" s="42" t="s">
        <v>186</v>
      </c>
      <c r="J81" s="33" t="s">
        <v>48</v>
      </c>
      <c r="K81" s="33" t="s">
        <v>48</v>
      </c>
      <c r="O81" s="36" t="s">
        <v>48</v>
      </c>
      <c r="R81" s="36" t="s">
        <v>48</v>
      </c>
    </row>
    <row r="82">
      <c r="G82" s="10" t="s">
        <v>187</v>
      </c>
      <c r="H82" s="42" t="s">
        <v>184</v>
      </c>
      <c r="I82" s="42" t="s">
        <v>185</v>
      </c>
      <c r="J82" s="33" t="s">
        <v>48</v>
      </c>
      <c r="K82" s="33" t="s">
        <v>48</v>
      </c>
      <c r="O82" s="36" t="s">
        <v>48</v>
      </c>
      <c r="R82" s="36" t="s">
        <v>48</v>
      </c>
    </row>
    <row r="83">
      <c r="G83" s="36" t="s">
        <v>48</v>
      </c>
      <c r="H83" s="50" t="s">
        <v>48</v>
      </c>
      <c r="I83" s="50" t="s">
        <v>48</v>
      </c>
      <c r="J83" s="36" t="s">
        <v>48</v>
      </c>
      <c r="K83" s="36" t="s">
        <v>48</v>
      </c>
      <c r="O83" s="36" t="s">
        <v>48</v>
      </c>
      <c r="R83" s="36" t="s">
        <v>48</v>
      </c>
    </row>
    <row r="84">
      <c r="G84" s="36" t="s">
        <v>48</v>
      </c>
      <c r="H84" s="50" t="s">
        <v>48</v>
      </c>
      <c r="I84" s="50" t="s">
        <v>48</v>
      </c>
      <c r="J84" s="36" t="s">
        <v>48</v>
      </c>
      <c r="K84" s="36" t="s">
        <v>48</v>
      </c>
      <c r="O84" s="36" t="s">
        <v>48</v>
      </c>
      <c r="R84" s="36" t="s">
        <v>48</v>
      </c>
    </row>
    <row r="85">
      <c r="G85" s="36" t="s">
        <v>48</v>
      </c>
      <c r="H85" s="50" t="s">
        <v>48</v>
      </c>
      <c r="I85" s="50" t="s">
        <v>48</v>
      </c>
      <c r="J85" s="36" t="s">
        <v>48</v>
      </c>
      <c r="K85" s="36" t="s">
        <v>48</v>
      </c>
      <c r="O85" s="36" t="s">
        <v>48</v>
      </c>
      <c r="R85" s="36" t="s">
        <v>48</v>
      </c>
    </row>
    <row r="86">
      <c r="G86" s="36" t="s">
        <v>48</v>
      </c>
      <c r="H86" s="50" t="s">
        <v>48</v>
      </c>
      <c r="I86" s="50" t="s">
        <v>48</v>
      </c>
      <c r="J86" s="36" t="s">
        <v>48</v>
      </c>
      <c r="K86" s="36" t="s">
        <v>48</v>
      </c>
      <c r="O86" s="36" t="s">
        <v>48</v>
      </c>
      <c r="R86" s="36" t="s">
        <v>48</v>
      </c>
    </row>
    <row r="87">
      <c r="G87" s="36" t="s">
        <v>48</v>
      </c>
      <c r="H87" s="50" t="s">
        <v>48</v>
      </c>
      <c r="I87" s="50" t="s">
        <v>48</v>
      </c>
      <c r="J87" s="36" t="s">
        <v>48</v>
      </c>
      <c r="K87" s="36" t="s">
        <v>48</v>
      </c>
      <c r="O87" s="36" t="s">
        <v>48</v>
      </c>
      <c r="R87" s="36" t="s">
        <v>48</v>
      </c>
    </row>
    <row r="88">
      <c r="G88" s="36" t="s">
        <v>48</v>
      </c>
      <c r="H88" s="50" t="s">
        <v>48</v>
      </c>
      <c r="I88" s="50" t="s">
        <v>48</v>
      </c>
      <c r="J88" s="36" t="s">
        <v>48</v>
      </c>
      <c r="K88" s="36" t="s">
        <v>48</v>
      </c>
      <c r="O88" s="36" t="s">
        <v>48</v>
      </c>
      <c r="R88" s="36" t="s">
        <v>48</v>
      </c>
    </row>
    <row r="89">
      <c r="G89" s="36" t="s">
        <v>48</v>
      </c>
      <c r="H89" s="50" t="s">
        <v>48</v>
      </c>
      <c r="I89" s="50" t="s">
        <v>48</v>
      </c>
      <c r="J89" s="36" t="s">
        <v>48</v>
      </c>
      <c r="K89" s="36" t="s">
        <v>48</v>
      </c>
      <c r="O89" s="36" t="s">
        <v>48</v>
      </c>
      <c r="R89" s="36" t="s">
        <v>48</v>
      </c>
    </row>
    <row r="90">
      <c r="G90" s="36" t="s">
        <v>48</v>
      </c>
      <c r="H90" s="50" t="s">
        <v>48</v>
      </c>
      <c r="I90" s="50" t="s">
        <v>48</v>
      </c>
      <c r="J90" s="36" t="s">
        <v>48</v>
      </c>
      <c r="K90" s="36" t="s">
        <v>48</v>
      </c>
      <c r="O90" s="36" t="s">
        <v>48</v>
      </c>
      <c r="R90" s="36" t="s">
        <v>48</v>
      </c>
    </row>
    <row r="91">
      <c r="G91" s="36" t="s">
        <v>48</v>
      </c>
      <c r="H91" s="50" t="s">
        <v>48</v>
      </c>
      <c r="I91" s="50" t="s">
        <v>48</v>
      </c>
      <c r="J91" s="36" t="s">
        <v>48</v>
      </c>
      <c r="K91" s="36" t="s">
        <v>48</v>
      </c>
      <c r="O91" s="36" t="s">
        <v>48</v>
      </c>
      <c r="R91" s="36" t="s">
        <v>48</v>
      </c>
    </row>
    <row r="92">
      <c r="G92" s="36" t="s">
        <v>48</v>
      </c>
      <c r="H92" s="50" t="s">
        <v>48</v>
      </c>
      <c r="I92" s="50" t="s">
        <v>48</v>
      </c>
      <c r="J92" s="36" t="s">
        <v>48</v>
      </c>
      <c r="K92" s="36" t="s">
        <v>48</v>
      </c>
      <c r="O92" s="36" t="s">
        <v>48</v>
      </c>
      <c r="R92" s="36" t="s">
        <v>48</v>
      </c>
    </row>
    <row r="93">
      <c r="G93" s="36" t="s">
        <v>48</v>
      </c>
      <c r="H93" s="50" t="s">
        <v>48</v>
      </c>
      <c r="I93" s="50" t="s">
        <v>48</v>
      </c>
      <c r="J93" s="36" t="s">
        <v>48</v>
      </c>
      <c r="K93" s="36" t="s">
        <v>48</v>
      </c>
      <c r="O93" s="36" t="s">
        <v>48</v>
      </c>
      <c r="R93" s="36" t="s">
        <v>48</v>
      </c>
    </row>
    <row r="94">
      <c r="G94" s="36" t="s">
        <v>48</v>
      </c>
      <c r="H94" s="50" t="s">
        <v>48</v>
      </c>
      <c r="I94" s="50" t="s">
        <v>48</v>
      </c>
      <c r="J94" s="36" t="s">
        <v>48</v>
      </c>
      <c r="K94" s="36" t="s">
        <v>48</v>
      </c>
      <c r="O94" s="36" t="s">
        <v>48</v>
      </c>
      <c r="R94" s="36" t="s">
        <v>48</v>
      </c>
    </row>
    <row r="95">
      <c r="G95" s="36" t="s">
        <v>48</v>
      </c>
      <c r="H95" s="50" t="s">
        <v>48</v>
      </c>
      <c r="I95" s="50" t="s">
        <v>48</v>
      </c>
      <c r="J95" s="36" t="s">
        <v>48</v>
      </c>
      <c r="K95" s="36" t="s">
        <v>48</v>
      </c>
      <c r="O95" s="36" t="s">
        <v>48</v>
      </c>
      <c r="R95" s="36" t="s">
        <v>48</v>
      </c>
    </row>
    <row r="96">
      <c r="G96" s="36" t="s">
        <v>48</v>
      </c>
      <c r="H96" s="50" t="s">
        <v>48</v>
      </c>
      <c r="I96" s="50" t="s">
        <v>48</v>
      </c>
      <c r="J96" s="36" t="s">
        <v>48</v>
      </c>
      <c r="K96" s="36" t="s">
        <v>48</v>
      </c>
      <c r="O96" s="36" t="s">
        <v>48</v>
      </c>
      <c r="R96" s="36" t="s">
        <v>48</v>
      </c>
    </row>
    <row r="97">
      <c r="G97" s="36" t="s">
        <v>48</v>
      </c>
      <c r="H97" s="50" t="s">
        <v>48</v>
      </c>
      <c r="I97" s="50" t="s">
        <v>48</v>
      </c>
      <c r="J97" s="36" t="s">
        <v>48</v>
      </c>
      <c r="K97" s="36" t="s">
        <v>48</v>
      </c>
      <c r="O97" s="36" t="s">
        <v>48</v>
      </c>
      <c r="R97" s="36" t="s">
        <v>48</v>
      </c>
    </row>
    <row r="98">
      <c r="G98" s="36" t="s">
        <v>48</v>
      </c>
      <c r="H98" s="50" t="s">
        <v>48</v>
      </c>
      <c r="I98" s="50" t="s">
        <v>48</v>
      </c>
      <c r="J98" s="36" t="s">
        <v>48</v>
      </c>
      <c r="K98" s="36" t="s">
        <v>48</v>
      </c>
      <c r="O98" s="36" t="s">
        <v>48</v>
      </c>
      <c r="R98" s="36" t="s">
        <v>48</v>
      </c>
    </row>
    <row r="99">
      <c r="G99" s="36" t="s">
        <v>48</v>
      </c>
      <c r="H99" s="50" t="s">
        <v>48</v>
      </c>
      <c r="I99" s="50" t="s">
        <v>48</v>
      </c>
      <c r="J99" s="36" t="s">
        <v>48</v>
      </c>
      <c r="K99" s="36" t="s">
        <v>48</v>
      </c>
      <c r="O99" s="36" t="s">
        <v>48</v>
      </c>
      <c r="R99" s="36" t="s">
        <v>48</v>
      </c>
    </row>
    <row r="100">
      <c r="G100" s="36" t="s">
        <v>48</v>
      </c>
      <c r="H100" s="50" t="s">
        <v>48</v>
      </c>
      <c r="I100" s="50" t="s">
        <v>48</v>
      </c>
      <c r="J100" s="36" t="s">
        <v>48</v>
      </c>
      <c r="K100" s="36" t="s">
        <v>48</v>
      </c>
      <c r="O100" s="36" t="s">
        <v>48</v>
      </c>
      <c r="R100" s="36" t="s">
        <v>48</v>
      </c>
    </row>
    <row r="101">
      <c r="G101" s="36" t="s">
        <v>48</v>
      </c>
      <c r="H101" s="50" t="s">
        <v>48</v>
      </c>
      <c r="I101" s="50" t="s">
        <v>48</v>
      </c>
      <c r="J101" s="36" t="s">
        <v>48</v>
      </c>
      <c r="K101" s="36" t="s">
        <v>48</v>
      </c>
      <c r="O101" s="36" t="s">
        <v>48</v>
      </c>
      <c r="R101" s="36" t="s">
        <v>48</v>
      </c>
    </row>
    <row r="102">
      <c r="G102" s="36" t="s">
        <v>48</v>
      </c>
      <c r="H102" s="50" t="s">
        <v>48</v>
      </c>
      <c r="I102" s="50" t="s">
        <v>48</v>
      </c>
      <c r="J102" s="36" t="s">
        <v>48</v>
      </c>
      <c r="K102" s="36" t="s">
        <v>48</v>
      </c>
      <c r="O102" s="36" t="s">
        <v>48</v>
      </c>
      <c r="R102" s="36" t="s">
        <v>48</v>
      </c>
    </row>
    <row r="103">
      <c r="G103" s="36" t="s">
        <v>48</v>
      </c>
      <c r="H103" s="50" t="s">
        <v>48</v>
      </c>
      <c r="I103" s="50" t="s">
        <v>48</v>
      </c>
      <c r="J103" s="36" t="s">
        <v>48</v>
      </c>
      <c r="K103" s="36" t="s">
        <v>48</v>
      </c>
      <c r="O103" s="36" t="s">
        <v>48</v>
      </c>
      <c r="R103" s="36" t="s">
        <v>48</v>
      </c>
    </row>
    <row r="104">
      <c r="G104" s="36" t="s">
        <v>48</v>
      </c>
      <c r="H104" s="50" t="s">
        <v>48</v>
      </c>
      <c r="I104" s="50" t="s">
        <v>48</v>
      </c>
      <c r="J104" s="36" t="s">
        <v>48</v>
      </c>
      <c r="K104" s="36" t="s">
        <v>48</v>
      </c>
      <c r="O104" s="36" t="s">
        <v>48</v>
      </c>
      <c r="R104" s="36" t="s">
        <v>48</v>
      </c>
    </row>
    <row r="105">
      <c r="G105" s="36" t="s">
        <v>48</v>
      </c>
      <c r="H105" s="50" t="s">
        <v>48</v>
      </c>
      <c r="I105" s="50" t="s">
        <v>48</v>
      </c>
      <c r="J105" s="36" t="s">
        <v>48</v>
      </c>
      <c r="K105" s="36" t="s">
        <v>48</v>
      </c>
      <c r="O105" s="36" t="s">
        <v>48</v>
      </c>
      <c r="R105" s="36" t="s">
        <v>48</v>
      </c>
    </row>
    <row r="106">
      <c r="G106" s="36" t="s">
        <v>48</v>
      </c>
      <c r="H106" s="50" t="s">
        <v>48</v>
      </c>
      <c r="I106" s="50" t="s">
        <v>48</v>
      </c>
      <c r="J106" s="36" t="s">
        <v>48</v>
      </c>
      <c r="K106" s="36" t="s">
        <v>48</v>
      </c>
      <c r="O106" s="36" t="s">
        <v>48</v>
      </c>
      <c r="R106" s="36" t="s">
        <v>48</v>
      </c>
    </row>
    <row r="107">
      <c r="G107" s="36" t="s">
        <v>48</v>
      </c>
      <c r="H107" s="50" t="s">
        <v>48</v>
      </c>
      <c r="I107" s="50" t="s">
        <v>48</v>
      </c>
      <c r="J107" s="36" t="s">
        <v>48</v>
      </c>
      <c r="K107" s="36" t="s">
        <v>48</v>
      </c>
      <c r="O107" s="36" t="s">
        <v>48</v>
      </c>
      <c r="R107" s="36" t="s">
        <v>48</v>
      </c>
    </row>
    <row r="108">
      <c r="G108" s="36" t="s">
        <v>48</v>
      </c>
      <c r="H108" s="50" t="s">
        <v>48</v>
      </c>
      <c r="I108" s="50" t="s">
        <v>48</v>
      </c>
      <c r="J108" s="36" t="s">
        <v>48</v>
      </c>
      <c r="K108" s="36" t="s">
        <v>48</v>
      </c>
      <c r="O108" s="36" t="s">
        <v>48</v>
      </c>
      <c r="R108" s="36" t="s">
        <v>48</v>
      </c>
    </row>
    <row r="109">
      <c r="G109" s="36" t="s">
        <v>48</v>
      </c>
      <c r="H109" s="50" t="s">
        <v>48</v>
      </c>
      <c r="I109" s="50" t="s">
        <v>48</v>
      </c>
      <c r="J109" s="36" t="s">
        <v>48</v>
      </c>
      <c r="K109" s="36" t="s">
        <v>48</v>
      </c>
      <c r="O109" s="36" t="s">
        <v>48</v>
      </c>
      <c r="R109" s="36" t="s">
        <v>48</v>
      </c>
    </row>
    <row r="110">
      <c r="G110" s="36" t="s">
        <v>48</v>
      </c>
      <c r="H110" s="50" t="s">
        <v>48</v>
      </c>
      <c r="I110" s="50" t="s">
        <v>48</v>
      </c>
      <c r="J110" s="36" t="s">
        <v>48</v>
      </c>
      <c r="K110" s="36" t="s">
        <v>48</v>
      </c>
      <c r="O110" s="36" t="s">
        <v>48</v>
      </c>
      <c r="R110" s="36" t="s">
        <v>48</v>
      </c>
    </row>
    <row r="111">
      <c r="G111" s="36" t="s">
        <v>48</v>
      </c>
      <c r="H111" s="50" t="s">
        <v>48</v>
      </c>
      <c r="I111" s="50" t="s">
        <v>48</v>
      </c>
      <c r="J111" s="36" t="s">
        <v>48</v>
      </c>
      <c r="K111" s="36" t="s">
        <v>48</v>
      </c>
      <c r="O111" s="36" t="s">
        <v>48</v>
      </c>
      <c r="R111" s="36" t="s">
        <v>48</v>
      </c>
    </row>
    <row r="112">
      <c r="G112" s="36" t="s">
        <v>48</v>
      </c>
      <c r="H112" s="50" t="s">
        <v>48</v>
      </c>
      <c r="I112" s="50" t="s">
        <v>48</v>
      </c>
      <c r="J112" s="36" t="s">
        <v>48</v>
      </c>
      <c r="K112" s="36" t="s">
        <v>48</v>
      </c>
      <c r="O112" s="36" t="s">
        <v>48</v>
      </c>
      <c r="R112" s="36" t="s">
        <v>48</v>
      </c>
    </row>
    <row r="113">
      <c r="G113" s="36" t="s">
        <v>48</v>
      </c>
      <c r="H113" s="50" t="s">
        <v>48</v>
      </c>
      <c r="I113" s="50" t="s">
        <v>48</v>
      </c>
      <c r="J113" s="36" t="s">
        <v>48</v>
      </c>
      <c r="K113" s="36" t="s">
        <v>48</v>
      </c>
      <c r="O113" s="36" t="s">
        <v>48</v>
      </c>
      <c r="R113" s="36" t="s">
        <v>48</v>
      </c>
    </row>
    <row r="114">
      <c r="G114" s="36" t="s">
        <v>48</v>
      </c>
      <c r="H114" s="50" t="s">
        <v>48</v>
      </c>
      <c r="I114" s="50" t="s">
        <v>48</v>
      </c>
      <c r="J114" s="36" t="s">
        <v>48</v>
      </c>
      <c r="K114" s="36" t="s">
        <v>48</v>
      </c>
      <c r="O114" s="36" t="s">
        <v>48</v>
      </c>
      <c r="R114" s="36" t="s">
        <v>48</v>
      </c>
    </row>
    <row r="115">
      <c r="G115" s="36" t="s">
        <v>48</v>
      </c>
      <c r="H115" s="50" t="s">
        <v>48</v>
      </c>
      <c r="I115" s="50" t="s">
        <v>48</v>
      </c>
      <c r="J115" s="36" t="s">
        <v>48</v>
      </c>
      <c r="K115" s="36" t="s">
        <v>48</v>
      </c>
      <c r="O115" s="36" t="s">
        <v>48</v>
      </c>
      <c r="R115" s="36" t="s">
        <v>48</v>
      </c>
    </row>
    <row r="116">
      <c r="G116" s="36" t="s">
        <v>48</v>
      </c>
      <c r="H116" s="50" t="s">
        <v>48</v>
      </c>
      <c r="I116" s="50" t="s">
        <v>48</v>
      </c>
      <c r="J116" s="36" t="s">
        <v>48</v>
      </c>
      <c r="K116" s="36" t="s">
        <v>48</v>
      </c>
      <c r="O116" s="36" t="s">
        <v>48</v>
      </c>
      <c r="R116" s="36" t="s">
        <v>48</v>
      </c>
    </row>
    <row r="117">
      <c r="G117" s="36" t="s">
        <v>48</v>
      </c>
      <c r="H117" s="50" t="s">
        <v>48</v>
      </c>
      <c r="I117" s="50" t="s">
        <v>48</v>
      </c>
      <c r="J117" s="36" t="s">
        <v>48</v>
      </c>
      <c r="K117" s="36" t="s">
        <v>48</v>
      </c>
      <c r="O117" s="36" t="s">
        <v>48</v>
      </c>
      <c r="R117" s="36" t="s">
        <v>48</v>
      </c>
    </row>
    <row r="118">
      <c r="G118" s="36" t="s">
        <v>48</v>
      </c>
      <c r="H118" s="50" t="s">
        <v>48</v>
      </c>
      <c r="I118" s="50" t="s">
        <v>48</v>
      </c>
      <c r="J118" s="36" t="s">
        <v>48</v>
      </c>
      <c r="K118" s="36" t="s">
        <v>48</v>
      </c>
      <c r="O118" s="36" t="s">
        <v>48</v>
      </c>
      <c r="R118" s="36" t="s">
        <v>48</v>
      </c>
    </row>
    <row r="119">
      <c r="G119" s="36" t="s">
        <v>48</v>
      </c>
      <c r="H119" s="50" t="s">
        <v>48</v>
      </c>
      <c r="I119" s="50" t="s">
        <v>48</v>
      </c>
      <c r="J119" s="36" t="s">
        <v>48</v>
      </c>
      <c r="K119" s="36" t="s">
        <v>48</v>
      </c>
      <c r="O119" s="36" t="s">
        <v>48</v>
      </c>
      <c r="R119" s="36" t="s">
        <v>48</v>
      </c>
    </row>
    <row r="120">
      <c r="G120" s="36" t="s">
        <v>48</v>
      </c>
      <c r="H120" s="50" t="s">
        <v>48</v>
      </c>
      <c r="I120" s="50" t="s">
        <v>48</v>
      </c>
      <c r="J120" s="36" t="s">
        <v>48</v>
      </c>
      <c r="K120" s="36" t="s">
        <v>48</v>
      </c>
      <c r="O120" s="36" t="s">
        <v>48</v>
      </c>
      <c r="R120" s="36" t="s">
        <v>48</v>
      </c>
    </row>
    <row r="121">
      <c r="G121" s="36" t="s">
        <v>48</v>
      </c>
      <c r="H121" s="50" t="s">
        <v>48</v>
      </c>
      <c r="I121" s="50" t="s">
        <v>48</v>
      </c>
      <c r="J121" s="36" t="s">
        <v>48</v>
      </c>
      <c r="K121" s="36" t="s">
        <v>48</v>
      </c>
      <c r="O121" s="36" t="s">
        <v>48</v>
      </c>
      <c r="R121" s="36" t="s">
        <v>48</v>
      </c>
    </row>
    <row r="122">
      <c r="G122" s="36" t="s">
        <v>48</v>
      </c>
      <c r="H122" s="50" t="s">
        <v>48</v>
      </c>
      <c r="I122" s="50" t="s">
        <v>48</v>
      </c>
      <c r="J122" s="36" t="s">
        <v>48</v>
      </c>
      <c r="K122" s="36" t="s">
        <v>48</v>
      </c>
      <c r="O122" s="36" t="s">
        <v>48</v>
      </c>
      <c r="R122" s="36" t="s">
        <v>48</v>
      </c>
    </row>
    <row r="123">
      <c r="G123" s="36" t="s">
        <v>48</v>
      </c>
      <c r="H123" s="50" t="s">
        <v>48</v>
      </c>
      <c r="I123" s="50" t="s">
        <v>48</v>
      </c>
      <c r="J123" s="36" t="s">
        <v>48</v>
      </c>
      <c r="K123" s="36" t="s">
        <v>48</v>
      </c>
      <c r="O123" s="36" t="s">
        <v>48</v>
      </c>
      <c r="R123" s="36" t="s">
        <v>48</v>
      </c>
    </row>
    <row r="124">
      <c r="G124" s="36" t="s">
        <v>48</v>
      </c>
      <c r="H124" s="50" t="s">
        <v>48</v>
      </c>
      <c r="I124" s="50" t="s">
        <v>48</v>
      </c>
      <c r="J124" s="36" t="s">
        <v>48</v>
      </c>
      <c r="K124" s="36" t="s">
        <v>48</v>
      </c>
      <c r="O124" s="36" t="s">
        <v>48</v>
      </c>
      <c r="R124" s="36" t="s">
        <v>48</v>
      </c>
    </row>
    <row r="125">
      <c r="G125" s="36" t="s">
        <v>48</v>
      </c>
      <c r="H125" s="50" t="s">
        <v>48</v>
      </c>
      <c r="I125" s="50" t="s">
        <v>48</v>
      </c>
      <c r="J125" s="36" t="s">
        <v>48</v>
      </c>
      <c r="K125" s="36" t="s">
        <v>48</v>
      </c>
      <c r="O125" s="36" t="s">
        <v>48</v>
      </c>
      <c r="R125" s="36" t="s">
        <v>48</v>
      </c>
    </row>
    <row r="126">
      <c r="G126" s="36" t="s">
        <v>48</v>
      </c>
      <c r="H126" s="50" t="s">
        <v>48</v>
      </c>
      <c r="I126" s="50" t="s">
        <v>48</v>
      </c>
      <c r="J126" s="36" t="s">
        <v>48</v>
      </c>
      <c r="K126" s="36" t="s">
        <v>48</v>
      </c>
      <c r="O126" s="36" t="s">
        <v>48</v>
      </c>
      <c r="R126" s="36" t="s">
        <v>48</v>
      </c>
    </row>
    <row r="127">
      <c r="G127" s="36" t="s">
        <v>48</v>
      </c>
      <c r="H127" s="50" t="s">
        <v>48</v>
      </c>
      <c r="I127" s="50" t="s">
        <v>48</v>
      </c>
      <c r="J127" s="36" t="s">
        <v>48</v>
      </c>
      <c r="K127" s="36" t="s">
        <v>48</v>
      </c>
      <c r="O127" s="36" t="s">
        <v>48</v>
      </c>
      <c r="R127" s="36" t="s">
        <v>48</v>
      </c>
    </row>
    <row r="128">
      <c r="G128" s="36" t="s">
        <v>48</v>
      </c>
      <c r="H128" s="50" t="s">
        <v>48</v>
      </c>
      <c r="I128" s="50" t="s">
        <v>48</v>
      </c>
      <c r="J128" s="36" t="s">
        <v>48</v>
      </c>
      <c r="K128" s="36" t="s">
        <v>48</v>
      </c>
      <c r="O128" s="36" t="s">
        <v>48</v>
      </c>
      <c r="R128" s="36" t="s">
        <v>48</v>
      </c>
    </row>
    <row r="129">
      <c r="G129" s="36" t="s">
        <v>48</v>
      </c>
      <c r="H129" s="50" t="s">
        <v>48</v>
      </c>
      <c r="I129" s="50" t="s">
        <v>48</v>
      </c>
      <c r="J129" s="36" t="s">
        <v>48</v>
      </c>
      <c r="K129" s="36" t="s">
        <v>48</v>
      </c>
      <c r="O129" s="36" t="s">
        <v>48</v>
      </c>
      <c r="R129" s="36" t="s">
        <v>48</v>
      </c>
    </row>
    <row r="130">
      <c r="G130" s="36" t="s">
        <v>48</v>
      </c>
      <c r="H130" s="50" t="s">
        <v>48</v>
      </c>
      <c r="I130" s="50" t="s">
        <v>48</v>
      </c>
      <c r="J130" s="36" t="s">
        <v>48</v>
      </c>
      <c r="K130" s="36" t="s">
        <v>48</v>
      </c>
      <c r="O130" s="36" t="s">
        <v>48</v>
      </c>
      <c r="R130" s="36" t="s">
        <v>48</v>
      </c>
    </row>
    <row r="131">
      <c r="G131" s="36" t="s">
        <v>48</v>
      </c>
      <c r="H131" s="50" t="s">
        <v>48</v>
      </c>
      <c r="I131" s="50" t="s">
        <v>48</v>
      </c>
      <c r="J131" s="36" t="s">
        <v>48</v>
      </c>
      <c r="K131" s="36" t="s">
        <v>48</v>
      </c>
      <c r="O131" s="36" t="s">
        <v>48</v>
      </c>
      <c r="R131" s="36" t="s">
        <v>48</v>
      </c>
    </row>
    <row r="132">
      <c r="G132" s="36" t="s">
        <v>48</v>
      </c>
      <c r="H132" s="50" t="s">
        <v>48</v>
      </c>
      <c r="I132" s="50" t="s">
        <v>48</v>
      </c>
      <c r="J132" s="36" t="s">
        <v>48</v>
      </c>
      <c r="K132" s="36" t="s">
        <v>48</v>
      </c>
      <c r="O132" s="36" t="s">
        <v>48</v>
      </c>
      <c r="R132" s="36" t="s">
        <v>48</v>
      </c>
    </row>
    <row r="133">
      <c r="G133" s="36" t="s">
        <v>48</v>
      </c>
      <c r="H133" s="50" t="s">
        <v>48</v>
      </c>
      <c r="I133" s="50" t="s">
        <v>48</v>
      </c>
      <c r="J133" s="36" t="s">
        <v>48</v>
      </c>
      <c r="K133" s="36" t="s">
        <v>48</v>
      </c>
      <c r="O133" s="36" t="s">
        <v>48</v>
      </c>
      <c r="R133" s="36" t="s">
        <v>48</v>
      </c>
    </row>
    <row r="134">
      <c r="G134" s="36" t="s">
        <v>48</v>
      </c>
      <c r="H134" s="50" t="s">
        <v>48</v>
      </c>
      <c r="I134" s="50" t="s">
        <v>48</v>
      </c>
      <c r="J134" s="36" t="s">
        <v>48</v>
      </c>
      <c r="K134" s="36" t="s">
        <v>48</v>
      </c>
      <c r="O134" s="36" t="s">
        <v>48</v>
      </c>
      <c r="R134" s="36" t="s">
        <v>48</v>
      </c>
    </row>
    <row r="135">
      <c r="G135" s="36" t="s">
        <v>48</v>
      </c>
      <c r="H135" s="50" t="s">
        <v>48</v>
      </c>
      <c r="I135" s="50" t="s">
        <v>48</v>
      </c>
      <c r="J135" s="36" t="s">
        <v>48</v>
      </c>
      <c r="K135" s="36" t="s">
        <v>48</v>
      </c>
      <c r="O135" s="36" t="s">
        <v>48</v>
      </c>
      <c r="R135" s="36" t="s">
        <v>48</v>
      </c>
    </row>
    <row r="136">
      <c r="G136" s="36" t="s">
        <v>48</v>
      </c>
      <c r="H136" s="50" t="s">
        <v>48</v>
      </c>
      <c r="I136" s="50" t="s">
        <v>48</v>
      </c>
      <c r="J136" s="36" t="s">
        <v>48</v>
      </c>
      <c r="K136" s="36" t="s">
        <v>48</v>
      </c>
      <c r="O136" s="36" t="s">
        <v>48</v>
      </c>
      <c r="R136" s="36" t="s">
        <v>48</v>
      </c>
    </row>
    <row r="137">
      <c r="G137" s="36" t="s">
        <v>48</v>
      </c>
      <c r="H137" s="50" t="s">
        <v>48</v>
      </c>
      <c r="I137" s="50" t="s">
        <v>48</v>
      </c>
      <c r="J137" s="36" t="s">
        <v>48</v>
      </c>
      <c r="K137" s="36" t="s">
        <v>48</v>
      </c>
      <c r="O137" s="36" t="s">
        <v>48</v>
      </c>
      <c r="R137" s="36" t="s">
        <v>48</v>
      </c>
    </row>
    <row r="138">
      <c r="G138" s="36" t="s">
        <v>48</v>
      </c>
      <c r="H138" s="50" t="s">
        <v>48</v>
      </c>
      <c r="I138" s="50" t="s">
        <v>48</v>
      </c>
      <c r="J138" s="36" t="s">
        <v>48</v>
      </c>
      <c r="K138" s="36" t="s">
        <v>48</v>
      </c>
      <c r="O138" s="36" t="s">
        <v>48</v>
      </c>
      <c r="R138" s="36" t="s">
        <v>48</v>
      </c>
    </row>
    <row r="139">
      <c r="G139" s="36" t="s">
        <v>48</v>
      </c>
      <c r="H139" s="50" t="s">
        <v>48</v>
      </c>
      <c r="I139" s="50" t="s">
        <v>48</v>
      </c>
      <c r="J139" s="36" t="s">
        <v>48</v>
      </c>
      <c r="K139" s="36" t="s">
        <v>48</v>
      </c>
      <c r="O139" s="36" t="s">
        <v>48</v>
      </c>
      <c r="R139" s="36" t="s">
        <v>48</v>
      </c>
    </row>
    <row r="140">
      <c r="G140" s="36" t="s">
        <v>48</v>
      </c>
      <c r="H140" s="50" t="s">
        <v>48</v>
      </c>
      <c r="I140" s="50" t="s">
        <v>48</v>
      </c>
      <c r="J140" s="36" t="s">
        <v>48</v>
      </c>
      <c r="K140" s="36" t="s">
        <v>48</v>
      </c>
      <c r="O140" s="36" t="s">
        <v>48</v>
      </c>
      <c r="R140" s="36" t="s">
        <v>48</v>
      </c>
    </row>
    <row r="141">
      <c r="G141" s="36" t="s">
        <v>48</v>
      </c>
      <c r="H141" s="50" t="s">
        <v>48</v>
      </c>
      <c r="I141" s="50" t="s">
        <v>48</v>
      </c>
      <c r="J141" s="36" t="s">
        <v>48</v>
      </c>
      <c r="K141" s="36" t="s">
        <v>48</v>
      </c>
      <c r="O141" s="36" t="s">
        <v>48</v>
      </c>
      <c r="R141" s="36" t="s">
        <v>48</v>
      </c>
    </row>
    <row r="142">
      <c r="G142" s="36" t="s">
        <v>48</v>
      </c>
      <c r="H142" s="50" t="s">
        <v>48</v>
      </c>
      <c r="I142" s="50" t="s">
        <v>48</v>
      </c>
      <c r="J142" s="36" t="s">
        <v>48</v>
      </c>
      <c r="K142" s="36" t="s">
        <v>48</v>
      </c>
      <c r="O142" s="36" t="s">
        <v>48</v>
      </c>
      <c r="R142" s="36" t="s">
        <v>48</v>
      </c>
    </row>
    <row r="143">
      <c r="G143" s="36" t="s">
        <v>48</v>
      </c>
      <c r="H143" s="50" t="s">
        <v>48</v>
      </c>
      <c r="I143" s="50" t="s">
        <v>48</v>
      </c>
      <c r="J143" s="36" t="s">
        <v>48</v>
      </c>
      <c r="K143" s="36" t="s">
        <v>48</v>
      </c>
      <c r="O143" s="36" t="s">
        <v>48</v>
      </c>
      <c r="R143" s="36" t="s">
        <v>48</v>
      </c>
    </row>
    <row r="144">
      <c r="G144" s="36" t="s">
        <v>48</v>
      </c>
      <c r="H144" s="50" t="s">
        <v>48</v>
      </c>
      <c r="I144" s="50" t="s">
        <v>48</v>
      </c>
      <c r="J144" s="36" t="s">
        <v>48</v>
      </c>
      <c r="K144" s="36" t="s">
        <v>48</v>
      </c>
      <c r="O144" s="36" t="s">
        <v>48</v>
      </c>
      <c r="R144" s="36" t="s">
        <v>48</v>
      </c>
    </row>
    <row r="145">
      <c r="G145" s="36" t="s">
        <v>48</v>
      </c>
      <c r="H145" s="50" t="s">
        <v>48</v>
      </c>
      <c r="I145" s="50" t="s">
        <v>48</v>
      </c>
      <c r="J145" s="36" t="s">
        <v>48</v>
      </c>
      <c r="K145" s="36" t="s">
        <v>48</v>
      </c>
      <c r="O145" s="36" t="s">
        <v>48</v>
      </c>
      <c r="R145" s="36" t="s">
        <v>48</v>
      </c>
    </row>
    <row r="146">
      <c r="G146" s="36" t="s">
        <v>48</v>
      </c>
      <c r="H146" s="50" t="s">
        <v>48</v>
      </c>
      <c r="I146" s="50" t="s">
        <v>48</v>
      </c>
      <c r="J146" s="36" t="s">
        <v>48</v>
      </c>
      <c r="K146" s="36" t="s">
        <v>48</v>
      </c>
      <c r="O146" s="36" t="s">
        <v>48</v>
      </c>
      <c r="R146" s="36" t="s">
        <v>48</v>
      </c>
    </row>
    <row r="147">
      <c r="G147" s="36" t="s">
        <v>48</v>
      </c>
      <c r="H147" s="50" t="s">
        <v>48</v>
      </c>
      <c r="I147" s="50" t="s">
        <v>48</v>
      </c>
      <c r="J147" s="36" t="s">
        <v>48</v>
      </c>
      <c r="K147" s="36" t="s">
        <v>48</v>
      </c>
      <c r="O147" s="36" t="s">
        <v>48</v>
      </c>
      <c r="R147" s="36" t="s">
        <v>48</v>
      </c>
    </row>
    <row r="148">
      <c r="G148" s="36" t="s">
        <v>48</v>
      </c>
      <c r="H148" s="50" t="s">
        <v>48</v>
      </c>
      <c r="I148" s="50" t="s">
        <v>48</v>
      </c>
      <c r="J148" s="36" t="s">
        <v>48</v>
      </c>
      <c r="K148" s="36" t="s">
        <v>48</v>
      </c>
      <c r="O148" s="36" t="s">
        <v>48</v>
      </c>
      <c r="R148" s="36" t="s">
        <v>48</v>
      </c>
    </row>
    <row r="149">
      <c r="G149" s="36" t="s">
        <v>48</v>
      </c>
      <c r="H149" s="50" t="s">
        <v>48</v>
      </c>
      <c r="I149" s="50" t="s">
        <v>48</v>
      </c>
      <c r="J149" s="36" t="s">
        <v>48</v>
      </c>
      <c r="K149" s="36" t="s">
        <v>48</v>
      </c>
      <c r="O149" s="36" t="s">
        <v>48</v>
      </c>
      <c r="R149" s="36" t="s">
        <v>48</v>
      </c>
    </row>
    <row r="150">
      <c r="G150" s="36" t="s">
        <v>48</v>
      </c>
      <c r="H150" s="50" t="s">
        <v>48</v>
      </c>
      <c r="I150" s="50" t="s">
        <v>48</v>
      </c>
      <c r="J150" s="36" t="s">
        <v>48</v>
      </c>
      <c r="K150" s="36" t="s">
        <v>48</v>
      </c>
      <c r="O150" s="36" t="s">
        <v>48</v>
      </c>
      <c r="R150" s="36" t="s">
        <v>48</v>
      </c>
    </row>
    <row r="151">
      <c r="G151" s="36" t="s">
        <v>48</v>
      </c>
      <c r="H151" s="50" t="s">
        <v>48</v>
      </c>
      <c r="I151" s="50" t="s">
        <v>48</v>
      </c>
      <c r="J151" s="36" t="s">
        <v>48</v>
      </c>
      <c r="K151" s="36" t="s">
        <v>48</v>
      </c>
      <c r="O151" s="36" t="s">
        <v>48</v>
      </c>
      <c r="R151" s="36" t="s">
        <v>48</v>
      </c>
    </row>
    <row r="152">
      <c r="G152" s="36" t="s">
        <v>48</v>
      </c>
      <c r="H152" s="50" t="s">
        <v>48</v>
      </c>
      <c r="I152" s="50" t="s">
        <v>48</v>
      </c>
      <c r="J152" s="36" t="s">
        <v>48</v>
      </c>
      <c r="K152" s="36" t="s">
        <v>48</v>
      </c>
      <c r="O152" s="36" t="s">
        <v>48</v>
      </c>
      <c r="R152" s="36" t="s">
        <v>48</v>
      </c>
    </row>
    <row r="153">
      <c r="G153" s="36" t="s">
        <v>48</v>
      </c>
      <c r="H153" s="50" t="s">
        <v>48</v>
      </c>
      <c r="I153" s="50" t="s">
        <v>48</v>
      </c>
      <c r="J153" s="36" t="s">
        <v>48</v>
      </c>
      <c r="K153" s="36" t="s">
        <v>48</v>
      </c>
      <c r="O153" s="36" t="s">
        <v>48</v>
      </c>
      <c r="R153" s="36" t="s">
        <v>48</v>
      </c>
    </row>
    <row r="154">
      <c r="G154" s="36" t="s">
        <v>48</v>
      </c>
      <c r="H154" s="50" t="s">
        <v>48</v>
      </c>
      <c r="I154" s="50" t="s">
        <v>48</v>
      </c>
      <c r="J154" s="36" t="s">
        <v>48</v>
      </c>
      <c r="K154" s="36" t="s">
        <v>48</v>
      </c>
      <c r="O154" s="36" t="s">
        <v>48</v>
      </c>
      <c r="R154" s="36" t="s">
        <v>48</v>
      </c>
    </row>
    <row r="155">
      <c r="G155" s="36" t="s">
        <v>48</v>
      </c>
      <c r="H155" s="50" t="s">
        <v>48</v>
      </c>
      <c r="I155" s="50" t="s">
        <v>48</v>
      </c>
      <c r="J155" s="36" t="s">
        <v>48</v>
      </c>
      <c r="K155" s="36" t="s">
        <v>48</v>
      </c>
      <c r="O155" s="36" t="s">
        <v>48</v>
      </c>
      <c r="R155" s="36" t="s">
        <v>48</v>
      </c>
    </row>
    <row r="156">
      <c r="G156" s="36" t="s">
        <v>48</v>
      </c>
      <c r="H156" s="50" t="s">
        <v>48</v>
      </c>
      <c r="I156" s="50" t="s">
        <v>48</v>
      </c>
      <c r="J156" s="36" t="s">
        <v>48</v>
      </c>
      <c r="K156" s="36" t="s">
        <v>48</v>
      </c>
      <c r="O156" s="36" t="s">
        <v>48</v>
      </c>
      <c r="R156" s="36" t="s">
        <v>48</v>
      </c>
    </row>
    <row r="157">
      <c r="G157" s="36" t="s">
        <v>48</v>
      </c>
      <c r="H157" s="50" t="s">
        <v>48</v>
      </c>
      <c r="I157" s="50" t="s">
        <v>48</v>
      </c>
      <c r="J157" s="36" t="s">
        <v>48</v>
      </c>
      <c r="K157" s="36" t="s">
        <v>48</v>
      </c>
      <c r="O157" s="36" t="s">
        <v>48</v>
      </c>
      <c r="R157" s="36" t="s">
        <v>48</v>
      </c>
    </row>
    <row r="158">
      <c r="G158" s="36" t="s">
        <v>48</v>
      </c>
      <c r="H158" s="50" t="s">
        <v>48</v>
      </c>
      <c r="I158" s="50" t="s">
        <v>48</v>
      </c>
      <c r="J158" s="36" t="s">
        <v>48</v>
      </c>
      <c r="K158" s="36" t="s">
        <v>48</v>
      </c>
      <c r="O158" s="36" t="s">
        <v>48</v>
      </c>
      <c r="R158" s="36" t="s">
        <v>48</v>
      </c>
    </row>
    <row r="159">
      <c r="G159" s="36" t="s">
        <v>48</v>
      </c>
      <c r="H159" s="50" t="s">
        <v>48</v>
      </c>
      <c r="I159" s="50" t="s">
        <v>48</v>
      </c>
      <c r="J159" s="36" t="s">
        <v>48</v>
      </c>
      <c r="K159" s="36" t="s">
        <v>48</v>
      </c>
      <c r="O159" s="36" t="s">
        <v>48</v>
      </c>
      <c r="R159" s="36" t="s">
        <v>48</v>
      </c>
    </row>
    <row r="160">
      <c r="G160" s="36" t="s">
        <v>48</v>
      </c>
      <c r="H160" s="50" t="s">
        <v>48</v>
      </c>
      <c r="I160" s="50" t="s">
        <v>48</v>
      </c>
      <c r="J160" s="36" t="s">
        <v>48</v>
      </c>
      <c r="K160" s="36" t="s">
        <v>48</v>
      </c>
      <c r="O160" s="36" t="s">
        <v>48</v>
      </c>
      <c r="R160" s="36" t="s">
        <v>48</v>
      </c>
    </row>
    <row r="161">
      <c r="G161" s="36" t="s">
        <v>48</v>
      </c>
      <c r="H161" s="50" t="s">
        <v>48</v>
      </c>
      <c r="I161" s="50" t="s">
        <v>48</v>
      </c>
      <c r="J161" s="36" t="s">
        <v>48</v>
      </c>
      <c r="K161" s="36" t="s">
        <v>48</v>
      </c>
      <c r="O161" s="36" t="s">
        <v>48</v>
      </c>
      <c r="R161" s="36" t="s">
        <v>48</v>
      </c>
    </row>
    <row r="162">
      <c r="G162" s="36" t="s">
        <v>48</v>
      </c>
      <c r="H162" s="50" t="s">
        <v>48</v>
      </c>
      <c r="I162" s="50" t="s">
        <v>48</v>
      </c>
      <c r="J162" s="36" t="s">
        <v>48</v>
      </c>
      <c r="K162" s="36" t="s">
        <v>48</v>
      </c>
      <c r="O162" s="36" t="s">
        <v>48</v>
      </c>
      <c r="R162" s="36" t="s">
        <v>48</v>
      </c>
    </row>
    <row r="163">
      <c r="G163" s="36" t="s">
        <v>48</v>
      </c>
      <c r="H163" s="50" t="s">
        <v>48</v>
      </c>
      <c r="I163" s="50" t="s">
        <v>48</v>
      </c>
      <c r="J163" s="36" t="s">
        <v>48</v>
      </c>
      <c r="K163" s="36" t="s">
        <v>48</v>
      </c>
      <c r="O163" s="36" t="s">
        <v>48</v>
      </c>
      <c r="R163" s="36" t="s">
        <v>48</v>
      </c>
    </row>
    <row r="164">
      <c r="G164" s="36" t="s">
        <v>48</v>
      </c>
      <c r="H164" s="50" t="s">
        <v>48</v>
      </c>
      <c r="I164" s="50" t="s">
        <v>48</v>
      </c>
      <c r="J164" s="36" t="s">
        <v>48</v>
      </c>
      <c r="K164" s="36" t="s">
        <v>48</v>
      </c>
      <c r="O164" s="36" t="s">
        <v>48</v>
      </c>
      <c r="R164" s="36" t="s">
        <v>48</v>
      </c>
    </row>
    <row r="165">
      <c r="G165" s="36" t="s">
        <v>48</v>
      </c>
      <c r="H165" s="50" t="s">
        <v>48</v>
      </c>
      <c r="I165" s="50" t="s">
        <v>48</v>
      </c>
      <c r="J165" s="36" t="s">
        <v>48</v>
      </c>
      <c r="K165" s="36" t="s">
        <v>48</v>
      </c>
      <c r="O165" s="36" t="s">
        <v>48</v>
      </c>
      <c r="R165" s="36" t="s">
        <v>48</v>
      </c>
    </row>
    <row r="166">
      <c r="G166" s="36" t="s">
        <v>48</v>
      </c>
      <c r="H166" s="50" t="s">
        <v>48</v>
      </c>
      <c r="I166" s="50" t="s">
        <v>48</v>
      </c>
      <c r="J166" s="36" t="s">
        <v>48</v>
      </c>
      <c r="K166" s="36" t="s">
        <v>48</v>
      </c>
      <c r="O166" s="36" t="s">
        <v>48</v>
      </c>
      <c r="R166" s="36" t="s">
        <v>48</v>
      </c>
    </row>
    <row r="167">
      <c r="G167" s="36" t="s">
        <v>48</v>
      </c>
      <c r="H167" s="50" t="s">
        <v>48</v>
      </c>
      <c r="I167" s="50" t="s">
        <v>48</v>
      </c>
      <c r="J167" s="36" t="s">
        <v>48</v>
      </c>
      <c r="K167" s="36" t="s">
        <v>48</v>
      </c>
      <c r="O167" s="36" t="s">
        <v>48</v>
      </c>
      <c r="R167" s="36" t="s">
        <v>48</v>
      </c>
    </row>
    <row r="168">
      <c r="G168" s="36" t="s">
        <v>48</v>
      </c>
      <c r="H168" s="50" t="s">
        <v>48</v>
      </c>
      <c r="I168" s="50" t="s">
        <v>48</v>
      </c>
      <c r="J168" s="36" t="s">
        <v>48</v>
      </c>
      <c r="K168" s="36" t="s">
        <v>48</v>
      </c>
      <c r="O168" s="36" t="s">
        <v>48</v>
      </c>
      <c r="R168" s="36" t="s">
        <v>48</v>
      </c>
    </row>
    <row r="169">
      <c r="G169" s="36" t="s">
        <v>48</v>
      </c>
      <c r="H169" s="50" t="s">
        <v>48</v>
      </c>
      <c r="I169" s="50" t="s">
        <v>48</v>
      </c>
      <c r="J169" s="36" t="s">
        <v>48</v>
      </c>
      <c r="K169" s="36" t="s">
        <v>48</v>
      </c>
      <c r="O169" s="36" t="s">
        <v>48</v>
      </c>
      <c r="R169" s="36" t="s">
        <v>48</v>
      </c>
    </row>
    <row r="170">
      <c r="G170" s="36" t="s">
        <v>48</v>
      </c>
      <c r="H170" s="50" t="s">
        <v>48</v>
      </c>
      <c r="I170" s="50" t="s">
        <v>48</v>
      </c>
      <c r="J170" s="36" t="s">
        <v>48</v>
      </c>
      <c r="K170" s="36" t="s">
        <v>48</v>
      </c>
      <c r="O170" s="36" t="s">
        <v>48</v>
      </c>
      <c r="R170" s="36" t="s">
        <v>48</v>
      </c>
    </row>
    <row r="171">
      <c r="G171" s="36" t="s">
        <v>48</v>
      </c>
      <c r="H171" s="50" t="s">
        <v>48</v>
      </c>
      <c r="I171" s="50" t="s">
        <v>48</v>
      </c>
      <c r="J171" s="36" t="s">
        <v>48</v>
      </c>
      <c r="K171" s="36" t="s">
        <v>48</v>
      </c>
      <c r="O171" s="36" t="s">
        <v>48</v>
      </c>
      <c r="R171" s="36" t="s">
        <v>48</v>
      </c>
    </row>
    <row r="172">
      <c r="G172" s="36" t="s">
        <v>48</v>
      </c>
      <c r="H172" s="50" t="s">
        <v>48</v>
      </c>
      <c r="I172" s="50" t="s">
        <v>48</v>
      </c>
      <c r="J172" s="36" t="s">
        <v>48</v>
      </c>
      <c r="K172" s="36" t="s">
        <v>48</v>
      </c>
      <c r="O172" s="36" t="s">
        <v>48</v>
      </c>
      <c r="R172" s="36" t="s">
        <v>48</v>
      </c>
    </row>
    <row r="173">
      <c r="G173" s="36" t="s">
        <v>48</v>
      </c>
      <c r="H173" s="50" t="s">
        <v>48</v>
      </c>
      <c r="I173" s="50" t="s">
        <v>48</v>
      </c>
      <c r="J173" s="36" t="s">
        <v>48</v>
      </c>
      <c r="K173" s="36" t="s">
        <v>48</v>
      </c>
      <c r="O173" s="36" t="s">
        <v>48</v>
      </c>
      <c r="R173" s="36" t="s">
        <v>48</v>
      </c>
    </row>
    <row r="174">
      <c r="G174" s="36" t="s">
        <v>48</v>
      </c>
      <c r="H174" s="50" t="s">
        <v>48</v>
      </c>
      <c r="I174" s="50" t="s">
        <v>48</v>
      </c>
      <c r="J174" s="36" t="s">
        <v>48</v>
      </c>
      <c r="K174" s="36" t="s">
        <v>48</v>
      </c>
      <c r="O174" s="36" t="s">
        <v>48</v>
      </c>
      <c r="R174" s="36" t="s">
        <v>48</v>
      </c>
    </row>
    <row r="175">
      <c r="G175" s="36" t="s">
        <v>48</v>
      </c>
      <c r="H175" s="50" t="s">
        <v>48</v>
      </c>
      <c r="I175" s="50" t="s">
        <v>48</v>
      </c>
      <c r="J175" s="36" t="s">
        <v>48</v>
      </c>
      <c r="K175" s="36" t="s">
        <v>48</v>
      </c>
      <c r="O175" s="36" t="s">
        <v>48</v>
      </c>
      <c r="R175" s="36" t="s">
        <v>48</v>
      </c>
    </row>
    <row r="176">
      <c r="G176" s="36" t="s">
        <v>48</v>
      </c>
      <c r="H176" s="50" t="s">
        <v>48</v>
      </c>
      <c r="I176" s="50" t="s">
        <v>48</v>
      </c>
      <c r="J176" s="36" t="s">
        <v>48</v>
      </c>
      <c r="K176" s="36" t="s">
        <v>48</v>
      </c>
      <c r="O176" s="36" t="s">
        <v>48</v>
      </c>
      <c r="R176" s="36" t="s">
        <v>48</v>
      </c>
    </row>
    <row r="177">
      <c r="G177" s="36" t="s">
        <v>48</v>
      </c>
      <c r="H177" s="50" t="s">
        <v>48</v>
      </c>
      <c r="I177" s="50" t="s">
        <v>48</v>
      </c>
      <c r="J177" s="36" t="s">
        <v>48</v>
      </c>
      <c r="K177" s="36" t="s">
        <v>48</v>
      </c>
      <c r="O177" s="36" t="s">
        <v>48</v>
      </c>
      <c r="R177" s="36" t="s">
        <v>48</v>
      </c>
    </row>
    <row r="178">
      <c r="G178" s="36" t="s">
        <v>48</v>
      </c>
      <c r="H178" s="50" t="s">
        <v>48</v>
      </c>
      <c r="I178" s="50" t="s">
        <v>48</v>
      </c>
      <c r="J178" s="36" t="s">
        <v>48</v>
      </c>
      <c r="K178" s="36" t="s">
        <v>48</v>
      </c>
      <c r="O178" s="36" t="s">
        <v>48</v>
      </c>
      <c r="R178" s="36" t="s">
        <v>48</v>
      </c>
    </row>
    <row r="179">
      <c r="G179" s="36" t="s">
        <v>48</v>
      </c>
      <c r="H179" s="50" t="s">
        <v>48</v>
      </c>
      <c r="I179" s="50" t="s">
        <v>48</v>
      </c>
      <c r="J179" s="36" t="s">
        <v>48</v>
      </c>
      <c r="K179" s="36" t="s">
        <v>48</v>
      </c>
      <c r="O179" s="36" t="s">
        <v>48</v>
      </c>
      <c r="R179" s="36" t="s">
        <v>48</v>
      </c>
    </row>
    <row r="180">
      <c r="G180" s="36" t="s">
        <v>48</v>
      </c>
      <c r="H180" s="50" t="s">
        <v>48</v>
      </c>
      <c r="I180" s="50" t="s">
        <v>48</v>
      </c>
      <c r="J180" s="36" t="s">
        <v>48</v>
      </c>
      <c r="K180" s="36" t="s">
        <v>48</v>
      </c>
      <c r="O180" s="36" t="s">
        <v>48</v>
      </c>
      <c r="R180" s="36" t="s">
        <v>48</v>
      </c>
    </row>
    <row r="181">
      <c r="G181" s="36" t="s">
        <v>48</v>
      </c>
      <c r="H181" s="50" t="s">
        <v>48</v>
      </c>
      <c r="I181" s="50" t="s">
        <v>48</v>
      </c>
      <c r="J181" s="36" t="s">
        <v>48</v>
      </c>
      <c r="K181" s="36" t="s">
        <v>48</v>
      </c>
      <c r="O181" s="36" t="s">
        <v>48</v>
      </c>
      <c r="R181" s="36" t="s">
        <v>48</v>
      </c>
    </row>
    <row r="182">
      <c r="G182" s="36" t="s">
        <v>48</v>
      </c>
      <c r="H182" s="50" t="s">
        <v>48</v>
      </c>
      <c r="I182" s="50" t="s">
        <v>48</v>
      </c>
      <c r="J182" s="36" t="s">
        <v>48</v>
      </c>
      <c r="K182" s="36" t="s">
        <v>48</v>
      </c>
      <c r="O182" s="36" t="s">
        <v>48</v>
      </c>
      <c r="R182" s="36" t="s">
        <v>48</v>
      </c>
    </row>
    <row r="183">
      <c r="G183" s="36" t="s">
        <v>48</v>
      </c>
      <c r="H183" s="50" t="s">
        <v>48</v>
      </c>
      <c r="I183" s="50" t="s">
        <v>48</v>
      </c>
      <c r="J183" s="36" t="s">
        <v>48</v>
      </c>
      <c r="K183" s="36" t="s">
        <v>48</v>
      </c>
      <c r="O183" s="36" t="s">
        <v>48</v>
      </c>
      <c r="R183" s="36" t="s">
        <v>48</v>
      </c>
    </row>
    <row r="184">
      <c r="G184" s="36" t="s">
        <v>48</v>
      </c>
      <c r="H184" s="50" t="s">
        <v>48</v>
      </c>
      <c r="I184" s="50" t="s">
        <v>48</v>
      </c>
      <c r="J184" s="36" t="s">
        <v>48</v>
      </c>
      <c r="K184" s="36" t="s">
        <v>48</v>
      </c>
      <c r="O184" s="36" t="s">
        <v>48</v>
      </c>
      <c r="R184" s="36" t="s">
        <v>48</v>
      </c>
    </row>
    <row r="185">
      <c r="G185" s="36" t="s">
        <v>48</v>
      </c>
      <c r="H185" s="50" t="s">
        <v>48</v>
      </c>
      <c r="I185" s="50" t="s">
        <v>48</v>
      </c>
      <c r="J185" s="36" t="s">
        <v>48</v>
      </c>
      <c r="K185" s="36" t="s">
        <v>48</v>
      </c>
      <c r="O185" s="36" t="s">
        <v>48</v>
      </c>
      <c r="R185" s="36" t="s">
        <v>48</v>
      </c>
    </row>
    <row r="186">
      <c r="G186" s="36" t="s">
        <v>48</v>
      </c>
      <c r="H186" s="50" t="s">
        <v>48</v>
      </c>
      <c r="I186" s="50" t="s">
        <v>48</v>
      </c>
      <c r="J186" s="36" t="s">
        <v>48</v>
      </c>
      <c r="K186" s="36" t="s">
        <v>48</v>
      </c>
      <c r="O186" s="36" t="s">
        <v>48</v>
      </c>
      <c r="R186" s="36" t="s">
        <v>48</v>
      </c>
    </row>
    <row r="187">
      <c r="G187" s="36" t="s">
        <v>48</v>
      </c>
      <c r="H187" s="50" t="s">
        <v>48</v>
      </c>
      <c r="I187" s="50" t="s">
        <v>48</v>
      </c>
      <c r="J187" s="36" t="s">
        <v>48</v>
      </c>
      <c r="K187" s="36" t="s">
        <v>48</v>
      </c>
      <c r="O187" s="36" t="s">
        <v>48</v>
      </c>
      <c r="R187" s="36" t="s">
        <v>48</v>
      </c>
    </row>
    <row r="188">
      <c r="G188" s="36" t="s">
        <v>48</v>
      </c>
      <c r="H188" s="50" t="s">
        <v>48</v>
      </c>
      <c r="I188" s="50" t="s">
        <v>48</v>
      </c>
      <c r="J188" s="36" t="s">
        <v>48</v>
      </c>
      <c r="K188" s="36" t="s">
        <v>48</v>
      </c>
      <c r="O188" s="36" t="s">
        <v>48</v>
      </c>
      <c r="R188" s="36" t="s">
        <v>48</v>
      </c>
    </row>
    <row r="189">
      <c r="G189" s="36" t="s">
        <v>48</v>
      </c>
      <c r="H189" s="50" t="s">
        <v>48</v>
      </c>
      <c r="I189" s="50" t="s">
        <v>48</v>
      </c>
      <c r="J189" s="36" t="s">
        <v>48</v>
      </c>
      <c r="K189" s="36" t="s">
        <v>48</v>
      </c>
      <c r="O189" s="36" t="s">
        <v>48</v>
      </c>
      <c r="R189" s="36" t="s">
        <v>48</v>
      </c>
    </row>
    <row r="190">
      <c r="G190" s="36" t="s">
        <v>48</v>
      </c>
      <c r="H190" s="50" t="s">
        <v>48</v>
      </c>
      <c r="I190" s="50" t="s">
        <v>48</v>
      </c>
      <c r="J190" s="36" t="s">
        <v>48</v>
      </c>
      <c r="K190" s="36" t="s">
        <v>48</v>
      </c>
      <c r="O190" s="36" t="s">
        <v>48</v>
      </c>
      <c r="R190" s="36" t="s">
        <v>48</v>
      </c>
    </row>
    <row r="191">
      <c r="G191" s="36" t="s">
        <v>48</v>
      </c>
      <c r="H191" s="50" t="s">
        <v>48</v>
      </c>
      <c r="I191" s="50" t="s">
        <v>48</v>
      </c>
      <c r="J191" s="36" t="s">
        <v>48</v>
      </c>
      <c r="K191" s="36" t="s">
        <v>48</v>
      </c>
      <c r="O191" s="36" t="s">
        <v>48</v>
      </c>
      <c r="R191" s="36" t="s">
        <v>48</v>
      </c>
    </row>
    <row r="192">
      <c r="G192" s="36" t="s">
        <v>48</v>
      </c>
      <c r="H192" s="50" t="s">
        <v>48</v>
      </c>
      <c r="I192" s="50" t="s">
        <v>48</v>
      </c>
      <c r="J192" s="36" t="s">
        <v>48</v>
      </c>
      <c r="K192" s="36" t="s">
        <v>48</v>
      </c>
      <c r="O192" s="36" t="s">
        <v>48</v>
      </c>
      <c r="R192" s="36" t="s">
        <v>48</v>
      </c>
    </row>
    <row r="193">
      <c r="G193" s="36" t="s">
        <v>48</v>
      </c>
      <c r="H193" s="50" t="s">
        <v>48</v>
      </c>
      <c r="I193" s="50" t="s">
        <v>48</v>
      </c>
      <c r="J193" s="36" t="s">
        <v>48</v>
      </c>
      <c r="K193" s="36" t="s">
        <v>48</v>
      </c>
      <c r="O193" s="36" t="s">
        <v>48</v>
      </c>
      <c r="R193" s="36" t="s">
        <v>48</v>
      </c>
    </row>
    <row r="194">
      <c r="G194" s="36" t="s">
        <v>48</v>
      </c>
      <c r="H194" s="50" t="s">
        <v>48</v>
      </c>
      <c r="I194" s="50" t="s">
        <v>48</v>
      </c>
      <c r="J194" s="36" t="s">
        <v>48</v>
      </c>
      <c r="K194" s="36" t="s">
        <v>48</v>
      </c>
      <c r="O194" s="36" t="s">
        <v>48</v>
      </c>
      <c r="R194" s="36" t="s">
        <v>48</v>
      </c>
    </row>
    <row r="195">
      <c r="G195" s="36" t="s">
        <v>48</v>
      </c>
      <c r="H195" s="50" t="s">
        <v>48</v>
      </c>
      <c r="I195" s="50" t="s">
        <v>48</v>
      </c>
      <c r="J195" s="36" t="s">
        <v>48</v>
      </c>
      <c r="K195" s="36" t="s">
        <v>48</v>
      </c>
      <c r="O195" s="36" t="s">
        <v>48</v>
      </c>
      <c r="R195" s="36" t="s">
        <v>48</v>
      </c>
    </row>
    <row r="196">
      <c r="G196" s="36" t="s">
        <v>48</v>
      </c>
      <c r="H196" s="50" t="s">
        <v>48</v>
      </c>
      <c r="I196" s="50" t="s">
        <v>48</v>
      </c>
      <c r="J196" s="36" t="s">
        <v>48</v>
      </c>
      <c r="K196" s="36" t="s">
        <v>48</v>
      </c>
      <c r="O196" s="36" t="s">
        <v>48</v>
      </c>
      <c r="R196" s="36" t="s">
        <v>48</v>
      </c>
    </row>
    <row r="197">
      <c r="G197" s="36" t="s">
        <v>48</v>
      </c>
      <c r="H197" s="50" t="s">
        <v>48</v>
      </c>
      <c r="I197" s="50" t="s">
        <v>48</v>
      </c>
      <c r="J197" s="36" t="s">
        <v>48</v>
      </c>
      <c r="K197" s="36" t="s">
        <v>48</v>
      </c>
      <c r="O197" s="36" t="s">
        <v>48</v>
      </c>
      <c r="R197" s="36" t="s">
        <v>48</v>
      </c>
    </row>
    <row r="198">
      <c r="G198" s="36" t="s">
        <v>48</v>
      </c>
      <c r="H198" s="50" t="s">
        <v>48</v>
      </c>
      <c r="I198" s="50" t="s">
        <v>48</v>
      </c>
      <c r="J198" s="36" t="s">
        <v>48</v>
      </c>
      <c r="K198" s="36" t="s">
        <v>48</v>
      </c>
      <c r="O198" s="36" t="s">
        <v>48</v>
      </c>
      <c r="R198" s="36" t="s">
        <v>48</v>
      </c>
    </row>
    <row r="199">
      <c r="G199" s="36" t="s">
        <v>48</v>
      </c>
      <c r="H199" s="50" t="s">
        <v>48</v>
      </c>
      <c r="I199" s="50" t="s">
        <v>48</v>
      </c>
      <c r="J199" s="36" t="s">
        <v>48</v>
      </c>
      <c r="K199" s="36" t="s">
        <v>48</v>
      </c>
      <c r="O199" s="36" t="s">
        <v>48</v>
      </c>
      <c r="R199" s="36" t="s">
        <v>48</v>
      </c>
    </row>
    <row r="200">
      <c r="G200" s="36" t="s">
        <v>48</v>
      </c>
      <c r="H200" s="50" t="s">
        <v>48</v>
      </c>
      <c r="I200" s="50" t="s">
        <v>48</v>
      </c>
      <c r="J200" s="36" t="s">
        <v>48</v>
      </c>
      <c r="K200" s="36" t="s">
        <v>48</v>
      </c>
      <c r="O200" s="36" t="s">
        <v>48</v>
      </c>
      <c r="R200" s="36" t="s">
        <v>48</v>
      </c>
    </row>
    <row r="201">
      <c r="G201" s="36" t="s">
        <v>48</v>
      </c>
      <c r="H201" s="50" t="s">
        <v>48</v>
      </c>
      <c r="I201" s="50" t="s">
        <v>48</v>
      </c>
      <c r="J201" s="36" t="s">
        <v>48</v>
      </c>
      <c r="K201" s="36" t="s">
        <v>48</v>
      </c>
      <c r="O201" s="36" t="s">
        <v>48</v>
      </c>
      <c r="R201" s="36" t="s">
        <v>48</v>
      </c>
    </row>
    <row r="202">
      <c r="G202" s="36" t="s">
        <v>48</v>
      </c>
      <c r="H202" s="50" t="s">
        <v>48</v>
      </c>
      <c r="I202" s="50" t="s">
        <v>48</v>
      </c>
      <c r="J202" s="36" t="s">
        <v>48</v>
      </c>
      <c r="K202" s="36" t="s">
        <v>48</v>
      </c>
      <c r="O202" s="36" t="s">
        <v>48</v>
      </c>
      <c r="R202" s="36" t="s">
        <v>48</v>
      </c>
    </row>
    <row r="203">
      <c r="G203" s="36" t="s">
        <v>48</v>
      </c>
      <c r="H203" s="50" t="s">
        <v>48</v>
      </c>
      <c r="I203" s="50" t="s">
        <v>48</v>
      </c>
      <c r="J203" s="36" t="s">
        <v>48</v>
      </c>
      <c r="K203" s="36" t="s">
        <v>48</v>
      </c>
      <c r="O203" s="36" t="s">
        <v>48</v>
      </c>
      <c r="R203" s="36" t="s">
        <v>48</v>
      </c>
    </row>
    <row r="204">
      <c r="G204" s="36" t="s">
        <v>48</v>
      </c>
      <c r="H204" s="50" t="s">
        <v>48</v>
      </c>
      <c r="I204" s="50" t="s">
        <v>48</v>
      </c>
      <c r="J204" s="36" t="s">
        <v>48</v>
      </c>
      <c r="K204" s="36" t="s">
        <v>48</v>
      </c>
      <c r="O204" s="36" t="s">
        <v>48</v>
      </c>
      <c r="R204" s="36" t="s">
        <v>48</v>
      </c>
    </row>
    <row r="205">
      <c r="G205" s="36" t="s">
        <v>48</v>
      </c>
      <c r="H205" s="50" t="s">
        <v>48</v>
      </c>
      <c r="I205" s="50" t="s">
        <v>48</v>
      </c>
      <c r="J205" s="36" t="s">
        <v>48</v>
      </c>
      <c r="K205" s="36" t="s">
        <v>48</v>
      </c>
      <c r="O205" s="36" t="s">
        <v>48</v>
      </c>
      <c r="R205" s="36" t="s">
        <v>48</v>
      </c>
    </row>
    <row r="206">
      <c r="G206" s="36" t="s">
        <v>48</v>
      </c>
      <c r="H206" s="50" t="s">
        <v>48</v>
      </c>
      <c r="I206" s="50" t="s">
        <v>48</v>
      </c>
      <c r="J206" s="36" t="s">
        <v>48</v>
      </c>
      <c r="K206" s="36" t="s">
        <v>48</v>
      </c>
      <c r="O206" s="36" t="s">
        <v>48</v>
      </c>
      <c r="R206" s="36" t="s">
        <v>48</v>
      </c>
    </row>
    <row r="207">
      <c r="G207" s="36" t="s">
        <v>48</v>
      </c>
      <c r="H207" s="50" t="s">
        <v>48</v>
      </c>
      <c r="I207" s="50" t="s">
        <v>48</v>
      </c>
      <c r="J207" s="36" t="s">
        <v>48</v>
      </c>
      <c r="K207" s="36" t="s">
        <v>48</v>
      </c>
      <c r="O207" s="36" t="s">
        <v>48</v>
      </c>
      <c r="R207" s="36" t="s">
        <v>48</v>
      </c>
    </row>
    <row r="208">
      <c r="G208" s="36" t="s">
        <v>48</v>
      </c>
      <c r="H208" s="50" t="s">
        <v>48</v>
      </c>
      <c r="I208" s="50" t="s">
        <v>48</v>
      </c>
      <c r="J208" s="36" t="s">
        <v>48</v>
      </c>
      <c r="K208" s="36" t="s">
        <v>48</v>
      </c>
      <c r="O208" s="36" t="s">
        <v>48</v>
      </c>
      <c r="R208" s="36" t="s">
        <v>48</v>
      </c>
    </row>
    <row r="209">
      <c r="G209" s="36" t="s">
        <v>48</v>
      </c>
      <c r="H209" s="50" t="s">
        <v>48</v>
      </c>
      <c r="I209" s="50" t="s">
        <v>48</v>
      </c>
      <c r="J209" s="36" t="s">
        <v>48</v>
      </c>
      <c r="K209" s="36" t="s">
        <v>48</v>
      </c>
      <c r="O209" s="36" t="s">
        <v>48</v>
      </c>
      <c r="R209" s="36" t="s">
        <v>48</v>
      </c>
    </row>
    <row r="210">
      <c r="G210" s="36" t="s">
        <v>48</v>
      </c>
      <c r="H210" s="50" t="s">
        <v>48</v>
      </c>
      <c r="I210" s="50" t="s">
        <v>48</v>
      </c>
      <c r="J210" s="36" t="s">
        <v>48</v>
      </c>
      <c r="K210" s="36" t="s">
        <v>48</v>
      </c>
      <c r="O210" s="36" t="s">
        <v>48</v>
      </c>
      <c r="R210" s="36" t="s">
        <v>48</v>
      </c>
    </row>
    <row r="211">
      <c r="G211" s="36" t="s">
        <v>48</v>
      </c>
      <c r="H211" s="50" t="s">
        <v>48</v>
      </c>
      <c r="I211" s="50" t="s">
        <v>48</v>
      </c>
      <c r="J211" s="36" t="s">
        <v>48</v>
      </c>
      <c r="K211" s="36" t="s">
        <v>48</v>
      </c>
      <c r="O211" s="36" t="s">
        <v>48</v>
      </c>
      <c r="R211" s="36" t="s">
        <v>48</v>
      </c>
    </row>
    <row r="212">
      <c r="G212" s="36" t="s">
        <v>48</v>
      </c>
      <c r="H212" s="50" t="s">
        <v>48</v>
      </c>
      <c r="I212" s="50" t="s">
        <v>48</v>
      </c>
      <c r="J212" s="36" t="s">
        <v>48</v>
      </c>
      <c r="K212" s="36" t="s">
        <v>48</v>
      </c>
      <c r="O212" s="36" t="s">
        <v>48</v>
      </c>
      <c r="R212" s="36" t="s">
        <v>48</v>
      </c>
    </row>
    <row r="213">
      <c r="G213" s="36" t="s">
        <v>48</v>
      </c>
      <c r="H213" s="50" t="s">
        <v>48</v>
      </c>
      <c r="I213" s="50" t="s">
        <v>48</v>
      </c>
      <c r="J213" s="36" t="s">
        <v>48</v>
      </c>
      <c r="K213" s="36" t="s">
        <v>48</v>
      </c>
      <c r="O213" s="36" t="s">
        <v>48</v>
      </c>
      <c r="R213" s="36" t="s">
        <v>48</v>
      </c>
    </row>
    <row r="214">
      <c r="G214" s="36" t="s">
        <v>48</v>
      </c>
      <c r="H214" s="50" t="s">
        <v>48</v>
      </c>
      <c r="I214" s="50" t="s">
        <v>48</v>
      </c>
      <c r="J214" s="36" t="s">
        <v>48</v>
      </c>
      <c r="K214" s="36" t="s">
        <v>48</v>
      </c>
      <c r="O214" s="36" t="s">
        <v>48</v>
      </c>
      <c r="R214" s="36" t="s">
        <v>48</v>
      </c>
    </row>
    <row r="215">
      <c r="G215" s="36" t="s">
        <v>48</v>
      </c>
      <c r="H215" s="50" t="s">
        <v>48</v>
      </c>
      <c r="I215" s="50" t="s">
        <v>48</v>
      </c>
      <c r="J215" s="36" t="s">
        <v>48</v>
      </c>
      <c r="K215" s="36" t="s">
        <v>48</v>
      </c>
      <c r="O215" s="36" t="s">
        <v>48</v>
      </c>
      <c r="R215" s="36" t="s">
        <v>48</v>
      </c>
    </row>
    <row r="216">
      <c r="G216" s="36" t="s">
        <v>48</v>
      </c>
      <c r="H216" s="50" t="s">
        <v>48</v>
      </c>
      <c r="I216" s="50" t="s">
        <v>48</v>
      </c>
      <c r="J216" s="36" t="s">
        <v>48</v>
      </c>
      <c r="K216" s="36" t="s">
        <v>48</v>
      </c>
      <c r="O216" s="36" t="s">
        <v>48</v>
      </c>
      <c r="R216" s="36" t="s">
        <v>48</v>
      </c>
    </row>
    <row r="217">
      <c r="G217" s="36" t="s">
        <v>48</v>
      </c>
      <c r="H217" s="50" t="s">
        <v>48</v>
      </c>
      <c r="I217" s="50" t="s">
        <v>48</v>
      </c>
      <c r="J217" s="36" t="s">
        <v>48</v>
      </c>
      <c r="K217" s="36" t="s">
        <v>48</v>
      </c>
      <c r="O217" s="36" t="s">
        <v>48</v>
      </c>
      <c r="R217" s="36" t="s">
        <v>48</v>
      </c>
    </row>
    <row r="218">
      <c r="G218" s="36" t="s">
        <v>48</v>
      </c>
      <c r="H218" s="50" t="s">
        <v>48</v>
      </c>
      <c r="I218" s="50" t="s">
        <v>48</v>
      </c>
      <c r="J218" s="36" t="s">
        <v>48</v>
      </c>
      <c r="K218" s="36" t="s">
        <v>48</v>
      </c>
      <c r="O218" s="36" t="s">
        <v>48</v>
      </c>
      <c r="R218" s="36" t="s">
        <v>48</v>
      </c>
    </row>
    <row r="219">
      <c r="G219" s="36" t="s">
        <v>48</v>
      </c>
      <c r="H219" s="50" t="s">
        <v>48</v>
      </c>
      <c r="I219" s="50" t="s">
        <v>48</v>
      </c>
      <c r="J219" s="36" t="s">
        <v>48</v>
      </c>
      <c r="K219" s="36" t="s">
        <v>48</v>
      </c>
      <c r="O219" s="36" t="s">
        <v>48</v>
      </c>
      <c r="R219" s="36" t="s">
        <v>48</v>
      </c>
    </row>
    <row r="220">
      <c r="G220" s="36" t="s">
        <v>48</v>
      </c>
      <c r="H220" s="50" t="s">
        <v>48</v>
      </c>
      <c r="I220" s="50" t="s">
        <v>48</v>
      </c>
      <c r="J220" s="36" t="s">
        <v>48</v>
      </c>
      <c r="K220" s="36" t="s">
        <v>48</v>
      </c>
      <c r="O220" s="36" t="s">
        <v>48</v>
      </c>
      <c r="R220" s="36" t="s">
        <v>48</v>
      </c>
    </row>
    <row r="221">
      <c r="G221" s="36" t="s">
        <v>48</v>
      </c>
      <c r="H221" s="50" t="s">
        <v>48</v>
      </c>
      <c r="I221" s="50" t="s">
        <v>48</v>
      </c>
      <c r="J221" s="36" t="s">
        <v>48</v>
      </c>
      <c r="K221" s="36" t="s">
        <v>48</v>
      </c>
      <c r="O221" s="36" t="s">
        <v>48</v>
      </c>
      <c r="R221" s="36" t="s">
        <v>48</v>
      </c>
    </row>
    <row r="222">
      <c r="G222" s="36" t="s">
        <v>48</v>
      </c>
      <c r="H222" s="50" t="s">
        <v>48</v>
      </c>
      <c r="I222" s="50" t="s">
        <v>48</v>
      </c>
      <c r="J222" s="36" t="s">
        <v>48</v>
      </c>
      <c r="K222" s="36" t="s">
        <v>48</v>
      </c>
      <c r="O222" s="36" t="s">
        <v>48</v>
      </c>
      <c r="R222" s="36" t="s">
        <v>48</v>
      </c>
    </row>
    <row r="223">
      <c r="G223" s="36" t="s">
        <v>48</v>
      </c>
      <c r="H223" s="50" t="s">
        <v>48</v>
      </c>
      <c r="I223" s="50" t="s">
        <v>48</v>
      </c>
      <c r="J223" s="36" t="s">
        <v>48</v>
      </c>
      <c r="K223" s="36" t="s">
        <v>48</v>
      </c>
      <c r="O223" s="36" t="s">
        <v>48</v>
      </c>
      <c r="R223" s="36" t="s">
        <v>48</v>
      </c>
    </row>
    <row r="224">
      <c r="G224" s="36" t="s">
        <v>48</v>
      </c>
      <c r="H224" s="50" t="s">
        <v>48</v>
      </c>
      <c r="I224" s="50" t="s">
        <v>48</v>
      </c>
      <c r="J224" s="36" t="s">
        <v>48</v>
      </c>
      <c r="K224" s="36" t="s">
        <v>48</v>
      </c>
      <c r="O224" s="36" t="s">
        <v>48</v>
      </c>
      <c r="R224" s="36" t="s">
        <v>48</v>
      </c>
    </row>
    <row r="225">
      <c r="G225" s="36" t="s">
        <v>48</v>
      </c>
      <c r="H225" s="50" t="s">
        <v>48</v>
      </c>
      <c r="I225" s="50" t="s">
        <v>48</v>
      </c>
      <c r="J225" s="36" t="s">
        <v>48</v>
      </c>
      <c r="K225" s="36" t="s">
        <v>48</v>
      </c>
      <c r="O225" s="36" t="s">
        <v>48</v>
      </c>
      <c r="R225" s="36" t="s">
        <v>48</v>
      </c>
    </row>
    <row r="226">
      <c r="G226" s="36" t="s">
        <v>48</v>
      </c>
      <c r="H226" s="50" t="s">
        <v>48</v>
      </c>
      <c r="I226" s="50" t="s">
        <v>48</v>
      </c>
      <c r="J226" s="36" t="s">
        <v>48</v>
      </c>
      <c r="K226" s="36" t="s">
        <v>48</v>
      </c>
      <c r="O226" s="36" t="s">
        <v>48</v>
      </c>
      <c r="R226" s="36" t="s">
        <v>48</v>
      </c>
    </row>
    <row r="227">
      <c r="G227" s="36" t="s">
        <v>48</v>
      </c>
      <c r="H227" s="50" t="s">
        <v>48</v>
      </c>
      <c r="I227" s="50" t="s">
        <v>48</v>
      </c>
      <c r="J227" s="36" t="s">
        <v>48</v>
      </c>
      <c r="K227" s="36" t="s">
        <v>48</v>
      </c>
      <c r="O227" s="36" t="s">
        <v>48</v>
      </c>
      <c r="R227" s="36" t="s">
        <v>48</v>
      </c>
    </row>
    <row r="228">
      <c r="G228" s="36" t="s">
        <v>48</v>
      </c>
      <c r="H228" s="50" t="s">
        <v>48</v>
      </c>
      <c r="I228" s="50" t="s">
        <v>48</v>
      </c>
      <c r="J228" s="36" t="s">
        <v>48</v>
      </c>
      <c r="K228" s="36" t="s">
        <v>48</v>
      </c>
      <c r="O228" s="36" t="s">
        <v>48</v>
      </c>
      <c r="R228" s="36" t="s">
        <v>48</v>
      </c>
    </row>
    <row r="229">
      <c r="G229" s="36" t="s">
        <v>48</v>
      </c>
      <c r="H229" s="50" t="s">
        <v>48</v>
      </c>
      <c r="I229" s="50" t="s">
        <v>48</v>
      </c>
      <c r="J229" s="36" t="s">
        <v>48</v>
      </c>
      <c r="K229" s="36" t="s">
        <v>48</v>
      </c>
      <c r="O229" s="36" t="s">
        <v>48</v>
      </c>
      <c r="R229" s="36" t="s">
        <v>48</v>
      </c>
    </row>
    <row r="230">
      <c r="G230" s="36" t="s">
        <v>48</v>
      </c>
      <c r="H230" s="50" t="s">
        <v>48</v>
      </c>
      <c r="I230" s="50" t="s">
        <v>48</v>
      </c>
      <c r="J230" s="36" t="s">
        <v>48</v>
      </c>
      <c r="K230" s="36" t="s">
        <v>48</v>
      </c>
      <c r="O230" s="36" t="s">
        <v>48</v>
      </c>
      <c r="R230" s="36" t="s">
        <v>48</v>
      </c>
    </row>
    <row r="231">
      <c r="G231" s="36" t="s">
        <v>48</v>
      </c>
      <c r="H231" s="50" t="s">
        <v>48</v>
      </c>
      <c r="I231" s="50" t="s">
        <v>48</v>
      </c>
      <c r="J231" s="36" t="s">
        <v>48</v>
      </c>
      <c r="K231" s="36" t="s">
        <v>48</v>
      </c>
      <c r="O231" s="36" t="s">
        <v>48</v>
      </c>
      <c r="R231" s="36" t="s">
        <v>48</v>
      </c>
    </row>
    <row r="232">
      <c r="G232" s="36" t="s">
        <v>48</v>
      </c>
      <c r="H232" s="50" t="s">
        <v>48</v>
      </c>
      <c r="I232" s="50" t="s">
        <v>48</v>
      </c>
      <c r="J232" s="36" t="s">
        <v>48</v>
      </c>
      <c r="K232" s="36" t="s">
        <v>48</v>
      </c>
      <c r="O232" s="36" t="s">
        <v>48</v>
      </c>
      <c r="R232" s="36" t="s">
        <v>48</v>
      </c>
    </row>
    <row r="233">
      <c r="G233" s="36" t="s">
        <v>48</v>
      </c>
      <c r="H233" s="50" t="s">
        <v>48</v>
      </c>
      <c r="I233" s="50" t="s">
        <v>48</v>
      </c>
      <c r="J233" s="36" t="s">
        <v>48</v>
      </c>
      <c r="K233" s="36" t="s">
        <v>48</v>
      </c>
      <c r="O233" s="36" t="s">
        <v>48</v>
      </c>
      <c r="R233" s="36" t="s">
        <v>48</v>
      </c>
    </row>
    <row r="234">
      <c r="G234" s="36" t="s">
        <v>48</v>
      </c>
      <c r="H234" s="50" t="s">
        <v>48</v>
      </c>
      <c r="I234" s="50" t="s">
        <v>48</v>
      </c>
      <c r="J234" s="36" t="s">
        <v>48</v>
      </c>
      <c r="K234" s="36" t="s">
        <v>48</v>
      </c>
      <c r="O234" s="36" t="s">
        <v>48</v>
      </c>
      <c r="R234" s="36" t="s">
        <v>48</v>
      </c>
    </row>
    <row r="235">
      <c r="G235" s="36" t="s">
        <v>48</v>
      </c>
      <c r="H235" s="50" t="s">
        <v>48</v>
      </c>
      <c r="I235" s="50" t="s">
        <v>48</v>
      </c>
      <c r="J235" s="36" t="s">
        <v>48</v>
      </c>
      <c r="K235" s="36" t="s">
        <v>48</v>
      </c>
      <c r="O235" s="36" t="s">
        <v>48</v>
      </c>
      <c r="R235" s="36" t="s">
        <v>48</v>
      </c>
    </row>
    <row r="236">
      <c r="G236" s="36" t="s">
        <v>48</v>
      </c>
      <c r="H236" s="50" t="s">
        <v>48</v>
      </c>
      <c r="I236" s="50" t="s">
        <v>48</v>
      </c>
      <c r="J236" s="36" t="s">
        <v>48</v>
      </c>
      <c r="K236" s="36" t="s">
        <v>48</v>
      </c>
      <c r="O236" s="36" t="s">
        <v>48</v>
      </c>
      <c r="R236" s="36" t="s">
        <v>48</v>
      </c>
    </row>
    <row r="237">
      <c r="G237" s="36" t="s">
        <v>48</v>
      </c>
      <c r="H237" s="50" t="s">
        <v>48</v>
      </c>
      <c r="I237" s="50" t="s">
        <v>48</v>
      </c>
      <c r="J237" s="36" t="s">
        <v>48</v>
      </c>
      <c r="K237" s="36" t="s">
        <v>48</v>
      </c>
      <c r="O237" s="36" t="s">
        <v>48</v>
      </c>
      <c r="R237" s="36" t="s">
        <v>48</v>
      </c>
    </row>
    <row r="238">
      <c r="G238" s="36" t="s">
        <v>48</v>
      </c>
      <c r="H238" s="50" t="s">
        <v>48</v>
      </c>
      <c r="I238" s="50" t="s">
        <v>48</v>
      </c>
      <c r="J238" s="36" t="s">
        <v>48</v>
      </c>
      <c r="K238" s="36" t="s">
        <v>48</v>
      </c>
      <c r="O238" s="36" t="s">
        <v>48</v>
      </c>
      <c r="R238" s="36" t="s">
        <v>48</v>
      </c>
    </row>
    <row r="239">
      <c r="G239" s="36" t="s">
        <v>48</v>
      </c>
      <c r="H239" s="50" t="s">
        <v>48</v>
      </c>
      <c r="I239" s="50" t="s">
        <v>48</v>
      </c>
      <c r="J239" s="36" t="s">
        <v>48</v>
      </c>
      <c r="K239" s="36" t="s">
        <v>48</v>
      </c>
      <c r="O239" s="36" t="s">
        <v>48</v>
      </c>
      <c r="R239" s="36" t="s">
        <v>48</v>
      </c>
    </row>
    <row r="240">
      <c r="G240" s="36" t="s">
        <v>48</v>
      </c>
      <c r="H240" s="50" t="s">
        <v>48</v>
      </c>
      <c r="I240" s="50" t="s">
        <v>48</v>
      </c>
      <c r="J240" s="36" t="s">
        <v>48</v>
      </c>
      <c r="K240" s="36" t="s">
        <v>48</v>
      </c>
      <c r="O240" s="36" t="s">
        <v>48</v>
      </c>
      <c r="R240" s="36" t="s">
        <v>48</v>
      </c>
    </row>
    <row r="241">
      <c r="G241" s="36" t="s">
        <v>48</v>
      </c>
      <c r="H241" s="50" t="s">
        <v>48</v>
      </c>
      <c r="I241" s="50" t="s">
        <v>48</v>
      </c>
      <c r="J241" s="36" t="s">
        <v>48</v>
      </c>
      <c r="K241" s="36" t="s">
        <v>48</v>
      </c>
      <c r="O241" s="36" t="s">
        <v>48</v>
      </c>
      <c r="R241" s="36" t="s">
        <v>48</v>
      </c>
    </row>
    <row r="242">
      <c r="G242" s="36" t="s">
        <v>48</v>
      </c>
      <c r="H242" s="50" t="s">
        <v>48</v>
      </c>
      <c r="I242" s="50" t="s">
        <v>48</v>
      </c>
      <c r="J242" s="36" t="s">
        <v>48</v>
      </c>
      <c r="K242" s="36" t="s">
        <v>48</v>
      </c>
      <c r="O242" s="36" t="s">
        <v>48</v>
      </c>
      <c r="R242" s="36" t="s">
        <v>48</v>
      </c>
    </row>
    <row r="243">
      <c r="G243" s="36" t="s">
        <v>48</v>
      </c>
      <c r="H243" s="50" t="s">
        <v>48</v>
      </c>
      <c r="I243" s="50" t="s">
        <v>48</v>
      </c>
      <c r="J243" s="36" t="s">
        <v>48</v>
      </c>
      <c r="K243" s="36" t="s">
        <v>48</v>
      </c>
      <c r="O243" s="36" t="s">
        <v>48</v>
      </c>
      <c r="R243" s="36" t="s">
        <v>48</v>
      </c>
    </row>
    <row r="244">
      <c r="G244" s="36" t="s">
        <v>48</v>
      </c>
      <c r="H244" s="50" t="s">
        <v>48</v>
      </c>
      <c r="I244" s="50" t="s">
        <v>48</v>
      </c>
      <c r="J244" s="36" t="s">
        <v>48</v>
      </c>
      <c r="K244" s="36" t="s">
        <v>48</v>
      </c>
      <c r="O244" s="36" t="s">
        <v>48</v>
      </c>
      <c r="R244" s="36" t="s">
        <v>48</v>
      </c>
    </row>
    <row r="245">
      <c r="G245" s="36" t="s">
        <v>48</v>
      </c>
      <c r="H245" s="50" t="s">
        <v>48</v>
      </c>
      <c r="I245" s="50" t="s">
        <v>48</v>
      </c>
      <c r="J245" s="36" t="s">
        <v>48</v>
      </c>
      <c r="K245" s="36" t="s">
        <v>48</v>
      </c>
      <c r="O245" s="36" t="s">
        <v>48</v>
      </c>
      <c r="R245" s="36" t="s">
        <v>48</v>
      </c>
    </row>
    <row r="246">
      <c r="G246" s="36" t="s">
        <v>48</v>
      </c>
      <c r="H246" s="50" t="s">
        <v>48</v>
      </c>
      <c r="I246" s="50" t="s">
        <v>48</v>
      </c>
      <c r="J246" s="36" t="s">
        <v>48</v>
      </c>
      <c r="K246" s="36" t="s">
        <v>48</v>
      </c>
      <c r="O246" s="36" t="s">
        <v>48</v>
      </c>
      <c r="R246" s="36" t="s">
        <v>48</v>
      </c>
    </row>
    <row r="247">
      <c r="G247" s="36" t="s">
        <v>48</v>
      </c>
      <c r="H247" s="50" t="s">
        <v>48</v>
      </c>
      <c r="I247" s="50" t="s">
        <v>48</v>
      </c>
      <c r="J247" s="36" t="s">
        <v>48</v>
      </c>
      <c r="K247" s="36" t="s">
        <v>48</v>
      </c>
      <c r="O247" s="36" t="s">
        <v>48</v>
      </c>
      <c r="R247" s="36" t="s">
        <v>48</v>
      </c>
    </row>
    <row r="248">
      <c r="G248" s="36" t="s">
        <v>48</v>
      </c>
      <c r="H248" s="50" t="s">
        <v>48</v>
      </c>
      <c r="I248" s="50" t="s">
        <v>48</v>
      </c>
      <c r="J248" s="36" t="s">
        <v>48</v>
      </c>
      <c r="K248" s="36" t="s">
        <v>48</v>
      </c>
      <c r="O248" s="36" t="s">
        <v>48</v>
      </c>
      <c r="R248" s="36" t="s">
        <v>48</v>
      </c>
    </row>
    <row r="249">
      <c r="G249" s="36" t="s">
        <v>48</v>
      </c>
      <c r="H249" s="50" t="s">
        <v>48</v>
      </c>
      <c r="I249" s="50" t="s">
        <v>48</v>
      </c>
      <c r="J249" s="36" t="s">
        <v>48</v>
      </c>
      <c r="K249" s="36" t="s">
        <v>48</v>
      </c>
      <c r="O249" s="36" t="s">
        <v>48</v>
      </c>
      <c r="R249" s="36" t="s">
        <v>48</v>
      </c>
    </row>
    <row r="250">
      <c r="G250" s="36" t="s">
        <v>48</v>
      </c>
      <c r="H250" s="50" t="s">
        <v>48</v>
      </c>
      <c r="I250" s="50" t="s">
        <v>48</v>
      </c>
      <c r="J250" s="36" t="s">
        <v>48</v>
      </c>
      <c r="K250" s="36" t="s">
        <v>48</v>
      </c>
      <c r="O250" s="36" t="s">
        <v>48</v>
      </c>
      <c r="R250" s="36" t="s">
        <v>48</v>
      </c>
    </row>
    <row r="251">
      <c r="G251" s="36" t="s">
        <v>48</v>
      </c>
      <c r="H251" s="50" t="s">
        <v>48</v>
      </c>
      <c r="I251" s="50" t="s">
        <v>48</v>
      </c>
      <c r="J251" s="36" t="s">
        <v>48</v>
      </c>
      <c r="K251" s="36" t="s">
        <v>48</v>
      </c>
      <c r="O251" s="36" t="s">
        <v>48</v>
      </c>
      <c r="R251" s="36" t="s">
        <v>48</v>
      </c>
    </row>
    <row r="252">
      <c r="G252" s="36" t="s">
        <v>48</v>
      </c>
      <c r="H252" s="50" t="s">
        <v>48</v>
      </c>
      <c r="I252" s="50" t="s">
        <v>48</v>
      </c>
      <c r="J252" s="36" t="s">
        <v>48</v>
      </c>
      <c r="K252" s="36" t="s">
        <v>48</v>
      </c>
      <c r="O252" s="36" t="s">
        <v>48</v>
      </c>
      <c r="R252" s="36" t="s">
        <v>48</v>
      </c>
    </row>
    <row r="253">
      <c r="G253" s="36" t="s">
        <v>48</v>
      </c>
      <c r="H253" s="50" t="s">
        <v>48</v>
      </c>
      <c r="I253" s="50" t="s">
        <v>48</v>
      </c>
      <c r="J253" s="36" t="s">
        <v>48</v>
      </c>
      <c r="K253" s="36" t="s">
        <v>48</v>
      </c>
      <c r="O253" s="36" t="s">
        <v>48</v>
      </c>
      <c r="R253" s="36" t="s">
        <v>48</v>
      </c>
    </row>
    <row r="254">
      <c r="G254" s="36" t="s">
        <v>48</v>
      </c>
      <c r="H254" s="50" t="s">
        <v>48</v>
      </c>
      <c r="I254" s="50" t="s">
        <v>48</v>
      </c>
      <c r="J254" s="36" t="s">
        <v>48</v>
      </c>
      <c r="K254" s="36" t="s">
        <v>48</v>
      </c>
      <c r="O254" s="36" t="s">
        <v>48</v>
      </c>
      <c r="R254" s="36" t="s">
        <v>48</v>
      </c>
    </row>
    <row r="255">
      <c r="G255" s="36" t="s">
        <v>48</v>
      </c>
      <c r="H255" s="50" t="s">
        <v>48</v>
      </c>
      <c r="I255" s="50" t="s">
        <v>48</v>
      </c>
      <c r="J255" s="36" t="s">
        <v>48</v>
      </c>
      <c r="K255" s="36" t="s">
        <v>48</v>
      </c>
      <c r="O255" s="36" t="s">
        <v>48</v>
      </c>
      <c r="R255" s="36" t="s">
        <v>48</v>
      </c>
    </row>
    <row r="256">
      <c r="G256" s="36" t="s">
        <v>48</v>
      </c>
      <c r="H256" s="50" t="s">
        <v>48</v>
      </c>
      <c r="I256" s="50" t="s">
        <v>48</v>
      </c>
      <c r="J256" s="36" t="s">
        <v>48</v>
      </c>
      <c r="K256" s="36" t="s">
        <v>48</v>
      </c>
      <c r="O256" s="36" t="s">
        <v>48</v>
      </c>
      <c r="R256" s="36" t="s">
        <v>48</v>
      </c>
    </row>
    <row r="257">
      <c r="G257" s="36" t="s">
        <v>48</v>
      </c>
      <c r="H257" s="50" t="s">
        <v>48</v>
      </c>
      <c r="I257" s="50" t="s">
        <v>48</v>
      </c>
      <c r="J257" s="36" t="s">
        <v>48</v>
      </c>
      <c r="K257" s="36" t="s">
        <v>48</v>
      </c>
      <c r="O257" s="36" t="s">
        <v>48</v>
      </c>
      <c r="R257" s="36" t="s">
        <v>48</v>
      </c>
    </row>
    <row r="258">
      <c r="G258" s="36" t="s">
        <v>48</v>
      </c>
      <c r="H258" s="50" t="s">
        <v>48</v>
      </c>
      <c r="I258" s="50" t="s">
        <v>48</v>
      </c>
      <c r="J258" s="36" t="s">
        <v>48</v>
      </c>
      <c r="K258" s="36" t="s">
        <v>48</v>
      </c>
      <c r="O258" s="36" t="s">
        <v>48</v>
      </c>
      <c r="R258" s="36" t="s">
        <v>48</v>
      </c>
    </row>
    <row r="259">
      <c r="G259" s="36" t="s">
        <v>48</v>
      </c>
      <c r="H259" s="50" t="s">
        <v>48</v>
      </c>
      <c r="I259" s="50" t="s">
        <v>48</v>
      </c>
      <c r="J259" s="36" t="s">
        <v>48</v>
      </c>
      <c r="K259" s="36" t="s">
        <v>48</v>
      </c>
      <c r="O259" s="36" t="s">
        <v>48</v>
      </c>
      <c r="R259" s="36" t="s">
        <v>48</v>
      </c>
    </row>
    <row r="260">
      <c r="G260" s="36" t="s">
        <v>48</v>
      </c>
      <c r="H260" s="50" t="s">
        <v>48</v>
      </c>
      <c r="I260" s="50" t="s">
        <v>48</v>
      </c>
      <c r="J260" s="36" t="s">
        <v>48</v>
      </c>
      <c r="K260" s="36" t="s">
        <v>48</v>
      </c>
      <c r="O260" s="36" t="s">
        <v>48</v>
      </c>
      <c r="R260" s="36" t="s">
        <v>48</v>
      </c>
    </row>
    <row r="261">
      <c r="G261" s="36" t="s">
        <v>48</v>
      </c>
      <c r="H261" s="50" t="s">
        <v>48</v>
      </c>
      <c r="I261" s="50" t="s">
        <v>48</v>
      </c>
      <c r="J261" s="36" t="s">
        <v>48</v>
      </c>
      <c r="K261" s="36" t="s">
        <v>48</v>
      </c>
      <c r="O261" s="36" t="s">
        <v>48</v>
      </c>
      <c r="R261" s="36" t="s">
        <v>48</v>
      </c>
    </row>
    <row r="262">
      <c r="G262" s="36" t="s">
        <v>48</v>
      </c>
      <c r="H262" s="50" t="s">
        <v>48</v>
      </c>
      <c r="I262" s="50" t="s">
        <v>48</v>
      </c>
      <c r="J262" s="36" t="s">
        <v>48</v>
      </c>
      <c r="K262" s="36" t="s">
        <v>48</v>
      </c>
      <c r="O262" s="36" t="s">
        <v>48</v>
      </c>
      <c r="R262" s="36" t="s">
        <v>48</v>
      </c>
    </row>
    <row r="263">
      <c r="G263" s="36" t="s">
        <v>48</v>
      </c>
      <c r="H263" s="50" t="s">
        <v>48</v>
      </c>
      <c r="I263" s="50" t="s">
        <v>48</v>
      </c>
      <c r="J263" s="36" t="s">
        <v>48</v>
      </c>
      <c r="K263" s="36" t="s">
        <v>48</v>
      </c>
      <c r="O263" s="36" t="s">
        <v>48</v>
      </c>
      <c r="R263" s="36" t="s">
        <v>48</v>
      </c>
    </row>
    <row r="264">
      <c r="G264" s="36" t="s">
        <v>48</v>
      </c>
      <c r="H264" s="50" t="s">
        <v>48</v>
      </c>
      <c r="I264" s="50" t="s">
        <v>48</v>
      </c>
      <c r="J264" s="36" t="s">
        <v>48</v>
      </c>
      <c r="K264" s="36" t="s">
        <v>48</v>
      </c>
      <c r="O264" s="36" t="s">
        <v>48</v>
      </c>
      <c r="R264" s="36" t="s">
        <v>48</v>
      </c>
    </row>
    <row r="265">
      <c r="G265" s="36" t="s">
        <v>48</v>
      </c>
      <c r="H265" s="50" t="s">
        <v>48</v>
      </c>
      <c r="I265" s="50" t="s">
        <v>48</v>
      </c>
      <c r="J265" s="36" t="s">
        <v>48</v>
      </c>
      <c r="K265" s="36" t="s">
        <v>48</v>
      </c>
      <c r="O265" s="36" t="s">
        <v>48</v>
      </c>
      <c r="R265" s="36" t="s">
        <v>48</v>
      </c>
    </row>
    <row r="266">
      <c r="G266" s="36" t="s">
        <v>48</v>
      </c>
      <c r="H266" s="50" t="s">
        <v>48</v>
      </c>
      <c r="I266" s="50" t="s">
        <v>48</v>
      </c>
      <c r="J266" s="36" t="s">
        <v>48</v>
      </c>
      <c r="K266" s="36" t="s">
        <v>48</v>
      </c>
      <c r="O266" s="36" t="s">
        <v>48</v>
      </c>
      <c r="R266" s="36" t="s">
        <v>48</v>
      </c>
    </row>
    <row r="267">
      <c r="G267" s="36" t="s">
        <v>48</v>
      </c>
      <c r="H267" s="50" t="s">
        <v>48</v>
      </c>
      <c r="I267" s="50" t="s">
        <v>48</v>
      </c>
      <c r="J267" s="36" t="s">
        <v>48</v>
      </c>
      <c r="K267" s="36" t="s">
        <v>48</v>
      </c>
      <c r="O267" s="36" t="s">
        <v>48</v>
      </c>
      <c r="R267" s="36" t="s">
        <v>48</v>
      </c>
    </row>
    <row r="268">
      <c r="G268" s="36" t="s">
        <v>48</v>
      </c>
      <c r="H268" s="50" t="s">
        <v>48</v>
      </c>
      <c r="I268" s="50" t="s">
        <v>48</v>
      </c>
      <c r="J268" s="36" t="s">
        <v>48</v>
      </c>
      <c r="K268" s="36" t="s">
        <v>48</v>
      </c>
      <c r="O268" s="36" t="s">
        <v>48</v>
      </c>
      <c r="R268" s="36" t="s">
        <v>48</v>
      </c>
    </row>
    <row r="269">
      <c r="G269" s="36" t="s">
        <v>48</v>
      </c>
      <c r="H269" s="50" t="s">
        <v>48</v>
      </c>
      <c r="I269" s="50" t="s">
        <v>48</v>
      </c>
      <c r="J269" s="36" t="s">
        <v>48</v>
      </c>
      <c r="K269" s="36" t="s">
        <v>48</v>
      </c>
      <c r="O269" s="36" t="s">
        <v>48</v>
      </c>
      <c r="R269" s="36" t="s">
        <v>48</v>
      </c>
    </row>
    <row r="270">
      <c r="G270" s="36" t="s">
        <v>48</v>
      </c>
      <c r="H270" s="50" t="s">
        <v>48</v>
      </c>
      <c r="I270" s="50" t="s">
        <v>48</v>
      </c>
      <c r="J270" s="36" t="s">
        <v>48</v>
      </c>
      <c r="K270" s="36" t="s">
        <v>48</v>
      </c>
      <c r="O270" s="36" t="s">
        <v>48</v>
      </c>
      <c r="R270" s="36" t="s">
        <v>48</v>
      </c>
    </row>
    <row r="271">
      <c r="G271" s="36" t="s">
        <v>48</v>
      </c>
      <c r="H271" s="50" t="s">
        <v>48</v>
      </c>
      <c r="I271" s="50" t="s">
        <v>48</v>
      </c>
      <c r="J271" s="36" t="s">
        <v>48</v>
      </c>
      <c r="K271" s="36" t="s">
        <v>48</v>
      </c>
      <c r="O271" s="36" t="s">
        <v>48</v>
      </c>
      <c r="R271" s="36" t="s">
        <v>48</v>
      </c>
    </row>
    <row r="272">
      <c r="G272" s="36" t="s">
        <v>48</v>
      </c>
      <c r="H272" s="50" t="s">
        <v>48</v>
      </c>
      <c r="I272" s="50" t="s">
        <v>48</v>
      </c>
      <c r="J272" s="36" t="s">
        <v>48</v>
      </c>
      <c r="K272" s="36" t="s">
        <v>48</v>
      </c>
      <c r="O272" s="36" t="s">
        <v>48</v>
      </c>
      <c r="R272" s="36" t="s">
        <v>48</v>
      </c>
    </row>
    <row r="273">
      <c r="G273" s="36" t="s">
        <v>48</v>
      </c>
      <c r="H273" s="50" t="s">
        <v>48</v>
      </c>
      <c r="I273" s="50" t="s">
        <v>48</v>
      </c>
      <c r="J273" s="36" t="s">
        <v>48</v>
      </c>
      <c r="K273" s="36" t="s">
        <v>48</v>
      </c>
      <c r="O273" s="36" t="s">
        <v>48</v>
      </c>
      <c r="R273" s="36" t="s">
        <v>48</v>
      </c>
    </row>
    <row r="274">
      <c r="G274" s="36" t="s">
        <v>48</v>
      </c>
      <c r="H274" s="50" t="s">
        <v>48</v>
      </c>
      <c r="I274" s="50" t="s">
        <v>48</v>
      </c>
      <c r="J274" s="36" t="s">
        <v>48</v>
      </c>
      <c r="K274" s="36" t="s">
        <v>48</v>
      </c>
      <c r="O274" s="36" t="s">
        <v>48</v>
      </c>
      <c r="R274" s="36" t="s">
        <v>48</v>
      </c>
    </row>
    <row r="275">
      <c r="G275" s="36" t="s">
        <v>48</v>
      </c>
      <c r="H275" s="50" t="s">
        <v>48</v>
      </c>
      <c r="I275" s="50" t="s">
        <v>48</v>
      </c>
      <c r="J275" s="36" t="s">
        <v>48</v>
      </c>
      <c r="K275" s="36" t="s">
        <v>48</v>
      </c>
      <c r="O275" s="36" t="s">
        <v>48</v>
      </c>
      <c r="R275" s="36" t="s">
        <v>48</v>
      </c>
    </row>
    <row r="276">
      <c r="G276" s="36" t="s">
        <v>48</v>
      </c>
      <c r="H276" s="50" t="s">
        <v>48</v>
      </c>
      <c r="I276" s="50" t="s">
        <v>48</v>
      </c>
      <c r="J276" s="36" t="s">
        <v>48</v>
      </c>
      <c r="K276" s="36" t="s">
        <v>48</v>
      </c>
      <c r="O276" s="36" t="s">
        <v>48</v>
      </c>
      <c r="R276" s="36" t="s">
        <v>48</v>
      </c>
    </row>
    <row r="277">
      <c r="G277" s="36" t="s">
        <v>48</v>
      </c>
      <c r="H277" s="50" t="s">
        <v>48</v>
      </c>
      <c r="I277" s="50" t="s">
        <v>48</v>
      </c>
      <c r="J277" s="36" t="s">
        <v>48</v>
      </c>
      <c r="K277" s="36" t="s">
        <v>48</v>
      </c>
      <c r="O277" s="36" t="s">
        <v>48</v>
      </c>
      <c r="R277" s="36" t="s">
        <v>48</v>
      </c>
    </row>
    <row r="278">
      <c r="G278" s="36" t="s">
        <v>48</v>
      </c>
      <c r="H278" s="50" t="s">
        <v>48</v>
      </c>
      <c r="I278" s="50" t="s">
        <v>48</v>
      </c>
      <c r="J278" s="36" t="s">
        <v>48</v>
      </c>
      <c r="K278" s="36" t="s">
        <v>48</v>
      </c>
      <c r="O278" s="36" t="s">
        <v>48</v>
      </c>
      <c r="R278" s="36" t="s">
        <v>48</v>
      </c>
    </row>
    <row r="279">
      <c r="G279" s="36" t="s">
        <v>48</v>
      </c>
      <c r="H279" s="50" t="s">
        <v>48</v>
      </c>
      <c r="I279" s="50" t="s">
        <v>48</v>
      </c>
      <c r="J279" s="36" t="s">
        <v>48</v>
      </c>
      <c r="K279" s="36" t="s">
        <v>48</v>
      </c>
      <c r="O279" s="36" t="s">
        <v>48</v>
      </c>
      <c r="R279" s="36" t="s">
        <v>48</v>
      </c>
    </row>
    <row r="280">
      <c r="G280" s="36" t="s">
        <v>48</v>
      </c>
      <c r="H280" s="50" t="s">
        <v>48</v>
      </c>
      <c r="I280" s="50" t="s">
        <v>48</v>
      </c>
      <c r="J280" s="36" t="s">
        <v>48</v>
      </c>
      <c r="K280" s="36" t="s">
        <v>48</v>
      </c>
      <c r="O280" s="36" t="s">
        <v>48</v>
      </c>
      <c r="R280" s="36" t="s">
        <v>48</v>
      </c>
    </row>
    <row r="281">
      <c r="G281" s="36" t="s">
        <v>48</v>
      </c>
      <c r="H281" s="50" t="s">
        <v>48</v>
      </c>
      <c r="I281" s="50" t="s">
        <v>48</v>
      </c>
      <c r="J281" s="36" t="s">
        <v>48</v>
      </c>
      <c r="K281" s="36" t="s">
        <v>48</v>
      </c>
      <c r="O281" s="36" t="s">
        <v>48</v>
      </c>
      <c r="R281" s="36" t="s">
        <v>48</v>
      </c>
    </row>
    <row r="282">
      <c r="G282" s="36" t="s">
        <v>48</v>
      </c>
      <c r="H282" s="50" t="s">
        <v>48</v>
      </c>
      <c r="I282" s="50" t="s">
        <v>48</v>
      </c>
      <c r="J282" s="36" t="s">
        <v>48</v>
      </c>
      <c r="K282" s="36" t="s">
        <v>48</v>
      </c>
      <c r="O282" s="36" t="s">
        <v>48</v>
      </c>
      <c r="R282" s="36" t="s">
        <v>48</v>
      </c>
    </row>
    <row r="283">
      <c r="G283" s="36" t="s">
        <v>48</v>
      </c>
      <c r="H283" s="50" t="s">
        <v>48</v>
      </c>
      <c r="I283" s="50" t="s">
        <v>48</v>
      </c>
      <c r="J283" s="36" t="s">
        <v>48</v>
      </c>
      <c r="K283" s="36" t="s">
        <v>48</v>
      </c>
      <c r="O283" s="36" t="s">
        <v>48</v>
      </c>
      <c r="R283" s="36" t="s">
        <v>48</v>
      </c>
    </row>
    <row r="284">
      <c r="G284" s="36" t="s">
        <v>48</v>
      </c>
      <c r="H284" s="50" t="s">
        <v>48</v>
      </c>
      <c r="I284" s="50" t="s">
        <v>48</v>
      </c>
      <c r="J284" s="36" t="s">
        <v>48</v>
      </c>
      <c r="K284" s="36" t="s">
        <v>48</v>
      </c>
      <c r="O284" s="36" t="s">
        <v>48</v>
      </c>
      <c r="R284" s="36" t="s">
        <v>48</v>
      </c>
    </row>
    <row r="285">
      <c r="G285" s="36" t="s">
        <v>48</v>
      </c>
      <c r="H285" s="50" t="s">
        <v>48</v>
      </c>
      <c r="I285" s="50" t="s">
        <v>48</v>
      </c>
      <c r="J285" s="36" t="s">
        <v>48</v>
      </c>
      <c r="K285" s="36" t="s">
        <v>48</v>
      </c>
      <c r="O285" s="36" t="s">
        <v>48</v>
      </c>
      <c r="R285" s="36" t="s">
        <v>48</v>
      </c>
    </row>
    <row r="286">
      <c r="G286" s="36" t="s">
        <v>48</v>
      </c>
      <c r="H286" s="50" t="s">
        <v>48</v>
      </c>
      <c r="I286" s="50" t="s">
        <v>48</v>
      </c>
      <c r="J286" s="36" t="s">
        <v>48</v>
      </c>
      <c r="K286" s="36" t="s">
        <v>48</v>
      </c>
      <c r="O286" s="36" t="s">
        <v>48</v>
      </c>
      <c r="R286" s="36" t="s">
        <v>48</v>
      </c>
    </row>
    <row r="287">
      <c r="G287" s="36" t="s">
        <v>48</v>
      </c>
      <c r="H287" s="50" t="s">
        <v>48</v>
      </c>
      <c r="I287" s="50" t="s">
        <v>48</v>
      </c>
      <c r="J287" s="36" t="s">
        <v>48</v>
      </c>
      <c r="K287" s="36" t="s">
        <v>48</v>
      </c>
      <c r="O287" s="36" t="s">
        <v>48</v>
      </c>
      <c r="R287" s="36" t="s">
        <v>48</v>
      </c>
    </row>
    <row r="288">
      <c r="G288" s="36" t="s">
        <v>48</v>
      </c>
      <c r="H288" s="50" t="s">
        <v>48</v>
      </c>
      <c r="I288" s="50" t="s">
        <v>48</v>
      </c>
      <c r="J288" s="36" t="s">
        <v>48</v>
      </c>
      <c r="K288" s="36" t="s">
        <v>48</v>
      </c>
      <c r="O288" s="36" t="s">
        <v>48</v>
      </c>
      <c r="R288" s="36" t="s">
        <v>48</v>
      </c>
    </row>
    <row r="289">
      <c r="G289" s="36" t="s">
        <v>48</v>
      </c>
      <c r="H289" s="50" t="s">
        <v>48</v>
      </c>
      <c r="I289" s="50" t="s">
        <v>48</v>
      </c>
      <c r="J289" s="36" t="s">
        <v>48</v>
      </c>
      <c r="K289" s="36" t="s">
        <v>48</v>
      </c>
      <c r="O289" s="36" t="s">
        <v>48</v>
      </c>
      <c r="R289" s="36" t="s">
        <v>48</v>
      </c>
    </row>
    <row r="290">
      <c r="G290" s="36" t="s">
        <v>48</v>
      </c>
      <c r="H290" s="50" t="s">
        <v>48</v>
      </c>
      <c r="I290" s="50" t="s">
        <v>48</v>
      </c>
      <c r="J290" s="36" t="s">
        <v>48</v>
      </c>
      <c r="K290" s="36" t="s">
        <v>48</v>
      </c>
      <c r="O290" s="36" t="s">
        <v>48</v>
      </c>
      <c r="R290" s="36" t="s">
        <v>48</v>
      </c>
    </row>
    <row r="291">
      <c r="G291" s="36" t="s">
        <v>48</v>
      </c>
      <c r="H291" s="50" t="s">
        <v>48</v>
      </c>
      <c r="I291" s="50" t="s">
        <v>48</v>
      </c>
      <c r="J291" s="36" t="s">
        <v>48</v>
      </c>
      <c r="K291" s="36" t="s">
        <v>48</v>
      </c>
      <c r="O291" s="36" t="s">
        <v>48</v>
      </c>
      <c r="R291" s="36" t="s">
        <v>48</v>
      </c>
    </row>
    <row r="292">
      <c r="G292" s="36" t="s">
        <v>48</v>
      </c>
      <c r="H292" s="50" t="s">
        <v>48</v>
      </c>
      <c r="I292" s="50" t="s">
        <v>48</v>
      </c>
      <c r="J292" s="36" t="s">
        <v>48</v>
      </c>
      <c r="K292" s="36" t="s">
        <v>48</v>
      </c>
      <c r="O292" s="36" t="s">
        <v>48</v>
      </c>
      <c r="R292" s="36" t="s">
        <v>48</v>
      </c>
    </row>
    <row r="293">
      <c r="G293" s="36" t="s">
        <v>48</v>
      </c>
      <c r="H293" s="50" t="s">
        <v>48</v>
      </c>
      <c r="I293" s="50" t="s">
        <v>48</v>
      </c>
      <c r="J293" s="36" t="s">
        <v>48</v>
      </c>
      <c r="K293" s="36" t="s">
        <v>48</v>
      </c>
      <c r="O293" s="36" t="s">
        <v>48</v>
      </c>
      <c r="R293" s="36" t="s">
        <v>48</v>
      </c>
    </row>
    <row r="294">
      <c r="G294" s="36" t="s">
        <v>48</v>
      </c>
      <c r="H294" s="50" t="s">
        <v>48</v>
      </c>
      <c r="I294" s="50" t="s">
        <v>48</v>
      </c>
      <c r="J294" s="36" t="s">
        <v>48</v>
      </c>
      <c r="K294" s="36" t="s">
        <v>48</v>
      </c>
      <c r="O294" s="36" t="s">
        <v>48</v>
      </c>
      <c r="R294" s="36" t="s">
        <v>48</v>
      </c>
    </row>
    <row r="295">
      <c r="G295" s="36" t="s">
        <v>48</v>
      </c>
      <c r="H295" s="50" t="s">
        <v>48</v>
      </c>
      <c r="I295" s="50" t="s">
        <v>48</v>
      </c>
      <c r="J295" s="36" t="s">
        <v>48</v>
      </c>
      <c r="K295" s="36" t="s">
        <v>48</v>
      </c>
      <c r="O295" s="36" t="s">
        <v>48</v>
      </c>
      <c r="R295" s="36" t="s">
        <v>48</v>
      </c>
    </row>
    <row r="296">
      <c r="G296" s="36" t="s">
        <v>48</v>
      </c>
      <c r="H296" s="50" t="s">
        <v>48</v>
      </c>
      <c r="I296" s="50" t="s">
        <v>48</v>
      </c>
      <c r="J296" s="36" t="s">
        <v>48</v>
      </c>
      <c r="K296" s="36" t="s">
        <v>48</v>
      </c>
      <c r="O296" s="36" t="s">
        <v>48</v>
      </c>
      <c r="R296" s="36" t="s">
        <v>48</v>
      </c>
    </row>
    <row r="297">
      <c r="G297" s="36" t="s">
        <v>48</v>
      </c>
      <c r="H297" s="50" t="s">
        <v>48</v>
      </c>
      <c r="I297" s="50" t="s">
        <v>48</v>
      </c>
      <c r="J297" s="36" t="s">
        <v>48</v>
      </c>
      <c r="K297" s="36" t="s">
        <v>48</v>
      </c>
      <c r="O297" s="36" t="s">
        <v>48</v>
      </c>
      <c r="R297" s="36" t="s">
        <v>48</v>
      </c>
    </row>
    <row r="298">
      <c r="G298" s="36" t="s">
        <v>48</v>
      </c>
      <c r="H298" s="50" t="s">
        <v>48</v>
      </c>
      <c r="I298" s="50" t="s">
        <v>48</v>
      </c>
      <c r="J298" s="36" t="s">
        <v>48</v>
      </c>
      <c r="K298" s="36" t="s">
        <v>48</v>
      </c>
      <c r="O298" s="36" t="s">
        <v>48</v>
      </c>
      <c r="R298" s="36" t="s">
        <v>48</v>
      </c>
    </row>
    <row r="299">
      <c r="G299" s="36" t="s">
        <v>48</v>
      </c>
      <c r="H299" s="50" t="s">
        <v>48</v>
      </c>
      <c r="I299" s="50" t="s">
        <v>48</v>
      </c>
      <c r="J299" s="36" t="s">
        <v>48</v>
      </c>
      <c r="K299" s="36" t="s">
        <v>48</v>
      </c>
      <c r="O299" s="36" t="s">
        <v>48</v>
      </c>
      <c r="R299" s="36" t="s">
        <v>48</v>
      </c>
    </row>
    <row r="300">
      <c r="G300" s="36" t="s">
        <v>48</v>
      </c>
      <c r="H300" s="50" t="s">
        <v>48</v>
      </c>
      <c r="I300" s="50" t="s">
        <v>48</v>
      </c>
      <c r="J300" s="36" t="s">
        <v>48</v>
      </c>
      <c r="K300" s="36" t="s">
        <v>48</v>
      </c>
      <c r="O300" s="36" t="s">
        <v>48</v>
      </c>
      <c r="R300" s="36" t="s">
        <v>48</v>
      </c>
    </row>
    <row r="301">
      <c r="G301" s="36" t="s">
        <v>48</v>
      </c>
      <c r="H301" s="50" t="s">
        <v>48</v>
      </c>
      <c r="I301" s="50" t="s">
        <v>48</v>
      </c>
      <c r="J301" s="36" t="s">
        <v>48</v>
      </c>
      <c r="K301" s="36" t="s">
        <v>48</v>
      </c>
      <c r="O301" s="36" t="s">
        <v>48</v>
      </c>
      <c r="R301" s="36" t="s">
        <v>48</v>
      </c>
    </row>
    <row r="302">
      <c r="G302" s="36" t="s">
        <v>48</v>
      </c>
      <c r="H302" s="50" t="s">
        <v>48</v>
      </c>
      <c r="I302" s="50" t="s">
        <v>48</v>
      </c>
      <c r="J302" s="36" t="s">
        <v>48</v>
      </c>
      <c r="K302" s="36" t="s">
        <v>48</v>
      </c>
      <c r="O302" s="36" t="s">
        <v>48</v>
      </c>
      <c r="R302" s="36" t="s">
        <v>48</v>
      </c>
    </row>
    <row r="303">
      <c r="G303" s="36" t="s">
        <v>48</v>
      </c>
      <c r="H303" s="50" t="s">
        <v>48</v>
      </c>
      <c r="I303" s="50" t="s">
        <v>48</v>
      </c>
      <c r="J303" s="36" t="s">
        <v>48</v>
      </c>
      <c r="K303" s="36" t="s">
        <v>48</v>
      </c>
      <c r="O303" s="36" t="s">
        <v>48</v>
      </c>
      <c r="R303" s="36" t="s">
        <v>48</v>
      </c>
    </row>
    <row r="304">
      <c r="G304" s="36" t="s">
        <v>48</v>
      </c>
      <c r="H304" s="50" t="s">
        <v>48</v>
      </c>
      <c r="I304" s="50" t="s">
        <v>48</v>
      </c>
      <c r="J304" s="36" t="s">
        <v>48</v>
      </c>
      <c r="K304" s="36" t="s">
        <v>48</v>
      </c>
      <c r="O304" s="36" t="s">
        <v>48</v>
      </c>
      <c r="R304" s="36" t="s">
        <v>48</v>
      </c>
    </row>
    <row r="305">
      <c r="G305" s="36" t="s">
        <v>48</v>
      </c>
      <c r="H305" s="50" t="s">
        <v>48</v>
      </c>
      <c r="I305" s="50" t="s">
        <v>48</v>
      </c>
      <c r="J305" s="36" t="s">
        <v>48</v>
      </c>
      <c r="K305" s="36" t="s">
        <v>48</v>
      </c>
      <c r="O305" s="36" t="s">
        <v>48</v>
      </c>
      <c r="R305" s="36" t="s">
        <v>48</v>
      </c>
    </row>
    <row r="306">
      <c r="G306" s="36" t="s">
        <v>48</v>
      </c>
      <c r="H306" s="50" t="s">
        <v>48</v>
      </c>
      <c r="I306" s="50" t="s">
        <v>48</v>
      </c>
      <c r="J306" s="36" t="s">
        <v>48</v>
      </c>
      <c r="K306" s="36" t="s">
        <v>48</v>
      </c>
      <c r="O306" s="36" t="s">
        <v>48</v>
      </c>
      <c r="R306" s="36" t="s">
        <v>48</v>
      </c>
    </row>
    <row r="307">
      <c r="G307" s="36" t="s">
        <v>48</v>
      </c>
      <c r="H307" s="50" t="s">
        <v>48</v>
      </c>
      <c r="I307" s="50" t="s">
        <v>48</v>
      </c>
      <c r="J307" s="36" t="s">
        <v>48</v>
      </c>
      <c r="K307" s="36" t="s">
        <v>48</v>
      </c>
      <c r="O307" s="36" t="s">
        <v>48</v>
      </c>
      <c r="R307" s="36" t="s">
        <v>48</v>
      </c>
    </row>
    <row r="308">
      <c r="G308" s="36" t="s">
        <v>48</v>
      </c>
      <c r="H308" s="50" t="s">
        <v>48</v>
      </c>
      <c r="I308" s="50" t="s">
        <v>48</v>
      </c>
      <c r="J308" s="36" t="s">
        <v>48</v>
      </c>
      <c r="K308" s="36" t="s">
        <v>48</v>
      </c>
      <c r="O308" s="36" t="s">
        <v>48</v>
      </c>
      <c r="R308" s="36" t="s">
        <v>48</v>
      </c>
    </row>
    <row r="309">
      <c r="G309" s="36" t="s">
        <v>48</v>
      </c>
      <c r="H309" s="50" t="s">
        <v>48</v>
      </c>
      <c r="I309" s="50" t="s">
        <v>48</v>
      </c>
      <c r="J309" s="36" t="s">
        <v>48</v>
      </c>
      <c r="K309" s="36" t="s">
        <v>48</v>
      </c>
      <c r="O309" s="36" t="s">
        <v>48</v>
      </c>
      <c r="R309" s="36" t="s">
        <v>48</v>
      </c>
    </row>
    <row r="310">
      <c r="G310" s="36" t="s">
        <v>48</v>
      </c>
      <c r="H310" s="50" t="s">
        <v>48</v>
      </c>
      <c r="I310" s="50" t="s">
        <v>48</v>
      </c>
      <c r="J310" s="36" t="s">
        <v>48</v>
      </c>
      <c r="K310" s="36" t="s">
        <v>48</v>
      </c>
      <c r="O310" s="36" t="s">
        <v>48</v>
      </c>
      <c r="R310" s="36" t="s">
        <v>48</v>
      </c>
    </row>
    <row r="311">
      <c r="G311" s="36" t="s">
        <v>48</v>
      </c>
      <c r="H311" s="50" t="s">
        <v>48</v>
      </c>
      <c r="I311" s="50" t="s">
        <v>48</v>
      </c>
      <c r="J311" s="36" t="s">
        <v>48</v>
      </c>
      <c r="K311" s="36" t="s">
        <v>48</v>
      </c>
      <c r="O311" s="36" t="s">
        <v>48</v>
      </c>
      <c r="R311" s="36" t="s">
        <v>48</v>
      </c>
    </row>
    <row r="312">
      <c r="G312" s="36" t="s">
        <v>48</v>
      </c>
      <c r="H312" s="50" t="s">
        <v>48</v>
      </c>
      <c r="I312" s="50" t="s">
        <v>48</v>
      </c>
      <c r="J312" s="36" t="s">
        <v>48</v>
      </c>
      <c r="K312" s="36" t="s">
        <v>48</v>
      </c>
      <c r="O312" s="36" t="s">
        <v>48</v>
      </c>
      <c r="R312" s="36" t="s">
        <v>48</v>
      </c>
    </row>
    <row r="313">
      <c r="G313" s="36" t="s">
        <v>48</v>
      </c>
      <c r="H313" s="50" t="s">
        <v>48</v>
      </c>
      <c r="I313" s="50" t="s">
        <v>48</v>
      </c>
      <c r="J313" s="36" t="s">
        <v>48</v>
      </c>
      <c r="K313" s="36" t="s">
        <v>48</v>
      </c>
      <c r="O313" s="36" t="s">
        <v>48</v>
      </c>
      <c r="R313" s="36" t="s">
        <v>48</v>
      </c>
    </row>
    <row r="314">
      <c r="G314" s="36" t="s">
        <v>48</v>
      </c>
      <c r="H314" s="50" t="s">
        <v>48</v>
      </c>
      <c r="I314" s="50" t="s">
        <v>48</v>
      </c>
      <c r="J314" s="36" t="s">
        <v>48</v>
      </c>
      <c r="K314" s="36" t="s">
        <v>48</v>
      </c>
      <c r="O314" s="36" t="s">
        <v>48</v>
      </c>
      <c r="R314" s="36" t="s">
        <v>48</v>
      </c>
    </row>
    <row r="315">
      <c r="G315" s="36" t="s">
        <v>48</v>
      </c>
      <c r="H315" s="50" t="s">
        <v>48</v>
      </c>
      <c r="I315" s="50" t="s">
        <v>48</v>
      </c>
      <c r="J315" s="36" t="s">
        <v>48</v>
      </c>
      <c r="K315" s="36" t="s">
        <v>48</v>
      </c>
      <c r="O315" s="36" t="s">
        <v>48</v>
      </c>
      <c r="R315" s="36" t="s">
        <v>48</v>
      </c>
    </row>
    <row r="316">
      <c r="G316" s="36" t="s">
        <v>48</v>
      </c>
      <c r="H316" s="50" t="s">
        <v>48</v>
      </c>
      <c r="I316" s="50" t="s">
        <v>48</v>
      </c>
      <c r="J316" s="36" t="s">
        <v>48</v>
      </c>
      <c r="K316" s="36" t="s">
        <v>48</v>
      </c>
      <c r="O316" s="36" t="s">
        <v>48</v>
      </c>
      <c r="R316" s="36" t="s">
        <v>48</v>
      </c>
    </row>
    <row r="317">
      <c r="G317" s="36" t="s">
        <v>48</v>
      </c>
      <c r="H317" s="50" t="s">
        <v>48</v>
      </c>
      <c r="I317" s="50" t="s">
        <v>48</v>
      </c>
      <c r="J317" s="36" t="s">
        <v>48</v>
      </c>
      <c r="K317" s="36" t="s">
        <v>48</v>
      </c>
      <c r="O317" s="36" t="s">
        <v>48</v>
      </c>
      <c r="R317" s="36" t="s">
        <v>48</v>
      </c>
    </row>
    <row r="318">
      <c r="G318" s="36" t="s">
        <v>48</v>
      </c>
      <c r="H318" s="50" t="s">
        <v>48</v>
      </c>
      <c r="I318" s="50" t="s">
        <v>48</v>
      </c>
      <c r="J318" s="36" t="s">
        <v>48</v>
      </c>
      <c r="K318" s="36" t="s">
        <v>48</v>
      </c>
      <c r="O318" s="36" t="s">
        <v>48</v>
      </c>
      <c r="R318" s="36" t="s">
        <v>48</v>
      </c>
    </row>
    <row r="319">
      <c r="G319" s="36" t="s">
        <v>48</v>
      </c>
      <c r="H319" s="50" t="s">
        <v>48</v>
      </c>
      <c r="I319" s="50" t="s">
        <v>48</v>
      </c>
      <c r="J319" s="36" t="s">
        <v>48</v>
      </c>
      <c r="K319" s="36" t="s">
        <v>48</v>
      </c>
      <c r="O319" s="36" t="s">
        <v>48</v>
      </c>
      <c r="R319" s="36" t="s">
        <v>48</v>
      </c>
    </row>
    <row r="320">
      <c r="G320" s="36" t="s">
        <v>48</v>
      </c>
      <c r="H320" s="50" t="s">
        <v>48</v>
      </c>
      <c r="I320" s="50" t="s">
        <v>48</v>
      </c>
      <c r="J320" s="36" t="s">
        <v>48</v>
      </c>
      <c r="K320" s="36" t="s">
        <v>48</v>
      </c>
      <c r="O320" s="36" t="s">
        <v>48</v>
      </c>
      <c r="R320" s="36" t="s">
        <v>48</v>
      </c>
    </row>
    <row r="321">
      <c r="G321" s="36" t="s">
        <v>48</v>
      </c>
      <c r="H321" s="50" t="s">
        <v>48</v>
      </c>
      <c r="I321" s="50" t="s">
        <v>48</v>
      </c>
      <c r="J321" s="36" t="s">
        <v>48</v>
      </c>
      <c r="K321" s="36" t="s">
        <v>48</v>
      </c>
      <c r="O321" s="36" t="s">
        <v>48</v>
      </c>
      <c r="R321" s="36" t="s">
        <v>48</v>
      </c>
    </row>
    <row r="322">
      <c r="G322" s="36" t="s">
        <v>48</v>
      </c>
      <c r="H322" s="50" t="s">
        <v>48</v>
      </c>
      <c r="I322" s="50" t="s">
        <v>48</v>
      </c>
      <c r="J322" s="36" t="s">
        <v>48</v>
      </c>
      <c r="K322" s="36" t="s">
        <v>48</v>
      </c>
      <c r="O322" s="36" t="s">
        <v>48</v>
      </c>
      <c r="R322" s="36" t="s">
        <v>48</v>
      </c>
    </row>
    <row r="323">
      <c r="G323" s="36" t="s">
        <v>48</v>
      </c>
      <c r="H323" s="50" t="s">
        <v>48</v>
      </c>
      <c r="I323" s="50" t="s">
        <v>48</v>
      </c>
      <c r="J323" s="36" t="s">
        <v>48</v>
      </c>
      <c r="K323" s="36" t="s">
        <v>48</v>
      </c>
      <c r="O323" s="36" t="s">
        <v>48</v>
      </c>
      <c r="R323" s="36" t="s">
        <v>48</v>
      </c>
    </row>
    <row r="324">
      <c r="G324" s="36" t="s">
        <v>48</v>
      </c>
      <c r="H324" s="50" t="s">
        <v>48</v>
      </c>
      <c r="I324" s="50" t="s">
        <v>48</v>
      </c>
      <c r="J324" s="36" t="s">
        <v>48</v>
      </c>
      <c r="K324" s="36" t="s">
        <v>48</v>
      </c>
      <c r="O324" s="36" t="s">
        <v>48</v>
      </c>
      <c r="R324" s="36" t="s">
        <v>48</v>
      </c>
    </row>
    <row r="325">
      <c r="G325" s="36" t="s">
        <v>48</v>
      </c>
      <c r="H325" s="50" t="s">
        <v>48</v>
      </c>
      <c r="I325" s="50" t="s">
        <v>48</v>
      </c>
      <c r="J325" s="36" t="s">
        <v>48</v>
      </c>
      <c r="K325" s="36" t="s">
        <v>48</v>
      </c>
      <c r="O325" s="36" t="s">
        <v>48</v>
      </c>
      <c r="R325" s="36" t="s">
        <v>48</v>
      </c>
    </row>
    <row r="326">
      <c r="G326" s="36" t="s">
        <v>48</v>
      </c>
      <c r="H326" s="50" t="s">
        <v>48</v>
      </c>
      <c r="I326" s="50" t="s">
        <v>48</v>
      </c>
      <c r="J326" s="36" t="s">
        <v>48</v>
      </c>
      <c r="K326" s="36" t="s">
        <v>48</v>
      </c>
      <c r="O326" s="36" t="s">
        <v>48</v>
      </c>
      <c r="R326" s="36" t="s">
        <v>48</v>
      </c>
    </row>
    <row r="327">
      <c r="G327" s="36" t="s">
        <v>48</v>
      </c>
      <c r="H327" s="50" t="s">
        <v>48</v>
      </c>
      <c r="I327" s="50" t="s">
        <v>48</v>
      </c>
      <c r="J327" s="36" t="s">
        <v>48</v>
      </c>
      <c r="K327" s="36" t="s">
        <v>48</v>
      </c>
      <c r="O327" s="36" t="s">
        <v>48</v>
      </c>
      <c r="R327" s="36" t="s">
        <v>48</v>
      </c>
    </row>
    <row r="328">
      <c r="G328" s="36" t="s">
        <v>48</v>
      </c>
      <c r="H328" s="50" t="s">
        <v>48</v>
      </c>
      <c r="I328" s="50" t="s">
        <v>48</v>
      </c>
      <c r="J328" s="36" t="s">
        <v>48</v>
      </c>
      <c r="K328" s="36" t="s">
        <v>48</v>
      </c>
      <c r="O328" s="36" t="s">
        <v>48</v>
      </c>
      <c r="R328" s="36" t="s">
        <v>48</v>
      </c>
    </row>
    <row r="329">
      <c r="G329" s="36" t="s">
        <v>48</v>
      </c>
      <c r="H329" s="50" t="s">
        <v>48</v>
      </c>
      <c r="I329" s="50" t="s">
        <v>48</v>
      </c>
      <c r="J329" s="36" t="s">
        <v>48</v>
      </c>
      <c r="K329" s="36" t="s">
        <v>48</v>
      </c>
      <c r="O329" s="36" t="s">
        <v>48</v>
      </c>
      <c r="R329" s="36" t="s">
        <v>48</v>
      </c>
    </row>
    <row r="330">
      <c r="G330" s="36" t="s">
        <v>48</v>
      </c>
      <c r="H330" s="50" t="s">
        <v>48</v>
      </c>
      <c r="I330" s="50" t="s">
        <v>48</v>
      </c>
      <c r="J330" s="36" t="s">
        <v>48</v>
      </c>
      <c r="K330" s="36" t="s">
        <v>48</v>
      </c>
      <c r="O330" s="36" t="s">
        <v>48</v>
      </c>
      <c r="R330" s="36" t="s">
        <v>48</v>
      </c>
    </row>
    <row r="331">
      <c r="G331" s="36" t="s">
        <v>48</v>
      </c>
      <c r="H331" s="50" t="s">
        <v>48</v>
      </c>
      <c r="I331" s="50" t="s">
        <v>48</v>
      </c>
      <c r="J331" s="36" t="s">
        <v>48</v>
      </c>
      <c r="K331" s="36" t="s">
        <v>48</v>
      </c>
      <c r="O331" s="36" t="s">
        <v>48</v>
      </c>
      <c r="R331" s="36" t="s">
        <v>48</v>
      </c>
    </row>
    <row r="332">
      <c r="G332" s="36" t="s">
        <v>48</v>
      </c>
      <c r="H332" s="50" t="s">
        <v>48</v>
      </c>
      <c r="I332" s="50" t="s">
        <v>48</v>
      </c>
      <c r="J332" s="36" t="s">
        <v>48</v>
      </c>
      <c r="K332" s="36" t="s">
        <v>48</v>
      </c>
      <c r="O332" s="36" t="s">
        <v>48</v>
      </c>
      <c r="R332" s="36" t="s">
        <v>48</v>
      </c>
    </row>
    <row r="333">
      <c r="G333" s="36" t="s">
        <v>48</v>
      </c>
      <c r="H333" s="50" t="s">
        <v>48</v>
      </c>
      <c r="I333" s="50" t="s">
        <v>48</v>
      </c>
      <c r="J333" s="36" t="s">
        <v>48</v>
      </c>
      <c r="K333" s="36" t="s">
        <v>48</v>
      </c>
      <c r="O333" s="36" t="s">
        <v>48</v>
      </c>
      <c r="R333" s="36" t="s">
        <v>48</v>
      </c>
    </row>
    <row r="334">
      <c r="G334" s="36" t="s">
        <v>48</v>
      </c>
      <c r="H334" s="50" t="s">
        <v>48</v>
      </c>
      <c r="I334" s="50" t="s">
        <v>48</v>
      </c>
      <c r="J334" s="36" t="s">
        <v>48</v>
      </c>
      <c r="K334" s="36" t="s">
        <v>48</v>
      </c>
      <c r="O334" s="36" t="s">
        <v>48</v>
      </c>
      <c r="R334" s="36" t="s">
        <v>48</v>
      </c>
    </row>
    <row r="335">
      <c r="G335" s="36" t="s">
        <v>48</v>
      </c>
      <c r="H335" s="50" t="s">
        <v>48</v>
      </c>
      <c r="I335" s="50" t="s">
        <v>48</v>
      </c>
      <c r="J335" s="36" t="s">
        <v>48</v>
      </c>
      <c r="K335" s="36" t="s">
        <v>48</v>
      </c>
      <c r="O335" s="36" t="s">
        <v>48</v>
      </c>
      <c r="R335" s="36" t="s">
        <v>48</v>
      </c>
    </row>
    <row r="336">
      <c r="G336" s="36" t="s">
        <v>48</v>
      </c>
      <c r="H336" s="50" t="s">
        <v>48</v>
      </c>
      <c r="I336" s="50" t="s">
        <v>48</v>
      </c>
      <c r="J336" s="36" t="s">
        <v>48</v>
      </c>
      <c r="K336" s="36" t="s">
        <v>48</v>
      </c>
      <c r="O336" s="36" t="s">
        <v>48</v>
      </c>
      <c r="R336" s="36" t="s">
        <v>48</v>
      </c>
    </row>
    <row r="337">
      <c r="G337" s="36" t="s">
        <v>48</v>
      </c>
      <c r="H337" s="50" t="s">
        <v>48</v>
      </c>
      <c r="I337" s="50" t="s">
        <v>48</v>
      </c>
      <c r="J337" s="36" t="s">
        <v>48</v>
      </c>
      <c r="K337" s="36" t="s">
        <v>48</v>
      </c>
      <c r="O337" s="36" t="s">
        <v>48</v>
      </c>
      <c r="R337" s="36" t="s">
        <v>48</v>
      </c>
    </row>
    <row r="338">
      <c r="G338" s="36" t="s">
        <v>48</v>
      </c>
      <c r="H338" s="50" t="s">
        <v>48</v>
      </c>
      <c r="I338" s="50" t="s">
        <v>48</v>
      </c>
      <c r="J338" s="36" t="s">
        <v>48</v>
      </c>
      <c r="K338" s="36" t="s">
        <v>48</v>
      </c>
      <c r="O338" s="36" t="s">
        <v>48</v>
      </c>
      <c r="R338" s="36" t="s">
        <v>48</v>
      </c>
    </row>
    <row r="339">
      <c r="G339" s="36" t="s">
        <v>48</v>
      </c>
      <c r="H339" s="50" t="s">
        <v>48</v>
      </c>
      <c r="I339" s="50" t="s">
        <v>48</v>
      </c>
      <c r="J339" s="36" t="s">
        <v>48</v>
      </c>
      <c r="K339" s="36" t="s">
        <v>48</v>
      </c>
      <c r="O339" s="36" t="s">
        <v>48</v>
      </c>
      <c r="R339" s="36" t="s">
        <v>48</v>
      </c>
    </row>
    <row r="340">
      <c r="G340" s="36" t="s">
        <v>48</v>
      </c>
      <c r="H340" s="50" t="s">
        <v>48</v>
      </c>
      <c r="I340" s="50" t="s">
        <v>48</v>
      </c>
      <c r="J340" s="36" t="s">
        <v>48</v>
      </c>
      <c r="K340" s="36" t="s">
        <v>48</v>
      </c>
      <c r="O340" s="36" t="s">
        <v>48</v>
      </c>
      <c r="R340" s="36" t="s">
        <v>48</v>
      </c>
    </row>
    <row r="341">
      <c r="G341" s="36" t="s">
        <v>48</v>
      </c>
      <c r="H341" s="50" t="s">
        <v>48</v>
      </c>
      <c r="I341" s="50" t="s">
        <v>48</v>
      </c>
      <c r="J341" s="36" t="s">
        <v>48</v>
      </c>
      <c r="K341" s="36" t="s">
        <v>48</v>
      </c>
      <c r="O341" s="36" t="s">
        <v>48</v>
      </c>
      <c r="R341" s="36" t="s">
        <v>48</v>
      </c>
    </row>
    <row r="342">
      <c r="G342" s="36" t="s">
        <v>48</v>
      </c>
      <c r="H342" s="50" t="s">
        <v>48</v>
      </c>
      <c r="I342" s="50" t="s">
        <v>48</v>
      </c>
      <c r="J342" s="36" t="s">
        <v>48</v>
      </c>
      <c r="K342" s="36" t="s">
        <v>48</v>
      </c>
      <c r="O342" s="36" t="s">
        <v>48</v>
      </c>
      <c r="R342" s="36" t="s">
        <v>48</v>
      </c>
    </row>
    <row r="343">
      <c r="G343" s="36" t="s">
        <v>48</v>
      </c>
      <c r="H343" s="50" t="s">
        <v>48</v>
      </c>
      <c r="I343" s="50" t="s">
        <v>48</v>
      </c>
      <c r="J343" s="36" t="s">
        <v>48</v>
      </c>
      <c r="K343" s="36" t="s">
        <v>48</v>
      </c>
      <c r="O343" s="36" t="s">
        <v>48</v>
      </c>
      <c r="R343" s="36" t="s">
        <v>48</v>
      </c>
    </row>
    <row r="344">
      <c r="G344" s="36" t="s">
        <v>48</v>
      </c>
      <c r="H344" s="50" t="s">
        <v>48</v>
      </c>
      <c r="I344" s="50" t="s">
        <v>48</v>
      </c>
      <c r="J344" s="36" t="s">
        <v>48</v>
      </c>
      <c r="K344" s="36" t="s">
        <v>48</v>
      </c>
      <c r="O344" s="36" t="s">
        <v>48</v>
      </c>
      <c r="R344" s="36" t="s">
        <v>48</v>
      </c>
    </row>
    <row r="345">
      <c r="G345" s="36" t="s">
        <v>48</v>
      </c>
      <c r="H345" s="50" t="s">
        <v>48</v>
      </c>
      <c r="I345" s="50" t="s">
        <v>48</v>
      </c>
      <c r="J345" s="36" t="s">
        <v>48</v>
      </c>
      <c r="K345" s="36" t="s">
        <v>48</v>
      </c>
      <c r="O345" s="36" t="s">
        <v>48</v>
      </c>
      <c r="R345" s="36" t="s">
        <v>48</v>
      </c>
    </row>
    <row r="346">
      <c r="G346" s="36" t="s">
        <v>48</v>
      </c>
      <c r="H346" s="50" t="s">
        <v>48</v>
      </c>
      <c r="I346" s="50" t="s">
        <v>48</v>
      </c>
      <c r="J346" s="36" t="s">
        <v>48</v>
      </c>
      <c r="K346" s="36" t="s">
        <v>48</v>
      </c>
      <c r="O346" s="36" t="s">
        <v>48</v>
      </c>
      <c r="R346" s="36" t="s">
        <v>48</v>
      </c>
    </row>
    <row r="347">
      <c r="G347" s="36" t="s">
        <v>48</v>
      </c>
      <c r="H347" s="50" t="s">
        <v>48</v>
      </c>
      <c r="I347" s="50" t="s">
        <v>48</v>
      </c>
      <c r="J347" s="36" t="s">
        <v>48</v>
      </c>
      <c r="K347" s="36" t="s">
        <v>48</v>
      </c>
      <c r="O347" s="36" t="s">
        <v>48</v>
      </c>
      <c r="R347" s="36" t="s">
        <v>48</v>
      </c>
    </row>
    <row r="348">
      <c r="G348" s="36" t="s">
        <v>48</v>
      </c>
      <c r="H348" s="50" t="s">
        <v>48</v>
      </c>
      <c r="I348" s="50" t="s">
        <v>48</v>
      </c>
      <c r="J348" s="36" t="s">
        <v>48</v>
      </c>
      <c r="K348" s="36" t="s">
        <v>48</v>
      </c>
      <c r="O348" s="36" t="s">
        <v>48</v>
      </c>
      <c r="R348" s="36" t="s">
        <v>48</v>
      </c>
    </row>
    <row r="349">
      <c r="G349" s="36" t="s">
        <v>48</v>
      </c>
      <c r="H349" s="50" t="s">
        <v>48</v>
      </c>
      <c r="I349" s="50" t="s">
        <v>48</v>
      </c>
      <c r="J349" s="36" t="s">
        <v>48</v>
      </c>
      <c r="K349" s="36" t="s">
        <v>48</v>
      </c>
      <c r="O349" s="36" t="s">
        <v>48</v>
      </c>
      <c r="R349" s="36" t="s">
        <v>48</v>
      </c>
    </row>
    <row r="350">
      <c r="G350" s="36" t="s">
        <v>48</v>
      </c>
      <c r="H350" s="50" t="s">
        <v>48</v>
      </c>
      <c r="I350" s="50" t="s">
        <v>48</v>
      </c>
      <c r="J350" s="36" t="s">
        <v>48</v>
      </c>
      <c r="K350" s="36" t="s">
        <v>48</v>
      </c>
      <c r="O350" s="36" t="s">
        <v>48</v>
      </c>
      <c r="R350" s="36" t="s">
        <v>48</v>
      </c>
    </row>
    <row r="351">
      <c r="G351" s="36" t="s">
        <v>48</v>
      </c>
      <c r="H351" s="50" t="s">
        <v>48</v>
      </c>
      <c r="I351" s="50" t="s">
        <v>48</v>
      </c>
      <c r="J351" s="36" t="s">
        <v>48</v>
      </c>
      <c r="K351" s="36" t="s">
        <v>48</v>
      </c>
      <c r="O351" s="36" t="s">
        <v>48</v>
      </c>
      <c r="R351" s="36" t="s">
        <v>48</v>
      </c>
    </row>
    <row r="352">
      <c r="G352" s="36" t="s">
        <v>48</v>
      </c>
      <c r="H352" s="50" t="s">
        <v>48</v>
      </c>
      <c r="I352" s="50" t="s">
        <v>48</v>
      </c>
      <c r="J352" s="36" t="s">
        <v>48</v>
      </c>
      <c r="K352" s="36" t="s">
        <v>48</v>
      </c>
      <c r="O352" s="36" t="s">
        <v>48</v>
      </c>
      <c r="R352" s="36" t="s">
        <v>48</v>
      </c>
    </row>
    <row r="353">
      <c r="G353" s="36" t="s">
        <v>48</v>
      </c>
      <c r="H353" s="50" t="s">
        <v>48</v>
      </c>
      <c r="I353" s="50" t="s">
        <v>48</v>
      </c>
      <c r="J353" s="36" t="s">
        <v>48</v>
      </c>
      <c r="K353" s="36" t="s">
        <v>48</v>
      </c>
      <c r="O353" s="36" t="s">
        <v>48</v>
      </c>
      <c r="R353" s="36" t="s">
        <v>48</v>
      </c>
    </row>
    <row r="354">
      <c r="G354" s="36" t="s">
        <v>48</v>
      </c>
      <c r="H354" s="50" t="s">
        <v>48</v>
      </c>
      <c r="I354" s="50" t="s">
        <v>48</v>
      </c>
      <c r="J354" s="36" t="s">
        <v>48</v>
      </c>
      <c r="K354" s="36" t="s">
        <v>48</v>
      </c>
      <c r="O354" s="36" t="s">
        <v>48</v>
      </c>
      <c r="R354" s="36" t="s">
        <v>48</v>
      </c>
    </row>
    <row r="355">
      <c r="G355" s="36" t="s">
        <v>48</v>
      </c>
      <c r="H355" s="50" t="s">
        <v>48</v>
      </c>
      <c r="I355" s="50" t="s">
        <v>48</v>
      </c>
      <c r="J355" s="36" t="s">
        <v>48</v>
      </c>
      <c r="K355" s="36" t="s">
        <v>48</v>
      </c>
      <c r="O355" s="36" t="s">
        <v>48</v>
      </c>
      <c r="R355" s="36" t="s">
        <v>48</v>
      </c>
    </row>
    <row r="356">
      <c r="G356" s="36" t="s">
        <v>48</v>
      </c>
      <c r="H356" s="50" t="s">
        <v>48</v>
      </c>
      <c r="I356" s="50" t="s">
        <v>48</v>
      </c>
      <c r="J356" s="36" t="s">
        <v>48</v>
      </c>
      <c r="K356" s="36" t="s">
        <v>48</v>
      </c>
      <c r="O356" s="36" t="s">
        <v>48</v>
      </c>
      <c r="R356" s="36" t="s">
        <v>48</v>
      </c>
    </row>
    <row r="357">
      <c r="G357" s="36" t="s">
        <v>48</v>
      </c>
      <c r="H357" s="50" t="s">
        <v>48</v>
      </c>
      <c r="I357" s="50" t="s">
        <v>48</v>
      </c>
      <c r="J357" s="36" t="s">
        <v>48</v>
      </c>
      <c r="K357" s="36" t="s">
        <v>48</v>
      </c>
      <c r="O357" s="36" t="s">
        <v>48</v>
      </c>
      <c r="R357" s="36" t="s">
        <v>48</v>
      </c>
    </row>
    <row r="358">
      <c r="G358" s="36" t="s">
        <v>48</v>
      </c>
      <c r="H358" s="50" t="s">
        <v>48</v>
      </c>
      <c r="I358" s="50" t="s">
        <v>48</v>
      </c>
      <c r="J358" s="36" t="s">
        <v>48</v>
      </c>
      <c r="K358" s="36" t="s">
        <v>48</v>
      </c>
      <c r="O358" s="36" t="s">
        <v>48</v>
      </c>
      <c r="R358" s="36" t="s">
        <v>48</v>
      </c>
    </row>
    <row r="359">
      <c r="G359" s="36" t="s">
        <v>48</v>
      </c>
      <c r="H359" s="50" t="s">
        <v>48</v>
      </c>
      <c r="I359" s="50" t="s">
        <v>48</v>
      </c>
      <c r="J359" s="36" t="s">
        <v>48</v>
      </c>
      <c r="K359" s="36" t="s">
        <v>48</v>
      </c>
      <c r="O359" s="36" t="s">
        <v>48</v>
      </c>
      <c r="R359" s="36" t="s">
        <v>48</v>
      </c>
    </row>
    <row r="360">
      <c r="G360" s="36" t="s">
        <v>48</v>
      </c>
      <c r="H360" s="50" t="s">
        <v>48</v>
      </c>
      <c r="I360" s="50" t="s">
        <v>48</v>
      </c>
      <c r="J360" s="36" t="s">
        <v>48</v>
      </c>
      <c r="K360" s="36" t="s">
        <v>48</v>
      </c>
      <c r="O360" s="36" t="s">
        <v>48</v>
      </c>
      <c r="R360" s="36" t="s">
        <v>48</v>
      </c>
    </row>
    <row r="361">
      <c r="G361" s="36" t="s">
        <v>48</v>
      </c>
      <c r="H361" s="50" t="s">
        <v>48</v>
      </c>
      <c r="I361" s="50" t="s">
        <v>48</v>
      </c>
      <c r="J361" s="36" t="s">
        <v>48</v>
      </c>
      <c r="K361" s="36" t="s">
        <v>48</v>
      </c>
      <c r="O361" s="36" t="s">
        <v>48</v>
      </c>
      <c r="R361" s="36" t="s">
        <v>48</v>
      </c>
    </row>
    <row r="362">
      <c r="G362" s="36" t="s">
        <v>48</v>
      </c>
      <c r="H362" s="50" t="s">
        <v>48</v>
      </c>
      <c r="I362" s="50" t="s">
        <v>48</v>
      </c>
      <c r="J362" s="36" t="s">
        <v>48</v>
      </c>
      <c r="K362" s="36" t="s">
        <v>48</v>
      </c>
      <c r="O362" s="36" t="s">
        <v>48</v>
      </c>
      <c r="R362" s="36" t="s">
        <v>48</v>
      </c>
    </row>
    <row r="363">
      <c r="G363" s="36" t="s">
        <v>48</v>
      </c>
      <c r="H363" s="50" t="s">
        <v>48</v>
      </c>
      <c r="I363" s="50" t="s">
        <v>48</v>
      </c>
      <c r="J363" s="36" t="s">
        <v>48</v>
      </c>
      <c r="K363" s="36" t="s">
        <v>48</v>
      </c>
      <c r="O363" s="36" t="s">
        <v>48</v>
      </c>
      <c r="R363" s="36" t="s">
        <v>48</v>
      </c>
    </row>
    <row r="364">
      <c r="G364" s="36" t="s">
        <v>48</v>
      </c>
      <c r="H364" s="50" t="s">
        <v>48</v>
      </c>
      <c r="I364" s="50" t="s">
        <v>48</v>
      </c>
      <c r="J364" s="36" t="s">
        <v>48</v>
      </c>
      <c r="K364" s="36" t="s">
        <v>48</v>
      </c>
      <c r="O364" s="36" t="s">
        <v>48</v>
      </c>
      <c r="R364" s="36" t="s">
        <v>48</v>
      </c>
    </row>
    <row r="365">
      <c r="G365" s="36" t="s">
        <v>48</v>
      </c>
      <c r="H365" s="50" t="s">
        <v>48</v>
      </c>
      <c r="I365" s="50" t="s">
        <v>48</v>
      </c>
      <c r="J365" s="36" t="s">
        <v>48</v>
      </c>
      <c r="K365" s="36" t="s">
        <v>48</v>
      </c>
      <c r="O365" s="36" t="s">
        <v>48</v>
      </c>
      <c r="R365" s="36" t="s">
        <v>48</v>
      </c>
    </row>
    <row r="366">
      <c r="G366" s="36" t="s">
        <v>48</v>
      </c>
      <c r="H366" s="50" t="s">
        <v>48</v>
      </c>
      <c r="I366" s="50" t="s">
        <v>48</v>
      </c>
      <c r="J366" s="36" t="s">
        <v>48</v>
      </c>
      <c r="K366" s="36" t="s">
        <v>48</v>
      </c>
      <c r="O366" s="36" t="s">
        <v>48</v>
      </c>
      <c r="R366" s="36" t="s">
        <v>48</v>
      </c>
    </row>
    <row r="367">
      <c r="G367" s="36" t="s">
        <v>48</v>
      </c>
      <c r="H367" s="50" t="s">
        <v>48</v>
      </c>
      <c r="I367" s="50" t="s">
        <v>48</v>
      </c>
      <c r="J367" s="36" t="s">
        <v>48</v>
      </c>
      <c r="K367" s="36" t="s">
        <v>48</v>
      </c>
      <c r="O367" s="36" t="s">
        <v>48</v>
      </c>
      <c r="R367" s="36" t="s">
        <v>48</v>
      </c>
    </row>
    <row r="368">
      <c r="G368" s="36" t="s">
        <v>48</v>
      </c>
      <c r="H368" s="50" t="s">
        <v>48</v>
      </c>
      <c r="I368" s="50" t="s">
        <v>48</v>
      </c>
      <c r="J368" s="36" t="s">
        <v>48</v>
      </c>
      <c r="K368" s="36" t="s">
        <v>48</v>
      </c>
      <c r="O368" s="36" t="s">
        <v>48</v>
      </c>
      <c r="R368" s="36" t="s">
        <v>48</v>
      </c>
    </row>
    <row r="369">
      <c r="G369" s="36" t="s">
        <v>48</v>
      </c>
      <c r="H369" s="50" t="s">
        <v>48</v>
      </c>
      <c r="I369" s="50" t="s">
        <v>48</v>
      </c>
      <c r="J369" s="36" t="s">
        <v>48</v>
      </c>
      <c r="K369" s="36" t="s">
        <v>48</v>
      </c>
      <c r="O369" s="36" t="s">
        <v>48</v>
      </c>
      <c r="R369" s="36" t="s">
        <v>48</v>
      </c>
    </row>
    <row r="370">
      <c r="G370" s="36" t="s">
        <v>48</v>
      </c>
      <c r="H370" s="50" t="s">
        <v>48</v>
      </c>
      <c r="I370" s="50" t="s">
        <v>48</v>
      </c>
      <c r="J370" s="36" t="s">
        <v>48</v>
      </c>
      <c r="K370" s="36" t="s">
        <v>48</v>
      </c>
      <c r="O370" s="36" t="s">
        <v>48</v>
      </c>
      <c r="R370" s="36" t="s">
        <v>48</v>
      </c>
    </row>
    <row r="371">
      <c r="G371" s="36" t="s">
        <v>48</v>
      </c>
      <c r="H371" s="50" t="s">
        <v>48</v>
      </c>
      <c r="I371" s="50" t="s">
        <v>48</v>
      </c>
      <c r="J371" s="36" t="s">
        <v>48</v>
      </c>
      <c r="K371" s="36" t="s">
        <v>48</v>
      </c>
      <c r="O371" s="36" t="s">
        <v>48</v>
      </c>
      <c r="R371" s="36" t="s">
        <v>48</v>
      </c>
    </row>
    <row r="372">
      <c r="G372" s="36" t="s">
        <v>48</v>
      </c>
      <c r="H372" s="50" t="s">
        <v>48</v>
      </c>
      <c r="I372" s="50" t="s">
        <v>48</v>
      </c>
      <c r="J372" s="36" t="s">
        <v>48</v>
      </c>
      <c r="K372" s="36" t="s">
        <v>48</v>
      </c>
      <c r="O372" s="36" t="s">
        <v>48</v>
      </c>
      <c r="R372" s="36" t="s">
        <v>48</v>
      </c>
    </row>
    <row r="373">
      <c r="G373" s="36" t="s">
        <v>48</v>
      </c>
      <c r="H373" s="50" t="s">
        <v>48</v>
      </c>
      <c r="I373" s="50" t="s">
        <v>48</v>
      </c>
      <c r="J373" s="36" t="s">
        <v>48</v>
      </c>
      <c r="K373" s="36" t="s">
        <v>48</v>
      </c>
      <c r="O373" s="36" t="s">
        <v>48</v>
      </c>
      <c r="R373" s="36" t="s">
        <v>48</v>
      </c>
    </row>
    <row r="374">
      <c r="G374" s="36" t="s">
        <v>48</v>
      </c>
      <c r="H374" s="50" t="s">
        <v>48</v>
      </c>
      <c r="I374" s="50" t="s">
        <v>48</v>
      </c>
      <c r="J374" s="36" t="s">
        <v>48</v>
      </c>
      <c r="K374" s="36" t="s">
        <v>48</v>
      </c>
      <c r="O374" s="36" t="s">
        <v>48</v>
      </c>
      <c r="R374" s="36" t="s">
        <v>48</v>
      </c>
    </row>
    <row r="375">
      <c r="G375" s="36" t="s">
        <v>48</v>
      </c>
      <c r="H375" s="50" t="s">
        <v>48</v>
      </c>
      <c r="I375" s="50" t="s">
        <v>48</v>
      </c>
      <c r="J375" s="36" t="s">
        <v>48</v>
      </c>
      <c r="K375" s="36" t="s">
        <v>48</v>
      </c>
      <c r="O375" s="36" t="s">
        <v>48</v>
      </c>
      <c r="R375" s="36" t="s">
        <v>48</v>
      </c>
    </row>
    <row r="376">
      <c r="G376" s="36" t="s">
        <v>48</v>
      </c>
      <c r="H376" s="50" t="s">
        <v>48</v>
      </c>
      <c r="I376" s="50" t="s">
        <v>48</v>
      </c>
      <c r="J376" s="36" t="s">
        <v>48</v>
      </c>
      <c r="K376" s="36" t="s">
        <v>48</v>
      </c>
      <c r="O376" s="36" t="s">
        <v>48</v>
      </c>
      <c r="R376" s="36" t="s">
        <v>48</v>
      </c>
    </row>
    <row r="377">
      <c r="G377" s="36" t="s">
        <v>48</v>
      </c>
      <c r="H377" s="50" t="s">
        <v>48</v>
      </c>
      <c r="I377" s="50" t="s">
        <v>48</v>
      </c>
      <c r="J377" s="36" t="s">
        <v>48</v>
      </c>
      <c r="K377" s="36" t="s">
        <v>48</v>
      </c>
      <c r="O377" s="36" t="s">
        <v>48</v>
      </c>
      <c r="R377" s="36" t="s">
        <v>48</v>
      </c>
    </row>
    <row r="378">
      <c r="G378" s="36" t="s">
        <v>48</v>
      </c>
      <c r="H378" s="50" t="s">
        <v>48</v>
      </c>
      <c r="I378" s="50" t="s">
        <v>48</v>
      </c>
      <c r="J378" s="36" t="s">
        <v>48</v>
      </c>
      <c r="K378" s="36" t="s">
        <v>48</v>
      </c>
      <c r="O378" s="36" t="s">
        <v>48</v>
      </c>
      <c r="R378" s="36" t="s">
        <v>48</v>
      </c>
    </row>
    <row r="379">
      <c r="G379" s="36" t="s">
        <v>48</v>
      </c>
      <c r="H379" s="50" t="s">
        <v>48</v>
      </c>
      <c r="I379" s="50" t="s">
        <v>48</v>
      </c>
      <c r="J379" s="36" t="s">
        <v>48</v>
      </c>
      <c r="K379" s="36" t="s">
        <v>48</v>
      </c>
      <c r="O379" s="36" t="s">
        <v>48</v>
      </c>
      <c r="R379" s="36" t="s">
        <v>48</v>
      </c>
    </row>
    <row r="380">
      <c r="G380" s="36" t="s">
        <v>48</v>
      </c>
      <c r="H380" s="50" t="s">
        <v>48</v>
      </c>
      <c r="I380" s="50" t="s">
        <v>48</v>
      </c>
      <c r="J380" s="36" t="s">
        <v>48</v>
      </c>
      <c r="K380" s="36" t="s">
        <v>48</v>
      </c>
      <c r="O380" s="36" t="s">
        <v>48</v>
      </c>
      <c r="R380" s="36" t="s">
        <v>48</v>
      </c>
    </row>
    <row r="381">
      <c r="G381" s="36" t="s">
        <v>48</v>
      </c>
      <c r="H381" s="50" t="s">
        <v>48</v>
      </c>
      <c r="I381" s="50" t="s">
        <v>48</v>
      </c>
      <c r="J381" s="36" t="s">
        <v>48</v>
      </c>
      <c r="K381" s="36" t="s">
        <v>48</v>
      </c>
      <c r="O381" s="36" t="s">
        <v>48</v>
      </c>
      <c r="R381" s="36" t="s">
        <v>48</v>
      </c>
    </row>
    <row r="382">
      <c r="G382" s="36" t="s">
        <v>48</v>
      </c>
      <c r="H382" s="50" t="s">
        <v>48</v>
      </c>
      <c r="I382" s="50" t="s">
        <v>48</v>
      </c>
      <c r="J382" s="36" t="s">
        <v>48</v>
      </c>
      <c r="K382" s="36" t="s">
        <v>48</v>
      </c>
      <c r="O382" s="36" t="s">
        <v>48</v>
      </c>
      <c r="R382" s="36" t="s">
        <v>48</v>
      </c>
    </row>
    <row r="383">
      <c r="G383" s="36" t="s">
        <v>48</v>
      </c>
      <c r="H383" s="50" t="s">
        <v>48</v>
      </c>
      <c r="I383" s="50" t="s">
        <v>48</v>
      </c>
      <c r="J383" s="36" t="s">
        <v>48</v>
      </c>
      <c r="K383" s="36" t="s">
        <v>48</v>
      </c>
      <c r="O383" s="36" t="s">
        <v>48</v>
      </c>
      <c r="R383" s="36" t="s">
        <v>48</v>
      </c>
    </row>
    <row r="384">
      <c r="G384" s="36" t="s">
        <v>48</v>
      </c>
      <c r="H384" s="50" t="s">
        <v>48</v>
      </c>
      <c r="I384" s="50" t="s">
        <v>48</v>
      </c>
      <c r="J384" s="36" t="s">
        <v>48</v>
      </c>
      <c r="K384" s="36" t="s">
        <v>48</v>
      </c>
      <c r="O384" s="36" t="s">
        <v>48</v>
      </c>
      <c r="R384" s="36" t="s">
        <v>48</v>
      </c>
    </row>
    <row r="385">
      <c r="G385" s="36" t="s">
        <v>48</v>
      </c>
      <c r="H385" s="50" t="s">
        <v>48</v>
      </c>
      <c r="I385" s="50" t="s">
        <v>48</v>
      </c>
      <c r="J385" s="36" t="s">
        <v>48</v>
      </c>
      <c r="K385" s="36" t="s">
        <v>48</v>
      </c>
      <c r="O385" s="36" t="s">
        <v>48</v>
      </c>
      <c r="R385" s="36" t="s">
        <v>48</v>
      </c>
    </row>
    <row r="386">
      <c r="G386" s="36" t="s">
        <v>48</v>
      </c>
      <c r="H386" s="50" t="s">
        <v>48</v>
      </c>
      <c r="I386" s="50" t="s">
        <v>48</v>
      </c>
      <c r="J386" s="36" t="s">
        <v>48</v>
      </c>
      <c r="K386" s="36" t="s">
        <v>48</v>
      </c>
      <c r="O386" s="36" t="s">
        <v>48</v>
      </c>
      <c r="R386" s="36" t="s">
        <v>48</v>
      </c>
    </row>
    <row r="387">
      <c r="G387" s="36" t="s">
        <v>48</v>
      </c>
      <c r="H387" s="50" t="s">
        <v>48</v>
      </c>
      <c r="I387" s="50" t="s">
        <v>48</v>
      </c>
      <c r="J387" s="36" t="s">
        <v>48</v>
      </c>
      <c r="K387" s="36" t="s">
        <v>48</v>
      </c>
      <c r="O387" s="36" t="s">
        <v>48</v>
      </c>
      <c r="R387" s="36" t="s">
        <v>48</v>
      </c>
    </row>
    <row r="388">
      <c r="G388" s="36" t="s">
        <v>48</v>
      </c>
      <c r="H388" s="50" t="s">
        <v>48</v>
      </c>
      <c r="I388" s="50" t="s">
        <v>48</v>
      </c>
      <c r="J388" s="36" t="s">
        <v>48</v>
      </c>
      <c r="K388" s="36" t="s">
        <v>48</v>
      </c>
      <c r="O388" s="36" t="s">
        <v>48</v>
      </c>
      <c r="R388" s="36" t="s">
        <v>48</v>
      </c>
    </row>
    <row r="389">
      <c r="G389" s="36" t="s">
        <v>48</v>
      </c>
      <c r="H389" s="50" t="s">
        <v>48</v>
      </c>
      <c r="I389" s="50" t="s">
        <v>48</v>
      </c>
      <c r="J389" s="36" t="s">
        <v>48</v>
      </c>
      <c r="K389" s="36" t="s">
        <v>48</v>
      </c>
      <c r="O389" s="36" t="s">
        <v>48</v>
      </c>
      <c r="R389" s="36" t="s">
        <v>48</v>
      </c>
    </row>
    <row r="390">
      <c r="G390" s="36" t="s">
        <v>48</v>
      </c>
      <c r="H390" s="50" t="s">
        <v>48</v>
      </c>
      <c r="I390" s="50" t="s">
        <v>48</v>
      </c>
      <c r="J390" s="36" t="s">
        <v>48</v>
      </c>
      <c r="K390" s="36" t="s">
        <v>48</v>
      </c>
      <c r="O390" s="36" t="s">
        <v>48</v>
      </c>
      <c r="R390" s="36" t="s">
        <v>48</v>
      </c>
    </row>
    <row r="391">
      <c r="G391" s="36" t="s">
        <v>48</v>
      </c>
      <c r="H391" s="50" t="s">
        <v>48</v>
      </c>
      <c r="I391" s="50" t="s">
        <v>48</v>
      </c>
      <c r="J391" s="36" t="s">
        <v>48</v>
      </c>
      <c r="K391" s="36" t="s">
        <v>48</v>
      </c>
      <c r="O391" s="36" t="s">
        <v>48</v>
      </c>
      <c r="R391" s="36" t="s">
        <v>48</v>
      </c>
    </row>
    <row r="392">
      <c r="G392" s="36" t="s">
        <v>48</v>
      </c>
      <c r="H392" s="50" t="s">
        <v>48</v>
      </c>
      <c r="I392" s="50" t="s">
        <v>48</v>
      </c>
      <c r="J392" s="36" t="s">
        <v>48</v>
      </c>
      <c r="K392" s="36" t="s">
        <v>48</v>
      </c>
      <c r="O392" s="36" t="s">
        <v>48</v>
      </c>
      <c r="R392" s="36" t="s">
        <v>48</v>
      </c>
    </row>
    <row r="393">
      <c r="G393" s="36" t="s">
        <v>48</v>
      </c>
      <c r="H393" s="50" t="s">
        <v>48</v>
      </c>
      <c r="I393" s="50" t="s">
        <v>48</v>
      </c>
      <c r="J393" s="36" t="s">
        <v>48</v>
      </c>
      <c r="K393" s="36" t="s">
        <v>48</v>
      </c>
      <c r="O393" s="36" t="s">
        <v>48</v>
      </c>
      <c r="R393" s="36" t="s">
        <v>48</v>
      </c>
    </row>
    <row r="394">
      <c r="G394" s="36" t="s">
        <v>48</v>
      </c>
      <c r="H394" s="50" t="s">
        <v>48</v>
      </c>
      <c r="I394" s="50" t="s">
        <v>48</v>
      </c>
      <c r="J394" s="36" t="s">
        <v>48</v>
      </c>
      <c r="K394" s="36" t="s">
        <v>48</v>
      </c>
      <c r="O394" s="36" t="s">
        <v>48</v>
      </c>
      <c r="R394" s="36" t="s">
        <v>48</v>
      </c>
    </row>
    <row r="395">
      <c r="G395" s="36" t="s">
        <v>48</v>
      </c>
      <c r="H395" s="50" t="s">
        <v>48</v>
      </c>
      <c r="I395" s="50" t="s">
        <v>48</v>
      </c>
      <c r="J395" s="36" t="s">
        <v>48</v>
      </c>
      <c r="K395" s="36" t="s">
        <v>48</v>
      </c>
      <c r="O395" s="36" t="s">
        <v>48</v>
      </c>
      <c r="R395" s="36" t="s">
        <v>48</v>
      </c>
    </row>
    <row r="396">
      <c r="G396" s="36" t="s">
        <v>48</v>
      </c>
      <c r="H396" s="50" t="s">
        <v>48</v>
      </c>
      <c r="I396" s="50" t="s">
        <v>48</v>
      </c>
      <c r="J396" s="36" t="s">
        <v>48</v>
      </c>
      <c r="K396" s="36" t="s">
        <v>48</v>
      </c>
      <c r="O396" s="36" t="s">
        <v>48</v>
      </c>
      <c r="R396" s="36" t="s">
        <v>48</v>
      </c>
    </row>
    <row r="397">
      <c r="G397" s="36" t="s">
        <v>48</v>
      </c>
      <c r="H397" s="50" t="s">
        <v>48</v>
      </c>
      <c r="I397" s="50" t="s">
        <v>48</v>
      </c>
      <c r="J397" s="36" t="s">
        <v>48</v>
      </c>
      <c r="K397" s="36" t="s">
        <v>48</v>
      </c>
      <c r="O397" s="36" t="s">
        <v>48</v>
      </c>
      <c r="R397" s="36" t="s">
        <v>48</v>
      </c>
    </row>
    <row r="398">
      <c r="G398" s="36" t="s">
        <v>48</v>
      </c>
      <c r="H398" s="50" t="s">
        <v>48</v>
      </c>
      <c r="I398" s="50" t="s">
        <v>48</v>
      </c>
      <c r="J398" s="36" t="s">
        <v>48</v>
      </c>
      <c r="K398" s="36" t="s">
        <v>48</v>
      </c>
      <c r="O398" s="36" t="s">
        <v>48</v>
      </c>
      <c r="R398" s="36" t="s">
        <v>48</v>
      </c>
    </row>
    <row r="399">
      <c r="G399" s="36" t="s">
        <v>48</v>
      </c>
      <c r="H399" s="50" t="s">
        <v>48</v>
      </c>
      <c r="I399" s="50" t="s">
        <v>48</v>
      </c>
      <c r="J399" s="36" t="s">
        <v>48</v>
      </c>
      <c r="K399" s="36" t="s">
        <v>48</v>
      </c>
      <c r="O399" s="36" t="s">
        <v>48</v>
      </c>
      <c r="R399" s="36" t="s">
        <v>48</v>
      </c>
    </row>
    <row r="400">
      <c r="G400" s="36" t="s">
        <v>48</v>
      </c>
      <c r="H400" s="50" t="s">
        <v>48</v>
      </c>
      <c r="I400" s="50" t="s">
        <v>48</v>
      </c>
      <c r="J400" s="36" t="s">
        <v>48</v>
      </c>
      <c r="K400" s="36" t="s">
        <v>48</v>
      </c>
      <c r="O400" s="36" t="s">
        <v>48</v>
      </c>
      <c r="R400" s="36" t="s">
        <v>48</v>
      </c>
    </row>
    <row r="401">
      <c r="G401" s="36" t="s">
        <v>48</v>
      </c>
      <c r="H401" s="50" t="s">
        <v>48</v>
      </c>
      <c r="I401" s="50" t="s">
        <v>48</v>
      </c>
      <c r="J401" s="36" t="s">
        <v>48</v>
      </c>
      <c r="K401" s="36" t="s">
        <v>48</v>
      </c>
      <c r="O401" s="36" t="s">
        <v>48</v>
      </c>
      <c r="R401" s="36" t="s">
        <v>48</v>
      </c>
    </row>
    <row r="402">
      <c r="G402" s="36" t="s">
        <v>48</v>
      </c>
      <c r="H402" s="50" t="s">
        <v>48</v>
      </c>
      <c r="I402" s="50" t="s">
        <v>48</v>
      </c>
      <c r="J402" s="36" t="s">
        <v>48</v>
      </c>
      <c r="K402" s="36" t="s">
        <v>48</v>
      </c>
      <c r="O402" s="36" t="s">
        <v>48</v>
      </c>
      <c r="R402" s="36" t="s">
        <v>48</v>
      </c>
    </row>
    <row r="403">
      <c r="G403" s="36" t="s">
        <v>48</v>
      </c>
      <c r="H403" s="50" t="s">
        <v>48</v>
      </c>
      <c r="I403" s="50" t="s">
        <v>48</v>
      </c>
      <c r="J403" s="36" t="s">
        <v>48</v>
      </c>
      <c r="K403" s="36" t="s">
        <v>48</v>
      </c>
      <c r="O403" s="36" t="s">
        <v>48</v>
      </c>
      <c r="R403" s="36" t="s">
        <v>48</v>
      </c>
    </row>
    <row r="404">
      <c r="G404" s="36" t="s">
        <v>48</v>
      </c>
      <c r="H404" s="50" t="s">
        <v>48</v>
      </c>
      <c r="I404" s="50" t="s">
        <v>48</v>
      </c>
      <c r="J404" s="36" t="s">
        <v>48</v>
      </c>
      <c r="K404" s="36" t="s">
        <v>48</v>
      </c>
      <c r="O404" s="36" t="s">
        <v>48</v>
      </c>
      <c r="R404" s="36" t="s">
        <v>48</v>
      </c>
    </row>
    <row r="405">
      <c r="G405" s="36" t="s">
        <v>48</v>
      </c>
      <c r="H405" s="50" t="s">
        <v>48</v>
      </c>
      <c r="I405" s="50" t="s">
        <v>48</v>
      </c>
      <c r="J405" s="36" t="s">
        <v>48</v>
      </c>
      <c r="K405" s="36" t="s">
        <v>48</v>
      </c>
      <c r="O405" s="36" t="s">
        <v>48</v>
      </c>
      <c r="R405" s="36" t="s">
        <v>48</v>
      </c>
    </row>
    <row r="406">
      <c r="G406" s="36" t="s">
        <v>48</v>
      </c>
      <c r="H406" s="50" t="s">
        <v>48</v>
      </c>
      <c r="I406" s="50" t="s">
        <v>48</v>
      </c>
      <c r="J406" s="36" t="s">
        <v>48</v>
      </c>
      <c r="K406" s="36" t="s">
        <v>48</v>
      </c>
      <c r="O406" s="36" t="s">
        <v>48</v>
      </c>
      <c r="R406" s="36" t="s">
        <v>48</v>
      </c>
    </row>
    <row r="407">
      <c r="G407" s="36" t="s">
        <v>48</v>
      </c>
      <c r="H407" s="50" t="s">
        <v>48</v>
      </c>
      <c r="I407" s="50" t="s">
        <v>48</v>
      </c>
      <c r="J407" s="36" t="s">
        <v>48</v>
      </c>
      <c r="K407" s="36" t="s">
        <v>48</v>
      </c>
      <c r="O407" s="36" t="s">
        <v>48</v>
      </c>
      <c r="R407" s="36" t="s">
        <v>48</v>
      </c>
    </row>
    <row r="408">
      <c r="G408" s="36" t="s">
        <v>48</v>
      </c>
      <c r="H408" s="50" t="s">
        <v>48</v>
      </c>
      <c r="I408" s="50" t="s">
        <v>48</v>
      </c>
      <c r="J408" s="36" t="s">
        <v>48</v>
      </c>
      <c r="K408" s="36" t="s">
        <v>48</v>
      </c>
      <c r="O408" s="36" t="s">
        <v>48</v>
      </c>
      <c r="R408" s="36" t="s">
        <v>48</v>
      </c>
    </row>
    <row r="409">
      <c r="G409" s="36" t="s">
        <v>48</v>
      </c>
      <c r="H409" s="50" t="s">
        <v>48</v>
      </c>
      <c r="I409" s="50" t="s">
        <v>48</v>
      </c>
      <c r="J409" s="36" t="s">
        <v>48</v>
      </c>
      <c r="K409" s="36" t="s">
        <v>48</v>
      </c>
      <c r="O409" s="36" t="s">
        <v>48</v>
      </c>
      <c r="R409" s="36" t="s">
        <v>48</v>
      </c>
    </row>
    <row r="410">
      <c r="G410" s="36" t="s">
        <v>48</v>
      </c>
      <c r="H410" s="50" t="s">
        <v>48</v>
      </c>
      <c r="I410" s="50" t="s">
        <v>48</v>
      </c>
      <c r="J410" s="36" t="s">
        <v>48</v>
      </c>
      <c r="K410" s="36" t="s">
        <v>48</v>
      </c>
      <c r="O410" s="36" t="s">
        <v>48</v>
      </c>
      <c r="R410" s="36" t="s">
        <v>48</v>
      </c>
    </row>
    <row r="411">
      <c r="G411" s="36" t="s">
        <v>48</v>
      </c>
      <c r="H411" s="50" t="s">
        <v>48</v>
      </c>
      <c r="I411" s="50" t="s">
        <v>48</v>
      </c>
      <c r="J411" s="36" t="s">
        <v>48</v>
      </c>
      <c r="K411" s="36" t="s">
        <v>48</v>
      </c>
      <c r="O411" s="36" t="s">
        <v>48</v>
      </c>
      <c r="R411" s="36" t="s">
        <v>48</v>
      </c>
    </row>
    <row r="412">
      <c r="G412" s="36" t="s">
        <v>48</v>
      </c>
      <c r="H412" s="50" t="s">
        <v>48</v>
      </c>
      <c r="I412" s="50" t="s">
        <v>48</v>
      </c>
      <c r="J412" s="36" t="s">
        <v>48</v>
      </c>
      <c r="K412" s="36" t="s">
        <v>48</v>
      </c>
      <c r="O412" s="36" t="s">
        <v>48</v>
      </c>
      <c r="R412" s="36" t="s">
        <v>48</v>
      </c>
    </row>
    <row r="413">
      <c r="G413" s="36" t="s">
        <v>48</v>
      </c>
      <c r="H413" s="50" t="s">
        <v>48</v>
      </c>
      <c r="I413" s="50" t="s">
        <v>48</v>
      </c>
      <c r="J413" s="36" t="s">
        <v>48</v>
      </c>
      <c r="K413" s="36" t="s">
        <v>48</v>
      </c>
      <c r="O413" s="36" t="s">
        <v>48</v>
      </c>
      <c r="R413" s="36" t="s">
        <v>48</v>
      </c>
    </row>
    <row r="414">
      <c r="G414" s="36" t="s">
        <v>48</v>
      </c>
      <c r="H414" s="50" t="s">
        <v>48</v>
      </c>
      <c r="I414" s="50" t="s">
        <v>48</v>
      </c>
      <c r="J414" s="36" t="s">
        <v>48</v>
      </c>
      <c r="K414" s="36" t="s">
        <v>48</v>
      </c>
      <c r="O414" s="36" t="s">
        <v>48</v>
      </c>
      <c r="R414" s="36" t="s">
        <v>48</v>
      </c>
    </row>
    <row r="415">
      <c r="G415" s="36" t="s">
        <v>48</v>
      </c>
      <c r="H415" s="50" t="s">
        <v>48</v>
      </c>
      <c r="I415" s="50" t="s">
        <v>48</v>
      </c>
      <c r="J415" s="36" t="s">
        <v>48</v>
      </c>
      <c r="K415" s="36" t="s">
        <v>48</v>
      </c>
      <c r="O415" s="36" t="s">
        <v>48</v>
      </c>
      <c r="R415" s="36" t="s">
        <v>48</v>
      </c>
    </row>
    <row r="416">
      <c r="G416" s="36" t="s">
        <v>48</v>
      </c>
      <c r="H416" s="50" t="s">
        <v>48</v>
      </c>
      <c r="I416" s="50" t="s">
        <v>48</v>
      </c>
      <c r="J416" s="36" t="s">
        <v>48</v>
      </c>
      <c r="K416" s="36" t="s">
        <v>48</v>
      </c>
      <c r="O416" s="36" t="s">
        <v>48</v>
      </c>
      <c r="R416" s="36" t="s">
        <v>48</v>
      </c>
    </row>
    <row r="417">
      <c r="G417" s="36" t="s">
        <v>48</v>
      </c>
      <c r="H417" s="50" t="s">
        <v>48</v>
      </c>
      <c r="I417" s="50" t="s">
        <v>48</v>
      </c>
      <c r="J417" s="36" t="s">
        <v>48</v>
      </c>
      <c r="K417" s="36" t="s">
        <v>48</v>
      </c>
      <c r="O417" s="36" t="s">
        <v>48</v>
      </c>
      <c r="R417" s="36" t="s">
        <v>48</v>
      </c>
    </row>
    <row r="418">
      <c r="G418" s="36" t="s">
        <v>48</v>
      </c>
      <c r="H418" s="50" t="s">
        <v>48</v>
      </c>
      <c r="I418" s="50" t="s">
        <v>48</v>
      </c>
      <c r="J418" s="36" t="s">
        <v>48</v>
      </c>
      <c r="K418" s="36" t="s">
        <v>48</v>
      </c>
      <c r="O418" s="36" t="s">
        <v>48</v>
      </c>
      <c r="R418" s="36" t="s">
        <v>48</v>
      </c>
    </row>
    <row r="419">
      <c r="G419" s="36" t="s">
        <v>48</v>
      </c>
      <c r="H419" s="50" t="s">
        <v>48</v>
      </c>
      <c r="I419" s="50" t="s">
        <v>48</v>
      </c>
      <c r="J419" s="36" t="s">
        <v>48</v>
      </c>
      <c r="K419" s="36" t="s">
        <v>48</v>
      </c>
      <c r="O419" s="36" t="s">
        <v>48</v>
      </c>
      <c r="R419" s="36" t="s">
        <v>48</v>
      </c>
    </row>
    <row r="420">
      <c r="G420" s="36" t="s">
        <v>48</v>
      </c>
      <c r="H420" s="50" t="s">
        <v>48</v>
      </c>
      <c r="I420" s="50" t="s">
        <v>48</v>
      </c>
      <c r="J420" s="36" t="s">
        <v>48</v>
      </c>
      <c r="K420" s="36" t="s">
        <v>48</v>
      </c>
      <c r="O420" s="36" t="s">
        <v>48</v>
      </c>
      <c r="R420" s="36" t="s">
        <v>48</v>
      </c>
    </row>
    <row r="421">
      <c r="G421" s="36" t="s">
        <v>48</v>
      </c>
      <c r="H421" s="50" t="s">
        <v>48</v>
      </c>
      <c r="I421" s="50" t="s">
        <v>48</v>
      </c>
      <c r="J421" s="36" t="s">
        <v>48</v>
      </c>
      <c r="K421" s="36" t="s">
        <v>48</v>
      </c>
      <c r="O421" s="36" t="s">
        <v>48</v>
      </c>
      <c r="R421" s="36" t="s">
        <v>48</v>
      </c>
    </row>
    <row r="422">
      <c r="G422" s="36" t="s">
        <v>48</v>
      </c>
      <c r="H422" s="50" t="s">
        <v>48</v>
      </c>
      <c r="I422" s="50" t="s">
        <v>48</v>
      </c>
      <c r="J422" s="36" t="s">
        <v>48</v>
      </c>
      <c r="K422" s="36" t="s">
        <v>48</v>
      </c>
      <c r="O422" s="36" t="s">
        <v>48</v>
      </c>
      <c r="R422" s="36" t="s">
        <v>48</v>
      </c>
    </row>
    <row r="423">
      <c r="G423" s="36" t="s">
        <v>48</v>
      </c>
      <c r="H423" s="50" t="s">
        <v>48</v>
      </c>
      <c r="I423" s="50" t="s">
        <v>48</v>
      </c>
      <c r="J423" s="36" t="s">
        <v>48</v>
      </c>
      <c r="K423" s="36" t="s">
        <v>48</v>
      </c>
      <c r="O423" s="36" t="s">
        <v>48</v>
      </c>
      <c r="R423" s="36" t="s">
        <v>48</v>
      </c>
    </row>
    <row r="424">
      <c r="G424" s="36" t="s">
        <v>48</v>
      </c>
      <c r="H424" s="50" t="s">
        <v>48</v>
      </c>
      <c r="I424" s="50" t="s">
        <v>48</v>
      </c>
      <c r="J424" s="36" t="s">
        <v>48</v>
      </c>
      <c r="K424" s="36" t="s">
        <v>48</v>
      </c>
      <c r="O424" s="36" t="s">
        <v>48</v>
      </c>
      <c r="R424" s="36" t="s">
        <v>48</v>
      </c>
    </row>
    <row r="425">
      <c r="G425" s="36" t="s">
        <v>48</v>
      </c>
      <c r="H425" s="50" t="s">
        <v>48</v>
      </c>
      <c r="I425" s="50" t="s">
        <v>48</v>
      </c>
      <c r="J425" s="36" t="s">
        <v>48</v>
      </c>
      <c r="K425" s="36" t="s">
        <v>48</v>
      </c>
      <c r="O425" s="36" t="s">
        <v>48</v>
      </c>
      <c r="R425" s="36" t="s">
        <v>48</v>
      </c>
    </row>
    <row r="426">
      <c r="G426" s="36" t="s">
        <v>48</v>
      </c>
      <c r="H426" s="50" t="s">
        <v>48</v>
      </c>
      <c r="I426" s="50" t="s">
        <v>48</v>
      </c>
      <c r="J426" s="36" t="s">
        <v>48</v>
      </c>
      <c r="K426" s="36" t="s">
        <v>48</v>
      </c>
      <c r="O426" s="36" t="s">
        <v>48</v>
      </c>
      <c r="R426" s="36" t="s">
        <v>48</v>
      </c>
    </row>
    <row r="427">
      <c r="G427" s="36" t="s">
        <v>48</v>
      </c>
      <c r="H427" s="50" t="s">
        <v>48</v>
      </c>
      <c r="I427" s="50" t="s">
        <v>48</v>
      </c>
      <c r="J427" s="36" t="s">
        <v>48</v>
      </c>
      <c r="K427" s="36" t="s">
        <v>48</v>
      </c>
      <c r="O427" s="36" t="s">
        <v>48</v>
      </c>
      <c r="R427" s="36" t="s">
        <v>48</v>
      </c>
    </row>
    <row r="428">
      <c r="G428" s="36" t="s">
        <v>48</v>
      </c>
      <c r="H428" s="50" t="s">
        <v>48</v>
      </c>
      <c r="I428" s="50" t="s">
        <v>48</v>
      </c>
      <c r="J428" s="36" t="s">
        <v>48</v>
      </c>
      <c r="K428" s="36" t="s">
        <v>48</v>
      </c>
      <c r="O428" s="36" t="s">
        <v>48</v>
      </c>
      <c r="R428" s="36" t="s">
        <v>48</v>
      </c>
    </row>
    <row r="429">
      <c r="G429" s="36" t="s">
        <v>48</v>
      </c>
      <c r="H429" s="50" t="s">
        <v>48</v>
      </c>
      <c r="I429" s="50" t="s">
        <v>48</v>
      </c>
      <c r="J429" s="36" t="s">
        <v>48</v>
      </c>
      <c r="K429" s="36" t="s">
        <v>48</v>
      </c>
      <c r="O429" s="36" t="s">
        <v>48</v>
      </c>
      <c r="R429" s="36" t="s">
        <v>48</v>
      </c>
    </row>
    <row r="430">
      <c r="G430" s="36" t="s">
        <v>48</v>
      </c>
      <c r="H430" s="50" t="s">
        <v>48</v>
      </c>
      <c r="I430" s="50" t="s">
        <v>48</v>
      </c>
      <c r="J430" s="36" t="s">
        <v>48</v>
      </c>
      <c r="K430" s="36" t="s">
        <v>48</v>
      </c>
      <c r="O430" s="36" t="s">
        <v>48</v>
      </c>
      <c r="R430" s="36" t="s">
        <v>48</v>
      </c>
    </row>
    <row r="431">
      <c r="G431" s="36" t="s">
        <v>48</v>
      </c>
      <c r="H431" s="50" t="s">
        <v>48</v>
      </c>
      <c r="I431" s="50" t="s">
        <v>48</v>
      </c>
      <c r="J431" s="36" t="s">
        <v>48</v>
      </c>
      <c r="K431" s="36" t="s">
        <v>48</v>
      </c>
      <c r="O431" s="36" t="s">
        <v>48</v>
      </c>
      <c r="R431" s="36" t="s">
        <v>48</v>
      </c>
    </row>
    <row r="432">
      <c r="G432" s="36" t="s">
        <v>48</v>
      </c>
      <c r="H432" s="50" t="s">
        <v>48</v>
      </c>
      <c r="I432" s="50" t="s">
        <v>48</v>
      </c>
      <c r="J432" s="36" t="s">
        <v>48</v>
      </c>
      <c r="K432" s="36" t="s">
        <v>48</v>
      </c>
      <c r="O432" s="36" t="s">
        <v>48</v>
      </c>
      <c r="R432" s="36" t="s">
        <v>48</v>
      </c>
    </row>
    <row r="433">
      <c r="G433" s="36" t="s">
        <v>48</v>
      </c>
      <c r="H433" s="50" t="s">
        <v>48</v>
      </c>
      <c r="I433" s="50" t="s">
        <v>48</v>
      </c>
      <c r="J433" s="36" t="s">
        <v>48</v>
      </c>
      <c r="K433" s="36" t="s">
        <v>48</v>
      </c>
      <c r="O433" s="36" t="s">
        <v>48</v>
      </c>
      <c r="R433" s="36" t="s">
        <v>48</v>
      </c>
    </row>
    <row r="434">
      <c r="G434" s="36" t="s">
        <v>48</v>
      </c>
      <c r="H434" s="50" t="s">
        <v>48</v>
      </c>
      <c r="I434" s="50" t="s">
        <v>48</v>
      </c>
      <c r="J434" s="36" t="s">
        <v>48</v>
      </c>
      <c r="K434" s="36" t="s">
        <v>48</v>
      </c>
      <c r="O434" s="36" t="s">
        <v>48</v>
      </c>
      <c r="R434" s="36" t="s">
        <v>48</v>
      </c>
    </row>
    <row r="435">
      <c r="G435" s="36" t="s">
        <v>48</v>
      </c>
      <c r="H435" s="50" t="s">
        <v>48</v>
      </c>
      <c r="I435" s="50" t="s">
        <v>48</v>
      </c>
      <c r="J435" s="36" t="s">
        <v>48</v>
      </c>
      <c r="K435" s="36" t="s">
        <v>48</v>
      </c>
      <c r="O435" s="36" t="s">
        <v>48</v>
      </c>
      <c r="R435" s="36" t="s">
        <v>48</v>
      </c>
    </row>
    <row r="436">
      <c r="G436" s="36" t="s">
        <v>48</v>
      </c>
      <c r="H436" s="50" t="s">
        <v>48</v>
      </c>
      <c r="I436" s="50" t="s">
        <v>48</v>
      </c>
      <c r="J436" s="36" t="s">
        <v>48</v>
      </c>
      <c r="K436" s="36" t="s">
        <v>48</v>
      </c>
      <c r="O436" s="36" t="s">
        <v>48</v>
      </c>
      <c r="R436" s="36" t="s">
        <v>48</v>
      </c>
    </row>
    <row r="437">
      <c r="G437" s="36" t="s">
        <v>48</v>
      </c>
      <c r="H437" s="50" t="s">
        <v>48</v>
      </c>
      <c r="I437" s="50" t="s">
        <v>48</v>
      </c>
      <c r="J437" s="36" t="s">
        <v>48</v>
      </c>
      <c r="K437" s="36" t="s">
        <v>48</v>
      </c>
      <c r="O437" s="36" t="s">
        <v>48</v>
      </c>
      <c r="R437" s="36" t="s">
        <v>48</v>
      </c>
    </row>
    <row r="438">
      <c r="G438" s="36" t="s">
        <v>48</v>
      </c>
      <c r="H438" s="50" t="s">
        <v>48</v>
      </c>
      <c r="I438" s="50" t="s">
        <v>48</v>
      </c>
      <c r="J438" s="36" t="s">
        <v>48</v>
      </c>
      <c r="K438" s="36" t="s">
        <v>48</v>
      </c>
      <c r="O438" s="36" t="s">
        <v>48</v>
      </c>
      <c r="R438" s="36" t="s">
        <v>48</v>
      </c>
    </row>
    <row r="439">
      <c r="G439" s="36" t="s">
        <v>48</v>
      </c>
      <c r="H439" s="50" t="s">
        <v>48</v>
      </c>
      <c r="I439" s="50" t="s">
        <v>48</v>
      </c>
      <c r="J439" s="36" t="s">
        <v>48</v>
      </c>
      <c r="K439" s="36" t="s">
        <v>48</v>
      </c>
      <c r="O439" s="36" t="s">
        <v>48</v>
      </c>
      <c r="R439" s="36" t="s">
        <v>48</v>
      </c>
    </row>
    <row r="440">
      <c r="G440" s="36" t="s">
        <v>48</v>
      </c>
      <c r="H440" s="50" t="s">
        <v>48</v>
      </c>
      <c r="I440" s="50" t="s">
        <v>48</v>
      </c>
      <c r="J440" s="36" t="s">
        <v>48</v>
      </c>
      <c r="K440" s="36" t="s">
        <v>48</v>
      </c>
      <c r="O440" s="36" t="s">
        <v>48</v>
      </c>
      <c r="R440" s="36" t="s">
        <v>48</v>
      </c>
    </row>
    <row r="441">
      <c r="G441" s="36" t="s">
        <v>48</v>
      </c>
      <c r="H441" s="50" t="s">
        <v>48</v>
      </c>
      <c r="I441" s="50" t="s">
        <v>48</v>
      </c>
      <c r="J441" s="36" t="s">
        <v>48</v>
      </c>
      <c r="K441" s="36" t="s">
        <v>48</v>
      </c>
      <c r="O441" s="36" t="s">
        <v>48</v>
      </c>
      <c r="R441" s="36" t="s">
        <v>48</v>
      </c>
    </row>
    <row r="442">
      <c r="G442" s="36" t="s">
        <v>48</v>
      </c>
      <c r="H442" s="50" t="s">
        <v>48</v>
      </c>
      <c r="I442" s="50" t="s">
        <v>48</v>
      </c>
      <c r="J442" s="36" t="s">
        <v>48</v>
      </c>
      <c r="K442" s="36" t="s">
        <v>48</v>
      </c>
      <c r="O442" s="36" t="s">
        <v>48</v>
      </c>
      <c r="R442" s="36" t="s">
        <v>48</v>
      </c>
    </row>
    <row r="443">
      <c r="G443" s="36" t="s">
        <v>48</v>
      </c>
      <c r="H443" s="50" t="s">
        <v>48</v>
      </c>
      <c r="I443" s="50" t="s">
        <v>48</v>
      </c>
      <c r="J443" s="36" t="s">
        <v>48</v>
      </c>
      <c r="K443" s="36" t="s">
        <v>48</v>
      </c>
      <c r="O443" s="36" t="s">
        <v>48</v>
      </c>
      <c r="R443" s="36" t="s">
        <v>48</v>
      </c>
    </row>
    <row r="444">
      <c r="G444" s="36" t="s">
        <v>48</v>
      </c>
      <c r="H444" s="50" t="s">
        <v>48</v>
      </c>
      <c r="I444" s="50" t="s">
        <v>48</v>
      </c>
      <c r="J444" s="36" t="s">
        <v>48</v>
      </c>
      <c r="K444" s="36" t="s">
        <v>48</v>
      </c>
      <c r="O444" s="36" t="s">
        <v>48</v>
      </c>
      <c r="R444" s="36" t="s">
        <v>48</v>
      </c>
    </row>
    <row r="445">
      <c r="G445" s="36" t="s">
        <v>48</v>
      </c>
      <c r="H445" s="50" t="s">
        <v>48</v>
      </c>
      <c r="I445" s="50" t="s">
        <v>48</v>
      </c>
      <c r="J445" s="36" t="s">
        <v>48</v>
      </c>
      <c r="K445" s="36" t="s">
        <v>48</v>
      </c>
      <c r="O445" s="36" t="s">
        <v>48</v>
      </c>
      <c r="R445" s="36" t="s">
        <v>48</v>
      </c>
    </row>
    <row r="446">
      <c r="G446" s="36" t="s">
        <v>48</v>
      </c>
      <c r="H446" s="50" t="s">
        <v>48</v>
      </c>
      <c r="I446" s="50" t="s">
        <v>48</v>
      </c>
      <c r="J446" s="36" t="s">
        <v>48</v>
      </c>
      <c r="K446" s="36" t="s">
        <v>48</v>
      </c>
      <c r="O446" s="36" t="s">
        <v>48</v>
      </c>
      <c r="R446" s="36" t="s">
        <v>48</v>
      </c>
    </row>
    <row r="447">
      <c r="G447" s="36" t="s">
        <v>48</v>
      </c>
      <c r="H447" s="50" t="s">
        <v>48</v>
      </c>
      <c r="I447" s="50" t="s">
        <v>48</v>
      </c>
      <c r="J447" s="36" t="s">
        <v>48</v>
      </c>
      <c r="K447" s="36" t="s">
        <v>48</v>
      </c>
      <c r="O447" s="36" t="s">
        <v>48</v>
      </c>
      <c r="R447" s="36" t="s">
        <v>48</v>
      </c>
    </row>
    <row r="448">
      <c r="G448" s="36" t="s">
        <v>48</v>
      </c>
      <c r="H448" s="50" t="s">
        <v>48</v>
      </c>
      <c r="I448" s="50" t="s">
        <v>48</v>
      </c>
      <c r="J448" s="36" t="s">
        <v>48</v>
      </c>
      <c r="K448" s="36" t="s">
        <v>48</v>
      </c>
      <c r="O448" s="36" t="s">
        <v>48</v>
      </c>
      <c r="R448" s="36" t="s">
        <v>48</v>
      </c>
    </row>
    <row r="449">
      <c r="G449" s="36" t="s">
        <v>48</v>
      </c>
      <c r="H449" s="50" t="s">
        <v>48</v>
      </c>
      <c r="I449" s="50" t="s">
        <v>48</v>
      </c>
      <c r="J449" s="36" t="s">
        <v>48</v>
      </c>
      <c r="K449" s="36" t="s">
        <v>48</v>
      </c>
      <c r="O449" s="36" t="s">
        <v>48</v>
      </c>
      <c r="R449" s="36" t="s">
        <v>48</v>
      </c>
    </row>
    <row r="450">
      <c r="G450" s="36" t="s">
        <v>48</v>
      </c>
      <c r="H450" s="50" t="s">
        <v>48</v>
      </c>
      <c r="I450" s="50" t="s">
        <v>48</v>
      </c>
      <c r="J450" s="36" t="s">
        <v>48</v>
      </c>
      <c r="K450" s="36" t="s">
        <v>48</v>
      </c>
      <c r="O450" s="36" t="s">
        <v>48</v>
      </c>
      <c r="R450" s="36" t="s">
        <v>48</v>
      </c>
    </row>
    <row r="451">
      <c r="G451" s="36" t="s">
        <v>48</v>
      </c>
      <c r="H451" s="50" t="s">
        <v>48</v>
      </c>
      <c r="I451" s="50" t="s">
        <v>48</v>
      </c>
      <c r="J451" s="36" t="s">
        <v>48</v>
      </c>
      <c r="K451" s="36" t="s">
        <v>48</v>
      </c>
      <c r="O451" s="36" t="s">
        <v>48</v>
      </c>
      <c r="R451" s="36" t="s">
        <v>48</v>
      </c>
    </row>
    <row r="452">
      <c r="G452" s="36" t="s">
        <v>48</v>
      </c>
      <c r="H452" s="50" t="s">
        <v>48</v>
      </c>
      <c r="I452" s="50" t="s">
        <v>48</v>
      </c>
      <c r="J452" s="36" t="s">
        <v>48</v>
      </c>
      <c r="K452" s="36" t="s">
        <v>48</v>
      </c>
      <c r="O452" s="36" t="s">
        <v>48</v>
      </c>
      <c r="R452" s="36" t="s">
        <v>48</v>
      </c>
    </row>
    <row r="453">
      <c r="G453" s="36" t="s">
        <v>48</v>
      </c>
      <c r="H453" s="50" t="s">
        <v>48</v>
      </c>
      <c r="I453" s="50" t="s">
        <v>48</v>
      </c>
      <c r="J453" s="36" t="s">
        <v>48</v>
      </c>
      <c r="K453" s="36" t="s">
        <v>48</v>
      </c>
      <c r="O453" s="36" t="s">
        <v>48</v>
      </c>
      <c r="R453" s="36" t="s">
        <v>48</v>
      </c>
    </row>
    <row r="454">
      <c r="G454" s="36" t="s">
        <v>48</v>
      </c>
      <c r="H454" s="50" t="s">
        <v>48</v>
      </c>
      <c r="I454" s="50" t="s">
        <v>48</v>
      </c>
      <c r="J454" s="36" t="s">
        <v>48</v>
      </c>
      <c r="K454" s="36" t="s">
        <v>48</v>
      </c>
      <c r="O454" s="36" t="s">
        <v>48</v>
      </c>
      <c r="R454" s="36" t="s">
        <v>48</v>
      </c>
    </row>
    <row r="455">
      <c r="G455" s="36" t="s">
        <v>48</v>
      </c>
      <c r="H455" s="50" t="s">
        <v>48</v>
      </c>
      <c r="I455" s="50" t="s">
        <v>48</v>
      </c>
      <c r="J455" s="36" t="s">
        <v>48</v>
      </c>
      <c r="K455" s="36" t="s">
        <v>48</v>
      </c>
      <c r="O455" s="36" t="s">
        <v>48</v>
      </c>
      <c r="R455" s="36" t="s">
        <v>48</v>
      </c>
    </row>
    <row r="456">
      <c r="G456" s="36" t="s">
        <v>48</v>
      </c>
      <c r="H456" s="50" t="s">
        <v>48</v>
      </c>
      <c r="I456" s="50" t="s">
        <v>48</v>
      </c>
      <c r="J456" s="36" t="s">
        <v>48</v>
      </c>
      <c r="K456" s="36" t="s">
        <v>48</v>
      </c>
      <c r="O456" s="36" t="s">
        <v>48</v>
      </c>
      <c r="R456" s="36" t="s">
        <v>48</v>
      </c>
    </row>
    <row r="457">
      <c r="G457" s="36" t="s">
        <v>48</v>
      </c>
      <c r="H457" s="50" t="s">
        <v>48</v>
      </c>
      <c r="I457" s="50" t="s">
        <v>48</v>
      </c>
      <c r="J457" s="36" t="s">
        <v>48</v>
      </c>
      <c r="K457" s="36" t="s">
        <v>48</v>
      </c>
      <c r="O457" s="36" t="s">
        <v>48</v>
      </c>
      <c r="R457" s="36" t="s">
        <v>48</v>
      </c>
    </row>
    <row r="458">
      <c r="G458" s="36" t="s">
        <v>48</v>
      </c>
      <c r="H458" s="50" t="s">
        <v>48</v>
      </c>
      <c r="I458" s="50" t="s">
        <v>48</v>
      </c>
      <c r="J458" s="36" t="s">
        <v>48</v>
      </c>
      <c r="K458" s="36" t="s">
        <v>48</v>
      </c>
      <c r="O458" s="36" t="s">
        <v>48</v>
      </c>
      <c r="R458" s="36" t="s">
        <v>48</v>
      </c>
    </row>
    <row r="459">
      <c r="G459" s="36" t="s">
        <v>48</v>
      </c>
      <c r="H459" s="50" t="s">
        <v>48</v>
      </c>
      <c r="I459" s="50" t="s">
        <v>48</v>
      </c>
      <c r="J459" s="36" t="s">
        <v>48</v>
      </c>
      <c r="K459" s="36" t="s">
        <v>48</v>
      </c>
      <c r="O459" s="36" t="s">
        <v>48</v>
      </c>
      <c r="R459" s="36" t="s">
        <v>48</v>
      </c>
    </row>
    <row r="460">
      <c r="G460" s="36" t="s">
        <v>48</v>
      </c>
      <c r="H460" s="50" t="s">
        <v>48</v>
      </c>
      <c r="I460" s="50" t="s">
        <v>48</v>
      </c>
      <c r="J460" s="36" t="s">
        <v>48</v>
      </c>
      <c r="K460" s="36" t="s">
        <v>48</v>
      </c>
      <c r="O460" s="36" t="s">
        <v>48</v>
      </c>
      <c r="R460" s="36" t="s">
        <v>48</v>
      </c>
    </row>
    <row r="461">
      <c r="G461" s="36" t="s">
        <v>48</v>
      </c>
      <c r="H461" s="50" t="s">
        <v>48</v>
      </c>
      <c r="I461" s="50" t="s">
        <v>48</v>
      </c>
      <c r="J461" s="36" t="s">
        <v>48</v>
      </c>
      <c r="K461" s="36" t="s">
        <v>48</v>
      </c>
      <c r="O461" s="36" t="s">
        <v>48</v>
      </c>
      <c r="R461" s="36" t="s">
        <v>48</v>
      </c>
    </row>
    <row r="462">
      <c r="G462" s="36" t="s">
        <v>48</v>
      </c>
      <c r="H462" s="50" t="s">
        <v>48</v>
      </c>
      <c r="I462" s="50" t="s">
        <v>48</v>
      </c>
      <c r="J462" s="36" t="s">
        <v>48</v>
      </c>
      <c r="K462" s="36" t="s">
        <v>48</v>
      </c>
      <c r="O462" s="36" t="s">
        <v>48</v>
      </c>
      <c r="R462" s="36" t="s">
        <v>48</v>
      </c>
    </row>
    <row r="463">
      <c r="G463" s="36" t="s">
        <v>48</v>
      </c>
      <c r="H463" s="50" t="s">
        <v>48</v>
      </c>
      <c r="I463" s="50" t="s">
        <v>48</v>
      </c>
      <c r="J463" s="36" t="s">
        <v>48</v>
      </c>
      <c r="K463" s="36" t="s">
        <v>48</v>
      </c>
      <c r="O463" s="36" t="s">
        <v>48</v>
      </c>
      <c r="R463" s="36" t="s">
        <v>48</v>
      </c>
    </row>
    <row r="464">
      <c r="G464" s="36" t="s">
        <v>48</v>
      </c>
      <c r="H464" s="50" t="s">
        <v>48</v>
      </c>
      <c r="I464" s="50" t="s">
        <v>48</v>
      </c>
      <c r="J464" s="36" t="s">
        <v>48</v>
      </c>
      <c r="K464" s="36" t="s">
        <v>48</v>
      </c>
      <c r="O464" s="36" t="s">
        <v>48</v>
      </c>
      <c r="R464" s="36" t="s">
        <v>48</v>
      </c>
    </row>
    <row r="465">
      <c r="G465" s="36" t="s">
        <v>48</v>
      </c>
      <c r="H465" s="50" t="s">
        <v>48</v>
      </c>
      <c r="I465" s="50" t="s">
        <v>48</v>
      </c>
      <c r="J465" s="36" t="s">
        <v>48</v>
      </c>
      <c r="K465" s="36" t="s">
        <v>48</v>
      </c>
      <c r="O465" s="36" t="s">
        <v>48</v>
      </c>
      <c r="R465" s="36" t="s">
        <v>48</v>
      </c>
    </row>
    <row r="466">
      <c r="G466" s="36" t="s">
        <v>48</v>
      </c>
      <c r="H466" s="50" t="s">
        <v>48</v>
      </c>
      <c r="I466" s="50" t="s">
        <v>48</v>
      </c>
      <c r="J466" s="36" t="s">
        <v>48</v>
      </c>
      <c r="K466" s="36" t="s">
        <v>48</v>
      </c>
      <c r="O466" s="36" t="s">
        <v>48</v>
      </c>
      <c r="R466" s="36" t="s">
        <v>48</v>
      </c>
    </row>
    <row r="467">
      <c r="G467" s="36" t="s">
        <v>48</v>
      </c>
      <c r="H467" s="50" t="s">
        <v>48</v>
      </c>
      <c r="I467" s="50" t="s">
        <v>48</v>
      </c>
      <c r="J467" s="36" t="s">
        <v>48</v>
      </c>
      <c r="K467" s="36" t="s">
        <v>48</v>
      </c>
      <c r="O467" s="36" t="s">
        <v>48</v>
      </c>
      <c r="R467" s="36" t="s">
        <v>48</v>
      </c>
    </row>
    <row r="468">
      <c r="G468" s="36" t="s">
        <v>48</v>
      </c>
      <c r="H468" s="50" t="s">
        <v>48</v>
      </c>
      <c r="I468" s="50" t="s">
        <v>48</v>
      </c>
      <c r="J468" s="36" t="s">
        <v>48</v>
      </c>
      <c r="K468" s="36" t="s">
        <v>48</v>
      </c>
      <c r="O468" s="36" t="s">
        <v>48</v>
      </c>
      <c r="R468" s="36" t="s">
        <v>48</v>
      </c>
    </row>
    <row r="469">
      <c r="G469" s="36" t="s">
        <v>48</v>
      </c>
      <c r="H469" s="50" t="s">
        <v>48</v>
      </c>
      <c r="I469" s="50" t="s">
        <v>48</v>
      </c>
      <c r="J469" s="36" t="s">
        <v>48</v>
      </c>
      <c r="K469" s="36" t="s">
        <v>48</v>
      </c>
      <c r="O469" s="36" t="s">
        <v>48</v>
      </c>
      <c r="R469" s="36" t="s">
        <v>48</v>
      </c>
    </row>
    <row r="470">
      <c r="G470" s="36" t="s">
        <v>48</v>
      </c>
      <c r="H470" s="50" t="s">
        <v>48</v>
      </c>
      <c r="I470" s="50" t="s">
        <v>48</v>
      </c>
      <c r="J470" s="36" t="s">
        <v>48</v>
      </c>
      <c r="K470" s="36" t="s">
        <v>48</v>
      </c>
      <c r="O470" s="36" t="s">
        <v>48</v>
      </c>
      <c r="R470" s="36" t="s">
        <v>48</v>
      </c>
    </row>
    <row r="471">
      <c r="G471" s="36" t="s">
        <v>48</v>
      </c>
      <c r="H471" s="50" t="s">
        <v>48</v>
      </c>
      <c r="I471" s="50" t="s">
        <v>48</v>
      </c>
      <c r="J471" s="36" t="s">
        <v>48</v>
      </c>
      <c r="K471" s="36" t="s">
        <v>48</v>
      </c>
      <c r="O471" s="36" t="s">
        <v>48</v>
      </c>
      <c r="R471" s="36" t="s">
        <v>48</v>
      </c>
    </row>
    <row r="472">
      <c r="G472" s="36" t="s">
        <v>48</v>
      </c>
      <c r="H472" s="50" t="s">
        <v>48</v>
      </c>
      <c r="I472" s="50" t="s">
        <v>48</v>
      </c>
      <c r="J472" s="36" t="s">
        <v>48</v>
      </c>
      <c r="K472" s="36" t="s">
        <v>48</v>
      </c>
      <c r="O472" s="36" t="s">
        <v>48</v>
      </c>
      <c r="R472" s="36" t="s">
        <v>48</v>
      </c>
    </row>
    <row r="473">
      <c r="G473" s="36" t="s">
        <v>48</v>
      </c>
      <c r="H473" s="50" t="s">
        <v>48</v>
      </c>
      <c r="I473" s="50" t="s">
        <v>48</v>
      </c>
      <c r="J473" s="36" t="s">
        <v>48</v>
      </c>
      <c r="K473" s="36" t="s">
        <v>48</v>
      </c>
      <c r="O473" s="36" t="s">
        <v>48</v>
      </c>
      <c r="R473" s="36" t="s">
        <v>48</v>
      </c>
    </row>
    <row r="474">
      <c r="G474" s="36" t="s">
        <v>48</v>
      </c>
      <c r="H474" s="50" t="s">
        <v>48</v>
      </c>
      <c r="I474" s="50" t="s">
        <v>48</v>
      </c>
      <c r="J474" s="36" t="s">
        <v>48</v>
      </c>
      <c r="K474" s="36" t="s">
        <v>48</v>
      </c>
      <c r="O474" s="36" t="s">
        <v>48</v>
      </c>
      <c r="R474" s="36" t="s">
        <v>48</v>
      </c>
    </row>
    <row r="475">
      <c r="G475" s="36" t="s">
        <v>48</v>
      </c>
      <c r="H475" s="50" t="s">
        <v>48</v>
      </c>
      <c r="I475" s="50" t="s">
        <v>48</v>
      </c>
      <c r="J475" s="36" t="s">
        <v>48</v>
      </c>
      <c r="K475" s="36" t="s">
        <v>48</v>
      </c>
      <c r="O475" s="36" t="s">
        <v>48</v>
      </c>
      <c r="R475" s="36" t="s">
        <v>48</v>
      </c>
    </row>
    <row r="476">
      <c r="G476" s="36" t="s">
        <v>48</v>
      </c>
      <c r="H476" s="50" t="s">
        <v>48</v>
      </c>
      <c r="I476" s="50" t="s">
        <v>48</v>
      </c>
      <c r="J476" s="36" t="s">
        <v>48</v>
      </c>
      <c r="K476" s="36" t="s">
        <v>48</v>
      </c>
      <c r="O476" s="36" t="s">
        <v>48</v>
      </c>
      <c r="R476" s="36" t="s">
        <v>48</v>
      </c>
    </row>
    <row r="477">
      <c r="G477" s="36" t="s">
        <v>48</v>
      </c>
      <c r="H477" s="50" t="s">
        <v>48</v>
      </c>
      <c r="I477" s="50" t="s">
        <v>48</v>
      </c>
      <c r="J477" s="36" t="s">
        <v>48</v>
      </c>
      <c r="K477" s="36" t="s">
        <v>48</v>
      </c>
      <c r="O477" s="36" t="s">
        <v>48</v>
      </c>
      <c r="R477" s="36" t="s">
        <v>48</v>
      </c>
    </row>
    <row r="478">
      <c r="G478" s="36" t="s">
        <v>48</v>
      </c>
      <c r="H478" s="50" t="s">
        <v>48</v>
      </c>
      <c r="I478" s="50" t="s">
        <v>48</v>
      </c>
      <c r="J478" s="36" t="s">
        <v>48</v>
      </c>
      <c r="K478" s="36" t="s">
        <v>48</v>
      </c>
      <c r="O478" s="36" t="s">
        <v>48</v>
      </c>
      <c r="R478" s="36" t="s">
        <v>48</v>
      </c>
    </row>
    <row r="479">
      <c r="G479" s="36" t="s">
        <v>48</v>
      </c>
      <c r="H479" s="50" t="s">
        <v>48</v>
      </c>
      <c r="I479" s="50" t="s">
        <v>48</v>
      </c>
      <c r="J479" s="36" t="s">
        <v>48</v>
      </c>
      <c r="K479" s="36" t="s">
        <v>48</v>
      </c>
      <c r="O479" s="36" t="s">
        <v>48</v>
      </c>
      <c r="R479" s="36" t="s">
        <v>48</v>
      </c>
    </row>
    <row r="480">
      <c r="G480" s="36" t="s">
        <v>48</v>
      </c>
      <c r="H480" s="50" t="s">
        <v>48</v>
      </c>
      <c r="I480" s="50" t="s">
        <v>48</v>
      </c>
      <c r="J480" s="36" t="s">
        <v>48</v>
      </c>
      <c r="K480" s="36" t="s">
        <v>48</v>
      </c>
      <c r="O480" s="36" t="s">
        <v>48</v>
      </c>
      <c r="R480" s="36" t="s">
        <v>48</v>
      </c>
    </row>
    <row r="481">
      <c r="G481" s="36" t="s">
        <v>48</v>
      </c>
      <c r="H481" s="50" t="s">
        <v>48</v>
      </c>
      <c r="I481" s="50" t="s">
        <v>48</v>
      </c>
      <c r="J481" s="36" t="s">
        <v>48</v>
      </c>
      <c r="K481" s="36" t="s">
        <v>48</v>
      </c>
      <c r="O481" s="36" t="s">
        <v>48</v>
      </c>
      <c r="R481" s="36" t="s">
        <v>48</v>
      </c>
    </row>
    <row r="482">
      <c r="G482" s="36" t="s">
        <v>48</v>
      </c>
      <c r="H482" s="50" t="s">
        <v>48</v>
      </c>
      <c r="I482" s="50" t="s">
        <v>48</v>
      </c>
      <c r="J482" s="36" t="s">
        <v>48</v>
      </c>
      <c r="K482" s="36" t="s">
        <v>48</v>
      </c>
      <c r="O482" s="36" t="s">
        <v>48</v>
      </c>
      <c r="R482" s="36" t="s">
        <v>48</v>
      </c>
    </row>
    <row r="483">
      <c r="G483" s="36" t="s">
        <v>48</v>
      </c>
      <c r="H483" s="50" t="s">
        <v>48</v>
      </c>
      <c r="I483" s="50" t="s">
        <v>48</v>
      </c>
      <c r="J483" s="36" t="s">
        <v>48</v>
      </c>
      <c r="K483" s="36" t="s">
        <v>48</v>
      </c>
      <c r="O483" s="36" t="s">
        <v>48</v>
      </c>
      <c r="R483" s="36" t="s">
        <v>48</v>
      </c>
    </row>
    <row r="484">
      <c r="G484" s="36" t="s">
        <v>48</v>
      </c>
      <c r="H484" s="50" t="s">
        <v>48</v>
      </c>
      <c r="I484" s="50" t="s">
        <v>48</v>
      </c>
      <c r="J484" s="36" t="s">
        <v>48</v>
      </c>
      <c r="K484" s="36" t="s">
        <v>48</v>
      </c>
      <c r="O484" s="36" t="s">
        <v>48</v>
      </c>
      <c r="R484" s="36" t="s">
        <v>48</v>
      </c>
    </row>
    <row r="485">
      <c r="G485" s="36" t="s">
        <v>48</v>
      </c>
      <c r="H485" s="50" t="s">
        <v>48</v>
      </c>
      <c r="I485" s="50" t="s">
        <v>48</v>
      </c>
      <c r="J485" s="36" t="s">
        <v>48</v>
      </c>
      <c r="K485" s="36" t="s">
        <v>48</v>
      </c>
      <c r="O485" s="36" t="s">
        <v>48</v>
      </c>
      <c r="R485" s="36" t="s">
        <v>48</v>
      </c>
    </row>
    <row r="486">
      <c r="G486" s="36" t="s">
        <v>48</v>
      </c>
      <c r="H486" s="50" t="s">
        <v>48</v>
      </c>
      <c r="I486" s="50" t="s">
        <v>48</v>
      </c>
      <c r="J486" s="36" t="s">
        <v>48</v>
      </c>
      <c r="K486" s="36" t="s">
        <v>48</v>
      </c>
      <c r="O486" s="36" t="s">
        <v>48</v>
      </c>
      <c r="R486" s="36" t="s">
        <v>48</v>
      </c>
    </row>
    <row r="487">
      <c r="G487" s="36" t="s">
        <v>48</v>
      </c>
      <c r="H487" s="50" t="s">
        <v>48</v>
      </c>
      <c r="I487" s="50" t="s">
        <v>48</v>
      </c>
      <c r="J487" s="36" t="s">
        <v>48</v>
      </c>
      <c r="K487" s="36" t="s">
        <v>48</v>
      </c>
      <c r="O487" s="36" t="s">
        <v>48</v>
      </c>
      <c r="R487" s="36" t="s">
        <v>48</v>
      </c>
    </row>
    <row r="488">
      <c r="G488" s="36" t="s">
        <v>48</v>
      </c>
      <c r="H488" s="50" t="s">
        <v>48</v>
      </c>
      <c r="I488" s="50" t="s">
        <v>48</v>
      </c>
      <c r="J488" s="36" t="s">
        <v>48</v>
      </c>
      <c r="K488" s="36" t="s">
        <v>48</v>
      </c>
      <c r="O488" s="36" t="s">
        <v>48</v>
      </c>
      <c r="R488" s="36" t="s">
        <v>48</v>
      </c>
    </row>
    <row r="489">
      <c r="G489" s="36" t="s">
        <v>48</v>
      </c>
      <c r="H489" s="50" t="s">
        <v>48</v>
      </c>
      <c r="I489" s="50" t="s">
        <v>48</v>
      </c>
      <c r="J489" s="36" t="s">
        <v>48</v>
      </c>
      <c r="K489" s="36" t="s">
        <v>48</v>
      </c>
      <c r="O489" s="36" t="s">
        <v>48</v>
      </c>
      <c r="R489" s="36" t="s">
        <v>48</v>
      </c>
    </row>
    <row r="490">
      <c r="G490" s="36" t="s">
        <v>48</v>
      </c>
      <c r="H490" s="50" t="s">
        <v>48</v>
      </c>
      <c r="I490" s="50" t="s">
        <v>48</v>
      </c>
      <c r="J490" s="36" t="s">
        <v>48</v>
      </c>
      <c r="K490" s="36" t="s">
        <v>48</v>
      </c>
      <c r="O490" s="36" t="s">
        <v>48</v>
      </c>
      <c r="R490" s="36" t="s">
        <v>48</v>
      </c>
    </row>
    <row r="491">
      <c r="G491" s="36" t="s">
        <v>48</v>
      </c>
      <c r="H491" s="50" t="s">
        <v>48</v>
      </c>
      <c r="I491" s="50" t="s">
        <v>48</v>
      </c>
      <c r="J491" s="36" t="s">
        <v>48</v>
      </c>
      <c r="K491" s="36" t="s">
        <v>48</v>
      </c>
      <c r="O491" s="36" t="s">
        <v>48</v>
      </c>
      <c r="R491" s="36" t="s">
        <v>48</v>
      </c>
    </row>
    <row r="492">
      <c r="G492" s="36" t="s">
        <v>48</v>
      </c>
      <c r="H492" s="50" t="s">
        <v>48</v>
      </c>
      <c r="I492" s="50" t="s">
        <v>48</v>
      </c>
      <c r="J492" s="36" t="s">
        <v>48</v>
      </c>
      <c r="K492" s="36" t="s">
        <v>48</v>
      </c>
      <c r="O492" s="36" t="s">
        <v>48</v>
      </c>
      <c r="R492" s="36" t="s">
        <v>48</v>
      </c>
    </row>
    <row r="493">
      <c r="G493" s="36" t="s">
        <v>48</v>
      </c>
      <c r="H493" s="50" t="s">
        <v>48</v>
      </c>
      <c r="I493" s="50" t="s">
        <v>48</v>
      </c>
      <c r="J493" s="36" t="s">
        <v>48</v>
      </c>
      <c r="K493" s="36" t="s">
        <v>48</v>
      </c>
      <c r="O493" s="36" t="s">
        <v>48</v>
      </c>
      <c r="R493" s="36" t="s">
        <v>48</v>
      </c>
    </row>
    <row r="494">
      <c r="G494" s="36" t="s">
        <v>48</v>
      </c>
      <c r="H494" s="50" t="s">
        <v>48</v>
      </c>
      <c r="I494" s="50" t="s">
        <v>48</v>
      </c>
      <c r="J494" s="36" t="s">
        <v>48</v>
      </c>
      <c r="K494" s="36" t="s">
        <v>48</v>
      </c>
      <c r="O494" s="36" t="s">
        <v>48</v>
      </c>
      <c r="R494" s="36" t="s">
        <v>48</v>
      </c>
    </row>
    <row r="495">
      <c r="G495" s="36" t="s">
        <v>48</v>
      </c>
      <c r="H495" s="50" t="s">
        <v>48</v>
      </c>
      <c r="I495" s="50" t="s">
        <v>48</v>
      </c>
      <c r="J495" s="36" t="s">
        <v>48</v>
      </c>
      <c r="K495" s="36" t="s">
        <v>48</v>
      </c>
      <c r="O495" s="36" t="s">
        <v>48</v>
      </c>
      <c r="R495" s="36" t="s">
        <v>48</v>
      </c>
    </row>
    <row r="496">
      <c r="G496" s="36" t="s">
        <v>48</v>
      </c>
      <c r="H496" s="50" t="s">
        <v>48</v>
      </c>
      <c r="I496" s="50" t="s">
        <v>48</v>
      </c>
      <c r="J496" s="36" t="s">
        <v>48</v>
      </c>
      <c r="K496" s="36" t="s">
        <v>48</v>
      </c>
      <c r="O496" s="36" t="s">
        <v>48</v>
      </c>
      <c r="R496" s="36" t="s">
        <v>48</v>
      </c>
    </row>
    <row r="497">
      <c r="G497" s="36" t="s">
        <v>48</v>
      </c>
      <c r="H497" s="50" t="s">
        <v>48</v>
      </c>
      <c r="I497" s="50" t="s">
        <v>48</v>
      </c>
      <c r="J497" s="36" t="s">
        <v>48</v>
      </c>
      <c r="K497" s="36" t="s">
        <v>48</v>
      </c>
      <c r="O497" s="36" t="s">
        <v>48</v>
      </c>
      <c r="R497" s="36" t="s">
        <v>48</v>
      </c>
    </row>
    <row r="498">
      <c r="G498" s="36" t="s">
        <v>48</v>
      </c>
      <c r="H498" s="50" t="s">
        <v>48</v>
      </c>
      <c r="I498" s="50" t="s">
        <v>48</v>
      </c>
      <c r="J498" s="36" t="s">
        <v>48</v>
      </c>
      <c r="K498" s="36" t="s">
        <v>48</v>
      </c>
      <c r="O498" s="36" t="s">
        <v>48</v>
      </c>
      <c r="R498" s="36" t="s">
        <v>48</v>
      </c>
    </row>
    <row r="499">
      <c r="G499" s="36" t="s">
        <v>48</v>
      </c>
      <c r="H499" s="50" t="s">
        <v>48</v>
      </c>
      <c r="I499" s="50" t="s">
        <v>48</v>
      </c>
      <c r="J499" s="36" t="s">
        <v>48</v>
      </c>
      <c r="K499" s="36" t="s">
        <v>48</v>
      </c>
      <c r="O499" s="36" t="s">
        <v>48</v>
      </c>
      <c r="R499" s="36" t="s">
        <v>48</v>
      </c>
    </row>
    <row r="500">
      <c r="G500" s="36" t="s">
        <v>48</v>
      </c>
      <c r="H500" s="50" t="s">
        <v>48</v>
      </c>
      <c r="I500" s="50" t="s">
        <v>48</v>
      </c>
      <c r="J500" s="36" t="s">
        <v>48</v>
      </c>
      <c r="K500" s="36" t="s">
        <v>48</v>
      </c>
      <c r="O500" s="36" t="s">
        <v>48</v>
      </c>
      <c r="R500" s="36" t="s">
        <v>48</v>
      </c>
    </row>
    <row r="501">
      <c r="G501" s="36" t="s">
        <v>48</v>
      </c>
      <c r="H501" s="50" t="s">
        <v>48</v>
      </c>
      <c r="I501" s="50" t="s">
        <v>48</v>
      </c>
      <c r="J501" s="36" t="s">
        <v>48</v>
      </c>
      <c r="K501" s="36" t="s">
        <v>48</v>
      </c>
      <c r="O501" s="36" t="s">
        <v>48</v>
      </c>
      <c r="R501" s="36" t="s">
        <v>48</v>
      </c>
    </row>
    <row r="502">
      <c r="G502" s="36" t="s">
        <v>48</v>
      </c>
      <c r="H502" s="50" t="s">
        <v>48</v>
      </c>
      <c r="I502" s="50" t="s">
        <v>48</v>
      </c>
      <c r="J502" s="36" t="s">
        <v>48</v>
      </c>
      <c r="K502" s="36" t="s">
        <v>48</v>
      </c>
      <c r="O502" s="36" t="s">
        <v>48</v>
      </c>
      <c r="R502" s="36" t="s">
        <v>48</v>
      </c>
    </row>
    <row r="503">
      <c r="G503" s="36" t="s">
        <v>48</v>
      </c>
      <c r="H503" s="50" t="s">
        <v>48</v>
      </c>
      <c r="I503" s="50" t="s">
        <v>48</v>
      </c>
      <c r="J503" s="36" t="s">
        <v>48</v>
      </c>
      <c r="K503" s="36" t="s">
        <v>48</v>
      </c>
      <c r="O503" s="36" t="s">
        <v>48</v>
      </c>
      <c r="R503" s="36" t="s">
        <v>48</v>
      </c>
    </row>
    <row r="504">
      <c r="G504" s="36" t="s">
        <v>48</v>
      </c>
      <c r="H504" s="50" t="s">
        <v>48</v>
      </c>
      <c r="I504" s="50" t="s">
        <v>48</v>
      </c>
      <c r="J504" s="36" t="s">
        <v>48</v>
      </c>
      <c r="K504" s="36" t="s">
        <v>48</v>
      </c>
      <c r="O504" s="36" t="s">
        <v>48</v>
      </c>
      <c r="R504" s="36" t="s">
        <v>48</v>
      </c>
    </row>
    <row r="505">
      <c r="G505" s="36" t="s">
        <v>48</v>
      </c>
      <c r="H505" s="50" t="s">
        <v>48</v>
      </c>
      <c r="I505" s="50" t="s">
        <v>48</v>
      </c>
      <c r="J505" s="36" t="s">
        <v>48</v>
      </c>
      <c r="K505" s="36" t="s">
        <v>48</v>
      </c>
      <c r="O505" s="36" t="s">
        <v>48</v>
      </c>
      <c r="R505" s="36" t="s">
        <v>48</v>
      </c>
    </row>
    <row r="506">
      <c r="G506" s="36" t="s">
        <v>48</v>
      </c>
      <c r="H506" s="50" t="s">
        <v>48</v>
      </c>
      <c r="I506" s="50" t="s">
        <v>48</v>
      </c>
      <c r="J506" s="36" t="s">
        <v>48</v>
      </c>
      <c r="K506" s="36" t="s">
        <v>48</v>
      </c>
      <c r="O506" s="36" t="s">
        <v>48</v>
      </c>
      <c r="R506" s="36" t="s">
        <v>48</v>
      </c>
    </row>
    <row r="507">
      <c r="G507" s="36" t="s">
        <v>48</v>
      </c>
      <c r="H507" s="50" t="s">
        <v>48</v>
      </c>
      <c r="I507" s="50" t="s">
        <v>48</v>
      </c>
      <c r="J507" s="36" t="s">
        <v>48</v>
      </c>
      <c r="K507" s="36" t="s">
        <v>48</v>
      </c>
      <c r="O507" s="36" t="s">
        <v>48</v>
      </c>
      <c r="R507" s="36" t="s">
        <v>48</v>
      </c>
    </row>
    <row r="508">
      <c r="G508" s="36" t="s">
        <v>48</v>
      </c>
      <c r="H508" s="50" t="s">
        <v>48</v>
      </c>
      <c r="I508" s="50" t="s">
        <v>48</v>
      </c>
      <c r="J508" s="36" t="s">
        <v>48</v>
      </c>
      <c r="K508" s="36" t="s">
        <v>48</v>
      </c>
      <c r="O508" s="36" t="s">
        <v>48</v>
      </c>
      <c r="R508" s="36" t="s">
        <v>48</v>
      </c>
    </row>
    <row r="509">
      <c r="G509" s="36" t="s">
        <v>48</v>
      </c>
      <c r="H509" s="50" t="s">
        <v>48</v>
      </c>
      <c r="I509" s="50" t="s">
        <v>48</v>
      </c>
      <c r="J509" s="36" t="s">
        <v>48</v>
      </c>
      <c r="K509" s="36" t="s">
        <v>48</v>
      </c>
      <c r="O509" s="36" t="s">
        <v>48</v>
      </c>
      <c r="R509" s="36" t="s">
        <v>48</v>
      </c>
    </row>
    <row r="510">
      <c r="G510" s="36" t="s">
        <v>48</v>
      </c>
      <c r="H510" s="50" t="s">
        <v>48</v>
      </c>
      <c r="I510" s="50" t="s">
        <v>48</v>
      </c>
      <c r="J510" s="36" t="s">
        <v>48</v>
      </c>
      <c r="K510" s="36" t="s">
        <v>48</v>
      </c>
      <c r="O510" s="36" t="s">
        <v>48</v>
      </c>
      <c r="R510" s="36" t="s">
        <v>48</v>
      </c>
    </row>
    <row r="511">
      <c r="G511" s="36" t="s">
        <v>48</v>
      </c>
      <c r="H511" s="50" t="s">
        <v>48</v>
      </c>
      <c r="I511" s="50" t="s">
        <v>48</v>
      </c>
      <c r="J511" s="36" t="s">
        <v>48</v>
      </c>
      <c r="K511" s="36" t="s">
        <v>48</v>
      </c>
      <c r="O511" s="36" t="s">
        <v>48</v>
      </c>
      <c r="R511" s="36" t="s">
        <v>48</v>
      </c>
    </row>
    <row r="512">
      <c r="G512" s="36" t="s">
        <v>48</v>
      </c>
      <c r="H512" s="50" t="s">
        <v>48</v>
      </c>
      <c r="I512" s="50" t="s">
        <v>48</v>
      </c>
      <c r="J512" s="36" t="s">
        <v>48</v>
      </c>
      <c r="K512" s="36" t="s">
        <v>48</v>
      </c>
      <c r="O512" s="36" t="s">
        <v>48</v>
      </c>
      <c r="R512" s="36" t="s">
        <v>48</v>
      </c>
    </row>
    <row r="513">
      <c r="G513" s="36" t="s">
        <v>48</v>
      </c>
      <c r="H513" s="50" t="s">
        <v>48</v>
      </c>
      <c r="I513" s="50" t="s">
        <v>48</v>
      </c>
      <c r="J513" s="36" t="s">
        <v>48</v>
      </c>
      <c r="K513" s="36" t="s">
        <v>48</v>
      </c>
      <c r="O513" s="36" t="s">
        <v>48</v>
      </c>
      <c r="R513" s="36" t="s">
        <v>48</v>
      </c>
    </row>
    <row r="514">
      <c r="G514" s="36" t="s">
        <v>48</v>
      </c>
      <c r="H514" s="50" t="s">
        <v>48</v>
      </c>
      <c r="I514" s="50" t="s">
        <v>48</v>
      </c>
      <c r="J514" s="36" t="s">
        <v>48</v>
      </c>
      <c r="K514" s="36" t="s">
        <v>48</v>
      </c>
      <c r="O514" s="36" t="s">
        <v>48</v>
      </c>
      <c r="R514" s="36" t="s">
        <v>48</v>
      </c>
    </row>
    <row r="515">
      <c r="G515" s="36" t="s">
        <v>48</v>
      </c>
      <c r="H515" s="50" t="s">
        <v>48</v>
      </c>
      <c r="I515" s="50" t="s">
        <v>48</v>
      </c>
      <c r="J515" s="36" t="s">
        <v>48</v>
      </c>
      <c r="K515" s="36" t="s">
        <v>48</v>
      </c>
      <c r="O515" s="36" t="s">
        <v>48</v>
      </c>
      <c r="R515" s="36" t="s">
        <v>48</v>
      </c>
    </row>
    <row r="516">
      <c r="G516" s="36" t="s">
        <v>48</v>
      </c>
      <c r="H516" s="50" t="s">
        <v>48</v>
      </c>
      <c r="I516" s="50" t="s">
        <v>48</v>
      </c>
      <c r="J516" s="36" t="s">
        <v>48</v>
      </c>
      <c r="K516" s="36" t="s">
        <v>48</v>
      </c>
      <c r="O516" s="36" t="s">
        <v>48</v>
      </c>
      <c r="R516" s="36" t="s">
        <v>48</v>
      </c>
    </row>
    <row r="517">
      <c r="G517" s="36" t="s">
        <v>48</v>
      </c>
      <c r="H517" s="50" t="s">
        <v>48</v>
      </c>
      <c r="I517" s="50" t="s">
        <v>48</v>
      </c>
      <c r="J517" s="36" t="s">
        <v>48</v>
      </c>
      <c r="K517" s="36" t="s">
        <v>48</v>
      </c>
      <c r="O517" s="36" t="s">
        <v>48</v>
      </c>
      <c r="R517" s="36" t="s">
        <v>48</v>
      </c>
    </row>
    <row r="518">
      <c r="G518" s="36" t="s">
        <v>48</v>
      </c>
      <c r="H518" s="50" t="s">
        <v>48</v>
      </c>
      <c r="I518" s="50" t="s">
        <v>48</v>
      </c>
      <c r="J518" s="36" t="s">
        <v>48</v>
      </c>
      <c r="K518" s="36" t="s">
        <v>48</v>
      </c>
      <c r="O518" s="36" t="s">
        <v>48</v>
      </c>
      <c r="R518" s="36" t="s">
        <v>48</v>
      </c>
    </row>
    <row r="519">
      <c r="G519" s="36" t="s">
        <v>48</v>
      </c>
      <c r="H519" s="50" t="s">
        <v>48</v>
      </c>
      <c r="I519" s="50" t="s">
        <v>48</v>
      </c>
      <c r="J519" s="36" t="s">
        <v>48</v>
      </c>
      <c r="K519" s="36" t="s">
        <v>48</v>
      </c>
      <c r="O519" s="36" t="s">
        <v>48</v>
      </c>
      <c r="R519" s="36" t="s">
        <v>48</v>
      </c>
    </row>
    <row r="520">
      <c r="G520" s="36" t="s">
        <v>48</v>
      </c>
      <c r="H520" s="50" t="s">
        <v>48</v>
      </c>
      <c r="I520" s="50" t="s">
        <v>48</v>
      </c>
      <c r="J520" s="36" t="s">
        <v>48</v>
      </c>
      <c r="K520" s="36" t="s">
        <v>48</v>
      </c>
      <c r="O520" s="36" t="s">
        <v>48</v>
      </c>
      <c r="R520" s="36" t="s">
        <v>48</v>
      </c>
    </row>
    <row r="521">
      <c r="G521" s="36" t="s">
        <v>48</v>
      </c>
      <c r="H521" s="50" t="s">
        <v>48</v>
      </c>
      <c r="I521" s="50" t="s">
        <v>48</v>
      </c>
      <c r="J521" s="36" t="s">
        <v>48</v>
      </c>
      <c r="K521" s="36" t="s">
        <v>48</v>
      </c>
      <c r="O521" s="36" t="s">
        <v>48</v>
      </c>
      <c r="R521" s="36" t="s">
        <v>48</v>
      </c>
    </row>
    <row r="522">
      <c r="G522" s="36" t="s">
        <v>48</v>
      </c>
      <c r="H522" s="50" t="s">
        <v>48</v>
      </c>
      <c r="I522" s="50" t="s">
        <v>48</v>
      </c>
      <c r="J522" s="36" t="s">
        <v>48</v>
      </c>
      <c r="K522" s="36" t="s">
        <v>48</v>
      </c>
      <c r="O522" s="36" t="s">
        <v>48</v>
      </c>
      <c r="R522" s="36" t="s">
        <v>48</v>
      </c>
    </row>
    <row r="523">
      <c r="G523" s="36" t="s">
        <v>48</v>
      </c>
      <c r="H523" s="50" t="s">
        <v>48</v>
      </c>
      <c r="I523" s="50" t="s">
        <v>48</v>
      </c>
      <c r="J523" s="36" t="s">
        <v>48</v>
      </c>
      <c r="K523" s="36" t="s">
        <v>48</v>
      </c>
      <c r="O523" s="36" t="s">
        <v>48</v>
      </c>
      <c r="R523" s="36" t="s">
        <v>48</v>
      </c>
    </row>
    <row r="524">
      <c r="G524" s="36" t="s">
        <v>48</v>
      </c>
      <c r="H524" s="50" t="s">
        <v>48</v>
      </c>
      <c r="I524" s="50" t="s">
        <v>48</v>
      </c>
      <c r="J524" s="36" t="s">
        <v>48</v>
      </c>
      <c r="K524" s="36" t="s">
        <v>48</v>
      </c>
      <c r="O524" s="36" t="s">
        <v>48</v>
      </c>
      <c r="R524" s="36" t="s">
        <v>48</v>
      </c>
    </row>
    <row r="525">
      <c r="G525" s="36" t="s">
        <v>48</v>
      </c>
      <c r="H525" s="50" t="s">
        <v>48</v>
      </c>
      <c r="I525" s="50" t="s">
        <v>48</v>
      </c>
      <c r="J525" s="36" t="s">
        <v>48</v>
      </c>
      <c r="K525" s="36" t="s">
        <v>48</v>
      </c>
      <c r="O525" s="36" t="s">
        <v>48</v>
      </c>
      <c r="R525" s="36" t="s">
        <v>48</v>
      </c>
    </row>
    <row r="526">
      <c r="G526" s="36" t="s">
        <v>48</v>
      </c>
      <c r="H526" s="50" t="s">
        <v>48</v>
      </c>
      <c r="I526" s="50" t="s">
        <v>48</v>
      </c>
      <c r="J526" s="36" t="s">
        <v>48</v>
      </c>
      <c r="K526" s="36" t="s">
        <v>48</v>
      </c>
      <c r="O526" s="36" t="s">
        <v>48</v>
      </c>
      <c r="R526" s="36" t="s">
        <v>48</v>
      </c>
    </row>
    <row r="527">
      <c r="G527" s="36" t="s">
        <v>48</v>
      </c>
      <c r="H527" s="50" t="s">
        <v>48</v>
      </c>
      <c r="I527" s="50" t="s">
        <v>48</v>
      </c>
      <c r="J527" s="36" t="s">
        <v>48</v>
      </c>
      <c r="K527" s="36" t="s">
        <v>48</v>
      </c>
      <c r="O527" s="36" t="s">
        <v>48</v>
      </c>
      <c r="R527" s="36" t="s">
        <v>48</v>
      </c>
    </row>
    <row r="528">
      <c r="G528" s="36" t="s">
        <v>48</v>
      </c>
      <c r="H528" s="50" t="s">
        <v>48</v>
      </c>
      <c r="I528" s="50" t="s">
        <v>48</v>
      </c>
      <c r="J528" s="36" t="s">
        <v>48</v>
      </c>
      <c r="K528" s="36" t="s">
        <v>48</v>
      </c>
      <c r="O528" s="36" t="s">
        <v>48</v>
      </c>
      <c r="R528" s="36" t="s">
        <v>48</v>
      </c>
    </row>
    <row r="529">
      <c r="G529" s="36" t="s">
        <v>48</v>
      </c>
      <c r="H529" s="50" t="s">
        <v>48</v>
      </c>
      <c r="I529" s="50" t="s">
        <v>48</v>
      </c>
      <c r="J529" s="36" t="s">
        <v>48</v>
      </c>
      <c r="K529" s="36" t="s">
        <v>48</v>
      </c>
      <c r="O529" s="36" t="s">
        <v>48</v>
      </c>
      <c r="R529" s="36" t="s">
        <v>48</v>
      </c>
    </row>
    <row r="530">
      <c r="G530" s="36" t="s">
        <v>48</v>
      </c>
      <c r="H530" s="50" t="s">
        <v>48</v>
      </c>
      <c r="I530" s="50" t="s">
        <v>48</v>
      </c>
      <c r="J530" s="36" t="s">
        <v>48</v>
      </c>
      <c r="K530" s="36" t="s">
        <v>48</v>
      </c>
      <c r="O530" s="36" t="s">
        <v>48</v>
      </c>
      <c r="R530" s="36" t="s">
        <v>48</v>
      </c>
    </row>
    <row r="531">
      <c r="G531" s="36" t="s">
        <v>48</v>
      </c>
      <c r="H531" s="50" t="s">
        <v>48</v>
      </c>
      <c r="I531" s="50" t="s">
        <v>48</v>
      </c>
      <c r="J531" s="36" t="s">
        <v>48</v>
      </c>
      <c r="K531" s="36" t="s">
        <v>48</v>
      </c>
      <c r="O531" s="36" t="s">
        <v>48</v>
      </c>
      <c r="R531" s="36" t="s">
        <v>48</v>
      </c>
    </row>
    <row r="532">
      <c r="G532" s="36" t="s">
        <v>48</v>
      </c>
      <c r="H532" s="50" t="s">
        <v>48</v>
      </c>
      <c r="I532" s="50" t="s">
        <v>48</v>
      </c>
      <c r="J532" s="36" t="s">
        <v>48</v>
      </c>
      <c r="K532" s="36" t="s">
        <v>48</v>
      </c>
      <c r="O532" s="36" t="s">
        <v>48</v>
      </c>
      <c r="R532" s="36" t="s">
        <v>48</v>
      </c>
    </row>
    <row r="533">
      <c r="G533" s="36" t="s">
        <v>48</v>
      </c>
      <c r="H533" s="50" t="s">
        <v>48</v>
      </c>
      <c r="I533" s="50" t="s">
        <v>48</v>
      </c>
      <c r="J533" s="36" t="s">
        <v>48</v>
      </c>
      <c r="K533" s="36" t="s">
        <v>48</v>
      </c>
      <c r="O533" s="36" t="s">
        <v>48</v>
      </c>
      <c r="R533" s="36" t="s">
        <v>48</v>
      </c>
    </row>
    <row r="534">
      <c r="G534" s="36" t="s">
        <v>48</v>
      </c>
      <c r="H534" s="50" t="s">
        <v>48</v>
      </c>
      <c r="I534" s="50" t="s">
        <v>48</v>
      </c>
      <c r="J534" s="36" t="s">
        <v>48</v>
      </c>
      <c r="K534" s="36" t="s">
        <v>48</v>
      </c>
      <c r="O534" s="36" t="s">
        <v>48</v>
      </c>
      <c r="R534" s="36" t="s">
        <v>48</v>
      </c>
    </row>
    <row r="535">
      <c r="G535" s="36" t="s">
        <v>48</v>
      </c>
      <c r="H535" s="50" t="s">
        <v>48</v>
      </c>
      <c r="I535" s="50" t="s">
        <v>48</v>
      </c>
      <c r="J535" s="36" t="s">
        <v>48</v>
      </c>
      <c r="K535" s="36" t="s">
        <v>48</v>
      </c>
      <c r="O535" s="36" t="s">
        <v>48</v>
      </c>
      <c r="R535" s="36" t="s">
        <v>48</v>
      </c>
    </row>
    <row r="536">
      <c r="G536" s="36" t="s">
        <v>48</v>
      </c>
      <c r="H536" s="50" t="s">
        <v>48</v>
      </c>
      <c r="I536" s="50" t="s">
        <v>48</v>
      </c>
      <c r="J536" s="36" t="s">
        <v>48</v>
      </c>
      <c r="K536" s="36" t="s">
        <v>48</v>
      </c>
      <c r="O536" s="36" t="s">
        <v>48</v>
      </c>
      <c r="R536" s="36" t="s">
        <v>48</v>
      </c>
    </row>
    <row r="537">
      <c r="G537" s="36" t="s">
        <v>48</v>
      </c>
      <c r="H537" s="50" t="s">
        <v>48</v>
      </c>
      <c r="I537" s="50" t="s">
        <v>48</v>
      </c>
      <c r="J537" s="36" t="s">
        <v>48</v>
      </c>
      <c r="K537" s="36" t="s">
        <v>48</v>
      </c>
      <c r="O537" s="36" t="s">
        <v>48</v>
      </c>
      <c r="R537" s="36" t="s">
        <v>48</v>
      </c>
    </row>
    <row r="538">
      <c r="G538" s="36" t="s">
        <v>48</v>
      </c>
      <c r="H538" s="50" t="s">
        <v>48</v>
      </c>
      <c r="I538" s="50" t="s">
        <v>48</v>
      </c>
      <c r="J538" s="36" t="s">
        <v>48</v>
      </c>
      <c r="K538" s="36" t="s">
        <v>48</v>
      </c>
      <c r="O538" s="36" t="s">
        <v>48</v>
      </c>
      <c r="R538" s="36" t="s">
        <v>48</v>
      </c>
    </row>
    <row r="539">
      <c r="G539" s="36" t="s">
        <v>48</v>
      </c>
      <c r="H539" s="50" t="s">
        <v>48</v>
      </c>
      <c r="I539" s="50" t="s">
        <v>48</v>
      </c>
      <c r="J539" s="36" t="s">
        <v>48</v>
      </c>
      <c r="K539" s="36" t="s">
        <v>48</v>
      </c>
      <c r="O539" s="36" t="s">
        <v>48</v>
      </c>
      <c r="R539" s="36" t="s">
        <v>48</v>
      </c>
    </row>
    <row r="540">
      <c r="G540" s="36" t="s">
        <v>48</v>
      </c>
      <c r="H540" s="50" t="s">
        <v>48</v>
      </c>
      <c r="I540" s="50" t="s">
        <v>48</v>
      </c>
      <c r="J540" s="36" t="s">
        <v>48</v>
      </c>
      <c r="K540" s="36" t="s">
        <v>48</v>
      </c>
      <c r="O540" s="36" t="s">
        <v>48</v>
      </c>
      <c r="R540" s="36" t="s">
        <v>48</v>
      </c>
    </row>
    <row r="541">
      <c r="G541" s="36" t="s">
        <v>48</v>
      </c>
      <c r="H541" s="50" t="s">
        <v>48</v>
      </c>
      <c r="I541" s="50" t="s">
        <v>48</v>
      </c>
      <c r="J541" s="36" t="s">
        <v>48</v>
      </c>
      <c r="K541" s="36" t="s">
        <v>48</v>
      </c>
      <c r="O541" s="36" t="s">
        <v>48</v>
      </c>
      <c r="R541" s="36" t="s">
        <v>48</v>
      </c>
    </row>
    <row r="542">
      <c r="G542" s="36" t="s">
        <v>48</v>
      </c>
      <c r="H542" s="50" t="s">
        <v>48</v>
      </c>
      <c r="I542" s="50" t="s">
        <v>48</v>
      </c>
      <c r="J542" s="36" t="s">
        <v>48</v>
      </c>
      <c r="K542" s="36" t="s">
        <v>48</v>
      </c>
      <c r="O542" s="36" t="s">
        <v>48</v>
      </c>
      <c r="R542" s="36" t="s">
        <v>48</v>
      </c>
    </row>
    <row r="543">
      <c r="G543" s="36" t="s">
        <v>48</v>
      </c>
      <c r="H543" s="50" t="s">
        <v>48</v>
      </c>
      <c r="I543" s="50" t="s">
        <v>48</v>
      </c>
      <c r="J543" s="36" t="s">
        <v>48</v>
      </c>
      <c r="K543" s="36" t="s">
        <v>48</v>
      </c>
      <c r="O543" s="36" t="s">
        <v>48</v>
      </c>
      <c r="R543" s="36" t="s">
        <v>48</v>
      </c>
    </row>
    <row r="544">
      <c r="G544" s="36" t="s">
        <v>48</v>
      </c>
      <c r="H544" s="50" t="s">
        <v>48</v>
      </c>
      <c r="I544" s="50" t="s">
        <v>48</v>
      </c>
      <c r="J544" s="36" t="s">
        <v>48</v>
      </c>
      <c r="K544" s="36" t="s">
        <v>48</v>
      </c>
      <c r="O544" s="36" t="s">
        <v>48</v>
      </c>
      <c r="R544" s="36" t="s">
        <v>48</v>
      </c>
    </row>
    <row r="545">
      <c r="G545" s="36" t="s">
        <v>48</v>
      </c>
      <c r="H545" s="50" t="s">
        <v>48</v>
      </c>
      <c r="I545" s="50" t="s">
        <v>48</v>
      </c>
      <c r="J545" s="36" t="s">
        <v>48</v>
      </c>
      <c r="K545" s="36" t="s">
        <v>48</v>
      </c>
      <c r="O545" s="36" t="s">
        <v>48</v>
      </c>
      <c r="R545" s="36" t="s">
        <v>48</v>
      </c>
    </row>
    <row r="546">
      <c r="G546" s="36" t="s">
        <v>48</v>
      </c>
      <c r="H546" s="50" t="s">
        <v>48</v>
      </c>
      <c r="I546" s="50" t="s">
        <v>48</v>
      </c>
      <c r="J546" s="36" t="s">
        <v>48</v>
      </c>
      <c r="K546" s="36" t="s">
        <v>48</v>
      </c>
      <c r="O546" s="36" t="s">
        <v>48</v>
      </c>
      <c r="R546" s="36" t="s">
        <v>48</v>
      </c>
    </row>
    <row r="547">
      <c r="G547" s="36" t="s">
        <v>48</v>
      </c>
      <c r="H547" s="50" t="s">
        <v>48</v>
      </c>
      <c r="I547" s="50" t="s">
        <v>48</v>
      </c>
      <c r="J547" s="36" t="s">
        <v>48</v>
      </c>
      <c r="K547" s="36" t="s">
        <v>48</v>
      </c>
      <c r="O547" s="36" t="s">
        <v>48</v>
      </c>
      <c r="R547" s="36" t="s">
        <v>48</v>
      </c>
    </row>
    <row r="548">
      <c r="G548" s="36" t="s">
        <v>48</v>
      </c>
      <c r="H548" s="50" t="s">
        <v>48</v>
      </c>
      <c r="I548" s="50" t="s">
        <v>48</v>
      </c>
      <c r="J548" s="36" t="s">
        <v>48</v>
      </c>
      <c r="K548" s="36" t="s">
        <v>48</v>
      </c>
      <c r="O548" s="36" t="s">
        <v>48</v>
      </c>
      <c r="R548" s="36" t="s">
        <v>48</v>
      </c>
    </row>
    <row r="549">
      <c r="G549" s="36" t="s">
        <v>48</v>
      </c>
      <c r="H549" s="50" t="s">
        <v>48</v>
      </c>
      <c r="I549" s="50" t="s">
        <v>48</v>
      </c>
      <c r="J549" s="36" t="s">
        <v>48</v>
      </c>
      <c r="K549" s="36" t="s">
        <v>48</v>
      </c>
      <c r="O549" s="36" t="s">
        <v>48</v>
      </c>
      <c r="R549" s="36" t="s">
        <v>48</v>
      </c>
    </row>
    <row r="550">
      <c r="G550" s="36" t="s">
        <v>48</v>
      </c>
      <c r="H550" s="50" t="s">
        <v>48</v>
      </c>
      <c r="I550" s="50" t="s">
        <v>48</v>
      </c>
      <c r="J550" s="36" t="s">
        <v>48</v>
      </c>
      <c r="K550" s="36" t="s">
        <v>48</v>
      </c>
      <c r="O550" s="36" t="s">
        <v>48</v>
      </c>
      <c r="R550" s="36" t="s">
        <v>48</v>
      </c>
    </row>
    <row r="551">
      <c r="G551" s="36" t="s">
        <v>48</v>
      </c>
      <c r="H551" s="50" t="s">
        <v>48</v>
      </c>
      <c r="I551" s="50" t="s">
        <v>48</v>
      </c>
      <c r="J551" s="36" t="s">
        <v>48</v>
      </c>
      <c r="K551" s="36" t="s">
        <v>48</v>
      </c>
      <c r="O551" s="36" t="s">
        <v>48</v>
      </c>
      <c r="R551" s="36" t="s">
        <v>48</v>
      </c>
    </row>
    <row r="552">
      <c r="G552" s="36" t="s">
        <v>48</v>
      </c>
      <c r="H552" s="50" t="s">
        <v>48</v>
      </c>
      <c r="I552" s="50" t="s">
        <v>48</v>
      </c>
      <c r="J552" s="36" t="s">
        <v>48</v>
      </c>
      <c r="K552" s="36" t="s">
        <v>48</v>
      </c>
      <c r="O552" s="36" t="s">
        <v>48</v>
      </c>
      <c r="R552" s="36" t="s">
        <v>48</v>
      </c>
    </row>
    <row r="553">
      <c r="G553" s="36" t="s">
        <v>48</v>
      </c>
      <c r="H553" s="50" t="s">
        <v>48</v>
      </c>
      <c r="I553" s="50" t="s">
        <v>48</v>
      </c>
      <c r="J553" s="36" t="s">
        <v>48</v>
      </c>
      <c r="K553" s="36" t="s">
        <v>48</v>
      </c>
      <c r="O553" s="36" t="s">
        <v>48</v>
      </c>
      <c r="R553" s="36" t="s">
        <v>48</v>
      </c>
    </row>
    <row r="554">
      <c r="G554" s="36" t="s">
        <v>48</v>
      </c>
      <c r="H554" s="50" t="s">
        <v>48</v>
      </c>
      <c r="I554" s="50" t="s">
        <v>48</v>
      </c>
      <c r="J554" s="36" t="s">
        <v>48</v>
      </c>
      <c r="K554" s="36" t="s">
        <v>48</v>
      </c>
      <c r="O554" s="36" t="s">
        <v>48</v>
      </c>
      <c r="R554" s="36" t="s">
        <v>48</v>
      </c>
    </row>
    <row r="555">
      <c r="G555" s="36" t="s">
        <v>48</v>
      </c>
      <c r="H555" s="50" t="s">
        <v>48</v>
      </c>
      <c r="I555" s="50" t="s">
        <v>48</v>
      </c>
      <c r="J555" s="36" t="s">
        <v>48</v>
      </c>
      <c r="K555" s="36" t="s">
        <v>48</v>
      </c>
      <c r="O555" s="36" t="s">
        <v>48</v>
      </c>
      <c r="R555" s="36" t="s">
        <v>48</v>
      </c>
    </row>
    <row r="556">
      <c r="G556" s="36" t="s">
        <v>48</v>
      </c>
      <c r="H556" s="50" t="s">
        <v>48</v>
      </c>
      <c r="I556" s="50" t="s">
        <v>48</v>
      </c>
      <c r="J556" s="36" t="s">
        <v>48</v>
      </c>
      <c r="K556" s="36" t="s">
        <v>48</v>
      </c>
      <c r="O556" s="36" t="s">
        <v>48</v>
      </c>
      <c r="R556" s="36" t="s">
        <v>48</v>
      </c>
    </row>
    <row r="557">
      <c r="G557" s="36" t="s">
        <v>48</v>
      </c>
      <c r="H557" s="50" t="s">
        <v>48</v>
      </c>
      <c r="I557" s="50" t="s">
        <v>48</v>
      </c>
      <c r="J557" s="36" t="s">
        <v>48</v>
      </c>
      <c r="K557" s="36" t="s">
        <v>48</v>
      </c>
      <c r="O557" s="36" t="s">
        <v>48</v>
      </c>
      <c r="R557" s="36" t="s">
        <v>48</v>
      </c>
    </row>
    <row r="558">
      <c r="G558" s="36" t="s">
        <v>48</v>
      </c>
      <c r="H558" s="50" t="s">
        <v>48</v>
      </c>
      <c r="I558" s="50" t="s">
        <v>48</v>
      </c>
      <c r="J558" s="36" t="s">
        <v>48</v>
      </c>
      <c r="K558" s="36" t="s">
        <v>48</v>
      </c>
      <c r="O558" s="36" t="s">
        <v>48</v>
      </c>
      <c r="R558" s="36" t="s">
        <v>48</v>
      </c>
    </row>
    <row r="559">
      <c r="G559" s="36" t="s">
        <v>48</v>
      </c>
      <c r="H559" s="50" t="s">
        <v>48</v>
      </c>
      <c r="I559" s="50" t="s">
        <v>48</v>
      </c>
      <c r="J559" s="36" t="s">
        <v>48</v>
      </c>
      <c r="K559" s="36" t="s">
        <v>48</v>
      </c>
      <c r="O559" s="36" t="s">
        <v>48</v>
      </c>
      <c r="R559" s="36" t="s">
        <v>48</v>
      </c>
    </row>
    <row r="560">
      <c r="G560" s="36" t="s">
        <v>48</v>
      </c>
      <c r="H560" s="50" t="s">
        <v>48</v>
      </c>
      <c r="I560" s="50" t="s">
        <v>48</v>
      </c>
      <c r="J560" s="36" t="s">
        <v>48</v>
      </c>
      <c r="K560" s="36" t="s">
        <v>48</v>
      </c>
      <c r="O560" s="36" t="s">
        <v>48</v>
      </c>
      <c r="R560" s="36" t="s">
        <v>48</v>
      </c>
    </row>
    <row r="561">
      <c r="G561" s="36" t="s">
        <v>48</v>
      </c>
      <c r="H561" s="50" t="s">
        <v>48</v>
      </c>
      <c r="I561" s="50" t="s">
        <v>48</v>
      </c>
      <c r="J561" s="36" t="s">
        <v>48</v>
      </c>
      <c r="K561" s="36" t="s">
        <v>48</v>
      </c>
      <c r="O561" s="36" t="s">
        <v>48</v>
      </c>
      <c r="R561" s="36" t="s">
        <v>48</v>
      </c>
    </row>
    <row r="562">
      <c r="G562" s="36" t="s">
        <v>48</v>
      </c>
      <c r="H562" s="50" t="s">
        <v>48</v>
      </c>
      <c r="I562" s="50" t="s">
        <v>48</v>
      </c>
      <c r="J562" s="36" t="s">
        <v>48</v>
      </c>
      <c r="K562" s="36" t="s">
        <v>48</v>
      </c>
      <c r="O562" s="36" t="s">
        <v>48</v>
      </c>
      <c r="R562" s="36" t="s">
        <v>48</v>
      </c>
    </row>
    <row r="563">
      <c r="G563" s="36" t="s">
        <v>48</v>
      </c>
      <c r="H563" s="50" t="s">
        <v>48</v>
      </c>
      <c r="I563" s="50" t="s">
        <v>48</v>
      </c>
      <c r="J563" s="36" t="s">
        <v>48</v>
      </c>
      <c r="K563" s="36" t="s">
        <v>48</v>
      </c>
      <c r="O563" s="36" t="s">
        <v>48</v>
      </c>
      <c r="R563" s="36" t="s">
        <v>48</v>
      </c>
    </row>
    <row r="564">
      <c r="G564" s="36" t="s">
        <v>48</v>
      </c>
      <c r="H564" s="50" t="s">
        <v>48</v>
      </c>
      <c r="I564" s="50" t="s">
        <v>48</v>
      </c>
      <c r="J564" s="36" t="s">
        <v>48</v>
      </c>
      <c r="K564" s="36" t="s">
        <v>48</v>
      </c>
      <c r="O564" s="36" t="s">
        <v>48</v>
      </c>
      <c r="R564" s="36" t="s">
        <v>48</v>
      </c>
    </row>
    <row r="565">
      <c r="G565" s="36" t="s">
        <v>48</v>
      </c>
      <c r="H565" s="50" t="s">
        <v>48</v>
      </c>
      <c r="I565" s="50" t="s">
        <v>48</v>
      </c>
      <c r="J565" s="36" t="s">
        <v>48</v>
      </c>
      <c r="K565" s="36" t="s">
        <v>48</v>
      </c>
      <c r="O565" s="36" t="s">
        <v>48</v>
      </c>
      <c r="R565" s="36" t="s">
        <v>48</v>
      </c>
    </row>
    <row r="566">
      <c r="G566" s="36" t="s">
        <v>48</v>
      </c>
      <c r="H566" s="50" t="s">
        <v>48</v>
      </c>
      <c r="I566" s="50" t="s">
        <v>48</v>
      </c>
      <c r="J566" s="36" t="s">
        <v>48</v>
      </c>
      <c r="K566" s="36" t="s">
        <v>48</v>
      </c>
      <c r="O566" s="36" t="s">
        <v>48</v>
      </c>
      <c r="R566" s="36" t="s">
        <v>48</v>
      </c>
    </row>
    <row r="567">
      <c r="G567" s="36" t="s">
        <v>48</v>
      </c>
      <c r="H567" s="50" t="s">
        <v>48</v>
      </c>
      <c r="I567" s="50" t="s">
        <v>48</v>
      </c>
      <c r="J567" s="36" t="s">
        <v>48</v>
      </c>
      <c r="K567" s="36" t="s">
        <v>48</v>
      </c>
      <c r="O567" s="36" t="s">
        <v>48</v>
      </c>
      <c r="R567" s="36" t="s">
        <v>48</v>
      </c>
    </row>
    <row r="568">
      <c r="G568" s="36" t="s">
        <v>48</v>
      </c>
      <c r="H568" s="50" t="s">
        <v>48</v>
      </c>
      <c r="I568" s="50" t="s">
        <v>48</v>
      </c>
      <c r="J568" s="36" t="s">
        <v>48</v>
      </c>
      <c r="K568" s="36" t="s">
        <v>48</v>
      </c>
      <c r="O568" s="36" t="s">
        <v>48</v>
      </c>
      <c r="R568" s="36" t="s">
        <v>48</v>
      </c>
    </row>
    <row r="569">
      <c r="G569" s="36" t="s">
        <v>48</v>
      </c>
      <c r="H569" s="50" t="s">
        <v>48</v>
      </c>
      <c r="I569" s="50" t="s">
        <v>48</v>
      </c>
      <c r="J569" s="36" t="s">
        <v>48</v>
      </c>
      <c r="K569" s="36" t="s">
        <v>48</v>
      </c>
      <c r="O569" s="36" t="s">
        <v>48</v>
      </c>
      <c r="R569" s="36" t="s">
        <v>48</v>
      </c>
    </row>
    <row r="570">
      <c r="G570" s="36" t="s">
        <v>48</v>
      </c>
      <c r="H570" s="50" t="s">
        <v>48</v>
      </c>
      <c r="I570" s="50" t="s">
        <v>48</v>
      </c>
      <c r="J570" s="36" t="s">
        <v>48</v>
      </c>
      <c r="K570" s="36" t="s">
        <v>48</v>
      </c>
      <c r="O570" s="36" t="s">
        <v>48</v>
      </c>
      <c r="R570" s="36" t="s">
        <v>48</v>
      </c>
    </row>
    <row r="571">
      <c r="G571" s="36" t="s">
        <v>48</v>
      </c>
      <c r="H571" s="50" t="s">
        <v>48</v>
      </c>
      <c r="I571" s="50" t="s">
        <v>48</v>
      </c>
      <c r="J571" s="36" t="s">
        <v>48</v>
      </c>
      <c r="K571" s="36" t="s">
        <v>48</v>
      </c>
      <c r="O571" s="36" t="s">
        <v>48</v>
      </c>
      <c r="R571" s="36" t="s">
        <v>48</v>
      </c>
    </row>
    <row r="572">
      <c r="G572" s="36" t="s">
        <v>48</v>
      </c>
      <c r="H572" s="50" t="s">
        <v>48</v>
      </c>
      <c r="I572" s="50" t="s">
        <v>48</v>
      </c>
      <c r="J572" s="36" t="s">
        <v>48</v>
      </c>
      <c r="K572" s="36" t="s">
        <v>48</v>
      </c>
      <c r="O572" s="36" t="s">
        <v>48</v>
      </c>
      <c r="R572" s="36" t="s">
        <v>48</v>
      </c>
    </row>
    <row r="573">
      <c r="G573" s="36" t="s">
        <v>48</v>
      </c>
      <c r="H573" s="50" t="s">
        <v>48</v>
      </c>
      <c r="I573" s="50" t="s">
        <v>48</v>
      </c>
      <c r="J573" s="36" t="s">
        <v>48</v>
      </c>
      <c r="K573" s="36" t="s">
        <v>48</v>
      </c>
      <c r="O573" s="36" t="s">
        <v>48</v>
      </c>
      <c r="R573" s="36" t="s">
        <v>48</v>
      </c>
    </row>
    <row r="574">
      <c r="G574" s="36" t="s">
        <v>48</v>
      </c>
      <c r="H574" s="50" t="s">
        <v>48</v>
      </c>
      <c r="I574" s="50" t="s">
        <v>48</v>
      </c>
      <c r="J574" s="36" t="s">
        <v>48</v>
      </c>
      <c r="K574" s="36" t="s">
        <v>48</v>
      </c>
      <c r="O574" s="36" t="s">
        <v>48</v>
      </c>
      <c r="R574" s="36" t="s">
        <v>48</v>
      </c>
    </row>
    <row r="575">
      <c r="G575" s="36" t="s">
        <v>48</v>
      </c>
      <c r="H575" s="50" t="s">
        <v>48</v>
      </c>
      <c r="I575" s="50" t="s">
        <v>48</v>
      </c>
      <c r="J575" s="36" t="s">
        <v>48</v>
      </c>
      <c r="K575" s="36" t="s">
        <v>48</v>
      </c>
      <c r="O575" s="36" t="s">
        <v>48</v>
      </c>
      <c r="R575" s="36" t="s">
        <v>48</v>
      </c>
    </row>
    <row r="576">
      <c r="G576" s="36" t="s">
        <v>48</v>
      </c>
      <c r="H576" s="50" t="s">
        <v>48</v>
      </c>
      <c r="I576" s="50" t="s">
        <v>48</v>
      </c>
      <c r="J576" s="36" t="s">
        <v>48</v>
      </c>
      <c r="K576" s="36" t="s">
        <v>48</v>
      </c>
      <c r="O576" s="36" t="s">
        <v>48</v>
      </c>
      <c r="R576" s="36" t="s">
        <v>48</v>
      </c>
    </row>
    <row r="577">
      <c r="G577" s="36" t="s">
        <v>48</v>
      </c>
      <c r="H577" s="50" t="s">
        <v>48</v>
      </c>
      <c r="I577" s="50" t="s">
        <v>48</v>
      </c>
      <c r="J577" s="36" t="s">
        <v>48</v>
      </c>
      <c r="K577" s="36" t="s">
        <v>48</v>
      </c>
      <c r="O577" s="36" t="s">
        <v>48</v>
      </c>
      <c r="R577" s="36" t="s">
        <v>48</v>
      </c>
    </row>
    <row r="578">
      <c r="G578" s="36" t="s">
        <v>48</v>
      </c>
      <c r="H578" s="50" t="s">
        <v>48</v>
      </c>
      <c r="I578" s="50" t="s">
        <v>48</v>
      </c>
      <c r="J578" s="36" t="s">
        <v>48</v>
      </c>
      <c r="K578" s="36" t="s">
        <v>48</v>
      </c>
      <c r="O578" s="36" t="s">
        <v>48</v>
      </c>
      <c r="R578" s="36" t="s">
        <v>48</v>
      </c>
    </row>
    <row r="579">
      <c r="G579" s="36" t="s">
        <v>48</v>
      </c>
      <c r="H579" s="50" t="s">
        <v>48</v>
      </c>
      <c r="I579" s="50" t="s">
        <v>48</v>
      </c>
      <c r="J579" s="36" t="s">
        <v>48</v>
      </c>
      <c r="K579" s="36" t="s">
        <v>48</v>
      </c>
      <c r="O579" s="36" t="s">
        <v>48</v>
      </c>
      <c r="R579" s="36" t="s">
        <v>48</v>
      </c>
    </row>
    <row r="580">
      <c r="G580" s="36" t="s">
        <v>48</v>
      </c>
      <c r="H580" s="50" t="s">
        <v>48</v>
      </c>
      <c r="I580" s="50" t="s">
        <v>48</v>
      </c>
      <c r="J580" s="36" t="s">
        <v>48</v>
      </c>
      <c r="K580" s="36" t="s">
        <v>48</v>
      </c>
      <c r="O580" s="36" t="s">
        <v>48</v>
      </c>
      <c r="R580" s="36" t="s">
        <v>48</v>
      </c>
    </row>
    <row r="581">
      <c r="G581" s="36" t="s">
        <v>48</v>
      </c>
      <c r="H581" s="50" t="s">
        <v>48</v>
      </c>
      <c r="I581" s="50" t="s">
        <v>48</v>
      </c>
      <c r="J581" s="36" t="s">
        <v>48</v>
      </c>
      <c r="K581" s="36" t="s">
        <v>48</v>
      </c>
      <c r="O581" s="36" t="s">
        <v>48</v>
      </c>
      <c r="R581" s="36" t="s">
        <v>48</v>
      </c>
    </row>
    <row r="582">
      <c r="G582" s="36" t="s">
        <v>48</v>
      </c>
      <c r="H582" s="50" t="s">
        <v>48</v>
      </c>
      <c r="I582" s="50" t="s">
        <v>48</v>
      </c>
      <c r="J582" s="36" t="s">
        <v>48</v>
      </c>
      <c r="K582" s="36" t="s">
        <v>48</v>
      </c>
      <c r="O582" s="36" t="s">
        <v>48</v>
      </c>
      <c r="R582" s="36" t="s">
        <v>48</v>
      </c>
    </row>
    <row r="583">
      <c r="G583" s="36" t="s">
        <v>48</v>
      </c>
      <c r="H583" s="50" t="s">
        <v>48</v>
      </c>
      <c r="I583" s="50" t="s">
        <v>48</v>
      </c>
      <c r="J583" s="36" t="s">
        <v>48</v>
      </c>
      <c r="K583" s="36" t="s">
        <v>48</v>
      </c>
      <c r="O583" s="36" t="s">
        <v>48</v>
      </c>
      <c r="R583" s="36" t="s">
        <v>48</v>
      </c>
    </row>
    <row r="584">
      <c r="G584" s="36" t="s">
        <v>48</v>
      </c>
      <c r="H584" s="50" t="s">
        <v>48</v>
      </c>
      <c r="I584" s="50" t="s">
        <v>48</v>
      </c>
      <c r="J584" s="36" t="s">
        <v>48</v>
      </c>
      <c r="K584" s="36" t="s">
        <v>48</v>
      </c>
      <c r="O584" s="36" t="s">
        <v>48</v>
      </c>
      <c r="R584" s="36" t="s">
        <v>48</v>
      </c>
    </row>
    <row r="585">
      <c r="G585" s="36" t="s">
        <v>48</v>
      </c>
      <c r="H585" s="50" t="s">
        <v>48</v>
      </c>
      <c r="I585" s="50" t="s">
        <v>48</v>
      </c>
      <c r="J585" s="36" t="s">
        <v>48</v>
      </c>
      <c r="K585" s="36" t="s">
        <v>48</v>
      </c>
      <c r="O585" s="36" t="s">
        <v>48</v>
      </c>
      <c r="R585" s="36" t="s">
        <v>48</v>
      </c>
    </row>
    <row r="586">
      <c r="G586" s="36" t="s">
        <v>48</v>
      </c>
      <c r="H586" s="50" t="s">
        <v>48</v>
      </c>
      <c r="I586" s="50" t="s">
        <v>48</v>
      </c>
      <c r="J586" s="36" t="s">
        <v>48</v>
      </c>
      <c r="K586" s="36" t="s">
        <v>48</v>
      </c>
      <c r="O586" s="36" t="s">
        <v>48</v>
      </c>
      <c r="R586" s="36" t="s">
        <v>48</v>
      </c>
    </row>
    <row r="587">
      <c r="G587" s="36" t="s">
        <v>48</v>
      </c>
      <c r="H587" s="50" t="s">
        <v>48</v>
      </c>
      <c r="I587" s="50" t="s">
        <v>48</v>
      </c>
      <c r="J587" s="36" t="s">
        <v>48</v>
      </c>
      <c r="K587" s="36" t="s">
        <v>48</v>
      </c>
      <c r="O587" s="36" t="s">
        <v>48</v>
      </c>
      <c r="R587" s="36" t="s">
        <v>48</v>
      </c>
    </row>
    <row r="588">
      <c r="G588" s="36" t="s">
        <v>48</v>
      </c>
      <c r="H588" s="50" t="s">
        <v>48</v>
      </c>
      <c r="I588" s="50" t="s">
        <v>48</v>
      </c>
      <c r="J588" s="36" t="s">
        <v>48</v>
      </c>
      <c r="K588" s="36" t="s">
        <v>48</v>
      </c>
      <c r="O588" s="36" t="s">
        <v>48</v>
      </c>
      <c r="R588" s="36" t="s">
        <v>48</v>
      </c>
    </row>
    <row r="589">
      <c r="G589" s="36" t="s">
        <v>48</v>
      </c>
      <c r="H589" s="50" t="s">
        <v>48</v>
      </c>
      <c r="I589" s="50" t="s">
        <v>48</v>
      </c>
      <c r="J589" s="36" t="s">
        <v>48</v>
      </c>
      <c r="K589" s="36" t="s">
        <v>48</v>
      </c>
      <c r="O589" s="36" t="s">
        <v>48</v>
      </c>
      <c r="R589" s="36" t="s">
        <v>48</v>
      </c>
    </row>
    <row r="590">
      <c r="G590" s="36" t="s">
        <v>48</v>
      </c>
      <c r="H590" s="50" t="s">
        <v>48</v>
      </c>
      <c r="I590" s="50" t="s">
        <v>48</v>
      </c>
      <c r="J590" s="36" t="s">
        <v>48</v>
      </c>
      <c r="K590" s="36" t="s">
        <v>48</v>
      </c>
      <c r="O590" s="36" t="s">
        <v>48</v>
      </c>
      <c r="R590" s="36" t="s">
        <v>48</v>
      </c>
    </row>
    <row r="591">
      <c r="G591" s="36" t="s">
        <v>48</v>
      </c>
      <c r="H591" s="50" t="s">
        <v>48</v>
      </c>
      <c r="I591" s="50" t="s">
        <v>48</v>
      </c>
      <c r="J591" s="36" t="s">
        <v>48</v>
      </c>
      <c r="K591" s="36" t="s">
        <v>48</v>
      </c>
      <c r="O591" s="36" t="s">
        <v>48</v>
      </c>
      <c r="R591" s="36" t="s">
        <v>48</v>
      </c>
    </row>
    <row r="592">
      <c r="G592" s="36" t="s">
        <v>48</v>
      </c>
      <c r="H592" s="50" t="s">
        <v>48</v>
      </c>
      <c r="I592" s="50" t="s">
        <v>48</v>
      </c>
      <c r="J592" s="36" t="s">
        <v>48</v>
      </c>
      <c r="K592" s="36" t="s">
        <v>48</v>
      </c>
      <c r="O592" s="36" t="s">
        <v>48</v>
      </c>
      <c r="R592" s="36" t="s">
        <v>48</v>
      </c>
    </row>
    <row r="593">
      <c r="G593" s="36" t="s">
        <v>48</v>
      </c>
      <c r="H593" s="50" t="s">
        <v>48</v>
      </c>
      <c r="I593" s="50" t="s">
        <v>48</v>
      </c>
      <c r="J593" s="36" t="s">
        <v>48</v>
      </c>
      <c r="K593" s="36" t="s">
        <v>48</v>
      </c>
      <c r="O593" s="36" t="s">
        <v>48</v>
      </c>
      <c r="R593" s="36" t="s">
        <v>48</v>
      </c>
    </row>
    <row r="594">
      <c r="G594" s="36" t="s">
        <v>48</v>
      </c>
      <c r="H594" s="50" t="s">
        <v>48</v>
      </c>
      <c r="I594" s="50" t="s">
        <v>48</v>
      </c>
      <c r="J594" s="36" t="s">
        <v>48</v>
      </c>
      <c r="K594" s="36" t="s">
        <v>48</v>
      </c>
      <c r="O594" s="36" t="s">
        <v>48</v>
      </c>
      <c r="R594" s="36" t="s">
        <v>48</v>
      </c>
    </row>
    <row r="595">
      <c r="G595" s="36" t="s">
        <v>48</v>
      </c>
      <c r="H595" s="50" t="s">
        <v>48</v>
      </c>
      <c r="I595" s="50" t="s">
        <v>48</v>
      </c>
      <c r="J595" s="36" t="s">
        <v>48</v>
      </c>
      <c r="K595" s="36" t="s">
        <v>48</v>
      </c>
      <c r="O595" s="36" t="s">
        <v>48</v>
      </c>
      <c r="R595" s="36" t="s">
        <v>48</v>
      </c>
    </row>
    <row r="596">
      <c r="G596" s="36" t="s">
        <v>48</v>
      </c>
      <c r="H596" s="50" t="s">
        <v>48</v>
      </c>
      <c r="I596" s="50" t="s">
        <v>48</v>
      </c>
      <c r="J596" s="36" t="s">
        <v>48</v>
      </c>
      <c r="K596" s="36" t="s">
        <v>48</v>
      </c>
      <c r="O596" s="36" t="s">
        <v>48</v>
      </c>
      <c r="R596" s="36" t="s">
        <v>48</v>
      </c>
    </row>
    <row r="597">
      <c r="G597" s="36" t="s">
        <v>48</v>
      </c>
      <c r="H597" s="50" t="s">
        <v>48</v>
      </c>
      <c r="I597" s="50" t="s">
        <v>48</v>
      </c>
      <c r="J597" s="36" t="s">
        <v>48</v>
      </c>
      <c r="K597" s="36" t="s">
        <v>48</v>
      </c>
      <c r="O597" s="36" t="s">
        <v>48</v>
      </c>
      <c r="R597" s="36" t="s">
        <v>48</v>
      </c>
    </row>
    <row r="598">
      <c r="G598" s="36" t="s">
        <v>48</v>
      </c>
      <c r="H598" s="50" t="s">
        <v>48</v>
      </c>
      <c r="I598" s="50" t="s">
        <v>48</v>
      </c>
      <c r="J598" s="36" t="s">
        <v>48</v>
      </c>
      <c r="K598" s="36" t="s">
        <v>48</v>
      </c>
      <c r="O598" s="36" t="s">
        <v>48</v>
      </c>
      <c r="R598" s="36" t="s">
        <v>48</v>
      </c>
    </row>
    <row r="599">
      <c r="G599" s="36" t="s">
        <v>48</v>
      </c>
      <c r="H599" s="50" t="s">
        <v>48</v>
      </c>
      <c r="I599" s="50" t="s">
        <v>48</v>
      </c>
      <c r="J599" s="36" t="s">
        <v>48</v>
      </c>
      <c r="K599" s="36" t="s">
        <v>48</v>
      </c>
      <c r="O599" s="36" t="s">
        <v>48</v>
      </c>
      <c r="R599" s="36" t="s">
        <v>48</v>
      </c>
    </row>
    <row r="600">
      <c r="G600" s="36" t="s">
        <v>48</v>
      </c>
      <c r="H600" s="50" t="s">
        <v>48</v>
      </c>
      <c r="I600" s="50" t="s">
        <v>48</v>
      </c>
      <c r="J600" s="36" t="s">
        <v>48</v>
      </c>
      <c r="K600" s="36" t="s">
        <v>48</v>
      </c>
      <c r="O600" s="36" t="s">
        <v>48</v>
      </c>
      <c r="R600" s="36" t="s">
        <v>48</v>
      </c>
    </row>
    <row r="601">
      <c r="G601" s="36" t="s">
        <v>48</v>
      </c>
      <c r="H601" s="50" t="s">
        <v>48</v>
      </c>
      <c r="I601" s="50" t="s">
        <v>48</v>
      </c>
      <c r="J601" s="36" t="s">
        <v>48</v>
      </c>
      <c r="K601" s="36" t="s">
        <v>48</v>
      </c>
      <c r="O601" s="36" t="s">
        <v>48</v>
      </c>
      <c r="R601" s="36" t="s">
        <v>48</v>
      </c>
    </row>
    <row r="602">
      <c r="G602" s="36" t="s">
        <v>48</v>
      </c>
      <c r="H602" s="50" t="s">
        <v>48</v>
      </c>
      <c r="I602" s="50" t="s">
        <v>48</v>
      </c>
      <c r="J602" s="36" t="s">
        <v>48</v>
      </c>
      <c r="K602" s="36" t="s">
        <v>48</v>
      </c>
      <c r="O602" s="36" t="s">
        <v>48</v>
      </c>
      <c r="R602" s="36" t="s">
        <v>48</v>
      </c>
    </row>
    <row r="603">
      <c r="G603" s="36" t="s">
        <v>48</v>
      </c>
      <c r="H603" s="50" t="s">
        <v>48</v>
      </c>
      <c r="I603" s="50" t="s">
        <v>48</v>
      </c>
      <c r="J603" s="36" t="s">
        <v>48</v>
      </c>
      <c r="K603" s="36" t="s">
        <v>48</v>
      </c>
      <c r="O603" s="36" t="s">
        <v>48</v>
      </c>
      <c r="R603" s="36" t="s">
        <v>48</v>
      </c>
    </row>
    <row r="604">
      <c r="G604" s="36" t="s">
        <v>48</v>
      </c>
      <c r="H604" s="50" t="s">
        <v>48</v>
      </c>
      <c r="I604" s="50" t="s">
        <v>48</v>
      </c>
      <c r="J604" s="36" t="s">
        <v>48</v>
      </c>
      <c r="K604" s="36" t="s">
        <v>48</v>
      </c>
      <c r="O604" s="36" t="s">
        <v>48</v>
      </c>
      <c r="R604" s="36" t="s">
        <v>48</v>
      </c>
    </row>
    <row r="605">
      <c r="G605" s="36" t="s">
        <v>48</v>
      </c>
      <c r="H605" s="50" t="s">
        <v>48</v>
      </c>
      <c r="I605" s="50" t="s">
        <v>48</v>
      </c>
      <c r="J605" s="36" t="s">
        <v>48</v>
      </c>
      <c r="K605" s="36" t="s">
        <v>48</v>
      </c>
      <c r="O605" s="36" t="s">
        <v>48</v>
      </c>
      <c r="R605" s="36" t="s">
        <v>48</v>
      </c>
    </row>
    <row r="606">
      <c r="G606" s="36" t="s">
        <v>48</v>
      </c>
      <c r="H606" s="50" t="s">
        <v>48</v>
      </c>
      <c r="I606" s="50" t="s">
        <v>48</v>
      </c>
      <c r="J606" s="36" t="s">
        <v>48</v>
      </c>
      <c r="K606" s="36" t="s">
        <v>48</v>
      </c>
      <c r="O606" s="36" t="s">
        <v>48</v>
      </c>
      <c r="R606" s="36" t="s">
        <v>48</v>
      </c>
    </row>
    <row r="607">
      <c r="G607" s="36" t="s">
        <v>48</v>
      </c>
      <c r="H607" s="50" t="s">
        <v>48</v>
      </c>
      <c r="I607" s="50" t="s">
        <v>48</v>
      </c>
      <c r="J607" s="36" t="s">
        <v>48</v>
      </c>
      <c r="K607" s="36" t="s">
        <v>48</v>
      </c>
      <c r="O607" s="36" t="s">
        <v>48</v>
      </c>
      <c r="R607" s="36" t="s">
        <v>48</v>
      </c>
    </row>
    <row r="608">
      <c r="G608" s="36" t="s">
        <v>48</v>
      </c>
      <c r="H608" s="50" t="s">
        <v>48</v>
      </c>
      <c r="I608" s="50" t="s">
        <v>48</v>
      </c>
      <c r="J608" s="36" t="s">
        <v>48</v>
      </c>
      <c r="K608" s="36" t="s">
        <v>48</v>
      </c>
      <c r="O608" s="36" t="s">
        <v>48</v>
      </c>
      <c r="R608" s="36" t="s">
        <v>48</v>
      </c>
    </row>
    <row r="609">
      <c r="G609" s="36" t="s">
        <v>48</v>
      </c>
      <c r="H609" s="50" t="s">
        <v>48</v>
      </c>
      <c r="I609" s="50" t="s">
        <v>48</v>
      </c>
      <c r="J609" s="36" t="s">
        <v>48</v>
      </c>
      <c r="K609" s="36" t="s">
        <v>48</v>
      </c>
      <c r="O609" s="36" t="s">
        <v>48</v>
      </c>
      <c r="R609" s="36" t="s">
        <v>48</v>
      </c>
    </row>
    <row r="610">
      <c r="G610" s="36" t="s">
        <v>48</v>
      </c>
      <c r="H610" s="50" t="s">
        <v>48</v>
      </c>
      <c r="I610" s="50" t="s">
        <v>48</v>
      </c>
      <c r="J610" s="36" t="s">
        <v>48</v>
      </c>
      <c r="K610" s="36" t="s">
        <v>48</v>
      </c>
      <c r="O610" s="36" t="s">
        <v>48</v>
      </c>
      <c r="R610" s="36" t="s">
        <v>48</v>
      </c>
    </row>
    <row r="611">
      <c r="G611" s="36" t="s">
        <v>48</v>
      </c>
      <c r="H611" s="50" t="s">
        <v>48</v>
      </c>
      <c r="I611" s="50" t="s">
        <v>48</v>
      </c>
      <c r="J611" s="36" t="s">
        <v>48</v>
      </c>
      <c r="K611" s="36" t="s">
        <v>48</v>
      </c>
      <c r="O611" s="36" t="s">
        <v>48</v>
      </c>
      <c r="R611" s="36" t="s">
        <v>48</v>
      </c>
    </row>
    <row r="612">
      <c r="G612" s="36" t="s">
        <v>48</v>
      </c>
      <c r="H612" s="50" t="s">
        <v>48</v>
      </c>
      <c r="I612" s="50" t="s">
        <v>48</v>
      </c>
      <c r="J612" s="36" t="s">
        <v>48</v>
      </c>
      <c r="K612" s="36" t="s">
        <v>48</v>
      </c>
      <c r="O612" s="36" t="s">
        <v>48</v>
      </c>
      <c r="R612" s="36" t="s">
        <v>48</v>
      </c>
    </row>
    <row r="613">
      <c r="G613" s="36" t="s">
        <v>48</v>
      </c>
      <c r="H613" s="50" t="s">
        <v>48</v>
      </c>
      <c r="I613" s="50" t="s">
        <v>48</v>
      </c>
      <c r="J613" s="36" t="s">
        <v>48</v>
      </c>
      <c r="K613" s="36" t="s">
        <v>48</v>
      </c>
      <c r="O613" s="36" t="s">
        <v>48</v>
      </c>
      <c r="R613" s="36" t="s">
        <v>48</v>
      </c>
    </row>
    <row r="614">
      <c r="G614" s="36" t="s">
        <v>48</v>
      </c>
      <c r="H614" s="50" t="s">
        <v>48</v>
      </c>
      <c r="I614" s="50" t="s">
        <v>48</v>
      </c>
      <c r="J614" s="36" t="s">
        <v>48</v>
      </c>
      <c r="K614" s="36" t="s">
        <v>48</v>
      </c>
      <c r="O614" s="36" t="s">
        <v>48</v>
      </c>
      <c r="R614" s="36" t="s">
        <v>48</v>
      </c>
    </row>
    <row r="615">
      <c r="G615" s="36" t="s">
        <v>48</v>
      </c>
      <c r="H615" s="50" t="s">
        <v>48</v>
      </c>
      <c r="I615" s="50" t="s">
        <v>48</v>
      </c>
      <c r="J615" s="36" t="s">
        <v>48</v>
      </c>
      <c r="K615" s="36" t="s">
        <v>48</v>
      </c>
      <c r="O615" s="36" t="s">
        <v>48</v>
      </c>
      <c r="R615" s="36" t="s">
        <v>48</v>
      </c>
    </row>
    <row r="616">
      <c r="G616" s="36" t="s">
        <v>48</v>
      </c>
      <c r="H616" s="50" t="s">
        <v>48</v>
      </c>
      <c r="I616" s="50" t="s">
        <v>48</v>
      </c>
      <c r="J616" s="36" t="s">
        <v>48</v>
      </c>
      <c r="K616" s="36" t="s">
        <v>48</v>
      </c>
      <c r="O616" s="36" t="s">
        <v>48</v>
      </c>
      <c r="R616" s="36" t="s">
        <v>48</v>
      </c>
    </row>
    <row r="617">
      <c r="G617" s="36" t="s">
        <v>48</v>
      </c>
      <c r="H617" s="50" t="s">
        <v>48</v>
      </c>
      <c r="I617" s="50" t="s">
        <v>48</v>
      </c>
      <c r="J617" s="36" t="s">
        <v>48</v>
      </c>
      <c r="K617" s="36" t="s">
        <v>48</v>
      </c>
      <c r="O617" s="36" t="s">
        <v>48</v>
      </c>
      <c r="R617" s="36" t="s">
        <v>48</v>
      </c>
    </row>
    <row r="618">
      <c r="G618" s="36" t="s">
        <v>48</v>
      </c>
      <c r="H618" s="50" t="s">
        <v>48</v>
      </c>
      <c r="I618" s="50" t="s">
        <v>48</v>
      </c>
      <c r="J618" s="36" t="s">
        <v>48</v>
      </c>
      <c r="K618" s="36" t="s">
        <v>48</v>
      </c>
      <c r="O618" s="36" t="s">
        <v>48</v>
      </c>
      <c r="R618" s="36" t="s">
        <v>48</v>
      </c>
    </row>
    <row r="619">
      <c r="G619" s="36" t="s">
        <v>48</v>
      </c>
      <c r="H619" s="50" t="s">
        <v>48</v>
      </c>
      <c r="I619" s="50" t="s">
        <v>48</v>
      </c>
      <c r="J619" s="36" t="s">
        <v>48</v>
      </c>
      <c r="K619" s="36" t="s">
        <v>48</v>
      </c>
      <c r="O619" s="36" t="s">
        <v>48</v>
      </c>
      <c r="R619" s="36" t="s">
        <v>48</v>
      </c>
    </row>
    <row r="620">
      <c r="G620" s="36" t="s">
        <v>48</v>
      </c>
      <c r="H620" s="50" t="s">
        <v>48</v>
      </c>
      <c r="I620" s="50" t="s">
        <v>48</v>
      </c>
      <c r="J620" s="36" t="s">
        <v>48</v>
      </c>
      <c r="K620" s="36" t="s">
        <v>48</v>
      </c>
      <c r="O620" s="36" t="s">
        <v>48</v>
      </c>
      <c r="R620" s="36" t="s">
        <v>48</v>
      </c>
    </row>
    <row r="621">
      <c r="G621" s="36" t="s">
        <v>48</v>
      </c>
      <c r="H621" s="50" t="s">
        <v>48</v>
      </c>
      <c r="I621" s="50" t="s">
        <v>48</v>
      </c>
      <c r="J621" s="36" t="s">
        <v>48</v>
      </c>
      <c r="K621" s="36" t="s">
        <v>48</v>
      </c>
      <c r="O621" s="36" t="s">
        <v>48</v>
      </c>
      <c r="R621" s="36" t="s">
        <v>48</v>
      </c>
    </row>
    <row r="622">
      <c r="G622" s="36" t="s">
        <v>48</v>
      </c>
      <c r="H622" s="50" t="s">
        <v>48</v>
      </c>
      <c r="I622" s="50" t="s">
        <v>48</v>
      </c>
      <c r="J622" s="36" t="s">
        <v>48</v>
      </c>
      <c r="K622" s="36" t="s">
        <v>48</v>
      </c>
      <c r="O622" s="36" t="s">
        <v>48</v>
      </c>
      <c r="R622" s="36" t="s">
        <v>48</v>
      </c>
    </row>
    <row r="623">
      <c r="G623" s="36" t="s">
        <v>48</v>
      </c>
      <c r="H623" s="50" t="s">
        <v>48</v>
      </c>
      <c r="I623" s="50" t="s">
        <v>48</v>
      </c>
      <c r="J623" s="36" t="s">
        <v>48</v>
      </c>
      <c r="K623" s="36" t="s">
        <v>48</v>
      </c>
      <c r="O623" s="36" t="s">
        <v>48</v>
      </c>
      <c r="R623" s="36" t="s">
        <v>48</v>
      </c>
    </row>
    <row r="624">
      <c r="G624" s="36" t="s">
        <v>48</v>
      </c>
      <c r="H624" s="50" t="s">
        <v>48</v>
      </c>
      <c r="I624" s="50" t="s">
        <v>48</v>
      </c>
      <c r="J624" s="36" t="s">
        <v>48</v>
      </c>
      <c r="K624" s="36" t="s">
        <v>48</v>
      </c>
      <c r="O624" s="36" t="s">
        <v>48</v>
      </c>
      <c r="R624" s="36" t="s">
        <v>48</v>
      </c>
    </row>
    <row r="625">
      <c r="G625" s="36" t="s">
        <v>48</v>
      </c>
      <c r="H625" s="50" t="s">
        <v>48</v>
      </c>
      <c r="I625" s="50" t="s">
        <v>48</v>
      </c>
      <c r="J625" s="36" t="s">
        <v>48</v>
      </c>
      <c r="K625" s="36" t="s">
        <v>48</v>
      </c>
      <c r="O625" s="36" t="s">
        <v>48</v>
      </c>
      <c r="R625" s="36" t="s">
        <v>48</v>
      </c>
    </row>
    <row r="626">
      <c r="G626" s="36" t="s">
        <v>48</v>
      </c>
      <c r="H626" s="50" t="s">
        <v>48</v>
      </c>
      <c r="I626" s="50" t="s">
        <v>48</v>
      </c>
      <c r="J626" s="36" t="s">
        <v>48</v>
      </c>
      <c r="K626" s="36" t="s">
        <v>48</v>
      </c>
      <c r="O626" s="36" t="s">
        <v>48</v>
      </c>
      <c r="R626" s="36" t="s">
        <v>48</v>
      </c>
    </row>
    <row r="627">
      <c r="G627" s="36" t="s">
        <v>48</v>
      </c>
      <c r="H627" s="50" t="s">
        <v>48</v>
      </c>
      <c r="I627" s="50" t="s">
        <v>48</v>
      </c>
      <c r="J627" s="36" t="s">
        <v>48</v>
      </c>
      <c r="K627" s="36" t="s">
        <v>48</v>
      </c>
      <c r="O627" s="36" t="s">
        <v>48</v>
      </c>
      <c r="R627" s="36" t="s">
        <v>48</v>
      </c>
    </row>
    <row r="628">
      <c r="G628" s="36" t="s">
        <v>48</v>
      </c>
      <c r="H628" s="50" t="s">
        <v>48</v>
      </c>
      <c r="I628" s="50" t="s">
        <v>48</v>
      </c>
      <c r="J628" s="36" t="s">
        <v>48</v>
      </c>
      <c r="K628" s="36" t="s">
        <v>48</v>
      </c>
      <c r="O628" s="36" t="s">
        <v>48</v>
      </c>
      <c r="R628" s="36" t="s">
        <v>48</v>
      </c>
    </row>
    <row r="629">
      <c r="G629" s="36" t="s">
        <v>48</v>
      </c>
      <c r="H629" s="50" t="s">
        <v>48</v>
      </c>
      <c r="I629" s="50" t="s">
        <v>48</v>
      </c>
      <c r="J629" s="36" t="s">
        <v>48</v>
      </c>
      <c r="K629" s="36" t="s">
        <v>48</v>
      </c>
      <c r="O629" s="36" t="s">
        <v>48</v>
      </c>
      <c r="R629" s="36" t="s">
        <v>48</v>
      </c>
    </row>
    <row r="630">
      <c r="G630" s="36" t="s">
        <v>48</v>
      </c>
      <c r="H630" s="50" t="s">
        <v>48</v>
      </c>
      <c r="I630" s="50" t="s">
        <v>48</v>
      </c>
      <c r="J630" s="36" t="s">
        <v>48</v>
      </c>
      <c r="K630" s="36" t="s">
        <v>48</v>
      </c>
      <c r="O630" s="36" t="s">
        <v>48</v>
      </c>
      <c r="R630" s="36" t="s">
        <v>48</v>
      </c>
    </row>
    <row r="631">
      <c r="G631" s="36" t="s">
        <v>48</v>
      </c>
      <c r="H631" s="50" t="s">
        <v>48</v>
      </c>
      <c r="I631" s="50" t="s">
        <v>48</v>
      </c>
      <c r="J631" s="36" t="s">
        <v>48</v>
      </c>
      <c r="K631" s="36" t="s">
        <v>48</v>
      </c>
      <c r="O631" s="36" t="s">
        <v>48</v>
      </c>
      <c r="R631" s="36" t="s">
        <v>48</v>
      </c>
    </row>
    <row r="632">
      <c r="G632" s="36" t="s">
        <v>48</v>
      </c>
      <c r="H632" s="50" t="s">
        <v>48</v>
      </c>
      <c r="I632" s="50" t="s">
        <v>48</v>
      </c>
      <c r="J632" s="36" t="s">
        <v>48</v>
      </c>
      <c r="K632" s="36" t="s">
        <v>48</v>
      </c>
      <c r="O632" s="36" t="s">
        <v>48</v>
      </c>
      <c r="R632" s="36" t="s">
        <v>48</v>
      </c>
    </row>
    <row r="633">
      <c r="G633" s="36" t="s">
        <v>48</v>
      </c>
      <c r="H633" s="50" t="s">
        <v>48</v>
      </c>
      <c r="I633" s="50" t="s">
        <v>48</v>
      </c>
      <c r="J633" s="36" t="s">
        <v>48</v>
      </c>
      <c r="K633" s="36" t="s">
        <v>48</v>
      </c>
      <c r="O633" s="36" t="s">
        <v>48</v>
      </c>
      <c r="R633" s="36" t="s">
        <v>48</v>
      </c>
    </row>
    <row r="634">
      <c r="G634" s="36" t="s">
        <v>48</v>
      </c>
      <c r="H634" s="50" t="s">
        <v>48</v>
      </c>
      <c r="I634" s="50" t="s">
        <v>48</v>
      </c>
      <c r="J634" s="36" t="s">
        <v>48</v>
      </c>
      <c r="K634" s="36" t="s">
        <v>48</v>
      </c>
      <c r="O634" s="36" t="s">
        <v>48</v>
      </c>
      <c r="R634" s="36" t="s">
        <v>48</v>
      </c>
    </row>
    <row r="635">
      <c r="G635" s="36" t="s">
        <v>48</v>
      </c>
      <c r="H635" s="50" t="s">
        <v>48</v>
      </c>
      <c r="I635" s="50" t="s">
        <v>48</v>
      </c>
      <c r="J635" s="36" t="s">
        <v>48</v>
      </c>
      <c r="K635" s="36" t="s">
        <v>48</v>
      </c>
      <c r="O635" s="36" t="s">
        <v>48</v>
      </c>
      <c r="R635" s="36" t="s">
        <v>48</v>
      </c>
    </row>
    <row r="636">
      <c r="G636" s="36" t="s">
        <v>48</v>
      </c>
      <c r="H636" s="50" t="s">
        <v>48</v>
      </c>
      <c r="I636" s="50" t="s">
        <v>48</v>
      </c>
      <c r="J636" s="36" t="s">
        <v>48</v>
      </c>
      <c r="K636" s="36" t="s">
        <v>48</v>
      </c>
      <c r="O636" s="36" t="s">
        <v>48</v>
      </c>
      <c r="R636" s="36" t="s">
        <v>48</v>
      </c>
    </row>
    <row r="637">
      <c r="G637" s="36" t="s">
        <v>48</v>
      </c>
      <c r="H637" s="50" t="s">
        <v>48</v>
      </c>
      <c r="I637" s="50" t="s">
        <v>48</v>
      </c>
      <c r="J637" s="36" t="s">
        <v>48</v>
      </c>
      <c r="K637" s="36" t="s">
        <v>48</v>
      </c>
      <c r="O637" s="36" t="s">
        <v>48</v>
      </c>
      <c r="R637" s="36" t="s">
        <v>48</v>
      </c>
    </row>
    <row r="638">
      <c r="G638" s="36" t="s">
        <v>48</v>
      </c>
      <c r="H638" s="50" t="s">
        <v>48</v>
      </c>
      <c r="I638" s="50" t="s">
        <v>48</v>
      </c>
      <c r="J638" s="36" t="s">
        <v>48</v>
      </c>
      <c r="K638" s="36" t="s">
        <v>48</v>
      </c>
      <c r="O638" s="36" t="s">
        <v>48</v>
      </c>
      <c r="R638" s="36" t="s">
        <v>48</v>
      </c>
    </row>
    <row r="639">
      <c r="G639" s="36" t="s">
        <v>48</v>
      </c>
      <c r="H639" s="50" t="s">
        <v>48</v>
      </c>
      <c r="I639" s="50" t="s">
        <v>48</v>
      </c>
      <c r="J639" s="36" t="s">
        <v>48</v>
      </c>
      <c r="K639" s="36" t="s">
        <v>48</v>
      </c>
      <c r="O639" s="36" t="s">
        <v>48</v>
      </c>
      <c r="R639" s="36" t="s">
        <v>48</v>
      </c>
    </row>
    <row r="640">
      <c r="G640" s="36" t="s">
        <v>48</v>
      </c>
      <c r="H640" s="50" t="s">
        <v>48</v>
      </c>
      <c r="I640" s="50" t="s">
        <v>48</v>
      </c>
      <c r="J640" s="36" t="s">
        <v>48</v>
      </c>
      <c r="K640" s="36" t="s">
        <v>48</v>
      </c>
      <c r="O640" s="36" t="s">
        <v>48</v>
      </c>
      <c r="R640" s="36" t="s">
        <v>48</v>
      </c>
    </row>
    <row r="641">
      <c r="G641" s="36" t="s">
        <v>48</v>
      </c>
      <c r="H641" s="50" t="s">
        <v>48</v>
      </c>
      <c r="I641" s="50" t="s">
        <v>48</v>
      </c>
      <c r="J641" s="36" t="s">
        <v>48</v>
      </c>
      <c r="K641" s="36" t="s">
        <v>48</v>
      </c>
      <c r="O641" s="36" t="s">
        <v>48</v>
      </c>
      <c r="R641" s="36" t="s">
        <v>48</v>
      </c>
    </row>
    <row r="642">
      <c r="G642" s="36" t="s">
        <v>48</v>
      </c>
      <c r="H642" s="50" t="s">
        <v>48</v>
      </c>
      <c r="I642" s="50" t="s">
        <v>48</v>
      </c>
      <c r="J642" s="36" t="s">
        <v>48</v>
      </c>
      <c r="K642" s="36" t="s">
        <v>48</v>
      </c>
      <c r="O642" s="36" t="s">
        <v>48</v>
      </c>
      <c r="R642" s="36" t="s">
        <v>48</v>
      </c>
    </row>
    <row r="643">
      <c r="G643" s="36" t="s">
        <v>48</v>
      </c>
      <c r="H643" s="50" t="s">
        <v>48</v>
      </c>
      <c r="I643" s="50" t="s">
        <v>48</v>
      </c>
      <c r="J643" s="36" t="s">
        <v>48</v>
      </c>
      <c r="K643" s="36" t="s">
        <v>48</v>
      </c>
      <c r="O643" s="36" t="s">
        <v>48</v>
      </c>
      <c r="R643" s="36" t="s">
        <v>48</v>
      </c>
    </row>
    <row r="644">
      <c r="G644" s="36" t="s">
        <v>48</v>
      </c>
      <c r="H644" s="50" t="s">
        <v>48</v>
      </c>
      <c r="I644" s="50" t="s">
        <v>48</v>
      </c>
      <c r="J644" s="36" t="s">
        <v>48</v>
      </c>
      <c r="K644" s="36" t="s">
        <v>48</v>
      </c>
      <c r="O644" s="36" t="s">
        <v>48</v>
      </c>
      <c r="R644" s="36" t="s">
        <v>48</v>
      </c>
    </row>
    <row r="645">
      <c r="G645" s="36" t="s">
        <v>48</v>
      </c>
      <c r="H645" s="50" t="s">
        <v>48</v>
      </c>
      <c r="I645" s="50" t="s">
        <v>48</v>
      </c>
      <c r="J645" s="36" t="s">
        <v>48</v>
      </c>
      <c r="K645" s="36" t="s">
        <v>48</v>
      </c>
      <c r="O645" s="36" t="s">
        <v>48</v>
      </c>
      <c r="R645" s="36" t="s">
        <v>48</v>
      </c>
    </row>
    <row r="646">
      <c r="G646" s="36" t="s">
        <v>48</v>
      </c>
      <c r="H646" s="50" t="s">
        <v>48</v>
      </c>
      <c r="I646" s="50" t="s">
        <v>48</v>
      </c>
      <c r="J646" s="36" t="s">
        <v>48</v>
      </c>
      <c r="K646" s="36" t="s">
        <v>48</v>
      </c>
      <c r="O646" s="36" t="s">
        <v>48</v>
      </c>
      <c r="R646" s="36" t="s">
        <v>48</v>
      </c>
    </row>
    <row r="647">
      <c r="G647" s="36" t="s">
        <v>48</v>
      </c>
      <c r="H647" s="50" t="s">
        <v>48</v>
      </c>
      <c r="I647" s="50" t="s">
        <v>48</v>
      </c>
      <c r="J647" s="36" t="s">
        <v>48</v>
      </c>
      <c r="K647" s="36" t="s">
        <v>48</v>
      </c>
      <c r="O647" s="36" t="s">
        <v>48</v>
      </c>
      <c r="R647" s="36" t="s">
        <v>48</v>
      </c>
    </row>
    <row r="648">
      <c r="G648" s="36" t="s">
        <v>48</v>
      </c>
      <c r="H648" s="50" t="s">
        <v>48</v>
      </c>
      <c r="I648" s="50" t="s">
        <v>48</v>
      </c>
      <c r="J648" s="36" t="s">
        <v>48</v>
      </c>
      <c r="K648" s="36" t="s">
        <v>48</v>
      </c>
      <c r="O648" s="36" t="s">
        <v>48</v>
      </c>
      <c r="R648" s="36" t="s">
        <v>48</v>
      </c>
    </row>
    <row r="649">
      <c r="G649" s="36" t="s">
        <v>48</v>
      </c>
      <c r="H649" s="50" t="s">
        <v>48</v>
      </c>
      <c r="I649" s="50" t="s">
        <v>48</v>
      </c>
      <c r="J649" s="36" t="s">
        <v>48</v>
      </c>
      <c r="K649" s="36" t="s">
        <v>48</v>
      </c>
      <c r="O649" s="36" t="s">
        <v>48</v>
      </c>
      <c r="R649" s="36" t="s">
        <v>48</v>
      </c>
    </row>
    <row r="650">
      <c r="G650" s="36" t="s">
        <v>48</v>
      </c>
      <c r="H650" s="50" t="s">
        <v>48</v>
      </c>
      <c r="I650" s="50" t="s">
        <v>48</v>
      </c>
      <c r="J650" s="36" t="s">
        <v>48</v>
      </c>
      <c r="K650" s="36" t="s">
        <v>48</v>
      </c>
      <c r="O650" s="36" t="s">
        <v>48</v>
      </c>
      <c r="R650" s="36" t="s">
        <v>48</v>
      </c>
    </row>
    <row r="651">
      <c r="G651" s="36" t="s">
        <v>48</v>
      </c>
      <c r="H651" s="50" t="s">
        <v>48</v>
      </c>
      <c r="I651" s="50" t="s">
        <v>48</v>
      </c>
      <c r="J651" s="36" t="s">
        <v>48</v>
      </c>
      <c r="K651" s="36" t="s">
        <v>48</v>
      </c>
      <c r="O651" s="36" t="s">
        <v>48</v>
      </c>
      <c r="R651" s="36" t="s">
        <v>48</v>
      </c>
    </row>
    <row r="652">
      <c r="G652" s="36" t="s">
        <v>48</v>
      </c>
      <c r="H652" s="50" t="s">
        <v>48</v>
      </c>
      <c r="I652" s="50" t="s">
        <v>48</v>
      </c>
      <c r="J652" s="36" t="s">
        <v>48</v>
      </c>
      <c r="K652" s="36" t="s">
        <v>48</v>
      </c>
      <c r="O652" s="36" t="s">
        <v>48</v>
      </c>
      <c r="R652" s="36" t="s">
        <v>48</v>
      </c>
    </row>
    <row r="653">
      <c r="G653" s="36" t="s">
        <v>48</v>
      </c>
      <c r="H653" s="50" t="s">
        <v>48</v>
      </c>
      <c r="I653" s="50" t="s">
        <v>48</v>
      </c>
      <c r="J653" s="36" t="s">
        <v>48</v>
      </c>
      <c r="K653" s="36" t="s">
        <v>48</v>
      </c>
      <c r="O653" s="36" t="s">
        <v>48</v>
      </c>
      <c r="R653" s="36" t="s">
        <v>48</v>
      </c>
    </row>
    <row r="654">
      <c r="G654" s="36" t="s">
        <v>48</v>
      </c>
      <c r="H654" s="50" t="s">
        <v>48</v>
      </c>
      <c r="I654" s="50" t="s">
        <v>48</v>
      </c>
      <c r="J654" s="36" t="s">
        <v>48</v>
      </c>
      <c r="K654" s="36" t="s">
        <v>48</v>
      </c>
      <c r="O654" s="36" t="s">
        <v>48</v>
      </c>
      <c r="R654" s="36" t="s">
        <v>48</v>
      </c>
    </row>
    <row r="655">
      <c r="G655" s="36" t="s">
        <v>48</v>
      </c>
      <c r="H655" s="50" t="s">
        <v>48</v>
      </c>
      <c r="I655" s="50" t="s">
        <v>48</v>
      </c>
      <c r="J655" s="36" t="s">
        <v>48</v>
      </c>
      <c r="K655" s="36" t="s">
        <v>48</v>
      </c>
      <c r="O655" s="36" t="s">
        <v>48</v>
      </c>
      <c r="R655" s="36" t="s">
        <v>48</v>
      </c>
    </row>
    <row r="656">
      <c r="G656" s="36" t="s">
        <v>48</v>
      </c>
      <c r="H656" s="50" t="s">
        <v>48</v>
      </c>
      <c r="I656" s="50" t="s">
        <v>48</v>
      </c>
      <c r="J656" s="36" t="s">
        <v>48</v>
      </c>
      <c r="K656" s="36" t="s">
        <v>48</v>
      </c>
      <c r="O656" s="36" t="s">
        <v>48</v>
      </c>
      <c r="R656" s="36" t="s">
        <v>48</v>
      </c>
    </row>
    <row r="657">
      <c r="G657" s="36" t="s">
        <v>48</v>
      </c>
      <c r="H657" s="50" t="s">
        <v>48</v>
      </c>
      <c r="I657" s="50" t="s">
        <v>48</v>
      </c>
      <c r="J657" s="36" t="s">
        <v>48</v>
      </c>
      <c r="K657" s="36" t="s">
        <v>48</v>
      </c>
      <c r="O657" s="36" t="s">
        <v>48</v>
      </c>
      <c r="R657" s="36" t="s">
        <v>48</v>
      </c>
    </row>
    <row r="658">
      <c r="G658" s="36" t="s">
        <v>48</v>
      </c>
      <c r="H658" s="50" t="s">
        <v>48</v>
      </c>
      <c r="I658" s="50" t="s">
        <v>48</v>
      </c>
      <c r="J658" s="36" t="s">
        <v>48</v>
      </c>
      <c r="K658" s="36" t="s">
        <v>48</v>
      </c>
      <c r="O658" s="36" t="s">
        <v>48</v>
      </c>
      <c r="R658" s="36" t="s">
        <v>48</v>
      </c>
    </row>
    <row r="659">
      <c r="G659" s="36" t="s">
        <v>48</v>
      </c>
      <c r="H659" s="50" t="s">
        <v>48</v>
      </c>
      <c r="I659" s="50" t="s">
        <v>48</v>
      </c>
      <c r="J659" s="36" t="s">
        <v>48</v>
      </c>
      <c r="K659" s="36" t="s">
        <v>48</v>
      </c>
      <c r="O659" s="36" t="s">
        <v>48</v>
      </c>
      <c r="R659" s="36" t="s">
        <v>48</v>
      </c>
    </row>
    <row r="660">
      <c r="G660" s="36" t="s">
        <v>48</v>
      </c>
      <c r="H660" s="50" t="s">
        <v>48</v>
      </c>
      <c r="I660" s="50" t="s">
        <v>48</v>
      </c>
      <c r="J660" s="36" t="s">
        <v>48</v>
      </c>
      <c r="K660" s="36" t="s">
        <v>48</v>
      </c>
      <c r="O660" s="36" t="s">
        <v>48</v>
      </c>
      <c r="R660" s="36" t="s">
        <v>48</v>
      </c>
    </row>
    <row r="661">
      <c r="G661" s="36" t="s">
        <v>48</v>
      </c>
      <c r="H661" s="50" t="s">
        <v>48</v>
      </c>
      <c r="I661" s="50" t="s">
        <v>48</v>
      </c>
      <c r="J661" s="36" t="s">
        <v>48</v>
      </c>
      <c r="K661" s="36" t="s">
        <v>48</v>
      </c>
      <c r="O661" s="36" t="s">
        <v>48</v>
      </c>
      <c r="R661" s="36" t="s">
        <v>48</v>
      </c>
    </row>
    <row r="662">
      <c r="G662" s="36" t="s">
        <v>48</v>
      </c>
      <c r="H662" s="50" t="s">
        <v>48</v>
      </c>
      <c r="I662" s="50" t="s">
        <v>48</v>
      </c>
      <c r="J662" s="36" t="s">
        <v>48</v>
      </c>
      <c r="K662" s="36" t="s">
        <v>48</v>
      </c>
      <c r="O662" s="36" t="s">
        <v>48</v>
      </c>
      <c r="R662" s="36" t="s">
        <v>48</v>
      </c>
    </row>
    <row r="663">
      <c r="G663" s="36" t="s">
        <v>48</v>
      </c>
      <c r="H663" s="50" t="s">
        <v>48</v>
      </c>
      <c r="I663" s="50" t="s">
        <v>48</v>
      </c>
      <c r="J663" s="36" t="s">
        <v>48</v>
      </c>
      <c r="K663" s="36" t="s">
        <v>48</v>
      </c>
      <c r="O663" s="36" t="s">
        <v>48</v>
      </c>
      <c r="R663" s="36" t="s">
        <v>48</v>
      </c>
    </row>
    <row r="664">
      <c r="G664" s="36" t="s">
        <v>48</v>
      </c>
      <c r="H664" s="50" t="s">
        <v>48</v>
      </c>
      <c r="I664" s="50" t="s">
        <v>48</v>
      </c>
      <c r="J664" s="36" t="s">
        <v>48</v>
      </c>
      <c r="K664" s="36" t="s">
        <v>48</v>
      </c>
      <c r="O664" s="36" t="s">
        <v>48</v>
      </c>
      <c r="R664" s="36" t="s">
        <v>48</v>
      </c>
    </row>
    <row r="665">
      <c r="G665" s="36" t="s">
        <v>48</v>
      </c>
      <c r="H665" s="50" t="s">
        <v>48</v>
      </c>
      <c r="I665" s="50" t="s">
        <v>48</v>
      </c>
      <c r="J665" s="36" t="s">
        <v>48</v>
      </c>
      <c r="K665" s="36" t="s">
        <v>48</v>
      </c>
      <c r="O665" s="36" t="s">
        <v>48</v>
      </c>
      <c r="R665" s="36" t="s">
        <v>48</v>
      </c>
    </row>
    <row r="666">
      <c r="G666" s="36" t="s">
        <v>48</v>
      </c>
      <c r="H666" s="50" t="s">
        <v>48</v>
      </c>
      <c r="I666" s="50" t="s">
        <v>48</v>
      </c>
      <c r="J666" s="36" t="s">
        <v>48</v>
      </c>
      <c r="K666" s="36" t="s">
        <v>48</v>
      </c>
      <c r="O666" s="36" t="s">
        <v>48</v>
      </c>
      <c r="R666" s="36" t="s">
        <v>48</v>
      </c>
    </row>
    <row r="667">
      <c r="G667" s="36" t="s">
        <v>48</v>
      </c>
      <c r="H667" s="50" t="s">
        <v>48</v>
      </c>
      <c r="I667" s="50" t="s">
        <v>48</v>
      </c>
      <c r="J667" s="36" t="s">
        <v>48</v>
      </c>
      <c r="K667" s="36" t="s">
        <v>48</v>
      </c>
      <c r="O667" s="36" t="s">
        <v>48</v>
      </c>
      <c r="R667" s="36" t="s">
        <v>48</v>
      </c>
    </row>
    <row r="668">
      <c r="G668" s="36" t="s">
        <v>48</v>
      </c>
      <c r="H668" s="50" t="s">
        <v>48</v>
      </c>
      <c r="I668" s="50" t="s">
        <v>48</v>
      </c>
      <c r="J668" s="36" t="s">
        <v>48</v>
      </c>
      <c r="K668" s="36" t="s">
        <v>48</v>
      </c>
      <c r="O668" s="36" t="s">
        <v>48</v>
      </c>
      <c r="R668" s="36" t="s">
        <v>48</v>
      </c>
    </row>
    <row r="669">
      <c r="G669" s="36" t="s">
        <v>48</v>
      </c>
      <c r="H669" s="50" t="s">
        <v>48</v>
      </c>
      <c r="I669" s="50" t="s">
        <v>48</v>
      </c>
      <c r="J669" s="36" t="s">
        <v>48</v>
      </c>
      <c r="K669" s="36" t="s">
        <v>48</v>
      </c>
      <c r="O669" s="36" t="s">
        <v>48</v>
      </c>
      <c r="R669" s="36" t="s">
        <v>48</v>
      </c>
    </row>
    <row r="670">
      <c r="G670" s="36" t="s">
        <v>48</v>
      </c>
      <c r="H670" s="50" t="s">
        <v>48</v>
      </c>
      <c r="I670" s="50" t="s">
        <v>48</v>
      </c>
      <c r="J670" s="36" t="s">
        <v>48</v>
      </c>
      <c r="K670" s="36" t="s">
        <v>48</v>
      </c>
      <c r="O670" s="36" t="s">
        <v>48</v>
      </c>
      <c r="R670" s="36" t="s">
        <v>48</v>
      </c>
    </row>
    <row r="671">
      <c r="G671" s="36" t="s">
        <v>48</v>
      </c>
      <c r="H671" s="50" t="s">
        <v>48</v>
      </c>
      <c r="I671" s="50" t="s">
        <v>48</v>
      </c>
      <c r="J671" s="36" t="s">
        <v>48</v>
      </c>
      <c r="K671" s="36" t="s">
        <v>48</v>
      </c>
      <c r="O671" s="36" t="s">
        <v>48</v>
      </c>
      <c r="R671" s="36" t="s">
        <v>48</v>
      </c>
    </row>
    <row r="672">
      <c r="G672" s="36" t="s">
        <v>48</v>
      </c>
      <c r="H672" s="50" t="s">
        <v>48</v>
      </c>
      <c r="I672" s="50" t="s">
        <v>48</v>
      </c>
      <c r="J672" s="36" t="s">
        <v>48</v>
      </c>
      <c r="K672" s="36" t="s">
        <v>48</v>
      </c>
      <c r="O672" s="36" t="s">
        <v>48</v>
      </c>
      <c r="R672" s="36" t="s">
        <v>48</v>
      </c>
    </row>
    <row r="673">
      <c r="G673" s="36" t="s">
        <v>48</v>
      </c>
      <c r="H673" s="50" t="s">
        <v>48</v>
      </c>
      <c r="I673" s="50" t="s">
        <v>48</v>
      </c>
      <c r="J673" s="36" t="s">
        <v>48</v>
      </c>
      <c r="K673" s="36" t="s">
        <v>48</v>
      </c>
      <c r="O673" s="36" t="s">
        <v>48</v>
      </c>
      <c r="R673" s="36" t="s">
        <v>48</v>
      </c>
    </row>
    <row r="674">
      <c r="G674" s="36" t="s">
        <v>48</v>
      </c>
      <c r="H674" s="50" t="s">
        <v>48</v>
      </c>
      <c r="I674" s="50" t="s">
        <v>48</v>
      </c>
      <c r="J674" s="36" t="s">
        <v>48</v>
      </c>
      <c r="K674" s="36" t="s">
        <v>48</v>
      </c>
      <c r="O674" s="36" t="s">
        <v>48</v>
      </c>
      <c r="R674" s="36" t="s">
        <v>48</v>
      </c>
    </row>
    <row r="675">
      <c r="G675" s="36" t="s">
        <v>48</v>
      </c>
      <c r="H675" s="50" t="s">
        <v>48</v>
      </c>
      <c r="I675" s="50" t="s">
        <v>48</v>
      </c>
      <c r="J675" s="36" t="s">
        <v>48</v>
      </c>
      <c r="K675" s="36" t="s">
        <v>48</v>
      </c>
      <c r="O675" s="36" t="s">
        <v>48</v>
      </c>
      <c r="R675" s="36" t="s">
        <v>48</v>
      </c>
    </row>
    <row r="676">
      <c r="G676" s="36" t="s">
        <v>48</v>
      </c>
      <c r="H676" s="50" t="s">
        <v>48</v>
      </c>
      <c r="I676" s="50" t="s">
        <v>48</v>
      </c>
      <c r="J676" s="36" t="s">
        <v>48</v>
      </c>
      <c r="K676" s="36" t="s">
        <v>48</v>
      </c>
      <c r="O676" s="36" t="s">
        <v>48</v>
      </c>
      <c r="R676" s="36" t="s">
        <v>48</v>
      </c>
    </row>
    <row r="677">
      <c r="G677" s="36" t="s">
        <v>48</v>
      </c>
      <c r="H677" s="50" t="s">
        <v>48</v>
      </c>
      <c r="I677" s="50" t="s">
        <v>48</v>
      </c>
      <c r="J677" s="36" t="s">
        <v>48</v>
      </c>
      <c r="K677" s="36" t="s">
        <v>48</v>
      </c>
      <c r="O677" s="36" t="s">
        <v>48</v>
      </c>
      <c r="R677" s="36" t="s">
        <v>48</v>
      </c>
    </row>
    <row r="678">
      <c r="G678" s="36" t="s">
        <v>48</v>
      </c>
      <c r="H678" s="50" t="s">
        <v>48</v>
      </c>
      <c r="I678" s="50" t="s">
        <v>48</v>
      </c>
      <c r="J678" s="36" t="s">
        <v>48</v>
      </c>
      <c r="K678" s="36" t="s">
        <v>48</v>
      </c>
      <c r="O678" s="36" t="s">
        <v>48</v>
      </c>
      <c r="R678" s="36" t="s">
        <v>48</v>
      </c>
    </row>
    <row r="679">
      <c r="G679" s="36" t="s">
        <v>48</v>
      </c>
      <c r="H679" s="50" t="s">
        <v>48</v>
      </c>
      <c r="I679" s="50" t="s">
        <v>48</v>
      </c>
      <c r="J679" s="36" t="s">
        <v>48</v>
      </c>
      <c r="K679" s="36" t="s">
        <v>48</v>
      </c>
      <c r="O679" s="36" t="s">
        <v>48</v>
      </c>
      <c r="R679" s="36" t="s">
        <v>48</v>
      </c>
    </row>
    <row r="680">
      <c r="G680" s="36" t="s">
        <v>48</v>
      </c>
      <c r="H680" s="50" t="s">
        <v>48</v>
      </c>
      <c r="I680" s="50" t="s">
        <v>48</v>
      </c>
      <c r="J680" s="36" t="s">
        <v>48</v>
      </c>
      <c r="K680" s="36" t="s">
        <v>48</v>
      </c>
      <c r="O680" s="36" t="s">
        <v>48</v>
      </c>
      <c r="R680" s="36" t="s">
        <v>48</v>
      </c>
    </row>
    <row r="681">
      <c r="G681" s="36" t="s">
        <v>48</v>
      </c>
      <c r="H681" s="50" t="s">
        <v>48</v>
      </c>
      <c r="I681" s="50" t="s">
        <v>48</v>
      </c>
      <c r="J681" s="36" t="s">
        <v>48</v>
      </c>
      <c r="K681" s="36" t="s">
        <v>48</v>
      </c>
      <c r="O681" s="36" t="s">
        <v>48</v>
      </c>
      <c r="R681" s="36" t="s">
        <v>48</v>
      </c>
    </row>
    <row r="682">
      <c r="G682" s="36" t="s">
        <v>48</v>
      </c>
      <c r="H682" s="50" t="s">
        <v>48</v>
      </c>
      <c r="I682" s="50" t="s">
        <v>48</v>
      </c>
      <c r="J682" s="36" t="s">
        <v>48</v>
      </c>
      <c r="K682" s="36" t="s">
        <v>48</v>
      </c>
      <c r="O682" s="36" t="s">
        <v>48</v>
      </c>
      <c r="R682" s="36" t="s">
        <v>48</v>
      </c>
    </row>
    <row r="683">
      <c r="G683" s="36" t="s">
        <v>48</v>
      </c>
      <c r="H683" s="50" t="s">
        <v>48</v>
      </c>
      <c r="I683" s="50" t="s">
        <v>48</v>
      </c>
      <c r="J683" s="36" t="s">
        <v>48</v>
      </c>
      <c r="K683" s="36" t="s">
        <v>48</v>
      </c>
      <c r="O683" s="36" t="s">
        <v>48</v>
      </c>
      <c r="R683" s="36" t="s">
        <v>48</v>
      </c>
    </row>
    <row r="684">
      <c r="G684" s="36" t="s">
        <v>48</v>
      </c>
      <c r="H684" s="50" t="s">
        <v>48</v>
      </c>
      <c r="I684" s="50" t="s">
        <v>48</v>
      </c>
      <c r="J684" s="36" t="s">
        <v>48</v>
      </c>
      <c r="K684" s="36" t="s">
        <v>48</v>
      </c>
      <c r="O684" s="36" t="s">
        <v>48</v>
      </c>
      <c r="R684" s="36" t="s">
        <v>48</v>
      </c>
    </row>
    <row r="685">
      <c r="G685" s="36" t="s">
        <v>48</v>
      </c>
      <c r="H685" s="50" t="s">
        <v>48</v>
      </c>
      <c r="I685" s="50" t="s">
        <v>48</v>
      </c>
      <c r="J685" s="36" t="s">
        <v>48</v>
      </c>
      <c r="K685" s="36" t="s">
        <v>48</v>
      </c>
      <c r="O685" s="36" t="s">
        <v>48</v>
      </c>
      <c r="R685" s="36" t="s">
        <v>48</v>
      </c>
    </row>
    <row r="686">
      <c r="G686" s="36" t="s">
        <v>48</v>
      </c>
      <c r="H686" s="50" t="s">
        <v>48</v>
      </c>
      <c r="I686" s="50" t="s">
        <v>48</v>
      </c>
      <c r="J686" s="36" t="s">
        <v>48</v>
      </c>
      <c r="K686" s="36" t="s">
        <v>48</v>
      </c>
      <c r="O686" s="36" t="s">
        <v>48</v>
      </c>
      <c r="R686" s="36" t="s">
        <v>48</v>
      </c>
    </row>
    <row r="687">
      <c r="G687" s="36" t="s">
        <v>48</v>
      </c>
      <c r="H687" s="50" t="s">
        <v>48</v>
      </c>
      <c r="I687" s="50" t="s">
        <v>48</v>
      </c>
      <c r="J687" s="36" t="s">
        <v>48</v>
      </c>
      <c r="K687" s="36" t="s">
        <v>48</v>
      </c>
      <c r="O687" s="36" t="s">
        <v>48</v>
      </c>
      <c r="R687" s="36" t="s">
        <v>48</v>
      </c>
    </row>
    <row r="688">
      <c r="G688" s="36" t="s">
        <v>48</v>
      </c>
      <c r="H688" s="50" t="s">
        <v>48</v>
      </c>
      <c r="I688" s="50" t="s">
        <v>48</v>
      </c>
      <c r="J688" s="36" t="s">
        <v>48</v>
      </c>
      <c r="K688" s="36" t="s">
        <v>48</v>
      </c>
      <c r="O688" s="36" t="s">
        <v>48</v>
      </c>
      <c r="R688" s="36" t="s">
        <v>48</v>
      </c>
    </row>
    <row r="689">
      <c r="G689" s="36" t="s">
        <v>48</v>
      </c>
      <c r="H689" s="50" t="s">
        <v>48</v>
      </c>
      <c r="I689" s="50" t="s">
        <v>48</v>
      </c>
      <c r="J689" s="36" t="s">
        <v>48</v>
      </c>
      <c r="K689" s="36" t="s">
        <v>48</v>
      </c>
      <c r="O689" s="36" t="s">
        <v>48</v>
      </c>
      <c r="R689" s="36" t="s">
        <v>48</v>
      </c>
    </row>
    <row r="690">
      <c r="G690" s="36" t="s">
        <v>48</v>
      </c>
      <c r="H690" s="50" t="s">
        <v>48</v>
      </c>
      <c r="I690" s="50" t="s">
        <v>48</v>
      </c>
      <c r="J690" s="36" t="s">
        <v>48</v>
      </c>
      <c r="K690" s="36" t="s">
        <v>48</v>
      </c>
      <c r="O690" s="36" t="s">
        <v>48</v>
      </c>
      <c r="R690" s="36" t="s">
        <v>48</v>
      </c>
    </row>
    <row r="691">
      <c r="G691" s="36" t="s">
        <v>48</v>
      </c>
      <c r="H691" s="50" t="s">
        <v>48</v>
      </c>
      <c r="I691" s="50" t="s">
        <v>48</v>
      </c>
      <c r="J691" s="36" t="s">
        <v>48</v>
      </c>
      <c r="K691" s="36" t="s">
        <v>48</v>
      </c>
      <c r="O691" s="36" t="s">
        <v>48</v>
      </c>
      <c r="R691" s="36" t="s">
        <v>48</v>
      </c>
    </row>
    <row r="692">
      <c r="G692" s="36" t="s">
        <v>48</v>
      </c>
      <c r="H692" s="50" t="s">
        <v>48</v>
      </c>
      <c r="I692" s="50" t="s">
        <v>48</v>
      </c>
      <c r="J692" s="36" t="s">
        <v>48</v>
      </c>
      <c r="K692" s="36" t="s">
        <v>48</v>
      </c>
      <c r="O692" s="36" t="s">
        <v>48</v>
      </c>
      <c r="R692" s="36" t="s">
        <v>48</v>
      </c>
    </row>
    <row r="693">
      <c r="G693" s="36" t="s">
        <v>48</v>
      </c>
      <c r="H693" s="50" t="s">
        <v>48</v>
      </c>
      <c r="I693" s="50" t="s">
        <v>48</v>
      </c>
      <c r="J693" s="36" t="s">
        <v>48</v>
      </c>
      <c r="K693" s="36" t="s">
        <v>48</v>
      </c>
      <c r="O693" s="36" t="s">
        <v>48</v>
      </c>
      <c r="R693" s="36" t="s">
        <v>48</v>
      </c>
    </row>
    <row r="694">
      <c r="G694" s="36" t="s">
        <v>48</v>
      </c>
      <c r="H694" s="50" t="s">
        <v>48</v>
      </c>
      <c r="I694" s="50" t="s">
        <v>48</v>
      </c>
      <c r="J694" s="36" t="s">
        <v>48</v>
      </c>
      <c r="K694" s="36" t="s">
        <v>48</v>
      </c>
      <c r="O694" s="36" t="s">
        <v>48</v>
      </c>
      <c r="R694" s="36" t="s">
        <v>48</v>
      </c>
    </row>
    <row r="695">
      <c r="G695" s="36" t="s">
        <v>48</v>
      </c>
      <c r="H695" s="50" t="s">
        <v>48</v>
      </c>
      <c r="I695" s="50" t="s">
        <v>48</v>
      </c>
      <c r="J695" s="36" t="s">
        <v>48</v>
      </c>
      <c r="K695" s="36" t="s">
        <v>48</v>
      </c>
      <c r="O695" s="36" t="s">
        <v>48</v>
      </c>
      <c r="R695" s="36" t="s">
        <v>48</v>
      </c>
    </row>
    <row r="696">
      <c r="G696" s="36" t="s">
        <v>48</v>
      </c>
      <c r="H696" s="50" t="s">
        <v>48</v>
      </c>
      <c r="I696" s="50" t="s">
        <v>48</v>
      </c>
      <c r="J696" s="36" t="s">
        <v>48</v>
      </c>
      <c r="K696" s="36" t="s">
        <v>48</v>
      </c>
      <c r="O696" s="36" t="s">
        <v>48</v>
      </c>
      <c r="R696" s="36" t="s">
        <v>48</v>
      </c>
    </row>
    <row r="697">
      <c r="G697" s="36" t="s">
        <v>48</v>
      </c>
      <c r="H697" s="50" t="s">
        <v>48</v>
      </c>
      <c r="I697" s="50" t="s">
        <v>48</v>
      </c>
      <c r="J697" s="36" t="s">
        <v>48</v>
      </c>
      <c r="K697" s="36" t="s">
        <v>48</v>
      </c>
      <c r="O697" s="36" t="s">
        <v>48</v>
      </c>
      <c r="R697" s="36" t="s">
        <v>48</v>
      </c>
    </row>
    <row r="698">
      <c r="G698" s="36" t="s">
        <v>48</v>
      </c>
      <c r="H698" s="50" t="s">
        <v>48</v>
      </c>
      <c r="I698" s="50" t="s">
        <v>48</v>
      </c>
      <c r="J698" s="36" t="s">
        <v>48</v>
      </c>
      <c r="K698" s="36" t="s">
        <v>48</v>
      </c>
      <c r="O698" s="36" t="s">
        <v>48</v>
      </c>
      <c r="R698" s="36" t="s">
        <v>48</v>
      </c>
    </row>
    <row r="699">
      <c r="G699" s="36" t="s">
        <v>48</v>
      </c>
      <c r="H699" s="50" t="s">
        <v>48</v>
      </c>
      <c r="I699" s="50" t="s">
        <v>48</v>
      </c>
      <c r="J699" s="36" t="s">
        <v>48</v>
      </c>
      <c r="K699" s="36" t="s">
        <v>48</v>
      </c>
      <c r="O699" s="36" t="s">
        <v>48</v>
      </c>
      <c r="R699" s="36" t="s">
        <v>48</v>
      </c>
    </row>
    <row r="700">
      <c r="G700" s="36" t="s">
        <v>48</v>
      </c>
      <c r="H700" s="50" t="s">
        <v>48</v>
      </c>
      <c r="I700" s="50" t="s">
        <v>48</v>
      </c>
      <c r="J700" s="36" t="s">
        <v>48</v>
      </c>
      <c r="K700" s="36" t="s">
        <v>48</v>
      </c>
      <c r="O700" s="36" t="s">
        <v>48</v>
      </c>
      <c r="R700" s="36" t="s">
        <v>48</v>
      </c>
    </row>
    <row r="701">
      <c r="G701" s="36" t="s">
        <v>48</v>
      </c>
      <c r="H701" s="50" t="s">
        <v>48</v>
      </c>
      <c r="I701" s="50" t="s">
        <v>48</v>
      </c>
      <c r="J701" s="36" t="s">
        <v>48</v>
      </c>
      <c r="K701" s="36" t="s">
        <v>48</v>
      </c>
      <c r="O701" s="36" t="s">
        <v>48</v>
      </c>
      <c r="R701" s="36" t="s">
        <v>48</v>
      </c>
    </row>
    <row r="702">
      <c r="G702" s="36" t="s">
        <v>48</v>
      </c>
      <c r="H702" s="50" t="s">
        <v>48</v>
      </c>
      <c r="I702" s="50" t="s">
        <v>48</v>
      </c>
      <c r="J702" s="36" t="s">
        <v>48</v>
      </c>
      <c r="K702" s="36" t="s">
        <v>48</v>
      </c>
      <c r="O702" s="36" t="s">
        <v>48</v>
      </c>
      <c r="R702" s="36" t="s">
        <v>48</v>
      </c>
    </row>
    <row r="703">
      <c r="G703" s="36" t="s">
        <v>48</v>
      </c>
      <c r="H703" s="50" t="s">
        <v>48</v>
      </c>
      <c r="I703" s="50" t="s">
        <v>48</v>
      </c>
      <c r="J703" s="36" t="s">
        <v>48</v>
      </c>
      <c r="K703" s="36" t="s">
        <v>48</v>
      </c>
      <c r="O703" s="36" t="s">
        <v>48</v>
      </c>
      <c r="R703" s="36" t="s">
        <v>48</v>
      </c>
    </row>
    <row r="704">
      <c r="G704" s="36" t="s">
        <v>48</v>
      </c>
      <c r="H704" s="50" t="s">
        <v>48</v>
      </c>
      <c r="I704" s="50" t="s">
        <v>48</v>
      </c>
      <c r="J704" s="36" t="s">
        <v>48</v>
      </c>
      <c r="K704" s="36" t="s">
        <v>48</v>
      </c>
      <c r="O704" s="36" t="s">
        <v>48</v>
      </c>
      <c r="R704" s="36" t="s">
        <v>48</v>
      </c>
    </row>
    <row r="705">
      <c r="G705" s="36" t="s">
        <v>48</v>
      </c>
      <c r="H705" s="50" t="s">
        <v>48</v>
      </c>
      <c r="I705" s="50" t="s">
        <v>48</v>
      </c>
      <c r="J705" s="36" t="s">
        <v>48</v>
      </c>
      <c r="K705" s="36" t="s">
        <v>48</v>
      </c>
      <c r="O705" s="36" t="s">
        <v>48</v>
      </c>
      <c r="R705" s="36" t="s">
        <v>48</v>
      </c>
    </row>
    <row r="706">
      <c r="G706" s="36" t="s">
        <v>48</v>
      </c>
      <c r="H706" s="50" t="s">
        <v>48</v>
      </c>
      <c r="I706" s="50" t="s">
        <v>48</v>
      </c>
      <c r="J706" s="36" t="s">
        <v>48</v>
      </c>
      <c r="K706" s="36" t="s">
        <v>48</v>
      </c>
      <c r="O706" s="36" t="s">
        <v>48</v>
      </c>
      <c r="R706" s="36" t="s">
        <v>48</v>
      </c>
    </row>
    <row r="707">
      <c r="G707" s="36" t="s">
        <v>48</v>
      </c>
      <c r="H707" s="50" t="s">
        <v>48</v>
      </c>
      <c r="I707" s="50" t="s">
        <v>48</v>
      </c>
      <c r="J707" s="36" t="s">
        <v>48</v>
      </c>
      <c r="K707" s="36" t="s">
        <v>48</v>
      </c>
      <c r="O707" s="36" t="s">
        <v>48</v>
      </c>
      <c r="R707" s="36" t="s">
        <v>48</v>
      </c>
    </row>
    <row r="708">
      <c r="G708" s="36" t="s">
        <v>48</v>
      </c>
      <c r="H708" s="50" t="s">
        <v>48</v>
      </c>
      <c r="I708" s="50" t="s">
        <v>48</v>
      </c>
      <c r="J708" s="36" t="s">
        <v>48</v>
      </c>
      <c r="K708" s="36" t="s">
        <v>48</v>
      </c>
      <c r="O708" s="36" t="s">
        <v>48</v>
      </c>
      <c r="R708" s="36" t="s">
        <v>48</v>
      </c>
    </row>
    <row r="709">
      <c r="G709" s="36" t="s">
        <v>48</v>
      </c>
      <c r="H709" s="50" t="s">
        <v>48</v>
      </c>
      <c r="I709" s="50" t="s">
        <v>48</v>
      </c>
      <c r="J709" s="36" t="s">
        <v>48</v>
      </c>
      <c r="K709" s="36" t="s">
        <v>48</v>
      </c>
      <c r="O709" s="36" t="s">
        <v>48</v>
      </c>
      <c r="R709" s="36" t="s">
        <v>48</v>
      </c>
    </row>
    <row r="710">
      <c r="G710" s="36" t="s">
        <v>48</v>
      </c>
      <c r="H710" s="50" t="s">
        <v>48</v>
      </c>
      <c r="I710" s="50" t="s">
        <v>48</v>
      </c>
      <c r="J710" s="36" t="s">
        <v>48</v>
      </c>
      <c r="K710" s="36" t="s">
        <v>48</v>
      </c>
      <c r="O710" s="36" t="s">
        <v>48</v>
      </c>
      <c r="R710" s="36" t="s">
        <v>48</v>
      </c>
    </row>
    <row r="711">
      <c r="G711" s="36" t="s">
        <v>48</v>
      </c>
      <c r="H711" s="50" t="s">
        <v>48</v>
      </c>
      <c r="I711" s="50" t="s">
        <v>48</v>
      </c>
      <c r="J711" s="36" t="s">
        <v>48</v>
      </c>
      <c r="K711" s="36" t="s">
        <v>48</v>
      </c>
      <c r="O711" s="36" t="s">
        <v>48</v>
      </c>
      <c r="R711" s="36" t="s">
        <v>48</v>
      </c>
    </row>
    <row r="712">
      <c r="G712" s="36" t="s">
        <v>48</v>
      </c>
      <c r="H712" s="50" t="s">
        <v>48</v>
      </c>
      <c r="I712" s="50" t="s">
        <v>48</v>
      </c>
      <c r="J712" s="36" t="s">
        <v>48</v>
      </c>
      <c r="K712" s="36" t="s">
        <v>48</v>
      </c>
      <c r="O712" s="36" t="s">
        <v>48</v>
      </c>
      <c r="R712" s="36" t="s">
        <v>48</v>
      </c>
    </row>
    <row r="713">
      <c r="G713" s="36" t="s">
        <v>48</v>
      </c>
      <c r="H713" s="50" t="s">
        <v>48</v>
      </c>
      <c r="I713" s="50" t="s">
        <v>48</v>
      </c>
      <c r="J713" s="36" t="s">
        <v>48</v>
      </c>
      <c r="K713" s="36" t="s">
        <v>48</v>
      </c>
      <c r="O713" s="36" t="s">
        <v>48</v>
      </c>
      <c r="R713" s="36" t="s">
        <v>48</v>
      </c>
    </row>
    <row r="714">
      <c r="G714" s="36" t="s">
        <v>48</v>
      </c>
      <c r="H714" s="50" t="s">
        <v>48</v>
      </c>
      <c r="I714" s="50" t="s">
        <v>48</v>
      </c>
      <c r="J714" s="36" t="s">
        <v>48</v>
      </c>
      <c r="K714" s="36" t="s">
        <v>48</v>
      </c>
      <c r="O714" s="36" t="s">
        <v>48</v>
      </c>
      <c r="R714" s="36" t="s">
        <v>48</v>
      </c>
    </row>
    <row r="715">
      <c r="G715" s="36" t="s">
        <v>48</v>
      </c>
      <c r="H715" s="50" t="s">
        <v>48</v>
      </c>
      <c r="I715" s="50" t="s">
        <v>48</v>
      </c>
      <c r="J715" s="36" t="s">
        <v>48</v>
      </c>
      <c r="K715" s="36" t="s">
        <v>48</v>
      </c>
      <c r="O715" s="36" t="s">
        <v>48</v>
      </c>
      <c r="R715" s="36" t="s">
        <v>48</v>
      </c>
    </row>
    <row r="716">
      <c r="G716" s="36" t="s">
        <v>48</v>
      </c>
      <c r="H716" s="50" t="s">
        <v>48</v>
      </c>
      <c r="I716" s="50" t="s">
        <v>48</v>
      </c>
      <c r="J716" s="36" t="s">
        <v>48</v>
      </c>
      <c r="K716" s="36" t="s">
        <v>48</v>
      </c>
      <c r="O716" s="36" t="s">
        <v>48</v>
      </c>
      <c r="R716" s="36" t="s">
        <v>48</v>
      </c>
    </row>
    <row r="717">
      <c r="G717" s="36" t="s">
        <v>48</v>
      </c>
      <c r="H717" s="50" t="s">
        <v>48</v>
      </c>
      <c r="I717" s="50" t="s">
        <v>48</v>
      </c>
      <c r="J717" s="36" t="s">
        <v>48</v>
      </c>
      <c r="K717" s="36" t="s">
        <v>48</v>
      </c>
      <c r="O717" s="36" t="s">
        <v>48</v>
      </c>
      <c r="R717" s="36" t="s">
        <v>48</v>
      </c>
    </row>
    <row r="718">
      <c r="G718" s="36" t="s">
        <v>48</v>
      </c>
      <c r="H718" s="50" t="s">
        <v>48</v>
      </c>
      <c r="I718" s="50" t="s">
        <v>48</v>
      </c>
      <c r="J718" s="36" t="s">
        <v>48</v>
      </c>
      <c r="K718" s="36" t="s">
        <v>48</v>
      </c>
      <c r="O718" s="36" t="s">
        <v>48</v>
      </c>
      <c r="R718" s="36" t="s">
        <v>48</v>
      </c>
    </row>
    <row r="719">
      <c r="G719" s="36" t="s">
        <v>48</v>
      </c>
      <c r="H719" s="50" t="s">
        <v>48</v>
      </c>
      <c r="I719" s="50" t="s">
        <v>48</v>
      </c>
      <c r="J719" s="36" t="s">
        <v>48</v>
      </c>
      <c r="K719" s="36" t="s">
        <v>48</v>
      </c>
      <c r="O719" s="36" t="s">
        <v>48</v>
      </c>
      <c r="R719" s="36" t="s">
        <v>48</v>
      </c>
    </row>
    <row r="720">
      <c r="G720" s="36" t="s">
        <v>48</v>
      </c>
      <c r="H720" s="50" t="s">
        <v>48</v>
      </c>
      <c r="I720" s="50" t="s">
        <v>48</v>
      </c>
      <c r="J720" s="36" t="s">
        <v>48</v>
      </c>
      <c r="K720" s="36" t="s">
        <v>48</v>
      </c>
      <c r="O720" s="36" t="s">
        <v>48</v>
      </c>
      <c r="R720" s="36" t="s">
        <v>48</v>
      </c>
    </row>
    <row r="721">
      <c r="G721" s="36" t="s">
        <v>48</v>
      </c>
      <c r="H721" s="50" t="s">
        <v>48</v>
      </c>
      <c r="I721" s="50" t="s">
        <v>48</v>
      </c>
      <c r="J721" s="36" t="s">
        <v>48</v>
      </c>
      <c r="K721" s="36" t="s">
        <v>48</v>
      </c>
      <c r="O721" s="36" t="s">
        <v>48</v>
      </c>
      <c r="R721" s="36" t="s">
        <v>48</v>
      </c>
    </row>
    <row r="722">
      <c r="G722" s="36" t="s">
        <v>48</v>
      </c>
      <c r="H722" s="50" t="s">
        <v>48</v>
      </c>
      <c r="I722" s="50" t="s">
        <v>48</v>
      </c>
      <c r="J722" s="36" t="s">
        <v>48</v>
      </c>
      <c r="K722" s="36" t="s">
        <v>48</v>
      </c>
      <c r="O722" s="36" t="s">
        <v>48</v>
      </c>
      <c r="R722" s="36" t="s">
        <v>48</v>
      </c>
    </row>
    <row r="723">
      <c r="G723" s="36" t="s">
        <v>48</v>
      </c>
      <c r="H723" s="50" t="s">
        <v>48</v>
      </c>
      <c r="I723" s="50" t="s">
        <v>48</v>
      </c>
      <c r="J723" s="36" t="s">
        <v>48</v>
      </c>
      <c r="K723" s="36" t="s">
        <v>48</v>
      </c>
      <c r="O723" s="36" t="s">
        <v>48</v>
      </c>
      <c r="R723" s="36" t="s">
        <v>48</v>
      </c>
    </row>
    <row r="724">
      <c r="G724" s="36" t="s">
        <v>48</v>
      </c>
      <c r="H724" s="50" t="s">
        <v>48</v>
      </c>
      <c r="I724" s="50" t="s">
        <v>48</v>
      </c>
      <c r="J724" s="36" t="s">
        <v>48</v>
      </c>
      <c r="K724" s="36" t="s">
        <v>48</v>
      </c>
      <c r="O724" s="36" t="s">
        <v>48</v>
      </c>
      <c r="R724" s="36" t="s">
        <v>48</v>
      </c>
    </row>
    <row r="725">
      <c r="G725" s="36" t="s">
        <v>48</v>
      </c>
      <c r="H725" s="50" t="s">
        <v>48</v>
      </c>
      <c r="I725" s="50" t="s">
        <v>48</v>
      </c>
      <c r="J725" s="36" t="s">
        <v>48</v>
      </c>
      <c r="K725" s="36" t="s">
        <v>48</v>
      </c>
      <c r="O725" s="36" t="s">
        <v>48</v>
      </c>
      <c r="R725" s="36" t="s">
        <v>48</v>
      </c>
    </row>
    <row r="726">
      <c r="G726" s="36" t="s">
        <v>48</v>
      </c>
      <c r="H726" s="50" t="s">
        <v>48</v>
      </c>
      <c r="I726" s="50" t="s">
        <v>48</v>
      </c>
      <c r="J726" s="36" t="s">
        <v>48</v>
      </c>
      <c r="K726" s="36" t="s">
        <v>48</v>
      </c>
      <c r="O726" s="36" t="s">
        <v>48</v>
      </c>
      <c r="R726" s="36" t="s">
        <v>48</v>
      </c>
    </row>
    <row r="727">
      <c r="G727" s="36" t="s">
        <v>48</v>
      </c>
      <c r="H727" s="50" t="s">
        <v>48</v>
      </c>
      <c r="I727" s="50" t="s">
        <v>48</v>
      </c>
      <c r="J727" s="36" t="s">
        <v>48</v>
      </c>
      <c r="K727" s="36" t="s">
        <v>48</v>
      </c>
      <c r="O727" s="36" t="s">
        <v>48</v>
      </c>
      <c r="R727" s="36" t="s">
        <v>48</v>
      </c>
    </row>
    <row r="728">
      <c r="G728" s="36" t="s">
        <v>48</v>
      </c>
      <c r="H728" s="50" t="s">
        <v>48</v>
      </c>
      <c r="I728" s="50" t="s">
        <v>48</v>
      </c>
      <c r="J728" s="36" t="s">
        <v>48</v>
      </c>
      <c r="K728" s="36" t="s">
        <v>48</v>
      </c>
      <c r="O728" s="36" t="s">
        <v>48</v>
      </c>
      <c r="R728" s="36" t="s">
        <v>48</v>
      </c>
    </row>
    <row r="729">
      <c r="G729" s="36" t="s">
        <v>48</v>
      </c>
      <c r="H729" s="50" t="s">
        <v>48</v>
      </c>
      <c r="I729" s="50" t="s">
        <v>48</v>
      </c>
      <c r="J729" s="36" t="s">
        <v>48</v>
      </c>
      <c r="K729" s="36" t="s">
        <v>48</v>
      </c>
      <c r="O729" s="36" t="s">
        <v>48</v>
      </c>
      <c r="R729" s="36" t="s">
        <v>48</v>
      </c>
    </row>
    <row r="730">
      <c r="G730" s="36" t="s">
        <v>48</v>
      </c>
      <c r="H730" s="50" t="s">
        <v>48</v>
      </c>
      <c r="I730" s="50" t="s">
        <v>48</v>
      </c>
      <c r="J730" s="36" t="s">
        <v>48</v>
      </c>
      <c r="K730" s="36" t="s">
        <v>48</v>
      </c>
      <c r="O730" s="36" t="s">
        <v>48</v>
      </c>
      <c r="R730" s="36" t="s">
        <v>48</v>
      </c>
    </row>
    <row r="731">
      <c r="G731" s="36" t="s">
        <v>48</v>
      </c>
      <c r="H731" s="50" t="s">
        <v>48</v>
      </c>
      <c r="I731" s="50" t="s">
        <v>48</v>
      </c>
      <c r="J731" s="36" t="s">
        <v>48</v>
      </c>
      <c r="K731" s="36" t="s">
        <v>48</v>
      </c>
      <c r="O731" s="36" t="s">
        <v>48</v>
      </c>
      <c r="R731" s="36" t="s">
        <v>48</v>
      </c>
    </row>
    <row r="732">
      <c r="G732" s="36" t="s">
        <v>48</v>
      </c>
      <c r="H732" s="50" t="s">
        <v>48</v>
      </c>
      <c r="I732" s="50" t="s">
        <v>48</v>
      </c>
      <c r="J732" s="36" t="s">
        <v>48</v>
      </c>
      <c r="K732" s="36" t="s">
        <v>48</v>
      </c>
      <c r="O732" s="36" t="s">
        <v>48</v>
      </c>
      <c r="R732" s="36" t="s">
        <v>48</v>
      </c>
    </row>
    <row r="733">
      <c r="G733" s="36" t="s">
        <v>48</v>
      </c>
      <c r="H733" s="50" t="s">
        <v>48</v>
      </c>
      <c r="I733" s="50" t="s">
        <v>48</v>
      </c>
      <c r="J733" s="36" t="s">
        <v>48</v>
      </c>
      <c r="K733" s="36" t="s">
        <v>48</v>
      </c>
      <c r="O733" s="36" t="s">
        <v>48</v>
      </c>
      <c r="R733" s="36" t="s">
        <v>48</v>
      </c>
    </row>
    <row r="734">
      <c r="G734" s="36" t="s">
        <v>48</v>
      </c>
      <c r="H734" s="50" t="s">
        <v>48</v>
      </c>
      <c r="I734" s="50" t="s">
        <v>48</v>
      </c>
      <c r="J734" s="36" t="s">
        <v>48</v>
      </c>
      <c r="K734" s="36" t="s">
        <v>48</v>
      </c>
      <c r="O734" s="36" t="s">
        <v>48</v>
      </c>
      <c r="R734" s="36" t="s">
        <v>48</v>
      </c>
    </row>
    <row r="735">
      <c r="G735" s="36" t="s">
        <v>48</v>
      </c>
      <c r="H735" s="50" t="s">
        <v>48</v>
      </c>
      <c r="I735" s="50" t="s">
        <v>48</v>
      </c>
      <c r="J735" s="36" t="s">
        <v>48</v>
      </c>
      <c r="K735" s="36" t="s">
        <v>48</v>
      </c>
      <c r="O735" s="36" t="s">
        <v>48</v>
      </c>
      <c r="R735" s="36" t="s">
        <v>48</v>
      </c>
    </row>
    <row r="736">
      <c r="G736" s="36" t="s">
        <v>48</v>
      </c>
      <c r="H736" s="50" t="s">
        <v>48</v>
      </c>
      <c r="I736" s="50" t="s">
        <v>48</v>
      </c>
      <c r="J736" s="36" t="s">
        <v>48</v>
      </c>
      <c r="K736" s="36" t="s">
        <v>48</v>
      </c>
      <c r="O736" s="36" t="s">
        <v>48</v>
      </c>
      <c r="R736" s="36" t="s">
        <v>48</v>
      </c>
    </row>
    <row r="737">
      <c r="G737" s="36" t="s">
        <v>48</v>
      </c>
      <c r="H737" s="50" t="s">
        <v>48</v>
      </c>
      <c r="I737" s="50" t="s">
        <v>48</v>
      </c>
      <c r="J737" s="36" t="s">
        <v>48</v>
      </c>
      <c r="K737" s="36" t="s">
        <v>48</v>
      </c>
      <c r="O737" s="36" t="s">
        <v>48</v>
      </c>
      <c r="R737" s="36" t="s">
        <v>48</v>
      </c>
    </row>
    <row r="738">
      <c r="G738" s="36" t="s">
        <v>48</v>
      </c>
      <c r="H738" s="50" t="s">
        <v>48</v>
      </c>
      <c r="I738" s="50" t="s">
        <v>48</v>
      </c>
      <c r="J738" s="36" t="s">
        <v>48</v>
      </c>
      <c r="K738" s="36" t="s">
        <v>48</v>
      </c>
      <c r="O738" s="36" t="s">
        <v>48</v>
      </c>
      <c r="R738" s="36" t="s">
        <v>48</v>
      </c>
    </row>
    <row r="739">
      <c r="G739" s="36" t="s">
        <v>48</v>
      </c>
      <c r="H739" s="50" t="s">
        <v>48</v>
      </c>
      <c r="I739" s="50" t="s">
        <v>48</v>
      </c>
      <c r="J739" s="36" t="s">
        <v>48</v>
      </c>
      <c r="K739" s="36" t="s">
        <v>48</v>
      </c>
      <c r="O739" s="36" t="s">
        <v>48</v>
      </c>
      <c r="R739" s="36" t="s">
        <v>48</v>
      </c>
    </row>
    <row r="740">
      <c r="G740" s="36" t="s">
        <v>48</v>
      </c>
      <c r="H740" s="50" t="s">
        <v>48</v>
      </c>
      <c r="I740" s="50" t="s">
        <v>48</v>
      </c>
      <c r="J740" s="36" t="s">
        <v>48</v>
      </c>
      <c r="K740" s="36" t="s">
        <v>48</v>
      </c>
      <c r="O740" s="36" t="s">
        <v>48</v>
      </c>
      <c r="R740" s="36" t="s">
        <v>48</v>
      </c>
    </row>
    <row r="741">
      <c r="G741" s="36" t="s">
        <v>48</v>
      </c>
      <c r="H741" s="50" t="s">
        <v>48</v>
      </c>
      <c r="I741" s="50" t="s">
        <v>48</v>
      </c>
      <c r="J741" s="36" t="s">
        <v>48</v>
      </c>
      <c r="K741" s="36" t="s">
        <v>48</v>
      </c>
      <c r="O741" s="36" t="s">
        <v>48</v>
      </c>
      <c r="R741" s="36" t="s">
        <v>48</v>
      </c>
    </row>
    <row r="742">
      <c r="G742" s="36" t="s">
        <v>48</v>
      </c>
      <c r="H742" s="50" t="s">
        <v>48</v>
      </c>
      <c r="I742" s="50" t="s">
        <v>48</v>
      </c>
      <c r="J742" s="36" t="s">
        <v>48</v>
      </c>
      <c r="K742" s="36" t="s">
        <v>48</v>
      </c>
      <c r="O742" s="36" t="s">
        <v>48</v>
      </c>
      <c r="R742" s="36" t="s">
        <v>48</v>
      </c>
    </row>
    <row r="743">
      <c r="G743" s="36" t="s">
        <v>48</v>
      </c>
      <c r="H743" s="50" t="s">
        <v>48</v>
      </c>
      <c r="I743" s="50" t="s">
        <v>48</v>
      </c>
      <c r="J743" s="36" t="s">
        <v>48</v>
      </c>
      <c r="K743" s="36" t="s">
        <v>48</v>
      </c>
      <c r="O743" s="36" t="s">
        <v>48</v>
      </c>
      <c r="R743" s="36" t="s">
        <v>48</v>
      </c>
    </row>
    <row r="744">
      <c r="G744" s="36" t="s">
        <v>48</v>
      </c>
      <c r="H744" s="50" t="s">
        <v>48</v>
      </c>
      <c r="I744" s="50" t="s">
        <v>48</v>
      </c>
      <c r="J744" s="36" t="s">
        <v>48</v>
      </c>
      <c r="K744" s="36" t="s">
        <v>48</v>
      </c>
      <c r="O744" s="36" t="s">
        <v>48</v>
      </c>
      <c r="R744" s="36" t="s">
        <v>48</v>
      </c>
    </row>
    <row r="745">
      <c r="G745" s="36" t="s">
        <v>48</v>
      </c>
      <c r="H745" s="50" t="s">
        <v>48</v>
      </c>
      <c r="I745" s="50" t="s">
        <v>48</v>
      </c>
      <c r="J745" s="36" t="s">
        <v>48</v>
      </c>
      <c r="K745" s="36" t="s">
        <v>48</v>
      </c>
      <c r="O745" s="36" t="s">
        <v>48</v>
      </c>
      <c r="R745" s="36" t="s">
        <v>48</v>
      </c>
    </row>
    <row r="746">
      <c r="G746" s="36" t="s">
        <v>48</v>
      </c>
      <c r="H746" s="50" t="s">
        <v>48</v>
      </c>
      <c r="I746" s="50" t="s">
        <v>48</v>
      </c>
      <c r="J746" s="36" t="s">
        <v>48</v>
      </c>
      <c r="K746" s="36" t="s">
        <v>48</v>
      </c>
      <c r="O746" s="36" t="s">
        <v>48</v>
      </c>
      <c r="R746" s="36" t="s">
        <v>48</v>
      </c>
    </row>
    <row r="747">
      <c r="G747" s="36" t="s">
        <v>48</v>
      </c>
      <c r="H747" s="50" t="s">
        <v>48</v>
      </c>
      <c r="I747" s="50" t="s">
        <v>48</v>
      </c>
      <c r="J747" s="36" t="s">
        <v>48</v>
      </c>
      <c r="K747" s="36" t="s">
        <v>48</v>
      </c>
      <c r="O747" s="36" t="s">
        <v>48</v>
      </c>
      <c r="R747" s="36" t="s">
        <v>48</v>
      </c>
    </row>
    <row r="748">
      <c r="G748" s="36" t="s">
        <v>48</v>
      </c>
      <c r="H748" s="50" t="s">
        <v>48</v>
      </c>
      <c r="I748" s="50" t="s">
        <v>48</v>
      </c>
      <c r="J748" s="36" t="s">
        <v>48</v>
      </c>
      <c r="K748" s="36" t="s">
        <v>48</v>
      </c>
      <c r="O748" s="36" t="s">
        <v>48</v>
      </c>
      <c r="R748" s="36" t="s">
        <v>48</v>
      </c>
    </row>
    <row r="749">
      <c r="G749" s="36" t="s">
        <v>48</v>
      </c>
      <c r="H749" s="50" t="s">
        <v>48</v>
      </c>
      <c r="I749" s="50" t="s">
        <v>48</v>
      </c>
      <c r="J749" s="36" t="s">
        <v>48</v>
      </c>
      <c r="K749" s="36" t="s">
        <v>48</v>
      </c>
      <c r="O749" s="36" t="s">
        <v>48</v>
      </c>
      <c r="R749" s="36" t="s">
        <v>48</v>
      </c>
    </row>
    <row r="750">
      <c r="G750" s="36" t="s">
        <v>48</v>
      </c>
      <c r="H750" s="50" t="s">
        <v>48</v>
      </c>
      <c r="I750" s="50" t="s">
        <v>48</v>
      </c>
      <c r="J750" s="36" t="s">
        <v>48</v>
      </c>
      <c r="K750" s="36" t="s">
        <v>48</v>
      </c>
      <c r="O750" s="36" t="s">
        <v>48</v>
      </c>
      <c r="R750" s="36" t="s">
        <v>48</v>
      </c>
    </row>
    <row r="751">
      <c r="G751" s="36" t="s">
        <v>48</v>
      </c>
      <c r="H751" s="50" t="s">
        <v>48</v>
      </c>
      <c r="I751" s="50" t="s">
        <v>48</v>
      </c>
      <c r="J751" s="36" t="s">
        <v>48</v>
      </c>
      <c r="K751" s="36" t="s">
        <v>48</v>
      </c>
      <c r="O751" s="36" t="s">
        <v>48</v>
      </c>
      <c r="R751" s="36" t="s">
        <v>48</v>
      </c>
    </row>
    <row r="752">
      <c r="G752" s="36" t="s">
        <v>48</v>
      </c>
      <c r="H752" s="50" t="s">
        <v>48</v>
      </c>
      <c r="I752" s="50" t="s">
        <v>48</v>
      </c>
      <c r="J752" s="36" t="s">
        <v>48</v>
      </c>
      <c r="K752" s="36" t="s">
        <v>48</v>
      </c>
      <c r="O752" s="36" t="s">
        <v>48</v>
      </c>
      <c r="R752" s="36" t="s">
        <v>48</v>
      </c>
    </row>
    <row r="753">
      <c r="G753" s="36" t="s">
        <v>48</v>
      </c>
      <c r="H753" s="50" t="s">
        <v>48</v>
      </c>
      <c r="I753" s="50" t="s">
        <v>48</v>
      </c>
      <c r="J753" s="36" t="s">
        <v>48</v>
      </c>
      <c r="K753" s="36" t="s">
        <v>48</v>
      </c>
      <c r="O753" s="36" t="s">
        <v>48</v>
      </c>
      <c r="R753" s="36" t="s">
        <v>48</v>
      </c>
    </row>
    <row r="754">
      <c r="G754" s="36" t="s">
        <v>48</v>
      </c>
      <c r="H754" s="50" t="s">
        <v>48</v>
      </c>
      <c r="I754" s="50" t="s">
        <v>48</v>
      </c>
      <c r="J754" s="36" t="s">
        <v>48</v>
      </c>
      <c r="K754" s="36" t="s">
        <v>48</v>
      </c>
      <c r="O754" s="36" t="s">
        <v>48</v>
      </c>
      <c r="R754" s="36" t="s">
        <v>48</v>
      </c>
    </row>
    <row r="755">
      <c r="G755" s="36" t="s">
        <v>48</v>
      </c>
      <c r="H755" s="50" t="s">
        <v>48</v>
      </c>
      <c r="I755" s="50" t="s">
        <v>48</v>
      </c>
      <c r="J755" s="36" t="s">
        <v>48</v>
      </c>
      <c r="K755" s="36" t="s">
        <v>48</v>
      </c>
      <c r="O755" s="36" t="s">
        <v>48</v>
      </c>
      <c r="R755" s="36" t="s">
        <v>48</v>
      </c>
    </row>
    <row r="756">
      <c r="G756" s="36" t="s">
        <v>48</v>
      </c>
      <c r="H756" s="50" t="s">
        <v>48</v>
      </c>
      <c r="I756" s="50" t="s">
        <v>48</v>
      </c>
      <c r="J756" s="36" t="s">
        <v>48</v>
      </c>
      <c r="K756" s="36" t="s">
        <v>48</v>
      </c>
      <c r="O756" s="36" t="s">
        <v>48</v>
      </c>
      <c r="R756" s="36" t="s">
        <v>48</v>
      </c>
    </row>
    <row r="757">
      <c r="G757" s="36" t="s">
        <v>48</v>
      </c>
      <c r="H757" s="50" t="s">
        <v>48</v>
      </c>
      <c r="I757" s="50" t="s">
        <v>48</v>
      </c>
      <c r="J757" s="36" t="s">
        <v>48</v>
      </c>
      <c r="K757" s="36" t="s">
        <v>48</v>
      </c>
      <c r="O757" s="36" t="s">
        <v>48</v>
      </c>
      <c r="R757" s="36" t="s">
        <v>48</v>
      </c>
    </row>
    <row r="758">
      <c r="G758" s="36" t="s">
        <v>48</v>
      </c>
      <c r="H758" s="50" t="s">
        <v>48</v>
      </c>
      <c r="I758" s="50" t="s">
        <v>48</v>
      </c>
      <c r="J758" s="36" t="s">
        <v>48</v>
      </c>
      <c r="K758" s="36" t="s">
        <v>48</v>
      </c>
      <c r="O758" s="36" t="s">
        <v>48</v>
      </c>
      <c r="R758" s="36" t="s">
        <v>48</v>
      </c>
    </row>
    <row r="759">
      <c r="G759" s="36" t="s">
        <v>48</v>
      </c>
      <c r="H759" s="50" t="s">
        <v>48</v>
      </c>
      <c r="I759" s="50" t="s">
        <v>48</v>
      </c>
      <c r="J759" s="36" t="s">
        <v>48</v>
      </c>
      <c r="K759" s="36" t="s">
        <v>48</v>
      </c>
      <c r="O759" s="36" t="s">
        <v>48</v>
      </c>
      <c r="R759" s="36" t="s">
        <v>48</v>
      </c>
    </row>
    <row r="760">
      <c r="G760" s="36" t="s">
        <v>48</v>
      </c>
      <c r="H760" s="50" t="s">
        <v>48</v>
      </c>
      <c r="I760" s="50" t="s">
        <v>48</v>
      </c>
      <c r="J760" s="36" t="s">
        <v>48</v>
      </c>
      <c r="K760" s="36" t="s">
        <v>48</v>
      </c>
      <c r="O760" s="36" t="s">
        <v>48</v>
      </c>
      <c r="R760" s="36" t="s">
        <v>48</v>
      </c>
    </row>
    <row r="761">
      <c r="G761" s="36" t="s">
        <v>48</v>
      </c>
      <c r="H761" s="50" t="s">
        <v>48</v>
      </c>
      <c r="I761" s="50" t="s">
        <v>48</v>
      </c>
      <c r="J761" s="36" t="s">
        <v>48</v>
      </c>
      <c r="K761" s="36" t="s">
        <v>48</v>
      </c>
      <c r="O761" s="36" t="s">
        <v>48</v>
      </c>
      <c r="R761" s="36" t="s">
        <v>48</v>
      </c>
    </row>
    <row r="762">
      <c r="G762" s="36" t="s">
        <v>48</v>
      </c>
      <c r="H762" s="50" t="s">
        <v>48</v>
      </c>
      <c r="I762" s="50" t="s">
        <v>48</v>
      </c>
      <c r="J762" s="36" t="s">
        <v>48</v>
      </c>
      <c r="K762" s="36" t="s">
        <v>48</v>
      </c>
      <c r="O762" s="36" t="s">
        <v>48</v>
      </c>
      <c r="R762" s="36" t="s">
        <v>48</v>
      </c>
    </row>
    <row r="763">
      <c r="G763" s="36" t="s">
        <v>48</v>
      </c>
      <c r="H763" s="50" t="s">
        <v>48</v>
      </c>
      <c r="I763" s="50" t="s">
        <v>48</v>
      </c>
      <c r="J763" s="36" t="s">
        <v>48</v>
      </c>
      <c r="K763" s="36" t="s">
        <v>48</v>
      </c>
      <c r="O763" s="36" t="s">
        <v>48</v>
      </c>
      <c r="R763" s="36" t="s">
        <v>48</v>
      </c>
    </row>
    <row r="764">
      <c r="G764" s="36" t="s">
        <v>48</v>
      </c>
      <c r="H764" s="50" t="s">
        <v>48</v>
      </c>
      <c r="I764" s="50" t="s">
        <v>48</v>
      </c>
      <c r="J764" s="36" t="s">
        <v>48</v>
      </c>
      <c r="K764" s="36" t="s">
        <v>48</v>
      </c>
      <c r="O764" s="36" t="s">
        <v>48</v>
      </c>
      <c r="R764" s="36" t="s">
        <v>48</v>
      </c>
    </row>
    <row r="765">
      <c r="G765" s="36" t="s">
        <v>48</v>
      </c>
      <c r="H765" s="50" t="s">
        <v>48</v>
      </c>
      <c r="I765" s="50" t="s">
        <v>48</v>
      </c>
      <c r="J765" s="36" t="s">
        <v>48</v>
      </c>
      <c r="K765" s="36" t="s">
        <v>48</v>
      </c>
      <c r="O765" s="36" t="s">
        <v>48</v>
      </c>
      <c r="R765" s="36" t="s">
        <v>48</v>
      </c>
    </row>
    <row r="766">
      <c r="G766" s="36" t="s">
        <v>48</v>
      </c>
      <c r="H766" s="50" t="s">
        <v>48</v>
      </c>
      <c r="I766" s="50" t="s">
        <v>48</v>
      </c>
      <c r="J766" s="36" t="s">
        <v>48</v>
      </c>
      <c r="K766" s="36" t="s">
        <v>48</v>
      </c>
      <c r="O766" s="36" t="s">
        <v>48</v>
      </c>
      <c r="R766" s="36" t="s">
        <v>48</v>
      </c>
    </row>
    <row r="767">
      <c r="G767" s="36" t="s">
        <v>48</v>
      </c>
      <c r="H767" s="50" t="s">
        <v>48</v>
      </c>
      <c r="I767" s="50" t="s">
        <v>48</v>
      </c>
      <c r="J767" s="36" t="s">
        <v>48</v>
      </c>
      <c r="K767" s="36" t="s">
        <v>48</v>
      </c>
      <c r="O767" s="36" t="s">
        <v>48</v>
      </c>
      <c r="R767" s="36" t="s">
        <v>48</v>
      </c>
    </row>
    <row r="768">
      <c r="G768" s="36" t="s">
        <v>48</v>
      </c>
      <c r="H768" s="50" t="s">
        <v>48</v>
      </c>
      <c r="I768" s="50" t="s">
        <v>48</v>
      </c>
      <c r="J768" s="36" t="s">
        <v>48</v>
      </c>
      <c r="K768" s="36" t="s">
        <v>48</v>
      </c>
      <c r="O768" s="36" t="s">
        <v>48</v>
      </c>
      <c r="R768" s="36" t="s">
        <v>48</v>
      </c>
    </row>
    <row r="769">
      <c r="G769" s="36" t="s">
        <v>48</v>
      </c>
      <c r="H769" s="50" t="s">
        <v>48</v>
      </c>
      <c r="I769" s="50" t="s">
        <v>48</v>
      </c>
      <c r="J769" s="36" t="s">
        <v>48</v>
      </c>
      <c r="K769" s="36" t="s">
        <v>48</v>
      </c>
      <c r="O769" s="36" t="s">
        <v>48</v>
      </c>
      <c r="R769" s="36" t="s">
        <v>48</v>
      </c>
    </row>
    <row r="770">
      <c r="G770" s="36" t="s">
        <v>48</v>
      </c>
      <c r="H770" s="50" t="s">
        <v>48</v>
      </c>
      <c r="I770" s="50" t="s">
        <v>48</v>
      </c>
      <c r="J770" s="36" t="s">
        <v>48</v>
      </c>
      <c r="K770" s="36" t="s">
        <v>48</v>
      </c>
      <c r="O770" s="36" t="s">
        <v>48</v>
      </c>
      <c r="R770" s="36" t="s">
        <v>48</v>
      </c>
    </row>
    <row r="771">
      <c r="G771" s="36" t="s">
        <v>48</v>
      </c>
      <c r="H771" s="50" t="s">
        <v>48</v>
      </c>
      <c r="I771" s="50" t="s">
        <v>48</v>
      </c>
      <c r="J771" s="36" t="s">
        <v>48</v>
      </c>
      <c r="K771" s="36" t="s">
        <v>48</v>
      </c>
      <c r="O771" s="36" t="s">
        <v>48</v>
      </c>
      <c r="R771" s="36" t="s">
        <v>48</v>
      </c>
    </row>
    <row r="772">
      <c r="G772" s="36" t="s">
        <v>48</v>
      </c>
      <c r="H772" s="50" t="s">
        <v>48</v>
      </c>
      <c r="I772" s="50" t="s">
        <v>48</v>
      </c>
      <c r="J772" s="36" t="s">
        <v>48</v>
      </c>
      <c r="K772" s="36" t="s">
        <v>48</v>
      </c>
      <c r="O772" s="36" t="s">
        <v>48</v>
      </c>
      <c r="R772" s="36" t="s">
        <v>48</v>
      </c>
    </row>
    <row r="773">
      <c r="G773" s="36" t="s">
        <v>48</v>
      </c>
      <c r="H773" s="50" t="s">
        <v>48</v>
      </c>
      <c r="I773" s="50" t="s">
        <v>48</v>
      </c>
      <c r="J773" s="36" t="s">
        <v>48</v>
      </c>
      <c r="K773" s="36" t="s">
        <v>48</v>
      </c>
      <c r="O773" s="36" t="s">
        <v>48</v>
      </c>
      <c r="R773" s="36" t="s">
        <v>48</v>
      </c>
    </row>
    <row r="774">
      <c r="G774" s="36" t="s">
        <v>48</v>
      </c>
      <c r="H774" s="50" t="s">
        <v>48</v>
      </c>
      <c r="I774" s="50" t="s">
        <v>48</v>
      </c>
      <c r="J774" s="36" t="s">
        <v>48</v>
      </c>
      <c r="K774" s="36" t="s">
        <v>48</v>
      </c>
      <c r="O774" s="36" t="s">
        <v>48</v>
      </c>
      <c r="R774" s="36" t="s">
        <v>48</v>
      </c>
    </row>
    <row r="775">
      <c r="G775" s="36" t="s">
        <v>48</v>
      </c>
      <c r="H775" s="50" t="s">
        <v>48</v>
      </c>
      <c r="I775" s="50" t="s">
        <v>48</v>
      </c>
      <c r="J775" s="36" t="s">
        <v>48</v>
      </c>
      <c r="K775" s="36" t="s">
        <v>48</v>
      </c>
      <c r="O775" s="36" t="s">
        <v>48</v>
      </c>
      <c r="R775" s="36" t="s">
        <v>48</v>
      </c>
    </row>
    <row r="776">
      <c r="G776" s="36" t="s">
        <v>48</v>
      </c>
      <c r="H776" s="50" t="s">
        <v>48</v>
      </c>
      <c r="I776" s="50" t="s">
        <v>48</v>
      </c>
      <c r="J776" s="36" t="s">
        <v>48</v>
      </c>
      <c r="K776" s="36" t="s">
        <v>48</v>
      </c>
      <c r="O776" s="36" t="s">
        <v>48</v>
      </c>
      <c r="R776" s="36" t="s">
        <v>48</v>
      </c>
    </row>
    <row r="777">
      <c r="G777" s="36" t="s">
        <v>48</v>
      </c>
      <c r="H777" s="50" t="s">
        <v>48</v>
      </c>
      <c r="I777" s="50" t="s">
        <v>48</v>
      </c>
      <c r="J777" s="36" t="s">
        <v>48</v>
      </c>
      <c r="K777" s="36" t="s">
        <v>48</v>
      </c>
      <c r="O777" s="36" t="s">
        <v>48</v>
      </c>
      <c r="R777" s="36" t="s">
        <v>48</v>
      </c>
    </row>
    <row r="778">
      <c r="G778" s="36" t="s">
        <v>48</v>
      </c>
      <c r="H778" s="50" t="s">
        <v>48</v>
      </c>
      <c r="I778" s="50" t="s">
        <v>48</v>
      </c>
      <c r="J778" s="36" t="s">
        <v>48</v>
      </c>
      <c r="K778" s="36" t="s">
        <v>48</v>
      </c>
      <c r="O778" s="36" t="s">
        <v>48</v>
      </c>
      <c r="R778" s="36" t="s">
        <v>48</v>
      </c>
    </row>
    <row r="779">
      <c r="G779" s="36" t="s">
        <v>48</v>
      </c>
      <c r="H779" s="50" t="s">
        <v>48</v>
      </c>
      <c r="I779" s="50" t="s">
        <v>48</v>
      </c>
      <c r="J779" s="36" t="s">
        <v>48</v>
      </c>
      <c r="K779" s="36" t="s">
        <v>48</v>
      </c>
      <c r="O779" s="36" t="s">
        <v>48</v>
      </c>
      <c r="R779" s="36" t="s">
        <v>48</v>
      </c>
    </row>
    <row r="780">
      <c r="G780" s="36" t="s">
        <v>48</v>
      </c>
      <c r="H780" s="50" t="s">
        <v>48</v>
      </c>
      <c r="I780" s="50" t="s">
        <v>48</v>
      </c>
      <c r="J780" s="36" t="s">
        <v>48</v>
      </c>
      <c r="K780" s="36" t="s">
        <v>48</v>
      </c>
      <c r="O780" s="36" t="s">
        <v>48</v>
      </c>
      <c r="R780" s="36" t="s">
        <v>48</v>
      </c>
    </row>
    <row r="781">
      <c r="G781" s="36" t="s">
        <v>48</v>
      </c>
      <c r="H781" s="50" t="s">
        <v>48</v>
      </c>
      <c r="I781" s="50" t="s">
        <v>48</v>
      </c>
      <c r="J781" s="36" t="s">
        <v>48</v>
      </c>
      <c r="K781" s="36" t="s">
        <v>48</v>
      </c>
      <c r="O781" s="36" t="s">
        <v>48</v>
      </c>
      <c r="R781" s="36" t="s">
        <v>48</v>
      </c>
    </row>
    <row r="782">
      <c r="G782" s="36" t="s">
        <v>48</v>
      </c>
      <c r="H782" s="50" t="s">
        <v>48</v>
      </c>
      <c r="I782" s="50" t="s">
        <v>48</v>
      </c>
      <c r="J782" s="36" t="s">
        <v>48</v>
      </c>
      <c r="K782" s="36" t="s">
        <v>48</v>
      </c>
      <c r="O782" s="36" t="s">
        <v>48</v>
      </c>
      <c r="R782" s="36" t="s">
        <v>48</v>
      </c>
    </row>
    <row r="783">
      <c r="G783" s="36" t="s">
        <v>48</v>
      </c>
      <c r="H783" s="50" t="s">
        <v>48</v>
      </c>
      <c r="I783" s="50" t="s">
        <v>48</v>
      </c>
      <c r="J783" s="36" t="s">
        <v>48</v>
      </c>
      <c r="K783" s="36" t="s">
        <v>48</v>
      </c>
      <c r="O783" s="36" t="s">
        <v>48</v>
      </c>
      <c r="R783" s="36" t="s">
        <v>48</v>
      </c>
    </row>
    <row r="784">
      <c r="G784" s="36" t="s">
        <v>48</v>
      </c>
      <c r="H784" s="50" t="s">
        <v>48</v>
      </c>
      <c r="I784" s="50" t="s">
        <v>48</v>
      </c>
      <c r="J784" s="36" t="s">
        <v>48</v>
      </c>
      <c r="K784" s="36" t="s">
        <v>48</v>
      </c>
      <c r="O784" s="36" t="s">
        <v>48</v>
      </c>
      <c r="R784" s="36" t="s">
        <v>48</v>
      </c>
    </row>
    <row r="785">
      <c r="G785" s="36" t="s">
        <v>48</v>
      </c>
      <c r="H785" s="50" t="s">
        <v>48</v>
      </c>
      <c r="I785" s="50" t="s">
        <v>48</v>
      </c>
      <c r="J785" s="36" t="s">
        <v>48</v>
      </c>
      <c r="K785" s="36" t="s">
        <v>48</v>
      </c>
      <c r="O785" s="36" t="s">
        <v>48</v>
      </c>
      <c r="R785" s="36" t="s">
        <v>48</v>
      </c>
    </row>
    <row r="786">
      <c r="G786" s="36" t="s">
        <v>48</v>
      </c>
      <c r="H786" s="50" t="s">
        <v>48</v>
      </c>
      <c r="I786" s="50" t="s">
        <v>48</v>
      </c>
      <c r="J786" s="36" t="s">
        <v>48</v>
      </c>
      <c r="K786" s="36" t="s">
        <v>48</v>
      </c>
      <c r="O786" s="36" t="s">
        <v>48</v>
      </c>
      <c r="R786" s="36" t="s">
        <v>48</v>
      </c>
    </row>
    <row r="787">
      <c r="G787" s="36" t="s">
        <v>48</v>
      </c>
      <c r="H787" s="50" t="s">
        <v>48</v>
      </c>
      <c r="I787" s="50" t="s">
        <v>48</v>
      </c>
      <c r="J787" s="36" t="s">
        <v>48</v>
      </c>
      <c r="K787" s="36" t="s">
        <v>48</v>
      </c>
      <c r="O787" s="36" t="s">
        <v>48</v>
      </c>
      <c r="R787" s="36" t="s">
        <v>48</v>
      </c>
    </row>
    <row r="788">
      <c r="G788" s="36" t="s">
        <v>48</v>
      </c>
      <c r="H788" s="50" t="s">
        <v>48</v>
      </c>
      <c r="I788" s="50" t="s">
        <v>48</v>
      </c>
      <c r="J788" s="36" t="s">
        <v>48</v>
      </c>
      <c r="K788" s="36" t="s">
        <v>48</v>
      </c>
      <c r="O788" s="36" t="s">
        <v>48</v>
      </c>
      <c r="R788" s="36" t="s">
        <v>48</v>
      </c>
    </row>
    <row r="789">
      <c r="G789" s="36" t="s">
        <v>48</v>
      </c>
      <c r="H789" s="50" t="s">
        <v>48</v>
      </c>
      <c r="I789" s="50" t="s">
        <v>48</v>
      </c>
      <c r="J789" s="36" t="s">
        <v>48</v>
      </c>
      <c r="K789" s="36" t="s">
        <v>48</v>
      </c>
      <c r="O789" s="36" t="s">
        <v>48</v>
      </c>
      <c r="R789" s="36" t="s">
        <v>48</v>
      </c>
    </row>
    <row r="790">
      <c r="G790" s="36" t="s">
        <v>48</v>
      </c>
      <c r="H790" s="50" t="s">
        <v>48</v>
      </c>
      <c r="I790" s="50" t="s">
        <v>48</v>
      </c>
      <c r="J790" s="36" t="s">
        <v>48</v>
      </c>
      <c r="K790" s="36" t="s">
        <v>48</v>
      </c>
      <c r="O790" s="36" t="s">
        <v>48</v>
      </c>
      <c r="R790" s="36" t="s">
        <v>48</v>
      </c>
    </row>
    <row r="791">
      <c r="G791" s="36" t="s">
        <v>48</v>
      </c>
      <c r="H791" s="50" t="s">
        <v>48</v>
      </c>
      <c r="I791" s="50" t="s">
        <v>48</v>
      </c>
      <c r="J791" s="36" t="s">
        <v>48</v>
      </c>
      <c r="K791" s="36" t="s">
        <v>48</v>
      </c>
      <c r="O791" s="36" t="s">
        <v>48</v>
      </c>
      <c r="R791" s="36" t="s">
        <v>48</v>
      </c>
    </row>
    <row r="792">
      <c r="G792" s="36" t="s">
        <v>48</v>
      </c>
      <c r="H792" s="50" t="s">
        <v>48</v>
      </c>
      <c r="I792" s="50" t="s">
        <v>48</v>
      </c>
      <c r="J792" s="36" t="s">
        <v>48</v>
      </c>
      <c r="K792" s="36" t="s">
        <v>48</v>
      </c>
      <c r="O792" s="36" t="s">
        <v>48</v>
      </c>
      <c r="R792" s="36" t="s">
        <v>48</v>
      </c>
    </row>
    <row r="793">
      <c r="G793" s="36" t="s">
        <v>48</v>
      </c>
      <c r="H793" s="50" t="s">
        <v>48</v>
      </c>
      <c r="I793" s="50" t="s">
        <v>48</v>
      </c>
      <c r="J793" s="36" t="s">
        <v>48</v>
      </c>
      <c r="K793" s="36" t="s">
        <v>48</v>
      </c>
      <c r="O793" s="36" t="s">
        <v>48</v>
      </c>
      <c r="R793" s="36" t="s">
        <v>48</v>
      </c>
    </row>
    <row r="794">
      <c r="G794" s="36" t="s">
        <v>48</v>
      </c>
      <c r="H794" s="50" t="s">
        <v>48</v>
      </c>
      <c r="I794" s="50" t="s">
        <v>48</v>
      </c>
      <c r="J794" s="36" t="s">
        <v>48</v>
      </c>
      <c r="K794" s="36" t="s">
        <v>48</v>
      </c>
      <c r="O794" s="36" t="s">
        <v>48</v>
      </c>
      <c r="R794" s="36" t="s">
        <v>48</v>
      </c>
    </row>
    <row r="795">
      <c r="G795" s="36" t="s">
        <v>48</v>
      </c>
      <c r="H795" s="50" t="s">
        <v>48</v>
      </c>
      <c r="I795" s="50" t="s">
        <v>48</v>
      </c>
      <c r="J795" s="36" t="s">
        <v>48</v>
      </c>
      <c r="K795" s="36" t="s">
        <v>48</v>
      </c>
      <c r="O795" s="36" t="s">
        <v>48</v>
      </c>
      <c r="R795" s="36" t="s">
        <v>48</v>
      </c>
    </row>
    <row r="796">
      <c r="G796" s="36" t="s">
        <v>48</v>
      </c>
      <c r="H796" s="50" t="s">
        <v>48</v>
      </c>
      <c r="I796" s="50" t="s">
        <v>48</v>
      </c>
      <c r="J796" s="36" t="s">
        <v>48</v>
      </c>
      <c r="K796" s="36" t="s">
        <v>48</v>
      </c>
      <c r="O796" s="36" t="s">
        <v>48</v>
      </c>
      <c r="R796" s="36" t="s">
        <v>48</v>
      </c>
    </row>
    <row r="797">
      <c r="G797" s="36" t="s">
        <v>48</v>
      </c>
      <c r="H797" s="50" t="s">
        <v>48</v>
      </c>
      <c r="I797" s="50" t="s">
        <v>48</v>
      </c>
      <c r="J797" s="36" t="s">
        <v>48</v>
      </c>
      <c r="K797" s="36" t="s">
        <v>48</v>
      </c>
      <c r="O797" s="36" t="s">
        <v>48</v>
      </c>
      <c r="R797" s="36" t="s">
        <v>48</v>
      </c>
    </row>
    <row r="798">
      <c r="G798" s="36" t="s">
        <v>48</v>
      </c>
      <c r="H798" s="50" t="s">
        <v>48</v>
      </c>
      <c r="I798" s="50" t="s">
        <v>48</v>
      </c>
      <c r="J798" s="36" t="s">
        <v>48</v>
      </c>
      <c r="K798" s="36" t="s">
        <v>48</v>
      </c>
      <c r="O798" s="36" t="s">
        <v>48</v>
      </c>
      <c r="R798" s="36" t="s">
        <v>48</v>
      </c>
    </row>
    <row r="799">
      <c r="G799" s="36" t="s">
        <v>48</v>
      </c>
      <c r="H799" s="50" t="s">
        <v>48</v>
      </c>
      <c r="I799" s="50" t="s">
        <v>48</v>
      </c>
      <c r="J799" s="36" t="s">
        <v>48</v>
      </c>
      <c r="K799" s="36" t="s">
        <v>48</v>
      </c>
      <c r="O799" s="36" t="s">
        <v>48</v>
      </c>
      <c r="R799" s="36" t="s">
        <v>48</v>
      </c>
    </row>
    <row r="800">
      <c r="G800" s="36" t="s">
        <v>48</v>
      </c>
      <c r="H800" s="50" t="s">
        <v>48</v>
      </c>
      <c r="I800" s="50" t="s">
        <v>48</v>
      </c>
      <c r="J800" s="36" t="s">
        <v>48</v>
      </c>
      <c r="K800" s="36" t="s">
        <v>48</v>
      </c>
      <c r="O800" s="36" t="s">
        <v>48</v>
      </c>
      <c r="R800" s="36" t="s">
        <v>48</v>
      </c>
    </row>
    <row r="801">
      <c r="G801" s="36" t="s">
        <v>48</v>
      </c>
      <c r="H801" s="50" t="s">
        <v>48</v>
      </c>
      <c r="I801" s="50" t="s">
        <v>48</v>
      </c>
      <c r="J801" s="36" t="s">
        <v>48</v>
      </c>
      <c r="K801" s="36" t="s">
        <v>48</v>
      </c>
      <c r="O801" s="36" t="s">
        <v>48</v>
      </c>
      <c r="R801" s="36" t="s">
        <v>48</v>
      </c>
    </row>
    <row r="802">
      <c r="G802" s="36" t="s">
        <v>48</v>
      </c>
      <c r="H802" s="50" t="s">
        <v>48</v>
      </c>
      <c r="I802" s="50" t="s">
        <v>48</v>
      </c>
      <c r="J802" s="36" t="s">
        <v>48</v>
      </c>
      <c r="K802" s="36" t="s">
        <v>48</v>
      </c>
      <c r="O802" s="36" t="s">
        <v>48</v>
      </c>
      <c r="R802" s="36" t="s">
        <v>48</v>
      </c>
    </row>
    <row r="803">
      <c r="G803" s="36" t="s">
        <v>48</v>
      </c>
      <c r="H803" s="50" t="s">
        <v>48</v>
      </c>
      <c r="I803" s="50" t="s">
        <v>48</v>
      </c>
      <c r="J803" s="36" t="s">
        <v>48</v>
      </c>
      <c r="K803" s="36" t="s">
        <v>48</v>
      </c>
      <c r="O803" s="36" t="s">
        <v>48</v>
      </c>
      <c r="R803" s="36" t="s">
        <v>48</v>
      </c>
    </row>
    <row r="804">
      <c r="G804" s="36" t="s">
        <v>48</v>
      </c>
      <c r="H804" s="50" t="s">
        <v>48</v>
      </c>
      <c r="I804" s="50" t="s">
        <v>48</v>
      </c>
      <c r="J804" s="36" t="s">
        <v>48</v>
      </c>
      <c r="K804" s="36" t="s">
        <v>48</v>
      </c>
      <c r="O804" s="36" t="s">
        <v>48</v>
      </c>
      <c r="R804" s="36" t="s">
        <v>48</v>
      </c>
    </row>
    <row r="805">
      <c r="G805" s="36" t="s">
        <v>48</v>
      </c>
      <c r="H805" s="50" t="s">
        <v>48</v>
      </c>
      <c r="I805" s="50" t="s">
        <v>48</v>
      </c>
      <c r="J805" s="36" t="s">
        <v>48</v>
      </c>
      <c r="K805" s="36" t="s">
        <v>48</v>
      </c>
      <c r="O805" s="36" t="s">
        <v>48</v>
      </c>
      <c r="R805" s="36" t="s">
        <v>48</v>
      </c>
    </row>
    <row r="806">
      <c r="G806" s="36" t="s">
        <v>48</v>
      </c>
      <c r="H806" s="50" t="s">
        <v>48</v>
      </c>
      <c r="I806" s="50" t="s">
        <v>48</v>
      </c>
      <c r="J806" s="36" t="s">
        <v>48</v>
      </c>
      <c r="K806" s="36" t="s">
        <v>48</v>
      </c>
      <c r="O806" s="36" t="s">
        <v>48</v>
      </c>
      <c r="R806" s="36" t="s">
        <v>48</v>
      </c>
    </row>
    <row r="807">
      <c r="G807" s="36" t="s">
        <v>48</v>
      </c>
      <c r="H807" s="50" t="s">
        <v>48</v>
      </c>
      <c r="I807" s="50" t="s">
        <v>48</v>
      </c>
      <c r="J807" s="36" t="s">
        <v>48</v>
      </c>
      <c r="K807" s="36" t="s">
        <v>48</v>
      </c>
      <c r="O807" s="36" t="s">
        <v>48</v>
      </c>
      <c r="R807" s="36" t="s">
        <v>48</v>
      </c>
    </row>
    <row r="808">
      <c r="G808" s="36" t="s">
        <v>48</v>
      </c>
      <c r="H808" s="50" t="s">
        <v>48</v>
      </c>
      <c r="I808" s="50" t="s">
        <v>48</v>
      </c>
      <c r="J808" s="36" t="s">
        <v>48</v>
      </c>
      <c r="K808" s="36" t="s">
        <v>48</v>
      </c>
      <c r="O808" s="36" t="s">
        <v>48</v>
      </c>
      <c r="R808" s="36" t="s">
        <v>48</v>
      </c>
    </row>
    <row r="809">
      <c r="G809" s="36" t="s">
        <v>48</v>
      </c>
      <c r="H809" s="50" t="s">
        <v>48</v>
      </c>
      <c r="I809" s="50" t="s">
        <v>48</v>
      </c>
      <c r="J809" s="36" t="s">
        <v>48</v>
      </c>
      <c r="K809" s="36" t="s">
        <v>48</v>
      </c>
      <c r="O809" s="36" t="s">
        <v>48</v>
      </c>
      <c r="R809" s="36" t="s">
        <v>48</v>
      </c>
    </row>
    <row r="810">
      <c r="G810" s="36" t="s">
        <v>48</v>
      </c>
      <c r="H810" s="50" t="s">
        <v>48</v>
      </c>
      <c r="I810" s="50" t="s">
        <v>48</v>
      </c>
      <c r="J810" s="36" t="s">
        <v>48</v>
      </c>
      <c r="K810" s="36" t="s">
        <v>48</v>
      </c>
      <c r="O810" s="36" t="s">
        <v>48</v>
      </c>
      <c r="R810" s="36" t="s">
        <v>48</v>
      </c>
    </row>
    <row r="811">
      <c r="G811" s="36" t="s">
        <v>48</v>
      </c>
      <c r="H811" s="50" t="s">
        <v>48</v>
      </c>
      <c r="I811" s="50" t="s">
        <v>48</v>
      </c>
      <c r="J811" s="36" t="s">
        <v>48</v>
      </c>
      <c r="K811" s="36" t="s">
        <v>48</v>
      </c>
      <c r="O811" s="36" t="s">
        <v>48</v>
      </c>
      <c r="R811" s="36" t="s">
        <v>48</v>
      </c>
    </row>
    <row r="812">
      <c r="G812" s="36" t="s">
        <v>48</v>
      </c>
      <c r="H812" s="50" t="s">
        <v>48</v>
      </c>
      <c r="I812" s="50" t="s">
        <v>48</v>
      </c>
      <c r="J812" s="36" t="s">
        <v>48</v>
      </c>
      <c r="K812" s="36" t="s">
        <v>48</v>
      </c>
      <c r="O812" s="36" t="s">
        <v>48</v>
      </c>
      <c r="R812" s="36" t="s">
        <v>48</v>
      </c>
    </row>
    <row r="813">
      <c r="G813" s="36" t="s">
        <v>48</v>
      </c>
      <c r="H813" s="50" t="s">
        <v>48</v>
      </c>
      <c r="I813" s="50" t="s">
        <v>48</v>
      </c>
      <c r="J813" s="36" t="s">
        <v>48</v>
      </c>
      <c r="K813" s="36" t="s">
        <v>48</v>
      </c>
      <c r="O813" s="36" t="s">
        <v>48</v>
      </c>
      <c r="R813" s="36" t="s">
        <v>48</v>
      </c>
    </row>
    <row r="814">
      <c r="G814" s="36" t="s">
        <v>48</v>
      </c>
      <c r="H814" s="50" t="s">
        <v>48</v>
      </c>
      <c r="I814" s="50" t="s">
        <v>48</v>
      </c>
      <c r="J814" s="36" t="s">
        <v>48</v>
      </c>
      <c r="K814" s="36" t="s">
        <v>48</v>
      </c>
      <c r="O814" s="36" t="s">
        <v>48</v>
      </c>
      <c r="R814" s="36" t="s">
        <v>48</v>
      </c>
    </row>
    <row r="815">
      <c r="G815" s="36" t="s">
        <v>48</v>
      </c>
      <c r="H815" s="50" t="s">
        <v>48</v>
      </c>
      <c r="I815" s="50" t="s">
        <v>48</v>
      </c>
      <c r="J815" s="36" t="s">
        <v>48</v>
      </c>
      <c r="K815" s="36" t="s">
        <v>48</v>
      </c>
      <c r="O815" s="36" t="s">
        <v>48</v>
      </c>
      <c r="R815" s="36" t="s">
        <v>48</v>
      </c>
    </row>
    <row r="816">
      <c r="G816" s="36" t="s">
        <v>48</v>
      </c>
      <c r="H816" s="50" t="s">
        <v>48</v>
      </c>
      <c r="I816" s="50" t="s">
        <v>48</v>
      </c>
      <c r="J816" s="36" t="s">
        <v>48</v>
      </c>
      <c r="K816" s="36" t="s">
        <v>48</v>
      </c>
      <c r="O816" s="36" t="s">
        <v>48</v>
      </c>
      <c r="R816" s="36" t="s">
        <v>48</v>
      </c>
    </row>
    <row r="817">
      <c r="G817" s="36" t="s">
        <v>48</v>
      </c>
      <c r="H817" s="50" t="s">
        <v>48</v>
      </c>
      <c r="I817" s="50" t="s">
        <v>48</v>
      </c>
      <c r="J817" s="36" t="s">
        <v>48</v>
      </c>
      <c r="K817" s="36" t="s">
        <v>48</v>
      </c>
      <c r="O817" s="36" t="s">
        <v>48</v>
      </c>
      <c r="R817" s="36" t="s">
        <v>48</v>
      </c>
    </row>
    <row r="818">
      <c r="G818" s="36" t="s">
        <v>48</v>
      </c>
      <c r="H818" s="50" t="s">
        <v>48</v>
      </c>
      <c r="I818" s="50" t="s">
        <v>48</v>
      </c>
      <c r="J818" s="36" t="s">
        <v>48</v>
      </c>
      <c r="K818" s="36" t="s">
        <v>48</v>
      </c>
      <c r="O818" s="36" t="s">
        <v>48</v>
      </c>
      <c r="R818" s="36" t="s">
        <v>48</v>
      </c>
    </row>
    <row r="819">
      <c r="G819" s="36" t="s">
        <v>48</v>
      </c>
      <c r="H819" s="50" t="s">
        <v>48</v>
      </c>
      <c r="I819" s="50" t="s">
        <v>48</v>
      </c>
      <c r="J819" s="36" t="s">
        <v>48</v>
      </c>
      <c r="K819" s="36" t="s">
        <v>48</v>
      </c>
      <c r="O819" s="36" t="s">
        <v>48</v>
      </c>
      <c r="R819" s="36" t="s">
        <v>48</v>
      </c>
    </row>
    <row r="820">
      <c r="G820" s="36" t="s">
        <v>48</v>
      </c>
      <c r="H820" s="50" t="s">
        <v>48</v>
      </c>
      <c r="I820" s="50" t="s">
        <v>48</v>
      </c>
      <c r="J820" s="36" t="s">
        <v>48</v>
      </c>
      <c r="K820" s="36" t="s">
        <v>48</v>
      </c>
      <c r="O820" s="36" t="s">
        <v>48</v>
      </c>
      <c r="R820" s="36" t="s">
        <v>48</v>
      </c>
    </row>
    <row r="821">
      <c r="G821" s="36" t="s">
        <v>48</v>
      </c>
      <c r="H821" s="50" t="s">
        <v>48</v>
      </c>
      <c r="I821" s="50" t="s">
        <v>48</v>
      </c>
      <c r="J821" s="36" t="s">
        <v>48</v>
      </c>
      <c r="K821" s="36" t="s">
        <v>48</v>
      </c>
      <c r="O821" s="36" t="s">
        <v>48</v>
      </c>
      <c r="R821" s="36" t="s">
        <v>48</v>
      </c>
    </row>
    <row r="822">
      <c r="G822" s="36" t="s">
        <v>48</v>
      </c>
      <c r="H822" s="50" t="s">
        <v>48</v>
      </c>
      <c r="I822" s="50" t="s">
        <v>48</v>
      </c>
      <c r="J822" s="36" t="s">
        <v>48</v>
      </c>
      <c r="K822" s="36" t="s">
        <v>48</v>
      </c>
      <c r="O822" s="36" t="s">
        <v>48</v>
      </c>
      <c r="R822" s="36" t="s">
        <v>48</v>
      </c>
    </row>
    <row r="823">
      <c r="G823" s="36" t="s">
        <v>48</v>
      </c>
      <c r="H823" s="50" t="s">
        <v>48</v>
      </c>
      <c r="I823" s="50" t="s">
        <v>48</v>
      </c>
      <c r="J823" s="36" t="s">
        <v>48</v>
      </c>
      <c r="K823" s="36" t="s">
        <v>48</v>
      </c>
      <c r="O823" s="36" t="s">
        <v>48</v>
      </c>
      <c r="R823" s="36" t="s">
        <v>48</v>
      </c>
    </row>
    <row r="824">
      <c r="G824" s="36" t="s">
        <v>48</v>
      </c>
      <c r="H824" s="50" t="s">
        <v>48</v>
      </c>
      <c r="I824" s="50" t="s">
        <v>48</v>
      </c>
      <c r="J824" s="36" t="s">
        <v>48</v>
      </c>
      <c r="K824" s="36" t="s">
        <v>48</v>
      </c>
      <c r="O824" s="36" t="s">
        <v>48</v>
      </c>
      <c r="R824" s="36" t="s">
        <v>48</v>
      </c>
    </row>
    <row r="825">
      <c r="G825" s="36" t="s">
        <v>48</v>
      </c>
      <c r="H825" s="50" t="s">
        <v>48</v>
      </c>
      <c r="I825" s="50" t="s">
        <v>48</v>
      </c>
      <c r="J825" s="36" t="s">
        <v>48</v>
      </c>
      <c r="K825" s="36" t="s">
        <v>48</v>
      </c>
      <c r="O825" s="36" t="s">
        <v>48</v>
      </c>
      <c r="R825" s="36" t="s">
        <v>48</v>
      </c>
    </row>
    <row r="826">
      <c r="G826" s="36" t="s">
        <v>48</v>
      </c>
      <c r="H826" s="50" t="s">
        <v>48</v>
      </c>
      <c r="I826" s="50" t="s">
        <v>48</v>
      </c>
      <c r="J826" s="36" t="s">
        <v>48</v>
      </c>
      <c r="K826" s="36" t="s">
        <v>48</v>
      </c>
      <c r="O826" s="36" t="s">
        <v>48</v>
      </c>
      <c r="R826" s="36" t="s">
        <v>48</v>
      </c>
    </row>
    <row r="827">
      <c r="G827" s="36" t="s">
        <v>48</v>
      </c>
      <c r="H827" s="50" t="s">
        <v>48</v>
      </c>
      <c r="I827" s="50" t="s">
        <v>48</v>
      </c>
      <c r="J827" s="36" t="s">
        <v>48</v>
      </c>
      <c r="K827" s="36" t="s">
        <v>48</v>
      </c>
      <c r="O827" s="36" t="s">
        <v>48</v>
      </c>
      <c r="R827" s="36" t="s">
        <v>48</v>
      </c>
    </row>
    <row r="828">
      <c r="G828" s="36" t="s">
        <v>48</v>
      </c>
      <c r="H828" s="50" t="s">
        <v>48</v>
      </c>
      <c r="I828" s="50" t="s">
        <v>48</v>
      </c>
      <c r="J828" s="36" t="s">
        <v>48</v>
      </c>
      <c r="K828" s="36" t="s">
        <v>48</v>
      </c>
      <c r="O828" s="36" t="s">
        <v>48</v>
      </c>
      <c r="R828" s="36" t="s">
        <v>48</v>
      </c>
    </row>
    <row r="829">
      <c r="G829" s="36" t="s">
        <v>48</v>
      </c>
      <c r="H829" s="50" t="s">
        <v>48</v>
      </c>
      <c r="I829" s="50" t="s">
        <v>48</v>
      </c>
      <c r="J829" s="36" t="s">
        <v>48</v>
      </c>
      <c r="K829" s="36" t="s">
        <v>48</v>
      </c>
      <c r="O829" s="36" t="s">
        <v>48</v>
      </c>
      <c r="R829" s="36" t="s">
        <v>48</v>
      </c>
    </row>
    <row r="830">
      <c r="G830" s="36" t="s">
        <v>48</v>
      </c>
      <c r="H830" s="50" t="s">
        <v>48</v>
      </c>
      <c r="I830" s="50" t="s">
        <v>48</v>
      </c>
      <c r="J830" s="36" t="s">
        <v>48</v>
      </c>
      <c r="K830" s="36" t="s">
        <v>48</v>
      </c>
      <c r="O830" s="36" t="s">
        <v>48</v>
      </c>
      <c r="R830" s="36" t="s">
        <v>48</v>
      </c>
    </row>
    <row r="831">
      <c r="G831" s="36" t="s">
        <v>48</v>
      </c>
      <c r="H831" s="50" t="s">
        <v>48</v>
      </c>
      <c r="I831" s="50" t="s">
        <v>48</v>
      </c>
      <c r="J831" s="36" t="s">
        <v>48</v>
      </c>
      <c r="K831" s="36" t="s">
        <v>48</v>
      </c>
      <c r="O831" s="36" t="s">
        <v>48</v>
      </c>
      <c r="R831" s="36" t="s">
        <v>48</v>
      </c>
    </row>
    <row r="832">
      <c r="G832" s="36" t="s">
        <v>48</v>
      </c>
      <c r="H832" s="50" t="s">
        <v>48</v>
      </c>
      <c r="I832" s="50" t="s">
        <v>48</v>
      </c>
      <c r="J832" s="36" t="s">
        <v>48</v>
      </c>
      <c r="K832" s="36" t="s">
        <v>48</v>
      </c>
      <c r="O832" s="36" t="s">
        <v>48</v>
      </c>
      <c r="R832" s="36" t="s">
        <v>48</v>
      </c>
    </row>
    <row r="833">
      <c r="G833" s="36" t="s">
        <v>48</v>
      </c>
      <c r="H833" s="50" t="s">
        <v>48</v>
      </c>
      <c r="I833" s="50" t="s">
        <v>48</v>
      </c>
      <c r="J833" s="36" t="s">
        <v>48</v>
      </c>
      <c r="K833" s="36" t="s">
        <v>48</v>
      </c>
      <c r="O833" s="36" t="s">
        <v>48</v>
      </c>
      <c r="R833" s="36" t="s">
        <v>48</v>
      </c>
    </row>
    <row r="834">
      <c r="G834" s="36" t="s">
        <v>48</v>
      </c>
      <c r="H834" s="50" t="s">
        <v>48</v>
      </c>
      <c r="I834" s="50" t="s">
        <v>48</v>
      </c>
      <c r="J834" s="36" t="s">
        <v>48</v>
      </c>
      <c r="K834" s="36" t="s">
        <v>48</v>
      </c>
      <c r="O834" s="36" t="s">
        <v>48</v>
      </c>
      <c r="R834" s="36" t="s">
        <v>48</v>
      </c>
    </row>
    <row r="835">
      <c r="G835" s="36" t="s">
        <v>48</v>
      </c>
      <c r="H835" s="50" t="s">
        <v>48</v>
      </c>
      <c r="I835" s="50" t="s">
        <v>48</v>
      </c>
      <c r="J835" s="36" t="s">
        <v>48</v>
      </c>
      <c r="K835" s="36" t="s">
        <v>48</v>
      </c>
      <c r="O835" s="36" t="s">
        <v>48</v>
      </c>
      <c r="R835" s="36" t="s">
        <v>48</v>
      </c>
    </row>
    <row r="836">
      <c r="G836" s="36" t="s">
        <v>48</v>
      </c>
      <c r="H836" s="50" t="s">
        <v>48</v>
      </c>
      <c r="I836" s="50" t="s">
        <v>48</v>
      </c>
      <c r="J836" s="36" t="s">
        <v>48</v>
      </c>
      <c r="K836" s="36" t="s">
        <v>48</v>
      </c>
      <c r="O836" s="36" t="s">
        <v>48</v>
      </c>
      <c r="R836" s="36" t="s">
        <v>48</v>
      </c>
    </row>
    <row r="837">
      <c r="G837" s="36" t="s">
        <v>48</v>
      </c>
      <c r="H837" s="50" t="s">
        <v>48</v>
      </c>
      <c r="I837" s="50" t="s">
        <v>48</v>
      </c>
      <c r="J837" s="36" t="s">
        <v>48</v>
      </c>
      <c r="K837" s="36" t="s">
        <v>48</v>
      </c>
      <c r="O837" s="36" t="s">
        <v>48</v>
      </c>
      <c r="R837" s="36" t="s">
        <v>48</v>
      </c>
    </row>
    <row r="838">
      <c r="G838" s="36" t="s">
        <v>48</v>
      </c>
      <c r="H838" s="50" t="s">
        <v>48</v>
      </c>
      <c r="I838" s="50" t="s">
        <v>48</v>
      </c>
      <c r="J838" s="36" t="s">
        <v>48</v>
      </c>
      <c r="K838" s="36" t="s">
        <v>48</v>
      </c>
      <c r="O838" s="36" t="s">
        <v>48</v>
      </c>
      <c r="R838" s="36" t="s">
        <v>48</v>
      </c>
    </row>
    <row r="839">
      <c r="G839" s="36" t="s">
        <v>48</v>
      </c>
      <c r="H839" s="50" t="s">
        <v>48</v>
      </c>
      <c r="I839" s="50" t="s">
        <v>48</v>
      </c>
      <c r="J839" s="36" t="s">
        <v>48</v>
      </c>
      <c r="K839" s="36" t="s">
        <v>48</v>
      </c>
      <c r="O839" s="36" t="s">
        <v>48</v>
      </c>
      <c r="R839" s="36" t="s">
        <v>48</v>
      </c>
    </row>
    <row r="840">
      <c r="G840" s="36" t="s">
        <v>48</v>
      </c>
      <c r="H840" s="50" t="s">
        <v>48</v>
      </c>
      <c r="I840" s="50" t="s">
        <v>48</v>
      </c>
      <c r="J840" s="36" t="s">
        <v>48</v>
      </c>
      <c r="K840" s="36" t="s">
        <v>48</v>
      </c>
      <c r="O840" s="36" t="s">
        <v>48</v>
      </c>
      <c r="R840" s="36" t="s">
        <v>48</v>
      </c>
    </row>
    <row r="841">
      <c r="G841" s="36" t="s">
        <v>48</v>
      </c>
      <c r="H841" s="50" t="s">
        <v>48</v>
      </c>
      <c r="I841" s="50" t="s">
        <v>48</v>
      </c>
      <c r="J841" s="36" t="s">
        <v>48</v>
      </c>
      <c r="K841" s="36" t="s">
        <v>48</v>
      </c>
      <c r="O841" s="36" t="s">
        <v>48</v>
      </c>
      <c r="R841" s="36" t="s">
        <v>48</v>
      </c>
    </row>
    <row r="842">
      <c r="G842" s="36" t="s">
        <v>48</v>
      </c>
      <c r="H842" s="50" t="s">
        <v>48</v>
      </c>
      <c r="I842" s="50" t="s">
        <v>48</v>
      </c>
      <c r="J842" s="36" t="s">
        <v>48</v>
      </c>
      <c r="K842" s="36" t="s">
        <v>48</v>
      </c>
      <c r="O842" s="36" t="s">
        <v>48</v>
      </c>
      <c r="R842" s="36" t="s">
        <v>48</v>
      </c>
    </row>
    <row r="843">
      <c r="G843" s="36" t="s">
        <v>48</v>
      </c>
      <c r="H843" s="50" t="s">
        <v>48</v>
      </c>
      <c r="I843" s="50" t="s">
        <v>48</v>
      </c>
      <c r="J843" s="36" t="s">
        <v>48</v>
      </c>
      <c r="K843" s="36" t="s">
        <v>48</v>
      </c>
      <c r="O843" s="36" t="s">
        <v>48</v>
      </c>
      <c r="R843" s="36" t="s">
        <v>48</v>
      </c>
    </row>
    <row r="844">
      <c r="G844" s="36" t="s">
        <v>48</v>
      </c>
      <c r="H844" s="50" t="s">
        <v>48</v>
      </c>
      <c r="I844" s="50" t="s">
        <v>48</v>
      </c>
      <c r="J844" s="36" t="s">
        <v>48</v>
      </c>
      <c r="K844" s="36" t="s">
        <v>48</v>
      </c>
      <c r="O844" s="36" t="s">
        <v>48</v>
      </c>
      <c r="R844" s="36" t="s">
        <v>48</v>
      </c>
    </row>
    <row r="845">
      <c r="G845" s="36" t="s">
        <v>48</v>
      </c>
      <c r="H845" s="50" t="s">
        <v>48</v>
      </c>
      <c r="I845" s="50" t="s">
        <v>48</v>
      </c>
      <c r="J845" s="36" t="s">
        <v>48</v>
      </c>
      <c r="K845" s="36" t="s">
        <v>48</v>
      </c>
      <c r="O845" s="36" t="s">
        <v>48</v>
      </c>
      <c r="R845" s="36" t="s">
        <v>48</v>
      </c>
    </row>
    <row r="846">
      <c r="G846" s="36" t="s">
        <v>48</v>
      </c>
      <c r="H846" s="50" t="s">
        <v>48</v>
      </c>
      <c r="I846" s="50" t="s">
        <v>48</v>
      </c>
      <c r="J846" s="36" t="s">
        <v>48</v>
      </c>
      <c r="K846" s="36" t="s">
        <v>48</v>
      </c>
      <c r="O846" s="36" t="s">
        <v>48</v>
      </c>
      <c r="R846" s="36" t="s">
        <v>48</v>
      </c>
    </row>
    <row r="847">
      <c r="G847" s="36" t="s">
        <v>48</v>
      </c>
      <c r="H847" s="50" t="s">
        <v>48</v>
      </c>
      <c r="I847" s="50" t="s">
        <v>48</v>
      </c>
      <c r="J847" s="36" t="s">
        <v>48</v>
      </c>
      <c r="K847" s="36" t="s">
        <v>48</v>
      </c>
      <c r="O847" s="36" t="s">
        <v>48</v>
      </c>
      <c r="R847" s="36" t="s">
        <v>48</v>
      </c>
    </row>
    <row r="848">
      <c r="G848" s="36" t="s">
        <v>48</v>
      </c>
      <c r="H848" s="50" t="s">
        <v>48</v>
      </c>
      <c r="I848" s="50" t="s">
        <v>48</v>
      </c>
      <c r="J848" s="36" t="s">
        <v>48</v>
      </c>
      <c r="K848" s="36" t="s">
        <v>48</v>
      </c>
      <c r="O848" s="36" t="s">
        <v>48</v>
      </c>
      <c r="R848" s="36" t="s">
        <v>48</v>
      </c>
    </row>
    <row r="849">
      <c r="G849" s="36" t="s">
        <v>48</v>
      </c>
      <c r="H849" s="50" t="s">
        <v>48</v>
      </c>
      <c r="I849" s="50" t="s">
        <v>48</v>
      </c>
      <c r="J849" s="36" t="s">
        <v>48</v>
      </c>
      <c r="K849" s="36" t="s">
        <v>48</v>
      </c>
      <c r="O849" s="36" t="s">
        <v>48</v>
      </c>
      <c r="R849" s="36" t="s">
        <v>48</v>
      </c>
    </row>
    <row r="850">
      <c r="G850" s="36" t="s">
        <v>48</v>
      </c>
      <c r="H850" s="50" t="s">
        <v>48</v>
      </c>
      <c r="I850" s="50" t="s">
        <v>48</v>
      </c>
      <c r="J850" s="36" t="s">
        <v>48</v>
      </c>
      <c r="K850" s="36" t="s">
        <v>48</v>
      </c>
      <c r="O850" s="36" t="s">
        <v>48</v>
      </c>
      <c r="R850" s="36" t="s">
        <v>48</v>
      </c>
    </row>
    <row r="851">
      <c r="G851" s="36" t="s">
        <v>48</v>
      </c>
      <c r="H851" s="50" t="s">
        <v>48</v>
      </c>
      <c r="I851" s="50" t="s">
        <v>48</v>
      </c>
      <c r="J851" s="36" t="s">
        <v>48</v>
      </c>
      <c r="K851" s="36" t="s">
        <v>48</v>
      </c>
      <c r="O851" s="36" t="s">
        <v>48</v>
      </c>
      <c r="R851" s="36" t="s">
        <v>48</v>
      </c>
    </row>
    <row r="852">
      <c r="G852" s="36" t="s">
        <v>48</v>
      </c>
      <c r="H852" s="50" t="s">
        <v>48</v>
      </c>
      <c r="I852" s="50" t="s">
        <v>48</v>
      </c>
      <c r="J852" s="36" t="s">
        <v>48</v>
      </c>
      <c r="K852" s="36" t="s">
        <v>48</v>
      </c>
      <c r="O852" s="36" t="s">
        <v>48</v>
      </c>
      <c r="R852" s="36" t="s">
        <v>48</v>
      </c>
    </row>
    <row r="853">
      <c r="G853" s="36" t="s">
        <v>48</v>
      </c>
      <c r="H853" s="50" t="s">
        <v>48</v>
      </c>
      <c r="I853" s="50" t="s">
        <v>48</v>
      </c>
      <c r="J853" s="36" t="s">
        <v>48</v>
      </c>
      <c r="K853" s="36" t="s">
        <v>48</v>
      </c>
      <c r="O853" s="36" t="s">
        <v>48</v>
      </c>
      <c r="R853" s="36" t="s">
        <v>48</v>
      </c>
    </row>
    <row r="854">
      <c r="G854" s="36" t="s">
        <v>48</v>
      </c>
      <c r="H854" s="50" t="s">
        <v>48</v>
      </c>
      <c r="I854" s="50" t="s">
        <v>48</v>
      </c>
      <c r="J854" s="36" t="s">
        <v>48</v>
      </c>
      <c r="K854" s="36" t="s">
        <v>48</v>
      </c>
      <c r="O854" s="36" t="s">
        <v>48</v>
      </c>
      <c r="R854" s="36" t="s">
        <v>48</v>
      </c>
    </row>
    <row r="855">
      <c r="G855" s="36" t="s">
        <v>48</v>
      </c>
      <c r="H855" s="50" t="s">
        <v>48</v>
      </c>
      <c r="I855" s="50" t="s">
        <v>48</v>
      </c>
      <c r="J855" s="36" t="s">
        <v>48</v>
      </c>
      <c r="K855" s="36" t="s">
        <v>48</v>
      </c>
      <c r="O855" s="36" t="s">
        <v>48</v>
      </c>
      <c r="R855" s="36" t="s">
        <v>48</v>
      </c>
    </row>
    <row r="856">
      <c r="G856" s="36" t="s">
        <v>48</v>
      </c>
      <c r="H856" s="50" t="s">
        <v>48</v>
      </c>
      <c r="I856" s="50" t="s">
        <v>48</v>
      </c>
      <c r="J856" s="36" t="s">
        <v>48</v>
      </c>
      <c r="K856" s="36" t="s">
        <v>48</v>
      </c>
      <c r="O856" s="36" t="s">
        <v>48</v>
      </c>
      <c r="R856" s="36" t="s">
        <v>48</v>
      </c>
    </row>
    <row r="857">
      <c r="G857" s="36" t="s">
        <v>48</v>
      </c>
      <c r="H857" s="50" t="s">
        <v>48</v>
      </c>
      <c r="I857" s="50" t="s">
        <v>48</v>
      </c>
      <c r="J857" s="36" t="s">
        <v>48</v>
      </c>
      <c r="K857" s="36" t="s">
        <v>48</v>
      </c>
      <c r="O857" s="36" t="s">
        <v>48</v>
      </c>
      <c r="R857" s="36" t="s">
        <v>48</v>
      </c>
    </row>
    <row r="858">
      <c r="G858" s="36" t="s">
        <v>48</v>
      </c>
      <c r="H858" s="50" t="s">
        <v>48</v>
      </c>
      <c r="I858" s="50" t="s">
        <v>48</v>
      </c>
      <c r="J858" s="36" t="s">
        <v>48</v>
      </c>
      <c r="K858" s="36" t="s">
        <v>48</v>
      </c>
      <c r="O858" s="36" t="s">
        <v>48</v>
      </c>
      <c r="R858" s="36" t="s">
        <v>48</v>
      </c>
    </row>
    <row r="859">
      <c r="G859" s="36" t="s">
        <v>48</v>
      </c>
      <c r="H859" s="50" t="s">
        <v>48</v>
      </c>
      <c r="I859" s="50" t="s">
        <v>48</v>
      </c>
      <c r="J859" s="36" t="s">
        <v>48</v>
      </c>
      <c r="K859" s="36" t="s">
        <v>48</v>
      </c>
      <c r="O859" s="36" t="s">
        <v>48</v>
      </c>
      <c r="R859" s="36" t="s">
        <v>48</v>
      </c>
    </row>
    <row r="860">
      <c r="G860" s="36" t="s">
        <v>48</v>
      </c>
      <c r="H860" s="50" t="s">
        <v>48</v>
      </c>
      <c r="I860" s="50" t="s">
        <v>48</v>
      </c>
      <c r="J860" s="36" t="s">
        <v>48</v>
      </c>
      <c r="K860" s="36" t="s">
        <v>48</v>
      </c>
      <c r="O860" s="36" t="s">
        <v>48</v>
      </c>
      <c r="R860" s="36" t="s">
        <v>48</v>
      </c>
    </row>
    <row r="861">
      <c r="G861" s="36" t="s">
        <v>48</v>
      </c>
      <c r="H861" s="50" t="s">
        <v>48</v>
      </c>
      <c r="I861" s="50" t="s">
        <v>48</v>
      </c>
      <c r="J861" s="36" t="s">
        <v>48</v>
      </c>
      <c r="K861" s="36" t="s">
        <v>48</v>
      </c>
      <c r="O861" s="36" t="s">
        <v>48</v>
      </c>
      <c r="R861" s="36" t="s">
        <v>48</v>
      </c>
    </row>
    <row r="862">
      <c r="G862" s="36" t="s">
        <v>48</v>
      </c>
      <c r="H862" s="50" t="s">
        <v>48</v>
      </c>
      <c r="I862" s="50" t="s">
        <v>48</v>
      </c>
      <c r="J862" s="36" t="s">
        <v>48</v>
      </c>
      <c r="K862" s="36" t="s">
        <v>48</v>
      </c>
      <c r="O862" s="36" t="s">
        <v>48</v>
      </c>
      <c r="R862" s="36" t="s">
        <v>48</v>
      </c>
    </row>
    <row r="863">
      <c r="G863" s="36" t="s">
        <v>48</v>
      </c>
      <c r="H863" s="50" t="s">
        <v>48</v>
      </c>
      <c r="I863" s="50" t="s">
        <v>48</v>
      </c>
      <c r="J863" s="36" t="s">
        <v>48</v>
      </c>
      <c r="K863" s="36" t="s">
        <v>48</v>
      </c>
      <c r="O863" s="36" t="s">
        <v>48</v>
      </c>
      <c r="R863" s="36" t="s">
        <v>48</v>
      </c>
    </row>
    <row r="864">
      <c r="G864" s="36" t="s">
        <v>48</v>
      </c>
      <c r="H864" s="50" t="s">
        <v>48</v>
      </c>
      <c r="I864" s="50" t="s">
        <v>48</v>
      </c>
      <c r="J864" s="36" t="s">
        <v>48</v>
      </c>
      <c r="K864" s="36" t="s">
        <v>48</v>
      </c>
      <c r="O864" s="36" t="s">
        <v>48</v>
      </c>
      <c r="R864" s="36" t="s">
        <v>48</v>
      </c>
    </row>
    <row r="865">
      <c r="G865" s="36" t="s">
        <v>48</v>
      </c>
      <c r="H865" s="50" t="s">
        <v>48</v>
      </c>
      <c r="I865" s="50" t="s">
        <v>48</v>
      </c>
      <c r="J865" s="36" t="s">
        <v>48</v>
      </c>
      <c r="K865" s="36" t="s">
        <v>48</v>
      </c>
      <c r="O865" s="36" t="s">
        <v>48</v>
      </c>
      <c r="R865" s="36" t="s">
        <v>48</v>
      </c>
    </row>
    <row r="866">
      <c r="G866" s="36" t="s">
        <v>48</v>
      </c>
      <c r="H866" s="50" t="s">
        <v>48</v>
      </c>
      <c r="I866" s="50" t="s">
        <v>48</v>
      </c>
      <c r="J866" s="36" t="s">
        <v>48</v>
      </c>
      <c r="K866" s="36" t="s">
        <v>48</v>
      </c>
      <c r="O866" s="36" t="s">
        <v>48</v>
      </c>
      <c r="R866" s="36" t="s">
        <v>48</v>
      </c>
    </row>
    <row r="867">
      <c r="G867" s="36" t="s">
        <v>48</v>
      </c>
      <c r="H867" s="50" t="s">
        <v>48</v>
      </c>
      <c r="I867" s="50" t="s">
        <v>48</v>
      </c>
      <c r="J867" s="36" t="s">
        <v>48</v>
      </c>
      <c r="K867" s="36" t="s">
        <v>48</v>
      </c>
      <c r="O867" s="36" t="s">
        <v>48</v>
      </c>
      <c r="R867" s="36" t="s">
        <v>48</v>
      </c>
    </row>
    <row r="868">
      <c r="G868" s="36" t="s">
        <v>48</v>
      </c>
      <c r="H868" s="50" t="s">
        <v>48</v>
      </c>
      <c r="I868" s="50" t="s">
        <v>48</v>
      </c>
      <c r="J868" s="36" t="s">
        <v>48</v>
      </c>
      <c r="K868" s="36" t="s">
        <v>48</v>
      </c>
      <c r="O868" s="36" t="s">
        <v>48</v>
      </c>
      <c r="R868" s="36" t="s">
        <v>48</v>
      </c>
    </row>
    <row r="869">
      <c r="G869" s="36" t="s">
        <v>48</v>
      </c>
      <c r="H869" s="50" t="s">
        <v>48</v>
      </c>
      <c r="I869" s="50" t="s">
        <v>48</v>
      </c>
      <c r="J869" s="36" t="s">
        <v>48</v>
      </c>
      <c r="K869" s="36" t="s">
        <v>48</v>
      </c>
      <c r="O869" s="36" t="s">
        <v>48</v>
      </c>
      <c r="R869" s="36" t="s">
        <v>48</v>
      </c>
    </row>
    <row r="870">
      <c r="G870" s="36" t="s">
        <v>48</v>
      </c>
      <c r="H870" s="50" t="s">
        <v>48</v>
      </c>
      <c r="I870" s="50" t="s">
        <v>48</v>
      </c>
      <c r="J870" s="36" t="s">
        <v>48</v>
      </c>
      <c r="K870" s="36" t="s">
        <v>48</v>
      </c>
      <c r="O870" s="36" t="s">
        <v>48</v>
      </c>
      <c r="R870" s="36" t="s">
        <v>48</v>
      </c>
    </row>
    <row r="871">
      <c r="G871" s="36" t="s">
        <v>48</v>
      </c>
      <c r="H871" s="50" t="s">
        <v>48</v>
      </c>
      <c r="I871" s="50" t="s">
        <v>48</v>
      </c>
      <c r="J871" s="36" t="s">
        <v>48</v>
      </c>
      <c r="K871" s="36" t="s">
        <v>48</v>
      </c>
      <c r="O871" s="36" t="s">
        <v>48</v>
      </c>
      <c r="R871" s="36" t="s">
        <v>48</v>
      </c>
    </row>
    <row r="872">
      <c r="G872" s="36" t="s">
        <v>48</v>
      </c>
      <c r="H872" s="50" t="s">
        <v>48</v>
      </c>
      <c r="I872" s="50" t="s">
        <v>48</v>
      </c>
      <c r="J872" s="36" t="s">
        <v>48</v>
      </c>
      <c r="K872" s="36" t="s">
        <v>48</v>
      </c>
      <c r="O872" s="36" t="s">
        <v>48</v>
      </c>
      <c r="R872" s="36" t="s">
        <v>48</v>
      </c>
    </row>
    <row r="873">
      <c r="G873" s="36" t="s">
        <v>48</v>
      </c>
      <c r="H873" s="50" t="s">
        <v>48</v>
      </c>
      <c r="I873" s="50" t="s">
        <v>48</v>
      </c>
      <c r="J873" s="36" t="s">
        <v>48</v>
      </c>
      <c r="K873" s="36" t="s">
        <v>48</v>
      </c>
      <c r="O873" s="36" t="s">
        <v>48</v>
      </c>
      <c r="R873" s="36" t="s">
        <v>48</v>
      </c>
    </row>
    <row r="874">
      <c r="G874" s="36" t="s">
        <v>48</v>
      </c>
      <c r="H874" s="50" t="s">
        <v>48</v>
      </c>
      <c r="I874" s="50" t="s">
        <v>48</v>
      </c>
      <c r="J874" s="36" t="s">
        <v>48</v>
      </c>
      <c r="K874" s="36" t="s">
        <v>48</v>
      </c>
      <c r="O874" s="36" t="s">
        <v>48</v>
      </c>
      <c r="R874" s="36" t="s">
        <v>48</v>
      </c>
    </row>
    <row r="875">
      <c r="G875" s="36" t="s">
        <v>48</v>
      </c>
      <c r="H875" s="50" t="s">
        <v>48</v>
      </c>
      <c r="I875" s="50" t="s">
        <v>48</v>
      </c>
      <c r="J875" s="36" t="s">
        <v>48</v>
      </c>
      <c r="K875" s="36" t="s">
        <v>48</v>
      </c>
      <c r="O875" s="36" t="s">
        <v>48</v>
      </c>
      <c r="R875" s="36" t="s">
        <v>48</v>
      </c>
    </row>
    <row r="876">
      <c r="G876" s="36" t="s">
        <v>48</v>
      </c>
      <c r="H876" s="50" t="s">
        <v>48</v>
      </c>
      <c r="I876" s="50" t="s">
        <v>48</v>
      </c>
      <c r="J876" s="36" t="s">
        <v>48</v>
      </c>
      <c r="K876" s="36" t="s">
        <v>48</v>
      </c>
      <c r="O876" s="36" t="s">
        <v>48</v>
      </c>
      <c r="R876" s="36" t="s">
        <v>48</v>
      </c>
    </row>
    <row r="877">
      <c r="G877" s="36" t="s">
        <v>48</v>
      </c>
      <c r="H877" s="50" t="s">
        <v>48</v>
      </c>
      <c r="I877" s="50" t="s">
        <v>48</v>
      </c>
      <c r="J877" s="36" t="s">
        <v>48</v>
      </c>
      <c r="K877" s="36" t="s">
        <v>48</v>
      </c>
      <c r="O877" s="36" t="s">
        <v>48</v>
      </c>
      <c r="R877" s="36" t="s">
        <v>48</v>
      </c>
    </row>
    <row r="878">
      <c r="G878" s="36" t="s">
        <v>48</v>
      </c>
      <c r="H878" s="50" t="s">
        <v>48</v>
      </c>
      <c r="I878" s="50" t="s">
        <v>48</v>
      </c>
      <c r="J878" s="36" t="s">
        <v>48</v>
      </c>
      <c r="K878" s="36" t="s">
        <v>48</v>
      </c>
      <c r="O878" s="36" t="s">
        <v>48</v>
      </c>
      <c r="R878" s="36" t="s">
        <v>48</v>
      </c>
    </row>
    <row r="879">
      <c r="G879" s="36" t="s">
        <v>48</v>
      </c>
      <c r="H879" s="50" t="s">
        <v>48</v>
      </c>
      <c r="I879" s="50" t="s">
        <v>48</v>
      </c>
      <c r="J879" s="36" t="s">
        <v>48</v>
      </c>
      <c r="K879" s="36" t="s">
        <v>48</v>
      </c>
      <c r="O879" s="36" t="s">
        <v>48</v>
      </c>
      <c r="R879" s="36" t="s">
        <v>48</v>
      </c>
    </row>
    <row r="880">
      <c r="G880" s="36" t="s">
        <v>48</v>
      </c>
      <c r="H880" s="50" t="s">
        <v>48</v>
      </c>
      <c r="I880" s="50" t="s">
        <v>48</v>
      </c>
      <c r="J880" s="36" t="s">
        <v>48</v>
      </c>
      <c r="K880" s="36" t="s">
        <v>48</v>
      </c>
      <c r="O880" s="36" t="s">
        <v>48</v>
      </c>
      <c r="R880" s="36" t="s">
        <v>48</v>
      </c>
    </row>
    <row r="881">
      <c r="G881" s="36" t="s">
        <v>48</v>
      </c>
      <c r="H881" s="50" t="s">
        <v>48</v>
      </c>
      <c r="I881" s="50" t="s">
        <v>48</v>
      </c>
      <c r="J881" s="36" t="s">
        <v>48</v>
      </c>
      <c r="K881" s="36" t="s">
        <v>48</v>
      </c>
      <c r="O881" s="36" t="s">
        <v>48</v>
      </c>
      <c r="R881" s="36" t="s">
        <v>48</v>
      </c>
    </row>
    <row r="882">
      <c r="G882" s="36" t="s">
        <v>48</v>
      </c>
      <c r="H882" s="50" t="s">
        <v>48</v>
      </c>
      <c r="I882" s="50" t="s">
        <v>48</v>
      </c>
      <c r="J882" s="36" t="s">
        <v>48</v>
      </c>
      <c r="K882" s="36" t="s">
        <v>48</v>
      </c>
      <c r="O882" s="36" t="s">
        <v>48</v>
      </c>
      <c r="R882" s="36" t="s">
        <v>48</v>
      </c>
    </row>
    <row r="883">
      <c r="G883" s="36" t="s">
        <v>48</v>
      </c>
      <c r="H883" s="50" t="s">
        <v>48</v>
      </c>
      <c r="I883" s="50" t="s">
        <v>48</v>
      </c>
      <c r="J883" s="36" t="s">
        <v>48</v>
      </c>
      <c r="K883" s="36" t="s">
        <v>48</v>
      </c>
      <c r="O883" s="36" t="s">
        <v>48</v>
      </c>
      <c r="R883" s="36" t="s">
        <v>48</v>
      </c>
    </row>
    <row r="884">
      <c r="G884" s="36" t="s">
        <v>48</v>
      </c>
      <c r="H884" s="50" t="s">
        <v>48</v>
      </c>
      <c r="I884" s="50" t="s">
        <v>48</v>
      </c>
      <c r="J884" s="36" t="s">
        <v>48</v>
      </c>
      <c r="K884" s="36" t="s">
        <v>48</v>
      </c>
      <c r="O884" s="36" t="s">
        <v>48</v>
      </c>
      <c r="R884" s="36" t="s">
        <v>48</v>
      </c>
    </row>
    <row r="885">
      <c r="G885" s="36" t="s">
        <v>48</v>
      </c>
      <c r="H885" s="50" t="s">
        <v>48</v>
      </c>
      <c r="I885" s="50" t="s">
        <v>48</v>
      </c>
      <c r="J885" s="36" t="s">
        <v>48</v>
      </c>
      <c r="K885" s="36" t="s">
        <v>48</v>
      </c>
      <c r="O885" s="36" t="s">
        <v>48</v>
      </c>
      <c r="R885" s="36" t="s">
        <v>48</v>
      </c>
    </row>
    <row r="886">
      <c r="G886" s="36" t="s">
        <v>48</v>
      </c>
      <c r="H886" s="50" t="s">
        <v>48</v>
      </c>
      <c r="I886" s="50" t="s">
        <v>48</v>
      </c>
      <c r="J886" s="36" t="s">
        <v>48</v>
      </c>
      <c r="K886" s="36" t="s">
        <v>48</v>
      </c>
      <c r="O886" s="36" t="s">
        <v>48</v>
      </c>
      <c r="R886" s="36" t="s">
        <v>48</v>
      </c>
    </row>
    <row r="887">
      <c r="G887" s="36" t="s">
        <v>48</v>
      </c>
      <c r="H887" s="50" t="s">
        <v>48</v>
      </c>
      <c r="I887" s="50" t="s">
        <v>48</v>
      </c>
      <c r="J887" s="36" t="s">
        <v>48</v>
      </c>
      <c r="K887" s="36" t="s">
        <v>48</v>
      </c>
      <c r="O887" s="36" t="s">
        <v>48</v>
      </c>
      <c r="R887" s="36" t="s">
        <v>48</v>
      </c>
    </row>
    <row r="888">
      <c r="G888" s="36" t="s">
        <v>48</v>
      </c>
      <c r="H888" s="50" t="s">
        <v>48</v>
      </c>
      <c r="I888" s="50" t="s">
        <v>48</v>
      </c>
      <c r="J888" s="36" t="s">
        <v>48</v>
      </c>
      <c r="K888" s="36" t="s">
        <v>48</v>
      </c>
      <c r="O888" s="36" t="s">
        <v>48</v>
      </c>
      <c r="R888" s="36" t="s">
        <v>48</v>
      </c>
    </row>
    <row r="889">
      <c r="G889" s="36" t="s">
        <v>48</v>
      </c>
      <c r="H889" s="50" t="s">
        <v>48</v>
      </c>
      <c r="I889" s="50" t="s">
        <v>48</v>
      </c>
      <c r="J889" s="36" t="s">
        <v>48</v>
      </c>
      <c r="K889" s="36" t="s">
        <v>48</v>
      </c>
      <c r="O889" s="36" t="s">
        <v>48</v>
      </c>
      <c r="R889" s="36" t="s">
        <v>48</v>
      </c>
    </row>
    <row r="890">
      <c r="G890" s="36" t="s">
        <v>48</v>
      </c>
      <c r="H890" s="50" t="s">
        <v>48</v>
      </c>
      <c r="I890" s="50" t="s">
        <v>48</v>
      </c>
      <c r="J890" s="36" t="s">
        <v>48</v>
      </c>
      <c r="K890" s="36" t="s">
        <v>48</v>
      </c>
      <c r="O890" s="36" t="s">
        <v>48</v>
      </c>
      <c r="R890" s="36" t="s">
        <v>48</v>
      </c>
    </row>
    <row r="891">
      <c r="G891" s="36" t="s">
        <v>48</v>
      </c>
      <c r="H891" s="50" t="s">
        <v>48</v>
      </c>
      <c r="I891" s="50" t="s">
        <v>48</v>
      </c>
      <c r="J891" s="36" t="s">
        <v>48</v>
      </c>
      <c r="K891" s="36" t="s">
        <v>48</v>
      </c>
      <c r="O891" s="36" t="s">
        <v>48</v>
      </c>
      <c r="R891" s="36" t="s">
        <v>48</v>
      </c>
    </row>
    <row r="892">
      <c r="G892" s="36" t="s">
        <v>48</v>
      </c>
      <c r="H892" s="50" t="s">
        <v>48</v>
      </c>
      <c r="I892" s="50" t="s">
        <v>48</v>
      </c>
      <c r="J892" s="36" t="s">
        <v>48</v>
      </c>
      <c r="K892" s="36" t="s">
        <v>48</v>
      </c>
      <c r="O892" s="36" t="s">
        <v>48</v>
      </c>
      <c r="R892" s="36" t="s">
        <v>48</v>
      </c>
    </row>
    <row r="893">
      <c r="G893" s="36" t="s">
        <v>48</v>
      </c>
      <c r="H893" s="50" t="s">
        <v>48</v>
      </c>
      <c r="I893" s="50" t="s">
        <v>48</v>
      </c>
      <c r="J893" s="36" t="s">
        <v>48</v>
      </c>
      <c r="K893" s="36" t="s">
        <v>48</v>
      </c>
      <c r="O893" s="36" t="s">
        <v>48</v>
      </c>
      <c r="R893" s="36" t="s">
        <v>48</v>
      </c>
    </row>
    <row r="894">
      <c r="G894" s="36" t="s">
        <v>48</v>
      </c>
      <c r="H894" s="50" t="s">
        <v>48</v>
      </c>
      <c r="I894" s="50" t="s">
        <v>48</v>
      </c>
      <c r="J894" s="36" t="s">
        <v>48</v>
      </c>
      <c r="K894" s="36" t="s">
        <v>48</v>
      </c>
      <c r="O894" s="36" t="s">
        <v>48</v>
      </c>
      <c r="R894" s="36" t="s">
        <v>48</v>
      </c>
    </row>
    <row r="895">
      <c r="G895" s="36" t="s">
        <v>48</v>
      </c>
      <c r="H895" s="50" t="s">
        <v>48</v>
      </c>
      <c r="I895" s="50" t="s">
        <v>48</v>
      </c>
      <c r="J895" s="36" t="s">
        <v>48</v>
      </c>
      <c r="K895" s="36" t="s">
        <v>48</v>
      </c>
      <c r="O895" s="36" t="s">
        <v>48</v>
      </c>
      <c r="R895" s="36" t="s">
        <v>48</v>
      </c>
    </row>
    <row r="896">
      <c r="G896" s="36" t="s">
        <v>48</v>
      </c>
      <c r="H896" s="50" t="s">
        <v>48</v>
      </c>
      <c r="I896" s="50" t="s">
        <v>48</v>
      </c>
      <c r="J896" s="36" t="s">
        <v>48</v>
      </c>
      <c r="K896" s="36" t="s">
        <v>48</v>
      </c>
      <c r="O896" s="36" t="s">
        <v>48</v>
      </c>
      <c r="R896" s="36" t="s">
        <v>48</v>
      </c>
    </row>
    <row r="897">
      <c r="G897" s="36" t="s">
        <v>48</v>
      </c>
      <c r="H897" s="50" t="s">
        <v>48</v>
      </c>
      <c r="I897" s="50" t="s">
        <v>48</v>
      </c>
      <c r="J897" s="36" t="s">
        <v>48</v>
      </c>
      <c r="K897" s="36" t="s">
        <v>48</v>
      </c>
      <c r="O897" s="36" t="s">
        <v>48</v>
      </c>
      <c r="R897" s="36" t="s">
        <v>48</v>
      </c>
    </row>
    <row r="898">
      <c r="G898" s="36" t="s">
        <v>48</v>
      </c>
      <c r="H898" s="50" t="s">
        <v>48</v>
      </c>
      <c r="I898" s="50" t="s">
        <v>48</v>
      </c>
      <c r="J898" s="36" t="s">
        <v>48</v>
      </c>
      <c r="K898" s="36" t="s">
        <v>48</v>
      </c>
      <c r="O898" s="36" t="s">
        <v>48</v>
      </c>
      <c r="R898" s="36" t="s">
        <v>48</v>
      </c>
    </row>
    <row r="899">
      <c r="G899" s="36" t="s">
        <v>48</v>
      </c>
      <c r="H899" s="50" t="s">
        <v>48</v>
      </c>
      <c r="I899" s="50" t="s">
        <v>48</v>
      </c>
      <c r="J899" s="36" t="s">
        <v>48</v>
      </c>
      <c r="K899" s="36" t="s">
        <v>48</v>
      </c>
      <c r="O899" s="36" t="s">
        <v>48</v>
      </c>
      <c r="R899" s="36" t="s">
        <v>48</v>
      </c>
    </row>
    <row r="900">
      <c r="G900" s="36" t="s">
        <v>48</v>
      </c>
      <c r="H900" s="50" t="s">
        <v>48</v>
      </c>
      <c r="I900" s="50" t="s">
        <v>48</v>
      </c>
      <c r="J900" s="36" t="s">
        <v>48</v>
      </c>
      <c r="K900" s="36" t="s">
        <v>48</v>
      </c>
      <c r="O900" s="36" t="s">
        <v>48</v>
      </c>
      <c r="R900" s="36" t="s">
        <v>48</v>
      </c>
    </row>
    <row r="901">
      <c r="G901" s="36" t="s">
        <v>48</v>
      </c>
      <c r="H901" s="50" t="s">
        <v>48</v>
      </c>
      <c r="I901" s="50" t="s">
        <v>48</v>
      </c>
      <c r="J901" s="36" t="s">
        <v>48</v>
      </c>
      <c r="K901" s="36" t="s">
        <v>48</v>
      </c>
      <c r="O901" s="36" t="s">
        <v>48</v>
      </c>
      <c r="R901" s="36" t="s">
        <v>48</v>
      </c>
    </row>
    <row r="902">
      <c r="G902" s="36" t="s">
        <v>48</v>
      </c>
      <c r="H902" s="50" t="s">
        <v>48</v>
      </c>
      <c r="I902" s="50" t="s">
        <v>48</v>
      </c>
      <c r="J902" s="36" t="s">
        <v>48</v>
      </c>
      <c r="K902" s="36" t="s">
        <v>48</v>
      </c>
      <c r="O902" s="36" t="s">
        <v>48</v>
      </c>
      <c r="R902" s="36" t="s">
        <v>48</v>
      </c>
    </row>
    <row r="903">
      <c r="G903" s="36" t="s">
        <v>48</v>
      </c>
      <c r="H903" s="50" t="s">
        <v>48</v>
      </c>
      <c r="I903" s="50" t="s">
        <v>48</v>
      </c>
      <c r="J903" s="36" t="s">
        <v>48</v>
      </c>
      <c r="K903" s="36" t="s">
        <v>48</v>
      </c>
      <c r="O903" s="36" t="s">
        <v>48</v>
      </c>
      <c r="R903" s="36" t="s">
        <v>48</v>
      </c>
    </row>
    <row r="904">
      <c r="G904" s="36" t="s">
        <v>48</v>
      </c>
      <c r="H904" s="50" t="s">
        <v>48</v>
      </c>
      <c r="I904" s="50" t="s">
        <v>48</v>
      </c>
      <c r="J904" s="36" t="s">
        <v>48</v>
      </c>
      <c r="K904" s="36" t="s">
        <v>48</v>
      </c>
      <c r="O904" s="36" t="s">
        <v>48</v>
      </c>
      <c r="R904" s="36" t="s">
        <v>48</v>
      </c>
    </row>
    <row r="905">
      <c r="G905" s="36" t="s">
        <v>48</v>
      </c>
      <c r="H905" s="50" t="s">
        <v>48</v>
      </c>
      <c r="I905" s="50" t="s">
        <v>48</v>
      </c>
      <c r="J905" s="36" t="s">
        <v>48</v>
      </c>
      <c r="K905" s="36" t="s">
        <v>48</v>
      </c>
      <c r="O905" s="36" t="s">
        <v>48</v>
      </c>
      <c r="R905" s="36" t="s">
        <v>48</v>
      </c>
    </row>
    <row r="906">
      <c r="G906" s="36" t="s">
        <v>48</v>
      </c>
      <c r="H906" s="50" t="s">
        <v>48</v>
      </c>
      <c r="I906" s="50" t="s">
        <v>48</v>
      </c>
      <c r="J906" s="36" t="s">
        <v>48</v>
      </c>
      <c r="K906" s="36" t="s">
        <v>48</v>
      </c>
      <c r="O906" s="36" t="s">
        <v>48</v>
      </c>
      <c r="R906" s="36" t="s">
        <v>48</v>
      </c>
    </row>
    <row r="907">
      <c r="G907" s="36" t="s">
        <v>48</v>
      </c>
      <c r="H907" s="50" t="s">
        <v>48</v>
      </c>
      <c r="I907" s="50" t="s">
        <v>48</v>
      </c>
      <c r="J907" s="36" t="s">
        <v>48</v>
      </c>
      <c r="K907" s="36" t="s">
        <v>48</v>
      </c>
      <c r="O907" s="36" t="s">
        <v>48</v>
      </c>
      <c r="R907" s="36" t="s">
        <v>48</v>
      </c>
    </row>
    <row r="908">
      <c r="G908" s="36" t="s">
        <v>48</v>
      </c>
      <c r="H908" s="50" t="s">
        <v>48</v>
      </c>
      <c r="I908" s="50" t="s">
        <v>48</v>
      </c>
      <c r="J908" s="36" t="s">
        <v>48</v>
      </c>
      <c r="K908" s="36" t="s">
        <v>48</v>
      </c>
      <c r="O908" s="36" t="s">
        <v>48</v>
      </c>
      <c r="R908" s="36" t="s">
        <v>48</v>
      </c>
    </row>
    <row r="909">
      <c r="G909" s="36" t="s">
        <v>48</v>
      </c>
      <c r="H909" s="50" t="s">
        <v>48</v>
      </c>
      <c r="I909" s="50" t="s">
        <v>48</v>
      </c>
      <c r="J909" s="36" t="s">
        <v>48</v>
      </c>
      <c r="K909" s="36" t="s">
        <v>48</v>
      </c>
      <c r="O909" s="36" t="s">
        <v>48</v>
      </c>
      <c r="R909" s="36" t="s">
        <v>48</v>
      </c>
    </row>
    <row r="910">
      <c r="G910" s="36" t="s">
        <v>48</v>
      </c>
      <c r="H910" s="50" t="s">
        <v>48</v>
      </c>
      <c r="I910" s="50" t="s">
        <v>48</v>
      </c>
      <c r="J910" s="36" t="s">
        <v>48</v>
      </c>
      <c r="K910" s="36" t="s">
        <v>48</v>
      </c>
      <c r="O910" s="36" t="s">
        <v>48</v>
      </c>
      <c r="R910" s="36" t="s">
        <v>48</v>
      </c>
    </row>
    <row r="911">
      <c r="G911" s="36" t="s">
        <v>48</v>
      </c>
      <c r="H911" s="50" t="s">
        <v>48</v>
      </c>
      <c r="I911" s="50" t="s">
        <v>48</v>
      </c>
      <c r="J911" s="36" t="s">
        <v>48</v>
      </c>
      <c r="K911" s="36" t="s">
        <v>48</v>
      </c>
      <c r="O911" s="36" t="s">
        <v>48</v>
      </c>
      <c r="R911" s="36" t="s">
        <v>48</v>
      </c>
    </row>
    <row r="912">
      <c r="G912" s="36" t="s">
        <v>48</v>
      </c>
      <c r="H912" s="50" t="s">
        <v>48</v>
      </c>
      <c r="I912" s="50" t="s">
        <v>48</v>
      </c>
      <c r="J912" s="36" t="s">
        <v>48</v>
      </c>
      <c r="K912" s="36" t="s">
        <v>48</v>
      </c>
      <c r="O912" s="36" t="s">
        <v>48</v>
      </c>
      <c r="R912" s="36" t="s">
        <v>48</v>
      </c>
    </row>
    <row r="913">
      <c r="G913" s="36" t="s">
        <v>48</v>
      </c>
      <c r="H913" s="50" t="s">
        <v>48</v>
      </c>
      <c r="I913" s="50" t="s">
        <v>48</v>
      </c>
      <c r="J913" s="36" t="s">
        <v>48</v>
      </c>
      <c r="K913" s="36" t="s">
        <v>48</v>
      </c>
      <c r="O913" s="36" t="s">
        <v>48</v>
      </c>
      <c r="R913" s="36" t="s">
        <v>48</v>
      </c>
    </row>
    <row r="914">
      <c r="G914" s="36" t="s">
        <v>48</v>
      </c>
      <c r="H914" s="50" t="s">
        <v>48</v>
      </c>
      <c r="I914" s="50" t="s">
        <v>48</v>
      </c>
      <c r="J914" s="36" t="s">
        <v>48</v>
      </c>
      <c r="K914" s="36" t="s">
        <v>48</v>
      </c>
      <c r="O914" s="36" t="s">
        <v>48</v>
      </c>
      <c r="R914" s="36" t="s">
        <v>48</v>
      </c>
    </row>
    <row r="915">
      <c r="G915" s="36" t="s">
        <v>48</v>
      </c>
      <c r="H915" s="50" t="s">
        <v>48</v>
      </c>
      <c r="I915" s="50" t="s">
        <v>48</v>
      </c>
      <c r="J915" s="36" t="s">
        <v>48</v>
      </c>
      <c r="K915" s="36" t="s">
        <v>48</v>
      </c>
      <c r="O915" s="36" t="s">
        <v>48</v>
      </c>
      <c r="R915" s="36" t="s">
        <v>48</v>
      </c>
    </row>
    <row r="916">
      <c r="G916" s="36" t="s">
        <v>48</v>
      </c>
      <c r="H916" s="50" t="s">
        <v>48</v>
      </c>
      <c r="I916" s="50" t="s">
        <v>48</v>
      </c>
      <c r="J916" s="36" t="s">
        <v>48</v>
      </c>
      <c r="K916" s="36" t="s">
        <v>48</v>
      </c>
      <c r="O916" s="36" t="s">
        <v>48</v>
      </c>
      <c r="R916" s="36" t="s">
        <v>48</v>
      </c>
    </row>
    <row r="917">
      <c r="G917" s="36" t="s">
        <v>48</v>
      </c>
      <c r="H917" s="50" t="s">
        <v>48</v>
      </c>
      <c r="I917" s="50" t="s">
        <v>48</v>
      </c>
      <c r="J917" s="36" t="s">
        <v>48</v>
      </c>
      <c r="K917" s="36" t="s">
        <v>48</v>
      </c>
      <c r="O917" s="36" t="s">
        <v>48</v>
      </c>
      <c r="R917" s="36" t="s">
        <v>48</v>
      </c>
    </row>
    <row r="918">
      <c r="G918" s="36" t="s">
        <v>48</v>
      </c>
      <c r="H918" s="50" t="s">
        <v>48</v>
      </c>
      <c r="I918" s="50" t="s">
        <v>48</v>
      </c>
      <c r="J918" s="36" t="s">
        <v>48</v>
      </c>
      <c r="K918" s="36" t="s">
        <v>48</v>
      </c>
      <c r="O918" s="36" t="s">
        <v>48</v>
      </c>
      <c r="R918" s="36" t="s">
        <v>48</v>
      </c>
    </row>
    <row r="919">
      <c r="G919" s="36" t="s">
        <v>48</v>
      </c>
      <c r="H919" s="50" t="s">
        <v>48</v>
      </c>
      <c r="I919" s="50" t="s">
        <v>48</v>
      </c>
      <c r="J919" s="36" t="s">
        <v>48</v>
      </c>
      <c r="K919" s="36" t="s">
        <v>48</v>
      </c>
      <c r="O919" s="36" t="s">
        <v>48</v>
      </c>
      <c r="R919" s="36" t="s">
        <v>48</v>
      </c>
    </row>
    <row r="920">
      <c r="G920" s="36" t="s">
        <v>48</v>
      </c>
      <c r="H920" s="50" t="s">
        <v>48</v>
      </c>
      <c r="I920" s="50" t="s">
        <v>48</v>
      </c>
      <c r="J920" s="36" t="s">
        <v>48</v>
      </c>
      <c r="K920" s="36" t="s">
        <v>48</v>
      </c>
      <c r="O920" s="36" t="s">
        <v>48</v>
      </c>
      <c r="R920" s="36" t="s">
        <v>48</v>
      </c>
    </row>
    <row r="921">
      <c r="G921" s="36" t="s">
        <v>48</v>
      </c>
      <c r="H921" s="50" t="s">
        <v>48</v>
      </c>
      <c r="I921" s="50" t="s">
        <v>48</v>
      </c>
      <c r="J921" s="36" t="s">
        <v>48</v>
      </c>
      <c r="K921" s="36" t="s">
        <v>48</v>
      </c>
      <c r="O921" s="36" t="s">
        <v>48</v>
      </c>
      <c r="R921" s="36" t="s">
        <v>48</v>
      </c>
    </row>
    <row r="922">
      <c r="G922" s="36" t="s">
        <v>48</v>
      </c>
      <c r="H922" s="50" t="s">
        <v>48</v>
      </c>
      <c r="I922" s="50" t="s">
        <v>48</v>
      </c>
      <c r="J922" s="36" t="s">
        <v>48</v>
      </c>
      <c r="K922" s="36" t="s">
        <v>48</v>
      </c>
      <c r="O922" s="36" t="s">
        <v>48</v>
      </c>
      <c r="R922" s="36" t="s">
        <v>48</v>
      </c>
    </row>
    <row r="923">
      <c r="G923" s="36" t="s">
        <v>48</v>
      </c>
      <c r="H923" s="50" t="s">
        <v>48</v>
      </c>
      <c r="I923" s="50" t="s">
        <v>48</v>
      </c>
      <c r="J923" s="36" t="s">
        <v>48</v>
      </c>
      <c r="K923" s="36" t="s">
        <v>48</v>
      </c>
      <c r="O923" s="36" t="s">
        <v>48</v>
      </c>
      <c r="R923" s="36" t="s">
        <v>48</v>
      </c>
    </row>
    <row r="924">
      <c r="G924" s="36" t="s">
        <v>48</v>
      </c>
      <c r="H924" s="50" t="s">
        <v>48</v>
      </c>
      <c r="I924" s="50" t="s">
        <v>48</v>
      </c>
      <c r="J924" s="36" t="s">
        <v>48</v>
      </c>
      <c r="K924" s="36" t="s">
        <v>48</v>
      </c>
      <c r="O924" s="36" t="s">
        <v>48</v>
      </c>
      <c r="R924" s="36" t="s">
        <v>48</v>
      </c>
    </row>
    <row r="925">
      <c r="G925" s="36" t="s">
        <v>48</v>
      </c>
      <c r="H925" s="50" t="s">
        <v>48</v>
      </c>
      <c r="I925" s="50" t="s">
        <v>48</v>
      </c>
      <c r="J925" s="36" t="s">
        <v>48</v>
      </c>
      <c r="K925" s="36" t="s">
        <v>48</v>
      </c>
      <c r="O925" s="36" t="s">
        <v>48</v>
      </c>
      <c r="R925" s="36" t="s">
        <v>48</v>
      </c>
    </row>
    <row r="926">
      <c r="G926" s="36" t="s">
        <v>48</v>
      </c>
      <c r="H926" s="50" t="s">
        <v>48</v>
      </c>
      <c r="I926" s="50" t="s">
        <v>48</v>
      </c>
      <c r="J926" s="36" t="s">
        <v>48</v>
      </c>
      <c r="K926" s="36" t="s">
        <v>48</v>
      </c>
      <c r="O926" s="36" t="s">
        <v>48</v>
      </c>
      <c r="R926" s="36" t="s">
        <v>48</v>
      </c>
    </row>
    <row r="927">
      <c r="G927" s="36" t="s">
        <v>48</v>
      </c>
      <c r="H927" s="50" t="s">
        <v>48</v>
      </c>
      <c r="I927" s="50" t="s">
        <v>48</v>
      </c>
      <c r="J927" s="36" t="s">
        <v>48</v>
      </c>
      <c r="K927" s="36" t="s">
        <v>48</v>
      </c>
      <c r="O927" s="36" t="s">
        <v>48</v>
      </c>
      <c r="R927" s="36" t="s">
        <v>48</v>
      </c>
    </row>
    <row r="928">
      <c r="G928" s="36" t="s">
        <v>48</v>
      </c>
      <c r="H928" s="50" t="s">
        <v>48</v>
      </c>
      <c r="I928" s="50" t="s">
        <v>48</v>
      </c>
      <c r="J928" s="36" t="s">
        <v>48</v>
      </c>
      <c r="K928" s="36" t="s">
        <v>48</v>
      </c>
      <c r="O928" s="36" t="s">
        <v>48</v>
      </c>
      <c r="R928" s="36" t="s">
        <v>48</v>
      </c>
    </row>
    <row r="929">
      <c r="G929" s="36" t="s">
        <v>48</v>
      </c>
      <c r="H929" s="50" t="s">
        <v>48</v>
      </c>
      <c r="I929" s="50" t="s">
        <v>48</v>
      </c>
      <c r="J929" s="36" t="s">
        <v>48</v>
      </c>
      <c r="K929" s="36" t="s">
        <v>48</v>
      </c>
      <c r="O929" s="36" t="s">
        <v>48</v>
      </c>
      <c r="R929" s="36" t="s">
        <v>48</v>
      </c>
    </row>
    <row r="930">
      <c r="G930" s="36" t="s">
        <v>48</v>
      </c>
      <c r="H930" s="50" t="s">
        <v>48</v>
      </c>
      <c r="I930" s="50" t="s">
        <v>48</v>
      </c>
      <c r="J930" s="36" t="s">
        <v>48</v>
      </c>
      <c r="K930" s="36" t="s">
        <v>48</v>
      </c>
      <c r="O930" s="36" t="s">
        <v>48</v>
      </c>
      <c r="R930" s="36" t="s">
        <v>48</v>
      </c>
    </row>
    <row r="931">
      <c r="G931" s="36" t="s">
        <v>48</v>
      </c>
      <c r="H931" s="50" t="s">
        <v>48</v>
      </c>
      <c r="I931" s="50" t="s">
        <v>48</v>
      </c>
      <c r="J931" s="36" t="s">
        <v>48</v>
      </c>
      <c r="K931" s="36" t="s">
        <v>48</v>
      </c>
      <c r="O931" s="36" t="s">
        <v>48</v>
      </c>
      <c r="R931" s="36" t="s">
        <v>48</v>
      </c>
    </row>
    <row r="932">
      <c r="G932" s="36" t="s">
        <v>48</v>
      </c>
      <c r="H932" s="50" t="s">
        <v>48</v>
      </c>
      <c r="I932" s="50" t="s">
        <v>48</v>
      </c>
      <c r="J932" s="36" t="s">
        <v>48</v>
      </c>
      <c r="K932" s="36" t="s">
        <v>48</v>
      </c>
      <c r="O932" s="36" t="s">
        <v>48</v>
      </c>
      <c r="R932" s="36" t="s">
        <v>48</v>
      </c>
    </row>
    <row r="933">
      <c r="G933" s="36" t="s">
        <v>48</v>
      </c>
      <c r="H933" s="50" t="s">
        <v>48</v>
      </c>
      <c r="I933" s="50" t="s">
        <v>48</v>
      </c>
      <c r="J933" s="36" t="s">
        <v>48</v>
      </c>
      <c r="K933" s="36" t="s">
        <v>48</v>
      </c>
      <c r="O933" s="36" t="s">
        <v>48</v>
      </c>
      <c r="R933" s="36" t="s">
        <v>48</v>
      </c>
    </row>
    <row r="934">
      <c r="G934" s="36" t="s">
        <v>48</v>
      </c>
      <c r="H934" s="50" t="s">
        <v>48</v>
      </c>
      <c r="I934" s="50" t="s">
        <v>48</v>
      </c>
      <c r="J934" s="36" t="s">
        <v>48</v>
      </c>
      <c r="K934" s="36" t="s">
        <v>48</v>
      </c>
      <c r="O934" s="36" t="s">
        <v>48</v>
      </c>
      <c r="R934" s="36" t="s">
        <v>48</v>
      </c>
    </row>
    <row r="935">
      <c r="G935" s="36" t="s">
        <v>48</v>
      </c>
      <c r="H935" s="50" t="s">
        <v>48</v>
      </c>
      <c r="I935" s="50" t="s">
        <v>48</v>
      </c>
      <c r="J935" s="36" t="s">
        <v>48</v>
      </c>
      <c r="K935" s="36" t="s">
        <v>48</v>
      </c>
      <c r="O935" s="36" t="s">
        <v>48</v>
      </c>
      <c r="R935" s="36" t="s">
        <v>48</v>
      </c>
    </row>
    <row r="936">
      <c r="G936" s="36" t="s">
        <v>48</v>
      </c>
      <c r="H936" s="50" t="s">
        <v>48</v>
      </c>
      <c r="I936" s="50" t="s">
        <v>48</v>
      </c>
      <c r="J936" s="36" t="s">
        <v>48</v>
      </c>
      <c r="K936" s="36" t="s">
        <v>48</v>
      </c>
      <c r="O936" s="36" t="s">
        <v>48</v>
      </c>
      <c r="R936" s="36" t="s">
        <v>48</v>
      </c>
    </row>
    <row r="937">
      <c r="G937" s="36" t="s">
        <v>48</v>
      </c>
      <c r="H937" s="50" t="s">
        <v>48</v>
      </c>
      <c r="I937" s="50" t="s">
        <v>48</v>
      </c>
      <c r="J937" s="36" t="s">
        <v>48</v>
      </c>
      <c r="K937" s="36" t="s">
        <v>48</v>
      </c>
      <c r="O937" s="36" t="s">
        <v>48</v>
      </c>
      <c r="R937" s="36" t="s">
        <v>48</v>
      </c>
    </row>
    <row r="938">
      <c r="G938" s="36" t="s">
        <v>48</v>
      </c>
      <c r="H938" s="50" t="s">
        <v>48</v>
      </c>
      <c r="I938" s="50" t="s">
        <v>48</v>
      </c>
      <c r="J938" s="36" t="s">
        <v>48</v>
      </c>
      <c r="K938" s="36" t="s">
        <v>48</v>
      </c>
      <c r="O938" s="36" t="s">
        <v>48</v>
      </c>
      <c r="R938" s="36" t="s">
        <v>48</v>
      </c>
    </row>
    <row r="939">
      <c r="G939" s="36" t="s">
        <v>48</v>
      </c>
      <c r="H939" s="50" t="s">
        <v>48</v>
      </c>
      <c r="I939" s="50" t="s">
        <v>48</v>
      </c>
      <c r="J939" s="36" t="s">
        <v>48</v>
      </c>
      <c r="K939" s="36" t="s">
        <v>48</v>
      </c>
      <c r="O939" s="36" t="s">
        <v>48</v>
      </c>
      <c r="R939" s="36" t="s">
        <v>48</v>
      </c>
    </row>
    <row r="940">
      <c r="G940" s="36" t="s">
        <v>48</v>
      </c>
      <c r="H940" s="50" t="s">
        <v>48</v>
      </c>
      <c r="I940" s="50" t="s">
        <v>48</v>
      </c>
      <c r="J940" s="36" t="s">
        <v>48</v>
      </c>
      <c r="K940" s="36" t="s">
        <v>48</v>
      </c>
      <c r="O940" s="36" t="s">
        <v>48</v>
      </c>
      <c r="R940" s="36" t="s">
        <v>48</v>
      </c>
    </row>
    <row r="941">
      <c r="G941" s="36" t="s">
        <v>48</v>
      </c>
      <c r="H941" s="50" t="s">
        <v>48</v>
      </c>
      <c r="I941" s="50" t="s">
        <v>48</v>
      </c>
      <c r="J941" s="36" t="s">
        <v>48</v>
      </c>
      <c r="K941" s="36" t="s">
        <v>48</v>
      </c>
      <c r="O941" s="36" t="s">
        <v>48</v>
      </c>
      <c r="R941" s="36" t="s">
        <v>48</v>
      </c>
    </row>
    <row r="942">
      <c r="G942" s="36" t="s">
        <v>48</v>
      </c>
      <c r="H942" s="50" t="s">
        <v>48</v>
      </c>
      <c r="I942" s="50" t="s">
        <v>48</v>
      </c>
      <c r="J942" s="36" t="s">
        <v>48</v>
      </c>
      <c r="K942" s="36" t="s">
        <v>48</v>
      </c>
      <c r="O942" s="36" t="s">
        <v>48</v>
      </c>
      <c r="R942" s="36" t="s">
        <v>48</v>
      </c>
    </row>
    <row r="943">
      <c r="G943" s="36" t="s">
        <v>48</v>
      </c>
      <c r="H943" s="50" t="s">
        <v>48</v>
      </c>
      <c r="I943" s="50" t="s">
        <v>48</v>
      </c>
      <c r="J943" s="36" t="s">
        <v>48</v>
      </c>
      <c r="K943" s="36" t="s">
        <v>48</v>
      </c>
      <c r="O943" s="36" t="s">
        <v>48</v>
      </c>
      <c r="R943" s="36" t="s">
        <v>48</v>
      </c>
    </row>
    <row r="944">
      <c r="G944" s="36" t="s">
        <v>48</v>
      </c>
      <c r="H944" s="50" t="s">
        <v>48</v>
      </c>
      <c r="I944" s="50" t="s">
        <v>48</v>
      </c>
      <c r="J944" s="36" t="s">
        <v>48</v>
      </c>
      <c r="K944" s="36" t="s">
        <v>48</v>
      </c>
      <c r="O944" s="36" t="s">
        <v>48</v>
      </c>
      <c r="R944" s="36" t="s">
        <v>48</v>
      </c>
    </row>
    <row r="945">
      <c r="G945" s="36" t="s">
        <v>48</v>
      </c>
      <c r="H945" s="50" t="s">
        <v>48</v>
      </c>
      <c r="I945" s="50" t="s">
        <v>48</v>
      </c>
      <c r="J945" s="36" t="s">
        <v>48</v>
      </c>
      <c r="K945" s="36" t="s">
        <v>48</v>
      </c>
      <c r="O945" s="36" t="s">
        <v>48</v>
      </c>
      <c r="R945" s="36" t="s">
        <v>48</v>
      </c>
    </row>
    <row r="946">
      <c r="G946" s="36" t="s">
        <v>48</v>
      </c>
      <c r="H946" s="50" t="s">
        <v>48</v>
      </c>
      <c r="I946" s="50" t="s">
        <v>48</v>
      </c>
      <c r="J946" s="36" t="s">
        <v>48</v>
      </c>
      <c r="K946" s="36" t="s">
        <v>48</v>
      </c>
      <c r="O946" s="36" t="s">
        <v>48</v>
      </c>
      <c r="R946" s="36" t="s">
        <v>48</v>
      </c>
    </row>
    <row r="947">
      <c r="G947" s="36" t="s">
        <v>48</v>
      </c>
      <c r="H947" s="50" t="s">
        <v>48</v>
      </c>
      <c r="I947" s="50" t="s">
        <v>48</v>
      </c>
      <c r="J947" s="36" t="s">
        <v>48</v>
      </c>
      <c r="K947" s="36" t="s">
        <v>48</v>
      </c>
      <c r="O947" s="36" t="s">
        <v>48</v>
      </c>
      <c r="R947" s="36" t="s">
        <v>48</v>
      </c>
    </row>
    <row r="948">
      <c r="G948" s="36" t="s">
        <v>48</v>
      </c>
      <c r="H948" s="50" t="s">
        <v>48</v>
      </c>
      <c r="I948" s="50" t="s">
        <v>48</v>
      </c>
      <c r="J948" s="36" t="s">
        <v>48</v>
      </c>
      <c r="K948" s="36" t="s">
        <v>48</v>
      </c>
      <c r="O948" s="36" t="s">
        <v>48</v>
      </c>
      <c r="R948" s="36" t="s">
        <v>48</v>
      </c>
    </row>
    <row r="949">
      <c r="G949" s="36" t="s">
        <v>48</v>
      </c>
      <c r="H949" s="50" t="s">
        <v>48</v>
      </c>
      <c r="I949" s="50" t="s">
        <v>48</v>
      </c>
      <c r="J949" s="36" t="s">
        <v>48</v>
      </c>
      <c r="K949" s="36" t="s">
        <v>48</v>
      </c>
      <c r="O949" s="36" t="s">
        <v>48</v>
      </c>
      <c r="R949" s="36" t="s">
        <v>48</v>
      </c>
    </row>
    <row r="950">
      <c r="G950" s="36" t="s">
        <v>48</v>
      </c>
      <c r="H950" s="50" t="s">
        <v>48</v>
      </c>
      <c r="I950" s="50" t="s">
        <v>48</v>
      </c>
      <c r="J950" s="36" t="s">
        <v>48</v>
      </c>
      <c r="K950" s="36" t="s">
        <v>48</v>
      </c>
      <c r="O950" s="36" t="s">
        <v>48</v>
      </c>
      <c r="R950" s="36" t="s">
        <v>48</v>
      </c>
    </row>
    <row r="951">
      <c r="G951" s="36" t="s">
        <v>48</v>
      </c>
      <c r="H951" s="50" t="s">
        <v>48</v>
      </c>
      <c r="I951" s="50" t="s">
        <v>48</v>
      </c>
      <c r="J951" s="36" t="s">
        <v>48</v>
      </c>
      <c r="K951" s="36" t="s">
        <v>48</v>
      </c>
      <c r="O951" s="36" t="s">
        <v>48</v>
      </c>
      <c r="R951" s="36" t="s">
        <v>48</v>
      </c>
    </row>
    <row r="952">
      <c r="G952" s="36" t="s">
        <v>48</v>
      </c>
      <c r="H952" s="50" t="s">
        <v>48</v>
      </c>
      <c r="I952" s="50" t="s">
        <v>48</v>
      </c>
      <c r="J952" s="36" t="s">
        <v>48</v>
      </c>
      <c r="K952" s="36" t="s">
        <v>48</v>
      </c>
      <c r="O952" s="36" t="s">
        <v>48</v>
      </c>
      <c r="R952" s="36" t="s">
        <v>48</v>
      </c>
    </row>
    <row r="953">
      <c r="G953" s="36" t="s">
        <v>48</v>
      </c>
      <c r="H953" s="50" t="s">
        <v>48</v>
      </c>
      <c r="I953" s="50" t="s">
        <v>48</v>
      </c>
      <c r="J953" s="36" t="s">
        <v>48</v>
      </c>
      <c r="K953" s="36" t="s">
        <v>48</v>
      </c>
      <c r="O953" s="36" t="s">
        <v>48</v>
      </c>
      <c r="R953" s="36" t="s">
        <v>48</v>
      </c>
    </row>
    <row r="954">
      <c r="G954" s="36" t="s">
        <v>48</v>
      </c>
      <c r="H954" s="50" t="s">
        <v>48</v>
      </c>
      <c r="I954" s="50" t="s">
        <v>48</v>
      </c>
      <c r="J954" s="36" t="s">
        <v>48</v>
      </c>
      <c r="K954" s="36" t="s">
        <v>48</v>
      </c>
      <c r="O954" s="36" t="s">
        <v>48</v>
      </c>
      <c r="R954" s="36" t="s">
        <v>48</v>
      </c>
    </row>
    <row r="955">
      <c r="G955" s="36" t="s">
        <v>48</v>
      </c>
      <c r="H955" s="50" t="s">
        <v>48</v>
      </c>
      <c r="I955" s="50" t="s">
        <v>48</v>
      </c>
      <c r="J955" s="36" t="s">
        <v>48</v>
      </c>
      <c r="K955" s="36" t="s">
        <v>48</v>
      </c>
      <c r="O955" s="36" t="s">
        <v>48</v>
      </c>
      <c r="R955" s="36" t="s">
        <v>48</v>
      </c>
    </row>
    <row r="956">
      <c r="G956" s="36" t="s">
        <v>48</v>
      </c>
      <c r="H956" s="50" t="s">
        <v>48</v>
      </c>
      <c r="I956" s="50" t="s">
        <v>48</v>
      </c>
      <c r="J956" s="36" t="s">
        <v>48</v>
      </c>
      <c r="K956" s="36" t="s">
        <v>48</v>
      </c>
      <c r="O956" s="36" t="s">
        <v>48</v>
      </c>
      <c r="R956" s="36" t="s">
        <v>48</v>
      </c>
    </row>
    <row r="957">
      <c r="G957" s="36" t="s">
        <v>48</v>
      </c>
      <c r="H957" s="50" t="s">
        <v>48</v>
      </c>
      <c r="I957" s="50" t="s">
        <v>48</v>
      </c>
      <c r="J957" s="36" t="s">
        <v>48</v>
      </c>
      <c r="K957" s="36" t="s">
        <v>48</v>
      </c>
      <c r="O957" s="36" t="s">
        <v>48</v>
      </c>
      <c r="R957" s="36" t="s">
        <v>48</v>
      </c>
    </row>
    <row r="958">
      <c r="G958" s="36" t="s">
        <v>48</v>
      </c>
      <c r="H958" s="50" t="s">
        <v>48</v>
      </c>
      <c r="I958" s="50" t="s">
        <v>48</v>
      </c>
      <c r="J958" s="36" t="s">
        <v>48</v>
      </c>
      <c r="K958" s="36" t="s">
        <v>48</v>
      </c>
      <c r="O958" s="36" t="s">
        <v>48</v>
      </c>
      <c r="R958" s="36" t="s">
        <v>48</v>
      </c>
    </row>
    <row r="959">
      <c r="G959" s="36" t="s">
        <v>48</v>
      </c>
      <c r="H959" s="50" t="s">
        <v>48</v>
      </c>
      <c r="I959" s="50" t="s">
        <v>48</v>
      </c>
      <c r="J959" s="36" t="s">
        <v>48</v>
      </c>
      <c r="K959" s="36" t="s">
        <v>48</v>
      </c>
      <c r="O959" s="36" t="s">
        <v>48</v>
      </c>
      <c r="R959" s="36" t="s">
        <v>48</v>
      </c>
    </row>
    <row r="960">
      <c r="G960" s="36" t="s">
        <v>48</v>
      </c>
      <c r="H960" s="50" t="s">
        <v>48</v>
      </c>
      <c r="I960" s="50" t="s">
        <v>48</v>
      </c>
      <c r="J960" s="36" t="s">
        <v>48</v>
      </c>
      <c r="K960" s="36" t="s">
        <v>48</v>
      </c>
      <c r="O960" s="36" t="s">
        <v>48</v>
      </c>
      <c r="R960" s="36" t="s">
        <v>48</v>
      </c>
    </row>
    <row r="961">
      <c r="G961" s="36" t="s">
        <v>48</v>
      </c>
      <c r="H961" s="50" t="s">
        <v>48</v>
      </c>
      <c r="I961" s="50" t="s">
        <v>48</v>
      </c>
      <c r="J961" s="36" t="s">
        <v>48</v>
      </c>
      <c r="K961" s="36" t="s">
        <v>48</v>
      </c>
      <c r="O961" s="36" t="s">
        <v>48</v>
      </c>
      <c r="R961" s="36" t="s">
        <v>48</v>
      </c>
    </row>
    <row r="962">
      <c r="G962" s="36" t="s">
        <v>48</v>
      </c>
      <c r="H962" s="50" t="s">
        <v>48</v>
      </c>
      <c r="I962" s="50" t="s">
        <v>48</v>
      </c>
      <c r="J962" s="36" t="s">
        <v>48</v>
      </c>
      <c r="K962" s="36" t="s">
        <v>48</v>
      </c>
      <c r="O962" s="36" t="s">
        <v>48</v>
      </c>
      <c r="R962" s="36" t="s">
        <v>48</v>
      </c>
    </row>
    <row r="963">
      <c r="G963" s="36" t="s">
        <v>48</v>
      </c>
      <c r="H963" s="50" t="s">
        <v>48</v>
      </c>
      <c r="I963" s="50" t="s">
        <v>48</v>
      </c>
      <c r="J963" s="36" t="s">
        <v>48</v>
      </c>
      <c r="K963" s="36" t="s">
        <v>48</v>
      </c>
      <c r="O963" s="36" t="s">
        <v>48</v>
      </c>
      <c r="R963" s="36" t="s">
        <v>48</v>
      </c>
    </row>
    <row r="964">
      <c r="G964" s="36" t="s">
        <v>48</v>
      </c>
      <c r="H964" s="50" t="s">
        <v>48</v>
      </c>
      <c r="I964" s="50" t="s">
        <v>48</v>
      </c>
      <c r="J964" s="36" t="s">
        <v>48</v>
      </c>
      <c r="K964" s="36" t="s">
        <v>48</v>
      </c>
      <c r="O964" s="36" t="s">
        <v>48</v>
      </c>
      <c r="R964" s="36" t="s">
        <v>48</v>
      </c>
    </row>
    <row r="965">
      <c r="G965" s="36" t="s">
        <v>48</v>
      </c>
      <c r="H965" s="50" t="s">
        <v>48</v>
      </c>
      <c r="I965" s="50" t="s">
        <v>48</v>
      </c>
      <c r="J965" s="36" t="s">
        <v>48</v>
      </c>
      <c r="K965" s="36" t="s">
        <v>48</v>
      </c>
      <c r="O965" s="36" t="s">
        <v>48</v>
      </c>
      <c r="R965" s="36" t="s">
        <v>48</v>
      </c>
    </row>
    <row r="966">
      <c r="G966" s="36" t="s">
        <v>48</v>
      </c>
      <c r="H966" s="50" t="s">
        <v>48</v>
      </c>
      <c r="I966" s="50" t="s">
        <v>48</v>
      </c>
      <c r="J966" s="36" t="s">
        <v>48</v>
      </c>
      <c r="K966" s="36" t="s">
        <v>48</v>
      </c>
      <c r="O966" s="36" t="s">
        <v>48</v>
      </c>
      <c r="R966" s="36" t="s">
        <v>48</v>
      </c>
    </row>
    <row r="967">
      <c r="G967" s="36" t="s">
        <v>48</v>
      </c>
      <c r="H967" s="50" t="s">
        <v>48</v>
      </c>
      <c r="I967" s="50" t="s">
        <v>48</v>
      </c>
      <c r="J967" s="36" t="s">
        <v>48</v>
      </c>
      <c r="K967" s="36" t="s">
        <v>48</v>
      </c>
      <c r="O967" s="36" t="s">
        <v>48</v>
      </c>
      <c r="R967" s="36" t="s">
        <v>48</v>
      </c>
    </row>
    <row r="968">
      <c r="G968" s="36" t="s">
        <v>48</v>
      </c>
      <c r="H968" s="50" t="s">
        <v>48</v>
      </c>
      <c r="I968" s="50" t="s">
        <v>48</v>
      </c>
      <c r="J968" s="36" t="s">
        <v>48</v>
      </c>
      <c r="K968" s="36" t="s">
        <v>48</v>
      </c>
      <c r="O968" s="36" t="s">
        <v>48</v>
      </c>
      <c r="R968" s="36" t="s">
        <v>48</v>
      </c>
    </row>
    <row r="969">
      <c r="G969" s="36" t="s">
        <v>48</v>
      </c>
      <c r="H969" s="50" t="s">
        <v>48</v>
      </c>
      <c r="I969" s="50" t="s">
        <v>48</v>
      </c>
      <c r="J969" s="36" t="s">
        <v>48</v>
      </c>
      <c r="K969" s="36" t="s">
        <v>48</v>
      </c>
      <c r="O969" s="36" t="s">
        <v>48</v>
      </c>
      <c r="R969" s="36" t="s">
        <v>48</v>
      </c>
    </row>
    <row r="970">
      <c r="G970" s="36" t="s">
        <v>48</v>
      </c>
      <c r="H970" s="50" t="s">
        <v>48</v>
      </c>
      <c r="I970" s="50" t="s">
        <v>48</v>
      </c>
      <c r="J970" s="36" t="s">
        <v>48</v>
      </c>
      <c r="K970" s="36" t="s">
        <v>48</v>
      </c>
      <c r="O970" s="36" t="s">
        <v>48</v>
      </c>
      <c r="R970" s="36" t="s">
        <v>48</v>
      </c>
    </row>
    <row r="971">
      <c r="G971" s="36" t="s">
        <v>48</v>
      </c>
      <c r="H971" s="50" t="s">
        <v>48</v>
      </c>
      <c r="I971" s="50" t="s">
        <v>48</v>
      </c>
      <c r="J971" s="36" t="s">
        <v>48</v>
      </c>
      <c r="K971" s="36" t="s">
        <v>48</v>
      </c>
      <c r="O971" s="36" t="s">
        <v>48</v>
      </c>
      <c r="R971" s="36" t="s">
        <v>48</v>
      </c>
    </row>
    <row r="972">
      <c r="G972" s="36" t="s">
        <v>48</v>
      </c>
      <c r="H972" s="50" t="s">
        <v>48</v>
      </c>
      <c r="I972" s="50" t="s">
        <v>48</v>
      </c>
      <c r="J972" s="36" t="s">
        <v>48</v>
      </c>
      <c r="K972" s="36" t="s">
        <v>48</v>
      </c>
      <c r="O972" s="36" t="s">
        <v>48</v>
      </c>
      <c r="R972" s="36" t="s">
        <v>48</v>
      </c>
    </row>
    <row r="973">
      <c r="G973" s="36" t="s">
        <v>48</v>
      </c>
      <c r="H973" s="50" t="s">
        <v>48</v>
      </c>
      <c r="I973" s="50" t="s">
        <v>48</v>
      </c>
      <c r="J973" s="36" t="s">
        <v>48</v>
      </c>
      <c r="K973" s="36" t="s">
        <v>48</v>
      </c>
      <c r="O973" s="36" t="s">
        <v>48</v>
      </c>
      <c r="R973" s="36" t="s">
        <v>48</v>
      </c>
    </row>
    <row r="974">
      <c r="G974" s="36" t="s">
        <v>48</v>
      </c>
      <c r="H974" s="50" t="s">
        <v>48</v>
      </c>
      <c r="I974" s="50" t="s">
        <v>48</v>
      </c>
      <c r="J974" s="36" t="s">
        <v>48</v>
      </c>
      <c r="K974" s="36" t="s">
        <v>48</v>
      </c>
      <c r="O974" s="36" t="s">
        <v>48</v>
      </c>
      <c r="R974" s="36" t="s">
        <v>48</v>
      </c>
    </row>
    <row r="975">
      <c r="G975" s="36" t="s">
        <v>48</v>
      </c>
      <c r="H975" s="50" t="s">
        <v>48</v>
      </c>
      <c r="I975" s="50" t="s">
        <v>48</v>
      </c>
      <c r="J975" s="36" t="s">
        <v>48</v>
      </c>
      <c r="K975" s="36" t="s">
        <v>48</v>
      </c>
      <c r="O975" s="36" t="s">
        <v>48</v>
      </c>
      <c r="R975" s="36" t="s">
        <v>48</v>
      </c>
    </row>
    <row r="976">
      <c r="G976" s="36" t="s">
        <v>48</v>
      </c>
      <c r="H976" s="50" t="s">
        <v>48</v>
      </c>
      <c r="I976" s="50" t="s">
        <v>48</v>
      </c>
      <c r="J976" s="36" t="s">
        <v>48</v>
      </c>
      <c r="K976" s="36" t="s">
        <v>48</v>
      </c>
      <c r="O976" s="36" t="s">
        <v>48</v>
      </c>
      <c r="R976" s="36" t="s">
        <v>48</v>
      </c>
    </row>
    <row r="977">
      <c r="G977" s="36" t="s">
        <v>48</v>
      </c>
      <c r="H977" s="50" t="s">
        <v>48</v>
      </c>
      <c r="I977" s="50" t="s">
        <v>48</v>
      </c>
      <c r="J977" s="36" t="s">
        <v>48</v>
      </c>
      <c r="K977" s="36" t="s">
        <v>48</v>
      </c>
      <c r="O977" s="36" t="s">
        <v>48</v>
      </c>
      <c r="R977" s="36" t="s">
        <v>48</v>
      </c>
    </row>
    <row r="978">
      <c r="G978" s="36" t="s">
        <v>48</v>
      </c>
      <c r="H978" s="50" t="s">
        <v>48</v>
      </c>
      <c r="I978" s="50" t="s">
        <v>48</v>
      </c>
      <c r="J978" s="36" t="s">
        <v>48</v>
      </c>
      <c r="K978" s="36" t="s">
        <v>48</v>
      </c>
      <c r="O978" s="36" t="s">
        <v>48</v>
      </c>
      <c r="R978" s="36" t="s">
        <v>48</v>
      </c>
    </row>
    <row r="979">
      <c r="G979" s="36" t="s">
        <v>48</v>
      </c>
      <c r="H979" s="50" t="s">
        <v>48</v>
      </c>
      <c r="I979" s="50" t="s">
        <v>48</v>
      </c>
      <c r="J979" s="36" t="s">
        <v>48</v>
      </c>
      <c r="K979" s="36" t="s">
        <v>48</v>
      </c>
      <c r="O979" s="36" t="s">
        <v>48</v>
      </c>
      <c r="R979" s="36" t="s">
        <v>48</v>
      </c>
    </row>
    <row r="980">
      <c r="G980" s="36" t="s">
        <v>48</v>
      </c>
      <c r="H980" s="50" t="s">
        <v>48</v>
      </c>
      <c r="I980" s="50" t="s">
        <v>48</v>
      </c>
      <c r="J980" s="36" t="s">
        <v>48</v>
      </c>
      <c r="K980" s="36" t="s">
        <v>48</v>
      </c>
      <c r="O980" s="36" t="s">
        <v>48</v>
      </c>
      <c r="R980" s="36" t="s">
        <v>48</v>
      </c>
    </row>
    <row r="981">
      <c r="G981" s="36" t="s">
        <v>48</v>
      </c>
      <c r="H981" s="50" t="s">
        <v>48</v>
      </c>
      <c r="I981" s="50" t="s">
        <v>48</v>
      </c>
      <c r="J981" s="36" t="s">
        <v>48</v>
      </c>
      <c r="K981" s="36" t="s">
        <v>48</v>
      </c>
      <c r="O981" s="36" t="s">
        <v>48</v>
      </c>
      <c r="R981" s="36" t="s">
        <v>48</v>
      </c>
    </row>
    <row r="982">
      <c r="G982" s="36" t="s">
        <v>48</v>
      </c>
      <c r="H982" s="50" t="s">
        <v>48</v>
      </c>
      <c r="I982" s="50" t="s">
        <v>48</v>
      </c>
      <c r="J982" s="36" t="s">
        <v>48</v>
      </c>
      <c r="K982" s="36" t="s">
        <v>48</v>
      </c>
      <c r="O982" s="36" t="s">
        <v>48</v>
      </c>
      <c r="R982" s="36" t="s">
        <v>48</v>
      </c>
    </row>
    <row r="983">
      <c r="G983" s="36" t="s">
        <v>48</v>
      </c>
      <c r="H983" s="50" t="s">
        <v>48</v>
      </c>
      <c r="I983" s="50" t="s">
        <v>48</v>
      </c>
      <c r="J983" s="36" t="s">
        <v>48</v>
      </c>
      <c r="K983" s="36" t="s">
        <v>48</v>
      </c>
      <c r="O983" s="36" t="s">
        <v>48</v>
      </c>
      <c r="R983" s="36" t="s">
        <v>48</v>
      </c>
    </row>
    <row r="984">
      <c r="G984" s="36" t="s">
        <v>48</v>
      </c>
      <c r="H984" s="50" t="s">
        <v>48</v>
      </c>
      <c r="I984" s="50" t="s">
        <v>48</v>
      </c>
      <c r="J984" s="36" t="s">
        <v>48</v>
      </c>
      <c r="K984" s="36" t="s">
        <v>48</v>
      </c>
      <c r="O984" s="36" t="s">
        <v>48</v>
      </c>
      <c r="R984" s="36" t="s">
        <v>48</v>
      </c>
    </row>
    <row r="985">
      <c r="G985" s="36" t="s">
        <v>48</v>
      </c>
      <c r="H985" s="50" t="s">
        <v>48</v>
      </c>
      <c r="I985" s="50" t="s">
        <v>48</v>
      </c>
      <c r="J985" s="36" t="s">
        <v>48</v>
      </c>
      <c r="K985" s="36" t="s">
        <v>48</v>
      </c>
      <c r="O985" s="36" t="s">
        <v>48</v>
      </c>
      <c r="R985" s="36" t="s">
        <v>48</v>
      </c>
    </row>
    <row r="986">
      <c r="G986" s="36" t="s">
        <v>48</v>
      </c>
      <c r="H986" s="50" t="s">
        <v>48</v>
      </c>
      <c r="I986" s="50" t="s">
        <v>48</v>
      </c>
      <c r="J986" s="36" t="s">
        <v>48</v>
      </c>
      <c r="K986" s="36" t="s">
        <v>48</v>
      </c>
      <c r="O986" s="36" t="s">
        <v>48</v>
      </c>
      <c r="R986" s="36" t="s">
        <v>48</v>
      </c>
    </row>
    <row r="987">
      <c r="G987" s="36" t="s">
        <v>48</v>
      </c>
      <c r="H987" s="50" t="s">
        <v>48</v>
      </c>
      <c r="I987" s="50" t="s">
        <v>48</v>
      </c>
      <c r="J987" s="36" t="s">
        <v>48</v>
      </c>
      <c r="K987" s="36" t="s">
        <v>48</v>
      </c>
      <c r="O987" s="36" t="s">
        <v>48</v>
      </c>
      <c r="R987" s="36" t="s">
        <v>48</v>
      </c>
    </row>
    <row r="988">
      <c r="G988" s="36" t="s">
        <v>48</v>
      </c>
      <c r="H988" s="50" t="s">
        <v>48</v>
      </c>
      <c r="I988" s="50" t="s">
        <v>48</v>
      </c>
      <c r="J988" s="36" t="s">
        <v>48</v>
      </c>
      <c r="K988" s="36" t="s">
        <v>48</v>
      </c>
      <c r="O988" s="36" t="s">
        <v>48</v>
      </c>
      <c r="R988" s="36" t="s">
        <v>48</v>
      </c>
    </row>
    <row r="989">
      <c r="G989" s="36" t="s">
        <v>48</v>
      </c>
      <c r="H989" s="50" t="s">
        <v>48</v>
      </c>
      <c r="I989" s="50" t="s">
        <v>48</v>
      </c>
      <c r="J989" s="36" t="s">
        <v>48</v>
      </c>
      <c r="K989" s="36" t="s">
        <v>48</v>
      </c>
      <c r="O989" s="36" t="s">
        <v>48</v>
      </c>
      <c r="R989" s="36" t="s">
        <v>48</v>
      </c>
    </row>
    <row r="990">
      <c r="G990" s="36" t="s">
        <v>48</v>
      </c>
      <c r="H990" s="50" t="s">
        <v>48</v>
      </c>
      <c r="I990" s="50" t="s">
        <v>48</v>
      </c>
      <c r="J990" s="36" t="s">
        <v>48</v>
      </c>
      <c r="K990" s="36" t="s">
        <v>48</v>
      </c>
      <c r="O990" s="36" t="s">
        <v>48</v>
      </c>
      <c r="R990" s="36" t="s">
        <v>48</v>
      </c>
    </row>
    <row r="991">
      <c r="G991" s="36" t="s">
        <v>48</v>
      </c>
      <c r="H991" s="50" t="s">
        <v>48</v>
      </c>
      <c r="I991" s="50" t="s">
        <v>48</v>
      </c>
      <c r="J991" s="36" t="s">
        <v>48</v>
      </c>
      <c r="K991" s="36" t="s">
        <v>48</v>
      </c>
      <c r="O991" s="36" t="s">
        <v>48</v>
      </c>
      <c r="R991" s="36" t="s">
        <v>48</v>
      </c>
    </row>
    <row r="992">
      <c r="G992" s="36" t="s">
        <v>48</v>
      </c>
      <c r="H992" s="50" t="s">
        <v>48</v>
      </c>
      <c r="I992" s="50" t="s">
        <v>48</v>
      </c>
      <c r="J992" s="36" t="s">
        <v>48</v>
      </c>
      <c r="K992" s="36" t="s">
        <v>48</v>
      </c>
      <c r="O992" s="36" t="s">
        <v>48</v>
      </c>
      <c r="R992" s="36" t="s">
        <v>48</v>
      </c>
    </row>
    <row r="993">
      <c r="G993" s="36" t="s">
        <v>48</v>
      </c>
      <c r="H993" s="50" t="s">
        <v>48</v>
      </c>
      <c r="I993" s="50" t="s">
        <v>48</v>
      </c>
      <c r="J993" s="36" t="s">
        <v>48</v>
      </c>
      <c r="K993" s="36" t="s">
        <v>48</v>
      </c>
      <c r="O993" s="36" t="s">
        <v>48</v>
      </c>
      <c r="R993" s="36" t="s">
        <v>48</v>
      </c>
    </row>
    <row r="994">
      <c r="G994" s="36" t="s">
        <v>48</v>
      </c>
      <c r="H994" s="50" t="s">
        <v>48</v>
      </c>
      <c r="I994" s="50" t="s">
        <v>48</v>
      </c>
      <c r="J994" s="36" t="s">
        <v>48</v>
      </c>
      <c r="K994" s="36" t="s">
        <v>48</v>
      </c>
      <c r="O994" s="36" t="s">
        <v>48</v>
      </c>
      <c r="R994" s="36" t="s">
        <v>48</v>
      </c>
    </row>
    <row r="995">
      <c r="G995" s="36" t="s">
        <v>48</v>
      </c>
      <c r="H995" s="50" t="s">
        <v>48</v>
      </c>
      <c r="I995" s="50" t="s">
        <v>48</v>
      </c>
      <c r="J995" s="36" t="s">
        <v>48</v>
      </c>
      <c r="K995" s="36" t="s">
        <v>48</v>
      </c>
      <c r="O995" s="36" t="s">
        <v>48</v>
      </c>
      <c r="R995" s="36" t="s">
        <v>48</v>
      </c>
    </row>
    <row r="996">
      <c r="G996" s="36" t="s">
        <v>48</v>
      </c>
      <c r="H996" s="50" t="s">
        <v>48</v>
      </c>
      <c r="I996" s="50" t="s">
        <v>48</v>
      </c>
      <c r="J996" s="36" t="s">
        <v>48</v>
      </c>
      <c r="K996" s="36" t="s">
        <v>48</v>
      </c>
      <c r="O996" s="36" t="s">
        <v>48</v>
      </c>
      <c r="R996" s="36" t="s">
        <v>48</v>
      </c>
    </row>
    <row r="997">
      <c r="G997" s="36" t="s">
        <v>48</v>
      </c>
      <c r="H997" s="50" t="s">
        <v>48</v>
      </c>
      <c r="I997" s="50" t="s">
        <v>48</v>
      </c>
      <c r="J997" s="36" t="s">
        <v>48</v>
      </c>
      <c r="K997" s="36" t="s">
        <v>48</v>
      </c>
      <c r="O997" s="36" t="s">
        <v>48</v>
      </c>
      <c r="R997" s="36" t="s">
        <v>48</v>
      </c>
    </row>
    <row r="998">
      <c r="G998" s="36" t="s">
        <v>48</v>
      </c>
      <c r="H998" s="50" t="s">
        <v>48</v>
      </c>
      <c r="I998" s="50" t="s">
        <v>48</v>
      </c>
      <c r="J998" s="36" t="s">
        <v>48</v>
      </c>
      <c r="K998" s="36" t="s">
        <v>48</v>
      </c>
      <c r="O998" s="36" t="s">
        <v>48</v>
      </c>
      <c r="R998" s="36" t="s">
        <v>48</v>
      </c>
    </row>
    <row r="999">
      <c r="G999" s="36" t="s">
        <v>48</v>
      </c>
      <c r="H999" s="50" t="s">
        <v>48</v>
      </c>
      <c r="I999" s="50" t="s">
        <v>48</v>
      </c>
      <c r="J999" s="36" t="s">
        <v>48</v>
      </c>
      <c r="K999" s="36" t="s">
        <v>48</v>
      </c>
      <c r="O999" s="36" t="s">
        <v>48</v>
      </c>
      <c r="R999" s="36" t="s">
        <v>48</v>
      </c>
    </row>
    <row r="1000">
      <c r="G1000" s="36" t="s">
        <v>48</v>
      </c>
      <c r="H1000" s="50" t="s">
        <v>48</v>
      </c>
      <c r="I1000" s="50" t="s">
        <v>48</v>
      </c>
      <c r="J1000" s="36" t="s">
        <v>48</v>
      </c>
      <c r="K1000" s="36" t="s">
        <v>48</v>
      </c>
      <c r="O1000" s="36" t="s">
        <v>48</v>
      </c>
      <c r="R1000" s="36" t="s">
        <v>48</v>
      </c>
    </row>
    <row r="1001">
      <c r="G1001" s="36" t="s">
        <v>48</v>
      </c>
      <c r="H1001" s="50" t="s">
        <v>48</v>
      </c>
      <c r="I1001" s="50" t="s">
        <v>48</v>
      </c>
      <c r="J1001" s="36" t="s">
        <v>48</v>
      </c>
      <c r="K1001" s="36" t="s">
        <v>48</v>
      </c>
      <c r="O1001" s="36" t="s">
        <v>48</v>
      </c>
      <c r="R1001" s="36" t="s">
        <v>48</v>
      </c>
    </row>
    <row r="1002">
      <c r="H1002" s="50" t="s">
        <v>48</v>
      </c>
      <c r="I1002" s="50" t="s">
        <v>48</v>
      </c>
      <c r="J1002" s="36" t="s">
        <v>48</v>
      </c>
      <c r="K1002" s="36" t="s">
        <v>48</v>
      </c>
      <c r="O1002" s="36" t="s">
        <v>48</v>
      </c>
      <c r="R1002" s="36" t="s">
        <v>48</v>
      </c>
    </row>
    <row r="1003">
      <c r="H1003" s="50"/>
      <c r="I1003" s="50"/>
      <c r="O1003" s="36" t="s">
        <v>48</v>
      </c>
      <c r="R1003" s="36" t="s">
        <v>48</v>
      </c>
    </row>
    <row r="1004">
      <c r="H1004" s="50"/>
      <c r="I1004" s="50"/>
      <c r="O1004" s="36" t="s">
        <v>48</v>
      </c>
      <c r="R1004" s="36" t="s">
        <v>48</v>
      </c>
    </row>
    <row r="1005">
      <c r="H1005" s="50"/>
      <c r="I1005" s="50"/>
      <c r="O1005" s="36" t="s">
        <v>48</v>
      </c>
      <c r="R1005" s="36" t="s">
        <v>48</v>
      </c>
    </row>
    <row r="1006">
      <c r="H1006" s="50"/>
      <c r="I1006" s="50"/>
      <c r="O1006" s="36" t="s">
        <v>48</v>
      </c>
      <c r="R1006" s="36" t="s">
        <v>48</v>
      </c>
    </row>
    <row r="1007">
      <c r="H1007" s="50"/>
      <c r="I1007" s="50"/>
      <c r="O1007" s="36" t="s">
        <v>48</v>
      </c>
      <c r="R1007" s="36" t="s">
        <v>48</v>
      </c>
    </row>
    <row r="1008">
      <c r="H1008" s="50"/>
      <c r="I1008" s="50"/>
      <c r="O1008" s="36" t="s">
        <v>48</v>
      </c>
      <c r="R1008" s="36" t="s">
        <v>48</v>
      </c>
    </row>
    <row r="1009">
      <c r="H1009" s="50"/>
      <c r="I1009" s="50"/>
      <c r="O1009" s="36" t="s">
        <v>48</v>
      </c>
      <c r="R1009" s="36" t="s">
        <v>48</v>
      </c>
    </row>
    <row r="1010">
      <c r="H1010" s="50"/>
      <c r="I1010" s="50"/>
      <c r="O1010" s="36" t="s">
        <v>48</v>
      </c>
      <c r="R1010" s="36" t="s">
        <v>48</v>
      </c>
    </row>
    <row r="1011">
      <c r="H1011" s="50"/>
      <c r="I1011" s="50"/>
      <c r="O1011" s="36" t="s">
        <v>48</v>
      </c>
      <c r="R1011" s="36" t="s">
        <v>48</v>
      </c>
    </row>
    <row r="1012">
      <c r="H1012" s="50"/>
      <c r="I1012" s="50"/>
      <c r="O1012" s="36" t="s">
        <v>48</v>
      </c>
      <c r="R1012" s="36" t="s">
        <v>48</v>
      </c>
    </row>
    <row r="1013">
      <c r="H1013" s="50"/>
      <c r="I1013" s="50"/>
      <c r="O1013" s="36" t="s">
        <v>48</v>
      </c>
      <c r="R1013" s="36" t="s">
        <v>48</v>
      </c>
    </row>
    <row r="1014">
      <c r="H1014" s="50"/>
      <c r="I1014" s="50"/>
      <c r="O1014" s="36" t="s">
        <v>48</v>
      </c>
      <c r="R1014" s="36" t="s">
        <v>48</v>
      </c>
    </row>
    <row r="1015">
      <c r="H1015" s="50"/>
      <c r="I1015" s="50"/>
      <c r="O1015" s="36" t="s">
        <v>48</v>
      </c>
      <c r="R1015" s="36" t="s">
        <v>48</v>
      </c>
    </row>
    <row r="1016">
      <c r="H1016" s="50"/>
      <c r="I1016" s="50"/>
      <c r="O1016" s="36" t="s">
        <v>48</v>
      </c>
      <c r="R1016" s="36" t="s">
        <v>48</v>
      </c>
    </row>
    <row r="1017">
      <c r="H1017" s="50"/>
      <c r="I1017" s="50"/>
      <c r="O1017" s="36" t="s">
        <v>48</v>
      </c>
      <c r="R1017" s="36" t="s">
        <v>48</v>
      </c>
    </row>
    <row r="1018">
      <c r="H1018" s="50"/>
      <c r="I1018" s="50"/>
      <c r="O1018" s="36" t="s">
        <v>48</v>
      </c>
      <c r="R1018" s="36" t="s">
        <v>48</v>
      </c>
    </row>
    <row r="1019">
      <c r="H1019" s="50"/>
      <c r="I1019" s="50"/>
      <c r="O1019" s="36" t="s">
        <v>48</v>
      </c>
      <c r="R1019" s="36" t="s">
        <v>48</v>
      </c>
    </row>
    <row r="1020">
      <c r="H1020" s="50"/>
      <c r="I1020" s="50"/>
      <c r="O1020" s="36" t="s">
        <v>48</v>
      </c>
      <c r="R1020" s="36" t="s">
        <v>48</v>
      </c>
    </row>
    <row r="1021">
      <c r="H1021" s="50"/>
      <c r="I1021" s="50"/>
      <c r="O1021" s="36" t="s">
        <v>48</v>
      </c>
      <c r="R1021" s="36" t="s">
        <v>48</v>
      </c>
    </row>
    <row r="1022">
      <c r="H1022" s="50"/>
      <c r="I1022" s="50"/>
      <c r="O1022" s="36" t="s">
        <v>48</v>
      </c>
      <c r="R1022" s="36" t="s">
        <v>48</v>
      </c>
    </row>
    <row r="1023">
      <c r="H1023" s="50"/>
      <c r="I1023" s="50"/>
      <c r="O1023" s="36" t="s">
        <v>48</v>
      </c>
      <c r="R1023" s="36" t="s">
        <v>48</v>
      </c>
    </row>
    <row r="1024">
      <c r="H1024" s="50"/>
      <c r="I1024" s="50"/>
      <c r="O1024" s="36" t="s">
        <v>48</v>
      </c>
      <c r="R1024" s="36" t="s">
        <v>48</v>
      </c>
    </row>
    <row r="1025">
      <c r="H1025" s="50"/>
      <c r="I1025" s="50"/>
      <c r="O1025" s="36" t="s">
        <v>48</v>
      </c>
      <c r="R1025" s="36" t="s">
        <v>48</v>
      </c>
    </row>
    <row r="1026">
      <c r="H1026" s="50"/>
      <c r="I1026" s="50"/>
      <c r="O1026" s="36" t="s">
        <v>48</v>
      </c>
      <c r="R1026" s="36" t="s">
        <v>48</v>
      </c>
    </row>
    <row r="1027">
      <c r="H1027" s="50"/>
      <c r="I1027" s="50"/>
      <c r="O1027" s="36" t="s">
        <v>48</v>
      </c>
      <c r="R1027" s="36" t="s">
        <v>48</v>
      </c>
    </row>
    <row r="1028">
      <c r="H1028" s="50"/>
      <c r="I1028" s="50"/>
      <c r="O1028" s="36" t="s">
        <v>48</v>
      </c>
      <c r="R1028" s="36" t="s">
        <v>48</v>
      </c>
    </row>
    <row r="1029">
      <c r="H1029" s="50"/>
      <c r="I1029" s="50"/>
      <c r="O1029" s="36" t="s">
        <v>48</v>
      </c>
      <c r="R1029" s="36" t="s">
        <v>48</v>
      </c>
    </row>
    <row r="1030">
      <c r="H1030" s="50"/>
      <c r="I1030" s="50"/>
      <c r="O1030" s="36" t="s">
        <v>48</v>
      </c>
      <c r="R1030" s="36" t="s">
        <v>48</v>
      </c>
    </row>
    <row r="1031">
      <c r="H1031" s="50"/>
      <c r="I1031" s="50"/>
      <c r="O1031" s="36" t="s">
        <v>48</v>
      </c>
      <c r="R1031" s="36" t="s">
        <v>48</v>
      </c>
    </row>
    <row r="1032">
      <c r="H1032" s="50"/>
      <c r="I1032" s="50"/>
      <c r="O1032" s="36" t="s">
        <v>48</v>
      </c>
      <c r="R1032" s="36" t="s">
        <v>48</v>
      </c>
    </row>
    <row r="1033">
      <c r="H1033" s="50"/>
      <c r="I1033" s="50"/>
      <c r="O1033" s="36" t="s">
        <v>48</v>
      </c>
      <c r="R1033" s="36" t="s">
        <v>48</v>
      </c>
    </row>
    <row r="1034">
      <c r="H1034" s="50"/>
      <c r="I1034" s="50"/>
      <c r="O1034" s="36" t="s">
        <v>48</v>
      </c>
      <c r="R1034" s="36" t="s">
        <v>48</v>
      </c>
    </row>
    <row r="1035">
      <c r="H1035" s="50"/>
      <c r="I1035" s="50"/>
      <c r="O1035" s="36" t="s">
        <v>48</v>
      </c>
      <c r="R1035" s="36" t="s">
        <v>48</v>
      </c>
    </row>
    <row r="1036">
      <c r="H1036" s="50"/>
      <c r="I1036" s="50"/>
      <c r="O1036" s="36" t="s">
        <v>48</v>
      </c>
      <c r="R1036" s="36" t="s">
        <v>48</v>
      </c>
    </row>
    <row r="1037">
      <c r="H1037" s="50"/>
      <c r="I1037" s="50"/>
      <c r="O1037" s="36" t="s">
        <v>48</v>
      </c>
      <c r="R1037" s="36" t="s">
        <v>48</v>
      </c>
    </row>
    <row r="1038">
      <c r="H1038" s="50"/>
      <c r="I1038" s="50"/>
      <c r="O1038" s="36" t="s">
        <v>48</v>
      </c>
      <c r="R1038" s="36" t="s">
        <v>48</v>
      </c>
    </row>
    <row r="1039">
      <c r="H1039" s="50"/>
      <c r="I1039" s="50"/>
      <c r="O1039" s="36" t="s">
        <v>48</v>
      </c>
      <c r="R1039" s="36" t="s">
        <v>48</v>
      </c>
    </row>
    <row r="1040">
      <c r="H1040" s="50"/>
      <c r="I1040" s="50"/>
      <c r="O1040" s="36" t="s">
        <v>48</v>
      </c>
      <c r="R1040" s="36" t="s">
        <v>48</v>
      </c>
    </row>
    <row r="1041">
      <c r="H1041" s="50"/>
      <c r="I1041" s="50"/>
      <c r="O1041" s="36" t="s">
        <v>48</v>
      </c>
      <c r="R1041" s="36" t="s">
        <v>48</v>
      </c>
    </row>
    <row r="1042">
      <c r="H1042" s="50"/>
      <c r="I1042" s="50"/>
      <c r="O1042" s="36" t="s">
        <v>48</v>
      </c>
      <c r="R1042" s="36" t="s">
        <v>48</v>
      </c>
    </row>
    <row r="1043">
      <c r="H1043" s="50"/>
      <c r="I1043" s="50"/>
      <c r="O1043" s="36" t="s">
        <v>48</v>
      </c>
      <c r="R1043" s="36" t="s">
        <v>48</v>
      </c>
    </row>
    <row r="1044">
      <c r="H1044" s="50"/>
      <c r="I1044" s="50"/>
      <c r="O1044" s="36" t="s">
        <v>48</v>
      </c>
      <c r="R1044" s="36" t="s">
        <v>48</v>
      </c>
    </row>
    <row r="1045">
      <c r="H1045" s="50"/>
      <c r="I1045" s="50"/>
      <c r="O1045" s="36" t="s">
        <v>48</v>
      </c>
      <c r="R1045" s="36" t="s">
        <v>48</v>
      </c>
    </row>
    <row r="1046">
      <c r="H1046" s="50"/>
      <c r="I1046" s="50"/>
      <c r="O1046" s="36" t="s">
        <v>48</v>
      </c>
      <c r="R1046" s="36" t="s">
        <v>48</v>
      </c>
    </row>
    <row r="1047">
      <c r="H1047" s="50"/>
      <c r="I1047" s="50"/>
      <c r="O1047" s="36" t="s">
        <v>48</v>
      </c>
      <c r="R1047" s="36" t="s">
        <v>48</v>
      </c>
    </row>
    <row r="1048">
      <c r="H1048" s="50"/>
      <c r="I1048" s="50"/>
      <c r="O1048" s="36" t="s">
        <v>48</v>
      </c>
      <c r="R1048" s="36" t="s">
        <v>48</v>
      </c>
    </row>
    <row r="1049">
      <c r="H1049" s="50"/>
      <c r="I1049" s="50"/>
      <c r="O1049" s="36" t="s">
        <v>48</v>
      </c>
      <c r="R1049" s="36" t="s">
        <v>48</v>
      </c>
    </row>
    <row r="1050">
      <c r="H1050" s="50"/>
      <c r="I1050" s="50"/>
      <c r="O1050" s="36" t="s">
        <v>48</v>
      </c>
      <c r="R1050" s="36" t="s">
        <v>48</v>
      </c>
    </row>
    <row r="1051">
      <c r="H1051" s="50"/>
      <c r="I1051" s="50"/>
      <c r="O1051" s="36" t="s">
        <v>48</v>
      </c>
      <c r="R1051" s="36" t="s">
        <v>48</v>
      </c>
    </row>
    <row r="1052">
      <c r="H1052" s="50"/>
      <c r="I1052" s="50"/>
      <c r="O1052" s="36" t="s">
        <v>48</v>
      </c>
      <c r="R1052" s="36" t="s">
        <v>48</v>
      </c>
    </row>
    <row r="1053">
      <c r="H1053" s="50"/>
      <c r="I1053" s="50"/>
      <c r="O1053" s="36" t="s">
        <v>48</v>
      </c>
      <c r="R1053" s="36" t="s">
        <v>48</v>
      </c>
    </row>
    <row r="1054">
      <c r="H1054" s="50"/>
      <c r="I1054" s="50"/>
      <c r="O1054" s="36" t="s">
        <v>48</v>
      </c>
      <c r="R1054" s="36" t="s">
        <v>48</v>
      </c>
    </row>
    <row r="1055">
      <c r="H1055" s="50"/>
      <c r="I1055" s="50"/>
      <c r="O1055" s="36" t="s">
        <v>48</v>
      </c>
      <c r="R1055" s="36" t="s">
        <v>48</v>
      </c>
    </row>
    <row r="1056">
      <c r="H1056" s="50"/>
      <c r="I1056" s="50"/>
      <c r="O1056" s="36" t="s">
        <v>48</v>
      </c>
      <c r="R1056" s="36" t="s">
        <v>48</v>
      </c>
    </row>
    <row r="1057">
      <c r="H1057" s="50"/>
      <c r="I1057" s="50"/>
      <c r="O1057" s="36" t="s">
        <v>48</v>
      </c>
      <c r="R1057" s="36" t="s">
        <v>48</v>
      </c>
    </row>
    <row r="1058">
      <c r="H1058" s="50"/>
      <c r="I1058" s="50"/>
      <c r="O1058" s="36" t="s">
        <v>48</v>
      </c>
      <c r="R1058" s="36" t="s">
        <v>48</v>
      </c>
    </row>
    <row r="1059">
      <c r="H1059" s="50"/>
      <c r="I1059" s="50"/>
      <c r="O1059" s="36" t="s">
        <v>48</v>
      </c>
      <c r="R1059" s="36" t="s">
        <v>48</v>
      </c>
    </row>
    <row r="1060">
      <c r="H1060" s="50"/>
      <c r="I1060" s="50"/>
      <c r="O1060" s="36" t="s">
        <v>48</v>
      </c>
      <c r="R1060" s="36" t="s">
        <v>48</v>
      </c>
    </row>
    <row r="1061">
      <c r="H1061" s="50"/>
      <c r="I1061" s="50"/>
      <c r="O1061" s="36" t="s">
        <v>48</v>
      </c>
      <c r="R1061" s="36" t="s">
        <v>48</v>
      </c>
    </row>
    <row r="1062">
      <c r="H1062" s="50"/>
      <c r="I1062" s="50"/>
      <c r="O1062" s="36" t="s">
        <v>48</v>
      </c>
      <c r="R1062" s="36" t="s">
        <v>48</v>
      </c>
    </row>
    <row r="1063">
      <c r="H1063" s="50"/>
      <c r="I1063" s="50"/>
      <c r="O1063" s="36" t="s">
        <v>48</v>
      </c>
      <c r="R1063" s="36" t="s">
        <v>48</v>
      </c>
    </row>
    <row r="1064">
      <c r="H1064" s="50"/>
      <c r="I1064" s="50"/>
      <c r="O1064" s="36" t="s">
        <v>48</v>
      </c>
      <c r="R1064" s="36" t="s">
        <v>48</v>
      </c>
    </row>
    <row r="1065">
      <c r="H1065" s="50"/>
      <c r="I1065" s="50"/>
      <c r="O1065" s="36" t="s">
        <v>48</v>
      </c>
      <c r="R1065" s="36" t="s">
        <v>48</v>
      </c>
    </row>
    <row r="1066">
      <c r="H1066" s="50"/>
      <c r="I1066" s="50"/>
      <c r="O1066" s="36" t="s">
        <v>48</v>
      </c>
      <c r="R1066" s="36" t="s">
        <v>48</v>
      </c>
    </row>
    <row r="1067">
      <c r="H1067" s="50"/>
      <c r="I1067" s="50"/>
      <c r="O1067" s="36" t="s">
        <v>48</v>
      </c>
      <c r="R1067" s="36" t="s">
        <v>48</v>
      </c>
    </row>
    <row r="1068">
      <c r="H1068" s="50"/>
      <c r="I1068" s="50"/>
      <c r="O1068" s="36" t="s">
        <v>48</v>
      </c>
      <c r="R1068" s="36" t="s">
        <v>48</v>
      </c>
    </row>
    <row r="1069">
      <c r="H1069" s="50"/>
      <c r="I1069" s="50"/>
      <c r="O1069" s="36" t="s">
        <v>48</v>
      </c>
      <c r="R1069" s="36" t="s">
        <v>48</v>
      </c>
    </row>
    <row r="1070">
      <c r="H1070" s="50"/>
      <c r="I1070" s="50"/>
      <c r="O1070" s="36" t="s">
        <v>48</v>
      </c>
      <c r="R1070" s="36" t="s">
        <v>48</v>
      </c>
    </row>
    <row r="1071">
      <c r="H1071" s="50"/>
      <c r="I1071" s="50"/>
      <c r="O1071" s="36" t="s">
        <v>48</v>
      </c>
      <c r="R1071" s="36" t="s">
        <v>48</v>
      </c>
    </row>
    <row r="1072">
      <c r="H1072" s="50"/>
      <c r="I1072" s="50"/>
      <c r="O1072" s="36" t="s">
        <v>48</v>
      </c>
      <c r="R1072" s="36" t="s">
        <v>48</v>
      </c>
    </row>
    <row r="1073">
      <c r="H1073" s="50"/>
      <c r="I1073" s="50"/>
      <c r="O1073" s="36" t="s">
        <v>48</v>
      </c>
      <c r="R1073" s="36" t="s">
        <v>48</v>
      </c>
    </row>
    <row r="1074">
      <c r="H1074" s="50"/>
      <c r="I1074" s="50"/>
      <c r="O1074" s="36" t="s">
        <v>48</v>
      </c>
      <c r="R1074" s="36" t="s">
        <v>48</v>
      </c>
    </row>
    <row r="1075">
      <c r="H1075" s="50"/>
      <c r="I1075" s="50"/>
      <c r="O1075" s="36" t="s">
        <v>48</v>
      </c>
      <c r="R1075" s="36" t="s">
        <v>48</v>
      </c>
    </row>
    <row r="1076">
      <c r="H1076" s="50"/>
      <c r="I1076" s="50"/>
      <c r="O1076" s="36" t="s">
        <v>48</v>
      </c>
      <c r="R1076" s="36" t="s">
        <v>48</v>
      </c>
    </row>
    <row r="1077">
      <c r="H1077" s="50"/>
      <c r="I1077" s="50"/>
      <c r="O1077" s="36" t="s">
        <v>48</v>
      </c>
      <c r="R1077" s="36" t="s">
        <v>48</v>
      </c>
    </row>
    <row r="1078">
      <c r="H1078" s="50"/>
      <c r="I1078" s="50"/>
      <c r="O1078" s="36" t="s">
        <v>48</v>
      </c>
      <c r="R1078" s="36" t="s">
        <v>48</v>
      </c>
    </row>
    <row r="1079">
      <c r="H1079" s="50"/>
      <c r="I1079" s="50"/>
      <c r="O1079" s="36" t="s">
        <v>48</v>
      </c>
      <c r="R1079" s="36" t="s">
        <v>48</v>
      </c>
    </row>
    <row r="1080">
      <c r="H1080" s="50"/>
      <c r="I1080" s="50"/>
      <c r="O1080" s="36" t="s">
        <v>48</v>
      </c>
      <c r="R1080" s="36" t="s">
        <v>48</v>
      </c>
    </row>
    <row r="1081">
      <c r="H1081" s="50"/>
      <c r="I1081" s="50"/>
      <c r="O1081" s="36" t="s">
        <v>48</v>
      </c>
      <c r="R1081" s="36" t="s">
        <v>48</v>
      </c>
    </row>
    <row r="1082">
      <c r="H1082" s="50"/>
      <c r="I1082" s="50"/>
      <c r="O1082" s="36" t="s">
        <v>48</v>
      </c>
      <c r="R1082" s="36" t="s">
        <v>48</v>
      </c>
    </row>
    <row r="1083">
      <c r="H1083" s="50"/>
      <c r="I1083" s="50"/>
      <c r="O1083" s="36" t="s">
        <v>48</v>
      </c>
      <c r="R1083" s="36" t="s">
        <v>48</v>
      </c>
    </row>
    <row r="1084">
      <c r="H1084" s="50"/>
      <c r="I1084" s="50"/>
      <c r="O1084" s="36" t="s">
        <v>48</v>
      </c>
      <c r="R1084" s="36" t="s">
        <v>48</v>
      </c>
    </row>
    <row r="1085">
      <c r="H1085" s="50"/>
      <c r="I1085" s="50"/>
      <c r="O1085" s="36" t="s">
        <v>48</v>
      </c>
      <c r="R1085" s="36" t="s">
        <v>48</v>
      </c>
    </row>
    <row r="1086">
      <c r="H1086" s="50"/>
      <c r="I1086" s="50"/>
      <c r="O1086" s="36" t="s">
        <v>48</v>
      </c>
      <c r="R1086" s="36" t="s">
        <v>48</v>
      </c>
    </row>
    <row r="1087">
      <c r="H1087" s="50"/>
      <c r="I1087" s="50"/>
      <c r="O1087" s="36" t="s">
        <v>48</v>
      </c>
      <c r="R1087" s="36" t="s">
        <v>48</v>
      </c>
    </row>
    <row r="1088">
      <c r="H1088" s="50"/>
      <c r="I1088" s="50"/>
      <c r="O1088" s="36" t="s">
        <v>48</v>
      </c>
      <c r="R1088" s="36" t="s">
        <v>48</v>
      </c>
    </row>
    <row r="1089">
      <c r="H1089" s="50"/>
      <c r="I1089" s="50"/>
      <c r="O1089" s="36" t="s">
        <v>48</v>
      </c>
      <c r="R1089" s="36" t="s">
        <v>48</v>
      </c>
    </row>
    <row r="1090">
      <c r="H1090" s="50"/>
      <c r="I1090" s="50"/>
      <c r="O1090" s="36" t="s">
        <v>48</v>
      </c>
      <c r="R1090" s="36" t="s">
        <v>48</v>
      </c>
    </row>
    <row r="1091">
      <c r="H1091" s="50"/>
      <c r="I1091" s="50"/>
      <c r="O1091" s="36" t="s">
        <v>48</v>
      </c>
      <c r="R1091" s="36" t="s">
        <v>48</v>
      </c>
    </row>
    <row r="1092">
      <c r="H1092" s="50"/>
      <c r="I1092" s="50"/>
      <c r="O1092" s="36" t="s">
        <v>48</v>
      </c>
      <c r="R1092" s="36" t="s">
        <v>48</v>
      </c>
    </row>
    <row r="1093">
      <c r="H1093" s="50"/>
      <c r="I1093" s="50"/>
      <c r="O1093" s="36" t="s">
        <v>48</v>
      </c>
      <c r="R1093" s="36" t="s">
        <v>48</v>
      </c>
    </row>
    <row r="1094">
      <c r="H1094" s="50"/>
      <c r="I1094" s="50"/>
      <c r="O1094" s="36" t="s">
        <v>48</v>
      </c>
      <c r="R1094" s="36" t="s">
        <v>48</v>
      </c>
    </row>
    <row r="1095">
      <c r="H1095" s="50"/>
      <c r="I1095" s="50"/>
      <c r="O1095" s="36" t="s">
        <v>48</v>
      </c>
      <c r="R1095" s="36" t="s">
        <v>48</v>
      </c>
    </row>
    <row r="1096">
      <c r="H1096" s="50"/>
      <c r="I1096" s="50"/>
      <c r="O1096" s="36" t="s">
        <v>48</v>
      </c>
      <c r="R1096" s="36" t="s">
        <v>48</v>
      </c>
    </row>
    <row r="1097">
      <c r="H1097" s="50"/>
      <c r="I1097" s="50"/>
      <c r="O1097" s="36" t="s">
        <v>48</v>
      </c>
      <c r="R1097" s="36" t="s">
        <v>48</v>
      </c>
    </row>
    <row r="1098">
      <c r="H1098" s="50"/>
      <c r="I1098" s="50"/>
      <c r="O1098" s="36" t="s">
        <v>48</v>
      </c>
      <c r="R1098" s="36" t="s">
        <v>48</v>
      </c>
    </row>
    <row r="1099">
      <c r="H1099" s="50"/>
      <c r="I1099" s="50"/>
      <c r="O1099" s="36" t="s">
        <v>48</v>
      </c>
      <c r="R1099" s="36" t="s">
        <v>48</v>
      </c>
    </row>
    <row r="1100">
      <c r="H1100" s="50"/>
      <c r="I1100" s="50"/>
      <c r="O1100" s="36" t="s">
        <v>48</v>
      </c>
      <c r="R1100" s="36" t="s">
        <v>48</v>
      </c>
    </row>
    <row r="1101">
      <c r="H1101" s="50"/>
      <c r="I1101" s="50"/>
      <c r="O1101" s="36" t="s">
        <v>48</v>
      </c>
      <c r="R1101" s="36" t="s">
        <v>48</v>
      </c>
    </row>
    <row r="1102">
      <c r="H1102" s="50"/>
      <c r="I1102" s="50"/>
      <c r="O1102" s="36" t="s">
        <v>48</v>
      </c>
      <c r="R1102" s="36" t="s">
        <v>48</v>
      </c>
    </row>
    <row r="1103">
      <c r="H1103" s="50"/>
      <c r="I1103" s="50"/>
      <c r="O1103" s="36" t="s">
        <v>48</v>
      </c>
      <c r="R1103" s="36" t="s">
        <v>48</v>
      </c>
    </row>
    <row r="1104">
      <c r="H1104" s="50"/>
      <c r="I1104" s="50"/>
      <c r="O1104" s="36" t="s">
        <v>48</v>
      </c>
      <c r="R1104" s="36" t="s">
        <v>48</v>
      </c>
    </row>
    <row r="1105">
      <c r="H1105" s="50"/>
      <c r="I1105" s="50"/>
      <c r="O1105" s="36" t="s">
        <v>48</v>
      </c>
      <c r="R1105" s="36" t="s">
        <v>48</v>
      </c>
    </row>
    <row r="1106">
      <c r="H1106" s="50"/>
      <c r="I1106" s="50"/>
      <c r="O1106" s="36" t="s">
        <v>48</v>
      </c>
      <c r="R1106" s="36" t="s">
        <v>48</v>
      </c>
    </row>
    <row r="1107">
      <c r="H1107" s="50"/>
      <c r="I1107" s="50"/>
      <c r="O1107" s="36" t="s">
        <v>48</v>
      </c>
      <c r="R1107" s="36" t="s">
        <v>48</v>
      </c>
    </row>
    <row r="1108">
      <c r="H1108" s="50"/>
      <c r="I1108" s="50"/>
      <c r="O1108" s="36" t="s">
        <v>48</v>
      </c>
      <c r="R1108" s="36" t="s">
        <v>48</v>
      </c>
    </row>
    <row r="1109">
      <c r="H1109" s="50"/>
      <c r="I1109" s="50"/>
      <c r="O1109" s="36" t="s">
        <v>48</v>
      </c>
      <c r="R1109" s="36" t="s">
        <v>48</v>
      </c>
    </row>
    <row r="1110">
      <c r="H1110" s="50"/>
      <c r="I1110" s="50"/>
      <c r="O1110" s="36" t="s">
        <v>48</v>
      </c>
      <c r="R1110" s="36" t="s">
        <v>48</v>
      </c>
    </row>
    <row r="1111">
      <c r="H1111" s="50"/>
      <c r="I1111" s="50"/>
      <c r="O1111" s="36" t="s">
        <v>48</v>
      </c>
      <c r="R1111" s="36" t="s">
        <v>48</v>
      </c>
    </row>
    <row r="1112">
      <c r="H1112" s="50"/>
      <c r="I1112" s="50"/>
      <c r="O1112" s="36" t="s">
        <v>48</v>
      </c>
      <c r="R1112" s="36" t="s">
        <v>48</v>
      </c>
    </row>
    <row r="1113">
      <c r="H1113" s="50"/>
      <c r="I1113" s="50"/>
      <c r="O1113" s="36" t="s">
        <v>48</v>
      </c>
      <c r="R1113" s="36" t="s">
        <v>48</v>
      </c>
    </row>
    <row r="1114">
      <c r="H1114" s="50"/>
      <c r="I1114" s="50"/>
      <c r="O1114" s="36" t="s">
        <v>48</v>
      </c>
      <c r="R1114" s="36" t="s">
        <v>48</v>
      </c>
    </row>
    <row r="1115">
      <c r="H1115" s="50"/>
      <c r="I1115" s="50"/>
      <c r="O1115" s="36" t="s">
        <v>48</v>
      </c>
      <c r="R1115" s="36" t="s">
        <v>48</v>
      </c>
    </row>
    <row r="1116">
      <c r="H1116" s="50"/>
      <c r="I1116" s="50"/>
      <c r="O1116" s="36" t="s">
        <v>48</v>
      </c>
      <c r="R1116" s="36" t="s">
        <v>48</v>
      </c>
    </row>
    <row r="1117">
      <c r="H1117" s="50"/>
      <c r="I1117" s="50"/>
      <c r="O1117" s="36" t="s">
        <v>48</v>
      </c>
      <c r="R1117" s="36" t="s">
        <v>48</v>
      </c>
    </row>
    <row r="1118">
      <c r="H1118" s="50"/>
      <c r="I1118" s="50"/>
      <c r="O1118" s="36" t="s">
        <v>48</v>
      </c>
      <c r="R1118" s="36" t="s">
        <v>48</v>
      </c>
    </row>
    <row r="1119">
      <c r="H1119" s="50"/>
      <c r="I1119" s="50"/>
      <c r="O1119" s="36" t="s">
        <v>48</v>
      </c>
      <c r="R1119" s="36" t="s">
        <v>48</v>
      </c>
    </row>
    <row r="1120">
      <c r="H1120" s="50"/>
      <c r="I1120" s="50"/>
      <c r="O1120" s="36" t="s">
        <v>48</v>
      </c>
      <c r="R1120" s="36" t="s">
        <v>48</v>
      </c>
    </row>
    <row r="1121">
      <c r="H1121" s="50"/>
      <c r="I1121" s="50"/>
      <c r="O1121" s="36" t="s">
        <v>48</v>
      </c>
      <c r="R1121" s="36" t="s">
        <v>48</v>
      </c>
    </row>
    <row r="1122">
      <c r="H1122" s="50"/>
      <c r="I1122" s="50"/>
      <c r="O1122" s="36" t="s">
        <v>48</v>
      </c>
      <c r="R1122" s="36" t="s">
        <v>48</v>
      </c>
    </row>
    <row r="1123">
      <c r="H1123" s="50"/>
      <c r="I1123" s="50"/>
      <c r="O1123" s="36" t="s">
        <v>48</v>
      </c>
      <c r="R1123" s="36" t="s">
        <v>48</v>
      </c>
    </row>
    <row r="1124">
      <c r="H1124" s="50"/>
      <c r="I1124" s="50"/>
      <c r="O1124" s="36" t="s">
        <v>48</v>
      </c>
      <c r="R1124" s="36" t="s">
        <v>48</v>
      </c>
    </row>
    <row r="1125">
      <c r="H1125" s="50"/>
      <c r="I1125" s="50"/>
      <c r="O1125" s="36" t="s">
        <v>48</v>
      </c>
      <c r="R1125" s="36" t="s">
        <v>48</v>
      </c>
    </row>
    <row r="1126">
      <c r="H1126" s="50"/>
      <c r="I1126" s="50"/>
      <c r="O1126" s="36" t="s">
        <v>48</v>
      </c>
      <c r="R1126" s="36" t="s">
        <v>48</v>
      </c>
    </row>
    <row r="1127">
      <c r="H1127" s="50"/>
      <c r="I1127" s="50"/>
      <c r="O1127" s="36" t="s">
        <v>48</v>
      </c>
      <c r="R1127" s="36" t="s">
        <v>48</v>
      </c>
    </row>
    <row r="1128">
      <c r="H1128" s="50"/>
      <c r="I1128" s="50"/>
      <c r="O1128" s="36" t="s">
        <v>48</v>
      </c>
      <c r="R1128" s="36" t="s">
        <v>48</v>
      </c>
    </row>
    <row r="1129">
      <c r="H1129" s="50"/>
      <c r="I1129" s="50"/>
      <c r="O1129" s="36" t="s">
        <v>48</v>
      </c>
      <c r="R1129" s="36" t="s">
        <v>48</v>
      </c>
    </row>
    <row r="1130">
      <c r="H1130" s="50"/>
      <c r="I1130" s="50"/>
      <c r="O1130" s="36" t="s">
        <v>48</v>
      </c>
      <c r="R1130" s="36" t="s">
        <v>48</v>
      </c>
    </row>
    <row r="1131">
      <c r="H1131" s="50"/>
      <c r="I1131" s="50"/>
      <c r="O1131" s="36" t="s">
        <v>48</v>
      </c>
      <c r="R1131" s="36" t="s">
        <v>48</v>
      </c>
    </row>
    <row r="1132">
      <c r="H1132" s="50"/>
      <c r="I1132" s="50"/>
      <c r="O1132" s="36" t="s">
        <v>48</v>
      </c>
      <c r="R1132" s="36" t="s">
        <v>48</v>
      </c>
    </row>
    <row r="1133">
      <c r="H1133" s="50"/>
      <c r="I1133" s="50"/>
      <c r="O1133" s="36" t="s">
        <v>48</v>
      </c>
      <c r="R1133" s="36" t="s">
        <v>48</v>
      </c>
    </row>
    <row r="1134">
      <c r="H1134" s="50"/>
      <c r="I1134" s="50"/>
      <c r="O1134" s="36" t="s">
        <v>48</v>
      </c>
      <c r="R1134" s="36" t="s">
        <v>48</v>
      </c>
    </row>
    <row r="1135">
      <c r="H1135" s="50"/>
      <c r="I1135" s="50"/>
      <c r="O1135" s="36" t="s">
        <v>48</v>
      </c>
      <c r="R1135" s="36" t="s">
        <v>48</v>
      </c>
    </row>
    <row r="1136">
      <c r="H1136" s="50"/>
      <c r="I1136" s="50"/>
      <c r="O1136" s="36" t="s">
        <v>48</v>
      </c>
      <c r="R1136" s="36" t="s">
        <v>48</v>
      </c>
    </row>
    <row r="1137">
      <c r="H1137" s="50"/>
      <c r="I1137" s="50"/>
      <c r="O1137" s="36" t="s">
        <v>48</v>
      </c>
      <c r="R1137" s="36" t="s">
        <v>48</v>
      </c>
    </row>
    <row r="1138">
      <c r="H1138" s="50"/>
      <c r="I1138" s="50"/>
      <c r="O1138" s="36" t="s">
        <v>48</v>
      </c>
      <c r="R1138" s="36" t="s">
        <v>48</v>
      </c>
    </row>
    <row r="1139">
      <c r="H1139" s="50"/>
      <c r="I1139" s="50"/>
      <c r="O1139" s="36" t="s">
        <v>48</v>
      </c>
      <c r="R1139" s="36" t="s">
        <v>48</v>
      </c>
    </row>
    <row r="1140">
      <c r="H1140" s="50"/>
      <c r="I1140" s="50"/>
      <c r="O1140" s="36" t="s">
        <v>48</v>
      </c>
      <c r="R1140" s="36" t="s">
        <v>48</v>
      </c>
    </row>
    <row r="1141">
      <c r="H1141" s="50"/>
      <c r="I1141" s="50"/>
      <c r="O1141" s="36" t="s">
        <v>48</v>
      </c>
      <c r="R1141" s="36" t="s">
        <v>48</v>
      </c>
    </row>
    <row r="1142">
      <c r="H1142" s="50"/>
      <c r="I1142" s="50"/>
      <c r="O1142" s="36" t="s">
        <v>48</v>
      </c>
      <c r="R1142" s="36" t="s">
        <v>48</v>
      </c>
    </row>
    <row r="1143">
      <c r="H1143" s="50"/>
      <c r="I1143" s="50"/>
      <c r="O1143" s="36" t="s">
        <v>48</v>
      </c>
      <c r="R1143" s="36" t="s">
        <v>48</v>
      </c>
    </row>
    <row r="1144">
      <c r="H1144" s="50"/>
      <c r="I1144" s="50"/>
      <c r="O1144" s="36" t="s">
        <v>48</v>
      </c>
      <c r="R1144" s="36" t="s">
        <v>48</v>
      </c>
    </row>
    <row r="1145">
      <c r="H1145" s="50"/>
      <c r="I1145" s="50"/>
      <c r="O1145" s="36" t="s">
        <v>48</v>
      </c>
      <c r="R1145" s="36" t="s">
        <v>48</v>
      </c>
    </row>
    <row r="1146">
      <c r="H1146" s="50"/>
      <c r="I1146" s="50"/>
      <c r="O1146" s="36" t="s">
        <v>48</v>
      </c>
      <c r="R1146" s="36" t="s">
        <v>48</v>
      </c>
    </row>
    <row r="1147">
      <c r="H1147" s="50"/>
      <c r="I1147" s="50"/>
      <c r="O1147" s="36" t="s">
        <v>48</v>
      </c>
      <c r="R1147" s="36" t="s">
        <v>48</v>
      </c>
    </row>
    <row r="1148">
      <c r="H1148" s="50"/>
      <c r="I1148" s="50"/>
      <c r="O1148" s="36" t="s">
        <v>48</v>
      </c>
      <c r="R1148" s="36" t="s">
        <v>48</v>
      </c>
    </row>
    <row r="1149">
      <c r="H1149" s="50"/>
      <c r="I1149" s="50"/>
      <c r="O1149" s="36" t="s">
        <v>48</v>
      </c>
      <c r="R1149" s="36" t="s">
        <v>48</v>
      </c>
    </row>
    <row r="1150">
      <c r="H1150" s="50"/>
      <c r="I1150" s="50"/>
      <c r="O1150" s="36" t="s">
        <v>48</v>
      </c>
      <c r="R1150" s="36" t="s">
        <v>48</v>
      </c>
    </row>
    <row r="1151">
      <c r="H1151" s="50"/>
      <c r="I1151" s="50"/>
      <c r="O1151" s="36" t="s">
        <v>48</v>
      </c>
      <c r="R1151" s="36" t="s">
        <v>48</v>
      </c>
    </row>
    <row r="1152">
      <c r="H1152" s="50"/>
      <c r="I1152" s="50"/>
      <c r="O1152" s="36" t="s">
        <v>48</v>
      </c>
      <c r="R1152" s="36" t="s">
        <v>48</v>
      </c>
    </row>
    <row r="1153">
      <c r="H1153" s="50"/>
      <c r="I1153" s="50"/>
      <c r="O1153" s="36" t="s">
        <v>48</v>
      </c>
      <c r="R1153" s="36" t="s">
        <v>48</v>
      </c>
    </row>
    <row r="1154">
      <c r="H1154" s="50"/>
      <c r="I1154" s="50"/>
      <c r="O1154" s="36" t="s">
        <v>48</v>
      </c>
      <c r="R1154" s="36" t="s">
        <v>48</v>
      </c>
    </row>
    <row r="1155">
      <c r="H1155" s="50"/>
      <c r="I1155" s="50"/>
      <c r="O1155" s="36" t="s">
        <v>48</v>
      </c>
      <c r="R1155" s="36" t="s">
        <v>48</v>
      </c>
    </row>
    <row r="1156">
      <c r="H1156" s="50"/>
      <c r="I1156" s="50"/>
      <c r="O1156" s="36" t="s">
        <v>48</v>
      </c>
      <c r="R1156" s="36" t="s">
        <v>48</v>
      </c>
    </row>
    <row r="1157">
      <c r="H1157" s="50"/>
      <c r="I1157" s="50"/>
      <c r="O1157" s="36" t="s">
        <v>48</v>
      </c>
      <c r="R1157" s="36" t="s">
        <v>48</v>
      </c>
    </row>
    <row r="1158">
      <c r="H1158" s="50"/>
      <c r="I1158" s="50"/>
      <c r="O1158" s="36" t="s">
        <v>48</v>
      </c>
      <c r="R1158" s="36" t="s">
        <v>48</v>
      </c>
    </row>
    <row r="1159">
      <c r="H1159" s="50"/>
      <c r="I1159" s="50"/>
      <c r="O1159" s="36" t="s">
        <v>48</v>
      </c>
      <c r="R1159" s="36" t="s">
        <v>48</v>
      </c>
    </row>
    <row r="1160">
      <c r="H1160" s="50"/>
      <c r="I1160" s="50"/>
      <c r="O1160" s="36" t="s">
        <v>48</v>
      </c>
      <c r="R1160" s="36" t="s">
        <v>48</v>
      </c>
    </row>
    <row r="1161">
      <c r="H1161" s="50"/>
      <c r="I1161" s="50"/>
      <c r="O1161" s="36" t="s">
        <v>48</v>
      </c>
      <c r="R1161" s="36" t="s">
        <v>48</v>
      </c>
    </row>
    <row r="1162">
      <c r="H1162" s="50"/>
      <c r="I1162" s="50"/>
      <c r="O1162" s="36" t="s">
        <v>48</v>
      </c>
      <c r="R1162" s="36" t="s">
        <v>48</v>
      </c>
    </row>
    <row r="1163">
      <c r="H1163" s="50"/>
      <c r="I1163" s="50"/>
      <c r="O1163" s="36" t="s">
        <v>48</v>
      </c>
      <c r="R1163" s="36" t="s">
        <v>48</v>
      </c>
    </row>
    <row r="1164">
      <c r="H1164" s="50"/>
      <c r="I1164" s="50"/>
      <c r="O1164" s="36" t="s">
        <v>48</v>
      </c>
      <c r="R1164" s="36" t="s">
        <v>48</v>
      </c>
    </row>
    <row r="1165">
      <c r="H1165" s="50"/>
      <c r="I1165" s="50"/>
      <c r="O1165" s="36" t="s">
        <v>48</v>
      </c>
      <c r="R1165" s="36" t="s">
        <v>48</v>
      </c>
    </row>
    <row r="1166">
      <c r="H1166" s="50"/>
      <c r="I1166" s="50"/>
      <c r="O1166" s="36" t="s">
        <v>48</v>
      </c>
      <c r="R1166" s="36" t="s">
        <v>48</v>
      </c>
    </row>
    <row r="1167">
      <c r="H1167" s="50"/>
      <c r="I1167" s="50"/>
      <c r="O1167" s="36" t="s">
        <v>48</v>
      </c>
      <c r="R1167" s="36" t="s">
        <v>48</v>
      </c>
    </row>
    <row r="1168">
      <c r="H1168" s="50"/>
      <c r="I1168" s="50"/>
      <c r="O1168" s="36" t="s">
        <v>48</v>
      </c>
      <c r="R1168" s="36" t="s">
        <v>48</v>
      </c>
    </row>
    <row r="1169">
      <c r="H1169" s="50"/>
      <c r="I1169" s="50"/>
      <c r="O1169" s="36" t="s">
        <v>48</v>
      </c>
      <c r="R1169" s="36" t="s">
        <v>48</v>
      </c>
    </row>
    <row r="1170">
      <c r="H1170" s="50"/>
      <c r="I1170" s="50"/>
      <c r="O1170" s="36" t="s">
        <v>48</v>
      </c>
      <c r="R1170" s="36" t="s">
        <v>48</v>
      </c>
    </row>
    <row r="1171">
      <c r="H1171" s="50"/>
      <c r="I1171" s="50"/>
      <c r="O1171" s="36" t="s">
        <v>48</v>
      </c>
      <c r="R1171" s="36" t="s">
        <v>48</v>
      </c>
    </row>
    <row r="1172">
      <c r="H1172" s="50"/>
      <c r="I1172" s="50"/>
      <c r="O1172" s="36" t="s">
        <v>48</v>
      </c>
      <c r="R1172" s="36" t="s">
        <v>48</v>
      </c>
    </row>
    <row r="1173">
      <c r="H1173" s="50"/>
      <c r="I1173" s="50"/>
      <c r="O1173" s="36" t="s">
        <v>48</v>
      </c>
      <c r="R1173" s="36" t="s">
        <v>48</v>
      </c>
    </row>
    <row r="1174">
      <c r="H1174" s="50"/>
      <c r="I1174" s="50"/>
      <c r="O1174" s="36" t="s">
        <v>48</v>
      </c>
      <c r="R1174" s="36" t="s">
        <v>48</v>
      </c>
    </row>
    <row r="1175">
      <c r="H1175" s="50"/>
      <c r="I1175" s="50"/>
      <c r="O1175" s="36" t="s">
        <v>48</v>
      </c>
      <c r="R1175" s="36" t="s">
        <v>48</v>
      </c>
    </row>
    <row r="1176">
      <c r="H1176" s="50"/>
      <c r="I1176" s="50"/>
      <c r="O1176" s="36" t="s">
        <v>48</v>
      </c>
      <c r="R1176" s="36" t="s">
        <v>48</v>
      </c>
    </row>
    <row r="1177">
      <c r="H1177" s="50"/>
      <c r="I1177" s="50"/>
      <c r="O1177" s="36" t="s">
        <v>48</v>
      </c>
      <c r="R1177" s="36" t="s">
        <v>48</v>
      </c>
    </row>
    <row r="1178">
      <c r="H1178" s="50"/>
      <c r="I1178" s="50"/>
      <c r="O1178" s="36" t="s">
        <v>48</v>
      </c>
      <c r="R1178" s="36" t="s">
        <v>48</v>
      </c>
    </row>
    <row r="1179">
      <c r="H1179" s="50"/>
      <c r="I1179" s="50"/>
      <c r="O1179" s="36" t="s">
        <v>48</v>
      </c>
      <c r="R1179" s="36" t="s">
        <v>48</v>
      </c>
    </row>
    <row r="1180">
      <c r="H1180" s="50"/>
      <c r="I1180" s="50"/>
      <c r="O1180" s="36" t="s">
        <v>48</v>
      </c>
      <c r="R1180" s="36" t="s">
        <v>48</v>
      </c>
    </row>
    <row r="1181">
      <c r="H1181" s="50"/>
      <c r="I1181" s="50"/>
      <c r="O1181" s="36" t="s">
        <v>48</v>
      </c>
      <c r="R1181" s="36" t="s">
        <v>48</v>
      </c>
    </row>
    <row r="1182">
      <c r="H1182" s="50"/>
      <c r="I1182" s="50"/>
      <c r="O1182" s="36" t="s">
        <v>48</v>
      </c>
      <c r="R1182" s="36" t="s">
        <v>48</v>
      </c>
    </row>
    <row r="1183">
      <c r="H1183" s="50"/>
      <c r="I1183" s="50"/>
      <c r="O1183" s="36" t="s">
        <v>48</v>
      </c>
      <c r="R1183" s="36" t="s">
        <v>48</v>
      </c>
    </row>
    <row r="1184">
      <c r="H1184" s="50"/>
      <c r="I1184" s="50"/>
      <c r="O1184" s="36" t="s">
        <v>48</v>
      </c>
      <c r="R1184" s="36" t="s">
        <v>48</v>
      </c>
    </row>
    <row r="1185">
      <c r="H1185" s="50"/>
      <c r="I1185" s="50"/>
      <c r="O1185" s="36" t="s">
        <v>48</v>
      </c>
      <c r="R1185" s="36" t="s">
        <v>48</v>
      </c>
    </row>
    <row r="1186">
      <c r="H1186" s="50"/>
      <c r="I1186" s="50"/>
      <c r="O1186" s="36" t="s">
        <v>48</v>
      </c>
      <c r="R1186" s="36" t="s">
        <v>48</v>
      </c>
    </row>
    <row r="1187">
      <c r="H1187" s="50"/>
      <c r="I1187" s="50"/>
      <c r="O1187" s="36" t="s">
        <v>48</v>
      </c>
      <c r="R1187" s="36" t="s">
        <v>48</v>
      </c>
    </row>
    <row r="1188">
      <c r="H1188" s="50"/>
      <c r="I1188" s="50"/>
      <c r="O1188" s="36" t="s">
        <v>48</v>
      </c>
      <c r="R1188" s="36" t="s">
        <v>48</v>
      </c>
    </row>
    <row r="1189">
      <c r="H1189" s="50"/>
      <c r="I1189" s="50"/>
      <c r="O1189" s="36" t="s">
        <v>48</v>
      </c>
      <c r="R1189" s="36" t="s">
        <v>48</v>
      </c>
    </row>
    <row r="1190">
      <c r="H1190" s="50"/>
      <c r="I1190" s="50"/>
      <c r="O1190" s="36" t="s">
        <v>48</v>
      </c>
      <c r="R1190" s="36" t="s">
        <v>48</v>
      </c>
    </row>
    <row r="1191">
      <c r="H1191" s="50"/>
      <c r="I1191" s="50"/>
      <c r="O1191" s="36" t="s">
        <v>48</v>
      </c>
      <c r="R1191" s="36" t="s">
        <v>48</v>
      </c>
    </row>
    <row r="1192">
      <c r="H1192" s="50"/>
      <c r="I1192" s="50"/>
      <c r="O1192" s="36" t="s">
        <v>48</v>
      </c>
      <c r="R1192" s="36" t="s">
        <v>48</v>
      </c>
    </row>
    <row r="1193">
      <c r="H1193" s="50"/>
      <c r="I1193" s="50"/>
      <c r="O1193" s="36" t="s">
        <v>48</v>
      </c>
      <c r="R1193" s="36" t="s">
        <v>48</v>
      </c>
    </row>
    <row r="1194">
      <c r="H1194" s="50"/>
      <c r="I1194" s="50"/>
      <c r="O1194" s="36" t="s">
        <v>48</v>
      </c>
      <c r="R1194" s="36" t="s">
        <v>48</v>
      </c>
    </row>
    <row r="1195">
      <c r="H1195" s="50"/>
      <c r="I1195" s="50"/>
      <c r="O1195" s="36" t="s">
        <v>48</v>
      </c>
      <c r="R1195" s="36" t="s">
        <v>48</v>
      </c>
    </row>
    <row r="1196">
      <c r="H1196" s="50"/>
      <c r="I1196" s="50"/>
      <c r="O1196" s="36" t="s">
        <v>48</v>
      </c>
      <c r="R1196" s="36" t="s">
        <v>48</v>
      </c>
    </row>
    <row r="1197">
      <c r="H1197" s="50"/>
      <c r="I1197" s="50"/>
      <c r="O1197" s="36" t="s">
        <v>48</v>
      </c>
      <c r="R1197" s="36" t="s">
        <v>48</v>
      </c>
    </row>
    <row r="1198">
      <c r="H1198" s="50"/>
      <c r="I1198" s="50"/>
      <c r="O1198" s="36" t="s">
        <v>48</v>
      </c>
      <c r="R1198" s="36" t="s">
        <v>48</v>
      </c>
    </row>
    <row r="1199">
      <c r="H1199" s="50"/>
      <c r="I1199" s="50"/>
      <c r="O1199" s="36" t="s">
        <v>48</v>
      </c>
      <c r="R1199" s="36" t="s">
        <v>48</v>
      </c>
    </row>
    <row r="1200">
      <c r="H1200" s="50"/>
      <c r="I1200" s="50"/>
      <c r="O1200" s="36" t="s">
        <v>48</v>
      </c>
      <c r="R1200" s="36" t="s">
        <v>48</v>
      </c>
    </row>
    <row r="1201">
      <c r="H1201" s="50"/>
      <c r="I1201" s="50"/>
      <c r="O1201" s="36" t="s">
        <v>48</v>
      </c>
      <c r="R1201" s="36" t="s">
        <v>48</v>
      </c>
    </row>
    <row r="1202">
      <c r="H1202" s="50"/>
      <c r="I1202" s="50"/>
      <c r="O1202" s="36" t="s">
        <v>48</v>
      </c>
      <c r="R1202" s="36" t="s">
        <v>48</v>
      </c>
    </row>
    <row r="1203">
      <c r="H1203" s="50"/>
      <c r="I1203" s="50"/>
      <c r="O1203" s="36" t="s">
        <v>48</v>
      </c>
      <c r="R1203" s="36" t="s">
        <v>48</v>
      </c>
    </row>
    <row r="1204">
      <c r="H1204" s="50"/>
      <c r="I1204" s="50"/>
      <c r="O1204" s="36" t="s">
        <v>48</v>
      </c>
      <c r="R1204" s="36" t="s">
        <v>48</v>
      </c>
    </row>
    <row r="1205">
      <c r="H1205" s="50"/>
      <c r="I1205" s="50"/>
      <c r="O1205" s="36" t="s">
        <v>48</v>
      </c>
      <c r="R1205" s="36" t="s">
        <v>48</v>
      </c>
    </row>
    <row r="1206">
      <c r="H1206" s="50"/>
      <c r="I1206" s="50"/>
      <c r="O1206" s="36" t="s">
        <v>48</v>
      </c>
      <c r="R1206" s="36" t="s">
        <v>48</v>
      </c>
    </row>
    <row r="1207">
      <c r="H1207" s="50"/>
      <c r="I1207" s="50"/>
      <c r="O1207" s="36" t="s">
        <v>48</v>
      </c>
      <c r="R1207" s="36" t="s">
        <v>48</v>
      </c>
    </row>
    <row r="1208">
      <c r="H1208" s="50"/>
      <c r="I1208" s="50"/>
      <c r="O1208" s="36" t="s">
        <v>48</v>
      </c>
      <c r="R1208" s="36" t="s">
        <v>48</v>
      </c>
    </row>
    <row r="1209">
      <c r="H1209" s="50"/>
      <c r="I1209" s="50"/>
      <c r="O1209" s="36" t="s">
        <v>48</v>
      </c>
      <c r="R1209" s="36" t="s">
        <v>48</v>
      </c>
    </row>
    <row r="1210">
      <c r="H1210" s="50"/>
      <c r="I1210" s="50"/>
      <c r="O1210" s="36" t="s">
        <v>48</v>
      </c>
      <c r="R1210" s="36" t="s">
        <v>48</v>
      </c>
    </row>
    <row r="1211">
      <c r="H1211" s="50"/>
      <c r="I1211" s="50"/>
      <c r="O1211" s="36" t="s">
        <v>48</v>
      </c>
      <c r="R1211" s="36" t="s">
        <v>48</v>
      </c>
    </row>
    <row r="1212">
      <c r="H1212" s="50"/>
      <c r="I1212" s="50"/>
      <c r="O1212" s="36" t="s">
        <v>48</v>
      </c>
      <c r="R1212" s="36" t="s">
        <v>48</v>
      </c>
    </row>
    <row r="1213">
      <c r="H1213" s="50"/>
      <c r="I1213" s="50"/>
      <c r="O1213" s="36" t="s">
        <v>48</v>
      </c>
      <c r="R1213" s="36" t="s">
        <v>48</v>
      </c>
    </row>
    <row r="1214">
      <c r="H1214" s="50"/>
      <c r="I1214" s="50"/>
      <c r="O1214" s="36" t="s">
        <v>48</v>
      </c>
      <c r="R1214" s="36" t="s">
        <v>48</v>
      </c>
    </row>
    <row r="1215">
      <c r="H1215" s="50"/>
      <c r="I1215" s="50"/>
      <c r="O1215" s="36" t="s">
        <v>48</v>
      </c>
      <c r="R1215" s="36" t="s">
        <v>48</v>
      </c>
    </row>
    <row r="1216">
      <c r="H1216" s="50"/>
      <c r="I1216" s="50"/>
      <c r="O1216" s="36" t="s">
        <v>48</v>
      </c>
      <c r="R1216" s="36" t="s">
        <v>48</v>
      </c>
    </row>
    <row r="1217">
      <c r="H1217" s="50"/>
      <c r="I1217" s="50"/>
      <c r="O1217" s="36" t="s">
        <v>48</v>
      </c>
      <c r="R1217" s="36" t="s">
        <v>48</v>
      </c>
    </row>
    <row r="1218">
      <c r="H1218" s="50"/>
      <c r="I1218" s="50"/>
      <c r="O1218" s="36" t="s">
        <v>48</v>
      </c>
      <c r="R1218" s="36" t="s">
        <v>48</v>
      </c>
    </row>
    <row r="1219">
      <c r="H1219" s="50"/>
      <c r="I1219" s="50"/>
      <c r="O1219" s="36" t="s">
        <v>48</v>
      </c>
      <c r="R1219" s="36" t="s">
        <v>48</v>
      </c>
    </row>
    <row r="1220">
      <c r="H1220" s="50"/>
      <c r="I1220" s="50"/>
      <c r="O1220" s="36" t="s">
        <v>48</v>
      </c>
      <c r="R1220" s="36" t="s">
        <v>48</v>
      </c>
    </row>
    <row r="1221">
      <c r="H1221" s="50"/>
      <c r="I1221" s="50"/>
      <c r="O1221" s="36" t="s">
        <v>48</v>
      </c>
      <c r="R1221" s="36" t="s">
        <v>48</v>
      </c>
    </row>
    <row r="1222">
      <c r="H1222" s="50"/>
      <c r="I1222" s="50"/>
      <c r="O1222" s="36" t="s">
        <v>48</v>
      </c>
      <c r="R1222" s="36" t="s">
        <v>48</v>
      </c>
    </row>
    <row r="1223">
      <c r="H1223" s="50"/>
      <c r="I1223" s="50"/>
      <c r="O1223" s="36" t="s">
        <v>48</v>
      </c>
      <c r="R1223" s="36" t="s">
        <v>48</v>
      </c>
    </row>
    <row r="1224">
      <c r="H1224" s="50"/>
      <c r="I1224" s="50"/>
      <c r="O1224" s="36" t="s">
        <v>48</v>
      </c>
      <c r="R1224" s="36" t="s">
        <v>48</v>
      </c>
    </row>
    <row r="1225">
      <c r="H1225" s="50"/>
      <c r="I1225" s="50"/>
      <c r="O1225" s="36" t="s">
        <v>48</v>
      </c>
      <c r="R1225" s="36" t="s">
        <v>48</v>
      </c>
    </row>
    <row r="1226">
      <c r="H1226" s="50"/>
      <c r="I1226" s="50"/>
      <c r="O1226" s="36" t="s">
        <v>48</v>
      </c>
      <c r="R1226" s="36" t="s">
        <v>48</v>
      </c>
    </row>
    <row r="1227">
      <c r="H1227" s="50"/>
      <c r="I1227" s="50"/>
      <c r="O1227" s="36" t="s">
        <v>48</v>
      </c>
      <c r="R1227" s="36" t="s">
        <v>48</v>
      </c>
    </row>
    <row r="1228">
      <c r="H1228" s="50"/>
      <c r="I1228" s="50"/>
      <c r="O1228" s="36" t="s">
        <v>48</v>
      </c>
      <c r="R1228" s="36" t="s">
        <v>48</v>
      </c>
    </row>
    <row r="1229">
      <c r="H1229" s="50"/>
      <c r="I1229" s="50"/>
      <c r="O1229" s="36" t="s">
        <v>48</v>
      </c>
      <c r="R1229" s="36" t="s">
        <v>48</v>
      </c>
    </row>
    <row r="1230">
      <c r="H1230" s="50"/>
      <c r="I1230" s="50"/>
      <c r="O1230" s="36" t="s">
        <v>48</v>
      </c>
      <c r="R1230" s="36" t="s">
        <v>48</v>
      </c>
    </row>
    <row r="1231">
      <c r="H1231" s="50"/>
      <c r="I1231" s="50"/>
      <c r="O1231" s="36" t="s">
        <v>48</v>
      </c>
      <c r="R1231" s="36" t="s">
        <v>48</v>
      </c>
    </row>
    <row r="1232">
      <c r="H1232" s="50"/>
      <c r="I1232" s="50"/>
      <c r="O1232" s="36" t="s">
        <v>48</v>
      </c>
      <c r="R1232" s="36" t="s">
        <v>48</v>
      </c>
    </row>
    <row r="1233">
      <c r="H1233" s="50"/>
      <c r="I1233" s="50"/>
      <c r="O1233" s="36" t="s">
        <v>48</v>
      </c>
      <c r="R1233" s="36" t="s">
        <v>48</v>
      </c>
    </row>
    <row r="1234">
      <c r="H1234" s="50"/>
      <c r="I1234" s="50"/>
      <c r="O1234" s="36" t="s">
        <v>48</v>
      </c>
      <c r="R1234" s="36" t="s">
        <v>48</v>
      </c>
    </row>
    <row r="1235">
      <c r="H1235" s="50"/>
      <c r="I1235" s="50"/>
      <c r="O1235" s="36" t="s">
        <v>48</v>
      </c>
      <c r="R1235" s="36" t="s">
        <v>48</v>
      </c>
    </row>
    <row r="1236">
      <c r="H1236" s="50"/>
      <c r="I1236" s="50"/>
      <c r="O1236" s="36" t="s">
        <v>48</v>
      </c>
      <c r="R1236" s="36" t="s">
        <v>48</v>
      </c>
    </row>
    <row r="1237">
      <c r="H1237" s="50"/>
      <c r="I1237" s="50"/>
      <c r="O1237" s="36" t="s">
        <v>48</v>
      </c>
      <c r="R1237" s="36" t="s">
        <v>48</v>
      </c>
    </row>
    <row r="1238">
      <c r="H1238" s="50"/>
      <c r="I1238" s="50"/>
      <c r="O1238" s="36" t="s">
        <v>48</v>
      </c>
      <c r="R1238" s="36" t="s">
        <v>48</v>
      </c>
    </row>
    <row r="1239">
      <c r="H1239" s="50"/>
      <c r="I1239" s="50"/>
      <c r="O1239" s="36" t="s">
        <v>48</v>
      </c>
      <c r="R1239" s="36" t="s">
        <v>48</v>
      </c>
    </row>
    <row r="1240">
      <c r="H1240" s="50"/>
      <c r="I1240" s="50"/>
      <c r="O1240" s="36" t="s">
        <v>48</v>
      </c>
      <c r="R1240" s="36" t="s">
        <v>48</v>
      </c>
    </row>
    <row r="1241">
      <c r="H1241" s="50"/>
      <c r="I1241" s="50"/>
      <c r="O1241" s="36" t="s">
        <v>48</v>
      </c>
      <c r="R1241" s="36" t="s">
        <v>48</v>
      </c>
    </row>
    <row r="1242">
      <c r="H1242" s="50"/>
      <c r="I1242" s="50"/>
      <c r="O1242" s="36" t="s">
        <v>48</v>
      </c>
      <c r="R1242" s="36" t="s">
        <v>48</v>
      </c>
    </row>
    <row r="1243">
      <c r="H1243" s="50"/>
      <c r="I1243" s="50"/>
      <c r="O1243" s="36" t="s">
        <v>48</v>
      </c>
      <c r="R1243" s="36" t="s">
        <v>48</v>
      </c>
    </row>
    <row r="1244">
      <c r="H1244" s="50"/>
      <c r="I1244" s="50"/>
      <c r="O1244" s="36" t="s">
        <v>48</v>
      </c>
      <c r="R1244" s="36" t="s">
        <v>48</v>
      </c>
    </row>
    <row r="1245">
      <c r="H1245" s="50"/>
      <c r="I1245" s="50"/>
      <c r="O1245" s="36" t="s">
        <v>48</v>
      </c>
      <c r="R1245" s="36" t="s">
        <v>48</v>
      </c>
    </row>
    <row r="1246">
      <c r="H1246" s="50"/>
      <c r="I1246" s="50"/>
      <c r="O1246" s="36" t="s">
        <v>48</v>
      </c>
      <c r="R1246" s="36" t="s">
        <v>48</v>
      </c>
    </row>
    <row r="1247">
      <c r="H1247" s="50"/>
      <c r="I1247" s="50"/>
      <c r="O1247" s="36" t="s">
        <v>48</v>
      </c>
      <c r="R1247" s="36" t="s">
        <v>48</v>
      </c>
    </row>
    <row r="1248">
      <c r="H1248" s="50"/>
      <c r="I1248" s="50"/>
      <c r="O1248" s="36" t="s">
        <v>48</v>
      </c>
      <c r="R1248" s="36" t="s">
        <v>48</v>
      </c>
    </row>
    <row r="1249">
      <c r="H1249" s="50"/>
      <c r="I1249" s="50"/>
      <c r="O1249" s="36" t="s">
        <v>48</v>
      </c>
      <c r="R1249" s="36" t="s">
        <v>48</v>
      </c>
    </row>
    <row r="1250">
      <c r="H1250" s="50"/>
      <c r="I1250" s="50"/>
      <c r="O1250" s="36" t="s">
        <v>48</v>
      </c>
      <c r="R1250" s="36" t="s">
        <v>48</v>
      </c>
    </row>
    <row r="1251">
      <c r="H1251" s="50"/>
      <c r="I1251" s="50"/>
      <c r="O1251" s="36" t="s">
        <v>48</v>
      </c>
      <c r="R1251" s="36" t="s">
        <v>48</v>
      </c>
    </row>
    <row r="1252">
      <c r="H1252" s="50"/>
      <c r="I1252" s="50"/>
      <c r="O1252" s="36" t="s">
        <v>48</v>
      </c>
      <c r="R1252" s="36" t="s">
        <v>48</v>
      </c>
    </row>
    <row r="1253">
      <c r="H1253" s="50"/>
      <c r="I1253" s="50"/>
      <c r="O1253" s="36" t="s">
        <v>48</v>
      </c>
      <c r="R1253" s="36" t="s">
        <v>48</v>
      </c>
    </row>
    <row r="1254">
      <c r="H1254" s="50"/>
      <c r="I1254" s="50"/>
      <c r="O1254" s="36" t="s">
        <v>48</v>
      </c>
      <c r="R1254" s="36" t="s">
        <v>48</v>
      </c>
    </row>
    <row r="1255">
      <c r="H1255" s="50"/>
      <c r="I1255" s="50"/>
      <c r="O1255" s="36" t="s">
        <v>48</v>
      </c>
      <c r="R1255" s="36" t="s">
        <v>48</v>
      </c>
    </row>
    <row r="1256">
      <c r="H1256" s="50"/>
      <c r="I1256" s="50"/>
      <c r="O1256" s="36" t="s">
        <v>48</v>
      </c>
      <c r="R1256" s="36" t="s">
        <v>48</v>
      </c>
    </row>
    <row r="1257">
      <c r="H1257" s="50"/>
      <c r="I1257" s="50"/>
      <c r="O1257" s="36" t="s">
        <v>48</v>
      </c>
      <c r="R1257" s="36" t="s">
        <v>48</v>
      </c>
    </row>
    <row r="1258">
      <c r="H1258" s="50"/>
      <c r="I1258" s="50"/>
      <c r="O1258" s="36" t="s">
        <v>48</v>
      </c>
      <c r="R1258" s="36" t="s">
        <v>48</v>
      </c>
    </row>
    <row r="1259">
      <c r="H1259" s="50"/>
      <c r="I1259" s="50"/>
      <c r="O1259" s="36" t="s">
        <v>48</v>
      </c>
      <c r="R1259" s="36" t="s">
        <v>48</v>
      </c>
    </row>
    <row r="1260">
      <c r="H1260" s="50"/>
      <c r="I1260" s="50"/>
      <c r="O1260" s="36" t="s">
        <v>48</v>
      </c>
      <c r="R1260" s="36" t="s">
        <v>48</v>
      </c>
    </row>
    <row r="1261">
      <c r="H1261" s="50"/>
      <c r="I1261" s="50"/>
      <c r="O1261" s="36" t="s">
        <v>48</v>
      </c>
      <c r="R1261" s="36" t="s">
        <v>48</v>
      </c>
    </row>
    <row r="1262">
      <c r="H1262" s="50"/>
      <c r="I1262" s="50"/>
      <c r="O1262" s="36" t="s">
        <v>48</v>
      </c>
      <c r="R1262" s="36" t="s">
        <v>48</v>
      </c>
    </row>
    <row r="1263">
      <c r="H1263" s="50"/>
      <c r="I1263" s="50"/>
      <c r="O1263" s="36" t="s">
        <v>48</v>
      </c>
      <c r="R1263" s="36" t="s">
        <v>48</v>
      </c>
    </row>
    <row r="1264">
      <c r="H1264" s="50"/>
      <c r="I1264" s="50"/>
      <c r="O1264" s="36" t="s">
        <v>48</v>
      </c>
      <c r="R1264" s="36" t="s">
        <v>48</v>
      </c>
    </row>
    <row r="1265">
      <c r="H1265" s="50"/>
      <c r="I1265" s="50"/>
      <c r="O1265" s="36" t="s">
        <v>48</v>
      </c>
      <c r="R1265" s="36" t="s">
        <v>48</v>
      </c>
    </row>
    <row r="1266">
      <c r="H1266" s="50"/>
      <c r="I1266" s="50"/>
      <c r="O1266" s="36" t="s">
        <v>48</v>
      </c>
      <c r="R1266" s="36" t="s">
        <v>48</v>
      </c>
    </row>
    <row r="1267">
      <c r="H1267" s="50"/>
      <c r="I1267" s="50"/>
      <c r="O1267" s="36" t="s">
        <v>48</v>
      </c>
      <c r="R1267" s="36" t="s">
        <v>48</v>
      </c>
    </row>
    <row r="1268">
      <c r="H1268" s="50"/>
      <c r="I1268" s="50"/>
      <c r="O1268" s="36" t="s">
        <v>48</v>
      </c>
      <c r="R1268" s="36" t="s">
        <v>48</v>
      </c>
    </row>
    <row r="1269">
      <c r="H1269" s="50"/>
      <c r="I1269" s="50"/>
      <c r="O1269" s="36" t="s">
        <v>48</v>
      </c>
      <c r="R1269" s="36" t="s">
        <v>48</v>
      </c>
    </row>
    <row r="1270">
      <c r="H1270" s="50"/>
      <c r="I1270" s="50"/>
      <c r="O1270" s="36" t="s">
        <v>48</v>
      </c>
      <c r="R1270" s="36" t="s">
        <v>48</v>
      </c>
    </row>
    <row r="1271">
      <c r="H1271" s="50"/>
      <c r="I1271" s="50"/>
      <c r="O1271" s="36" t="s">
        <v>48</v>
      </c>
      <c r="R1271" s="36" t="s">
        <v>48</v>
      </c>
    </row>
    <row r="1272">
      <c r="H1272" s="50"/>
      <c r="I1272" s="50"/>
      <c r="O1272" s="36" t="s">
        <v>48</v>
      </c>
      <c r="R1272" s="36" t="s">
        <v>48</v>
      </c>
    </row>
    <row r="1273">
      <c r="H1273" s="50"/>
      <c r="I1273" s="50"/>
      <c r="O1273" s="36" t="s">
        <v>48</v>
      </c>
      <c r="R1273" s="36" t="s">
        <v>48</v>
      </c>
    </row>
    <row r="1274">
      <c r="H1274" s="50"/>
      <c r="I1274" s="50"/>
      <c r="O1274" s="36" t="s">
        <v>48</v>
      </c>
      <c r="R1274" s="36" t="s">
        <v>48</v>
      </c>
    </row>
    <row r="1275">
      <c r="H1275" s="50"/>
      <c r="I1275" s="50"/>
      <c r="O1275" s="36" t="s">
        <v>48</v>
      </c>
      <c r="R1275" s="36" t="s">
        <v>48</v>
      </c>
    </row>
    <row r="1276">
      <c r="H1276" s="50"/>
      <c r="I1276" s="50"/>
      <c r="O1276" s="36" t="s">
        <v>48</v>
      </c>
      <c r="R1276" s="36" t="s">
        <v>48</v>
      </c>
    </row>
    <row r="1277">
      <c r="H1277" s="50"/>
      <c r="I1277" s="50"/>
      <c r="O1277" s="36" t="s">
        <v>48</v>
      </c>
      <c r="R1277" s="36" t="s">
        <v>48</v>
      </c>
    </row>
    <row r="1278">
      <c r="H1278" s="50"/>
      <c r="I1278" s="50"/>
      <c r="O1278" s="36" t="s">
        <v>48</v>
      </c>
      <c r="R1278" s="36" t="s">
        <v>48</v>
      </c>
    </row>
    <row r="1279">
      <c r="H1279" s="50"/>
      <c r="I1279" s="50"/>
      <c r="O1279" s="36" t="s">
        <v>48</v>
      </c>
      <c r="R1279" s="36" t="s">
        <v>48</v>
      </c>
    </row>
    <row r="1280">
      <c r="H1280" s="50"/>
      <c r="I1280" s="50"/>
      <c r="O1280" s="36" t="s">
        <v>48</v>
      </c>
      <c r="R1280" s="36" t="s">
        <v>48</v>
      </c>
    </row>
    <row r="1281">
      <c r="H1281" s="50"/>
      <c r="I1281" s="50"/>
      <c r="O1281" s="36" t="s">
        <v>48</v>
      </c>
      <c r="R1281" s="36" t="s">
        <v>48</v>
      </c>
    </row>
    <row r="1282">
      <c r="H1282" s="50"/>
      <c r="I1282" s="50"/>
      <c r="O1282" s="36" t="s">
        <v>48</v>
      </c>
      <c r="R1282" s="36" t="s">
        <v>48</v>
      </c>
    </row>
    <row r="1283">
      <c r="H1283" s="50"/>
      <c r="I1283" s="50"/>
      <c r="O1283" s="36" t="s">
        <v>48</v>
      </c>
      <c r="R1283" s="36" t="s">
        <v>48</v>
      </c>
    </row>
    <row r="1284">
      <c r="H1284" s="50"/>
      <c r="I1284" s="50"/>
      <c r="O1284" s="36" t="s">
        <v>48</v>
      </c>
      <c r="R1284" s="36" t="s">
        <v>48</v>
      </c>
    </row>
    <row r="1285">
      <c r="H1285" s="50"/>
      <c r="I1285" s="50"/>
      <c r="O1285" s="36" t="s">
        <v>48</v>
      </c>
      <c r="R1285" s="36" t="s">
        <v>48</v>
      </c>
    </row>
    <row r="1286">
      <c r="H1286" s="50"/>
      <c r="I1286" s="50"/>
      <c r="O1286" s="36" t="s">
        <v>48</v>
      </c>
      <c r="R1286" s="36" t="s">
        <v>48</v>
      </c>
    </row>
    <row r="1287">
      <c r="H1287" s="50"/>
      <c r="I1287" s="50"/>
      <c r="O1287" s="36" t="s">
        <v>48</v>
      </c>
      <c r="R1287" s="36" t="s">
        <v>48</v>
      </c>
    </row>
    <row r="1288">
      <c r="H1288" s="50"/>
      <c r="I1288" s="50"/>
      <c r="O1288" s="36" t="s">
        <v>48</v>
      </c>
      <c r="R1288" s="36" t="s">
        <v>48</v>
      </c>
    </row>
    <row r="1289">
      <c r="H1289" s="50"/>
      <c r="I1289" s="50"/>
      <c r="O1289" s="36" t="s">
        <v>48</v>
      </c>
      <c r="R1289" s="36" t="s">
        <v>48</v>
      </c>
    </row>
    <row r="1290">
      <c r="H1290" s="50"/>
      <c r="I1290" s="50"/>
      <c r="O1290" s="36" t="s">
        <v>48</v>
      </c>
      <c r="R1290" s="36" t="s">
        <v>48</v>
      </c>
    </row>
    <row r="1291">
      <c r="H1291" s="50"/>
      <c r="I1291" s="50"/>
      <c r="O1291" s="36" t="s">
        <v>48</v>
      </c>
      <c r="R1291" s="36" t="s">
        <v>48</v>
      </c>
    </row>
    <row r="1292">
      <c r="H1292" s="50"/>
      <c r="I1292" s="50"/>
      <c r="O1292" s="36" t="s">
        <v>48</v>
      </c>
      <c r="R1292" s="36" t="s">
        <v>48</v>
      </c>
    </row>
    <row r="1293">
      <c r="H1293" s="50"/>
      <c r="I1293" s="50"/>
      <c r="O1293" s="36" t="s">
        <v>48</v>
      </c>
      <c r="R1293" s="36" t="s">
        <v>48</v>
      </c>
    </row>
    <row r="1294">
      <c r="H1294" s="50"/>
      <c r="I1294" s="50"/>
      <c r="O1294" s="36" t="s">
        <v>48</v>
      </c>
      <c r="R1294" s="36" t="s">
        <v>48</v>
      </c>
    </row>
    <row r="1295">
      <c r="H1295" s="50"/>
      <c r="I1295" s="50"/>
      <c r="O1295" s="36" t="s">
        <v>48</v>
      </c>
      <c r="R1295" s="36" t="s">
        <v>48</v>
      </c>
    </row>
    <row r="1296">
      <c r="H1296" s="50"/>
      <c r="I1296" s="50"/>
      <c r="O1296" s="36" t="s">
        <v>48</v>
      </c>
      <c r="R1296" s="36" t="s">
        <v>48</v>
      </c>
    </row>
    <row r="1297">
      <c r="H1297" s="50"/>
      <c r="I1297" s="50"/>
      <c r="O1297" s="36" t="s">
        <v>48</v>
      </c>
      <c r="R1297" s="36" t="s">
        <v>48</v>
      </c>
    </row>
    <row r="1298">
      <c r="H1298" s="50"/>
      <c r="I1298" s="50"/>
      <c r="O1298" s="36" t="s">
        <v>48</v>
      </c>
      <c r="R1298" s="36" t="s">
        <v>48</v>
      </c>
    </row>
    <row r="1299">
      <c r="H1299" s="50"/>
      <c r="I1299" s="50"/>
      <c r="O1299" s="36" t="s">
        <v>48</v>
      </c>
      <c r="R1299" s="36" t="s">
        <v>48</v>
      </c>
    </row>
    <row r="1300">
      <c r="H1300" s="50"/>
      <c r="I1300" s="50"/>
      <c r="O1300" s="36" t="s">
        <v>48</v>
      </c>
      <c r="R1300" s="36" t="s">
        <v>48</v>
      </c>
    </row>
    <row r="1301">
      <c r="H1301" s="50"/>
      <c r="I1301" s="50"/>
      <c r="O1301" s="36" t="s">
        <v>48</v>
      </c>
      <c r="R1301" s="36" t="s">
        <v>48</v>
      </c>
    </row>
    <row r="1302">
      <c r="H1302" s="50"/>
      <c r="I1302" s="50"/>
      <c r="O1302" s="36" t="s">
        <v>48</v>
      </c>
      <c r="R1302" s="36" t="s">
        <v>48</v>
      </c>
    </row>
    <row r="1303">
      <c r="H1303" s="50"/>
      <c r="I1303" s="50"/>
      <c r="O1303" s="36" t="s">
        <v>48</v>
      </c>
      <c r="R1303" s="36" t="s">
        <v>48</v>
      </c>
    </row>
    <row r="1304">
      <c r="H1304" s="50"/>
      <c r="I1304" s="50"/>
      <c r="O1304" s="36" t="s">
        <v>48</v>
      </c>
      <c r="R1304" s="36" t="s">
        <v>48</v>
      </c>
    </row>
    <row r="1305">
      <c r="H1305" s="50"/>
      <c r="I1305" s="50"/>
      <c r="O1305" s="36" t="s">
        <v>48</v>
      </c>
      <c r="R1305" s="36" t="s">
        <v>48</v>
      </c>
    </row>
    <row r="1306">
      <c r="H1306" s="50"/>
      <c r="I1306" s="50"/>
      <c r="O1306" s="36" t="s">
        <v>48</v>
      </c>
      <c r="R1306" s="36" t="s">
        <v>48</v>
      </c>
    </row>
    <row r="1307">
      <c r="H1307" s="50"/>
      <c r="I1307" s="50"/>
      <c r="O1307" s="36" t="s">
        <v>48</v>
      </c>
      <c r="R1307" s="36" t="s">
        <v>48</v>
      </c>
    </row>
    <row r="1308">
      <c r="H1308" s="50"/>
      <c r="I1308" s="50"/>
      <c r="O1308" s="36" t="s">
        <v>48</v>
      </c>
      <c r="R1308" s="36" t="s">
        <v>48</v>
      </c>
    </row>
    <row r="1309">
      <c r="H1309" s="50"/>
      <c r="I1309" s="50"/>
      <c r="O1309" s="36" t="s">
        <v>48</v>
      </c>
      <c r="R1309" s="36" t="s">
        <v>48</v>
      </c>
    </row>
    <row r="1310">
      <c r="H1310" s="50"/>
      <c r="I1310" s="50"/>
      <c r="O1310" s="36" t="s">
        <v>48</v>
      </c>
      <c r="R1310" s="36" t="s">
        <v>48</v>
      </c>
    </row>
    <row r="1311">
      <c r="H1311" s="50"/>
      <c r="I1311" s="50"/>
      <c r="O1311" s="36" t="s">
        <v>48</v>
      </c>
      <c r="R1311" s="36" t="s">
        <v>48</v>
      </c>
    </row>
    <row r="1312">
      <c r="H1312" s="50"/>
      <c r="I1312" s="50"/>
      <c r="O1312" s="36" t="s">
        <v>48</v>
      </c>
      <c r="R1312" s="36" t="s">
        <v>48</v>
      </c>
    </row>
    <row r="1313">
      <c r="H1313" s="50"/>
      <c r="I1313" s="50"/>
      <c r="O1313" s="36" t="s">
        <v>48</v>
      </c>
      <c r="R1313" s="36" t="s">
        <v>48</v>
      </c>
    </row>
    <row r="1314">
      <c r="H1314" s="50"/>
      <c r="I1314" s="50"/>
      <c r="O1314" s="36" t="s">
        <v>48</v>
      </c>
      <c r="R1314" s="36" t="s">
        <v>48</v>
      </c>
    </row>
    <row r="1315">
      <c r="H1315" s="50"/>
      <c r="I1315" s="50"/>
      <c r="O1315" s="36" t="s">
        <v>48</v>
      </c>
      <c r="R1315" s="36" t="s">
        <v>48</v>
      </c>
    </row>
    <row r="1316">
      <c r="H1316" s="50"/>
      <c r="I1316" s="50"/>
      <c r="O1316" s="36" t="s">
        <v>48</v>
      </c>
      <c r="R1316" s="36" t="s">
        <v>48</v>
      </c>
    </row>
    <row r="1317">
      <c r="H1317" s="50"/>
      <c r="I1317" s="50"/>
      <c r="O1317" s="36" t="s">
        <v>48</v>
      </c>
      <c r="R1317" s="36" t="s">
        <v>48</v>
      </c>
    </row>
    <row r="1318">
      <c r="H1318" s="50"/>
      <c r="I1318" s="50"/>
      <c r="O1318" s="36" t="s">
        <v>48</v>
      </c>
      <c r="R1318" s="36" t="s">
        <v>48</v>
      </c>
    </row>
    <row r="1319">
      <c r="H1319" s="50"/>
      <c r="I1319" s="50"/>
      <c r="O1319" s="36" t="s">
        <v>48</v>
      </c>
      <c r="R1319" s="36" t="s">
        <v>48</v>
      </c>
    </row>
    <row r="1320">
      <c r="H1320" s="50"/>
      <c r="I1320" s="50"/>
      <c r="O1320" s="36" t="s">
        <v>48</v>
      </c>
      <c r="R1320" s="36" t="s">
        <v>48</v>
      </c>
    </row>
    <row r="1321">
      <c r="H1321" s="50"/>
      <c r="I1321" s="50"/>
      <c r="O1321" s="36" t="s">
        <v>48</v>
      </c>
      <c r="R1321" s="36" t="s">
        <v>48</v>
      </c>
    </row>
    <row r="1322">
      <c r="H1322" s="50"/>
      <c r="I1322" s="50"/>
      <c r="O1322" s="36" t="s">
        <v>48</v>
      </c>
      <c r="R1322" s="36" t="s">
        <v>48</v>
      </c>
    </row>
    <row r="1323">
      <c r="H1323" s="50"/>
      <c r="I1323" s="50"/>
      <c r="O1323" s="36" t="s">
        <v>48</v>
      </c>
      <c r="R1323" s="36" t="s">
        <v>48</v>
      </c>
    </row>
    <row r="1324">
      <c r="H1324" s="50"/>
      <c r="I1324" s="50"/>
      <c r="O1324" s="36" t="s">
        <v>48</v>
      </c>
      <c r="R1324" s="36" t="s">
        <v>48</v>
      </c>
    </row>
    <row r="1325">
      <c r="H1325" s="50"/>
      <c r="I1325" s="50"/>
      <c r="O1325" s="36" t="s">
        <v>48</v>
      </c>
      <c r="R1325" s="36" t="s">
        <v>48</v>
      </c>
    </row>
    <row r="1326">
      <c r="H1326" s="50"/>
      <c r="I1326" s="50"/>
      <c r="O1326" s="36" t="s">
        <v>48</v>
      </c>
      <c r="R1326" s="36" t="s">
        <v>48</v>
      </c>
    </row>
    <row r="1327">
      <c r="H1327" s="50"/>
      <c r="I1327" s="50"/>
      <c r="O1327" s="36" t="s">
        <v>48</v>
      </c>
      <c r="R1327" s="36" t="s">
        <v>48</v>
      </c>
    </row>
    <row r="1328">
      <c r="H1328" s="50"/>
      <c r="I1328" s="50"/>
      <c r="O1328" s="36" t="s">
        <v>48</v>
      </c>
      <c r="R1328" s="36" t="s">
        <v>48</v>
      </c>
    </row>
    <row r="1329">
      <c r="H1329" s="50"/>
      <c r="I1329" s="50"/>
      <c r="O1329" s="36" t="s">
        <v>48</v>
      </c>
      <c r="R1329" s="36" t="s">
        <v>48</v>
      </c>
    </row>
    <row r="1330">
      <c r="H1330" s="50"/>
      <c r="I1330" s="50"/>
      <c r="O1330" s="36" t="s">
        <v>48</v>
      </c>
      <c r="R1330" s="36" t="s">
        <v>48</v>
      </c>
    </row>
    <row r="1331">
      <c r="H1331" s="50"/>
      <c r="I1331" s="50"/>
      <c r="O1331" s="36" t="s">
        <v>48</v>
      </c>
      <c r="R1331" s="36" t="s">
        <v>48</v>
      </c>
    </row>
    <row r="1332">
      <c r="H1332" s="50"/>
      <c r="I1332" s="50"/>
      <c r="O1332" s="36" t="s">
        <v>48</v>
      </c>
      <c r="R1332" s="36" t="s">
        <v>48</v>
      </c>
    </row>
    <row r="1333">
      <c r="H1333" s="50"/>
      <c r="I1333" s="50"/>
      <c r="O1333" s="36" t="s">
        <v>48</v>
      </c>
      <c r="R1333" s="36" t="s">
        <v>48</v>
      </c>
    </row>
    <row r="1334">
      <c r="H1334" s="50"/>
      <c r="I1334" s="50"/>
      <c r="O1334" s="36" t="s">
        <v>48</v>
      </c>
      <c r="R1334" s="36" t="s">
        <v>48</v>
      </c>
    </row>
    <row r="1335">
      <c r="H1335" s="50"/>
      <c r="I1335" s="50"/>
      <c r="O1335" s="36" t="s">
        <v>48</v>
      </c>
      <c r="R1335" s="36" t="s">
        <v>48</v>
      </c>
    </row>
    <row r="1336">
      <c r="H1336" s="50"/>
      <c r="I1336" s="50"/>
      <c r="O1336" s="36" t="s">
        <v>48</v>
      </c>
      <c r="R1336" s="36" t="s">
        <v>48</v>
      </c>
    </row>
    <row r="1337">
      <c r="H1337" s="50"/>
      <c r="I1337" s="50"/>
      <c r="O1337" s="36" t="s">
        <v>48</v>
      </c>
      <c r="R1337" s="36" t="s">
        <v>48</v>
      </c>
    </row>
    <row r="1338">
      <c r="H1338" s="50"/>
      <c r="I1338" s="50"/>
      <c r="O1338" s="36" t="s">
        <v>48</v>
      </c>
      <c r="R1338" s="36" t="s">
        <v>48</v>
      </c>
    </row>
    <row r="1339">
      <c r="H1339" s="50"/>
      <c r="I1339" s="50"/>
      <c r="O1339" s="36" t="s">
        <v>48</v>
      </c>
      <c r="R1339" s="36" t="s">
        <v>48</v>
      </c>
    </row>
    <row r="1340">
      <c r="H1340" s="50"/>
      <c r="I1340" s="50"/>
      <c r="O1340" s="36" t="s">
        <v>48</v>
      </c>
      <c r="R1340" s="36" t="s">
        <v>48</v>
      </c>
    </row>
    <row r="1341">
      <c r="H1341" s="50"/>
      <c r="I1341" s="50"/>
      <c r="O1341" s="36" t="s">
        <v>48</v>
      </c>
      <c r="R1341" s="36" t="s">
        <v>48</v>
      </c>
    </row>
    <row r="1342">
      <c r="H1342" s="50"/>
      <c r="I1342" s="50"/>
      <c r="O1342" s="36" t="s">
        <v>48</v>
      </c>
      <c r="R1342" s="36" t="s">
        <v>48</v>
      </c>
    </row>
    <row r="1343">
      <c r="H1343" s="50"/>
      <c r="I1343" s="50"/>
      <c r="O1343" s="36" t="s">
        <v>48</v>
      </c>
      <c r="R1343" s="36" t="s">
        <v>48</v>
      </c>
    </row>
    <row r="1344">
      <c r="H1344" s="50"/>
      <c r="I1344" s="50"/>
      <c r="O1344" s="36" t="s">
        <v>48</v>
      </c>
      <c r="R1344" s="36" t="s">
        <v>48</v>
      </c>
    </row>
    <row r="1345">
      <c r="H1345" s="50"/>
      <c r="I1345" s="50"/>
      <c r="O1345" s="36" t="s">
        <v>48</v>
      </c>
      <c r="R1345" s="36" t="s">
        <v>48</v>
      </c>
    </row>
    <row r="1346">
      <c r="H1346" s="50"/>
      <c r="I1346" s="50"/>
      <c r="O1346" s="36" t="s">
        <v>48</v>
      </c>
      <c r="R1346" s="36" t="s">
        <v>48</v>
      </c>
    </row>
    <row r="1347">
      <c r="H1347" s="50"/>
      <c r="I1347" s="50"/>
      <c r="O1347" s="36" t="s">
        <v>48</v>
      </c>
      <c r="R1347" s="36" t="s">
        <v>48</v>
      </c>
    </row>
    <row r="1348">
      <c r="H1348" s="50"/>
      <c r="I1348" s="50"/>
      <c r="O1348" s="36" t="s">
        <v>48</v>
      </c>
      <c r="R1348" s="36" t="s">
        <v>48</v>
      </c>
    </row>
    <row r="1349">
      <c r="H1349" s="50"/>
      <c r="I1349" s="50"/>
      <c r="O1349" s="36" t="s">
        <v>48</v>
      </c>
      <c r="R1349" s="36" t="s">
        <v>48</v>
      </c>
    </row>
    <row r="1350">
      <c r="H1350" s="50"/>
      <c r="I1350" s="50"/>
      <c r="O1350" s="36" t="s">
        <v>48</v>
      </c>
      <c r="R1350" s="36" t="s">
        <v>48</v>
      </c>
    </row>
    <row r="1351">
      <c r="H1351" s="50"/>
      <c r="I1351" s="50"/>
      <c r="O1351" s="36" t="s">
        <v>48</v>
      </c>
      <c r="R1351" s="36" t="s">
        <v>48</v>
      </c>
    </row>
    <row r="1352">
      <c r="H1352" s="50"/>
      <c r="I1352" s="50"/>
      <c r="O1352" s="36" t="s">
        <v>48</v>
      </c>
      <c r="R1352" s="36" t="s">
        <v>48</v>
      </c>
    </row>
    <row r="1353">
      <c r="H1353" s="50"/>
      <c r="I1353" s="50"/>
      <c r="O1353" s="36" t="s">
        <v>48</v>
      </c>
      <c r="R1353" s="36" t="s">
        <v>48</v>
      </c>
    </row>
    <row r="1354">
      <c r="H1354" s="50"/>
      <c r="I1354" s="50"/>
      <c r="O1354" s="36" t="s">
        <v>48</v>
      </c>
      <c r="R1354" s="36" t="s">
        <v>48</v>
      </c>
    </row>
    <row r="1355">
      <c r="H1355" s="50"/>
      <c r="I1355" s="50"/>
      <c r="O1355" s="36" t="s">
        <v>48</v>
      </c>
      <c r="R1355" s="36" t="s">
        <v>48</v>
      </c>
    </row>
    <row r="1356">
      <c r="H1356" s="50"/>
      <c r="I1356" s="50"/>
      <c r="O1356" s="36" t="s">
        <v>48</v>
      </c>
      <c r="R1356" s="36" t="s">
        <v>48</v>
      </c>
    </row>
    <row r="1357">
      <c r="H1357" s="50"/>
      <c r="I1357" s="50"/>
      <c r="O1357" s="36" t="s">
        <v>48</v>
      </c>
      <c r="R1357" s="36" t="s">
        <v>48</v>
      </c>
    </row>
    <row r="1358">
      <c r="H1358" s="50"/>
      <c r="I1358" s="50"/>
      <c r="O1358" s="36" t="s">
        <v>48</v>
      </c>
      <c r="R1358" s="36" t="s">
        <v>48</v>
      </c>
    </row>
    <row r="1359">
      <c r="H1359" s="50"/>
      <c r="I1359" s="50"/>
      <c r="O1359" s="36" t="s">
        <v>48</v>
      </c>
      <c r="R1359" s="36" t="s">
        <v>48</v>
      </c>
    </row>
    <row r="1360">
      <c r="H1360" s="50"/>
      <c r="I1360" s="50"/>
      <c r="O1360" s="36" t="s">
        <v>48</v>
      </c>
      <c r="R1360" s="36" t="s">
        <v>48</v>
      </c>
    </row>
    <row r="1361">
      <c r="H1361" s="50"/>
      <c r="I1361" s="50"/>
      <c r="O1361" s="36" t="s">
        <v>48</v>
      </c>
      <c r="R1361" s="36" t="s">
        <v>48</v>
      </c>
    </row>
    <row r="1362">
      <c r="H1362" s="50"/>
      <c r="I1362" s="50"/>
      <c r="O1362" s="36" t="s">
        <v>48</v>
      </c>
      <c r="R1362" s="36" t="s">
        <v>48</v>
      </c>
    </row>
    <row r="1363">
      <c r="H1363" s="50"/>
      <c r="I1363" s="50"/>
      <c r="O1363" s="36" t="s">
        <v>48</v>
      </c>
      <c r="R1363" s="36" t="s">
        <v>48</v>
      </c>
    </row>
    <row r="1364">
      <c r="H1364" s="50"/>
      <c r="I1364" s="50"/>
      <c r="O1364" s="36" t="s">
        <v>48</v>
      </c>
      <c r="R1364" s="36" t="s">
        <v>48</v>
      </c>
    </row>
    <row r="1365">
      <c r="H1365" s="50"/>
      <c r="I1365" s="50"/>
      <c r="O1365" s="36" t="s">
        <v>48</v>
      </c>
      <c r="R1365" s="36" t="s">
        <v>48</v>
      </c>
    </row>
    <row r="1366">
      <c r="H1366" s="50"/>
      <c r="I1366" s="50"/>
      <c r="O1366" s="36" t="s">
        <v>48</v>
      </c>
      <c r="R1366" s="36" t="s">
        <v>48</v>
      </c>
    </row>
    <row r="1367">
      <c r="H1367" s="50"/>
      <c r="I1367" s="50"/>
      <c r="O1367" s="36" t="s">
        <v>48</v>
      </c>
      <c r="R1367" s="36" t="s">
        <v>48</v>
      </c>
    </row>
    <row r="1368">
      <c r="H1368" s="50"/>
      <c r="I1368" s="50"/>
      <c r="O1368" s="36" t="s">
        <v>48</v>
      </c>
      <c r="R1368" s="36" t="s">
        <v>48</v>
      </c>
    </row>
    <row r="1369">
      <c r="H1369" s="50"/>
      <c r="I1369" s="50"/>
      <c r="O1369" s="36" t="s">
        <v>48</v>
      </c>
      <c r="R1369" s="36" t="s">
        <v>48</v>
      </c>
    </row>
    <row r="1370">
      <c r="H1370" s="50"/>
      <c r="I1370" s="50"/>
      <c r="O1370" s="36" t="s">
        <v>48</v>
      </c>
      <c r="R1370" s="36" t="s">
        <v>48</v>
      </c>
    </row>
    <row r="1371">
      <c r="H1371" s="50"/>
      <c r="I1371" s="50"/>
      <c r="O1371" s="36" t="s">
        <v>48</v>
      </c>
      <c r="R1371" s="36" t="s">
        <v>48</v>
      </c>
    </row>
    <row r="1372">
      <c r="H1372" s="50"/>
      <c r="I1372" s="50"/>
      <c r="O1372" s="36" t="s">
        <v>48</v>
      </c>
      <c r="R1372" s="36" t="s">
        <v>48</v>
      </c>
    </row>
    <row r="1373">
      <c r="H1373" s="50"/>
      <c r="I1373" s="50"/>
      <c r="O1373" s="36" t="s">
        <v>48</v>
      </c>
      <c r="R1373" s="36" t="s">
        <v>48</v>
      </c>
    </row>
    <row r="1374">
      <c r="H1374" s="50"/>
      <c r="I1374" s="50"/>
      <c r="O1374" s="36" t="s">
        <v>48</v>
      </c>
      <c r="R1374" s="36" t="s">
        <v>48</v>
      </c>
    </row>
    <row r="1375">
      <c r="H1375" s="50"/>
      <c r="I1375" s="50"/>
      <c r="O1375" s="36" t="s">
        <v>48</v>
      </c>
      <c r="R1375" s="36" t="s">
        <v>48</v>
      </c>
    </row>
    <row r="1376">
      <c r="H1376" s="50"/>
      <c r="I1376" s="50"/>
      <c r="O1376" s="36" t="s">
        <v>48</v>
      </c>
      <c r="R1376" s="36" t="s">
        <v>48</v>
      </c>
    </row>
    <row r="1377">
      <c r="H1377" s="50"/>
      <c r="I1377" s="50"/>
      <c r="O1377" s="36" t="s">
        <v>48</v>
      </c>
      <c r="R1377" s="36" t="s">
        <v>48</v>
      </c>
    </row>
    <row r="1378">
      <c r="H1378" s="50"/>
      <c r="I1378" s="50"/>
      <c r="O1378" s="36" t="s">
        <v>48</v>
      </c>
      <c r="R1378" s="36" t="s">
        <v>48</v>
      </c>
    </row>
    <row r="1379">
      <c r="H1379" s="50"/>
      <c r="I1379" s="50"/>
      <c r="O1379" s="36" t="s">
        <v>48</v>
      </c>
      <c r="R1379" s="36" t="s">
        <v>48</v>
      </c>
    </row>
    <row r="1380">
      <c r="H1380" s="50"/>
      <c r="I1380" s="50"/>
      <c r="O1380" s="36" t="s">
        <v>48</v>
      </c>
      <c r="R1380" s="36" t="s">
        <v>48</v>
      </c>
    </row>
    <row r="1381">
      <c r="H1381" s="50"/>
      <c r="I1381" s="50"/>
      <c r="O1381" s="36" t="s">
        <v>48</v>
      </c>
      <c r="R1381" s="36" t="s">
        <v>48</v>
      </c>
    </row>
    <row r="1382">
      <c r="H1382" s="50"/>
      <c r="I1382" s="50"/>
      <c r="O1382" s="36" t="s">
        <v>48</v>
      </c>
      <c r="R1382" s="36" t="s">
        <v>48</v>
      </c>
    </row>
    <row r="1383">
      <c r="H1383" s="50"/>
      <c r="I1383" s="50"/>
      <c r="O1383" s="36" t="s">
        <v>48</v>
      </c>
      <c r="R1383" s="36" t="s">
        <v>48</v>
      </c>
    </row>
    <row r="1384">
      <c r="H1384" s="50"/>
      <c r="I1384" s="50"/>
      <c r="O1384" s="36" t="s">
        <v>48</v>
      </c>
      <c r="R1384" s="36" t="s">
        <v>48</v>
      </c>
    </row>
    <row r="1385">
      <c r="H1385" s="50"/>
      <c r="I1385" s="50"/>
      <c r="O1385" s="36" t="s">
        <v>48</v>
      </c>
      <c r="R1385" s="36" t="s">
        <v>48</v>
      </c>
    </row>
    <row r="1386">
      <c r="H1386" s="50"/>
      <c r="I1386" s="50"/>
      <c r="O1386" s="36" t="s">
        <v>48</v>
      </c>
      <c r="R1386" s="36" t="s">
        <v>48</v>
      </c>
    </row>
    <row r="1387">
      <c r="H1387" s="50"/>
      <c r="I1387" s="50"/>
      <c r="O1387" s="36" t="s">
        <v>48</v>
      </c>
      <c r="R1387" s="36" t="s">
        <v>48</v>
      </c>
    </row>
    <row r="1388">
      <c r="H1388" s="50"/>
      <c r="I1388" s="50"/>
      <c r="O1388" s="36" t="s">
        <v>48</v>
      </c>
      <c r="R1388" s="36" t="s">
        <v>48</v>
      </c>
    </row>
    <row r="1389">
      <c r="H1389" s="50"/>
      <c r="I1389" s="50"/>
      <c r="O1389" s="36" t="s">
        <v>48</v>
      </c>
      <c r="R1389" s="36" t="s">
        <v>48</v>
      </c>
    </row>
    <row r="1390">
      <c r="H1390" s="50"/>
      <c r="I1390" s="50"/>
      <c r="O1390" s="36" t="s">
        <v>48</v>
      </c>
      <c r="R1390" s="36" t="s">
        <v>48</v>
      </c>
    </row>
    <row r="1391">
      <c r="H1391" s="50"/>
      <c r="I1391" s="50"/>
      <c r="O1391" s="36" t="s">
        <v>48</v>
      </c>
      <c r="R1391" s="36" t="s">
        <v>48</v>
      </c>
    </row>
    <row r="1392">
      <c r="H1392" s="50"/>
      <c r="I1392" s="50"/>
      <c r="O1392" s="36" t="s">
        <v>48</v>
      </c>
      <c r="R1392" s="36" t="s">
        <v>48</v>
      </c>
    </row>
    <row r="1393">
      <c r="H1393" s="50"/>
      <c r="I1393" s="50"/>
      <c r="O1393" s="36" t="s">
        <v>48</v>
      </c>
      <c r="R1393" s="36" t="s">
        <v>48</v>
      </c>
    </row>
    <row r="1394">
      <c r="H1394" s="50"/>
      <c r="I1394" s="50"/>
      <c r="O1394" s="36" t="s">
        <v>48</v>
      </c>
      <c r="R1394" s="36" t="s">
        <v>48</v>
      </c>
    </row>
    <row r="1395">
      <c r="H1395" s="50"/>
      <c r="I1395" s="50"/>
      <c r="O1395" s="36" t="s">
        <v>48</v>
      </c>
      <c r="R1395" s="36" t="s">
        <v>48</v>
      </c>
    </row>
    <row r="1396">
      <c r="H1396" s="50"/>
      <c r="I1396" s="50"/>
      <c r="O1396" s="36" t="s">
        <v>48</v>
      </c>
      <c r="R1396" s="36" t="s">
        <v>48</v>
      </c>
    </row>
    <row r="1397">
      <c r="H1397" s="50"/>
      <c r="I1397" s="50"/>
      <c r="O1397" s="36" t="s">
        <v>48</v>
      </c>
      <c r="R1397" s="36" t="s">
        <v>48</v>
      </c>
    </row>
    <row r="1398">
      <c r="H1398" s="50"/>
      <c r="I1398" s="50"/>
      <c r="O1398" s="36" t="s">
        <v>48</v>
      </c>
      <c r="R1398" s="36" t="s">
        <v>48</v>
      </c>
    </row>
    <row r="1399">
      <c r="H1399" s="50"/>
      <c r="I1399" s="50"/>
      <c r="O1399" s="36" t="s">
        <v>48</v>
      </c>
      <c r="R1399" s="36" t="s">
        <v>48</v>
      </c>
    </row>
    <row r="1400">
      <c r="H1400" s="50"/>
      <c r="I1400" s="50"/>
      <c r="O1400" s="36" t="s">
        <v>48</v>
      </c>
      <c r="R1400" s="36" t="s">
        <v>48</v>
      </c>
    </row>
    <row r="1401">
      <c r="H1401" s="50"/>
      <c r="I1401" s="50"/>
      <c r="O1401" s="36" t="s">
        <v>48</v>
      </c>
      <c r="R1401" s="36" t="s">
        <v>48</v>
      </c>
    </row>
    <row r="1402">
      <c r="H1402" s="50"/>
      <c r="I1402" s="50"/>
      <c r="O1402" s="36" t="s">
        <v>48</v>
      </c>
      <c r="R1402" s="36" t="s">
        <v>48</v>
      </c>
    </row>
    <row r="1403">
      <c r="H1403" s="50"/>
      <c r="I1403" s="50"/>
      <c r="O1403" s="36" t="s">
        <v>48</v>
      </c>
      <c r="R1403" s="36" t="s">
        <v>48</v>
      </c>
    </row>
    <row r="1404">
      <c r="H1404" s="50"/>
      <c r="I1404" s="50"/>
      <c r="O1404" s="36" t="s">
        <v>48</v>
      </c>
      <c r="R1404" s="36" t="s">
        <v>48</v>
      </c>
    </row>
    <row r="1405">
      <c r="H1405" s="50"/>
      <c r="I1405" s="50"/>
      <c r="O1405" s="36" t="s">
        <v>48</v>
      </c>
      <c r="R1405" s="36" t="s">
        <v>48</v>
      </c>
    </row>
    <row r="1406">
      <c r="H1406" s="50"/>
      <c r="I1406" s="50"/>
      <c r="O1406" s="36" t="s">
        <v>48</v>
      </c>
      <c r="R1406" s="36" t="s">
        <v>48</v>
      </c>
    </row>
    <row r="1407">
      <c r="H1407" s="50"/>
      <c r="I1407" s="50"/>
      <c r="O1407" s="36" t="s">
        <v>48</v>
      </c>
      <c r="R1407" s="36" t="s">
        <v>48</v>
      </c>
    </row>
    <row r="1408">
      <c r="H1408" s="50"/>
      <c r="I1408" s="50"/>
      <c r="O1408" s="36" t="s">
        <v>48</v>
      </c>
      <c r="R1408" s="36" t="s">
        <v>48</v>
      </c>
    </row>
    <row r="1409">
      <c r="H1409" s="50"/>
      <c r="I1409" s="50"/>
      <c r="O1409" s="36" t="s">
        <v>48</v>
      </c>
      <c r="R1409" s="36" t="s">
        <v>48</v>
      </c>
    </row>
    <row r="1410">
      <c r="H1410" s="50"/>
      <c r="I1410" s="50"/>
      <c r="O1410" s="36" t="s">
        <v>48</v>
      </c>
      <c r="R1410" s="36" t="s">
        <v>48</v>
      </c>
    </row>
    <row r="1411">
      <c r="H1411" s="50"/>
      <c r="I1411" s="50"/>
      <c r="O1411" s="36" t="s">
        <v>48</v>
      </c>
      <c r="R1411" s="36" t="s">
        <v>48</v>
      </c>
    </row>
    <row r="1412">
      <c r="H1412" s="50"/>
      <c r="I1412" s="50"/>
      <c r="O1412" s="36" t="s">
        <v>48</v>
      </c>
      <c r="R1412" s="36" t="s">
        <v>48</v>
      </c>
    </row>
    <row r="1413">
      <c r="H1413" s="50"/>
      <c r="I1413" s="50"/>
      <c r="O1413" s="36" t="s">
        <v>48</v>
      </c>
      <c r="R1413" s="36" t="s">
        <v>48</v>
      </c>
    </row>
    <row r="1414">
      <c r="H1414" s="50"/>
      <c r="I1414" s="50"/>
      <c r="O1414" s="36" t="s">
        <v>48</v>
      </c>
      <c r="R1414" s="36" t="s">
        <v>48</v>
      </c>
    </row>
    <row r="1415">
      <c r="H1415" s="50"/>
      <c r="I1415" s="50"/>
      <c r="O1415" s="36" t="s">
        <v>48</v>
      </c>
      <c r="R1415" s="36" t="s">
        <v>48</v>
      </c>
    </row>
    <row r="1416">
      <c r="H1416" s="50"/>
      <c r="I1416" s="50"/>
      <c r="O1416" s="36" t="s">
        <v>48</v>
      </c>
      <c r="R1416" s="36" t="s">
        <v>48</v>
      </c>
    </row>
    <row r="1417">
      <c r="H1417" s="50"/>
      <c r="I1417" s="50"/>
      <c r="O1417" s="36" t="s">
        <v>48</v>
      </c>
      <c r="R1417" s="36" t="s">
        <v>48</v>
      </c>
    </row>
    <row r="1418">
      <c r="H1418" s="50"/>
      <c r="I1418" s="50"/>
      <c r="O1418" s="36" t="s">
        <v>48</v>
      </c>
      <c r="R1418" s="36" t="s">
        <v>48</v>
      </c>
    </row>
    <row r="1419">
      <c r="H1419" s="50"/>
      <c r="I1419" s="50"/>
      <c r="O1419" s="36" t="s">
        <v>48</v>
      </c>
      <c r="R1419" s="36" t="s">
        <v>48</v>
      </c>
    </row>
    <row r="1420">
      <c r="H1420" s="50"/>
      <c r="I1420" s="50"/>
      <c r="O1420" s="36" t="s">
        <v>48</v>
      </c>
      <c r="R1420" s="36" t="s">
        <v>48</v>
      </c>
    </row>
    <row r="1421">
      <c r="H1421" s="50"/>
      <c r="I1421" s="50"/>
      <c r="O1421" s="36" t="s">
        <v>48</v>
      </c>
      <c r="R1421" s="36" t="s">
        <v>48</v>
      </c>
    </row>
    <row r="1422">
      <c r="H1422" s="50"/>
      <c r="I1422" s="50"/>
      <c r="O1422" s="36" t="s">
        <v>48</v>
      </c>
      <c r="R1422" s="36" t="s">
        <v>48</v>
      </c>
    </row>
    <row r="1423">
      <c r="H1423" s="50"/>
      <c r="I1423" s="50"/>
      <c r="O1423" s="36" t="s">
        <v>48</v>
      </c>
      <c r="R1423" s="36" t="s">
        <v>48</v>
      </c>
    </row>
    <row r="1424">
      <c r="H1424" s="50"/>
      <c r="I1424" s="50"/>
      <c r="O1424" s="36" t="s">
        <v>48</v>
      </c>
      <c r="R1424" s="36" t="s">
        <v>48</v>
      </c>
    </row>
    <row r="1425">
      <c r="H1425" s="50"/>
      <c r="I1425" s="50"/>
      <c r="O1425" s="36" t="s">
        <v>48</v>
      </c>
      <c r="R1425" s="36" t="s">
        <v>48</v>
      </c>
    </row>
    <row r="1426">
      <c r="H1426" s="50"/>
      <c r="I1426" s="50"/>
      <c r="O1426" s="36" t="s">
        <v>48</v>
      </c>
      <c r="R1426" s="36" t="s">
        <v>48</v>
      </c>
    </row>
    <row r="1427">
      <c r="H1427" s="50"/>
      <c r="I1427" s="50"/>
      <c r="O1427" s="36" t="s">
        <v>48</v>
      </c>
      <c r="R1427" s="36" t="s">
        <v>48</v>
      </c>
    </row>
    <row r="1428">
      <c r="H1428" s="50"/>
      <c r="I1428" s="50"/>
      <c r="O1428" s="36" t="s">
        <v>48</v>
      </c>
      <c r="R1428" s="36" t="s">
        <v>48</v>
      </c>
    </row>
    <row r="1429">
      <c r="H1429" s="50"/>
      <c r="I1429" s="50"/>
      <c r="O1429" s="36" t="s">
        <v>48</v>
      </c>
      <c r="R1429" s="36" t="s">
        <v>48</v>
      </c>
    </row>
    <row r="1430">
      <c r="H1430" s="50"/>
      <c r="I1430" s="50"/>
      <c r="O1430" s="36" t="s">
        <v>48</v>
      </c>
      <c r="R1430" s="36" t="s">
        <v>48</v>
      </c>
    </row>
    <row r="1431">
      <c r="H1431" s="50"/>
      <c r="I1431" s="50"/>
      <c r="O1431" s="36" t="s">
        <v>48</v>
      </c>
      <c r="R1431" s="36" t="s">
        <v>48</v>
      </c>
    </row>
    <row r="1432">
      <c r="H1432" s="50"/>
      <c r="I1432" s="50"/>
      <c r="O1432" s="36" t="s">
        <v>48</v>
      </c>
      <c r="R1432" s="36" t="s">
        <v>48</v>
      </c>
    </row>
    <row r="1433">
      <c r="H1433" s="50"/>
      <c r="I1433" s="50"/>
      <c r="O1433" s="36" t="s">
        <v>48</v>
      </c>
      <c r="R1433" s="36" t="s">
        <v>48</v>
      </c>
    </row>
    <row r="1434">
      <c r="H1434" s="50"/>
      <c r="I1434" s="50"/>
      <c r="O1434" s="36" t="s">
        <v>48</v>
      </c>
      <c r="R1434" s="36" t="s">
        <v>48</v>
      </c>
    </row>
    <row r="1435">
      <c r="H1435" s="50"/>
      <c r="I1435" s="50"/>
      <c r="O1435" s="36" t="s">
        <v>48</v>
      </c>
      <c r="R1435" s="36" t="s">
        <v>48</v>
      </c>
    </row>
    <row r="1436">
      <c r="H1436" s="50"/>
      <c r="I1436" s="50"/>
      <c r="O1436" s="36" t="s">
        <v>48</v>
      </c>
      <c r="R1436" s="36" t="s">
        <v>48</v>
      </c>
    </row>
    <row r="1437">
      <c r="H1437" s="50"/>
      <c r="I1437" s="50"/>
      <c r="O1437" s="36" t="s">
        <v>48</v>
      </c>
      <c r="R1437" s="36" t="s">
        <v>48</v>
      </c>
    </row>
    <row r="1438">
      <c r="H1438" s="50"/>
      <c r="I1438" s="50"/>
      <c r="O1438" s="36" t="s">
        <v>48</v>
      </c>
      <c r="R1438" s="36" t="s">
        <v>48</v>
      </c>
    </row>
    <row r="1439">
      <c r="H1439" s="50"/>
      <c r="I1439" s="50"/>
      <c r="O1439" s="36" t="s">
        <v>48</v>
      </c>
      <c r="R1439" s="36" t="s">
        <v>48</v>
      </c>
    </row>
    <row r="1440">
      <c r="H1440" s="50"/>
      <c r="I1440" s="50"/>
      <c r="O1440" s="36" t="s">
        <v>48</v>
      </c>
      <c r="R1440" s="36" t="s">
        <v>48</v>
      </c>
    </row>
    <row r="1441">
      <c r="H1441" s="50"/>
      <c r="I1441" s="50"/>
      <c r="O1441" s="36" t="s">
        <v>48</v>
      </c>
      <c r="R1441" s="36" t="s">
        <v>48</v>
      </c>
    </row>
    <row r="1442">
      <c r="H1442" s="50"/>
      <c r="I1442" s="50"/>
      <c r="O1442" s="36" t="s">
        <v>48</v>
      </c>
      <c r="R1442" s="36" t="s">
        <v>48</v>
      </c>
    </row>
    <row r="1443">
      <c r="H1443" s="50"/>
      <c r="I1443" s="50"/>
      <c r="O1443" s="36" t="s">
        <v>48</v>
      </c>
      <c r="R1443" s="36" t="s">
        <v>48</v>
      </c>
    </row>
    <row r="1444">
      <c r="H1444" s="50"/>
      <c r="I1444" s="50"/>
      <c r="O1444" s="36" t="s">
        <v>48</v>
      </c>
      <c r="R1444" s="36" t="s">
        <v>48</v>
      </c>
    </row>
    <row r="1445">
      <c r="H1445" s="50"/>
      <c r="I1445" s="50"/>
      <c r="O1445" s="36" t="s">
        <v>48</v>
      </c>
      <c r="R1445" s="36" t="s">
        <v>48</v>
      </c>
    </row>
    <row r="1446">
      <c r="H1446" s="50"/>
      <c r="I1446" s="50"/>
      <c r="O1446" s="36" t="s">
        <v>48</v>
      </c>
      <c r="R1446" s="36" t="s">
        <v>48</v>
      </c>
    </row>
    <row r="1447">
      <c r="H1447" s="50"/>
      <c r="I1447" s="50"/>
      <c r="O1447" s="36" t="s">
        <v>48</v>
      </c>
      <c r="R1447" s="36" t="s">
        <v>48</v>
      </c>
    </row>
    <row r="1448">
      <c r="H1448" s="50"/>
      <c r="I1448" s="50"/>
      <c r="O1448" s="36" t="s">
        <v>48</v>
      </c>
      <c r="R1448" s="36" t="s">
        <v>48</v>
      </c>
    </row>
    <row r="1449">
      <c r="H1449" s="50"/>
      <c r="I1449" s="50"/>
      <c r="O1449" s="36" t="s">
        <v>48</v>
      </c>
      <c r="R1449" s="36" t="s">
        <v>48</v>
      </c>
    </row>
    <row r="1450">
      <c r="H1450" s="50"/>
      <c r="I1450" s="50"/>
      <c r="O1450" s="36" t="s">
        <v>48</v>
      </c>
      <c r="R1450" s="36" t="s">
        <v>48</v>
      </c>
    </row>
    <row r="1451">
      <c r="H1451" s="50"/>
      <c r="I1451" s="50"/>
      <c r="O1451" s="36" t="s">
        <v>48</v>
      </c>
      <c r="R1451" s="36" t="s">
        <v>48</v>
      </c>
    </row>
    <row r="1452">
      <c r="H1452" s="50"/>
      <c r="I1452" s="50"/>
      <c r="O1452" s="36" t="s">
        <v>48</v>
      </c>
      <c r="R1452" s="36" t="s">
        <v>48</v>
      </c>
    </row>
    <row r="1453">
      <c r="H1453" s="50"/>
      <c r="I1453" s="50"/>
      <c r="O1453" s="36" t="s">
        <v>48</v>
      </c>
      <c r="R1453" s="36" t="s">
        <v>48</v>
      </c>
    </row>
    <row r="1454">
      <c r="H1454" s="50"/>
      <c r="I1454" s="50"/>
      <c r="O1454" s="36" t="s">
        <v>48</v>
      </c>
      <c r="R1454" s="36" t="s">
        <v>48</v>
      </c>
    </row>
    <row r="1455">
      <c r="H1455" s="50"/>
      <c r="I1455" s="50"/>
      <c r="O1455" s="36" t="s">
        <v>48</v>
      </c>
      <c r="R1455" s="36" t="s">
        <v>48</v>
      </c>
    </row>
    <row r="1456">
      <c r="H1456" s="50"/>
      <c r="I1456" s="50"/>
      <c r="O1456" s="36" t="s">
        <v>48</v>
      </c>
      <c r="R1456" s="36" t="s">
        <v>48</v>
      </c>
    </row>
    <row r="1457">
      <c r="H1457" s="50"/>
      <c r="I1457" s="50"/>
      <c r="O1457" s="36" t="s">
        <v>48</v>
      </c>
      <c r="R1457" s="36" t="s">
        <v>48</v>
      </c>
    </row>
    <row r="1458">
      <c r="H1458" s="50"/>
      <c r="I1458" s="50"/>
      <c r="O1458" s="36" t="s">
        <v>48</v>
      </c>
      <c r="R1458" s="36" t="s">
        <v>48</v>
      </c>
    </row>
    <row r="1459">
      <c r="H1459" s="50"/>
      <c r="I1459" s="50"/>
      <c r="O1459" s="36" t="s">
        <v>48</v>
      </c>
      <c r="R1459" s="36" t="s">
        <v>48</v>
      </c>
    </row>
    <row r="1460">
      <c r="H1460" s="50"/>
      <c r="I1460" s="50"/>
      <c r="O1460" s="36" t="s">
        <v>48</v>
      </c>
      <c r="R1460" s="36" t="s">
        <v>48</v>
      </c>
    </row>
    <row r="1461">
      <c r="H1461" s="50"/>
      <c r="I1461" s="50"/>
      <c r="O1461" s="36" t="s">
        <v>48</v>
      </c>
      <c r="R1461" s="36" t="s">
        <v>48</v>
      </c>
    </row>
    <row r="1462">
      <c r="H1462" s="50"/>
      <c r="I1462" s="50"/>
      <c r="O1462" s="36" t="s">
        <v>48</v>
      </c>
      <c r="R1462" s="36" t="s">
        <v>48</v>
      </c>
    </row>
    <row r="1463">
      <c r="H1463" s="50"/>
      <c r="I1463" s="50"/>
      <c r="O1463" s="36" t="s">
        <v>48</v>
      </c>
      <c r="R1463" s="36" t="s">
        <v>48</v>
      </c>
    </row>
    <row r="1464">
      <c r="H1464" s="50"/>
      <c r="I1464" s="50"/>
      <c r="O1464" s="36" t="s">
        <v>48</v>
      </c>
      <c r="R1464" s="36" t="s">
        <v>48</v>
      </c>
    </row>
    <row r="1465">
      <c r="H1465" s="50"/>
      <c r="I1465" s="50"/>
      <c r="O1465" s="36" t="s">
        <v>48</v>
      </c>
      <c r="R1465" s="36" t="s">
        <v>48</v>
      </c>
    </row>
    <row r="1466">
      <c r="H1466" s="50"/>
      <c r="I1466" s="50"/>
      <c r="O1466" s="36" t="s">
        <v>48</v>
      </c>
      <c r="R1466" s="36" t="s">
        <v>48</v>
      </c>
    </row>
    <row r="1467">
      <c r="H1467" s="50"/>
      <c r="I1467" s="50"/>
      <c r="O1467" s="36" t="s">
        <v>48</v>
      </c>
      <c r="R1467" s="36" t="s">
        <v>48</v>
      </c>
    </row>
    <row r="1468">
      <c r="H1468" s="50"/>
      <c r="I1468" s="50"/>
      <c r="O1468" s="36" t="s">
        <v>48</v>
      </c>
      <c r="R1468" s="36" t="s">
        <v>48</v>
      </c>
    </row>
    <row r="1469">
      <c r="H1469" s="50"/>
      <c r="I1469" s="50"/>
      <c r="O1469" s="36" t="s">
        <v>48</v>
      </c>
      <c r="R1469" s="36" t="s">
        <v>48</v>
      </c>
    </row>
    <row r="1470">
      <c r="H1470" s="50"/>
      <c r="I1470" s="50"/>
      <c r="O1470" s="36" t="s">
        <v>48</v>
      </c>
      <c r="R1470" s="36" t="s">
        <v>48</v>
      </c>
    </row>
    <row r="1471">
      <c r="H1471" s="50"/>
      <c r="I1471" s="50"/>
      <c r="O1471" s="36" t="s">
        <v>48</v>
      </c>
      <c r="R1471" s="36" t="s">
        <v>48</v>
      </c>
    </row>
    <row r="1472">
      <c r="H1472" s="50"/>
      <c r="I1472" s="50"/>
      <c r="O1472" s="36" t="s">
        <v>48</v>
      </c>
      <c r="R1472" s="36" t="s">
        <v>48</v>
      </c>
    </row>
    <row r="1473">
      <c r="H1473" s="50"/>
      <c r="I1473" s="50"/>
      <c r="O1473" s="36" t="s">
        <v>48</v>
      </c>
      <c r="R1473" s="36" t="s">
        <v>48</v>
      </c>
    </row>
    <row r="1474">
      <c r="H1474" s="50"/>
      <c r="I1474" s="50"/>
      <c r="O1474" s="36" t="s">
        <v>48</v>
      </c>
      <c r="R1474" s="36" t="s">
        <v>48</v>
      </c>
    </row>
    <row r="1475">
      <c r="H1475" s="50"/>
      <c r="I1475" s="50"/>
      <c r="O1475" s="36" t="s">
        <v>48</v>
      </c>
      <c r="R1475" s="36" t="s">
        <v>48</v>
      </c>
    </row>
    <row r="1476">
      <c r="H1476" s="50"/>
      <c r="I1476" s="50"/>
      <c r="O1476" s="36" t="s">
        <v>48</v>
      </c>
      <c r="R1476" s="36" t="s">
        <v>48</v>
      </c>
    </row>
    <row r="1477">
      <c r="H1477" s="50"/>
      <c r="I1477" s="50"/>
      <c r="O1477" s="36" t="s">
        <v>48</v>
      </c>
      <c r="R1477" s="36" t="s">
        <v>48</v>
      </c>
    </row>
    <row r="1478">
      <c r="H1478" s="50"/>
      <c r="I1478" s="50"/>
      <c r="O1478" s="36" t="s">
        <v>48</v>
      </c>
      <c r="R1478" s="36" t="s">
        <v>48</v>
      </c>
    </row>
    <row r="1479">
      <c r="H1479" s="50"/>
      <c r="I1479" s="50"/>
      <c r="O1479" s="36" t="s">
        <v>48</v>
      </c>
      <c r="R1479" s="36" t="s">
        <v>48</v>
      </c>
    </row>
    <row r="1480">
      <c r="H1480" s="50"/>
      <c r="I1480" s="50"/>
      <c r="O1480" s="36" t="s">
        <v>48</v>
      </c>
      <c r="R1480" s="36" t="s">
        <v>48</v>
      </c>
    </row>
    <row r="1481">
      <c r="H1481" s="50"/>
      <c r="I1481" s="50"/>
      <c r="O1481" s="36" t="s">
        <v>48</v>
      </c>
      <c r="R1481" s="36" t="s">
        <v>48</v>
      </c>
    </row>
    <row r="1482">
      <c r="H1482" s="50"/>
      <c r="I1482" s="50"/>
      <c r="O1482" s="36" t="s">
        <v>48</v>
      </c>
      <c r="R1482" s="36" t="s">
        <v>48</v>
      </c>
    </row>
    <row r="1483">
      <c r="H1483" s="50"/>
      <c r="I1483" s="50"/>
      <c r="O1483" s="36" t="s">
        <v>48</v>
      </c>
      <c r="R1483" s="36" t="s">
        <v>48</v>
      </c>
    </row>
    <row r="1484">
      <c r="H1484" s="50"/>
      <c r="I1484" s="50"/>
      <c r="O1484" s="36" t="s">
        <v>48</v>
      </c>
      <c r="R1484" s="36" t="s">
        <v>48</v>
      </c>
    </row>
    <row r="1485">
      <c r="H1485" s="50"/>
      <c r="I1485" s="50"/>
      <c r="O1485" s="36" t="s">
        <v>48</v>
      </c>
      <c r="R1485" s="36" t="s">
        <v>48</v>
      </c>
    </row>
    <row r="1486">
      <c r="H1486" s="50"/>
      <c r="I1486" s="50"/>
      <c r="O1486" s="36" t="s">
        <v>48</v>
      </c>
      <c r="R1486" s="36" t="s">
        <v>48</v>
      </c>
    </row>
    <row r="1487">
      <c r="H1487" s="50"/>
      <c r="I1487" s="50"/>
      <c r="O1487" s="36" t="s">
        <v>48</v>
      </c>
      <c r="R1487" s="36" t="s">
        <v>48</v>
      </c>
    </row>
    <row r="1488">
      <c r="H1488" s="50"/>
      <c r="I1488" s="50"/>
      <c r="O1488" s="36" t="s">
        <v>48</v>
      </c>
      <c r="R1488" s="36" t="s">
        <v>48</v>
      </c>
    </row>
    <row r="1489">
      <c r="H1489" s="50"/>
      <c r="I1489" s="50"/>
      <c r="O1489" s="36" t="s">
        <v>48</v>
      </c>
      <c r="R1489" s="36" t="s">
        <v>48</v>
      </c>
    </row>
    <row r="1490">
      <c r="H1490" s="50"/>
      <c r="I1490" s="50"/>
      <c r="O1490" s="36" t="s">
        <v>48</v>
      </c>
      <c r="R1490" s="36" t="s">
        <v>48</v>
      </c>
    </row>
    <row r="1491">
      <c r="H1491" s="50"/>
      <c r="I1491" s="50"/>
      <c r="O1491" s="36" t="s">
        <v>48</v>
      </c>
      <c r="R1491" s="36" t="s">
        <v>48</v>
      </c>
    </row>
    <row r="1492">
      <c r="H1492" s="50"/>
      <c r="I1492" s="50"/>
      <c r="O1492" s="36" t="s">
        <v>48</v>
      </c>
      <c r="R1492" s="36" t="s">
        <v>48</v>
      </c>
    </row>
    <row r="1493">
      <c r="H1493" s="50"/>
      <c r="I1493" s="50"/>
      <c r="O1493" s="36" t="s">
        <v>48</v>
      </c>
      <c r="R1493" s="36" t="s">
        <v>48</v>
      </c>
    </row>
    <row r="1494">
      <c r="H1494" s="50"/>
      <c r="I1494" s="50"/>
      <c r="O1494" s="36" t="s">
        <v>48</v>
      </c>
      <c r="R1494" s="36" t="s">
        <v>48</v>
      </c>
    </row>
    <row r="1495">
      <c r="H1495" s="50"/>
      <c r="I1495" s="50"/>
      <c r="O1495" s="36" t="s">
        <v>48</v>
      </c>
      <c r="R1495" s="36" t="s">
        <v>48</v>
      </c>
    </row>
    <row r="1496">
      <c r="H1496" s="50"/>
      <c r="I1496" s="50"/>
      <c r="O1496" s="36" t="s">
        <v>48</v>
      </c>
      <c r="R1496" s="36" t="s">
        <v>48</v>
      </c>
    </row>
    <row r="1497">
      <c r="H1497" s="50"/>
      <c r="I1497" s="50"/>
      <c r="O1497" s="36" t="s">
        <v>48</v>
      </c>
      <c r="R1497" s="36" t="s">
        <v>48</v>
      </c>
    </row>
    <row r="1498">
      <c r="H1498" s="50"/>
      <c r="I1498" s="50"/>
      <c r="O1498" s="36" t="s">
        <v>48</v>
      </c>
      <c r="R1498" s="36" t="s">
        <v>48</v>
      </c>
    </row>
    <row r="1499">
      <c r="H1499" s="50"/>
      <c r="I1499" s="50"/>
      <c r="O1499" s="36" t="s">
        <v>48</v>
      </c>
      <c r="R1499" s="36" t="s">
        <v>48</v>
      </c>
    </row>
    <row r="1500">
      <c r="H1500" s="50"/>
      <c r="I1500" s="50"/>
      <c r="O1500" s="36" t="s">
        <v>48</v>
      </c>
      <c r="R1500" s="36" t="s">
        <v>48</v>
      </c>
    </row>
    <row r="1501">
      <c r="H1501" s="50"/>
      <c r="I1501" s="50"/>
      <c r="O1501" s="36" t="s">
        <v>48</v>
      </c>
      <c r="R1501" s="36" t="s">
        <v>48</v>
      </c>
    </row>
    <row r="1502">
      <c r="H1502" s="50"/>
      <c r="I1502" s="50"/>
      <c r="O1502" s="36" t="s">
        <v>48</v>
      </c>
      <c r="R1502" s="36" t="s">
        <v>48</v>
      </c>
    </row>
    <row r="1503">
      <c r="H1503" s="50"/>
      <c r="I1503" s="50"/>
      <c r="O1503" s="36" t="s">
        <v>48</v>
      </c>
      <c r="R1503" s="36" t="s">
        <v>48</v>
      </c>
    </row>
    <row r="1504">
      <c r="H1504" s="50"/>
      <c r="I1504" s="50"/>
      <c r="O1504" s="36" t="s">
        <v>48</v>
      </c>
      <c r="R1504" s="36" t="s">
        <v>48</v>
      </c>
    </row>
    <row r="1505">
      <c r="H1505" s="50"/>
      <c r="I1505" s="50"/>
      <c r="O1505" s="36" t="s">
        <v>48</v>
      </c>
      <c r="R1505" s="36" t="s">
        <v>48</v>
      </c>
    </row>
    <row r="1506">
      <c r="H1506" s="50"/>
      <c r="I1506" s="50"/>
      <c r="O1506" s="36" t="s">
        <v>48</v>
      </c>
      <c r="R1506" s="36" t="s">
        <v>48</v>
      </c>
    </row>
    <row r="1507">
      <c r="H1507" s="50"/>
      <c r="I1507" s="50"/>
      <c r="O1507" s="36" t="s">
        <v>48</v>
      </c>
      <c r="R1507" s="36" t="s">
        <v>48</v>
      </c>
    </row>
    <row r="1508">
      <c r="H1508" s="50"/>
      <c r="I1508" s="50"/>
      <c r="O1508" s="36" t="s">
        <v>48</v>
      </c>
      <c r="R1508" s="36" t="s">
        <v>48</v>
      </c>
    </row>
    <row r="1509">
      <c r="H1509" s="50"/>
      <c r="I1509" s="50"/>
      <c r="O1509" s="36" t="s">
        <v>48</v>
      </c>
      <c r="R1509" s="36" t="s">
        <v>48</v>
      </c>
    </row>
    <row r="1510">
      <c r="H1510" s="50"/>
      <c r="I1510" s="50"/>
      <c r="O1510" s="36" t="s">
        <v>48</v>
      </c>
      <c r="R1510" s="36" t="s">
        <v>48</v>
      </c>
    </row>
    <row r="1511">
      <c r="H1511" s="50"/>
      <c r="I1511" s="50"/>
      <c r="O1511" s="36" t="s">
        <v>48</v>
      </c>
      <c r="R1511" s="36" t="s">
        <v>48</v>
      </c>
    </row>
    <row r="1512">
      <c r="H1512" s="50"/>
      <c r="I1512" s="50"/>
      <c r="O1512" s="36" t="s">
        <v>48</v>
      </c>
      <c r="R1512" s="36" t="s">
        <v>48</v>
      </c>
    </row>
    <row r="1513">
      <c r="H1513" s="50"/>
      <c r="I1513" s="50"/>
      <c r="O1513" s="36" t="s">
        <v>48</v>
      </c>
      <c r="R1513" s="36" t="s">
        <v>48</v>
      </c>
    </row>
    <row r="1514">
      <c r="H1514" s="50"/>
      <c r="I1514" s="50"/>
      <c r="O1514" s="36" t="s">
        <v>48</v>
      </c>
      <c r="R1514" s="36" t="s">
        <v>48</v>
      </c>
    </row>
    <row r="1515">
      <c r="H1515" s="50"/>
      <c r="I1515" s="50"/>
      <c r="O1515" s="36" t="s">
        <v>48</v>
      </c>
      <c r="R1515" s="36" t="s">
        <v>48</v>
      </c>
    </row>
    <row r="1516">
      <c r="H1516" s="50"/>
      <c r="I1516" s="50"/>
      <c r="O1516" s="36" t="s">
        <v>48</v>
      </c>
      <c r="R1516" s="36" t="s">
        <v>48</v>
      </c>
    </row>
    <row r="1517">
      <c r="H1517" s="50"/>
      <c r="I1517" s="50"/>
      <c r="O1517" s="36" t="s">
        <v>48</v>
      </c>
      <c r="R1517" s="36" t="s">
        <v>48</v>
      </c>
    </row>
    <row r="1518">
      <c r="H1518" s="50"/>
      <c r="I1518" s="50"/>
      <c r="O1518" s="36" t="s">
        <v>48</v>
      </c>
      <c r="R1518" s="36" t="s">
        <v>48</v>
      </c>
    </row>
    <row r="1519">
      <c r="H1519" s="50"/>
      <c r="I1519" s="50"/>
      <c r="O1519" s="36" t="s">
        <v>48</v>
      </c>
      <c r="R1519" s="36" t="s">
        <v>48</v>
      </c>
    </row>
    <row r="1520">
      <c r="H1520" s="50"/>
      <c r="I1520" s="50"/>
      <c r="O1520" s="36" t="s">
        <v>48</v>
      </c>
      <c r="R1520" s="36" t="s">
        <v>48</v>
      </c>
    </row>
    <row r="1521">
      <c r="H1521" s="50"/>
      <c r="I1521" s="50"/>
      <c r="O1521" s="36" t="s">
        <v>48</v>
      </c>
      <c r="R1521" s="36" t="s">
        <v>48</v>
      </c>
    </row>
    <row r="1522">
      <c r="H1522" s="50"/>
      <c r="I1522" s="50"/>
      <c r="O1522" s="36" t="s">
        <v>48</v>
      </c>
      <c r="R1522" s="36" t="s">
        <v>48</v>
      </c>
    </row>
    <row r="1523">
      <c r="H1523" s="50"/>
      <c r="I1523" s="50"/>
      <c r="O1523" s="36" t="s">
        <v>48</v>
      </c>
      <c r="R1523" s="36" t="s">
        <v>48</v>
      </c>
    </row>
    <row r="1524">
      <c r="H1524" s="50"/>
      <c r="I1524" s="50"/>
      <c r="O1524" s="36" t="s">
        <v>48</v>
      </c>
      <c r="R1524" s="36" t="s">
        <v>48</v>
      </c>
    </row>
    <row r="1525">
      <c r="H1525" s="50"/>
      <c r="I1525" s="50"/>
      <c r="O1525" s="36" t="s">
        <v>48</v>
      </c>
      <c r="R1525" s="36" t="s">
        <v>48</v>
      </c>
    </row>
    <row r="1526">
      <c r="H1526" s="50"/>
      <c r="I1526" s="50"/>
      <c r="O1526" s="36" t="s">
        <v>48</v>
      </c>
      <c r="R1526" s="36" t="s">
        <v>48</v>
      </c>
    </row>
    <row r="1527">
      <c r="H1527" s="50"/>
      <c r="I1527" s="50"/>
      <c r="O1527" s="36" t="s">
        <v>48</v>
      </c>
      <c r="R1527" s="36" t="s">
        <v>48</v>
      </c>
    </row>
    <row r="1528">
      <c r="H1528" s="50"/>
      <c r="I1528" s="50"/>
      <c r="O1528" s="36" t="s">
        <v>48</v>
      </c>
      <c r="R1528" s="36" t="s">
        <v>48</v>
      </c>
    </row>
    <row r="1529">
      <c r="H1529" s="50"/>
      <c r="I1529" s="50"/>
      <c r="O1529" s="36" t="s">
        <v>48</v>
      </c>
      <c r="R1529" s="36" t="s">
        <v>48</v>
      </c>
    </row>
    <row r="1530">
      <c r="H1530" s="50"/>
      <c r="I1530" s="50"/>
      <c r="O1530" s="36" t="s">
        <v>48</v>
      </c>
      <c r="R1530" s="36" t="s">
        <v>48</v>
      </c>
    </row>
    <row r="1531">
      <c r="H1531" s="50"/>
      <c r="I1531" s="50"/>
      <c r="O1531" s="36" t="s">
        <v>48</v>
      </c>
      <c r="R1531" s="36" t="s">
        <v>48</v>
      </c>
    </row>
    <row r="1532">
      <c r="H1532" s="50"/>
      <c r="I1532" s="50"/>
      <c r="O1532" s="36" t="s">
        <v>48</v>
      </c>
      <c r="R1532" s="36" t="s">
        <v>48</v>
      </c>
    </row>
    <row r="1533">
      <c r="H1533" s="50"/>
      <c r="I1533" s="50"/>
      <c r="O1533" s="36" t="s">
        <v>48</v>
      </c>
      <c r="R1533" s="36" t="s">
        <v>48</v>
      </c>
    </row>
    <row r="1534">
      <c r="H1534" s="50"/>
      <c r="I1534" s="50"/>
      <c r="O1534" s="36" t="s">
        <v>48</v>
      </c>
      <c r="R1534" s="36" t="s">
        <v>48</v>
      </c>
    </row>
    <row r="1535">
      <c r="H1535" s="50"/>
      <c r="I1535" s="50"/>
      <c r="O1535" s="36" t="s">
        <v>48</v>
      </c>
      <c r="R1535" s="36" t="s">
        <v>48</v>
      </c>
    </row>
    <row r="1536">
      <c r="H1536" s="50"/>
      <c r="I1536" s="50"/>
      <c r="O1536" s="36" t="s">
        <v>48</v>
      </c>
      <c r="R1536" s="36" t="s">
        <v>48</v>
      </c>
    </row>
    <row r="1537">
      <c r="H1537" s="50"/>
      <c r="I1537" s="50"/>
      <c r="O1537" s="36" t="s">
        <v>48</v>
      </c>
      <c r="R1537" s="36" t="s">
        <v>48</v>
      </c>
    </row>
    <row r="1538">
      <c r="H1538" s="50"/>
      <c r="I1538" s="50"/>
      <c r="O1538" s="36" t="s">
        <v>48</v>
      </c>
      <c r="R1538" s="36" t="s">
        <v>48</v>
      </c>
    </row>
    <row r="1539">
      <c r="H1539" s="50"/>
      <c r="I1539" s="50"/>
      <c r="O1539" s="36" t="s">
        <v>48</v>
      </c>
      <c r="R1539" s="36" t="s">
        <v>48</v>
      </c>
    </row>
    <row r="1540">
      <c r="H1540" s="50"/>
      <c r="I1540" s="50"/>
      <c r="O1540" s="36" t="s">
        <v>48</v>
      </c>
      <c r="R1540" s="36" t="s">
        <v>48</v>
      </c>
    </row>
    <row r="1541">
      <c r="H1541" s="50"/>
      <c r="I1541" s="50"/>
      <c r="O1541" s="36" t="s">
        <v>48</v>
      </c>
      <c r="R1541" s="36" t="s">
        <v>48</v>
      </c>
    </row>
    <row r="1542">
      <c r="H1542" s="50"/>
      <c r="I1542" s="50"/>
      <c r="O1542" s="36" t="s">
        <v>48</v>
      </c>
      <c r="R1542" s="36" t="s">
        <v>48</v>
      </c>
    </row>
    <row r="1543">
      <c r="H1543" s="50"/>
      <c r="I1543" s="50"/>
      <c r="O1543" s="36" t="s">
        <v>48</v>
      </c>
      <c r="R1543" s="36" t="s">
        <v>48</v>
      </c>
    </row>
    <row r="1544">
      <c r="H1544" s="50"/>
      <c r="I1544" s="50"/>
      <c r="O1544" s="36" t="s">
        <v>48</v>
      </c>
      <c r="R1544" s="36" t="s">
        <v>48</v>
      </c>
    </row>
    <row r="1545">
      <c r="H1545" s="50"/>
      <c r="I1545" s="50"/>
      <c r="O1545" s="36" t="s">
        <v>48</v>
      </c>
      <c r="R1545" s="36" t="s">
        <v>48</v>
      </c>
    </row>
    <row r="1546">
      <c r="H1546" s="50"/>
      <c r="I1546" s="50"/>
      <c r="O1546" s="36" t="s">
        <v>48</v>
      </c>
      <c r="R1546" s="36" t="s">
        <v>48</v>
      </c>
    </row>
    <row r="1547">
      <c r="H1547" s="50"/>
      <c r="I1547" s="50"/>
      <c r="O1547" s="36" t="s">
        <v>48</v>
      </c>
      <c r="R1547" s="36" t="s">
        <v>48</v>
      </c>
    </row>
    <row r="1548">
      <c r="H1548" s="50"/>
      <c r="I1548" s="50"/>
      <c r="O1548" s="36" t="s">
        <v>48</v>
      </c>
      <c r="R1548" s="36" t="s">
        <v>48</v>
      </c>
    </row>
    <row r="1549">
      <c r="H1549" s="50"/>
      <c r="I1549" s="50"/>
      <c r="O1549" s="36" t="s">
        <v>48</v>
      </c>
      <c r="R1549" s="36" t="s">
        <v>48</v>
      </c>
    </row>
    <row r="1550">
      <c r="H1550" s="50"/>
      <c r="I1550" s="50"/>
      <c r="O1550" s="36" t="s">
        <v>48</v>
      </c>
      <c r="R1550" s="36" t="s">
        <v>48</v>
      </c>
    </row>
    <row r="1551">
      <c r="H1551" s="50"/>
      <c r="I1551" s="50"/>
      <c r="O1551" s="36" t="s">
        <v>48</v>
      </c>
      <c r="R1551" s="36" t="s">
        <v>48</v>
      </c>
    </row>
    <row r="1552">
      <c r="H1552" s="50"/>
      <c r="I1552" s="50"/>
      <c r="O1552" s="36" t="s">
        <v>48</v>
      </c>
      <c r="R1552" s="36" t="s">
        <v>48</v>
      </c>
    </row>
    <row r="1553">
      <c r="H1553" s="50"/>
      <c r="I1553" s="50"/>
      <c r="O1553" s="36" t="s">
        <v>48</v>
      </c>
      <c r="R1553" s="36" t="s">
        <v>48</v>
      </c>
    </row>
    <row r="1554">
      <c r="H1554" s="50"/>
      <c r="I1554" s="50"/>
      <c r="O1554" s="36" t="s">
        <v>48</v>
      </c>
      <c r="R1554" s="36" t="s">
        <v>48</v>
      </c>
    </row>
    <row r="1555">
      <c r="H1555" s="50"/>
      <c r="I1555" s="50"/>
      <c r="O1555" s="36" t="s">
        <v>48</v>
      </c>
      <c r="R1555" s="36" t="s">
        <v>48</v>
      </c>
    </row>
    <row r="1556">
      <c r="H1556" s="50"/>
      <c r="I1556" s="50"/>
      <c r="O1556" s="36" t="s">
        <v>48</v>
      </c>
      <c r="R1556" s="36" t="s">
        <v>48</v>
      </c>
    </row>
    <row r="1557">
      <c r="H1557" s="50"/>
      <c r="I1557" s="50"/>
      <c r="O1557" s="36" t="s">
        <v>48</v>
      </c>
      <c r="R1557" s="36" t="s">
        <v>48</v>
      </c>
    </row>
    <row r="1558">
      <c r="H1558" s="50"/>
      <c r="I1558" s="50"/>
      <c r="O1558" s="36" t="s">
        <v>48</v>
      </c>
      <c r="R1558" s="36" t="s">
        <v>48</v>
      </c>
    </row>
    <row r="1559">
      <c r="H1559" s="50"/>
      <c r="I1559" s="50"/>
      <c r="O1559" s="36" t="s">
        <v>48</v>
      </c>
      <c r="R1559" s="36" t="s">
        <v>48</v>
      </c>
    </row>
    <row r="1560">
      <c r="H1560" s="50"/>
      <c r="I1560" s="50"/>
      <c r="O1560" s="36" t="s">
        <v>48</v>
      </c>
      <c r="R1560" s="36" t="s">
        <v>48</v>
      </c>
    </row>
    <row r="1561">
      <c r="H1561" s="50"/>
      <c r="I1561" s="50"/>
      <c r="O1561" s="36" t="s">
        <v>48</v>
      </c>
      <c r="R1561" s="36" t="s">
        <v>48</v>
      </c>
    </row>
    <row r="1562">
      <c r="H1562" s="50"/>
      <c r="I1562" s="50"/>
      <c r="O1562" s="36" t="s">
        <v>48</v>
      </c>
      <c r="R1562" s="36" t="s">
        <v>48</v>
      </c>
    </row>
    <row r="1563">
      <c r="H1563" s="50"/>
      <c r="I1563" s="50"/>
      <c r="O1563" s="36" t="s">
        <v>48</v>
      </c>
      <c r="R1563" s="36" t="s">
        <v>48</v>
      </c>
    </row>
    <row r="1564">
      <c r="H1564" s="50"/>
      <c r="I1564" s="50"/>
      <c r="O1564" s="36" t="s">
        <v>48</v>
      </c>
      <c r="R1564" s="36" t="s">
        <v>48</v>
      </c>
    </row>
    <row r="1565">
      <c r="H1565" s="50"/>
      <c r="I1565" s="50"/>
      <c r="O1565" s="36" t="s">
        <v>48</v>
      </c>
      <c r="R1565" s="36" t="s">
        <v>48</v>
      </c>
    </row>
    <row r="1566">
      <c r="H1566" s="50"/>
      <c r="I1566" s="50"/>
      <c r="O1566" s="36" t="s">
        <v>48</v>
      </c>
      <c r="R1566" s="36" t="s">
        <v>48</v>
      </c>
    </row>
    <row r="1567">
      <c r="H1567" s="50"/>
      <c r="I1567" s="50"/>
      <c r="O1567" s="36" t="s">
        <v>48</v>
      </c>
      <c r="R1567" s="36" t="s">
        <v>48</v>
      </c>
    </row>
    <row r="1568">
      <c r="H1568" s="50"/>
      <c r="I1568" s="50"/>
      <c r="O1568" s="36" t="s">
        <v>48</v>
      </c>
      <c r="R1568" s="36" t="s">
        <v>48</v>
      </c>
    </row>
    <row r="1569">
      <c r="H1569" s="50"/>
      <c r="I1569" s="50"/>
      <c r="O1569" s="36" t="s">
        <v>48</v>
      </c>
      <c r="R1569" s="36" t="s">
        <v>48</v>
      </c>
    </row>
    <row r="1570">
      <c r="H1570" s="50"/>
      <c r="I1570" s="50"/>
      <c r="O1570" s="36" t="s">
        <v>48</v>
      </c>
      <c r="R1570" s="36" t="s">
        <v>48</v>
      </c>
    </row>
    <row r="1571">
      <c r="H1571" s="50"/>
      <c r="I1571" s="50"/>
      <c r="O1571" s="36" t="s">
        <v>48</v>
      </c>
      <c r="R1571" s="36" t="s">
        <v>48</v>
      </c>
    </row>
    <row r="1572">
      <c r="H1572" s="50"/>
      <c r="I1572" s="50"/>
      <c r="O1572" s="36" t="s">
        <v>48</v>
      </c>
      <c r="R1572" s="36" t="s">
        <v>48</v>
      </c>
    </row>
    <row r="1573">
      <c r="H1573" s="50"/>
      <c r="I1573" s="50"/>
      <c r="O1573" s="36" t="s">
        <v>48</v>
      </c>
      <c r="R1573" s="36" t="s">
        <v>48</v>
      </c>
    </row>
    <row r="1574">
      <c r="H1574" s="50"/>
      <c r="I1574" s="50"/>
      <c r="O1574" s="36" t="s">
        <v>48</v>
      </c>
      <c r="R1574" s="36" t="s">
        <v>48</v>
      </c>
    </row>
    <row r="1575">
      <c r="H1575" s="50"/>
      <c r="I1575" s="50"/>
      <c r="O1575" s="36" t="s">
        <v>48</v>
      </c>
      <c r="R1575" s="36" t="s">
        <v>48</v>
      </c>
    </row>
    <row r="1576">
      <c r="H1576" s="50"/>
      <c r="I1576" s="50"/>
      <c r="O1576" s="36" t="s">
        <v>48</v>
      </c>
      <c r="R1576" s="36" t="s">
        <v>48</v>
      </c>
    </row>
    <row r="1577">
      <c r="H1577" s="50"/>
      <c r="I1577" s="50"/>
      <c r="O1577" s="36" t="s">
        <v>48</v>
      </c>
      <c r="R1577" s="36" t="s">
        <v>48</v>
      </c>
    </row>
    <row r="1578">
      <c r="H1578" s="50"/>
      <c r="I1578" s="50"/>
      <c r="O1578" s="36" t="s">
        <v>48</v>
      </c>
      <c r="R1578" s="36" t="s">
        <v>48</v>
      </c>
    </row>
    <row r="1579">
      <c r="H1579" s="50"/>
      <c r="I1579" s="50"/>
      <c r="O1579" s="36" t="s">
        <v>48</v>
      </c>
      <c r="R1579" s="36" t="s">
        <v>48</v>
      </c>
    </row>
    <row r="1580">
      <c r="H1580" s="50"/>
      <c r="I1580" s="50"/>
      <c r="O1580" s="36" t="s">
        <v>48</v>
      </c>
      <c r="R1580" s="36" t="s">
        <v>48</v>
      </c>
    </row>
    <row r="1581">
      <c r="H1581" s="50"/>
      <c r="I1581" s="50"/>
      <c r="O1581" s="36" t="s">
        <v>48</v>
      </c>
      <c r="R1581" s="36" t="s">
        <v>48</v>
      </c>
    </row>
    <row r="1582">
      <c r="H1582" s="50"/>
      <c r="I1582" s="50"/>
      <c r="O1582" s="36" t="s">
        <v>48</v>
      </c>
      <c r="R1582" s="36" t="s">
        <v>48</v>
      </c>
    </row>
    <row r="1583">
      <c r="H1583" s="50"/>
      <c r="I1583" s="50"/>
      <c r="O1583" s="36" t="s">
        <v>48</v>
      </c>
      <c r="R1583" s="36" t="s">
        <v>48</v>
      </c>
    </row>
    <row r="1584">
      <c r="H1584" s="50"/>
      <c r="I1584" s="50"/>
      <c r="O1584" s="36" t="s">
        <v>48</v>
      </c>
      <c r="R1584" s="36" t="s">
        <v>48</v>
      </c>
    </row>
    <row r="1585">
      <c r="H1585" s="50"/>
      <c r="I1585" s="50"/>
      <c r="O1585" s="36" t="s">
        <v>48</v>
      </c>
      <c r="R1585" s="36" t="s">
        <v>48</v>
      </c>
    </row>
    <row r="1586">
      <c r="H1586" s="50"/>
      <c r="I1586" s="50"/>
      <c r="O1586" s="36" t="s">
        <v>48</v>
      </c>
      <c r="R1586" s="36" t="s">
        <v>48</v>
      </c>
    </row>
    <row r="1587">
      <c r="H1587" s="50"/>
      <c r="I1587" s="50"/>
      <c r="O1587" s="36" t="s">
        <v>48</v>
      </c>
      <c r="R1587" s="36" t="s">
        <v>48</v>
      </c>
    </row>
    <row r="1588">
      <c r="H1588" s="50"/>
      <c r="I1588" s="50"/>
      <c r="O1588" s="36" t="s">
        <v>48</v>
      </c>
      <c r="R1588" s="36" t="s">
        <v>48</v>
      </c>
    </row>
    <row r="1589">
      <c r="H1589" s="50"/>
      <c r="I1589" s="50"/>
      <c r="O1589" s="36" t="s">
        <v>48</v>
      </c>
      <c r="R1589" s="36" t="s">
        <v>48</v>
      </c>
    </row>
    <row r="1590">
      <c r="H1590" s="50"/>
      <c r="I1590" s="50"/>
      <c r="O1590" s="36" t="s">
        <v>48</v>
      </c>
      <c r="R1590" s="36" t="s">
        <v>48</v>
      </c>
    </row>
    <row r="1591">
      <c r="H1591" s="50"/>
      <c r="I1591" s="50"/>
      <c r="O1591" s="36" t="s">
        <v>48</v>
      </c>
      <c r="R1591" s="36" t="s">
        <v>48</v>
      </c>
    </row>
    <row r="1592">
      <c r="H1592" s="50"/>
      <c r="I1592" s="50"/>
      <c r="O1592" s="36" t="s">
        <v>48</v>
      </c>
      <c r="R1592" s="36" t="s">
        <v>48</v>
      </c>
    </row>
    <row r="1593">
      <c r="H1593" s="50"/>
      <c r="I1593" s="50"/>
      <c r="O1593" s="36" t="s">
        <v>48</v>
      </c>
      <c r="R1593" s="36" t="s">
        <v>48</v>
      </c>
    </row>
    <row r="1594">
      <c r="H1594" s="50"/>
      <c r="I1594" s="50"/>
      <c r="O1594" s="36" t="s">
        <v>48</v>
      </c>
      <c r="R1594" s="36" t="s">
        <v>48</v>
      </c>
    </row>
    <row r="1595">
      <c r="H1595" s="50"/>
      <c r="I1595" s="50"/>
      <c r="O1595" s="36" t="s">
        <v>48</v>
      </c>
      <c r="R1595" s="36" t="s">
        <v>48</v>
      </c>
    </row>
    <row r="1596">
      <c r="H1596" s="50"/>
      <c r="I1596" s="50"/>
      <c r="O1596" s="36" t="s">
        <v>48</v>
      </c>
      <c r="R1596" s="36" t="s">
        <v>48</v>
      </c>
    </row>
    <row r="1597">
      <c r="H1597" s="50"/>
      <c r="I1597" s="50"/>
      <c r="O1597" s="36" t="s">
        <v>48</v>
      </c>
      <c r="R1597" s="36" t="s">
        <v>48</v>
      </c>
    </row>
    <row r="1598">
      <c r="H1598" s="50"/>
      <c r="I1598" s="50"/>
      <c r="O1598" s="36" t="s">
        <v>48</v>
      </c>
      <c r="R1598" s="36" t="s">
        <v>48</v>
      </c>
    </row>
    <row r="1599">
      <c r="H1599" s="50"/>
      <c r="I1599" s="50"/>
      <c r="O1599" s="36" t="s">
        <v>48</v>
      </c>
      <c r="R1599" s="36" t="s">
        <v>48</v>
      </c>
    </row>
    <row r="1600">
      <c r="H1600" s="50"/>
      <c r="I1600" s="50"/>
      <c r="O1600" s="36" t="s">
        <v>48</v>
      </c>
      <c r="R1600" s="36" t="s">
        <v>48</v>
      </c>
    </row>
    <row r="1601">
      <c r="H1601" s="50"/>
      <c r="I1601" s="50"/>
      <c r="O1601" s="36" t="s">
        <v>48</v>
      </c>
      <c r="R1601" s="36" t="s">
        <v>48</v>
      </c>
    </row>
    <row r="1602">
      <c r="H1602" s="50"/>
      <c r="I1602" s="50"/>
      <c r="O1602" s="36" t="s">
        <v>48</v>
      </c>
      <c r="R1602" s="36" t="s">
        <v>48</v>
      </c>
    </row>
    <row r="1603">
      <c r="H1603" s="50"/>
      <c r="I1603" s="50"/>
      <c r="O1603" s="36" t="s">
        <v>48</v>
      </c>
      <c r="R1603" s="36" t="s">
        <v>48</v>
      </c>
    </row>
    <row r="1604">
      <c r="H1604" s="50"/>
      <c r="I1604" s="50"/>
      <c r="O1604" s="36" t="s">
        <v>48</v>
      </c>
      <c r="R1604" s="36" t="s">
        <v>48</v>
      </c>
    </row>
    <row r="1605">
      <c r="H1605" s="50"/>
      <c r="I1605" s="50"/>
      <c r="O1605" s="36" t="s">
        <v>48</v>
      </c>
      <c r="R1605" s="36" t="s">
        <v>48</v>
      </c>
    </row>
    <row r="1606">
      <c r="H1606" s="50"/>
      <c r="I1606" s="50"/>
      <c r="O1606" s="36" t="s">
        <v>48</v>
      </c>
      <c r="R1606" s="36" t="s">
        <v>48</v>
      </c>
    </row>
    <row r="1607">
      <c r="H1607" s="50"/>
      <c r="I1607" s="50"/>
      <c r="O1607" s="36" t="s">
        <v>48</v>
      </c>
      <c r="R1607" s="36" t="s">
        <v>48</v>
      </c>
    </row>
    <row r="1608">
      <c r="H1608" s="50"/>
      <c r="I1608" s="50"/>
      <c r="O1608" s="36" t="s">
        <v>48</v>
      </c>
      <c r="R1608" s="36" t="s">
        <v>48</v>
      </c>
    </row>
    <row r="1609">
      <c r="H1609" s="50"/>
      <c r="I1609" s="50"/>
      <c r="O1609" s="36" t="s">
        <v>48</v>
      </c>
      <c r="R1609" s="36" t="s">
        <v>48</v>
      </c>
    </row>
    <row r="1610">
      <c r="H1610" s="50"/>
      <c r="I1610" s="50"/>
      <c r="O1610" s="36" t="s">
        <v>48</v>
      </c>
      <c r="R1610" s="36" t="s">
        <v>48</v>
      </c>
    </row>
    <row r="1611">
      <c r="H1611" s="50"/>
      <c r="I1611" s="50"/>
      <c r="O1611" s="36" t="s">
        <v>48</v>
      </c>
      <c r="R1611" s="36" t="s">
        <v>48</v>
      </c>
    </row>
    <row r="1612">
      <c r="H1612" s="50"/>
      <c r="I1612" s="50"/>
      <c r="O1612" s="36" t="s">
        <v>48</v>
      </c>
      <c r="R1612" s="36" t="s">
        <v>48</v>
      </c>
    </row>
    <row r="1613">
      <c r="H1613" s="50"/>
      <c r="I1613" s="50"/>
      <c r="O1613" s="36" t="s">
        <v>48</v>
      </c>
      <c r="R1613" s="36" t="s">
        <v>48</v>
      </c>
    </row>
    <row r="1614">
      <c r="H1614" s="50"/>
      <c r="I1614" s="50"/>
      <c r="O1614" s="36" t="s">
        <v>48</v>
      </c>
      <c r="R1614" s="36" t="s">
        <v>48</v>
      </c>
    </row>
    <row r="1615">
      <c r="H1615" s="50"/>
      <c r="I1615" s="50"/>
      <c r="O1615" s="36" t="s">
        <v>48</v>
      </c>
      <c r="R1615" s="36" t="s">
        <v>48</v>
      </c>
    </row>
    <row r="1616">
      <c r="H1616" s="50"/>
      <c r="I1616" s="50"/>
      <c r="O1616" s="36" t="s">
        <v>48</v>
      </c>
      <c r="R1616" s="36" t="s">
        <v>48</v>
      </c>
    </row>
    <row r="1617">
      <c r="H1617" s="50"/>
      <c r="I1617" s="50"/>
      <c r="O1617" s="36" t="s">
        <v>48</v>
      </c>
      <c r="R1617" s="36" t="s">
        <v>48</v>
      </c>
    </row>
    <row r="1618">
      <c r="H1618" s="50"/>
      <c r="I1618" s="50"/>
      <c r="O1618" s="36" t="s">
        <v>48</v>
      </c>
      <c r="R1618" s="36" t="s">
        <v>48</v>
      </c>
    </row>
    <row r="1619">
      <c r="H1619" s="50"/>
      <c r="I1619" s="50"/>
      <c r="O1619" s="36" t="s">
        <v>48</v>
      </c>
      <c r="R1619" s="36" t="s">
        <v>48</v>
      </c>
    </row>
    <row r="1620">
      <c r="H1620" s="50"/>
      <c r="I1620" s="50"/>
      <c r="O1620" s="36" t="s">
        <v>48</v>
      </c>
      <c r="R1620" s="36" t="s">
        <v>48</v>
      </c>
    </row>
    <row r="1621">
      <c r="H1621" s="50"/>
      <c r="I1621" s="50"/>
      <c r="O1621" s="36" t="s">
        <v>48</v>
      </c>
      <c r="R1621" s="36" t="s">
        <v>48</v>
      </c>
    </row>
    <row r="1622">
      <c r="H1622" s="50"/>
      <c r="I1622" s="50"/>
      <c r="O1622" s="36" t="s">
        <v>48</v>
      </c>
      <c r="R1622" s="36" t="s">
        <v>48</v>
      </c>
    </row>
    <row r="1623">
      <c r="H1623" s="50"/>
      <c r="I1623" s="50"/>
      <c r="O1623" s="36" t="s">
        <v>48</v>
      </c>
      <c r="R1623" s="36" t="s">
        <v>48</v>
      </c>
    </row>
    <row r="1624">
      <c r="H1624" s="50"/>
      <c r="I1624" s="50"/>
      <c r="O1624" s="36" t="s">
        <v>48</v>
      </c>
      <c r="R1624" s="36" t="s">
        <v>48</v>
      </c>
    </row>
    <row r="1625">
      <c r="H1625" s="50"/>
      <c r="I1625" s="50"/>
      <c r="O1625" s="36" t="s">
        <v>48</v>
      </c>
      <c r="R1625" s="36" t="s">
        <v>48</v>
      </c>
    </row>
    <row r="1626">
      <c r="H1626" s="50"/>
      <c r="I1626" s="50"/>
      <c r="O1626" s="36" t="s">
        <v>48</v>
      </c>
      <c r="R1626" s="36" t="s">
        <v>48</v>
      </c>
    </row>
    <row r="1627">
      <c r="H1627" s="50"/>
      <c r="I1627" s="50"/>
      <c r="O1627" s="36" t="s">
        <v>48</v>
      </c>
      <c r="R1627" s="36" t="s">
        <v>48</v>
      </c>
    </row>
    <row r="1628">
      <c r="H1628" s="50"/>
      <c r="I1628" s="50"/>
      <c r="O1628" s="36" t="s">
        <v>48</v>
      </c>
      <c r="R1628" s="36" t="s">
        <v>48</v>
      </c>
    </row>
    <row r="1629">
      <c r="H1629" s="50"/>
      <c r="I1629" s="50"/>
      <c r="O1629" s="36" t="s">
        <v>48</v>
      </c>
      <c r="R1629" s="36" t="s">
        <v>48</v>
      </c>
    </row>
    <row r="1630">
      <c r="H1630" s="50"/>
      <c r="I1630" s="50"/>
      <c r="O1630" s="36" t="s">
        <v>48</v>
      </c>
      <c r="R1630" s="36" t="s">
        <v>48</v>
      </c>
    </row>
    <row r="1631">
      <c r="H1631" s="50"/>
      <c r="I1631" s="50"/>
      <c r="O1631" s="36" t="s">
        <v>48</v>
      </c>
      <c r="R1631" s="36" t="s">
        <v>48</v>
      </c>
    </row>
    <row r="1632">
      <c r="H1632" s="50"/>
      <c r="I1632" s="50"/>
      <c r="O1632" s="36" t="s">
        <v>48</v>
      </c>
      <c r="R1632" s="36" t="s">
        <v>48</v>
      </c>
    </row>
    <row r="1633">
      <c r="H1633" s="50"/>
      <c r="I1633" s="50"/>
      <c r="O1633" s="36" t="s">
        <v>48</v>
      </c>
      <c r="R1633" s="36" t="s">
        <v>48</v>
      </c>
    </row>
    <row r="1634">
      <c r="H1634" s="50"/>
      <c r="I1634" s="50"/>
      <c r="O1634" s="36" t="s">
        <v>48</v>
      </c>
      <c r="R1634" s="36" t="s">
        <v>48</v>
      </c>
    </row>
    <row r="1635">
      <c r="H1635" s="50"/>
      <c r="I1635" s="50"/>
      <c r="O1635" s="36" t="s">
        <v>48</v>
      </c>
      <c r="R1635" s="36" t="s">
        <v>48</v>
      </c>
    </row>
    <row r="1636">
      <c r="H1636" s="50"/>
      <c r="I1636" s="50"/>
      <c r="O1636" s="36" t="s">
        <v>48</v>
      </c>
      <c r="R1636" s="36" t="s">
        <v>48</v>
      </c>
    </row>
    <row r="1637">
      <c r="H1637" s="50"/>
      <c r="I1637" s="50"/>
      <c r="O1637" s="36" t="s">
        <v>48</v>
      </c>
      <c r="R1637" s="36" t="s">
        <v>48</v>
      </c>
    </row>
    <row r="1638">
      <c r="H1638" s="50"/>
      <c r="I1638" s="50"/>
      <c r="O1638" s="36" t="s">
        <v>48</v>
      </c>
      <c r="R1638" s="36" t="s">
        <v>48</v>
      </c>
    </row>
    <row r="1639">
      <c r="H1639" s="50"/>
      <c r="I1639" s="50"/>
      <c r="O1639" s="36" t="s">
        <v>48</v>
      </c>
      <c r="R1639" s="36" t="s">
        <v>48</v>
      </c>
    </row>
    <row r="1640">
      <c r="H1640" s="50"/>
      <c r="I1640" s="50"/>
      <c r="O1640" s="36" t="s">
        <v>48</v>
      </c>
      <c r="R1640" s="36" t="s">
        <v>48</v>
      </c>
    </row>
    <row r="1641">
      <c r="H1641" s="50"/>
      <c r="I1641" s="50"/>
      <c r="O1641" s="36" t="s">
        <v>48</v>
      </c>
      <c r="R1641" s="36" t="s">
        <v>48</v>
      </c>
    </row>
    <row r="1642">
      <c r="H1642" s="50"/>
      <c r="I1642" s="50"/>
      <c r="O1642" s="36" t="s">
        <v>48</v>
      </c>
      <c r="R1642" s="36" t="s">
        <v>48</v>
      </c>
    </row>
    <row r="1643">
      <c r="H1643" s="50"/>
      <c r="I1643" s="50"/>
      <c r="O1643" s="36" t="s">
        <v>48</v>
      </c>
      <c r="R1643" s="36" t="s">
        <v>48</v>
      </c>
    </row>
    <row r="1644">
      <c r="H1644" s="50"/>
      <c r="I1644" s="50"/>
      <c r="O1644" s="36" t="s">
        <v>48</v>
      </c>
      <c r="R1644" s="36" t="s">
        <v>48</v>
      </c>
    </row>
    <row r="1645">
      <c r="H1645" s="50"/>
      <c r="I1645" s="50"/>
      <c r="O1645" s="36" t="s">
        <v>48</v>
      </c>
      <c r="R1645" s="36" t="s">
        <v>48</v>
      </c>
    </row>
    <row r="1646">
      <c r="H1646" s="50"/>
      <c r="I1646" s="50"/>
      <c r="O1646" s="36" t="s">
        <v>48</v>
      </c>
      <c r="R1646" s="36" t="s">
        <v>48</v>
      </c>
    </row>
    <row r="1647">
      <c r="H1647" s="50"/>
      <c r="I1647" s="50"/>
      <c r="O1647" s="36" t="s">
        <v>48</v>
      </c>
      <c r="R1647" s="36" t="s">
        <v>48</v>
      </c>
    </row>
    <row r="1648">
      <c r="H1648" s="50"/>
      <c r="I1648" s="50"/>
      <c r="O1648" s="36" t="s">
        <v>48</v>
      </c>
      <c r="R1648" s="36" t="s">
        <v>48</v>
      </c>
    </row>
    <row r="1649">
      <c r="H1649" s="50"/>
      <c r="I1649" s="50"/>
      <c r="O1649" s="36" t="s">
        <v>48</v>
      </c>
      <c r="R1649" s="36" t="s">
        <v>48</v>
      </c>
    </row>
    <row r="1650">
      <c r="H1650" s="50"/>
      <c r="I1650" s="50"/>
      <c r="O1650" s="36" t="s">
        <v>48</v>
      </c>
      <c r="R1650" s="36" t="s">
        <v>48</v>
      </c>
    </row>
    <row r="1651">
      <c r="H1651" s="50"/>
      <c r="I1651" s="50"/>
      <c r="O1651" s="36" t="s">
        <v>48</v>
      </c>
      <c r="R1651" s="36" t="s">
        <v>48</v>
      </c>
    </row>
    <row r="1652">
      <c r="H1652" s="50"/>
      <c r="I1652" s="50"/>
      <c r="O1652" s="36" t="s">
        <v>48</v>
      </c>
      <c r="R1652" s="36" t="s">
        <v>48</v>
      </c>
    </row>
    <row r="1653">
      <c r="H1653" s="50"/>
      <c r="I1653" s="50"/>
      <c r="O1653" s="36" t="s">
        <v>48</v>
      </c>
      <c r="R1653" s="36" t="s">
        <v>48</v>
      </c>
    </row>
    <row r="1654">
      <c r="H1654" s="50"/>
      <c r="I1654" s="50"/>
      <c r="O1654" s="36" t="s">
        <v>48</v>
      </c>
      <c r="R1654" s="36" t="s">
        <v>48</v>
      </c>
    </row>
    <row r="1655">
      <c r="H1655" s="50"/>
      <c r="I1655" s="50"/>
      <c r="O1655" s="36" t="s">
        <v>48</v>
      </c>
      <c r="R1655" s="36" t="s">
        <v>48</v>
      </c>
    </row>
    <row r="1656">
      <c r="H1656" s="50"/>
      <c r="I1656" s="50"/>
      <c r="O1656" s="36" t="s">
        <v>48</v>
      </c>
      <c r="R1656" s="36" t="s">
        <v>48</v>
      </c>
    </row>
    <row r="1657">
      <c r="H1657" s="50"/>
      <c r="I1657" s="50"/>
      <c r="O1657" s="36" t="s">
        <v>48</v>
      </c>
      <c r="R1657" s="36" t="s">
        <v>48</v>
      </c>
    </row>
    <row r="1658">
      <c r="H1658" s="50"/>
      <c r="I1658" s="50"/>
      <c r="O1658" s="36" t="s">
        <v>48</v>
      </c>
      <c r="R1658" s="36" t="s">
        <v>48</v>
      </c>
    </row>
    <row r="1659">
      <c r="H1659" s="50"/>
      <c r="I1659" s="50"/>
      <c r="O1659" s="36" t="s">
        <v>48</v>
      </c>
      <c r="R1659" s="36" t="s">
        <v>48</v>
      </c>
    </row>
    <row r="1660">
      <c r="H1660" s="50"/>
      <c r="I1660" s="50"/>
      <c r="O1660" s="36" t="s">
        <v>48</v>
      </c>
      <c r="R1660" s="36" t="s">
        <v>48</v>
      </c>
    </row>
    <row r="1661">
      <c r="H1661" s="50"/>
      <c r="I1661" s="50"/>
      <c r="O1661" s="36" t="s">
        <v>48</v>
      </c>
      <c r="R1661" s="36" t="s">
        <v>48</v>
      </c>
    </row>
    <row r="1662">
      <c r="H1662" s="50"/>
      <c r="I1662" s="50"/>
      <c r="O1662" s="36" t="s">
        <v>48</v>
      </c>
      <c r="R1662" s="36" t="s">
        <v>48</v>
      </c>
    </row>
    <row r="1663">
      <c r="H1663" s="50"/>
      <c r="I1663" s="50"/>
      <c r="O1663" s="36" t="s">
        <v>48</v>
      </c>
      <c r="R1663" s="36" t="s">
        <v>48</v>
      </c>
    </row>
    <row r="1664">
      <c r="H1664" s="50"/>
      <c r="I1664" s="50"/>
      <c r="O1664" s="36" t="s">
        <v>48</v>
      </c>
      <c r="R1664" s="36" t="s">
        <v>48</v>
      </c>
    </row>
    <row r="1665">
      <c r="H1665" s="50"/>
      <c r="I1665" s="50"/>
      <c r="O1665" s="36" t="s">
        <v>48</v>
      </c>
      <c r="R1665" s="36" t="s">
        <v>48</v>
      </c>
    </row>
    <row r="1666">
      <c r="H1666" s="50"/>
      <c r="I1666" s="50"/>
      <c r="O1666" s="36" t="s">
        <v>48</v>
      </c>
      <c r="R1666" s="36" t="s">
        <v>48</v>
      </c>
    </row>
    <row r="1667">
      <c r="H1667" s="50"/>
      <c r="I1667" s="50"/>
      <c r="O1667" s="36" t="s">
        <v>48</v>
      </c>
      <c r="R1667" s="36" t="s">
        <v>48</v>
      </c>
    </row>
    <row r="1668">
      <c r="H1668" s="50"/>
      <c r="I1668" s="50"/>
      <c r="O1668" s="36" t="s">
        <v>48</v>
      </c>
      <c r="R1668" s="36" t="s">
        <v>48</v>
      </c>
    </row>
    <row r="1669">
      <c r="H1669" s="50"/>
      <c r="I1669" s="50"/>
      <c r="O1669" s="36" t="s">
        <v>48</v>
      </c>
      <c r="R1669" s="36" t="s">
        <v>48</v>
      </c>
    </row>
    <row r="1670">
      <c r="H1670" s="50"/>
      <c r="I1670" s="50"/>
      <c r="O1670" s="36" t="s">
        <v>48</v>
      </c>
      <c r="R1670" s="36" t="s">
        <v>48</v>
      </c>
    </row>
    <row r="1671">
      <c r="H1671" s="50"/>
      <c r="I1671" s="50"/>
      <c r="O1671" s="36" t="s">
        <v>48</v>
      </c>
      <c r="R1671" s="36" t="s">
        <v>48</v>
      </c>
    </row>
    <row r="1672">
      <c r="H1672" s="50"/>
      <c r="I1672" s="50"/>
      <c r="O1672" s="36" t="s">
        <v>48</v>
      </c>
      <c r="R1672" s="36" t="s">
        <v>48</v>
      </c>
    </row>
    <row r="1673">
      <c r="H1673" s="50"/>
      <c r="I1673" s="50"/>
      <c r="O1673" s="36" t="s">
        <v>48</v>
      </c>
      <c r="R1673" s="36" t="s">
        <v>48</v>
      </c>
    </row>
    <row r="1674">
      <c r="H1674" s="50"/>
      <c r="I1674" s="50"/>
      <c r="O1674" s="36" t="s">
        <v>48</v>
      </c>
      <c r="R1674" s="36" t="s">
        <v>48</v>
      </c>
    </row>
    <row r="1675">
      <c r="H1675" s="50"/>
      <c r="I1675" s="50"/>
      <c r="O1675" s="36" t="s">
        <v>48</v>
      </c>
      <c r="R1675" s="36" t="s">
        <v>48</v>
      </c>
    </row>
    <row r="1676">
      <c r="H1676" s="50"/>
      <c r="I1676" s="50"/>
      <c r="O1676" s="36" t="s">
        <v>48</v>
      </c>
      <c r="R1676" s="36" t="s">
        <v>48</v>
      </c>
    </row>
    <row r="1677">
      <c r="H1677" s="50"/>
      <c r="I1677" s="50"/>
      <c r="O1677" s="36" t="s">
        <v>48</v>
      </c>
      <c r="R1677" s="36" t="s">
        <v>48</v>
      </c>
    </row>
    <row r="1678">
      <c r="H1678" s="50"/>
      <c r="I1678" s="50"/>
      <c r="O1678" s="36" t="s">
        <v>48</v>
      </c>
      <c r="R1678" s="36" t="s">
        <v>48</v>
      </c>
    </row>
    <row r="1679">
      <c r="H1679" s="50"/>
      <c r="I1679" s="50"/>
      <c r="O1679" s="36" t="s">
        <v>48</v>
      </c>
      <c r="R1679" s="36" t="s">
        <v>48</v>
      </c>
    </row>
    <row r="1680">
      <c r="H1680" s="50"/>
      <c r="I1680" s="50"/>
      <c r="O1680" s="36" t="s">
        <v>48</v>
      </c>
      <c r="R1680" s="36" t="s">
        <v>48</v>
      </c>
    </row>
    <row r="1681">
      <c r="H1681" s="50"/>
      <c r="I1681" s="50"/>
      <c r="O1681" s="36" t="s">
        <v>48</v>
      </c>
      <c r="R1681" s="36" t="s">
        <v>48</v>
      </c>
    </row>
    <row r="1682">
      <c r="H1682" s="50"/>
      <c r="I1682" s="50"/>
      <c r="O1682" s="36" t="s">
        <v>48</v>
      </c>
      <c r="R1682" s="36" t="s">
        <v>48</v>
      </c>
    </row>
    <row r="1683">
      <c r="H1683" s="50"/>
      <c r="I1683" s="50"/>
      <c r="O1683" s="36" t="s">
        <v>48</v>
      </c>
      <c r="R1683" s="36" t="s">
        <v>48</v>
      </c>
    </row>
    <row r="1684">
      <c r="H1684" s="50"/>
      <c r="I1684" s="50"/>
      <c r="O1684" s="36" t="s">
        <v>48</v>
      </c>
      <c r="R1684" s="36" t="s">
        <v>48</v>
      </c>
    </row>
    <row r="1685">
      <c r="H1685" s="50"/>
      <c r="I1685" s="50"/>
      <c r="O1685" s="36" t="s">
        <v>48</v>
      </c>
      <c r="R1685" s="36" t="s">
        <v>48</v>
      </c>
    </row>
    <row r="1686">
      <c r="H1686" s="50"/>
      <c r="I1686" s="50"/>
      <c r="O1686" s="36" t="s">
        <v>48</v>
      </c>
      <c r="R1686" s="36" t="s">
        <v>48</v>
      </c>
    </row>
    <row r="1687">
      <c r="H1687" s="50"/>
      <c r="I1687" s="50"/>
      <c r="O1687" s="36" t="s">
        <v>48</v>
      </c>
      <c r="R1687" s="36" t="s">
        <v>48</v>
      </c>
    </row>
    <row r="1688">
      <c r="H1688" s="50"/>
      <c r="I1688" s="50"/>
      <c r="O1688" s="36" t="s">
        <v>48</v>
      </c>
      <c r="R1688" s="36" t="s">
        <v>48</v>
      </c>
    </row>
    <row r="1689">
      <c r="H1689" s="50"/>
      <c r="I1689" s="50"/>
      <c r="O1689" s="36" t="s">
        <v>48</v>
      </c>
      <c r="R1689" s="36" t="s">
        <v>48</v>
      </c>
    </row>
    <row r="1690">
      <c r="H1690" s="50"/>
      <c r="I1690" s="50"/>
      <c r="O1690" s="36" t="s">
        <v>48</v>
      </c>
      <c r="R1690" s="36" t="s">
        <v>48</v>
      </c>
    </row>
    <row r="1691">
      <c r="H1691" s="50"/>
      <c r="I1691" s="50"/>
      <c r="O1691" s="36" t="s">
        <v>48</v>
      </c>
      <c r="R1691" s="36" t="s">
        <v>48</v>
      </c>
    </row>
    <row r="1692">
      <c r="H1692" s="50"/>
      <c r="I1692" s="50"/>
      <c r="O1692" s="36" t="s">
        <v>48</v>
      </c>
      <c r="R1692" s="36" t="s">
        <v>48</v>
      </c>
    </row>
    <row r="1693">
      <c r="H1693" s="50"/>
      <c r="I1693" s="50"/>
      <c r="O1693" s="36" t="s">
        <v>48</v>
      </c>
      <c r="R1693" s="36" t="s">
        <v>48</v>
      </c>
    </row>
    <row r="1694">
      <c r="H1694" s="50"/>
      <c r="I1694" s="50"/>
      <c r="O1694" s="36" t="s">
        <v>48</v>
      </c>
      <c r="R1694" s="36" t="s">
        <v>48</v>
      </c>
    </row>
    <row r="1695">
      <c r="H1695" s="50"/>
      <c r="I1695" s="50"/>
      <c r="O1695" s="36" t="s">
        <v>48</v>
      </c>
      <c r="R1695" s="36" t="s">
        <v>48</v>
      </c>
    </row>
    <row r="1696">
      <c r="H1696" s="50"/>
      <c r="I1696" s="50"/>
      <c r="O1696" s="36" t="s">
        <v>48</v>
      </c>
      <c r="R1696" s="36" t="s">
        <v>48</v>
      </c>
    </row>
    <row r="1697">
      <c r="H1697" s="50"/>
      <c r="I1697" s="50"/>
      <c r="O1697" s="36" t="s">
        <v>48</v>
      </c>
      <c r="R1697" s="36" t="s">
        <v>48</v>
      </c>
    </row>
    <row r="1698">
      <c r="H1698" s="50"/>
      <c r="I1698" s="50"/>
      <c r="O1698" s="36" t="s">
        <v>48</v>
      </c>
      <c r="R1698" s="36" t="s">
        <v>48</v>
      </c>
    </row>
    <row r="1699">
      <c r="H1699" s="50"/>
      <c r="I1699" s="50"/>
      <c r="O1699" s="36" t="s">
        <v>48</v>
      </c>
      <c r="R1699" s="36" t="s">
        <v>48</v>
      </c>
    </row>
    <row r="1700">
      <c r="H1700" s="50"/>
      <c r="I1700" s="50"/>
      <c r="O1700" s="36" t="s">
        <v>48</v>
      </c>
      <c r="R1700" s="36" t="s">
        <v>48</v>
      </c>
    </row>
    <row r="1701">
      <c r="H1701" s="50"/>
      <c r="I1701" s="50"/>
      <c r="O1701" s="36" t="s">
        <v>48</v>
      </c>
      <c r="R1701" s="36" t="s">
        <v>48</v>
      </c>
    </row>
    <row r="1702">
      <c r="H1702" s="50"/>
      <c r="I1702" s="50"/>
      <c r="O1702" s="36" t="s">
        <v>48</v>
      </c>
      <c r="R1702" s="36" t="s">
        <v>48</v>
      </c>
    </row>
    <row r="1703">
      <c r="H1703" s="50"/>
      <c r="I1703" s="50"/>
      <c r="O1703" s="36" t="s">
        <v>48</v>
      </c>
      <c r="R1703" s="36" t="s">
        <v>48</v>
      </c>
    </row>
    <row r="1704">
      <c r="H1704" s="50"/>
      <c r="I1704" s="50"/>
      <c r="O1704" s="36" t="s">
        <v>48</v>
      </c>
      <c r="R1704" s="36" t="s">
        <v>48</v>
      </c>
    </row>
    <row r="1705">
      <c r="H1705" s="50"/>
      <c r="I1705" s="50"/>
      <c r="O1705" s="36" t="s">
        <v>48</v>
      </c>
      <c r="R1705" s="36" t="s">
        <v>48</v>
      </c>
    </row>
    <row r="1706">
      <c r="H1706" s="50"/>
      <c r="I1706" s="50"/>
      <c r="O1706" s="36" t="s">
        <v>48</v>
      </c>
      <c r="R1706" s="36" t="s">
        <v>48</v>
      </c>
    </row>
    <row r="1707">
      <c r="H1707" s="50"/>
      <c r="I1707" s="50"/>
      <c r="O1707" s="36" t="s">
        <v>48</v>
      </c>
      <c r="R1707" s="36" t="s">
        <v>48</v>
      </c>
    </row>
    <row r="1708">
      <c r="H1708" s="50"/>
      <c r="I1708" s="50"/>
      <c r="O1708" s="36" t="s">
        <v>48</v>
      </c>
      <c r="R1708" s="36" t="s">
        <v>48</v>
      </c>
    </row>
    <row r="1709">
      <c r="H1709" s="50"/>
      <c r="I1709" s="50"/>
      <c r="O1709" s="36" t="s">
        <v>48</v>
      </c>
      <c r="R1709" s="36" t="s">
        <v>48</v>
      </c>
    </row>
    <row r="1710">
      <c r="H1710" s="50"/>
      <c r="I1710" s="50"/>
      <c r="O1710" s="36" t="s">
        <v>48</v>
      </c>
      <c r="R1710" s="36" t="s">
        <v>48</v>
      </c>
    </row>
    <row r="1711">
      <c r="H1711" s="50"/>
      <c r="I1711" s="50"/>
      <c r="O1711" s="36" t="s">
        <v>48</v>
      </c>
      <c r="R1711" s="36" t="s">
        <v>48</v>
      </c>
    </row>
    <row r="1712">
      <c r="H1712" s="50"/>
      <c r="I1712" s="50"/>
      <c r="O1712" s="36" t="s">
        <v>48</v>
      </c>
      <c r="R1712" s="36" t="s">
        <v>48</v>
      </c>
    </row>
    <row r="1713">
      <c r="H1713" s="50"/>
      <c r="I1713" s="50"/>
      <c r="O1713" s="36" t="s">
        <v>48</v>
      </c>
      <c r="R1713" s="36" t="s">
        <v>48</v>
      </c>
    </row>
    <row r="1714">
      <c r="H1714" s="50"/>
      <c r="I1714" s="50"/>
      <c r="O1714" s="36" t="s">
        <v>48</v>
      </c>
      <c r="R1714" s="36" t="s">
        <v>48</v>
      </c>
    </row>
    <row r="1715">
      <c r="H1715" s="50"/>
      <c r="I1715" s="50"/>
      <c r="O1715" s="36" t="s">
        <v>48</v>
      </c>
      <c r="R1715" s="36" t="s">
        <v>48</v>
      </c>
    </row>
    <row r="1716">
      <c r="H1716" s="50"/>
      <c r="I1716" s="50"/>
      <c r="O1716" s="36" t="s">
        <v>48</v>
      </c>
      <c r="R1716" s="36" t="s">
        <v>48</v>
      </c>
    </row>
    <row r="1717">
      <c r="H1717" s="50"/>
      <c r="I1717" s="50"/>
      <c r="O1717" s="36" t="s">
        <v>48</v>
      </c>
      <c r="R1717" s="36" t="s">
        <v>48</v>
      </c>
    </row>
    <row r="1718">
      <c r="H1718" s="50"/>
      <c r="I1718" s="50"/>
      <c r="O1718" s="36" t="s">
        <v>48</v>
      </c>
      <c r="R1718" s="36" t="s">
        <v>48</v>
      </c>
    </row>
    <row r="1719">
      <c r="H1719" s="50"/>
      <c r="I1719" s="50"/>
      <c r="O1719" s="36" t="s">
        <v>48</v>
      </c>
      <c r="R1719" s="36" t="s">
        <v>48</v>
      </c>
    </row>
    <row r="1720">
      <c r="H1720" s="50"/>
      <c r="I1720" s="50"/>
      <c r="O1720" s="36" t="s">
        <v>48</v>
      </c>
      <c r="R1720" s="36" t="s">
        <v>48</v>
      </c>
    </row>
    <row r="1721">
      <c r="H1721" s="50"/>
      <c r="I1721" s="50"/>
      <c r="O1721" s="36" t="s">
        <v>48</v>
      </c>
      <c r="R1721" s="36" t="s">
        <v>48</v>
      </c>
    </row>
    <row r="1722">
      <c r="H1722" s="50"/>
      <c r="I1722" s="50"/>
      <c r="O1722" s="36" t="s">
        <v>48</v>
      </c>
      <c r="R1722" s="36" t="s">
        <v>48</v>
      </c>
    </row>
    <row r="1723">
      <c r="H1723" s="50"/>
      <c r="I1723" s="50"/>
      <c r="O1723" s="36" t="s">
        <v>48</v>
      </c>
      <c r="R1723" s="36" t="s">
        <v>48</v>
      </c>
    </row>
    <row r="1724">
      <c r="H1724" s="50"/>
      <c r="I1724" s="50"/>
      <c r="O1724" s="36" t="s">
        <v>48</v>
      </c>
      <c r="R1724" s="36" t="s">
        <v>48</v>
      </c>
    </row>
    <row r="1725">
      <c r="H1725" s="50"/>
      <c r="I1725" s="50"/>
      <c r="O1725" s="36" t="s">
        <v>48</v>
      </c>
      <c r="R1725" s="36" t="s">
        <v>48</v>
      </c>
    </row>
    <row r="1726">
      <c r="H1726" s="50"/>
      <c r="I1726" s="50"/>
      <c r="O1726" s="36" t="s">
        <v>48</v>
      </c>
      <c r="R1726" s="36" t="s">
        <v>48</v>
      </c>
    </row>
    <row r="1727">
      <c r="H1727" s="50"/>
      <c r="I1727" s="50"/>
      <c r="O1727" s="36" t="s">
        <v>48</v>
      </c>
      <c r="R1727" s="36" t="s">
        <v>48</v>
      </c>
    </row>
    <row r="1728">
      <c r="H1728" s="50"/>
      <c r="I1728" s="50"/>
      <c r="O1728" s="36" t="s">
        <v>48</v>
      </c>
      <c r="R1728" s="36" t="s">
        <v>48</v>
      </c>
    </row>
    <row r="1729">
      <c r="H1729" s="50"/>
      <c r="I1729" s="50"/>
      <c r="O1729" s="36" t="s">
        <v>48</v>
      </c>
      <c r="R1729" s="36" t="s">
        <v>48</v>
      </c>
    </row>
    <row r="1730">
      <c r="H1730" s="50"/>
      <c r="I1730" s="50"/>
      <c r="O1730" s="36" t="s">
        <v>48</v>
      </c>
      <c r="R1730" s="36" t="s">
        <v>48</v>
      </c>
    </row>
    <row r="1731">
      <c r="H1731" s="50"/>
      <c r="I1731" s="50"/>
      <c r="O1731" s="36" t="s">
        <v>48</v>
      </c>
      <c r="R1731" s="36" t="s">
        <v>48</v>
      </c>
    </row>
    <row r="1732">
      <c r="H1732" s="50"/>
      <c r="I1732" s="50"/>
      <c r="O1732" s="36" t="s">
        <v>48</v>
      </c>
      <c r="R1732" s="36" t="s">
        <v>48</v>
      </c>
    </row>
    <row r="1733">
      <c r="H1733" s="50"/>
      <c r="I1733" s="50"/>
      <c r="O1733" s="36" t="s">
        <v>48</v>
      </c>
      <c r="R1733" s="36" t="s">
        <v>48</v>
      </c>
    </row>
    <row r="1734">
      <c r="H1734" s="50"/>
      <c r="I1734" s="50"/>
      <c r="O1734" s="36" t="s">
        <v>48</v>
      </c>
      <c r="R1734" s="36" t="s">
        <v>48</v>
      </c>
    </row>
    <row r="1735">
      <c r="H1735" s="50"/>
      <c r="I1735" s="50"/>
      <c r="O1735" s="36" t="s">
        <v>48</v>
      </c>
      <c r="R1735" s="36" t="s">
        <v>48</v>
      </c>
    </row>
    <row r="1736">
      <c r="H1736" s="50"/>
      <c r="I1736" s="50"/>
      <c r="O1736" s="36" t="s">
        <v>48</v>
      </c>
      <c r="R1736" s="36" t="s">
        <v>48</v>
      </c>
    </row>
    <row r="1737">
      <c r="H1737" s="50"/>
      <c r="I1737" s="50"/>
      <c r="O1737" s="36" t="s">
        <v>48</v>
      </c>
      <c r="R1737" s="36" t="s">
        <v>48</v>
      </c>
    </row>
    <row r="1738">
      <c r="H1738" s="50"/>
      <c r="I1738" s="50"/>
      <c r="O1738" s="36" t="s">
        <v>48</v>
      </c>
      <c r="R1738" s="36" t="s">
        <v>48</v>
      </c>
    </row>
    <row r="1739">
      <c r="H1739" s="50"/>
      <c r="I1739" s="50"/>
      <c r="O1739" s="36" t="s">
        <v>48</v>
      </c>
      <c r="R1739" s="36" t="s">
        <v>48</v>
      </c>
    </row>
    <row r="1740">
      <c r="H1740" s="50"/>
      <c r="I1740" s="50"/>
      <c r="O1740" s="36" t="s">
        <v>48</v>
      </c>
      <c r="R1740" s="36" t="s">
        <v>48</v>
      </c>
    </row>
    <row r="1741">
      <c r="H1741" s="50"/>
      <c r="I1741" s="50"/>
      <c r="O1741" s="36" t="s">
        <v>48</v>
      </c>
      <c r="R1741" s="36" t="s">
        <v>48</v>
      </c>
    </row>
    <row r="1742">
      <c r="H1742" s="50"/>
      <c r="I1742" s="50"/>
      <c r="O1742" s="36" t="s">
        <v>48</v>
      </c>
      <c r="R1742" s="36" t="s">
        <v>48</v>
      </c>
    </row>
    <row r="1743">
      <c r="H1743" s="50"/>
      <c r="I1743" s="50"/>
      <c r="O1743" s="36" t="s">
        <v>48</v>
      </c>
      <c r="R1743" s="36" t="s">
        <v>48</v>
      </c>
    </row>
    <row r="1744">
      <c r="H1744" s="50"/>
      <c r="I1744" s="50"/>
      <c r="O1744" s="36" t="s">
        <v>48</v>
      </c>
      <c r="R1744" s="36" t="s">
        <v>48</v>
      </c>
    </row>
    <row r="1745">
      <c r="H1745" s="50"/>
      <c r="I1745" s="50"/>
      <c r="O1745" s="36" t="s">
        <v>48</v>
      </c>
      <c r="R1745" s="36" t="s">
        <v>48</v>
      </c>
    </row>
    <row r="1746">
      <c r="H1746" s="50"/>
      <c r="I1746" s="50"/>
      <c r="O1746" s="36" t="s">
        <v>48</v>
      </c>
      <c r="R1746" s="36" t="s">
        <v>48</v>
      </c>
    </row>
    <row r="1747">
      <c r="H1747" s="50"/>
      <c r="I1747" s="50"/>
      <c r="O1747" s="36" t="s">
        <v>48</v>
      </c>
      <c r="R1747" s="36" t="s">
        <v>48</v>
      </c>
    </row>
    <row r="1748">
      <c r="H1748" s="50"/>
      <c r="I1748" s="50"/>
      <c r="O1748" s="36" t="s">
        <v>48</v>
      </c>
      <c r="R1748" s="36" t="s">
        <v>48</v>
      </c>
    </row>
    <row r="1749">
      <c r="H1749" s="50"/>
      <c r="I1749" s="50"/>
      <c r="O1749" s="36" t="s">
        <v>48</v>
      </c>
      <c r="R1749" s="36" t="s">
        <v>48</v>
      </c>
    </row>
    <row r="1750">
      <c r="H1750" s="50"/>
      <c r="I1750" s="50"/>
      <c r="O1750" s="36" t="s">
        <v>48</v>
      </c>
      <c r="R1750" s="36" t="s">
        <v>48</v>
      </c>
    </row>
    <row r="1751">
      <c r="H1751" s="50"/>
      <c r="I1751" s="50"/>
      <c r="O1751" s="36" t="s">
        <v>48</v>
      </c>
      <c r="R1751" s="36" t="s">
        <v>48</v>
      </c>
    </row>
    <row r="1752">
      <c r="H1752" s="50"/>
      <c r="I1752" s="50"/>
      <c r="O1752" s="36" t="s">
        <v>48</v>
      </c>
      <c r="R1752" s="36" t="s">
        <v>48</v>
      </c>
    </row>
    <row r="1753">
      <c r="H1753" s="50"/>
      <c r="I1753" s="50"/>
      <c r="O1753" s="36" t="s">
        <v>48</v>
      </c>
      <c r="R1753" s="36" t="s">
        <v>48</v>
      </c>
    </row>
    <row r="1754">
      <c r="H1754" s="50"/>
      <c r="I1754" s="50"/>
      <c r="O1754" s="36" t="s">
        <v>48</v>
      </c>
      <c r="R1754" s="36" t="s">
        <v>48</v>
      </c>
    </row>
    <row r="1755">
      <c r="H1755" s="50"/>
      <c r="I1755" s="50"/>
      <c r="O1755" s="36" t="s">
        <v>48</v>
      </c>
      <c r="R1755" s="36" t="s">
        <v>48</v>
      </c>
    </row>
    <row r="1756">
      <c r="H1756" s="50"/>
      <c r="I1756" s="50"/>
      <c r="O1756" s="36" t="s">
        <v>48</v>
      </c>
      <c r="R1756" s="36" t="s">
        <v>48</v>
      </c>
    </row>
    <row r="1757">
      <c r="H1757" s="50"/>
      <c r="I1757" s="50"/>
      <c r="O1757" s="36" t="s">
        <v>48</v>
      </c>
      <c r="R1757" s="36" t="s">
        <v>48</v>
      </c>
    </row>
    <row r="1758">
      <c r="H1758" s="50"/>
      <c r="I1758" s="50"/>
      <c r="O1758" s="36" t="s">
        <v>48</v>
      </c>
      <c r="R1758" s="36" t="s">
        <v>48</v>
      </c>
    </row>
    <row r="1759">
      <c r="H1759" s="50"/>
      <c r="I1759" s="50"/>
      <c r="O1759" s="36" t="s">
        <v>48</v>
      </c>
      <c r="R1759" s="36" t="s">
        <v>48</v>
      </c>
    </row>
    <row r="1760">
      <c r="H1760" s="50"/>
      <c r="I1760" s="50"/>
      <c r="O1760" s="36" t="s">
        <v>48</v>
      </c>
      <c r="R1760" s="36" t="s">
        <v>48</v>
      </c>
    </row>
    <row r="1761">
      <c r="H1761" s="50"/>
      <c r="I1761" s="50"/>
      <c r="O1761" s="36" t="s">
        <v>48</v>
      </c>
      <c r="R1761" s="36" t="s">
        <v>48</v>
      </c>
    </row>
    <row r="1762">
      <c r="H1762" s="50"/>
      <c r="I1762" s="50"/>
      <c r="O1762" s="36" t="s">
        <v>48</v>
      </c>
      <c r="R1762" s="36" t="s">
        <v>48</v>
      </c>
    </row>
    <row r="1763">
      <c r="H1763" s="50"/>
      <c r="I1763" s="50"/>
      <c r="O1763" s="36" t="s">
        <v>48</v>
      </c>
      <c r="R1763" s="36" t="s">
        <v>48</v>
      </c>
    </row>
    <row r="1764">
      <c r="H1764" s="50"/>
      <c r="I1764" s="50"/>
      <c r="O1764" s="36" t="s">
        <v>48</v>
      </c>
      <c r="R1764" s="36" t="s">
        <v>48</v>
      </c>
    </row>
    <row r="1765">
      <c r="H1765" s="50"/>
      <c r="I1765" s="50"/>
      <c r="O1765" s="36" t="s">
        <v>48</v>
      </c>
      <c r="R1765" s="36" t="s">
        <v>48</v>
      </c>
    </row>
    <row r="1766">
      <c r="H1766" s="50"/>
      <c r="I1766" s="50"/>
      <c r="O1766" s="36" t="s">
        <v>48</v>
      </c>
      <c r="R1766" s="36" t="s">
        <v>48</v>
      </c>
    </row>
    <row r="1767">
      <c r="H1767" s="50"/>
      <c r="I1767" s="50"/>
      <c r="O1767" s="36" t="s">
        <v>48</v>
      </c>
      <c r="R1767" s="36" t="s">
        <v>48</v>
      </c>
    </row>
    <row r="1768">
      <c r="H1768" s="50"/>
      <c r="I1768" s="50"/>
      <c r="O1768" s="36" t="s">
        <v>48</v>
      </c>
      <c r="R1768" s="36" t="s">
        <v>48</v>
      </c>
    </row>
    <row r="1769">
      <c r="H1769" s="50"/>
      <c r="I1769" s="50"/>
      <c r="O1769" s="36" t="s">
        <v>48</v>
      </c>
      <c r="R1769" s="36" t="s">
        <v>48</v>
      </c>
    </row>
    <row r="1770">
      <c r="H1770" s="50"/>
      <c r="I1770" s="50"/>
      <c r="O1770" s="36" t="s">
        <v>48</v>
      </c>
      <c r="R1770" s="36" t="s">
        <v>48</v>
      </c>
    </row>
    <row r="1771">
      <c r="H1771" s="50"/>
      <c r="I1771" s="50"/>
      <c r="O1771" s="36" t="s">
        <v>48</v>
      </c>
      <c r="R1771" s="36" t="s">
        <v>48</v>
      </c>
    </row>
    <row r="1772">
      <c r="H1772" s="50"/>
      <c r="I1772" s="50"/>
      <c r="O1772" s="36" t="s">
        <v>48</v>
      </c>
      <c r="R1772" s="36" t="s">
        <v>48</v>
      </c>
    </row>
    <row r="1773">
      <c r="H1773" s="50"/>
      <c r="I1773" s="50"/>
      <c r="O1773" s="36" t="s">
        <v>48</v>
      </c>
      <c r="R1773" s="36" t="s">
        <v>48</v>
      </c>
    </row>
    <row r="1774">
      <c r="H1774" s="50"/>
      <c r="I1774" s="50"/>
      <c r="O1774" s="36" t="s">
        <v>48</v>
      </c>
      <c r="R1774" s="36" t="s">
        <v>48</v>
      </c>
    </row>
    <row r="1775">
      <c r="H1775" s="50"/>
      <c r="I1775" s="50"/>
      <c r="O1775" s="36" t="s">
        <v>48</v>
      </c>
      <c r="R1775" s="36" t="s">
        <v>48</v>
      </c>
    </row>
    <row r="1776">
      <c r="H1776" s="50"/>
      <c r="I1776" s="50"/>
      <c r="O1776" s="36" t="s">
        <v>48</v>
      </c>
      <c r="R1776" s="36" t="s">
        <v>48</v>
      </c>
    </row>
    <row r="1777">
      <c r="H1777" s="50"/>
      <c r="I1777" s="50"/>
      <c r="O1777" s="36" t="s">
        <v>48</v>
      </c>
      <c r="R1777" s="36" t="s">
        <v>48</v>
      </c>
    </row>
    <row r="1778">
      <c r="H1778" s="50"/>
      <c r="I1778" s="50"/>
      <c r="O1778" s="36" t="s">
        <v>48</v>
      </c>
      <c r="R1778" s="36" t="s">
        <v>48</v>
      </c>
    </row>
    <row r="1779">
      <c r="H1779" s="50"/>
      <c r="I1779" s="50"/>
      <c r="O1779" s="36" t="s">
        <v>48</v>
      </c>
      <c r="R1779" s="36" t="s">
        <v>48</v>
      </c>
    </row>
    <row r="1780">
      <c r="H1780" s="50"/>
      <c r="I1780" s="50"/>
      <c r="O1780" s="36" t="s">
        <v>48</v>
      </c>
      <c r="R1780" s="36" t="s">
        <v>48</v>
      </c>
    </row>
    <row r="1781">
      <c r="H1781" s="50"/>
      <c r="I1781" s="50"/>
      <c r="O1781" s="36" t="s">
        <v>48</v>
      </c>
      <c r="R1781" s="36" t="s">
        <v>48</v>
      </c>
    </row>
    <row r="1782">
      <c r="H1782" s="50"/>
      <c r="I1782" s="50"/>
      <c r="O1782" s="36" t="s">
        <v>48</v>
      </c>
      <c r="R1782" s="36" t="s">
        <v>48</v>
      </c>
    </row>
    <row r="1783">
      <c r="H1783" s="50"/>
      <c r="I1783" s="50"/>
      <c r="O1783" s="36" t="s">
        <v>48</v>
      </c>
      <c r="R1783" s="36" t="s">
        <v>48</v>
      </c>
    </row>
    <row r="1784">
      <c r="H1784" s="50"/>
      <c r="I1784" s="50"/>
      <c r="O1784" s="36" t="s">
        <v>48</v>
      </c>
      <c r="R1784" s="36" t="s">
        <v>48</v>
      </c>
    </row>
    <row r="1785">
      <c r="H1785" s="50"/>
      <c r="I1785" s="50"/>
      <c r="O1785" s="36" t="s">
        <v>48</v>
      </c>
      <c r="R1785" s="36" t="s">
        <v>48</v>
      </c>
    </row>
    <row r="1786">
      <c r="H1786" s="50"/>
      <c r="I1786" s="50"/>
      <c r="O1786" s="36" t="s">
        <v>48</v>
      </c>
      <c r="R1786" s="36" t="s">
        <v>48</v>
      </c>
    </row>
    <row r="1787">
      <c r="H1787" s="50"/>
      <c r="I1787" s="50"/>
      <c r="O1787" s="36" t="s">
        <v>48</v>
      </c>
      <c r="R1787" s="36" t="s">
        <v>48</v>
      </c>
    </row>
    <row r="1788">
      <c r="H1788" s="50"/>
      <c r="I1788" s="50"/>
      <c r="O1788" s="36" t="s">
        <v>48</v>
      </c>
      <c r="R1788" s="36" t="s">
        <v>48</v>
      </c>
    </row>
    <row r="1789">
      <c r="H1789" s="50"/>
      <c r="I1789" s="50"/>
      <c r="O1789" s="36" t="s">
        <v>48</v>
      </c>
      <c r="R1789" s="36" t="s">
        <v>48</v>
      </c>
    </row>
    <row r="1790">
      <c r="H1790" s="50"/>
      <c r="I1790" s="50"/>
      <c r="O1790" s="36" t="s">
        <v>48</v>
      </c>
      <c r="R1790" s="36" t="s">
        <v>48</v>
      </c>
    </row>
    <row r="1791">
      <c r="H1791" s="50"/>
      <c r="I1791" s="50"/>
      <c r="O1791" s="36" t="s">
        <v>48</v>
      </c>
      <c r="R1791" s="36" t="s">
        <v>48</v>
      </c>
    </row>
    <row r="1792">
      <c r="H1792" s="50"/>
      <c r="I1792" s="50"/>
      <c r="O1792" s="36" t="s">
        <v>48</v>
      </c>
      <c r="R1792" s="36" t="s">
        <v>48</v>
      </c>
    </row>
    <row r="1793">
      <c r="H1793" s="50"/>
      <c r="I1793" s="50"/>
      <c r="O1793" s="36" t="s">
        <v>48</v>
      </c>
      <c r="R1793" s="36" t="s">
        <v>48</v>
      </c>
    </row>
    <row r="1794">
      <c r="H1794" s="50"/>
      <c r="I1794" s="50"/>
      <c r="O1794" s="36" t="s">
        <v>48</v>
      </c>
      <c r="R1794" s="36" t="s">
        <v>48</v>
      </c>
    </row>
    <row r="1795">
      <c r="H1795" s="50"/>
      <c r="I1795" s="50"/>
      <c r="O1795" s="36" t="s">
        <v>48</v>
      </c>
      <c r="R1795" s="36" t="s">
        <v>48</v>
      </c>
    </row>
    <row r="1796">
      <c r="H1796" s="50"/>
      <c r="I1796" s="50"/>
      <c r="O1796" s="36" t="s">
        <v>48</v>
      </c>
      <c r="R1796" s="36" t="s">
        <v>48</v>
      </c>
    </row>
    <row r="1797">
      <c r="H1797" s="50"/>
      <c r="I1797" s="50"/>
      <c r="O1797" s="36" t="s">
        <v>48</v>
      </c>
      <c r="R1797" s="36" t="s">
        <v>48</v>
      </c>
    </row>
    <row r="1798">
      <c r="H1798" s="50"/>
      <c r="I1798" s="50"/>
      <c r="O1798" s="36" t="s">
        <v>48</v>
      </c>
      <c r="R1798" s="36" t="s">
        <v>48</v>
      </c>
    </row>
    <row r="1799">
      <c r="H1799" s="50"/>
      <c r="I1799" s="50"/>
      <c r="O1799" s="36" t="s">
        <v>48</v>
      </c>
      <c r="R1799" s="36" t="s">
        <v>48</v>
      </c>
    </row>
    <row r="1800">
      <c r="H1800" s="50"/>
      <c r="I1800" s="50"/>
      <c r="O1800" s="36" t="s">
        <v>48</v>
      </c>
      <c r="R1800" s="36" t="s">
        <v>48</v>
      </c>
    </row>
    <row r="1801">
      <c r="H1801" s="50"/>
      <c r="I1801" s="50"/>
      <c r="O1801" s="36" t="s">
        <v>48</v>
      </c>
      <c r="R1801" s="36" t="s">
        <v>48</v>
      </c>
    </row>
    <row r="1802">
      <c r="H1802" s="50"/>
      <c r="I1802" s="50"/>
      <c r="O1802" s="36" t="s">
        <v>48</v>
      </c>
      <c r="R1802" s="36" t="s">
        <v>48</v>
      </c>
    </row>
    <row r="1803">
      <c r="H1803" s="50"/>
      <c r="I1803" s="50"/>
      <c r="O1803" s="36" t="s">
        <v>48</v>
      </c>
      <c r="R1803" s="36" t="s">
        <v>48</v>
      </c>
    </row>
    <row r="1804">
      <c r="H1804" s="50"/>
      <c r="I1804" s="50"/>
      <c r="O1804" s="36" t="s">
        <v>48</v>
      </c>
      <c r="R1804" s="36" t="s">
        <v>48</v>
      </c>
    </row>
    <row r="1805">
      <c r="H1805" s="50"/>
      <c r="I1805" s="50"/>
      <c r="O1805" s="36" t="s">
        <v>48</v>
      </c>
      <c r="R1805" s="36" t="s">
        <v>48</v>
      </c>
    </row>
    <row r="1806">
      <c r="H1806" s="50"/>
      <c r="I1806" s="50"/>
      <c r="O1806" s="36" t="s">
        <v>48</v>
      </c>
      <c r="R1806" s="36" t="s">
        <v>48</v>
      </c>
    </row>
    <row r="1807">
      <c r="H1807" s="50"/>
      <c r="I1807" s="50"/>
      <c r="O1807" s="36" t="s">
        <v>48</v>
      </c>
      <c r="R1807" s="36" t="s">
        <v>48</v>
      </c>
    </row>
    <row r="1808">
      <c r="H1808" s="50"/>
      <c r="I1808" s="50"/>
      <c r="O1808" s="36" t="s">
        <v>48</v>
      </c>
      <c r="R1808" s="36" t="s">
        <v>48</v>
      </c>
    </row>
    <row r="1809">
      <c r="H1809" s="50"/>
      <c r="I1809" s="50"/>
      <c r="O1809" s="36" t="s">
        <v>48</v>
      </c>
      <c r="R1809" s="36" t="s">
        <v>48</v>
      </c>
    </row>
    <row r="1810">
      <c r="H1810" s="50"/>
      <c r="I1810" s="50"/>
      <c r="O1810" s="36" t="s">
        <v>48</v>
      </c>
      <c r="R1810" s="36" t="s">
        <v>48</v>
      </c>
    </row>
    <row r="1811">
      <c r="H1811" s="50"/>
      <c r="I1811" s="50"/>
      <c r="O1811" s="36" t="s">
        <v>48</v>
      </c>
      <c r="R1811" s="36" t="s">
        <v>48</v>
      </c>
    </row>
    <row r="1812">
      <c r="H1812" s="50"/>
      <c r="I1812" s="50"/>
      <c r="O1812" s="36" t="s">
        <v>48</v>
      </c>
      <c r="R1812" s="36" t="s">
        <v>48</v>
      </c>
    </row>
    <row r="1813">
      <c r="H1813" s="50"/>
      <c r="I1813" s="50"/>
      <c r="O1813" s="36" t="s">
        <v>48</v>
      </c>
      <c r="R1813" s="36" t="s">
        <v>48</v>
      </c>
    </row>
    <row r="1814">
      <c r="H1814" s="50"/>
      <c r="I1814" s="50"/>
      <c r="O1814" s="36" t="s">
        <v>48</v>
      </c>
      <c r="R1814" s="36" t="s">
        <v>48</v>
      </c>
    </row>
    <row r="1815">
      <c r="H1815" s="50"/>
      <c r="I1815" s="50"/>
      <c r="O1815" s="36" t="s">
        <v>48</v>
      </c>
      <c r="R1815" s="36" t="s">
        <v>48</v>
      </c>
    </row>
    <row r="1816">
      <c r="H1816" s="50"/>
      <c r="I1816" s="50"/>
      <c r="O1816" s="36" t="s">
        <v>48</v>
      </c>
      <c r="R1816" s="36" t="s">
        <v>48</v>
      </c>
    </row>
    <row r="1817">
      <c r="H1817" s="50"/>
      <c r="I1817" s="50"/>
      <c r="O1817" s="36" t="s">
        <v>48</v>
      </c>
      <c r="R1817" s="36" t="s">
        <v>48</v>
      </c>
    </row>
    <row r="1818">
      <c r="H1818" s="50"/>
      <c r="I1818" s="50"/>
      <c r="O1818" s="36" t="s">
        <v>48</v>
      </c>
      <c r="R1818" s="36" t="s">
        <v>48</v>
      </c>
    </row>
    <row r="1819">
      <c r="H1819" s="50"/>
      <c r="I1819" s="50"/>
      <c r="O1819" s="36" t="s">
        <v>48</v>
      </c>
      <c r="R1819" s="36" t="s">
        <v>48</v>
      </c>
    </row>
    <row r="1820">
      <c r="H1820" s="50"/>
      <c r="I1820" s="50"/>
      <c r="O1820" s="36" t="s">
        <v>48</v>
      </c>
      <c r="R1820" s="36" t="s">
        <v>48</v>
      </c>
    </row>
    <row r="1821">
      <c r="H1821" s="50"/>
      <c r="I1821" s="50"/>
      <c r="O1821" s="36" t="s">
        <v>48</v>
      </c>
      <c r="R1821" s="36" t="s">
        <v>48</v>
      </c>
    </row>
    <row r="1822">
      <c r="H1822" s="50"/>
      <c r="I1822" s="50"/>
      <c r="O1822" s="36" t="s">
        <v>48</v>
      </c>
      <c r="R1822" s="36" t="s">
        <v>48</v>
      </c>
    </row>
    <row r="1823">
      <c r="H1823" s="50"/>
      <c r="I1823" s="50"/>
      <c r="O1823" s="36" t="s">
        <v>48</v>
      </c>
      <c r="R1823" s="36" t="s">
        <v>48</v>
      </c>
    </row>
    <row r="1824">
      <c r="H1824" s="50"/>
      <c r="I1824" s="50"/>
      <c r="O1824" s="36" t="s">
        <v>48</v>
      </c>
      <c r="R1824" s="36" t="s">
        <v>48</v>
      </c>
    </row>
    <row r="1825">
      <c r="H1825" s="50"/>
      <c r="I1825" s="50"/>
      <c r="O1825" s="36" t="s">
        <v>48</v>
      </c>
      <c r="R1825" s="36" t="s">
        <v>48</v>
      </c>
    </row>
    <row r="1826">
      <c r="H1826" s="50"/>
      <c r="I1826" s="50"/>
      <c r="O1826" s="36" t="s">
        <v>48</v>
      </c>
      <c r="R1826" s="36" t="s">
        <v>48</v>
      </c>
    </row>
    <row r="1827">
      <c r="H1827" s="50"/>
      <c r="I1827" s="50"/>
      <c r="O1827" s="36" t="s">
        <v>48</v>
      </c>
      <c r="R1827" s="36" t="s">
        <v>48</v>
      </c>
    </row>
    <row r="1828">
      <c r="H1828" s="50"/>
      <c r="I1828" s="50"/>
      <c r="O1828" s="36" t="s">
        <v>48</v>
      </c>
      <c r="R1828" s="36" t="s">
        <v>48</v>
      </c>
    </row>
    <row r="1829">
      <c r="H1829" s="50"/>
      <c r="I1829" s="50"/>
      <c r="O1829" s="36" t="s">
        <v>48</v>
      </c>
      <c r="R1829" s="36" t="s">
        <v>48</v>
      </c>
    </row>
    <row r="1830">
      <c r="H1830" s="50"/>
      <c r="I1830" s="50"/>
      <c r="O1830" s="36" t="s">
        <v>48</v>
      </c>
      <c r="R1830" s="36" t="s">
        <v>48</v>
      </c>
    </row>
    <row r="1831">
      <c r="H1831" s="50"/>
      <c r="I1831" s="50"/>
      <c r="O1831" s="36" t="s">
        <v>48</v>
      </c>
      <c r="R1831" s="36" t="s">
        <v>48</v>
      </c>
    </row>
    <row r="1832">
      <c r="H1832" s="50"/>
      <c r="I1832" s="50"/>
      <c r="O1832" s="36" t="s">
        <v>48</v>
      </c>
      <c r="R1832" s="36" t="s">
        <v>48</v>
      </c>
    </row>
    <row r="1833">
      <c r="H1833" s="50"/>
      <c r="I1833" s="50"/>
      <c r="O1833" s="36" t="s">
        <v>48</v>
      </c>
      <c r="R1833" s="36" t="s">
        <v>48</v>
      </c>
    </row>
    <row r="1834">
      <c r="H1834" s="50"/>
      <c r="I1834" s="50"/>
      <c r="O1834" s="36" t="s">
        <v>48</v>
      </c>
      <c r="R1834" s="36" t="s">
        <v>48</v>
      </c>
    </row>
    <row r="1835">
      <c r="H1835" s="50"/>
      <c r="I1835" s="50"/>
      <c r="O1835" s="36" t="s">
        <v>48</v>
      </c>
      <c r="R1835" s="36" t="s">
        <v>48</v>
      </c>
    </row>
    <row r="1836">
      <c r="H1836" s="50"/>
      <c r="I1836" s="50"/>
      <c r="O1836" s="36" t="s">
        <v>48</v>
      </c>
      <c r="R1836" s="36" t="s">
        <v>48</v>
      </c>
    </row>
    <row r="1837">
      <c r="H1837" s="50"/>
      <c r="I1837" s="50"/>
      <c r="O1837" s="36" t="s">
        <v>48</v>
      </c>
      <c r="R1837" s="36" t="s">
        <v>48</v>
      </c>
    </row>
    <row r="1838">
      <c r="H1838" s="50"/>
      <c r="I1838" s="50"/>
      <c r="O1838" s="36" t="s">
        <v>48</v>
      </c>
      <c r="R1838" s="36" t="s">
        <v>48</v>
      </c>
    </row>
    <row r="1839">
      <c r="H1839" s="50"/>
      <c r="I1839" s="50"/>
      <c r="O1839" s="36" t="s">
        <v>48</v>
      </c>
      <c r="R1839" s="36" t="s">
        <v>48</v>
      </c>
    </row>
    <row r="1840">
      <c r="H1840" s="50"/>
      <c r="I1840" s="50"/>
      <c r="O1840" s="36" t="s">
        <v>48</v>
      </c>
      <c r="R1840" s="36" t="s">
        <v>48</v>
      </c>
    </row>
    <row r="1841">
      <c r="H1841" s="50"/>
      <c r="I1841" s="50"/>
      <c r="O1841" s="36" t="s">
        <v>48</v>
      </c>
      <c r="R1841" s="36" t="s">
        <v>48</v>
      </c>
    </row>
    <row r="1842">
      <c r="H1842" s="50"/>
      <c r="I1842" s="50"/>
      <c r="O1842" s="36" t="s">
        <v>48</v>
      </c>
      <c r="R1842" s="36" t="s">
        <v>48</v>
      </c>
    </row>
    <row r="1843">
      <c r="H1843" s="50"/>
      <c r="I1843" s="50"/>
      <c r="O1843" s="36" t="s">
        <v>48</v>
      </c>
      <c r="R1843" s="36" t="s">
        <v>48</v>
      </c>
    </row>
    <row r="1844">
      <c r="H1844" s="50"/>
      <c r="I1844" s="50"/>
      <c r="O1844" s="36" t="s">
        <v>48</v>
      </c>
      <c r="R1844" s="36" t="s">
        <v>48</v>
      </c>
    </row>
    <row r="1845">
      <c r="H1845" s="50"/>
      <c r="I1845" s="50"/>
      <c r="O1845" s="36" t="s">
        <v>48</v>
      </c>
      <c r="R1845" s="36" t="s">
        <v>48</v>
      </c>
    </row>
    <row r="1846">
      <c r="H1846" s="50"/>
      <c r="I1846" s="50"/>
      <c r="O1846" s="36" t="s">
        <v>48</v>
      </c>
      <c r="R1846" s="36" t="s">
        <v>48</v>
      </c>
    </row>
    <row r="1847">
      <c r="H1847" s="50"/>
      <c r="I1847" s="50"/>
      <c r="O1847" s="36" t="s">
        <v>48</v>
      </c>
      <c r="R1847" s="36" t="s">
        <v>48</v>
      </c>
    </row>
    <row r="1848">
      <c r="H1848" s="50"/>
      <c r="I1848" s="50"/>
      <c r="O1848" s="36" t="s">
        <v>48</v>
      </c>
      <c r="R1848" s="36" t="s">
        <v>48</v>
      </c>
    </row>
    <row r="1849">
      <c r="H1849" s="50"/>
      <c r="I1849" s="50"/>
      <c r="O1849" s="36" t="s">
        <v>48</v>
      </c>
      <c r="R1849" s="36" t="s">
        <v>48</v>
      </c>
    </row>
    <row r="1850">
      <c r="H1850" s="50"/>
      <c r="I1850" s="50"/>
      <c r="O1850" s="36" t="s">
        <v>48</v>
      </c>
      <c r="R1850" s="36" t="s">
        <v>48</v>
      </c>
    </row>
    <row r="1851">
      <c r="H1851" s="50"/>
      <c r="I1851" s="50"/>
      <c r="O1851" s="36" t="s">
        <v>48</v>
      </c>
      <c r="R1851" s="36" t="s">
        <v>48</v>
      </c>
    </row>
    <row r="1852">
      <c r="H1852" s="50"/>
      <c r="I1852" s="50"/>
      <c r="O1852" s="36" t="s">
        <v>48</v>
      </c>
      <c r="R1852" s="36" t="s">
        <v>48</v>
      </c>
    </row>
    <row r="1853">
      <c r="H1853" s="50"/>
      <c r="I1853" s="50"/>
      <c r="O1853" s="36" t="s">
        <v>48</v>
      </c>
      <c r="R1853" s="36" t="s">
        <v>48</v>
      </c>
    </row>
    <row r="1854">
      <c r="H1854" s="50"/>
      <c r="I1854" s="50"/>
      <c r="O1854" s="36" t="s">
        <v>48</v>
      </c>
      <c r="R1854" s="36" t="s">
        <v>48</v>
      </c>
    </row>
    <row r="1855">
      <c r="H1855" s="50"/>
      <c r="I1855" s="50"/>
      <c r="O1855" s="36" t="s">
        <v>48</v>
      </c>
      <c r="R1855" s="36" t="s">
        <v>48</v>
      </c>
    </row>
    <row r="1856">
      <c r="H1856" s="50"/>
      <c r="I1856" s="50"/>
      <c r="O1856" s="36" t="s">
        <v>48</v>
      </c>
      <c r="R1856" s="36" t="s">
        <v>48</v>
      </c>
    </row>
    <row r="1857">
      <c r="H1857" s="50"/>
      <c r="I1857" s="50"/>
      <c r="O1857" s="36" t="s">
        <v>48</v>
      </c>
      <c r="R1857" s="36" t="s">
        <v>48</v>
      </c>
    </row>
    <row r="1858">
      <c r="H1858" s="50"/>
      <c r="I1858" s="50"/>
      <c r="O1858" s="36" t="s">
        <v>48</v>
      </c>
      <c r="R1858" s="36" t="s">
        <v>48</v>
      </c>
    </row>
    <row r="1859">
      <c r="H1859" s="50"/>
      <c r="I1859" s="50"/>
      <c r="O1859" s="36" t="s">
        <v>48</v>
      </c>
      <c r="R1859" s="36" t="s">
        <v>48</v>
      </c>
    </row>
    <row r="1860">
      <c r="H1860" s="50"/>
      <c r="I1860" s="50"/>
      <c r="O1860" s="36" t="s">
        <v>48</v>
      </c>
      <c r="R1860" s="36" t="s">
        <v>48</v>
      </c>
    </row>
    <row r="1861">
      <c r="H1861" s="50"/>
      <c r="I1861" s="50"/>
      <c r="O1861" s="36" t="s">
        <v>48</v>
      </c>
      <c r="R1861" s="36" t="s">
        <v>48</v>
      </c>
    </row>
    <row r="1862">
      <c r="H1862" s="50"/>
      <c r="I1862" s="50"/>
      <c r="O1862" s="36" t="s">
        <v>48</v>
      </c>
      <c r="R1862" s="36" t="s">
        <v>48</v>
      </c>
    </row>
    <row r="1863">
      <c r="H1863" s="50"/>
      <c r="I1863" s="50"/>
      <c r="O1863" s="36" t="s">
        <v>48</v>
      </c>
      <c r="R1863" s="36" t="s">
        <v>48</v>
      </c>
    </row>
    <row r="1864">
      <c r="H1864" s="50"/>
      <c r="I1864" s="50"/>
      <c r="O1864" s="36" t="s">
        <v>48</v>
      </c>
      <c r="R1864" s="36" t="s">
        <v>48</v>
      </c>
    </row>
    <row r="1865">
      <c r="H1865" s="50"/>
      <c r="I1865" s="50"/>
      <c r="O1865" s="36" t="s">
        <v>48</v>
      </c>
      <c r="R1865" s="36" t="s">
        <v>48</v>
      </c>
    </row>
    <row r="1866">
      <c r="H1866" s="50"/>
      <c r="I1866" s="50"/>
      <c r="O1866" s="36" t="s">
        <v>48</v>
      </c>
      <c r="R1866" s="36" t="s">
        <v>48</v>
      </c>
    </row>
    <row r="1867">
      <c r="H1867" s="50"/>
      <c r="I1867" s="50"/>
      <c r="O1867" s="36" t="s">
        <v>48</v>
      </c>
      <c r="R1867" s="36" t="s">
        <v>48</v>
      </c>
    </row>
    <row r="1868">
      <c r="H1868" s="50"/>
      <c r="I1868" s="50"/>
      <c r="O1868" s="36" t="s">
        <v>48</v>
      </c>
      <c r="R1868" s="36" t="s">
        <v>48</v>
      </c>
    </row>
    <row r="1869">
      <c r="H1869" s="50"/>
      <c r="I1869" s="50"/>
      <c r="O1869" s="36" t="s">
        <v>48</v>
      </c>
      <c r="R1869" s="36" t="s">
        <v>48</v>
      </c>
    </row>
    <row r="1870">
      <c r="H1870" s="50"/>
      <c r="I1870" s="50"/>
      <c r="O1870" s="36" t="s">
        <v>48</v>
      </c>
      <c r="R1870" s="36" t="s">
        <v>48</v>
      </c>
    </row>
    <row r="1871">
      <c r="H1871" s="50"/>
      <c r="I1871" s="50"/>
      <c r="O1871" s="36" t="s">
        <v>48</v>
      </c>
      <c r="R1871" s="36" t="s">
        <v>48</v>
      </c>
    </row>
    <row r="1872">
      <c r="H1872" s="50"/>
      <c r="I1872" s="50"/>
      <c r="O1872" s="36" t="s">
        <v>48</v>
      </c>
      <c r="R1872" s="36" t="s">
        <v>48</v>
      </c>
    </row>
    <row r="1873">
      <c r="H1873" s="50"/>
      <c r="I1873" s="50"/>
      <c r="O1873" s="36" t="s">
        <v>48</v>
      </c>
      <c r="R1873" s="36" t="s">
        <v>48</v>
      </c>
    </row>
    <row r="1874">
      <c r="H1874" s="50"/>
      <c r="I1874" s="50"/>
      <c r="O1874" s="36" t="s">
        <v>48</v>
      </c>
      <c r="R1874" s="36" t="s">
        <v>48</v>
      </c>
    </row>
    <row r="1875">
      <c r="H1875" s="50"/>
      <c r="I1875" s="50"/>
      <c r="O1875" s="36" t="s">
        <v>48</v>
      </c>
      <c r="R1875" s="36" t="s">
        <v>48</v>
      </c>
    </row>
    <row r="1876">
      <c r="H1876" s="50"/>
      <c r="I1876" s="50"/>
      <c r="O1876" s="36" t="s">
        <v>48</v>
      </c>
      <c r="R1876" s="36" t="s">
        <v>48</v>
      </c>
    </row>
    <row r="1877">
      <c r="H1877" s="50"/>
      <c r="I1877" s="50"/>
      <c r="O1877" s="36" t="s">
        <v>48</v>
      </c>
      <c r="R1877" s="36" t="s">
        <v>48</v>
      </c>
    </row>
    <row r="1878">
      <c r="H1878" s="50"/>
      <c r="I1878" s="50"/>
      <c r="O1878" s="36" t="s">
        <v>48</v>
      </c>
      <c r="R1878" s="36" t="s">
        <v>48</v>
      </c>
    </row>
    <row r="1879">
      <c r="H1879" s="50"/>
      <c r="I1879" s="50"/>
      <c r="O1879" s="36" t="s">
        <v>48</v>
      </c>
      <c r="R1879" s="36" t="s">
        <v>48</v>
      </c>
    </row>
    <row r="1880">
      <c r="H1880" s="50"/>
      <c r="I1880" s="50"/>
      <c r="O1880" s="36" t="s">
        <v>48</v>
      </c>
      <c r="R1880" s="36" t="s">
        <v>48</v>
      </c>
    </row>
    <row r="1881">
      <c r="H1881" s="50"/>
      <c r="I1881" s="50"/>
      <c r="O1881" s="36" t="s">
        <v>48</v>
      </c>
      <c r="R1881" s="36" t="s">
        <v>48</v>
      </c>
    </row>
    <row r="1882">
      <c r="H1882" s="50"/>
      <c r="I1882" s="50"/>
      <c r="O1882" s="36" t="s">
        <v>48</v>
      </c>
      <c r="R1882" s="36" t="s">
        <v>48</v>
      </c>
    </row>
    <row r="1883">
      <c r="H1883" s="50"/>
      <c r="I1883" s="50"/>
      <c r="O1883" s="36" t="s">
        <v>48</v>
      </c>
      <c r="R1883" s="36" t="s">
        <v>48</v>
      </c>
    </row>
    <row r="1884">
      <c r="H1884" s="50"/>
      <c r="I1884" s="50"/>
      <c r="O1884" s="36" t="s">
        <v>48</v>
      </c>
      <c r="R1884" s="36" t="s">
        <v>48</v>
      </c>
    </row>
    <row r="1885">
      <c r="H1885" s="50"/>
      <c r="I1885" s="50"/>
      <c r="O1885" s="36" t="s">
        <v>48</v>
      </c>
      <c r="R1885" s="36" t="s">
        <v>48</v>
      </c>
    </row>
    <row r="1886">
      <c r="H1886" s="50"/>
      <c r="I1886" s="50"/>
      <c r="O1886" s="36" t="s">
        <v>48</v>
      </c>
      <c r="R1886" s="36" t="s">
        <v>48</v>
      </c>
    </row>
    <row r="1887">
      <c r="H1887" s="50"/>
      <c r="I1887" s="50"/>
      <c r="O1887" s="36" t="s">
        <v>48</v>
      </c>
      <c r="R1887" s="36" t="s">
        <v>48</v>
      </c>
    </row>
    <row r="1888">
      <c r="H1888" s="50"/>
      <c r="I1888" s="50"/>
      <c r="O1888" s="36" t="s">
        <v>48</v>
      </c>
      <c r="R1888" s="36" t="s">
        <v>48</v>
      </c>
    </row>
    <row r="1889">
      <c r="H1889" s="50"/>
      <c r="I1889" s="50"/>
      <c r="O1889" s="36" t="s">
        <v>48</v>
      </c>
      <c r="R1889" s="36" t="s">
        <v>48</v>
      </c>
    </row>
    <row r="1890">
      <c r="H1890" s="50"/>
      <c r="I1890" s="50"/>
      <c r="O1890" s="36" t="s">
        <v>48</v>
      </c>
      <c r="R1890" s="36" t="s">
        <v>48</v>
      </c>
    </row>
    <row r="1891">
      <c r="H1891" s="50"/>
      <c r="I1891" s="50"/>
      <c r="O1891" s="36" t="s">
        <v>48</v>
      </c>
      <c r="R1891" s="36" t="s">
        <v>48</v>
      </c>
    </row>
    <row r="1892">
      <c r="H1892" s="50"/>
      <c r="I1892" s="50"/>
      <c r="O1892" s="36" t="s">
        <v>48</v>
      </c>
      <c r="R1892" s="36" t="s">
        <v>48</v>
      </c>
    </row>
    <row r="1893">
      <c r="H1893" s="50"/>
      <c r="I1893" s="50"/>
      <c r="O1893" s="36" t="s">
        <v>48</v>
      </c>
      <c r="R1893" s="36" t="s">
        <v>48</v>
      </c>
    </row>
    <row r="1894">
      <c r="H1894" s="50"/>
      <c r="I1894" s="50"/>
      <c r="O1894" s="36" t="s">
        <v>48</v>
      </c>
      <c r="R1894" s="36" t="s">
        <v>48</v>
      </c>
    </row>
    <row r="1895">
      <c r="H1895" s="50"/>
      <c r="I1895" s="50"/>
      <c r="O1895" s="36" t="s">
        <v>48</v>
      </c>
      <c r="R1895" s="36" t="s">
        <v>48</v>
      </c>
    </row>
    <row r="1896">
      <c r="H1896" s="50"/>
      <c r="I1896" s="50"/>
      <c r="O1896" s="36" t="s">
        <v>48</v>
      </c>
      <c r="R1896" s="36" t="s">
        <v>48</v>
      </c>
    </row>
    <row r="1897">
      <c r="H1897" s="50"/>
      <c r="I1897" s="50"/>
      <c r="O1897" s="36" t="s">
        <v>48</v>
      </c>
      <c r="R1897" s="36" t="s">
        <v>48</v>
      </c>
    </row>
    <row r="1898">
      <c r="H1898" s="50"/>
      <c r="I1898" s="50"/>
      <c r="O1898" s="36" t="s">
        <v>48</v>
      </c>
      <c r="R1898" s="36" t="s">
        <v>48</v>
      </c>
    </row>
    <row r="1899">
      <c r="H1899" s="50"/>
      <c r="I1899" s="50"/>
      <c r="O1899" s="36" t="s">
        <v>48</v>
      </c>
      <c r="R1899" s="36" t="s">
        <v>48</v>
      </c>
    </row>
    <row r="1900">
      <c r="H1900" s="50"/>
      <c r="I1900" s="50"/>
      <c r="O1900" s="36" t="s">
        <v>48</v>
      </c>
      <c r="R1900" s="36" t="s">
        <v>48</v>
      </c>
    </row>
    <row r="1901">
      <c r="H1901" s="50"/>
      <c r="I1901" s="50"/>
      <c r="O1901" s="36" t="s">
        <v>48</v>
      </c>
      <c r="R1901" s="36" t="s">
        <v>48</v>
      </c>
    </row>
    <row r="1902">
      <c r="H1902" s="50"/>
      <c r="I1902" s="50"/>
      <c r="O1902" s="36" t="s">
        <v>48</v>
      </c>
      <c r="R1902" s="36" t="s">
        <v>48</v>
      </c>
    </row>
    <row r="1903">
      <c r="H1903" s="50"/>
      <c r="I1903" s="50"/>
      <c r="O1903" s="36" t="s">
        <v>48</v>
      </c>
      <c r="R1903" s="36" t="s">
        <v>48</v>
      </c>
    </row>
    <row r="1904">
      <c r="H1904" s="50"/>
      <c r="I1904" s="50"/>
      <c r="O1904" s="36" t="s">
        <v>48</v>
      </c>
      <c r="R1904" s="36" t="s">
        <v>48</v>
      </c>
    </row>
    <row r="1905">
      <c r="H1905" s="50"/>
      <c r="I1905" s="50"/>
      <c r="O1905" s="36" t="s">
        <v>48</v>
      </c>
      <c r="R1905" s="36" t="s">
        <v>48</v>
      </c>
    </row>
    <row r="1906">
      <c r="H1906" s="50"/>
      <c r="I1906" s="50"/>
      <c r="O1906" s="36" t="s">
        <v>48</v>
      </c>
      <c r="R1906" s="36" t="s">
        <v>48</v>
      </c>
    </row>
    <row r="1907">
      <c r="H1907" s="50"/>
      <c r="I1907" s="50"/>
      <c r="O1907" s="36" t="s">
        <v>48</v>
      </c>
      <c r="R1907" s="36" t="s">
        <v>48</v>
      </c>
    </row>
    <row r="1908">
      <c r="H1908" s="50"/>
      <c r="I1908" s="50"/>
      <c r="O1908" s="36" t="s">
        <v>48</v>
      </c>
      <c r="R1908" s="36" t="s">
        <v>48</v>
      </c>
    </row>
    <row r="1909">
      <c r="H1909" s="50"/>
      <c r="I1909" s="50"/>
      <c r="O1909" s="36" t="s">
        <v>48</v>
      </c>
      <c r="R1909" s="36" t="s">
        <v>48</v>
      </c>
    </row>
    <row r="1910">
      <c r="H1910" s="50"/>
      <c r="I1910" s="50"/>
      <c r="O1910" s="36" t="s">
        <v>48</v>
      </c>
      <c r="R1910" s="36" t="s">
        <v>48</v>
      </c>
    </row>
    <row r="1911">
      <c r="H1911" s="50"/>
      <c r="I1911" s="50"/>
      <c r="O1911" s="36" t="s">
        <v>48</v>
      </c>
      <c r="R1911" s="36" t="s">
        <v>48</v>
      </c>
    </row>
    <row r="1912">
      <c r="H1912" s="50"/>
      <c r="I1912" s="50"/>
      <c r="O1912" s="36" t="s">
        <v>48</v>
      </c>
      <c r="R1912" s="36" t="s">
        <v>48</v>
      </c>
    </row>
    <row r="1913">
      <c r="H1913" s="50"/>
      <c r="I1913" s="50"/>
      <c r="O1913" s="36" t="s">
        <v>48</v>
      </c>
      <c r="R1913" s="36" t="s">
        <v>48</v>
      </c>
    </row>
    <row r="1914">
      <c r="H1914" s="50"/>
      <c r="I1914" s="50"/>
      <c r="O1914" s="36" t="s">
        <v>48</v>
      </c>
      <c r="R1914" s="36" t="s">
        <v>48</v>
      </c>
    </row>
    <row r="1915">
      <c r="H1915" s="50"/>
      <c r="I1915" s="50"/>
      <c r="O1915" s="36" t="s">
        <v>48</v>
      </c>
      <c r="R1915" s="36" t="s">
        <v>48</v>
      </c>
    </row>
    <row r="1916">
      <c r="H1916" s="50"/>
      <c r="I1916" s="50"/>
      <c r="O1916" s="36" t="s">
        <v>48</v>
      </c>
      <c r="R1916" s="36" t="s">
        <v>48</v>
      </c>
    </row>
    <row r="1917">
      <c r="H1917" s="50"/>
      <c r="I1917" s="50"/>
      <c r="O1917" s="36" t="s">
        <v>48</v>
      </c>
      <c r="R1917" s="36" t="s">
        <v>48</v>
      </c>
    </row>
    <row r="1918">
      <c r="H1918" s="50"/>
      <c r="I1918" s="50"/>
      <c r="O1918" s="36" t="s">
        <v>48</v>
      </c>
      <c r="R1918" s="36" t="s">
        <v>48</v>
      </c>
    </row>
    <row r="1919">
      <c r="H1919" s="50"/>
      <c r="I1919" s="50"/>
      <c r="O1919" s="36" t="s">
        <v>48</v>
      </c>
      <c r="R1919" s="36" t="s">
        <v>48</v>
      </c>
    </row>
    <row r="1920">
      <c r="H1920" s="50"/>
      <c r="I1920" s="50"/>
      <c r="O1920" s="36" t="s">
        <v>48</v>
      </c>
      <c r="R1920" s="36" t="s">
        <v>48</v>
      </c>
    </row>
    <row r="1921">
      <c r="H1921" s="50"/>
      <c r="I1921" s="50"/>
      <c r="O1921" s="36" t="s">
        <v>48</v>
      </c>
      <c r="R1921" s="36" t="s">
        <v>48</v>
      </c>
    </row>
    <row r="1922">
      <c r="H1922" s="50"/>
      <c r="I1922" s="50"/>
      <c r="O1922" s="36" t="s">
        <v>48</v>
      </c>
      <c r="R1922" s="36" t="s">
        <v>48</v>
      </c>
    </row>
    <row r="1923">
      <c r="H1923" s="50"/>
      <c r="I1923" s="50"/>
      <c r="O1923" s="36" t="s">
        <v>48</v>
      </c>
      <c r="R1923" s="36" t="s">
        <v>48</v>
      </c>
    </row>
    <row r="1924">
      <c r="H1924" s="50"/>
      <c r="I1924" s="50"/>
      <c r="O1924" s="36" t="s">
        <v>48</v>
      </c>
      <c r="R1924" s="36" t="s">
        <v>48</v>
      </c>
    </row>
    <row r="1925">
      <c r="H1925" s="50"/>
      <c r="I1925" s="50"/>
      <c r="O1925" s="36" t="s">
        <v>48</v>
      </c>
      <c r="R1925" s="36" t="s">
        <v>48</v>
      </c>
    </row>
    <row r="1926">
      <c r="H1926" s="50"/>
      <c r="I1926" s="50"/>
      <c r="O1926" s="36" t="s">
        <v>48</v>
      </c>
      <c r="R1926" s="36" t="s">
        <v>48</v>
      </c>
    </row>
    <row r="1927">
      <c r="H1927" s="50"/>
      <c r="I1927" s="50"/>
      <c r="O1927" s="36" t="s">
        <v>48</v>
      </c>
      <c r="R1927" s="36" t="s">
        <v>48</v>
      </c>
    </row>
    <row r="1928">
      <c r="H1928" s="50"/>
      <c r="I1928" s="50"/>
      <c r="O1928" s="36" t="s">
        <v>48</v>
      </c>
      <c r="R1928" s="36" t="s">
        <v>48</v>
      </c>
    </row>
    <row r="1929">
      <c r="H1929" s="50"/>
      <c r="I1929" s="50"/>
      <c r="O1929" s="36" t="s">
        <v>48</v>
      </c>
      <c r="R1929" s="36" t="s">
        <v>48</v>
      </c>
    </row>
    <row r="1930">
      <c r="H1930" s="50"/>
      <c r="I1930" s="50"/>
      <c r="O1930" s="36" t="s">
        <v>48</v>
      </c>
      <c r="R1930" s="36" t="s">
        <v>48</v>
      </c>
    </row>
    <row r="1931">
      <c r="H1931" s="50"/>
      <c r="I1931" s="50"/>
      <c r="O1931" s="36" t="s">
        <v>48</v>
      </c>
      <c r="R1931" s="36" t="s">
        <v>48</v>
      </c>
    </row>
    <row r="1932">
      <c r="H1932" s="50"/>
      <c r="I1932" s="50"/>
      <c r="O1932" s="36" t="s">
        <v>48</v>
      </c>
      <c r="R1932" s="36" t="s">
        <v>48</v>
      </c>
    </row>
    <row r="1933">
      <c r="H1933" s="50"/>
      <c r="I1933" s="50"/>
      <c r="O1933" s="36" t="s">
        <v>48</v>
      </c>
      <c r="R1933" s="36" t="s">
        <v>48</v>
      </c>
    </row>
    <row r="1934">
      <c r="H1934" s="50"/>
      <c r="I1934" s="50"/>
      <c r="O1934" s="36" t="s">
        <v>48</v>
      </c>
      <c r="R1934" s="36" t="s">
        <v>48</v>
      </c>
    </row>
    <row r="1935">
      <c r="H1935" s="50"/>
      <c r="I1935" s="50"/>
      <c r="O1935" s="36" t="s">
        <v>48</v>
      </c>
      <c r="R1935" s="36" t="s">
        <v>48</v>
      </c>
    </row>
    <row r="1936">
      <c r="H1936" s="50"/>
      <c r="I1936" s="50"/>
      <c r="O1936" s="36" t="s">
        <v>48</v>
      </c>
      <c r="R1936" s="36" t="s">
        <v>48</v>
      </c>
    </row>
    <row r="1937">
      <c r="H1937" s="50"/>
      <c r="I1937" s="50"/>
      <c r="O1937" s="36" t="s">
        <v>48</v>
      </c>
      <c r="R1937" s="36" t="s">
        <v>48</v>
      </c>
    </row>
    <row r="1938">
      <c r="H1938" s="50"/>
      <c r="I1938" s="50"/>
      <c r="O1938" s="36" t="s">
        <v>48</v>
      </c>
      <c r="R1938" s="36" t="s">
        <v>48</v>
      </c>
    </row>
    <row r="1939">
      <c r="H1939" s="50"/>
      <c r="I1939" s="50"/>
      <c r="O1939" s="36" t="s">
        <v>48</v>
      </c>
      <c r="R1939" s="36" t="s">
        <v>48</v>
      </c>
    </row>
    <row r="1940">
      <c r="H1940" s="50"/>
      <c r="I1940" s="50"/>
      <c r="O1940" s="36" t="s">
        <v>48</v>
      </c>
      <c r="R1940" s="36" t="s">
        <v>48</v>
      </c>
    </row>
    <row r="1941">
      <c r="H1941" s="50"/>
      <c r="I1941" s="50"/>
      <c r="O1941" s="36" t="s">
        <v>48</v>
      </c>
      <c r="R1941" s="36" t="s">
        <v>48</v>
      </c>
    </row>
    <row r="1942">
      <c r="H1942" s="50"/>
      <c r="I1942" s="50"/>
      <c r="O1942" s="36" t="s">
        <v>48</v>
      </c>
      <c r="R1942" s="36" t="s">
        <v>48</v>
      </c>
    </row>
    <row r="1943">
      <c r="H1943" s="50"/>
      <c r="I1943" s="50"/>
      <c r="O1943" s="36" t="s">
        <v>48</v>
      </c>
      <c r="R1943" s="36" t="s">
        <v>48</v>
      </c>
    </row>
    <row r="1944">
      <c r="H1944" s="50"/>
      <c r="I1944" s="50"/>
      <c r="O1944" s="36" t="s">
        <v>48</v>
      </c>
      <c r="R1944" s="36" t="s">
        <v>48</v>
      </c>
    </row>
    <row r="1945">
      <c r="H1945" s="50"/>
      <c r="I1945" s="50"/>
      <c r="O1945" s="36" t="s">
        <v>48</v>
      </c>
      <c r="R1945" s="36" t="s">
        <v>48</v>
      </c>
    </row>
    <row r="1946">
      <c r="H1946" s="50"/>
      <c r="I1946" s="50"/>
      <c r="O1946" s="36" t="s">
        <v>48</v>
      </c>
      <c r="R1946" s="36" t="s">
        <v>48</v>
      </c>
    </row>
    <row r="1947">
      <c r="H1947" s="50"/>
      <c r="I1947" s="50"/>
      <c r="O1947" s="36" t="s">
        <v>48</v>
      </c>
      <c r="R1947" s="36" t="s">
        <v>48</v>
      </c>
    </row>
    <row r="1948">
      <c r="H1948" s="50"/>
      <c r="I1948" s="50"/>
      <c r="O1948" s="36" t="s">
        <v>48</v>
      </c>
      <c r="R1948" s="36" t="s">
        <v>48</v>
      </c>
    </row>
    <row r="1949">
      <c r="H1949" s="50"/>
      <c r="I1949" s="50"/>
      <c r="O1949" s="36" t="s">
        <v>48</v>
      </c>
      <c r="R1949" s="36" t="s">
        <v>48</v>
      </c>
    </row>
    <row r="1950">
      <c r="H1950" s="50"/>
      <c r="I1950" s="50"/>
      <c r="O1950" s="36" t="s">
        <v>48</v>
      </c>
      <c r="R1950" s="36" t="s">
        <v>48</v>
      </c>
    </row>
    <row r="1951">
      <c r="H1951" s="50"/>
      <c r="I1951" s="50"/>
      <c r="O1951" s="36" t="s">
        <v>48</v>
      </c>
      <c r="R1951" s="36" t="s">
        <v>48</v>
      </c>
    </row>
    <row r="1952">
      <c r="H1952" s="50"/>
      <c r="I1952" s="50"/>
      <c r="O1952" s="36" t="s">
        <v>48</v>
      </c>
      <c r="R1952" s="36" t="s">
        <v>48</v>
      </c>
    </row>
    <row r="1953">
      <c r="H1953" s="50"/>
      <c r="I1953" s="50"/>
      <c r="O1953" s="36" t="s">
        <v>48</v>
      </c>
      <c r="R1953" s="36" t="s">
        <v>48</v>
      </c>
    </row>
    <row r="1954">
      <c r="H1954" s="50"/>
      <c r="I1954" s="50"/>
      <c r="O1954" s="36" t="s">
        <v>48</v>
      </c>
      <c r="R1954" s="36" t="s">
        <v>48</v>
      </c>
    </row>
    <row r="1955">
      <c r="H1955" s="50"/>
      <c r="I1955" s="50"/>
      <c r="O1955" s="36" t="s">
        <v>48</v>
      </c>
      <c r="R1955" s="36" t="s">
        <v>48</v>
      </c>
    </row>
    <row r="1956">
      <c r="H1956" s="50"/>
      <c r="I1956" s="50"/>
      <c r="O1956" s="36" t="s">
        <v>48</v>
      </c>
      <c r="R1956" s="36" t="s">
        <v>48</v>
      </c>
    </row>
    <row r="1957">
      <c r="H1957" s="50"/>
      <c r="I1957" s="50"/>
      <c r="O1957" s="36" t="s">
        <v>48</v>
      </c>
      <c r="R1957" s="36" t="s">
        <v>48</v>
      </c>
    </row>
    <row r="1958">
      <c r="H1958" s="50"/>
      <c r="I1958" s="50"/>
      <c r="O1958" s="36" t="s">
        <v>48</v>
      </c>
      <c r="R1958" s="36" t="s">
        <v>48</v>
      </c>
    </row>
    <row r="1959">
      <c r="H1959" s="50"/>
      <c r="I1959" s="50"/>
      <c r="O1959" s="36" t="s">
        <v>48</v>
      </c>
      <c r="R1959" s="36" t="s">
        <v>48</v>
      </c>
    </row>
    <row r="1960">
      <c r="H1960" s="50"/>
      <c r="I1960" s="50"/>
      <c r="O1960" s="36" t="s">
        <v>48</v>
      </c>
      <c r="R1960" s="36" t="s">
        <v>48</v>
      </c>
    </row>
    <row r="1961">
      <c r="H1961" s="50"/>
      <c r="I1961" s="50"/>
      <c r="O1961" s="36" t="s">
        <v>48</v>
      </c>
      <c r="R1961" s="36" t="s">
        <v>48</v>
      </c>
    </row>
    <row r="1962">
      <c r="H1962" s="50"/>
      <c r="I1962" s="50"/>
      <c r="O1962" s="36" t="s">
        <v>48</v>
      </c>
      <c r="R1962" s="36" t="s">
        <v>48</v>
      </c>
    </row>
    <row r="1963">
      <c r="H1963" s="50"/>
      <c r="I1963" s="50"/>
      <c r="O1963" s="36" t="s">
        <v>48</v>
      </c>
      <c r="R1963" s="36" t="s">
        <v>48</v>
      </c>
    </row>
    <row r="1964">
      <c r="H1964" s="50"/>
      <c r="I1964" s="50"/>
      <c r="O1964" s="36" t="s">
        <v>48</v>
      </c>
      <c r="R1964" s="36" t="s">
        <v>48</v>
      </c>
    </row>
    <row r="1965">
      <c r="H1965" s="50"/>
      <c r="I1965" s="50"/>
      <c r="O1965" s="36" t="s">
        <v>48</v>
      </c>
      <c r="R1965" s="36" t="s">
        <v>48</v>
      </c>
    </row>
    <row r="1966">
      <c r="H1966" s="50"/>
      <c r="I1966" s="50"/>
      <c r="O1966" s="36" t="s">
        <v>48</v>
      </c>
      <c r="R1966" s="36" t="s">
        <v>48</v>
      </c>
    </row>
    <row r="1967">
      <c r="H1967" s="50"/>
      <c r="I1967" s="50"/>
      <c r="O1967" s="36" t="s">
        <v>48</v>
      </c>
      <c r="R1967" s="36" t="s">
        <v>48</v>
      </c>
    </row>
    <row r="1968">
      <c r="H1968" s="50"/>
      <c r="I1968" s="50"/>
      <c r="O1968" s="36" t="s">
        <v>48</v>
      </c>
      <c r="R1968" s="36" t="s">
        <v>48</v>
      </c>
    </row>
    <row r="1969">
      <c r="H1969" s="50"/>
      <c r="I1969" s="50"/>
      <c r="O1969" s="36" t="s">
        <v>48</v>
      </c>
      <c r="R1969" s="36" t="s">
        <v>48</v>
      </c>
    </row>
    <row r="1970">
      <c r="H1970" s="50"/>
      <c r="I1970" s="50"/>
      <c r="O1970" s="36" t="s">
        <v>48</v>
      </c>
      <c r="R1970" s="36" t="s">
        <v>48</v>
      </c>
    </row>
    <row r="1971">
      <c r="H1971" s="50"/>
      <c r="I1971" s="50"/>
      <c r="O1971" s="36" t="s">
        <v>48</v>
      </c>
      <c r="R1971" s="36" t="s">
        <v>48</v>
      </c>
    </row>
    <row r="1972">
      <c r="H1972" s="50"/>
      <c r="I1972" s="50"/>
      <c r="O1972" s="36" t="s">
        <v>48</v>
      </c>
      <c r="R1972" s="36" t="s">
        <v>48</v>
      </c>
    </row>
    <row r="1973">
      <c r="H1973" s="50"/>
      <c r="I1973" s="50"/>
      <c r="O1973" s="36" t="s">
        <v>48</v>
      </c>
      <c r="R1973" s="36" t="s">
        <v>48</v>
      </c>
    </row>
    <row r="1974">
      <c r="H1974" s="50"/>
      <c r="I1974" s="50"/>
      <c r="O1974" s="36" t="s">
        <v>48</v>
      </c>
      <c r="R1974" s="36" t="s">
        <v>48</v>
      </c>
    </row>
    <row r="1975">
      <c r="H1975" s="50"/>
      <c r="I1975" s="50"/>
      <c r="O1975" s="36" t="s">
        <v>48</v>
      </c>
      <c r="R1975" s="36" t="s">
        <v>48</v>
      </c>
    </row>
    <row r="1976">
      <c r="H1976" s="50"/>
      <c r="I1976" s="50"/>
      <c r="O1976" s="36" t="s">
        <v>48</v>
      </c>
      <c r="R1976" s="36" t="s">
        <v>48</v>
      </c>
    </row>
    <row r="1977">
      <c r="H1977" s="50"/>
      <c r="I1977" s="50"/>
      <c r="O1977" s="36" t="s">
        <v>48</v>
      </c>
      <c r="R1977" s="36" t="s">
        <v>48</v>
      </c>
    </row>
    <row r="1978">
      <c r="H1978" s="50"/>
      <c r="I1978" s="50"/>
      <c r="O1978" s="36" t="s">
        <v>48</v>
      </c>
      <c r="R1978" s="36" t="s">
        <v>48</v>
      </c>
    </row>
    <row r="1979">
      <c r="H1979" s="50"/>
      <c r="I1979" s="50"/>
      <c r="O1979" s="36" t="s">
        <v>48</v>
      </c>
      <c r="R1979" s="36" t="s">
        <v>48</v>
      </c>
    </row>
    <row r="1980">
      <c r="H1980" s="50"/>
      <c r="I1980" s="50"/>
      <c r="O1980" s="36" t="s">
        <v>48</v>
      </c>
      <c r="R1980" s="36" t="s">
        <v>48</v>
      </c>
    </row>
    <row r="1981">
      <c r="H1981" s="50"/>
      <c r="I1981" s="50"/>
      <c r="O1981" s="36" t="s">
        <v>48</v>
      </c>
      <c r="R1981" s="36" t="s">
        <v>48</v>
      </c>
    </row>
    <row r="1982">
      <c r="H1982" s="50"/>
      <c r="I1982" s="50"/>
      <c r="O1982" s="36" t="s">
        <v>48</v>
      </c>
      <c r="R1982" s="36" t="s">
        <v>48</v>
      </c>
    </row>
    <row r="1983">
      <c r="H1983" s="50"/>
      <c r="I1983" s="50"/>
      <c r="O1983" s="36" t="s">
        <v>48</v>
      </c>
      <c r="R1983" s="36" t="s">
        <v>48</v>
      </c>
    </row>
    <row r="1984">
      <c r="H1984" s="50"/>
      <c r="I1984" s="50"/>
      <c r="O1984" s="36" t="s">
        <v>48</v>
      </c>
      <c r="R1984" s="36" t="s">
        <v>48</v>
      </c>
    </row>
    <row r="1985">
      <c r="H1985" s="50"/>
      <c r="I1985" s="50"/>
      <c r="O1985" s="36" t="s">
        <v>48</v>
      </c>
      <c r="R1985" s="36" t="s">
        <v>48</v>
      </c>
    </row>
    <row r="1986">
      <c r="H1986" s="50"/>
      <c r="I1986" s="50"/>
      <c r="O1986" s="36" t="s">
        <v>48</v>
      </c>
      <c r="R1986" s="36" t="s">
        <v>48</v>
      </c>
    </row>
    <row r="1987">
      <c r="H1987" s="50"/>
      <c r="I1987" s="50"/>
      <c r="O1987" s="36" t="s">
        <v>48</v>
      </c>
      <c r="R1987" s="36" t="s">
        <v>48</v>
      </c>
    </row>
    <row r="1988">
      <c r="H1988" s="50"/>
      <c r="I1988" s="50"/>
      <c r="O1988" s="36" t="s">
        <v>48</v>
      </c>
      <c r="R1988" s="36" t="s">
        <v>48</v>
      </c>
    </row>
    <row r="1989">
      <c r="H1989" s="50"/>
      <c r="I1989" s="50"/>
      <c r="O1989" s="36" t="s">
        <v>48</v>
      </c>
      <c r="R1989" s="36" t="s">
        <v>48</v>
      </c>
    </row>
    <row r="1990">
      <c r="H1990" s="50"/>
      <c r="I1990" s="50"/>
      <c r="O1990" s="36" t="s">
        <v>48</v>
      </c>
      <c r="R1990" s="36" t="s">
        <v>48</v>
      </c>
    </row>
    <row r="1991">
      <c r="H1991" s="50"/>
      <c r="I1991" s="50"/>
      <c r="O1991" s="36" t="s">
        <v>48</v>
      </c>
      <c r="R1991" s="36" t="s">
        <v>48</v>
      </c>
    </row>
    <row r="1992">
      <c r="H1992" s="50"/>
      <c r="I1992" s="50"/>
      <c r="O1992" s="36" t="s">
        <v>48</v>
      </c>
      <c r="R1992" s="36" t="s">
        <v>48</v>
      </c>
    </row>
    <row r="1993">
      <c r="H1993" s="50"/>
      <c r="I1993" s="50"/>
      <c r="O1993" s="36" t="s">
        <v>48</v>
      </c>
      <c r="R1993" s="36" t="s">
        <v>48</v>
      </c>
    </row>
    <row r="1994">
      <c r="H1994" s="50"/>
      <c r="I1994" s="50"/>
      <c r="O1994" s="36" t="s">
        <v>48</v>
      </c>
      <c r="R1994" s="36" t="s">
        <v>48</v>
      </c>
    </row>
    <row r="1995">
      <c r="H1995" s="50"/>
      <c r="I1995" s="50"/>
      <c r="O1995" s="36" t="s">
        <v>48</v>
      </c>
      <c r="R1995" s="36" t="s">
        <v>48</v>
      </c>
    </row>
    <row r="1996">
      <c r="H1996" s="50"/>
      <c r="I1996" s="50"/>
      <c r="O1996" s="36" t="s">
        <v>48</v>
      </c>
      <c r="R1996" s="36" t="s">
        <v>48</v>
      </c>
    </row>
    <row r="1997">
      <c r="H1997" s="50"/>
      <c r="I1997" s="50"/>
      <c r="O1997" s="36" t="s">
        <v>48</v>
      </c>
      <c r="R1997" s="36" t="s">
        <v>48</v>
      </c>
    </row>
    <row r="1998">
      <c r="H1998" s="50"/>
      <c r="I1998" s="50"/>
      <c r="O1998" s="36" t="s">
        <v>48</v>
      </c>
      <c r="R1998" s="36" t="s">
        <v>48</v>
      </c>
    </row>
    <row r="1999">
      <c r="H1999" s="50"/>
      <c r="I1999" s="50"/>
      <c r="O1999" s="36" t="s">
        <v>48</v>
      </c>
      <c r="R1999" s="36" t="s">
        <v>48</v>
      </c>
    </row>
    <row r="2000">
      <c r="H2000" s="50"/>
      <c r="I2000" s="50"/>
      <c r="O2000" s="36" t="s">
        <v>48</v>
      </c>
      <c r="R2000" s="36" t="s">
        <v>48</v>
      </c>
    </row>
    <row r="2001">
      <c r="H2001" s="50"/>
      <c r="I2001" s="50"/>
      <c r="O2001" s="36" t="s">
        <v>48</v>
      </c>
      <c r="R2001" s="36" t="s">
        <v>48</v>
      </c>
    </row>
    <row r="2002">
      <c r="H2002" s="50"/>
      <c r="I2002" s="50"/>
      <c r="O2002" s="36" t="s">
        <v>48</v>
      </c>
      <c r="R2002" s="36" t="s">
        <v>48</v>
      </c>
    </row>
    <row r="2003">
      <c r="H2003" s="50"/>
      <c r="I2003" s="50"/>
      <c r="O2003" s="36" t="s">
        <v>48</v>
      </c>
      <c r="R2003" s="36" t="s">
        <v>48</v>
      </c>
    </row>
    <row r="2004">
      <c r="H2004" s="50"/>
      <c r="I2004" s="50"/>
      <c r="O2004" s="36" t="s">
        <v>48</v>
      </c>
      <c r="R2004" s="36" t="s">
        <v>48</v>
      </c>
    </row>
    <row r="2005">
      <c r="H2005" s="50"/>
      <c r="I2005" s="50"/>
      <c r="O2005" s="36" t="s">
        <v>48</v>
      </c>
      <c r="R2005" s="36" t="s">
        <v>48</v>
      </c>
    </row>
    <row r="2006">
      <c r="H2006" s="50"/>
      <c r="I2006" s="50"/>
      <c r="O2006" s="36" t="s">
        <v>48</v>
      </c>
      <c r="R2006" s="36" t="s">
        <v>48</v>
      </c>
    </row>
    <row r="2007">
      <c r="H2007" s="50"/>
      <c r="I2007" s="50"/>
      <c r="O2007" s="36" t="s">
        <v>48</v>
      </c>
      <c r="R2007" s="36" t="s">
        <v>48</v>
      </c>
    </row>
    <row r="2008">
      <c r="H2008" s="50"/>
      <c r="I2008" s="50"/>
      <c r="O2008" s="36" t="s">
        <v>48</v>
      </c>
      <c r="R2008" s="36" t="s">
        <v>48</v>
      </c>
    </row>
    <row r="2009">
      <c r="H2009" s="50"/>
      <c r="I2009" s="50"/>
      <c r="O2009" s="36" t="s">
        <v>48</v>
      </c>
      <c r="R2009" s="36" t="s">
        <v>48</v>
      </c>
    </row>
    <row r="2010">
      <c r="H2010" s="50"/>
      <c r="I2010" s="50"/>
      <c r="O2010" s="36" t="s">
        <v>48</v>
      </c>
      <c r="R2010" s="36" t="s">
        <v>48</v>
      </c>
    </row>
    <row r="2011">
      <c r="H2011" s="50"/>
      <c r="I2011" s="50"/>
      <c r="O2011" s="36" t="s">
        <v>48</v>
      </c>
      <c r="R2011" s="36" t="s">
        <v>48</v>
      </c>
    </row>
    <row r="2012">
      <c r="H2012" s="50"/>
      <c r="I2012" s="50"/>
      <c r="O2012" s="36" t="s">
        <v>48</v>
      </c>
      <c r="R2012" s="36" t="s">
        <v>48</v>
      </c>
    </row>
    <row r="2013">
      <c r="H2013" s="50"/>
      <c r="I2013" s="50"/>
      <c r="O2013" s="36" t="s">
        <v>48</v>
      </c>
      <c r="R2013" s="36" t="s">
        <v>48</v>
      </c>
    </row>
    <row r="2014">
      <c r="H2014" s="50"/>
      <c r="I2014" s="50"/>
      <c r="O2014" s="36" t="s">
        <v>48</v>
      </c>
      <c r="R2014" s="36" t="s">
        <v>48</v>
      </c>
    </row>
    <row r="2015">
      <c r="H2015" s="50"/>
      <c r="I2015" s="50"/>
      <c r="O2015" s="36" t="s">
        <v>48</v>
      </c>
      <c r="R2015" s="36" t="s">
        <v>48</v>
      </c>
    </row>
    <row r="2016">
      <c r="H2016" s="50"/>
      <c r="I2016" s="50"/>
      <c r="O2016" s="36" t="s">
        <v>48</v>
      </c>
      <c r="R2016" s="36" t="s">
        <v>48</v>
      </c>
    </row>
    <row r="2017">
      <c r="H2017" s="50"/>
      <c r="I2017" s="50"/>
      <c r="O2017" s="36" t="s">
        <v>48</v>
      </c>
      <c r="R2017" s="36" t="s">
        <v>48</v>
      </c>
    </row>
    <row r="2018">
      <c r="H2018" s="50"/>
      <c r="I2018" s="50"/>
      <c r="O2018" s="36" t="s">
        <v>48</v>
      </c>
      <c r="R2018" s="36" t="s">
        <v>48</v>
      </c>
    </row>
    <row r="2019">
      <c r="H2019" s="50"/>
      <c r="I2019" s="50"/>
      <c r="O2019" s="36" t="s">
        <v>48</v>
      </c>
      <c r="R2019" s="36" t="s">
        <v>48</v>
      </c>
    </row>
    <row r="2020">
      <c r="H2020" s="50"/>
      <c r="I2020" s="50"/>
      <c r="O2020" s="36" t="s">
        <v>48</v>
      </c>
      <c r="R2020" s="36" t="s">
        <v>48</v>
      </c>
    </row>
    <row r="2021">
      <c r="H2021" s="50"/>
      <c r="I2021" s="50"/>
      <c r="O2021" s="36" t="s">
        <v>48</v>
      </c>
      <c r="R2021" s="36" t="s">
        <v>48</v>
      </c>
    </row>
    <row r="2022">
      <c r="H2022" s="50"/>
      <c r="I2022" s="50"/>
      <c r="O2022" s="36" t="s">
        <v>48</v>
      </c>
      <c r="R2022" s="36" t="s">
        <v>48</v>
      </c>
    </row>
    <row r="2023">
      <c r="H2023" s="50"/>
      <c r="I2023" s="50"/>
      <c r="O2023" s="36" t="s">
        <v>48</v>
      </c>
      <c r="R2023" s="36" t="s">
        <v>48</v>
      </c>
    </row>
    <row r="2024">
      <c r="H2024" s="50"/>
      <c r="I2024" s="50"/>
      <c r="O2024" s="36" t="s">
        <v>48</v>
      </c>
      <c r="R2024" s="36" t="s">
        <v>48</v>
      </c>
    </row>
    <row r="2025">
      <c r="H2025" s="50"/>
      <c r="I2025" s="50"/>
      <c r="O2025" s="36" t="s">
        <v>48</v>
      </c>
      <c r="R2025" s="36" t="s">
        <v>48</v>
      </c>
    </row>
    <row r="2026">
      <c r="H2026" s="50"/>
      <c r="I2026" s="50"/>
      <c r="O2026" s="36" t="s">
        <v>48</v>
      </c>
      <c r="R2026" s="36" t="s">
        <v>48</v>
      </c>
    </row>
    <row r="2027">
      <c r="H2027" s="50"/>
      <c r="I2027" s="50"/>
      <c r="O2027" s="36" t="s">
        <v>48</v>
      </c>
      <c r="R2027" s="36" t="s">
        <v>48</v>
      </c>
    </row>
    <row r="2028">
      <c r="H2028" s="50"/>
      <c r="I2028" s="50"/>
      <c r="O2028" s="36" t="s">
        <v>48</v>
      </c>
      <c r="R2028" s="36" t="s">
        <v>48</v>
      </c>
    </row>
    <row r="2029">
      <c r="H2029" s="50"/>
      <c r="I2029" s="50"/>
      <c r="O2029" s="36" t="s">
        <v>48</v>
      </c>
      <c r="R2029" s="36" t="s">
        <v>48</v>
      </c>
    </row>
    <row r="2030">
      <c r="H2030" s="50"/>
      <c r="I2030" s="50"/>
      <c r="O2030" s="36" t="s">
        <v>48</v>
      </c>
      <c r="R2030" s="36" t="s">
        <v>48</v>
      </c>
    </row>
    <row r="2031">
      <c r="H2031" s="50"/>
      <c r="I2031" s="50"/>
      <c r="O2031" s="36" t="s">
        <v>48</v>
      </c>
      <c r="R2031" s="36" t="s">
        <v>48</v>
      </c>
    </row>
    <row r="2032">
      <c r="H2032" s="50"/>
      <c r="I2032" s="50"/>
      <c r="O2032" s="36" t="s">
        <v>48</v>
      </c>
      <c r="R2032" s="36" t="s">
        <v>48</v>
      </c>
    </row>
    <row r="2033">
      <c r="H2033" s="50"/>
      <c r="I2033" s="50"/>
      <c r="O2033" s="36" t="s">
        <v>48</v>
      </c>
      <c r="R2033" s="36" t="s">
        <v>48</v>
      </c>
    </row>
    <row r="2034">
      <c r="H2034" s="50"/>
      <c r="I2034" s="50"/>
      <c r="O2034" s="36" t="s">
        <v>48</v>
      </c>
      <c r="R2034" s="36" t="s">
        <v>48</v>
      </c>
    </row>
    <row r="2035">
      <c r="H2035" s="50"/>
      <c r="I2035" s="50"/>
      <c r="O2035" s="36" t="s">
        <v>48</v>
      </c>
      <c r="R2035" s="36" t="s">
        <v>48</v>
      </c>
    </row>
    <row r="2036">
      <c r="H2036" s="50"/>
      <c r="I2036" s="50"/>
      <c r="O2036" s="36" t="s">
        <v>48</v>
      </c>
      <c r="R2036" s="36" t="s">
        <v>48</v>
      </c>
    </row>
    <row r="2037">
      <c r="H2037" s="50"/>
      <c r="I2037" s="50"/>
      <c r="O2037" s="36" t="s">
        <v>48</v>
      </c>
      <c r="R2037" s="36" t="s">
        <v>48</v>
      </c>
    </row>
    <row r="2038">
      <c r="H2038" s="50"/>
      <c r="I2038" s="50"/>
      <c r="O2038" s="36" t="s">
        <v>48</v>
      </c>
      <c r="R2038" s="36" t="s">
        <v>48</v>
      </c>
    </row>
    <row r="2039">
      <c r="H2039" s="50"/>
      <c r="I2039" s="50"/>
      <c r="O2039" s="36" t="s">
        <v>48</v>
      </c>
      <c r="R2039" s="36" t="s">
        <v>48</v>
      </c>
    </row>
    <row r="2040">
      <c r="H2040" s="50"/>
      <c r="I2040" s="50"/>
      <c r="O2040" s="36" t="s">
        <v>48</v>
      </c>
      <c r="R2040" s="36" t="s">
        <v>48</v>
      </c>
    </row>
    <row r="2041">
      <c r="H2041" s="50"/>
      <c r="I2041" s="50"/>
      <c r="O2041" s="36" t="s">
        <v>48</v>
      </c>
      <c r="R2041" s="36" t="s">
        <v>48</v>
      </c>
    </row>
    <row r="2042">
      <c r="H2042" s="50"/>
      <c r="I2042" s="50"/>
      <c r="O2042" s="36" t="s">
        <v>48</v>
      </c>
      <c r="R2042" s="36" t="s">
        <v>48</v>
      </c>
    </row>
    <row r="2043">
      <c r="H2043" s="50"/>
      <c r="I2043" s="50"/>
      <c r="O2043" s="36" t="s">
        <v>48</v>
      </c>
      <c r="R2043" s="36" t="s">
        <v>48</v>
      </c>
    </row>
    <row r="2044">
      <c r="H2044" s="50"/>
      <c r="I2044" s="50"/>
      <c r="O2044" s="36" t="s">
        <v>48</v>
      </c>
      <c r="R2044" s="36" t="s">
        <v>48</v>
      </c>
    </row>
    <row r="2045">
      <c r="H2045" s="50"/>
      <c r="I2045" s="50"/>
      <c r="O2045" s="36" t="s">
        <v>48</v>
      </c>
      <c r="R2045" s="36" t="s">
        <v>48</v>
      </c>
    </row>
    <row r="2046">
      <c r="H2046" s="50"/>
      <c r="I2046" s="50"/>
      <c r="O2046" s="36" t="s">
        <v>48</v>
      </c>
      <c r="R2046" s="36" t="s">
        <v>48</v>
      </c>
    </row>
    <row r="2047">
      <c r="H2047" s="50"/>
      <c r="I2047" s="50"/>
      <c r="O2047" s="36" t="s">
        <v>48</v>
      </c>
      <c r="R2047" s="36" t="s">
        <v>48</v>
      </c>
    </row>
    <row r="2048">
      <c r="H2048" s="50"/>
      <c r="I2048" s="50"/>
      <c r="O2048" s="36" t="s">
        <v>48</v>
      </c>
      <c r="R2048" s="36" t="s">
        <v>48</v>
      </c>
    </row>
    <row r="2049">
      <c r="H2049" s="50"/>
      <c r="I2049" s="50"/>
      <c r="O2049" s="36" t="s">
        <v>48</v>
      </c>
      <c r="R2049" s="36" t="s">
        <v>48</v>
      </c>
    </row>
    <row r="2050">
      <c r="H2050" s="50"/>
      <c r="I2050" s="50"/>
      <c r="O2050" s="36" t="s">
        <v>48</v>
      </c>
      <c r="R2050" s="36" t="s">
        <v>48</v>
      </c>
    </row>
    <row r="2051">
      <c r="H2051" s="50"/>
      <c r="I2051" s="50"/>
      <c r="O2051" s="36" t="s">
        <v>48</v>
      </c>
      <c r="R2051" s="36" t="s">
        <v>48</v>
      </c>
    </row>
    <row r="2052">
      <c r="H2052" s="50"/>
      <c r="I2052" s="50"/>
      <c r="O2052" s="36" t="s">
        <v>48</v>
      </c>
      <c r="R2052" s="36" t="s">
        <v>48</v>
      </c>
    </row>
    <row r="2053">
      <c r="H2053" s="50"/>
      <c r="I2053" s="50"/>
      <c r="O2053" s="36" t="s">
        <v>48</v>
      </c>
      <c r="R2053" s="36" t="s">
        <v>48</v>
      </c>
    </row>
    <row r="2054">
      <c r="H2054" s="50"/>
      <c r="I2054" s="50"/>
      <c r="O2054" s="36" t="s">
        <v>48</v>
      </c>
      <c r="R2054" s="36" t="s">
        <v>48</v>
      </c>
    </row>
    <row r="2055">
      <c r="H2055" s="50"/>
      <c r="I2055" s="50"/>
      <c r="O2055" s="36" t="s">
        <v>48</v>
      </c>
      <c r="R2055" s="36" t="s">
        <v>48</v>
      </c>
    </row>
    <row r="2056">
      <c r="H2056" s="50"/>
      <c r="I2056" s="50"/>
      <c r="O2056" s="36" t="s">
        <v>48</v>
      </c>
      <c r="R2056" s="36" t="s">
        <v>48</v>
      </c>
    </row>
    <row r="2057">
      <c r="H2057" s="50"/>
      <c r="I2057" s="50"/>
      <c r="O2057" s="36" t="s">
        <v>48</v>
      </c>
      <c r="R2057" s="36" t="s">
        <v>48</v>
      </c>
    </row>
    <row r="2058">
      <c r="H2058" s="50"/>
      <c r="I2058" s="50"/>
      <c r="O2058" s="36" t="s">
        <v>48</v>
      </c>
      <c r="R2058" s="36" t="s">
        <v>48</v>
      </c>
    </row>
    <row r="2059">
      <c r="H2059" s="50"/>
      <c r="I2059" s="50"/>
      <c r="O2059" s="36" t="s">
        <v>48</v>
      </c>
      <c r="R2059" s="36" t="s">
        <v>48</v>
      </c>
    </row>
    <row r="2060">
      <c r="H2060" s="50"/>
      <c r="I2060" s="50"/>
      <c r="O2060" s="36" t="s">
        <v>48</v>
      </c>
      <c r="R2060" s="36" t="s">
        <v>48</v>
      </c>
    </row>
    <row r="2061">
      <c r="H2061" s="50"/>
      <c r="I2061" s="50"/>
      <c r="O2061" s="36" t="s">
        <v>48</v>
      </c>
      <c r="R2061" s="36" t="s">
        <v>48</v>
      </c>
    </row>
    <row r="2062">
      <c r="H2062" s="50"/>
      <c r="I2062" s="50"/>
      <c r="O2062" s="36" t="s">
        <v>48</v>
      </c>
      <c r="R2062" s="36" t="s">
        <v>48</v>
      </c>
    </row>
    <row r="2063">
      <c r="H2063" s="50"/>
      <c r="I2063" s="50"/>
      <c r="O2063" s="36" t="s">
        <v>48</v>
      </c>
      <c r="R2063" s="36" t="s">
        <v>48</v>
      </c>
    </row>
    <row r="2064">
      <c r="H2064" s="50"/>
      <c r="I2064" s="50"/>
      <c r="O2064" s="36" t="s">
        <v>48</v>
      </c>
      <c r="R2064" s="36" t="s">
        <v>48</v>
      </c>
    </row>
    <row r="2065">
      <c r="H2065" s="50"/>
      <c r="I2065" s="50"/>
      <c r="O2065" s="36" t="s">
        <v>48</v>
      </c>
      <c r="R2065" s="36" t="s">
        <v>48</v>
      </c>
    </row>
    <row r="2066">
      <c r="H2066" s="50"/>
      <c r="I2066" s="50"/>
      <c r="O2066" s="36" t="s">
        <v>48</v>
      </c>
      <c r="R2066" s="36" t="s">
        <v>48</v>
      </c>
    </row>
    <row r="2067">
      <c r="H2067" s="50"/>
      <c r="I2067" s="50"/>
      <c r="O2067" s="36" t="s">
        <v>48</v>
      </c>
      <c r="R2067" s="36" t="s">
        <v>48</v>
      </c>
    </row>
    <row r="2068">
      <c r="H2068" s="50"/>
      <c r="I2068" s="50"/>
      <c r="O2068" s="36" t="s">
        <v>48</v>
      </c>
      <c r="R2068" s="36" t="s">
        <v>48</v>
      </c>
    </row>
    <row r="2069">
      <c r="H2069" s="50"/>
      <c r="I2069" s="50"/>
      <c r="O2069" s="36" t="s">
        <v>48</v>
      </c>
      <c r="R2069" s="36" t="s">
        <v>48</v>
      </c>
    </row>
    <row r="2070">
      <c r="H2070" s="50"/>
      <c r="I2070" s="50"/>
      <c r="O2070" s="36" t="s">
        <v>48</v>
      </c>
      <c r="R2070" s="36" t="s">
        <v>48</v>
      </c>
    </row>
    <row r="2071">
      <c r="H2071" s="50"/>
      <c r="I2071" s="50"/>
      <c r="O2071" s="36" t="s">
        <v>48</v>
      </c>
      <c r="R2071" s="36" t="s">
        <v>48</v>
      </c>
    </row>
    <row r="2072">
      <c r="H2072" s="50"/>
      <c r="I2072" s="50"/>
      <c r="O2072" s="36" t="s">
        <v>48</v>
      </c>
      <c r="R2072" s="36" t="s">
        <v>48</v>
      </c>
    </row>
    <row r="2073">
      <c r="H2073" s="50"/>
      <c r="I2073" s="50"/>
      <c r="O2073" s="36" t="s">
        <v>48</v>
      </c>
      <c r="R2073" s="36" t="s">
        <v>48</v>
      </c>
    </row>
    <row r="2074">
      <c r="H2074" s="50"/>
      <c r="I2074" s="50"/>
      <c r="O2074" s="36" t="s">
        <v>48</v>
      </c>
      <c r="R2074" s="36" t="s">
        <v>48</v>
      </c>
    </row>
    <row r="2075">
      <c r="H2075" s="50"/>
      <c r="I2075" s="50"/>
      <c r="O2075" s="36" t="s">
        <v>48</v>
      </c>
      <c r="R2075" s="36" t="s">
        <v>48</v>
      </c>
    </row>
    <row r="2076">
      <c r="H2076" s="50"/>
      <c r="I2076" s="50"/>
      <c r="O2076" s="36" t="s">
        <v>48</v>
      </c>
      <c r="R2076" s="36" t="s">
        <v>48</v>
      </c>
    </row>
    <row r="2077">
      <c r="H2077" s="50"/>
      <c r="I2077" s="50"/>
      <c r="O2077" s="36" t="s">
        <v>48</v>
      </c>
      <c r="R2077" s="36" t="s">
        <v>48</v>
      </c>
    </row>
    <row r="2078">
      <c r="H2078" s="50"/>
      <c r="I2078" s="50"/>
      <c r="O2078" s="36" t="s">
        <v>48</v>
      </c>
      <c r="R2078" s="36" t="s">
        <v>48</v>
      </c>
    </row>
    <row r="2079">
      <c r="H2079" s="50"/>
      <c r="I2079" s="50"/>
      <c r="O2079" s="36" t="s">
        <v>48</v>
      </c>
      <c r="R2079" s="36" t="s">
        <v>48</v>
      </c>
    </row>
    <row r="2080">
      <c r="H2080" s="50"/>
      <c r="I2080" s="50"/>
      <c r="O2080" s="36" t="s">
        <v>48</v>
      </c>
      <c r="R2080" s="36" t="s">
        <v>48</v>
      </c>
    </row>
    <row r="2081">
      <c r="H2081" s="50"/>
      <c r="I2081" s="50"/>
      <c r="O2081" s="36" t="s">
        <v>48</v>
      </c>
      <c r="R2081" s="36" t="s">
        <v>48</v>
      </c>
    </row>
    <row r="2082">
      <c r="H2082" s="50"/>
      <c r="I2082" s="50"/>
      <c r="O2082" s="36" t="s">
        <v>48</v>
      </c>
      <c r="R2082" s="36" t="s">
        <v>48</v>
      </c>
    </row>
    <row r="2083">
      <c r="H2083" s="50"/>
      <c r="I2083" s="50"/>
      <c r="O2083" s="36" t="s">
        <v>48</v>
      </c>
      <c r="R2083" s="36" t="s">
        <v>48</v>
      </c>
    </row>
    <row r="2084">
      <c r="H2084" s="50"/>
      <c r="I2084" s="50"/>
      <c r="O2084" s="36" t="s">
        <v>48</v>
      </c>
      <c r="R2084" s="36" t="s">
        <v>48</v>
      </c>
    </row>
    <row r="2085">
      <c r="H2085" s="50"/>
      <c r="I2085" s="50"/>
      <c r="O2085" s="36" t="s">
        <v>48</v>
      </c>
      <c r="R2085" s="36" t="s">
        <v>48</v>
      </c>
    </row>
    <row r="2086">
      <c r="H2086" s="50"/>
      <c r="I2086" s="50"/>
      <c r="O2086" s="36" t="s">
        <v>48</v>
      </c>
      <c r="R2086" s="36" t="s">
        <v>48</v>
      </c>
    </row>
    <row r="2087">
      <c r="H2087" s="50"/>
      <c r="I2087" s="50"/>
      <c r="O2087" s="36" t="s">
        <v>48</v>
      </c>
      <c r="R2087" s="36" t="s">
        <v>48</v>
      </c>
    </row>
    <row r="2088">
      <c r="H2088" s="50"/>
      <c r="I2088" s="50"/>
      <c r="O2088" s="36" t="s">
        <v>48</v>
      </c>
      <c r="R2088" s="36" t="s">
        <v>48</v>
      </c>
    </row>
    <row r="2089">
      <c r="H2089" s="50"/>
      <c r="I2089" s="50"/>
      <c r="O2089" s="36" t="s">
        <v>48</v>
      </c>
      <c r="R2089" s="36" t="s">
        <v>48</v>
      </c>
    </row>
    <row r="2090">
      <c r="H2090" s="50"/>
      <c r="I2090" s="50"/>
      <c r="O2090" s="36" t="s">
        <v>48</v>
      </c>
      <c r="R2090" s="36" t="s">
        <v>48</v>
      </c>
    </row>
    <row r="2091">
      <c r="H2091" s="50"/>
      <c r="I2091" s="50"/>
      <c r="O2091" s="36" t="s">
        <v>48</v>
      </c>
      <c r="R2091" s="36" t="s">
        <v>48</v>
      </c>
    </row>
    <row r="2092">
      <c r="H2092" s="50"/>
      <c r="I2092" s="50"/>
      <c r="O2092" s="36" t="s">
        <v>48</v>
      </c>
      <c r="R2092" s="36" t="s">
        <v>48</v>
      </c>
    </row>
    <row r="2093">
      <c r="H2093" s="50"/>
      <c r="I2093" s="50"/>
      <c r="O2093" s="36" t="s">
        <v>48</v>
      </c>
      <c r="R2093" s="36" t="s">
        <v>48</v>
      </c>
    </row>
    <row r="2094">
      <c r="H2094" s="50"/>
      <c r="I2094" s="50"/>
      <c r="O2094" s="36" t="s">
        <v>48</v>
      </c>
      <c r="R2094" s="36" t="s">
        <v>48</v>
      </c>
    </row>
    <row r="2095">
      <c r="H2095" s="50"/>
      <c r="I2095" s="50"/>
      <c r="O2095" s="36" t="s">
        <v>48</v>
      </c>
      <c r="R2095" s="36" t="s">
        <v>48</v>
      </c>
    </row>
    <row r="2096">
      <c r="H2096" s="50"/>
      <c r="I2096" s="50"/>
      <c r="O2096" s="36" t="s">
        <v>48</v>
      </c>
      <c r="R2096" s="36" t="s">
        <v>48</v>
      </c>
    </row>
    <row r="2097">
      <c r="H2097" s="50"/>
      <c r="I2097" s="50"/>
      <c r="O2097" s="36" t="s">
        <v>48</v>
      </c>
      <c r="R2097" s="36" t="s">
        <v>48</v>
      </c>
    </row>
    <row r="2098">
      <c r="H2098" s="50"/>
      <c r="I2098" s="50"/>
      <c r="O2098" s="36" t="s">
        <v>48</v>
      </c>
      <c r="R2098" s="36" t="s">
        <v>48</v>
      </c>
    </row>
    <row r="2099">
      <c r="H2099" s="50"/>
      <c r="I2099" s="50"/>
      <c r="O2099" s="36" t="s">
        <v>48</v>
      </c>
      <c r="R2099" s="36" t="s">
        <v>48</v>
      </c>
    </row>
    <row r="2100">
      <c r="H2100" s="50"/>
      <c r="I2100" s="50"/>
      <c r="O2100" s="36" t="s">
        <v>48</v>
      </c>
      <c r="R2100" s="36" t="s">
        <v>48</v>
      </c>
    </row>
    <row r="2101">
      <c r="H2101" s="50"/>
      <c r="I2101" s="50"/>
      <c r="O2101" s="36" t="s">
        <v>48</v>
      </c>
      <c r="R2101" s="36" t="s">
        <v>48</v>
      </c>
    </row>
    <row r="2102">
      <c r="H2102" s="50"/>
      <c r="I2102" s="50"/>
      <c r="O2102" s="36" t="s">
        <v>48</v>
      </c>
      <c r="R2102" s="36" t="s">
        <v>48</v>
      </c>
    </row>
    <row r="2103">
      <c r="H2103" s="50"/>
      <c r="I2103" s="50"/>
      <c r="O2103" s="36" t="s">
        <v>48</v>
      </c>
      <c r="R2103" s="36" t="s">
        <v>48</v>
      </c>
    </row>
    <row r="2104">
      <c r="H2104" s="50"/>
      <c r="I2104" s="50"/>
      <c r="O2104" s="36" t="s">
        <v>48</v>
      </c>
      <c r="R2104" s="36" t="s">
        <v>48</v>
      </c>
    </row>
    <row r="2105">
      <c r="H2105" s="50"/>
      <c r="I2105" s="50"/>
      <c r="O2105" s="36" t="s">
        <v>48</v>
      </c>
      <c r="R2105" s="36" t="s">
        <v>48</v>
      </c>
    </row>
    <row r="2106">
      <c r="H2106" s="50"/>
      <c r="I2106" s="50"/>
      <c r="O2106" s="36" t="s">
        <v>48</v>
      </c>
      <c r="R2106" s="36" t="s">
        <v>48</v>
      </c>
    </row>
    <row r="2107">
      <c r="H2107" s="50"/>
      <c r="I2107" s="50"/>
      <c r="O2107" s="36" t="s">
        <v>48</v>
      </c>
      <c r="R2107" s="36" t="s">
        <v>48</v>
      </c>
    </row>
    <row r="2108">
      <c r="H2108" s="50"/>
      <c r="I2108" s="50"/>
      <c r="O2108" s="36" t="s">
        <v>48</v>
      </c>
      <c r="R2108" s="36" t="s">
        <v>48</v>
      </c>
    </row>
    <row r="2109">
      <c r="H2109" s="50"/>
      <c r="I2109" s="50"/>
      <c r="O2109" s="36" t="s">
        <v>48</v>
      </c>
      <c r="R2109" s="36" t="s">
        <v>48</v>
      </c>
    </row>
    <row r="2110">
      <c r="H2110" s="50"/>
      <c r="I2110" s="50"/>
      <c r="O2110" s="36" t="s">
        <v>48</v>
      </c>
      <c r="R2110" s="36" t="s">
        <v>48</v>
      </c>
    </row>
    <row r="2111">
      <c r="H2111" s="50"/>
      <c r="I2111" s="50"/>
      <c r="O2111" s="36" t="s">
        <v>48</v>
      </c>
      <c r="R2111" s="36" t="s">
        <v>48</v>
      </c>
    </row>
    <row r="2112">
      <c r="H2112" s="50"/>
      <c r="I2112" s="50"/>
      <c r="O2112" s="36" t="s">
        <v>48</v>
      </c>
      <c r="R2112" s="36" t="s">
        <v>48</v>
      </c>
    </row>
    <row r="2113">
      <c r="H2113" s="50"/>
      <c r="I2113" s="50"/>
      <c r="O2113" s="36" t="s">
        <v>48</v>
      </c>
      <c r="R2113" s="36" t="s">
        <v>48</v>
      </c>
    </row>
    <row r="2114">
      <c r="H2114" s="50"/>
      <c r="I2114" s="50"/>
      <c r="O2114" s="36" t="s">
        <v>48</v>
      </c>
      <c r="R2114" s="36" t="s">
        <v>48</v>
      </c>
    </row>
    <row r="2115">
      <c r="H2115" s="50"/>
      <c r="I2115" s="50"/>
      <c r="O2115" s="36" t="s">
        <v>48</v>
      </c>
      <c r="R2115" s="36" t="s">
        <v>48</v>
      </c>
    </row>
    <row r="2116">
      <c r="H2116" s="50"/>
      <c r="I2116" s="50"/>
      <c r="O2116" s="36" t="s">
        <v>48</v>
      </c>
      <c r="R2116" s="36" t="s">
        <v>48</v>
      </c>
    </row>
    <row r="2117">
      <c r="H2117" s="50"/>
      <c r="I2117" s="50"/>
      <c r="O2117" s="36" t="s">
        <v>48</v>
      </c>
      <c r="R2117" s="36" t="s">
        <v>48</v>
      </c>
    </row>
    <row r="2118">
      <c r="H2118" s="50"/>
      <c r="I2118" s="50"/>
      <c r="O2118" s="36" t="s">
        <v>48</v>
      </c>
      <c r="R2118" s="36" t="s">
        <v>48</v>
      </c>
    </row>
    <row r="2119">
      <c r="H2119" s="50"/>
      <c r="I2119" s="50"/>
      <c r="O2119" s="36" t="s">
        <v>48</v>
      </c>
      <c r="R2119" s="36" t="s">
        <v>48</v>
      </c>
    </row>
    <row r="2120">
      <c r="H2120" s="50"/>
      <c r="I2120" s="50"/>
      <c r="O2120" s="36" t="s">
        <v>48</v>
      </c>
      <c r="R2120" s="36" t="s">
        <v>48</v>
      </c>
    </row>
    <row r="2121">
      <c r="H2121" s="50"/>
      <c r="I2121" s="50"/>
      <c r="O2121" s="36" t="s">
        <v>48</v>
      </c>
      <c r="R2121" s="36" t="s">
        <v>48</v>
      </c>
    </row>
    <row r="2122">
      <c r="H2122" s="50"/>
      <c r="I2122" s="50"/>
      <c r="O2122" s="36" t="s">
        <v>48</v>
      </c>
      <c r="R2122" s="36" t="s">
        <v>48</v>
      </c>
    </row>
    <row r="2123">
      <c r="H2123" s="50"/>
      <c r="I2123" s="50"/>
      <c r="O2123" s="36" t="s">
        <v>48</v>
      </c>
      <c r="R2123" s="36" t="s">
        <v>48</v>
      </c>
    </row>
    <row r="2124">
      <c r="H2124" s="50"/>
      <c r="I2124" s="50"/>
      <c r="O2124" s="36" t="s">
        <v>48</v>
      </c>
      <c r="R2124" s="36" t="s">
        <v>48</v>
      </c>
    </row>
    <row r="2125">
      <c r="H2125" s="50"/>
      <c r="I2125" s="50"/>
      <c r="O2125" s="36" t="s">
        <v>48</v>
      </c>
      <c r="R2125" s="36" t="s">
        <v>48</v>
      </c>
    </row>
    <row r="2126">
      <c r="H2126" s="50"/>
      <c r="I2126" s="50"/>
      <c r="O2126" s="36" t="s">
        <v>48</v>
      </c>
      <c r="R2126" s="36" t="s">
        <v>48</v>
      </c>
    </row>
    <row r="2127">
      <c r="H2127" s="50"/>
      <c r="I2127" s="50"/>
      <c r="O2127" s="36" t="s">
        <v>48</v>
      </c>
      <c r="R2127" s="36" t="s">
        <v>48</v>
      </c>
    </row>
    <row r="2128">
      <c r="H2128" s="50"/>
      <c r="I2128" s="50"/>
      <c r="O2128" s="36" t="s">
        <v>48</v>
      </c>
      <c r="R2128" s="36" t="s">
        <v>48</v>
      </c>
    </row>
    <row r="2129">
      <c r="H2129" s="50"/>
      <c r="I2129" s="50"/>
      <c r="O2129" s="36" t="s">
        <v>48</v>
      </c>
      <c r="R2129" s="36" t="s">
        <v>48</v>
      </c>
    </row>
    <row r="2130">
      <c r="H2130" s="50"/>
      <c r="I2130" s="50"/>
      <c r="O2130" s="36" t="s">
        <v>48</v>
      </c>
      <c r="R2130" s="36" t="s">
        <v>48</v>
      </c>
    </row>
    <row r="2131">
      <c r="H2131" s="50"/>
      <c r="I2131" s="50"/>
      <c r="O2131" s="36" t="s">
        <v>48</v>
      </c>
      <c r="R2131" s="36" t="s">
        <v>48</v>
      </c>
    </row>
    <row r="2132">
      <c r="H2132" s="50"/>
      <c r="I2132" s="50"/>
      <c r="O2132" s="36" t="s">
        <v>48</v>
      </c>
      <c r="R2132" s="36" t="s">
        <v>48</v>
      </c>
    </row>
    <row r="2133">
      <c r="H2133" s="50"/>
      <c r="I2133" s="50"/>
      <c r="O2133" s="36" t="s">
        <v>48</v>
      </c>
      <c r="R2133" s="36" t="s">
        <v>48</v>
      </c>
    </row>
    <row r="2134">
      <c r="H2134" s="50"/>
      <c r="I2134" s="50"/>
      <c r="O2134" s="36" t="s">
        <v>48</v>
      </c>
      <c r="R2134" s="36" t="s">
        <v>48</v>
      </c>
    </row>
    <row r="2135">
      <c r="H2135" s="50"/>
      <c r="I2135" s="50"/>
      <c r="O2135" s="36" t="s">
        <v>48</v>
      </c>
      <c r="R2135" s="36" t="s">
        <v>48</v>
      </c>
    </row>
    <row r="2136">
      <c r="H2136" s="50"/>
      <c r="I2136" s="50"/>
      <c r="O2136" s="36" t="s">
        <v>48</v>
      </c>
      <c r="R2136" s="36" t="s">
        <v>48</v>
      </c>
    </row>
    <row r="2137">
      <c r="H2137" s="50"/>
      <c r="I2137" s="50"/>
      <c r="O2137" s="36" t="s">
        <v>48</v>
      </c>
      <c r="R2137" s="36" t="s">
        <v>48</v>
      </c>
    </row>
    <row r="2138">
      <c r="H2138" s="50"/>
      <c r="I2138" s="50"/>
      <c r="O2138" s="36" t="s">
        <v>48</v>
      </c>
      <c r="R2138" s="36" t="s">
        <v>48</v>
      </c>
    </row>
    <row r="2139">
      <c r="H2139" s="50"/>
      <c r="I2139" s="50"/>
      <c r="O2139" s="36" t="s">
        <v>48</v>
      </c>
      <c r="R2139" s="36" t="s">
        <v>48</v>
      </c>
    </row>
    <row r="2140">
      <c r="H2140" s="50"/>
      <c r="I2140" s="50"/>
      <c r="O2140" s="36" t="s">
        <v>48</v>
      </c>
      <c r="R2140" s="36" t="s">
        <v>48</v>
      </c>
    </row>
    <row r="2141">
      <c r="H2141" s="50"/>
      <c r="I2141" s="50"/>
      <c r="O2141" s="36" t="s">
        <v>48</v>
      </c>
      <c r="R2141" s="36" t="s">
        <v>48</v>
      </c>
    </row>
    <row r="2142">
      <c r="H2142" s="50"/>
      <c r="I2142" s="50"/>
      <c r="O2142" s="36" t="s">
        <v>48</v>
      </c>
      <c r="R2142" s="36" t="s">
        <v>48</v>
      </c>
    </row>
    <row r="2143">
      <c r="H2143" s="50"/>
      <c r="I2143" s="50"/>
      <c r="O2143" s="36" t="s">
        <v>48</v>
      </c>
      <c r="R2143" s="36" t="s">
        <v>48</v>
      </c>
    </row>
    <row r="2144">
      <c r="H2144" s="50"/>
      <c r="I2144" s="50"/>
      <c r="O2144" s="36" t="s">
        <v>48</v>
      </c>
      <c r="R2144" s="36" t="s">
        <v>48</v>
      </c>
    </row>
    <row r="2145">
      <c r="H2145" s="50"/>
      <c r="I2145" s="50"/>
      <c r="O2145" s="36" t="s">
        <v>48</v>
      </c>
      <c r="R2145" s="36" t="s">
        <v>48</v>
      </c>
    </row>
    <row r="2146">
      <c r="H2146" s="50"/>
      <c r="I2146" s="50"/>
      <c r="O2146" s="36" t="s">
        <v>48</v>
      </c>
      <c r="R2146" s="36" t="s">
        <v>48</v>
      </c>
    </row>
    <row r="2147">
      <c r="H2147" s="50"/>
      <c r="I2147" s="50"/>
      <c r="O2147" s="36" t="s">
        <v>48</v>
      </c>
      <c r="R2147" s="36" t="s">
        <v>48</v>
      </c>
    </row>
    <row r="2148">
      <c r="H2148" s="50"/>
      <c r="I2148" s="50"/>
      <c r="O2148" s="36" t="s">
        <v>48</v>
      </c>
      <c r="R2148" s="36" t="s">
        <v>48</v>
      </c>
    </row>
    <row r="2149">
      <c r="H2149" s="50"/>
      <c r="I2149" s="50"/>
      <c r="O2149" s="36" t="s">
        <v>48</v>
      </c>
      <c r="R2149" s="36" t="s">
        <v>48</v>
      </c>
    </row>
    <row r="2150">
      <c r="H2150" s="50"/>
      <c r="I2150" s="50"/>
      <c r="O2150" s="36" t="s">
        <v>48</v>
      </c>
      <c r="R2150" s="36" t="s">
        <v>48</v>
      </c>
    </row>
    <row r="2151">
      <c r="H2151" s="50"/>
      <c r="I2151" s="50"/>
      <c r="O2151" s="36" t="s">
        <v>48</v>
      </c>
      <c r="R2151" s="36" t="s">
        <v>48</v>
      </c>
    </row>
    <row r="2152">
      <c r="H2152" s="50"/>
      <c r="I2152" s="50"/>
      <c r="O2152" s="36" t="s">
        <v>48</v>
      </c>
      <c r="R2152" s="36" t="s">
        <v>48</v>
      </c>
    </row>
    <row r="2153">
      <c r="H2153" s="50"/>
      <c r="I2153" s="50"/>
      <c r="O2153" s="36" t="s">
        <v>48</v>
      </c>
      <c r="R2153" s="36" t="s">
        <v>48</v>
      </c>
    </row>
    <row r="2154">
      <c r="H2154" s="50"/>
      <c r="I2154" s="50"/>
      <c r="O2154" s="36" t="s">
        <v>48</v>
      </c>
      <c r="R2154" s="36" t="s">
        <v>48</v>
      </c>
    </row>
    <row r="2155">
      <c r="H2155" s="50"/>
      <c r="I2155" s="50"/>
      <c r="O2155" s="36" t="s">
        <v>48</v>
      </c>
      <c r="R2155" s="36" t="s">
        <v>48</v>
      </c>
    </row>
    <row r="2156">
      <c r="H2156" s="50"/>
      <c r="I2156" s="50"/>
      <c r="O2156" s="36" t="s">
        <v>48</v>
      </c>
      <c r="R2156" s="36" t="s">
        <v>48</v>
      </c>
    </row>
    <row r="2157">
      <c r="H2157" s="50"/>
      <c r="I2157" s="50"/>
      <c r="O2157" s="36" t="s">
        <v>48</v>
      </c>
      <c r="R2157" s="36" t="s">
        <v>48</v>
      </c>
    </row>
    <row r="2158">
      <c r="H2158" s="50"/>
      <c r="I2158" s="50"/>
      <c r="O2158" s="36" t="s">
        <v>48</v>
      </c>
      <c r="R2158" s="36" t="s">
        <v>48</v>
      </c>
    </row>
    <row r="2159">
      <c r="H2159" s="50"/>
      <c r="I2159" s="50"/>
      <c r="O2159" s="36" t="s">
        <v>48</v>
      </c>
      <c r="R2159" s="36" t="s">
        <v>48</v>
      </c>
    </row>
    <row r="2160">
      <c r="H2160" s="50"/>
      <c r="I2160" s="50"/>
      <c r="O2160" s="36" t="s">
        <v>48</v>
      </c>
      <c r="R2160" s="36" t="s">
        <v>48</v>
      </c>
    </row>
    <row r="2161">
      <c r="H2161" s="50"/>
      <c r="I2161" s="50"/>
      <c r="O2161" s="36" t="s">
        <v>48</v>
      </c>
      <c r="R2161" s="36" t="s">
        <v>48</v>
      </c>
    </row>
    <row r="2162">
      <c r="H2162" s="50"/>
      <c r="I2162" s="50"/>
      <c r="O2162" s="36" t="s">
        <v>48</v>
      </c>
      <c r="R2162" s="36" t="s">
        <v>48</v>
      </c>
    </row>
    <row r="2163">
      <c r="H2163" s="50"/>
      <c r="I2163" s="50"/>
      <c r="O2163" s="36" t="s">
        <v>48</v>
      </c>
      <c r="R2163" s="36" t="s">
        <v>48</v>
      </c>
    </row>
    <row r="2164">
      <c r="H2164" s="50"/>
      <c r="I2164" s="50"/>
      <c r="O2164" s="36" t="s">
        <v>48</v>
      </c>
      <c r="R2164" s="36" t="s">
        <v>48</v>
      </c>
    </row>
    <row r="2165">
      <c r="H2165" s="50"/>
      <c r="I2165" s="50"/>
      <c r="O2165" s="36" t="s">
        <v>48</v>
      </c>
      <c r="R2165" s="36" t="s">
        <v>48</v>
      </c>
    </row>
    <row r="2166">
      <c r="H2166" s="50"/>
      <c r="I2166" s="50"/>
      <c r="O2166" s="36" t="s">
        <v>48</v>
      </c>
      <c r="R2166" s="36" t="s">
        <v>48</v>
      </c>
    </row>
    <row r="2167">
      <c r="H2167" s="50"/>
      <c r="I2167" s="50"/>
      <c r="O2167" s="36" t="s">
        <v>48</v>
      </c>
      <c r="R2167" s="36" t="s">
        <v>48</v>
      </c>
    </row>
    <row r="2168">
      <c r="H2168" s="50"/>
      <c r="I2168" s="50"/>
      <c r="O2168" s="36" t="s">
        <v>48</v>
      </c>
      <c r="R2168" s="36" t="s">
        <v>48</v>
      </c>
    </row>
    <row r="2169">
      <c r="H2169" s="50"/>
      <c r="I2169" s="50"/>
      <c r="O2169" s="36" t="s">
        <v>48</v>
      </c>
      <c r="R2169" s="36" t="s">
        <v>48</v>
      </c>
    </row>
    <row r="2170">
      <c r="H2170" s="50"/>
      <c r="I2170" s="50"/>
      <c r="O2170" s="36" t="s">
        <v>48</v>
      </c>
      <c r="R2170" s="36" t="s">
        <v>48</v>
      </c>
    </row>
    <row r="2171">
      <c r="H2171" s="50"/>
      <c r="I2171" s="50"/>
      <c r="O2171" s="36" t="s">
        <v>48</v>
      </c>
      <c r="R2171" s="36" t="s">
        <v>48</v>
      </c>
    </row>
    <row r="2172">
      <c r="H2172" s="50"/>
      <c r="I2172" s="50"/>
      <c r="O2172" s="36" t="s">
        <v>48</v>
      </c>
      <c r="R2172" s="36" t="s">
        <v>48</v>
      </c>
    </row>
    <row r="2173">
      <c r="H2173" s="50"/>
      <c r="I2173" s="50"/>
      <c r="O2173" s="36" t="s">
        <v>48</v>
      </c>
      <c r="R2173" s="36" t="s">
        <v>48</v>
      </c>
    </row>
    <row r="2174">
      <c r="H2174" s="50"/>
      <c r="I2174" s="50"/>
      <c r="O2174" s="36" t="s">
        <v>48</v>
      </c>
      <c r="R2174" s="36" t="s">
        <v>48</v>
      </c>
    </row>
    <row r="2175">
      <c r="H2175" s="50"/>
      <c r="I2175" s="50"/>
      <c r="O2175" s="36" t="s">
        <v>48</v>
      </c>
      <c r="R2175" s="36" t="s">
        <v>48</v>
      </c>
    </row>
    <row r="2176">
      <c r="H2176" s="50"/>
      <c r="I2176" s="50"/>
      <c r="O2176" s="36" t="s">
        <v>48</v>
      </c>
      <c r="R2176" s="36" t="s">
        <v>48</v>
      </c>
    </row>
    <row r="2177">
      <c r="H2177" s="50"/>
      <c r="I2177" s="50"/>
      <c r="O2177" s="36" t="s">
        <v>48</v>
      </c>
      <c r="R2177" s="36" t="s">
        <v>48</v>
      </c>
    </row>
    <row r="2178">
      <c r="H2178" s="50"/>
      <c r="I2178" s="50"/>
      <c r="O2178" s="36" t="s">
        <v>48</v>
      </c>
      <c r="R2178" s="36" t="s">
        <v>48</v>
      </c>
    </row>
    <row r="2179">
      <c r="H2179" s="50"/>
      <c r="I2179" s="50"/>
      <c r="O2179" s="36" t="s">
        <v>48</v>
      </c>
      <c r="R2179" s="36" t="s">
        <v>48</v>
      </c>
    </row>
    <row r="2180">
      <c r="H2180" s="50"/>
      <c r="I2180" s="50"/>
      <c r="O2180" s="36" t="s">
        <v>48</v>
      </c>
      <c r="R2180" s="36" t="s">
        <v>48</v>
      </c>
    </row>
    <row r="2181">
      <c r="H2181" s="50"/>
      <c r="I2181" s="50"/>
      <c r="O2181" s="36" t="s">
        <v>48</v>
      </c>
      <c r="R2181" s="36" t="s">
        <v>48</v>
      </c>
    </row>
    <row r="2182">
      <c r="H2182" s="50"/>
      <c r="I2182" s="50"/>
      <c r="O2182" s="36" t="s">
        <v>48</v>
      </c>
      <c r="R2182" s="36" t="s">
        <v>48</v>
      </c>
    </row>
    <row r="2183">
      <c r="H2183" s="50"/>
      <c r="I2183" s="50"/>
      <c r="O2183" s="36" t="s">
        <v>48</v>
      </c>
      <c r="R2183" s="36" t="s">
        <v>48</v>
      </c>
    </row>
    <row r="2184">
      <c r="H2184" s="50"/>
      <c r="I2184" s="50"/>
      <c r="O2184" s="36" t="s">
        <v>48</v>
      </c>
      <c r="R2184" s="36" t="s">
        <v>48</v>
      </c>
    </row>
    <row r="2185">
      <c r="H2185" s="50"/>
      <c r="I2185" s="50"/>
      <c r="O2185" s="36" t="s">
        <v>48</v>
      </c>
      <c r="R2185" s="36" t="s">
        <v>48</v>
      </c>
    </row>
    <row r="2186">
      <c r="H2186" s="50"/>
      <c r="I2186" s="50"/>
      <c r="O2186" s="36" t="s">
        <v>48</v>
      </c>
      <c r="R2186" s="36" t="s">
        <v>48</v>
      </c>
    </row>
    <row r="2187">
      <c r="H2187" s="50"/>
      <c r="I2187" s="50"/>
      <c r="O2187" s="36" t="s">
        <v>48</v>
      </c>
      <c r="R2187" s="36" t="s">
        <v>48</v>
      </c>
    </row>
    <row r="2188">
      <c r="H2188" s="50"/>
      <c r="I2188" s="50"/>
      <c r="O2188" s="36" t="s">
        <v>48</v>
      </c>
      <c r="R2188" s="36" t="s">
        <v>48</v>
      </c>
    </row>
    <row r="2189">
      <c r="H2189" s="50"/>
      <c r="I2189" s="50"/>
      <c r="O2189" s="36" t="s">
        <v>48</v>
      </c>
      <c r="R2189" s="36" t="s">
        <v>48</v>
      </c>
    </row>
    <row r="2190">
      <c r="H2190" s="50"/>
      <c r="I2190" s="50"/>
      <c r="O2190" s="36" t="s">
        <v>48</v>
      </c>
      <c r="R2190" s="36" t="s">
        <v>48</v>
      </c>
    </row>
    <row r="2191">
      <c r="H2191" s="50"/>
      <c r="I2191" s="50"/>
      <c r="O2191" s="36" t="s">
        <v>48</v>
      </c>
      <c r="R2191" s="36" t="s">
        <v>48</v>
      </c>
    </row>
    <row r="2192">
      <c r="H2192" s="50"/>
      <c r="I2192" s="50"/>
      <c r="O2192" s="36" t="s">
        <v>48</v>
      </c>
      <c r="R2192" s="36" t="s">
        <v>48</v>
      </c>
    </row>
    <row r="2193">
      <c r="H2193" s="50"/>
      <c r="I2193" s="50"/>
      <c r="O2193" s="36" t="s">
        <v>48</v>
      </c>
      <c r="R2193" s="36" t="s">
        <v>48</v>
      </c>
    </row>
    <row r="2194">
      <c r="H2194" s="50"/>
      <c r="I2194" s="50"/>
      <c r="O2194" s="36" t="s">
        <v>48</v>
      </c>
      <c r="R2194" s="36" t="s">
        <v>48</v>
      </c>
    </row>
    <row r="2195">
      <c r="H2195" s="50"/>
      <c r="I2195" s="50"/>
      <c r="O2195" s="36" t="s">
        <v>48</v>
      </c>
      <c r="R2195" s="36" t="s">
        <v>48</v>
      </c>
    </row>
    <row r="2196">
      <c r="H2196" s="50"/>
      <c r="I2196" s="50"/>
      <c r="O2196" s="36" t="s">
        <v>48</v>
      </c>
      <c r="R2196" s="36" t="s">
        <v>48</v>
      </c>
    </row>
    <row r="2197">
      <c r="H2197" s="50"/>
      <c r="I2197" s="50"/>
      <c r="O2197" s="36" t="s">
        <v>48</v>
      </c>
      <c r="R2197" s="36" t="s">
        <v>48</v>
      </c>
    </row>
    <row r="2198">
      <c r="H2198" s="50"/>
      <c r="I2198" s="50"/>
      <c r="O2198" s="36" t="s">
        <v>48</v>
      </c>
      <c r="R2198" s="36" t="s">
        <v>48</v>
      </c>
    </row>
    <row r="2199">
      <c r="H2199" s="50"/>
      <c r="I2199" s="50"/>
      <c r="O2199" s="36" t="s">
        <v>48</v>
      </c>
      <c r="R2199" s="36" t="s">
        <v>48</v>
      </c>
    </row>
    <row r="2200">
      <c r="H2200" s="50"/>
      <c r="I2200" s="50"/>
      <c r="O2200" s="36" t="s">
        <v>48</v>
      </c>
      <c r="R2200" s="36" t="s">
        <v>48</v>
      </c>
    </row>
    <row r="2201">
      <c r="H2201" s="50"/>
      <c r="I2201" s="50"/>
      <c r="O2201" s="36" t="s">
        <v>48</v>
      </c>
      <c r="R2201" s="36" t="s">
        <v>48</v>
      </c>
    </row>
    <row r="2202">
      <c r="H2202" s="50"/>
      <c r="I2202" s="50"/>
      <c r="O2202" s="36" t="s">
        <v>48</v>
      </c>
      <c r="R2202" s="36" t="s">
        <v>48</v>
      </c>
    </row>
    <row r="2203">
      <c r="H2203" s="50"/>
      <c r="I2203" s="50"/>
      <c r="O2203" s="36" t="s">
        <v>48</v>
      </c>
      <c r="R2203" s="36" t="s">
        <v>48</v>
      </c>
    </row>
    <row r="2204">
      <c r="H2204" s="50"/>
      <c r="I2204" s="50"/>
      <c r="O2204" s="36" t="s">
        <v>48</v>
      </c>
      <c r="R2204" s="36" t="s">
        <v>48</v>
      </c>
    </row>
    <row r="2205">
      <c r="H2205" s="50"/>
      <c r="I2205" s="50"/>
      <c r="O2205" s="36" t="s">
        <v>48</v>
      </c>
      <c r="R2205" s="36" t="s">
        <v>48</v>
      </c>
    </row>
    <row r="2206">
      <c r="H2206" s="50"/>
      <c r="I2206" s="50"/>
      <c r="O2206" s="36" t="s">
        <v>48</v>
      </c>
      <c r="R2206" s="36" t="s">
        <v>48</v>
      </c>
    </row>
    <row r="2207">
      <c r="H2207" s="50"/>
      <c r="I2207" s="50"/>
      <c r="O2207" s="36" t="s">
        <v>48</v>
      </c>
      <c r="R2207" s="36" t="s">
        <v>48</v>
      </c>
    </row>
    <row r="2208">
      <c r="H2208" s="50"/>
      <c r="I2208" s="50"/>
      <c r="O2208" s="36" t="s">
        <v>48</v>
      </c>
      <c r="R2208" s="36" t="s">
        <v>48</v>
      </c>
    </row>
    <row r="2209">
      <c r="H2209" s="50"/>
      <c r="I2209" s="50"/>
      <c r="O2209" s="36" t="s">
        <v>48</v>
      </c>
      <c r="R2209" s="36" t="s">
        <v>48</v>
      </c>
    </row>
    <row r="2210">
      <c r="H2210" s="50"/>
      <c r="I2210" s="50"/>
      <c r="O2210" s="36" t="s">
        <v>48</v>
      </c>
      <c r="R2210" s="36" t="s">
        <v>48</v>
      </c>
    </row>
    <row r="2211">
      <c r="H2211" s="50"/>
      <c r="I2211" s="50"/>
      <c r="O2211" s="36" t="s">
        <v>48</v>
      </c>
      <c r="R2211" s="36" t="s">
        <v>48</v>
      </c>
    </row>
    <row r="2212">
      <c r="H2212" s="50"/>
      <c r="I2212" s="50"/>
      <c r="O2212" s="36" t="s">
        <v>48</v>
      </c>
      <c r="R2212" s="36" t="s">
        <v>48</v>
      </c>
    </row>
    <row r="2213">
      <c r="H2213" s="50"/>
      <c r="I2213" s="50"/>
      <c r="O2213" s="36" t="s">
        <v>48</v>
      </c>
      <c r="R2213" s="36" t="s">
        <v>48</v>
      </c>
    </row>
    <row r="2214">
      <c r="H2214" s="50"/>
      <c r="I2214" s="50"/>
      <c r="O2214" s="36" t="s">
        <v>48</v>
      </c>
      <c r="R2214" s="36" t="s">
        <v>48</v>
      </c>
    </row>
    <row r="2215">
      <c r="H2215" s="50"/>
      <c r="I2215" s="50"/>
      <c r="O2215" s="36" t="s">
        <v>48</v>
      </c>
      <c r="R2215" s="36" t="s">
        <v>48</v>
      </c>
    </row>
    <row r="2216">
      <c r="H2216" s="50"/>
      <c r="I2216" s="50"/>
      <c r="O2216" s="36" t="s">
        <v>48</v>
      </c>
      <c r="R2216" s="36" t="s">
        <v>48</v>
      </c>
    </row>
    <row r="2217">
      <c r="H2217" s="50"/>
      <c r="I2217" s="50"/>
      <c r="O2217" s="36" t="s">
        <v>48</v>
      </c>
      <c r="R2217" s="36" t="s">
        <v>48</v>
      </c>
    </row>
    <row r="2218">
      <c r="H2218" s="50"/>
      <c r="I2218" s="50"/>
      <c r="O2218" s="36" t="s">
        <v>48</v>
      </c>
      <c r="R2218" s="36" t="s">
        <v>48</v>
      </c>
    </row>
    <row r="2219">
      <c r="H2219" s="50"/>
      <c r="I2219" s="50"/>
      <c r="O2219" s="36" t="s">
        <v>48</v>
      </c>
      <c r="R2219" s="36" t="s">
        <v>48</v>
      </c>
    </row>
    <row r="2220">
      <c r="H2220" s="50"/>
      <c r="I2220" s="50"/>
      <c r="O2220" s="36" t="s">
        <v>48</v>
      </c>
      <c r="R2220" s="36" t="s">
        <v>48</v>
      </c>
    </row>
    <row r="2221">
      <c r="H2221" s="50"/>
      <c r="I2221" s="50"/>
      <c r="O2221" s="36" t="s">
        <v>48</v>
      </c>
      <c r="R2221" s="36" t="s">
        <v>48</v>
      </c>
    </row>
    <row r="2222">
      <c r="H2222" s="50"/>
      <c r="I2222" s="50"/>
      <c r="O2222" s="36" t="s">
        <v>48</v>
      </c>
      <c r="R2222" s="36" t="s">
        <v>48</v>
      </c>
    </row>
    <row r="2223">
      <c r="H2223" s="50"/>
      <c r="I2223" s="50"/>
      <c r="O2223" s="36" t="s">
        <v>48</v>
      </c>
      <c r="R2223" s="36" t="s">
        <v>48</v>
      </c>
    </row>
    <row r="2224">
      <c r="H2224" s="50"/>
      <c r="I2224" s="50"/>
      <c r="O2224" s="36" t="s">
        <v>48</v>
      </c>
      <c r="R2224" s="36" t="s">
        <v>48</v>
      </c>
    </row>
    <row r="2225">
      <c r="H2225" s="50"/>
      <c r="I2225" s="50"/>
      <c r="O2225" s="36" t="s">
        <v>48</v>
      </c>
      <c r="R2225" s="36" t="s">
        <v>48</v>
      </c>
    </row>
    <row r="2226">
      <c r="H2226" s="50"/>
      <c r="I2226" s="50"/>
      <c r="O2226" s="36" t="s">
        <v>48</v>
      </c>
      <c r="R2226" s="36" t="s">
        <v>48</v>
      </c>
    </row>
    <row r="2227">
      <c r="H2227" s="50"/>
      <c r="I2227" s="50"/>
      <c r="O2227" s="36" t="s">
        <v>48</v>
      </c>
      <c r="R2227" s="36" t="s">
        <v>48</v>
      </c>
    </row>
    <row r="2228">
      <c r="H2228" s="50"/>
      <c r="I2228" s="50"/>
      <c r="O2228" s="36" t="s">
        <v>48</v>
      </c>
      <c r="R2228" s="36" t="s">
        <v>48</v>
      </c>
    </row>
    <row r="2229">
      <c r="H2229" s="50"/>
      <c r="I2229" s="50"/>
      <c r="O2229" s="36" t="s">
        <v>48</v>
      </c>
      <c r="R2229" s="36" t="s">
        <v>48</v>
      </c>
    </row>
    <row r="2230">
      <c r="H2230" s="50"/>
      <c r="I2230" s="50"/>
      <c r="O2230" s="36" t="s">
        <v>48</v>
      </c>
      <c r="R2230" s="36" t="s">
        <v>48</v>
      </c>
    </row>
    <row r="2231">
      <c r="H2231" s="50"/>
      <c r="I2231" s="50"/>
      <c r="O2231" s="36" t="s">
        <v>48</v>
      </c>
      <c r="R2231" s="36" t="s">
        <v>48</v>
      </c>
    </row>
    <row r="2232">
      <c r="H2232" s="50"/>
      <c r="I2232" s="50"/>
      <c r="O2232" s="36" t="s">
        <v>48</v>
      </c>
      <c r="R2232" s="36" t="s">
        <v>48</v>
      </c>
    </row>
    <row r="2233">
      <c r="H2233" s="50"/>
      <c r="I2233" s="50"/>
      <c r="O2233" s="36" t="s">
        <v>48</v>
      </c>
      <c r="R2233" s="36" t="s">
        <v>48</v>
      </c>
    </row>
    <row r="2234">
      <c r="H2234" s="50"/>
      <c r="I2234" s="50"/>
      <c r="O2234" s="36" t="s">
        <v>48</v>
      </c>
      <c r="R2234" s="36" t="s">
        <v>48</v>
      </c>
    </row>
    <row r="2235">
      <c r="H2235" s="50"/>
      <c r="I2235" s="50"/>
      <c r="O2235" s="36" t="s">
        <v>48</v>
      </c>
      <c r="R2235" s="36" t="s">
        <v>48</v>
      </c>
    </row>
    <row r="2236">
      <c r="H2236" s="50"/>
      <c r="I2236" s="50"/>
      <c r="O2236" s="36" t="s">
        <v>48</v>
      </c>
      <c r="R2236" s="36" t="s">
        <v>48</v>
      </c>
    </row>
    <row r="2237">
      <c r="H2237" s="50"/>
      <c r="I2237" s="50"/>
      <c r="O2237" s="36" t="s">
        <v>48</v>
      </c>
      <c r="R2237" s="36" t="s">
        <v>48</v>
      </c>
    </row>
    <row r="2238">
      <c r="H2238" s="50"/>
      <c r="I2238" s="50"/>
      <c r="O2238" s="36" t="s">
        <v>48</v>
      </c>
      <c r="R2238" s="36" t="s">
        <v>48</v>
      </c>
    </row>
    <row r="2239">
      <c r="H2239" s="50"/>
      <c r="I2239" s="50"/>
      <c r="O2239" s="36" t="s">
        <v>48</v>
      </c>
      <c r="R2239" s="36" t="s">
        <v>48</v>
      </c>
    </row>
    <row r="2240">
      <c r="H2240" s="50"/>
      <c r="I2240" s="50"/>
      <c r="O2240" s="36" t="s">
        <v>48</v>
      </c>
      <c r="R2240" s="36" t="s">
        <v>48</v>
      </c>
    </row>
    <row r="2241">
      <c r="H2241" s="50"/>
      <c r="I2241" s="50"/>
      <c r="O2241" s="36" t="s">
        <v>48</v>
      </c>
      <c r="R2241" s="36" t="s">
        <v>48</v>
      </c>
    </row>
    <row r="2242">
      <c r="H2242" s="50"/>
      <c r="I2242" s="50"/>
      <c r="O2242" s="36" t="s">
        <v>48</v>
      </c>
      <c r="R2242" s="36" t="s">
        <v>48</v>
      </c>
    </row>
    <row r="2243">
      <c r="H2243" s="50"/>
      <c r="I2243" s="50"/>
      <c r="O2243" s="36" t="s">
        <v>48</v>
      </c>
      <c r="R2243" s="36" t="s">
        <v>48</v>
      </c>
    </row>
    <row r="2244">
      <c r="H2244" s="50"/>
      <c r="I2244" s="50"/>
      <c r="O2244" s="36" t="s">
        <v>48</v>
      </c>
      <c r="R2244" s="36" t="s">
        <v>48</v>
      </c>
    </row>
    <row r="2245">
      <c r="H2245" s="50"/>
      <c r="I2245" s="50"/>
      <c r="O2245" s="36" t="s">
        <v>48</v>
      </c>
      <c r="R2245" s="36" t="s">
        <v>48</v>
      </c>
    </row>
    <row r="2246">
      <c r="H2246" s="50"/>
      <c r="I2246" s="50"/>
      <c r="O2246" s="36" t="s">
        <v>48</v>
      </c>
      <c r="R2246" s="36" t="s">
        <v>48</v>
      </c>
    </row>
    <row r="2247">
      <c r="H2247" s="50"/>
      <c r="I2247" s="50"/>
      <c r="O2247" s="36" t="s">
        <v>48</v>
      </c>
      <c r="R2247" s="36" t="s">
        <v>48</v>
      </c>
    </row>
    <row r="2248">
      <c r="H2248" s="50"/>
      <c r="I2248" s="50"/>
      <c r="O2248" s="36" t="s">
        <v>48</v>
      </c>
      <c r="R2248" s="36" t="s">
        <v>48</v>
      </c>
    </row>
    <row r="2249">
      <c r="H2249" s="50"/>
      <c r="I2249" s="50"/>
      <c r="O2249" s="36" t="s">
        <v>48</v>
      </c>
      <c r="R2249" s="36" t="s">
        <v>48</v>
      </c>
    </row>
    <row r="2250">
      <c r="H2250" s="50"/>
      <c r="I2250" s="50"/>
      <c r="O2250" s="36" t="s">
        <v>48</v>
      </c>
      <c r="R2250" s="36" t="s">
        <v>48</v>
      </c>
    </row>
    <row r="2251">
      <c r="H2251" s="50"/>
      <c r="I2251" s="50"/>
      <c r="O2251" s="36" t="s">
        <v>48</v>
      </c>
      <c r="R2251" s="36" t="s">
        <v>48</v>
      </c>
    </row>
    <row r="2252">
      <c r="H2252" s="50"/>
      <c r="I2252" s="50"/>
      <c r="O2252" s="36" t="s">
        <v>48</v>
      </c>
      <c r="R2252" s="36" t="s">
        <v>48</v>
      </c>
    </row>
    <row r="2253">
      <c r="H2253" s="50"/>
      <c r="I2253" s="50"/>
      <c r="O2253" s="36" t="s">
        <v>48</v>
      </c>
      <c r="R2253" s="36" t="s">
        <v>48</v>
      </c>
    </row>
    <row r="2254">
      <c r="H2254" s="50"/>
      <c r="I2254" s="50"/>
      <c r="O2254" s="36" t="s">
        <v>48</v>
      </c>
      <c r="R2254" s="36" t="s">
        <v>48</v>
      </c>
    </row>
    <row r="2255">
      <c r="H2255" s="50"/>
      <c r="I2255" s="50"/>
      <c r="O2255" s="36" t="s">
        <v>48</v>
      </c>
      <c r="R2255" s="36" t="s">
        <v>48</v>
      </c>
    </row>
    <row r="2256">
      <c r="H2256" s="50"/>
      <c r="I2256" s="50"/>
      <c r="O2256" s="36" t="s">
        <v>48</v>
      </c>
      <c r="R2256" s="36" t="s">
        <v>48</v>
      </c>
    </row>
    <row r="2257">
      <c r="H2257" s="50"/>
      <c r="I2257" s="50"/>
      <c r="O2257" s="36" t="s">
        <v>48</v>
      </c>
      <c r="R2257" s="36" t="s">
        <v>48</v>
      </c>
    </row>
    <row r="2258">
      <c r="H2258" s="50"/>
      <c r="I2258" s="50"/>
      <c r="O2258" s="36" t="s">
        <v>48</v>
      </c>
      <c r="R2258" s="36" t="s">
        <v>48</v>
      </c>
    </row>
    <row r="2259">
      <c r="H2259" s="50"/>
      <c r="I2259" s="50"/>
      <c r="O2259" s="36" t="s">
        <v>48</v>
      </c>
      <c r="R2259" s="36" t="s">
        <v>48</v>
      </c>
    </row>
    <row r="2260">
      <c r="H2260" s="50"/>
      <c r="I2260" s="50"/>
      <c r="O2260" s="36" t="s">
        <v>48</v>
      </c>
      <c r="R2260" s="36" t="s">
        <v>48</v>
      </c>
    </row>
    <row r="2261">
      <c r="H2261" s="50"/>
      <c r="I2261" s="50"/>
      <c r="O2261" s="36" t="s">
        <v>48</v>
      </c>
      <c r="R2261" s="36" t="s">
        <v>48</v>
      </c>
    </row>
    <row r="2262">
      <c r="H2262" s="50"/>
      <c r="I2262" s="50"/>
      <c r="O2262" s="36" t="s">
        <v>48</v>
      </c>
      <c r="R2262" s="36" t="s">
        <v>48</v>
      </c>
    </row>
    <row r="2263">
      <c r="H2263" s="50"/>
      <c r="I2263" s="50"/>
      <c r="O2263" s="36" t="s">
        <v>48</v>
      </c>
      <c r="R2263" s="36" t="s">
        <v>48</v>
      </c>
    </row>
    <row r="2264">
      <c r="H2264" s="50"/>
      <c r="I2264" s="50"/>
      <c r="O2264" s="36" t="s">
        <v>48</v>
      </c>
      <c r="R2264" s="36" t="s">
        <v>48</v>
      </c>
    </row>
    <row r="2265">
      <c r="H2265" s="50"/>
      <c r="I2265" s="50"/>
      <c r="O2265" s="36" t="s">
        <v>48</v>
      </c>
      <c r="R2265" s="36" t="s">
        <v>48</v>
      </c>
    </row>
    <row r="2266">
      <c r="H2266" s="50"/>
      <c r="I2266" s="50"/>
      <c r="O2266" s="36" t="s">
        <v>48</v>
      </c>
      <c r="R2266" s="36" t="s">
        <v>48</v>
      </c>
    </row>
    <row r="2267">
      <c r="H2267" s="50"/>
      <c r="I2267" s="50"/>
      <c r="O2267" s="36" t="s">
        <v>48</v>
      </c>
      <c r="R2267" s="36" t="s">
        <v>48</v>
      </c>
    </row>
    <row r="2268">
      <c r="H2268" s="50"/>
      <c r="I2268" s="50"/>
      <c r="O2268" s="36" t="s">
        <v>48</v>
      </c>
      <c r="R2268" s="36" t="s">
        <v>48</v>
      </c>
    </row>
    <row r="2269">
      <c r="H2269" s="50"/>
      <c r="I2269" s="50"/>
      <c r="O2269" s="36" t="s">
        <v>48</v>
      </c>
      <c r="R2269" s="36" t="s">
        <v>48</v>
      </c>
    </row>
    <row r="2270">
      <c r="H2270" s="50"/>
      <c r="I2270" s="50"/>
      <c r="O2270" s="36" t="s">
        <v>48</v>
      </c>
      <c r="R2270" s="36" t="s">
        <v>48</v>
      </c>
    </row>
    <row r="2271">
      <c r="H2271" s="50"/>
      <c r="I2271" s="50"/>
      <c r="O2271" s="36" t="s">
        <v>48</v>
      </c>
      <c r="R2271" s="36" t="s">
        <v>48</v>
      </c>
    </row>
    <row r="2272">
      <c r="H2272" s="50"/>
      <c r="I2272" s="50"/>
      <c r="O2272" s="36" t="s">
        <v>48</v>
      </c>
      <c r="R2272" s="36" t="s">
        <v>48</v>
      </c>
    </row>
    <row r="2273">
      <c r="H2273" s="50"/>
      <c r="I2273" s="50"/>
      <c r="O2273" s="36" t="s">
        <v>48</v>
      </c>
      <c r="R2273" s="36" t="s">
        <v>48</v>
      </c>
    </row>
    <row r="2274">
      <c r="H2274" s="50"/>
      <c r="I2274" s="50"/>
      <c r="O2274" s="36" t="s">
        <v>48</v>
      </c>
      <c r="R2274" s="36" t="s">
        <v>48</v>
      </c>
    </row>
    <row r="2275">
      <c r="H2275" s="50"/>
      <c r="I2275" s="50"/>
      <c r="O2275" s="36" t="s">
        <v>48</v>
      </c>
      <c r="R2275" s="36" t="s">
        <v>48</v>
      </c>
    </row>
    <row r="2276">
      <c r="H2276" s="50"/>
      <c r="I2276" s="50"/>
      <c r="O2276" s="36" t="s">
        <v>48</v>
      </c>
      <c r="R2276" s="36" t="s">
        <v>48</v>
      </c>
    </row>
    <row r="2277">
      <c r="H2277" s="50"/>
      <c r="I2277" s="50"/>
      <c r="O2277" s="36" t="s">
        <v>48</v>
      </c>
      <c r="R2277" s="36" t="s">
        <v>48</v>
      </c>
    </row>
    <row r="2278">
      <c r="H2278" s="50"/>
      <c r="I2278" s="50"/>
      <c r="O2278" s="36" t="s">
        <v>48</v>
      </c>
      <c r="R2278" s="36" t="s">
        <v>48</v>
      </c>
    </row>
    <row r="2279">
      <c r="H2279" s="50"/>
      <c r="I2279" s="50"/>
      <c r="O2279" s="36" t="s">
        <v>48</v>
      </c>
      <c r="R2279" s="36" t="s">
        <v>48</v>
      </c>
    </row>
    <row r="2280">
      <c r="H2280" s="50"/>
      <c r="I2280" s="50"/>
      <c r="O2280" s="36" t="s">
        <v>48</v>
      </c>
      <c r="R2280" s="36" t="s">
        <v>48</v>
      </c>
    </row>
    <row r="2281">
      <c r="H2281" s="50"/>
      <c r="I2281" s="50"/>
      <c r="O2281" s="36" t="s">
        <v>48</v>
      </c>
      <c r="R2281" s="36" t="s">
        <v>48</v>
      </c>
    </row>
    <row r="2282">
      <c r="H2282" s="50"/>
      <c r="I2282" s="50"/>
      <c r="O2282" s="36" t="s">
        <v>48</v>
      </c>
      <c r="R2282" s="36" t="s">
        <v>48</v>
      </c>
    </row>
    <row r="2283">
      <c r="H2283" s="50"/>
      <c r="I2283" s="50"/>
      <c r="O2283" s="36" t="s">
        <v>48</v>
      </c>
      <c r="R2283" s="36" t="s">
        <v>48</v>
      </c>
    </row>
    <row r="2284">
      <c r="H2284" s="50"/>
      <c r="I2284" s="50"/>
      <c r="O2284" s="36" t="s">
        <v>48</v>
      </c>
      <c r="R2284" s="36" t="s">
        <v>48</v>
      </c>
    </row>
    <row r="2285">
      <c r="H2285" s="50"/>
      <c r="I2285" s="50"/>
      <c r="O2285" s="36" t="s">
        <v>48</v>
      </c>
      <c r="R2285" s="36" t="s">
        <v>48</v>
      </c>
    </row>
    <row r="2286">
      <c r="H2286" s="50"/>
      <c r="I2286" s="50"/>
      <c r="O2286" s="36" t="s">
        <v>48</v>
      </c>
      <c r="R2286" s="36" t="s">
        <v>48</v>
      </c>
    </row>
    <row r="2287">
      <c r="H2287" s="50"/>
      <c r="I2287" s="50"/>
      <c r="O2287" s="36" t="s">
        <v>48</v>
      </c>
      <c r="R2287" s="36" t="s">
        <v>48</v>
      </c>
    </row>
    <row r="2288">
      <c r="H2288" s="50"/>
      <c r="I2288" s="50"/>
      <c r="O2288" s="36" t="s">
        <v>48</v>
      </c>
      <c r="R2288" s="36" t="s">
        <v>48</v>
      </c>
    </row>
    <row r="2289">
      <c r="H2289" s="50"/>
      <c r="I2289" s="50"/>
      <c r="O2289" s="36" t="s">
        <v>48</v>
      </c>
      <c r="R2289" s="36" t="s">
        <v>48</v>
      </c>
    </row>
    <row r="2290">
      <c r="H2290" s="50"/>
      <c r="I2290" s="50"/>
      <c r="O2290" s="36" t="s">
        <v>48</v>
      </c>
      <c r="R2290" s="36" t="s">
        <v>48</v>
      </c>
    </row>
    <row r="2291">
      <c r="H2291" s="50"/>
      <c r="I2291" s="50"/>
      <c r="O2291" s="36" t="s">
        <v>48</v>
      </c>
      <c r="R2291" s="36" t="s">
        <v>48</v>
      </c>
    </row>
    <row r="2292">
      <c r="H2292" s="50"/>
      <c r="I2292" s="50"/>
      <c r="O2292" s="36" t="s">
        <v>48</v>
      </c>
      <c r="R2292" s="36" t="s">
        <v>48</v>
      </c>
    </row>
    <row r="2293">
      <c r="H2293" s="50"/>
      <c r="I2293" s="50"/>
      <c r="O2293" s="36" t="s">
        <v>48</v>
      </c>
      <c r="R2293" s="36" t="s">
        <v>48</v>
      </c>
    </row>
    <row r="2294">
      <c r="H2294" s="50"/>
      <c r="I2294" s="50"/>
      <c r="O2294" s="36" t="s">
        <v>48</v>
      </c>
      <c r="R2294" s="36" t="s">
        <v>48</v>
      </c>
    </row>
    <row r="2295">
      <c r="H2295" s="50"/>
      <c r="I2295" s="50"/>
      <c r="O2295" s="36" t="s">
        <v>48</v>
      </c>
      <c r="R2295" s="36" t="s">
        <v>48</v>
      </c>
    </row>
    <row r="2296">
      <c r="H2296" s="50"/>
      <c r="I2296" s="50"/>
      <c r="O2296" s="36" t="s">
        <v>48</v>
      </c>
      <c r="R2296" s="36" t="s">
        <v>48</v>
      </c>
    </row>
    <row r="2297">
      <c r="H2297" s="50"/>
      <c r="I2297" s="50"/>
      <c r="O2297" s="36" t="s">
        <v>48</v>
      </c>
      <c r="R2297" s="36" t="s">
        <v>48</v>
      </c>
    </row>
    <row r="2298">
      <c r="H2298" s="50"/>
      <c r="I2298" s="50"/>
      <c r="O2298" s="36" t="s">
        <v>48</v>
      </c>
      <c r="R2298" s="36" t="s">
        <v>48</v>
      </c>
    </row>
    <row r="2299">
      <c r="H2299" s="50"/>
      <c r="I2299" s="50"/>
      <c r="O2299" s="36" t="s">
        <v>48</v>
      </c>
      <c r="R2299" s="36" t="s">
        <v>48</v>
      </c>
    </row>
    <row r="2300">
      <c r="H2300" s="50"/>
      <c r="I2300" s="50"/>
      <c r="O2300" s="36" t="s">
        <v>48</v>
      </c>
      <c r="R2300" s="36" t="s">
        <v>48</v>
      </c>
    </row>
    <row r="2301">
      <c r="H2301" s="50"/>
      <c r="I2301" s="50"/>
      <c r="O2301" s="36" t="s">
        <v>48</v>
      </c>
      <c r="R2301" s="36" t="s">
        <v>48</v>
      </c>
    </row>
    <row r="2302">
      <c r="H2302" s="50"/>
      <c r="I2302" s="50"/>
      <c r="O2302" s="36" t="s">
        <v>48</v>
      </c>
      <c r="R2302" s="36" t="s">
        <v>48</v>
      </c>
    </row>
    <row r="2303">
      <c r="H2303" s="50"/>
      <c r="I2303" s="50"/>
      <c r="O2303" s="36" t="s">
        <v>48</v>
      </c>
      <c r="R2303" s="36" t="s">
        <v>48</v>
      </c>
    </row>
    <row r="2304">
      <c r="H2304" s="50"/>
      <c r="I2304" s="50"/>
      <c r="O2304" s="36" t="s">
        <v>48</v>
      </c>
      <c r="R2304" s="36" t="s">
        <v>48</v>
      </c>
    </row>
    <row r="2305">
      <c r="H2305" s="50"/>
      <c r="I2305" s="50"/>
      <c r="O2305" s="36" t="s">
        <v>48</v>
      </c>
      <c r="R2305" s="36" t="s">
        <v>48</v>
      </c>
    </row>
    <row r="2306">
      <c r="H2306" s="50"/>
      <c r="I2306" s="50"/>
      <c r="O2306" s="36" t="s">
        <v>48</v>
      </c>
      <c r="R2306" s="36" t="s">
        <v>48</v>
      </c>
    </row>
    <row r="2307">
      <c r="H2307" s="50"/>
      <c r="I2307" s="50"/>
      <c r="O2307" s="36" t="s">
        <v>48</v>
      </c>
      <c r="R2307" s="36" t="s">
        <v>48</v>
      </c>
    </row>
    <row r="2308">
      <c r="H2308" s="50"/>
      <c r="I2308" s="50"/>
      <c r="O2308" s="36" t="s">
        <v>48</v>
      </c>
      <c r="R2308" s="36" t="s">
        <v>48</v>
      </c>
    </row>
    <row r="2309">
      <c r="H2309" s="50"/>
      <c r="I2309" s="50"/>
      <c r="O2309" s="36" t="s">
        <v>48</v>
      </c>
      <c r="R2309" s="36" t="s">
        <v>48</v>
      </c>
    </row>
    <row r="2310">
      <c r="H2310" s="50"/>
      <c r="I2310" s="50"/>
      <c r="O2310" s="36" t="s">
        <v>48</v>
      </c>
      <c r="R2310" s="36" t="s">
        <v>48</v>
      </c>
    </row>
    <row r="2311">
      <c r="H2311" s="50"/>
      <c r="I2311" s="50"/>
      <c r="O2311" s="36" t="s">
        <v>48</v>
      </c>
      <c r="R2311" s="36" t="s">
        <v>48</v>
      </c>
    </row>
    <row r="2312">
      <c r="H2312" s="50"/>
      <c r="I2312" s="50"/>
      <c r="O2312" s="36" t="s">
        <v>48</v>
      </c>
      <c r="R2312" s="36" t="s">
        <v>48</v>
      </c>
    </row>
    <row r="2313">
      <c r="H2313" s="50"/>
      <c r="I2313" s="50"/>
      <c r="O2313" s="36" t="s">
        <v>48</v>
      </c>
      <c r="R2313" s="36" t="s">
        <v>48</v>
      </c>
    </row>
    <row r="2314">
      <c r="H2314" s="50"/>
      <c r="I2314" s="50"/>
      <c r="O2314" s="36" t="s">
        <v>48</v>
      </c>
      <c r="R2314" s="36" t="s">
        <v>48</v>
      </c>
    </row>
    <row r="2315">
      <c r="H2315" s="50"/>
      <c r="I2315" s="50"/>
      <c r="O2315" s="36" t="s">
        <v>48</v>
      </c>
      <c r="R2315" s="36" t="s">
        <v>48</v>
      </c>
    </row>
    <row r="2316">
      <c r="H2316" s="50"/>
      <c r="I2316" s="50"/>
      <c r="O2316" s="36" t="s">
        <v>48</v>
      </c>
      <c r="R2316" s="36" t="s">
        <v>48</v>
      </c>
    </row>
    <row r="2317">
      <c r="H2317" s="50"/>
      <c r="I2317" s="50"/>
      <c r="O2317" s="36" t="s">
        <v>48</v>
      </c>
      <c r="R2317" s="36" t="s">
        <v>48</v>
      </c>
    </row>
    <row r="2318">
      <c r="H2318" s="50"/>
      <c r="I2318" s="50"/>
      <c r="O2318" s="36" t="s">
        <v>48</v>
      </c>
      <c r="R2318" s="36" t="s">
        <v>48</v>
      </c>
    </row>
    <row r="2319">
      <c r="H2319" s="50"/>
      <c r="I2319" s="50"/>
      <c r="O2319" s="36" t="s">
        <v>48</v>
      </c>
      <c r="R2319" s="36" t="s">
        <v>48</v>
      </c>
    </row>
    <row r="2320">
      <c r="H2320" s="50"/>
      <c r="I2320" s="50"/>
      <c r="O2320" s="36" t="s">
        <v>48</v>
      </c>
      <c r="R2320" s="36" t="s">
        <v>48</v>
      </c>
    </row>
    <row r="2321">
      <c r="H2321" s="50"/>
      <c r="I2321" s="50"/>
      <c r="O2321" s="36" t="s">
        <v>48</v>
      </c>
      <c r="R2321" s="36" t="s">
        <v>48</v>
      </c>
    </row>
    <row r="2322">
      <c r="H2322" s="50"/>
      <c r="I2322" s="50"/>
      <c r="O2322" s="36" t="s">
        <v>48</v>
      </c>
      <c r="R2322" s="36" t="s">
        <v>48</v>
      </c>
    </row>
    <row r="2323">
      <c r="H2323" s="50"/>
      <c r="I2323" s="50"/>
      <c r="O2323" s="36" t="s">
        <v>48</v>
      </c>
      <c r="R2323" s="36" t="s">
        <v>48</v>
      </c>
    </row>
    <row r="2324">
      <c r="H2324" s="50"/>
      <c r="I2324" s="50"/>
      <c r="O2324" s="36" t="s">
        <v>48</v>
      </c>
      <c r="R2324" s="36" t="s">
        <v>48</v>
      </c>
    </row>
    <row r="2325">
      <c r="H2325" s="50"/>
      <c r="I2325" s="50"/>
      <c r="O2325" s="36" t="s">
        <v>48</v>
      </c>
      <c r="R2325" s="36" t="s">
        <v>48</v>
      </c>
    </row>
    <row r="2326">
      <c r="H2326" s="50"/>
      <c r="I2326" s="50"/>
      <c r="O2326" s="36" t="s">
        <v>48</v>
      </c>
      <c r="R2326" s="36" t="s">
        <v>48</v>
      </c>
    </row>
    <row r="2327">
      <c r="H2327" s="50"/>
      <c r="I2327" s="50"/>
      <c r="O2327" s="36" t="s">
        <v>48</v>
      </c>
      <c r="R2327" s="36" t="s">
        <v>48</v>
      </c>
    </row>
    <row r="2328">
      <c r="H2328" s="50"/>
      <c r="I2328" s="50"/>
      <c r="O2328" s="36" t="s">
        <v>48</v>
      </c>
      <c r="R2328" s="36" t="s">
        <v>48</v>
      </c>
    </row>
    <row r="2329">
      <c r="H2329" s="50"/>
      <c r="I2329" s="50"/>
      <c r="O2329" s="36" t="s">
        <v>48</v>
      </c>
      <c r="R2329" s="36" t="s">
        <v>48</v>
      </c>
    </row>
    <row r="2330">
      <c r="H2330" s="50"/>
      <c r="I2330" s="50"/>
      <c r="O2330" s="36" t="s">
        <v>48</v>
      </c>
      <c r="R2330" s="36" t="s">
        <v>48</v>
      </c>
    </row>
    <row r="2331">
      <c r="H2331" s="50"/>
      <c r="I2331" s="50"/>
      <c r="O2331" s="36" t="s">
        <v>48</v>
      </c>
      <c r="R2331" s="36" t="s">
        <v>48</v>
      </c>
    </row>
    <row r="2332">
      <c r="H2332" s="50"/>
      <c r="I2332" s="50"/>
      <c r="O2332" s="36" t="s">
        <v>48</v>
      </c>
      <c r="R2332" s="36" t="s">
        <v>48</v>
      </c>
    </row>
    <row r="2333">
      <c r="H2333" s="50"/>
      <c r="I2333" s="50"/>
      <c r="O2333" s="36" t="s">
        <v>48</v>
      </c>
      <c r="R2333" s="36" t="s">
        <v>48</v>
      </c>
    </row>
    <row r="2334">
      <c r="H2334" s="50"/>
      <c r="I2334" s="50"/>
      <c r="O2334" s="36" t="s">
        <v>48</v>
      </c>
      <c r="R2334" s="36" t="s">
        <v>48</v>
      </c>
    </row>
    <row r="2335">
      <c r="H2335" s="50"/>
      <c r="I2335" s="50"/>
      <c r="O2335" s="36" t="s">
        <v>48</v>
      </c>
      <c r="R2335" s="36" t="s">
        <v>48</v>
      </c>
    </row>
    <row r="2336">
      <c r="H2336" s="50"/>
      <c r="I2336" s="50"/>
      <c r="O2336" s="36" t="s">
        <v>48</v>
      </c>
      <c r="R2336" s="36" t="s">
        <v>48</v>
      </c>
    </row>
    <row r="2337">
      <c r="H2337" s="50"/>
      <c r="I2337" s="50"/>
      <c r="O2337" s="36" t="s">
        <v>48</v>
      </c>
      <c r="R2337" s="36" t="s">
        <v>48</v>
      </c>
    </row>
    <row r="2338">
      <c r="H2338" s="50"/>
      <c r="I2338" s="50"/>
      <c r="O2338" s="36" t="s">
        <v>48</v>
      </c>
      <c r="R2338" s="36" t="s">
        <v>48</v>
      </c>
    </row>
    <row r="2339">
      <c r="H2339" s="50"/>
      <c r="I2339" s="50"/>
      <c r="O2339" s="36" t="s">
        <v>48</v>
      </c>
      <c r="R2339" s="36" t="s">
        <v>48</v>
      </c>
    </row>
    <row r="2340">
      <c r="H2340" s="50"/>
      <c r="I2340" s="50"/>
      <c r="O2340" s="36" t="s">
        <v>48</v>
      </c>
      <c r="R2340" s="36" t="s">
        <v>48</v>
      </c>
    </row>
    <row r="2341">
      <c r="H2341" s="50"/>
      <c r="I2341" s="50"/>
      <c r="O2341" s="36" t="s">
        <v>48</v>
      </c>
      <c r="R2341" s="36" t="s">
        <v>48</v>
      </c>
    </row>
    <row r="2342">
      <c r="H2342" s="50"/>
      <c r="I2342" s="50"/>
      <c r="O2342" s="36" t="s">
        <v>48</v>
      </c>
      <c r="R2342" s="36" t="s">
        <v>48</v>
      </c>
    </row>
    <row r="2343">
      <c r="H2343" s="50"/>
      <c r="I2343" s="50"/>
      <c r="O2343" s="36" t="s">
        <v>48</v>
      </c>
      <c r="R2343" s="36" t="s">
        <v>48</v>
      </c>
    </row>
    <row r="2344">
      <c r="H2344" s="50"/>
      <c r="I2344" s="50"/>
      <c r="O2344" s="36" t="s">
        <v>48</v>
      </c>
      <c r="R2344" s="36" t="s">
        <v>48</v>
      </c>
    </row>
    <row r="2345">
      <c r="H2345" s="50"/>
      <c r="I2345" s="50"/>
      <c r="O2345" s="36" t="s">
        <v>48</v>
      </c>
      <c r="R2345" s="36" t="s">
        <v>48</v>
      </c>
    </row>
    <row r="2346">
      <c r="H2346" s="50"/>
      <c r="I2346" s="50"/>
      <c r="O2346" s="36" t="s">
        <v>48</v>
      </c>
      <c r="R2346" s="36" t="s">
        <v>48</v>
      </c>
    </row>
    <row r="2347">
      <c r="H2347" s="50"/>
      <c r="I2347" s="50"/>
      <c r="O2347" s="36" t="s">
        <v>48</v>
      </c>
      <c r="R2347" s="36" t="s">
        <v>48</v>
      </c>
    </row>
    <row r="2348">
      <c r="H2348" s="50"/>
      <c r="I2348" s="50"/>
      <c r="O2348" s="36" t="s">
        <v>48</v>
      </c>
      <c r="R2348" s="36" t="s">
        <v>48</v>
      </c>
    </row>
    <row r="2349">
      <c r="H2349" s="50"/>
      <c r="I2349" s="50"/>
      <c r="O2349" s="36" t="s">
        <v>48</v>
      </c>
      <c r="R2349" s="36" t="s">
        <v>48</v>
      </c>
    </row>
    <row r="2350">
      <c r="H2350" s="50"/>
      <c r="I2350" s="50"/>
      <c r="O2350" s="36" t="s">
        <v>48</v>
      </c>
      <c r="R2350" s="36" t="s">
        <v>48</v>
      </c>
    </row>
    <row r="2351">
      <c r="H2351" s="50"/>
      <c r="I2351" s="50"/>
      <c r="O2351" s="36" t="s">
        <v>48</v>
      </c>
      <c r="R2351" s="36" t="s">
        <v>48</v>
      </c>
    </row>
    <row r="2352">
      <c r="H2352" s="50"/>
      <c r="I2352" s="50"/>
      <c r="O2352" s="36" t="s">
        <v>48</v>
      </c>
      <c r="R2352" s="36" t="s">
        <v>48</v>
      </c>
    </row>
    <row r="2353">
      <c r="H2353" s="50"/>
      <c r="I2353" s="50"/>
      <c r="O2353" s="36" t="s">
        <v>48</v>
      </c>
      <c r="R2353" s="36" t="s">
        <v>48</v>
      </c>
    </row>
    <row r="2354">
      <c r="H2354" s="50"/>
      <c r="I2354" s="50"/>
      <c r="O2354" s="36" t="s">
        <v>48</v>
      </c>
      <c r="R2354" s="36" t="s">
        <v>48</v>
      </c>
    </row>
    <row r="2355">
      <c r="H2355" s="50"/>
      <c r="I2355" s="50"/>
      <c r="O2355" s="36" t="s">
        <v>48</v>
      </c>
      <c r="R2355" s="36" t="s">
        <v>48</v>
      </c>
    </row>
    <row r="2356">
      <c r="H2356" s="50"/>
      <c r="I2356" s="50"/>
      <c r="O2356" s="36" t="s">
        <v>48</v>
      </c>
      <c r="R2356" s="36" t="s">
        <v>48</v>
      </c>
    </row>
    <row r="2357">
      <c r="H2357" s="50"/>
      <c r="I2357" s="50"/>
      <c r="O2357" s="36" t="s">
        <v>48</v>
      </c>
      <c r="R2357" s="36" t="s">
        <v>48</v>
      </c>
    </row>
    <row r="2358">
      <c r="H2358" s="50"/>
      <c r="I2358" s="50"/>
      <c r="O2358" s="36" t="s">
        <v>48</v>
      </c>
      <c r="R2358" s="36" t="s">
        <v>48</v>
      </c>
    </row>
    <row r="2359">
      <c r="H2359" s="50"/>
      <c r="I2359" s="50"/>
      <c r="O2359" s="36" t="s">
        <v>48</v>
      </c>
      <c r="R2359" s="36" t="s">
        <v>48</v>
      </c>
    </row>
    <row r="2360">
      <c r="H2360" s="50"/>
      <c r="I2360" s="50"/>
      <c r="O2360" s="36" t="s">
        <v>48</v>
      </c>
      <c r="R2360" s="36" t="s">
        <v>48</v>
      </c>
    </row>
    <row r="2361">
      <c r="H2361" s="50"/>
      <c r="I2361" s="50"/>
      <c r="O2361" s="36" t="s">
        <v>48</v>
      </c>
      <c r="R2361" s="36" t="s">
        <v>48</v>
      </c>
    </row>
    <row r="2362">
      <c r="H2362" s="50"/>
      <c r="I2362" s="50"/>
      <c r="O2362" s="36" t="s">
        <v>48</v>
      </c>
      <c r="R2362" s="36" t="s">
        <v>48</v>
      </c>
    </row>
    <row r="2363">
      <c r="H2363" s="50"/>
      <c r="I2363" s="50"/>
      <c r="O2363" s="36" t="s">
        <v>48</v>
      </c>
      <c r="R2363" s="36" t="s">
        <v>48</v>
      </c>
    </row>
    <row r="2364">
      <c r="H2364" s="50"/>
      <c r="I2364" s="50"/>
      <c r="O2364" s="36" t="s">
        <v>48</v>
      </c>
      <c r="R2364" s="36" t="s">
        <v>48</v>
      </c>
    </row>
    <row r="2365">
      <c r="H2365" s="50"/>
      <c r="I2365" s="50"/>
      <c r="O2365" s="36" t="s">
        <v>48</v>
      </c>
      <c r="R2365" s="36" t="s">
        <v>48</v>
      </c>
    </row>
    <row r="2366">
      <c r="H2366" s="50"/>
      <c r="I2366" s="50"/>
      <c r="O2366" s="36" t="s">
        <v>48</v>
      </c>
      <c r="R2366" s="36" t="s">
        <v>48</v>
      </c>
    </row>
    <row r="2367">
      <c r="H2367" s="50"/>
      <c r="I2367" s="50"/>
      <c r="O2367" s="36" t="s">
        <v>48</v>
      </c>
      <c r="R2367" s="36" t="s">
        <v>48</v>
      </c>
    </row>
    <row r="2368">
      <c r="H2368" s="50"/>
      <c r="I2368" s="50"/>
      <c r="O2368" s="36" t="s">
        <v>48</v>
      </c>
      <c r="R2368" s="36" t="s">
        <v>48</v>
      </c>
    </row>
    <row r="2369">
      <c r="H2369" s="50"/>
      <c r="I2369" s="50"/>
      <c r="O2369" s="36" t="s">
        <v>48</v>
      </c>
      <c r="R2369" s="36" t="s">
        <v>48</v>
      </c>
    </row>
    <row r="2370">
      <c r="H2370" s="50"/>
      <c r="I2370" s="50"/>
      <c r="O2370" s="36" t="s">
        <v>48</v>
      </c>
      <c r="R2370" s="36" t="s">
        <v>48</v>
      </c>
    </row>
    <row r="2371">
      <c r="H2371" s="50"/>
      <c r="I2371" s="50"/>
      <c r="O2371" s="36" t="s">
        <v>48</v>
      </c>
      <c r="R2371" s="36" t="s">
        <v>48</v>
      </c>
    </row>
    <row r="2372">
      <c r="H2372" s="50"/>
      <c r="I2372" s="50"/>
      <c r="O2372" s="36" t="s">
        <v>48</v>
      </c>
      <c r="R2372" s="36" t="s">
        <v>48</v>
      </c>
    </row>
    <row r="2373">
      <c r="H2373" s="50"/>
      <c r="I2373" s="50"/>
      <c r="O2373" s="36" t="s">
        <v>48</v>
      </c>
      <c r="R2373" s="36" t="s">
        <v>48</v>
      </c>
    </row>
    <row r="2374">
      <c r="H2374" s="50"/>
      <c r="I2374" s="50"/>
      <c r="O2374" s="36" t="s">
        <v>48</v>
      </c>
      <c r="R2374" s="36" t="s">
        <v>48</v>
      </c>
    </row>
    <row r="2375">
      <c r="H2375" s="50"/>
      <c r="I2375" s="50"/>
      <c r="O2375" s="36" t="s">
        <v>48</v>
      </c>
      <c r="R2375" s="36" t="s">
        <v>48</v>
      </c>
    </row>
    <row r="2376">
      <c r="H2376" s="50"/>
      <c r="I2376" s="50"/>
      <c r="O2376" s="36" t="s">
        <v>48</v>
      </c>
      <c r="R2376" s="36" t="s">
        <v>48</v>
      </c>
    </row>
    <row r="2377">
      <c r="H2377" s="50"/>
      <c r="I2377" s="50"/>
      <c r="O2377" s="36" t="s">
        <v>48</v>
      </c>
      <c r="R2377" s="36" t="s">
        <v>48</v>
      </c>
    </row>
    <row r="2378">
      <c r="H2378" s="50"/>
      <c r="I2378" s="50"/>
      <c r="O2378" s="36" t="s">
        <v>48</v>
      </c>
      <c r="R2378" s="36" t="s">
        <v>48</v>
      </c>
    </row>
    <row r="2379">
      <c r="H2379" s="50"/>
      <c r="I2379" s="50"/>
      <c r="O2379" s="36" t="s">
        <v>48</v>
      </c>
      <c r="R2379" s="36" t="s">
        <v>48</v>
      </c>
    </row>
    <row r="2380">
      <c r="H2380" s="50"/>
      <c r="I2380" s="50"/>
      <c r="O2380" s="36" t="s">
        <v>48</v>
      </c>
      <c r="R2380" s="36" t="s">
        <v>48</v>
      </c>
    </row>
    <row r="2381">
      <c r="H2381" s="50"/>
      <c r="I2381" s="50"/>
      <c r="O2381" s="36" t="s">
        <v>48</v>
      </c>
      <c r="R2381" s="36" t="s">
        <v>48</v>
      </c>
    </row>
    <row r="2382">
      <c r="H2382" s="50"/>
      <c r="I2382" s="50"/>
      <c r="O2382" s="36" t="s">
        <v>48</v>
      </c>
      <c r="R2382" s="36" t="s">
        <v>48</v>
      </c>
    </row>
    <row r="2383">
      <c r="H2383" s="50"/>
      <c r="I2383" s="50"/>
      <c r="O2383" s="36" t="s">
        <v>48</v>
      </c>
      <c r="R2383" s="36" t="s">
        <v>48</v>
      </c>
    </row>
    <row r="2384">
      <c r="H2384" s="50"/>
      <c r="I2384" s="50"/>
      <c r="O2384" s="36" t="s">
        <v>48</v>
      </c>
      <c r="R2384" s="36" t="s">
        <v>48</v>
      </c>
    </row>
    <row r="2385">
      <c r="H2385" s="50"/>
      <c r="I2385" s="50"/>
      <c r="O2385" s="36" t="s">
        <v>48</v>
      </c>
      <c r="R2385" s="36" t="s">
        <v>48</v>
      </c>
    </row>
    <row r="2386">
      <c r="H2386" s="50"/>
      <c r="I2386" s="50"/>
      <c r="O2386" s="36" t="s">
        <v>48</v>
      </c>
      <c r="R2386" s="36" t="s">
        <v>48</v>
      </c>
    </row>
    <row r="2387">
      <c r="H2387" s="50"/>
      <c r="I2387" s="50"/>
      <c r="O2387" s="36" t="s">
        <v>48</v>
      </c>
      <c r="R2387" s="36" t="s">
        <v>48</v>
      </c>
    </row>
    <row r="2388">
      <c r="H2388" s="50"/>
      <c r="I2388" s="50"/>
      <c r="O2388" s="36" t="s">
        <v>48</v>
      </c>
      <c r="R2388" s="36" t="s">
        <v>48</v>
      </c>
    </row>
    <row r="2389">
      <c r="H2389" s="50"/>
      <c r="I2389" s="50"/>
      <c r="O2389" s="36" t="s">
        <v>48</v>
      </c>
      <c r="R2389" s="36" t="s">
        <v>48</v>
      </c>
    </row>
    <row r="2390">
      <c r="H2390" s="50"/>
      <c r="I2390" s="50"/>
      <c r="O2390" s="36" t="s">
        <v>48</v>
      </c>
      <c r="R2390" s="36" t="s">
        <v>48</v>
      </c>
    </row>
    <row r="2391">
      <c r="H2391" s="50"/>
      <c r="I2391" s="50"/>
      <c r="O2391" s="36" t="s">
        <v>48</v>
      </c>
      <c r="R2391" s="36" t="s">
        <v>48</v>
      </c>
    </row>
    <row r="2392">
      <c r="H2392" s="50"/>
      <c r="I2392" s="50"/>
      <c r="O2392" s="36" t="s">
        <v>48</v>
      </c>
      <c r="R2392" s="36" t="s">
        <v>48</v>
      </c>
    </row>
    <row r="2393">
      <c r="H2393" s="50"/>
      <c r="I2393" s="50"/>
      <c r="O2393" s="36" t="s">
        <v>48</v>
      </c>
      <c r="R2393" s="36" t="s">
        <v>48</v>
      </c>
    </row>
    <row r="2394">
      <c r="H2394" s="50"/>
      <c r="I2394" s="50"/>
      <c r="O2394" s="36" t="s">
        <v>48</v>
      </c>
      <c r="R2394" s="36" t="s">
        <v>48</v>
      </c>
    </row>
    <row r="2395">
      <c r="H2395" s="50"/>
      <c r="I2395" s="50"/>
      <c r="O2395" s="36" t="s">
        <v>48</v>
      </c>
      <c r="R2395" s="36" t="s">
        <v>48</v>
      </c>
    </row>
    <row r="2396">
      <c r="H2396" s="50"/>
      <c r="I2396" s="50"/>
      <c r="O2396" s="36" t="s">
        <v>48</v>
      </c>
      <c r="R2396" s="36" t="s">
        <v>48</v>
      </c>
    </row>
    <row r="2397">
      <c r="H2397" s="50"/>
      <c r="I2397" s="50"/>
      <c r="O2397" s="36" t="s">
        <v>48</v>
      </c>
      <c r="R2397" s="36" t="s">
        <v>48</v>
      </c>
    </row>
    <row r="2398">
      <c r="H2398" s="50"/>
      <c r="I2398" s="50"/>
      <c r="O2398" s="36" t="s">
        <v>48</v>
      </c>
      <c r="R2398" s="36" t="s">
        <v>48</v>
      </c>
    </row>
    <row r="2399">
      <c r="H2399" s="50"/>
      <c r="I2399" s="50"/>
      <c r="O2399" s="36" t="s">
        <v>48</v>
      </c>
      <c r="R2399" s="36" t="s">
        <v>48</v>
      </c>
    </row>
    <row r="2400">
      <c r="H2400" s="50"/>
      <c r="I2400" s="50"/>
      <c r="O2400" s="36" t="s">
        <v>48</v>
      </c>
      <c r="R2400" s="36" t="s">
        <v>48</v>
      </c>
    </row>
    <row r="2401">
      <c r="H2401" s="50"/>
      <c r="I2401" s="50"/>
      <c r="O2401" s="36" t="s">
        <v>48</v>
      </c>
      <c r="R2401" s="36" t="s">
        <v>48</v>
      </c>
    </row>
    <row r="2402">
      <c r="H2402" s="50"/>
      <c r="I2402" s="50"/>
      <c r="O2402" s="36" t="s">
        <v>48</v>
      </c>
      <c r="R2402" s="36" t="s">
        <v>48</v>
      </c>
    </row>
    <row r="2403">
      <c r="H2403" s="50"/>
      <c r="I2403" s="50"/>
      <c r="O2403" s="36" t="s">
        <v>48</v>
      </c>
      <c r="R2403" s="36" t="s">
        <v>48</v>
      </c>
    </row>
    <row r="2404">
      <c r="H2404" s="50"/>
      <c r="I2404" s="50"/>
      <c r="O2404" s="36" t="s">
        <v>48</v>
      </c>
      <c r="R2404" s="36" t="s">
        <v>48</v>
      </c>
    </row>
    <row r="2405">
      <c r="H2405" s="50"/>
      <c r="I2405" s="50"/>
      <c r="O2405" s="36" t="s">
        <v>48</v>
      </c>
      <c r="R2405" s="36" t="s">
        <v>48</v>
      </c>
    </row>
    <row r="2406">
      <c r="H2406" s="50"/>
      <c r="I2406" s="50"/>
      <c r="O2406" s="36" t="s">
        <v>48</v>
      </c>
      <c r="R2406" s="36" t="s">
        <v>48</v>
      </c>
    </row>
    <row r="2407">
      <c r="H2407" s="50"/>
      <c r="I2407" s="50"/>
      <c r="O2407" s="36" t="s">
        <v>48</v>
      </c>
      <c r="R2407" s="36" t="s">
        <v>48</v>
      </c>
    </row>
    <row r="2408">
      <c r="H2408" s="50"/>
      <c r="I2408" s="50"/>
      <c r="O2408" s="36" t="s">
        <v>48</v>
      </c>
      <c r="R2408" s="36" t="s">
        <v>48</v>
      </c>
    </row>
    <row r="2409">
      <c r="H2409" s="50"/>
      <c r="I2409" s="50"/>
      <c r="O2409" s="36" t="s">
        <v>48</v>
      </c>
      <c r="R2409" s="36" t="s">
        <v>48</v>
      </c>
    </row>
    <row r="2410">
      <c r="H2410" s="50"/>
      <c r="I2410" s="50"/>
      <c r="O2410" s="36" t="s">
        <v>48</v>
      </c>
      <c r="R2410" s="36" t="s">
        <v>48</v>
      </c>
    </row>
    <row r="2411">
      <c r="H2411" s="50"/>
      <c r="I2411" s="50"/>
      <c r="O2411" s="36" t="s">
        <v>48</v>
      </c>
      <c r="R2411" s="36" t="s">
        <v>48</v>
      </c>
    </row>
    <row r="2412">
      <c r="H2412" s="50"/>
      <c r="I2412" s="50"/>
      <c r="O2412" s="36" t="s">
        <v>48</v>
      </c>
      <c r="R2412" s="36" t="s">
        <v>48</v>
      </c>
    </row>
    <row r="2413">
      <c r="H2413" s="50"/>
      <c r="I2413" s="50"/>
      <c r="O2413" s="36" t="s">
        <v>48</v>
      </c>
      <c r="R2413" s="36" t="s">
        <v>48</v>
      </c>
    </row>
    <row r="2414">
      <c r="H2414" s="50"/>
      <c r="I2414" s="50"/>
      <c r="O2414" s="36" t="s">
        <v>48</v>
      </c>
      <c r="R2414" s="36" t="s">
        <v>48</v>
      </c>
    </row>
    <row r="2415">
      <c r="H2415" s="50"/>
      <c r="I2415" s="50"/>
      <c r="O2415" s="36" t="s">
        <v>48</v>
      </c>
      <c r="R2415" s="36" t="s">
        <v>48</v>
      </c>
    </row>
    <row r="2416">
      <c r="H2416" s="50"/>
      <c r="I2416" s="50"/>
      <c r="O2416" s="36" t="s">
        <v>48</v>
      </c>
      <c r="R2416" s="36" t="s">
        <v>48</v>
      </c>
    </row>
    <row r="2417">
      <c r="H2417" s="50"/>
      <c r="I2417" s="50"/>
      <c r="O2417" s="36" t="s">
        <v>48</v>
      </c>
      <c r="R2417" s="36" t="s">
        <v>48</v>
      </c>
    </row>
    <row r="2418">
      <c r="H2418" s="50"/>
      <c r="I2418" s="50"/>
      <c r="O2418" s="36" t="s">
        <v>48</v>
      </c>
      <c r="R2418" s="36" t="s">
        <v>48</v>
      </c>
    </row>
    <row r="2419">
      <c r="H2419" s="50"/>
      <c r="I2419" s="50"/>
      <c r="O2419" s="36" t="s">
        <v>48</v>
      </c>
      <c r="R2419" s="36" t="s">
        <v>48</v>
      </c>
    </row>
    <row r="2420">
      <c r="H2420" s="50"/>
      <c r="I2420" s="50"/>
      <c r="O2420" s="36" t="s">
        <v>48</v>
      </c>
      <c r="R2420" s="36" t="s">
        <v>48</v>
      </c>
    </row>
    <row r="2421">
      <c r="H2421" s="50"/>
      <c r="I2421" s="50"/>
      <c r="O2421" s="36" t="s">
        <v>48</v>
      </c>
      <c r="R2421" s="36" t="s">
        <v>48</v>
      </c>
    </row>
    <row r="2422">
      <c r="H2422" s="50"/>
      <c r="I2422" s="50"/>
      <c r="O2422" s="36" t="s">
        <v>48</v>
      </c>
      <c r="R2422" s="36" t="s">
        <v>48</v>
      </c>
    </row>
    <row r="2423">
      <c r="H2423" s="50"/>
      <c r="I2423" s="50"/>
      <c r="O2423" s="36" t="s">
        <v>48</v>
      </c>
      <c r="R2423" s="36" t="s">
        <v>48</v>
      </c>
    </row>
    <row r="2424">
      <c r="H2424" s="50"/>
      <c r="I2424" s="50"/>
      <c r="O2424" s="36" t="s">
        <v>48</v>
      </c>
      <c r="R2424" s="36" t="s">
        <v>48</v>
      </c>
    </row>
    <row r="2425">
      <c r="H2425" s="50"/>
      <c r="I2425" s="50"/>
      <c r="O2425" s="36" t="s">
        <v>48</v>
      </c>
      <c r="R2425" s="36" t="s">
        <v>48</v>
      </c>
    </row>
    <row r="2426">
      <c r="H2426" s="50"/>
      <c r="I2426" s="50"/>
      <c r="O2426" s="36" t="s">
        <v>48</v>
      </c>
      <c r="R2426" s="36" t="s">
        <v>48</v>
      </c>
    </row>
    <row r="2427">
      <c r="H2427" s="50"/>
      <c r="I2427" s="50"/>
      <c r="O2427" s="36" t="s">
        <v>48</v>
      </c>
      <c r="R2427" s="36" t="s">
        <v>48</v>
      </c>
    </row>
    <row r="2428">
      <c r="H2428" s="50"/>
      <c r="I2428" s="50"/>
      <c r="O2428" s="36" t="s">
        <v>48</v>
      </c>
      <c r="R2428" s="36" t="s">
        <v>48</v>
      </c>
    </row>
    <row r="2429">
      <c r="H2429" s="50"/>
      <c r="I2429" s="50"/>
      <c r="O2429" s="36" t="s">
        <v>48</v>
      </c>
      <c r="R2429" s="36" t="s">
        <v>48</v>
      </c>
    </row>
    <row r="2430">
      <c r="H2430" s="50"/>
      <c r="I2430" s="50"/>
      <c r="O2430" s="36" t="s">
        <v>48</v>
      </c>
      <c r="R2430" s="36" t="s">
        <v>48</v>
      </c>
    </row>
    <row r="2431">
      <c r="H2431" s="50"/>
      <c r="I2431" s="50"/>
      <c r="O2431" s="36" t="s">
        <v>48</v>
      </c>
      <c r="R2431" s="36" t="s">
        <v>48</v>
      </c>
    </row>
    <row r="2432">
      <c r="H2432" s="50"/>
      <c r="I2432" s="50"/>
      <c r="O2432" s="36" t="s">
        <v>48</v>
      </c>
      <c r="R2432" s="36" t="s">
        <v>48</v>
      </c>
    </row>
    <row r="2433">
      <c r="H2433" s="50"/>
      <c r="I2433" s="50"/>
      <c r="O2433" s="36" t="s">
        <v>48</v>
      </c>
      <c r="R2433" s="36" t="s">
        <v>48</v>
      </c>
    </row>
    <row r="2434">
      <c r="H2434" s="50"/>
      <c r="I2434" s="50"/>
      <c r="O2434" s="36" t="s">
        <v>48</v>
      </c>
      <c r="R2434" s="36" t="s">
        <v>48</v>
      </c>
    </row>
    <row r="2435">
      <c r="H2435" s="50"/>
      <c r="I2435" s="50"/>
      <c r="O2435" s="36" t="s">
        <v>48</v>
      </c>
      <c r="R2435" s="36" t="s">
        <v>48</v>
      </c>
    </row>
    <row r="2436">
      <c r="H2436" s="50"/>
      <c r="I2436" s="50"/>
      <c r="O2436" s="36" t="s">
        <v>48</v>
      </c>
      <c r="R2436" s="36" t="s">
        <v>48</v>
      </c>
    </row>
    <row r="2437">
      <c r="H2437" s="50"/>
      <c r="I2437" s="50"/>
      <c r="O2437" s="36" t="s">
        <v>48</v>
      </c>
      <c r="R2437" s="36" t="s">
        <v>48</v>
      </c>
    </row>
    <row r="2438">
      <c r="H2438" s="50"/>
      <c r="I2438" s="50"/>
      <c r="O2438" s="36" t="s">
        <v>48</v>
      </c>
      <c r="R2438" s="36" t="s">
        <v>48</v>
      </c>
    </row>
    <row r="2439">
      <c r="H2439" s="50"/>
      <c r="I2439" s="50"/>
      <c r="O2439" s="36" t="s">
        <v>48</v>
      </c>
      <c r="R2439" s="36" t="s">
        <v>48</v>
      </c>
    </row>
    <row r="2440">
      <c r="H2440" s="50"/>
      <c r="I2440" s="50"/>
      <c r="O2440" s="36" t="s">
        <v>48</v>
      </c>
      <c r="R2440" s="36" t="s">
        <v>48</v>
      </c>
    </row>
    <row r="2441">
      <c r="H2441" s="50"/>
      <c r="I2441" s="50"/>
      <c r="O2441" s="36" t="s">
        <v>48</v>
      </c>
      <c r="R2441" s="36" t="s">
        <v>48</v>
      </c>
    </row>
    <row r="2442">
      <c r="H2442" s="50"/>
      <c r="I2442" s="50"/>
      <c r="O2442" s="36" t="s">
        <v>48</v>
      </c>
      <c r="R2442" s="36" t="s">
        <v>48</v>
      </c>
    </row>
    <row r="2443">
      <c r="H2443" s="50"/>
      <c r="I2443" s="50"/>
      <c r="O2443" s="36" t="s">
        <v>48</v>
      </c>
      <c r="R2443" s="36" t="s">
        <v>48</v>
      </c>
    </row>
    <row r="2444">
      <c r="H2444" s="50"/>
      <c r="I2444" s="50"/>
      <c r="O2444" s="36" t="s">
        <v>48</v>
      </c>
      <c r="R2444" s="36" t="s">
        <v>48</v>
      </c>
    </row>
    <row r="2445">
      <c r="H2445" s="50"/>
      <c r="I2445" s="50"/>
      <c r="O2445" s="36" t="s">
        <v>48</v>
      </c>
      <c r="R2445" s="36" t="s">
        <v>48</v>
      </c>
    </row>
    <row r="2446">
      <c r="H2446" s="50"/>
      <c r="I2446" s="50"/>
      <c r="O2446" s="36" t="s">
        <v>48</v>
      </c>
      <c r="R2446" s="36" t="s">
        <v>48</v>
      </c>
    </row>
    <row r="2447">
      <c r="H2447" s="50"/>
      <c r="I2447" s="50"/>
      <c r="O2447" s="36" t="s">
        <v>48</v>
      </c>
      <c r="R2447" s="36" t="s">
        <v>48</v>
      </c>
    </row>
    <row r="2448">
      <c r="H2448" s="50"/>
      <c r="I2448" s="50"/>
      <c r="O2448" s="36" t="s">
        <v>48</v>
      </c>
      <c r="R2448" s="36" t="s">
        <v>48</v>
      </c>
    </row>
    <row r="2449">
      <c r="H2449" s="50"/>
      <c r="I2449" s="50"/>
      <c r="O2449" s="36" t="s">
        <v>48</v>
      </c>
      <c r="R2449" s="36" t="s">
        <v>48</v>
      </c>
    </row>
    <row r="2450">
      <c r="H2450" s="50"/>
      <c r="I2450" s="50"/>
      <c r="O2450" s="36" t="s">
        <v>48</v>
      </c>
      <c r="R2450" s="36" t="s">
        <v>48</v>
      </c>
    </row>
    <row r="2451">
      <c r="H2451" s="50"/>
      <c r="I2451" s="50"/>
      <c r="O2451" s="36" t="s">
        <v>48</v>
      </c>
      <c r="R2451" s="36" t="s">
        <v>48</v>
      </c>
    </row>
    <row r="2452">
      <c r="H2452" s="50"/>
      <c r="I2452" s="50"/>
      <c r="O2452" s="36" t="s">
        <v>48</v>
      </c>
      <c r="R2452" s="36" t="s">
        <v>48</v>
      </c>
    </row>
    <row r="2453">
      <c r="H2453" s="50"/>
      <c r="I2453" s="50"/>
      <c r="O2453" s="36" t="s">
        <v>48</v>
      </c>
      <c r="R2453" s="36" t="s">
        <v>48</v>
      </c>
    </row>
    <row r="2454">
      <c r="H2454" s="50"/>
      <c r="I2454" s="50"/>
      <c r="O2454" s="36" t="s">
        <v>48</v>
      </c>
      <c r="R2454" s="36" t="s">
        <v>48</v>
      </c>
    </row>
    <row r="2455">
      <c r="H2455" s="50"/>
      <c r="I2455" s="50"/>
      <c r="O2455" s="36" t="s">
        <v>48</v>
      </c>
      <c r="R2455" s="36" t="s">
        <v>48</v>
      </c>
    </row>
    <row r="2456">
      <c r="H2456" s="50"/>
      <c r="I2456" s="50"/>
      <c r="O2456" s="36" t="s">
        <v>48</v>
      </c>
      <c r="R2456" s="36" t="s">
        <v>48</v>
      </c>
    </row>
    <row r="2457">
      <c r="H2457" s="50"/>
      <c r="I2457" s="50"/>
      <c r="O2457" s="36" t="s">
        <v>48</v>
      </c>
      <c r="R2457" s="36" t="s">
        <v>48</v>
      </c>
    </row>
    <row r="2458">
      <c r="H2458" s="50"/>
      <c r="I2458" s="50"/>
      <c r="O2458" s="36" t="s">
        <v>48</v>
      </c>
      <c r="R2458" s="36" t="s">
        <v>48</v>
      </c>
    </row>
    <row r="2459">
      <c r="H2459" s="50"/>
      <c r="I2459" s="50"/>
      <c r="O2459" s="36" t="s">
        <v>48</v>
      </c>
      <c r="R2459" s="36" t="s">
        <v>48</v>
      </c>
    </row>
    <row r="2460">
      <c r="H2460" s="50"/>
      <c r="I2460" s="50"/>
      <c r="O2460" s="36" t="s">
        <v>48</v>
      </c>
      <c r="R2460" s="36" t="s">
        <v>48</v>
      </c>
    </row>
    <row r="2461">
      <c r="H2461" s="50"/>
      <c r="I2461" s="50"/>
      <c r="O2461" s="36" t="s">
        <v>48</v>
      </c>
      <c r="R2461" s="36" t="s">
        <v>48</v>
      </c>
    </row>
    <row r="2462">
      <c r="H2462" s="50"/>
      <c r="I2462" s="50"/>
      <c r="O2462" s="36" t="s">
        <v>48</v>
      </c>
      <c r="R2462" s="36" t="s">
        <v>48</v>
      </c>
    </row>
    <row r="2463">
      <c r="H2463" s="50"/>
      <c r="I2463" s="50"/>
      <c r="O2463" s="36" t="s">
        <v>48</v>
      </c>
      <c r="R2463" s="36" t="s">
        <v>48</v>
      </c>
    </row>
    <row r="2464">
      <c r="H2464" s="50"/>
      <c r="I2464" s="50"/>
      <c r="O2464" s="36" t="s">
        <v>48</v>
      </c>
      <c r="R2464" s="36" t="s">
        <v>48</v>
      </c>
    </row>
    <row r="2465">
      <c r="H2465" s="50"/>
      <c r="I2465" s="50"/>
      <c r="O2465" s="36" t="s">
        <v>48</v>
      </c>
      <c r="R2465" s="36" t="s">
        <v>48</v>
      </c>
    </row>
    <row r="2466">
      <c r="H2466" s="50"/>
      <c r="I2466" s="50"/>
      <c r="O2466" s="36" t="s">
        <v>48</v>
      </c>
      <c r="R2466" s="36" t="s">
        <v>48</v>
      </c>
    </row>
    <row r="2467">
      <c r="H2467" s="50"/>
      <c r="I2467" s="50"/>
      <c r="O2467" s="36" t="s">
        <v>48</v>
      </c>
      <c r="R2467" s="36" t="s">
        <v>48</v>
      </c>
    </row>
    <row r="2468">
      <c r="H2468" s="50"/>
      <c r="I2468" s="50"/>
      <c r="O2468" s="36" t="s">
        <v>48</v>
      </c>
      <c r="R2468" s="36" t="s">
        <v>48</v>
      </c>
    </row>
    <row r="2469">
      <c r="H2469" s="50"/>
      <c r="I2469" s="50"/>
      <c r="O2469" s="36" t="s">
        <v>48</v>
      </c>
      <c r="R2469" s="36" t="s">
        <v>48</v>
      </c>
    </row>
    <row r="2470">
      <c r="H2470" s="50"/>
      <c r="I2470" s="50"/>
      <c r="O2470" s="36" t="s">
        <v>48</v>
      </c>
      <c r="R2470" s="36" t="s">
        <v>48</v>
      </c>
    </row>
    <row r="2471">
      <c r="H2471" s="50"/>
      <c r="I2471" s="50"/>
      <c r="O2471" s="36" t="s">
        <v>48</v>
      </c>
      <c r="R2471" s="36" t="s">
        <v>48</v>
      </c>
    </row>
    <row r="2472">
      <c r="H2472" s="50"/>
      <c r="I2472" s="50"/>
      <c r="O2472" s="36" t="s">
        <v>48</v>
      </c>
      <c r="R2472" s="36" t="s">
        <v>48</v>
      </c>
    </row>
    <row r="2473">
      <c r="H2473" s="50"/>
      <c r="I2473" s="50"/>
      <c r="O2473" s="36" t="s">
        <v>48</v>
      </c>
      <c r="R2473" s="36" t="s">
        <v>48</v>
      </c>
    </row>
    <row r="2474">
      <c r="H2474" s="50"/>
      <c r="I2474" s="50"/>
      <c r="O2474" s="36" t="s">
        <v>48</v>
      </c>
      <c r="R2474" s="36" t="s">
        <v>48</v>
      </c>
    </row>
    <row r="2475">
      <c r="H2475" s="50"/>
      <c r="I2475" s="50"/>
      <c r="O2475" s="36" t="s">
        <v>48</v>
      </c>
      <c r="R2475" s="36" t="s">
        <v>48</v>
      </c>
    </row>
    <row r="2476">
      <c r="H2476" s="50"/>
      <c r="I2476" s="50"/>
      <c r="O2476" s="36" t="s">
        <v>48</v>
      </c>
      <c r="R2476" s="36" t="s">
        <v>48</v>
      </c>
    </row>
    <row r="2477">
      <c r="H2477" s="50"/>
      <c r="I2477" s="50"/>
      <c r="O2477" s="36" t="s">
        <v>48</v>
      </c>
      <c r="R2477" s="36" t="s">
        <v>48</v>
      </c>
    </row>
    <row r="2478">
      <c r="H2478" s="50"/>
      <c r="I2478" s="50"/>
      <c r="O2478" s="36" t="s">
        <v>48</v>
      </c>
      <c r="R2478" s="36" t="s">
        <v>48</v>
      </c>
    </row>
    <row r="2479">
      <c r="H2479" s="50"/>
      <c r="I2479" s="50"/>
      <c r="O2479" s="36" t="s">
        <v>48</v>
      </c>
      <c r="R2479" s="36" t="s">
        <v>48</v>
      </c>
    </row>
    <row r="2480">
      <c r="H2480" s="50"/>
      <c r="I2480" s="50"/>
      <c r="O2480" s="36" t="s">
        <v>48</v>
      </c>
      <c r="R2480" s="36" t="s">
        <v>48</v>
      </c>
    </row>
    <row r="2481">
      <c r="H2481" s="50"/>
      <c r="I2481" s="50"/>
      <c r="O2481" s="36" t="s">
        <v>48</v>
      </c>
      <c r="R2481" s="36" t="s">
        <v>48</v>
      </c>
    </row>
    <row r="2482">
      <c r="H2482" s="50"/>
      <c r="I2482" s="50"/>
      <c r="O2482" s="36" t="s">
        <v>48</v>
      </c>
      <c r="R2482" s="36" t="s">
        <v>48</v>
      </c>
    </row>
    <row r="2483">
      <c r="H2483" s="50"/>
      <c r="I2483" s="50"/>
      <c r="O2483" s="36" t="s">
        <v>48</v>
      </c>
      <c r="R2483" s="36" t="s">
        <v>48</v>
      </c>
    </row>
    <row r="2484">
      <c r="H2484" s="50"/>
      <c r="I2484" s="50"/>
      <c r="O2484" s="36" t="s">
        <v>48</v>
      </c>
      <c r="R2484" s="36" t="s">
        <v>48</v>
      </c>
    </row>
    <row r="2485">
      <c r="H2485" s="50"/>
      <c r="I2485" s="50"/>
      <c r="O2485" s="36" t="s">
        <v>48</v>
      </c>
      <c r="R2485" s="36" t="s">
        <v>48</v>
      </c>
    </row>
    <row r="2486">
      <c r="H2486" s="50"/>
      <c r="I2486" s="50"/>
      <c r="O2486" s="36" t="s">
        <v>48</v>
      </c>
      <c r="R2486" s="36" t="s">
        <v>48</v>
      </c>
    </row>
    <row r="2487">
      <c r="H2487" s="50"/>
      <c r="I2487" s="50"/>
      <c r="O2487" s="36" t="s">
        <v>48</v>
      </c>
      <c r="R2487" s="36" t="s">
        <v>48</v>
      </c>
    </row>
    <row r="2488">
      <c r="H2488" s="50"/>
      <c r="I2488" s="50"/>
      <c r="O2488" s="36" t="s">
        <v>48</v>
      </c>
      <c r="R2488" s="36" t="s">
        <v>48</v>
      </c>
    </row>
    <row r="2489">
      <c r="H2489" s="50"/>
      <c r="I2489" s="50"/>
      <c r="O2489" s="36" t="s">
        <v>48</v>
      </c>
      <c r="R2489" s="36" t="s">
        <v>48</v>
      </c>
    </row>
    <row r="2490">
      <c r="H2490" s="50"/>
      <c r="I2490" s="50"/>
      <c r="O2490" s="36" t="s">
        <v>48</v>
      </c>
      <c r="R2490" s="36" t="s">
        <v>48</v>
      </c>
    </row>
    <row r="2491">
      <c r="H2491" s="50"/>
      <c r="I2491" s="50"/>
      <c r="O2491" s="36" t="s">
        <v>48</v>
      </c>
      <c r="R2491" s="36" t="s">
        <v>48</v>
      </c>
    </row>
    <row r="2492">
      <c r="H2492" s="50"/>
      <c r="I2492" s="50"/>
      <c r="O2492" s="36" t="s">
        <v>48</v>
      </c>
      <c r="R2492" s="36" t="s">
        <v>48</v>
      </c>
    </row>
    <row r="2493">
      <c r="H2493" s="50"/>
      <c r="I2493" s="50"/>
      <c r="O2493" s="36" t="s">
        <v>48</v>
      </c>
      <c r="R2493" s="36" t="s">
        <v>48</v>
      </c>
    </row>
    <row r="2494">
      <c r="H2494" s="50"/>
      <c r="I2494" s="50"/>
      <c r="O2494" s="36" t="s">
        <v>48</v>
      </c>
      <c r="R2494" s="36" t="s">
        <v>48</v>
      </c>
    </row>
    <row r="2495">
      <c r="H2495" s="50"/>
      <c r="I2495" s="50"/>
      <c r="O2495" s="36" t="s">
        <v>48</v>
      </c>
      <c r="R2495" s="36" t="s">
        <v>48</v>
      </c>
    </row>
    <row r="2496">
      <c r="H2496" s="50"/>
      <c r="I2496" s="50"/>
      <c r="O2496" s="36" t="s">
        <v>48</v>
      </c>
      <c r="R2496" s="36" t="s">
        <v>48</v>
      </c>
    </row>
    <row r="2497">
      <c r="H2497" s="50"/>
      <c r="I2497" s="50"/>
      <c r="O2497" s="36" t="s">
        <v>48</v>
      </c>
      <c r="R2497" s="36" t="s">
        <v>48</v>
      </c>
    </row>
    <row r="2498">
      <c r="H2498" s="50"/>
      <c r="I2498" s="50"/>
      <c r="O2498" s="36" t="s">
        <v>48</v>
      </c>
      <c r="R2498" s="36" t="s">
        <v>48</v>
      </c>
    </row>
    <row r="2499">
      <c r="H2499" s="50"/>
      <c r="I2499" s="50"/>
      <c r="O2499" s="36" t="s">
        <v>48</v>
      </c>
      <c r="R2499" s="36" t="s">
        <v>48</v>
      </c>
    </row>
    <row r="2500">
      <c r="H2500" s="50"/>
      <c r="I2500" s="50"/>
      <c r="O2500" s="36" t="s">
        <v>48</v>
      </c>
      <c r="R2500" s="36" t="s">
        <v>48</v>
      </c>
    </row>
    <row r="2501">
      <c r="H2501" s="50"/>
      <c r="I2501" s="50"/>
      <c r="O2501" s="36" t="s">
        <v>48</v>
      </c>
      <c r="R2501" s="36" t="s">
        <v>48</v>
      </c>
    </row>
    <row r="2502">
      <c r="H2502" s="50"/>
      <c r="I2502" s="50"/>
      <c r="O2502" s="36" t="s">
        <v>48</v>
      </c>
      <c r="R2502" s="36" t="s">
        <v>48</v>
      </c>
    </row>
    <row r="2503">
      <c r="H2503" s="50"/>
      <c r="I2503" s="50"/>
      <c r="O2503" s="36" t="s">
        <v>48</v>
      </c>
      <c r="R2503" s="36" t="s">
        <v>48</v>
      </c>
    </row>
    <row r="2504">
      <c r="H2504" s="50"/>
      <c r="I2504" s="50"/>
      <c r="O2504" s="36" t="s">
        <v>48</v>
      </c>
      <c r="R2504" s="36" t="s">
        <v>48</v>
      </c>
    </row>
    <row r="2505">
      <c r="H2505" s="50"/>
      <c r="I2505" s="50"/>
      <c r="O2505" s="36" t="s">
        <v>48</v>
      </c>
      <c r="R2505" s="36" t="s">
        <v>48</v>
      </c>
    </row>
    <row r="2506">
      <c r="H2506" s="50"/>
      <c r="I2506" s="50"/>
      <c r="O2506" s="36" t="s">
        <v>48</v>
      </c>
      <c r="R2506" s="36" t="s">
        <v>48</v>
      </c>
    </row>
    <row r="2507">
      <c r="H2507" s="50"/>
      <c r="I2507" s="50"/>
      <c r="O2507" s="36" t="s">
        <v>48</v>
      </c>
      <c r="R2507" s="36" t="s">
        <v>48</v>
      </c>
    </row>
    <row r="2508">
      <c r="H2508" s="50"/>
      <c r="I2508" s="50"/>
      <c r="O2508" s="36" t="s">
        <v>48</v>
      </c>
      <c r="R2508" s="36" t="s">
        <v>48</v>
      </c>
    </row>
    <row r="2509">
      <c r="H2509" s="50"/>
      <c r="I2509" s="50"/>
      <c r="O2509" s="36" t="s">
        <v>48</v>
      </c>
      <c r="R2509" s="36" t="s">
        <v>48</v>
      </c>
    </row>
    <row r="2510">
      <c r="H2510" s="50"/>
      <c r="I2510" s="50"/>
      <c r="O2510" s="36" t="s">
        <v>48</v>
      </c>
      <c r="R2510" s="36" t="s">
        <v>48</v>
      </c>
    </row>
    <row r="2511">
      <c r="H2511" s="50"/>
      <c r="I2511" s="50"/>
      <c r="O2511" s="36" t="s">
        <v>48</v>
      </c>
      <c r="R2511" s="36" t="s">
        <v>48</v>
      </c>
    </row>
    <row r="2512">
      <c r="H2512" s="50"/>
      <c r="I2512" s="50"/>
      <c r="O2512" s="36" t="s">
        <v>48</v>
      </c>
      <c r="R2512" s="36" t="s">
        <v>48</v>
      </c>
    </row>
    <row r="2513">
      <c r="H2513" s="50"/>
      <c r="I2513" s="50"/>
      <c r="O2513" s="36" t="s">
        <v>48</v>
      </c>
      <c r="R2513" s="36" t="s">
        <v>48</v>
      </c>
    </row>
    <row r="2514">
      <c r="H2514" s="50"/>
      <c r="I2514" s="50"/>
      <c r="O2514" s="36" t="s">
        <v>48</v>
      </c>
      <c r="R2514" s="36" t="s">
        <v>48</v>
      </c>
    </row>
    <row r="2515">
      <c r="H2515" s="50"/>
      <c r="I2515" s="50"/>
      <c r="O2515" s="36" t="s">
        <v>48</v>
      </c>
      <c r="R2515" s="36" t="s">
        <v>48</v>
      </c>
    </row>
    <row r="2516">
      <c r="H2516" s="50"/>
      <c r="I2516" s="50"/>
      <c r="O2516" s="36" t="s">
        <v>48</v>
      </c>
      <c r="R2516" s="36" t="s">
        <v>48</v>
      </c>
    </row>
    <row r="2517">
      <c r="H2517" s="50"/>
      <c r="I2517" s="50"/>
      <c r="O2517" s="36" t="s">
        <v>48</v>
      </c>
      <c r="R2517" s="36" t="s">
        <v>48</v>
      </c>
    </row>
    <row r="2518">
      <c r="H2518" s="50"/>
      <c r="I2518" s="50"/>
      <c r="O2518" s="36" t="s">
        <v>48</v>
      </c>
      <c r="R2518" s="36" t="s">
        <v>48</v>
      </c>
    </row>
    <row r="2519">
      <c r="H2519" s="50"/>
      <c r="I2519" s="50"/>
      <c r="O2519" s="36" t="s">
        <v>48</v>
      </c>
      <c r="R2519" s="36" t="s">
        <v>48</v>
      </c>
    </row>
    <row r="2520">
      <c r="H2520" s="50"/>
      <c r="I2520" s="50"/>
      <c r="O2520" s="36" t="s">
        <v>48</v>
      </c>
      <c r="R2520" s="36" t="s">
        <v>48</v>
      </c>
    </row>
    <row r="2521">
      <c r="H2521" s="50"/>
      <c r="I2521" s="50"/>
      <c r="O2521" s="36" t="s">
        <v>48</v>
      </c>
      <c r="R2521" s="36" t="s">
        <v>48</v>
      </c>
    </row>
    <row r="2522">
      <c r="H2522" s="50"/>
      <c r="I2522" s="50"/>
      <c r="O2522" s="36" t="s">
        <v>48</v>
      </c>
      <c r="R2522" s="36" t="s">
        <v>48</v>
      </c>
    </row>
    <row r="2523">
      <c r="H2523" s="50"/>
      <c r="I2523" s="50"/>
      <c r="O2523" s="36" t="s">
        <v>48</v>
      </c>
      <c r="R2523" s="36" t="s">
        <v>48</v>
      </c>
    </row>
    <row r="2524">
      <c r="H2524" s="50"/>
      <c r="I2524" s="50"/>
      <c r="O2524" s="36" t="s">
        <v>48</v>
      </c>
      <c r="R2524" s="36" t="s">
        <v>48</v>
      </c>
    </row>
    <row r="2525">
      <c r="H2525" s="50"/>
      <c r="I2525" s="50"/>
      <c r="O2525" s="36" t="s">
        <v>48</v>
      </c>
      <c r="R2525" s="36" t="s">
        <v>48</v>
      </c>
    </row>
    <row r="2526">
      <c r="H2526" s="50"/>
      <c r="I2526" s="50"/>
      <c r="O2526" s="36" t="s">
        <v>48</v>
      </c>
      <c r="R2526" s="36" t="s">
        <v>48</v>
      </c>
    </row>
    <row r="2527">
      <c r="H2527" s="50"/>
      <c r="I2527" s="50"/>
      <c r="O2527" s="36" t="s">
        <v>48</v>
      </c>
      <c r="R2527" s="36" t="s">
        <v>48</v>
      </c>
    </row>
    <row r="2528">
      <c r="H2528" s="50"/>
      <c r="I2528" s="50"/>
      <c r="O2528" s="36" t="s">
        <v>48</v>
      </c>
      <c r="R2528" s="36" t="s">
        <v>48</v>
      </c>
    </row>
    <row r="2529">
      <c r="H2529" s="50"/>
      <c r="I2529" s="50"/>
      <c r="O2529" s="36" t="s">
        <v>48</v>
      </c>
      <c r="R2529" s="36" t="s">
        <v>48</v>
      </c>
    </row>
    <row r="2530">
      <c r="H2530" s="50"/>
      <c r="I2530" s="50"/>
      <c r="O2530" s="36" t="s">
        <v>48</v>
      </c>
      <c r="R2530" s="36" t="s">
        <v>48</v>
      </c>
    </row>
    <row r="2531">
      <c r="H2531" s="50"/>
      <c r="I2531" s="50"/>
      <c r="O2531" s="36" t="s">
        <v>48</v>
      </c>
      <c r="R2531" s="36" t="s">
        <v>48</v>
      </c>
    </row>
    <row r="2532">
      <c r="H2532" s="50"/>
      <c r="I2532" s="50"/>
      <c r="O2532" s="36" t="s">
        <v>48</v>
      </c>
      <c r="R2532" s="36" t="s">
        <v>48</v>
      </c>
    </row>
    <row r="2533">
      <c r="H2533" s="50"/>
      <c r="I2533" s="50"/>
      <c r="O2533" s="36" t="s">
        <v>48</v>
      </c>
      <c r="R2533" s="36" t="s">
        <v>48</v>
      </c>
    </row>
    <row r="2534">
      <c r="H2534" s="50"/>
      <c r="I2534" s="50"/>
      <c r="O2534" s="36" t="s">
        <v>48</v>
      </c>
      <c r="R2534" s="36" t="s">
        <v>48</v>
      </c>
    </row>
    <row r="2535">
      <c r="H2535" s="50"/>
      <c r="I2535" s="50"/>
      <c r="O2535" s="36" t="s">
        <v>48</v>
      </c>
      <c r="R2535" s="36" t="s">
        <v>48</v>
      </c>
    </row>
    <row r="2536">
      <c r="H2536" s="50"/>
      <c r="I2536" s="50"/>
      <c r="O2536" s="36" t="s">
        <v>48</v>
      </c>
      <c r="R2536" s="36" t="s">
        <v>48</v>
      </c>
    </row>
    <row r="2537">
      <c r="H2537" s="50"/>
      <c r="I2537" s="50"/>
      <c r="O2537" s="36" t="s">
        <v>48</v>
      </c>
      <c r="R2537" s="36" t="s">
        <v>48</v>
      </c>
    </row>
    <row r="2538">
      <c r="H2538" s="50"/>
      <c r="I2538" s="50"/>
      <c r="O2538" s="36" t="s">
        <v>48</v>
      </c>
      <c r="R2538" s="36" t="s">
        <v>48</v>
      </c>
    </row>
    <row r="2539">
      <c r="H2539" s="50"/>
      <c r="I2539" s="50"/>
      <c r="O2539" s="36" t="s">
        <v>48</v>
      </c>
      <c r="R2539" s="36" t="s">
        <v>48</v>
      </c>
    </row>
    <row r="2540">
      <c r="H2540" s="50"/>
      <c r="I2540" s="50"/>
      <c r="O2540" s="36" t="s">
        <v>48</v>
      </c>
      <c r="R2540" s="36" t="s">
        <v>48</v>
      </c>
    </row>
    <row r="2541">
      <c r="H2541" s="50"/>
      <c r="I2541" s="50"/>
      <c r="O2541" s="36" t="s">
        <v>48</v>
      </c>
      <c r="R2541" s="36" t="s">
        <v>48</v>
      </c>
    </row>
    <row r="2542">
      <c r="H2542" s="50"/>
      <c r="I2542" s="50"/>
      <c r="O2542" s="36" t="s">
        <v>48</v>
      </c>
      <c r="R2542" s="36" t="s">
        <v>48</v>
      </c>
    </row>
    <row r="2543">
      <c r="H2543" s="50"/>
      <c r="I2543" s="50"/>
      <c r="O2543" s="36" t="s">
        <v>48</v>
      </c>
      <c r="R2543" s="36" t="s">
        <v>48</v>
      </c>
    </row>
    <row r="2544">
      <c r="H2544" s="50"/>
      <c r="I2544" s="50"/>
      <c r="O2544" s="36" t="s">
        <v>48</v>
      </c>
      <c r="R2544" s="36" t="s">
        <v>48</v>
      </c>
    </row>
    <row r="2545">
      <c r="H2545" s="50"/>
      <c r="I2545" s="50"/>
      <c r="O2545" s="36" t="s">
        <v>48</v>
      </c>
      <c r="R2545" s="36" t="s">
        <v>48</v>
      </c>
    </row>
    <row r="2546">
      <c r="H2546" s="50"/>
      <c r="I2546" s="50"/>
      <c r="O2546" s="36" t="s">
        <v>48</v>
      </c>
      <c r="R2546" s="36" t="s">
        <v>48</v>
      </c>
    </row>
    <row r="2547">
      <c r="H2547" s="50"/>
      <c r="I2547" s="50"/>
      <c r="O2547" s="36" t="s">
        <v>48</v>
      </c>
      <c r="R2547" s="36" t="s">
        <v>48</v>
      </c>
    </row>
    <row r="2548">
      <c r="H2548" s="50"/>
      <c r="I2548" s="50"/>
      <c r="O2548" s="36" t="s">
        <v>48</v>
      </c>
      <c r="R2548" s="36" t="s">
        <v>48</v>
      </c>
    </row>
    <row r="2549">
      <c r="H2549" s="50"/>
      <c r="I2549" s="50"/>
      <c r="O2549" s="36" t="s">
        <v>48</v>
      </c>
      <c r="R2549" s="36" t="s">
        <v>48</v>
      </c>
    </row>
    <row r="2550">
      <c r="H2550" s="50"/>
      <c r="I2550" s="50"/>
      <c r="O2550" s="36" t="s">
        <v>48</v>
      </c>
      <c r="R2550" s="36" t="s">
        <v>48</v>
      </c>
    </row>
    <row r="2551">
      <c r="H2551" s="50"/>
      <c r="I2551" s="50"/>
      <c r="O2551" s="36" t="s">
        <v>48</v>
      </c>
      <c r="R2551" s="36" t="s">
        <v>48</v>
      </c>
    </row>
    <row r="2552">
      <c r="H2552" s="50"/>
      <c r="I2552" s="50"/>
      <c r="O2552" s="36" t="s">
        <v>48</v>
      </c>
      <c r="R2552" s="36" t="s">
        <v>48</v>
      </c>
    </row>
    <row r="2553">
      <c r="H2553" s="50"/>
      <c r="I2553" s="50"/>
      <c r="O2553" s="36" t="s">
        <v>48</v>
      </c>
      <c r="R2553" s="36" t="s">
        <v>48</v>
      </c>
    </row>
    <row r="2554">
      <c r="H2554" s="50"/>
      <c r="I2554" s="50"/>
      <c r="O2554" s="36" t="s">
        <v>48</v>
      </c>
      <c r="R2554" s="36" t="s">
        <v>48</v>
      </c>
    </row>
    <row r="2555">
      <c r="H2555" s="50"/>
      <c r="I2555" s="50"/>
      <c r="O2555" s="36" t="s">
        <v>48</v>
      </c>
      <c r="R2555" s="36" t="s">
        <v>48</v>
      </c>
    </row>
    <row r="2556">
      <c r="H2556" s="50"/>
      <c r="I2556" s="50"/>
      <c r="O2556" s="36" t="s">
        <v>48</v>
      </c>
      <c r="R2556" s="36" t="s">
        <v>48</v>
      </c>
    </row>
    <row r="2557">
      <c r="H2557" s="50"/>
      <c r="I2557" s="50"/>
      <c r="O2557" s="36" t="s">
        <v>48</v>
      </c>
      <c r="R2557" s="36" t="s">
        <v>48</v>
      </c>
    </row>
    <row r="2558">
      <c r="H2558" s="50"/>
      <c r="I2558" s="50"/>
      <c r="O2558" s="36" t="s">
        <v>48</v>
      </c>
      <c r="R2558" s="36" t="s">
        <v>48</v>
      </c>
    </row>
    <row r="2559">
      <c r="H2559" s="50"/>
      <c r="I2559" s="50"/>
      <c r="O2559" s="36" t="s">
        <v>48</v>
      </c>
      <c r="R2559" s="36" t="s">
        <v>48</v>
      </c>
    </row>
    <row r="2560">
      <c r="H2560" s="50"/>
      <c r="I2560" s="50"/>
      <c r="O2560" s="36" t="s">
        <v>48</v>
      </c>
      <c r="R2560" s="36" t="s">
        <v>48</v>
      </c>
    </row>
    <row r="2561">
      <c r="H2561" s="50"/>
      <c r="I2561" s="50"/>
      <c r="O2561" s="36" t="s">
        <v>48</v>
      </c>
      <c r="R2561" s="36" t="s">
        <v>48</v>
      </c>
    </row>
    <row r="2562">
      <c r="H2562" s="50"/>
      <c r="I2562" s="50"/>
      <c r="O2562" s="36" t="s">
        <v>48</v>
      </c>
      <c r="R2562" s="36" t="s">
        <v>48</v>
      </c>
    </row>
    <row r="2563">
      <c r="H2563" s="50"/>
      <c r="I2563" s="50"/>
      <c r="O2563" s="36" t="s">
        <v>48</v>
      </c>
      <c r="R2563" s="36" t="s">
        <v>48</v>
      </c>
    </row>
    <row r="2564">
      <c r="H2564" s="50"/>
      <c r="I2564" s="50"/>
      <c r="O2564" s="36" t="s">
        <v>48</v>
      </c>
      <c r="R2564" s="36" t="s">
        <v>48</v>
      </c>
    </row>
    <row r="2565">
      <c r="H2565" s="50"/>
      <c r="I2565" s="50"/>
      <c r="O2565" s="36" t="s">
        <v>48</v>
      </c>
      <c r="R2565" s="36" t="s">
        <v>48</v>
      </c>
    </row>
    <row r="2566">
      <c r="H2566" s="50"/>
      <c r="I2566" s="50"/>
      <c r="O2566" s="36" t="s">
        <v>48</v>
      </c>
      <c r="R2566" s="36" t="s">
        <v>48</v>
      </c>
    </row>
    <row r="2567">
      <c r="H2567" s="50"/>
      <c r="I2567" s="50"/>
      <c r="O2567" s="36" t="s">
        <v>48</v>
      </c>
      <c r="R2567" s="36" t="s">
        <v>48</v>
      </c>
    </row>
    <row r="2568">
      <c r="H2568" s="50"/>
      <c r="I2568" s="50"/>
      <c r="O2568" s="36" t="s">
        <v>48</v>
      </c>
      <c r="R2568" s="36" t="s">
        <v>48</v>
      </c>
    </row>
    <row r="2569">
      <c r="H2569" s="50"/>
      <c r="I2569" s="50"/>
      <c r="O2569" s="36" t="s">
        <v>48</v>
      </c>
      <c r="R2569" s="36" t="s">
        <v>48</v>
      </c>
    </row>
    <row r="2570">
      <c r="H2570" s="50"/>
      <c r="I2570" s="50"/>
      <c r="O2570" s="36" t="s">
        <v>48</v>
      </c>
      <c r="R2570" s="36" t="s">
        <v>48</v>
      </c>
    </row>
    <row r="2571">
      <c r="H2571" s="50"/>
      <c r="I2571" s="50"/>
      <c r="O2571" s="36" t="s">
        <v>48</v>
      </c>
      <c r="R2571" s="36" t="s">
        <v>48</v>
      </c>
    </row>
    <row r="2572">
      <c r="H2572" s="50"/>
      <c r="I2572" s="50"/>
      <c r="O2572" s="36" t="s">
        <v>48</v>
      </c>
      <c r="R2572" s="36" t="s">
        <v>48</v>
      </c>
    </row>
    <row r="2573">
      <c r="H2573" s="50"/>
      <c r="I2573" s="50"/>
      <c r="O2573" s="36" t="s">
        <v>48</v>
      </c>
      <c r="R2573" s="36" t="s">
        <v>48</v>
      </c>
    </row>
    <row r="2574">
      <c r="H2574" s="50"/>
      <c r="I2574" s="50"/>
      <c r="O2574" s="36" t="s">
        <v>48</v>
      </c>
      <c r="R2574" s="36" t="s">
        <v>48</v>
      </c>
    </row>
    <row r="2575">
      <c r="H2575" s="50"/>
      <c r="I2575" s="50"/>
      <c r="O2575" s="36" t="s">
        <v>48</v>
      </c>
      <c r="R2575" s="36" t="s">
        <v>48</v>
      </c>
    </row>
    <row r="2576">
      <c r="H2576" s="50"/>
      <c r="I2576" s="50"/>
      <c r="O2576" s="36" t="s">
        <v>48</v>
      </c>
      <c r="R2576" s="36" t="s">
        <v>48</v>
      </c>
    </row>
    <row r="2577">
      <c r="H2577" s="50"/>
      <c r="I2577" s="50"/>
      <c r="O2577" s="36" t="s">
        <v>48</v>
      </c>
      <c r="R2577" s="36" t="s">
        <v>48</v>
      </c>
    </row>
    <row r="2578">
      <c r="H2578" s="50"/>
      <c r="I2578" s="50"/>
      <c r="O2578" s="36" t="s">
        <v>48</v>
      </c>
      <c r="R2578" s="36" t="s">
        <v>48</v>
      </c>
    </row>
    <row r="2579">
      <c r="H2579" s="50"/>
      <c r="I2579" s="50"/>
      <c r="O2579" s="36" t="s">
        <v>48</v>
      </c>
      <c r="R2579" s="36" t="s">
        <v>48</v>
      </c>
    </row>
    <row r="2580">
      <c r="H2580" s="50"/>
      <c r="I2580" s="50"/>
      <c r="O2580" s="36" t="s">
        <v>48</v>
      </c>
      <c r="R2580" s="36" t="s">
        <v>48</v>
      </c>
    </row>
    <row r="2581">
      <c r="H2581" s="50"/>
      <c r="I2581" s="50"/>
      <c r="O2581" s="36" t="s">
        <v>48</v>
      </c>
      <c r="R2581" s="36" t="s">
        <v>48</v>
      </c>
    </row>
    <row r="2582">
      <c r="H2582" s="50"/>
      <c r="I2582" s="50"/>
      <c r="O2582" s="36" t="s">
        <v>48</v>
      </c>
      <c r="R2582" s="36" t="s">
        <v>48</v>
      </c>
    </row>
    <row r="2583">
      <c r="H2583" s="50"/>
      <c r="I2583" s="50"/>
      <c r="O2583" s="36" t="s">
        <v>48</v>
      </c>
      <c r="R2583" s="36" t="s">
        <v>48</v>
      </c>
    </row>
    <row r="2584">
      <c r="H2584" s="50"/>
      <c r="I2584" s="50"/>
      <c r="O2584" s="36" t="s">
        <v>48</v>
      </c>
      <c r="R2584" s="36" t="s">
        <v>48</v>
      </c>
    </row>
    <row r="2585">
      <c r="H2585" s="50"/>
      <c r="I2585" s="50"/>
      <c r="O2585" s="36" t="s">
        <v>48</v>
      </c>
      <c r="R2585" s="36" t="s">
        <v>48</v>
      </c>
    </row>
    <row r="2586">
      <c r="H2586" s="50"/>
      <c r="I2586" s="50"/>
      <c r="O2586" s="36" t="s">
        <v>48</v>
      </c>
      <c r="R2586" s="36" t="s">
        <v>48</v>
      </c>
    </row>
    <row r="2587">
      <c r="H2587" s="50"/>
      <c r="I2587" s="50"/>
      <c r="O2587" s="36" t="s">
        <v>48</v>
      </c>
      <c r="R2587" s="36" t="s">
        <v>48</v>
      </c>
    </row>
    <row r="2588">
      <c r="H2588" s="50"/>
      <c r="I2588" s="50"/>
      <c r="O2588" s="36" t="s">
        <v>48</v>
      </c>
      <c r="R2588" s="36" t="s">
        <v>48</v>
      </c>
    </row>
    <row r="2589">
      <c r="H2589" s="50"/>
      <c r="I2589" s="50"/>
      <c r="O2589" s="36" t="s">
        <v>48</v>
      </c>
      <c r="R2589" s="36" t="s">
        <v>48</v>
      </c>
    </row>
    <row r="2590">
      <c r="H2590" s="50"/>
      <c r="I2590" s="50"/>
      <c r="O2590" s="36" t="s">
        <v>48</v>
      </c>
      <c r="R2590" s="36" t="s">
        <v>48</v>
      </c>
    </row>
    <row r="2591">
      <c r="H2591" s="50"/>
      <c r="I2591" s="50"/>
      <c r="O2591" s="36" t="s">
        <v>48</v>
      </c>
      <c r="R2591" s="36" t="s">
        <v>48</v>
      </c>
    </row>
    <row r="2592">
      <c r="H2592" s="50"/>
      <c r="I2592" s="50"/>
      <c r="O2592" s="36" t="s">
        <v>48</v>
      </c>
      <c r="R2592" s="36" t="s">
        <v>48</v>
      </c>
    </row>
    <row r="2593">
      <c r="H2593" s="50"/>
      <c r="I2593" s="50"/>
      <c r="O2593" s="36" t="s">
        <v>48</v>
      </c>
      <c r="R2593" s="36" t="s">
        <v>48</v>
      </c>
    </row>
    <row r="2594">
      <c r="H2594" s="50"/>
      <c r="I2594" s="50"/>
      <c r="O2594" s="36" t="s">
        <v>48</v>
      </c>
      <c r="R2594" s="36" t="s">
        <v>48</v>
      </c>
    </row>
    <row r="2595">
      <c r="H2595" s="50"/>
      <c r="I2595" s="50"/>
      <c r="O2595" s="36" t="s">
        <v>48</v>
      </c>
      <c r="R2595" s="36" t="s">
        <v>48</v>
      </c>
    </row>
    <row r="2596">
      <c r="H2596" s="50"/>
      <c r="I2596" s="50"/>
      <c r="O2596" s="36" t="s">
        <v>48</v>
      </c>
      <c r="R2596" s="36" t="s">
        <v>48</v>
      </c>
    </row>
    <row r="2597">
      <c r="H2597" s="50"/>
      <c r="I2597" s="50"/>
      <c r="O2597" s="36" t="s">
        <v>48</v>
      </c>
      <c r="R2597" s="36" t="s">
        <v>48</v>
      </c>
    </row>
    <row r="2598">
      <c r="H2598" s="50"/>
      <c r="I2598" s="50"/>
      <c r="O2598" s="36" t="s">
        <v>48</v>
      </c>
      <c r="R2598" s="36" t="s">
        <v>48</v>
      </c>
    </row>
    <row r="2599">
      <c r="H2599" s="50"/>
      <c r="I2599" s="50"/>
      <c r="O2599" s="36" t="s">
        <v>48</v>
      </c>
      <c r="R2599" s="36" t="s">
        <v>48</v>
      </c>
    </row>
    <row r="2600">
      <c r="H2600" s="50"/>
      <c r="I2600" s="50"/>
      <c r="O2600" s="36" t="s">
        <v>48</v>
      </c>
      <c r="R2600" s="36" t="s">
        <v>48</v>
      </c>
    </row>
    <row r="2601">
      <c r="H2601" s="50"/>
      <c r="I2601" s="50"/>
      <c r="O2601" s="36" t="s">
        <v>48</v>
      </c>
      <c r="R2601" s="36" t="s">
        <v>48</v>
      </c>
    </row>
    <row r="2602">
      <c r="H2602" s="50"/>
      <c r="I2602" s="50"/>
      <c r="O2602" s="36" t="s">
        <v>48</v>
      </c>
      <c r="R2602" s="36" t="s">
        <v>48</v>
      </c>
    </row>
    <row r="2603">
      <c r="H2603" s="50"/>
      <c r="I2603" s="50"/>
      <c r="O2603" s="36" t="s">
        <v>48</v>
      </c>
      <c r="R2603" s="36" t="s">
        <v>48</v>
      </c>
    </row>
    <row r="2604">
      <c r="H2604" s="50"/>
      <c r="I2604" s="50"/>
      <c r="O2604" s="36" t="s">
        <v>48</v>
      </c>
      <c r="R2604" s="36" t="s">
        <v>48</v>
      </c>
    </row>
    <row r="2605">
      <c r="H2605" s="50"/>
      <c r="I2605" s="50"/>
      <c r="O2605" s="36" t="s">
        <v>48</v>
      </c>
      <c r="R2605" s="36" t="s">
        <v>48</v>
      </c>
    </row>
    <row r="2606">
      <c r="H2606" s="50"/>
      <c r="I2606" s="50"/>
      <c r="O2606" s="36" t="s">
        <v>48</v>
      </c>
      <c r="R2606" s="36" t="s">
        <v>48</v>
      </c>
    </row>
    <row r="2607">
      <c r="H2607" s="50"/>
      <c r="I2607" s="50"/>
      <c r="O2607" s="36" t="s">
        <v>48</v>
      </c>
      <c r="R2607" s="36" t="s">
        <v>48</v>
      </c>
    </row>
    <row r="2608">
      <c r="H2608" s="50"/>
      <c r="I2608" s="50"/>
      <c r="O2608" s="36" t="s">
        <v>48</v>
      </c>
      <c r="R2608" s="36" t="s">
        <v>48</v>
      </c>
    </row>
    <row r="2609">
      <c r="H2609" s="50"/>
      <c r="I2609" s="50"/>
      <c r="O2609" s="36" t="s">
        <v>48</v>
      </c>
      <c r="R2609" s="36" t="s">
        <v>48</v>
      </c>
    </row>
    <row r="2610">
      <c r="H2610" s="50"/>
      <c r="I2610" s="50"/>
      <c r="O2610" s="36" t="s">
        <v>48</v>
      </c>
      <c r="R2610" s="36" t="s">
        <v>48</v>
      </c>
    </row>
    <row r="2611">
      <c r="H2611" s="50"/>
      <c r="I2611" s="50"/>
      <c r="O2611" s="36" t="s">
        <v>48</v>
      </c>
      <c r="R2611" s="36" t="s">
        <v>48</v>
      </c>
    </row>
    <row r="2612">
      <c r="H2612" s="50"/>
      <c r="I2612" s="50"/>
      <c r="O2612" s="36" t="s">
        <v>48</v>
      </c>
      <c r="R2612" s="36" t="s">
        <v>48</v>
      </c>
    </row>
    <row r="2613">
      <c r="H2613" s="50"/>
      <c r="I2613" s="50"/>
      <c r="O2613" s="36" t="s">
        <v>48</v>
      </c>
      <c r="R2613" s="36" t="s">
        <v>48</v>
      </c>
    </row>
    <row r="2614">
      <c r="H2614" s="50"/>
      <c r="I2614" s="50"/>
      <c r="O2614" s="36" t="s">
        <v>48</v>
      </c>
      <c r="R2614" s="36" t="s">
        <v>48</v>
      </c>
    </row>
    <row r="2615">
      <c r="H2615" s="50"/>
      <c r="I2615" s="50"/>
      <c r="O2615" s="36" t="s">
        <v>48</v>
      </c>
      <c r="R2615" s="36" t="s">
        <v>48</v>
      </c>
    </row>
    <row r="2616">
      <c r="H2616" s="50"/>
      <c r="I2616" s="50"/>
      <c r="O2616" s="36" t="s">
        <v>48</v>
      </c>
      <c r="R2616" s="36" t="s">
        <v>48</v>
      </c>
    </row>
    <row r="2617">
      <c r="H2617" s="50"/>
      <c r="I2617" s="50"/>
      <c r="O2617" s="36" t="s">
        <v>48</v>
      </c>
      <c r="R2617" s="36" t="s">
        <v>48</v>
      </c>
    </row>
    <row r="2618">
      <c r="H2618" s="50"/>
      <c r="I2618" s="50"/>
      <c r="O2618" s="36" t="s">
        <v>48</v>
      </c>
      <c r="R2618" s="36" t="s">
        <v>48</v>
      </c>
    </row>
    <row r="2619">
      <c r="H2619" s="50"/>
      <c r="I2619" s="50"/>
      <c r="O2619" s="36" t="s">
        <v>48</v>
      </c>
      <c r="R2619" s="36" t="s">
        <v>48</v>
      </c>
    </row>
    <row r="2620">
      <c r="H2620" s="50"/>
      <c r="I2620" s="50"/>
      <c r="O2620" s="36" t="s">
        <v>48</v>
      </c>
      <c r="R2620" s="36" t="s">
        <v>48</v>
      </c>
    </row>
    <row r="2621">
      <c r="H2621" s="50"/>
      <c r="I2621" s="50"/>
      <c r="O2621" s="36" t="s">
        <v>48</v>
      </c>
      <c r="R2621" s="36" t="s">
        <v>48</v>
      </c>
    </row>
    <row r="2622">
      <c r="H2622" s="50"/>
      <c r="I2622" s="50"/>
      <c r="O2622" s="36" t="s">
        <v>48</v>
      </c>
      <c r="R2622" s="36" t="s">
        <v>48</v>
      </c>
    </row>
    <row r="2623">
      <c r="H2623" s="50"/>
      <c r="I2623" s="50"/>
      <c r="O2623" s="36" t="s">
        <v>48</v>
      </c>
      <c r="R2623" s="36" t="s">
        <v>48</v>
      </c>
    </row>
    <row r="2624">
      <c r="H2624" s="50"/>
      <c r="I2624" s="50"/>
      <c r="O2624" s="36" t="s">
        <v>48</v>
      </c>
      <c r="R2624" s="36" t="s">
        <v>48</v>
      </c>
    </row>
    <row r="2625">
      <c r="H2625" s="50"/>
      <c r="I2625" s="50"/>
      <c r="O2625" s="36" t="s">
        <v>48</v>
      </c>
      <c r="R2625" s="36" t="s">
        <v>48</v>
      </c>
    </row>
    <row r="2626">
      <c r="H2626" s="50"/>
      <c r="I2626" s="50"/>
      <c r="O2626" s="36" t="s">
        <v>48</v>
      </c>
      <c r="R2626" s="36" t="s">
        <v>48</v>
      </c>
    </row>
    <row r="2627">
      <c r="H2627" s="50"/>
      <c r="I2627" s="50"/>
      <c r="O2627" s="36" t="s">
        <v>48</v>
      </c>
      <c r="R2627" s="36" t="s">
        <v>48</v>
      </c>
    </row>
    <row r="2628">
      <c r="H2628" s="50"/>
      <c r="I2628" s="50"/>
      <c r="O2628" s="36" t="s">
        <v>48</v>
      </c>
      <c r="R2628" s="36" t="s">
        <v>48</v>
      </c>
    </row>
    <row r="2629">
      <c r="H2629" s="50"/>
      <c r="I2629" s="50"/>
      <c r="O2629" s="36" t="s">
        <v>48</v>
      </c>
      <c r="R2629" s="36" t="s">
        <v>48</v>
      </c>
    </row>
    <row r="2630">
      <c r="H2630" s="50"/>
      <c r="I2630" s="50"/>
      <c r="O2630" s="36" t="s">
        <v>48</v>
      </c>
      <c r="R2630" s="36" t="s">
        <v>48</v>
      </c>
    </row>
    <row r="2631">
      <c r="H2631" s="50"/>
      <c r="I2631" s="50"/>
      <c r="O2631" s="36" t="s">
        <v>48</v>
      </c>
      <c r="R2631" s="36" t="s">
        <v>48</v>
      </c>
    </row>
    <row r="2632">
      <c r="H2632" s="50"/>
      <c r="I2632" s="50"/>
      <c r="O2632" s="36" t="s">
        <v>48</v>
      </c>
      <c r="R2632" s="36" t="s">
        <v>48</v>
      </c>
    </row>
    <row r="2633">
      <c r="H2633" s="50"/>
      <c r="I2633" s="50"/>
      <c r="O2633" s="36" t="s">
        <v>48</v>
      </c>
      <c r="R2633" s="36" t="s">
        <v>48</v>
      </c>
    </row>
    <row r="2634">
      <c r="H2634" s="50"/>
      <c r="I2634" s="50"/>
      <c r="O2634" s="36" t="s">
        <v>48</v>
      </c>
      <c r="R2634" s="36" t="s">
        <v>48</v>
      </c>
    </row>
    <row r="2635">
      <c r="H2635" s="50"/>
      <c r="I2635" s="50"/>
      <c r="O2635" s="36" t="s">
        <v>48</v>
      </c>
      <c r="R2635" s="36" t="s">
        <v>48</v>
      </c>
    </row>
    <row r="2636">
      <c r="H2636" s="50"/>
      <c r="I2636" s="50"/>
      <c r="O2636" s="36" t="s">
        <v>48</v>
      </c>
      <c r="R2636" s="36" t="s">
        <v>48</v>
      </c>
    </row>
    <row r="2637">
      <c r="H2637" s="50"/>
      <c r="I2637" s="50"/>
      <c r="O2637" s="36" t="s">
        <v>48</v>
      </c>
      <c r="R2637" s="36" t="s">
        <v>48</v>
      </c>
    </row>
    <row r="2638">
      <c r="H2638" s="50"/>
      <c r="I2638" s="50"/>
      <c r="O2638" s="36" t="s">
        <v>48</v>
      </c>
      <c r="R2638" s="36" t="s">
        <v>48</v>
      </c>
    </row>
    <row r="2639">
      <c r="H2639" s="50"/>
      <c r="I2639" s="50"/>
      <c r="O2639" s="36" t="s">
        <v>48</v>
      </c>
      <c r="R2639" s="36" t="s">
        <v>48</v>
      </c>
    </row>
    <row r="2640">
      <c r="H2640" s="50"/>
      <c r="I2640" s="50"/>
      <c r="O2640" s="36" t="s">
        <v>48</v>
      </c>
      <c r="R2640" s="36" t="s">
        <v>48</v>
      </c>
    </row>
    <row r="2641">
      <c r="H2641" s="50"/>
      <c r="I2641" s="50"/>
      <c r="O2641" s="36" t="s">
        <v>48</v>
      </c>
      <c r="R2641" s="36" t="s">
        <v>48</v>
      </c>
    </row>
    <row r="2642">
      <c r="H2642" s="50"/>
      <c r="I2642" s="50"/>
      <c r="O2642" s="36" t="s">
        <v>48</v>
      </c>
      <c r="R2642" s="36" t="s">
        <v>48</v>
      </c>
    </row>
    <row r="2643">
      <c r="H2643" s="50"/>
      <c r="I2643" s="50"/>
      <c r="O2643" s="36" t="s">
        <v>48</v>
      </c>
      <c r="R2643" s="36" t="s">
        <v>48</v>
      </c>
    </row>
    <row r="2644">
      <c r="H2644" s="50"/>
      <c r="I2644" s="50"/>
      <c r="O2644" s="36" t="s">
        <v>48</v>
      </c>
      <c r="R2644" s="36" t="s">
        <v>48</v>
      </c>
    </row>
    <row r="2645">
      <c r="H2645" s="50"/>
      <c r="I2645" s="50"/>
      <c r="O2645" s="36" t="s">
        <v>48</v>
      </c>
      <c r="R2645" s="36" t="s">
        <v>48</v>
      </c>
    </row>
    <row r="2646">
      <c r="H2646" s="50"/>
      <c r="I2646" s="50"/>
      <c r="O2646" s="36" t="s">
        <v>48</v>
      </c>
      <c r="R2646" s="36" t="s">
        <v>48</v>
      </c>
    </row>
    <row r="2647">
      <c r="H2647" s="50"/>
      <c r="I2647" s="50"/>
      <c r="O2647" s="36" t="s">
        <v>48</v>
      </c>
      <c r="R2647" s="36" t="s">
        <v>48</v>
      </c>
    </row>
    <row r="2648">
      <c r="H2648" s="50"/>
      <c r="I2648" s="50"/>
      <c r="O2648" s="36" t="s">
        <v>48</v>
      </c>
      <c r="R2648" s="36" t="s">
        <v>48</v>
      </c>
    </row>
    <row r="2649">
      <c r="H2649" s="50"/>
      <c r="I2649" s="50"/>
      <c r="O2649" s="36" t="s">
        <v>48</v>
      </c>
      <c r="R2649" s="36" t="s">
        <v>48</v>
      </c>
    </row>
    <row r="2650">
      <c r="H2650" s="50"/>
      <c r="I2650" s="50"/>
      <c r="O2650" s="36" t="s">
        <v>48</v>
      </c>
      <c r="R2650" s="36" t="s">
        <v>48</v>
      </c>
    </row>
    <row r="2651">
      <c r="H2651" s="50"/>
      <c r="I2651" s="50"/>
      <c r="O2651" s="36" t="s">
        <v>48</v>
      </c>
      <c r="R2651" s="36" t="s">
        <v>48</v>
      </c>
    </row>
    <row r="2652">
      <c r="H2652" s="50"/>
      <c r="I2652" s="50"/>
      <c r="O2652" s="36" t="s">
        <v>48</v>
      </c>
      <c r="R2652" s="36" t="s">
        <v>48</v>
      </c>
    </row>
    <row r="2653">
      <c r="H2653" s="50"/>
      <c r="I2653" s="50"/>
      <c r="O2653" s="36" t="s">
        <v>48</v>
      </c>
      <c r="R2653" s="36" t="s">
        <v>48</v>
      </c>
    </row>
    <row r="2654">
      <c r="H2654" s="50"/>
      <c r="I2654" s="50"/>
      <c r="O2654" s="36" t="s">
        <v>48</v>
      </c>
      <c r="R2654" s="36" t="s">
        <v>48</v>
      </c>
    </row>
    <row r="2655">
      <c r="H2655" s="50"/>
      <c r="I2655" s="50"/>
      <c r="O2655" s="36" t="s">
        <v>48</v>
      </c>
      <c r="R2655" s="36" t="s">
        <v>48</v>
      </c>
    </row>
    <row r="2656">
      <c r="H2656" s="50"/>
      <c r="I2656" s="50"/>
      <c r="O2656" s="36" t="s">
        <v>48</v>
      </c>
      <c r="R2656" s="36" t="s">
        <v>48</v>
      </c>
    </row>
    <row r="2657">
      <c r="H2657" s="50"/>
      <c r="I2657" s="50"/>
      <c r="O2657" s="36" t="s">
        <v>48</v>
      </c>
      <c r="R2657" s="36" t="s">
        <v>48</v>
      </c>
    </row>
    <row r="2658">
      <c r="H2658" s="50"/>
      <c r="I2658" s="50"/>
      <c r="O2658" s="36" t="s">
        <v>48</v>
      </c>
      <c r="R2658" s="36" t="s">
        <v>48</v>
      </c>
    </row>
    <row r="2659">
      <c r="H2659" s="50"/>
      <c r="I2659" s="50"/>
      <c r="O2659" s="36" t="s">
        <v>48</v>
      </c>
      <c r="R2659" s="36" t="s">
        <v>48</v>
      </c>
    </row>
    <row r="2660">
      <c r="H2660" s="50"/>
      <c r="I2660" s="50"/>
      <c r="O2660" s="36" t="s">
        <v>48</v>
      </c>
      <c r="R2660" s="36" t="s">
        <v>48</v>
      </c>
    </row>
    <row r="2661">
      <c r="H2661" s="50"/>
      <c r="I2661" s="50"/>
      <c r="O2661" s="36" t="s">
        <v>48</v>
      </c>
      <c r="R2661" s="36" t="s">
        <v>48</v>
      </c>
    </row>
    <row r="2662">
      <c r="H2662" s="50"/>
      <c r="I2662" s="50"/>
      <c r="O2662" s="36" t="s">
        <v>48</v>
      </c>
      <c r="R2662" s="36" t="s">
        <v>48</v>
      </c>
    </row>
    <row r="2663">
      <c r="H2663" s="50"/>
      <c r="I2663" s="50"/>
      <c r="O2663" s="36" t="s">
        <v>48</v>
      </c>
      <c r="R2663" s="36" t="s">
        <v>48</v>
      </c>
    </row>
    <row r="2664">
      <c r="H2664" s="50"/>
      <c r="I2664" s="50"/>
      <c r="O2664" s="36" t="s">
        <v>48</v>
      </c>
      <c r="R2664" s="36" t="s">
        <v>48</v>
      </c>
    </row>
    <row r="2665">
      <c r="H2665" s="50"/>
      <c r="I2665" s="50"/>
      <c r="O2665" s="36" t="s">
        <v>48</v>
      </c>
      <c r="R2665" s="36" t="s">
        <v>48</v>
      </c>
    </row>
    <row r="2666">
      <c r="H2666" s="50"/>
      <c r="I2666" s="50"/>
      <c r="O2666" s="36" t="s">
        <v>48</v>
      </c>
      <c r="R2666" s="36" t="s">
        <v>48</v>
      </c>
    </row>
    <row r="2667">
      <c r="H2667" s="50"/>
      <c r="I2667" s="50"/>
      <c r="O2667" s="36" t="s">
        <v>48</v>
      </c>
      <c r="R2667" s="36" t="s">
        <v>48</v>
      </c>
    </row>
    <row r="2668">
      <c r="H2668" s="50"/>
      <c r="I2668" s="50"/>
      <c r="O2668" s="36" t="s">
        <v>48</v>
      </c>
      <c r="R2668" s="36" t="s">
        <v>48</v>
      </c>
    </row>
    <row r="2669">
      <c r="H2669" s="50"/>
      <c r="I2669" s="50"/>
      <c r="O2669" s="36" t="s">
        <v>48</v>
      </c>
      <c r="R2669" s="36" t="s">
        <v>48</v>
      </c>
    </row>
    <row r="2670">
      <c r="H2670" s="50"/>
      <c r="I2670" s="50"/>
      <c r="O2670" s="36" t="s">
        <v>48</v>
      </c>
      <c r="R2670" s="36" t="s">
        <v>48</v>
      </c>
    </row>
    <row r="2671">
      <c r="H2671" s="50"/>
      <c r="I2671" s="50"/>
      <c r="O2671" s="36" t="s">
        <v>48</v>
      </c>
      <c r="R2671" s="36" t="s">
        <v>48</v>
      </c>
    </row>
    <row r="2672">
      <c r="H2672" s="50"/>
      <c r="I2672" s="50"/>
      <c r="O2672" s="36" t="s">
        <v>48</v>
      </c>
      <c r="R2672" s="36" t="s">
        <v>48</v>
      </c>
    </row>
    <row r="2673">
      <c r="H2673" s="50"/>
      <c r="I2673" s="50"/>
      <c r="O2673" s="36" t="s">
        <v>48</v>
      </c>
      <c r="R2673" s="36" t="s">
        <v>48</v>
      </c>
    </row>
    <row r="2674">
      <c r="H2674" s="50"/>
      <c r="I2674" s="50"/>
      <c r="O2674" s="36" t="s">
        <v>48</v>
      </c>
      <c r="R2674" s="36" t="s">
        <v>48</v>
      </c>
    </row>
    <row r="2675">
      <c r="H2675" s="50"/>
      <c r="I2675" s="50"/>
      <c r="O2675" s="36" t="s">
        <v>48</v>
      </c>
      <c r="R2675" s="36" t="s">
        <v>48</v>
      </c>
    </row>
    <row r="2676">
      <c r="H2676" s="50"/>
      <c r="I2676" s="50"/>
      <c r="O2676" s="36" t="s">
        <v>48</v>
      </c>
      <c r="R2676" s="36" t="s">
        <v>48</v>
      </c>
    </row>
    <row r="2677">
      <c r="H2677" s="50"/>
      <c r="I2677" s="50"/>
      <c r="O2677" s="36" t="s">
        <v>48</v>
      </c>
      <c r="R2677" s="36" t="s">
        <v>48</v>
      </c>
    </row>
    <row r="2678">
      <c r="H2678" s="50"/>
      <c r="I2678" s="50"/>
      <c r="O2678" s="36" t="s">
        <v>48</v>
      </c>
      <c r="R2678" s="36" t="s">
        <v>48</v>
      </c>
    </row>
    <row r="2679">
      <c r="H2679" s="50"/>
      <c r="I2679" s="50"/>
      <c r="O2679" s="36" t="s">
        <v>48</v>
      </c>
      <c r="R2679" s="36" t="s">
        <v>48</v>
      </c>
    </row>
    <row r="2680">
      <c r="H2680" s="50"/>
      <c r="I2680" s="50"/>
      <c r="O2680" s="36" t="s">
        <v>48</v>
      </c>
      <c r="R2680" s="36" t="s">
        <v>48</v>
      </c>
    </row>
    <row r="2681">
      <c r="H2681" s="50"/>
      <c r="I2681" s="50"/>
      <c r="O2681" s="36" t="s">
        <v>48</v>
      </c>
      <c r="R2681" s="36" t="s">
        <v>48</v>
      </c>
    </row>
    <row r="2682">
      <c r="H2682" s="50"/>
      <c r="I2682" s="50"/>
      <c r="O2682" s="36" t="s">
        <v>48</v>
      </c>
      <c r="R2682" s="36" t="s">
        <v>48</v>
      </c>
    </row>
    <row r="2683">
      <c r="H2683" s="50"/>
      <c r="I2683" s="50"/>
      <c r="O2683" s="36" t="s">
        <v>48</v>
      </c>
      <c r="R2683" s="36" t="s">
        <v>48</v>
      </c>
    </row>
    <row r="2684">
      <c r="H2684" s="50"/>
      <c r="I2684" s="50"/>
      <c r="O2684" s="36" t="s">
        <v>48</v>
      </c>
      <c r="R2684" s="36" t="s">
        <v>48</v>
      </c>
    </row>
    <row r="2685">
      <c r="H2685" s="50"/>
      <c r="I2685" s="50"/>
      <c r="O2685" s="36" t="s">
        <v>48</v>
      </c>
      <c r="R2685" s="36" t="s">
        <v>48</v>
      </c>
    </row>
    <row r="2686">
      <c r="H2686" s="50"/>
      <c r="I2686" s="50"/>
      <c r="O2686" s="36" t="s">
        <v>48</v>
      </c>
      <c r="R2686" s="36" t="s">
        <v>48</v>
      </c>
    </row>
    <row r="2687">
      <c r="H2687" s="50"/>
      <c r="I2687" s="50"/>
      <c r="O2687" s="36" t="s">
        <v>48</v>
      </c>
      <c r="R2687" s="36" t="s">
        <v>48</v>
      </c>
    </row>
    <row r="2688">
      <c r="H2688" s="50"/>
      <c r="I2688" s="50"/>
      <c r="O2688" s="36" t="s">
        <v>48</v>
      </c>
      <c r="R2688" s="36" t="s">
        <v>48</v>
      </c>
    </row>
    <row r="2689">
      <c r="H2689" s="50"/>
      <c r="I2689" s="50"/>
      <c r="O2689" s="36" t="s">
        <v>48</v>
      </c>
      <c r="R2689" s="36" t="s">
        <v>48</v>
      </c>
    </row>
    <row r="2690">
      <c r="H2690" s="50"/>
      <c r="I2690" s="50"/>
      <c r="O2690" s="36" t="s">
        <v>48</v>
      </c>
      <c r="R2690" s="36" t="s">
        <v>48</v>
      </c>
    </row>
    <row r="2691">
      <c r="H2691" s="50"/>
      <c r="I2691" s="50"/>
      <c r="O2691" s="36" t="s">
        <v>48</v>
      </c>
      <c r="R2691" s="36" t="s">
        <v>48</v>
      </c>
    </row>
    <row r="2692">
      <c r="H2692" s="50"/>
      <c r="I2692" s="50"/>
      <c r="O2692" s="36" t="s">
        <v>48</v>
      </c>
      <c r="R2692" s="36" t="s">
        <v>48</v>
      </c>
    </row>
    <row r="2693">
      <c r="H2693" s="50"/>
      <c r="I2693" s="50"/>
      <c r="O2693" s="36" t="s">
        <v>48</v>
      </c>
      <c r="R2693" s="36" t="s">
        <v>48</v>
      </c>
    </row>
    <row r="2694">
      <c r="H2694" s="50"/>
      <c r="I2694" s="50"/>
      <c r="O2694" s="36" t="s">
        <v>48</v>
      </c>
      <c r="R2694" s="36" t="s">
        <v>48</v>
      </c>
    </row>
    <row r="2695">
      <c r="H2695" s="50"/>
      <c r="I2695" s="50"/>
      <c r="O2695" s="36" t="s">
        <v>48</v>
      </c>
      <c r="R2695" s="36" t="s">
        <v>48</v>
      </c>
    </row>
    <row r="2696">
      <c r="H2696" s="50"/>
      <c r="I2696" s="50"/>
      <c r="O2696" s="36" t="s">
        <v>48</v>
      </c>
      <c r="R2696" s="36" t="s">
        <v>48</v>
      </c>
    </row>
    <row r="2697">
      <c r="H2697" s="50"/>
      <c r="I2697" s="50"/>
      <c r="O2697" s="36" t="s">
        <v>48</v>
      </c>
      <c r="R2697" s="36" t="s">
        <v>48</v>
      </c>
    </row>
    <row r="2698">
      <c r="H2698" s="50"/>
      <c r="I2698" s="50"/>
      <c r="O2698" s="36" t="s">
        <v>48</v>
      </c>
      <c r="R2698" s="36" t="s">
        <v>48</v>
      </c>
    </row>
    <row r="2699">
      <c r="H2699" s="50"/>
      <c r="I2699" s="50"/>
      <c r="O2699" s="36" t="s">
        <v>48</v>
      </c>
      <c r="R2699" s="36" t="s">
        <v>48</v>
      </c>
    </row>
    <row r="2700">
      <c r="H2700" s="50"/>
      <c r="I2700" s="50"/>
      <c r="O2700" s="36" t="s">
        <v>48</v>
      </c>
      <c r="R2700" s="36" t="s">
        <v>48</v>
      </c>
    </row>
    <row r="2701">
      <c r="H2701" s="50"/>
      <c r="I2701" s="50"/>
      <c r="O2701" s="36" t="s">
        <v>48</v>
      </c>
      <c r="R2701" s="36" t="s">
        <v>48</v>
      </c>
    </row>
    <row r="2702">
      <c r="H2702" s="50"/>
      <c r="I2702" s="50"/>
      <c r="O2702" s="36" t="s">
        <v>48</v>
      </c>
      <c r="R2702" s="36" t="s">
        <v>48</v>
      </c>
    </row>
    <row r="2703">
      <c r="H2703" s="50"/>
      <c r="I2703" s="50"/>
      <c r="O2703" s="36" t="s">
        <v>48</v>
      </c>
      <c r="R2703" s="36" t="s">
        <v>48</v>
      </c>
    </row>
    <row r="2704">
      <c r="H2704" s="50"/>
      <c r="I2704" s="50"/>
      <c r="O2704" s="36" t="s">
        <v>48</v>
      </c>
      <c r="R2704" s="36" t="s">
        <v>48</v>
      </c>
    </row>
    <row r="2705">
      <c r="H2705" s="50"/>
      <c r="I2705" s="50"/>
      <c r="O2705" s="36" t="s">
        <v>48</v>
      </c>
      <c r="R2705" s="36" t="s">
        <v>48</v>
      </c>
    </row>
    <row r="2706">
      <c r="H2706" s="50"/>
      <c r="I2706" s="50"/>
      <c r="O2706" s="36" t="s">
        <v>48</v>
      </c>
      <c r="R2706" s="36" t="s">
        <v>48</v>
      </c>
    </row>
    <row r="2707">
      <c r="H2707" s="50"/>
      <c r="I2707" s="50"/>
      <c r="O2707" s="36" t="s">
        <v>48</v>
      </c>
      <c r="R2707" s="36" t="s">
        <v>48</v>
      </c>
    </row>
    <row r="2708">
      <c r="H2708" s="50"/>
      <c r="I2708" s="50"/>
      <c r="O2708" s="36" t="s">
        <v>48</v>
      </c>
      <c r="R2708" s="36" t="s">
        <v>48</v>
      </c>
    </row>
    <row r="2709">
      <c r="H2709" s="50"/>
      <c r="I2709" s="50"/>
      <c r="O2709" s="36" t="s">
        <v>48</v>
      </c>
      <c r="R2709" s="36" t="s">
        <v>48</v>
      </c>
    </row>
    <row r="2710">
      <c r="H2710" s="50"/>
      <c r="I2710" s="50"/>
      <c r="O2710" s="36" t="s">
        <v>48</v>
      </c>
      <c r="R2710" s="36" t="s">
        <v>48</v>
      </c>
    </row>
    <row r="2711">
      <c r="H2711" s="50"/>
      <c r="I2711" s="50"/>
      <c r="O2711" s="36" t="s">
        <v>48</v>
      </c>
      <c r="R2711" s="36" t="s">
        <v>48</v>
      </c>
    </row>
    <row r="2712">
      <c r="H2712" s="50"/>
      <c r="I2712" s="50"/>
      <c r="O2712" s="36" t="s">
        <v>48</v>
      </c>
      <c r="R2712" s="36" t="s">
        <v>48</v>
      </c>
    </row>
    <row r="2713">
      <c r="H2713" s="50"/>
      <c r="I2713" s="50"/>
      <c r="O2713" s="36" t="s">
        <v>48</v>
      </c>
      <c r="R2713" s="36" t="s">
        <v>48</v>
      </c>
    </row>
    <row r="2714">
      <c r="H2714" s="50"/>
      <c r="I2714" s="50"/>
      <c r="O2714" s="36" t="s">
        <v>48</v>
      </c>
      <c r="R2714" s="36" t="s">
        <v>48</v>
      </c>
    </row>
    <row r="2715">
      <c r="H2715" s="50"/>
      <c r="I2715" s="50"/>
      <c r="O2715" s="36" t="s">
        <v>48</v>
      </c>
      <c r="R2715" s="36" t="s">
        <v>48</v>
      </c>
    </row>
    <row r="2716">
      <c r="H2716" s="50"/>
      <c r="I2716" s="50"/>
      <c r="O2716" s="36" t="s">
        <v>48</v>
      </c>
      <c r="R2716" s="36" t="s">
        <v>48</v>
      </c>
    </row>
    <row r="2717">
      <c r="H2717" s="50"/>
      <c r="I2717" s="50"/>
      <c r="O2717" s="36" t="s">
        <v>48</v>
      </c>
      <c r="R2717" s="36" t="s">
        <v>48</v>
      </c>
    </row>
    <row r="2718">
      <c r="H2718" s="50"/>
      <c r="I2718" s="50"/>
      <c r="O2718" s="36" t="s">
        <v>48</v>
      </c>
      <c r="R2718" s="36" t="s">
        <v>48</v>
      </c>
    </row>
    <row r="2719">
      <c r="H2719" s="50"/>
      <c r="I2719" s="50"/>
      <c r="O2719" s="36" t="s">
        <v>48</v>
      </c>
      <c r="R2719" s="36" t="s">
        <v>48</v>
      </c>
    </row>
    <row r="2720">
      <c r="H2720" s="50"/>
      <c r="I2720" s="50"/>
      <c r="O2720" s="36" t="s">
        <v>48</v>
      </c>
      <c r="R2720" s="36" t="s">
        <v>48</v>
      </c>
    </row>
    <row r="2721">
      <c r="H2721" s="50"/>
      <c r="I2721" s="50"/>
      <c r="O2721" s="36" t="s">
        <v>48</v>
      </c>
      <c r="R2721" s="36" t="s">
        <v>48</v>
      </c>
    </row>
    <row r="2722">
      <c r="H2722" s="50"/>
      <c r="I2722" s="50"/>
      <c r="O2722" s="36" t="s">
        <v>48</v>
      </c>
      <c r="R2722" s="36" t="s">
        <v>48</v>
      </c>
    </row>
    <row r="2723">
      <c r="H2723" s="50"/>
      <c r="I2723" s="50"/>
      <c r="O2723" s="36" t="s">
        <v>48</v>
      </c>
      <c r="R2723" s="36" t="s">
        <v>48</v>
      </c>
    </row>
    <row r="2724">
      <c r="H2724" s="50"/>
      <c r="I2724" s="50"/>
      <c r="O2724" s="36" t="s">
        <v>48</v>
      </c>
      <c r="R2724" s="36" t="s">
        <v>48</v>
      </c>
    </row>
    <row r="2725">
      <c r="H2725" s="50"/>
      <c r="I2725" s="50"/>
      <c r="O2725" s="36" t="s">
        <v>48</v>
      </c>
      <c r="R2725" s="36" t="s">
        <v>48</v>
      </c>
    </row>
    <row r="2726">
      <c r="H2726" s="50"/>
      <c r="I2726" s="50"/>
      <c r="O2726" s="36" t="s">
        <v>48</v>
      </c>
      <c r="R2726" s="36" t="s">
        <v>48</v>
      </c>
    </row>
    <row r="2727">
      <c r="H2727" s="50"/>
      <c r="I2727" s="50"/>
      <c r="O2727" s="36" t="s">
        <v>48</v>
      </c>
      <c r="R2727" s="36" t="s">
        <v>48</v>
      </c>
    </row>
    <row r="2728">
      <c r="H2728" s="50"/>
      <c r="I2728" s="50"/>
      <c r="O2728" s="36" t="s">
        <v>48</v>
      </c>
      <c r="R2728" s="36" t="s">
        <v>48</v>
      </c>
    </row>
    <row r="2729">
      <c r="H2729" s="50"/>
      <c r="I2729" s="50"/>
      <c r="O2729" s="36" t="s">
        <v>48</v>
      </c>
      <c r="R2729" s="36" t="s">
        <v>48</v>
      </c>
    </row>
    <row r="2730">
      <c r="H2730" s="50"/>
      <c r="I2730" s="50"/>
      <c r="O2730" s="36" t="s">
        <v>48</v>
      </c>
      <c r="R2730" s="36" t="s">
        <v>48</v>
      </c>
    </row>
    <row r="2731">
      <c r="H2731" s="50"/>
      <c r="I2731" s="50"/>
      <c r="O2731" s="36" t="s">
        <v>48</v>
      </c>
      <c r="R2731" s="36" t="s">
        <v>48</v>
      </c>
    </row>
    <row r="2732">
      <c r="H2732" s="50"/>
      <c r="I2732" s="50"/>
      <c r="O2732" s="36" t="s">
        <v>48</v>
      </c>
      <c r="R2732" s="36" t="s">
        <v>48</v>
      </c>
    </row>
    <row r="2733">
      <c r="H2733" s="50"/>
      <c r="I2733" s="50"/>
      <c r="O2733" s="36" t="s">
        <v>48</v>
      </c>
      <c r="R2733" s="36" t="s">
        <v>48</v>
      </c>
    </row>
    <row r="2734">
      <c r="H2734" s="50"/>
      <c r="I2734" s="50"/>
      <c r="O2734" s="36" t="s">
        <v>48</v>
      </c>
      <c r="R2734" s="36" t="s">
        <v>48</v>
      </c>
    </row>
    <row r="2735">
      <c r="H2735" s="50"/>
      <c r="I2735" s="50"/>
      <c r="O2735" s="36" t="s">
        <v>48</v>
      </c>
      <c r="R2735" s="36" t="s">
        <v>48</v>
      </c>
    </row>
    <row r="2736">
      <c r="H2736" s="50"/>
      <c r="I2736" s="50"/>
      <c r="O2736" s="36" t="s">
        <v>48</v>
      </c>
      <c r="R2736" s="36" t="s">
        <v>48</v>
      </c>
    </row>
    <row r="2737">
      <c r="H2737" s="50"/>
      <c r="I2737" s="50"/>
      <c r="O2737" s="36" t="s">
        <v>48</v>
      </c>
      <c r="R2737" s="36" t="s">
        <v>48</v>
      </c>
    </row>
    <row r="2738">
      <c r="H2738" s="50"/>
      <c r="I2738" s="50"/>
      <c r="O2738" s="36" t="s">
        <v>48</v>
      </c>
      <c r="R2738" s="36" t="s">
        <v>48</v>
      </c>
    </row>
    <row r="2739">
      <c r="H2739" s="50"/>
      <c r="I2739" s="50"/>
      <c r="O2739" s="36" t="s">
        <v>48</v>
      </c>
      <c r="R2739" s="36" t="s">
        <v>48</v>
      </c>
    </row>
    <row r="2740">
      <c r="H2740" s="50"/>
      <c r="I2740" s="50"/>
      <c r="O2740" s="36" t="s">
        <v>48</v>
      </c>
      <c r="R2740" s="36" t="s">
        <v>48</v>
      </c>
    </row>
    <row r="2741">
      <c r="H2741" s="50"/>
      <c r="I2741" s="50"/>
      <c r="O2741" s="36" t="s">
        <v>48</v>
      </c>
      <c r="R2741" s="36" t="s">
        <v>48</v>
      </c>
    </row>
    <row r="2742">
      <c r="H2742" s="50"/>
      <c r="I2742" s="50"/>
      <c r="O2742" s="36" t="s">
        <v>48</v>
      </c>
      <c r="R2742" s="36" t="s">
        <v>48</v>
      </c>
    </row>
    <row r="2743">
      <c r="H2743" s="50"/>
      <c r="I2743" s="50"/>
      <c r="O2743" s="36" t="s">
        <v>48</v>
      </c>
      <c r="R2743" s="36" t="s">
        <v>48</v>
      </c>
    </row>
    <row r="2744">
      <c r="H2744" s="50"/>
      <c r="I2744" s="50"/>
      <c r="O2744" s="36" t="s">
        <v>48</v>
      </c>
      <c r="R2744" s="36" t="s">
        <v>48</v>
      </c>
    </row>
    <row r="2745">
      <c r="H2745" s="50"/>
      <c r="I2745" s="50"/>
      <c r="O2745" s="36" t="s">
        <v>48</v>
      </c>
      <c r="R2745" s="36" t="s">
        <v>48</v>
      </c>
    </row>
    <row r="2746">
      <c r="H2746" s="50"/>
      <c r="I2746" s="50"/>
      <c r="O2746" s="36" t="s">
        <v>48</v>
      </c>
      <c r="R2746" s="36" t="s">
        <v>48</v>
      </c>
    </row>
    <row r="2747">
      <c r="H2747" s="50"/>
      <c r="I2747" s="50"/>
      <c r="O2747" s="36" t="s">
        <v>48</v>
      </c>
      <c r="R2747" s="36" t="s">
        <v>48</v>
      </c>
    </row>
    <row r="2748">
      <c r="H2748" s="50"/>
      <c r="I2748" s="50"/>
      <c r="O2748" s="36" t="s">
        <v>48</v>
      </c>
      <c r="R2748" s="36" t="s">
        <v>48</v>
      </c>
    </row>
    <row r="2749">
      <c r="H2749" s="50"/>
      <c r="I2749" s="50"/>
      <c r="O2749" s="36" t="s">
        <v>48</v>
      </c>
      <c r="R2749" s="36" t="s">
        <v>48</v>
      </c>
    </row>
    <row r="2750">
      <c r="H2750" s="50"/>
      <c r="I2750" s="50"/>
      <c r="O2750" s="36" t="s">
        <v>48</v>
      </c>
      <c r="R2750" s="36" t="s">
        <v>48</v>
      </c>
    </row>
    <row r="2751">
      <c r="H2751" s="50"/>
      <c r="I2751" s="50"/>
      <c r="O2751" s="36" t="s">
        <v>48</v>
      </c>
      <c r="R2751" s="36" t="s">
        <v>48</v>
      </c>
    </row>
    <row r="2752">
      <c r="H2752" s="50"/>
      <c r="I2752" s="50"/>
      <c r="O2752" s="36" t="s">
        <v>48</v>
      </c>
      <c r="R2752" s="36" t="s">
        <v>48</v>
      </c>
    </row>
    <row r="2753">
      <c r="H2753" s="50"/>
      <c r="I2753" s="50"/>
      <c r="O2753" s="36" t="s">
        <v>48</v>
      </c>
      <c r="R2753" s="36" t="s">
        <v>48</v>
      </c>
    </row>
    <row r="2754">
      <c r="H2754" s="50"/>
      <c r="I2754" s="50"/>
      <c r="O2754" s="36" t="s">
        <v>48</v>
      </c>
      <c r="R2754" s="36" t="s">
        <v>48</v>
      </c>
    </row>
    <row r="2755">
      <c r="H2755" s="50"/>
      <c r="I2755" s="50"/>
      <c r="O2755" s="36" t="s">
        <v>48</v>
      </c>
      <c r="R2755" s="36" t="s">
        <v>48</v>
      </c>
    </row>
    <row r="2756">
      <c r="H2756" s="50"/>
      <c r="I2756" s="50"/>
      <c r="O2756" s="36" t="s">
        <v>48</v>
      </c>
      <c r="R2756" s="36" t="s">
        <v>48</v>
      </c>
    </row>
    <row r="2757">
      <c r="H2757" s="50"/>
      <c r="I2757" s="50"/>
      <c r="O2757" s="36" t="s">
        <v>48</v>
      </c>
      <c r="R2757" s="36" t="s">
        <v>48</v>
      </c>
    </row>
    <row r="2758">
      <c r="H2758" s="50"/>
      <c r="I2758" s="50"/>
      <c r="O2758" s="36" t="s">
        <v>48</v>
      </c>
      <c r="R2758" s="36" t="s">
        <v>48</v>
      </c>
    </row>
    <row r="2759">
      <c r="H2759" s="50"/>
      <c r="I2759" s="50"/>
      <c r="O2759" s="36" t="s">
        <v>48</v>
      </c>
      <c r="R2759" s="36" t="s">
        <v>48</v>
      </c>
    </row>
    <row r="2760">
      <c r="H2760" s="50"/>
      <c r="I2760" s="50"/>
      <c r="O2760" s="36" t="s">
        <v>48</v>
      </c>
      <c r="R2760" s="36" t="s">
        <v>48</v>
      </c>
    </row>
    <row r="2761">
      <c r="H2761" s="50"/>
      <c r="I2761" s="50"/>
      <c r="O2761" s="36" t="s">
        <v>48</v>
      </c>
      <c r="R2761" s="36" t="s">
        <v>48</v>
      </c>
    </row>
    <row r="2762">
      <c r="H2762" s="50"/>
      <c r="I2762" s="50"/>
      <c r="O2762" s="36" t="s">
        <v>48</v>
      </c>
      <c r="R2762" s="36" t="s">
        <v>48</v>
      </c>
    </row>
    <row r="2763">
      <c r="H2763" s="50"/>
      <c r="I2763" s="50"/>
      <c r="O2763" s="36" t="s">
        <v>48</v>
      </c>
      <c r="R2763" s="36" t="s">
        <v>48</v>
      </c>
    </row>
    <row r="2764">
      <c r="H2764" s="50"/>
      <c r="I2764" s="50"/>
      <c r="O2764" s="36" t="s">
        <v>48</v>
      </c>
      <c r="R2764" s="36" t="s">
        <v>48</v>
      </c>
    </row>
    <row r="2765">
      <c r="H2765" s="50"/>
      <c r="I2765" s="50"/>
      <c r="O2765" s="36" t="s">
        <v>48</v>
      </c>
      <c r="R2765" s="36" t="s">
        <v>48</v>
      </c>
    </row>
    <row r="2766">
      <c r="H2766" s="50"/>
      <c r="I2766" s="50"/>
      <c r="O2766" s="36" t="s">
        <v>48</v>
      </c>
      <c r="R2766" s="36" t="s">
        <v>48</v>
      </c>
    </row>
    <row r="2767">
      <c r="H2767" s="50"/>
      <c r="I2767" s="50"/>
      <c r="O2767" s="36" t="s">
        <v>48</v>
      </c>
      <c r="R2767" s="36" t="s">
        <v>48</v>
      </c>
    </row>
    <row r="2768">
      <c r="H2768" s="50"/>
      <c r="I2768" s="50"/>
      <c r="O2768" s="36" t="s">
        <v>48</v>
      </c>
      <c r="R2768" s="36" t="s">
        <v>48</v>
      </c>
    </row>
    <row r="2769">
      <c r="H2769" s="50"/>
      <c r="I2769" s="50"/>
      <c r="O2769" s="36" t="s">
        <v>48</v>
      </c>
      <c r="R2769" s="36" t="s">
        <v>48</v>
      </c>
    </row>
    <row r="2770">
      <c r="H2770" s="50"/>
      <c r="I2770" s="50"/>
      <c r="O2770" s="36" t="s">
        <v>48</v>
      </c>
      <c r="R2770" s="36" t="s">
        <v>48</v>
      </c>
    </row>
    <row r="2771">
      <c r="H2771" s="50"/>
      <c r="I2771" s="50"/>
      <c r="O2771" s="36" t="s">
        <v>48</v>
      </c>
      <c r="R2771" s="36" t="s">
        <v>48</v>
      </c>
    </row>
    <row r="2772">
      <c r="H2772" s="50"/>
      <c r="I2772" s="50"/>
      <c r="O2772" s="36" t="s">
        <v>48</v>
      </c>
      <c r="R2772" s="36" t="s">
        <v>48</v>
      </c>
    </row>
    <row r="2773">
      <c r="H2773" s="50"/>
      <c r="I2773" s="50"/>
      <c r="O2773" s="36" t="s">
        <v>48</v>
      </c>
      <c r="R2773" s="36" t="s">
        <v>48</v>
      </c>
    </row>
    <row r="2774">
      <c r="H2774" s="50"/>
      <c r="I2774" s="50"/>
      <c r="O2774" s="36" t="s">
        <v>48</v>
      </c>
      <c r="R2774" s="36" t="s">
        <v>48</v>
      </c>
    </row>
    <row r="2775">
      <c r="H2775" s="50"/>
      <c r="I2775" s="50"/>
      <c r="O2775" s="36" t="s">
        <v>48</v>
      </c>
      <c r="R2775" s="36" t="s">
        <v>48</v>
      </c>
    </row>
    <row r="2776">
      <c r="H2776" s="50"/>
      <c r="I2776" s="50"/>
      <c r="O2776" s="36" t="s">
        <v>48</v>
      </c>
      <c r="R2776" s="36" t="s">
        <v>48</v>
      </c>
    </row>
    <row r="2777">
      <c r="H2777" s="50"/>
      <c r="I2777" s="50"/>
      <c r="O2777" s="36" t="s">
        <v>48</v>
      </c>
      <c r="R2777" s="36" t="s">
        <v>48</v>
      </c>
    </row>
    <row r="2778">
      <c r="H2778" s="50"/>
      <c r="I2778" s="50"/>
      <c r="O2778" s="36" t="s">
        <v>48</v>
      </c>
      <c r="R2778" s="36" t="s">
        <v>48</v>
      </c>
    </row>
    <row r="2779">
      <c r="H2779" s="50"/>
      <c r="I2779" s="50"/>
      <c r="O2779" s="36" t="s">
        <v>48</v>
      </c>
      <c r="R2779" s="36" t="s">
        <v>48</v>
      </c>
    </row>
    <row r="2780">
      <c r="H2780" s="50"/>
      <c r="I2780" s="50"/>
      <c r="O2780" s="36" t="s">
        <v>48</v>
      </c>
      <c r="R2780" s="36" t="s">
        <v>48</v>
      </c>
    </row>
    <row r="2781">
      <c r="H2781" s="50"/>
      <c r="I2781" s="50"/>
      <c r="O2781" s="36" t="s">
        <v>48</v>
      </c>
      <c r="R2781" s="36" t="s">
        <v>48</v>
      </c>
    </row>
    <row r="2782">
      <c r="H2782" s="50"/>
      <c r="I2782" s="50"/>
      <c r="O2782" s="36" t="s">
        <v>48</v>
      </c>
      <c r="R2782" s="36" t="s">
        <v>48</v>
      </c>
    </row>
    <row r="2783">
      <c r="H2783" s="50"/>
      <c r="I2783" s="50"/>
      <c r="O2783" s="36" t="s">
        <v>48</v>
      </c>
      <c r="R2783" s="36" t="s">
        <v>48</v>
      </c>
    </row>
    <row r="2784">
      <c r="H2784" s="50"/>
      <c r="I2784" s="50"/>
      <c r="O2784" s="36" t="s">
        <v>48</v>
      </c>
      <c r="R2784" s="36" t="s">
        <v>48</v>
      </c>
    </row>
    <row r="2785">
      <c r="H2785" s="50"/>
      <c r="I2785" s="50"/>
      <c r="O2785" s="36" t="s">
        <v>48</v>
      </c>
      <c r="R2785" s="36" t="s">
        <v>48</v>
      </c>
    </row>
    <row r="2786">
      <c r="H2786" s="50"/>
      <c r="I2786" s="50"/>
      <c r="O2786" s="36" t="s">
        <v>48</v>
      </c>
      <c r="R2786" s="36" t="s">
        <v>48</v>
      </c>
    </row>
    <row r="2787">
      <c r="H2787" s="50"/>
      <c r="I2787" s="50"/>
      <c r="O2787" s="36" t="s">
        <v>48</v>
      </c>
      <c r="R2787" s="36" t="s">
        <v>48</v>
      </c>
    </row>
    <row r="2788">
      <c r="H2788" s="50"/>
      <c r="I2788" s="50"/>
      <c r="O2788" s="36" t="s">
        <v>48</v>
      </c>
      <c r="R2788" s="36" t="s">
        <v>48</v>
      </c>
    </row>
    <row r="2789">
      <c r="H2789" s="50"/>
      <c r="I2789" s="50"/>
      <c r="O2789" s="36" t="s">
        <v>48</v>
      </c>
      <c r="R2789" s="36" t="s">
        <v>48</v>
      </c>
    </row>
    <row r="2790">
      <c r="H2790" s="50"/>
      <c r="I2790" s="50"/>
      <c r="O2790" s="36" t="s">
        <v>48</v>
      </c>
      <c r="R2790" s="36" t="s">
        <v>48</v>
      </c>
    </row>
    <row r="2791">
      <c r="H2791" s="50"/>
      <c r="I2791" s="50"/>
      <c r="O2791" s="36" t="s">
        <v>48</v>
      </c>
      <c r="R2791" s="36" t="s">
        <v>48</v>
      </c>
    </row>
    <row r="2792">
      <c r="H2792" s="50"/>
      <c r="I2792" s="50"/>
      <c r="O2792" s="36" t="s">
        <v>48</v>
      </c>
      <c r="R2792" s="36" t="s">
        <v>48</v>
      </c>
    </row>
    <row r="2793">
      <c r="H2793" s="50"/>
      <c r="I2793" s="50"/>
      <c r="O2793" s="36" t="s">
        <v>48</v>
      </c>
      <c r="R2793" s="36" t="s">
        <v>48</v>
      </c>
    </row>
    <row r="2794">
      <c r="H2794" s="50"/>
      <c r="I2794" s="50"/>
      <c r="O2794" s="36" t="s">
        <v>48</v>
      </c>
      <c r="R2794" s="36" t="s">
        <v>48</v>
      </c>
    </row>
    <row r="2795">
      <c r="H2795" s="50"/>
      <c r="I2795" s="50"/>
      <c r="O2795" s="36" t="s">
        <v>48</v>
      </c>
      <c r="R2795" s="36" t="s">
        <v>48</v>
      </c>
    </row>
    <row r="2796">
      <c r="H2796" s="50"/>
      <c r="I2796" s="50"/>
      <c r="O2796" s="36" t="s">
        <v>48</v>
      </c>
      <c r="R2796" s="36" t="s">
        <v>48</v>
      </c>
    </row>
    <row r="2797">
      <c r="H2797" s="50"/>
      <c r="I2797" s="50"/>
      <c r="O2797" s="36" t="s">
        <v>48</v>
      </c>
      <c r="R2797" s="36" t="s">
        <v>48</v>
      </c>
    </row>
    <row r="2798">
      <c r="H2798" s="50"/>
      <c r="I2798" s="50"/>
      <c r="O2798" s="36" t="s">
        <v>48</v>
      </c>
      <c r="R2798" s="36" t="s">
        <v>48</v>
      </c>
    </row>
    <row r="2799">
      <c r="H2799" s="50"/>
      <c r="I2799" s="50"/>
      <c r="O2799" s="36" t="s">
        <v>48</v>
      </c>
      <c r="R2799" s="36" t="s">
        <v>48</v>
      </c>
    </row>
    <row r="2800">
      <c r="H2800" s="50"/>
      <c r="I2800" s="50"/>
      <c r="O2800" s="36" t="s">
        <v>48</v>
      </c>
      <c r="R2800" s="36" t="s">
        <v>48</v>
      </c>
    </row>
    <row r="2801">
      <c r="H2801" s="50"/>
      <c r="I2801" s="50"/>
      <c r="O2801" s="36" t="s">
        <v>48</v>
      </c>
      <c r="R2801" s="36" t="s">
        <v>48</v>
      </c>
    </row>
    <row r="2802">
      <c r="H2802" s="50"/>
      <c r="I2802" s="50"/>
      <c r="O2802" s="36" t="s">
        <v>48</v>
      </c>
      <c r="R2802" s="36" t="s">
        <v>48</v>
      </c>
    </row>
    <row r="2803">
      <c r="H2803" s="50"/>
      <c r="I2803" s="50"/>
      <c r="O2803" s="36" t="s">
        <v>48</v>
      </c>
      <c r="R2803" s="36" t="s">
        <v>48</v>
      </c>
    </row>
    <row r="2804">
      <c r="H2804" s="50"/>
      <c r="I2804" s="50"/>
      <c r="O2804" s="36" t="s">
        <v>48</v>
      </c>
      <c r="R2804" s="36" t="s">
        <v>48</v>
      </c>
    </row>
    <row r="2805">
      <c r="H2805" s="50"/>
      <c r="I2805" s="50"/>
      <c r="O2805" s="36" t="s">
        <v>48</v>
      </c>
      <c r="R2805" s="36" t="s">
        <v>48</v>
      </c>
    </row>
    <row r="2806">
      <c r="H2806" s="50"/>
      <c r="I2806" s="50"/>
      <c r="O2806" s="36" t="s">
        <v>48</v>
      </c>
      <c r="R2806" s="36" t="s">
        <v>48</v>
      </c>
    </row>
    <row r="2807">
      <c r="H2807" s="50"/>
      <c r="I2807" s="50"/>
      <c r="O2807" s="36" t="s">
        <v>48</v>
      </c>
      <c r="R2807" s="36" t="s">
        <v>48</v>
      </c>
    </row>
    <row r="2808">
      <c r="H2808" s="50"/>
      <c r="I2808" s="50"/>
      <c r="O2808" s="36" t="s">
        <v>48</v>
      </c>
      <c r="R2808" s="36" t="s">
        <v>48</v>
      </c>
    </row>
    <row r="2809">
      <c r="H2809" s="50"/>
      <c r="I2809" s="50"/>
      <c r="O2809" s="36" t="s">
        <v>48</v>
      </c>
      <c r="R2809" s="36" t="s">
        <v>48</v>
      </c>
    </row>
    <row r="2810">
      <c r="H2810" s="50"/>
      <c r="I2810" s="50"/>
      <c r="O2810" s="36" t="s">
        <v>48</v>
      </c>
      <c r="R2810" s="36" t="s">
        <v>48</v>
      </c>
    </row>
    <row r="2811">
      <c r="H2811" s="50"/>
      <c r="I2811" s="50"/>
      <c r="O2811" s="36" t="s">
        <v>48</v>
      </c>
      <c r="R2811" s="36" t="s">
        <v>48</v>
      </c>
    </row>
    <row r="2812">
      <c r="H2812" s="50"/>
      <c r="I2812" s="50"/>
      <c r="O2812" s="36" t="s">
        <v>48</v>
      </c>
      <c r="R2812" s="36" t="s">
        <v>48</v>
      </c>
    </row>
    <row r="2813">
      <c r="H2813" s="50"/>
      <c r="I2813" s="50"/>
      <c r="O2813" s="36" t="s">
        <v>48</v>
      </c>
      <c r="R2813" s="36" t="s">
        <v>48</v>
      </c>
    </row>
    <row r="2814">
      <c r="H2814" s="50"/>
      <c r="I2814" s="50"/>
      <c r="O2814" s="36" t="s">
        <v>48</v>
      </c>
      <c r="R2814" s="36" t="s">
        <v>48</v>
      </c>
    </row>
    <row r="2815">
      <c r="H2815" s="50"/>
      <c r="I2815" s="50"/>
      <c r="O2815" s="36" t="s">
        <v>48</v>
      </c>
      <c r="R2815" s="36" t="s">
        <v>48</v>
      </c>
    </row>
    <row r="2816">
      <c r="H2816" s="50"/>
      <c r="I2816" s="50"/>
      <c r="O2816" s="36" t="s">
        <v>48</v>
      </c>
      <c r="R2816" s="36" t="s">
        <v>48</v>
      </c>
    </row>
    <row r="2817">
      <c r="H2817" s="50"/>
      <c r="I2817" s="50"/>
      <c r="O2817" s="36" t="s">
        <v>48</v>
      </c>
      <c r="R2817" s="36" t="s">
        <v>48</v>
      </c>
    </row>
    <row r="2818">
      <c r="H2818" s="50"/>
      <c r="I2818" s="50"/>
      <c r="O2818" s="36" t="s">
        <v>48</v>
      </c>
      <c r="R2818" s="36" t="s">
        <v>48</v>
      </c>
    </row>
    <row r="2819">
      <c r="H2819" s="50"/>
      <c r="I2819" s="50"/>
      <c r="O2819" s="36" t="s">
        <v>48</v>
      </c>
      <c r="R2819" s="36" t="s">
        <v>48</v>
      </c>
    </row>
    <row r="2820">
      <c r="H2820" s="50"/>
      <c r="I2820" s="50"/>
      <c r="O2820" s="36" t="s">
        <v>48</v>
      </c>
      <c r="R2820" s="36" t="s">
        <v>48</v>
      </c>
    </row>
    <row r="2821">
      <c r="H2821" s="50"/>
      <c r="I2821" s="50"/>
      <c r="O2821" s="36" t="s">
        <v>48</v>
      </c>
      <c r="R2821" s="36" t="s">
        <v>48</v>
      </c>
    </row>
    <row r="2822">
      <c r="H2822" s="50"/>
      <c r="I2822" s="50"/>
      <c r="O2822" s="36" t="s">
        <v>48</v>
      </c>
      <c r="R2822" s="36" t="s">
        <v>48</v>
      </c>
    </row>
    <row r="2823">
      <c r="H2823" s="50"/>
      <c r="I2823" s="50"/>
      <c r="O2823" s="36" t="s">
        <v>48</v>
      </c>
      <c r="R2823" s="36" t="s">
        <v>48</v>
      </c>
    </row>
    <row r="2824">
      <c r="H2824" s="50"/>
      <c r="I2824" s="50"/>
      <c r="O2824" s="36" t="s">
        <v>48</v>
      </c>
      <c r="R2824" s="36" t="s">
        <v>48</v>
      </c>
    </row>
    <row r="2825">
      <c r="H2825" s="50"/>
      <c r="I2825" s="50"/>
      <c r="O2825" s="36" t="s">
        <v>48</v>
      </c>
      <c r="R2825" s="36" t="s">
        <v>48</v>
      </c>
    </row>
    <row r="2826">
      <c r="H2826" s="50"/>
      <c r="I2826" s="50"/>
      <c r="O2826" s="36" t="s">
        <v>48</v>
      </c>
      <c r="R2826" s="36" t="s">
        <v>48</v>
      </c>
    </row>
    <row r="2827">
      <c r="H2827" s="50"/>
      <c r="I2827" s="50"/>
      <c r="O2827" s="36" t="s">
        <v>48</v>
      </c>
      <c r="R2827" s="36" t="s">
        <v>48</v>
      </c>
    </row>
    <row r="2828">
      <c r="H2828" s="50"/>
      <c r="I2828" s="50"/>
      <c r="O2828" s="36" t="s">
        <v>48</v>
      </c>
      <c r="R2828" s="36" t="s">
        <v>48</v>
      </c>
    </row>
    <row r="2829">
      <c r="H2829" s="50"/>
      <c r="I2829" s="50"/>
      <c r="O2829" s="36" t="s">
        <v>48</v>
      </c>
      <c r="R2829" s="36" t="s">
        <v>48</v>
      </c>
    </row>
    <row r="2830">
      <c r="H2830" s="50"/>
      <c r="I2830" s="50"/>
      <c r="O2830" s="36" t="s">
        <v>48</v>
      </c>
      <c r="R2830" s="36" t="s">
        <v>48</v>
      </c>
    </row>
    <row r="2831">
      <c r="H2831" s="50"/>
      <c r="I2831" s="50"/>
      <c r="O2831" s="36" t="s">
        <v>48</v>
      </c>
      <c r="R2831" s="36" t="s">
        <v>48</v>
      </c>
    </row>
    <row r="2832">
      <c r="H2832" s="50"/>
      <c r="I2832" s="50"/>
      <c r="O2832" s="36" t="s">
        <v>48</v>
      </c>
      <c r="R2832" s="36" t="s">
        <v>48</v>
      </c>
    </row>
    <row r="2833">
      <c r="H2833" s="50"/>
      <c r="I2833" s="50"/>
      <c r="O2833" s="36" t="s">
        <v>48</v>
      </c>
      <c r="R2833" s="36" t="s">
        <v>48</v>
      </c>
    </row>
    <row r="2834">
      <c r="H2834" s="50"/>
      <c r="I2834" s="50"/>
      <c r="O2834" s="36" t="s">
        <v>48</v>
      </c>
      <c r="R2834" s="36" t="s">
        <v>48</v>
      </c>
    </row>
    <row r="2835">
      <c r="H2835" s="50"/>
      <c r="I2835" s="50"/>
      <c r="O2835" s="36" t="s">
        <v>48</v>
      </c>
      <c r="R2835" s="36" t="s">
        <v>48</v>
      </c>
    </row>
    <row r="2836">
      <c r="H2836" s="50"/>
      <c r="I2836" s="50"/>
      <c r="O2836" s="36" t="s">
        <v>48</v>
      </c>
      <c r="R2836" s="36" t="s">
        <v>48</v>
      </c>
    </row>
    <row r="2837">
      <c r="H2837" s="50"/>
      <c r="I2837" s="50"/>
      <c r="O2837" s="36" t="s">
        <v>48</v>
      </c>
      <c r="R2837" s="36" t="s">
        <v>48</v>
      </c>
    </row>
    <row r="2838">
      <c r="H2838" s="50"/>
      <c r="I2838" s="50"/>
      <c r="O2838" s="36" t="s">
        <v>48</v>
      </c>
      <c r="R2838" s="36" t="s">
        <v>48</v>
      </c>
    </row>
    <row r="2839">
      <c r="H2839" s="50"/>
      <c r="I2839" s="50"/>
      <c r="O2839" s="36" t="s">
        <v>48</v>
      </c>
      <c r="R2839" s="36" t="s">
        <v>48</v>
      </c>
    </row>
    <row r="2840">
      <c r="H2840" s="50"/>
      <c r="I2840" s="50"/>
      <c r="O2840" s="36" t="s">
        <v>48</v>
      </c>
      <c r="R2840" s="36" t="s">
        <v>48</v>
      </c>
    </row>
    <row r="2841">
      <c r="H2841" s="50"/>
      <c r="I2841" s="50"/>
      <c r="O2841" s="36" t="s">
        <v>48</v>
      </c>
      <c r="R2841" s="36" t="s">
        <v>48</v>
      </c>
    </row>
    <row r="2842">
      <c r="H2842" s="50"/>
      <c r="I2842" s="50"/>
      <c r="O2842" s="36" t="s">
        <v>48</v>
      </c>
      <c r="R2842" s="36" t="s">
        <v>48</v>
      </c>
    </row>
    <row r="2843">
      <c r="H2843" s="50"/>
      <c r="I2843" s="50"/>
      <c r="O2843" s="36" t="s">
        <v>48</v>
      </c>
      <c r="R2843" s="36" t="s">
        <v>48</v>
      </c>
    </row>
    <row r="2844">
      <c r="H2844" s="50"/>
      <c r="I2844" s="50"/>
      <c r="O2844" s="36" t="s">
        <v>48</v>
      </c>
      <c r="R2844" s="36" t="s">
        <v>48</v>
      </c>
    </row>
    <row r="2845">
      <c r="H2845" s="50"/>
      <c r="I2845" s="50"/>
      <c r="O2845" s="36" t="s">
        <v>48</v>
      </c>
      <c r="R2845" s="36" t="s">
        <v>48</v>
      </c>
    </row>
    <row r="2846">
      <c r="H2846" s="50"/>
      <c r="I2846" s="50"/>
      <c r="O2846" s="36" t="s">
        <v>48</v>
      </c>
      <c r="R2846" s="36" t="s">
        <v>48</v>
      </c>
    </row>
    <row r="2847">
      <c r="H2847" s="50"/>
      <c r="I2847" s="50"/>
      <c r="O2847" s="36" t="s">
        <v>48</v>
      </c>
      <c r="R2847" s="36" t="s">
        <v>48</v>
      </c>
    </row>
    <row r="2848">
      <c r="H2848" s="50"/>
      <c r="I2848" s="50"/>
      <c r="O2848" s="36" t="s">
        <v>48</v>
      </c>
      <c r="R2848" s="36" t="s">
        <v>48</v>
      </c>
    </row>
    <row r="2849">
      <c r="H2849" s="50"/>
      <c r="I2849" s="50"/>
      <c r="O2849" s="36" t="s">
        <v>48</v>
      </c>
      <c r="R2849" s="36" t="s">
        <v>48</v>
      </c>
    </row>
    <row r="2850">
      <c r="H2850" s="50"/>
      <c r="I2850" s="50"/>
      <c r="O2850" s="36" t="s">
        <v>48</v>
      </c>
      <c r="R2850" s="36" t="s">
        <v>48</v>
      </c>
    </row>
    <row r="2851">
      <c r="H2851" s="50"/>
      <c r="I2851" s="50"/>
      <c r="O2851" s="36" t="s">
        <v>48</v>
      </c>
      <c r="R2851" s="36" t="s">
        <v>48</v>
      </c>
    </row>
    <row r="2852">
      <c r="H2852" s="50"/>
      <c r="I2852" s="50"/>
      <c r="O2852" s="36" t="s">
        <v>48</v>
      </c>
      <c r="R2852" s="36" t="s">
        <v>48</v>
      </c>
    </row>
    <row r="2853">
      <c r="H2853" s="50"/>
      <c r="I2853" s="50"/>
      <c r="O2853" s="36" t="s">
        <v>48</v>
      </c>
      <c r="R2853" s="36" t="s">
        <v>48</v>
      </c>
    </row>
    <row r="2854">
      <c r="H2854" s="50"/>
      <c r="I2854" s="50"/>
      <c r="O2854" s="36" t="s">
        <v>48</v>
      </c>
      <c r="R2854" s="36" t="s">
        <v>48</v>
      </c>
    </row>
    <row r="2855">
      <c r="H2855" s="50"/>
      <c r="I2855" s="50"/>
      <c r="O2855" s="36" t="s">
        <v>48</v>
      </c>
      <c r="R2855" s="36" t="s">
        <v>48</v>
      </c>
    </row>
    <row r="2856">
      <c r="H2856" s="50"/>
      <c r="I2856" s="50"/>
      <c r="O2856" s="36" t="s">
        <v>48</v>
      </c>
      <c r="R2856" s="36" t="s">
        <v>48</v>
      </c>
    </row>
    <row r="2857">
      <c r="H2857" s="50"/>
      <c r="I2857" s="50"/>
      <c r="O2857" s="36" t="s">
        <v>48</v>
      </c>
      <c r="R2857" s="36" t="s">
        <v>48</v>
      </c>
    </row>
    <row r="2858">
      <c r="H2858" s="50"/>
      <c r="I2858" s="50"/>
      <c r="O2858" s="36" t="s">
        <v>48</v>
      </c>
      <c r="R2858" s="36" t="s">
        <v>48</v>
      </c>
    </row>
    <row r="2859">
      <c r="H2859" s="50"/>
      <c r="I2859" s="50"/>
      <c r="O2859" s="36" t="s">
        <v>48</v>
      </c>
      <c r="R2859" s="36" t="s">
        <v>48</v>
      </c>
    </row>
    <row r="2860">
      <c r="H2860" s="50"/>
      <c r="I2860" s="50"/>
      <c r="O2860" s="36" t="s">
        <v>48</v>
      </c>
      <c r="R2860" s="36" t="s">
        <v>48</v>
      </c>
    </row>
    <row r="2861">
      <c r="H2861" s="50"/>
      <c r="I2861" s="50"/>
      <c r="O2861" s="36" t="s">
        <v>48</v>
      </c>
      <c r="R2861" s="36" t="s">
        <v>48</v>
      </c>
    </row>
    <row r="2862">
      <c r="H2862" s="50"/>
      <c r="I2862" s="50"/>
      <c r="O2862" s="36" t="s">
        <v>48</v>
      </c>
      <c r="R2862" s="36" t="s">
        <v>48</v>
      </c>
    </row>
    <row r="2863">
      <c r="H2863" s="50"/>
      <c r="I2863" s="50"/>
      <c r="O2863" s="36" t="s">
        <v>48</v>
      </c>
      <c r="R2863" s="36" t="s">
        <v>48</v>
      </c>
    </row>
    <row r="2864">
      <c r="H2864" s="50"/>
      <c r="I2864" s="50"/>
      <c r="O2864" s="36" t="s">
        <v>48</v>
      </c>
      <c r="R2864" s="36" t="s">
        <v>48</v>
      </c>
    </row>
    <row r="2865">
      <c r="H2865" s="50"/>
      <c r="I2865" s="50"/>
      <c r="O2865" s="36" t="s">
        <v>48</v>
      </c>
      <c r="R2865" s="36" t="s">
        <v>48</v>
      </c>
    </row>
    <row r="2866">
      <c r="H2866" s="50"/>
      <c r="I2866" s="50"/>
      <c r="O2866" s="36" t="s">
        <v>48</v>
      </c>
      <c r="R2866" s="36" t="s">
        <v>48</v>
      </c>
    </row>
    <row r="2867">
      <c r="H2867" s="50"/>
      <c r="I2867" s="50"/>
      <c r="O2867" s="36" t="s">
        <v>48</v>
      </c>
      <c r="R2867" s="36" t="s">
        <v>48</v>
      </c>
    </row>
    <row r="2868">
      <c r="H2868" s="50"/>
      <c r="I2868" s="50"/>
      <c r="O2868" s="36" t="s">
        <v>48</v>
      </c>
      <c r="R2868" s="36" t="s">
        <v>48</v>
      </c>
    </row>
    <row r="2869">
      <c r="H2869" s="50"/>
      <c r="I2869" s="50"/>
      <c r="O2869" s="36" t="s">
        <v>48</v>
      </c>
      <c r="R2869" s="36" t="s">
        <v>48</v>
      </c>
    </row>
    <row r="2870">
      <c r="H2870" s="50"/>
      <c r="I2870" s="50"/>
      <c r="O2870" s="36" t="s">
        <v>48</v>
      </c>
      <c r="R2870" s="36" t="s">
        <v>48</v>
      </c>
    </row>
    <row r="2871">
      <c r="H2871" s="50"/>
      <c r="I2871" s="50"/>
      <c r="O2871" s="36" t="s">
        <v>48</v>
      </c>
      <c r="R2871" s="36" t="s">
        <v>48</v>
      </c>
    </row>
    <row r="2872">
      <c r="H2872" s="50"/>
      <c r="I2872" s="50"/>
      <c r="O2872" s="36" t="s">
        <v>48</v>
      </c>
      <c r="R2872" s="36" t="s">
        <v>48</v>
      </c>
    </row>
    <row r="2873">
      <c r="H2873" s="50"/>
      <c r="I2873" s="50"/>
      <c r="O2873" s="36" t="s">
        <v>48</v>
      </c>
      <c r="R2873" s="36" t="s">
        <v>48</v>
      </c>
    </row>
    <row r="2874">
      <c r="H2874" s="50"/>
      <c r="I2874" s="50"/>
      <c r="O2874" s="36" t="s">
        <v>48</v>
      </c>
      <c r="R2874" s="36" t="s">
        <v>48</v>
      </c>
    </row>
    <row r="2875">
      <c r="H2875" s="50"/>
      <c r="I2875" s="50"/>
      <c r="O2875" s="36" t="s">
        <v>48</v>
      </c>
      <c r="R2875" s="36" t="s">
        <v>48</v>
      </c>
    </row>
    <row r="2876">
      <c r="H2876" s="50"/>
      <c r="I2876" s="50"/>
      <c r="O2876" s="36" t="s">
        <v>48</v>
      </c>
      <c r="R2876" s="36" t="s">
        <v>48</v>
      </c>
    </row>
    <row r="2877">
      <c r="H2877" s="50"/>
      <c r="I2877" s="50"/>
      <c r="O2877" s="36" t="s">
        <v>48</v>
      </c>
      <c r="R2877" s="36" t="s">
        <v>48</v>
      </c>
    </row>
    <row r="2878">
      <c r="H2878" s="50"/>
      <c r="I2878" s="50"/>
      <c r="O2878" s="36" t="s">
        <v>48</v>
      </c>
      <c r="R2878" s="36" t="s">
        <v>48</v>
      </c>
    </row>
    <row r="2879">
      <c r="H2879" s="50"/>
      <c r="I2879" s="50"/>
      <c r="O2879" s="36" t="s">
        <v>48</v>
      </c>
      <c r="R2879" s="36" t="s">
        <v>48</v>
      </c>
    </row>
    <row r="2880">
      <c r="H2880" s="50"/>
      <c r="I2880" s="50"/>
      <c r="O2880" s="36" t="s">
        <v>48</v>
      </c>
      <c r="R2880" s="36" t="s">
        <v>48</v>
      </c>
    </row>
    <row r="2881">
      <c r="H2881" s="50"/>
      <c r="I2881" s="50"/>
      <c r="O2881" s="36" t="s">
        <v>48</v>
      </c>
      <c r="R2881" s="36" t="s">
        <v>48</v>
      </c>
    </row>
    <row r="2882">
      <c r="H2882" s="50"/>
      <c r="I2882" s="50"/>
      <c r="O2882" s="36" t="s">
        <v>48</v>
      </c>
      <c r="R2882" s="36" t="s">
        <v>48</v>
      </c>
    </row>
    <row r="2883">
      <c r="H2883" s="50"/>
      <c r="I2883" s="50"/>
      <c r="O2883" s="36" t="s">
        <v>48</v>
      </c>
      <c r="R2883" s="36" t="s">
        <v>48</v>
      </c>
    </row>
    <row r="2884">
      <c r="H2884" s="50"/>
      <c r="I2884" s="50"/>
      <c r="O2884" s="36" t="s">
        <v>48</v>
      </c>
      <c r="R2884" s="36" t="s">
        <v>48</v>
      </c>
    </row>
    <row r="2885">
      <c r="H2885" s="50"/>
      <c r="I2885" s="50"/>
      <c r="O2885" s="36" t="s">
        <v>48</v>
      </c>
      <c r="R2885" s="36" t="s">
        <v>48</v>
      </c>
    </row>
    <row r="2886">
      <c r="H2886" s="50"/>
      <c r="I2886" s="50"/>
      <c r="O2886" s="36" t="s">
        <v>48</v>
      </c>
      <c r="R2886" s="36" t="s">
        <v>48</v>
      </c>
    </row>
    <row r="2887">
      <c r="H2887" s="50"/>
      <c r="I2887" s="50"/>
      <c r="O2887" s="36" t="s">
        <v>48</v>
      </c>
      <c r="R2887" s="36" t="s">
        <v>48</v>
      </c>
    </row>
    <row r="2888">
      <c r="H2888" s="50"/>
      <c r="I2888" s="50"/>
      <c r="O2888" s="36" t="s">
        <v>48</v>
      </c>
      <c r="R2888" s="36" t="s">
        <v>48</v>
      </c>
    </row>
    <row r="2889">
      <c r="H2889" s="50"/>
      <c r="I2889" s="50"/>
      <c r="O2889" s="36" t="s">
        <v>48</v>
      </c>
      <c r="R2889" s="36" t="s">
        <v>48</v>
      </c>
    </row>
    <row r="2890">
      <c r="H2890" s="50"/>
      <c r="I2890" s="50"/>
      <c r="O2890" s="36" t="s">
        <v>48</v>
      </c>
      <c r="R2890" s="36" t="s">
        <v>48</v>
      </c>
    </row>
    <row r="2891">
      <c r="H2891" s="50"/>
      <c r="I2891" s="50"/>
      <c r="O2891" s="36" t="s">
        <v>48</v>
      </c>
      <c r="R2891" s="36" t="s">
        <v>48</v>
      </c>
    </row>
    <row r="2892">
      <c r="H2892" s="50"/>
      <c r="I2892" s="50"/>
      <c r="O2892" s="36" t="s">
        <v>48</v>
      </c>
      <c r="R2892" s="36" t="s">
        <v>48</v>
      </c>
    </row>
    <row r="2893">
      <c r="H2893" s="50"/>
      <c r="I2893" s="50"/>
      <c r="O2893" s="36" t="s">
        <v>48</v>
      </c>
      <c r="R2893" s="36" t="s">
        <v>48</v>
      </c>
    </row>
    <row r="2894">
      <c r="H2894" s="50"/>
      <c r="I2894" s="50"/>
      <c r="O2894" s="36" t="s">
        <v>48</v>
      </c>
      <c r="R2894" s="36" t="s">
        <v>48</v>
      </c>
    </row>
    <row r="2895">
      <c r="H2895" s="50"/>
      <c r="I2895" s="50"/>
      <c r="O2895" s="36" t="s">
        <v>48</v>
      </c>
      <c r="R2895" s="36" t="s">
        <v>48</v>
      </c>
    </row>
    <row r="2896">
      <c r="H2896" s="50"/>
      <c r="I2896" s="50"/>
      <c r="O2896" s="36" t="s">
        <v>48</v>
      </c>
      <c r="R2896" s="36" t="s">
        <v>48</v>
      </c>
    </row>
    <row r="2897">
      <c r="H2897" s="50"/>
      <c r="I2897" s="50"/>
      <c r="O2897" s="36" t="s">
        <v>48</v>
      </c>
      <c r="R2897" s="36" t="s">
        <v>48</v>
      </c>
    </row>
    <row r="2898">
      <c r="H2898" s="50"/>
      <c r="I2898" s="50"/>
      <c r="O2898" s="36" t="s">
        <v>48</v>
      </c>
      <c r="R2898" s="36" t="s">
        <v>48</v>
      </c>
    </row>
    <row r="2899">
      <c r="H2899" s="50"/>
      <c r="I2899" s="50"/>
      <c r="O2899" s="36" t="s">
        <v>48</v>
      </c>
      <c r="R2899" s="36" t="s">
        <v>48</v>
      </c>
    </row>
    <row r="2900">
      <c r="H2900" s="50"/>
      <c r="I2900" s="50"/>
      <c r="O2900" s="36" t="s">
        <v>48</v>
      </c>
      <c r="R2900" s="36" t="s">
        <v>48</v>
      </c>
    </row>
    <row r="2901">
      <c r="H2901" s="50"/>
      <c r="I2901" s="50"/>
      <c r="O2901" s="36" t="s">
        <v>48</v>
      </c>
      <c r="R2901" s="36" t="s">
        <v>48</v>
      </c>
    </row>
    <row r="2902">
      <c r="H2902" s="50"/>
      <c r="I2902" s="50"/>
      <c r="O2902" s="36" t="s">
        <v>48</v>
      </c>
      <c r="R2902" s="36" t="s">
        <v>48</v>
      </c>
    </row>
    <row r="2903">
      <c r="H2903" s="50"/>
      <c r="I2903" s="50"/>
      <c r="O2903" s="36" t="s">
        <v>48</v>
      </c>
      <c r="R2903" s="36" t="s">
        <v>48</v>
      </c>
    </row>
    <row r="2904">
      <c r="H2904" s="50"/>
      <c r="I2904" s="50"/>
      <c r="O2904" s="36" t="s">
        <v>48</v>
      </c>
      <c r="R2904" s="36" t="s">
        <v>48</v>
      </c>
    </row>
    <row r="2905">
      <c r="H2905" s="50"/>
      <c r="I2905" s="50"/>
      <c r="O2905" s="36" t="s">
        <v>48</v>
      </c>
      <c r="R2905" s="36" t="s">
        <v>48</v>
      </c>
    </row>
    <row r="2906">
      <c r="H2906" s="50"/>
      <c r="I2906" s="50"/>
      <c r="O2906" s="36" t="s">
        <v>48</v>
      </c>
      <c r="R2906" s="36" t="s">
        <v>48</v>
      </c>
    </row>
    <row r="2907">
      <c r="H2907" s="50"/>
      <c r="I2907" s="50"/>
      <c r="O2907" s="36" t="s">
        <v>48</v>
      </c>
      <c r="R2907" s="36" t="s">
        <v>48</v>
      </c>
    </row>
    <row r="2908">
      <c r="H2908" s="50"/>
      <c r="I2908" s="50"/>
      <c r="O2908" s="36" t="s">
        <v>48</v>
      </c>
      <c r="R2908" s="36" t="s">
        <v>48</v>
      </c>
    </row>
    <row r="2909">
      <c r="H2909" s="50"/>
      <c r="I2909" s="50"/>
      <c r="O2909" s="36" t="s">
        <v>48</v>
      </c>
      <c r="R2909" s="36" t="s">
        <v>48</v>
      </c>
    </row>
    <row r="2910">
      <c r="H2910" s="50"/>
      <c r="I2910" s="50"/>
      <c r="O2910" s="36" t="s">
        <v>48</v>
      </c>
      <c r="R2910" s="36" t="s">
        <v>48</v>
      </c>
    </row>
    <row r="2911">
      <c r="H2911" s="50"/>
      <c r="I2911" s="50"/>
      <c r="O2911" s="36" t="s">
        <v>48</v>
      </c>
      <c r="R2911" s="36" t="s">
        <v>48</v>
      </c>
    </row>
    <row r="2912">
      <c r="H2912" s="50"/>
      <c r="I2912" s="50"/>
      <c r="O2912" s="36" t="s">
        <v>48</v>
      </c>
      <c r="R2912" s="36" t="s">
        <v>48</v>
      </c>
    </row>
    <row r="2913">
      <c r="H2913" s="50"/>
      <c r="I2913" s="50"/>
      <c r="O2913" s="36" t="s">
        <v>48</v>
      </c>
      <c r="R2913" s="36" t="s">
        <v>48</v>
      </c>
    </row>
    <row r="2914">
      <c r="H2914" s="50"/>
      <c r="I2914" s="50"/>
      <c r="O2914" s="36" t="s">
        <v>48</v>
      </c>
      <c r="R2914" s="36" t="s">
        <v>48</v>
      </c>
    </row>
    <row r="2915">
      <c r="H2915" s="50"/>
      <c r="I2915" s="50"/>
      <c r="O2915" s="36" t="s">
        <v>48</v>
      </c>
      <c r="R2915" s="36" t="s">
        <v>48</v>
      </c>
    </row>
    <row r="2916">
      <c r="H2916" s="50"/>
      <c r="I2916" s="50"/>
      <c r="O2916" s="36" t="s">
        <v>48</v>
      </c>
      <c r="R2916" s="36" t="s">
        <v>48</v>
      </c>
    </row>
    <row r="2917">
      <c r="H2917" s="50"/>
      <c r="I2917" s="50"/>
      <c r="O2917" s="36" t="s">
        <v>48</v>
      </c>
      <c r="R2917" s="36" t="s">
        <v>48</v>
      </c>
    </row>
    <row r="2918">
      <c r="H2918" s="50"/>
      <c r="I2918" s="50"/>
      <c r="O2918" s="36" t="s">
        <v>48</v>
      </c>
      <c r="R2918" s="36" t="s">
        <v>48</v>
      </c>
    </row>
    <row r="2919">
      <c r="H2919" s="50"/>
      <c r="I2919" s="50"/>
      <c r="O2919" s="36" t="s">
        <v>48</v>
      </c>
      <c r="R2919" s="36" t="s">
        <v>48</v>
      </c>
    </row>
    <row r="2920">
      <c r="H2920" s="50"/>
      <c r="I2920" s="50"/>
      <c r="O2920" s="36" t="s">
        <v>48</v>
      </c>
      <c r="R2920" s="36" t="s">
        <v>48</v>
      </c>
    </row>
    <row r="2921">
      <c r="H2921" s="50"/>
      <c r="I2921" s="50"/>
      <c r="O2921" s="36" t="s">
        <v>48</v>
      </c>
      <c r="R2921" s="36" t="s">
        <v>48</v>
      </c>
    </row>
    <row r="2922">
      <c r="H2922" s="50"/>
      <c r="I2922" s="50"/>
      <c r="O2922" s="36" t="s">
        <v>48</v>
      </c>
      <c r="R2922" s="36" t="s">
        <v>48</v>
      </c>
    </row>
    <row r="2923">
      <c r="H2923" s="50"/>
      <c r="I2923" s="50"/>
      <c r="O2923" s="36" t="s">
        <v>48</v>
      </c>
      <c r="R2923" s="36" t="s">
        <v>48</v>
      </c>
    </row>
    <row r="2924">
      <c r="H2924" s="50"/>
      <c r="I2924" s="50"/>
      <c r="O2924" s="36" t="s">
        <v>48</v>
      </c>
      <c r="R2924" s="36" t="s">
        <v>48</v>
      </c>
    </row>
    <row r="2925">
      <c r="H2925" s="50"/>
      <c r="I2925" s="50"/>
      <c r="O2925" s="36" t="s">
        <v>48</v>
      </c>
      <c r="R2925" s="36" t="s">
        <v>48</v>
      </c>
    </row>
    <row r="2926">
      <c r="H2926" s="50"/>
      <c r="I2926" s="50"/>
      <c r="O2926" s="36" t="s">
        <v>48</v>
      </c>
      <c r="R2926" s="36" t="s">
        <v>48</v>
      </c>
    </row>
    <row r="2927">
      <c r="H2927" s="50"/>
      <c r="I2927" s="50"/>
      <c r="O2927" s="36" t="s">
        <v>48</v>
      </c>
      <c r="R2927" s="36" t="s">
        <v>48</v>
      </c>
    </row>
    <row r="2928">
      <c r="H2928" s="50"/>
      <c r="I2928" s="50"/>
      <c r="O2928" s="36" t="s">
        <v>48</v>
      </c>
      <c r="R2928" s="36" t="s">
        <v>48</v>
      </c>
    </row>
    <row r="2929">
      <c r="H2929" s="50"/>
      <c r="I2929" s="50"/>
      <c r="O2929" s="36" t="s">
        <v>48</v>
      </c>
      <c r="R2929" s="36" t="s">
        <v>48</v>
      </c>
    </row>
    <row r="2930">
      <c r="H2930" s="50"/>
      <c r="I2930" s="50"/>
      <c r="O2930" s="36" t="s">
        <v>48</v>
      </c>
      <c r="R2930" s="36" t="s">
        <v>48</v>
      </c>
    </row>
    <row r="2931">
      <c r="H2931" s="50"/>
      <c r="I2931" s="50"/>
      <c r="O2931" s="36" t="s">
        <v>48</v>
      </c>
      <c r="R2931" s="36" t="s">
        <v>48</v>
      </c>
    </row>
    <row r="2932">
      <c r="H2932" s="50"/>
      <c r="I2932" s="50"/>
      <c r="O2932" s="36" t="s">
        <v>48</v>
      </c>
      <c r="R2932" s="36" t="s">
        <v>48</v>
      </c>
    </row>
    <row r="2933">
      <c r="H2933" s="50"/>
      <c r="I2933" s="50"/>
      <c r="O2933" s="36" t="s">
        <v>48</v>
      </c>
      <c r="R2933" s="36" t="s">
        <v>48</v>
      </c>
    </row>
    <row r="2934">
      <c r="H2934" s="50"/>
      <c r="I2934" s="50"/>
      <c r="O2934" s="36" t="s">
        <v>48</v>
      </c>
      <c r="R2934" s="36" t="s">
        <v>48</v>
      </c>
    </row>
    <row r="2935">
      <c r="H2935" s="50"/>
      <c r="I2935" s="50"/>
      <c r="O2935" s="36" t="s">
        <v>48</v>
      </c>
      <c r="R2935" s="36" t="s">
        <v>48</v>
      </c>
    </row>
    <row r="2936">
      <c r="H2936" s="50"/>
      <c r="I2936" s="50"/>
      <c r="O2936" s="36" t="s">
        <v>48</v>
      </c>
      <c r="R2936" s="36" t="s">
        <v>48</v>
      </c>
    </row>
    <row r="2937">
      <c r="H2937" s="50"/>
      <c r="I2937" s="50"/>
      <c r="O2937" s="36" t="s">
        <v>48</v>
      </c>
      <c r="R2937" s="36" t="s">
        <v>48</v>
      </c>
    </row>
    <row r="2938">
      <c r="H2938" s="50"/>
      <c r="I2938" s="50"/>
      <c r="O2938" s="36" t="s">
        <v>48</v>
      </c>
      <c r="R2938" s="36" t="s">
        <v>48</v>
      </c>
    </row>
    <row r="2939">
      <c r="H2939" s="50"/>
      <c r="I2939" s="50"/>
      <c r="O2939" s="36" t="s">
        <v>48</v>
      </c>
      <c r="R2939" s="36" t="s">
        <v>48</v>
      </c>
    </row>
    <row r="2940">
      <c r="H2940" s="50"/>
      <c r="I2940" s="50"/>
      <c r="O2940" s="36" t="s">
        <v>48</v>
      </c>
      <c r="R2940" s="36" t="s">
        <v>48</v>
      </c>
    </row>
    <row r="2941">
      <c r="H2941" s="50"/>
      <c r="I2941" s="50"/>
      <c r="O2941" s="36" t="s">
        <v>48</v>
      </c>
      <c r="R2941" s="36" t="s">
        <v>48</v>
      </c>
    </row>
    <row r="2942">
      <c r="H2942" s="50"/>
      <c r="I2942" s="50"/>
      <c r="O2942" s="36" t="s">
        <v>48</v>
      </c>
      <c r="R2942" s="36" t="s">
        <v>48</v>
      </c>
    </row>
    <row r="2943">
      <c r="H2943" s="50"/>
      <c r="I2943" s="50"/>
      <c r="O2943" s="36" t="s">
        <v>48</v>
      </c>
      <c r="R2943" s="36" t="s">
        <v>48</v>
      </c>
    </row>
    <row r="2944">
      <c r="H2944" s="50"/>
      <c r="I2944" s="50"/>
      <c r="O2944" s="36" t="s">
        <v>48</v>
      </c>
      <c r="R2944" s="36" t="s">
        <v>48</v>
      </c>
    </row>
    <row r="2945">
      <c r="H2945" s="50"/>
      <c r="I2945" s="50"/>
      <c r="O2945" s="36" t="s">
        <v>48</v>
      </c>
      <c r="R2945" s="36" t="s">
        <v>48</v>
      </c>
    </row>
    <row r="2946">
      <c r="H2946" s="50"/>
      <c r="I2946" s="50"/>
      <c r="O2946" s="36" t="s">
        <v>48</v>
      </c>
      <c r="R2946" s="36" t="s">
        <v>48</v>
      </c>
    </row>
    <row r="2947">
      <c r="H2947" s="50"/>
      <c r="I2947" s="50"/>
      <c r="O2947" s="36" t="s">
        <v>48</v>
      </c>
      <c r="R2947" s="36" t="s">
        <v>48</v>
      </c>
    </row>
    <row r="2948">
      <c r="H2948" s="50"/>
      <c r="I2948" s="50"/>
      <c r="O2948" s="36" t="s">
        <v>48</v>
      </c>
      <c r="R2948" s="36" t="s">
        <v>48</v>
      </c>
    </row>
    <row r="2949">
      <c r="H2949" s="50"/>
      <c r="I2949" s="50"/>
      <c r="O2949" s="36" t="s">
        <v>48</v>
      </c>
      <c r="R2949" s="36" t="s">
        <v>48</v>
      </c>
    </row>
    <row r="2950">
      <c r="H2950" s="50"/>
      <c r="I2950" s="50"/>
      <c r="O2950" s="36" t="s">
        <v>48</v>
      </c>
      <c r="R2950" s="36" t="s">
        <v>48</v>
      </c>
    </row>
    <row r="2951">
      <c r="H2951" s="50"/>
      <c r="I2951" s="50"/>
      <c r="O2951" s="36" t="s">
        <v>48</v>
      </c>
      <c r="R2951" s="36" t="s">
        <v>48</v>
      </c>
    </row>
    <row r="2952">
      <c r="H2952" s="50"/>
      <c r="I2952" s="50"/>
      <c r="O2952" s="36" t="s">
        <v>48</v>
      </c>
      <c r="R2952" s="36" t="s">
        <v>48</v>
      </c>
    </row>
    <row r="2953">
      <c r="H2953" s="50"/>
      <c r="I2953" s="50"/>
      <c r="O2953" s="36" t="s">
        <v>48</v>
      </c>
      <c r="R2953" s="36" t="s">
        <v>48</v>
      </c>
    </row>
    <row r="2954">
      <c r="H2954" s="50"/>
      <c r="I2954" s="50"/>
      <c r="O2954" s="36" t="s">
        <v>48</v>
      </c>
      <c r="R2954" s="36" t="s">
        <v>48</v>
      </c>
    </row>
    <row r="2955">
      <c r="H2955" s="50"/>
      <c r="I2955" s="50"/>
      <c r="O2955" s="36" t="s">
        <v>48</v>
      </c>
      <c r="R2955" s="36" t="s">
        <v>48</v>
      </c>
    </row>
    <row r="2956">
      <c r="H2956" s="50"/>
      <c r="I2956" s="50"/>
      <c r="O2956" s="36" t="s">
        <v>48</v>
      </c>
      <c r="R2956" s="36" t="s">
        <v>48</v>
      </c>
    </row>
    <row r="2957">
      <c r="H2957" s="50"/>
      <c r="I2957" s="50"/>
      <c r="O2957" s="36" t="s">
        <v>48</v>
      </c>
      <c r="R2957" s="36" t="s">
        <v>48</v>
      </c>
    </row>
    <row r="2958">
      <c r="H2958" s="50"/>
      <c r="I2958" s="50"/>
      <c r="O2958" s="36" t="s">
        <v>48</v>
      </c>
      <c r="R2958" s="36" t="s">
        <v>48</v>
      </c>
    </row>
    <row r="2959">
      <c r="H2959" s="50"/>
      <c r="I2959" s="50"/>
      <c r="O2959" s="36" t="s">
        <v>48</v>
      </c>
      <c r="R2959" s="36" t="s">
        <v>48</v>
      </c>
    </row>
    <row r="2960">
      <c r="H2960" s="50"/>
      <c r="I2960" s="50"/>
      <c r="O2960" s="36" t="s">
        <v>48</v>
      </c>
      <c r="R2960" s="36" t="s">
        <v>48</v>
      </c>
    </row>
    <row r="2961">
      <c r="H2961" s="50"/>
      <c r="I2961" s="50"/>
      <c r="O2961" s="36" t="s">
        <v>48</v>
      </c>
      <c r="R2961" s="36" t="s">
        <v>48</v>
      </c>
    </row>
    <row r="2962">
      <c r="H2962" s="50"/>
      <c r="I2962" s="50"/>
      <c r="O2962" s="36" t="s">
        <v>48</v>
      </c>
      <c r="R2962" s="36" t="s">
        <v>48</v>
      </c>
    </row>
    <row r="2963">
      <c r="H2963" s="50"/>
      <c r="I2963" s="50"/>
      <c r="O2963" s="36" t="s">
        <v>48</v>
      </c>
      <c r="R2963" s="36" t="s">
        <v>48</v>
      </c>
    </row>
    <row r="2964">
      <c r="H2964" s="50"/>
      <c r="I2964" s="50"/>
      <c r="O2964" s="36" t="s">
        <v>48</v>
      </c>
      <c r="R2964" s="36" t="s">
        <v>48</v>
      </c>
    </row>
    <row r="2965">
      <c r="H2965" s="50"/>
      <c r="I2965" s="50"/>
      <c r="O2965" s="36" t="s">
        <v>48</v>
      </c>
      <c r="R2965" s="36" t="s">
        <v>48</v>
      </c>
    </row>
    <row r="2966">
      <c r="H2966" s="50"/>
      <c r="I2966" s="50"/>
      <c r="O2966" s="36" t="s">
        <v>48</v>
      </c>
      <c r="R2966" s="36" t="s">
        <v>48</v>
      </c>
    </row>
    <row r="2967">
      <c r="H2967" s="50"/>
      <c r="I2967" s="50"/>
      <c r="O2967" s="36" t="s">
        <v>48</v>
      </c>
      <c r="R2967" s="36" t="s">
        <v>48</v>
      </c>
    </row>
    <row r="2968">
      <c r="H2968" s="50"/>
      <c r="I2968" s="50"/>
      <c r="O2968" s="36" t="s">
        <v>48</v>
      </c>
      <c r="R2968" s="36" t="s">
        <v>48</v>
      </c>
    </row>
    <row r="2969">
      <c r="H2969" s="50"/>
      <c r="I2969" s="50"/>
      <c r="O2969" s="36" t="s">
        <v>48</v>
      </c>
      <c r="R2969" s="36" t="s">
        <v>48</v>
      </c>
    </row>
    <row r="2970">
      <c r="H2970" s="50"/>
      <c r="I2970" s="50"/>
      <c r="O2970" s="36" t="s">
        <v>48</v>
      </c>
      <c r="R2970" s="36" t="s">
        <v>48</v>
      </c>
    </row>
    <row r="2971">
      <c r="H2971" s="50"/>
      <c r="I2971" s="50"/>
      <c r="O2971" s="36" t="s">
        <v>48</v>
      </c>
      <c r="R2971" s="36" t="s">
        <v>48</v>
      </c>
    </row>
    <row r="2972">
      <c r="H2972" s="50"/>
      <c r="I2972" s="50"/>
      <c r="O2972" s="36" t="s">
        <v>48</v>
      </c>
      <c r="R2972" s="36" t="s">
        <v>48</v>
      </c>
    </row>
    <row r="2973">
      <c r="H2973" s="50"/>
      <c r="I2973" s="50"/>
      <c r="O2973" s="36" t="s">
        <v>48</v>
      </c>
      <c r="R2973" s="36" t="s">
        <v>48</v>
      </c>
    </row>
    <row r="2974">
      <c r="H2974" s="50"/>
      <c r="I2974" s="50"/>
      <c r="O2974" s="36" t="s">
        <v>48</v>
      </c>
      <c r="R2974" s="36" t="s">
        <v>48</v>
      </c>
    </row>
    <row r="2975">
      <c r="H2975" s="50"/>
      <c r="I2975" s="50"/>
      <c r="O2975" s="36" t="s">
        <v>48</v>
      </c>
      <c r="R2975" s="36" t="s">
        <v>48</v>
      </c>
    </row>
    <row r="2976">
      <c r="H2976" s="50"/>
      <c r="I2976" s="50"/>
      <c r="O2976" s="36" t="s">
        <v>48</v>
      </c>
      <c r="R2976" s="36" t="s">
        <v>48</v>
      </c>
    </row>
    <row r="2977">
      <c r="H2977" s="50"/>
      <c r="I2977" s="50"/>
      <c r="O2977" s="36" t="s">
        <v>48</v>
      </c>
      <c r="R2977" s="36" t="s">
        <v>48</v>
      </c>
    </row>
    <row r="2978">
      <c r="H2978" s="50"/>
      <c r="I2978" s="50"/>
      <c r="O2978" s="36" t="s">
        <v>48</v>
      </c>
      <c r="R2978" s="36" t="s">
        <v>48</v>
      </c>
    </row>
    <row r="2979">
      <c r="H2979" s="50"/>
      <c r="I2979" s="50"/>
      <c r="O2979" s="36" t="s">
        <v>48</v>
      </c>
      <c r="R2979" s="36" t="s">
        <v>48</v>
      </c>
    </row>
    <row r="2980">
      <c r="H2980" s="50"/>
      <c r="I2980" s="50"/>
      <c r="O2980" s="36" t="s">
        <v>48</v>
      </c>
      <c r="R2980" s="36" t="s">
        <v>48</v>
      </c>
    </row>
    <row r="2981">
      <c r="H2981" s="50"/>
      <c r="I2981" s="50"/>
      <c r="O2981" s="36" t="s">
        <v>48</v>
      </c>
      <c r="R2981" s="36" t="s">
        <v>48</v>
      </c>
    </row>
    <row r="2982">
      <c r="H2982" s="50"/>
      <c r="I2982" s="50"/>
      <c r="O2982" s="36" t="s">
        <v>48</v>
      </c>
      <c r="R2982" s="36" t="s">
        <v>48</v>
      </c>
    </row>
    <row r="2983">
      <c r="H2983" s="50"/>
      <c r="I2983" s="50"/>
      <c r="O2983" s="36" t="s">
        <v>48</v>
      </c>
      <c r="R2983" s="36" t="s">
        <v>48</v>
      </c>
    </row>
    <row r="2984">
      <c r="H2984" s="50"/>
      <c r="I2984" s="50"/>
      <c r="O2984" s="36" t="s">
        <v>48</v>
      </c>
      <c r="R2984" s="36" t="s">
        <v>48</v>
      </c>
    </row>
    <row r="2985">
      <c r="H2985" s="50"/>
      <c r="I2985" s="50"/>
      <c r="O2985" s="36" t="s">
        <v>48</v>
      </c>
      <c r="R2985" s="36" t="s">
        <v>48</v>
      </c>
    </row>
    <row r="2986">
      <c r="H2986" s="50"/>
      <c r="I2986" s="50"/>
      <c r="O2986" s="36" t="s">
        <v>48</v>
      </c>
      <c r="R2986" s="36" t="s">
        <v>48</v>
      </c>
    </row>
    <row r="2987">
      <c r="H2987" s="50"/>
      <c r="I2987" s="50"/>
      <c r="O2987" s="36" t="s">
        <v>48</v>
      </c>
      <c r="R2987" s="36" t="s">
        <v>48</v>
      </c>
    </row>
    <row r="2988">
      <c r="H2988" s="50"/>
      <c r="I2988" s="50"/>
      <c r="O2988" s="36" t="s">
        <v>48</v>
      </c>
      <c r="R2988" s="36" t="s">
        <v>48</v>
      </c>
    </row>
    <row r="2989">
      <c r="H2989" s="50"/>
      <c r="I2989" s="50"/>
      <c r="O2989" s="36" t="s">
        <v>48</v>
      </c>
      <c r="R2989" s="36" t="s">
        <v>48</v>
      </c>
    </row>
    <row r="2990">
      <c r="H2990" s="50"/>
      <c r="I2990" s="50"/>
      <c r="O2990" s="36" t="s">
        <v>48</v>
      </c>
      <c r="R2990" s="36" t="s">
        <v>48</v>
      </c>
    </row>
    <row r="2991">
      <c r="H2991" s="50"/>
      <c r="I2991" s="50"/>
      <c r="O2991" s="36" t="s">
        <v>48</v>
      </c>
      <c r="R2991" s="36" t="s">
        <v>48</v>
      </c>
    </row>
    <row r="2992">
      <c r="H2992" s="50"/>
      <c r="I2992" s="50"/>
      <c r="O2992" s="36" t="s">
        <v>48</v>
      </c>
      <c r="R2992" s="36" t="s">
        <v>48</v>
      </c>
    </row>
    <row r="2993">
      <c r="H2993" s="50"/>
      <c r="I2993" s="50"/>
      <c r="O2993" s="36" t="s">
        <v>48</v>
      </c>
      <c r="R2993" s="36" t="s">
        <v>48</v>
      </c>
    </row>
    <row r="2994">
      <c r="H2994" s="50"/>
      <c r="I2994" s="50"/>
      <c r="O2994" s="36" t="s">
        <v>48</v>
      </c>
      <c r="R2994" s="36" t="s">
        <v>48</v>
      </c>
    </row>
    <row r="2995">
      <c r="H2995" s="50"/>
      <c r="I2995" s="50"/>
      <c r="O2995" s="36" t="s">
        <v>48</v>
      </c>
      <c r="R2995" s="36" t="s">
        <v>48</v>
      </c>
    </row>
    <row r="2996">
      <c r="H2996" s="50"/>
      <c r="I2996" s="50"/>
      <c r="O2996" s="36" t="s">
        <v>48</v>
      </c>
      <c r="R2996" s="36" t="s">
        <v>48</v>
      </c>
    </row>
    <row r="2997">
      <c r="H2997" s="50"/>
      <c r="I2997" s="50"/>
      <c r="O2997" s="36" t="s">
        <v>48</v>
      </c>
      <c r="R2997" s="36" t="s">
        <v>48</v>
      </c>
    </row>
    <row r="2998">
      <c r="H2998" s="50"/>
      <c r="I2998" s="50"/>
      <c r="O2998" s="36" t="s">
        <v>48</v>
      </c>
      <c r="R2998" s="36" t="s">
        <v>48</v>
      </c>
    </row>
    <row r="2999">
      <c r="H2999" s="50"/>
      <c r="I2999" s="50"/>
      <c r="O2999" s="36" t="s">
        <v>48</v>
      </c>
      <c r="R2999" s="36" t="s">
        <v>48</v>
      </c>
    </row>
    <row r="3000">
      <c r="H3000" s="50"/>
      <c r="I3000" s="50"/>
      <c r="O3000" s="36" t="s">
        <v>48</v>
      </c>
      <c r="R3000" s="36" t="s">
        <v>48</v>
      </c>
    </row>
    <row r="3001">
      <c r="H3001" s="50"/>
      <c r="I3001" s="50"/>
      <c r="O3001" s="36" t="s">
        <v>48</v>
      </c>
      <c r="R3001" s="36" t="s">
        <v>48</v>
      </c>
    </row>
    <row r="3002">
      <c r="H3002" s="50"/>
      <c r="I3002" s="50"/>
      <c r="O3002" s="36" t="s">
        <v>48</v>
      </c>
      <c r="R3002" s="36" t="s">
        <v>48</v>
      </c>
    </row>
    <row r="3003">
      <c r="H3003" s="50"/>
      <c r="I3003" s="50"/>
      <c r="O3003" s="36" t="s">
        <v>48</v>
      </c>
      <c r="R3003" s="36" t="s">
        <v>48</v>
      </c>
    </row>
    <row r="3004">
      <c r="H3004" s="50"/>
      <c r="I3004" s="50"/>
      <c r="O3004" s="36" t="s">
        <v>48</v>
      </c>
      <c r="R3004" s="36" t="s">
        <v>48</v>
      </c>
    </row>
    <row r="3005">
      <c r="H3005" s="50"/>
      <c r="I3005" s="50"/>
      <c r="O3005" s="36" t="s">
        <v>48</v>
      </c>
      <c r="R3005" s="36" t="s">
        <v>48</v>
      </c>
    </row>
    <row r="3006">
      <c r="H3006" s="50"/>
      <c r="I3006" s="50"/>
      <c r="O3006" s="36" t="s">
        <v>48</v>
      </c>
      <c r="R3006" s="36" t="s">
        <v>48</v>
      </c>
    </row>
    <row r="3007">
      <c r="H3007" s="50"/>
      <c r="I3007" s="50"/>
      <c r="O3007" s="36" t="s">
        <v>48</v>
      </c>
      <c r="R3007" s="36" t="s">
        <v>48</v>
      </c>
    </row>
    <row r="3008">
      <c r="H3008" s="50"/>
      <c r="I3008" s="50"/>
      <c r="O3008" s="36" t="s">
        <v>48</v>
      </c>
      <c r="R3008" s="36" t="s">
        <v>48</v>
      </c>
    </row>
    <row r="3009">
      <c r="H3009" s="50"/>
      <c r="I3009" s="50"/>
      <c r="O3009" s="36" t="s">
        <v>48</v>
      </c>
      <c r="R3009" s="36" t="s">
        <v>48</v>
      </c>
    </row>
    <row r="3010">
      <c r="H3010" s="50"/>
      <c r="I3010" s="50"/>
      <c r="O3010" s="36" t="s">
        <v>48</v>
      </c>
      <c r="R3010" s="36" t="s">
        <v>48</v>
      </c>
    </row>
    <row r="3011">
      <c r="H3011" s="50"/>
      <c r="I3011" s="50"/>
      <c r="O3011" s="36" t="s">
        <v>48</v>
      </c>
      <c r="R3011" s="36" t="s">
        <v>48</v>
      </c>
    </row>
    <row r="3012">
      <c r="H3012" s="50"/>
      <c r="I3012" s="50"/>
      <c r="O3012" s="36" t="s">
        <v>48</v>
      </c>
      <c r="R3012" s="36" t="s">
        <v>48</v>
      </c>
    </row>
    <row r="3013">
      <c r="H3013" s="50"/>
      <c r="I3013" s="50"/>
      <c r="O3013" s="36" t="s">
        <v>48</v>
      </c>
      <c r="R3013" s="36" t="s">
        <v>48</v>
      </c>
    </row>
    <row r="3014">
      <c r="H3014" s="50"/>
      <c r="I3014" s="50"/>
      <c r="O3014" s="36" t="s">
        <v>48</v>
      </c>
      <c r="R3014" s="36" t="s">
        <v>48</v>
      </c>
    </row>
    <row r="3015">
      <c r="H3015" s="50"/>
      <c r="I3015" s="50"/>
      <c r="O3015" s="36" t="s">
        <v>48</v>
      </c>
      <c r="R3015" s="36" t="s">
        <v>48</v>
      </c>
    </row>
    <row r="3016">
      <c r="H3016" s="50"/>
      <c r="I3016" s="50"/>
      <c r="O3016" s="36" t="s">
        <v>48</v>
      </c>
      <c r="R3016" s="36" t="s">
        <v>48</v>
      </c>
    </row>
    <row r="3017">
      <c r="H3017" s="50"/>
      <c r="I3017" s="50"/>
      <c r="O3017" s="36" t="s">
        <v>48</v>
      </c>
      <c r="R3017" s="36" t="s">
        <v>48</v>
      </c>
    </row>
    <row r="3018">
      <c r="H3018" s="50"/>
      <c r="I3018" s="50"/>
      <c r="O3018" s="36" t="s">
        <v>48</v>
      </c>
      <c r="R3018" s="36" t="s">
        <v>48</v>
      </c>
    </row>
    <row r="3019">
      <c r="H3019" s="50"/>
      <c r="I3019" s="50"/>
      <c r="O3019" s="36" t="s">
        <v>48</v>
      </c>
      <c r="R3019" s="36" t="s">
        <v>48</v>
      </c>
    </row>
    <row r="3020">
      <c r="H3020" s="50"/>
      <c r="I3020" s="50"/>
      <c r="O3020" s="36" t="s">
        <v>48</v>
      </c>
      <c r="R3020" s="36" t="s">
        <v>48</v>
      </c>
    </row>
    <row r="3021">
      <c r="H3021" s="50"/>
      <c r="I3021" s="50"/>
      <c r="O3021" s="36" t="s">
        <v>48</v>
      </c>
      <c r="R3021" s="36" t="s">
        <v>48</v>
      </c>
    </row>
    <row r="3022">
      <c r="H3022" s="50"/>
      <c r="I3022" s="50"/>
      <c r="O3022" s="36" t="s">
        <v>48</v>
      </c>
      <c r="R3022" s="36" t="s">
        <v>48</v>
      </c>
    </row>
    <row r="3023">
      <c r="H3023" s="50"/>
      <c r="I3023" s="50"/>
      <c r="O3023" s="36" t="s">
        <v>48</v>
      </c>
      <c r="R3023" s="36" t="s">
        <v>48</v>
      </c>
    </row>
    <row r="3024">
      <c r="H3024" s="50"/>
      <c r="I3024" s="50"/>
      <c r="O3024" s="36" t="s">
        <v>48</v>
      </c>
      <c r="R3024" s="36" t="s">
        <v>48</v>
      </c>
    </row>
    <row r="3025">
      <c r="H3025" s="50"/>
      <c r="I3025" s="50"/>
      <c r="O3025" s="36" t="s">
        <v>48</v>
      </c>
      <c r="R3025" s="36" t="s">
        <v>48</v>
      </c>
    </row>
    <row r="3026">
      <c r="H3026" s="50"/>
      <c r="I3026" s="50"/>
      <c r="O3026" s="36" t="s">
        <v>48</v>
      </c>
      <c r="R3026" s="36" t="s">
        <v>48</v>
      </c>
    </row>
    <row r="3027">
      <c r="H3027" s="50"/>
      <c r="I3027" s="50"/>
      <c r="O3027" s="36" t="s">
        <v>48</v>
      </c>
      <c r="R3027" s="36" t="s">
        <v>48</v>
      </c>
    </row>
    <row r="3028">
      <c r="H3028" s="50"/>
      <c r="I3028" s="50"/>
      <c r="O3028" s="36" t="s">
        <v>48</v>
      </c>
      <c r="R3028" s="36" t="s">
        <v>48</v>
      </c>
    </row>
    <row r="3029">
      <c r="H3029" s="50"/>
      <c r="I3029" s="50"/>
      <c r="O3029" s="36" t="s">
        <v>48</v>
      </c>
      <c r="R3029" s="36" t="s">
        <v>48</v>
      </c>
    </row>
    <row r="3030">
      <c r="H3030" s="50"/>
      <c r="I3030" s="50"/>
      <c r="O3030" s="36" t="s">
        <v>48</v>
      </c>
      <c r="R3030" s="36" t="s">
        <v>48</v>
      </c>
    </row>
    <row r="3031">
      <c r="H3031" s="50"/>
      <c r="I3031" s="50"/>
      <c r="O3031" s="36" t="s">
        <v>48</v>
      </c>
      <c r="R3031" s="36" t="s">
        <v>48</v>
      </c>
    </row>
    <row r="3032">
      <c r="H3032" s="50"/>
      <c r="I3032" s="50"/>
      <c r="O3032" s="36" t="s">
        <v>48</v>
      </c>
      <c r="R3032" s="36" t="s">
        <v>48</v>
      </c>
    </row>
    <row r="3033">
      <c r="H3033" s="50"/>
      <c r="I3033" s="50"/>
      <c r="O3033" s="36" t="s">
        <v>48</v>
      </c>
      <c r="R3033" s="36" t="s">
        <v>48</v>
      </c>
    </row>
    <row r="3034">
      <c r="H3034" s="50"/>
      <c r="I3034" s="50"/>
      <c r="O3034" s="36" t="s">
        <v>48</v>
      </c>
      <c r="R3034" s="36" t="s">
        <v>48</v>
      </c>
    </row>
    <row r="3035">
      <c r="H3035" s="50"/>
      <c r="I3035" s="50"/>
      <c r="O3035" s="36" t="s">
        <v>48</v>
      </c>
      <c r="R3035" s="36" t="s">
        <v>48</v>
      </c>
    </row>
    <row r="3036">
      <c r="H3036" s="50"/>
      <c r="I3036" s="50"/>
      <c r="O3036" s="36" t="s">
        <v>48</v>
      </c>
      <c r="R3036" s="36" t="s">
        <v>48</v>
      </c>
    </row>
    <row r="3037">
      <c r="H3037" s="50"/>
      <c r="I3037" s="50"/>
      <c r="O3037" s="36" t="s">
        <v>48</v>
      </c>
      <c r="R3037" s="36" t="s">
        <v>48</v>
      </c>
    </row>
    <row r="3038">
      <c r="H3038" s="50"/>
      <c r="I3038" s="50"/>
      <c r="O3038" s="36" t="s">
        <v>48</v>
      </c>
      <c r="R3038" s="36" t="s">
        <v>48</v>
      </c>
    </row>
    <row r="3039">
      <c r="H3039" s="50"/>
      <c r="I3039" s="50"/>
      <c r="O3039" s="36" t="s">
        <v>48</v>
      </c>
      <c r="R3039" s="36" t="s">
        <v>48</v>
      </c>
    </row>
    <row r="3040">
      <c r="H3040" s="50"/>
      <c r="I3040" s="50"/>
      <c r="O3040" s="36" t="s">
        <v>48</v>
      </c>
      <c r="R3040" s="36" t="s">
        <v>48</v>
      </c>
    </row>
    <row r="3041">
      <c r="H3041" s="50"/>
      <c r="I3041" s="50"/>
      <c r="O3041" s="36" t="s">
        <v>48</v>
      </c>
      <c r="R3041" s="36" t="s">
        <v>48</v>
      </c>
    </row>
    <row r="3042">
      <c r="H3042" s="50"/>
      <c r="I3042" s="50"/>
      <c r="O3042" s="36" t="s">
        <v>48</v>
      </c>
      <c r="R3042" s="36" t="s">
        <v>48</v>
      </c>
    </row>
    <row r="3043">
      <c r="H3043" s="50"/>
      <c r="I3043" s="50"/>
      <c r="O3043" s="36" t="s">
        <v>48</v>
      </c>
      <c r="R3043" s="36" t="s">
        <v>48</v>
      </c>
    </row>
    <row r="3044">
      <c r="H3044" s="50"/>
      <c r="I3044" s="50"/>
      <c r="O3044" s="36" t="s">
        <v>48</v>
      </c>
      <c r="R3044" s="36" t="s">
        <v>48</v>
      </c>
    </row>
    <row r="3045">
      <c r="H3045" s="50"/>
      <c r="I3045" s="50"/>
      <c r="O3045" s="36" t="s">
        <v>48</v>
      </c>
      <c r="R3045" s="36" t="s">
        <v>48</v>
      </c>
    </row>
    <row r="3046">
      <c r="H3046" s="50"/>
      <c r="I3046" s="50"/>
      <c r="O3046" s="36" t="s">
        <v>48</v>
      </c>
      <c r="R3046" s="36" t="s">
        <v>48</v>
      </c>
    </row>
    <row r="3047">
      <c r="H3047" s="50"/>
      <c r="I3047" s="50"/>
      <c r="O3047" s="36" t="s">
        <v>48</v>
      </c>
      <c r="R3047" s="36" t="s">
        <v>48</v>
      </c>
    </row>
    <row r="3048">
      <c r="H3048" s="50"/>
      <c r="I3048" s="50"/>
      <c r="O3048" s="36" t="s">
        <v>48</v>
      </c>
      <c r="R3048" s="36" t="s">
        <v>48</v>
      </c>
    </row>
    <row r="3049">
      <c r="H3049" s="50"/>
      <c r="I3049" s="50"/>
      <c r="O3049" s="36" t="s">
        <v>48</v>
      </c>
      <c r="R3049" s="36" t="s">
        <v>48</v>
      </c>
    </row>
    <row r="3050">
      <c r="H3050" s="50"/>
      <c r="I3050" s="50"/>
      <c r="O3050" s="36" t="s">
        <v>48</v>
      </c>
      <c r="R3050" s="36" t="s">
        <v>48</v>
      </c>
    </row>
    <row r="3051">
      <c r="H3051" s="50"/>
      <c r="I3051" s="50"/>
      <c r="O3051" s="36" t="s">
        <v>48</v>
      </c>
      <c r="R3051" s="36" t="s">
        <v>48</v>
      </c>
    </row>
    <row r="3052">
      <c r="H3052" s="50"/>
      <c r="I3052" s="50"/>
      <c r="O3052" s="36" t="s">
        <v>48</v>
      </c>
      <c r="R3052" s="36" t="s">
        <v>48</v>
      </c>
    </row>
    <row r="3053">
      <c r="H3053" s="50"/>
      <c r="I3053" s="50"/>
      <c r="O3053" s="36" t="s">
        <v>48</v>
      </c>
      <c r="R3053" s="36" t="s">
        <v>48</v>
      </c>
    </row>
    <row r="3054">
      <c r="H3054" s="50"/>
      <c r="I3054" s="50"/>
      <c r="O3054" s="36" t="s">
        <v>48</v>
      </c>
      <c r="R3054" s="36" t="s">
        <v>48</v>
      </c>
    </row>
    <row r="3055">
      <c r="H3055" s="50"/>
      <c r="I3055" s="50"/>
      <c r="O3055" s="36" t="s">
        <v>48</v>
      </c>
      <c r="R3055" s="36" t="s">
        <v>48</v>
      </c>
    </row>
    <row r="3056">
      <c r="H3056" s="50"/>
      <c r="I3056" s="50"/>
      <c r="O3056" s="36" t="s">
        <v>48</v>
      </c>
      <c r="R3056" s="36" t="s">
        <v>48</v>
      </c>
    </row>
    <row r="3057">
      <c r="H3057" s="50"/>
      <c r="I3057" s="50"/>
      <c r="O3057" s="36" t="s">
        <v>48</v>
      </c>
      <c r="R3057" s="36" t="s">
        <v>48</v>
      </c>
    </row>
    <row r="3058">
      <c r="H3058" s="50"/>
      <c r="I3058" s="50"/>
      <c r="O3058" s="36" t="s">
        <v>48</v>
      </c>
      <c r="R3058" s="36" t="s">
        <v>48</v>
      </c>
    </row>
    <row r="3059">
      <c r="H3059" s="50"/>
      <c r="I3059" s="50"/>
      <c r="O3059" s="36" t="s">
        <v>48</v>
      </c>
      <c r="R3059" s="36" t="s">
        <v>48</v>
      </c>
    </row>
    <row r="3060">
      <c r="H3060" s="50"/>
      <c r="I3060" s="50"/>
      <c r="O3060" s="36" t="s">
        <v>48</v>
      </c>
      <c r="R3060" s="36" t="s">
        <v>48</v>
      </c>
    </row>
    <row r="3061">
      <c r="H3061" s="50"/>
      <c r="I3061" s="50"/>
      <c r="O3061" s="36" t="s">
        <v>48</v>
      </c>
      <c r="R3061" s="36" t="s">
        <v>48</v>
      </c>
    </row>
    <row r="3062">
      <c r="H3062" s="50"/>
      <c r="I3062" s="50"/>
      <c r="O3062" s="36" t="s">
        <v>48</v>
      </c>
      <c r="R3062" s="36" t="s">
        <v>48</v>
      </c>
    </row>
    <row r="3063">
      <c r="H3063" s="50"/>
      <c r="I3063" s="50"/>
      <c r="O3063" s="36" t="s">
        <v>48</v>
      </c>
      <c r="R3063" s="36" t="s">
        <v>48</v>
      </c>
    </row>
    <row r="3064">
      <c r="H3064" s="50"/>
      <c r="I3064" s="50"/>
      <c r="O3064" s="36" t="s">
        <v>48</v>
      </c>
      <c r="R3064" s="36" t="s">
        <v>48</v>
      </c>
    </row>
    <row r="3065">
      <c r="H3065" s="50"/>
      <c r="I3065" s="50"/>
      <c r="O3065" s="36" t="s">
        <v>48</v>
      </c>
      <c r="R3065" s="36" t="s">
        <v>48</v>
      </c>
    </row>
    <row r="3066">
      <c r="H3066" s="50"/>
      <c r="I3066" s="50"/>
      <c r="O3066" s="36" t="s">
        <v>48</v>
      </c>
      <c r="R3066" s="36" t="s">
        <v>48</v>
      </c>
    </row>
    <row r="3067">
      <c r="H3067" s="50"/>
      <c r="I3067" s="50"/>
      <c r="O3067" s="36" t="s">
        <v>48</v>
      </c>
      <c r="R3067" s="36" t="s">
        <v>48</v>
      </c>
    </row>
    <row r="3068">
      <c r="H3068" s="50"/>
      <c r="I3068" s="50"/>
      <c r="O3068" s="36" t="s">
        <v>48</v>
      </c>
      <c r="R3068" s="36" t="s">
        <v>48</v>
      </c>
    </row>
    <row r="3069">
      <c r="H3069" s="50"/>
      <c r="I3069" s="50"/>
      <c r="O3069" s="36" t="s">
        <v>48</v>
      </c>
      <c r="R3069" s="36" t="s">
        <v>48</v>
      </c>
    </row>
    <row r="3070">
      <c r="H3070" s="50"/>
      <c r="I3070" s="50"/>
      <c r="O3070" s="36" t="s">
        <v>48</v>
      </c>
      <c r="R3070" s="36" t="s">
        <v>48</v>
      </c>
    </row>
    <row r="3071">
      <c r="H3071" s="50"/>
      <c r="I3071" s="50"/>
      <c r="O3071" s="36" t="s">
        <v>48</v>
      </c>
      <c r="R3071" s="36" t="s">
        <v>48</v>
      </c>
    </row>
    <row r="3072">
      <c r="H3072" s="50"/>
      <c r="I3072" s="50"/>
      <c r="O3072" s="36" t="s">
        <v>48</v>
      </c>
      <c r="R3072" s="36" t="s">
        <v>48</v>
      </c>
    </row>
    <row r="3073">
      <c r="H3073" s="50"/>
      <c r="I3073" s="50"/>
      <c r="O3073" s="36" t="s">
        <v>48</v>
      </c>
      <c r="R3073" s="36" t="s">
        <v>48</v>
      </c>
    </row>
    <row r="3074">
      <c r="H3074" s="50"/>
      <c r="I3074" s="50"/>
      <c r="O3074" s="36" t="s">
        <v>48</v>
      </c>
      <c r="R3074" s="36" t="s">
        <v>48</v>
      </c>
    </row>
    <row r="3075">
      <c r="H3075" s="50"/>
      <c r="I3075" s="50"/>
      <c r="O3075" s="36" t="s">
        <v>48</v>
      </c>
      <c r="R3075" s="36" t="s">
        <v>48</v>
      </c>
    </row>
    <row r="3076">
      <c r="H3076" s="50"/>
      <c r="I3076" s="50"/>
      <c r="O3076" s="36" t="s">
        <v>48</v>
      </c>
      <c r="R3076" s="36" t="s">
        <v>48</v>
      </c>
    </row>
    <row r="3077">
      <c r="H3077" s="50"/>
      <c r="I3077" s="50"/>
      <c r="O3077" s="36" t="s">
        <v>48</v>
      </c>
      <c r="R3077" s="36" t="s">
        <v>48</v>
      </c>
    </row>
    <row r="3078">
      <c r="H3078" s="50"/>
      <c r="I3078" s="50"/>
      <c r="O3078" s="36" t="s">
        <v>48</v>
      </c>
      <c r="R3078" s="36" t="s">
        <v>48</v>
      </c>
    </row>
    <row r="3079">
      <c r="H3079" s="50"/>
      <c r="I3079" s="50"/>
      <c r="O3079" s="36" t="s">
        <v>48</v>
      </c>
      <c r="R3079" s="36" t="s">
        <v>48</v>
      </c>
    </row>
    <row r="3080">
      <c r="H3080" s="50"/>
      <c r="I3080" s="50"/>
      <c r="O3080" s="36" t="s">
        <v>48</v>
      </c>
      <c r="R3080" s="36" t="s">
        <v>48</v>
      </c>
    </row>
    <row r="3081">
      <c r="H3081" s="50"/>
      <c r="I3081" s="50"/>
      <c r="O3081" s="36" t="s">
        <v>48</v>
      </c>
      <c r="R3081" s="36" t="s">
        <v>48</v>
      </c>
    </row>
    <row r="3082">
      <c r="H3082" s="50"/>
      <c r="I3082" s="50"/>
      <c r="O3082" s="36" t="s">
        <v>48</v>
      </c>
      <c r="R3082" s="36" t="s">
        <v>48</v>
      </c>
    </row>
    <row r="3083">
      <c r="H3083" s="50"/>
      <c r="I3083" s="50"/>
      <c r="O3083" s="36" t="s">
        <v>48</v>
      </c>
      <c r="R3083" s="36" t="s">
        <v>48</v>
      </c>
    </row>
    <row r="3084">
      <c r="H3084" s="50"/>
      <c r="I3084" s="50"/>
      <c r="O3084" s="36" t="s">
        <v>48</v>
      </c>
      <c r="R3084" s="36" t="s">
        <v>48</v>
      </c>
    </row>
    <row r="3085">
      <c r="H3085" s="50"/>
      <c r="I3085" s="50"/>
      <c r="O3085" s="36" t="s">
        <v>48</v>
      </c>
      <c r="R3085" s="36" t="s">
        <v>48</v>
      </c>
    </row>
    <row r="3086">
      <c r="H3086" s="50"/>
      <c r="I3086" s="50"/>
      <c r="O3086" s="36" t="s">
        <v>48</v>
      </c>
      <c r="R3086" s="36" t="s">
        <v>48</v>
      </c>
    </row>
    <row r="3087">
      <c r="H3087" s="50"/>
      <c r="I3087" s="50"/>
      <c r="O3087" s="36" t="s">
        <v>48</v>
      </c>
      <c r="R3087" s="36" t="s">
        <v>48</v>
      </c>
    </row>
    <row r="3088">
      <c r="H3088" s="50"/>
      <c r="I3088" s="50"/>
      <c r="O3088" s="36" t="s">
        <v>48</v>
      </c>
      <c r="R3088" s="36" t="s">
        <v>48</v>
      </c>
    </row>
    <row r="3089">
      <c r="H3089" s="50"/>
      <c r="I3089" s="50"/>
      <c r="O3089" s="36" t="s">
        <v>48</v>
      </c>
      <c r="R3089" s="36" t="s">
        <v>48</v>
      </c>
    </row>
    <row r="3090">
      <c r="H3090" s="50"/>
      <c r="I3090" s="50"/>
      <c r="O3090" s="36" t="s">
        <v>48</v>
      </c>
      <c r="R3090" s="36" t="s">
        <v>48</v>
      </c>
    </row>
    <row r="3091">
      <c r="H3091" s="50"/>
      <c r="I3091" s="50"/>
      <c r="O3091" s="36" t="s">
        <v>48</v>
      </c>
      <c r="R3091" s="36" t="s">
        <v>48</v>
      </c>
    </row>
    <row r="3092">
      <c r="H3092" s="50"/>
      <c r="I3092" s="50"/>
      <c r="O3092" s="36" t="s">
        <v>48</v>
      </c>
      <c r="R3092" s="36" t="s">
        <v>48</v>
      </c>
    </row>
    <row r="3093">
      <c r="H3093" s="50"/>
      <c r="I3093" s="50"/>
      <c r="O3093" s="36" t="s">
        <v>48</v>
      </c>
      <c r="R3093" s="36" t="s">
        <v>48</v>
      </c>
    </row>
    <row r="3094">
      <c r="H3094" s="50"/>
      <c r="I3094" s="50"/>
      <c r="O3094" s="36" t="s">
        <v>48</v>
      </c>
      <c r="R3094" s="36" t="s">
        <v>48</v>
      </c>
    </row>
    <row r="3095">
      <c r="H3095" s="50"/>
      <c r="I3095" s="50"/>
      <c r="O3095" s="36" t="s">
        <v>48</v>
      </c>
      <c r="R3095" s="36" t="s">
        <v>48</v>
      </c>
    </row>
    <row r="3096">
      <c r="H3096" s="50"/>
      <c r="I3096" s="50"/>
      <c r="O3096" s="36" t="s">
        <v>48</v>
      </c>
      <c r="R3096" s="36" t="s">
        <v>48</v>
      </c>
    </row>
    <row r="3097">
      <c r="H3097" s="50"/>
      <c r="I3097" s="50"/>
      <c r="O3097" s="36" t="s">
        <v>48</v>
      </c>
      <c r="R3097" s="36" t="s">
        <v>48</v>
      </c>
    </row>
    <row r="3098">
      <c r="H3098" s="50"/>
      <c r="I3098" s="50"/>
      <c r="O3098" s="36" t="s">
        <v>48</v>
      </c>
      <c r="R3098" s="36" t="s">
        <v>48</v>
      </c>
    </row>
    <row r="3099">
      <c r="H3099" s="50"/>
      <c r="I3099" s="50"/>
      <c r="O3099" s="36" t="s">
        <v>48</v>
      </c>
      <c r="R3099" s="36" t="s">
        <v>48</v>
      </c>
    </row>
    <row r="3100">
      <c r="H3100" s="50"/>
      <c r="I3100" s="50"/>
      <c r="O3100" s="36" t="s">
        <v>48</v>
      </c>
      <c r="R3100" s="36" t="s">
        <v>48</v>
      </c>
    </row>
    <row r="3101">
      <c r="H3101" s="50"/>
      <c r="I3101" s="50"/>
      <c r="O3101" s="36" t="s">
        <v>48</v>
      </c>
      <c r="R3101" s="36" t="s">
        <v>48</v>
      </c>
    </row>
    <row r="3102">
      <c r="H3102" s="50"/>
      <c r="I3102" s="50"/>
      <c r="O3102" s="36" t="s">
        <v>48</v>
      </c>
      <c r="R3102" s="36" t="s">
        <v>48</v>
      </c>
    </row>
    <row r="3103">
      <c r="H3103" s="50"/>
      <c r="I3103" s="50"/>
      <c r="O3103" s="36" t="s">
        <v>48</v>
      </c>
      <c r="R3103" s="36" t="s">
        <v>48</v>
      </c>
    </row>
    <row r="3104">
      <c r="H3104" s="50"/>
      <c r="I3104" s="50"/>
      <c r="O3104" s="36" t="s">
        <v>48</v>
      </c>
      <c r="R3104" s="36" t="s">
        <v>48</v>
      </c>
    </row>
    <row r="3105">
      <c r="H3105" s="50"/>
      <c r="I3105" s="50"/>
      <c r="O3105" s="36" t="s">
        <v>48</v>
      </c>
      <c r="R3105" s="36" t="s">
        <v>48</v>
      </c>
    </row>
    <row r="3106">
      <c r="H3106" s="50"/>
      <c r="I3106" s="50"/>
      <c r="O3106" s="36" t="s">
        <v>48</v>
      </c>
      <c r="R3106" s="36" t="s">
        <v>48</v>
      </c>
    </row>
    <row r="3107">
      <c r="H3107" s="50"/>
      <c r="I3107" s="50"/>
      <c r="O3107" s="36" t="s">
        <v>48</v>
      </c>
      <c r="R3107" s="36" t="s">
        <v>48</v>
      </c>
    </row>
    <row r="3108">
      <c r="H3108" s="50"/>
      <c r="I3108" s="50"/>
      <c r="O3108" s="36" t="s">
        <v>48</v>
      </c>
      <c r="R3108" s="36" t="s">
        <v>48</v>
      </c>
    </row>
    <row r="3109">
      <c r="H3109" s="50"/>
      <c r="I3109" s="50"/>
      <c r="O3109" s="36" t="s">
        <v>48</v>
      </c>
      <c r="R3109" s="36" t="s">
        <v>48</v>
      </c>
    </row>
    <row r="3110">
      <c r="H3110" s="50"/>
      <c r="I3110" s="50"/>
      <c r="O3110" s="36" t="s">
        <v>48</v>
      </c>
      <c r="R3110" s="36" t="s">
        <v>48</v>
      </c>
    </row>
    <row r="3111">
      <c r="H3111" s="50"/>
      <c r="I3111" s="50"/>
      <c r="O3111" s="36" t="s">
        <v>48</v>
      </c>
      <c r="R3111" s="36" t="s">
        <v>48</v>
      </c>
    </row>
    <row r="3112">
      <c r="H3112" s="50"/>
      <c r="I3112" s="50"/>
      <c r="O3112" s="36" t="s">
        <v>48</v>
      </c>
      <c r="R3112" s="36" t="s">
        <v>48</v>
      </c>
    </row>
    <row r="3113">
      <c r="H3113" s="50"/>
      <c r="I3113" s="50"/>
      <c r="O3113" s="36" t="s">
        <v>48</v>
      </c>
      <c r="R3113" s="36" t="s">
        <v>48</v>
      </c>
    </row>
    <row r="3114">
      <c r="H3114" s="50"/>
      <c r="I3114" s="50"/>
      <c r="O3114" s="36" t="s">
        <v>48</v>
      </c>
      <c r="R3114" s="36" t="s">
        <v>48</v>
      </c>
    </row>
    <row r="3115">
      <c r="H3115" s="50"/>
      <c r="I3115" s="50"/>
      <c r="O3115" s="36" t="s">
        <v>48</v>
      </c>
      <c r="R3115" s="36" t="s">
        <v>48</v>
      </c>
    </row>
    <row r="3116">
      <c r="H3116" s="50"/>
      <c r="I3116" s="50"/>
      <c r="O3116" s="36" t="s">
        <v>48</v>
      </c>
      <c r="R3116" s="36" t="s">
        <v>48</v>
      </c>
    </row>
    <row r="3117">
      <c r="H3117" s="50"/>
      <c r="I3117" s="50"/>
      <c r="O3117" s="36" t="s">
        <v>48</v>
      </c>
      <c r="R3117" s="36" t="s">
        <v>48</v>
      </c>
    </row>
    <row r="3118">
      <c r="H3118" s="50"/>
      <c r="I3118" s="50"/>
      <c r="O3118" s="36" t="s">
        <v>48</v>
      </c>
      <c r="R3118" s="36" t="s">
        <v>48</v>
      </c>
    </row>
    <row r="3119">
      <c r="H3119" s="50"/>
      <c r="I3119" s="50"/>
      <c r="O3119" s="36" t="s">
        <v>48</v>
      </c>
      <c r="R3119" s="36" t="s">
        <v>48</v>
      </c>
    </row>
    <row r="3120">
      <c r="H3120" s="50"/>
      <c r="I3120" s="50"/>
      <c r="O3120" s="36" t="s">
        <v>48</v>
      </c>
      <c r="R3120" s="36" t="s">
        <v>48</v>
      </c>
    </row>
    <row r="3121">
      <c r="H3121" s="50"/>
      <c r="I3121" s="50"/>
      <c r="O3121" s="36" t="s">
        <v>48</v>
      </c>
      <c r="R3121" s="36" t="s">
        <v>48</v>
      </c>
    </row>
    <row r="3122">
      <c r="H3122" s="50"/>
      <c r="I3122" s="50"/>
      <c r="O3122" s="36" t="s">
        <v>48</v>
      </c>
      <c r="R3122" s="36" t="s">
        <v>48</v>
      </c>
    </row>
    <row r="3123">
      <c r="H3123" s="50"/>
      <c r="I3123" s="50"/>
      <c r="O3123" s="36" t="s">
        <v>48</v>
      </c>
      <c r="R3123" s="36" t="s">
        <v>48</v>
      </c>
    </row>
    <row r="3124">
      <c r="H3124" s="50"/>
      <c r="I3124" s="50"/>
      <c r="O3124" s="36" t="s">
        <v>48</v>
      </c>
      <c r="R3124" s="36" t="s">
        <v>48</v>
      </c>
    </row>
    <row r="3125">
      <c r="H3125" s="50"/>
      <c r="I3125" s="50"/>
      <c r="O3125" s="36" t="s">
        <v>48</v>
      </c>
      <c r="R3125" s="36" t="s">
        <v>48</v>
      </c>
    </row>
    <row r="3126">
      <c r="H3126" s="50"/>
      <c r="I3126" s="50"/>
      <c r="O3126" s="36" t="s">
        <v>48</v>
      </c>
      <c r="R3126" s="36" t="s">
        <v>48</v>
      </c>
    </row>
    <row r="3127">
      <c r="H3127" s="50"/>
      <c r="I3127" s="50"/>
      <c r="O3127" s="36" t="s">
        <v>48</v>
      </c>
      <c r="R3127" s="36" t="s">
        <v>48</v>
      </c>
    </row>
    <row r="3128">
      <c r="H3128" s="50"/>
      <c r="I3128" s="50"/>
      <c r="O3128" s="36" t="s">
        <v>48</v>
      </c>
      <c r="R3128" s="36" t="s">
        <v>48</v>
      </c>
    </row>
    <row r="3129">
      <c r="H3129" s="50"/>
      <c r="I3129" s="50"/>
      <c r="O3129" s="36" t="s">
        <v>48</v>
      </c>
      <c r="R3129" s="36" t="s">
        <v>48</v>
      </c>
    </row>
    <row r="3130">
      <c r="H3130" s="50"/>
      <c r="I3130" s="50"/>
      <c r="O3130" s="36" t="s">
        <v>48</v>
      </c>
      <c r="R3130" s="36" t="s">
        <v>48</v>
      </c>
    </row>
    <row r="3131">
      <c r="H3131" s="50"/>
      <c r="I3131" s="50"/>
      <c r="O3131" s="36" t="s">
        <v>48</v>
      </c>
      <c r="R3131" s="36" t="s">
        <v>48</v>
      </c>
    </row>
    <row r="3132">
      <c r="H3132" s="50"/>
      <c r="I3132" s="50"/>
      <c r="O3132" s="36" t="s">
        <v>48</v>
      </c>
      <c r="R3132" s="36" t="s">
        <v>48</v>
      </c>
    </row>
    <row r="3133">
      <c r="H3133" s="50"/>
      <c r="I3133" s="50"/>
      <c r="O3133" s="36" t="s">
        <v>48</v>
      </c>
      <c r="R3133" s="36" t="s">
        <v>48</v>
      </c>
    </row>
    <row r="3134">
      <c r="H3134" s="50"/>
      <c r="I3134" s="50"/>
      <c r="O3134" s="36" t="s">
        <v>48</v>
      </c>
      <c r="R3134" s="36" t="s">
        <v>48</v>
      </c>
    </row>
    <row r="3135">
      <c r="H3135" s="50"/>
      <c r="I3135" s="50"/>
      <c r="O3135" s="36" t="s">
        <v>48</v>
      </c>
      <c r="R3135" s="36" t="s">
        <v>48</v>
      </c>
    </row>
    <row r="3136">
      <c r="H3136" s="50"/>
      <c r="I3136" s="50"/>
      <c r="O3136" s="36" t="s">
        <v>48</v>
      </c>
      <c r="R3136" s="36" t="s">
        <v>48</v>
      </c>
    </row>
    <row r="3137">
      <c r="H3137" s="50"/>
      <c r="I3137" s="50"/>
      <c r="O3137" s="36" t="s">
        <v>48</v>
      </c>
      <c r="R3137" s="36" t="s">
        <v>48</v>
      </c>
    </row>
    <row r="3138">
      <c r="H3138" s="50"/>
      <c r="I3138" s="50"/>
      <c r="O3138" s="36" t="s">
        <v>48</v>
      </c>
      <c r="R3138" s="36" t="s">
        <v>48</v>
      </c>
    </row>
    <row r="3139">
      <c r="H3139" s="50"/>
      <c r="I3139" s="50"/>
      <c r="O3139" s="36" t="s">
        <v>48</v>
      </c>
      <c r="R3139" s="36" t="s">
        <v>48</v>
      </c>
    </row>
    <row r="3140">
      <c r="H3140" s="50"/>
      <c r="I3140" s="50"/>
      <c r="O3140" s="36" t="s">
        <v>48</v>
      </c>
      <c r="R3140" s="36" t="s">
        <v>48</v>
      </c>
    </row>
    <row r="3141">
      <c r="H3141" s="50"/>
      <c r="I3141" s="50"/>
      <c r="O3141" s="36" t="s">
        <v>48</v>
      </c>
      <c r="R3141" s="36" t="s">
        <v>48</v>
      </c>
    </row>
    <row r="3142">
      <c r="H3142" s="50"/>
      <c r="I3142" s="50"/>
      <c r="O3142" s="36" t="s">
        <v>48</v>
      </c>
      <c r="R3142" s="36" t="s">
        <v>48</v>
      </c>
    </row>
    <row r="3143">
      <c r="H3143" s="50"/>
      <c r="I3143" s="50"/>
      <c r="O3143" s="36" t="s">
        <v>48</v>
      </c>
      <c r="R3143" s="36" t="s">
        <v>48</v>
      </c>
    </row>
    <row r="3144">
      <c r="H3144" s="50"/>
      <c r="I3144" s="50"/>
      <c r="O3144" s="36" t="s">
        <v>48</v>
      </c>
      <c r="R3144" s="36" t="s">
        <v>48</v>
      </c>
    </row>
    <row r="3145">
      <c r="H3145" s="50"/>
      <c r="I3145" s="50"/>
      <c r="O3145" s="36" t="s">
        <v>48</v>
      </c>
      <c r="R3145" s="36" t="s">
        <v>48</v>
      </c>
    </row>
    <row r="3146">
      <c r="H3146" s="50"/>
      <c r="I3146" s="50"/>
      <c r="O3146" s="36" t="s">
        <v>48</v>
      </c>
      <c r="R3146" s="36" t="s">
        <v>48</v>
      </c>
    </row>
    <row r="3147">
      <c r="H3147" s="50"/>
      <c r="I3147" s="50"/>
      <c r="O3147" s="36" t="s">
        <v>48</v>
      </c>
      <c r="R3147" s="36" t="s">
        <v>48</v>
      </c>
    </row>
    <row r="3148">
      <c r="H3148" s="50"/>
      <c r="I3148" s="50"/>
      <c r="O3148" s="36" t="s">
        <v>48</v>
      </c>
      <c r="R3148" s="36" t="s">
        <v>48</v>
      </c>
    </row>
    <row r="3149">
      <c r="H3149" s="50"/>
      <c r="I3149" s="50"/>
      <c r="O3149" s="36" t="s">
        <v>48</v>
      </c>
      <c r="R3149" s="36" t="s">
        <v>48</v>
      </c>
    </row>
    <row r="3150">
      <c r="H3150" s="50"/>
      <c r="I3150" s="50"/>
      <c r="O3150" s="36" t="s">
        <v>48</v>
      </c>
      <c r="R3150" s="36" t="s">
        <v>48</v>
      </c>
    </row>
    <row r="3151">
      <c r="H3151" s="50"/>
      <c r="I3151" s="50"/>
      <c r="O3151" s="36" t="s">
        <v>48</v>
      </c>
      <c r="R3151" s="36" t="s">
        <v>48</v>
      </c>
    </row>
    <row r="3152">
      <c r="H3152" s="50"/>
      <c r="I3152" s="50"/>
      <c r="O3152" s="36" t="s">
        <v>48</v>
      </c>
      <c r="R3152" s="36" t="s">
        <v>48</v>
      </c>
    </row>
    <row r="3153">
      <c r="H3153" s="50"/>
      <c r="I3153" s="50"/>
      <c r="O3153" s="36" t="s">
        <v>48</v>
      </c>
      <c r="R3153" s="36" t="s">
        <v>48</v>
      </c>
    </row>
    <row r="3154">
      <c r="H3154" s="50"/>
      <c r="I3154" s="50"/>
      <c r="O3154" s="36" t="s">
        <v>48</v>
      </c>
      <c r="R3154" s="36" t="s">
        <v>48</v>
      </c>
    </row>
    <row r="3155">
      <c r="H3155" s="50"/>
      <c r="I3155" s="50"/>
      <c r="O3155" s="36" t="s">
        <v>48</v>
      </c>
      <c r="R3155" s="36" t="s">
        <v>48</v>
      </c>
    </row>
    <row r="3156">
      <c r="H3156" s="50"/>
      <c r="I3156" s="50"/>
      <c r="O3156" s="36" t="s">
        <v>48</v>
      </c>
      <c r="R3156" s="36" t="s">
        <v>48</v>
      </c>
    </row>
    <row r="3157">
      <c r="H3157" s="50"/>
      <c r="I3157" s="50"/>
      <c r="O3157" s="36" t="s">
        <v>48</v>
      </c>
      <c r="R3157" s="36" t="s">
        <v>48</v>
      </c>
    </row>
    <row r="3158">
      <c r="H3158" s="50"/>
      <c r="I3158" s="50"/>
      <c r="O3158" s="36" t="s">
        <v>48</v>
      </c>
      <c r="R3158" s="36" t="s">
        <v>48</v>
      </c>
    </row>
    <row r="3159">
      <c r="H3159" s="50"/>
      <c r="I3159" s="50"/>
      <c r="O3159" s="36" t="s">
        <v>48</v>
      </c>
      <c r="R3159" s="36" t="s">
        <v>48</v>
      </c>
    </row>
    <row r="3160">
      <c r="H3160" s="50"/>
      <c r="I3160" s="50"/>
      <c r="O3160" s="36" t="s">
        <v>48</v>
      </c>
      <c r="R3160" s="36" t="s">
        <v>48</v>
      </c>
    </row>
    <row r="3161">
      <c r="H3161" s="50"/>
      <c r="I3161" s="50"/>
      <c r="O3161" s="36" t="s">
        <v>48</v>
      </c>
      <c r="R3161" s="36" t="s">
        <v>48</v>
      </c>
    </row>
    <row r="3162">
      <c r="H3162" s="50"/>
      <c r="I3162" s="50"/>
      <c r="O3162" s="36" t="s">
        <v>48</v>
      </c>
      <c r="R3162" s="36" t="s">
        <v>48</v>
      </c>
    </row>
    <row r="3163">
      <c r="H3163" s="50"/>
      <c r="I3163" s="50"/>
      <c r="O3163" s="36" t="s">
        <v>48</v>
      </c>
      <c r="R3163" s="36" t="s">
        <v>48</v>
      </c>
    </row>
    <row r="3164">
      <c r="H3164" s="50"/>
      <c r="I3164" s="50"/>
      <c r="O3164" s="36" t="s">
        <v>48</v>
      </c>
      <c r="R3164" s="36" t="s">
        <v>48</v>
      </c>
    </row>
    <row r="3165">
      <c r="H3165" s="50"/>
      <c r="I3165" s="50"/>
      <c r="O3165" s="36" t="s">
        <v>48</v>
      </c>
      <c r="R3165" s="36" t="s">
        <v>48</v>
      </c>
    </row>
    <row r="3166">
      <c r="H3166" s="50"/>
      <c r="I3166" s="50"/>
      <c r="O3166" s="36" t="s">
        <v>48</v>
      </c>
      <c r="R3166" s="36" t="s">
        <v>48</v>
      </c>
    </row>
    <row r="3167">
      <c r="H3167" s="50"/>
      <c r="I3167" s="50"/>
      <c r="O3167" s="36" t="s">
        <v>48</v>
      </c>
      <c r="R3167" s="36" t="s">
        <v>48</v>
      </c>
    </row>
    <row r="3168">
      <c r="H3168" s="50"/>
      <c r="I3168" s="50"/>
      <c r="O3168" s="36" t="s">
        <v>48</v>
      </c>
      <c r="R3168" s="36" t="s">
        <v>48</v>
      </c>
    </row>
    <row r="3169">
      <c r="H3169" s="50"/>
      <c r="I3169" s="50"/>
      <c r="O3169" s="36" t="s">
        <v>48</v>
      </c>
      <c r="R3169" s="36" t="s">
        <v>48</v>
      </c>
    </row>
    <row r="3170">
      <c r="H3170" s="50"/>
      <c r="I3170" s="50"/>
      <c r="O3170" s="36" t="s">
        <v>48</v>
      </c>
      <c r="R3170" s="36" t="s">
        <v>48</v>
      </c>
    </row>
    <row r="3171">
      <c r="H3171" s="50"/>
      <c r="I3171" s="50"/>
      <c r="O3171" s="36" t="s">
        <v>48</v>
      </c>
      <c r="R3171" s="36" t="s">
        <v>48</v>
      </c>
    </row>
    <row r="3172">
      <c r="H3172" s="50"/>
      <c r="I3172" s="50"/>
      <c r="O3172" s="36" t="s">
        <v>48</v>
      </c>
      <c r="R3172" s="36" t="s">
        <v>48</v>
      </c>
    </row>
    <row r="3173">
      <c r="H3173" s="50"/>
      <c r="I3173" s="50"/>
      <c r="O3173" s="36" t="s">
        <v>48</v>
      </c>
      <c r="R3173" s="36" t="s">
        <v>48</v>
      </c>
    </row>
    <row r="3174">
      <c r="H3174" s="50"/>
      <c r="I3174" s="50"/>
      <c r="O3174" s="36" t="s">
        <v>48</v>
      </c>
      <c r="R3174" s="36" t="s">
        <v>48</v>
      </c>
    </row>
    <row r="3175">
      <c r="H3175" s="50"/>
      <c r="I3175" s="50"/>
      <c r="O3175" s="36" t="s">
        <v>48</v>
      </c>
      <c r="R3175" s="36" t="s">
        <v>48</v>
      </c>
    </row>
    <row r="3176">
      <c r="H3176" s="50"/>
      <c r="I3176" s="50"/>
      <c r="O3176" s="36" t="s">
        <v>48</v>
      </c>
      <c r="R3176" s="36" t="s">
        <v>48</v>
      </c>
    </row>
    <row r="3177">
      <c r="H3177" s="50"/>
      <c r="I3177" s="50"/>
      <c r="O3177" s="36" t="s">
        <v>48</v>
      </c>
      <c r="R3177" s="36" t="s">
        <v>48</v>
      </c>
    </row>
    <row r="3178">
      <c r="H3178" s="50"/>
      <c r="I3178" s="50"/>
      <c r="O3178" s="36" t="s">
        <v>48</v>
      </c>
      <c r="R3178" s="36" t="s">
        <v>48</v>
      </c>
    </row>
    <row r="3179">
      <c r="H3179" s="50"/>
      <c r="I3179" s="50"/>
      <c r="O3179" s="36" t="s">
        <v>48</v>
      </c>
      <c r="R3179" s="36" t="s">
        <v>48</v>
      </c>
    </row>
    <row r="3180">
      <c r="H3180" s="50"/>
      <c r="I3180" s="50"/>
      <c r="O3180" s="36" t="s">
        <v>48</v>
      </c>
      <c r="R3180" s="36" t="s">
        <v>48</v>
      </c>
    </row>
    <row r="3181">
      <c r="H3181" s="50"/>
      <c r="I3181" s="50"/>
      <c r="O3181" s="36" t="s">
        <v>48</v>
      </c>
      <c r="R3181" s="36" t="s">
        <v>48</v>
      </c>
    </row>
    <row r="3182">
      <c r="H3182" s="50"/>
      <c r="I3182" s="50"/>
      <c r="O3182" s="36" t="s">
        <v>48</v>
      </c>
      <c r="R3182" s="36" t="s">
        <v>48</v>
      </c>
    </row>
    <row r="3183">
      <c r="H3183" s="50"/>
      <c r="I3183" s="50"/>
      <c r="O3183" s="36" t="s">
        <v>48</v>
      </c>
      <c r="R3183" s="36" t="s">
        <v>48</v>
      </c>
    </row>
    <row r="3184">
      <c r="H3184" s="50"/>
      <c r="I3184" s="50"/>
      <c r="O3184" s="36" t="s">
        <v>48</v>
      </c>
      <c r="R3184" s="36" t="s">
        <v>48</v>
      </c>
    </row>
    <row r="3185">
      <c r="H3185" s="50"/>
      <c r="I3185" s="50"/>
      <c r="O3185" s="36" t="s">
        <v>48</v>
      </c>
      <c r="R3185" s="36" t="s">
        <v>48</v>
      </c>
    </row>
    <row r="3186">
      <c r="H3186" s="50"/>
      <c r="I3186" s="50"/>
      <c r="O3186" s="36" t="s">
        <v>48</v>
      </c>
      <c r="R3186" s="36" t="s">
        <v>48</v>
      </c>
    </row>
    <row r="3187">
      <c r="H3187" s="50"/>
      <c r="I3187" s="50"/>
      <c r="O3187" s="36" t="s">
        <v>48</v>
      </c>
      <c r="R3187" s="36" t="s">
        <v>48</v>
      </c>
    </row>
    <row r="3188">
      <c r="H3188" s="50"/>
      <c r="I3188" s="50"/>
      <c r="O3188" s="36" t="s">
        <v>48</v>
      </c>
      <c r="R3188" s="36" t="s">
        <v>48</v>
      </c>
    </row>
    <row r="3189">
      <c r="H3189" s="50"/>
      <c r="I3189" s="50"/>
      <c r="O3189" s="36" t="s">
        <v>48</v>
      </c>
      <c r="R3189" s="36" t="s">
        <v>48</v>
      </c>
    </row>
    <row r="3190">
      <c r="H3190" s="50"/>
      <c r="I3190" s="50"/>
      <c r="O3190" s="36" t="s">
        <v>48</v>
      </c>
      <c r="R3190" s="36" t="s">
        <v>48</v>
      </c>
    </row>
    <row r="3191">
      <c r="H3191" s="50"/>
      <c r="I3191" s="50"/>
      <c r="O3191" s="36" t="s">
        <v>48</v>
      </c>
      <c r="R3191" s="36" t="s">
        <v>48</v>
      </c>
    </row>
    <row r="3192">
      <c r="H3192" s="50"/>
      <c r="I3192" s="50"/>
      <c r="O3192" s="36" t="s">
        <v>48</v>
      </c>
      <c r="R3192" s="36" t="s">
        <v>48</v>
      </c>
    </row>
    <row r="3193">
      <c r="H3193" s="50"/>
      <c r="I3193" s="50"/>
      <c r="O3193" s="36" t="s">
        <v>48</v>
      </c>
      <c r="R3193" s="36" t="s">
        <v>48</v>
      </c>
    </row>
    <row r="3194">
      <c r="H3194" s="50"/>
      <c r="I3194" s="50"/>
      <c r="O3194" s="36" t="s">
        <v>48</v>
      </c>
      <c r="R3194" s="36" t="s">
        <v>48</v>
      </c>
    </row>
    <row r="3195">
      <c r="H3195" s="50"/>
      <c r="I3195" s="50"/>
      <c r="O3195" s="36" t="s">
        <v>48</v>
      </c>
      <c r="R3195" s="36" t="s">
        <v>48</v>
      </c>
    </row>
    <row r="3196">
      <c r="H3196" s="50"/>
      <c r="I3196" s="50"/>
      <c r="O3196" s="36" t="s">
        <v>48</v>
      </c>
      <c r="R3196" s="36" t="s">
        <v>48</v>
      </c>
    </row>
    <row r="3197">
      <c r="H3197" s="50"/>
      <c r="I3197" s="50"/>
      <c r="O3197" s="36" t="s">
        <v>48</v>
      </c>
      <c r="R3197" s="36" t="s">
        <v>48</v>
      </c>
    </row>
    <row r="3198">
      <c r="H3198" s="50"/>
      <c r="I3198" s="50"/>
      <c r="O3198" s="36" t="s">
        <v>48</v>
      </c>
      <c r="R3198" s="36" t="s">
        <v>48</v>
      </c>
    </row>
    <row r="3199">
      <c r="H3199" s="50"/>
      <c r="I3199" s="50"/>
      <c r="O3199" s="36" t="s">
        <v>48</v>
      </c>
      <c r="R3199" s="36" t="s">
        <v>48</v>
      </c>
    </row>
    <row r="3200">
      <c r="H3200" s="50"/>
      <c r="I3200" s="50"/>
      <c r="O3200" s="36" t="s">
        <v>48</v>
      </c>
      <c r="R3200" s="36" t="s">
        <v>48</v>
      </c>
    </row>
    <row r="3201">
      <c r="H3201" s="50"/>
      <c r="I3201" s="50"/>
      <c r="O3201" s="36" t="s">
        <v>48</v>
      </c>
      <c r="R3201" s="36" t="s">
        <v>48</v>
      </c>
    </row>
    <row r="3202">
      <c r="H3202" s="50"/>
      <c r="I3202" s="50"/>
      <c r="O3202" s="36" t="s">
        <v>48</v>
      </c>
      <c r="R3202" s="36" t="s">
        <v>48</v>
      </c>
    </row>
    <row r="3203">
      <c r="H3203" s="50"/>
      <c r="I3203" s="50"/>
      <c r="O3203" s="36" t="s">
        <v>48</v>
      </c>
      <c r="R3203" s="36" t="s">
        <v>48</v>
      </c>
    </row>
    <row r="3204">
      <c r="H3204" s="50"/>
      <c r="I3204" s="50"/>
      <c r="O3204" s="36" t="s">
        <v>48</v>
      </c>
      <c r="R3204" s="36" t="s">
        <v>48</v>
      </c>
    </row>
    <row r="3205">
      <c r="H3205" s="50"/>
      <c r="I3205" s="50"/>
      <c r="O3205" s="36" t="s">
        <v>48</v>
      </c>
      <c r="R3205" s="36" t="s">
        <v>48</v>
      </c>
    </row>
    <row r="3206">
      <c r="H3206" s="50"/>
      <c r="I3206" s="50"/>
      <c r="O3206" s="36" t="s">
        <v>48</v>
      </c>
      <c r="R3206" s="36" t="s">
        <v>48</v>
      </c>
    </row>
    <row r="3207">
      <c r="H3207" s="50"/>
      <c r="I3207" s="50"/>
      <c r="O3207" s="36" t="s">
        <v>48</v>
      </c>
      <c r="R3207" s="36" t="s">
        <v>48</v>
      </c>
    </row>
    <row r="3208">
      <c r="H3208" s="50"/>
      <c r="I3208" s="50"/>
      <c r="O3208" s="36" t="s">
        <v>48</v>
      </c>
      <c r="R3208" s="36" t="s">
        <v>48</v>
      </c>
    </row>
    <row r="3209">
      <c r="H3209" s="50"/>
      <c r="I3209" s="50"/>
      <c r="O3209" s="36" t="s">
        <v>48</v>
      </c>
      <c r="R3209" s="36" t="s">
        <v>48</v>
      </c>
    </row>
    <row r="3210">
      <c r="H3210" s="50"/>
      <c r="I3210" s="50"/>
      <c r="O3210" s="36" t="s">
        <v>48</v>
      </c>
      <c r="R3210" s="36" t="s">
        <v>48</v>
      </c>
    </row>
    <row r="3211">
      <c r="H3211" s="50"/>
      <c r="I3211" s="50"/>
      <c r="O3211" s="36" t="s">
        <v>48</v>
      </c>
      <c r="R3211" s="36" t="s">
        <v>48</v>
      </c>
    </row>
    <row r="3212">
      <c r="H3212" s="50"/>
      <c r="I3212" s="50"/>
      <c r="O3212" s="36" t="s">
        <v>48</v>
      </c>
      <c r="R3212" s="36" t="s">
        <v>48</v>
      </c>
    </row>
    <row r="3213">
      <c r="H3213" s="50"/>
      <c r="I3213" s="50"/>
      <c r="O3213" s="36" t="s">
        <v>48</v>
      </c>
      <c r="R3213" s="36" t="s">
        <v>48</v>
      </c>
    </row>
    <row r="3214">
      <c r="H3214" s="50"/>
      <c r="I3214" s="50"/>
      <c r="O3214" s="36" t="s">
        <v>48</v>
      </c>
      <c r="R3214" s="36" t="s">
        <v>48</v>
      </c>
    </row>
    <row r="3215">
      <c r="H3215" s="50"/>
      <c r="I3215" s="50"/>
      <c r="O3215" s="36" t="s">
        <v>48</v>
      </c>
      <c r="R3215" s="36" t="s">
        <v>48</v>
      </c>
    </row>
    <row r="3216">
      <c r="H3216" s="50"/>
      <c r="I3216" s="50"/>
      <c r="O3216" s="36" t="s">
        <v>48</v>
      </c>
      <c r="R3216" s="36" t="s">
        <v>48</v>
      </c>
    </row>
    <row r="3217">
      <c r="H3217" s="50"/>
      <c r="I3217" s="50"/>
      <c r="O3217" s="36" t="s">
        <v>48</v>
      </c>
      <c r="R3217" s="36" t="s">
        <v>48</v>
      </c>
    </row>
    <row r="3218">
      <c r="H3218" s="50"/>
      <c r="I3218" s="50"/>
      <c r="O3218" s="36" t="s">
        <v>48</v>
      </c>
      <c r="R3218" s="36" t="s">
        <v>48</v>
      </c>
    </row>
    <row r="3219">
      <c r="H3219" s="50"/>
      <c r="I3219" s="50"/>
      <c r="O3219" s="36" t="s">
        <v>48</v>
      </c>
      <c r="R3219" s="36" t="s">
        <v>48</v>
      </c>
    </row>
    <row r="3220">
      <c r="H3220" s="50"/>
      <c r="I3220" s="50"/>
      <c r="O3220" s="36" t="s">
        <v>48</v>
      </c>
      <c r="R3220" s="36" t="s">
        <v>48</v>
      </c>
    </row>
    <row r="3221">
      <c r="H3221" s="50"/>
      <c r="I3221" s="50"/>
      <c r="O3221" s="36" t="s">
        <v>48</v>
      </c>
      <c r="R3221" s="36" t="s">
        <v>48</v>
      </c>
    </row>
    <row r="3222">
      <c r="H3222" s="50"/>
      <c r="I3222" s="50"/>
      <c r="O3222" s="36" t="s">
        <v>48</v>
      </c>
      <c r="R3222" s="36" t="s">
        <v>48</v>
      </c>
    </row>
    <row r="3223">
      <c r="H3223" s="50"/>
      <c r="I3223" s="50"/>
      <c r="O3223" s="36" t="s">
        <v>48</v>
      </c>
      <c r="R3223" s="36" t="s">
        <v>48</v>
      </c>
    </row>
    <row r="3224">
      <c r="H3224" s="50"/>
      <c r="I3224" s="50"/>
      <c r="O3224" s="36" t="s">
        <v>48</v>
      </c>
      <c r="R3224" s="36" t="s">
        <v>48</v>
      </c>
    </row>
    <row r="3225">
      <c r="H3225" s="50"/>
      <c r="I3225" s="50"/>
      <c r="O3225" s="36" t="s">
        <v>48</v>
      </c>
      <c r="R3225" s="36" t="s">
        <v>48</v>
      </c>
    </row>
    <row r="3226">
      <c r="H3226" s="50"/>
      <c r="I3226" s="50"/>
      <c r="O3226" s="36" t="s">
        <v>48</v>
      </c>
      <c r="R3226" s="36" t="s">
        <v>48</v>
      </c>
    </row>
    <row r="3227">
      <c r="H3227" s="50"/>
      <c r="I3227" s="50"/>
      <c r="O3227" s="36" t="s">
        <v>48</v>
      </c>
      <c r="R3227" s="36" t="s">
        <v>48</v>
      </c>
    </row>
    <row r="3228">
      <c r="H3228" s="50"/>
      <c r="I3228" s="50"/>
      <c r="O3228" s="36" t="s">
        <v>48</v>
      </c>
      <c r="R3228" s="36" t="s">
        <v>48</v>
      </c>
    </row>
    <row r="3229">
      <c r="H3229" s="50"/>
      <c r="I3229" s="50"/>
      <c r="O3229" s="36" t="s">
        <v>48</v>
      </c>
      <c r="R3229" s="36" t="s">
        <v>48</v>
      </c>
    </row>
    <row r="3230">
      <c r="H3230" s="50"/>
      <c r="I3230" s="50"/>
      <c r="O3230" s="36" t="s">
        <v>48</v>
      </c>
      <c r="R3230" s="36" t="s">
        <v>48</v>
      </c>
    </row>
    <row r="3231">
      <c r="H3231" s="50"/>
      <c r="I3231" s="50"/>
      <c r="O3231" s="36" t="s">
        <v>48</v>
      </c>
      <c r="R3231" s="36" t="s">
        <v>48</v>
      </c>
    </row>
    <row r="3232">
      <c r="H3232" s="50"/>
      <c r="I3232" s="50"/>
      <c r="O3232" s="36" t="s">
        <v>48</v>
      </c>
      <c r="R3232" s="36" t="s">
        <v>48</v>
      </c>
    </row>
    <row r="3233">
      <c r="H3233" s="50"/>
      <c r="I3233" s="50"/>
      <c r="O3233" s="36" t="s">
        <v>48</v>
      </c>
      <c r="R3233" s="36" t="s">
        <v>48</v>
      </c>
    </row>
    <row r="3234">
      <c r="H3234" s="50"/>
      <c r="I3234" s="50"/>
      <c r="O3234" s="36" t="s">
        <v>48</v>
      </c>
      <c r="R3234" s="36" t="s">
        <v>48</v>
      </c>
    </row>
    <row r="3235">
      <c r="H3235" s="50"/>
      <c r="I3235" s="50"/>
      <c r="O3235" s="36" t="s">
        <v>48</v>
      </c>
      <c r="R3235" s="36" t="s">
        <v>48</v>
      </c>
    </row>
    <row r="3236">
      <c r="H3236" s="50"/>
      <c r="I3236" s="50"/>
      <c r="O3236" s="36" t="s">
        <v>48</v>
      </c>
      <c r="R3236" s="36" t="s">
        <v>48</v>
      </c>
    </row>
    <row r="3237">
      <c r="H3237" s="50"/>
      <c r="I3237" s="50"/>
      <c r="O3237" s="36" t="s">
        <v>48</v>
      </c>
      <c r="R3237" s="36" t="s">
        <v>48</v>
      </c>
    </row>
    <row r="3238">
      <c r="H3238" s="50"/>
      <c r="I3238" s="50"/>
      <c r="O3238" s="36" t="s">
        <v>48</v>
      </c>
      <c r="R3238" s="36" t="s">
        <v>48</v>
      </c>
    </row>
    <row r="3239">
      <c r="H3239" s="50"/>
      <c r="I3239" s="50"/>
      <c r="O3239" s="36" t="s">
        <v>48</v>
      </c>
      <c r="R3239" s="36" t="s">
        <v>48</v>
      </c>
    </row>
    <row r="3240">
      <c r="H3240" s="50"/>
      <c r="I3240" s="50"/>
      <c r="O3240" s="36" t="s">
        <v>48</v>
      </c>
      <c r="R3240" s="36" t="s">
        <v>48</v>
      </c>
    </row>
    <row r="3241">
      <c r="H3241" s="50"/>
      <c r="I3241" s="50"/>
      <c r="O3241" s="36" t="s">
        <v>48</v>
      </c>
      <c r="R3241" s="36" t="s">
        <v>48</v>
      </c>
    </row>
    <row r="3242">
      <c r="H3242" s="50"/>
      <c r="I3242" s="50"/>
      <c r="O3242" s="36" t="s">
        <v>48</v>
      </c>
      <c r="R3242" s="36" t="s">
        <v>48</v>
      </c>
    </row>
    <row r="3243">
      <c r="H3243" s="50"/>
      <c r="I3243" s="50"/>
      <c r="O3243" s="36" t="s">
        <v>48</v>
      </c>
      <c r="R3243" s="36" t="s">
        <v>48</v>
      </c>
    </row>
    <row r="3244">
      <c r="H3244" s="50"/>
      <c r="I3244" s="50"/>
      <c r="O3244" s="36" t="s">
        <v>48</v>
      </c>
      <c r="R3244" s="36" t="s">
        <v>48</v>
      </c>
    </row>
    <row r="3245">
      <c r="H3245" s="50"/>
      <c r="I3245" s="50"/>
      <c r="O3245" s="36" t="s">
        <v>48</v>
      </c>
      <c r="R3245" s="36" t="s">
        <v>48</v>
      </c>
    </row>
    <row r="3246">
      <c r="H3246" s="50"/>
      <c r="I3246" s="50"/>
      <c r="O3246" s="36" t="s">
        <v>48</v>
      </c>
      <c r="R3246" s="36" t="s">
        <v>48</v>
      </c>
    </row>
    <row r="3247">
      <c r="H3247" s="50"/>
      <c r="I3247" s="50"/>
      <c r="O3247" s="36" t="s">
        <v>48</v>
      </c>
      <c r="R3247" s="36" t="s">
        <v>48</v>
      </c>
    </row>
    <row r="3248">
      <c r="H3248" s="50"/>
      <c r="I3248" s="50"/>
      <c r="O3248" s="36" t="s">
        <v>48</v>
      </c>
      <c r="R3248" s="36" t="s">
        <v>48</v>
      </c>
    </row>
    <row r="3249">
      <c r="H3249" s="50"/>
      <c r="I3249" s="50"/>
      <c r="O3249" s="36" t="s">
        <v>48</v>
      </c>
      <c r="R3249" s="36" t="s">
        <v>48</v>
      </c>
    </row>
    <row r="3250">
      <c r="H3250" s="50"/>
      <c r="I3250" s="50"/>
      <c r="O3250" s="36" t="s">
        <v>48</v>
      </c>
      <c r="R3250" s="36" t="s">
        <v>48</v>
      </c>
    </row>
    <row r="3251">
      <c r="H3251" s="50"/>
      <c r="I3251" s="50"/>
      <c r="O3251" s="36" t="s">
        <v>48</v>
      </c>
      <c r="R3251" s="36" t="s">
        <v>48</v>
      </c>
    </row>
    <row r="3252">
      <c r="H3252" s="50"/>
      <c r="I3252" s="50"/>
      <c r="O3252" s="36" t="s">
        <v>48</v>
      </c>
      <c r="R3252" s="36" t="s">
        <v>48</v>
      </c>
    </row>
    <row r="3253">
      <c r="H3253" s="50"/>
      <c r="I3253" s="50"/>
      <c r="O3253" s="36" t="s">
        <v>48</v>
      </c>
      <c r="R3253" s="36" t="s">
        <v>48</v>
      </c>
    </row>
    <row r="3254">
      <c r="H3254" s="50"/>
      <c r="I3254" s="50"/>
      <c r="O3254" s="36" t="s">
        <v>48</v>
      </c>
      <c r="R3254" s="36" t="s">
        <v>48</v>
      </c>
    </row>
    <row r="3255">
      <c r="H3255" s="50"/>
      <c r="I3255" s="50"/>
      <c r="O3255" s="36" t="s">
        <v>48</v>
      </c>
      <c r="R3255" s="36" t="s">
        <v>48</v>
      </c>
    </row>
    <row r="3256">
      <c r="H3256" s="50"/>
      <c r="I3256" s="50"/>
      <c r="O3256" s="36" t="s">
        <v>48</v>
      </c>
      <c r="R3256" s="36" t="s">
        <v>48</v>
      </c>
    </row>
    <row r="3257">
      <c r="H3257" s="50"/>
      <c r="I3257" s="50"/>
      <c r="O3257" s="36" t="s">
        <v>48</v>
      </c>
      <c r="R3257" s="36" t="s">
        <v>48</v>
      </c>
    </row>
    <row r="3258">
      <c r="H3258" s="50"/>
      <c r="I3258" s="50"/>
      <c r="O3258" s="36" t="s">
        <v>48</v>
      </c>
      <c r="R3258" s="36" t="s">
        <v>48</v>
      </c>
    </row>
    <row r="3259">
      <c r="H3259" s="50"/>
      <c r="I3259" s="50"/>
      <c r="O3259" s="36" t="s">
        <v>48</v>
      </c>
      <c r="R3259" s="36" t="s">
        <v>48</v>
      </c>
    </row>
    <row r="3260">
      <c r="H3260" s="50"/>
      <c r="I3260" s="50"/>
      <c r="O3260" s="36" t="s">
        <v>48</v>
      </c>
      <c r="R3260" s="36" t="s">
        <v>48</v>
      </c>
    </row>
    <row r="3261">
      <c r="H3261" s="50"/>
      <c r="I3261" s="50"/>
      <c r="O3261" s="36" t="s">
        <v>48</v>
      </c>
      <c r="R3261" s="36" t="s">
        <v>48</v>
      </c>
    </row>
    <row r="3262">
      <c r="H3262" s="50"/>
      <c r="I3262" s="50"/>
      <c r="O3262" s="36" t="s">
        <v>48</v>
      </c>
      <c r="R3262" s="36" t="s">
        <v>48</v>
      </c>
    </row>
    <row r="3263">
      <c r="H3263" s="50"/>
      <c r="I3263" s="50"/>
      <c r="O3263" s="36" t="s">
        <v>48</v>
      </c>
      <c r="R3263" s="36" t="s">
        <v>48</v>
      </c>
    </row>
    <row r="3264">
      <c r="H3264" s="50"/>
      <c r="I3264" s="50"/>
      <c r="O3264" s="36" t="s">
        <v>48</v>
      </c>
      <c r="R3264" s="36" t="s">
        <v>48</v>
      </c>
    </row>
    <row r="3265">
      <c r="H3265" s="50"/>
      <c r="I3265" s="50"/>
      <c r="O3265" s="36" t="s">
        <v>48</v>
      </c>
      <c r="R3265" s="36" t="s">
        <v>48</v>
      </c>
    </row>
    <row r="3266">
      <c r="H3266" s="50"/>
      <c r="I3266" s="50"/>
      <c r="O3266" s="36" t="s">
        <v>48</v>
      </c>
      <c r="R3266" s="36" t="s">
        <v>48</v>
      </c>
    </row>
    <row r="3267">
      <c r="H3267" s="50"/>
      <c r="I3267" s="50"/>
      <c r="O3267" s="36" t="s">
        <v>48</v>
      </c>
      <c r="R3267" s="36" t="s">
        <v>48</v>
      </c>
    </row>
    <row r="3268">
      <c r="H3268" s="50"/>
      <c r="I3268" s="50"/>
      <c r="O3268" s="36" t="s">
        <v>48</v>
      </c>
      <c r="R3268" s="36" t="s">
        <v>48</v>
      </c>
    </row>
    <row r="3269">
      <c r="H3269" s="50"/>
      <c r="I3269" s="50"/>
      <c r="O3269" s="36" t="s">
        <v>48</v>
      </c>
      <c r="R3269" s="36" t="s">
        <v>48</v>
      </c>
    </row>
    <row r="3270">
      <c r="H3270" s="50"/>
      <c r="I3270" s="50"/>
      <c r="O3270" s="36" t="s">
        <v>48</v>
      </c>
      <c r="R3270" s="36" t="s">
        <v>48</v>
      </c>
    </row>
    <row r="3271">
      <c r="H3271" s="50"/>
      <c r="I3271" s="50"/>
      <c r="O3271" s="36" t="s">
        <v>48</v>
      </c>
      <c r="R3271" s="36" t="s">
        <v>48</v>
      </c>
    </row>
    <row r="3272">
      <c r="H3272" s="50"/>
      <c r="I3272" s="50"/>
      <c r="O3272" s="36" t="s">
        <v>48</v>
      </c>
      <c r="R3272" s="36" t="s">
        <v>48</v>
      </c>
    </row>
    <row r="3273">
      <c r="H3273" s="50"/>
      <c r="I3273" s="50"/>
      <c r="O3273" s="36" t="s">
        <v>48</v>
      </c>
      <c r="R3273" s="36" t="s">
        <v>48</v>
      </c>
    </row>
    <row r="3274">
      <c r="H3274" s="50"/>
      <c r="I3274" s="50"/>
      <c r="O3274" s="36" t="s">
        <v>48</v>
      </c>
      <c r="R3274" s="36" t="s">
        <v>48</v>
      </c>
    </row>
    <row r="3275">
      <c r="H3275" s="50"/>
      <c r="I3275" s="50"/>
      <c r="O3275" s="36" t="s">
        <v>48</v>
      </c>
      <c r="R3275" s="36" t="s">
        <v>48</v>
      </c>
    </row>
    <row r="3276">
      <c r="H3276" s="50"/>
      <c r="I3276" s="50"/>
      <c r="O3276" s="36" t="s">
        <v>48</v>
      </c>
      <c r="R3276" s="36" t="s">
        <v>48</v>
      </c>
    </row>
    <row r="3277">
      <c r="H3277" s="50"/>
      <c r="I3277" s="50"/>
      <c r="O3277" s="36" t="s">
        <v>48</v>
      </c>
      <c r="R3277" s="36" t="s">
        <v>48</v>
      </c>
    </row>
    <row r="3278">
      <c r="H3278" s="50"/>
      <c r="I3278" s="50"/>
      <c r="O3278" s="36" t="s">
        <v>48</v>
      </c>
      <c r="R3278" s="36" t="s">
        <v>48</v>
      </c>
    </row>
    <row r="3279">
      <c r="H3279" s="50"/>
      <c r="I3279" s="50"/>
      <c r="O3279" s="36" t="s">
        <v>48</v>
      </c>
      <c r="R3279" s="36" t="s">
        <v>48</v>
      </c>
    </row>
    <row r="3280">
      <c r="H3280" s="50"/>
      <c r="I3280" s="50"/>
      <c r="O3280" s="36" t="s">
        <v>48</v>
      </c>
      <c r="R3280" s="36" t="s">
        <v>48</v>
      </c>
    </row>
    <row r="3281">
      <c r="H3281" s="50"/>
      <c r="I3281" s="50"/>
      <c r="O3281" s="36" t="s">
        <v>48</v>
      </c>
      <c r="R3281" s="36" t="s">
        <v>48</v>
      </c>
    </row>
    <row r="3282">
      <c r="H3282" s="50"/>
      <c r="I3282" s="50"/>
      <c r="O3282" s="36" t="s">
        <v>48</v>
      </c>
      <c r="R3282" s="36" t="s">
        <v>48</v>
      </c>
    </row>
    <row r="3283">
      <c r="H3283" s="50"/>
      <c r="I3283" s="50"/>
      <c r="O3283" s="36" t="s">
        <v>48</v>
      </c>
      <c r="R3283" s="36" t="s">
        <v>48</v>
      </c>
    </row>
    <row r="3284">
      <c r="H3284" s="50"/>
      <c r="I3284" s="50"/>
      <c r="O3284" s="36" t="s">
        <v>48</v>
      </c>
      <c r="R3284" s="36" t="s">
        <v>48</v>
      </c>
    </row>
    <row r="3285">
      <c r="H3285" s="50"/>
      <c r="I3285" s="50"/>
      <c r="O3285" s="36" t="s">
        <v>48</v>
      </c>
      <c r="R3285" s="36" t="s">
        <v>48</v>
      </c>
    </row>
    <row r="3286">
      <c r="H3286" s="50"/>
      <c r="I3286" s="50"/>
      <c r="O3286" s="36" t="s">
        <v>48</v>
      </c>
      <c r="R3286" s="36" t="s">
        <v>48</v>
      </c>
    </row>
    <row r="3287">
      <c r="H3287" s="50"/>
      <c r="I3287" s="50"/>
      <c r="O3287" s="36" t="s">
        <v>48</v>
      </c>
      <c r="R3287" s="36" t="s">
        <v>48</v>
      </c>
    </row>
    <row r="3288">
      <c r="H3288" s="50"/>
      <c r="I3288" s="50"/>
      <c r="O3288" s="36" t="s">
        <v>48</v>
      </c>
      <c r="R3288" s="36" t="s">
        <v>48</v>
      </c>
    </row>
    <row r="3289">
      <c r="H3289" s="50"/>
      <c r="I3289" s="50"/>
      <c r="O3289" s="36" t="s">
        <v>48</v>
      </c>
      <c r="R3289" s="36" t="s">
        <v>48</v>
      </c>
    </row>
    <row r="3290">
      <c r="H3290" s="50"/>
      <c r="I3290" s="50"/>
      <c r="O3290" s="36" t="s">
        <v>48</v>
      </c>
      <c r="R3290" s="36" t="s">
        <v>48</v>
      </c>
    </row>
    <row r="3291">
      <c r="H3291" s="50"/>
      <c r="I3291" s="50"/>
      <c r="O3291" s="36" t="s">
        <v>48</v>
      </c>
      <c r="R3291" s="36" t="s">
        <v>48</v>
      </c>
    </row>
    <row r="3292">
      <c r="H3292" s="50"/>
      <c r="I3292" s="50"/>
      <c r="O3292" s="36" t="s">
        <v>48</v>
      </c>
      <c r="R3292" s="36" t="s">
        <v>48</v>
      </c>
    </row>
    <row r="3293">
      <c r="H3293" s="50"/>
      <c r="I3293" s="50"/>
      <c r="O3293" s="36" t="s">
        <v>48</v>
      </c>
      <c r="R3293" s="36" t="s">
        <v>48</v>
      </c>
    </row>
    <row r="3294">
      <c r="H3294" s="50"/>
      <c r="I3294" s="50"/>
      <c r="O3294" s="36" t="s">
        <v>48</v>
      </c>
      <c r="R3294" s="36" t="s">
        <v>48</v>
      </c>
    </row>
    <row r="3295">
      <c r="H3295" s="50"/>
      <c r="I3295" s="50"/>
      <c r="O3295" s="36" t="s">
        <v>48</v>
      </c>
      <c r="R3295" s="36" t="s">
        <v>48</v>
      </c>
    </row>
    <row r="3296">
      <c r="H3296" s="50"/>
      <c r="I3296" s="50"/>
      <c r="O3296" s="36" t="s">
        <v>48</v>
      </c>
      <c r="R3296" s="36" t="s">
        <v>48</v>
      </c>
    </row>
    <row r="3297">
      <c r="H3297" s="50"/>
      <c r="I3297" s="50"/>
      <c r="O3297" s="36" t="s">
        <v>48</v>
      </c>
      <c r="R3297" s="36" t="s">
        <v>48</v>
      </c>
    </row>
    <row r="3298">
      <c r="H3298" s="50"/>
      <c r="I3298" s="50"/>
      <c r="O3298" s="36" t="s">
        <v>48</v>
      </c>
      <c r="R3298" s="36" t="s">
        <v>48</v>
      </c>
    </row>
    <row r="3299">
      <c r="H3299" s="50"/>
      <c r="I3299" s="50"/>
      <c r="O3299" s="36" t="s">
        <v>48</v>
      </c>
      <c r="R3299" s="36" t="s">
        <v>48</v>
      </c>
    </row>
    <row r="3300">
      <c r="H3300" s="50"/>
      <c r="I3300" s="50"/>
      <c r="O3300" s="36" t="s">
        <v>48</v>
      </c>
      <c r="R3300" s="36" t="s">
        <v>48</v>
      </c>
    </row>
    <row r="3301">
      <c r="H3301" s="50"/>
      <c r="I3301" s="50"/>
      <c r="O3301" s="36" t="s">
        <v>48</v>
      </c>
      <c r="R3301" s="36" t="s">
        <v>48</v>
      </c>
    </row>
    <row r="3302">
      <c r="H3302" s="50"/>
      <c r="I3302" s="50"/>
      <c r="O3302" s="36" t="s">
        <v>48</v>
      </c>
      <c r="R3302" s="36" t="s">
        <v>48</v>
      </c>
    </row>
    <row r="3303">
      <c r="H3303" s="50"/>
      <c r="I3303" s="50"/>
      <c r="O3303" s="36" t="s">
        <v>48</v>
      </c>
      <c r="R3303" s="36" t="s">
        <v>48</v>
      </c>
    </row>
    <row r="3304">
      <c r="H3304" s="50"/>
      <c r="I3304" s="50"/>
      <c r="O3304" s="36" t="s">
        <v>48</v>
      </c>
      <c r="R3304" s="36" t="s">
        <v>48</v>
      </c>
    </row>
    <row r="3305">
      <c r="H3305" s="50"/>
      <c r="I3305" s="50"/>
      <c r="O3305" s="36" t="s">
        <v>48</v>
      </c>
      <c r="R3305" s="36" t="s">
        <v>48</v>
      </c>
    </row>
    <row r="3306">
      <c r="H3306" s="50"/>
      <c r="I3306" s="50"/>
      <c r="O3306" s="36" t="s">
        <v>48</v>
      </c>
      <c r="R3306" s="36" t="s">
        <v>48</v>
      </c>
    </row>
    <row r="3307">
      <c r="H3307" s="50"/>
      <c r="I3307" s="50"/>
      <c r="O3307" s="36" t="s">
        <v>48</v>
      </c>
      <c r="R3307" s="36" t="s">
        <v>48</v>
      </c>
    </row>
    <row r="3308">
      <c r="H3308" s="50"/>
      <c r="I3308" s="50"/>
      <c r="O3308" s="36" t="s">
        <v>48</v>
      </c>
      <c r="R3308" s="36" t="s">
        <v>48</v>
      </c>
    </row>
    <row r="3309">
      <c r="H3309" s="50"/>
      <c r="I3309" s="50"/>
      <c r="O3309" s="36" t="s">
        <v>48</v>
      </c>
      <c r="R3309" s="36" t="s">
        <v>48</v>
      </c>
    </row>
    <row r="3310">
      <c r="H3310" s="50"/>
      <c r="I3310" s="50"/>
      <c r="O3310" s="36" t="s">
        <v>48</v>
      </c>
      <c r="R3310" s="36" t="s">
        <v>48</v>
      </c>
    </row>
    <row r="3311">
      <c r="H3311" s="50"/>
      <c r="I3311" s="50"/>
      <c r="O3311" s="36" t="s">
        <v>48</v>
      </c>
      <c r="R3311" s="36" t="s">
        <v>48</v>
      </c>
    </row>
    <row r="3312">
      <c r="H3312" s="50"/>
      <c r="I3312" s="50"/>
      <c r="O3312" s="36" t="s">
        <v>48</v>
      </c>
      <c r="R3312" s="36" t="s">
        <v>48</v>
      </c>
    </row>
    <row r="3313">
      <c r="H3313" s="50"/>
      <c r="I3313" s="50"/>
      <c r="O3313" s="36" t="s">
        <v>48</v>
      </c>
      <c r="R3313" s="36" t="s">
        <v>48</v>
      </c>
    </row>
    <row r="3314">
      <c r="H3314" s="50"/>
      <c r="I3314" s="50"/>
      <c r="O3314" s="36" t="s">
        <v>48</v>
      </c>
      <c r="R3314" s="36" t="s">
        <v>48</v>
      </c>
    </row>
    <row r="3315">
      <c r="H3315" s="50"/>
      <c r="I3315" s="50"/>
      <c r="O3315" s="36" t="s">
        <v>48</v>
      </c>
      <c r="R3315" s="36" t="s">
        <v>48</v>
      </c>
    </row>
    <row r="3316">
      <c r="H3316" s="50"/>
      <c r="I3316" s="50"/>
      <c r="O3316" s="36" t="s">
        <v>48</v>
      </c>
      <c r="R3316" s="36" t="s">
        <v>48</v>
      </c>
    </row>
    <row r="3317">
      <c r="H3317" s="50"/>
      <c r="I3317" s="50"/>
      <c r="O3317" s="36" t="s">
        <v>48</v>
      </c>
      <c r="R3317" s="36" t="s">
        <v>48</v>
      </c>
    </row>
    <row r="3318">
      <c r="H3318" s="50"/>
      <c r="I3318" s="50"/>
      <c r="O3318" s="36" t="s">
        <v>48</v>
      </c>
      <c r="R3318" s="36" t="s">
        <v>48</v>
      </c>
    </row>
    <row r="3319">
      <c r="H3319" s="50"/>
      <c r="I3319" s="50"/>
      <c r="O3319" s="36" t="s">
        <v>48</v>
      </c>
      <c r="R3319" s="36" t="s">
        <v>48</v>
      </c>
    </row>
    <row r="3320">
      <c r="H3320" s="50"/>
      <c r="I3320" s="50"/>
      <c r="O3320" s="36" t="s">
        <v>48</v>
      </c>
      <c r="R3320" s="36" t="s">
        <v>48</v>
      </c>
    </row>
    <row r="3321">
      <c r="H3321" s="50"/>
      <c r="I3321" s="50"/>
      <c r="O3321" s="36" t="s">
        <v>48</v>
      </c>
      <c r="R3321" s="36" t="s">
        <v>48</v>
      </c>
    </row>
    <row r="3322">
      <c r="H3322" s="50"/>
      <c r="I3322" s="50"/>
      <c r="O3322" s="36" t="s">
        <v>48</v>
      </c>
      <c r="R3322" s="36" t="s">
        <v>48</v>
      </c>
    </row>
    <row r="3323">
      <c r="H3323" s="50"/>
      <c r="I3323" s="50"/>
      <c r="O3323" s="36" t="s">
        <v>48</v>
      </c>
      <c r="R3323" s="36" t="s">
        <v>48</v>
      </c>
    </row>
    <row r="3324">
      <c r="H3324" s="50"/>
      <c r="I3324" s="50"/>
      <c r="O3324" s="36" t="s">
        <v>48</v>
      </c>
      <c r="R3324" s="36" t="s">
        <v>48</v>
      </c>
    </row>
    <row r="3325">
      <c r="H3325" s="50"/>
      <c r="I3325" s="50"/>
      <c r="O3325" s="36" t="s">
        <v>48</v>
      </c>
      <c r="R3325" s="36" t="s">
        <v>48</v>
      </c>
    </row>
    <row r="3326">
      <c r="H3326" s="50"/>
      <c r="I3326" s="50"/>
      <c r="O3326" s="36" t="s">
        <v>48</v>
      </c>
      <c r="R3326" s="36" t="s">
        <v>48</v>
      </c>
    </row>
    <row r="3327">
      <c r="H3327" s="50"/>
      <c r="I3327" s="50"/>
      <c r="O3327" s="36" t="s">
        <v>48</v>
      </c>
      <c r="R3327" s="36" t="s">
        <v>48</v>
      </c>
    </row>
    <row r="3328">
      <c r="H3328" s="50"/>
      <c r="I3328" s="50"/>
      <c r="O3328" s="36" t="s">
        <v>48</v>
      </c>
      <c r="R3328" s="36" t="s">
        <v>48</v>
      </c>
    </row>
    <row r="3329">
      <c r="H3329" s="50"/>
      <c r="I3329" s="50"/>
      <c r="O3329" s="36" t="s">
        <v>48</v>
      </c>
      <c r="R3329" s="36" t="s">
        <v>48</v>
      </c>
    </row>
    <row r="3330">
      <c r="H3330" s="50"/>
      <c r="I3330" s="50"/>
      <c r="O3330" s="36" t="s">
        <v>48</v>
      </c>
      <c r="R3330" s="36" t="s">
        <v>48</v>
      </c>
    </row>
    <row r="3331">
      <c r="H3331" s="50"/>
      <c r="I3331" s="50"/>
      <c r="O3331" s="36" t="s">
        <v>48</v>
      </c>
      <c r="R3331" s="36" t="s">
        <v>48</v>
      </c>
    </row>
    <row r="3332">
      <c r="H3332" s="50"/>
      <c r="I3332" s="50"/>
      <c r="O3332" s="36" t="s">
        <v>48</v>
      </c>
      <c r="R3332" s="36" t="s">
        <v>48</v>
      </c>
    </row>
    <row r="3333">
      <c r="H3333" s="50"/>
      <c r="I3333" s="50"/>
      <c r="O3333" s="36" t="s">
        <v>48</v>
      </c>
      <c r="R3333" s="36" t="s">
        <v>48</v>
      </c>
    </row>
    <row r="3334">
      <c r="H3334" s="50"/>
      <c r="I3334" s="50"/>
      <c r="O3334" s="36" t="s">
        <v>48</v>
      </c>
      <c r="R3334" s="36" t="s">
        <v>48</v>
      </c>
    </row>
    <row r="3335">
      <c r="H3335" s="50"/>
      <c r="I3335" s="50"/>
      <c r="O3335" s="36" t="s">
        <v>48</v>
      </c>
      <c r="R3335" s="36" t="s">
        <v>48</v>
      </c>
    </row>
    <row r="3336">
      <c r="H3336" s="50"/>
      <c r="I3336" s="50"/>
      <c r="O3336" s="36" t="s">
        <v>48</v>
      </c>
      <c r="R3336" s="36" t="s">
        <v>48</v>
      </c>
    </row>
    <row r="3337">
      <c r="H3337" s="50"/>
      <c r="I3337" s="50"/>
      <c r="O3337" s="36" t="s">
        <v>48</v>
      </c>
      <c r="R3337" s="36" t="s">
        <v>48</v>
      </c>
    </row>
    <row r="3338">
      <c r="H3338" s="50"/>
      <c r="I3338" s="50"/>
      <c r="O3338" s="36" t="s">
        <v>48</v>
      </c>
      <c r="R3338" s="36" t="s">
        <v>48</v>
      </c>
    </row>
    <row r="3339">
      <c r="H3339" s="50"/>
      <c r="I3339" s="50"/>
      <c r="O3339" s="36" t="s">
        <v>48</v>
      </c>
      <c r="R3339" s="36" t="s">
        <v>48</v>
      </c>
    </row>
    <row r="3340">
      <c r="H3340" s="50"/>
      <c r="I3340" s="50"/>
      <c r="O3340" s="36" t="s">
        <v>48</v>
      </c>
      <c r="R3340" s="36" t="s">
        <v>48</v>
      </c>
    </row>
    <row r="3341">
      <c r="H3341" s="50"/>
      <c r="I3341" s="50"/>
      <c r="O3341" s="36" t="s">
        <v>48</v>
      </c>
      <c r="R3341" s="36" t="s">
        <v>48</v>
      </c>
    </row>
    <row r="3342">
      <c r="H3342" s="50"/>
      <c r="I3342" s="50"/>
      <c r="O3342" s="36" t="s">
        <v>48</v>
      </c>
      <c r="R3342" s="36" t="s">
        <v>48</v>
      </c>
    </row>
    <row r="3343">
      <c r="H3343" s="50"/>
      <c r="I3343" s="50"/>
      <c r="O3343" s="36" t="s">
        <v>48</v>
      </c>
      <c r="R3343" s="36" t="s">
        <v>48</v>
      </c>
    </row>
    <row r="3344">
      <c r="H3344" s="50"/>
      <c r="I3344" s="50"/>
      <c r="O3344" s="36" t="s">
        <v>48</v>
      </c>
      <c r="R3344" s="36" t="s">
        <v>48</v>
      </c>
    </row>
    <row r="3345">
      <c r="H3345" s="50"/>
      <c r="I3345" s="50"/>
      <c r="O3345" s="36" t="s">
        <v>48</v>
      </c>
      <c r="R3345" s="36" t="s">
        <v>48</v>
      </c>
    </row>
    <row r="3346">
      <c r="H3346" s="50"/>
      <c r="I3346" s="50"/>
      <c r="O3346" s="36" t="s">
        <v>48</v>
      </c>
      <c r="R3346" s="36" t="s">
        <v>48</v>
      </c>
    </row>
    <row r="3347">
      <c r="H3347" s="50"/>
      <c r="I3347" s="50"/>
      <c r="O3347" s="36" t="s">
        <v>48</v>
      </c>
      <c r="R3347" s="36" t="s">
        <v>48</v>
      </c>
    </row>
    <row r="3348">
      <c r="H3348" s="50"/>
      <c r="I3348" s="50"/>
      <c r="O3348" s="36" t="s">
        <v>48</v>
      </c>
      <c r="R3348" s="36" t="s">
        <v>48</v>
      </c>
    </row>
    <row r="3349">
      <c r="H3349" s="50"/>
      <c r="I3349" s="50"/>
      <c r="O3349" s="36" t="s">
        <v>48</v>
      </c>
      <c r="R3349" s="36" t="s">
        <v>48</v>
      </c>
    </row>
    <row r="3350">
      <c r="H3350" s="50"/>
      <c r="I3350" s="50"/>
      <c r="O3350" s="36" t="s">
        <v>48</v>
      </c>
      <c r="R3350" s="36" t="s">
        <v>48</v>
      </c>
    </row>
    <row r="3351">
      <c r="H3351" s="50"/>
      <c r="I3351" s="50"/>
      <c r="O3351" s="36" t="s">
        <v>48</v>
      </c>
      <c r="R3351" s="36" t="s">
        <v>48</v>
      </c>
    </row>
    <row r="3352">
      <c r="H3352" s="50"/>
      <c r="I3352" s="50"/>
      <c r="O3352" s="36" t="s">
        <v>48</v>
      </c>
      <c r="R3352" s="36" t="s">
        <v>48</v>
      </c>
    </row>
    <row r="3353">
      <c r="H3353" s="50"/>
      <c r="I3353" s="50"/>
      <c r="O3353" s="36" t="s">
        <v>48</v>
      </c>
      <c r="R3353" s="36" t="s">
        <v>48</v>
      </c>
    </row>
    <row r="3354">
      <c r="H3354" s="50"/>
      <c r="I3354" s="50"/>
      <c r="O3354" s="36" t="s">
        <v>48</v>
      </c>
      <c r="R3354" s="36" t="s">
        <v>48</v>
      </c>
    </row>
    <row r="3355">
      <c r="H3355" s="50"/>
      <c r="I3355" s="50"/>
      <c r="O3355" s="36" t="s">
        <v>48</v>
      </c>
      <c r="R3355" s="36" t="s">
        <v>48</v>
      </c>
    </row>
    <row r="3356">
      <c r="H3356" s="50"/>
      <c r="I3356" s="50"/>
      <c r="O3356" s="36" t="s">
        <v>48</v>
      </c>
      <c r="R3356" s="36" t="s">
        <v>48</v>
      </c>
    </row>
    <row r="3357">
      <c r="H3357" s="50"/>
      <c r="I3357" s="50"/>
      <c r="O3357" s="36" t="s">
        <v>48</v>
      </c>
      <c r="R3357" s="36" t="s">
        <v>48</v>
      </c>
    </row>
    <row r="3358">
      <c r="H3358" s="50"/>
      <c r="I3358" s="50"/>
      <c r="O3358" s="36" t="s">
        <v>48</v>
      </c>
      <c r="R3358" s="36" t="s">
        <v>48</v>
      </c>
    </row>
    <row r="3359">
      <c r="H3359" s="50"/>
      <c r="I3359" s="50"/>
      <c r="O3359" s="36" t="s">
        <v>48</v>
      </c>
      <c r="R3359" s="36" t="s">
        <v>48</v>
      </c>
    </row>
    <row r="3360">
      <c r="H3360" s="50"/>
      <c r="I3360" s="50"/>
      <c r="O3360" s="36" t="s">
        <v>48</v>
      </c>
      <c r="R3360" s="36" t="s">
        <v>48</v>
      </c>
    </row>
    <row r="3361">
      <c r="H3361" s="50"/>
      <c r="I3361" s="50"/>
      <c r="O3361" s="36" t="s">
        <v>48</v>
      </c>
      <c r="R3361" s="36" t="s">
        <v>48</v>
      </c>
    </row>
    <row r="3362">
      <c r="H3362" s="50"/>
      <c r="I3362" s="50"/>
      <c r="O3362" s="36" t="s">
        <v>48</v>
      </c>
      <c r="R3362" s="36" t="s">
        <v>48</v>
      </c>
    </row>
    <row r="3363">
      <c r="H3363" s="50"/>
      <c r="I3363" s="50"/>
      <c r="O3363" s="36" t="s">
        <v>48</v>
      </c>
      <c r="R3363" s="36" t="s">
        <v>48</v>
      </c>
    </row>
    <row r="3364">
      <c r="H3364" s="50"/>
      <c r="I3364" s="50"/>
      <c r="O3364" s="36" t="s">
        <v>48</v>
      </c>
      <c r="R3364" s="36" t="s">
        <v>48</v>
      </c>
    </row>
    <row r="3365">
      <c r="H3365" s="50"/>
      <c r="I3365" s="50"/>
      <c r="O3365" s="36" t="s">
        <v>48</v>
      </c>
      <c r="R3365" s="36" t="s">
        <v>48</v>
      </c>
    </row>
    <row r="3366">
      <c r="H3366" s="50"/>
      <c r="I3366" s="50"/>
      <c r="O3366" s="36" t="s">
        <v>48</v>
      </c>
      <c r="R3366" s="36" t="s">
        <v>48</v>
      </c>
    </row>
    <row r="3367">
      <c r="H3367" s="50"/>
      <c r="I3367" s="50"/>
      <c r="O3367" s="36" t="s">
        <v>48</v>
      </c>
      <c r="R3367" s="36" t="s">
        <v>48</v>
      </c>
    </row>
    <row r="3368">
      <c r="H3368" s="50"/>
      <c r="I3368" s="50"/>
      <c r="O3368" s="36" t="s">
        <v>48</v>
      </c>
      <c r="R3368" s="36" t="s">
        <v>48</v>
      </c>
    </row>
    <row r="3369">
      <c r="H3369" s="50"/>
      <c r="I3369" s="50"/>
      <c r="O3369" s="36" t="s">
        <v>48</v>
      </c>
      <c r="R3369" s="36" t="s">
        <v>48</v>
      </c>
    </row>
    <row r="3370">
      <c r="H3370" s="50"/>
      <c r="I3370" s="50"/>
      <c r="O3370" s="36" t="s">
        <v>48</v>
      </c>
      <c r="R3370" s="36" t="s">
        <v>48</v>
      </c>
    </row>
    <row r="3371">
      <c r="H3371" s="50"/>
      <c r="I3371" s="50"/>
      <c r="O3371" s="36" t="s">
        <v>48</v>
      </c>
      <c r="R3371" s="36" t="s">
        <v>48</v>
      </c>
    </row>
    <row r="3372">
      <c r="H3372" s="50"/>
      <c r="I3372" s="50"/>
      <c r="O3372" s="36" t="s">
        <v>48</v>
      </c>
      <c r="R3372" s="36" t="s">
        <v>48</v>
      </c>
    </row>
    <row r="3373">
      <c r="H3373" s="50"/>
      <c r="I3373" s="50"/>
      <c r="O3373" s="36" t="s">
        <v>48</v>
      </c>
      <c r="R3373" s="36" t="s">
        <v>48</v>
      </c>
    </row>
    <row r="3374">
      <c r="H3374" s="50"/>
      <c r="I3374" s="50"/>
      <c r="O3374" s="36" t="s">
        <v>48</v>
      </c>
      <c r="R3374" s="36" t="s">
        <v>48</v>
      </c>
    </row>
    <row r="3375">
      <c r="H3375" s="50"/>
      <c r="I3375" s="50"/>
      <c r="O3375" s="36" t="s">
        <v>48</v>
      </c>
      <c r="R3375" s="36" t="s">
        <v>48</v>
      </c>
    </row>
    <row r="3376">
      <c r="H3376" s="50"/>
      <c r="I3376" s="50"/>
      <c r="O3376" s="36" t="s">
        <v>48</v>
      </c>
      <c r="R3376" s="36" t="s">
        <v>48</v>
      </c>
    </row>
    <row r="3377">
      <c r="H3377" s="50"/>
      <c r="I3377" s="50"/>
      <c r="O3377" s="36" t="s">
        <v>48</v>
      </c>
      <c r="R3377" s="36" t="s">
        <v>48</v>
      </c>
    </row>
    <row r="3378">
      <c r="H3378" s="50"/>
      <c r="I3378" s="50"/>
      <c r="O3378" s="36" t="s">
        <v>48</v>
      </c>
      <c r="R3378" s="36" t="s">
        <v>48</v>
      </c>
    </row>
    <row r="3379">
      <c r="H3379" s="50"/>
      <c r="I3379" s="50"/>
      <c r="O3379" s="36" t="s">
        <v>48</v>
      </c>
      <c r="R3379" s="36" t="s">
        <v>48</v>
      </c>
    </row>
    <row r="3380">
      <c r="H3380" s="50"/>
      <c r="I3380" s="50"/>
      <c r="O3380" s="36" t="s">
        <v>48</v>
      </c>
      <c r="R3380" s="36" t="s">
        <v>48</v>
      </c>
    </row>
    <row r="3381">
      <c r="H3381" s="50"/>
      <c r="I3381" s="50"/>
      <c r="O3381" s="36" t="s">
        <v>48</v>
      </c>
      <c r="R3381" s="36" t="s">
        <v>48</v>
      </c>
    </row>
    <row r="3382">
      <c r="H3382" s="50"/>
      <c r="I3382" s="50"/>
      <c r="O3382" s="36" t="s">
        <v>48</v>
      </c>
      <c r="R3382" s="36" t="s">
        <v>48</v>
      </c>
    </row>
    <row r="3383">
      <c r="H3383" s="50"/>
      <c r="I3383" s="50"/>
      <c r="O3383" s="36" t="s">
        <v>48</v>
      </c>
      <c r="R3383" s="36" t="s">
        <v>48</v>
      </c>
    </row>
    <row r="3384">
      <c r="H3384" s="50"/>
      <c r="I3384" s="50"/>
      <c r="O3384" s="36" t="s">
        <v>48</v>
      </c>
      <c r="R3384" s="36" t="s">
        <v>48</v>
      </c>
    </row>
    <row r="3385">
      <c r="H3385" s="50"/>
      <c r="I3385" s="50"/>
      <c r="O3385" s="36" t="s">
        <v>48</v>
      </c>
      <c r="R3385" s="36" t="s">
        <v>48</v>
      </c>
    </row>
    <row r="3386">
      <c r="H3386" s="50"/>
      <c r="I3386" s="50"/>
      <c r="O3386" s="36" t="s">
        <v>48</v>
      </c>
      <c r="R3386" s="36" t="s">
        <v>48</v>
      </c>
    </row>
    <row r="3387">
      <c r="H3387" s="50"/>
      <c r="I3387" s="50"/>
      <c r="O3387" s="36" t="s">
        <v>48</v>
      </c>
      <c r="R3387" s="36" t="s">
        <v>48</v>
      </c>
    </row>
    <row r="3388">
      <c r="H3388" s="50"/>
      <c r="I3388" s="50"/>
      <c r="O3388" s="36" t="s">
        <v>48</v>
      </c>
      <c r="R3388" s="36" t="s">
        <v>48</v>
      </c>
    </row>
    <row r="3389">
      <c r="H3389" s="50"/>
      <c r="I3389" s="50"/>
      <c r="O3389" s="36" t="s">
        <v>48</v>
      </c>
      <c r="R3389" s="36" t="s">
        <v>48</v>
      </c>
    </row>
    <row r="3390">
      <c r="H3390" s="50"/>
      <c r="I3390" s="50"/>
      <c r="O3390" s="36" t="s">
        <v>48</v>
      </c>
      <c r="R3390" s="36" t="s">
        <v>48</v>
      </c>
    </row>
    <row r="3391">
      <c r="H3391" s="50"/>
      <c r="I3391" s="50"/>
      <c r="O3391" s="36" t="s">
        <v>48</v>
      </c>
      <c r="R3391" s="36" t="s">
        <v>48</v>
      </c>
    </row>
    <row r="3392">
      <c r="H3392" s="50"/>
      <c r="I3392" s="50"/>
      <c r="O3392" s="36" t="s">
        <v>48</v>
      </c>
      <c r="R3392" s="36" t="s">
        <v>48</v>
      </c>
    </row>
    <row r="3393">
      <c r="H3393" s="50"/>
      <c r="I3393" s="50"/>
      <c r="O3393" s="36" t="s">
        <v>48</v>
      </c>
      <c r="R3393" s="36" t="s">
        <v>48</v>
      </c>
    </row>
    <row r="3394">
      <c r="H3394" s="50"/>
      <c r="I3394" s="50"/>
      <c r="O3394" s="36" t="s">
        <v>48</v>
      </c>
      <c r="R3394" s="36" t="s">
        <v>48</v>
      </c>
    </row>
    <row r="3395">
      <c r="H3395" s="50"/>
      <c r="I3395" s="50"/>
      <c r="O3395" s="36" t="s">
        <v>48</v>
      </c>
      <c r="R3395" s="36" t="s">
        <v>48</v>
      </c>
    </row>
    <row r="3396">
      <c r="H3396" s="50"/>
      <c r="I3396" s="50"/>
      <c r="O3396" s="36" t="s">
        <v>48</v>
      </c>
      <c r="R3396" s="36" t="s">
        <v>48</v>
      </c>
    </row>
    <row r="3397">
      <c r="H3397" s="50"/>
      <c r="I3397" s="50"/>
      <c r="O3397" s="36" t="s">
        <v>48</v>
      </c>
      <c r="R3397" s="36" t="s">
        <v>48</v>
      </c>
    </row>
    <row r="3398">
      <c r="H3398" s="50"/>
      <c r="I3398" s="50"/>
      <c r="O3398" s="36" t="s">
        <v>48</v>
      </c>
      <c r="R3398" s="36" t="s">
        <v>48</v>
      </c>
    </row>
    <row r="3399">
      <c r="H3399" s="50"/>
      <c r="I3399" s="50"/>
      <c r="O3399" s="36" t="s">
        <v>48</v>
      </c>
      <c r="R3399" s="36" t="s">
        <v>48</v>
      </c>
    </row>
    <row r="3400">
      <c r="H3400" s="50"/>
      <c r="I3400" s="50"/>
      <c r="O3400" s="36" t="s">
        <v>48</v>
      </c>
      <c r="R3400" s="36" t="s">
        <v>48</v>
      </c>
    </row>
    <row r="3401">
      <c r="H3401" s="50"/>
      <c r="I3401" s="50"/>
      <c r="O3401" s="36" t="s">
        <v>48</v>
      </c>
      <c r="R3401" s="36" t="s">
        <v>48</v>
      </c>
    </row>
    <row r="3402">
      <c r="H3402" s="50"/>
      <c r="I3402" s="50"/>
      <c r="O3402" s="36" t="s">
        <v>48</v>
      </c>
      <c r="R3402" s="36" t="s">
        <v>48</v>
      </c>
    </row>
    <row r="3403">
      <c r="H3403" s="50"/>
      <c r="I3403" s="50"/>
      <c r="O3403" s="36" t="s">
        <v>48</v>
      </c>
      <c r="R3403" s="36" t="s">
        <v>48</v>
      </c>
    </row>
    <row r="3404">
      <c r="H3404" s="50"/>
      <c r="I3404" s="50"/>
      <c r="O3404" s="36" t="s">
        <v>48</v>
      </c>
      <c r="R3404" s="36" t="s">
        <v>48</v>
      </c>
    </row>
    <row r="3405">
      <c r="H3405" s="50"/>
      <c r="I3405" s="50"/>
      <c r="O3405" s="36" t="s">
        <v>48</v>
      </c>
      <c r="R3405" s="36" t="s">
        <v>48</v>
      </c>
    </row>
    <row r="3406">
      <c r="H3406" s="50"/>
      <c r="I3406" s="50"/>
      <c r="O3406" s="36" t="s">
        <v>48</v>
      </c>
      <c r="R3406" s="36" t="s">
        <v>48</v>
      </c>
    </row>
    <row r="3407">
      <c r="H3407" s="50"/>
      <c r="I3407" s="50"/>
      <c r="O3407" s="36" t="s">
        <v>48</v>
      </c>
      <c r="R3407" s="36" t="s">
        <v>48</v>
      </c>
    </row>
    <row r="3408">
      <c r="H3408" s="50"/>
      <c r="I3408" s="50"/>
      <c r="O3408" s="36" t="s">
        <v>48</v>
      </c>
      <c r="R3408" s="36" t="s">
        <v>48</v>
      </c>
    </row>
    <row r="3409">
      <c r="H3409" s="50"/>
      <c r="I3409" s="50"/>
      <c r="O3409" s="36" t="s">
        <v>48</v>
      </c>
      <c r="R3409" s="36" t="s">
        <v>48</v>
      </c>
    </row>
    <row r="3410">
      <c r="H3410" s="50"/>
      <c r="I3410" s="50"/>
      <c r="O3410" s="36" t="s">
        <v>48</v>
      </c>
      <c r="R3410" s="36" t="s">
        <v>48</v>
      </c>
    </row>
    <row r="3411">
      <c r="H3411" s="50"/>
      <c r="I3411" s="50"/>
      <c r="O3411" s="36" t="s">
        <v>48</v>
      </c>
      <c r="R3411" s="36" t="s">
        <v>48</v>
      </c>
    </row>
    <row r="3412">
      <c r="H3412" s="50"/>
      <c r="I3412" s="50"/>
      <c r="O3412" s="36" t="s">
        <v>48</v>
      </c>
      <c r="R3412" s="36" t="s">
        <v>48</v>
      </c>
    </row>
    <row r="3413">
      <c r="H3413" s="50"/>
      <c r="I3413" s="50"/>
      <c r="O3413" s="36" t="s">
        <v>48</v>
      </c>
      <c r="R3413" s="36" t="s">
        <v>48</v>
      </c>
    </row>
    <row r="3414">
      <c r="H3414" s="50"/>
      <c r="I3414" s="50"/>
      <c r="O3414" s="36" t="s">
        <v>48</v>
      </c>
      <c r="R3414" s="36" t="s">
        <v>48</v>
      </c>
    </row>
    <row r="3415">
      <c r="H3415" s="50"/>
      <c r="I3415" s="50"/>
      <c r="O3415" s="36" t="s">
        <v>48</v>
      </c>
      <c r="R3415" s="36" t="s">
        <v>48</v>
      </c>
    </row>
    <row r="3416">
      <c r="H3416" s="50"/>
      <c r="I3416" s="50"/>
      <c r="O3416" s="36" t="s">
        <v>48</v>
      </c>
      <c r="R3416" s="36" t="s">
        <v>48</v>
      </c>
    </row>
    <row r="3417">
      <c r="H3417" s="50"/>
      <c r="I3417" s="50"/>
      <c r="O3417" s="36" t="s">
        <v>48</v>
      </c>
      <c r="R3417" s="36" t="s">
        <v>48</v>
      </c>
    </row>
    <row r="3418">
      <c r="H3418" s="50"/>
      <c r="I3418" s="50"/>
      <c r="O3418" s="36" t="s">
        <v>48</v>
      </c>
      <c r="R3418" s="36" t="s">
        <v>48</v>
      </c>
    </row>
    <row r="3419">
      <c r="H3419" s="50"/>
      <c r="I3419" s="50"/>
      <c r="O3419" s="36" t="s">
        <v>48</v>
      </c>
      <c r="R3419" s="36" t="s">
        <v>48</v>
      </c>
    </row>
    <row r="3420">
      <c r="H3420" s="50"/>
      <c r="I3420" s="50"/>
      <c r="O3420" s="36" t="s">
        <v>48</v>
      </c>
      <c r="R3420" s="36" t="s">
        <v>48</v>
      </c>
    </row>
    <row r="3421">
      <c r="H3421" s="50"/>
      <c r="I3421" s="50"/>
      <c r="O3421" s="36" t="s">
        <v>48</v>
      </c>
      <c r="R3421" s="36" t="s">
        <v>48</v>
      </c>
    </row>
    <row r="3422">
      <c r="H3422" s="50"/>
      <c r="I3422" s="50"/>
      <c r="O3422" s="36" t="s">
        <v>48</v>
      </c>
      <c r="R3422" s="36" t="s">
        <v>48</v>
      </c>
    </row>
    <row r="3423">
      <c r="H3423" s="50"/>
      <c r="I3423" s="50"/>
      <c r="O3423" s="36" t="s">
        <v>48</v>
      </c>
      <c r="R3423" s="36" t="s">
        <v>48</v>
      </c>
    </row>
    <row r="3424">
      <c r="H3424" s="50"/>
      <c r="I3424" s="50"/>
      <c r="O3424" s="36" t="s">
        <v>48</v>
      </c>
      <c r="R3424" s="36" t="s">
        <v>48</v>
      </c>
    </row>
    <row r="3425">
      <c r="H3425" s="50"/>
      <c r="I3425" s="50"/>
      <c r="O3425" s="36" t="s">
        <v>48</v>
      </c>
      <c r="R3425" s="36" t="s">
        <v>48</v>
      </c>
    </row>
    <row r="3426">
      <c r="H3426" s="50"/>
      <c r="I3426" s="50"/>
      <c r="O3426" s="36" t="s">
        <v>48</v>
      </c>
      <c r="R3426" s="36" t="s">
        <v>48</v>
      </c>
    </row>
    <row r="3427">
      <c r="H3427" s="50"/>
      <c r="I3427" s="50"/>
      <c r="O3427" s="36" t="s">
        <v>48</v>
      </c>
      <c r="R3427" s="36" t="s">
        <v>48</v>
      </c>
    </row>
    <row r="3428">
      <c r="H3428" s="50"/>
      <c r="I3428" s="50"/>
      <c r="O3428" s="36" t="s">
        <v>48</v>
      </c>
      <c r="R3428" s="36" t="s">
        <v>48</v>
      </c>
    </row>
    <row r="3429">
      <c r="H3429" s="50"/>
      <c r="I3429" s="50"/>
      <c r="O3429" s="36" t="s">
        <v>48</v>
      </c>
      <c r="R3429" s="36" t="s">
        <v>48</v>
      </c>
    </row>
    <row r="3430">
      <c r="H3430" s="50"/>
      <c r="I3430" s="50"/>
      <c r="O3430" s="36" t="s">
        <v>48</v>
      </c>
      <c r="R3430" s="36" t="s">
        <v>48</v>
      </c>
    </row>
    <row r="3431">
      <c r="H3431" s="50"/>
      <c r="I3431" s="50"/>
      <c r="O3431" s="36" t="s">
        <v>48</v>
      </c>
      <c r="R3431" s="36" t="s">
        <v>48</v>
      </c>
    </row>
    <row r="3432">
      <c r="H3432" s="50"/>
      <c r="I3432" s="50"/>
      <c r="O3432" s="36" t="s">
        <v>48</v>
      </c>
      <c r="R3432" s="36" t="s">
        <v>48</v>
      </c>
    </row>
    <row r="3433">
      <c r="H3433" s="50"/>
      <c r="I3433" s="50"/>
      <c r="O3433" s="36" t="s">
        <v>48</v>
      </c>
      <c r="R3433" s="36" t="s">
        <v>48</v>
      </c>
    </row>
    <row r="3434">
      <c r="H3434" s="50"/>
      <c r="I3434" s="50"/>
      <c r="O3434" s="36" t="s">
        <v>48</v>
      </c>
      <c r="R3434" s="36" t="s">
        <v>48</v>
      </c>
    </row>
    <row r="3435">
      <c r="H3435" s="50"/>
      <c r="I3435" s="50"/>
      <c r="O3435" s="36" t="s">
        <v>48</v>
      </c>
      <c r="R3435" s="36" t="s">
        <v>48</v>
      </c>
    </row>
    <row r="3436">
      <c r="H3436" s="50"/>
      <c r="I3436" s="50"/>
      <c r="O3436" s="36" t="s">
        <v>48</v>
      </c>
      <c r="R3436" s="36" t="s">
        <v>48</v>
      </c>
    </row>
    <row r="3437">
      <c r="H3437" s="50"/>
      <c r="I3437" s="50"/>
      <c r="O3437" s="36" t="s">
        <v>48</v>
      </c>
      <c r="R3437" s="36" t="s">
        <v>48</v>
      </c>
    </row>
    <row r="3438">
      <c r="H3438" s="50"/>
      <c r="I3438" s="50"/>
      <c r="O3438" s="36" t="s">
        <v>48</v>
      </c>
      <c r="R3438" s="36" t="s">
        <v>48</v>
      </c>
    </row>
    <row r="3439">
      <c r="H3439" s="50"/>
      <c r="I3439" s="50"/>
      <c r="O3439" s="36" t="s">
        <v>48</v>
      </c>
      <c r="R3439" s="36" t="s">
        <v>48</v>
      </c>
    </row>
    <row r="3440">
      <c r="H3440" s="50"/>
      <c r="I3440" s="50"/>
      <c r="O3440" s="36" t="s">
        <v>48</v>
      </c>
      <c r="R3440" s="36" t="s">
        <v>48</v>
      </c>
    </row>
    <row r="3441">
      <c r="H3441" s="50"/>
      <c r="I3441" s="50"/>
      <c r="O3441" s="36" t="s">
        <v>48</v>
      </c>
      <c r="R3441" s="36" t="s">
        <v>48</v>
      </c>
    </row>
    <row r="3442">
      <c r="H3442" s="50"/>
      <c r="I3442" s="50"/>
      <c r="O3442" s="36" t="s">
        <v>48</v>
      </c>
      <c r="R3442" s="36" t="s">
        <v>48</v>
      </c>
    </row>
    <row r="3443">
      <c r="H3443" s="50"/>
      <c r="I3443" s="50"/>
      <c r="O3443" s="36" t="s">
        <v>48</v>
      </c>
      <c r="R3443" s="36" t="s">
        <v>48</v>
      </c>
    </row>
    <row r="3444">
      <c r="H3444" s="50"/>
      <c r="I3444" s="50"/>
      <c r="O3444" s="36" t="s">
        <v>48</v>
      </c>
      <c r="R3444" s="36" t="s">
        <v>48</v>
      </c>
    </row>
    <row r="3445">
      <c r="H3445" s="50"/>
      <c r="I3445" s="50"/>
      <c r="O3445" s="36" t="s">
        <v>48</v>
      </c>
      <c r="R3445" s="36" t="s">
        <v>48</v>
      </c>
    </row>
    <row r="3446">
      <c r="H3446" s="50"/>
      <c r="I3446" s="50"/>
      <c r="O3446" s="36" t="s">
        <v>48</v>
      </c>
      <c r="R3446" s="36" t="s">
        <v>48</v>
      </c>
    </row>
    <row r="3447">
      <c r="H3447" s="50"/>
      <c r="I3447" s="50"/>
      <c r="O3447" s="36" t="s">
        <v>48</v>
      </c>
      <c r="R3447" s="36" t="s">
        <v>48</v>
      </c>
    </row>
    <row r="3448">
      <c r="H3448" s="50"/>
      <c r="I3448" s="50"/>
      <c r="O3448" s="36" t="s">
        <v>48</v>
      </c>
      <c r="R3448" s="36" t="s">
        <v>48</v>
      </c>
    </row>
    <row r="3449">
      <c r="H3449" s="50"/>
      <c r="I3449" s="50"/>
      <c r="O3449" s="36" t="s">
        <v>48</v>
      </c>
      <c r="R3449" s="36" t="s">
        <v>48</v>
      </c>
    </row>
    <row r="3450">
      <c r="H3450" s="50"/>
      <c r="I3450" s="50"/>
      <c r="O3450" s="36" t="s">
        <v>48</v>
      </c>
      <c r="R3450" s="36" t="s">
        <v>48</v>
      </c>
    </row>
    <row r="3451">
      <c r="H3451" s="50"/>
      <c r="I3451" s="50"/>
      <c r="O3451" s="36" t="s">
        <v>48</v>
      </c>
      <c r="R3451" s="36" t="s">
        <v>48</v>
      </c>
    </row>
    <row r="3452">
      <c r="H3452" s="50"/>
      <c r="I3452" s="50"/>
      <c r="O3452" s="36" t="s">
        <v>48</v>
      </c>
      <c r="R3452" s="36" t="s">
        <v>48</v>
      </c>
    </row>
    <row r="3453">
      <c r="H3453" s="50"/>
      <c r="I3453" s="50"/>
      <c r="O3453" s="36" t="s">
        <v>48</v>
      </c>
      <c r="R3453" s="36" t="s">
        <v>48</v>
      </c>
    </row>
    <row r="3454">
      <c r="H3454" s="50"/>
      <c r="I3454" s="50"/>
      <c r="O3454" s="36" t="s">
        <v>48</v>
      </c>
      <c r="R3454" s="36" t="s">
        <v>48</v>
      </c>
    </row>
    <row r="3455">
      <c r="H3455" s="50"/>
      <c r="I3455" s="50"/>
      <c r="O3455" s="36" t="s">
        <v>48</v>
      </c>
      <c r="R3455" s="36" t="s">
        <v>48</v>
      </c>
    </row>
    <row r="3456">
      <c r="H3456" s="50"/>
      <c r="I3456" s="50"/>
      <c r="O3456" s="36" t="s">
        <v>48</v>
      </c>
      <c r="R3456" s="36" t="s">
        <v>48</v>
      </c>
    </row>
    <row r="3457">
      <c r="H3457" s="50"/>
      <c r="I3457" s="50"/>
      <c r="O3457" s="36" t="s">
        <v>48</v>
      </c>
      <c r="R3457" s="36" t="s">
        <v>48</v>
      </c>
    </row>
    <row r="3458">
      <c r="H3458" s="50"/>
      <c r="I3458" s="50"/>
      <c r="O3458" s="36" t="s">
        <v>48</v>
      </c>
      <c r="R3458" s="36" t="s">
        <v>48</v>
      </c>
    </row>
    <row r="3459">
      <c r="H3459" s="50"/>
      <c r="I3459" s="50"/>
      <c r="O3459" s="36" t="s">
        <v>48</v>
      </c>
      <c r="R3459" s="36" t="s">
        <v>48</v>
      </c>
    </row>
    <row r="3460">
      <c r="H3460" s="50"/>
      <c r="I3460" s="50"/>
      <c r="O3460" s="36" t="s">
        <v>48</v>
      </c>
      <c r="R3460" s="36" t="s">
        <v>48</v>
      </c>
    </row>
    <row r="3461">
      <c r="H3461" s="50"/>
      <c r="I3461" s="50"/>
      <c r="O3461" s="36" t="s">
        <v>48</v>
      </c>
      <c r="R3461" s="36" t="s">
        <v>48</v>
      </c>
    </row>
    <row r="3462">
      <c r="H3462" s="50"/>
      <c r="I3462" s="50"/>
      <c r="O3462" s="36" t="s">
        <v>48</v>
      </c>
      <c r="R3462" s="36" t="s">
        <v>48</v>
      </c>
    </row>
    <row r="3463">
      <c r="H3463" s="50"/>
      <c r="I3463" s="50"/>
      <c r="O3463" s="36" t="s">
        <v>48</v>
      </c>
      <c r="R3463" s="36" t="s">
        <v>48</v>
      </c>
    </row>
    <row r="3464">
      <c r="H3464" s="50"/>
      <c r="I3464" s="50"/>
      <c r="O3464" s="36" t="s">
        <v>48</v>
      </c>
      <c r="R3464" s="36" t="s">
        <v>48</v>
      </c>
    </row>
    <row r="3465">
      <c r="H3465" s="50"/>
      <c r="I3465" s="50"/>
      <c r="O3465" s="36" t="s">
        <v>48</v>
      </c>
      <c r="R3465" s="36" t="s">
        <v>48</v>
      </c>
    </row>
    <row r="3466">
      <c r="H3466" s="50"/>
      <c r="I3466" s="50"/>
      <c r="O3466" s="36" t="s">
        <v>48</v>
      </c>
      <c r="R3466" s="36" t="s">
        <v>48</v>
      </c>
    </row>
    <row r="3467">
      <c r="H3467" s="50"/>
      <c r="I3467" s="50"/>
      <c r="O3467" s="36" t="s">
        <v>48</v>
      </c>
      <c r="R3467" s="36" t="s">
        <v>48</v>
      </c>
    </row>
    <row r="3468">
      <c r="H3468" s="50"/>
      <c r="I3468" s="50"/>
      <c r="O3468" s="36" t="s">
        <v>48</v>
      </c>
      <c r="R3468" s="36" t="s">
        <v>48</v>
      </c>
    </row>
    <row r="3469">
      <c r="H3469" s="50"/>
      <c r="I3469" s="50"/>
      <c r="O3469" s="36" t="s">
        <v>48</v>
      </c>
      <c r="R3469" s="36" t="s">
        <v>48</v>
      </c>
    </row>
    <row r="3470">
      <c r="H3470" s="50"/>
      <c r="I3470" s="50"/>
      <c r="O3470" s="36" t="s">
        <v>48</v>
      </c>
      <c r="R3470" s="36" t="s">
        <v>48</v>
      </c>
    </row>
    <row r="3471">
      <c r="H3471" s="50"/>
      <c r="I3471" s="50"/>
      <c r="O3471" s="36" t="s">
        <v>48</v>
      </c>
      <c r="R3471" s="36" t="s">
        <v>48</v>
      </c>
    </row>
    <row r="3472">
      <c r="H3472" s="50"/>
      <c r="I3472" s="50"/>
      <c r="O3472" s="36" t="s">
        <v>48</v>
      </c>
      <c r="R3472" s="36" t="s">
        <v>48</v>
      </c>
    </row>
    <row r="3473">
      <c r="H3473" s="50"/>
      <c r="I3473" s="50"/>
      <c r="O3473" s="36" t="s">
        <v>48</v>
      </c>
      <c r="R3473" s="36" t="s">
        <v>48</v>
      </c>
    </row>
    <row r="3474">
      <c r="H3474" s="50"/>
      <c r="I3474" s="50"/>
      <c r="O3474" s="36" t="s">
        <v>48</v>
      </c>
      <c r="R3474" s="36" t="s">
        <v>48</v>
      </c>
    </row>
    <row r="3475">
      <c r="H3475" s="50"/>
      <c r="I3475" s="50"/>
      <c r="O3475" s="36" t="s">
        <v>48</v>
      </c>
      <c r="R3475" s="36" t="s">
        <v>48</v>
      </c>
    </row>
    <row r="3476">
      <c r="H3476" s="50"/>
      <c r="I3476" s="50"/>
      <c r="O3476" s="36" t="s">
        <v>48</v>
      </c>
      <c r="R3476" s="36" t="s">
        <v>48</v>
      </c>
    </row>
    <row r="3477">
      <c r="H3477" s="50"/>
      <c r="I3477" s="50"/>
      <c r="O3477" s="36" t="s">
        <v>48</v>
      </c>
      <c r="R3477" s="36" t="s">
        <v>48</v>
      </c>
    </row>
    <row r="3478">
      <c r="H3478" s="50"/>
      <c r="I3478" s="50"/>
      <c r="O3478" s="36" t="s">
        <v>48</v>
      </c>
      <c r="R3478" s="36" t="s">
        <v>48</v>
      </c>
    </row>
    <row r="3479">
      <c r="H3479" s="50"/>
      <c r="I3479" s="50"/>
      <c r="O3479" s="36" t="s">
        <v>48</v>
      </c>
      <c r="R3479" s="36" t="s">
        <v>48</v>
      </c>
    </row>
    <row r="3480">
      <c r="H3480" s="50"/>
      <c r="I3480" s="50"/>
      <c r="O3480" s="36" t="s">
        <v>48</v>
      </c>
      <c r="R3480" s="36" t="s">
        <v>48</v>
      </c>
    </row>
    <row r="3481">
      <c r="H3481" s="50"/>
      <c r="I3481" s="50"/>
      <c r="O3481" s="36" t="s">
        <v>48</v>
      </c>
      <c r="R3481" s="36" t="s">
        <v>48</v>
      </c>
    </row>
    <row r="3482">
      <c r="H3482" s="50"/>
      <c r="I3482" s="50"/>
      <c r="O3482" s="36" t="s">
        <v>48</v>
      </c>
      <c r="R3482" s="36" t="s">
        <v>48</v>
      </c>
    </row>
    <row r="3483">
      <c r="H3483" s="50"/>
      <c r="I3483" s="50"/>
      <c r="O3483" s="36" t="s">
        <v>48</v>
      </c>
      <c r="R3483" s="36" t="s">
        <v>48</v>
      </c>
    </row>
    <row r="3484">
      <c r="H3484" s="50"/>
      <c r="I3484" s="50"/>
      <c r="O3484" s="36" t="s">
        <v>48</v>
      </c>
      <c r="R3484" s="36" t="s">
        <v>48</v>
      </c>
    </row>
    <row r="3485">
      <c r="H3485" s="50"/>
      <c r="I3485" s="50"/>
      <c r="O3485" s="36" t="s">
        <v>48</v>
      </c>
      <c r="R3485" s="36" t="s">
        <v>48</v>
      </c>
    </row>
    <row r="3486">
      <c r="H3486" s="50"/>
      <c r="I3486" s="50"/>
      <c r="O3486" s="36" t="s">
        <v>48</v>
      </c>
      <c r="R3486" s="36" t="s">
        <v>48</v>
      </c>
    </row>
    <row r="3487">
      <c r="H3487" s="50"/>
      <c r="I3487" s="50"/>
      <c r="O3487" s="36" t="s">
        <v>48</v>
      </c>
      <c r="R3487" s="36" t="s">
        <v>48</v>
      </c>
    </row>
    <row r="3488">
      <c r="H3488" s="50"/>
      <c r="I3488" s="50"/>
      <c r="O3488" s="36" t="s">
        <v>48</v>
      </c>
      <c r="R3488" s="36" t="s">
        <v>48</v>
      </c>
    </row>
    <row r="3489">
      <c r="H3489" s="50"/>
      <c r="I3489" s="50"/>
      <c r="O3489" s="36" t="s">
        <v>48</v>
      </c>
      <c r="R3489" s="36" t="s">
        <v>48</v>
      </c>
    </row>
    <row r="3490">
      <c r="H3490" s="50"/>
      <c r="I3490" s="50"/>
      <c r="O3490" s="36" t="s">
        <v>48</v>
      </c>
      <c r="R3490" s="36" t="s">
        <v>48</v>
      </c>
    </row>
    <row r="3491">
      <c r="H3491" s="50"/>
      <c r="I3491" s="50"/>
      <c r="O3491" s="36" t="s">
        <v>48</v>
      </c>
      <c r="R3491" s="36" t="s">
        <v>48</v>
      </c>
    </row>
    <row r="3492">
      <c r="H3492" s="50"/>
      <c r="I3492" s="50"/>
      <c r="O3492" s="36" t="s">
        <v>48</v>
      </c>
      <c r="R3492" s="36" t="s">
        <v>48</v>
      </c>
    </row>
    <row r="3493">
      <c r="H3493" s="50"/>
      <c r="I3493" s="50"/>
      <c r="O3493" s="36" t="s">
        <v>48</v>
      </c>
      <c r="R3493" s="36" t="s">
        <v>48</v>
      </c>
    </row>
    <row r="3494">
      <c r="H3494" s="50"/>
      <c r="I3494" s="50"/>
      <c r="O3494" s="36" t="s">
        <v>48</v>
      </c>
      <c r="R3494" s="36" t="s">
        <v>48</v>
      </c>
    </row>
    <row r="3495">
      <c r="H3495" s="50"/>
      <c r="I3495" s="50"/>
      <c r="O3495" s="36" t="s">
        <v>48</v>
      </c>
      <c r="R3495" s="36" t="s">
        <v>48</v>
      </c>
    </row>
    <row r="3496">
      <c r="H3496" s="50"/>
      <c r="I3496" s="50"/>
      <c r="O3496" s="36" t="s">
        <v>48</v>
      </c>
      <c r="R3496" s="36" t="s">
        <v>48</v>
      </c>
    </row>
    <row r="3497">
      <c r="H3497" s="50"/>
      <c r="I3497" s="50"/>
      <c r="O3497" s="36" t="s">
        <v>48</v>
      </c>
      <c r="R3497" s="36" t="s">
        <v>48</v>
      </c>
    </row>
    <row r="3498">
      <c r="H3498" s="50"/>
      <c r="I3498" s="50"/>
      <c r="O3498" s="36" t="s">
        <v>48</v>
      </c>
      <c r="R3498" s="36" t="s">
        <v>48</v>
      </c>
    </row>
    <row r="3499">
      <c r="H3499" s="50"/>
      <c r="I3499" s="50"/>
      <c r="O3499" s="36" t="s">
        <v>48</v>
      </c>
      <c r="R3499" s="36" t="s">
        <v>48</v>
      </c>
    </row>
    <row r="3500">
      <c r="H3500" s="50"/>
      <c r="I3500" s="50"/>
      <c r="O3500" s="36" t="s">
        <v>48</v>
      </c>
      <c r="R3500" s="36" t="s">
        <v>48</v>
      </c>
    </row>
    <row r="3501">
      <c r="H3501" s="50"/>
      <c r="I3501" s="50"/>
      <c r="O3501" s="36" t="s">
        <v>48</v>
      </c>
      <c r="R3501" s="36" t="s">
        <v>48</v>
      </c>
    </row>
    <row r="3502">
      <c r="H3502" s="50"/>
      <c r="I3502" s="50"/>
      <c r="O3502" s="36" t="s">
        <v>48</v>
      </c>
      <c r="R3502" s="36" t="s">
        <v>48</v>
      </c>
    </row>
    <row r="3503">
      <c r="H3503" s="50"/>
      <c r="I3503" s="50"/>
      <c r="O3503" s="36" t="s">
        <v>48</v>
      </c>
      <c r="R3503" s="36" t="s">
        <v>48</v>
      </c>
    </row>
    <row r="3504">
      <c r="H3504" s="50"/>
      <c r="I3504" s="50"/>
      <c r="O3504" s="36" t="s">
        <v>48</v>
      </c>
      <c r="R3504" s="36" t="s">
        <v>48</v>
      </c>
    </row>
    <row r="3505">
      <c r="H3505" s="50"/>
      <c r="I3505" s="50"/>
      <c r="O3505" s="36" t="s">
        <v>48</v>
      </c>
      <c r="R3505" s="36" t="s">
        <v>48</v>
      </c>
    </row>
    <row r="3506">
      <c r="H3506" s="50"/>
      <c r="I3506" s="50"/>
      <c r="O3506" s="36" t="s">
        <v>48</v>
      </c>
      <c r="R3506" s="36" t="s">
        <v>48</v>
      </c>
    </row>
    <row r="3507">
      <c r="H3507" s="50"/>
      <c r="I3507" s="50"/>
      <c r="O3507" s="36" t="s">
        <v>48</v>
      </c>
      <c r="R3507" s="36" t="s">
        <v>48</v>
      </c>
    </row>
    <row r="3508">
      <c r="H3508" s="50"/>
      <c r="I3508" s="50"/>
      <c r="O3508" s="36" t="s">
        <v>48</v>
      </c>
      <c r="R3508" s="36" t="s">
        <v>48</v>
      </c>
    </row>
    <row r="3509">
      <c r="H3509" s="50"/>
      <c r="I3509" s="50"/>
      <c r="O3509" s="36" t="s">
        <v>48</v>
      </c>
      <c r="R3509" s="36" t="s">
        <v>48</v>
      </c>
    </row>
    <row r="3510">
      <c r="H3510" s="50"/>
      <c r="I3510" s="50"/>
      <c r="O3510" s="36" t="s">
        <v>48</v>
      </c>
      <c r="R3510" s="36" t="s">
        <v>48</v>
      </c>
    </row>
    <row r="3511">
      <c r="H3511" s="50"/>
      <c r="I3511" s="50"/>
      <c r="O3511" s="36" t="s">
        <v>48</v>
      </c>
      <c r="R3511" s="36" t="s">
        <v>48</v>
      </c>
    </row>
    <row r="3512">
      <c r="H3512" s="50"/>
      <c r="I3512" s="50"/>
      <c r="O3512" s="36" t="s">
        <v>48</v>
      </c>
      <c r="R3512" s="36" t="s">
        <v>48</v>
      </c>
    </row>
    <row r="3513">
      <c r="H3513" s="50"/>
      <c r="I3513" s="50"/>
      <c r="O3513" s="36" t="s">
        <v>48</v>
      </c>
      <c r="R3513" s="36" t="s">
        <v>48</v>
      </c>
    </row>
    <row r="3514">
      <c r="H3514" s="50"/>
      <c r="I3514" s="50"/>
      <c r="O3514" s="36" t="s">
        <v>48</v>
      </c>
      <c r="R3514" s="36" t="s">
        <v>48</v>
      </c>
    </row>
    <row r="3515">
      <c r="H3515" s="50"/>
      <c r="I3515" s="50"/>
      <c r="O3515" s="36" t="s">
        <v>48</v>
      </c>
      <c r="R3515" s="36" t="s">
        <v>48</v>
      </c>
    </row>
    <row r="3516">
      <c r="H3516" s="50"/>
      <c r="I3516" s="50"/>
      <c r="O3516" s="36" t="s">
        <v>48</v>
      </c>
      <c r="R3516" s="36" t="s">
        <v>48</v>
      </c>
    </row>
    <row r="3517">
      <c r="H3517" s="50"/>
      <c r="I3517" s="50"/>
      <c r="O3517" s="36" t="s">
        <v>48</v>
      </c>
      <c r="R3517" s="36" t="s">
        <v>48</v>
      </c>
    </row>
    <row r="3518">
      <c r="H3518" s="50"/>
      <c r="I3518" s="50"/>
      <c r="O3518" s="36" t="s">
        <v>48</v>
      </c>
      <c r="R3518" s="36" t="s">
        <v>48</v>
      </c>
    </row>
    <row r="3519">
      <c r="H3519" s="50"/>
      <c r="I3519" s="50"/>
      <c r="O3519" s="36" t="s">
        <v>48</v>
      </c>
      <c r="R3519" s="36" t="s">
        <v>48</v>
      </c>
    </row>
    <row r="3520">
      <c r="H3520" s="50"/>
      <c r="I3520" s="50"/>
      <c r="O3520" s="36" t="s">
        <v>48</v>
      </c>
      <c r="R3520" s="36" t="s">
        <v>48</v>
      </c>
    </row>
    <row r="3521">
      <c r="H3521" s="50"/>
      <c r="I3521" s="50"/>
      <c r="O3521" s="36" t="s">
        <v>48</v>
      </c>
      <c r="R3521" s="36" t="s">
        <v>48</v>
      </c>
    </row>
    <row r="3522">
      <c r="H3522" s="50"/>
      <c r="I3522" s="50"/>
      <c r="O3522" s="36" t="s">
        <v>48</v>
      </c>
      <c r="R3522" s="36" t="s">
        <v>48</v>
      </c>
    </row>
    <row r="3523">
      <c r="H3523" s="50"/>
      <c r="I3523" s="50"/>
      <c r="O3523" s="36" t="s">
        <v>48</v>
      </c>
      <c r="R3523" s="36" t="s">
        <v>48</v>
      </c>
    </row>
    <row r="3524">
      <c r="H3524" s="50"/>
      <c r="I3524" s="50"/>
      <c r="O3524" s="36" t="s">
        <v>48</v>
      </c>
      <c r="R3524" s="36" t="s">
        <v>48</v>
      </c>
    </row>
    <row r="3525">
      <c r="H3525" s="50"/>
      <c r="I3525" s="50"/>
      <c r="O3525" s="36" t="s">
        <v>48</v>
      </c>
      <c r="R3525" s="36" t="s">
        <v>48</v>
      </c>
    </row>
    <row r="3526">
      <c r="H3526" s="50"/>
      <c r="I3526" s="50"/>
      <c r="O3526" s="36" t="s">
        <v>48</v>
      </c>
      <c r="R3526" s="36" t="s">
        <v>48</v>
      </c>
    </row>
    <row r="3527">
      <c r="H3527" s="50"/>
      <c r="I3527" s="50"/>
      <c r="O3527" s="36" t="s">
        <v>48</v>
      </c>
      <c r="R3527" s="36" t="s">
        <v>48</v>
      </c>
    </row>
    <row r="3528">
      <c r="H3528" s="50"/>
      <c r="I3528" s="50"/>
      <c r="O3528" s="36" t="s">
        <v>48</v>
      </c>
      <c r="R3528" s="36" t="s">
        <v>48</v>
      </c>
    </row>
    <row r="3529">
      <c r="H3529" s="50"/>
      <c r="I3529" s="50"/>
      <c r="O3529" s="36" t="s">
        <v>48</v>
      </c>
      <c r="R3529" s="36" t="s">
        <v>48</v>
      </c>
    </row>
    <row r="3530">
      <c r="H3530" s="50"/>
      <c r="I3530" s="50"/>
      <c r="O3530" s="36" t="s">
        <v>48</v>
      </c>
      <c r="R3530" s="36" t="s">
        <v>48</v>
      </c>
    </row>
    <row r="3531">
      <c r="H3531" s="50"/>
      <c r="I3531" s="50"/>
      <c r="O3531" s="36" t="s">
        <v>48</v>
      </c>
      <c r="R3531" s="36" t="s">
        <v>48</v>
      </c>
    </row>
    <row r="3532">
      <c r="H3532" s="50"/>
      <c r="I3532" s="50"/>
      <c r="O3532" s="36" t="s">
        <v>48</v>
      </c>
      <c r="R3532" s="36" t="s">
        <v>48</v>
      </c>
    </row>
    <row r="3533">
      <c r="H3533" s="50"/>
      <c r="I3533" s="50"/>
      <c r="O3533" s="36" t="s">
        <v>48</v>
      </c>
      <c r="R3533" s="36" t="s">
        <v>48</v>
      </c>
    </row>
    <row r="3534">
      <c r="H3534" s="50"/>
      <c r="I3534" s="50"/>
      <c r="O3534" s="36" t="s">
        <v>48</v>
      </c>
      <c r="R3534" s="36" t="s">
        <v>48</v>
      </c>
    </row>
    <row r="3535">
      <c r="H3535" s="50"/>
      <c r="I3535" s="50"/>
      <c r="O3535" s="36" t="s">
        <v>48</v>
      </c>
      <c r="R3535" s="36" t="s">
        <v>48</v>
      </c>
    </row>
    <row r="3536">
      <c r="H3536" s="50"/>
      <c r="I3536" s="50"/>
      <c r="O3536" s="36" t="s">
        <v>48</v>
      </c>
      <c r="R3536" s="36" t="s">
        <v>48</v>
      </c>
    </row>
    <row r="3537">
      <c r="H3537" s="50"/>
      <c r="I3537" s="50"/>
      <c r="O3537" s="36" t="s">
        <v>48</v>
      </c>
      <c r="R3537" s="36" t="s">
        <v>48</v>
      </c>
    </row>
    <row r="3538">
      <c r="H3538" s="50"/>
      <c r="I3538" s="50"/>
      <c r="O3538" s="36" t="s">
        <v>48</v>
      </c>
      <c r="R3538" s="36" t="s">
        <v>48</v>
      </c>
    </row>
    <row r="3539">
      <c r="H3539" s="50"/>
      <c r="I3539" s="50"/>
      <c r="O3539" s="36" t="s">
        <v>48</v>
      </c>
      <c r="R3539" s="36" t="s">
        <v>48</v>
      </c>
    </row>
    <row r="3540">
      <c r="H3540" s="50"/>
      <c r="I3540" s="50"/>
      <c r="O3540" s="36" t="s">
        <v>48</v>
      </c>
      <c r="R3540" s="36" t="s">
        <v>48</v>
      </c>
    </row>
    <row r="3541">
      <c r="H3541" s="50"/>
      <c r="I3541" s="50"/>
      <c r="O3541" s="36" t="s">
        <v>48</v>
      </c>
      <c r="R3541" s="36" t="s">
        <v>48</v>
      </c>
    </row>
    <row r="3542">
      <c r="H3542" s="50"/>
      <c r="I3542" s="50"/>
      <c r="O3542" s="36" t="s">
        <v>48</v>
      </c>
      <c r="R3542" s="36" t="s">
        <v>48</v>
      </c>
    </row>
    <row r="3543">
      <c r="H3543" s="50"/>
      <c r="I3543" s="50"/>
      <c r="O3543" s="36" t="s">
        <v>48</v>
      </c>
      <c r="R3543" s="36" t="s">
        <v>48</v>
      </c>
    </row>
    <row r="3544">
      <c r="H3544" s="50"/>
      <c r="I3544" s="50"/>
      <c r="O3544" s="36" t="s">
        <v>48</v>
      </c>
      <c r="R3544" s="36" t="s">
        <v>48</v>
      </c>
    </row>
    <row r="3545">
      <c r="H3545" s="50"/>
      <c r="I3545" s="50"/>
      <c r="O3545" s="36" t="s">
        <v>48</v>
      </c>
      <c r="R3545" s="36" t="s">
        <v>48</v>
      </c>
    </row>
    <row r="3546">
      <c r="H3546" s="50"/>
      <c r="I3546" s="50"/>
      <c r="O3546" s="36" t="s">
        <v>48</v>
      </c>
      <c r="R3546" s="36" t="s">
        <v>48</v>
      </c>
    </row>
    <row r="3547">
      <c r="H3547" s="50"/>
      <c r="I3547" s="50"/>
      <c r="O3547" s="36" t="s">
        <v>48</v>
      </c>
      <c r="R3547" s="36" t="s">
        <v>48</v>
      </c>
    </row>
    <row r="3548">
      <c r="H3548" s="50"/>
      <c r="I3548" s="50"/>
      <c r="O3548" s="36" t="s">
        <v>48</v>
      </c>
      <c r="R3548" s="36" t="s">
        <v>48</v>
      </c>
    </row>
    <row r="3549">
      <c r="H3549" s="50"/>
      <c r="I3549" s="50"/>
      <c r="O3549" s="36" t="s">
        <v>48</v>
      </c>
      <c r="R3549" s="36" t="s">
        <v>48</v>
      </c>
    </row>
    <row r="3550">
      <c r="H3550" s="50"/>
      <c r="I3550" s="50"/>
      <c r="O3550" s="36" t="s">
        <v>48</v>
      </c>
      <c r="R3550" s="36" t="s">
        <v>48</v>
      </c>
    </row>
    <row r="3551">
      <c r="H3551" s="50"/>
      <c r="I3551" s="50"/>
      <c r="O3551" s="36" t="s">
        <v>48</v>
      </c>
      <c r="R3551" s="36" t="s">
        <v>48</v>
      </c>
    </row>
    <row r="3552">
      <c r="H3552" s="50"/>
      <c r="I3552" s="50"/>
      <c r="O3552" s="36" t="s">
        <v>48</v>
      </c>
      <c r="R3552" s="36" t="s">
        <v>48</v>
      </c>
    </row>
    <row r="3553">
      <c r="H3553" s="50"/>
      <c r="I3553" s="50"/>
      <c r="O3553" s="36" t="s">
        <v>48</v>
      </c>
      <c r="R3553" s="36" t="s">
        <v>48</v>
      </c>
    </row>
    <row r="3554">
      <c r="H3554" s="50"/>
      <c r="I3554" s="50"/>
      <c r="O3554" s="36" t="s">
        <v>48</v>
      </c>
      <c r="R3554" s="36" t="s">
        <v>48</v>
      </c>
    </row>
    <row r="3555">
      <c r="H3555" s="50"/>
      <c r="I3555" s="50"/>
      <c r="O3555" s="36" t="s">
        <v>48</v>
      </c>
      <c r="R3555" s="36" t="s">
        <v>48</v>
      </c>
    </row>
    <row r="3556">
      <c r="H3556" s="50"/>
      <c r="I3556" s="50"/>
      <c r="O3556" s="36" t="s">
        <v>48</v>
      </c>
      <c r="R3556" s="36" t="s">
        <v>48</v>
      </c>
    </row>
    <row r="3557">
      <c r="H3557" s="50"/>
      <c r="I3557" s="50"/>
      <c r="O3557" s="36" t="s">
        <v>48</v>
      </c>
      <c r="R3557" s="36" t="s">
        <v>48</v>
      </c>
    </row>
    <row r="3558">
      <c r="H3558" s="50"/>
      <c r="I3558" s="50"/>
      <c r="O3558" s="36" t="s">
        <v>48</v>
      </c>
      <c r="R3558" s="36" t="s">
        <v>48</v>
      </c>
    </row>
    <row r="3559">
      <c r="H3559" s="50"/>
      <c r="I3559" s="50"/>
      <c r="O3559" s="36" t="s">
        <v>48</v>
      </c>
      <c r="R3559" s="36" t="s">
        <v>48</v>
      </c>
    </row>
    <row r="3560">
      <c r="H3560" s="50"/>
      <c r="I3560" s="50"/>
      <c r="O3560" s="36" t="s">
        <v>48</v>
      </c>
      <c r="R3560" s="36" t="s">
        <v>48</v>
      </c>
    </row>
    <row r="3561">
      <c r="H3561" s="50"/>
      <c r="I3561" s="50"/>
      <c r="O3561" s="36" t="s">
        <v>48</v>
      </c>
      <c r="R3561" s="36" t="s">
        <v>48</v>
      </c>
    </row>
    <row r="3562">
      <c r="H3562" s="50"/>
      <c r="I3562" s="50"/>
      <c r="O3562" s="36" t="s">
        <v>48</v>
      </c>
      <c r="R3562" s="36" t="s">
        <v>48</v>
      </c>
    </row>
    <row r="3563">
      <c r="H3563" s="50"/>
      <c r="I3563" s="50"/>
      <c r="O3563" s="36" t="s">
        <v>48</v>
      </c>
      <c r="R3563" s="36" t="s">
        <v>48</v>
      </c>
    </row>
    <row r="3564">
      <c r="H3564" s="50"/>
      <c r="I3564" s="50"/>
      <c r="O3564" s="36" t="s">
        <v>48</v>
      </c>
      <c r="R3564" s="36" t="s">
        <v>48</v>
      </c>
    </row>
    <row r="3565">
      <c r="H3565" s="50"/>
      <c r="I3565" s="50"/>
      <c r="O3565" s="36" t="s">
        <v>48</v>
      </c>
      <c r="R3565" s="36" t="s">
        <v>48</v>
      </c>
    </row>
    <row r="3566">
      <c r="H3566" s="50"/>
      <c r="I3566" s="50"/>
      <c r="O3566" s="36" t="s">
        <v>48</v>
      </c>
      <c r="R3566" s="36" t="s">
        <v>48</v>
      </c>
    </row>
    <row r="3567">
      <c r="H3567" s="50"/>
      <c r="I3567" s="50"/>
      <c r="O3567" s="36" t="s">
        <v>48</v>
      </c>
      <c r="R3567" s="36" t="s">
        <v>48</v>
      </c>
    </row>
    <row r="3568">
      <c r="H3568" s="50"/>
      <c r="I3568" s="50"/>
      <c r="O3568" s="36" t="s">
        <v>48</v>
      </c>
      <c r="R3568" s="36" t="s">
        <v>48</v>
      </c>
    </row>
    <row r="3569">
      <c r="H3569" s="50"/>
      <c r="I3569" s="50"/>
      <c r="O3569" s="36" t="s">
        <v>48</v>
      </c>
      <c r="R3569" s="36" t="s">
        <v>48</v>
      </c>
    </row>
    <row r="3570">
      <c r="H3570" s="50"/>
      <c r="I3570" s="50"/>
      <c r="O3570" s="36" t="s">
        <v>48</v>
      </c>
      <c r="R3570" s="36" t="s">
        <v>48</v>
      </c>
    </row>
    <row r="3571">
      <c r="H3571" s="50"/>
      <c r="I3571" s="50"/>
      <c r="O3571" s="36" t="s">
        <v>48</v>
      </c>
      <c r="R3571" s="36" t="s">
        <v>48</v>
      </c>
    </row>
    <row r="3572">
      <c r="H3572" s="50"/>
      <c r="I3572" s="50"/>
      <c r="O3572" s="36" t="s">
        <v>48</v>
      </c>
      <c r="R3572" s="36" t="s">
        <v>48</v>
      </c>
    </row>
    <row r="3573">
      <c r="H3573" s="50"/>
      <c r="I3573" s="50"/>
      <c r="O3573" s="36" t="s">
        <v>48</v>
      </c>
      <c r="R3573" s="36" t="s">
        <v>48</v>
      </c>
    </row>
    <row r="3574">
      <c r="H3574" s="50"/>
      <c r="I3574" s="50"/>
      <c r="O3574" s="36" t="s">
        <v>48</v>
      </c>
      <c r="R3574" s="36" t="s">
        <v>48</v>
      </c>
    </row>
    <row r="3575">
      <c r="H3575" s="50"/>
      <c r="I3575" s="50"/>
      <c r="O3575" s="36" t="s">
        <v>48</v>
      </c>
      <c r="R3575" s="36" t="s">
        <v>48</v>
      </c>
    </row>
    <row r="3576">
      <c r="H3576" s="50"/>
      <c r="I3576" s="50"/>
      <c r="O3576" s="36" t="s">
        <v>48</v>
      </c>
      <c r="R3576" s="36" t="s">
        <v>48</v>
      </c>
    </row>
    <row r="3577">
      <c r="H3577" s="50"/>
      <c r="I3577" s="50"/>
      <c r="O3577" s="36" t="s">
        <v>48</v>
      </c>
      <c r="R3577" s="36" t="s">
        <v>48</v>
      </c>
    </row>
    <row r="3578">
      <c r="H3578" s="50"/>
      <c r="I3578" s="50"/>
      <c r="O3578" s="36" t="s">
        <v>48</v>
      </c>
      <c r="R3578" s="36" t="s">
        <v>48</v>
      </c>
    </row>
    <row r="3579">
      <c r="H3579" s="50"/>
      <c r="I3579" s="50"/>
      <c r="O3579" s="36" t="s">
        <v>48</v>
      </c>
      <c r="R3579" s="36" t="s">
        <v>48</v>
      </c>
    </row>
    <row r="3580">
      <c r="H3580" s="50"/>
      <c r="I3580" s="50"/>
      <c r="O3580" s="36" t="s">
        <v>48</v>
      </c>
      <c r="R3580" s="36" t="s">
        <v>48</v>
      </c>
    </row>
    <row r="3581">
      <c r="H3581" s="50"/>
      <c r="I3581" s="50"/>
      <c r="O3581" s="36" t="s">
        <v>48</v>
      </c>
      <c r="R3581" s="36" t="s">
        <v>48</v>
      </c>
    </row>
    <row r="3582">
      <c r="H3582" s="50"/>
      <c r="I3582" s="50"/>
      <c r="O3582" s="36" t="s">
        <v>48</v>
      </c>
      <c r="R3582" s="36" t="s">
        <v>48</v>
      </c>
    </row>
    <row r="3583">
      <c r="H3583" s="50"/>
      <c r="I3583" s="50"/>
      <c r="O3583" s="36" t="s">
        <v>48</v>
      </c>
      <c r="R3583" s="36" t="s">
        <v>48</v>
      </c>
    </row>
    <row r="3584">
      <c r="H3584" s="50"/>
      <c r="I3584" s="50"/>
      <c r="O3584" s="36" t="s">
        <v>48</v>
      </c>
      <c r="R3584" s="36" t="s">
        <v>48</v>
      </c>
    </row>
    <row r="3585">
      <c r="H3585" s="50"/>
      <c r="I3585" s="50"/>
      <c r="O3585" s="36" t="s">
        <v>48</v>
      </c>
      <c r="R3585" s="36" t="s">
        <v>48</v>
      </c>
    </row>
    <row r="3586">
      <c r="H3586" s="50"/>
      <c r="I3586" s="50"/>
      <c r="O3586" s="36" t="s">
        <v>48</v>
      </c>
      <c r="R3586" s="36" t="s">
        <v>48</v>
      </c>
    </row>
    <row r="3587">
      <c r="H3587" s="50"/>
      <c r="I3587" s="50"/>
      <c r="O3587" s="36" t="s">
        <v>48</v>
      </c>
      <c r="R3587" s="36" t="s">
        <v>48</v>
      </c>
    </row>
    <row r="3588">
      <c r="H3588" s="50"/>
      <c r="I3588" s="50"/>
      <c r="O3588" s="36" t="s">
        <v>48</v>
      </c>
      <c r="R3588" s="36" t="s">
        <v>48</v>
      </c>
    </row>
    <row r="3589">
      <c r="H3589" s="50"/>
      <c r="I3589" s="50"/>
      <c r="O3589" s="36" t="s">
        <v>48</v>
      </c>
      <c r="R3589" s="36" t="s">
        <v>48</v>
      </c>
    </row>
    <row r="3590">
      <c r="H3590" s="50"/>
      <c r="I3590" s="50"/>
      <c r="O3590" s="36" t="s">
        <v>48</v>
      </c>
      <c r="R3590" s="36" t="s">
        <v>48</v>
      </c>
    </row>
    <row r="3591">
      <c r="H3591" s="50"/>
      <c r="I3591" s="50"/>
      <c r="O3591" s="36" t="s">
        <v>48</v>
      </c>
      <c r="R3591" s="36" t="s">
        <v>48</v>
      </c>
    </row>
    <row r="3592">
      <c r="H3592" s="50"/>
      <c r="I3592" s="50"/>
      <c r="O3592" s="36" t="s">
        <v>48</v>
      </c>
      <c r="R3592" s="36" t="s">
        <v>48</v>
      </c>
    </row>
    <row r="3593">
      <c r="H3593" s="50"/>
      <c r="I3593" s="50"/>
      <c r="O3593" s="36" t="s">
        <v>48</v>
      </c>
      <c r="R3593" s="36" t="s">
        <v>48</v>
      </c>
    </row>
    <row r="3594">
      <c r="H3594" s="50"/>
      <c r="I3594" s="50"/>
      <c r="O3594" s="36" t="s">
        <v>48</v>
      </c>
      <c r="R3594" s="36" t="s">
        <v>48</v>
      </c>
    </row>
    <row r="3595">
      <c r="H3595" s="50"/>
      <c r="I3595" s="50"/>
      <c r="O3595" s="36" t="s">
        <v>48</v>
      </c>
      <c r="R3595" s="36" t="s">
        <v>48</v>
      </c>
    </row>
    <row r="3596">
      <c r="H3596" s="50"/>
      <c r="I3596" s="50"/>
      <c r="O3596" s="36" t="s">
        <v>48</v>
      </c>
      <c r="R3596" s="36" t="s">
        <v>48</v>
      </c>
    </row>
    <row r="3597">
      <c r="H3597" s="50"/>
      <c r="I3597" s="50"/>
      <c r="O3597" s="36" t="s">
        <v>48</v>
      </c>
      <c r="R3597" s="36" t="s">
        <v>48</v>
      </c>
    </row>
    <row r="3598">
      <c r="H3598" s="50"/>
      <c r="I3598" s="50"/>
      <c r="O3598" s="36" t="s">
        <v>48</v>
      </c>
      <c r="R3598" s="36" t="s">
        <v>48</v>
      </c>
    </row>
    <row r="3599">
      <c r="H3599" s="50"/>
      <c r="I3599" s="50"/>
      <c r="O3599" s="36" t="s">
        <v>48</v>
      </c>
      <c r="R3599" s="36" t="s">
        <v>48</v>
      </c>
    </row>
    <row r="3600">
      <c r="H3600" s="50"/>
      <c r="I3600" s="50"/>
      <c r="O3600" s="36" t="s">
        <v>48</v>
      </c>
      <c r="R3600" s="36" t="s">
        <v>48</v>
      </c>
    </row>
    <row r="3601">
      <c r="H3601" s="50"/>
      <c r="I3601" s="50"/>
      <c r="O3601" s="36" t="s">
        <v>48</v>
      </c>
      <c r="R3601" s="36" t="s">
        <v>48</v>
      </c>
    </row>
    <row r="3602">
      <c r="H3602" s="50"/>
      <c r="I3602" s="50"/>
      <c r="O3602" s="36" t="s">
        <v>48</v>
      </c>
      <c r="R3602" s="36" t="s">
        <v>48</v>
      </c>
    </row>
    <row r="3603">
      <c r="H3603" s="50"/>
      <c r="I3603" s="50"/>
      <c r="O3603" s="36" t="s">
        <v>48</v>
      </c>
      <c r="R3603" s="36" t="s">
        <v>48</v>
      </c>
    </row>
    <row r="3604">
      <c r="H3604" s="50"/>
      <c r="I3604" s="50"/>
      <c r="O3604" s="36" t="s">
        <v>48</v>
      </c>
      <c r="R3604" s="36" t="s">
        <v>48</v>
      </c>
    </row>
    <row r="3605">
      <c r="H3605" s="50"/>
      <c r="I3605" s="50"/>
      <c r="O3605" s="36" t="s">
        <v>48</v>
      </c>
      <c r="R3605" s="36" t="s">
        <v>48</v>
      </c>
    </row>
    <row r="3606">
      <c r="H3606" s="50"/>
      <c r="I3606" s="50"/>
      <c r="O3606" s="36" t="s">
        <v>48</v>
      </c>
      <c r="R3606" s="36" t="s">
        <v>48</v>
      </c>
    </row>
    <row r="3607">
      <c r="H3607" s="50"/>
      <c r="I3607" s="50"/>
      <c r="O3607" s="36" t="s">
        <v>48</v>
      </c>
      <c r="R3607" s="36" t="s">
        <v>48</v>
      </c>
    </row>
    <row r="3608">
      <c r="H3608" s="50"/>
      <c r="I3608" s="50"/>
      <c r="O3608" s="36" t="s">
        <v>48</v>
      </c>
      <c r="R3608" s="36" t="s">
        <v>48</v>
      </c>
    </row>
    <row r="3609">
      <c r="H3609" s="50"/>
      <c r="I3609" s="50"/>
      <c r="O3609" s="36" t="s">
        <v>48</v>
      </c>
      <c r="R3609" s="36" t="s">
        <v>48</v>
      </c>
    </row>
    <row r="3610">
      <c r="H3610" s="50"/>
      <c r="I3610" s="50"/>
      <c r="O3610" s="36" t="s">
        <v>48</v>
      </c>
      <c r="R3610" s="36" t="s">
        <v>48</v>
      </c>
    </row>
    <row r="3611">
      <c r="H3611" s="50"/>
      <c r="I3611" s="50"/>
      <c r="O3611" s="36" t="s">
        <v>48</v>
      </c>
      <c r="R3611" s="36" t="s">
        <v>48</v>
      </c>
    </row>
    <row r="3612">
      <c r="H3612" s="50"/>
      <c r="I3612" s="50"/>
      <c r="O3612" s="36" t="s">
        <v>48</v>
      </c>
      <c r="R3612" s="36" t="s">
        <v>48</v>
      </c>
    </row>
    <row r="3613">
      <c r="H3613" s="50"/>
      <c r="I3613" s="50"/>
      <c r="O3613" s="36" t="s">
        <v>48</v>
      </c>
      <c r="R3613" s="36" t="s">
        <v>48</v>
      </c>
    </row>
    <row r="3614">
      <c r="H3614" s="50"/>
      <c r="I3614" s="50"/>
      <c r="O3614" s="36" t="s">
        <v>48</v>
      </c>
      <c r="R3614" s="36" t="s">
        <v>48</v>
      </c>
    </row>
    <row r="3615">
      <c r="H3615" s="50"/>
      <c r="I3615" s="50"/>
      <c r="O3615" s="36" t="s">
        <v>48</v>
      </c>
      <c r="R3615" s="36" t="s">
        <v>48</v>
      </c>
    </row>
    <row r="3616">
      <c r="H3616" s="50"/>
      <c r="I3616" s="50"/>
      <c r="O3616" s="36" t="s">
        <v>48</v>
      </c>
      <c r="R3616" s="36" t="s">
        <v>48</v>
      </c>
    </row>
    <row r="3617">
      <c r="H3617" s="50"/>
      <c r="I3617" s="50"/>
      <c r="O3617" s="36" t="s">
        <v>48</v>
      </c>
      <c r="R3617" s="36" t="s">
        <v>48</v>
      </c>
    </row>
    <row r="3618">
      <c r="H3618" s="50"/>
      <c r="I3618" s="50"/>
      <c r="O3618" s="36" t="s">
        <v>48</v>
      </c>
      <c r="R3618" s="36" t="s">
        <v>48</v>
      </c>
    </row>
    <row r="3619">
      <c r="H3619" s="50"/>
      <c r="I3619" s="50"/>
      <c r="O3619" s="36" t="s">
        <v>48</v>
      </c>
      <c r="R3619" s="36" t="s">
        <v>48</v>
      </c>
    </row>
    <row r="3620">
      <c r="H3620" s="50"/>
      <c r="I3620" s="50"/>
      <c r="O3620" s="36" t="s">
        <v>48</v>
      </c>
      <c r="R3620" s="36" t="s">
        <v>48</v>
      </c>
    </row>
    <row r="3621">
      <c r="H3621" s="50"/>
      <c r="I3621" s="50"/>
      <c r="O3621" s="36" t="s">
        <v>48</v>
      </c>
      <c r="R3621" s="36" t="s">
        <v>48</v>
      </c>
    </row>
    <row r="3622">
      <c r="H3622" s="50"/>
      <c r="I3622" s="50"/>
      <c r="O3622" s="36" t="s">
        <v>48</v>
      </c>
      <c r="R3622" s="36" t="s">
        <v>48</v>
      </c>
    </row>
    <row r="3623">
      <c r="H3623" s="50"/>
      <c r="I3623" s="50"/>
      <c r="O3623" s="36" t="s">
        <v>48</v>
      </c>
      <c r="R3623" s="36" t="s">
        <v>48</v>
      </c>
    </row>
    <row r="3624">
      <c r="H3624" s="50"/>
      <c r="I3624" s="50"/>
      <c r="O3624" s="36" t="s">
        <v>48</v>
      </c>
      <c r="R3624" s="36" t="s">
        <v>48</v>
      </c>
    </row>
    <row r="3625">
      <c r="H3625" s="50"/>
      <c r="I3625" s="50"/>
      <c r="O3625" s="36" t="s">
        <v>48</v>
      </c>
      <c r="R3625" s="36" t="s">
        <v>48</v>
      </c>
    </row>
    <row r="3626">
      <c r="H3626" s="50"/>
      <c r="I3626" s="50"/>
      <c r="O3626" s="36" t="s">
        <v>48</v>
      </c>
      <c r="R3626" s="36" t="s">
        <v>48</v>
      </c>
    </row>
    <row r="3627">
      <c r="H3627" s="50"/>
      <c r="I3627" s="50"/>
      <c r="O3627" s="36" t="s">
        <v>48</v>
      </c>
      <c r="R3627" s="36" t="s">
        <v>48</v>
      </c>
    </row>
    <row r="3628">
      <c r="H3628" s="50"/>
      <c r="I3628" s="50"/>
      <c r="O3628" s="36" t="s">
        <v>48</v>
      </c>
      <c r="R3628" s="36" t="s">
        <v>48</v>
      </c>
    </row>
    <row r="3629">
      <c r="H3629" s="50"/>
      <c r="I3629" s="50"/>
      <c r="O3629" s="36" t="s">
        <v>48</v>
      </c>
      <c r="R3629" s="36" t="s">
        <v>48</v>
      </c>
    </row>
    <row r="3630">
      <c r="H3630" s="50"/>
      <c r="I3630" s="50"/>
      <c r="O3630" s="36" t="s">
        <v>48</v>
      </c>
      <c r="R3630" s="36" t="s">
        <v>48</v>
      </c>
    </row>
    <row r="3631">
      <c r="H3631" s="50"/>
      <c r="I3631" s="50"/>
      <c r="O3631" s="36" t="s">
        <v>48</v>
      </c>
      <c r="R3631" s="36" t="s">
        <v>48</v>
      </c>
    </row>
    <row r="3632">
      <c r="H3632" s="50"/>
      <c r="I3632" s="50"/>
      <c r="O3632" s="36" t="s">
        <v>48</v>
      </c>
      <c r="R3632" s="36" t="s">
        <v>48</v>
      </c>
    </row>
    <row r="3633">
      <c r="H3633" s="50"/>
      <c r="I3633" s="50"/>
      <c r="O3633" s="36" t="s">
        <v>48</v>
      </c>
      <c r="R3633" s="36" t="s">
        <v>48</v>
      </c>
    </row>
    <row r="3634">
      <c r="H3634" s="50"/>
      <c r="I3634" s="50"/>
      <c r="O3634" s="36" t="s">
        <v>48</v>
      </c>
      <c r="R3634" s="36" t="s">
        <v>48</v>
      </c>
    </row>
    <row r="3635">
      <c r="H3635" s="50"/>
      <c r="I3635" s="50"/>
      <c r="O3635" s="36" t="s">
        <v>48</v>
      </c>
      <c r="R3635" s="36" t="s">
        <v>48</v>
      </c>
    </row>
    <row r="3636">
      <c r="H3636" s="50"/>
      <c r="I3636" s="50"/>
      <c r="O3636" s="36" t="s">
        <v>48</v>
      </c>
      <c r="R3636" s="36" t="s">
        <v>48</v>
      </c>
    </row>
    <row r="3637">
      <c r="H3637" s="50"/>
      <c r="I3637" s="50"/>
      <c r="O3637" s="36" t="s">
        <v>48</v>
      </c>
      <c r="R3637" s="36" t="s">
        <v>48</v>
      </c>
    </row>
    <row r="3638">
      <c r="H3638" s="50"/>
      <c r="I3638" s="50"/>
      <c r="O3638" s="36" t="s">
        <v>48</v>
      </c>
      <c r="R3638" s="36" t="s">
        <v>48</v>
      </c>
    </row>
    <row r="3639">
      <c r="H3639" s="50"/>
      <c r="I3639" s="50"/>
      <c r="O3639" s="36" t="s">
        <v>48</v>
      </c>
      <c r="R3639" s="36" t="s">
        <v>48</v>
      </c>
    </row>
    <row r="3640">
      <c r="H3640" s="50"/>
      <c r="I3640" s="50"/>
      <c r="O3640" s="36" t="s">
        <v>48</v>
      </c>
      <c r="R3640" s="36" t="s">
        <v>48</v>
      </c>
    </row>
    <row r="3641">
      <c r="H3641" s="50"/>
      <c r="I3641" s="50"/>
      <c r="O3641" s="36" t="s">
        <v>48</v>
      </c>
      <c r="R3641" s="36" t="s">
        <v>48</v>
      </c>
    </row>
    <row r="3642">
      <c r="H3642" s="50"/>
      <c r="I3642" s="50"/>
      <c r="O3642" s="36" t="s">
        <v>48</v>
      </c>
      <c r="R3642" s="36" t="s">
        <v>48</v>
      </c>
    </row>
    <row r="3643">
      <c r="H3643" s="50"/>
      <c r="I3643" s="50"/>
      <c r="O3643" s="36" t="s">
        <v>48</v>
      </c>
      <c r="R3643" s="36" t="s">
        <v>48</v>
      </c>
    </row>
    <row r="3644">
      <c r="H3644" s="50"/>
      <c r="I3644" s="50"/>
      <c r="O3644" s="36" t="s">
        <v>48</v>
      </c>
      <c r="R3644" s="36" t="s">
        <v>48</v>
      </c>
    </row>
    <row r="3645">
      <c r="H3645" s="50"/>
      <c r="I3645" s="50"/>
      <c r="O3645" s="36" t="s">
        <v>48</v>
      </c>
      <c r="R3645" s="36" t="s">
        <v>48</v>
      </c>
    </row>
    <row r="3646">
      <c r="H3646" s="50"/>
      <c r="I3646" s="50"/>
      <c r="O3646" s="36" t="s">
        <v>48</v>
      </c>
      <c r="R3646" s="36" t="s">
        <v>48</v>
      </c>
    </row>
    <row r="3647">
      <c r="H3647" s="50"/>
      <c r="I3647" s="50"/>
      <c r="O3647" s="36" t="s">
        <v>48</v>
      </c>
      <c r="R3647" s="36" t="s">
        <v>48</v>
      </c>
    </row>
    <row r="3648">
      <c r="H3648" s="50"/>
      <c r="I3648" s="50"/>
      <c r="O3648" s="36" t="s">
        <v>48</v>
      </c>
      <c r="R3648" s="36" t="s">
        <v>48</v>
      </c>
    </row>
    <row r="3649">
      <c r="H3649" s="50"/>
      <c r="I3649" s="50"/>
      <c r="O3649" s="36" t="s">
        <v>48</v>
      </c>
      <c r="R3649" s="36" t="s">
        <v>48</v>
      </c>
    </row>
    <row r="3650">
      <c r="H3650" s="50"/>
      <c r="I3650" s="50"/>
      <c r="O3650" s="36" t="s">
        <v>48</v>
      </c>
      <c r="R3650" s="36" t="s">
        <v>48</v>
      </c>
    </row>
    <row r="3651">
      <c r="H3651" s="50"/>
      <c r="I3651" s="50"/>
      <c r="O3651" s="36" t="s">
        <v>48</v>
      </c>
      <c r="R3651" s="36" t="s">
        <v>48</v>
      </c>
    </row>
    <row r="3652">
      <c r="H3652" s="50"/>
      <c r="I3652" s="50"/>
      <c r="O3652" s="36" t="s">
        <v>48</v>
      </c>
      <c r="R3652" s="36" t="s">
        <v>48</v>
      </c>
    </row>
    <row r="3653">
      <c r="H3653" s="50"/>
      <c r="I3653" s="50"/>
      <c r="O3653" s="36" t="s">
        <v>48</v>
      </c>
      <c r="R3653" s="36" t="s">
        <v>48</v>
      </c>
    </row>
    <row r="3654">
      <c r="H3654" s="50"/>
      <c r="I3654" s="50"/>
      <c r="O3654" s="36" t="s">
        <v>48</v>
      </c>
      <c r="R3654" s="36" t="s">
        <v>48</v>
      </c>
    </row>
    <row r="3655">
      <c r="H3655" s="50"/>
      <c r="I3655" s="50"/>
      <c r="O3655" s="36" t="s">
        <v>48</v>
      </c>
      <c r="R3655" s="36" t="s">
        <v>48</v>
      </c>
    </row>
    <row r="3656">
      <c r="H3656" s="50"/>
      <c r="I3656" s="50"/>
      <c r="O3656" s="36" t="s">
        <v>48</v>
      </c>
      <c r="R3656" s="36" t="s">
        <v>48</v>
      </c>
    </row>
    <row r="3657">
      <c r="H3657" s="50"/>
      <c r="I3657" s="50"/>
      <c r="O3657" s="36" t="s">
        <v>48</v>
      </c>
      <c r="R3657" s="36" t="s">
        <v>48</v>
      </c>
    </row>
    <row r="3658">
      <c r="H3658" s="50"/>
      <c r="I3658" s="50"/>
      <c r="O3658" s="36" t="s">
        <v>48</v>
      </c>
      <c r="R3658" s="36" t="s">
        <v>48</v>
      </c>
    </row>
    <row r="3659">
      <c r="H3659" s="50"/>
      <c r="I3659" s="50"/>
      <c r="O3659" s="36" t="s">
        <v>48</v>
      </c>
      <c r="R3659" s="36" t="s">
        <v>48</v>
      </c>
    </row>
    <row r="3660">
      <c r="H3660" s="50"/>
      <c r="I3660" s="50"/>
      <c r="O3660" s="36" t="s">
        <v>48</v>
      </c>
      <c r="R3660" s="36" t="s">
        <v>48</v>
      </c>
    </row>
    <row r="3661">
      <c r="H3661" s="50"/>
      <c r="I3661" s="50"/>
      <c r="O3661" s="36" t="s">
        <v>48</v>
      </c>
      <c r="R3661" s="36" t="s">
        <v>48</v>
      </c>
    </row>
    <row r="3662">
      <c r="H3662" s="50"/>
      <c r="I3662" s="50"/>
      <c r="O3662" s="36" t="s">
        <v>48</v>
      </c>
      <c r="R3662" s="36" t="s">
        <v>48</v>
      </c>
    </row>
    <row r="3663">
      <c r="H3663" s="50"/>
      <c r="I3663" s="50"/>
      <c r="O3663" s="36" t="s">
        <v>48</v>
      </c>
      <c r="R3663" s="36" t="s">
        <v>48</v>
      </c>
    </row>
    <row r="3664">
      <c r="H3664" s="50"/>
      <c r="I3664" s="50"/>
      <c r="O3664" s="36" t="s">
        <v>48</v>
      </c>
      <c r="R3664" s="36" t="s">
        <v>48</v>
      </c>
    </row>
    <row r="3665">
      <c r="H3665" s="50"/>
      <c r="I3665" s="50"/>
      <c r="O3665" s="36" t="s">
        <v>48</v>
      </c>
      <c r="R3665" s="36" t="s">
        <v>48</v>
      </c>
    </row>
    <row r="3666">
      <c r="H3666" s="50"/>
      <c r="I3666" s="50"/>
      <c r="O3666" s="36" t="s">
        <v>48</v>
      </c>
      <c r="R3666" s="36" t="s">
        <v>48</v>
      </c>
    </row>
    <row r="3667">
      <c r="H3667" s="50"/>
      <c r="I3667" s="50"/>
      <c r="O3667" s="36" t="s">
        <v>48</v>
      </c>
      <c r="R3667" s="36" t="s">
        <v>48</v>
      </c>
    </row>
    <row r="3668">
      <c r="H3668" s="50"/>
      <c r="I3668" s="50"/>
      <c r="O3668" s="36" t="s">
        <v>48</v>
      </c>
      <c r="R3668" s="36" t="s">
        <v>48</v>
      </c>
    </row>
    <row r="3669">
      <c r="H3669" s="50"/>
      <c r="I3669" s="50"/>
      <c r="O3669" s="36" t="s">
        <v>48</v>
      </c>
      <c r="R3669" s="36" t="s">
        <v>48</v>
      </c>
    </row>
    <row r="3670">
      <c r="H3670" s="50"/>
      <c r="I3670" s="50"/>
      <c r="O3670" s="36" t="s">
        <v>48</v>
      </c>
      <c r="R3670" s="36" t="s">
        <v>48</v>
      </c>
    </row>
    <row r="3671">
      <c r="H3671" s="50"/>
      <c r="I3671" s="50"/>
      <c r="O3671" s="36" t="s">
        <v>48</v>
      </c>
      <c r="R3671" s="36" t="s">
        <v>48</v>
      </c>
    </row>
    <row r="3672">
      <c r="H3672" s="50"/>
      <c r="I3672" s="50"/>
      <c r="O3672" s="36" t="s">
        <v>48</v>
      </c>
      <c r="R3672" s="36" t="s">
        <v>48</v>
      </c>
    </row>
    <row r="3673">
      <c r="H3673" s="50"/>
      <c r="I3673" s="50"/>
      <c r="O3673" s="36" t="s">
        <v>48</v>
      </c>
      <c r="R3673" s="36" t="s">
        <v>48</v>
      </c>
    </row>
    <row r="3674">
      <c r="H3674" s="50"/>
      <c r="I3674" s="50"/>
      <c r="O3674" s="36" t="s">
        <v>48</v>
      </c>
      <c r="R3674" s="36" t="s">
        <v>48</v>
      </c>
    </row>
    <row r="3675">
      <c r="H3675" s="50"/>
      <c r="I3675" s="50"/>
      <c r="O3675" s="36" t="s">
        <v>48</v>
      </c>
      <c r="R3675" s="36" t="s">
        <v>48</v>
      </c>
    </row>
    <row r="3676">
      <c r="H3676" s="50"/>
      <c r="I3676" s="50"/>
      <c r="O3676" s="36" t="s">
        <v>48</v>
      </c>
      <c r="R3676" s="36" t="s">
        <v>48</v>
      </c>
    </row>
    <row r="3677">
      <c r="H3677" s="50"/>
      <c r="I3677" s="50"/>
      <c r="O3677" s="36" t="s">
        <v>48</v>
      </c>
      <c r="R3677" s="36" t="s">
        <v>48</v>
      </c>
    </row>
    <row r="3678">
      <c r="H3678" s="50"/>
      <c r="I3678" s="50"/>
      <c r="O3678" s="36" t="s">
        <v>48</v>
      </c>
      <c r="R3678" s="36" t="s">
        <v>48</v>
      </c>
    </row>
    <row r="3679">
      <c r="H3679" s="50"/>
      <c r="I3679" s="50"/>
      <c r="O3679" s="36" t="s">
        <v>48</v>
      </c>
      <c r="R3679" s="36" t="s">
        <v>48</v>
      </c>
    </row>
    <row r="3680">
      <c r="H3680" s="50"/>
      <c r="I3680" s="50"/>
      <c r="O3680" s="36" t="s">
        <v>48</v>
      </c>
      <c r="R3680" s="36" t="s">
        <v>48</v>
      </c>
    </row>
    <row r="3681">
      <c r="H3681" s="50"/>
      <c r="I3681" s="50"/>
      <c r="O3681" s="36" t="s">
        <v>48</v>
      </c>
      <c r="R3681" s="36" t="s">
        <v>48</v>
      </c>
    </row>
    <row r="3682">
      <c r="H3682" s="50"/>
      <c r="I3682" s="50"/>
      <c r="O3682" s="36" t="s">
        <v>48</v>
      </c>
      <c r="R3682" s="36" t="s">
        <v>48</v>
      </c>
    </row>
    <row r="3683">
      <c r="H3683" s="50"/>
      <c r="I3683" s="50"/>
      <c r="O3683" s="36" t="s">
        <v>48</v>
      </c>
      <c r="R3683" s="36" t="s">
        <v>48</v>
      </c>
    </row>
    <row r="3684">
      <c r="H3684" s="50"/>
      <c r="I3684" s="50"/>
      <c r="O3684" s="36" t="s">
        <v>48</v>
      </c>
      <c r="R3684" s="36" t="s">
        <v>48</v>
      </c>
    </row>
    <row r="3685">
      <c r="H3685" s="50"/>
      <c r="I3685" s="50"/>
      <c r="O3685" s="36" t="s">
        <v>48</v>
      </c>
      <c r="R3685" s="36" t="s">
        <v>48</v>
      </c>
    </row>
    <row r="3686">
      <c r="H3686" s="50"/>
      <c r="I3686" s="50"/>
      <c r="O3686" s="36" t="s">
        <v>48</v>
      </c>
      <c r="R3686" s="36" t="s">
        <v>48</v>
      </c>
    </row>
    <row r="3687">
      <c r="H3687" s="50"/>
      <c r="I3687" s="50"/>
      <c r="O3687" s="36" t="s">
        <v>48</v>
      </c>
      <c r="R3687" s="36" t="s">
        <v>48</v>
      </c>
    </row>
    <row r="3688">
      <c r="H3688" s="50"/>
      <c r="I3688" s="50"/>
      <c r="O3688" s="36" t="s">
        <v>48</v>
      </c>
      <c r="R3688" s="36" t="s">
        <v>48</v>
      </c>
    </row>
    <row r="3689">
      <c r="H3689" s="50"/>
      <c r="I3689" s="50"/>
      <c r="O3689" s="36" t="s">
        <v>48</v>
      </c>
      <c r="R3689" s="36" t="s">
        <v>48</v>
      </c>
    </row>
    <row r="3690">
      <c r="H3690" s="50"/>
      <c r="I3690" s="50"/>
      <c r="O3690" s="36" t="s">
        <v>48</v>
      </c>
      <c r="R3690" s="36" t="s">
        <v>48</v>
      </c>
    </row>
    <row r="3691">
      <c r="H3691" s="50"/>
      <c r="I3691" s="50"/>
      <c r="O3691" s="36" t="s">
        <v>48</v>
      </c>
      <c r="R3691" s="36" t="s">
        <v>48</v>
      </c>
    </row>
    <row r="3692">
      <c r="H3692" s="50"/>
      <c r="I3692" s="50"/>
      <c r="O3692" s="36" t="s">
        <v>48</v>
      </c>
      <c r="R3692" s="36" t="s">
        <v>48</v>
      </c>
    </row>
    <row r="3693">
      <c r="H3693" s="50"/>
      <c r="I3693" s="50"/>
      <c r="O3693" s="36" t="s">
        <v>48</v>
      </c>
      <c r="R3693" s="36" t="s">
        <v>48</v>
      </c>
    </row>
    <row r="3694">
      <c r="H3694" s="50"/>
      <c r="I3694" s="50"/>
      <c r="O3694" s="36" t="s">
        <v>48</v>
      </c>
      <c r="R3694" s="36" t="s">
        <v>48</v>
      </c>
    </row>
    <row r="3695">
      <c r="H3695" s="50"/>
      <c r="I3695" s="50"/>
      <c r="O3695" s="36" t="s">
        <v>48</v>
      </c>
      <c r="R3695" s="36" t="s">
        <v>48</v>
      </c>
    </row>
    <row r="3696">
      <c r="H3696" s="50"/>
      <c r="I3696" s="50"/>
      <c r="O3696" s="36" t="s">
        <v>48</v>
      </c>
      <c r="R3696" s="36" t="s">
        <v>48</v>
      </c>
    </row>
    <row r="3697">
      <c r="H3697" s="50"/>
      <c r="I3697" s="50"/>
      <c r="O3697" s="36" t="s">
        <v>48</v>
      </c>
      <c r="R3697" s="36" t="s">
        <v>48</v>
      </c>
    </row>
    <row r="3698">
      <c r="H3698" s="50"/>
      <c r="I3698" s="50"/>
      <c r="O3698" s="36" t="s">
        <v>48</v>
      </c>
      <c r="R3698" s="36" t="s">
        <v>48</v>
      </c>
    </row>
    <row r="3699">
      <c r="H3699" s="50"/>
      <c r="I3699" s="50"/>
      <c r="O3699" s="36" t="s">
        <v>48</v>
      </c>
      <c r="R3699" s="36" t="s">
        <v>48</v>
      </c>
    </row>
    <row r="3700">
      <c r="H3700" s="50"/>
      <c r="I3700" s="50"/>
      <c r="O3700" s="36" t="s">
        <v>48</v>
      </c>
      <c r="R3700" s="36" t="s">
        <v>48</v>
      </c>
    </row>
    <row r="3701">
      <c r="H3701" s="50"/>
      <c r="I3701" s="50"/>
      <c r="O3701" s="36" t="s">
        <v>48</v>
      </c>
      <c r="R3701" s="36" t="s">
        <v>48</v>
      </c>
    </row>
    <row r="3702">
      <c r="H3702" s="50"/>
      <c r="I3702" s="50"/>
      <c r="O3702" s="36" t="s">
        <v>48</v>
      </c>
      <c r="R3702" s="36" t="s">
        <v>48</v>
      </c>
    </row>
    <row r="3703">
      <c r="H3703" s="50"/>
      <c r="I3703" s="50"/>
      <c r="O3703" s="36" t="s">
        <v>48</v>
      </c>
      <c r="R3703" s="36" t="s">
        <v>48</v>
      </c>
    </row>
    <row r="3704">
      <c r="H3704" s="50"/>
      <c r="I3704" s="50"/>
      <c r="O3704" s="36" t="s">
        <v>48</v>
      </c>
      <c r="R3704" s="36" t="s">
        <v>48</v>
      </c>
    </row>
    <row r="3705">
      <c r="H3705" s="50"/>
      <c r="I3705" s="50"/>
      <c r="O3705" s="36" t="s">
        <v>48</v>
      </c>
      <c r="R3705" s="36" t="s">
        <v>48</v>
      </c>
    </row>
    <row r="3706">
      <c r="H3706" s="50"/>
      <c r="I3706" s="50"/>
      <c r="O3706" s="36" t="s">
        <v>48</v>
      </c>
      <c r="R3706" s="36" t="s">
        <v>48</v>
      </c>
    </row>
    <row r="3707">
      <c r="H3707" s="50"/>
      <c r="I3707" s="50"/>
      <c r="O3707" s="36" t="s">
        <v>48</v>
      </c>
      <c r="R3707" s="36" t="s">
        <v>48</v>
      </c>
    </row>
    <row r="3708">
      <c r="H3708" s="50"/>
      <c r="I3708" s="50"/>
      <c r="O3708" s="36" t="s">
        <v>48</v>
      </c>
      <c r="R3708" s="36" t="s">
        <v>48</v>
      </c>
    </row>
    <row r="3709">
      <c r="H3709" s="50"/>
      <c r="I3709" s="50"/>
      <c r="O3709" s="36" t="s">
        <v>48</v>
      </c>
      <c r="R3709" s="36" t="s">
        <v>48</v>
      </c>
    </row>
    <row r="3710">
      <c r="H3710" s="50"/>
      <c r="I3710" s="50"/>
      <c r="O3710" s="36" t="s">
        <v>48</v>
      </c>
      <c r="R3710" s="36" t="s">
        <v>48</v>
      </c>
    </row>
    <row r="3711">
      <c r="H3711" s="50"/>
      <c r="I3711" s="50"/>
      <c r="O3711" s="36" t="s">
        <v>48</v>
      </c>
      <c r="R3711" s="36" t="s">
        <v>48</v>
      </c>
    </row>
    <row r="3712">
      <c r="H3712" s="50"/>
      <c r="I3712" s="50"/>
      <c r="O3712" s="36" t="s">
        <v>48</v>
      </c>
      <c r="R3712" s="36" t="s">
        <v>48</v>
      </c>
    </row>
    <row r="3713">
      <c r="H3713" s="50"/>
      <c r="I3713" s="50"/>
      <c r="O3713" s="36" t="s">
        <v>48</v>
      </c>
      <c r="R3713" s="36" t="s">
        <v>48</v>
      </c>
    </row>
    <row r="3714">
      <c r="H3714" s="50"/>
      <c r="I3714" s="50"/>
      <c r="O3714" s="36" t="s">
        <v>48</v>
      </c>
      <c r="R3714" s="36" t="s">
        <v>48</v>
      </c>
    </row>
    <row r="3715">
      <c r="H3715" s="50"/>
      <c r="I3715" s="50"/>
      <c r="O3715" s="36" t="s">
        <v>48</v>
      </c>
      <c r="R3715" s="36" t="s">
        <v>48</v>
      </c>
    </row>
    <row r="3716">
      <c r="H3716" s="50"/>
      <c r="I3716" s="50"/>
      <c r="O3716" s="36" t="s">
        <v>48</v>
      </c>
      <c r="R3716" s="36" t="s">
        <v>48</v>
      </c>
    </row>
    <row r="3717">
      <c r="H3717" s="50"/>
      <c r="I3717" s="50"/>
      <c r="O3717" s="36" t="s">
        <v>48</v>
      </c>
      <c r="R3717" s="36" t="s">
        <v>48</v>
      </c>
    </row>
    <row r="3718">
      <c r="H3718" s="50"/>
      <c r="I3718" s="50"/>
      <c r="O3718" s="36" t="s">
        <v>48</v>
      </c>
      <c r="R3718" s="36" t="s">
        <v>48</v>
      </c>
    </row>
    <row r="3719">
      <c r="H3719" s="50"/>
      <c r="I3719" s="50"/>
      <c r="O3719" s="36" t="s">
        <v>48</v>
      </c>
      <c r="R3719" s="36" t="s">
        <v>48</v>
      </c>
    </row>
    <row r="3720">
      <c r="H3720" s="50"/>
      <c r="I3720" s="50"/>
      <c r="O3720" s="36" t="s">
        <v>48</v>
      </c>
      <c r="R3720" s="36" t="s">
        <v>48</v>
      </c>
    </row>
    <row r="3721">
      <c r="H3721" s="50"/>
      <c r="I3721" s="50"/>
      <c r="O3721" s="36" t="s">
        <v>48</v>
      </c>
      <c r="R3721" s="36" t="s">
        <v>48</v>
      </c>
    </row>
    <row r="3722">
      <c r="H3722" s="50"/>
      <c r="I3722" s="50"/>
      <c r="O3722" s="36" t="s">
        <v>48</v>
      </c>
      <c r="R3722" s="36" t="s">
        <v>48</v>
      </c>
    </row>
    <row r="3723">
      <c r="H3723" s="50"/>
      <c r="I3723" s="50"/>
      <c r="O3723" s="36" t="s">
        <v>48</v>
      </c>
      <c r="R3723" s="36" t="s">
        <v>48</v>
      </c>
    </row>
    <row r="3724">
      <c r="H3724" s="50"/>
      <c r="I3724" s="50"/>
      <c r="O3724" s="36" t="s">
        <v>48</v>
      </c>
      <c r="R3724" s="36" t="s">
        <v>48</v>
      </c>
    </row>
    <row r="3725">
      <c r="H3725" s="50"/>
      <c r="I3725" s="50"/>
      <c r="O3725" s="36" t="s">
        <v>48</v>
      </c>
      <c r="R3725" s="36" t="s">
        <v>48</v>
      </c>
    </row>
    <row r="3726">
      <c r="H3726" s="50"/>
      <c r="I3726" s="50"/>
      <c r="O3726" s="36" t="s">
        <v>48</v>
      </c>
      <c r="R3726" s="36" t="s">
        <v>48</v>
      </c>
    </row>
    <row r="3727">
      <c r="H3727" s="50"/>
      <c r="I3727" s="50"/>
      <c r="O3727" s="36" t="s">
        <v>48</v>
      </c>
      <c r="R3727" s="36" t="s">
        <v>48</v>
      </c>
    </row>
    <row r="3728">
      <c r="H3728" s="50"/>
      <c r="I3728" s="50"/>
      <c r="O3728" s="36" t="s">
        <v>48</v>
      </c>
      <c r="R3728" s="36" t="s">
        <v>48</v>
      </c>
    </row>
    <row r="3729">
      <c r="H3729" s="50"/>
      <c r="I3729" s="50"/>
      <c r="O3729" s="36" t="s">
        <v>48</v>
      </c>
      <c r="R3729" s="36" t="s">
        <v>48</v>
      </c>
    </row>
    <row r="3730">
      <c r="H3730" s="50"/>
      <c r="I3730" s="50"/>
      <c r="O3730" s="36" t="s">
        <v>48</v>
      </c>
      <c r="R3730" s="36" t="s">
        <v>48</v>
      </c>
    </row>
    <row r="3731">
      <c r="H3731" s="50"/>
      <c r="I3731" s="50"/>
      <c r="O3731" s="36" t="s">
        <v>48</v>
      </c>
      <c r="R3731" s="36" t="s">
        <v>48</v>
      </c>
    </row>
    <row r="3732">
      <c r="H3732" s="50"/>
      <c r="I3732" s="50"/>
      <c r="O3732" s="36" t="s">
        <v>48</v>
      </c>
      <c r="R3732" s="36" t="s">
        <v>48</v>
      </c>
    </row>
    <row r="3733">
      <c r="H3733" s="50"/>
      <c r="I3733" s="50"/>
      <c r="O3733" s="36" t="s">
        <v>48</v>
      </c>
      <c r="R3733" s="36" t="s">
        <v>48</v>
      </c>
    </row>
    <row r="3734">
      <c r="H3734" s="50"/>
      <c r="I3734" s="50"/>
      <c r="O3734" s="36" t="s">
        <v>48</v>
      </c>
      <c r="R3734" s="36" t="s">
        <v>48</v>
      </c>
    </row>
    <row r="3735">
      <c r="H3735" s="50"/>
      <c r="I3735" s="50"/>
      <c r="O3735" s="36" t="s">
        <v>48</v>
      </c>
      <c r="R3735" s="36" t="s">
        <v>48</v>
      </c>
    </row>
    <row r="3736">
      <c r="H3736" s="50"/>
      <c r="I3736" s="50"/>
      <c r="O3736" s="36" t="s">
        <v>48</v>
      </c>
      <c r="R3736" s="36" t="s">
        <v>48</v>
      </c>
    </row>
    <row r="3737">
      <c r="H3737" s="50"/>
      <c r="I3737" s="50"/>
      <c r="O3737" s="36" t="s">
        <v>48</v>
      </c>
      <c r="R3737" s="36" t="s">
        <v>48</v>
      </c>
    </row>
    <row r="3738">
      <c r="H3738" s="50"/>
      <c r="I3738" s="50"/>
      <c r="O3738" s="36" t="s">
        <v>48</v>
      </c>
      <c r="R3738" s="36" t="s">
        <v>48</v>
      </c>
    </row>
    <row r="3739">
      <c r="H3739" s="50"/>
      <c r="I3739" s="50"/>
      <c r="O3739" s="36" t="s">
        <v>48</v>
      </c>
      <c r="R3739" s="36" t="s">
        <v>48</v>
      </c>
    </row>
    <row r="3740">
      <c r="H3740" s="50"/>
      <c r="I3740" s="50"/>
      <c r="O3740" s="36" t="s">
        <v>48</v>
      </c>
      <c r="R3740" s="36" t="s">
        <v>48</v>
      </c>
    </row>
    <row r="3741">
      <c r="H3741" s="50"/>
      <c r="I3741" s="50"/>
      <c r="O3741" s="36" t="s">
        <v>48</v>
      </c>
      <c r="R3741" s="36" t="s">
        <v>48</v>
      </c>
    </row>
    <row r="3742">
      <c r="H3742" s="50"/>
      <c r="I3742" s="50"/>
      <c r="O3742" s="36" t="s">
        <v>48</v>
      </c>
      <c r="R3742" s="36" t="s">
        <v>48</v>
      </c>
    </row>
    <row r="3743">
      <c r="H3743" s="50"/>
      <c r="I3743" s="50"/>
      <c r="O3743" s="36" t="s">
        <v>48</v>
      </c>
      <c r="R3743" s="36" t="s">
        <v>48</v>
      </c>
    </row>
    <row r="3744">
      <c r="H3744" s="50"/>
      <c r="I3744" s="50"/>
      <c r="O3744" s="36" t="s">
        <v>48</v>
      </c>
      <c r="R3744" s="36" t="s">
        <v>48</v>
      </c>
    </row>
    <row r="3745">
      <c r="H3745" s="50"/>
      <c r="I3745" s="50"/>
      <c r="O3745" s="36" t="s">
        <v>48</v>
      </c>
      <c r="R3745" s="36" t="s">
        <v>48</v>
      </c>
    </row>
    <row r="3746">
      <c r="H3746" s="50"/>
      <c r="I3746" s="50"/>
      <c r="O3746" s="36" t="s">
        <v>48</v>
      </c>
      <c r="R3746" s="36" t="s">
        <v>48</v>
      </c>
    </row>
    <row r="3747">
      <c r="H3747" s="50"/>
      <c r="I3747" s="50"/>
      <c r="O3747" s="36" t="s">
        <v>48</v>
      </c>
      <c r="R3747" s="36" t="s">
        <v>48</v>
      </c>
    </row>
    <row r="3748">
      <c r="H3748" s="50"/>
      <c r="I3748" s="50"/>
      <c r="O3748" s="36" t="s">
        <v>48</v>
      </c>
      <c r="R3748" s="36" t="s">
        <v>48</v>
      </c>
    </row>
    <row r="3749">
      <c r="H3749" s="50"/>
      <c r="I3749" s="50"/>
      <c r="O3749" s="36" t="s">
        <v>48</v>
      </c>
      <c r="R3749" s="36" t="s">
        <v>48</v>
      </c>
    </row>
    <row r="3750">
      <c r="H3750" s="50"/>
      <c r="I3750" s="50"/>
      <c r="O3750" s="36" t="s">
        <v>48</v>
      </c>
      <c r="R3750" s="36" t="s">
        <v>48</v>
      </c>
    </row>
    <row r="3751">
      <c r="H3751" s="50"/>
      <c r="I3751" s="50"/>
      <c r="O3751" s="36" t="s">
        <v>48</v>
      </c>
      <c r="R3751" s="36" t="s">
        <v>48</v>
      </c>
    </row>
    <row r="3752">
      <c r="H3752" s="50"/>
      <c r="I3752" s="50"/>
      <c r="O3752" s="36" t="s">
        <v>48</v>
      </c>
      <c r="R3752" s="36" t="s">
        <v>48</v>
      </c>
    </row>
    <row r="3753">
      <c r="H3753" s="50"/>
      <c r="I3753" s="50"/>
      <c r="O3753" s="36" t="s">
        <v>48</v>
      </c>
      <c r="R3753" s="36" t="s">
        <v>48</v>
      </c>
    </row>
    <row r="3754">
      <c r="H3754" s="50"/>
      <c r="I3754" s="50"/>
      <c r="O3754" s="36" t="s">
        <v>48</v>
      </c>
      <c r="R3754" s="36" t="s">
        <v>48</v>
      </c>
    </row>
    <row r="3755">
      <c r="H3755" s="50"/>
      <c r="I3755" s="50"/>
      <c r="O3755" s="36" t="s">
        <v>48</v>
      </c>
      <c r="R3755" s="36" t="s">
        <v>48</v>
      </c>
    </row>
    <row r="3756">
      <c r="H3756" s="50"/>
      <c r="I3756" s="50"/>
      <c r="O3756" s="36" t="s">
        <v>48</v>
      </c>
      <c r="R3756" s="36" t="s">
        <v>48</v>
      </c>
    </row>
    <row r="3757">
      <c r="H3757" s="50"/>
      <c r="I3757" s="50"/>
      <c r="O3757" s="36" t="s">
        <v>48</v>
      </c>
      <c r="R3757" s="36" t="s">
        <v>48</v>
      </c>
    </row>
    <row r="3758">
      <c r="H3758" s="50"/>
      <c r="I3758" s="50"/>
      <c r="O3758" s="36" t="s">
        <v>48</v>
      </c>
      <c r="R3758" s="36" t="s">
        <v>48</v>
      </c>
    </row>
    <row r="3759">
      <c r="H3759" s="50"/>
      <c r="I3759" s="50"/>
      <c r="O3759" s="36" t="s">
        <v>48</v>
      </c>
      <c r="R3759" s="36" t="s">
        <v>48</v>
      </c>
    </row>
    <row r="3760">
      <c r="H3760" s="50"/>
      <c r="I3760" s="50"/>
      <c r="O3760" s="36" t="s">
        <v>48</v>
      </c>
      <c r="R3760" s="36" t="s">
        <v>48</v>
      </c>
    </row>
    <row r="3761">
      <c r="H3761" s="50"/>
      <c r="I3761" s="50"/>
      <c r="O3761" s="36" t="s">
        <v>48</v>
      </c>
      <c r="R3761" s="36" t="s">
        <v>48</v>
      </c>
    </row>
    <row r="3762">
      <c r="H3762" s="50"/>
      <c r="I3762" s="50"/>
      <c r="O3762" s="36" t="s">
        <v>48</v>
      </c>
      <c r="R3762" s="36" t="s">
        <v>48</v>
      </c>
    </row>
    <row r="3763">
      <c r="H3763" s="50"/>
      <c r="I3763" s="50"/>
      <c r="O3763" s="36" t="s">
        <v>48</v>
      </c>
      <c r="R3763" s="36" t="s">
        <v>48</v>
      </c>
    </row>
    <row r="3764">
      <c r="H3764" s="50"/>
      <c r="I3764" s="50"/>
      <c r="O3764" s="36" t="s">
        <v>48</v>
      </c>
      <c r="R3764" s="36" t="s">
        <v>48</v>
      </c>
    </row>
    <row r="3765">
      <c r="H3765" s="50"/>
      <c r="I3765" s="50"/>
      <c r="O3765" s="36" t="s">
        <v>48</v>
      </c>
      <c r="R3765" s="36" t="s">
        <v>48</v>
      </c>
    </row>
    <row r="3766">
      <c r="H3766" s="50"/>
      <c r="I3766" s="50"/>
      <c r="O3766" s="36" t="s">
        <v>48</v>
      </c>
      <c r="R3766" s="36" t="s">
        <v>48</v>
      </c>
    </row>
    <row r="3767">
      <c r="H3767" s="50"/>
      <c r="I3767" s="50"/>
      <c r="O3767" s="36" t="s">
        <v>48</v>
      </c>
      <c r="R3767" s="36" t="s">
        <v>48</v>
      </c>
    </row>
    <row r="3768">
      <c r="H3768" s="50"/>
      <c r="I3768" s="50"/>
      <c r="O3768" s="36" t="s">
        <v>48</v>
      </c>
      <c r="R3768" s="36" t="s">
        <v>48</v>
      </c>
    </row>
    <row r="3769">
      <c r="H3769" s="50"/>
      <c r="I3769" s="50"/>
      <c r="O3769" s="36" t="s">
        <v>48</v>
      </c>
      <c r="R3769" s="36" t="s">
        <v>48</v>
      </c>
    </row>
    <row r="3770">
      <c r="H3770" s="50"/>
      <c r="I3770" s="50"/>
      <c r="O3770" s="36" t="s">
        <v>48</v>
      </c>
      <c r="R3770" s="36" t="s">
        <v>48</v>
      </c>
    </row>
    <row r="3771">
      <c r="H3771" s="50"/>
      <c r="I3771" s="50"/>
      <c r="O3771" s="36" t="s">
        <v>48</v>
      </c>
      <c r="R3771" s="36" t="s">
        <v>48</v>
      </c>
    </row>
    <row r="3772">
      <c r="H3772" s="50"/>
      <c r="I3772" s="50"/>
      <c r="O3772" s="36" t="s">
        <v>48</v>
      </c>
      <c r="R3772" s="36" t="s">
        <v>48</v>
      </c>
    </row>
    <row r="3773">
      <c r="H3773" s="50"/>
      <c r="I3773" s="50"/>
      <c r="O3773" s="36" t="s">
        <v>48</v>
      </c>
      <c r="R3773" s="36" t="s">
        <v>48</v>
      </c>
    </row>
    <row r="3774">
      <c r="H3774" s="50"/>
      <c r="I3774" s="50"/>
      <c r="O3774" s="36" t="s">
        <v>48</v>
      </c>
      <c r="R3774" s="36" t="s">
        <v>48</v>
      </c>
    </row>
    <row r="3775">
      <c r="H3775" s="50"/>
      <c r="I3775" s="50"/>
      <c r="O3775" s="36" t="s">
        <v>48</v>
      </c>
      <c r="R3775" s="36" t="s">
        <v>48</v>
      </c>
    </row>
    <row r="3776">
      <c r="H3776" s="50"/>
      <c r="I3776" s="50"/>
      <c r="O3776" s="36" t="s">
        <v>48</v>
      </c>
      <c r="R3776" s="36" t="s">
        <v>48</v>
      </c>
    </row>
    <row r="3777">
      <c r="H3777" s="50"/>
      <c r="I3777" s="50"/>
      <c r="O3777" s="36" t="s">
        <v>48</v>
      </c>
      <c r="R3777" s="36" t="s">
        <v>48</v>
      </c>
    </row>
    <row r="3778">
      <c r="H3778" s="50"/>
      <c r="I3778" s="50"/>
      <c r="O3778" s="36" t="s">
        <v>48</v>
      </c>
      <c r="R3778" s="36" t="s">
        <v>48</v>
      </c>
    </row>
    <row r="3779">
      <c r="H3779" s="50"/>
      <c r="I3779" s="50"/>
      <c r="O3779" s="36" t="s">
        <v>48</v>
      </c>
      <c r="R3779" s="36" t="s">
        <v>48</v>
      </c>
    </row>
    <row r="3780">
      <c r="H3780" s="50"/>
      <c r="I3780" s="50"/>
      <c r="O3780" s="36" t="s">
        <v>48</v>
      </c>
      <c r="R3780" s="36" t="s">
        <v>48</v>
      </c>
    </row>
    <row r="3781">
      <c r="H3781" s="50"/>
      <c r="I3781" s="50"/>
      <c r="O3781" s="36" t="s">
        <v>48</v>
      </c>
      <c r="R3781" s="36" t="s">
        <v>48</v>
      </c>
    </row>
    <row r="3782">
      <c r="H3782" s="50"/>
      <c r="I3782" s="50"/>
      <c r="O3782" s="36" t="s">
        <v>48</v>
      </c>
      <c r="R3782" s="36" t="s">
        <v>48</v>
      </c>
    </row>
    <row r="3783">
      <c r="H3783" s="50"/>
      <c r="I3783" s="50"/>
      <c r="O3783" s="36" t="s">
        <v>48</v>
      </c>
      <c r="R3783" s="36" t="s">
        <v>48</v>
      </c>
    </row>
    <row r="3784">
      <c r="H3784" s="50"/>
      <c r="I3784" s="50"/>
      <c r="O3784" s="36" t="s">
        <v>48</v>
      </c>
      <c r="R3784" s="36" t="s">
        <v>48</v>
      </c>
    </row>
    <row r="3785">
      <c r="H3785" s="50"/>
      <c r="I3785" s="50"/>
      <c r="O3785" s="36" t="s">
        <v>48</v>
      </c>
      <c r="R3785" s="36" t="s">
        <v>48</v>
      </c>
    </row>
    <row r="3786">
      <c r="H3786" s="50"/>
      <c r="I3786" s="50"/>
      <c r="O3786" s="36" t="s">
        <v>48</v>
      </c>
      <c r="R3786" s="36" t="s">
        <v>48</v>
      </c>
    </row>
    <row r="3787">
      <c r="H3787" s="50"/>
      <c r="I3787" s="50"/>
      <c r="O3787" s="36" t="s">
        <v>48</v>
      </c>
      <c r="R3787" s="36" t="s">
        <v>48</v>
      </c>
    </row>
    <row r="3788">
      <c r="H3788" s="50"/>
      <c r="I3788" s="50"/>
      <c r="O3788" s="36" t="s">
        <v>48</v>
      </c>
      <c r="R3788" s="36" t="s">
        <v>48</v>
      </c>
    </row>
    <row r="3789">
      <c r="H3789" s="50"/>
      <c r="I3789" s="50"/>
      <c r="O3789" s="36" t="s">
        <v>48</v>
      </c>
      <c r="R3789" s="36" t="s">
        <v>48</v>
      </c>
    </row>
    <row r="3790">
      <c r="H3790" s="50"/>
      <c r="I3790" s="50"/>
      <c r="O3790" s="36" t="s">
        <v>48</v>
      </c>
      <c r="R3790" s="36" t="s">
        <v>48</v>
      </c>
    </row>
    <row r="3791">
      <c r="H3791" s="50"/>
      <c r="I3791" s="50"/>
      <c r="O3791" s="36" t="s">
        <v>48</v>
      </c>
      <c r="R3791" s="36" t="s">
        <v>48</v>
      </c>
    </row>
    <row r="3792">
      <c r="H3792" s="50"/>
      <c r="I3792" s="50"/>
      <c r="O3792" s="36" t="s">
        <v>48</v>
      </c>
      <c r="R3792" s="36" t="s">
        <v>48</v>
      </c>
    </row>
    <row r="3793">
      <c r="H3793" s="50"/>
      <c r="I3793" s="50"/>
      <c r="O3793" s="36" t="s">
        <v>48</v>
      </c>
      <c r="R3793" s="36" t="s">
        <v>48</v>
      </c>
    </row>
    <row r="3794">
      <c r="H3794" s="50"/>
      <c r="I3794" s="50"/>
      <c r="O3794" s="36" t="s">
        <v>48</v>
      </c>
      <c r="R3794" s="36" t="s">
        <v>48</v>
      </c>
    </row>
    <row r="3795">
      <c r="H3795" s="50"/>
      <c r="I3795" s="50"/>
      <c r="O3795" s="36" t="s">
        <v>48</v>
      </c>
      <c r="R3795" s="36" t="s">
        <v>48</v>
      </c>
    </row>
    <row r="3796">
      <c r="H3796" s="50"/>
      <c r="I3796" s="50"/>
      <c r="O3796" s="36" t="s">
        <v>48</v>
      </c>
      <c r="R3796" s="36" t="s">
        <v>48</v>
      </c>
    </row>
    <row r="3797">
      <c r="H3797" s="50"/>
      <c r="I3797" s="50"/>
      <c r="O3797" s="36" t="s">
        <v>48</v>
      </c>
      <c r="R3797" s="36" t="s">
        <v>48</v>
      </c>
    </row>
    <row r="3798">
      <c r="H3798" s="50"/>
      <c r="I3798" s="50"/>
      <c r="O3798" s="36" t="s">
        <v>48</v>
      </c>
      <c r="R3798" s="36" t="s">
        <v>48</v>
      </c>
    </row>
    <row r="3799">
      <c r="H3799" s="50"/>
      <c r="I3799" s="50"/>
      <c r="O3799" s="36" t="s">
        <v>48</v>
      </c>
      <c r="R3799" s="36" t="s">
        <v>48</v>
      </c>
    </row>
    <row r="3800">
      <c r="H3800" s="50"/>
      <c r="I3800" s="50"/>
      <c r="O3800" s="36" t="s">
        <v>48</v>
      </c>
      <c r="R3800" s="36" t="s">
        <v>48</v>
      </c>
    </row>
    <row r="3801">
      <c r="H3801" s="50"/>
      <c r="I3801" s="50"/>
      <c r="O3801" s="36" t="s">
        <v>48</v>
      </c>
      <c r="R3801" s="36" t="s">
        <v>48</v>
      </c>
    </row>
    <row r="3802">
      <c r="H3802" s="50"/>
      <c r="I3802" s="50"/>
      <c r="O3802" s="36" t="s">
        <v>48</v>
      </c>
      <c r="R3802" s="36" t="s">
        <v>48</v>
      </c>
    </row>
    <row r="3803">
      <c r="H3803" s="50"/>
      <c r="I3803" s="50"/>
      <c r="O3803" s="36" t="s">
        <v>48</v>
      </c>
      <c r="R3803" s="36" t="s">
        <v>48</v>
      </c>
    </row>
    <row r="3804">
      <c r="H3804" s="50"/>
      <c r="I3804" s="50"/>
      <c r="O3804" s="36" t="s">
        <v>48</v>
      </c>
      <c r="R3804" s="36" t="s">
        <v>48</v>
      </c>
    </row>
    <row r="3805">
      <c r="H3805" s="50"/>
      <c r="I3805" s="50"/>
      <c r="O3805" s="36" t="s">
        <v>48</v>
      </c>
      <c r="R3805" s="36" t="s">
        <v>48</v>
      </c>
    </row>
    <row r="3806">
      <c r="H3806" s="50"/>
      <c r="I3806" s="50"/>
      <c r="O3806" s="36" t="s">
        <v>48</v>
      </c>
      <c r="R3806" s="36" t="s">
        <v>48</v>
      </c>
    </row>
    <row r="3807">
      <c r="H3807" s="50"/>
      <c r="I3807" s="50"/>
      <c r="O3807" s="36" t="s">
        <v>48</v>
      </c>
      <c r="R3807" s="36" t="s">
        <v>48</v>
      </c>
    </row>
    <row r="3808">
      <c r="H3808" s="50"/>
      <c r="I3808" s="50"/>
      <c r="O3808" s="36" t="s">
        <v>48</v>
      </c>
      <c r="R3808" s="36" t="s">
        <v>48</v>
      </c>
    </row>
    <row r="3809">
      <c r="H3809" s="50"/>
      <c r="I3809" s="50"/>
      <c r="O3809" s="36" t="s">
        <v>48</v>
      </c>
      <c r="R3809" s="36" t="s">
        <v>48</v>
      </c>
    </row>
    <row r="3810">
      <c r="H3810" s="50"/>
      <c r="I3810" s="50"/>
      <c r="O3810" s="36" t="s">
        <v>48</v>
      </c>
      <c r="R3810" s="36" t="s">
        <v>48</v>
      </c>
    </row>
    <row r="3811">
      <c r="H3811" s="50"/>
      <c r="I3811" s="50"/>
      <c r="O3811" s="36" t="s">
        <v>48</v>
      </c>
      <c r="R3811" s="36" t="s">
        <v>48</v>
      </c>
    </row>
    <row r="3812">
      <c r="H3812" s="50"/>
      <c r="I3812" s="50"/>
      <c r="O3812" s="36" t="s">
        <v>48</v>
      </c>
      <c r="R3812" s="36" t="s">
        <v>48</v>
      </c>
    </row>
    <row r="3813">
      <c r="H3813" s="50"/>
      <c r="I3813" s="50"/>
      <c r="O3813" s="36" t="s">
        <v>48</v>
      </c>
      <c r="R3813" s="36" t="s">
        <v>48</v>
      </c>
    </row>
    <row r="3814">
      <c r="H3814" s="50"/>
      <c r="I3814" s="50"/>
      <c r="O3814" s="36" t="s">
        <v>48</v>
      </c>
      <c r="R3814" s="36" t="s">
        <v>48</v>
      </c>
    </row>
    <row r="3815">
      <c r="H3815" s="50"/>
      <c r="I3815" s="50"/>
      <c r="O3815" s="36" t="s">
        <v>48</v>
      </c>
      <c r="R3815" s="36" t="s">
        <v>48</v>
      </c>
    </row>
    <row r="3816">
      <c r="H3816" s="50"/>
      <c r="I3816" s="50"/>
      <c r="O3816" s="36" t="s">
        <v>48</v>
      </c>
      <c r="R3816" s="36" t="s">
        <v>48</v>
      </c>
    </row>
    <row r="3817">
      <c r="H3817" s="50"/>
      <c r="I3817" s="50"/>
      <c r="O3817" s="36" t="s">
        <v>48</v>
      </c>
      <c r="R3817" s="36" t="s">
        <v>48</v>
      </c>
    </row>
    <row r="3818">
      <c r="H3818" s="50"/>
      <c r="I3818" s="50"/>
      <c r="O3818" s="36" t="s">
        <v>48</v>
      </c>
      <c r="R3818" s="36" t="s">
        <v>48</v>
      </c>
    </row>
    <row r="3819">
      <c r="H3819" s="50"/>
      <c r="I3819" s="50"/>
      <c r="O3819" s="36" t="s">
        <v>48</v>
      </c>
      <c r="R3819" s="36" t="s">
        <v>48</v>
      </c>
    </row>
    <row r="3820">
      <c r="H3820" s="50"/>
      <c r="I3820" s="50"/>
      <c r="O3820" s="36" t="s">
        <v>48</v>
      </c>
      <c r="R3820" s="36" t="s">
        <v>48</v>
      </c>
    </row>
    <row r="3821">
      <c r="H3821" s="50"/>
      <c r="I3821" s="50"/>
      <c r="O3821" s="36" t="s">
        <v>48</v>
      </c>
      <c r="R3821" s="36" t="s">
        <v>48</v>
      </c>
    </row>
    <row r="3822">
      <c r="H3822" s="50"/>
      <c r="I3822" s="50"/>
      <c r="O3822" s="36" t="s">
        <v>48</v>
      </c>
      <c r="R3822" s="36" t="s">
        <v>48</v>
      </c>
    </row>
    <row r="3823">
      <c r="H3823" s="50"/>
      <c r="I3823" s="50"/>
      <c r="O3823" s="36" t="s">
        <v>48</v>
      </c>
      <c r="R3823" s="36" t="s">
        <v>48</v>
      </c>
    </row>
    <row r="3824">
      <c r="H3824" s="50"/>
      <c r="I3824" s="50"/>
      <c r="O3824" s="36" t="s">
        <v>48</v>
      </c>
      <c r="R3824" s="36" t="s">
        <v>48</v>
      </c>
    </row>
    <row r="3825">
      <c r="H3825" s="50"/>
      <c r="I3825" s="50"/>
      <c r="O3825" s="36" t="s">
        <v>48</v>
      </c>
      <c r="R3825" s="36" t="s">
        <v>48</v>
      </c>
    </row>
    <row r="3826">
      <c r="H3826" s="50"/>
      <c r="I3826" s="50"/>
      <c r="O3826" s="36" t="s">
        <v>48</v>
      </c>
      <c r="R3826" s="36" t="s">
        <v>48</v>
      </c>
    </row>
    <row r="3827">
      <c r="H3827" s="50"/>
      <c r="I3827" s="50"/>
      <c r="O3827" s="36" t="s">
        <v>48</v>
      </c>
      <c r="R3827" s="36" t="s">
        <v>48</v>
      </c>
    </row>
    <row r="3828">
      <c r="H3828" s="50"/>
      <c r="I3828" s="50"/>
      <c r="O3828" s="36" t="s">
        <v>48</v>
      </c>
      <c r="R3828" s="36" t="s">
        <v>48</v>
      </c>
    </row>
    <row r="3829">
      <c r="H3829" s="50"/>
      <c r="I3829" s="50"/>
      <c r="O3829" s="36" t="s">
        <v>48</v>
      </c>
      <c r="R3829" s="36" t="s">
        <v>48</v>
      </c>
    </row>
    <row r="3830">
      <c r="H3830" s="50"/>
      <c r="I3830" s="50"/>
      <c r="O3830" s="36" t="s">
        <v>48</v>
      </c>
      <c r="R3830" s="36" t="s">
        <v>48</v>
      </c>
    </row>
    <row r="3831">
      <c r="H3831" s="50"/>
      <c r="I3831" s="50"/>
      <c r="O3831" s="36" t="s">
        <v>48</v>
      </c>
      <c r="R3831" s="36" t="s">
        <v>48</v>
      </c>
    </row>
    <row r="3832">
      <c r="H3832" s="50"/>
      <c r="I3832" s="50"/>
      <c r="O3832" s="36" t="s">
        <v>48</v>
      </c>
      <c r="R3832" s="36" t="s">
        <v>48</v>
      </c>
    </row>
    <row r="3833">
      <c r="H3833" s="50"/>
      <c r="I3833" s="50"/>
      <c r="O3833" s="36" t="s">
        <v>48</v>
      </c>
      <c r="R3833" s="36" t="s">
        <v>48</v>
      </c>
    </row>
    <row r="3834">
      <c r="H3834" s="50"/>
      <c r="I3834" s="50"/>
      <c r="O3834" s="36" t="s">
        <v>48</v>
      </c>
      <c r="R3834" s="36" t="s">
        <v>48</v>
      </c>
    </row>
    <row r="3835">
      <c r="H3835" s="50"/>
      <c r="I3835" s="50"/>
      <c r="O3835" s="36" t="s">
        <v>48</v>
      </c>
      <c r="R3835" s="36" t="s">
        <v>48</v>
      </c>
    </row>
    <row r="3836">
      <c r="H3836" s="50"/>
      <c r="I3836" s="50"/>
      <c r="O3836" s="36" t="s">
        <v>48</v>
      </c>
      <c r="R3836" s="36" t="s">
        <v>48</v>
      </c>
    </row>
    <row r="3837">
      <c r="H3837" s="50"/>
      <c r="I3837" s="50"/>
      <c r="O3837" s="36" t="s">
        <v>48</v>
      </c>
      <c r="R3837" s="36" t="s">
        <v>48</v>
      </c>
    </row>
    <row r="3838">
      <c r="H3838" s="50"/>
      <c r="I3838" s="50"/>
      <c r="O3838" s="36" t="s">
        <v>48</v>
      </c>
      <c r="R3838" s="36" t="s">
        <v>48</v>
      </c>
    </row>
    <row r="3839">
      <c r="H3839" s="50"/>
      <c r="I3839" s="50"/>
      <c r="O3839" s="36" t="s">
        <v>48</v>
      </c>
      <c r="R3839" s="36" t="s">
        <v>48</v>
      </c>
    </row>
    <row r="3840">
      <c r="H3840" s="50"/>
      <c r="I3840" s="50"/>
      <c r="O3840" s="36" t="s">
        <v>48</v>
      </c>
      <c r="R3840" s="36" t="s">
        <v>48</v>
      </c>
    </row>
    <row r="3841">
      <c r="H3841" s="50"/>
      <c r="I3841" s="50"/>
      <c r="O3841" s="36" t="s">
        <v>48</v>
      </c>
      <c r="R3841" s="36" t="s">
        <v>48</v>
      </c>
    </row>
    <row r="3842">
      <c r="H3842" s="50"/>
      <c r="I3842" s="50"/>
      <c r="O3842" s="36" t="s">
        <v>48</v>
      </c>
      <c r="R3842" s="36" t="s">
        <v>48</v>
      </c>
    </row>
    <row r="3843">
      <c r="H3843" s="50"/>
      <c r="I3843" s="50"/>
      <c r="O3843" s="36" t="s">
        <v>48</v>
      </c>
      <c r="R3843" s="36" t="s">
        <v>48</v>
      </c>
    </row>
    <row r="3844">
      <c r="H3844" s="50"/>
      <c r="I3844" s="50"/>
      <c r="O3844" s="36" t="s">
        <v>48</v>
      </c>
      <c r="R3844" s="36" t="s">
        <v>48</v>
      </c>
    </row>
    <row r="3845">
      <c r="H3845" s="50"/>
      <c r="I3845" s="50"/>
      <c r="O3845" s="36" t="s">
        <v>48</v>
      </c>
      <c r="R3845" s="36" t="s">
        <v>48</v>
      </c>
    </row>
    <row r="3846">
      <c r="H3846" s="50"/>
      <c r="I3846" s="50"/>
      <c r="O3846" s="36" t="s">
        <v>48</v>
      </c>
      <c r="R3846" s="36" t="s">
        <v>48</v>
      </c>
    </row>
    <row r="3847">
      <c r="H3847" s="50"/>
      <c r="I3847" s="50"/>
      <c r="O3847" s="36" t="s">
        <v>48</v>
      </c>
      <c r="R3847" s="36" t="s">
        <v>48</v>
      </c>
    </row>
    <row r="3848">
      <c r="H3848" s="50"/>
      <c r="I3848" s="50"/>
      <c r="O3848" s="36" t="s">
        <v>48</v>
      </c>
      <c r="R3848" s="36" t="s">
        <v>48</v>
      </c>
    </row>
    <row r="3849">
      <c r="H3849" s="50"/>
      <c r="I3849" s="50"/>
      <c r="O3849" s="36" t="s">
        <v>48</v>
      </c>
      <c r="R3849" s="36" t="s">
        <v>48</v>
      </c>
    </row>
    <row r="3850">
      <c r="H3850" s="50"/>
      <c r="I3850" s="50"/>
      <c r="O3850" s="36" t="s">
        <v>48</v>
      </c>
      <c r="R3850" s="36" t="s">
        <v>48</v>
      </c>
    </row>
    <row r="3851">
      <c r="H3851" s="50"/>
      <c r="I3851" s="50"/>
      <c r="O3851" s="36" t="s">
        <v>48</v>
      </c>
      <c r="R3851" s="36" t="s">
        <v>48</v>
      </c>
    </row>
    <row r="3852">
      <c r="H3852" s="50"/>
      <c r="I3852" s="50"/>
      <c r="O3852" s="36" t="s">
        <v>48</v>
      </c>
      <c r="R3852" s="36" t="s">
        <v>48</v>
      </c>
    </row>
    <row r="3853">
      <c r="H3853" s="50"/>
      <c r="I3853" s="50"/>
      <c r="O3853" s="36" t="s">
        <v>48</v>
      </c>
      <c r="R3853" s="36" t="s">
        <v>48</v>
      </c>
    </row>
    <row r="3854">
      <c r="H3854" s="50"/>
      <c r="I3854" s="50"/>
      <c r="O3854" s="36" t="s">
        <v>48</v>
      </c>
      <c r="R3854" s="36" t="s">
        <v>48</v>
      </c>
    </row>
    <row r="3855">
      <c r="H3855" s="50"/>
      <c r="I3855" s="50"/>
      <c r="O3855" s="36" t="s">
        <v>48</v>
      </c>
      <c r="R3855" s="36" t="s">
        <v>48</v>
      </c>
    </row>
    <row r="3856">
      <c r="H3856" s="50"/>
      <c r="I3856" s="50"/>
      <c r="O3856" s="36" t="s">
        <v>48</v>
      </c>
      <c r="R3856" s="36" t="s">
        <v>48</v>
      </c>
    </row>
    <row r="3857">
      <c r="H3857" s="50"/>
      <c r="I3857" s="50"/>
      <c r="O3857" s="36" t="s">
        <v>48</v>
      </c>
      <c r="R3857" s="36" t="s">
        <v>48</v>
      </c>
    </row>
    <row r="3858">
      <c r="H3858" s="50"/>
      <c r="I3858" s="50"/>
      <c r="O3858" s="36" t="s">
        <v>48</v>
      </c>
      <c r="R3858" s="36" t="s">
        <v>48</v>
      </c>
    </row>
    <row r="3859">
      <c r="H3859" s="50"/>
      <c r="I3859" s="50"/>
      <c r="O3859" s="36" t="s">
        <v>48</v>
      </c>
      <c r="R3859" s="36" t="s">
        <v>48</v>
      </c>
    </row>
    <row r="3860">
      <c r="H3860" s="50"/>
      <c r="I3860" s="50"/>
      <c r="O3860" s="36" t="s">
        <v>48</v>
      </c>
      <c r="R3860" s="36" t="s">
        <v>48</v>
      </c>
    </row>
    <row r="3861">
      <c r="H3861" s="50"/>
      <c r="I3861" s="50"/>
      <c r="O3861" s="36" t="s">
        <v>48</v>
      </c>
      <c r="R3861" s="36" t="s">
        <v>48</v>
      </c>
    </row>
    <row r="3862">
      <c r="H3862" s="50"/>
      <c r="I3862" s="50"/>
      <c r="O3862" s="36" t="s">
        <v>48</v>
      </c>
      <c r="R3862" s="36" t="s">
        <v>48</v>
      </c>
    </row>
    <row r="3863">
      <c r="H3863" s="50"/>
      <c r="I3863" s="50"/>
      <c r="O3863" s="36" t="s">
        <v>48</v>
      </c>
      <c r="R3863" s="36" t="s">
        <v>48</v>
      </c>
    </row>
    <row r="3864">
      <c r="H3864" s="50"/>
      <c r="I3864" s="50"/>
      <c r="O3864" s="36" t="s">
        <v>48</v>
      </c>
      <c r="R3864" s="36" t="s">
        <v>48</v>
      </c>
    </row>
    <row r="3865">
      <c r="H3865" s="50"/>
      <c r="I3865" s="50"/>
      <c r="O3865" s="36" t="s">
        <v>48</v>
      </c>
      <c r="R3865" s="36" t="s">
        <v>48</v>
      </c>
    </row>
    <row r="3866">
      <c r="H3866" s="50"/>
      <c r="I3866" s="50"/>
      <c r="O3866" s="36" t="s">
        <v>48</v>
      </c>
      <c r="R3866" s="36" t="s">
        <v>48</v>
      </c>
    </row>
    <row r="3867">
      <c r="H3867" s="50"/>
      <c r="I3867" s="50"/>
      <c r="O3867" s="36" t="s">
        <v>48</v>
      </c>
      <c r="R3867" s="36" t="s">
        <v>48</v>
      </c>
    </row>
    <row r="3868">
      <c r="H3868" s="50"/>
      <c r="I3868" s="50"/>
      <c r="O3868" s="36" t="s">
        <v>48</v>
      </c>
      <c r="R3868" s="36" t="s">
        <v>48</v>
      </c>
    </row>
    <row r="3869">
      <c r="H3869" s="50"/>
      <c r="I3869" s="50"/>
      <c r="O3869" s="36" t="s">
        <v>48</v>
      </c>
      <c r="R3869" s="36" t="s">
        <v>48</v>
      </c>
    </row>
    <row r="3870">
      <c r="H3870" s="50"/>
      <c r="I3870" s="50"/>
      <c r="O3870" s="36" t="s">
        <v>48</v>
      </c>
      <c r="R3870" s="36" t="s">
        <v>48</v>
      </c>
    </row>
    <row r="3871">
      <c r="H3871" s="50"/>
      <c r="I3871" s="50"/>
      <c r="O3871" s="36" t="s">
        <v>48</v>
      </c>
      <c r="R3871" s="36" t="s">
        <v>48</v>
      </c>
    </row>
    <row r="3872">
      <c r="H3872" s="50"/>
      <c r="I3872" s="50"/>
      <c r="O3872" s="36" t="s">
        <v>48</v>
      </c>
      <c r="R3872" s="36" t="s">
        <v>48</v>
      </c>
    </row>
    <row r="3873">
      <c r="H3873" s="50"/>
      <c r="I3873" s="50"/>
      <c r="O3873" s="36" t="s">
        <v>48</v>
      </c>
      <c r="R3873" s="36" t="s">
        <v>48</v>
      </c>
    </row>
    <row r="3874">
      <c r="H3874" s="50"/>
      <c r="I3874" s="50"/>
      <c r="O3874" s="36" t="s">
        <v>48</v>
      </c>
      <c r="R3874" s="36" t="s">
        <v>48</v>
      </c>
    </row>
    <row r="3875">
      <c r="H3875" s="50"/>
      <c r="I3875" s="50"/>
      <c r="O3875" s="36" t="s">
        <v>48</v>
      </c>
      <c r="R3875" s="36" t="s">
        <v>48</v>
      </c>
    </row>
    <row r="3876">
      <c r="H3876" s="50"/>
      <c r="I3876" s="50"/>
      <c r="O3876" s="36" t="s">
        <v>48</v>
      </c>
      <c r="R3876" s="36" t="s">
        <v>48</v>
      </c>
    </row>
    <row r="3877">
      <c r="H3877" s="50"/>
      <c r="I3877" s="50"/>
      <c r="O3877" s="36" t="s">
        <v>48</v>
      </c>
      <c r="R3877" s="36" t="s">
        <v>48</v>
      </c>
    </row>
    <row r="3878">
      <c r="H3878" s="50"/>
      <c r="I3878" s="50"/>
      <c r="O3878" s="36" t="s">
        <v>48</v>
      </c>
      <c r="R3878" s="36" t="s">
        <v>48</v>
      </c>
    </row>
    <row r="3879">
      <c r="H3879" s="50"/>
      <c r="I3879" s="50"/>
      <c r="O3879" s="36" t="s">
        <v>48</v>
      </c>
      <c r="R3879" s="36" t="s">
        <v>48</v>
      </c>
    </row>
    <row r="3880">
      <c r="H3880" s="50"/>
      <c r="I3880" s="50"/>
      <c r="O3880" s="36" t="s">
        <v>48</v>
      </c>
      <c r="R3880" s="36" t="s">
        <v>48</v>
      </c>
    </row>
    <row r="3881">
      <c r="H3881" s="50"/>
      <c r="I3881" s="50"/>
      <c r="O3881" s="36" t="s">
        <v>48</v>
      </c>
      <c r="R3881" s="36" t="s">
        <v>48</v>
      </c>
    </row>
    <row r="3882">
      <c r="H3882" s="50"/>
      <c r="I3882" s="50"/>
      <c r="O3882" s="36" t="s">
        <v>48</v>
      </c>
      <c r="R3882" s="36" t="s">
        <v>48</v>
      </c>
    </row>
    <row r="3883">
      <c r="H3883" s="50"/>
      <c r="I3883" s="50"/>
      <c r="O3883" s="36" t="s">
        <v>48</v>
      </c>
      <c r="R3883" s="36" t="s">
        <v>48</v>
      </c>
    </row>
    <row r="3884">
      <c r="H3884" s="50"/>
      <c r="I3884" s="50"/>
      <c r="O3884" s="36" t="s">
        <v>48</v>
      </c>
      <c r="R3884" s="36" t="s">
        <v>48</v>
      </c>
    </row>
    <row r="3885">
      <c r="H3885" s="50"/>
      <c r="I3885" s="50"/>
      <c r="O3885" s="36" t="s">
        <v>48</v>
      </c>
      <c r="R3885" s="36" t="s">
        <v>48</v>
      </c>
    </row>
    <row r="3886">
      <c r="H3886" s="50"/>
      <c r="I3886" s="50"/>
      <c r="O3886" s="36" t="s">
        <v>48</v>
      </c>
      <c r="R3886" s="36" t="s">
        <v>48</v>
      </c>
    </row>
    <row r="3887">
      <c r="H3887" s="50"/>
      <c r="I3887" s="50"/>
      <c r="O3887" s="36" t="s">
        <v>48</v>
      </c>
      <c r="R3887" s="36" t="s">
        <v>48</v>
      </c>
    </row>
    <row r="3888">
      <c r="H3888" s="50"/>
      <c r="I3888" s="50"/>
      <c r="O3888" s="36" t="s">
        <v>48</v>
      </c>
      <c r="R3888" s="36" t="s">
        <v>48</v>
      </c>
    </row>
    <row r="3889">
      <c r="H3889" s="50"/>
      <c r="I3889" s="50"/>
      <c r="O3889" s="36" t="s">
        <v>48</v>
      </c>
      <c r="R3889" s="36" t="s">
        <v>48</v>
      </c>
    </row>
    <row r="3890">
      <c r="H3890" s="50"/>
      <c r="I3890" s="50"/>
      <c r="O3890" s="36" t="s">
        <v>48</v>
      </c>
      <c r="R3890" s="36" t="s">
        <v>48</v>
      </c>
    </row>
    <row r="3891">
      <c r="H3891" s="50"/>
      <c r="I3891" s="50"/>
      <c r="O3891" s="36" t="s">
        <v>48</v>
      </c>
      <c r="R3891" s="36" t="s">
        <v>48</v>
      </c>
    </row>
    <row r="3892">
      <c r="H3892" s="50"/>
      <c r="I3892" s="50"/>
      <c r="O3892" s="36" t="s">
        <v>48</v>
      </c>
      <c r="R3892" s="36" t="s">
        <v>48</v>
      </c>
    </row>
    <row r="3893">
      <c r="H3893" s="50"/>
      <c r="I3893" s="50"/>
      <c r="O3893" s="36" t="s">
        <v>48</v>
      </c>
      <c r="R3893" s="36" t="s">
        <v>48</v>
      </c>
    </row>
    <row r="3894">
      <c r="H3894" s="50"/>
      <c r="I3894" s="50"/>
      <c r="O3894" s="36" t="s">
        <v>48</v>
      </c>
      <c r="R3894" s="36" t="s">
        <v>48</v>
      </c>
    </row>
    <row r="3895">
      <c r="H3895" s="50"/>
      <c r="I3895" s="50"/>
      <c r="O3895" s="36" t="s">
        <v>48</v>
      </c>
      <c r="R3895" s="36" t="s">
        <v>48</v>
      </c>
    </row>
    <row r="3896">
      <c r="H3896" s="50"/>
      <c r="I3896" s="50"/>
      <c r="O3896" s="36" t="s">
        <v>48</v>
      </c>
      <c r="R3896" s="36" t="s">
        <v>48</v>
      </c>
    </row>
    <row r="3897">
      <c r="H3897" s="50"/>
      <c r="I3897" s="50"/>
      <c r="O3897" s="36" t="s">
        <v>48</v>
      </c>
      <c r="R3897" s="36" t="s">
        <v>48</v>
      </c>
    </row>
    <row r="3898">
      <c r="H3898" s="50"/>
      <c r="I3898" s="50"/>
      <c r="O3898" s="36" t="s">
        <v>48</v>
      </c>
      <c r="R3898" s="36" t="s">
        <v>48</v>
      </c>
    </row>
    <row r="3899">
      <c r="H3899" s="50"/>
      <c r="I3899" s="50"/>
      <c r="O3899" s="36" t="s">
        <v>48</v>
      </c>
      <c r="R3899" s="36" t="s">
        <v>48</v>
      </c>
    </row>
    <row r="3900">
      <c r="H3900" s="50"/>
      <c r="I3900" s="50"/>
      <c r="O3900" s="36" t="s">
        <v>48</v>
      </c>
      <c r="R3900" s="36" t="s">
        <v>48</v>
      </c>
    </row>
    <row r="3901">
      <c r="H3901" s="50"/>
      <c r="I3901" s="50"/>
      <c r="O3901" s="36" t="s">
        <v>48</v>
      </c>
      <c r="R3901" s="36" t="s">
        <v>48</v>
      </c>
    </row>
    <row r="3902">
      <c r="H3902" s="50"/>
      <c r="I3902" s="50"/>
      <c r="O3902" s="36" t="s">
        <v>48</v>
      </c>
      <c r="R3902" s="36" t="s">
        <v>48</v>
      </c>
    </row>
    <row r="3903">
      <c r="H3903" s="50"/>
      <c r="I3903" s="50"/>
      <c r="O3903" s="36" t="s">
        <v>48</v>
      </c>
      <c r="R3903" s="36" t="s">
        <v>48</v>
      </c>
    </row>
    <row r="3904">
      <c r="H3904" s="50"/>
      <c r="I3904" s="50"/>
      <c r="O3904" s="36" t="s">
        <v>48</v>
      </c>
      <c r="R3904" s="36" t="s">
        <v>48</v>
      </c>
    </row>
    <row r="3905">
      <c r="H3905" s="50"/>
      <c r="I3905" s="50"/>
      <c r="O3905" s="36" t="s">
        <v>48</v>
      </c>
      <c r="R3905" s="36" t="s">
        <v>48</v>
      </c>
    </row>
    <row r="3906">
      <c r="H3906" s="50"/>
      <c r="I3906" s="50"/>
      <c r="O3906" s="36" t="s">
        <v>48</v>
      </c>
      <c r="R3906" s="36" t="s">
        <v>48</v>
      </c>
    </row>
    <row r="3907">
      <c r="H3907" s="50"/>
      <c r="I3907" s="50"/>
      <c r="O3907" s="36" t="s">
        <v>48</v>
      </c>
      <c r="R3907" s="36" t="s">
        <v>48</v>
      </c>
    </row>
    <row r="3908">
      <c r="H3908" s="50"/>
      <c r="I3908" s="50"/>
      <c r="O3908" s="36" t="s">
        <v>48</v>
      </c>
      <c r="R3908" s="36" t="s">
        <v>48</v>
      </c>
    </row>
    <row r="3909">
      <c r="H3909" s="50"/>
      <c r="I3909" s="50"/>
      <c r="O3909" s="36" t="s">
        <v>48</v>
      </c>
      <c r="R3909" s="36" t="s">
        <v>48</v>
      </c>
    </row>
    <row r="3910">
      <c r="H3910" s="50"/>
      <c r="I3910" s="50"/>
      <c r="O3910" s="36" t="s">
        <v>48</v>
      </c>
      <c r="R3910" s="36" t="s">
        <v>48</v>
      </c>
    </row>
    <row r="3911">
      <c r="H3911" s="50"/>
      <c r="I3911" s="50"/>
      <c r="O3911" s="36" t="s">
        <v>48</v>
      </c>
      <c r="R3911" s="36" t="s">
        <v>48</v>
      </c>
    </row>
    <row r="3912">
      <c r="H3912" s="50"/>
      <c r="I3912" s="50"/>
      <c r="O3912" s="36" t="s">
        <v>48</v>
      </c>
      <c r="R3912" s="36" t="s">
        <v>48</v>
      </c>
    </row>
    <row r="3913">
      <c r="H3913" s="50"/>
      <c r="I3913" s="50"/>
      <c r="O3913" s="36" t="s">
        <v>48</v>
      </c>
      <c r="R3913" s="36" t="s">
        <v>48</v>
      </c>
    </row>
    <row r="3914">
      <c r="H3914" s="50"/>
      <c r="I3914" s="50"/>
      <c r="O3914" s="36" t="s">
        <v>48</v>
      </c>
      <c r="R3914" s="36" t="s">
        <v>48</v>
      </c>
    </row>
    <row r="3915">
      <c r="H3915" s="50"/>
      <c r="I3915" s="50"/>
      <c r="O3915" s="36" t="s">
        <v>48</v>
      </c>
      <c r="R3915" s="36" t="s">
        <v>48</v>
      </c>
    </row>
    <row r="3916">
      <c r="H3916" s="50"/>
      <c r="I3916" s="50"/>
      <c r="O3916" s="36" t="s">
        <v>48</v>
      </c>
      <c r="R3916" s="36" t="s">
        <v>48</v>
      </c>
    </row>
    <row r="3917">
      <c r="H3917" s="50"/>
      <c r="I3917" s="50"/>
      <c r="O3917" s="36" t="s">
        <v>48</v>
      </c>
      <c r="R3917" s="36" t="s">
        <v>48</v>
      </c>
    </row>
    <row r="3918">
      <c r="H3918" s="50"/>
      <c r="I3918" s="50"/>
      <c r="O3918" s="36" t="s">
        <v>48</v>
      </c>
      <c r="R3918" s="36" t="s">
        <v>48</v>
      </c>
    </row>
    <row r="3919">
      <c r="H3919" s="50"/>
      <c r="I3919" s="50"/>
      <c r="O3919" s="36" t="s">
        <v>48</v>
      </c>
      <c r="R3919" s="36" t="s">
        <v>48</v>
      </c>
    </row>
    <row r="3920">
      <c r="H3920" s="50"/>
      <c r="I3920" s="50"/>
      <c r="O3920" s="36" t="s">
        <v>48</v>
      </c>
      <c r="R3920" s="36" t="s">
        <v>48</v>
      </c>
    </row>
    <row r="3921">
      <c r="H3921" s="50"/>
      <c r="I3921" s="50"/>
      <c r="O3921" s="36" t="s">
        <v>48</v>
      </c>
      <c r="R3921" s="36" t="s">
        <v>48</v>
      </c>
    </row>
    <row r="3922">
      <c r="H3922" s="50"/>
      <c r="I3922" s="50"/>
      <c r="O3922" s="36" t="s">
        <v>48</v>
      </c>
      <c r="R3922" s="36" t="s">
        <v>48</v>
      </c>
    </row>
    <row r="3923">
      <c r="H3923" s="50"/>
      <c r="I3923" s="50"/>
      <c r="O3923" s="36" t="s">
        <v>48</v>
      </c>
      <c r="R3923" s="36" t="s">
        <v>48</v>
      </c>
    </row>
    <row r="3924">
      <c r="H3924" s="50"/>
      <c r="I3924" s="50"/>
      <c r="O3924" s="36" t="s">
        <v>48</v>
      </c>
      <c r="R3924" s="36" t="s">
        <v>48</v>
      </c>
    </row>
    <row r="3925">
      <c r="H3925" s="50"/>
      <c r="I3925" s="50"/>
      <c r="O3925" s="36" t="s">
        <v>48</v>
      </c>
      <c r="R3925" s="36" t="s">
        <v>48</v>
      </c>
    </row>
    <row r="3926">
      <c r="H3926" s="50"/>
      <c r="I3926" s="50"/>
      <c r="O3926" s="36" t="s">
        <v>48</v>
      </c>
      <c r="R3926" s="36" t="s">
        <v>48</v>
      </c>
    </row>
    <row r="3927">
      <c r="H3927" s="50"/>
      <c r="I3927" s="50"/>
      <c r="O3927" s="36" t="s">
        <v>48</v>
      </c>
      <c r="R3927" s="36" t="s">
        <v>48</v>
      </c>
    </row>
    <row r="3928">
      <c r="H3928" s="50"/>
      <c r="I3928" s="50"/>
      <c r="O3928" s="36" t="s">
        <v>48</v>
      </c>
      <c r="R3928" s="36" t="s">
        <v>48</v>
      </c>
    </row>
    <row r="3929">
      <c r="H3929" s="50"/>
      <c r="I3929" s="50"/>
      <c r="O3929" s="36" t="s">
        <v>48</v>
      </c>
      <c r="R3929" s="36" t="s">
        <v>48</v>
      </c>
    </row>
    <row r="3930">
      <c r="H3930" s="50"/>
      <c r="I3930" s="50"/>
      <c r="O3930" s="36" t="s">
        <v>48</v>
      </c>
      <c r="R3930" s="36" t="s">
        <v>48</v>
      </c>
    </row>
    <row r="3931">
      <c r="H3931" s="50"/>
      <c r="I3931" s="50"/>
      <c r="O3931" s="36" t="s">
        <v>48</v>
      </c>
      <c r="R3931" s="36" t="s">
        <v>48</v>
      </c>
    </row>
    <row r="3932">
      <c r="H3932" s="50"/>
      <c r="I3932" s="50"/>
      <c r="O3932" s="36" t="s">
        <v>48</v>
      </c>
      <c r="R3932" s="36" t="s">
        <v>48</v>
      </c>
    </row>
    <row r="3933">
      <c r="H3933" s="50"/>
      <c r="I3933" s="50"/>
      <c r="O3933" s="36" t="s">
        <v>48</v>
      </c>
      <c r="R3933" s="36" t="s">
        <v>48</v>
      </c>
    </row>
    <row r="3934">
      <c r="H3934" s="50"/>
      <c r="I3934" s="50"/>
      <c r="O3934" s="36" t="s">
        <v>48</v>
      </c>
      <c r="R3934" s="36" t="s">
        <v>48</v>
      </c>
    </row>
    <row r="3935">
      <c r="H3935" s="50"/>
      <c r="I3935" s="50"/>
      <c r="O3935" s="36" t="s">
        <v>48</v>
      </c>
      <c r="R3935" s="36" t="s">
        <v>48</v>
      </c>
    </row>
    <row r="3936">
      <c r="H3936" s="50"/>
      <c r="I3936" s="50"/>
      <c r="O3936" s="36" t="s">
        <v>48</v>
      </c>
      <c r="R3936" s="36" t="s">
        <v>48</v>
      </c>
    </row>
    <row r="3937">
      <c r="H3937" s="50"/>
      <c r="I3937" s="50"/>
      <c r="O3937" s="36" t="s">
        <v>48</v>
      </c>
      <c r="R3937" s="36" t="s">
        <v>48</v>
      </c>
    </row>
    <row r="3938">
      <c r="H3938" s="50"/>
      <c r="I3938" s="50"/>
      <c r="O3938" s="36" t="s">
        <v>48</v>
      </c>
      <c r="R3938" s="36" t="s">
        <v>48</v>
      </c>
    </row>
    <row r="3939">
      <c r="H3939" s="50"/>
      <c r="I3939" s="50"/>
      <c r="O3939" s="36" t="s">
        <v>48</v>
      </c>
      <c r="R3939" s="36" t="s">
        <v>48</v>
      </c>
    </row>
    <row r="3940">
      <c r="H3940" s="50"/>
      <c r="I3940" s="50"/>
      <c r="O3940" s="36" t="s">
        <v>48</v>
      </c>
      <c r="R3940" s="36" t="s">
        <v>48</v>
      </c>
    </row>
    <row r="3941">
      <c r="H3941" s="50"/>
      <c r="I3941" s="50"/>
      <c r="O3941" s="36" t="s">
        <v>48</v>
      </c>
      <c r="R3941" s="36" t="s">
        <v>48</v>
      </c>
    </row>
    <row r="3942">
      <c r="H3942" s="50"/>
      <c r="I3942" s="50"/>
      <c r="O3942" s="36" t="s">
        <v>48</v>
      </c>
      <c r="R3942" s="36" t="s">
        <v>48</v>
      </c>
    </row>
    <row r="3943">
      <c r="H3943" s="50"/>
      <c r="I3943" s="50"/>
      <c r="O3943" s="36" t="s">
        <v>48</v>
      </c>
      <c r="R3943" s="36" t="s">
        <v>48</v>
      </c>
    </row>
    <row r="3944">
      <c r="H3944" s="50"/>
      <c r="I3944" s="50"/>
      <c r="O3944" s="36" t="s">
        <v>48</v>
      </c>
      <c r="R3944" s="36" t="s">
        <v>48</v>
      </c>
    </row>
    <row r="3945">
      <c r="H3945" s="50"/>
      <c r="I3945" s="50"/>
      <c r="O3945" s="36" t="s">
        <v>48</v>
      </c>
      <c r="R3945" s="36" t="s">
        <v>48</v>
      </c>
    </row>
    <row r="3946">
      <c r="H3946" s="50"/>
      <c r="I3946" s="50"/>
      <c r="O3946" s="36" t="s">
        <v>48</v>
      </c>
      <c r="R3946" s="36" t="s">
        <v>48</v>
      </c>
    </row>
    <row r="3947">
      <c r="H3947" s="50"/>
      <c r="I3947" s="50"/>
      <c r="O3947" s="36" t="s">
        <v>48</v>
      </c>
      <c r="R3947" s="36" t="s">
        <v>48</v>
      </c>
    </row>
    <row r="3948">
      <c r="H3948" s="50"/>
      <c r="I3948" s="50"/>
      <c r="O3948" s="36" t="s">
        <v>48</v>
      </c>
      <c r="R3948" s="36" t="s">
        <v>48</v>
      </c>
    </row>
    <row r="3949">
      <c r="H3949" s="50"/>
      <c r="I3949" s="50"/>
      <c r="O3949" s="36" t="s">
        <v>48</v>
      </c>
      <c r="R3949" s="36" t="s">
        <v>48</v>
      </c>
    </row>
    <row r="3950">
      <c r="H3950" s="50"/>
      <c r="I3950" s="50"/>
      <c r="O3950" s="36" t="s">
        <v>48</v>
      </c>
      <c r="R3950" s="36" t="s">
        <v>48</v>
      </c>
    </row>
    <row r="3951">
      <c r="H3951" s="50"/>
      <c r="I3951" s="50"/>
      <c r="O3951" s="36" t="s">
        <v>48</v>
      </c>
      <c r="R3951" s="36" t="s">
        <v>48</v>
      </c>
    </row>
    <row r="3952">
      <c r="H3952" s="50"/>
      <c r="I3952" s="50"/>
      <c r="O3952" s="36" t="s">
        <v>48</v>
      </c>
      <c r="R3952" s="36" t="s">
        <v>48</v>
      </c>
    </row>
    <row r="3953">
      <c r="H3953" s="50"/>
      <c r="I3953" s="50"/>
      <c r="O3953" s="36" t="s">
        <v>48</v>
      </c>
      <c r="R3953" s="36" t="s">
        <v>48</v>
      </c>
    </row>
    <row r="3954">
      <c r="H3954" s="50"/>
      <c r="I3954" s="50"/>
      <c r="O3954" s="36" t="s">
        <v>48</v>
      </c>
      <c r="R3954" s="36" t="s">
        <v>48</v>
      </c>
    </row>
    <row r="3955">
      <c r="H3955" s="50"/>
      <c r="I3955" s="50"/>
      <c r="O3955" s="36" t="s">
        <v>48</v>
      </c>
      <c r="R3955" s="36" t="s">
        <v>48</v>
      </c>
    </row>
    <row r="3956">
      <c r="H3956" s="50"/>
      <c r="I3956" s="50"/>
      <c r="O3956" s="36" t="s">
        <v>48</v>
      </c>
      <c r="R3956" s="36" t="s">
        <v>48</v>
      </c>
    </row>
    <row r="3957">
      <c r="H3957" s="50"/>
      <c r="I3957" s="50"/>
      <c r="O3957" s="36" t="s">
        <v>48</v>
      </c>
      <c r="R3957" s="36" t="s">
        <v>48</v>
      </c>
    </row>
    <row r="3958">
      <c r="H3958" s="50"/>
      <c r="I3958" s="50"/>
      <c r="O3958" s="36" t="s">
        <v>48</v>
      </c>
      <c r="R3958" s="36" t="s">
        <v>48</v>
      </c>
    </row>
    <row r="3959">
      <c r="H3959" s="50"/>
      <c r="I3959" s="50"/>
      <c r="O3959" s="36" t="s">
        <v>48</v>
      </c>
      <c r="R3959" s="36" t="s">
        <v>48</v>
      </c>
    </row>
    <row r="3960">
      <c r="H3960" s="50"/>
      <c r="I3960" s="50"/>
      <c r="O3960" s="36" t="s">
        <v>48</v>
      </c>
      <c r="R3960" s="36" t="s">
        <v>48</v>
      </c>
    </row>
    <row r="3961">
      <c r="H3961" s="50"/>
      <c r="I3961" s="50"/>
      <c r="O3961" s="36" t="s">
        <v>48</v>
      </c>
      <c r="R3961" s="36" t="s">
        <v>48</v>
      </c>
    </row>
    <row r="3962">
      <c r="H3962" s="50"/>
      <c r="I3962" s="50"/>
      <c r="O3962" s="36" t="s">
        <v>48</v>
      </c>
      <c r="R3962" s="36" t="s">
        <v>48</v>
      </c>
    </row>
    <row r="3963">
      <c r="H3963" s="50"/>
      <c r="I3963" s="50"/>
      <c r="O3963" s="36" t="s">
        <v>48</v>
      </c>
      <c r="R3963" s="36" t="s">
        <v>48</v>
      </c>
    </row>
    <row r="3964">
      <c r="H3964" s="50"/>
      <c r="I3964" s="50"/>
      <c r="O3964" s="36" t="s">
        <v>48</v>
      </c>
      <c r="R3964" s="36" t="s">
        <v>48</v>
      </c>
    </row>
    <row r="3965">
      <c r="H3965" s="50"/>
      <c r="I3965" s="50"/>
      <c r="O3965" s="36" t="s">
        <v>48</v>
      </c>
      <c r="R3965" s="36" t="s">
        <v>48</v>
      </c>
    </row>
    <row r="3966">
      <c r="H3966" s="50"/>
      <c r="I3966" s="50"/>
      <c r="O3966" s="36" t="s">
        <v>48</v>
      </c>
      <c r="R3966" s="36" t="s">
        <v>48</v>
      </c>
    </row>
    <row r="3967">
      <c r="H3967" s="50"/>
      <c r="I3967" s="50"/>
      <c r="O3967" s="36" t="s">
        <v>48</v>
      </c>
      <c r="R3967" s="36" t="s">
        <v>48</v>
      </c>
    </row>
    <row r="3968">
      <c r="H3968" s="50"/>
      <c r="I3968" s="50"/>
      <c r="O3968" s="36" t="s">
        <v>48</v>
      </c>
      <c r="R3968" s="36" t="s">
        <v>48</v>
      </c>
    </row>
    <row r="3969">
      <c r="H3969" s="50"/>
      <c r="I3969" s="50"/>
      <c r="O3969" s="36" t="s">
        <v>48</v>
      </c>
      <c r="R3969" s="36" t="s">
        <v>48</v>
      </c>
    </row>
    <row r="3970">
      <c r="H3970" s="50"/>
      <c r="I3970" s="50"/>
      <c r="O3970" s="36" t="s">
        <v>48</v>
      </c>
      <c r="R3970" s="36" t="s">
        <v>48</v>
      </c>
    </row>
    <row r="3971">
      <c r="H3971" s="50"/>
      <c r="I3971" s="50"/>
      <c r="O3971" s="36" t="s">
        <v>48</v>
      </c>
      <c r="R3971" s="36" t="s">
        <v>48</v>
      </c>
    </row>
    <row r="3972">
      <c r="H3972" s="50"/>
      <c r="I3972" s="50"/>
      <c r="O3972" s="36" t="s">
        <v>48</v>
      </c>
      <c r="R3972" s="36" t="s">
        <v>48</v>
      </c>
    </row>
    <row r="3973">
      <c r="H3973" s="50"/>
      <c r="I3973" s="50"/>
      <c r="O3973" s="36" t="s">
        <v>48</v>
      </c>
      <c r="R3973" s="36" t="s">
        <v>48</v>
      </c>
    </row>
    <row r="3974">
      <c r="H3974" s="50"/>
      <c r="I3974" s="50"/>
      <c r="O3974" s="36" t="s">
        <v>48</v>
      </c>
      <c r="R3974" s="36" t="s">
        <v>48</v>
      </c>
    </row>
    <row r="3975">
      <c r="H3975" s="50"/>
      <c r="I3975" s="50"/>
      <c r="O3975" s="36" t="s">
        <v>48</v>
      </c>
      <c r="R3975" s="36" t="s">
        <v>48</v>
      </c>
    </row>
    <row r="3976">
      <c r="H3976" s="50"/>
      <c r="I3976" s="50"/>
      <c r="O3976" s="36" t="s">
        <v>48</v>
      </c>
      <c r="R3976" s="36" t="s">
        <v>48</v>
      </c>
    </row>
    <row r="3977">
      <c r="H3977" s="50"/>
      <c r="I3977" s="50"/>
      <c r="O3977" s="36" t="s">
        <v>48</v>
      </c>
      <c r="R3977" s="36" t="s">
        <v>48</v>
      </c>
    </row>
    <row r="3978">
      <c r="H3978" s="50"/>
      <c r="I3978" s="50"/>
      <c r="O3978" s="36" t="s">
        <v>48</v>
      </c>
      <c r="R3978" s="36" t="s">
        <v>48</v>
      </c>
    </row>
    <row r="3979">
      <c r="H3979" s="50"/>
      <c r="I3979" s="50"/>
      <c r="O3979" s="36" t="s">
        <v>48</v>
      </c>
      <c r="R3979" s="36" t="s">
        <v>48</v>
      </c>
    </row>
    <row r="3980">
      <c r="H3980" s="50"/>
      <c r="I3980" s="50"/>
      <c r="O3980" s="36" t="s">
        <v>48</v>
      </c>
      <c r="R3980" s="36" t="s">
        <v>48</v>
      </c>
    </row>
    <row r="3981">
      <c r="H3981" s="50"/>
      <c r="I3981" s="50"/>
      <c r="O3981" s="36" t="s">
        <v>48</v>
      </c>
      <c r="R3981" s="36" t="s">
        <v>48</v>
      </c>
    </row>
    <row r="3982">
      <c r="H3982" s="50"/>
      <c r="I3982" s="50"/>
      <c r="O3982" s="36" t="s">
        <v>48</v>
      </c>
      <c r="R3982" s="36" t="s">
        <v>48</v>
      </c>
    </row>
    <row r="3983">
      <c r="H3983" s="50"/>
      <c r="I3983" s="50"/>
      <c r="O3983" s="36" t="s">
        <v>48</v>
      </c>
      <c r="R3983" s="36" t="s">
        <v>48</v>
      </c>
    </row>
    <row r="3984">
      <c r="H3984" s="50"/>
      <c r="I3984" s="50"/>
      <c r="O3984" s="36" t="s">
        <v>48</v>
      </c>
      <c r="R3984" s="36" t="s">
        <v>48</v>
      </c>
    </row>
    <row r="3985">
      <c r="H3985" s="50"/>
      <c r="I3985" s="50"/>
      <c r="O3985" s="36" t="s">
        <v>48</v>
      </c>
      <c r="R3985" s="36" t="s">
        <v>48</v>
      </c>
    </row>
    <row r="3986">
      <c r="H3986" s="50"/>
      <c r="I3986" s="50"/>
      <c r="O3986" s="36" t="s">
        <v>48</v>
      </c>
      <c r="R3986" s="36" t="s">
        <v>48</v>
      </c>
    </row>
    <row r="3987">
      <c r="H3987" s="50"/>
      <c r="I3987" s="50"/>
      <c r="O3987" s="36" t="s">
        <v>48</v>
      </c>
      <c r="R3987" s="36" t="s">
        <v>48</v>
      </c>
    </row>
    <row r="3988">
      <c r="H3988" s="50"/>
      <c r="I3988" s="50"/>
      <c r="O3988" s="36" t="s">
        <v>48</v>
      </c>
      <c r="R3988" s="36" t="s">
        <v>48</v>
      </c>
    </row>
    <row r="3989">
      <c r="H3989" s="50"/>
      <c r="I3989" s="50"/>
      <c r="O3989" s="36" t="s">
        <v>48</v>
      </c>
      <c r="R3989" s="36" t="s">
        <v>48</v>
      </c>
    </row>
    <row r="3990">
      <c r="H3990" s="50"/>
      <c r="I3990" s="50"/>
      <c r="O3990" s="36" t="s">
        <v>48</v>
      </c>
      <c r="R3990" s="36" t="s">
        <v>48</v>
      </c>
    </row>
    <row r="3991">
      <c r="H3991" s="50"/>
      <c r="I3991" s="50"/>
      <c r="O3991" s="36" t="s">
        <v>48</v>
      </c>
      <c r="R3991" s="36" t="s">
        <v>48</v>
      </c>
    </row>
    <row r="3992">
      <c r="H3992" s="50"/>
      <c r="I3992" s="50"/>
      <c r="O3992" s="36" t="s">
        <v>48</v>
      </c>
      <c r="R3992" s="36" t="s">
        <v>48</v>
      </c>
    </row>
    <row r="3993">
      <c r="H3993" s="50"/>
      <c r="I3993" s="50"/>
      <c r="O3993" s="36" t="s">
        <v>48</v>
      </c>
      <c r="R3993" s="36" t="s">
        <v>48</v>
      </c>
    </row>
    <row r="3994">
      <c r="H3994" s="50"/>
      <c r="I3994" s="50"/>
      <c r="O3994" s="36" t="s">
        <v>48</v>
      </c>
      <c r="R3994" s="36" t="s">
        <v>48</v>
      </c>
    </row>
    <row r="3995">
      <c r="H3995" s="50"/>
      <c r="I3995" s="50"/>
      <c r="O3995" s="36" t="s">
        <v>48</v>
      </c>
      <c r="R3995" s="36" t="s">
        <v>48</v>
      </c>
    </row>
    <row r="3996">
      <c r="H3996" s="50"/>
      <c r="I3996" s="50"/>
      <c r="O3996" s="36" t="s">
        <v>48</v>
      </c>
      <c r="R3996" s="36" t="s">
        <v>48</v>
      </c>
    </row>
    <row r="3997">
      <c r="H3997" s="50"/>
      <c r="I3997" s="50"/>
      <c r="O3997" s="36" t="s">
        <v>48</v>
      </c>
      <c r="R3997" s="36" t="s">
        <v>48</v>
      </c>
    </row>
    <row r="3998">
      <c r="H3998" s="50"/>
      <c r="I3998" s="50"/>
      <c r="O3998" s="36" t="s">
        <v>48</v>
      </c>
      <c r="R3998" s="36" t="s">
        <v>48</v>
      </c>
    </row>
    <row r="3999">
      <c r="H3999" s="50"/>
      <c r="I3999" s="50"/>
      <c r="O3999" s="36" t="s">
        <v>48</v>
      </c>
      <c r="R3999" s="36" t="s">
        <v>48</v>
      </c>
    </row>
    <row r="4000">
      <c r="H4000" s="50"/>
      <c r="I4000" s="50"/>
      <c r="O4000" s="36" t="s">
        <v>48</v>
      </c>
      <c r="R4000" s="36" t="s">
        <v>48</v>
      </c>
    </row>
    <row r="4001">
      <c r="H4001" s="50"/>
      <c r="I4001" s="50"/>
      <c r="O4001" s="36" t="s">
        <v>48</v>
      </c>
      <c r="R4001" s="36" t="s">
        <v>48</v>
      </c>
    </row>
    <row r="4002">
      <c r="H4002" s="50"/>
      <c r="I4002" s="50"/>
      <c r="O4002" s="36" t="s">
        <v>48</v>
      </c>
      <c r="R4002" s="36" t="s">
        <v>48</v>
      </c>
    </row>
    <row r="4003">
      <c r="H4003" s="50"/>
      <c r="I4003" s="50"/>
      <c r="O4003" s="36" t="s">
        <v>48</v>
      </c>
      <c r="R4003" s="36" t="s">
        <v>48</v>
      </c>
    </row>
    <row r="4004">
      <c r="H4004" s="50"/>
      <c r="I4004" s="50"/>
      <c r="O4004" s="36" t="s">
        <v>48</v>
      </c>
      <c r="R4004" s="36" t="s">
        <v>48</v>
      </c>
    </row>
    <row r="4005">
      <c r="H4005" s="50"/>
      <c r="I4005" s="50"/>
      <c r="O4005" s="36" t="s">
        <v>48</v>
      </c>
      <c r="R4005" s="36" t="s">
        <v>48</v>
      </c>
    </row>
    <row r="4006">
      <c r="H4006" s="50"/>
      <c r="I4006" s="50"/>
      <c r="O4006" s="36" t="s">
        <v>48</v>
      </c>
      <c r="R4006" s="36" t="s">
        <v>48</v>
      </c>
    </row>
    <row r="4007">
      <c r="H4007" s="50"/>
      <c r="I4007" s="50"/>
      <c r="O4007" s="36" t="s">
        <v>48</v>
      </c>
      <c r="R4007" s="36" t="s">
        <v>48</v>
      </c>
    </row>
    <row r="4008">
      <c r="H4008" s="50"/>
      <c r="I4008" s="50"/>
      <c r="O4008" s="36" t="s">
        <v>48</v>
      </c>
      <c r="R4008" s="36" t="s">
        <v>48</v>
      </c>
    </row>
    <row r="4009">
      <c r="H4009" s="50"/>
      <c r="I4009" s="50"/>
      <c r="O4009" s="36" t="s">
        <v>48</v>
      </c>
      <c r="R4009" s="36" t="s">
        <v>48</v>
      </c>
    </row>
    <row r="4010">
      <c r="H4010" s="50"/>
      <c r="I4010" s="50"/>
      <c r="O4010" s="36" t="s">
        <v>48</v>
      </c>
      <c r="R4010" s="36" t="s">
        <v>48</v>
      </c>
    </row>
    <row r="4011">
      <c r="H4011" s="50"/>
      <c r="I4011" s="50"/>
      <c r="O4011" s="36" t="s">
        <v>48</v>
      </c>
      <c r="R4011" s="36" t="s">
        <v>48</v>
      </c>
    </row>
    <row r="4012">
      <c r="H4012" s="50"/>
      <c r="I4012" s="50"/>
      <c r="O4012" s="36" t="s">
        <v>48</v>
      </c>
      <c r="R4012" s="36" t="s">
        <v>48</v>
      </c>
    </row>
    <row r="4013">
      <c r="H4013" s="50"/>
      <c r="I4013" s="50"/>
      <c r="O4013" s="36" t="s">
        <v>48</v>
      </c>
      <c r="R4013" s="36" t="s">
        <v>48</v>
      </c>
    </row>
    <row r="4014">
      <c r="H4014" s="50"/>
      <c r="I4014" s="50"/>
      <c r="O4014" s="36" t="s">
        <v>48</v>
      </c>
      <c r="R4014" s="36" t="s">
        <v>48</v>
      </c>
    </row>
    <row r="4015">
      <c r="H4015" s="50"/>
      <c r="I4015" s="50"/>
      <c r="O4015" s="36" t="s">
        <v>48</v>
      </c>
      <c r="R4015" s="36" t="s">
        <v>48</v>
      </c>
    </row>
    <row r="4016">
      <c r="H4016" s="50"/>
      <c r="I4016" s="50"/>
      <c r="O4016" s="36" t="s">
        <v>48</v>
      </c>
      <c r="R4016" s="36" t="s">
        <v>48</v>
      </c>
    </row>
    <row r="4017">
      <c r="H4017" s="50"/>
      <c r="I4017" s="50"/>
      <c r="O4017" s="36" t="s">
        <v>48</v>
      </c>
      <c r="R4017" s="36" t="s">
        <v>48</v>
      </c>
    </row>
    <row r="4018">
      <c r="H4018" s="50"/>
      <c r="I4018" s="50"/>
      <c r="O4018" s="36" t="s">
        <v>48</v>
      </c>
      <c r="R4018" s="36" t="s">
        <v>48</v>
      </c>
    </row>
    <row r="4019">
      <c r="H4019" s="50"/>
      <c r="I4019" s="50"/>
      <c r="O4019" s="36" t="s">
        <v>48</v>
      </c>
      <c r="R4019" s="36" t="s">
        <v>48</v>
      </c>
    </row>
    <row r="4020">
      <c r="H4020" s="50"/>
      <c r="I4020" s="50"/>
      <c r="O4020" s="36" t="s">
        <v>48</v>
      </c>
      <c r="R4020" s="36" t="s">
        <v>48</v>
      </c>
    </row>
    <row r="4021">
      <c r="H4021" s="50"/>
      <c r="I4021" s="50"/>
      <c r="O4021" s="36" t="s">
        <v>48</v>
      </c>
      <c r="R4021" s="36" t="s">
        <v>48</v>
      </c>
    </row>
    <row r="4022">
      <c r="H4022" s="50"/>
      <c r="I4022" s="50"/>
      <c r="O4022" s="36" t="s">
        <v>48</v>
      </c>
      <c r="R4022" s="36" t="s">
        <v>48</v>
      </c>
    </row>
    <row r="4023">
      <c r="H4023" s="50"/>
      <c r="I4023" s="50"/>
      <c r="O4023" s="36" t="s">
        <v>48</v>
      </c>
      <c r="R4023" s="36" t="s">
        <v>48</v>
      </c>
    </row>
    <row r="4024">
      <c r="H4024" s="50"/>
      <c r="I4024" s="50"/>
      <c r="O4024" s="36" t="s">
        <v>48</v>
      </c>
      <c r="R4024" s="36" t="s">
        <v>48</v>
      </c>
    </row>
    <row r="4025">
      <c r="H4025" s="50"/>
      <c r="I4025" s="50"/>
      <c r="O4025" s="36" t="s">
        <v>48</v>
      </c>
      <c r="R4025" s="36" t="s">
        <v>48</v>
      </c>
    </row>
    <row r="4026">
      <c r="H4026" s="50"/>
      <c r="I4026" s="50"/>
      <c r="O4026" s="36" t="s">
        <v>48</v>
      </c>
      <c r="R4026" s="36" t="s">
        <v>48</v>
      </c>
    </row>
    <row r="4027">
      <c r="H4027" s="50"/>
      <c r="I4027" s="50"/>
      <c r="O4027" s="36" t="s">
        <v>48</v>
      </c>
      <c r="R4027" s="36" t="s">
        <v>48</v>
      </c>
    </row>
    <row r="4028">
      <c r="H4028" s="50"/>
      <c r="I4028" s="50"/>
      <c r="O4028" s="36" t="s">
        <v>48</v>
      </c>
      <c r="R4028" s="36" t="s">
        <v>48</v>
      </c>
    </row>
    <row r="4029">
      <c r="H4029" s="50"/>
      <c r="I4029" s="50"/>
      <c r="O4029" s="36" t="s">
        <v>48</v>
      </c>
      <c r="R4029" s="36" t="s">
        <v>48</v>
      </c>
    </row>
    <row r="4030">
      <c r="H4030" s="50"/>
      <c r="I4030" s="50"/>
      <c r="O4030" s="36" t="s">
        <v>48</v>
      </c>
      <c r="R4030" s="36" t="s">
        <v>48</v>
      </c>
    </row>
    <row r="4031">
      <c r="H4031" s="50"/>
      <c r="I4031" s="50"/>
      <c r="O4031" s="36" t="s">
        <v>48</v>
      </c>
      <c r="R4031" s="36" t="s">
        <v>48</v>
      </c>
    </row>
    <row r="4032">
      <c r="H4032" s="50"/>
      <c r="I4032" s="50"/>
      <c r="O4032" s="36" t="s">
        <v>48</v>
      </c>
      <c r="R4032" s="36" t="s">
        <v>48</v>
      </c>
    </row>
    <row r="4033">
      <c r="H4033" s="50"/>
      <c r="I4033" s="50"/>
      <c r="O4033" s="36" t="s">
        <v>48</v>
      </c>
      <c r="R4033" s="36" t="s">
        <v>48</v>
      </c>
    </row>
    <row r="4034">
      <c r="H4034" s="50"/>
      <c r="I4034" s="50"/>
      <c r="O4034" s="36" t="s">
        <v>48</v>
      </c>
      <c r="R4034" s="36" t="s">
        <v>48</v>
      </c>
    </row>
    <row r="4035">
      <c r="H4035" s="50"/>
      <c r="I4035" s="50"/>
      <c r="O4035" s="36" t="s">
        <v>48</v>
      </c>
      <c r="R4035" s="36" t="s">
        <v>48</v>
      </c>
    </row>
    <row r="4036">
      <c r="H4036" s="50"/>
      <c r="I4036" s="50"/>
      <c r="O4036" s="36" t="s">
        <v>48</v>
      </c>
      <c r="R4036" s="36" t="s">
        <v>48</v>
      </c>
    </row>
    <row r="4037">
      <c r="H4037" s="50"/>
      <c r="I4037" s="50"/>
      <c r="O4037" s="36" t="s">
        <v>48</v>
      </c>
      <c r="R4037" s="36" t="s">
        <v>48</v>
      </c>
    </row>
    <row r="4038">
      <c r="H4038" s="50"/>
      <c r="I4038" s="50"/>
      <c r="O4038" s="36" t="s">
        <v>48</v>
      </c>
      <c r="R4038" s="36" t="s">
        <v>48</v>
      </c>
    </row>
    <row r="4039">
      <c r="H4039" s="50"/>
      <c r="I4039" s="50"/>
      <c r="O4039" s="36" t="s">
        <v>48</v>
      </c>
      <c r="R4039" s="36" t="s">
        <v>48</v>
      </c>
    </row>
    <row r="4040">
      <c r="H4040" s="50"/>
      <c r="I4040" s="50"/>
      <c r="O4040" s="36" t="s">
        <v>48</v>
      </c>
      <c r="R4040" s="36" t="s">
        <v>48</v>
      </c>
    </row>
    <row r="4041">
      <c r="H4041" s="50"/>
      <c r="I4041" s="50"/>
      <c r="O4041" s="36" t="s">
        <v>48</v>
      </c>
      <c r="R4041" s="36" t="s">
        <v>48</v>
      </c>
    </row>
    <row r="4042">
      <c r="H4042" s="50"/>
      <c r="I4042" s="50"/>
      <c r="O4042" s="36" t="s">
        <v>48</v>
      </c>
      <c r="R4042" s="36" t="s">
        <v>48</v>
      </c>
    </row>
    <row r="4043">
      <c r="H4043" s="50"/>
      <c r="I4043" s="50"/>
      <c r="O4043" s="36" t="s">
        <v>48</v>
      </c>
      <c r="R4043" s="36" t="s">
        <v>48</v>
      </c>
    </row>
    <row r="4044">
      <c r="H4044" s="50"/>
      <c r="I4044" s="50"/>
      <c r="O4044" s="36" t="s">
        <v>48</v>
      </c>
      <c r="R4044" s="36" t="s">
        <v>48</v>
      </c>
    </row>
    <row r="4045">
      <c r="H4045" s="50"/>
      <c r="I4045" s="50"/>
      <c r="O4045" s="36" t="s">
        <v>48</v>
      </c>
      <c r="R4045" s="36" t="s">
        <v>48</v>
      </c>
    </row>
    <row r="4046">
      <c r="H4046" s="50"/>
      <c r="I4046" s="50"/>
      <c r="O4046" s="36" t="s">
        <v>48</v>
      </c>
      <c r="R4046" s="36" t="s">
        <v>48</v>
      </c>
    </row>
    <row r="4047">
      <c r="H4047" s="50"/>
      <c r="I4047" s="50"/>
      <c r="O4047" s="36" t="s">
        <v>48</v>
      </c>
      <c r="R4047" s="36" t="s">
        <v>48</v>
      </c>
    </row>
    <row r="4048">
      <c r="H4048" s="50"/>
      <c r="I4048" s="50"/>
      <c r="O4048" s="36" t="s">
        <v>48</v>
      </c>
      <c r="R4048" s="36" t="s">
        <v>48</v>
      </c>
    </row>
    <row r="4049">
      <c r="H4049" s="50"/>
      <c r="I4049" s="50"/>
      <c r="O4049" s="36" t="s">
        <v>48</v>
      </c>
      <c r="R4049" s="36" t="s">
        <v>48</v>
      </c>
    </row>
    <row r="4050">
      <c r="H4050" s="50"/>
      <c r="I4050" s="50"/>
      <c r="O4050" s="36" t="s">
        <v>48</v>
      </c>
      <c r="R4050" s="36" t="s">
        <v>48</v>
      </c>
    </row>
    <row r="4051">
      <c r="H4051" s="50"/>
      <c r="I4051" s="50"/>
      <c r="O4051" s="36" t="s">
        <v>48</v>
      </c>
      <c r="R4051" s="36" t="s">
        <v>48</v>
      </c>
    </row>
    <row r="4052">
      <c r="H4052" s="50"/>
      <c r="I4052" s="50"/>
      <c r="O4052" s="36" t="s">
        <v>48</v>
      </c>
      <c r="R4052" s="36" t="s">
        <v>48</v>
      </c>
    </row>
    <row r="4053">
      <c r="H4053" s="50"/>
      <c r="I4053" s="50"/>
      <c r="O4053" s="36" t="s">
        <v>48</v>
      </c>
      <c r="R4053" s="36" t="s">
        <v>48</v>
      </c>
    </row>
    <row r="4054">
      <c r="H4054" s="50"/>
      <c r="I4054" s="50"/>
      <c r="O4054" s="36" t="s">
        <v>48</v>
      </c>
      <c r="R4054" s="36" t="s">
        <v>48</v>
      </c>
    </row>
    <row r="4055">
      <c r="H4055" s="50"/>
      <c r="I4055" s="50"/>
      <c r="O4055" s="36" t="s">
        <v>48</v>
      </c>
      <c r="R4055" s="36" t="s">
        <v>48</v>
      </c>
    </row>
    <row r="4056">
      <c r="H4056" s="50"/>
      <c r="I4056" s="50"/>
      <c r="O4056" s="36" t="s">
        <v>48</v>
      </c>
      <c r="R4056" s="36" t="s">
        <v>48</v>
      </c>
    </row>
    <row r="4057">
      <c r="H4057" s="50"/>
      <c r="I4057" s="50"/>
      <c r="O4057" s="36" t="s">
        <v>48</v>
      </c>
      <c r="R4057" s="36" t="s">
        <v>48</v>
      </c>
    </row>
    <row r="4058">
      <c r="H4058" s="50"/>
      <c r="I4058" s="50"/>
      <c r="O4058" s="36" t="s">
        <v>48</v>
      </c>
      <c r="R4058" s="36" t="s">
        <v>48</v>
      </c>
    </row>
    <row r="4059">
      <c r="H4059" s="50"/>
      <c r="I4059" s="50"/>
      <c r="O4059" s="36" t="s">
        <v>48</v>
      </c>
      <c r="R4059" s="36" t="s">
        <v>48</v>
      </c>
    </row>
    <row r="4060">
      <c r="H4060" s="50"/>
      <c r="I4060" s="50"/>
      <c r="O4060" s="36" t="s">
        <v>48</v>
      </c>
      <c r="R4060" s="36" t="s">
        <v>48</v>
      </c>
    </row>
    <row r="4061">
      <c r="H4061" s="50"/>
      <c r="I4061" s="50"/>
      <c r="O4061" s="36" t="s">
        <v>48</v>
      </c>
      <c r="R4061" s="36" t="s">
        <v>48</v>
      </c>
    </row>
    <row r="4062">
      <c r="H4062" s="50"/>
      <c r="I4062" s="50"/>
      <c r="O4062" s="36" t="s">
        <v>48</v>
      </c>
      <c r="R4062" s="36" t="s">
        <v>48</v>
      </c>
    </row>
    <row r="4063">
      <c r="H4063" s="50"/>
      <c r="I4063" s="50"/>
      <c r="O4063" s="36" t="s">
        <v>48</v>
      </c>
      <c r="R4063" s="36" t="s">
        <v>48</v>
      </c>
    </row>
    <row r="4064">
      <c r="H4064" s="50"/>
      <c r="I4064" s="50"/>
      <c r="O4064" s="36" t="s">
        <v>48</v>
      </c>
      <c r="R4064" s="36" t="s">
        <v>48</v>
      </c>
    </row>
    <row r="4065">
      <c r="H4065" s="50"/>
      <c r="I4065" s="50"/>
      <c r="O4065" s="36" t="s">
        <v>48</v>
      </c>
      <c r="R4065" s="36" t="s">
        <v>48</v>
      </c>
    </row>
    <row r="4066">
      <c r="H4066" s="50"/>
      <c r="I4066" s="50"/>
      <c r="O4066" s="36" t="s">
        <v>48</v>
      </c>
      <c r="R4066" s="36" t="s">
        <v>48</v>
      </c>
    </row>
    <row r="4067">
      <c r="H4067" s="50"/>
      <c r="I4067" s="50"/>
      <c r="O4067" s="36" t="s">
        <v>48</v>
      </c>
      <c r="R4067" s="36" t="s">
        <v>48</v>
      </c>
    </row>
    <row r="4068">
      <c r="H4068" s="50"/>
      <c r="I4068" s="50"/>
      <c r="O4068" s="36" t="s">
        <v>48</v>
      </c>
      <c r="R4068" s="36" t="s">
        <v>48</v>
      </c>
    </row>
    <row r="4069">
      <c r="H4069" s="50"/>
      <c r="I4069" s="50"/>
      <c r="O4069" s="36" t="s">
        <v>48</v>
      </c>
      <c r="R4069" s="36" t="s">
        <v>48</v>
      </c>
    </row>
    <row r="4070">
      <c r="H4070" s="50"/>
      <c r="I4070" s="50"/>
      <c r="O4070" s="36" t="s">
        <v>48</v>
      </c>
      <c r="R4070" s="36" t="s">
        <v>48</v>
      </c>
    </row>
    <row r="4071">
      <c r="H4071" s="50"/>
      <c r="I4071" s="50"/>
      <c r="O4071" s="36" t="s">
        <v>48</v>
      </c>
      <c r="R4071" s="36" t="s">
        <v>48</v>
      </c>
    </row>
    <row r="4072">
      <c r="H4072" s="50"/>
      <c r="I4072" s="50"/>
      <c r="O4072" s="36" t="s">
        <v>48</v>
      </c>
      <c r="R4072" s="36" t="s">
        <v>48</v>
      </c>
    </row>
    <row r="4073">
      <c r="H4073" s="50"/>
      <c r="I4073" s="50"/>
      <c r="O4073" s="36" t="s">
        <v>48</v>
      </c>
      <c r="R4073" s="36" t="s">
        <v>48</v>
      </c>
    </row>
    <row r="4074">
      <c r="H4074" s="50"/>
      <c r="I4074" s="50"/>
      <c r="O4074" s="36" t="s">
        <v>48</v>
      </c>
      <c r="R4074" s="36" t="s">
        <v>48</v>
      </c>
    </row>
    <row r="4075">
      <c r="H4075" s="50"/>
      <c r="I4075" s="50"/>
      <c r="O4075" s="36" t="s">
        <v>48</v>
      </c>
      <c r="R4075" s="36" t="s">
        <v>48</v>
      </c>
    </row>
    <row r="4076">
      <c r="H4076" s="50"/>
      <c r="I4076" s="50"/>
      <c r="O4076" s="36" t="s">
        <v>48</v>
      </c>
      <c r="R4076" s="36" t="s">
        <v>48</v>
      </c>
    </row>
    <row r="4077">
      <c r="H4077" s="50"/>
      <c r="I4077" s="50"/>
      <c r="O4077" s="36" t="s">
        <v>48</v>
      </c>
      <c r="R4077" s="36" t="s">
        <v>48</v>
      </c>
    </row>
    <row r="4078">
      <c r="H4078" s="50"/>
      <c r="I4078" s="50"/>
      <c r="O4078" s="36" t="s">
        <v>48</v>
      </c>
      <c r="R4078" s="36" t="s">
        <v>48</v>
      </c>
    </row>
    <row r="4079">
      <c r="H4079" s="50"/>
      <c r="I4079" s="50"/>
      <c r="O4079" s="36" t="s">
        <v>48</v>
      </c>
      <c r="R4079" s="36" t="s">
        <v>48</v>
      </c>
    </row>
    <row r="4080">
      <c r="H4080" s="50"/>
      <c r="I4080" s="50"/>
      <c r="O4080" s="36" t="s">
        <v>48</v>
      </c>
      <c r="R4080" s="36" t="s">
        <v>48</v>
      </c>
    </row>
    <row r="4081">
      <c r="H4081" s="50"/>
      <c r="I4081" s="50"/>
      <c r="O4081" s="36" t="s">
        <v>48</v>
      </c>
      <c r="R4081" s="36" t="s">
        <v>48</v>
      </c>
    </row>
    <row r="4082">
      <c r="H4082" s="50"/>
      <c r="I4082" s="50"/>
      <c r="O4082" s="36" t="s">
        <v>48</v>
      </c>
      <c r="R4082" s="36" t="s">
        <v>48</v>
      </c>
    </row>
    <row r="4083">
      <c r="H4083" s="50"/>
      <c r="I4083" s="50"/>
      <c r="O4083" s="36" t="s">
        <v>48</v>
      </c>
      <c r="R4083" s="36" t="s">
        <v>48</v>
      </c>
    </row>
    <row r="4084">
      <c r="H4084" s="50"/>
      <c r="I4084" s="50"/>
      <c r="O4084" s="36" t="s">
        <v>48</v>
      </c>
      <c r="R4084" s="36" t="s">
        <v>48</v>
      </c>
    </row>
    <row r="4085">
      <c r="H4085" s="50"/>
      <c r="I4085" s="50"/>
      <c r="O4085" s="36" t="s">
        <v>48</v>
      </c>
      <c r="R4085" s="36" t="s">
        <v>48</v>
      </c>
    </row>
    <row r="4086">
      <c r="H4086" s="50"/>
      <c r="I4086" s="50"/>
      <c r="O4086" s="36" t="s">
        <v>48</v>
      </c>
      <c r="R4086" s="36" t="s">
        <v>48</v>
      </c>
    </row>
    <row r="4087">
      <c r="H4087" s="50"/>
      <c r="I4087" s="50"/>
      <c r="O4087" s="36" t="s">
        <v>48</v>
      </c>
      <c r="R4087" s="36" t="s">
        <v>48</v>
      </c>
    </row>
    <row r="4088">
      <c r="H4088" s="50"/>
      <c r="I4088" s="50"/>
      <c r="O4088" s="36" t="s">
        <v>48</v>
      </c>
      <c r="R4088" s="36" t="s">
        <v>48</v>
      </c>
    </row>
    <row r="4089">
      <c r="H4089" s="50"/>
      <c r="I4089" s="50"/>
      <c r="O4089" s="36" t="s">
        <v>48</v>
      </c>
      <c r="R4089" s="36" t="s">
        <v>48</v>
      </c>
    </row>
    <row r="4090">
      <c r="H4090" s="50"/>
      <c r="I4090" s="50"/>
      <c r="O4090" s="36" t="s">
        <v>48</v>
      </c>
      <c r="R4090" s="36" t="s">
        <v>48</v>
      </c>
    </row>
    <row r="4091">
      <c r="H4091" s="50"/>
      <c r="I4091" s="50"/>
      <c r="O4091" s="36" t="s">
        <v>48</v>
      </c>
      <c r="R4091" s="36" t="s">
        <v>48</v>
      </c>
    </row>
    <row r="4092">
      <c r="H4092" s="50"/>
      <c r="I4092" s="50"/>
      <c r="O4092" s="36" t="s">
        <v>48</v>
      </c>
      <c r="R4092" s="36" t="s">
        <v>48</v>
      </c>
    </row>
    <row r="4093">
      <c r="H4093" s="50"/>
      <c r="I4093" s="50"/>
      <c r="O4093" s="36" t="s">
        <v>48</v>
      </c>
      <c r="R4093" s="36" t="s">
        <v>48</v>
      </c>
    </row>
    <row r="4094">
      <c r="H4094" s="50"/>
      <c r="I4094" s="50"/>
      <c r="O4094" s="36" t="s">
        <v>48</v>
      </c>
      <c r="R4094" s="36" t="s">
        <v>48</v>
      </c>
    </row>
    <row r="4095">
      <c r="H4095" s="50"/>
      <c r="I4095" s="50"/>
      <c r="O4095" s="36" t="s">
        <v>48</v>
      </c>
      <c r="R4095" s="36" t="s">
        <v>48</v>
      </c>
    </row>
    <row r="4096">
      <c r="H4096" s="50"/>
      <c r="I4096" s="50"/>
      <c r="O4096" s="36" t="s">
        <v>48</v>
      </c>
      <c r="R4096" s="36" t="s">
        <v>48</v>
      </c>
    </row>
    <row r="4097">
      <c r="H4097" s="50"/>
      <c r="I4097" s="50"/>
      <c r="O4097" s="36" t="s">
        <v>48</v>
      </c>
      <c r="R4097" s="36" t="s">
        <v>48</v>
      </c>
    </row>
    <row r="4098">
      <c r="H4098" s="50"/>
      <c r="I4098" s="50"/>
      <c r="O4098" s="36" t="s">
        <v>48</v>
      </c>
      <c r="R4098" s="36" t="s">
        <v>48</v>
      </c>
    </row>
    <row r="4099">
      <c r="H4099" s="50"/>
      <c r="I4099" s="50"/>
      <c r="O4099" s="36" t="s">
        <v>48</v>
      </c>
      <c r="R4099" s="36" t="s">
        <v>48</v>
      </c>
    </row>
    <row r="4100">
      <c r="H4100" s="50"/>
      <c r="I4100" s="50"/>
      <c r="O4100" s="36" t="s">
        <v>48</v>
      </c>
      <c r="R4100" s="36" t="s">
        <v>48</v>
      </c>
    </row>
    <row r="4101">
      <c r="H4101" s="50"/>
      <c r="I4101" s="50"/>
      <c r="O4101" s="36" t="s">
        <v>48</v>
      </c>
      <c r="R4101" s="36" t="s">
        <v>48</v>
      </c>
    </row>
    <row r="4102">
      <c r="H4102" s="50"/>
      <c r="I4102" s="50"/>
      <c r="O4102" s="36" t="s">
        <v>48</v>
      </c>
      <c r="R4102" s="36" t="s">
        <v>48</v>
      </c>
    </row>
    <row r="4103">
      <c r="H4103" s="50"/>
      <c r="I4103" s="50"/>
      <c r="O4103" s="36" t="s">
        <v>48</v>
      </c>
      <c r="R4103" s="36" t="s">
        <v>48</v>
      </c>
    </row>
    <row r="4104">
      <c r="H4104" s="50"/>
      <c r="I4104" s="50"/>
      <c r="O4104" s="36" t="s">
        <v>48</v>
      </c>
      <c r="R4104" s="36" t="s">
        <v>48</v>
      </c>
    </row>
    <row r="4105">
      <c r="H4105" s="50"/>
      <c r="I4105" s="50"/>
      <c r="O4105" s="36" t="s">
        <v>48</v>
      </c>
      <c r="R4105" s="36" t="s">
        <v>48</v>
      </c>
    </row>
    <row r="4106">
      <c r="H4106" s="50"/>
      <c r="I4106" s="50"/>
      <c r="O4106" s="36" t="s">
        <v>48</v>
      </c>
      <c r="R4106" s="36" t="s">
        <v>48</v>
      </c>
    </row>
    <row r="4107">
      <c r="H4107" s="50"/>
      <c r="I4107" s="50"/>
      <c r="O4107" s="36" t="s">
        <v>48</v>
      </c>
      <c r="R4107" s="36" t="s">
        <v>48</v>
      </c>
    </row>
    <row r="4108">
      <c r="H4108" s="50"/>
      <c r="I4108" s="50"/>
      <c r="O4108" s="36" t="s">
        <v>48</v>
      </c>
      <c r="R4108" s="36" t="s">
        <v>48</v>
      </c>
    </row>
    <row r="4109">
      <c r="H4109" s="50"/>
      <c r="I4109" s="50"/>
      <c r="O4109" s="36" t="s">
        <v>48</v>
      </c>
      <c r="R4109" s="36" t="s">
        <v>48</v>
      </c>
    </row>
    <row r="4110">
      <c r="H4110" s="50"/>
      <c r="I4110" s="50"/>
      <c r="O4110" s="36" t="s">
        <v>48</v>
      </c>
      <c r="R4110" s="36" t="s">
        <v>48</v>
      </c>
    </row>
    <row r="4111">
      <c r="H4111" s="50"/>
      <c r="I4111" s="50"/>
      <c r="O4111" s="36" t="s">
        <v>48</v>
      </c>
      <c r="R4111" s="36" t="s">
        <v>48</v>
      </c>
    </row>
    <row r="4112">
      <c r="H4112" s="50"/>
      <c r="I4112" s="50"/>
      <c r="O4112" s="36" t="s">
        <v>48</v>
      </c>
      <c r="R4112" s="36" t="s">
        <v>48</v>
      </c>
    </row>
    <row r="4113">
      <c r="H4113" s="50"/>
      <c r="I4113" s="50"/>
      <c r="O4113" s="36" t="s">
        <v>48</v>
      </c>
      <c r="R4113" s="36" t="s">
        <v>48</v>
      </c>
    </row>
    <row r="4114">
      <c r="H4114" s="50"/>
      <c r="I4114" s="50"/>
      <c r="O4114" s="36" t="s">
        <v>48</v>
      </c>
      <c r="R4114" s="36" t="s">
        <v>48</v>
      </c>
    </row>
    <row r="4115">
      <c r="H4115" s="50"/>
      <c r="I4115" s="50"/>
      <c r="O4115" s="36" t="s">
        <v>48</v>
      </c>
      <c r="R4115" s="36" t="s">
        <v>48</v>
      </c>
    </row>
    <row r="4116">
      <c r="H4116" s="50"/>
      <c r="I4116" s="50"/>
      <c r="O4116" s="36" t="s">
        <v>48</v>
      </c>
      <c r="R4116" s="36" t="s">
        <v>48</v>
      </c>
    </row>
    <row r="4117">
      <c r="H4117" s="50"/>
      <c r="I4117" s="50"/>
      <c r="O4117" s="36" t="s">
        <v>48</v>
      </c>
      <c r="R4117" s="36" t="s">
        <v>48</v>
      </c>
    </row>
    <row r="4118">
      <c r="H4118" s="50"/>
      <c r="I4118" s="50"/>
      <c r="O4118" s="36" t="s">
        <v>48</v>
      </c>
      <c r="R4118" s="36" t="s">
        <v>48</v>
      </c>
    </row>
    <row r="4119">
      <c r="H4119" s="50"/>
      <c r="I4119" s="50"/>
      <c r="O4119" s="36" t="s">
        <v>48</v>
      </c>
      <c r="R4119" s="36" t="s">
        <v>48</v>
      </c>
    </row>
    <row r="4120">
      <c r="H4120" s="50"/>
      <c r="I4120" s="50"/>
      <c r="O4120" s="36" t="s">
        <v>48</v>
      </c>
      <c r="R4120" s="36" t="s">
        <v>48</v>
      </c>
    </row>
    <row r="4121">
      <c r="H4121" s="50"/>
      <c r="I4121" s="50"/>
      <c r="O4121" s="36" t="s">
        <v>48</v>
      </c>
      <c r="R4121" s="36" t="s">
        <v>48</v>
      </c>
    </row>
    <row r="4122">
      <c r="H4122" s="50"/>
      <c r="I4122" s="50"/>
      <c r="O4122" s="36" t="s">
        <v>48</v>
      </c>
      <c r="R4122" s="36" t="s">
        <v>48</v>
      </c>
    </row>
    <row r="4123">
      <c r="H4123" s="50"/>
      <c r="I4123" s="50"/>
      <c r="O4123" s="36" t="s">
        <v>48</v>
      </c>
      <c r="R4123" s="36" t="s">
        <v>48</v>
      </c>
    </row>
    <row r="4124">
      <c r="H4124" s="50"/>
      <c r="I4124" s="50"/>
      <c r="O4124" s="36" t="s">
        <v>48</v>
      </c>
      <c r="R4124" s="36" t="s">
        <v>48</v>
      </c>
    </row>
    <row r="4125">
      <c r="H4125" s="50"/>
      <c r="I4125" s="50"/>
      <c r="O4125" s="36" t="s">
        <v>48</v>
      </c>
      <c r="R4125" s="36" t="s">
        <v>48</v>
      </c>
    </row>
    <row r="4126">
      <c r="H4126" s="50"/>
      <c r="I4126" s="50"/>
      <c r="O4126" s="36" t="s">
        <v>48</v>
      </c>
      <c r="R4126" s="36" t="s">
        <v>48</v>
      </c>
    </row>
    <row r="4127">
      <c r="H4127" s="50"/>
      <c r="I4127" s="50"/>
      <c r="O4127" s="36" t="s">
        <v>48</v>
      </c>
      <c r="R4127" s="36" t="s">
        <v>48</v>
      </c>
    </row>
    <row r="4128">
      <c r="H4128" s="50"/>
      <c r="I4128" s="50"/>
      <c r="O4128" s="36" t="s">
        <v>48</v>
      </c>
      <c r="R4128" s="36" t="s">
        <v>48</v>
      </c>
    </row>
    <row r="4129">
      <c r="H4129" s="50"/>
      <c r="I4129" s="50"/>
      <c r="O4129" s="36" t="s">
        <v>48</v>
      </c>
      <c r="R4129" s="36" t="s">
        <v>48</v>
      </c>
    </row>
    <row r="4130">
      <c r="H4130" s="50"/>
      <c r="I4130" s="50"/>
      <c r="O4130" s="36" t="s">
        <v>48</v>
      </c>
      <c r="R4130" s="36" t="s">
        <v>48</v>
      </c>
    </row>
    <row r="4131">
      <c r="H4131" s="50"/>
      <c r="I4131" s="50"/>
      <c r="O4131" s="36" t="s">
        <v>48</v>
      </c>
      <c r="R4131" s="36" t="s">
        <v>48</v>
      </c>
    </row>
    <row r="4132">
      <c r="H4132" s="50"/>
      <c r="I4132" s="50"/>
      <c r="O4132" s="36" t="s">
        <v>48</v>
      </c>
      <c r="R4132" s="36" t="s">
        <v>48</v>
      </c>
    </row>
    <row r="4133">
      <c r="H4133" s="50"/>
      <c r="I4133" s="50"/>
      <c r="O4133" s="36" t="s">
        <v>48</v>
      </c>
      <c r="R4133" s="36" t="s">
        <v>48</v>
      </c>
    </row>
    <row r="4134">
      <c r="H4134" s="50"/>
      <c r="I4134" s="50"/>
      <c r="O4134" s="36" t="s">
        <v>48</v>
      </c>
      <c r="R4134" s="36" t="s">
        <v>48</v>
      </c>
    </row>
    <row r="4135">
      <c r="H4135" s="50"/>
      <c r="I4135" s="50"/>
      <c r="O4135" s="36" t="s">
        <v>48</v>
      </c>
      <c r="R4135" s="36" t="s">
        <v>48</v>
      </c>
    </row>
    <row r="4136">
      <c r="H4136" s="50"/>
      <c r="I4136" s="50"/>
      <c r="O4136" s="36" t="s">
        <v>48</v>
      </c>
      <c r="R4136" s="36" t="s">
        <v>48</v>
      </c>
    </row>
    <row r="4137">
      <c r="H4137" s="50"/>
      <c r="I4137" s="50"/>
      <c r="O4137" s="36" t="s">
        <v>48</v>
      </c>
      <c r="R4137" s="36" t="s">
        <v>48</v>
      </c>
    </row>
    <row r="4138">
      <c r="H4138" s="50"/>
      <c r="I4138" s="50"/>
      <c r="O4138" s="36" t="s">
        <v>48</v>
      </c>
      <c r="R4138" s="36" t="s">
        <v>48</v>
      </c>
    </row>
    <row r="4139">
      <c r="H4139" s="50"/>
      <c r="I4139" s="50"/>
      <c r="O4139" s="36" t="s">
        <v>48</v>
      </c>
      <c r="R4139" s="36" t="s">
        <v>48</v>
      </c>
    </row>
    <row r="4140">
      <c r="H4140" s="50"/>
      <c r="I4140" s="50"/>
      <c r="O4140" s="36" t="s">
        <v>48</v>
      </c>
      <c r="R4140" s="36" t="s">
        <v>48</v>
      </c>
    </row>
    <row r="4141">
      <c r="H4141" s="50"/>
      <c r="I4141" s="50"/>
      <c r="O4141" s="36" t="s">
        <v>48</v>
      </c>
      <c r="R4141" s="36" t="s">
        <v>48</v>
      </c>
    </row>
    <row r="4142">
      <c r="H4142" s="50"/>
      <c r="I4142" s="50"/>
      <c r="O4142" s="36" t="s">
        <v>48</v>
      </c>
      <c r="R4142" s="36" t="s">
        <v>48</v>
      </c>
    </row>
    <row r="4143">
      <c r="H4143" s="50"/>
      <c r="I4143" s="50"/>
      <c r="O4143" s="36" t="s">
        <v>48</v>
      </c>
      <c r="R4143" s="36" t="s">
        <v>48</v>
      </c>
    </row>
    <row r="4144">
      <c r="H4144" s="50"/>
      <c r="I4144" s="50"/>
      <c r="O4144" s="36" t="s">
        <v>48</v>
      </c>
      <c r="R4144" s="36" t="s">
        <v>48</v>
      </c>
    </row>
    <row r="4145">
      <c r="H4145" s="50"/>
      <c r="I4145" s="50"/>
      <c r="O4145" s="36" t="s">
        <v>48</v>
      </c>
      <c r="R4145" s="36" t="s">
        <v>48</v>
      </c>
    </row>
    <row r="4146">
      <c r="H4146" s="50"/>
      <c r="I4146" s="50"/>
      <c r="O4146" s="36" t="s">
        <v>48</v>
      </c>
      <c r="R4146" s="36" t="s">
        <v>48</v>
      </c>
    </row>
    <row r="4147">
      <c r="H4147" s="50"/>
      <c r="I4147" s="50"/>
      <c r="O4147" s="36" t="s">
        <v>48</v>
      </c>
      <c r="R4147" s="36" t="s">
        <v>48</v>
      </c>
    </row>
    <row r="4148">
      <c r="H4148" s="50"/>
      <c r="I4148" s="50"/>
      <c r="O4148" s="36" t="s">
        <v>48</v>
      </c>
      <c r="R4148" s="36" t="s">
        <v>48</v>
      </c>
    </row>
    <row r="4149">
      <c r="H4149" s="50"/>
      <c r="I4149" s="50"/>
      <c r="O4149" s="36" t="s">
        <v>48</v>
      </c>
      <c r="R4149" s="36" t="s">
        <v>48</v>
      </c>
    </row>
    <row r="4150">
      <c r="H4150" s="50"/>
      <c r="I4150" s="50"/>
      <c r="O4150" s="36" t="s">
        <v>48</v>
      </c>
      <c r="R4150" s="36" t="s">
        <v>48</v>
      </c>
    </row>
    <row r="4151">
      <c r="H4151" s="50"/>
      <c r="I4151" s="50"/>
      <c r="O4151" s="36" t="s">
        <v>48</v>
      </c>
      <c r="R4151" s="36" t="s">
        <v>48</v>
      </c>
    </row>
    <row r="4152">
      <c r="H4152" s="50"/>
      <c r="I4152" s="50"/>
      <c r="O4152" s="36" t="s">
        <v>48</v>
      </c>
      <c r="R4152" s="36" t="s">
        <v>48</v>
      </c>
    </row>
    <row r="4153">
      <c r="H4153" s="50"/>
      <c r="I4153" s="50"/>
      <c r="O4153" s="36" t="s">
        <v>48</v>
      </c>
      <c r="R4153" s="36" t="s">
        <v>48</v>
      </c>
    </row>
    <row r="4154">
      <c r="H4154" s="50"/>
      <c r="I4154" s="50"/>
      <c r="O4154" s="36" t="s">
        <v>48</v>
      </c>
      <c r="R4154" s="36" t="s">
        <v>48</v>
      </c>
    </row>
    <row r="4155">
      <c r="H4155" s="50"/>
      <c r="I4155" s="50"/>
      <c r="O4155" s="36" t="s">
        <v>48</v>
      </c>
      <c r="R4155" s="36" t="s">
        <v>48</v>
      </c>
    </row>
    <row r="4156">
      <c r="H4156" s="50"/>
      <c r="I4156" s="50"/>
      <c r="O4156" s="36" t="s">
        <v>48</v>
      </c>
      <c r="R4156" s="36" t="s">
        <v>48</v>
      </c>
    </row>
    <row r="4157">
      <c r="H4157" s="50"/>
      <c r="I4157" s="50"/>
      <c r="O4157" s="36" t="s">
        <v>48</v>
      </c>
      <c r="R4157" s="36" t="s">
        <v>48</v>
      </c>
    </row>
    <row r="4158">
      <c r="H4158" s="50"/>
      <c r="I4158" s="50"/>
      <c r="O4158" s="36" t="s">
        <v>48</v>
      </c>
      <c r="R4158" s="36" t="s">
        <v>48</v>
      </c>
    </row>
    <row r="4159">
      <c r="H4159" s="50"/>
      <c r="I4159" s="50"/>
      <c r="O4159" s="36" t="s">
        <v>48</v>
      </c>
      <c r="R4159" s="36" t="s">
        <v>48</v>
      </c>
    </row>
    <row r="4160">
      <c r="H4160" s="50"/>
      <c r="I4160" s="50"/>
      <c r="O4160" s="36" t="s">
        <v>48</v>
      </c>
      <c r="R4160" s="36" t="s">
        <v>48</v>
      </c>
    </row>
    <row r="4161">
      <c r="H4161" s="50"/>
      <c r="I4161" s="50"/>
      <c r="O4161" s="36" t="s">
        <v>48</v>
      </c>
      <c r="R4161" s="36" t="s">
        <v>48</v>
      </c>
    </row>
    <row r="4162">
      <c r="H4162" s="50"/>
      <c r="I4162" s="50"/>
      <c r="O4162" s="36" t="s">
        <v>48</v>
      </c>
      <c r="R4162" s="36" t="s">
        <v>48</v>
      </c>
    </row>
    <row r="4163">
      <c r="H4163" s="50"/>
      <c r="I4163" s="50"/>
      <c r="O4163" s="36" t="s">
        <v>48</v>
      </c>
      <c r="R4163" s="36" t="s">
        <v>48</v>
      </c>
    </row>
    <row r="4164">
      <c r="H4164" s="50"/>
      <c r="I4164" s="50"/>
      <c r="O4164" s="36" t="s">
        <v>48</v>
      </c>
      <c r="R4164" s="36" t="s">
        <v>48</v>
      </c>
    </row>
    <row r="4165">
      <c r="H4165" s="50"/>
      <c r="I4165" s="50"/>
      <c r="O4165" s="36" t="s">
        <v>48</v>
      </c>
      <c r="R4165" s="36" t="s">
        <v>48</v>
      </c>
    </row>
    <row r="4166">
      <c r="H4166" s="50"/>
      <c r="I4166" s="50"/>
      <c r="O4166" s="36" t="s">
        <v>48</v>
      </c>
      <c r="R4166" s="36" t="s">
        <v>48</v>
      </c>
    </row>
    <row r="4167">
      <c r="H4167" s="50"/>
      <c r="I4167" s="50"/>
      <c r="O4167" s="36" t="s">
        <v>48</v>
      </c>
      <c r="R4167" s="36" t="s">
        <v>48</v>
      </c>
    </row>
    <row r="4168">
      <c r="H4168" s="50"/>
      <c r="I4168" s="50"/>
      <c r="O4168" s="36" t="s">
        <v>48</v>
      </c>
      <c r="R4168" s="36" t="s">
        <v>48</v>
      </c>
    </row>
    <row r="4169">
      <c r="H4169" s="50"/>
      <c r="I4169" s="50"/>
      <c r="O4169" s="36" t="s">
        <v>48</v>
      </c>
      <c r="R4169" s="36" t="s">
        <v>48</v>
      </c>
    </row>
    <row r="4170">
      <c r="H4170" s="50"/>
      <c r="I4170" s="50"/>
      <c r="O4170" s="36" t="s">
        <v>48</v>
      </c>
      <c r="R4170" s="36" t="s">
        <v>48</v>
      </c>
    </row>
    <row r="4171">
      <c r="H4171" s="50"/>
      <c r="I4171" s="50"/>
      <c r="O4171" s="36" t="s">
        <v>48</v>
      </c>
      <c r="R4171" s="36" t="s">
        <v>48</v>
      </c>
    </row>
    <row r="4172">
      <c r="H4172" s="50"/>
      <c r="I4172" s="50"/>
      <c r="O4172" s="36" t="s">
        <v>48</v>
      </c>
      <c r="R4172" s="36" t="s">
        <v>48</v>
      </c>
    </row>
    <row r="4173">
      <c r="H4173" s="50"/>
      <c r="I4173" s="50"/>
      <c r="O4173" s="36" t="s">
        <v>48</v>
      </c>
      <c r="R4173" s="36" t="s">
        <v>48</v>
      </c>
    </row>
    <row r="4174">
      <c r="H4174" s="50"/>
      <c r="I4174" s="50"/>
      <c r="O4174" s="36" t="s">
        <v>48</v>
      </c>
      <c r="R4174" s="36" t="s">
        <v>48</v>
      </c>
    </row>
    <row r="4175">
      <c r="H4175" s="50"/>
      <c r="I4175" s="50"/>
      <c r="O4175" s="36" t="s">
        <v>48</v>
      </c>
      <c r="R4175" s="36" t="s">
        <v>48</v>
      </c>
    </row>
    <row r="4176">
      <c r="H4176" s="50"/>
      <c r="I4176" s="50"/>
      <c r="O4176" s="36" t="s">
        <v>48</v>
      </c>
      <c r="R4176" s="36" t="s">
        <v>48</v>
      </c>
    </row>
    <row r="4177">
      <c r="H4177" s="50"/>
      <c r="I4177" s="50"/>
      <c r="O4177" s="36" t="s">
        <v>48</v>
      </c>
      <c r="R4177" s="36" t="s">
        <v>48</v>
      </c>
    </row>
    <row r="4178">
      <c r="H4178" s="50"/>
      <c r="I4178" s="50"/>
      <c r="O4178" s="36" t="s">
        <v>48</v>
      </c>
      <c r="R4178" s="36" t="s">
        <v>48</v>
      </c>
    </row>
    <row r="4179">
      <c r="H4179" s="50"/>
      <c r="I4179" s="50"/>
      <c r="O4179" s="36" t="s">
        <v>48</v>
      </c>
      <c r="R4179" s="36" t="s">
        <v>48</v>
      </c>
    </row>
    <row r="4180">
      <c r="H4180" s="50"/>
      <c r="I4180" s="50"/>
      <c r="O4180" s="36" t="s">
        <v>48</v>
      </c>
      <c r="R4180" s="36" t="s">
        <v>48</v>
      </c>
    </row>
    <row r="4181">
      <c r="H4181" s="50"/>
      <c r="I4181" s="50"/>
      <c r="O4181" s="36" t="s">
        <v>48</v>
      </c>
      <c r="R4181" s="36" t="s">
        <v>48</v>
      </c>
    </row>
    <row r="4182">
      <c r="H4182" s="50"/>
      <c r="I4182" s="50"/>
      <c r="O4182" s="36" t="s">
        <v>48</v>
      </c>
      <c r="R4182" s="36" t="s">
        <v>48</v>
      </c>
    </row>
    <row r="4183">
      <c r="H4183" s="50"/>
      <c r="I4183" s="50"/>
      <c r="O4183" s="36" t="s">
        <v>48</v>
      </c>
      <c r="R4183" s="36" t="s">
        <v>48</v>
      </c>
    </row>
    <row r="4184">
      <c r="H4184" s="50"/>
      <c r="I4184" s="50"/>
      <c r="O4184" s="36" t="s">
        <v>48</v>
      </c>
      <c r="R4184" s="36" t="s">
        <v>48</v>
      </c>
    </row>
    <row r="4185">
      <c r="H4185" s="50"/>
      <c r="I4185" s="50"/>
      <c r="O4185" s="36" t="s">
        <v>48</v>
      </c>
      <c r="R4185" s="36" t="s">
        <v>48</v>
      </c>
    </row>
    <row r="4186">
      <c r="H4186" s="50"/>
      <c r="I4186" s="50"/>
      <c r="O4186" s="36" t="s">
        <v>48</v>
      </c>
      <c r="R4186" s="36" t="s">
        <v>48</v>
      </c>
    </row>
    <row r="4187">
      <c r="H4187" s="50"/>
      <c r="I4187" s="50"/>
      <c r="O4187" s="36" t="s">
        <v>48</v>
      </c>
      <c r="R4187" s="36" t="s">
        <v>48</v>
      </c>
    </row>
    <row r="4188">
      <c r="H4188" s="50"/>
      <c r="I4188" s="50"/>
      <c r="O4188" s="36" t="s">
        <v>48</v>
      </c>
      <c r="R4188" s="36" t="s">
        <v>48</v>
      </c>
    </row>
    <row r="4189">
      <c r="H4189" s="50"/>
      <c r="I4189" s="50"/>
      <c r="O4189" s="36" t="s">
        <v>48</v>
      </c>
      <c r="R4189" s="36" t="s">
        <v>48</v>
      </c>
    </row>
    <row r="4190">
      <c r="H4190" s="50"/>
      <c r="I4190" s="50"/>
      <c r="O4190" s="36" t="s">
        <v>48</v>
      </c>
      <c r="R4190" s="36" t="s">
        <v>48</v>
      </c>
    </row>
    <row r="4191">
      <c r="H4191" s="50"/>
      <c r="I4191" s="50"/>
      <c r="O4191" s="36" t="s">
        <v>48</v>
      </c>
      <c r="R4191" s="36" t="s">
        <v>48</v>
      </c>
    </row>
    <row r="4192">
      <c r="H4192" s="50"/>
      <c r="I4192" s="50"/>
      <c r="O4192" s="36" t="s">
        <v>48</v>
      </c>
      <c r="R4192" s="36" t="s">
        <v>48</v>
      </c>
    </row>
    <row r="4193">
      <c r="H4193" s="50"/>
      <c r="I4193" s="50"/>
      <c r="O4193" s="36" t="s">
        <v>48</v>
      </c>
      <c r="R4193" s="36" t="s">
        <v>48</v>
      </c>
    </row>
    <row r="4194">
      <c r="H4194" s="50"/>
      <c r="I4194" s="50"/>
      <c r="O4194" s="36" t="s">
        <v>48</v>
      </c>
      <c r="R4194" s="36" t="s">
        <v>48</v>
      </c>
    </row>
    <row r="4195">
      <c r="H4195" s="50"/>
      <c r="I4195" s="50"/>
      <c r="O4195" s="36" t="s">
        <v>48</v>
      </c>
      <c r="R4195" s="36" t="s">
        <v>48</v>
      </c>
    </row>
    <row r="4196">
      <c r="H4196" s="50"/>
      <c r="I4196" s="50"/>
      <c r="O4196" s="36" t="s">
        <v>48</v>
      </c>
      <c r="R4196" s="36" t="s">
        <v>48</v>
      </c>
    </row>
    <row r="4197">
      <c r="H4197" s="50"/>
      <c r="I4197" s="50"/>
      <c r="O4197" s="36" t="s">
        <v>48</v>
      </c>
      <c r="R4197" s="36" t="s">
        <v>48</v>
      </c>
    </row>
    <row r="4198">
      <c r="H4198" s="50"/>
      <c r="I4198" s="50"/>
      <c r="O4198" s="36" t="s">
        <v>48</v>
      </c>
      <c r="R4198" s="36" t="s">
        <v>48</v>
      </c>
    </row>
    <row r="4199">
      <c r="H4199" s="50"/>
      <c r="I4199" s="50"/>
      <c r="O4199" s="36" t="s">
        <v>48</v>
      </c>
      <c r="R4199" s="36" t="s">
        <v>48</v>
      </c>
    </row>
    <row r="4200">
      <c r="H4200" s="50"/>
      <c r="I4200" s="50"/>
      <c r="O4200" s="36" t="s">
        <v>48</v>
      </c>
      <c r="R4200" s="36" t="s">
        <v>48</v>
      </c>
    </row>
    <row r="4201">
      <c r="H4201" s="50"/>
      <c r="I4201" s="50"/>
      <c r="O4201" s="36" t="s">
        <v>48</v>
      </c>
      <c r="R4201" s="36" t="s">
        <v>48</v>
      </c>
    </row>
    <row r="4202">
      <c r="H4202" s="50"/>
      <c r="I4202" s="50"/>
      <c r="O4202" s="36" t="s">
        <v>48</v>
      </c>
      <c r="R4202" s="36" t="s">
        <v>48</v>
      </c>
    </row>
    <row r="4203">
      <c r="H4203" s="50"/>
      <c r="I4203" s="50"/>
      <c r="O4203" s="36" t="s">
        <v>48</v>
      </c>
      <c r="R4203" s="36" t="s">
        <v>48</v>
      </c>
    </row>
    <row r="4204">
      <c r="H4204" s="50"/>
      <c r="I4204" s="50"/>
      <c r="O4204" s="36" t="s">
        <v>48</v>
      </c>
      <c r="R4204" s="36" t="s">
        <v>48</v>
      </c>
    </row>
    <row r="4205">
      <c r="H4205" s="50"/>
      <c r="I4205" s="50"/>
      <c r="O4205" s="36" t="s">
        <v>48</v>
      </c>
      <c r="R4205" s="36" t="s">
        <v>48</v>
      </c>
    </row>
    <row r="4206">
      <c r="H4206" s="50"/>
      <c r="I4206" s="50"/>
      <c r="O4206" s="36" t="s">
        <v>48</v>
      </c>
      <c r="R4206" s="36" t="s">
        <v>48</v>
      </c>
    </row>
    <row r="4207">
      <c r="H4207" s="50"/>
      <c r="I4207" s="50"/>
      <c r="O4207" s="36" t="s">
        <v>48</v>
      </c>
      <c r="R4207" s="36" t="s">
        <v>48</v>
      </c>
    </row>
    <row r="4208">
      <c r="H4208" s="50"/>
      <c r="I4208" s="50"/>
      <c r="O4208" s="36" t="s">
        <v>48</v>
      </c>
      <c r="R4208" s="36" t="s">
        <v>48</v>
      </c>
    </row>
    <row r="4209">
      <c r="H4209" s="50"/>
      <c r="I4209" s="50"/>
      <c r="O4209" s="36" t="s">
        <v>48</v>
      </c>
      <c r="R4209" s="36" t="s">
        <v>48</v>
      </c>
    </row>
    <row r="4210">
      <c r="H4210" s="50"/>
      <c r="I4210" s="50"/>
      <c r="O4210" s="36" t="s">
        <v>48</v>
      </c>
      <c r="R4210" s="36" t="s">
        <v>48</v>
      </c>
    </row>
    <row r="4211">
      <c r="H4211" s="50"/>
      <c r="I4211" s="50"/>
      <c r="O4211" s="36" t="s">
        <v>48</v>
      </c>
      <c r="R4211" s="36" t="s">
        <v>48</v>
      </c>
    </row>
    <row r="4212">
      <c r="H4212" s="50"/>
      <c r="I4212" s="50"/>
      <c r="O4212" s="36" t="s">
        <v>48</v>
      </c>
      <c r="R4212" s="36" t="s">
        <v>48</v>
      </c>
    </row>
    <row r="4213">
      <c r="H4213" s="50"/>
      <c r="I4213" s="50"/>
      <c r="O4213" s="36" t="s">
        <v>48</v>
      </c>
      <c r="R4213" s="36" t="s">
        <v>48</v>
      </c>
    </row>
    <row r="4214">
      <c r="H4214" s="50"/>
      <c r="I4214" s="50"/>
      <c r="O4214" s="36" t="s">
        <v>48</v>
      </c>
      <c r="R4214" s="36" t="s">
        <v>48</v>
      </c>
    </row>
    <row r="4215">
      <c r="H4215" s="50"/>
      <c r="I4215" s="50"/>
      <c r="O4215" s="36" t="s">
        <v>48</v>
      </c>
      <c r="R4215" s="36" t="s">
        <v>48</v>
      </c>
    </row>
    <row r="4216">
      <c r="H4216" s="50"/>
      <c r="I4216" s="50"/>
      <c r="O4216" s="36" t="s">
        <v>48</v>
      </c>
      <c r="R4216" s="36" t="s">
        <v>48</v>
      </c>
    </row>
    <row r="4217">
      <c r="H4217" s="50"/>
      <c r="I4217" s="50"/>
      <c r="O4217" s="36" t="s">
        <v>48</v>
      </c>
      <c r="R4217" s="36" t="s">
        <v>48</v>
      </c>
    </row>
    <row r="4218">
      <c r="H4218" s="50"/>
      <c r="I4218" s="50"/>
      <c r="O4218" s="36" t="s">
        <v>48</v>
      </c>
      <c r="R4218" s="36" t="s">
        <v>48</v>
      </c>
    </row>
    <row r="4219">
      <c r="H4219" s="50"/>
      <c r="I4219" s="50"/>
      <c r="O4219" s="36" t="s">
        <v>48</v>
      </c>
      <c r="R4219" s="36" t="s">
        <v>48</v>
      </c>
    </row>
    <row r="4220">
      <c r="H4220" s="50"/>
      <c r="I4220" s="50"/>
      <c r="O4220" s="36" t="s">
        <v>48</v>
      </c>
      <c r="R4220" s="36" t="s">
        <v>48</v>
      </c>
    </row>
    <row r="4221">
      <c r="H4221" s="50"/>
      <c r="I4221" s="50"/>
      <c r="O4221" s="36" t="s">
        <v>48</v>
      </c>
      <c r="R4221" s="36" t="s">
        <v>48</v>
      </c>
    </row>
    <row r="4222">
      <c r="H4222" s="50"/>
      <c r="I4222" s="50"/>
      <c r="O4222" s="36" t="s">
        <v>48</v>
      </c>
      <c r="R4222" s="36" t="s">
        <v>48</v>
      </c>
    </row>
    <row r="4223">
      <c r="H4223" s="50"/>
      <c r="I4223" s="50"/>
      <c r="O4223" s="36" t="s">
        <v>48</v>
      </c>
      <c r="R4223" s="36" t="s">
        <v>48</v>
      </c>
    </row>
    <row r="4224">
      <c r="H4224" s="50"/>
      <c r="I4224" s="50"/>
      <c r="O4224" s="36" t="s">
        <v>48</v>
      </c>
      <c r="R4224" s="36" t="s">
        <v>48</v>
      </c>
    </row>
    <row r="4225">
      <c r="H4225" s="50"/>
      <c r="I4225" s="50"/>
      <c r="O4225" s="36" t="s">
        <v>48</v>
      </c>
      <c r="R4225" s="36" t="s">
        <v>48</v>
      </c>
    </row>
    <row r="4226">
      <c r="H4226" s="50"/>
      <c r="I4226" s="50"/>
      <c r="O4226" s="36" t="s">
        <v>48</v>
      </c>
      <c r="R4226" s="36" t="s">
        <v>48</v>
      </c>
    </row>
    <row r="4227">
      <c r="H4227" s="50"/>
      <c r="I4227" s="50"/>
      <c r="O4227" s="36" t="s">
        <v>48</v>
      </c>
      <c r="R4227" s="36" t="s">
        <v>48</v>
      </c>
    </row>
    <row r="4228">
      <c r="H4228" s="50"/>
      <c r="I4228" s="50"/>
      <c r="O4228" s="36" t="s">
        <v>48</v>
      </c>
      <c r="R4228" s="36" t="s">
        <v>48</v>
      </c>
    </row>
    <row r="4229">
      <c r="H4229" s="50"/>
      <c r="I4229" s="50"/>
      <c r="O4229" s="36" t="s">
        <v>48</v>
      </c>
      <c r="R4229" s="36" t="s">
        <v>48</v>
      </c>
    </row>
    <row r="4230">
      <c r="H4230" s="50"/>
      <c r="I4230" s="50"/>
      <c r="O4230" s="36" t="s">
        <v>48</v>
      </c>
      <c r="R4230" s="36" t="s">
        <v>48</v>
      </c>
    </row>
    <row r="4231">
      <c r="H4231" s="50"/>
      <c r="I4231" s="50"/>
      <c r="O4231" s="36" t="s">
        <v>48</v>
      </c>
      <c r="R4231" s="36" t="s">
        <v>48</v>
      </c>
    </row>
    <row r="4232">
      <c r="H4232" s="50"/>
      <c r="I4232" s="50"/>
      <c r="O4232" s="36" t="s">
        <v>48</v>
      </c>
      <c r="R4232" s="36" t="s">
        <v>48</v>
      </c>
    </row>
    <row r="4233">
      <c r="H4233" s="50"/>
      <c r="I4233" s="50"/>
      <c r="O4233" s="36" t="s">
        <v>48</v>
      </c>
      <c r="R4233" s="36" t="s">
        <v>48</v>
      </c>
    </row>
    <row r="4234">
      <c r="H4234" s="50"/>
      <c r="I4234" s="50"/>
      <c r="O4234" s="36" t="s">
        <v>48</v>
      </c>
      <c r="R4234" s="36" t="s">
        <v>48</v>
      </c>
    </row>
    <row r="4235">
      <c r="H4235" s="50"/>
      <c r="I4235" s="50"/>
      <c r="O4235" s="36" t="s">
        <v>48</v>
      </c>
      <c r="R4235" s="36" t="s">
        <v>48</v>
      </c>
    </row>
    <row r="4236">
      <c r="H4236" s="50"/>
      <c r="I4236" s="50"/>
      <c r="O4236" s="36" t="s">
        <v>48</v>
      </c>
      <c r="R4236" s="36" t="s">
        <v>48</v>
      </c>
    </row>
    <row r="4237">
      <c r="H4237" s="50"/>
      <c r="I4237" s="50"/>
      <c r="O4237" s="36" t="s">
        <v>48</v>
      </c>
      <c r="R4237" s="36" t="s">
        <v>48</v>
      </c>
    </row>
    <row r="4238">
      <c r="H4238" s="50"/>
      <c r="I4238" s="50"/>
      <c r="O4238" s="36" t="s">
        <v>48</v>
      </c>
      <c r="R4238" s="36" t="s">
        <v>48</v>
      </c>
    </row>
    <row r="4239">
      <c r="H4239" s="50"/>
      <c r="I4239" s="50"/>
      <c r="O4239" s="36" t="s">
        <v>48</v>
      </c>
      <c r="R4239" s="36" t="s">
        <v>48</v>
      </c>
    </row>
    <row r="4240">
      <c r="H4240" s="50"/>
      <c r="I4240" s="50"/>
      <c r="O4240" s="36" t="s">
        <v>48</v>
      </c>
      <c r="R4240" s="36" t="s">
        <v>48</v>
      </c>
    </row>
    <row r="4241">
      <c r="H4241" s="50"/>
      <c r="I4241" s="50"/>
      <c r="O4241" s="36" t="s">
        <v>48</v>
      </c>
      <c r="R4241" s="36" t="s">
        <v>48</v>
      </c>
    </row>
    <row r="4242">
      <c r="H4242" s="50"/>
      <c r="I4242" s="50"/>
      <c r="O4242" s="36" t="s">
        <v>48</v>
      </c>
      <c r="R4242" s="36" t="s">
        <v>48</v>
      </c>
    </row>
    <row r="4243">
      <c r="H4243" s="50"/>
      <c r="I4243" s="50"/>
      <c r="O4243" s="36" t="s">
        <v>48</v>
      </c>
      <c r="R4243" s="36" t="s">
        <v>48</v>
      </c>
    </row>
    <row r="4244">
      <c r="H4244" s="50"/>
      <c r="I4244" s="50"/>
      <c r="O4244" s="36" t="s">
        <v>48</v>
      </c>
      <c r="R4244" s="36" t="s">
        <v>48</v>
      </c>
    </row>
    <row r="4245">
      <c r="H4245" s="50"/>
      <c r="I4245" s="50"/>
      <c r="O4245" s="36" t="s">
        <v>48</v>
      </c>
      <c r="R4245" s="36" t="s">
        <v>48</v>
      </c>
    </row>
    <row r="4246">
      <c r="H4246" s="50"/>
      <c r="I4246" s="50"/>
      <c r="O4246" s="36" t="s">
        <v>48</v>
      </c>
      <c r="R4246" s="36" t="s">
        <v>48</v>
      </c>
    </row>
    <row r="4247">
      <c r="H4247" s="50"/>
      <c r="I4247" s="50"/>
      <c r="O4247" s="36" t="s">
        <v>48</v>
      </c>
      <c r="R4247" s="36" t="s">
        <v>48</v>
      </c>
    </row>
    <row r="4248">
      <c r="H4248" s="50"/>
      <c r="I4248" s="50"/>
      <c r="O4248" s="36" t="s">
        <v>48</v>
      </c>
      <c r="R4248" s="36" t="s">
        <v>48</v>
      </c>
    </row>
    <row r="4249">
      <c r="H4249" s="50"/>
      <c r="I4249" s="50"/>
      <c r="O4249" s="36" t="s">
        <v>48</v>
      </c>
      <c r="R4249" s="36" t="s">
        <v>48</v>
      </c>
    </row>
    <row r="4250">
      <c r="H4250" s="50"/>
      <c r="I4250" s="50"/>
      <c r="O4250" s="36" t="s">
        <v>48</v>
      </c>
      <c r="R4250" s="36" t="s">
        <v>48</v>
      </c>
    </row>
    <row r="4251">
      <c r="H4251" s="50"/>
      <c r="I4251" s="50"/>
      <c r="O4251" s="36" t="s">
        <v>48</v>
      </c>
      <c r="R4251" s="36" t="s">
        <v>48</v>
      </c>
    </row>
    <row r="4252">
      <c r="H4252" s="50"/>
      <c r="I4252" s="50"/>
      <c r="O4252" s="36" t="s">
        <v>48</v>
      </c>
      <c r="R4252" s="36" t="s">
        <v>48</v>
      </c>
    </row>
    <row r="4253">
      <c r="H4253" s="50"/>
      <c r="I4253" s="50"/>
      <c r="O4253" s="36" t="s">
        <v>48</v>
      </c>
      <c r="R4253" s="36" t="s">
        <v>48</v>
      </c>
    </row>
    <row r="4254">
      <c r="H4254" s="50"/>
      <c r="I4254" s="50"/>
      <c r="O4254" s="36" t="s">
        <v>48</v>
      </c>
      <c r="R4254" s="36" t="s">
        <v>48</v>
      </c>
    </row>
    <row r="4255">
      <c r="H4255" s="50"/>
      <c r="I4255" s="50"/>
      <c r="O4255" s="36" t="s">
        <v>48</v>
      </c>
      <c r="R4255" s="36" t="s">
        <v>48</v>
      </c>
    </row>
    <row r="4256">
      <c r="H4256" s="50"/>
      <c r="I4256" s="50"/>
      <c r="O4256" s="36" t="s">
        <v>48</v>
      </c>
      <c r="R4256" s="36" t="s">
        <v>48</v>
      </c>
    </row>
    <row r="4257">
      <c r="H4257" s="50"/>
      <c r="I4257" s="50"/>
      <c r="O4257" s="36" t="s">
        <v>48</v>
      </c>
      <c r="R4257" s="36" t="s">
        <v>48</v>
      </c>
    </row>
    <row r="4258">
      <c r="H4258" s="50"/>
      <c r="I4258" s="50"/>
      <c r="O4258" s="36" t="s">
        <v>48</v>
      </c>
      <c r="R4258" s="36" t="s">
        <v>48</v>
      </c>
    </row>
    <row r="4259">
      <c r="H4259" s="50"/>
      <c r="I4259" s="50"/>
      <c r="O4259" s="36" t="s">
        <v>48</v>
      </c>
      <c r="R4259" s="36" t="s">
        <v>48</v>
      </c>
    </row>
    <row r="4260">
      <c r="H4260" s="50"/>
      <c r="I4260" s="50"/>
      <c r="O4260" s="36" t="s">
        <v>48</v>
      </c>
      <c r="R4260" s="36" t="s">
        <v>48</v>
      </c>
    </row>
    <row r="4261">
      <c r="H4261" s="50"/>
      <c r="I4261" s="50"/>
      <c r="O4261" s="36" t="s">
        <v>48</v>
      </c>
      <c r="R4261" s="36" t="s">
        <v>48</v>
      </c>
    </row>
    <row r="4262">
      <c r="H4262" s="50"/>
      <c r="I4262" s="50"/>
      <c r="O4262" s="36" t="s">
        <v>48</v>
      </c>
      <c r="R4262" s="36" t="s">
        <v>48</v>
      </c>
    </row>
    <row r="4263">
      <c r="H4263" s="50"/>
      <c r="I4263" s="50"/>
      <c r="O4263" s="36" t="s">
        <v>48</v>
      </c>
      <c r="R4263" s="36" t="s">
        <v>48</v>
      </c>
    </row>
    <row r="4264">
      <c r="H4264" s="50"/>
      <c r="I4264" s="50"/>
      <c r="O4264" s="36" t="s">
        <v>48</v>
      </c>
      <c r="R4264" s="36" t="s">
        <v>48</v>
      </c>
    </row>
    <row r="4265">
      <c r="H4265" s="50"/>
      <c r="I4265" s="50"/>
      <c r="O4265" s="36" t="s">
        <v>48</v>
      </c>
      <c r="R4265" s="36" t="s">
        <v>48</v>
      </c>
    </row>
    <row r="4266">
      <c r="H4266" s="50"/>
      <c r="I4266" s="50"/>
      <c r="O4266" s="36" t="s">
        <v>48</v>
      </c>
      <c r="R4266" s="36" t="s">
        <v>48</v>
      </c>
    </row>
    <row r="4267">
      <c r="H4267" s="50"/>
      <c r="I4267" s="50"/>
      <c r="O4267" s="36" t="s">
        <v>48</v>
      </c>
      <c r="R4267" s="36" t="s">
        <v>48</v>
      </c>
    </row>
    <row r="4268">
      <c r="H4268" s="50"/>
      <c r="I4268" s="50"/>
      <c r="O4268" s="36" t="s">
        <v>48</v>
      </c>
      <c r="R4268" s="36" t="s">
        <v>48</v>
      </c>
    </row>
    <row r="4269">
      <c r="H4269" s="50"/>
      <c r="I4269" s="50"/>
      <c r="O4269" s="36" t="s">
        <v>48</v>
      </c>
      <c r="R4269" s="36" t="s">
        <v>48</v>
      </c>
    </row>
    <row r="4270">
      <c r="H4270" s="50"/>
      <c r="I4270" s="50"/>
      <c r="O4270" s="36" t="s">
        <v>48</v>
      </c>
      <c r="R4270" s="36" t="s">
        <v>48</v>
      </c>
    </row>
    <row r="4271">
      <c r="H4271" s="50"/>
      <c r="I4271" s="50"/>
      <c r="O4271" s="36" t="s">
        <v>48</v>
      </c>
      <c r="R4271" s="36" t="s">
        <v>48</v>
      </c>
    </row>
    <row r="4272">
      <c r="H4272" s="50"/>
      <c r="I4272" s="50"/>
      <c r="O4272" s="36" t="s">
        <v>48</v>
      </c>
      <c r="R4272" s="36" t="s">
        <v>48</v>
      </c>
    </row>
    <row r="4273">
      <c r="H4273" s="50"/>
      <c r="I4273" s="50"/>
      <c r="O4273" s="36" t="s">
        <v>48</v>
      </c>
      <c r="R4273" s="36" t="s">
        <v>48</v>
      </c>
    </row>
    <row r="4274">
      <c r="H4274" s="50"/>
      <c r="I4274" s="50"/>
      <c r="O4274" s="36" t="s">
        <v>48</v>
      </c>
      <c r="R4274" s="36" t="s">
        <v>48</v>
      </c>
    </row>
    <row r="4275">
      <c r="H4275" s="50"/>
      <c r="I4275" s="50"/>
      <c r="O4275" s="36" t="s">
        <v>48</v>
      </c>
      <c r="R4275" s="36" t="s">
        <v>48</v>
      </c>
    </row>
    <row r="4276">
      <c r="H4276" s="50"/>
      <c r="I4276" s="50"/>
      <c r="O4276" s="36" t="s">
        <v>48</v>
      </c>
      <c r="R4276" s="36" t="s">
        <v>48</v>
      </c>
    </row>
    <row r="4277">
      <c r="H4277" s="50"/>
      <c r="I4277" s="50"/>
      <c r="O4277" s="36" t="s">
        <v>48</v>
      </c>
      <c r="R4277" s="36" t="s">
        <v>48</v>
      </c>
    </row>
    <row r="4278">
      <c r="H4278" s="50"/>
      <c r="I4278" s="50"/>
      <c r="O4278" s="36" t="s">
        <v>48</v>
      </c>
      <c r="R4278" s="36" t="s">
        <v>48</v>
      </c>
    </row>
    <row r="4279">
      <c r="H4279" s="50"/>
      <c r="I4279" s="50"/>
      <c r="O4279" s="36" t="s">
        <v>48</v>
      </c>
      <c r="R4279" s="36" t="s">
        <v>48</v>
      </c>
    </row>
    <row r="4280">
      <c r="H4280" s="50"/>
      <c r="I4280" s="50"/>
      <c r="O4280" s="36" t="s">
        <v>48</v>
      </c>
      <c r="R4280" s="36" t="s">
        <v>48</v>
      </c>
    </row>
    <row r="4281">
      <c r="H4281" s="50"/>
      <c r="I4281" s="50"/>
      <c r="O4281" s="36" t="s">
        <v>48</v>
      </c>
      <c r="R4281" s="36" t="s">
        <v>48</v>
      </c>
    </row>
    <row r="4282">
      <c r="H4282" s="50"/>
      <c r="I4282" s="50"/>
      <c r="O4282" s="36" t="s">
        <v>48</v>
      </c>
      <c r="R4282" s="36" t="s">
        <v>48</v>
      </c>
    </row>
    <row r="4283">
      <c r="H4283" s="50"/>
      <c r="I4283" s="50"/>
      <c r="O4283" s="36" t="s">
        <v>48</v>
      </c>
      <c r="R4283" s="36" t="s">
        <v>48</v>
      </c>
    </row>
    <row r="4284">
      <c r="H4284" s="50"/>
      <c r="I4284" s="50"/>
      <c r="O4284" s="36" t="s">
        <v>48</v>
      </c>
      <c r="R4284" s="36" t="s">
        <v>48</v>
      </c>
    </row>
    <row r="4285">
      <c r="H4285" s="50"/>
      <c r="I4285" s="50"/>
      <c r="O4285" s="36" t="s">
        <v>48</v>
      </c>
      <c r="R4285" s="36" t="s">
        <v>48</v>
      </c>
    </row>
    <row r="4286">
      <c r="H4286" s="50"/>
      <c r="I4286" s="50"/>
      <c r="O4286" s="36" t="s">
        <v>48</v>
      </c>
      <c r="R4286" s="36" t="s">
        <v>48</v>
      </c>
    </row>
    <row r="4287">
      <c r="H4287" s="50"/>
      <c r="I4287" s="50"/>
      <c r="O4287" s="36" t="s">
        <v>48</v>
      </c>
      <c r="R4287" s="36" t="s">
        <v>48</v>
      </c>
    </row>
    <row r="4288">
      <c r="H4288" s="50"/>
      <c r="I4288" s="50"/>
      <c r="O4288" s="36" t="s">
        <v>48</v>
      </c>
      <c r="R4288" s="36" t="s">
        <v>48</v>
      </c>
    </row>
    <row r="4289">
      <c r="H4289" s="50"/>
      <c r="I4289" s="50"/>
      <c r="O4289" s="36" t="s">
        <v>48</v>
      </c>
      <c r="R4289" s="36" t="s">
        <v>48</v>
      </c>
    </row>
    <row r="4290">
      <c r="H4290" s="50"/>
      <c r="I4290" s="50"/>
      <c r="O4290" s="36" t="s">
        <v>48</v>
      </c>
      <c r="R4290" s="36" t="s">
        <v>48</v>
      </c>
    </row>
    <row r="4291">
      <c r="H4291" s="50"/>
      <c r="I4291" s="50"/>
      <c r="O4291" s="36" t="s">
        <v>48</v>
      </c>
      <c r="R4291" s="36" t="s">
        <v>48</v>
      </c>
    </row>
    <row r="4292">
      <c r="H4292" s="50"/>
      <c r="I4292" s="50"/>
      <c r="O4292" s="36" t="s">
        <v>48</v>
      </c>
      <c r="R4292" s="36" t="s">
        <v>48</v>
      </c>
    </row>
    <row r="4293">
      <c r="H4293" s="50"/>
      <c r="I4293" s="50"/>
      <c r="O4293" s="36" t="s">
        <v>48</v>
      </c>
      <c r="R4293" s="36" t="s">
        <v>48</v>
      </c>
    </row>
    <row r="4294">
      <c r="H4294" s="50"/>
      <c r="I4294" s="50"/>
      <c r="O4294" s="36" t="s">
        <v>48</v>
      </c>
      <c r="R4294" s="36" t="s">
        <v>48</v>
      </c>
    </row>
    <row r="4295">
      <c r="H4295" s="50"/>
      <c r="I4295" s="50"/>
      <c r="O4295" s="36" t="s">
        <v>48</v>
      </c>
      <c r="R4295" s="36" t="s">
        <v>48</v>
      </c>
    </row>
    <row r="4296">
      <c r="H4296" s="50"/>
      <c r="I4296" s="50"/>
      <c r="O4296" s="36" t="s">
        <v>48</v>
      </c>
      <c r="R4296" s="36" t="s">
        <v>48</v>
      </c>
    </row>
    <row r="4297">
      <c r="H4297" s="50"/>
      <c r="I4297" s="50"/>
      <c r="O4297" s="36" t="s">
        <v>48</v>
      </c>
      <c r="R4297" s="36" t="s">
        <v>48</v>
      </c>
    </row>
    <row r="4298">
      <c r="H4298" s="50"/>
      <c r="I4298" s="50"/>
      <c r="O4298" s="36" t="s">
        <v>48</v>
      </c>
      <c r="R4298" s="36" t="s">
        <v>48</v>
      </c>
    </row>
    <row r="4299">
      <c r="H4299" s="50"/>
      <c r="I4299" s="50"/>
      <c r="O4299" s="36" t="s">
        <v>48</v>
      </c>
      <c r="R4299" s="36" t="s">
        <v>48</v>
      </c>
    </row>
    <row r="4300">
      <c r="H4300" s="50"/>
      <c r="I4300" s="50"/>
      <c r="O4300" s="36" t="s">
        <v>48</v>
      </c>
      <c r="R4300" s="36" t="s">
        <v>48</v>
      </c>
    </row>
    <row r="4301">
      <c r="H4301" s="50"/>
      <c r="I4301" s="50"/>
      <c r="O4301" s="36" t="s">
        <v>48</v>
      </c>
      <c r="R4301" s="36" t="s">
        <v>48</v>
      </c>
    </row>
    <row r="4302">
      <c r="H4302" s="50"/>
      <c r="I4302" s="50"/>
      <c r="O4302" s="36" t="s">
        <v>48</v>
      </c>
      <c r="R4302" s="36" t="s">
        <v>48</v>
      </c>
    </row>
    <row r="4303">
      <c r="H4303" s="50"/>
      <c r="I4303" s="50"/>
      <c r="O4303" s="36" t="s">
        <v>48</v>
      </c>
      <c r="R4303" s="36" t="s">
        <v>48</v>
      </c>
    </row>
    <row r="4304">
      <c r="H4304" s="50"/>
      <c r="I4304" s="50"/>
      <c r="O4304" s="36" t="s">
        <v>48</v>
      </c>
      <c r="R4304" s="36" t="s">
        <v>48</v>
      </c>
    </row>
    <row r="4305">
      <c r="H4305" s="50"/>
      <c r="I4305" s="50"/>
      <c r="O4305" s="36" t="s">
        <v>48</v>
      </c>
      <c r="R4305" s="36" t="s">
        <v>48</v>
      </c>
    </row>
    <row r="4306">
      <c r="H4306" s="50"/>
      <c r="I4306" s="50"/>
      <c r="O4306" s="36" t="s">
        <v>48</v>
      </c>
      <c r="R4306" s="36" t="s">
        <v>48</v>
      </c>
    </row>
    <row r="4307">
      <c r="H4307" s="50"/>
      <c r="I4307" s="50"/>
      <c r="O4307" s="36" t="s">
        <v>48</v>
      </c>
      <c r="R4307" s="36" t="s">
        <v>48</v>
      </c>
    </row>
    <row r="4308">
      <c r="H4308" s="50"/>
      <c r="I4308" s="50"/>
      <c r="O4308" s="36" t="s">
        <v>48</v>
      </c>
      <c r="R4308" s="36" t="s">
        <v>48</v>
      </c>
    </row>
    <row r="4309">
      <c r="H4309" s="50"/>
      <c r="I4309" s="50"/>
      <c r="O4309" s="36" t="s">
        <v>48</v>
      </c>
      <c r="R4309" s="36" t="s">
        <v>48</v>
      </c>
    </row>
    <row r="4310">
      <c r="H4310" s="50"/>
      <c r="I4310" s="50"/>
      <c r="O4310" s="36" t="s">
        <v>48</v>
      </c>
      <c r="R4310" s="36" t="s">
        <v>48</v>
      </c>
    </row>
    <row r="4311">
      <c r="H4311" s="50"/>
      <c r="I4311" s="50"/>
      <c r="O4311" s="36" t="s">
        <v>48</v>
      </c>
      <c r="R4311" s="36" t="s">
        <v>48</v>
      </c>
    </row>
    <row r="4312">
      <c r="H4312" s="50"/>
      <c r="I4312" s="50"/>
      <c r="O4312" s="36" t="s">
        <v>48</v>
      </c>
      <c r="R4312" s="36" t="s">
        <v>48</v>
      </c>
    </row>
    <row r="4313">
      <c r="H4313" s="50"/>
      <c r="I4313" s="50"/>
      <c r="O4313" s="36" t="s">
        <v>48</v>
      </c>
      <c r="R4313" s="36" t="s">
        <v>48</v>
      </c>
    </row>
    <row r="4314">
      <c r="H4314" s="50"/>
      <c r="I4314" s="50"/>
      <c r="O4314" s="36" t="s">
        <v>48</v>
      </c>
      <c r="R4314" s="36" t="s">
        <v>48</v>
      </c>
    </row>
    <row r="4315">
      <c r="H4315" s="50"/>
      <c r="I4315" s="50"/>
      <c r="O4315" s="36" t="s">
        <v>48</v>
      </c>
      <c r="R4315" s="36" t="s">
        <v>48</v>
      </c>
    </row>
    <row r="4316">
      <c r="H4316" s="50"/>
      <c r="I4316" s="50"/>
      <c r="O4316" s="36" t="s">
        <v>48</v>
      </c>
      <c r="R4316" s="36" t="s">
        <v>48</v>
      </c>
    </row>
    <row r="4317">
      <c r="H4317" s="50"/>
      <c r="I4317" s="50"/>
      <c r="O4317" s="36" t="s">
        <v>48</v>
      </c>
      <c r="R4317" s="36" t="s">
        <v>48</v>
      </c>
    </row>
    <row r="4318">
      <c r="H4318" s="50"/>
      <c r="I4318" s="50"/>
      <c r="O4318" s="36" t="s">
        <v>48</v>
      </c>
      <c r="R4318" s="36" t="s">
        <v>48</v>
      </c>
    </row>
    <row r="4319">
      <c r="H4319" s="50"/>
      <c r="I4319" s="50"/>
      <c r="O4319" s="36" t="s">
        <v>48</v>
      </c>
      <c r="R4319" s="36" t="s">
        <v>48</v>
      </c>
    </row>
    <row r="4320">
      <c r="H4320" s="50"/>
      <c r="I4320" s="50"/>
      <c r="O4320" s="36" t="s">
        <v>48</v>
      </c>
      <c r="R4320" s="36" t="s">
        <v>48</v>
      </c>
    </row>
    <row r="4321">
      <c r="H4321" s="50"/>
      <c r="I4321" s="50"/>
      <c r="O4321" s="36" t="s">
        <v>48</v>
      </c>
      <c r="R4321" s="36" t="s">
        <v>48</v>
      </c>
    </row>
    <row r="4322">
      <c r="H4322" s="50"/>
      <c r="I4322" s="50"/>
      <c r="O4322" s="36" t="s">
        <v>48</v>
      </c>
      <c r="R4322" s="36" t="s">
        <v>48</v>
      </c>
    </row>
    <row r="4323">
      <c r="H4323" s="50"/>
      <c r="I4323" s="50"/>
      <c r="O4323" s="36" t="s">
        <v>48</v>
      </c>
      <c r="R4323" s="36" t="s">
        <v>48</v>
      </c>
    </row>
    <row r="4324">
      <c r="H4324" s="50"/>
      <c r="I4324" s="50"/>
      <c r="O4324" s="36" t="s">
        <v>48</v>
      </c>
      <c r="R4324" s="36" t="s">
        <v>48</v>
      </c>
    </row>
    <row r="4325">
      <c r="H4325" s="50"/>
      <c r="I4325" s="50"/>
      <c r="O4325" s="36" t="s">
        <v>48</v>
      </c>
      <c r="R4325" s="36" t="s">
        <v>48</v>
      </c>
    </row>
    <row r="4326">
      <c r="H4326" s="50"/>
      <c r="I4326" s="50"/>
      <c r="O4326" s="36" t="s">
        <v>48</v>
      </c>
      <c r="R4326" s="36" t="s">
        <v>48</v>
      </c>
    </row>
    <row r="4327">
      <c r="H4327" s="50"/>
      <c r="I4327" s="50"/>
      <c r="O4327" s="36" t="s">
        <v>48</v>
      </c>
      <c r="R4327" s="36" t="s">
        <v>48</v>
      </c>
    </row>
    <row r="4328">
      <c r="H4328" s="50"/>
      <c r="I4328" s="50"/>
      <c r="O4328" s="36" t="s">
        <v>48</v>
      </c>
      <c r="R4328" s="36" t="s">
        <v>48</v>
      </c>
    </row>
    <row r="4329">
      <c r="H4329" s="50"/>
      <c r="I4329" s="50"/>
      <c r="O4329" s="36" t="s">
        <v>48</v>
      </c>
      <c r="R4329" s="36" t="s">
        <v>48</v>
      </c>
    </row>
    <row r="4330">
      <c r="H4330" s="50"/>
      <c r="I4330" s="50"/>
      <c r="O4330" s="36" t="s">
        <v>48</v>
      </c>
      <c r="R4330" s="36" t="s">
        <v>48</v>
      </c>
    </row>
    <row r="4331">
      <c r="H4331" s="50"/>
      <c r="I4331" s="50"/>
      <c r="O4331" s="36" t="s">
        <v>48</v>
      </c>
      <c r="R4331" s="36" t="s">
        <v>48</v>
      </c>
    </row>
    <row r="4332">
      <c r="H4332" s="50"/>
      <c r="I4332" s="50"/>
      <c r="O4332" s="36" t="s">
        <v>48</v>
      </c>
      <c r="R4332" s="36" t="s">
        <v>48</v>
      </c>
    </row>
    <row r="4333">
      <c r="H4333" s="50"/>
      <c r="I4333" s="50"/>
      <c r="O4333" s="36" t="s">
        <v>48</v>
      </c>
      <c r="R4333" s="36" t="s">
        <v>48</v>
      </c>
    </row>
    <row r="4334">
      <c r="H4334" s="50"/>
      <c r="I4334" s="50"/>
      <c r="O4334" s="36" t="s">
        <v>48</v>
      </c>
      <c r="R4334" s="36" t="s">
        <v>48</v>
      </c>
    </row>
    <row r="4335">
      <c r="H4335" s="50"/>
      <c r="I4335" s="50"/>
      <c r="O4335" s="36" t="s">
        <v>48</v>
      </c>
      <c r="R4335" s="36" t="s">
        <v>48</v>
      </c>
    </row>
    <row r="4336">
      <c r="H4336" s="50"/>
      <c r="I4336" s="50"/>
      <c r="O4336" s="36" t="s">
        <v>48</v>
      </c>
      <c r="R4336" s="36" t="s">
        <v>48</v>
      </c>
    </row>
    <row r="4337">
      <c r="H4337" s="50"/>
      <c r="I4337" s="50"/>
      <c r="O4337" s="36" t="s">
        <v>48</v>
      </c>
      <c r="R4337" s="36" t="s">
        <v>48</v>
      </c>
    </row>
    <row r="4338">
      <c r="H4338" s="50"/>
      <c r="I4338" s="50"/>
      <c r="O4338" s="36" t="s">
        <v>48</v>
      </c>
      <c r="R4338" s="36" t="s">
        <v>48</v>
      </c>
    </row>
    <row r="4339">
      <c r="H4339" s="50"/>
      <c r="I4339" s="50"/>
      <c r="O4339" s="36" t="s">
        <v>48</v>
      </c>
      <c r="R4339" s="36" t="s">
        <v>48</v>
      </c>
    </row>
    <row r="4340">
      <c r="H4340" s="50"/>
      <c r="I4340" s="50"/>
      <c r="O4340" s="36" t="s">
        <v>48</v>
      </c>
      <c r="R4340" s="36" t="s">
        <v>48</v>
      </c>
    </row>
    <row r="4341">
      <c r="H4341" s="50"/>
      <c r="I4341" s="50"/>
      <c r="O4341" s="36" t="s">
        <v>48</v>
      </c>
      <c r="R4341" s="36" t="s">
        <v>48</v>
      </c>
    </row>
    <row r="4342">
      <c r="H4342" s="50"/>
      <c r="I4342" s="50"/>
      <c r="O4342" s="36" t="s">
        <v>48</v>
      </c>
      <c r="R4342" s="36" t="s">
        <v>48</v>
      </c>
    </row>
    <row r="4343">
      <c r="H4343" s="50"/>
      <c r="I4343" s="50"/>
      <c r="O4343" s="36" t="s">
        <v>48</v>
      </c>
      <c r="R4343" s="36" t="s">
        <v>48</v>
      </c>
    </row>
    <row r="4344">
      <c r="H4344" s="50"/>
      <c r="I4344" s="50"/>
      <c r="O4344" s="36" t="s">
        <v>48</v>
      </c>
      <c r="R4344" s="36" t="s">
        <v>48</v>
      </c>
    </row>
    <row r="4345">
      <c r="H4345" s="50"/>
      <c r="I4345" s="50"/>
      <c r="O4345" s="36" t="s">
        <v>48</v>
      </c>
      <c r="R4345" s="36" t="s">
        <v>48</v>
      </c>
    </row>
    <row r="4346">
      <c r="H4346" s="50"/>
      <c r="I4346" s="50"/>
      <c r="O4346" s="36" t="s">
        <v>48</v>
      </c>
      <c r="R4346" s="36" t="s">
        <v>48</v>
      </c>
    </row>
    <row r="4347">
      <c r="H4347" s="50"/>
      <c r="I4347" s="50"/>
      <c r="O4347" s="36" t="s">
        <v>48</v>
      </c>
      <c r="R4347" s="36" t="s">
        <v>48</v>
      </c>
    </row>
    <row r="4348">
      <c r="H4348" s="50"/>
      <c r="I4348" s="50"/>
      <c r="O4348" s="36" t="s">
        <v>48</v>
      </c>
      <c r="R4348" s="36" t="s">
        <v>48</v>
      </c>
    </row>
    <row r="4349">
      <c r="H4349" s="50"/>
      <c r="I4349" s="50"/>
      <c r="O4349" s="36" t="s">
        <v>48</v>
      </c>
      <c r="R4349" s="36" t="s">
        <v>48</v>
      </c>
    </row>
    <row r="4350">
      <c r="H4350" s="50"/>
      <c r="I4350" s="50"/>
      <c r="O4350" s="36" t="s">
        <v>48</v>
      </c>
      <c r="R4350" s="36" t="s">
        <v>48</v>
      </c>
    </row>
    <row r="4351">
      <c r="H4351" s="50"/>
      <c r="I4351" s="50"/>
      <c r="O4351" s="36" t="s">
        <v>48</v>
      </c>
      <c r="R4351" s="36" t="s">
        <v>48</v>
      </c>
    </row>
    <row r="4352">
      <c r="H4352" s="50"/>
      <c r="I4352" s="50"/>
      <c r="O4352" s="36" t="s">
        <v>48</v>
      </c>
      <c r="R4352" s="36" t="s">
        <v>48</v>
      </c>
    </row>
    <row r="4353">
      <c r="H4353" s="50"/>
      <c r="I4353" s="50"/>
      <c r="O4353" s="36" t="s">
        <v>48</v>
      </c>
      <c r="R4353" s="36" t="s">
        <v>48</v>
      </c>
    </row>
    <row r="4354">
      <c r="H4354" s="50"/>
      <c r="I4354" s="50"/>
      <c r="O4354" s="36" t="s">
        <v>48</v>
      </c>
      <c r="R4354" s="36" t="s">
        <v>48</v>
      </c>
    </row>
    <row r="4355">
      <c r="H4355" s="50"/>
      <c r="I4355" s="50"/>
      <c r="O4355" s="36" t="s">
        <v>48</v>
      </c>
      <c r="R4355" s="36" t="s">
        <v>48</v>
      </c>
    </row>
    <row r="4356">
      <c r="H4356" s="50"/>
      <c r="I4356" s="50"/>
      <c r="O4356" s="36" t="s">
        <v>48</v>
      </c>
      <c r="R4356" s="36" t="s">
        <v>48</v>
      </c>
    </row>
    <row r="4357">
      <c r="H4357" s="50"/>
      <c r="I4357" s="50"/>
      <c r="O4357" s="36" t="s">
        <v>48</v>
      </c>
      <c r="R4357" s="36" t="s">
        <v>48</v>
      </c>
    </row>
    <row r="4358">
      <c r="H4358" s="50"/>
      <c r="I4358" s="50"/>
      <c r="O4358" s="36" t="s">
        <v>48</v>
      </c>
      <c r="R4358" s="36" t="s">
        <v>48</v>
      </c>
    </row>
    <row r="4359">
      <c r="H4359" s="50"/>
      <c r="I4359" s="50"/>
      <c r="O4359" s="36" t="s">
        <v>48</v>
      </c>
      <c r="R4359" s="36" t="s">
        <v>48</v>
      </c>
    </row>
    <row r="4360">
      <c r="H4360" s="50"/>
      <c r="I4360" s="50"/>
      <c r="O4360" s="36" t="s">
        <v>48</v>
      </c>
      <c r="R4360" s="36" t="s">
        <v>48</v>
      </c>
    </row>
    <row r="4361">
      <c r="H4361" s="50"/>
      <c r="I4361" s="50"/>
      <c r="O4361" s="36" t="s">
        <v>48</v>
      </c>
      <c r="R4361" s="36" t="s">
        <v>48</v>
      </c>
    </row>
    <row r="4362">
      <c r="H4362" s="50"/>
      <c r="I4362" s="50"/>
      <c r="O4362" s="36" t="s">
        <v>48</v>
      </c>
      <c r="R4362" s="36" t="s">
        <v>48</v>
      </c>
    </row>
    <row r="4363">
      <c r="H4363" s="50"/>
      <c r="I4363" s="50"/>
      <c r="O4363" s="36" t="s">
        <v>48</v>
      </c>
      <c r="R4363" s="36" t="s">
        <v>48</v>
      </c>
    </row>
    <row r="4364">
      <c r="H4364" s="50"/>
      <c r="I4364" s="50"/>
      <c r="O4364" s="36" t="s">
        <v>48</v>
      </c>
      <c r="R4364" s="36" t="s">
        <v>48</v>
      </c>
    </row>
    <row r="4365">
      <c r="H4365" s="50"/>
      <c r="I4365" s="50"/>
      <c r="O4365" s="36" t="s">
        <v>48</v>
      </c>
      <c r="R4365" s="36" t="s">
        <v>48</v>
      </c>
    </row>
    <row r="4366">
      <c r="H4366" s="50"/>
      <c r="I4366" s="50"/>
      <c r="O4366" s="36" t="s">
        <v>48</v>
      </c>
      <c r="R4366" s="36" t="s">
        <v>48</v>
      </c>
    </row>
    <row r="4367">
      <c r="H4367" s="50"/>
      <c r="I4367" s="50"/>
      <c r="O4367" s="36" t="s">
        <v>48</v>
      </c>
      <c r="R4367" s="36" t="s">
        <v>48</v>
      </c>
    </row>
    <row r="4368">
      <c r="H4368" s="50"/>
      <c r="I4368" s="50"/>
      <c r="O4368" s="36" t="s">
        <v>48</v>
      </c>
      <c r="R4368" s="36" t="s">
        <v>48</v>
      </c>
    </row>
    <row r="4369">
      <c r="H4369" s="50"/>
      <c r="I4369" s="50"/>
      <c r="O4369" s="36" t="s">
        <v>48</v>
      </c>
      <c r="R4369" s="36" t="s">
        <v>48</v>
      </c>
    </row>
    <row r="4370">
      <c r="H4370" s="50"/>
      <c r="I4370" s="50"/>
      <c r="O4370" s="36" t="s">
        <v>48</v>
      </c>
      <c r="R4370" s="36" t="s">
        <v>48</v>
      </c>
    </row>
    <row r="4371">
      <c r="H4371" s="50"/>
      <c r="I4371" s="50"/>
      <c r="O4371" s="36" t="s">
        <v>48</v>
      </c>
      <c r="R4371" s="36" t="s">
        <v>48</v>
      </c>
    </row>
    <row r="4372">
      <c r="H4372" s="50"/>
      <c r="I4372" s="50"/>
      <c r="O4372" s="36" t="s">
        <v>48</v>
      </c>
      <c r="R4372" s="36" t="s">
        <v>48</v>
      </c>
    </row>
    <row r="4373">
      <c r="H4373" s="50"/>
      <c r="I4373" s="50"/>
      <c r="O4373" s="36" t="s">
        <v>48</v>
      </c>
      <c r="R4373" s="36" t="s">
        <v>48</v>
      </c>
    </row>
    <row r="4374">
      <c r="H4374" s="50"/>
      <c r="I4374" s="50"/>
      <c r="O4374" s="36" t="s">
        <v>48</v>
      </c>
      <c r="R4374" s="36" t="s">
        <v>48</v>
      </c>
    </row>
    <row r="4375">
      <c r="H4375" s="50"/>
      <c r="I4375" s="50"/>
      <c r="O4375" s="36" t="s">
        <v>48</v>
      </c>
      <c r="R4375" s="36" t="s">
        <v>48</v>
      </c>
    </row>
    <row r="4376">
      <c r="H4376" s="50"/>
      <c r="I4376" s="50"/>
      <c r="O4376" s="36" t="s">
        <v>48</v>
      </c>
      <c r="R4376" s="36" t="s">
        <v>48</v>
      </c>
    </row>
    <row r="4377">
      <c r="H4377" s="50"/>
      <c r="I4377" s="50"/>
      <c r="O4377" s="36" t="s">
        <v>48</v>
      </c>
      <c r="R4377" s="36" t="s">
        <v>48</v>
      </c>
    </row>
    <row r="4378">
      <c r="H4378" s="50"/>
      <c r="I4378" s="50"/>
      <c r="O4378" s="36" t="s">
        <v>48</v>
      </c>
      <c r="R4378" s="36" t="s">
        <v>48</v>
      </c>
    </row>
    <row r="4379">
      <c r="H4379" s="50"/>
      <c r="I4379" s="50"/>
      <c r="O4379" s="36" t="s">
        <v>48</v>
      </c>
      <c r="R4379" s="36" t="s">
        <v>48</v>
      </c>
    </row>
    <row r="4380">
      <c r="H4380" s="50"/>
      <c r="I4380" s="50"/>
      <c r="O4380" s="36" t="s">
        <v>48</v>
      </c>
      <c r="R4380" s="36" t="s">
        <v>48</v>
      </c>
    </row>
    <row r="4381">
      <c r="H4381" s="50"/>
      <c r="I4381" s="50"/>
      <c r="O4381" s="36" t="s">
        <v>48</v>
      </c>
      <c r="R4381" s="36" t="s">
        <v>48</v>
      </c>
    </row>
    <row r="4382">
      <c r="H4382" s="50"/>
      <c r="I4382" s="50"/>
      <c r="O4382" s="36" t="s">
        <v>48</v>
      </c>
      <c r="R4382" s="36" t="s">
        <v>48</v>
      </c>
    </row>
    <row r="4383">
      <c r="H4383" s="50"/>
      <c r="I4383" s="50"/>
      <c r="O4383" s="36" t="s">
        <v>48</v>
      </c>
      <c r="R4383" s="36" t="s">
        <v>48</v>
      </c>
    </row>
    <row r="4384">
      <c r="H4384" s="50"/>
      <c r="I4384" s="50"/>
      <c r="O4384" s="36" t="s">
        <v>48</v>
      </c>
      <c r="R4384" s="36" t="s">
        <v>48</v>
      </c>
    </row>
    <row r="4385">
      <c r="H4385" s="50"/>
      <c r="I4385" s="50"/>
      <c r="O4385" s="36" t="s">
        <v>48</v>
      </c>
      <c r="R4385" s="36" t="s">
        <v>48</v>
      </c>
    </row>
    <row r="4386">
      <c r="H4386" s="50"/>
      <c r="I4386" s="50"/>
      <c r="O4386" s="36" t="s">
        <v>48</v>
      </c>
      <c r="R4386" s="36" t="s">
        <v>48</v>
      </c>
    </row>
    <row r="4387">
      <c r="H4387" s="50"/>
      <c r="I4387" s="50"/>
      <c r="O4387" s="36" t="s">
        <v>48</v>
      </c>
      <c r="R4387" s="36" t="s">
        <v>48</v>
      </c>
    </row>
    <row r="4388">
      <c r="H4388" s="50"/>
      <c r="I4388" s="50"/>
      <c r="O4388" s="36" t="s">
        <v>48</v>
      </c>
      <c r="R4388" s="36" t="s">
        <v>48</v>
      </c>
    </row>
    <row r="4389">
      <c r="H4389" s="50"/>
      <c r="I4389" s="50"/>
      <c r="O4389" s="36" t="s">
        <v>48</v>
      </c>
      <c r="R4389" s="36" t="s">
        <v>48</v>
      </c>
    </row>
    <row r="4390">
      <c r="H4390" s="50"/>
      <c r="I4390" s="50"/>
      <c r="O4390" s="36" t="s">
        <v>48</v>
      </c>
      <c r="R4390" s="36" t="s">
        <v>48</v>
      </c>
    </row>
    <row r="4391">
      <c r="H4391" s="50"/>
      <c r="I4391" s="50"/>
      <c r="O4391" s="36" t="s">
        <v>48</v>
      </c>
      <c r="R4391" s="36" t="s">
        <v>48</v>
      </c>
    </row>
    <row r="4392">
      <c r="H4392" s="50"/>
      <c r="I4392" s="50"/>
      <c r="O4392" s="36" t="s">
        <v>48</v>
      </c>
      <c r="R4392" s="36" t="s">
        <v>48</v>
      </c>
    </row>
    <row r="4393">
      <c r="H4393" s="50"/>
      <c r="I4393" s="50"/>
      <c r="O4393" s="36" t="s">
        <v>48</v>
      </c>
      <c r="R4393" s="36" t="s">
        <v>48</v>
      </c>
    </row>
    <row r="4394">
      <c r="H4394" s="50"/>
      <c r="I4394" s="50"/>
      <c r="O4394" s="36" t="s">
        <v>48</v>
      </c>
      <c r="R4394" s="36" t="s">
        <v>48</v>
      </c>
    </row>
    <row r="4395">
      <c r="H4395" s="50"/>
      <c r="I4395" s="50"/>
      <c r="O4395" s="36" t="s">
        <v>48</v>
      </c>
      <c r="R4395" s="36" t="s">
        <v>48</v>
      </c>
    </row>
    <row r="4396">
      <c r="H4396" s="50"/>
      <c r="I4396" s="50"/>
      <c r="O4396" s="36" t="s">
        <v>48</v>
      </c>
      <c r="R4396" s="36" t="s">
        <v>48</v>
      </c>
    </row>
    <row r="4397">
      <c r="H4397" s="50"/>
      <c r="I4397" s="50"/>
      <c r="O4397" s="36" t="s">
        <v>48</v>
      </c>
      <c r="R4397" s="36" t="s">
        <v>48</v>
      </c>
    </row>
    <row r="4398">
      <c r="H4398" s="50"/>
      <c r="I4398" s="50"/>
      <c r="O4398" s="36" t="s">
        <v>48</v>
      </c>
      <c r="R4398" s="36" t="s">
        <v>48</v>
      </c>
    </row>
    <row r="4399">
      <c r="H4399" s="50"/>
      <c r="I4399" s="50"/>
      <c r="O4399" s="36" t="s">
        <v>48</v>
      </c>
      <c r="R4399" s="36" t="s">
        <v>48</v>
      </c>
    </row>
    <row r="4400">
      <c r="H4400" s="50"/>
      <c r="I4400" s="50"/>
      <c r="O4400" s="36" t="s">
        <v>48</v>
      </c>
      <c r="R4400" s="36" t="s">
        <v>48</v>
      </c>
    </row>
    <row r="4401">
      <c r="H4401" s="50"/>
      <c r="I4401" s="50"/>
      <c r="O4401" s="36" t="s">
        <v>48</v>
      </c>
      <c r="R4401" s="36" t="s">
        <v>48</v>
      </c>
    </row>
    <row r="4402">
      <c r="H4402" s="50"/>
      <c r="I4402" s="50"/>
      <c r="O4402" s="36" t="s">
        <v>48</v>
      </c>
      <c r="R4402" s="36" t="s">
        <v>48</v>
      </c>
    </row>
    <row r="4403">
      <c r="H4403" s="50"/>
      <c r="I4403" s="50"/>
      <c r="O4403" s="36" t="s">
        <v>48</v>
      </c>
      <c r="R4403" s="36" t="s">
        <v>48</v>
      </c>
    </row>
    <row r="4404">
      <c r="H4404" s="50"/>
      <c r="I4404" s="50"/>
      <c r="O4404" s="36" t="s">
        <v>48</v>
      </c>
      <c r="R4404" s="36" t="s">
        <v>48</v>
      </c>
    </row>
    <row r="4405">
      <c r="H4405" s="50"/>
      <c r="I4405" s="50"/>
      <c r="O4405" s="36" t="s">
        <v>48</v>
      </c>
      <c r="R4405" s="36" t="s">
        <v>48</v>
      </c>
    </row>
    <row r="4406">
      <c r="H4406" s="50"/>
      <c r="I4406" s="50"/>
      <c r="O4406" s="36" t="s">
        <v>48</v>
      </c>
      <c r="R4406" s="36" t="s">
        <v>48</v>
      </c>
    </row>
    <row r="4407">
      <c r="H4407" s="50"/>
      <c r="I4407" s="50"/>
      <c r="O4407" s="36" t="s">
        <v>48</v>
      </c>
      <c r="R4407" s="36" t="s">
        <v>48</v>
      </c>
    </row>
    <row r="4408">
      <c r="H4408" s="50"/>
      <c r="I4408" s="50"/>
      <c r="O4408" s="36" t="s">
        <v>48</v>
      </c>
      <c r="R4408" s="36" t="s">
        <v>48</v>
      </c>
    </row>
    <row r="4409">
      <c r="H4409" s="50"/>
      <c r="I4409" s="50"/>
      <c r="O4409" s="36" t="s">
        <v>48</v>
      </c>
      <c r="R4409" s="36" t="s">
        <v>48</v>
      </c>
    </row>
    <row r="4410">
      <c r="H4410" s="50"/>
      <c r="I4410" s="50"/>
      <c r="O4410" s="36" t="s">
        <v>48</v>
      </c>
      <c r="R4410" s="36" t="s">
        <v>48</v>
      </c>
    </row>
    <row r="4411">
      <c r="H4411" s="50"/>
      <c r="I4411" s="50"/>
      <c r="O4411" s="36" t="s">
        <v>48</v>
      </c>
      <c r="R4411" s="36" t="s">
        <v>48</v>
      </c>
    </row>
    <row r="4412">
      <c r="H4412" s="50"/>
      <c r="I4412" s="50"/>
      <c r="O4412" s="36" t="s">
        <v>48</v>
      </c>
      <c r="R4412" s="36" t="s">
        <v>48</v>
      </c>
    </row>
    <row r="4413">
      <c r="H4413" s="50"/>
      <c r="I4413" s="50"/>
      <c r="O4413" s="36" t="s">
        <v>48</v>
      </c>
      <c r="R4413" s="36" t="s">
        <v>48</v>
      </c>
    </row>
    <row r="4414">
      <c r="H4414" s="50"/>
      <c r="I4414" s="50"/>
      <c r="O4414" s="36" t="s">
        <v>48</v>
      </c>
      <c r="R4414" s="36" t="s">
        <v>48</v>
      </c>
    </row>
    <row r="4415">
      <c r="H4415" s="50"/>
      <c r="I4415" s="50"/>
      <c r="O4415" s="36" t="s">
        <v>48</v>
      </c>
      <c r="R4415" s="36" t="s">
        <v>48</v>
      </c>
    </row>
    <row r="4416">
      <c r="H4416" s="50"/>
      <c r="I4416" s="50"/>
      <c r="O4416" s="36" t="s">
        <v>48</v>
      </c>
      <c r="R4416" s="36" t="s">
        <v>48</v>
      </c>
    </row>
    <row r="4417">
      <c r="H4417" s="50"/>
      <c r="I4417" s="50"/>
      <c r="O4417" s="36" t="s">
        <v>48</v>
      </c>
      <c r="R4417" s="36" t="s">
        <v>48</v>
      </c>
    </row>
    <row r="4418">
      <c r="H4418" s="50"/>
      <c r="I4418" s="50"/>
      <c r="O4418" s="36" t="s">
        <v>48</v>
      </c>
      <c r="R4418" s="36" t="s">
        <v>48</v>
      </c>
    </row>
    <row r="4419">
      <c r="H4419" s="50"/>
      <c r="I4419" s="50"/>
      <c r="O4419" s="36" t="s">
        <v>48</v>
      </c>
      <c r="R4419" s="36" t="s">
        <v>48</v>
      </c>
    </row>
    <row r="4420">
      <c r="H4420" s="50"/>
      <c r="I4420" s="50"/>
      <c r="O4420" s="36" t="s">
        <v>48</v>
      </c>
      <c r="R4420" s="36" t="s">
        <v>48</v>
      </c>
    </row>
    <row r="4421">
      <c r="H4421" s="50"/>
      <c r="I4421" s="50"/>
      <c r="O4421" s="36" t="s">
        <v>48</v>
      </c>
      <c r="R4421" s="36" t="s">
        <v>48</v>
      </c>
    </row>
    <row r="4422">
      <c r="H4422" s="50"/>
      <c r="I4422" s="50"/>
      <c r="O4422" s="36" t="s">
        <v>48</v>
      </c>
      <c r="R4422" s="36" t="s">
        <v>48</v>
      </c>
    </row>
    <row r="4423">
      <c r="H4423" s="50"/>
      <c r="I4423" s="50"/>
      <c r="O4423" s="36" t="s">
        <v>48</v>
      </c>
      <c r="R4423" s="36" t="s">
        <v>48</v>
      </c>
    </row>
    <row r="4424">
      <c r="H4424" s="50"/>
      <c r="I4424" s="50"/>
      <c r="O4424" s="36" t="s">
        <v>48</v>
      </c>
      <c r="R4424" s="36" t="s">
        <v>48</v>
      </c>
    </row>
    <row r="4425">
      <c r="H4425" s="50"/>
      <c r="I4425" s="50"/>
      <c r="O4425" s="36" t="s">
        <v>48</v>
      </c>
      <c r="R4425" s="36" t="s">
        <v>48</v>
      </c>
    </row>
    <row r="4426">
      <c r="H4426" s="50"/>
      <c r="I4426" s="50"/>
      <c r="O4426" s="36" t="s">
        <v>48</v>
      </c>
      <c r="R4426" s="36" t="s">
        <v>48</v>
      </c>
    </row>
    <row r="4427">
      <c r="H4427" s="50"/>
      <c r="I4427" s="50"/>
      <c r="O4427" s="36" t="s">
        <v>48</v>
      </c>
      <c r="R4427" s="36" t="s">
        <v>48</v>
      </c>
    </row>
    <row r="4428">
      <c r="H4428" s="50"/>
      <c r="I4428" s="50"/>
      <c r="O4428" s="36" t="s">
        <v>48</v>
      </c>
      <c r="R4428" s="36" t="s">
        <v>48</v>
      </c>
    </row>
    <row r="4429">
      <c r="H4429" s="50"/>
      <c r="I4429" s="50"/>
      <c r="O4429" s="36" t="s">
        <v>48</v>
      </c>
      <c r="R4429" s="36" t="s">
        <v>48</v>
      </c>
    </row>
    <row r="4430">
      <c r="H4430" s="50"/>
      <c r="I4430" s="50"/>
      <c r="O4430" s="36" t="s">
        <v>48</v>
      </c>
      <c r="R4430" s="36" t="s">
        <v>48</v>
      </c>
    </row>
    <row r="4431">
      <c r="H4431" s="50"/>
      <c r="I4431" s="50"/>
      <c r="O4431" s="36" t="s">
        <v>48</v>
      </c>
      <c r="R4431" s="36" t="s">
        <v>48</v>
      </c>
    </row>
    <row r="4432">
      <c r="H4432" s="50"/>
      <c r="I4432" s="50"/>
      <c r="O4432" s="36" t="s">
        <v>48</v>
      </c>
      <c r="R4432" s="36" t="s">
        <v>48</v>
      </c>
    </row>
    <row r="4433">
      <c r="H4433" s="50"/>
      <c r="I4433" s="50"/>
      <c r="O4433" s="36" t="s">
        <v>48</v>
      </c>
      <c r="R4433" s="36" t="s">
        <v>48</v>
      </c>
    </row>
    <row r="4434">
      <c r="H4434" s="50"/>
      <c r="I4434" s="50"/>
      <c r="O4434" s="36" t="s">
        <v>48</v>
      </c>
      <c r="R4434" s="36" t="s">
        <v>48</v>
      </c>
    </row>
    <row r="4435">
      <c r="H4435" s="50"/>
      <c r="I4435" s="50"/>
      <c r="O4435" s="36" t="s">
        <v>48</v>
      </c>
      <c r="R4435" s="36" t="s">
        <v>48</v>
      </c>
    </row>
    <row r="4436">
      <c r="H4436" s="50"/>
      <c r="I4436" s="50"/>
      <c r="O4436" s="36" t="s">
        <v>48</v>
      </c>
      <c r="R4436" s="36" t="s">
        <v>48</v>
      </c>
    </row>
    <row r="4437">
      <c r="H4437" s="50"/>
      <c r="I4437" s="50"/>
      <c r="O4437" s="36" t="s">
        <v>48</v>
      </c>
      <c r="R4437" s="36" t="s">
        <v>48</v>
      </c>
    </row>
    <row r="4438">
      <c r="H4438" s="50"/>
      <c r="I4438" s="50"/>
      <c r="O4438" s="36" t="s">
        <v>48</v>
      </c>
      <c r="R4438" s="36" t="s">
        <v>48</v>
      </c>
    </row>
    <row r="4439">
      <c r="H4439" s="50"/>
      <c r="I4439" s="50"/>
      <c r="O4439" s="36" t="s">
        <v>48</v>
      </c>
      <c r="R4439" s="36" t="s">
        <v>48</v>
      </c>
    </row>
    <row r="4440">
      <c r="H4440" s="50"/>
      <c r="I4440" s="50"/>
      <c r="O4440" s="36" t="s">
        <v>48</v>
      </c>
      <c r="R4440" s="36" t="s">
        <v>48</v>
      </c>
    </row>
    <row r="4441">
      <c r="H4441" s="50"/>
      <c r="I4441" s="50"/>
      <c r="O4441" s="36" t="s">
        <v>48</v>
      </c>
      <c r="R4441" s="36" t="s">
        <v>48</v>
      </c>
    </row>
    <row r="4442">
      <c r="H4442" s="50"/>
      <c r="I4442" s="50"/>
      <c r="O4442" s="36" t="s">
        <v>48</v>
      </c>
      <c r="R4442" s="36" t="s">
        <v>48</v>
      </c>
    </row>
    <row r="4443">
      <c r="H4443" s="50"/>
      <c r="I4443" s="50"/>
      <c r="O4443" s="36" t="s">
        <v>48</v>
      </c>
      <c r="R4443" s="36" t="s">
        <v>48</v>
      </c>
    </row>
    <row r="4444">
      <c r="H4444" s="50"/>
      <c r="I4444" s="50"/>
      <c r="O4444" s="36" t="s">
        <v>48</v>
      </c>
      <c r="R4444" s="36" t="s">
        <v>48</v>
      </c>
    </row>
    <row r="4445">
      <c r="H4445" s="50"/>
      <c r="I4445" s="50"/>
      <c r="O4445" s="36" t="s">
        <v>48</v>
      </c>
      <c r="R4445" s="36" t="s">
        <v>48</v>
      </c>
    </row>
    <row r="4446">
      <c r="H4446" s="50"/>
      <c r="I4446" s="50"/>
      <c r="O4446" s="36" t="s">
        <v>48</v>
      </c>
      <c r="R4446" s="36" t="s">
        <v>48</v>
      </c>
    </row>
    <row r="4447">
      <c r="H4447" s="50"/>
      <c r="I4447" s="50"/>
      <c r="O4447" s="36" t="s">
        <v>48</v>
      </c>
      <c r="R4447" s="36" t="s">
        <v>48</v>
      </c>
    </row>
    <row r="4448">
      <c r="H4448" s="50"/>
      <c r="I4448" s="50"/>
      <c r="O4448" s="36" t="s">
        <v>48</v>
      </c>
      <c r="R4448" s="36" t="s">
        <v>48</v>
      </c>
    </row>
    <row r="4449">
      <c r="H4449" s="50"/>
      <c r="I4449" s="50"/>
      <c r="O4449" s="36" t="s">
        <v>48</v>
      </c>
      <c r="R4449" s="36" t="s">
        <v>48</v>
      </c>
    </row>
    <row r="4450">
      <c r="H4450" s="50"/>
      <c r="I4450" s="50"/>
      <c r="O4450" s="36" t="s">
        <v>48</v>
      </c>
      <c r="R4450" s="36" t="s">
        <v>48</v>
      </c>
    </row>
    <row r="4451">
      <c r="H4451" s="50"/>
      <c r="I4451" s="50"/>
      <c r="O4451" s="36" t="s">
        <v>48</v>
      </c>
      <c r="R4451" s="36" t="s">
        <v>48</v>
      </c>
    </row>
    <row r="4452">
      <c r="H4452" s="50"/>
      <c r="I4452" s="50"/>
      <c r="O4452" s="36" t="s">
        <v>48</v>
      </c>
      <c r="R4452" s="36" t="s">
        <v>48</v>
      </c>
    </row>
    <row r="4453">
      <c r="H4453" s="50"/>
      <c r="I4453" s="50"/>
      <c r="O4453" s="36" t="s">
        <v>48</v>
      </c>
      <c r="R4453" s="36" t="s">
        <v>48</v>
      </c>
    </row>
    <row r="4454">
      <c r="H4454" s="50"/>
      <c r="I4454" s="50"/>
      <c r="O4454" s="36" t="s">
        <v>48</v>
      </c>
      <c r="R4454" s="36" t="s">
        <v>48</v>
      </c>
    </row>
    <row r="4455">
      <c r="H4455" s="50"/>
      <c r="I4455" s="50"/>
      <c r="O4455" s="36" t="s">
        <v>48</v>
      </c>
      <c r="R4455" s="36" t="s">
        <v>48</v>
      </c>
    </row>
    <row r="4456">
      <c r="H4456" s="50"/>
      <c r="I4456" s="50"/>
      <c r="O4456" s="36" t="s">
        <v>48</v>
      </c>
      <c r="R4456" s="36" t="s">
        <v>48</v>
      </c>
    </row>
    <row r="4457">
      <c r="H4457" s="50"/>
      <c r="I4457" s="50"/>
      <c r="O4457" s="36" t="s">
        <v>48</v>
      </c>
      <c r="R4457" s="36" t="s">
        <v>48</v>
      </c>
    </row>
    <row r="4458">
      <c r="H4458" s="50"/>
      <c r="I4458" s="50"/>
      <c r="O4458" s="36" t="s">
        <v>48</v>
      </c>
      <c r="R4458" s="36" t="s">
        <v>48</v>
      </c>
    </row>
    <row r="4459">
      <c r="H4459" s="50"/>
      <c r="I4459" s="50"/>
      <c r="O4459" s="36" t="s">
        <v>48</v>
      </c>
      <c r="R4459" s="36" t="s">
        <v>48</v>
      </c>
    </row>
    <row r="4460">
      <c r="H4460" s="50"/>
      <c r="I4460" s="50"/>
      <c r="O4460" s="36" t="s">
        <v>48</v>
      </c>
      <c r="R4460" s="36" t="s">
        <v>48</v>
      </c>
    </row>
    <row r="4461">
      <c r="H4461" s="50"/>
      <c r="I4461" s="50"/>
      <c r="O4461" s="36" t="s">
        <v>48</v>
      </c>
      <c r="R4461" s="36" t="s">
        <v>48</v>
      </c>
    </row>
    <row r="4462">
      <c r="H4462" s="50"/>
      <c r="I4462" s="50"/>
      <c r="O4462" s="36" t="s">
        <v>48</v>
      </c>
      <c r="R4462" s="36" t="s">
        <v>48</v>
      </c>
    </row>
    <row r="4463">
      <c r="H4463" s="50"/>
      <c r="I4463" s="50"/>
      <c r="O4463" s="36" t="s">
        <v>48</v>
      </c>
      <c r="R4463" s="36" t="s">
        <v>48</v>
      </c>
    </row>
    <row r="4464">
      <c r="H4464" s="50"/>
      <c r="I4464" s="50"/>
      <c r="O4464" s="36" t="s">
        <v>48</v>
      </c>
      <c r="R4464" s="36" t="s">
        <v>48</v>
      </c>
    </row>
    <row r="4465">
      <c r="H4465" s="50"/>
      <c r="I4465" s="50"/>
      <c r="O4465" s="36" t="s">
        <v>48</v>
      </c>
      <c r="R4465" s="36" t="s">
        <v>48</v>
      </c>
    </row>
    <row r="4466">
      <c r="H4466" s="50"/>
      <c r="I4466" s="50"/>
      <c r="O4466" s="36" t="s">
        <v>48</v>
      </c>
      <c r="R4466" s="36" t="s">
        <v>48</v>
      </c>
    </row>
    <row r="4467">
      <c r="H4467" s="50"/>
      <c r="I4467" s="50"/>
      <c r="O4467" s="36" t="s">
        <v>48</v>
      </c>
      <c r="R4467" s="36" t="s">
        <v>48</v>
      </c>
    </row>
    <row r="4468">
      <c r="H4468" s="50"/>
      <c r="I4468" s="50"/>
      <c r="O4468" s="36" t="s">
        <v>48</v>
      </c>
      <c r="R4468" s="36" t="s">
        <v>48</v>
      </c>
    </row>
    <row r="4469">
      <c r="H4469" s="50"/>
      <c r="I4469" s="50"/>
      <c r="O4469" s="36" t="s">
        <v>48</v>
      </c>
      <c r="R4469" s="36" t="s">
        <v>48</v>
      </c>
    </row>
    <row r="4470">
      <c r="H4470" s="50"/>
      <c r="I4470" s="50"/>
      <c r="O4470" s="36" t="s">
        <v>48</v>
      </c>
      <c r="R4470" s="36" t="s">
        <v>48</v>
      </c>
    </row>
    <row r="4471">
      <c r="H4471" s="50"/>
      <c r="I4471" s="50"/>
      <c r="O4471" s="36" t="s">
        <v>48</v>
      </c>
      <c r="R4471" s="36" t="s">
        <v>48</v>
      </c>
    </row>
    <row r="4472">
      <c r="H4472" s="50"/>
      <c r="I4472" s="50"/>
      <c r="O4472" s="36" t="s">
        <v>48</v>
      </c>
      <c r="R4472" s="36" t="s">
        <v>48</v>
      </c>
    </row>
    <row r="4473">
      <c r="H4473" s="50"/>
      <c r="I4473" s="50"/>
      <c r="O4473" s="36" t="s">
        <v>48</v>
      </c>
      <c r="R4473" s="36" t="s">
        <v>48</v>
      </c>
    </row>
    <row r="4474">
      <c r="H4474" s="50"/>
      <c r="I4474" s="50"/>
      <c r="O4474" s="36" t="s">
        <v>48</v>
      </c>
      <c r="R4474" s="36" t="s">
        <v>48</v>
      </c>
    </row>
    <row r="4475">
      <c r="H4475" s="50"/>
      <c r="I4475" s="50"/>
      <c r="O4475" s="36" t="s">
        <v>48</v>
      </c>
      <c r="R4475" s="36" t="s">
        <v>48</v>
      </c>
    </row>
    <row r="4476">
      <c r="H4476" s="50"/>
      <c r="I4476" s="50"/>
      <c r="O4476" s="36" t="s">
        <v>48</v>
      </c>
      <c r="R4476" s="36" t="s">
        <v>48</v>
      </c>
    </row>
    <row r="4477">
      <c r="H4477" s="50"/>
      <c r="I4477" s="50"/>
      <c r="O4477" s="36" t="s">
        <v>48</v>
      </c>
      <c r="R4477" s="36" t="s">
        <v>48</v>
      </c>
    </row>
    <row r="4478">
      <c r="H4478" s="50"/>
      <c r="I4478" s="50"/>
      <c r="O4478" s="36" t="s">
        <v>48</v>
      </c>
      <c r="R4478" s="36" t="s">
        <v>48</v>
      </c>
    </row>
    <row r="4479">
      <c r="H4479" s="50"/>
      <c r="I4479" s="50"/>
      <c r="O4479" s="36" t="s">
        <v>48</v>
      </c>
      <c r="R4479" s="36" t="s">
        <v>48</v>
      </c>
    </row>
    <row r="4480">
      <c r="H4480" s="50"/>
      <c r="I4480" s="50"/>
      <c r="O4480" s="36" t="s">
        <v>48</v>
      </c>
      <c r="R4480" s="36" t="s">
        <v>48</v>
      </c>
    </row>
    <row r="4481">
      <c r="H4481" s="50"/>
      <c r="I4481" s="50"/>
      <c r="O4481" s="36" t="s">
        <v>48</v>
      </c>
      <c r="R4481" s="36" t="s">
        <v>48</v>
      </c>
    </row>
    <row r="4482">
      <c r="H4482" s="50"/>
      <c r="I4482" s="50"/>
      <c r="O4482" s="36" t="s">
        <v>48</v>
      </c>
      <c r="R4482" s="36" t="s">
        <v>48</v>
      </c>
    </row>
    <row r="4483">
      <c r="H4483" s="50"/>
      <c r="I4483" s="50"/>
      <c r="O4483" s="36" t="s">
        <v>48</v>
      </c>
      <c r="R4483" s="36" t="s">
        <v>48</v>
      </c>
    </row>
    <row r="4484">
      <c r="H4484" s="50"/>
      <c r="I4484" s="50"/>
      <c r="O4484" s="36" t="s">
        <v>48</v>
      </c>
      <c r="R4484" s="36" t="s">
        <v>48</v>
      </c>
    </row>
    <row r="4485">
      <c r="H4485" s="50"/>
      <c r="I4485" s="50"/>
      <c r="O4485" s="36" t="s">
        <v>48</v>
      </c>
      <c r="R4485" s="36" t="s">
        <v>48</v>
      </c>
    </row>
    <row r="4486">
      <c r="H4486" s="50"/>
      <c r="I4486" s="50"/>
      <c r="O4486" s="36" t="s">
        <v>48</v>
      </c>
      <c r="R4486" s="36" t="s">
        <v>48</v>
      </c>
    </row>
    <row r="4487">
      <c r="H4487" s="50"/>
      <c r="I4487" s="50"/>
      <c r="O4487" s="36" t="s">
        <v>48</v>
      </c>
      <c r="R4487" s="36" t="s">
        <v>48</v>
      </c>
    </row>
    <row r="4488">
      <c r="H4488" s="50"/>
      <c r="I4488" s="50"/>
      <c r="O4488" s="36" t="s">
        <v>48</v>
      </c>
      <c r="R4488" s="36" t="s">
        <v>48</v>
      </c>
    </row>
    <row r="4489">
      <c r="H4489" s="50"/>
      <c r="I4489" s="50"/>
      <c r="O4489" s="36" t="s">
        <v>48</v>
      </c>
      <c r="R4489" s="36" t="s">
        <v>48</v>
      </c>
    </row>
    <row r="4490">
      <c r="H4490" s="50"/>
      <c r="I4490" s="50"/>
      <c r="O4490" s="36" t="s">
        <v>48</v>
      </c>
      <c r="R4490" s="36" t="s">
        <v>48</v>
      </c>
    </row>
    <row r="4491">
      <c r="H4491" s="50"/>
      <c r="I4491" s="50"/>
      <c r="O4491" s="36" t="s">
        <v>48</v>
      </c>
      <c r="R4491" s="36" t="s">
        <v>48</v>
      </c>
    </row>
    <row r="4492">
      <c r="H4492" s="50"/>
      <c r="I4492" s="50"/>
      <c r="O4492" s="36" t="s">
        <v>48</v>
      </c>
      <c r="R4492" s="36" t="s">
        <v>48</v>
      </c>
    </row>
    <row r="4493">
      <c r="H4493" s="50"/>
      <c r="I4493" s="50"/>
      <c r="O4493" s="36" t="s">
        <v>48</v>
      </c>
      <c r="R4493" s="36" t="s">
        <v>48</v>
      </c>
    </row>
    <row r="4494">
      <c r="H4494" s="50"/>
      <c r="I4494" s="50"/>
      <c r="O4494" s="36" t="s">
        <v>48</v>
      </c>
      <c r="R4494" s="36" t="s">
        <v>48</v>
      </c>
    </row>
    <row r="4495">
      <c r="H4495" s="50"/>
      <c r="I4495" s="50"/>
      <c r="O4495" s="36" t="s">
        <v>48</v>
      </c>
      <c r="R4495" s="36" t="s">
        <v>48</v>
      </c>
    </row>
    <row r="4496">
      <c r="H4496" s="50"/>
      <c r="I4496" s="50"/>
      <c r="O4496" s="36" t="s">
        <v>48</v>
      </c>
      <c r="R4496" s="36" t="s">
        <v>48</v>
      </c>
    </row>
    <row r="4497">
      <c r="H4497" s="50"/>
      <c r="I4497" s="50"/>
      <c r="O4497" s="36" t="s">
        <v>48</v>
      </c>
      <c r="R4497" s="36" t="s">
        <v>48</v>
      </c>
    </row>
    <row r="4498">
      <c r="H4498" s="50"/>
      <c r="I4498" s="50"/>
      <c r="O4498" s="36" t="s">
        <v>48</v>
      </c>
      <c r="R4498" s="36" t="s">
        <v>48</v>
      </c>
    </row>
    <row r="4499">
      <c r="H4499" s="50"/>
      <c r="I4499" s="50"/>
      <c r="O4499" s="36" t="s">
        <v>48</v>
      </c>
      <c r="R4499" s="36" t="s">
        <v>48</v>
      </c>
    </row>
    <row r="4500">
      <c r="H4500" s="50"/>
      <c r="I4500" s="50"/>
      <c r="O4500" s="36" t="s">
        <v>48</v>
      </c>
      <c r="R4500" s="36" t="s">
        <v>48</v>
      </c>
    </row>
    <row r="4501">
      <c r="H4501" s="50"/>
      <c r="I4501" s="50"/>
      <c r="O4501" s="36" t="s">
        <v>48</v>
      </c>
      <c r="R4501" s="36" t="s">
        <v>48</v>
      </c>
    </row>
    <row r="4502">
      <c r="H4502" s="50"/>
      <c r="I4502" s="50"/>
      <c r="O4502" s="36" t="s">
        <v>48</v>
      </c>
      <c r="R4502" s="36" t="s">
        <v>48</v>
      </c>
    </row>
    <row r="4503">
      <c r="H4503" s="50"/>
      <c r="I4503" s="50"/>
      <c r="O4503" s="36" t="s">
        <v>48</v>
      </c>
      <c r="R4503" s="36" t="s">
        <v>48</v>
      </c>
    </row>
    <row r="4504">
      <c r="H4504" s="50"/>
      <c r="I4504" s="50"/>
      <c r="O4504" s="36" t="s">
        <v>48</v>
      </c>
      <c r="R4504" s="36" t="s">
        <v>48</v>
      </c>
    </row>
    <row r="4505">
      <c r="H4505" s="50"/>
      <c r="I4505" s="50"/>
      <c r="O4505" s="36" t="s">
        <v>48</v>
      </c>
      <c r="R4505" s="36" t="s">
        <v>48</v>
      </c>
    </row>
    <row r="4506">
      <c r="H4506" s="50"/>
      <c r="I4506" s="50"/>
      <c r="O4506" s="36" t="s">
        <v>48</v>
      </c>
      <c r="R4506" s="36" t="s">
        <v>48</v>
      </c>
    </row>
    <row r="4507">
      <c r="H4507" s="50"/>
      <c r="I4507" s="50"/>
      <c r="O4507" s="36" t="s">
        <v>48</v>
      </c>
      <c r="R4507" s="36" t="s">
        <v>48</v>
      </c>
    </row>
    <row r="4508">
      <c r="H4508" s="50"/>
      <c r="I4508" s="50"/>
      <c r="O4508" s="36" t="s">
        <v>48</v>
      </c>
      <c r="R4508" s="36" t="s">
        <v>48</v>
      </c>
    </row>
    <row r="4509">
      <c r="H4509" s="50"/>
      <c r="I4509" s="50"/>
      <c r="O4509" s="36" t="s">
        <v>48</v>
      </c>
      <c r="R4509" s="36" t="s">
        <v>48</v>
      </c>
    </row>
    <row r="4510">
      <c r="H4510" s="50"/>
      <c r="I4510" s="50"/>
      <c r="O4510" s="36" t="s">
        <v>48</v>
      </c>
      <c r="R4510" s="36" t="s">
        <v>48</v>
      </c>
    </row>
    <row r="4511">
      <c r="H4511" s="50"/>
      <c r="I4511" s="50"/>
      <c r="O4511" s="36" t="s">
        <v>48</v>
      </c>
      <c r="R4511" s="36" t="s">
        <v>48</v>
      </c>
    </row>
    <row r="4512">
      <c r="H4512" s="50"/>
      <c r="I4512" s="50"/>
      <c r="O4512" s="36" t="s">
        <v>48</v>
      </c>
      <c r="R4512" s="36" t="s">
        <v>48</v>
      </c>
    </row>
    <row r="4513">
      <c r="H4513" s="50"/>
      <c r="I4513" s="50"/>
      <c r="O4513" s="36" t="s">
        <v>48</v>
      </c>
      <c r="R4513" s="36" t="s">
        <v>48</v>
      </c>
    </row>
    <row r="4514">
      <c r="H4514" s="50"/>
      <c r="I4514" s="50"/>
      <c r="O4514" s="36" t="s">
        <v>48</v>
      </c>
      <c r="R4514" s="36" t="s">
        <v>48</v>
      </c>
    </row>
    <row r="4515">
      <c r="H4515" s="50"/>
      <c r="I4515" s="50"/>
      <c r="O4515" s="36" t="s">
        <v>48</v>
      </c>
      <c r="R4515" s="36" t="s">
        <v>48</v>
      </c>
    </row>
    <row r="4516">
      <c r="H4516" s="50"/>
      <c r="I4516" s="50"/>
      <c r="O4516" s="36" t="s">
        <v>48</v>
      </c>
      <c r="R4516" s="36" t="s">
        <v>48</v>
      </c>
    </row>
    <row r="4517">
      <c r="H4517" s="50"/>
      <c r="I4517" s="50"/>
      <c r="O4517" s="36" t="s">
        <v>48</v>
      </c>
      <c r="R4517" s="36" t="s">
        <v>48</v>
      </c>
    </row>
    <row r="4518">
      <c r="H4518" s="50"/>
      <c r="I4518" s="50"/>
      <c r="O4518" s="36" t="s">
        <v>48</v>
      </c>
      <c r="R4518" s="36" t="s">
        <v>48</v>
      </c>
    </row>
    <row r="4519">
      <c r="H4519" s="50"/>
      <c r="I4519" s="50"/>
      <c r="O4519" s="36" t="s">
        <v>48</v>
      </c>
      <c r="R4519" s="36" t="s">
        <v>48</v>
      </c>
    </row>
    <row r="4520">
      <c r="H4520" s="50"/>
      <c r="I4520" s="50"/>
      <c r="O4520" s="36" t="s">
        <v>48</v>
      </c>
      <c r="R4520" s="36" t="s">
        <v>48</v>
      </c>
    </row>
    <row r="4521">
      <c r="H4521" s="50"/>
      <c r="I4521" s="50"/>
      <c r="O4521" s="36" t="s">
        <v>48</v>
      </c>
      <c r="R4521" s="36" t="s">
        <v>48</v>
      </c>
    </row>
    <row r="4522">
      <c r="H4522" s="50"/>
      <c r="I4522" s="50"/>
      <c r="O4522" s="36" t="s">
        <v>48</v>
      </c>
      <c r="R4522" s="36" t="s">
        <v>48</v>
      </c>
    </row>
    <row r="4523">
      <c r="H4523" s="50"/>
      <c r="I4523" s="50"/>
      <c r="O4523" s="36" t="s">
        <v>48</v>
      </c>
      <c r="R4523" s="36" t="s">
        <v>48</v>
      </c>
    </row>
    <row r="4524">
      <c r="H4524" s="50"/>
      <c r="I4524" s="50"/>
      <c r="O4524" s="36" t="s">
        <v>48</v>
      </c>
      <c r="R4524" s="36" t="s">
        <v>48</v>
      </c>
    </row>
    <row r="4525">
      <c r="H4525" s="50"/>
      <c r="I4525" s="50"/>
      <c r="O4525" s="36" t="s">
        <v>48</v>
      </c>
      <c r="R4525" s="36" t="s">
        <v>48</v>
      </c>
    </row>
    <row r="4526">
      <c r="H4526" s="50"/>
      <c r="I4526" s="50"/>
      <c r="O4526" s="36" t="s">
        <v>48</v>
      </c>
      <c r="R4526" s="36" t="s">
        <v>48</v>
      </c>
    </row>
    <row r="4527">
      <c r="H4527" s="50"/>
      <c r="I4527" s="50"/>
      <c r="O4527" s="36" t="s">
        <v>48</v>
      </c>
      <c r="R4527" s="36" t="s">
        <v>48</v>
      </c>
    </row>
    <row r="4528">
      <c r="H4528" s="50"/>
      <c r="I4528" s="50"/>
      <c r="O4528" s="36" t="s">
        <v>48</v>
      </c>
      <c r="R4528" s="36" t="s">
        <v>48</v>
      </c>
    </row>
    <row r="4529">
      <c r="H4529" s="50"/>
      <c r="I4529" s="50"/>
      <c r="O4529" s="36" t="s">
        <v>48</v>
      </c>
      <c r="R4529" s="36" t="s">
        <v>48</v>
      </c>
    </row>
    <row r="4530">
      <c r="H4530" s="50"/>
      <c r="I4530" s="50"/>
      <c r="O4530" s="36" t="s">
        <v>48</v>
      </c>
      <c r="R4530" s="36" t="s">
        <v>48</v>
      </c>
    </row>
    <row r="4531">
      <c r="H4531" s="50"/>
      <c r="I4531" s="50"/>
      <c r="O4531" s="36" t="s">
        <v>48</v>
      </c>
      <c r="R4531" s="36" t="s">
        <v>48</v>
      </c>
    </row>
    <row r="4532">
      <c r="H4532" s="50"/>
      <c r="I4532" s="50"/>
      <c r="O4532" s="36" t="s">
        <v>48</v>
      </c>
      <c r="R4532" s="36" t="s">
        <v>48</v>
      </c>
    </row>
    <row r="4533">
      <c r="H4533" s="50"/>
      <c r="I4533" s="50"/>
      <c r="O4533" s="36" t="s">
        <v>48</v>
      </c>
      <c r="R4533" s="36" t="s">
        <v>48</v>
      </c>
    </row>
    <row r="4534">
      <c r="H4534" s="50"/>
      <c r="I4534" s="50"/>
      <c r="O4534" s="36" t="s">
        <v>48</v>
      </c>
      <c r="R4534" s="36" t="s">
        <v>48</v>
      </c>
    </row>
    <row r="4535">
      <c r="H4535" s="50"/>
      <c r="I4535" s="50"/>
      <c r="O4535" s="36" t="s">
        <v>48</v>
      </c>
      <c r="R4535" s="36" t="s">
        <v>48</v>
      </c>
    </row>
    <row r="4536">
      <c r="H4536" s="50"/>
      <c r="I4536" s="50"/>
      <c r="O4536" s="36" t="s">
        <v>48</v>
      </c>
      <c r="R4536" s="36" t="s">
        <v>48</v>
      </c>
    </row>
    <row r="4537">
      <c r="H4537" s="50"/>
      <c r="I4537" s="50"/>
      <c r="O4537" s="36" t="s">
        <v>48</v>
      </c>
      <c r="R4537" s="36" t="s">
        <v>48</v>
      </c>
    </row>
    <row r="4538">
      <c r="H4538" s="50"/>
      <c r="I4538" s="50"/>
      <c r="O4538" s="36" t="s">
        <v>48</v>
      </c>
      <c r="R4538" s="36" t="s">
        <v>48</v>
      </c>
    </row>
    <row r="4539">
      <c r="H4539" s="50"/>
      <c r="I4539" s="50"/>
      <c r="O4539" s="36" t="s">
        <v>48</v>
      </c>
      <c r="R4539" s="36" t="s">
        <v>48</v>
      </c>
    </row>
    <row r="4540">
      <c r="H4540" s="50"/>
      <c r="I4540" s="50"/>
      <c r="O4540" s="36" t="s">
        <v>48</v>
      </c>
      <c r="R4540" s="36" t="s">
        <v>48</v>
      </c>
    </row>
    <row r="4541">
      <c r="H4541" s="50"/>
      <c r="I4541" s="50"/>
      <c r="O4541" s="36" t="s">
        <v>48</v>
      </c>
      <c r="R4541" s="36" t="s">
        <v>48</v>
      </c>
    </row>
    <row r="4542">
      <c r="H4542" s="50"/>
      <c r="I4542" s="50"/>
      <c r="O4542" s="36" t="s">
        <v>48</v>
      </c>
      <c r="R4542" s="36" t="s">
        <v>48</v>
      </c>
    </row>
    <row r="4543">
      <c r="H4543" s="50"/>
      <c r="I4543" s="50"/>
      <c r="O4543" s="36" t="s">
        <v>48</v>
      </c>
      <c r="R4543" s="36" t="s">
        <v>48</v>
      </c>
    </row>
    <row r="4544">
      <c r="H4544" s="50"/>
      <c r="I4544" s="50"/>
      <c r="O4544" s="36" t="s">
        <v>48</v>
      </c>
      <c r="R4544" s="36" t="s">
        <v>48</v>
      </c>
    </row>
    <row r="4545">
      <c r="H4545" s="50"/>
      <c r="I4545" s="50"/>
      <c r="O4545" s="36" t="s">
        <v>48</v>
      </c>
      <c r="R4545" s="36" t="s">
        <v>48</v>
      </c>
    </row>
    <row r="4546">
      <c r="H4546" s="50"/>
      <c r="I4546" s="50"/>
      <c r="O4546" s="36" t="s">
        <v>48</v>
      </c>
      <c r="R4546" s="36" t="s">
        <v>48</v>
      </c>
    </row>
    <row r="4547">
      <c r="H4547" s="50"/>
      <c r="I4547" s="50"/>
      <c r="O4547" s="36" t="s">
        <v>48</v>
      </c>
      <c r="R4547" s="36" t="s">
        <v>48</v>
      </c>
    </row>
    <row r="4548">
      <c r="H4548" s="50"/>
      <c r="I4548" s="50"/>
      <c r="O4548" s="36" t="s">
        <v>48</v>
      </c>
      <c r="R4548" s="36" t="s">
        <v>48</v>
      </c>
    </row>
    <row r="4549">
      <c r="H4549" s="50"/>
      <c r="I4549" s="50"/>
      <c r="O4549" s="36" t="s">
        <v>48</v>
      </c>
      <c r="R4549" s="36" t="s">
        <v>48</v>
      </c>
    </row>
    <row r="4550">
      <c r="H4550" s="50"/>
      <c r="I4550" s="50"/>
      <c r="O4550" s="36" t="s">
        <v>48</v>
      </c>
      <c r="R4550" s="36" t="s">
        <v>48</v>
      </c>
    </row>
    <row r="4551">
      <c r="H4551" s="50"/>
      <c r="I4551" s="50"/>
      <c r="O4551" s="36" t="s">
        <v>48</v>
      </c>
      <c r="R4551" s="36" t="s">
        <v>48</v>
      </c>
    </row>
    <row r="4552">
      <c r="H4552" s="50"/>
      <c r="I4552" s="50"/>
      <c r="O4552" s="36" t="s">
        <v>48</v>
      </c>
      <c r="R4552" s="36" t="s">
        <v>48</v>
      </c>
    </row>
    <row r="4553">
      <c r="H4553" s="50"/>
      <c r="I4553" s="50"/>
      <c r="O4553" s="36" t="s">
        <v>48</v>
      </c>
      <c r="R4553" s="36" t="s">
        <v>48</v>
      </c>
    </row>
    <row r="4554">
      <c r="H4554" s="50"/>
      <c r="I4554" s="50"/>
      <c r="O4554" s="36" t="s">
        <v>48</v>
      </c>
      <c r="R4554" s="36" t="s">
        <v>48</v>
      </c>
    </row>
    <row r="4555">
      <c r="H4555" s="50"/>
      <c r="I4555" s="50"/>
      <c r="O4555" s="36" t="s">
        <v>48</v>
      </c>
      <c r="R4555" s="36" t="s">
        <v>48</v>
      </c>
    </row>
    <row r="4556">
      <c r="H4556" s="50"/>
      <c r="I4556" s="50"/>
      <c r="O4556" s="36" t="s">
        <v>48</v>
      </c>
      <c r="R4556" s="36" t="s">
        <v>48</v>
      </c>
    </row>
    <row r="4557">
      <c r="H4557" s="50"/>
      <c r="I4557" s="50"/>
      <c r="O4557" s="36" t="s">
        <v>48</v>
      </c>
      <c r="R4557" s="36" t="s">
        <v>48</v>
      </c>
    </row>
    <row r="4558">
      <c r="H4558" s="50"/>
      <c r="I4558" s="50"/>
      <c r="O4558" s="36" t="s">
        <v>48</v>
      </c>
      <c r="R4558" s="36" t="s">
        <v>48</v>
      </c>
    </row>
    <row r="4559">
      <c r="H4559" s="50"/>
      <c r="I4559" s="50"/>
      <c r="O4559" s="36" t="s">
        <v>48</v>
      </c>
      <c r="R4559" s="36" t="s">
        <v>48</v>
      </c>
    </row>
    <row r="4560">
      <c r="H4560" s="50"/>
      <c r="I4560" s="50"/>
      <c r="O4560" s="36" t="s">
        <v>48</v>
      </c>
      <c r="R4560" s="36" t="s">
        <v>48</v>
      </c>
    </row>
    <row r="4561">
      <c r="H4561" s="50"/>
      <c r="I4561" s="50"/>
      <c r="O4561" s="36" t="s">
        <v>48</v>
      </c>
      <c r="R4561" s="36" t="s">
        <v>48</v>
      </c>
    </row>
    <row r="4562">
      <c r="H4562" s="50"/>
      <c r="I4562" s="50"/>
      <c r="O4562" s="36" t="s">
        <v>48</v>
      </c>
      <c r="R4562" s="36" t="s">
        <v>48</v>
      </c>
    </row>
    <row r="4563">
      <c r="H4563" s="50"/>
      <c r="I4563" s="50"/>
      <c r="O4563" s="36" t="s">
        <v>48</v>
      </c>
      <c r="R4563" s="36" t="s">
        <v>48</v>
      </c>
    </row>
    <row r="4564">
      <c r="H4564" s="50"/>
      <c r="I4564" s="50"/>
      <c r="O4564" s="36" t="s">
        <v>48</v>
      </c>
      <c r="R4564" s="36" t="s">
        <v>48</v>
      </c>
    </row>
    <row r="4565">
      <c r="H4565" s="50"/>
      <c r="I4565" s="50"/>
      <c r="O4565" s="36" t="s">
        <v>48</v>
      </c>
      <c r="R4565" s="36" t="s">
        <v>48</v>
      </c>
    </row>
    <row r="4566">
      <c r="H4566" s="50"/>
      <c r="I4566" s="50"/>
      <c r="O4566" s="36" t="s">
        <v>48</v>
      </c>
      <c r="R4566" s="36" t="s">
        <v>48</v>
      </c>
    </row>
    <row r="4567">
      <c r="H4567" s="50"/>
      <c r="I4567" s="50"/>
      <c r="O4567" s="36" t="s">
        <v>48</v>
      </c>
      <c r="R4567" s="36" t="s">
        <v>48</v>
      </c>
    </row>
    <row r="4568">
      <c r="H4568" s="50"/>
      <c r="I4568" s="50"/>
      <c r="O4568" s="36" t="s">
        <v>48</v>
      </c>
      <c r="R4568" s="36" t="s">
        <v>48</v>
      </c>
    </row>
    <row r="4569">
      <c r="H4569" s="50"/>
      <c r="I4569" s="50"/>
      <c r="O4569" s="36" t="s">
        <v>48</v>
      </c>
      <c r="R4569" s="36" t="s">
        <v>48</v>
      </c>
    </row>
    <row r="4570">
      <c r="H4570" s="50"/>
      <c r="I4570" s="50"/>
      <c r="O4570" s="36" t="s">
        <v>48</v>
      </c>
      <c r="R4570" s="36" t="s">
        <v>48</v>
      </c>
    </row>
    <row r="4571">
      <c r="H4571" s="50"/>
      <c r="I4571" s="50"/>
      <c r="O4571" s="36" t="s">
        <v>48</v>
      </c>
      <c r="R4571" s="36" t="s">
        <v>48</v>
      </c>
    </row>
    <row r="4572">
      <c r="H4572" s="50"/>
      <c r="I4572" s="50"/>
      <c r="O4572" s="36" t="s">
        <v>48</v>
      </c>
      <c r="R4572" s="36" t="s">
        <v>48</v>
      </c>
    </row>
    <row r="4573">
      <c r="H4573" s="50"/>
      <c r="I4573" s="50"/>
      <c r="O4573" s="36" t="s">
        <v>48</v>
      </c>
      <c r="R4573" s="36" t="s">
        <v>48</v>
      </c>
    </row>
    <row r="4574">
      <c r="H4574" s="50"/>
      <c r="I4574" s="50"/>
      <c r="O4574" s="36" t="s">
        <v>48</v>
      </c>
      <c r="R4574" s="36" t="s">
        <v>48</v>
      </c>
    </row>
    <row r="4575">
      <c r="H4575" s="50"/>
      <c r="I4575" s="50"/>
      <c r="O4575" s="36" t="s">
        <v>48</v>
      </c>
      <c r="R4575" s="36" t="s">
        <v>48</v>
      </c>
    </row>
    <row r="4576">
      <c r="H4576" s="50"/>
      <c r="I4576" s="50"/>
      <c r="O4576" s="36" t="s">
        <v>48</v>
      </c>
      <c r="R4576" s="36" t="s">
        <v>48</v>
      </c>
    </row>
    <row r="4577">
      <c r="H4577" s="50"/>
      <c r="I4577" s="50"/>
      <c r="O4577" s="36" t="s">
        <v>48</v>
      </c>
      <c r="R4577" s="36" t="s">
        <v>48</v>
      </c>
    </row>
    <row r="4578">
      <c r="H4578" s="50"/>
      <c r="I4578" s="50"/>
      <c r="O4578" s="36" t="s">
        <v>48</v>
      </c>
      <c r="R4578" s="36" t="s">
        <v>48</v>
      </c>
    </row>
    <row r="4579">
      <c r="H4579" s="50"/>
      <c r="I4579" s="50"/>
      <c r="O4579" s="36" t="s">
        <v>48</v>
      </c>
      <c r="R4579" s="36" t="s">
        <v>48</v>
      </c>
    </row>
    <row r="4580">
      <c r="H4580" s="50"/>
      <c r="I4580" s="50"/>
      <c r="O4580" s="36" t="s">
        <v>48</v>
      </c>
      <c r="R4580" s="36" t="s">
        <v>48</v>
      </c>
    </row>
    <row r="4581">
      <c r="H4581" s="50"/>
      <c r="I4581" s="50"/>
      <c r="O4581" s="36" t="s">
        <v>48</v>
      </c>
      <c r="R4581" s="36" t="s">
        <v>48</v>
      </c>
    </row>
    <row r="4582">
      <c r="H4582" s="50"/>
      <c r="I4582" s="50"/>
      <c r="O4582" s="36" t="s">
        <v>48</v>
      </c>
      <c r="R4582" s="36" t="s">
        <v>48</v>
      </c>
    </row>
    <row r="4583">
      <c r="H4583" s="50"/>
      <c r="I4583" s="50"/>
      <c r="O4583" s="36" t="s">
        <v>48</v>
      </c>
      <c r="R4583" s="36" t="s">
        <v>48</v>
      </c>
    </row>
    <row r="4584">
      <c r="H4584" s="50"/>
      <c r="I4584" s="50"/>
      <c r="O4584" s="36" t="s">
        <v>48</v>
      </c>
      <c r="R4584" s="36" t="s">
        <v>48</v>
      </c>
    </row>
    <row r="4585">
      <c r="H4585" s="50"/>
      <c r="I4585" s="50"/>
      <c r="O4585" s="36" t="s">
        <v>48</v>
      </c>
      <c r="R4585" s="36" t="s">
        <v>48</v>
      </c>
    </row>
    <row r="4586">
      <c r="H4586" s="50"/>
      <c r="I4586" s="50"/>
      <c r="O4586" s="36" t="s">
        <v>48</v>
      </c>
      <c r="R4586" s="36" t="s">
        <v>48</v>
      </c>
    </row>
    <row r="4587">
      <c r="H4587" s="50"/>
      <c r="I4587" s="50"/>
      <c r="O4587" s="36" t="s">
        <v>48</v>
      </c>
      <c r="R4587" s="36" t="s">
        <v>48</v>
      </c>
    </row>
    <row r="4588">
      <c r="H4588" s="50"/>
      <c r="I4588" s="50"/>
      <c r="O4588" s="36" t="s">
        <v>48</v>
      </c>
      <c r="R4588" s="36" t="s">
        <v>48</v>
      </c>
    </row>
    <row r="4589">
      <c r="H4589" s="50"/>
      <c r="I4589" s="50"/>
      <c r="O4589" s="36" t="s">
        <v>48</v>
      </c>
      <c r="R4589" s="36" t="s">
        <v>48</v>
      </c>
    </row>
    <row r="4590">
      <c r="H4590" s="50"/>
      <c r="I4590" s="50"/>
      <c r="O4590" s="36" t="s">
        <v>48</v>
      </c>
      <c r="R4590" s="36" t="s">
        <v>48</v>
      </c>
    </row>
    <row r="4591">
      <c r="H4591" s="50"/>
      <c r="I4591" s="50"/>
      <c r="O4591" s="36" t="s">
        <v>48</v>
      </c>
      <c r="R4591" s="36" t="s">
        <v>48</v>
      </c>
    </row>
    <row r="4592">
      <c r="H4592" s="50"/>
      <c r="I4592" s="50"/>
      <c r="O4592" s="36" t="s">
        <v>48</v>
      </c>
      <c r="R4592" s="36" t="s">
        <v>48</v>
      </c>
    </row>
    <row r="4593">
      <c r="H4593" s="50"/>
      <c r="I4593" s="50"/>
      <c r="O4593" s="36" t="s">
        <v>48</v>
      </c>
      <c r="R4593" s="36" t="s">
        <v>48</v>
      </c>
    </row>
    <row r="4594">
      <c r="H4594" s="50"/>
      <c r="I4594" s="50"/>
      <c r="O4594" s="36" t="s">
        <v>48</v>
      </c>
      <c r="R4594" s="36" t="s">
        <v>48</v>
      </c>
    </row>
    <row r="4595">
      <c r="H4595" s="50"/>
      <c r="I4595" s="50"/>
      <c r="O4595" s="36" t="s">
        <v>48</v>
      </c>
      <c r="R4595" s="36" t="s">
        <v>48</v>
      </c>
    </row>
    <row r="4596">
      <c r="H4596" s="50"/>
      <c r="I4596" s="50"/>
      <c r="O4596" s="36" t="s">
        <v>48</v>
      </c>
      <c r="R4596" s="36" t="s">
        <v>48</v>
      </c>
    </row>
    <row r="4597">
      <c r="H4597" s="50"/>
      <c r="I4597" s="50"/>
      <c r="O4597" s="36" t="s">
        <v>48</v>
      </c>
      <c r="R4597" s="36" t="s">
        <v>48</v>
      </c>
    </row>
    <row r="4598">
      <c r="H4598" s="50"/>
      <c r="I4598" s="50"/>
      <c r="O4598" s="36" t="s">
        <v>48</v>
      </c>
      <c r="R4598" s="36" t="s">
        <v>48</v>
      </c>
    </row>
    <row r="4599">
      <c r="H4599" s="50"/>
      <c r="I4599" s="50"/>
      <c r="O4599" s="36" t="s">
        <v>48</v>
      </c>
      <c r="R4599" s="36" t="s">
        <v>48</v>
      </c>
    </row>
    <row r="4600">
      <c r="H4600" s="50"/>
      <c r="I4600" s="50"/>
      <c r="O4600" s="36" t="s">
        <v>48</v>
      </c>
      <c r="R4600" s="36" t="s">
        <v>48</v>
      </c>
    </row>
    <row r="4601">
      <c r="H4601" s="50"/>
      <c r="I4601" s="50"/>
      <c r="O4601" s="36" t="s">
        <v>48</v>
      </c>
      <c r="R4601" s="36" t="s">
        <v>48</v>
      </c>
    </row>
    <row r="4602">
      <c r="H4602" s="50"/>
      <c r="I4602" s="50"/>
      <c r="O4602" s="36" t="s">
        <v>48</v>
      </c>
      <c r="R4602" s="36" t="s">
        <v>48</v>
      </c>
    </row>
    <row r="4603">
      <c r="H4603" s="50"/>
      <c r="I4603" s="50"/>
      <c r="O4603" s="36" t="s">
        <v>48</v>
      </c>
      <c r="R4603" s="36" t="s">
        <v>48</v>
      </c>
    </row>
    <row r="4604">
      <c r="H4604" s="50"/>
      <c r="I4604" s="50"/>
      <c r="O4604" s="36" t="s">
        <v>48</v>
      </c>
      <c r="R4604" s="36" t="s">
        <v>48</v>
      </c>
    </row>
    <row r="4605">
      <c r="H4605" s="50"/>
      <c r="I4605" s="50"/>
      <c r="O4605" s="36" t="s">
        <v>48</v>
      </c>
      <c r="R4605" s="36" t="s">
        <v>48</v>
      </c>
    </row>
    <row r="4606">
      <c r="H4606" s="50"/>
      <c r="I4606" s="50"/>
      <c r="O4606" s="36" t="s">
        <v>48</v>
      </c>
      <c r="R4606" s="36" t="s">
        <v>48</v>
      </c>
    </row>
    <row r="4607">
      <c r="H4607" s="50"/>
      <c r="I4607" s="50"/>
      <c r="O4607" s="36" t="s">
        <v>48</v>
      </c>
      <c r="R4607" s="36" t="s">
        <v>48</v>
      </c>
    </row>
    <row r="4608">
      <c r="H4608" s="50"/>
      <c r="I4608" s="50"/>
      <c r="O4608" s="36" t="s">
        <v>48</v>
      </c>
      <c r="R4608" s="36" t="s">
        <v>48</v>
      </c>
    </row>
    <row r="4609">
      <c r="H4609" s="50"/>
      <c r="I4609" s="50"/>
      <c r="O4609" s="36" t="s">
        <v>48</v>
      </c>
      <c r="R4609" s="36" t="s">
        <v>48</v>
      </c>
    </row>
    <row r="4610">
      <c r="H4610" s="50"/>
      <c r="I4610" s="50"/>
      <c r="O4610" s="36" t="s">
        <v>48</v>
      </c>
      <c r="R4610" s="36" t="s">
        <v>48</v>
      </c>
    </row>
    <row r="4611">
      <c r="H4611" s="50"/>
      <c r="I4611" s="50"/>
      <c r="O4611" s="36" t="s">
        <v>48</v>
      </c>
      <c r="R4611" s="36" t="s">
        <v>48</v>
      </c>
    </row>
    <row r="4612">
      <c r="H4612" s="50"/>
      <c r="I4612" s="50"/>
      <c r="O4612" s="36" t="s">
        <v>48</v>
      </c>
      <c r="R4612" s="36" t="s">
        <v>48</v>
      </c>
    </row>
    <row r="4613">
      <c r="H4613" s="50"/>
      <c r="I4613" s="50"/>
      <c r="O4613" s="36" t="s">
        <v>48</v>
      </c>
      <c r="R4613" s="36" t="s">
        <v>48</v>
      </c>
    </row>
    <row r="4614">
      <c r="H4614" s="50"/>
      <c r="I4614" s="50"/>
      <c r="O4614" s="36" t="s">
        <v>48</v>
      </c>
      <c r="R4614" s="36" t="s">
        <v>48</v>
      </c>
    </row>
    <row r="4615">
      <c r="H4615" s="50"/>
      <c r="I4615" s="50"/>
      <c r="O4615" s="36" t="s">
        <v>48</v>
      </c>
      <c r="R4615" s="36" t="s">
        <v>48</v>
      </c>
    </row>
    <row r="4616">
      <c r="H4616" s="50"/>
      <c r="I4616" s="50"/>
      <c r="O4616" s="36" t="s">
        <v>48</v>
      </c>
      <c r="R4616" s="36" t="s">
        <v>48</v>
      </c>
    </row>
    <row r="4617">
      <c r="H4617" s="50"/>
      <c r="I4617" s="50"/>
      <c r="O4617" s="36" t="s">
        <v>48</v>
      </c>
      <c r="R4617" s="36" t="s">
        <v>48</v>
      </c>
    </row>
    <row r="4618">
      <c r="H4618" s="50"/>
      <c r="I4618" s="50"/>
      <c r="O4618" s="36" t="s">
        <v>48</v>
      </c>
      <c r="R4618" s="36" t="s">
        <v>48</v>
      </c>
    </row>
    <row r="4619">
      <c r="H4619" s="50"/>
      <c r="I4619" s="50"/>
      <c r="O4619" s="36" t="s">
        <v>48</v>
      </c>
      <c r="R4619" s="36" t="s">
        <v>48</v>
      </c>
    </row>
    <row r="4620">
      <c r="H4620" s="50"/>
      <c r="I4620" s="50"/>
      <c r="O4620" s="36" t="s">
        <v>48</v>
      </c>
      <c r="R4620" s="36" t="s">
        <v>48</v>
      </c>
    </row>
    <row r="4621">
      <c r="H4621" s="50"/>
      <c r="I4621" s="50"/>
      <c r="O4621" s="36" t="s">
        <v>48</v>
      </c>
      <c r="R4621" s="36" t="s">
        <v>48</v>
      </c>
    </row>
    <row r="4622">
      <c r="H4622" s="50"/>
      <c r="I4622" s="50"/>
      <c r="O4622" s="36" t="s">
        <v>48</v>
      </c>
      <c r="R4622" s="36" t="s">
        <v>48</v>
      </c>
    </row>
    <row r="4623">
      <c r="H4623" s="50"/>
      <c r="I4623" s="50"/>
      <c r="O4623" s="36" t="s">
        <v>48</v>
      </c>
      <c r="R4623" s="36" t="s">
        <v>48</v>
      </c>
    </row>
    <row r="4624">
      <c r="H4624" s="50"/>
      <c r="I4624" s="50"/>
      <c r="O4624" s="36" t="s">
        <v>48</v>
      </c>
      <c r="R4624" s="36" t="s">
        <v>48</v>
      </c>
    </row>
    <row r="4625">
      <c r="H4625" s="50"/>
      <c r="I4625" s="50"/>
      <c r="O4625" s="36" t="s">
        <v>48</v>
      </c>
      <c r="R4625" s="36" t="s">
        <v>48</v>
      </c>
    </row>
    <row r="4626">
      <c r="H4626" s="50"/>
      <c r="I4626" s="50"/>
      <c r="O4626" s="36" t="s">
        <v>48</v>
      </c>
      <c r="R4626" s="36" t="s">
        <v>48</v>
      </c>
    </row>
    <row r="4627">
      <c r="H4627" s="50"/>
      <c r="I4627" s="50"/>
      <c r="O4627" s="36" t="s">
        <v>48</v>
      </c>
      <c r="R4627" s="36" t="s">
        <v>48</v>
      </c>
    </row>
    <row r="4628">
      <c r="H4628" s="50"/>
      <c r="I4628" s="50"/>
      <c r="O4628" s="36" t="s">
        <v>48</v>
      </c>
      <c r="R4628" s="36" t="s">
        <v>48</v>
      </c>
    </row>
    <row r="4629">
      <c r="H4629" s="50"/>
      <c r="I4629" s="50"/>
      <c r="O4629" s="36" t="s">
        <v>48</v>
      </c>
      <c r="R4629" s="36" t="s">
        <v>48</v>
      </c>
    </row>
    <row r="4630">
      <c r="H4630" s="50"/>
      <c r="I4630" s="50"/>
      <c r="O4630" s="36" t="s">
        <v>48</v>
      </c>
      <c r="R4630" s="36" t="s">
        <v>48</v>
      </c>
    </row>
    <row r="4631">
      <c r="H4631" s="50"/>
      <c r="I4631" s="50"/>
      <c r="O4631" s="36" t="s">
        <v>48</v>
      </c>
      <c r="R4631" s="36" t="s">
        <v>48</v>
      </c>
    </row>
    <row r="4632">
      <c r="H4632" s="50"/>
      <c r="I4632" s="50"/>
      <c r="O4632" s="36" t="s">
        <v>48</v>
      </c>
      <c r="R4632" s="36" t="s">
        <v>48</v>
      </c>
    </row>
    <row r="4633">
      <c r="H4633" s="50"/>
      <c r="I4633" s="50"/>
      <c r="O4633" s="36" t="s">
        <v>48</v>
      </c>
      <c r="R4633" s="36" t="s">
        <v>48</v>
      </c>
    </row>
    <row r="4634">
      <c r="H4634" s="50"/>
      <c r="I4634" s="50"/>
      <c r="O4634" s="36" t="s">
        <v>48</v>
      </c>
      <c r="R4634" s="36" t="s">
        <v>48</v>
      </c>
    </row>
    <row r="4635">
      <c r="H4635" s="50"/>
      <c r="I4635" s="50"/>
      <c r="O4635" s="36" t="s">
        <v>48</v>
      </c>
      <c r="R4635" s="36" t="s">
        <v>48</v>
      </c>
    </row>
    <row r="4636">
      <c r="H4636" s="50"/>
      <c r="I4636" s="50"/>
      <c r="O4636" s="36" t="s">
        <v>48</v>
      </c>
      <c r="R4636" s="36" t="s">
        <v>48</v>
      </c>
    </row>
    <row r="4637">
      <c r="H4637" s="50"/>
      <c r="I4637" s="50"/>
      <c r="O4637" s="36" t="s">
        <v>48</v>
      </c>
      <c r="R4637" s="36" t="s">
        <v>48</v>
      </c>
    </row>
    <row r="4638">
      <c r="H4638" s="50"/>
      <c r="I4638" s="50"/>
      <c r="O4638" s="36" t="s">
        <v>48</v>
      </c>
      <c r="R4638" s="36" t="s">
        <v>48</v>
      </c>
    </row>
    <row r="4639">
      <c r="H4639" s="50"/>
      <c r="I4639" s="50"/>
      <c r="O4639" s="36" t="s">
        <v>48</v>
      </c>
      <c r="R4639" s="36" t="s">
        <v>48</v>
      </c>
    </row>
    <row r="4640">
      <c r="H4640" s="50"/>
      <c r="I4640" s="50"/>
      <c r="O4640" s="36" t="s">
        <v>48</v>
      </c>
      <c r="R4640" s="36" t="s">
        <v>48</v>
      </c>
    </row>
    <row r="4641">
      <c r="H4641" s="50"/>
      <c r="I4641" s="50"/>
      <c r="O4641" s="36" t="s">
        <v>48</v>
      </c>
      <c r="R4641" s="36" t="s">
        <v>48</v>
      </c>
    </row>
    <row r="4642">
      <c r="H4642" s="50"/>
      <c r="I4642" s="50"/>
      <c r="O4642" s="36" t="s">
        <v>48</v>
      </c>
      <c r="R4642" s="36" t="s">
        <v>48</v>
      </c>
    </row>
    <row r="4643">
      <c r="H4643" s="50"/>
      <c r="I4643" s="50"/>
      <c r="O4643" s="36" t="s">
        <v>48</v>
      </c>
      <c r="R4643" s="36" t="s">
        <v>48</v>
      </c>
    </row>
    <row r="4644">
      <c r="H4644" s="50"/>
      <c r="I4644" s="50"/>
      <c r="O4644" s="36" t="s">
        <v>48</v>
      </c>
      <c r="R4644" s="36" t="s">
        <v>48</v>
      </c>
    </row>
    <row r="4645">
      <c r="H4645" s="50"/>
      <c r="I4645" s="50"/>
      <c r="O4645" s="36" t="s">
        <v>48</v>
      </c>
      <c r="R4645" s="36" t="s">
        <v>48</v>
      </c>
    </row>
    <row r="4646">
      <c r="H4646" s="50"/>
      <c r="I4646" s="50"/>
      <c r="O4646" s="36" t="s">
        <v>48</v>
      </c>
      <c r="R4646" s="36" t="s">
        <v>48</v>
      </c>
    </row>
    <row r="4647">
      <c r="H4647" s="50"/>
      <c r="I4647" s="50"/>
      <c r="O4647" s="36" t="s">
        <v>48</v>
      </c>
      <c r="R4647" s="36" t="s">
        <v>48</v>
      </c>
    </row>
    <row r="4648">
      <c r="H4648" s="50"/>
      <c r="I4648" s="50"/>
      <c r="O4648" s="36" t="s">
        <v>48</v>
      </c>
      <c r="R4648" s="36" t="s">
        <v>48</v>
      </c>
    </row>
    <row r="4649">
      <c r="H4649" s="50"/>
      <c r="I4649" s="50"/>
      <c r="O4649" s="36" t="s">
        <v>48</v>
      </c>
      <c r="R4649" s="36" t="s">
        <v>48</v>
      </c>
    </row>
    <row r="4650">
      <c r="H4650" s="50"/>
      <c r="I4650" s="50"/>
      <c r="O4650" s="36" t="s">
        <v>48</v>
      </c>
      <c r="R4650" s="36" t="s">
        <v>48</v>
      </c>
    </row>
    <row r="4651">
      <c r="H4651" s="50"/>
      <c r="I4651" s="50"/>
      <c r="O4651" s="36" t="s">
        <v>48</v>
      </c>
      <c r="R4651" s="36" t="s">
        <v>48</v>
      </c>
    </row>
    <row r="4652">
      <c r="H4652" s="50"/>
      <c r="I4652" s="50"/>
      <c r="O4652" s="36" t="s">
        <v>48</v>
      </c>
      <c r="R4652" s="36" t="s">
        <v>48</v>
      </c>
    </row>
    <row r="4653">
      <c r="H4653" s="50"/>
      <c r="I4653" s="50"/>
      <c r="O4653" s="36" t="s">
        <v>48</v>
      </c>
      <c r="R4653" s="36" t="s">
        <v>48</v>
      </c>
    </row>
    <row r="4654">
      <c r="H4654" s="50"/>
      <c r="I4654" s="50"/>
      <c r="O4654" s="36" t="s">
        <v>48</v>
      </c>
      <c r="R4654" s="36" t="s">
        <v>48</v>
      </c>
    </row>
    <row r="4655">
      <c r="H4655" s="50"/>
      <c r="I4655" s="50"/>
      <c r="O4655" s="36" t="s">
        <v>48</v>
      </c>
      <c r="R4655" s="36" t="s">
        <v>48</v>
      </c>
    </row>
    <row r="4656">
      <c r="H4656" s="50"/>
      <c r="I4656" s="50"/>
      <c r="O4656" s="36" t="s">
        <v>48</v>
      </c>
      <c r="R4656" s="36" t="s">
        <v>48</v>
      </c>
    </row>
    <row r="4657">
      <c r="H4657" s="50"/>
      <c r="I4657" s="50"/>
      <c r="O4657" s="36" t="s">
        <v>48</v>
      </c>
      <c r="R4657" s="36" t="s">
        <v>48</v>
      </c>
    </row>
    <row r="4658">
      <c r="H4658" s="50"/>
      <c r="I4658" s="50"/>
      <c r="O4658" s="36" t="s">
        <v>48</v>
      </c>
      <c r="R4658" s="36" t="s">
        <v>48</v>
      </c>
    </row>
    <row r="4659">
      <c r="H4659" s="50"/>
      <c r="I4659" s="50"/>
      <c r="O4659" s="36" t="s">
        <v>48</v>
      </c>
      <c r="R4659" s="36" t="s">
        <v>48</v>
      </c>
    </row>
    <row r="4660">
      <c r="H4660" s="50"/>
      <c r="I4660" s="50"/>
      <c r="O4660" s="36" t="s">
        <v>48</v>
      </c>
      <c r="R4660" s="36" t="s">
        <v>48</v>
      </c>
    </row>
    <row r="4661">
      <c r="H4661" s="50"/>
      <c r="I4661" s="50"/>
      <c r="O4661" s="36" t="s">
        <v>48</v>
      </c>
      <c r="R4661" s="36" t="s">
        <v>48</v>
      </c>
    </row>
    <row r="4662">
      <c r="H4662" s="50"/>
      <c r="I4662" s="50"/>
      <c r="O4662" s="36" t="s">
        <v>48</v>
      </c>
      <c r="R4662" s="36" t="s">
        <v>48</v>
      </c>
    </row>
    <row r="4663">
      <c r="H4663" s="50"/>
      <c r="I4663" s="50"/>
      <c r="O4663" s="36" t="s">
        <v>48</v>
      </c>
      <c r="R4663" s="36" t="s">
        <v>48</v>
      </c>
    </row>
    <row r="4664">
      <c r="H4664" s="50"/>
      <c r="I4664" s="50"/>
      <c r="O4664" s="36" t="s">
        <v>48</v>
      </c>
      <c r="R4664" s="36" t="s">
        <v>48</v>
      </c>
    </row>
    <row r="4665">
      <c r="H4665" s="50"/>
      <c r="I4665" s="50"/>
      <c r="O4665" s="36" t="s">
        <v>48</v>
      </c>
      <c r="R4665" s="36" t="s">
        <v>48</v>
      </c>
    </row>
    <row r="4666">
      <c r="H4666" s="50"/>
      <c r="I4666" s="50"/>
      <c r="O4666" s="36" t="s">
        <v>48</v>
      </c>
      <c r="R4666" s="36" t="s">
        <v>48</v>
      </c>
    </row>
    <row r="4667">
      <c r="H4667" s="50"/>
      <c r="I4667" s="50"/>
      <c r="O4667" s="36" t="s">
        <v>48</v>
      </c>
      <c r="R4667" s="36" t="s">
        <v>48</v>
      </c>
    </row>
    <row r="4668">
      <c r="H4668" s="50"/>
      <c r="I4668" s="50"/>
      <c r="O4668" s="36" t="s">
        <v>48</v>
      </c>
      <c r="R4668" s="36" t="s">
        <v>48</v>
      </c>
    </row>
    <row r="4669">
      <c r="H4669" s="50"/>
      <c r="I4669" s="50"/>
      <c r="O4669" s="36" t="s">
        <v>48</v>
      </c>
      <c r="R4669" s="36" t="s">
        <v>48</v>
      </c>
    </row>
    <row r="4670">
      <c r="H4670" s="50"/>
      <c r="I4670" s="50"/>
      <c r="O4670" s="36" t="s">
        <v>48</v>
      </c>
      <c r="R4670" s="36" t="s">
        <v>48</v>
      </c>
    </row>
    <row r="4671">
      <c r="H4671" s="50"/>
      <c r="I4671" s="50"/>
      <c r="O4671" s="36" t="s">
        <v>48</v>
      </c>
      <c r="R4671" s="36" t="s">
        <v>48</v>
      </c>
    </row>
    <row r="4672">
      <c r="H4672" s="50"/>
      <c r="I4672" s="50"/>
      <c r="O4672" s="36" t="s">
        <v>48</v>
      </c>
      <c r="R4672" s="36" t="s">
        <v>48</v>
      </c>
    </row>
    <row r="4673">
      <c r="H4673" s="50"/>
      <c r="I4673" s="50"/>
      <c r="O4673" s="36" t="s">
        <v>48</v>
      </c>
      <c r="R4673" s="36" t="s">
        <v>48</v>
      </c>
    </row>
    <row r="4674">
      <c r="H4674" s="50"/>
      <c r="I4674" s="50"/>
      <c r="O4674" s="36" t="s">
        <v>48</v>
      </c>
      <c r="R4674" s="36" t="s">
        <v>48</v>
      </c>
    </row>
    <row r="4675">
      <c r="H4675" s="50"/>
      <c r="I4675" s="50"/>
      <c r="O4675" s="36" t="s">
        <v>48</v>
      </c>
      <c r="R4675" s="36" t="s">
        <v>48</v>
      </c>
    </row>
    <row r="4676">
      <c r="H4676" s="50"/>
      <c r="I4676" s="50"/>
      <c r="O4676" s="36" t="s">
        <v>48</v>
      </c>
      <c r="R4676" s="36" t="s">
        <v>48</v>
      </c>
    </row>
    <row r="4677">
      <c r="H4677" s="50"/>
      <c r="I4677" s="50"/>
      <c r="O4677" s="36" t="s">
        <v>48</v>
      </c>
      <c r="R4677" s="36" t="s">
        <v>48</v>
      </c>
    </row>
    <row r="4678">
      <c r="H4678" s="50"/>
      <c r="I4678" s="50"/>
      <c r="O4678" s="36" t="s">
        <v>48</v>
      </c>
      <c r="R4678" s="36" t="s">
        <v>48</v>
      </c>
    </row>
    <row r="4679">
      <c r="H4679" s="50"/>
      <c r="I4679" s="50"/>
      <c r="O4679" s="36" t="s">
        <v>48</v>
      </c>
      <c r="R4679" s="36" t="s">
        <v>48</v>
      </c>
    </row>
    <row r="4680">
      <c r="H4680" s="50"/>
      <c r="I4680" s="50"/>
      <c r="O4680" s="36" t="s">
        <v>48</v>
      </c>
      <c r="R4680" s="36" t="s">
        <v>48</v>
      </c>
    </row>
    <row r="4681">
      <c r="H4681" s="50"/>
      <c r="I4681" s="50"/>
      <c r="O4681" s="36" t="s">
        <v>48</v>
      </c>
      <c r="R4681" s="36" t="s">
        <v>48</v>
      </c>
    </row>
    <row r="4682">
      <c r="H4682" s="50"/>
      <c r="I4682" s="50"/>
      <c r="O4682" s="36" t="s">
        <v>48</v>
      </c>
      <c r="R4682" s="36" t="s">
        <v>48</v>
      </c>
    </row>
    <row r="4683">
      <c r="H4683" s="50"/>
      <c r="I4683" s="50"/>
      <c r="O4683" s="36" t="s">
        <v>48</v>
      </c>
      <c r="R4683" s="36" t="s">
        <v>48</v>
      </c>
    </row>
    <row r="4684">
      <c r="H4684" s="50"/>
      <c r="I4684" s="50"/>
      <c r="O4684" s="36" t="s">
        <v>48</v>
      </c>
      <c r="R4684" s="36" t="s">
        <v>48</v>
      </c>
    </row>
    <row r="4685">
      <c r="H4685" s="50"/>
      <c r="I4685" s="50"/>
      <c r="O4685" s="36" t="s">
        <v>48</v>
      </c>
      <c r="R4685" s="36" t="s">
        <v>48</v>
      </c>
    </row>
    <row r="4686">
      <c r="H4686" s="50"/>
      <c r="I4686" s="50"/>
      <c r="O4686" s="36" t="s">
        <v>48</v>
      </c>
      <c r="R4686" s="36" t="s">
        <v>48</v>
      </c>
    </row>
    <row r="4687">
      <c r="H4687" s="50"/>
      <c r="I4687" s="50"/>
      <c r="O4687" s="36" t="s">
        <v>48</v>
      </c>
      <c r="R4687" s="36" t="s">
        <v>48</v>
      </c>
    </row>
    <row r="4688">
      <c r="H4688" s="50"/>
      <c r="I4688" s="50"/>
      <c r="O4688" s="36" t="s">
        <v>48</v>
      </c>
      <c r="R4688" s="36" t="s">
        <v>48</v>
      </c>
    </row>
    <row r="4689">
      <c r="H4689" s="50"/>
      <c r="I4689" s="50"/>
      <c r="O4689" s="36" t="s">
        <v>48</v>
      </c>
      <c r="R4689" s="36" t="s">
        <v>48</v>
      </c>
    </row>
    <row r="4690">
      <c r="H4690" s="50"/>
      <c r="I4690" s="50"/>
      <c r="O4690" s="36" t="s">
        <v>48</v>
      </c>
      <c r="R4690" s="36" t="s">
        <v>48</v>
      </c>
    </row>
    <row r="4691">
      <c r="H4691" s="50"/>
      <c r="I4691" s="50"/>
      <c r="O4691" s="36" t="s">
        <v>48</v>
      </c>
      <c r="R4691" s="36" t="s">
        <v>48</v>
      </c>
    </row>
    <row r="4692">
      <c r="H4692" s="50"/>
      <c r="I4692" s="50"/>
      <c r="O4692" s="36" t="s">
        <v>48</v>
      </c>
      <c r="R4692" s="36" t="s">
        <v>48</v>
      </c>
    </row>
    <row r="4693">
      <c r="H4693" s="50"/>
      <c r="I4693" s="50"/>
      <c r="O4693" s="36" t="s">
        <v>48</v>
      </c>
      <c r="R4693" s="36" t="s">
        <v>48</v>
      </c>
    </row>
    <row r="4694">
      <c r="H4694" s="50"/>
      <c r="I4694" s="50"/>
      <c r="O4694" s="36" t="s">
        <v>48</v>
      </c>
      <c r="R4694" s="36" t="s">
        <v>48</v>
      </c>
    </row>
    <row r="4695">
      <c r="H4695" s="50"/>
      <c r="I4695" s="50"/>
      <c r="O4695" s="36" t="s">
        <v>48</v>
      </c>
      <c r="R4695" s="36" t="s">
        <v>48</v>
      </c>
    </row>
    <row r="4696">
      <c r="H4696" s="50"/>
      <c r="I4696" s="50"/>
      <c r="O4696" s="36" t="s">
        <v>48</v>
      </c>
      <c r="R4696" s="36" t="s">
        <v>48</v>
      </c>
    </row>
    <row r="4697">
      <c r="H4697" s="50"/>
      <c r="I4697" s="50"/>
      <c r="O4697" s="36" t="s">
        <v>48</v>
      </c>
      <c r="R4697" s="36" t="s">
        <v>48</v>
      </c>
    </row>
    <row r="4698">
      <c r="H4698" s="50"/>
      <c r="I4698" s="50"/>
      <c r="O4698" s="36" t="s">
        <v>48</v>
      </c>
      <c r="R4698" s="36" t="s">
        <v>48</v>
      </c>
    </row>
    <row r="4699">
      <c r="H4699" s="50"/>
      <c r="I4699" s="50"/>
      <c r="O4699" s="36" t="s">
        <v>48</v>
      </c>
      <c r="R4699" s="36" t="s">
        <v>48</v>
      </c>
    </row>
    <row r="4700">
      <c r="H4700" s="50"/>
      <c r="I4700" s="50"/>
      <c r="O4700" s="36" t="s">
        <v>48</v>
      </c>
      <c r="R4700" s="36" t="s">
        <v>48</v>
      </c>
    </row>
    <row r="4701">
      <c r="H4701" s="50"/>
      <c r="I4701" s="50"/>
      <c r="O4701" s="36" t="s">
        <v>48</v>
      </c>
      <c r="R4701" s="36" t="s">
        <v>48</v>
      </c>
    </row>
    <row r="4702">
      <c r="H4702" s="50"/>
      <c r="I4702" s="50"/>
      <c r="O4702" s="36" t="s">
        <v>48</v>
      </c>
      <c r="R4702" s="36" t="s">
        <v>48</v>
      </c>
    </row>
    <row r="4703">
      <c r="H4703" s="50"/>
      <c r="I4703" s="50"/>
      <c r="O4703" s="36" t="s">
        <v>48</v>
      </c>
      <c r="R4703" s="36" t="s">
        <v>48</v>
      </c>
    </row>
    <row r="4704">
      <c r="H4704" s="50"/>
      <c r="I4704" s="50"/>
      <c r="O4704" s="36" t="s">
        <v>48</v>
      </c>
      <c r="R4704" s="36" t="s">
        <v>48</v>
      </c>
    </row>
    <row r="4705">
      <c r="H4705" s="50"/>
      <c r="I4705" s="50"/>
      <c r="O4705" s="36" t="s">
        <v>48</v>
      </c>
      <c r="R4705" s="36" t="s">
        <v>48</v>
      </c>
    </row>
    <row r="4706">
      <c r="H4706" s="50"/>
      <c r="I4706" s="50"/>
      <c r="O4706" s="36" t="s">
        <v>48</v>
      </c>
      <c r="R4706" s="36" t="s">
        <v>48</v>
      </c>
    </row>
    <row r="4707">
      <c r="H4707" s="50"/>
      <c r="I4707" s="50"/>
      <c r="O4707" s="36" t="s">
        <v>48</v>
      </c>
      <c r="R4707" s="36" t="s">
        <v>48</v>
      </c>
    </row>
    <row r="4708">
      <c r="H4708" s="50"/>
      <c r="I4708" s="50"/>
      <c r="O4708" s="36" t="s">
        <v>48</v>
      </c>
      <c r="R4708" s="36" t="s">
        <v>48</v>
      </c>
    </row>
    <row r="4709">
      <c r="H4709" s="50"/>
      <c r="I4709" s="50"/>
      <c r="O4709" s="36" t="s">
        <v>48</v>
      </c>
      <c r="R4709" s="36" t="s">
        <v>48</v>
      </c>
    </row>
    <row r="4710">
      <c r="H4710" s="50"/>
      <c r="I4710" s="50"/>
      <c r="O4710" s="36" t="s">
        <v>48</v>
      </c>
      <c r="R4710" s="36" t="s">
        <v>48</v>
      </c>
    </row>
    <row r="4711">
      <c r="H4711" s="50"/>
      <c r="I4711" s="50"/>
      <c r="O4711" s="36" t="s">
        <v>48</v>
      </c>
      <c r="R4711" s="36" t="s">
        <v>48</v>
      </c>
    </row>
    <row r="4712">
      <c r="H4712" s="50"/>
      <c r="I4712" s="50"/>
      <c r="O4712" s="36" t="s">
        <v>48</v>
      </c>
      <c r="R4712" s="36" t="s">
        <v>48</v>
      </c>
    </row>
    <row r="4713">
      <c r="H4713" s="50"/>
      <c r="I4713" s="50"/>
      <c r="O4713" s="36" t="s">
        <v>48</v>
      </c>
      <c r="R4713" s="36" t="s">
        <v>48</v>
      </c>
    </row>
    <row r="4714">
      <c r="H4714" s="50"/>
      <c r="I4714" s="50"/>
      <c r="O4714" s="36" t="s">
        <v>48</v>
      </c>
      <c r="R4714" s="36" t="s">
        <v>48</v>
      </c>
    </row>
    <row r="4715">
      <c r="H4715" s="50"/>
      <c r="I4715" s="50"/>
      <c r="O4715" s="36" t="s">
        <v>48</v>
      </c>
      <c r="R4715" s="36" t="s">
        <v>48</v>
      </c>
    </row>
    <row r="4716">
      <c r="H4716" s="50"/>
      <c r="I4716" s="50"/>
      <c r="O4716" s="36" t="s">
        <v>48</v>
      </c>
      <c r="R4716" s="36" t="s">
        <v>48</v>
      </c>
    </row>
    <row r="4717">
      <c r="H4717" s="50"/>
      <c r="I4717" s="50"/>
      <c r="O4717" s="36" t="s">
        <v>48</v>
      </c>
      <c r="R4717" s="36" t="s">
        <v>48</v>
      </c>
    </row>
    <row r="4718">
      <c r="H4718" s="50"/>
      <c r="I4718" s="50"/>
      <c r="O4718" s="36" t="s">
        <v>48</v>
      </c>
      <c r="R4718" s="36" t="s">
        <v>48</v>
      </c>
    </row>
    <row r="4719">
      <c r="H4719" s="50"/>
      <c r="I4719" s="50"/>
      <c r="O4719" s="36" t="s">
        <v>48</v>
      </c>
      <c r="R4719" s="36" t="s">
        <v>48</v>
      </c>
    </row>
    <row r="4720">
      <c r="H4720" s="50"/>
      <c r="I4720" s="50"/>
      <c r="O4720" s="36" t="s">
        <v>48</v>
      </c>
      <c r="R4720" s="36" t="s">
        <v>48</v>
      </c>
    </row>
    <row r="4721">
      <c r="H4721" s="50"/>
      <c r="I4721" s="50"/>
      <c r="O4721" s="36" t="s">
        <v>48</v>
      </c>
      <c r="R4721" s="36" t="s">
        <v>48</v>
      </c>
    </row>
    <row r="4722">
      <c r="H4722" s="50"/>
      <c r="I4722" s="50"/>
      <c r="O4722" s="36" t="s">
        <v>48</v>
      </c>
      <c r="R4722" s="36" t="s">
        <v>48</v>
      </c>
    </row>
    <row r="4723">
      <c r="H4723" s="50"/>
      <c r="I4723" s="50"/>
      <c r="O4723" s="36" t="s">
        <v>48</v>
      </c>
      <c r="R4723" s="36" t="s">
        <v>48</v>
      </c>
    </row>
    <row r="4724">
      <c r="H4724" s="50"/>
      <c r="I4724" s="50"/>
      <c r="O4724" s="36" t="s">
        <v>48</v>
      </c>
      <c r="R4724" s="36" t="s">
        <v>48</v>
      </c>
    </row>
    <row r="4725">
      <c r="H4725" s="50"/>
      <c r="I4725" s="50"/>
      <c r="O4725" s="36" t="s">
        <v>48</v>
      </c>
      <c r="R4725" s="36" t="s">
        <v>48</v>
      </c>
    </row>
    <row r="4726">
      <c r="H4726" s="50"/>
      <c r="I4726" s="50"/>
      <c r="O4726" s="36" t="s">
        <v>48</v>
      </c>
      <c r="R4726" s="36" t="s">
        <v>48</v>
      </c>
    </row>
    <row r="4727">
      <c r="H4727" s="50"/>
      <c r="I4727" s="50"/>
      <c r="O4727" s="36" t="s">
        <v>48</v>
      </c>
      <c r="R4727" s="36" t="s">
        <v>48</v>
      </c>
    </row>
    <row r="4728">
      <c r="H4728" s="50"/>
      <c r="I4728" s="50"/>
      <c r="O4728" s="36" t="s">
        <v>48</v>
      </c>
      <c r="R4728" s="36" t="s">
        <v>48</v>
      </c>
    </row>
    <row r="4729">
      <c r="H4729" s="50"/>
      <c r="I4729" s="50"/>
      <c r="O4729" s="36" t="s">
        <v>48</v>
      </c>
      <c r="R4729" s="36" t="s">
        <v>48</v>
      </c>
    </row>
    <row r="4730">
      <c r="H4730" s="50"/>
      <c r="I4730" s="50"/>
      <c r="O4730" s="36" t="s">
        <v>48</v>
      </c>
      <c r="R4730" s="36" t="s">
        <v>48</v>
      </c>
    </row>
    <row r="4731">
      <c r="H4731" s="50"/>
      <c r="I4731" s="50"/>
      <c r="O4731" s="36" t="s">
        <v>48</v>
      </c>
      <c r="R4731" s="36" t="s">
        <v>48</v>
      </c>
    </row>
    <row r="4732">
      <c r="H4732" s="50"/>
      <c r="I4732" s="50"/>
      <c r="O4732" s="36" t="s">
        <v>48</v>
      </c>
      <c r="R4732" s="36" t="s">
        <v>48</v>
      </c>
    </row>
    <row r="4733">
      <c r="H4733" s="50"/>
      <c r="I4733" s="50"/>
      <c r="O4733" s="36" t="s">
        <v>48</v>
      </c>
      <c r="R4733" s="36" t="s">
        <v>48</v>
      </c>
    </row>
    <row r="4734">
      <c r="H4734" s="50"/>
      <c r="I4734" s="50"/>
      <c r="O4734" s="36" t="s">
        <v>48</v>
      </c>
      <c r="R4734" s="36" t="s">
        <v>48</v>
      </c>
    </row>
    <row r="4735">
      <c r="H4735" s="50"/>
      <c r="I4735" s="50"/>
      <c r="O4735" s="36" t="s">
        <v>48</v>
      </c>
      <c r="R4735" s="36" t="s">
        <v>48</v>
      </c>
    </row>
    <row r="4736">
      <c r="H4736" s="50"/>
      <c r="I4736" s="50"/>
      <c r="O4736" s="36" t="s">
        <v>48</v>
      </c>
      <c r="R4736" s="36" t="s">
        <v>48</v>
      </c>
    </row>
    <row r="4737">
      <c r="H4737" s="50"/>
      <c r="I4737" s="50"/>
      <c r="O4737" s="36" t="s">
        <v>48</v>
      </c>
      <c r="R4737" s="36" t="s">
        <v>48</v>
      </c>
    </row>
    <row r="4738">
      <c r="H4738" s="50"/>
      <c r="I4738" s="50"/>
      <c r="O4738" s="36" t="s">
        <v>48</v>
      </c>
      <c r="R4738" s="36" t="s">
        <v>48</v>
      </c>
    </row>
    <row r="4739">
      <c r="H4739" s="50"/>
      <c r="I4739" s="50"/>
      <c r="O4739" s="36" t="s">
        <v>48</v>
      </c>
      <c r="R4739" s="36" t="s">
        <v>48</v>
      </c>
    </row>
    <row r="4740">
      <c r="H4740" s="50"/>
      <c r="I4740" s="50"/>
      <c r="O4740" s="36" t="s">
        <v>48</v>
      </c>
      <c r="R4740" s="36" t="s">
        <v>48</v>
      </c>
    </row>
    <row r="4741">
      <c r="H4741" s="50"/>
      <c r="I4741" s="50"/>
      <c r="O4741" s="36" t="s">
        <v>48</v>
      </c>
      <c r="R4741" s="36" t="s">
        <v>48</v>
      </c>
    </row>
    <row r="4742">
      <c r="H4742" s="50"/>
      <c r="I4742" s="50"/>
      <c r="O4742" s="36" t="s">
        <v>48</v>
      </c>
      <c r="R4742" s="36" t="s">
        <v>48</v>
      </c>
    </row>
    <row r="4743">
      <c r="H4743" s="50"/>
      <c r="I4743" s="50"/>
      <c r="O4743" s="36" t="s">
        <v>48</v>
      </c>
      <c r="R4743" s="36" t="s">
        <v>48</v>
      </c>
    </row>
    <row r="4744">
      <c r="H4744" s="50"/>
      <c r="I4744" s="50"/>
      <c r="O4744" s="36" t="s">
        <v>48</v>
      </c>
      <c r="R4744" s="36" t="s">
        <v>48</v>
      </c>
    </row>
    <row r="4745">
      <c r="H4745" s="50"/>
      <c r="I4745" s="50"/>
      <c r="O4745" s="36" t="s">
        <v>48</v>
      </c>
      <c r="R4745" s="36" t="s">
        <v>48</v>
      </c>
    </row>
    <row r="4746">
      <c r="H4746" s="50"/>
      <c r="I4746" s="50"/>
      <c r="O4746" s="36" t="s">
        <v>48</v>
      </c>
      <c r="R4746" s="36" t="s">
        <v>48</v>
      </c>
    </row>
    <row r="4747">
      <c r="H4747" s="50"/>
      <c r="I4747" s="50"/>
      <c r="O4747" s="36" t="s">
        <v>48</v>
      </c>
      <c r="R4747" s="36" t="s">
        <v>48</v>
      </c>
    </row>
    <row r="4748">
      <c r="H4748" s="50"/>
      <c r="I4748" s="50"/>
      <c r="O4748" s="36" t="s">
        <v>48</v>
      </c>
      <c r="R4748" s="36" t="s">
        <v>48</v>
      </c>
    </row>
    <row r="4749">
      <c r="H4749" s="50"/>
      <c r="I4749" s="50"/>
      <c r="O4749" s="36" t="s">
        <v>48</v>
      </c>
      <c r="R4749" s="36" t="s">
        <v>48</v>
      </c>
    </row>
    <row r="4750">
      <c r="H4750" s="50"/>
      <c r="I4750" s="50"/>
      <c r="O4750" s="36" t="s">
        <v>48</v>
      </c>
      <c r="R4750" s="36" t="s">
        <v>48</v>
      </c>
    </row>
    <row r="4751">
      <c r="H4751" s="50"/>
      <c r="I4751" s="50"/>
      <c r="O4751" s="36" t="s">
        <v>48</v>
      </c>
      <c r="R4751" s="36" t="s">
        <v>48</v>
      </c>
    </row>
    <row r="4752">
      <c r="H4752" s="50"/>
      <c r="I4752" s="50"/>
      <c r="O4752" s="36" t="s">
        <v>48</v>
      </c>
      <c r="R4752" s="36" t="s">
        <v>48</v>
      </c>
    </row>
    <row r="4753">
      <c r="H4753" s="50"/>
      <c r="I4753" s="50"/>
      <c r="O4753" s="36" t="s">
        <v>48</v>
      </c>
      <c r="R4753" s="36" t="s">
        <v>48</v>
      </c>
    </row>
    <row r="4754">
      <c r="H4754" s="50"/>
      <c r="I4754" s="50"/>
      <c r="O4754" s="36" t="s">
        <v>48</v>
      </c>
      <c r="R4754" s="36" t="s">
        <v>48</v>
      </c>
    </row>
    <row r="4755">
      <c r="H4755" s="50"/>
      <c r="I4755" s="50"/>
      <c r="O4755" s="36" t="s">
        <v>48</v>
      </c>
      <c r="R4755" s="36" t="s">
        <v>48</v>
      </c>
    </row>
    <row r="4756">
      <c r="H4756" s="50"/>
      <c r="I4756" s="50"/>
      <c r="O4756" s="36" t="s">
        <v>48</v>
      </c>
      <c r="R4756" s="36" t="s">
        <v>48</v>
      </c>
    </row>
    <row r="4757">
      <c r="H4757" s="50"/>
      <c r="I4757" s="50"/>
      <c r="O4757" s="36" t="s">
        <v>48</v>
      </c>
      <c r="R4757" s="36" t="s">
        <v>48</v>
      </c>
    </row>
    <row r="4758">
      <c r="H4758" s="50"/>
      <c r="I4758" s="50"/>
      <c r="O4758" s="36" t="s">
        <v>48</v>
      </c>
      <c r="R4758" s="36" t="s">
        <v>48</v>
      </c>
    </row>
    <row r="4759">
      <c r="H4759" s="50"/>
      <c r="I4759" s="50"/>
      <c r="O4759" s="36" t="s">
        <v>48</v>
      </c>
      <c r="R4759" s="36" t="s">
        <v>48</v>
      </c>
    </row>
    <row r="4760">
      <c r="H4760" s="50"/>
      <c r="I4760" s="50"/>
      <c r="O4760" s="36" t="s">
        <v>48</v>
      </c>
      <c r="R4760" s="36" t="s">
        <v>48</v>
      </c>
    </row>
    <row r="4761">
      <c r="H4761" s="50"/>
      <c r="I4761" s="50"/>
      <c r="O4761" s="36" t="s">
        <v>48</v>
      </c>
      <c r="R4761" s="36" t="s">
        <v>48</v>
      </c>
    </row>
    <row r="4762">
      <c r="H4762" s="50"/>
      <c r="I4762" s="50"/>
      <c r="O4762" s="36" t="s">
        <v>48</v>
      </c>
      <c r="R4762" s="36" t="s">
        <v>48</v>
      </c>
    </row>
    <row r="4763">
      <c r="H4763" s="50"/>
      <c r="I4763" s="50"/>
      <c r="O4763" s="36" t="s">
        <v>48</v>
      </c>
      <c r="R4763" s="36" t="s">
        <v>48</v>
      </c>
    </row>
    <row r="4764">
      <c r="H4764" s="50"/>
      <c r="I4764" s="50"/>
      <c r="O4764" s="36" t="s">
        <v>48</v>
      </c>
      <c r="R4764" s="36" t="s">
        <v>48</v>
      </c>
    </row>
    <row r="4765">
      <c r="H4765" s="50"/>
      <c r="I4765" s="50"/>
      <c r="O4765" s="36" t="s">
        <v>48</v>
      </c>
      <c r="R4765" s="36" t="s">
        <v>48</v>
      </c>
    </row>
    <row r="4766">
      <c r="H4766" s="50"/>
      <c r="I4766" s="50"/>
      <c r="O4766" s="36" t="s">
        <v>48</v>
      </c>
      <c r="R4766" s="36" t="s">
        <v>48</v>
      </c>
    </row>
    <row r="4767">
      <c r="H4767" s="50"/>
      <c r="I4767" s="50"/>
      <c r="O4767" s="36" t="s">
        <v>48</v>
      </c>
      <c r="R4767" s="36" t="s">
        <v>48</v>
      </c>
    </row>
    <row r="4768">
      <c r="H4768" s="50"/>
      <c r="I4768" s="50"/>
      <c r="O4768" s="36" t="s">
        <v>48</v>
      </c>
      <c r="R4768" s="36" t="s">
        <v>48</v>
      </c>
    </row>
    <row r="4769">
      <c r="H4769" s="50"/>
      <c r="I4769" s="50"/>
      <c r="O4769" s="36" t="s">
        <v>48</v>
      </c>
      <c r="R4769" s="36" t="s">
        <v>48</v>
      </c>
    </row>
    <row r="4770">
      <c r="H4770" s="50"/>
      <c r="I4770" s="50"/>
      <c r="O4770" s="36" t="s">
        <v>48</v>
      </c>
      <c r="R4770" s="36" t="s">
        <v>48</v>
      </c>
    </row>
    <row r="4771">
      <c r="H4771" s="50"/>
      <c r="I4771" s="50"/>
      <c r="O4771" s="36" t="s">
        <v>48</v>
      </c>
      <c r="R4771" s="36" t="s">
        <v>48</v>
      </c>
    </row>
    <row r="4772">
      <c r="H4772" s="50"/>
      <c r="I4772" s="50"/>
      <c r="O4772" s="36" t="s">
        <v>48</v>
      </c>
      <c r="R4772" s="36" t="s">
        <v>48</v>
      </c>
    </row>
    <row r="4773">
      <c r="H4773" s="50"/>
      <c r="I4773" s="50"/>
      <c r="O4773" s="36" t="s">
        <v>48</v>
      </c>
      <c r="R4773" s="36" t="s">
        <v>48</v>
      </c>
    </row>
    <row r="4774">
      <c r="H4774" s="50"/>
      <c r="I4774" s="50"/>
      <c r="O4774" s="36" t="s">
        <v>48</v>
      </c>
      <c r="R4774" s="36" t="s">
        <v>48</v>
      </c>
    </row>
    <row r="4775">
      <c r="H4775" s="50"/>
      <c r="I4775" s="50"/>
      <c r="O4775" s="36" t="s">
        <v>48</v>
      </c>
      <c r="R4775" s="36" t="s">
        <v>48</v>
      </c>
    </row>
    <row r="4776">
      <c r="H4776" s="50"/>
      <c r="I4776" s="50"/>
      <c r="O4776" s="36" t="s">
        <v>48</v>
      </c>
      <c r="R4776" s="36" t="s">
        <v>48</v>
      </c>
    </row>
    <row r="4777">
      <c r="H4777" s="50"/>
      <c r="I4777" s="50"/>
      <c r="O4777" s="36" t="s">
        <v>48</v>
      </c>
      <c r="R4777" s="36" t="s">
        <v>48</v>
      </c>
    </row>
    <row r="4778">
      <c r="H4778" s="50"/>
      <c r="I4778" s="50"/>
      <c r="O4778" s="36" t="s">
        <v>48</v>
      </c>
      <c r="R4778" s="36" t="s">
        <v>48</v>
      </c>
    </row>
    <row r="4779">
      <c r="H4779" s="50"/>
      <c r="I4779" s="50"/>
      <c r="O4779" s="36" t="s">
        <v>48</v>
      </c>
      <c r="R4779" s="36" t="s">
        <v>48</v>
      </c>
    </row>
    <row r="4780">
      <c r="H4780" s="50"/>
      <c r="I4780" s="50"/>
      <c r="O4780" s="36" t="s">
        <v>48</v>
      </c>
      <c r="R4780" s="36" t="s">
        <v>48</v>
      </c>
    </row>
    <row r="4781">
      <c r="H4781" s="50"/>
      <c r="I4781" s="50"/>
      <c r="O4781" s="36" t="s">
        <v>48</v>
      </c>
      <c r="R4781" s="36" t="s">
        <v>48</v>
      </c>
    </row>
    <row r="4782">
      <c r="H4782" s="50"/>
      <c r="I4782" s="50"/>
      <c r="O4782" s="36" t="s">
        <v>48</v>
      </c>
      <c r="R4782" s="36" t="s">
        <v>48</v>
      </c>
    </row>
    <row r="4783">
      <c r="H4783" s="50"/>
      <c r="I4783" s="50"/>
      <c r="O4783" s="36" t="s">
        <v>48</v>
      </c>
      <c r="R4783" s="36" t="s">
        <v>48</v>
      </c>
    </row>
    <row r="4784">
      <c r="H4784" s="50"/>
      <c r="I4784" s="50"/>
      <c r="O4784" s="36" t="s">
        <v>48</v>
      </c>
      <c r="R4784" s="36" t="s">
        <v>48</v>
      </c>
    </row>
    <row r="4785">
      <c r="H4785" s="50"/>
      <c r="I4785" s="50"/>
      <c r="O4785" s="36" t="s">
        <v>48</v>
      </c>
      <c r="R4785" s="36" t="s">
        <v>48</v>
      </c>
    </row>
    <row r="4786">
      <c r="H4786" s="50"/>
      <c r="I4786" s="50"/>
      <c r="O4786" s="36" t="s">
        <v>48</v>
      </c>
      <c r="R4786" s="36" t="s">
        <v>48</v>
      </c>
    </row>
    <row r="4787">
      <c r="H4787" s="50"/>
      <c r="I4787" s="50"/>
      <c r="O4787" s="36" t="s">
        <v>48</v>
      </c>
      <c r="R4787" s="36" t="s">
        <v>48</v>
      </c>
    </row>
    <row r="4788">
      <c r="H4788" s="50"/>
      <c r="I4788" s="50"/>
      <c r="O4788" s="36" t="s">
        <v>48</v>
      </c>
      <c r="R4788" s="36" t="s">
        <v>48</v>
      </c>
    </row>
    <row r="4789">
      <c r="H4789" s="50"/>
      <c r="I4789" s="50"/>
      <c r="O4789" s="36" t="s">
        <v>48</v>
      </c>
      <c r="R4789" s="36" t="s">
        <v>48</v>
      </c>
    </row>
    <row r="4790">
      <c r="H4790" s="50"/>
      <c r="I4790" s="50"/>
      <c r="O4790" s="36" t="s">
        <v>48</v>
      </c>
      <c r="R4790" s="36" t="s">
        <v>48</v>
      </c>
    </row>
    <row r="4791">
      <c r="H4791" s="50"/>
      <c r="I4791" s="50"/>
      <c r="O4791" s="36" t="s">
        <v>48</v>
      </c>
      <c r="R4791" s="36" t="s">
        <v>48</v>
      </c>
    </row>
    <row r="4792">
      <c r="H4792" s="50"/>
      <c r="I4792" s="50"/>
      <c r="O4792" s="36" t="s">
        <v>48</v>
      </c>
      <c r="R4792" s="36" t="s">
        <v>48</v>
      </c>
    </row>
    <row r="4793">
      <c r="H4793" s="50"/>
      <c r="I4793" s="50"/>
      <c r="O4793" s="36" t="s">
        <v>48</v>
      </c>
      <c r="R4793" s="36" t="s">
        <v>48</v>
      </c>
    </row>
    <row r="4794">
      <c r="H4794" s="50"/>
      <c r="I4794" s="50"/>
      <c r="O4794" s="36" t="s">
        <v>48</v>
      </c>
      <c r="R4794" s="36" t="s">
        <v>48</v>
      </c>
    </row>
    <row r="4795">
      <c r="H4795" s="50"/>
      <c r="I4795" s="50"/>
      <c r="O4795" s="36" t="s">
        <v>48</v>
      </c>
      <c r="R4795" s="36" t="s">
        <v>48</v>
      </c>
    </row>
    <row r="4796">
      <c r="H4796" s="50"/>
      <c r="I4796" s="50"/>
      <c r="O4796" s="36" t="s">
        <v>48</v>
      </c>
      <c r="R4796" s="36" t="s">
        <v>48</v>
      </c>
    </row>
    <row r="4797">
      <c r="H4797" s="50"/>
      <c r="I4797" s="50"/>
      <c r="O4797" s="36" t="s">
        <v>48</v>
      </c>
      <c r="R4797" s="36" t="s">
        <v>48</v>
      </c>
    </row>
    <row r="4798">
      <c r="H4798" s="50"/>
      <c r="I4798" s="50"/>
      <c r="O4798" s="36" t="s">
        <v>48</v>
      </c>
      <c r="R4798" s="36" t="s">
        <v>48</v>
      </c>
    </row>
    <row r="4799">
      <c r="H4799" s="50"/>
      <c r="I4799" s="50"/>
      <c r="O4799" s="36" t="s">
        <v>48</v>
      </c>
      <c r="R4799" s="36" t="s">
        <v>48</v>
      </c>
    </row>
    <row r="4800">
      <c r="H4800" s="50"/>
      <c r="I4800" s="50"/>
      <c r="O4800" s="36" t="s">
        <v>48</v>
      </c>
      <c r="R4800" s="36" t="s">
        <v>48</v>
      </c>
    </row>
    <row r="4801">
      <c r="H4801" s="50"/>
      <c r="I4801" s="50"/>
      <c r="O4801" s="36" t="s">
        <v>48</v>
      </c>
      <c r="R4801" s="36" t="s">
        <v>48</v>
      </c>
    </row>
    <row r="4802">
      <c r="H4802" s="50"/>
      <c r="I4802" s="50"/>
      <c r="O4802" s="36" t="s">
        <v>48</v>
      </c>
      <c r="R4802" s="36" t="s">
        <v>48</v>
      </c>
    </row>
    <row r="4803">
      <c r="H4803" s="50"/>
      <c r="I4803" s="50"/>
      <c r="O4803" s="36" t="s">
        <v>48</v>
      </c>
      <c r="R4803" s="36" t="s">
        <v>48</v>
      </c>
    </row>
    <row r="4804">
      <c r="H4804" s="50"/>
      <c r="I4804" s="50"/>
      <c r="O4804" s="36" t="s">
        <v>48</v>
      </c>
      <c r="R4804" s="36" t="s">
        <v>48</v>
      </c>
    </row>
    <row r="4805">
      <c r="H4805" s="50"/>
      <c r="I4805" s="50"/>
      <c r="O4805" s="36" t="s">
        <v>48</v>
      </c>
      <c r="R4805" s="36" t="s">
        <v>48</v>
      </c>
    </row>
    <row r="4806">
      <c r="H4806" s="50"/>
      <c r="I4806" s="50"/>
      <c r="O4806" s="36" t="s">
        <v>48</v>
      </c>
      <c r="R4806" s="36" t="s">
        <v>48</v>
      </c>
    </row>
    <row r="4807">
      <c r="H4807" s="50"/>
      <c r="I4807" s="50"/>
      <c r="O4807" s="36" t="s">
        <v>48</v>
      </c>
      <c r="R4807" s="36" t="s">
        <v>48</v>
      </c>
    </row>
    <row r="4808">
      <c r="H4808" s="50"/>
      <c r="I4808" s="50"/>
      <c r="O4808" s="36" t="s">
        <v>48</v>
      </c>
      <c r="R4808" s="36" t="s">
        <v>48</v>
      </c>
    </row>
    <row r="4809">
      <c r="H4809" s="50"/>
      <c r="I4809" s="50"/>
      <c r="O4809" s="36" t="s">
        <v>48</v>
      </c>
      <c r="R4809" s="36" t="s">
        <v>48</v>
      </c>
    </row>
    <row r="4810">
      <c r="H4810" s="50"/>
      <c r="I4810" s="50"/>
      <c r="O4810" s="36" t="s">
        <v>48</v>
      </c>
      <c r="R4810" s="36" t="s">
        <v>48</v>
      </c>
    </row>
    <row r="4811">
      <c r="H4811" s="50"/>
      <c r="I4811" s="50"/>
      <c r="O4811" s="36" t="s">
        <v>48</v>
      </c>
      <c r="R4811" s="36" t="s">
        <v>48</v>
      </c>
    </row>
    <row r="4812">
      <c r="H4812" s="50"/>
      <c r="I4812" s="50"/>
      <c r="O4812" s="36" t="s">
        <v>48</v>
      </c>
      <c r="R4812" s="36" t="s">
        <v>48</v>
      </c>
    </row>
    <row r="4813">
      <c r="H4813" s="50"/>
      <c r="I4813" s="50"/>
      <c r="O4813" s="36" t="s">
        <v>48</v>
      </c>
      <c r="R4813" s="36" t="s">
        <v>48</v>
      </c>
    </row>
    <row r="4814">
      <c r="H4814" s="50"/>
      <c r="I4814" s="50"/>
      <c r="O4814" s="36" t="s">
        <v>48</v>
      </c>
      <c r="R4814" s="36" t="s">
        <v>48</v>
      </c>
    </row>
    <row r="4815">
      <c r="H4815" s="50"/>
      <c r="I4815" s="50"/>
      <c r="O4815" s="36" t="s">
        <v>48</v>
      </c>
      <c r="R4815" s="36" t="s">
        <v>48</v>
      </c>
    </row>
    <row r="4816">
      <c r="H4816" s="50"/>
      <c r="I4816" s="50"/>
      <c r="O4816" s="36" t="s">
        <v>48</v>
      </c>
      <c r="R4816" s="36" t="s">
        <v>48</v>
      </c>
    </row>
    <row r="4817">
      <c r="H4817" s="50"/>
      <c r="I4817" s="50"/>
      <c r="O4817" s="36" t="s">
        <v>48</v>
      </c>
      <c r="R4817" s="36" t="s">
        <v>48</v>
      </c>
    </row>
    <row r="4818">
      <c r="H4818" s="50"/>
      <c r="I4818" s="50"/>
      <c r="O4818" s="36" t="s">
        <v>48</v>
      </c>
      <c r="R4818" s="36" t="s">
        <v>48</v>
      </c>
    </row>
    <row r="4819">
      <c r="H4819" s="50"/>
      <c r="I4819" s="50"/>
      <c r="O4819" s="36" t="s">
        <v>48</v>
      </c>
      <c r="R4819" s="36" t="s">
        <v>48</v>
      </c>
    </row>
    <row r="4820">
      <c r="H4820" s="50"/>
      <c r="I4820" s="50"/>
      <c r="O4820" s="36" t="s">
        <v>48</v>
      </c>
      <c r="R4820" s="36" t="s">
        <v>48</v>
      </c>
    </row>
    <row r="4821">
      <c r="H4821" s="50"/>
      <c r="I4821" s="50"/>
      <c r="O4821" s="36" t="s">
        <v>48</v>
      </c>
      <c r="R4821" s="36" t="s">
        <v>48</v>
      </c>
    </row>
    <row r="4822">
      <c r="H4822" s="50"/>
      <c r="I4822" s="50"/>
      <c r="O4822" s="36" t="s">
        <v>48</v>
      </c>
      <c r="R4822" s="36" t="s">
        <v>48</v>
      </c>
    </row>
    <row r="4823">
      <c r="H4823" s="50"/>
      <c r="I4823" s="50"/>
      <c r="O4823" s="36" t="s">
        <v>48</v>
      </c>
      <c r="R4823" s="36" t="s">
        <v>48</v>
      </c>
    </row>
    <row r="4824">
      <c r="H4824" s="50"/>
      <c r="I4824" s="50"/>
      <c r="O4824" s="36" t="s">
        <v>48</v>
      </c>
      <c r="R4824" s="36" t="s">
        <v>48</v>
      </c>
    </row>
    <row r="4825">
      <c r="H4825" s="50"/>
      <c r="I4825" s="50"/>
      <c r="O4825" s="36" t="s">
        <v>48</v>
      </c>
      <c r="R4825" s="36" t="s">
        <v>48</v>
      </c>
    </row>
    <row r="4826">
      <c r="H4826" s="50"/>
      <c r="I4826" s="50"/>
      <c r="O4826" s="36" t="s">
        <v>48</v>
      </c>
      <c r="R4826" s="36" t="s">
        <v>48</v>
      </c>
    </row>
    <row r="4827">
      <c r="H4827" s="50"/>
      <c r="I4827" s="50"/>
      <c r="O4827" s="36" t="s">
        <v>48</v>
      </c>
      <c r="R4827" s="36" t="s">
        <v>48</v>
      </c>
    </row>
    <row r="4828">
      <c r="H4828" s="50"/>
      <c r="I4828" s="50"/>
      <c r="O4828" s="36" t="s">
        <v>48</v>
      </c>
      <c r="R4828" s="36" t="s">
        <v>48</v>
      </c>
    </row>
    <row r="4829">
      <c r="H4829" s="50"/>
      <c r="I4829" s="50"/>
      <c r="O4829" s="36" t="s">
        <v>48</v>
      </c>
      <c r="R4829" s="36" t="s">
        <v>48</v>
      </c>
    </row>
    <row r="4830">
      <c r="H4830" s="50"/>
      <c r="I4830" s="50"/>
      <c r="O4830" s="36" t="s">
        <v>48</v>
      </c>
      <c r="R4830" s="36" t="s">
        <v>48</v>
      </c>
    </row>
    <row r="4831">
      <c r="H4831" s="50"/>
      <c r="I4831" s="50"/>
      <c r="O4831" s="36" t="s">
        <v>48</v>
      </c>
      <c r="R4831" s="36" t="s">
        <v>48</v>
      </c>
    </row>
    <row r="4832">
      <c r="H4832" s="50"/>
      <c r="I4832" s="50"/>
      <c r="O4832" s="36" t="s">
        <v>48</v>
      </c>
      <c r="R4832" s="36" t="s">
        <v>48</v>
      </c>
    </row>
    <row r="4833">
      <c r="H4833" s="50"/>
      <c r="I4833" s="50"/>
      <c r="O4833" s="36" t="s">
        <v>48</v>
      </c>
      <c r="R4833" s="36" t="s">
        <v>48</v>
      </c>
    </row>
    <row r="4834">
      <c r="H4834" s="50"/>
      <c r="I4834" s="50"/>
      <c r="O4834" s="36" t="s">
        <v>48</v>
      </c>
      <c r="R4834" s="36" t="s">
        <v>48</v>
      </c>
    </row>
    <row r="4835">
      <c r="H4835" s="50"/>
      <c r="I4835" s="50"/>
      <c r="O4835" s="36" t="s">
        <v>48</v>
      </c>
      <c r="R4835" s="36" t="s">
        <v>48</v>
      </c>
    </row>
    <row r="4836">
      <c r="H4836" s="50"/>
      <c r="I4836" s="50"/>
      <c r="O4836" s="36" t="s">
        <v>48</v>
      </c>
      <c r="R4836" s="36" t="s">
        <v>48</v>
      </c>
    </row>
    <row r="4837">
      <c r="H4837" s="50"/>
      <c r="I4837" s="50"/>
      <c r="O4837" s="36" t="s">
        <v>48</v>
      </c>
      <c r="R4837" s="36" t="s">
        <v>48</v>
      </c>
    </row>
    <row r="4838">
      <c r="H4838" s="50"/>
      <c r="I4838" s="50"/>
      <c r="O4838" s="36" t="s">
        <v>48</v>
      </c>
      <c r="R4838" s="36" t="s">
        <v>48</v>
      </c>
    </row>
    <row r="4839">
      <c r="H4839" s="50"/>
      <c r="I4839" s="50"/>
      <c r="O4839" s="36" t="s">
        <v>48</v>
      </c>
      <c r="R4839" s="36" t="s">
        <v>48</v>
      </c>
    </row>
    <row r="4840">
      <c r="H4840" s="50"/>
      <c r="I4840" s="50"/>
      <c r="O4840" s="36" t="s">
        <v>48</v>
      </c>
      <c r="R4840" s="36" t="s">
        <v>48</v>
      </c>
    </row>
    <row r="4841">
      <c r="H4841" s="50"/>
      <c r="I4841" s="50"/>
      <c r="O4841" s="36" t="s">
        <v>48</v>
      </c>
      <c r="R4841" s="36" t="s">
        <v>48</v>
      </c>
    </row>
    <row r="4842">
      <c r="H4842" s="50"/>
      <c r="I4842" s="50"/>
      <c r="O4842" s="36" t="s">
        <v>48</v>
      </c>
      <c r="R4842" s="36" t="s">
        <v>48</v>
      </c>
    </row>
    <row r="4843">
      <c r="H4843" s="50"/>
      <c r="I4843" s="50"/>
      <c r="O4843" s="36" t="s">
        <v>48</v>
      </c>
      <c r="R4843" s="36" t="s">
        <v>48</v>
      </c>
    </row>
    <row r="4844">
      <c r="H4844" s="50"/>
      <c r="I4844" s="50"/>
      <c r="O4844" s="36" t="s">
        <v>48</v>
      </c>
      <c r="R4844" s="36" t="s">
        <v>48</v>
      </c>
    </row>
    <row r="4845">
      <c r="H4845" s="50"/>
      <c r="I4845" s="50"/>
      <c r="O4845" s="36" t="s">
        <v>48</v>
      </c>
      <c r="R4845" s="36" t="s">
        <v>48</v>
      </c>
    </row>
    <row r="4846">
      <c r="H4846" s="50"/>
      <c r="I4846" s="50"/>
      <c r="O4846" s="36" t="s">
        <v>48</v>
      </c>
      <c r="R4846" s="36" t="s">
        <v>48</v>
      </c>
    </row>
    <row r="4847">
      <c r="H4847" s="50"/>
      <c r="I4847" s="50"/>
      <c r="O4847" s="36" t="s">
        <v>48</v>
      </c>
      <c r="R4847" s="36" t="s">
        <v>48</v>
      </c>
    </row>
    <row r="4848">
      <c r="H4848" s="50"/>
      <c r="I4848" s="50"/>
      <c r="O4848" s="36" t="s">
        <v>48</v>
      </c>
      <c r="R4848" s="36" t="s">
        <v>48</v>
      </c>
    </row>
    <row r="4849">
      <c r="H4849" s="50"/>
      <c r="I4849" s="50"/>
      <c r="O4849" s="36" t="s">
        <v>48</v>
      </c>
      <c r="R4849" s="36" t="s">
        <v>48</v>
      </c>
    </row>
    <row r="4850">
      <c r="H4850" s="50"/>
      <c r="I4850" s="50"/>
      <c r="O4850" s="36" t="s">
        <v>48</v>
      </c>
      <c r="R4850" s="36" t="s">
        <v>48</v>
      </c>
    </row>
    <row r="4851">
      <c r="H4851" s="50"/>
      <c r="I4851" s="50"/>
      <c r="O4851" s="36" t="s">
        <v>48</v>
      </c>
      <c r="R4851" s="36" t="s">
        <v>48</v>
      </c>
    </row>
    <row r="4852">
      <c r="H4852" s="50"/>
      <c r="I4852" s="50"/>
      <c r="O4852" s="36" t="s">
        <v>48</v>
      </c>
      <c r="R4852" s="36" t="s">
        <v>48</v>
      </c>
    </row>
    <row r="4853">
      <c r="H4853" s="50"/>
      <c r="I4853" s="50"/>
      <c r="O4853" s="36" t="s">
        <v>48</v>
      </c>
      <c r="R4853" s="36" t="s">
        <v>48</v>
      </c>
    </row>
    <row r="4854">
      <c r="H4854" s="50"/>
      <c r="I4854" s="50"/>
      <c r="O4854" s="36" t="s">
        <v>48</v>
      </c>
      <c r="R4854" s="36" t="s">
        <v>48</v>
      </c>
    </row>
    <row r="4855">
      <c r="H4855" s="50"/>
      <c r="I4855" s="50"/>
      <c r="O4855" s="36" t="s">
        <v>48</v>
      </c>
      <c r="R4855" s="36" t="s">
        <v>48</v>
      </c>
    </row>
    <row r="4856">
      <c r="H4856" s="50"/>
      <c r="I4856" s="50"/>
      <c r="O4856" s="36" t="s">
        <v>48</v>
      </c>
      <c r="R4856" s="36" t="s">
        <v>48</v>
      </c>
    </row>
    <row r="4857">
      <c r="H4857" s="50"/>
      <c r="I4857" s="50"/>
      <c r="O4857" s="36" t="s">
        <v>48</v>
      </c>
      <c r="R4857" s="36" t="s">
        <v>48</v>
      </c>
    </row>
    <row r="4858">
      <c r="H4858" s="50"/>
      <c r="I4858" s="50"/>
      <c r="O4858" s="36" t="s">
        <v>48</v>
      </c>
      <c r="R4858" s="36" t="s">
        <v>48</v>
      </c>
    </row>
    <row r="4859">
      <c r="H4859" s="50"/>
      <c r="I4859" s="50"/>
      <c r="O4859" s="36" t="s">
        <v>48</v>
      </c>
      <c r="R4859" s="36" t="s">
        <v>48</v>
      </c>
    </row>
    <row r="4860">
      <c r="H4860" s="50"/>
      <c r="I4860" s="50"/>
      <c r="O4860" s="36" t="s">
        <v>48</v>
      </c>
      <c r="R4860" s="36" t="s">
        <v>48</v>
      </c>
    </row>
    <row r="4861">
      <c r="H4861" s="50"/>
      <c r="I4861" s="50"/>
      <c r="O4861" s="36" t="s">
        <v>48</v>
      </c>
      <c r="R4861" s="36" t="s">
        <v>48</v>
      </c>
    </row>
    <row r="4862">
      <c r="H4862" s="50"/>
      <c r="I4862" s="50"/>
      <c r="O4862" s="36" t="s">
        <v>48</v>
      </c>
      <c r="R4862" s="36" t="s">
        <v>48</v>
      </c>
    </row>
    <row r="4863">
      <c r="H4863" s="50"/>
      <c r="I4863" s="50"/>
      <c r="O4863" s="36" t="s">
        <v>48</v>
      </c>
      <c r="R4863" s="36" t="s">
        <v>48</v>
      </c>
    </row>
    <row r="4864">
      <c r="H4864" s="50"/>
      <c r="I4864" s="50"/>
      <c r="O4864" s="36" t="s">
        <v>48</v>
      </c>
      <c r="R4864" s="36" t="s">
        <v>48</v>
      </c>
    </row>
    <row r="4865">
      <c r="H4865" s="50"/>
      <c r="I4865" s="50"/>
      <c r="O4865" s="36" t="s">
        <v>48</v>
      </c>
      <c r="R4865" s="36" t="s">
        <v>48</v>
      </c>
    </row>
    <row r="4866">
      <c r="H4866" s="50"/>
      <c r="I4866" s="50"/>
      <c r="O4866" s="36" t="s">
        <v>48</v>
      </c>
      <c r="R4866" s="36" t="s">
        <v>48</v>
      </c>
    </row>
    <row r="4867">
      <c r="H4867" s="50"/>
      <c r="I4867" s="50"/>
      <c r="O4867" s="36" t="s">
        <v>48</v>
      </c>
      <c r="R4867" s="36" t="s">
        <v>48</v>
      </c>
    </row>
    <row r="4868">
      <c r="H4868" s="50"/>
      <c r="I4868" s="50"/>
      <c r="O4868" s="36" t="s">
        <v>48</v>
      </c>
      <c r="R4868" s="36" t="s">
        <v>48</v>
      </c>
    </row>
    <row r="4869">
      <c r="H4869" s="50"/>
      <c r="I4869" s="50"/>
      <c r="O4869" s="36" t="s">
        <v>48</v>
      </c>
      <c r="R4869" s="36" t="s">
        <v>48</v>
      </c>
    </row>
    <row r="4870">
      <c r="H4870" s="50"/>
      <c r="I4870" s="50"/>
      <c r="O4870" s="36" t="s">
        <v>48</v>
      </c>
      <c r="R4870" s="36" t="s">
        <v>48</v>
      </c>
    </row>
    <row r="4871">
      <c r="H4871" s="50"/>
      <c r="I4871" s="50"/>
      <c r="O4871" s="36" t="s">
        <v>48</v>
      </c>
      <c r="R4871" s="36" t="s">
        <v>48</v>
      </c>
    </row>
    <row r="4872">
      <c r="H4872" s="50"/>
      <c r="I4872" s="50"/>
      <c r="O4872" s="36" t="s">
        <v>48</v>
      </c>
      <c r="R4872" s="36" t="s">
        <v>48</v>
      </c>
    </row>
    <row r="4873">
      <c r="H4873" s="50"/>
      <c r="I4873" s="50"/>
      <c r="O4873" s="36" t="s">
        <v>48</v>
      </c>
      <c r="R4873" s="36" t="s">
        <v>48</v>
      </c>
    </row>
    <row r="4874">
      <c r="H4874" s="50"/>
      <c r="I4874" s="50"/>
      <c r="O4874" s="36" t="s">
        <v>48</v>
      </c>
      <c r="R4874" s="36" t="s">
        <v>48</v>
      </c>
    </row>
    <row r="4875">
      <c r="H4875" s="50"/>
      <c r="I4875" s="50"/>
      <c r="O4875" s="36" t="s">
        <v>48</v>
      </c>
      <c r="R4875" s="36" t="s">
        <v>48</v>
      </c>
    </row>
    <row r="4876">
      <c r="H4876" s="50"/>
      <c r="I4876" s="50"/>
      <c r="O4876" s="36" t="s">
        <v>48</v>
      </c>
      <c r="R4876" s="36" t="s">
        <v>48</v>
      </c>
    </row>
    <row r="4877">
      <c r="H4877" s="50"/>
      <c r="I4877" s="50"/>
      <c r="O4877" s="36" t="s">
        <v>48</v>
      </c>
      <c r="R4877" s="36" t="s">
        <v>48</v>
      </c>
    </row>
    <row r="4878">
      <c r="H4878" s="50"/>
      <c r="I4878" s="50"/>
      <c r="O4878" s="36" t="s">
        <v>48</v>
      </c>
      <c r="R4878" s="36" t="s">
        <v>48</v>
      </c>
    </row>
    <row r="4879">
      <c r="H4879" s="50"/>
      <c r="I4879" s="50"/>
      <c r="O4879" s="36" t="s">
        <v>48</v>
      </c>
      <c r="R4879" s="36" t="s">
        <v>48</v>
      </c>
    </row>
    <row r="4880">
      <c r="H4880" s="50"/>
      <c r="I4880" s="50"/>
      <c r="O4880" s="36" t="s">
        <v>48</v>
      </c>
      <c r="R4880" s="36" t="s">
        <v>48</v>
      </c>
    </row>
    <row r="4881">
      <c r="H4881" s="50"/>
      <c r="I4881" s="50"/>
      <c r="O4881" s="36" t="s">
        <v>48</v>
      </c>
      <c r="R4881" s="36" t="s">
        <v>48</v>
      </c>
    </row>
    <row r="4882">
      <c r="H4882" s="50"/>
      <c r="I4882" s="50"/>
      <c r="O4882" s="36" t="s">
        <v>48</v>
      </c>
      <c r="R4882" s="36" t="s">
        <v>48</v>
      </c>
    </row>
    <row r="4883">
      <c r="H4883" s="50"/>
      <c r="I4883" s="50"/>
      <c r="O4883" s="36" t="s">
        <v>48</v>
      </c>
      <c r="R4883" s="36" t="s">
        <v>48</v>
      </c>
    </row>
    <row r="4884">
      <c r="H4884" s="50"/>
      <c r="I4884" s="50"/>
      <c r="O4884" s="36" t="s">
        <v>48</v>
      </c>
      <c r="R4884" s="36" t="s">
        <v>48</v>
      </c>
    </row>
    <row r="4885">
      <c r="H4885" s="50"/>
      <c r="I4885" s="50"/>
      <c r="O4885" s="36" t="s">
        <v>48</v>
      </c>
      <c r="R4885" s="36" t="s">
        <v>48</v>
      </c>
    </row>
    <row r="4886">
      <c r="H4886" s="50"/>
      <c r="I4886" s="50"/>
      <c r="O4886" s="36" t="s">
        <v>48</v>
      </c>
      <c r="R4886" s="36" t="s">
        <v>48</v>
      </c>
    </row>
    <row r="4887">
      <c r="H4887" s="50"/>
      <c r="I4887" s="50"/>
      <c r="O4887" s="36" t="s">
        <v>48</v>
      </c>
      <c r="R4887" s="36" t="s">
        <v>48</v>
      </c>
    </row>
    <row r="4888">
      <c r="H4888" s="50"/>
      <c r="I4888" s="50"/>
      <c r="O4888" s="36" t="s">
        <v>48</v>
      </c>
      <c r="R4888" s="36" t="s">
        <v>48</v>
      </c>
    </row>
    <row r="4889">
      <c r="H4889" s="50"/>
      <c r="I4889" s="50"/>
      <c r="O4889" s="36" t="s">
        <v>48</v>
      </c>
      <c r="R4889" s="36" t="s">
        <v>48</v>
      </c>
    </row>
    <row r="4890">
      <c r="H4890" s="50"/>
      <c r="I4890" s="50"/>
      <c r="O4890" s="36" t="s">
        <v>48</v>
      </c>
      <c r="R4890" s="36" t="s">
        <v>48</v>
      </c>
    </row>
    <row r="4891">
      <c r="H4891" s="50"/>
      <c r="I4891" s="50"/>
      <c r="O4891" s="36" t="s">
        <v>48</v>
      </c>
      <c r="R4891" s="36" t="s">
        <v>48</v>
      </c>
    </row>
    <row r="4892">
      <c r="H4892" s="50"/>
      <c r="I4892" s="50"/>
      <c r="O4892" s="36" t="s">
        <v>48</v>
      </c>
      <c r="R4892" s="36" t="s">
        <v>48</v>
      </c>
    </row>
    <row r="4893">
      <c r="H4893" s="50"/>
      <c r="I4893" s="50"/>
      <c r="O4893" s="36" t="s">
        <v>48</v>
      </c>
      <c r="R4893" s="36" t="s">
        <v>48</v>
      </c>
    </row>
    <row r="4894">
      <c r="H4894" s="50"/>
      <c r="I4894" s="50"/>
      <c r="O4894" s="36" t="s">
        <v>48</v>
      </c>
      <c r="R4894" s="36" t="s">
        <v>48</v>
      </c>
    </row>
    <row r="4895">
      <c r="H4895" s="50"/>
      <c r="I4895" s="50"/>
      <c r="O4895" s="36" t="s">
        <v>48</v>
      </c>
      <c r="R4895" s="36" t="s">
        <v>48</v>
      </c>
    </row>
    <row r="4896">
      <c r="H4896" s="50"/>
      <c r="I4896" s="50"/>
      <c r="O4896" s="36" t="s">
        <v>48</v>
      </c>
      <c r="R4896" s="36" t="s">
        <v>48</v>
      </c>
    </row>
    <row r="4897">
      <c r="H4897" s="50"/>
      <c r="I4897" s="50"/>
      <c r="O4897" s="36" t="s">
        <v>48</v>
      </c>
      <c r="R4897" s="36" t="s">
        <v>48</v>
      </c>
    </row>
    <row r="4898">
      <c r="H4898" s="50"/>
      <c r="I4898" s="50"/>
      <c r="O4898" s="36" t="s">
        <v>48</v>
      </c>
      <c r="R4898" s="36" t="s">
        <v>48</v>
      </c>
    </row>
    <row r="4899">
      <c r="H4899" s="50"/>
      <c r="I4899" s="50"/>
      <c r="O4899" s="36" t="s">
        <v>48</v>
      </c>
      <c r="R4899" s="36" t="s">
        <v>48</v>
      </c>
    </row>
    <row r="4900">
      <c r="H4900" s="50"/>
      <c r="I4900" s="50"/>
      <c r="O4900" s="36" t="s">
        <v>48</v>
      </c>
      <c r="R4900" s="36" t="s">
        <v>48</v>
      </c>
    </row>
    <row r="4901">
      <c r="H4901" s="50"/>
      <c r="I4901" s="50"/>
      <c r="O4901" s="36" t="s">
        <v>48</v>
      </c>
      <c r="R4901" s="36" t="s">
        <v>48</v>
      </c>
    </row>
    <row r="4902">
      <c r="H4902" s="50"/>
      <c r="I4902" s="50"/>
      <c r="O4902" s="36" t="s">
        <v>48</v>
      </c>
      <c r="R4902" s="36" t="s">
        <v>48</v>
      </c>
    </row>
    <row r="4903">
      <c r="H4903" s="50"/>
      <c r="I4903" s="50"/>
      <c r="O4903" s="36" t="s">
        <v>48</v>
      </c>
      <c r="R4903" s="36" t="s">
        <v>48</v>
      </c>
    </row>
    <row r="4904">
      <c r="H4904" s="50"/>
      <c r="I4904" s="50"/>
      <c r="O4904" s="36" t="s">
        <v>48</v>
      </c>
      <c r="R4904" s="36" t="s">
        <v>48</v>
      </c>
    </row>
    <row r="4905">
      <c r="H4905" s="50"/>
      <c r="I4905" s="50"/>
      <c r="O4905" s="36" t="s">
        <v>48</v>
      </c>
      <c r="R4905" s="36" t="s">
        <v>48</v>
      </c>
    </row>
    <row r="4906">
      <c r="H4906" s="50"/>
      <c r="I4906" s="50"/>
      <c r="O4906" s="36" t="s">
        <v>48</v>
      </c>
      <c r="R4906" s="36" t="s">
        <v>48</v>
      </c>
    </row>
    <row r="4907">
      <c r="H4907" s="50"/>
      <c r="I4907" s="50"/>
      <c r="O4907" s="36" t="s">
        <v>48</v>
      </c>
      <c r="R4907" s="36" t="s">
        <v>48</v>
      </c>
    </row>
    <row r="4908">
      <c r="H4908" s="50"/>
      <c r="I4908" s="50"/>
      <c r="O4908" s="36" t="s">
        <v>48</v>
      </c>
      <c r="R4908" s="36" t="s">
        <v>48</v>
      </c>
    </row>
    <row r="4909">
      <c r="H4909" s="50"/>
      <c r="I4909" s="50"/>
      <c r="O4909" s="36" t="s">
        <v>48</v>
      </c>
      <c r="R4909" s="36" t="s">
        <v>48</v>
      </c>
    </row>
    <row r="4910">
      <c r="H4910" s="50"/>
      <c r="I4910" s="50"/>
      <c r="O4910" s="36" t="s">
        <v>48</v>
      </c>
      <c r="R4910" s="36" t="s">
        <v>48</v>
      </c>
    </row>
    <row r="4911">
      <c r="H4911" s="50"/>
      <c r="I4911" s="50"/>
      <c r="O4911" s="36" t="s">
        <v>48</v>
      </c>
      <c r="R4911" s="36" t="s">
        <v>48</v>
      </c>
    </row>
    <row r="4912">
      <c r="H4912" s="50"/>
      <c r="I4912" s="50"/>
      <c r="O4912" s="36" t="s">
        <v>48</v>
      </c>
      <c r="R4912" s="36" t="s">
        <v>48</v>
      </c>
    </row>
    <row r="4913">
      <c r="H4913" s="50"/>
      <c r="I4913" s="50"/>
      <c r="O4913" s="36" t="s">
        <v>48</v>
      </c>
      <c r="R4913" s="36" t="s">
        <v>48</v>
      </c>
    </row>
    <row r="4914">
      <c r="H4914" s="50"/>
      <c r="I4914" s="50"/>
      <c r="O4914" s="36" t="s">
        <v>48</v>
      </c>
      <c r="R4914" s="36" t="s">
        <v>48</v>
      </c>
    </row>
    <row r="4915">
      <c r="H4915" s="50"/>
      <c r="I4915" s="50"/>
      <c r="O4915" s="36" t="s">
        <v>48</v>
      </c>
      <c r="R4915" s="36" t="s">
        <v>48</v>
      </c>
    </row>
    <row r="4916">
      <c r="H4916" s="50"/>
      <c r="I4916" s="50"/>
      <c r="O4916" s="36" t="s">
        <v>48</v>
      </c>
      <c r="R4916" s="36" t="s">
        <v>48</v>
      </c>
    </row>
    <row r="4917">
      <c r="H4917" s="50"/>
      <c r="I4917" s="50"/>
      <c r="O4917" s="36" t="s">
        <v>48</v>
      </c>
      <c r="R4917" s="36" t="s">
        <v>48</v>
      </c>
    </row>
    <row r="4918">
      <c r="H4918" s="50"/>
      <c r="I4918" s="50"/>
      <c r="O4918" s="36" t="s">
        <v>48</v>
      </c>
      <c r="R4918" s="36" t="s">
        <v>48</v>
      </c>
    </row>
    <row r="4919">
      <c r="H4919" s="50"/>
      <c r="I4919" s="50"/>
      <c r="O4919" s="36" t="s">
        <v>48</v>
      </c>
      <c r="R4919" s="36" t="s">
        <v>48</v>
      </c>
    </row>
    <row r="4920">
      <c r="H4920" s="50"/>
      <c r="I4920" s="50"/>
      <c r="O4920" s="36" t="s">
        <v>48</v>
      </c>
      <c r="R4920" s="36" t="s">
        <v>48</v>
      </c>
    </row>
    <row r="4921">
      <c r="H4921" s="50"/>
      <c r="I4921" s="50"/>
      <c r="O4921" s="36" t="s">
        <v>48</v>
      </c>
      <c r="R4921" s="36" t="s">
        <v>48</v>
      </c>
    </row>
    <row r="4922">
      <c r="H4922" s="50"/>
      <c r="I4922" s="50"/>
      <c r="O4922" s="36" t="s">
        <v>48</v>
      </c>
      <c r="R4922" s="36" t="s">
        <v>48</v>
      </c>
    </row>
    <row r="4923">
      <c r="H4923" s="50"/>
      <c r="I4923" s="50"/>
      <c r="O4923" s="36" t="s">
        <v>48</v>
      </c>
      <c r="R4923" s="36" t="s">
        <v>48</v>
      </c>
    </row>
    <row r="4924">
      <c r="H4924" s="50"/>
      <c r="I4924" s="50"/>
      <c r="O4924" s="36" t="s">
        <v>48</v>
      </c>
      <c r="R4924" s="36" t="s">
        <v>48</v>
      </c>
    </row>
    <row r="4925">
      <c r="H4925" s="50"/>
      <c r="I4925" s="50"/>
      <c r="O4925" s="36" t="s">
        <v>48</v>
      </c>
      <c r="R4925" s="36" t="s">
        <v>48</v>
      </c>
    </row>
    <row r="4926">
      <c r="H4926" s="50"/>
      <c r="I4926" s="50"/>
      <c r="O4926" s="36" t="s">
        <v>48</v>
      </c>
      <c r="R4926" s="36" t="s">
        <v>48</v>
      </c>
    </row>
    <row r="4927">
      <c r="H4927" s="50"/>
      <c r="I4927" s="50"/>
      <c r="O4927" s="36" t="s">
        <v>48</v>
      </c>
      <c r="R4927" s="36" t="s">
        <v>48</v>
      </c>
    </row>
    <row r="4928">
      <c r="H4928" s="50"/>
      <c r="I4928" s="50"/>
      <c r="O4928" s="36" t="s">
        <v>48</v>
      </c>
      <c r="R4928" s="36" t="s">
        <v>48</v>
      </c>
    </row>
    <row r="4929">
      <c r="H4929" s="50"/>
      <c r="I4929" s="50"/>
      <c r="O4929" s="36" t="s">
        <v>48</v>
      </c>
      <c r="R4929" s="36" t="s">
        <v>48</v>
      </c>
    </row>
    <row r="4930">
      <c r="H4930" s="50"/>
      <c r="I4930" s="50"/>
      <c r="O4930" s="36" t="s">
        <v>48</v>
      </c>
      <c r="R4930" s="36" t="s">
        <v>48</v>
      </c>
    </row>
    <row r="4931">
      <c r="H4931" s="50"/>
      <c r="I4931" s="50"/>
      <c r="O4931" s="36" t="s">
        <v>48</v>
      </c>
      <c r="R4931" s="36" t="s">
        <v>48</v>
      </c>
    </row>
    <row r="4932">
      <c r="H4932" s="50"/>
      <c r="I4932" s="50"/>
      <c r="O4932" s="36" t="s">
        <v>48</v>
      </c>
      <c r="R4932" s="36" t="s">
        <v>48</v>
      </c>
    </row>
    <row r="4933">
      <c r="H4933" s="50"/>
      <c r="I4933" s="50"/>
      <c r="O4933" s="36" t="s">
        <v>48</v>
      </c>
      <c r="R4933" s="36" t="s">
        <v>48</v>
      </c>
    </row>
    <row r="4934">
      <c r="H4934" s="50"/>
      <c r="I4934" s="50"/>
      <c r="O4934" s="36" t="s">
        <v>48</v>
      </c>
      <c r="R4934" s="36" t="s">
        <v>48</v>
      </c>
    </row>
    <row r="4935">
      <c r="H4935" s="50"/>
      <c r="I4935" s="50"/>
      <c r="O4935" s="36" t="s">
        <v>48</v>
      </c>
      <c r="R4935" s="36" t="s">
        <v>48</v>
      </c>
    </row>
    <row r="4936">
      <c r="H4936" s="50"/>
      <c r="I4936" s="50"/>
      <c r="O4936" s="36" t="s">
        <v>48</v>
      </c>
      <c r="R4936" s="36" t="s">
        <v>48</v>
      </c>
    </row>
    <row r="4937">
      <c r="H4937" s="50"/>
      <c r="I4937" s="50"/>
      <c r="O4937" s="36" t="s">
        <v>48</v>
      </c>
      <c r="R4937" s="36" t="s">
        <v>48</v>
      </c>
    </row>
    <row r="4938">
      <c r="H4938" s="50"/>
      <c r="I4938" s="50"/>
      <c r="O4938" s="36" t="s">
        <v>48</v>
      </c>
      <c r="R4938" s="36" t="s">
        <v>48</v>
      </c>
    </row>
    <row r="4939">
      <c r="H4939" s="50"/>
      <c r="I4939" s="50"/>
      <c r="O4939" s="36" t="s">
        <v>48</v>
      </c>
      <c r="R4939" s="36" t="s">
        <v>48</v>
      </c>
    </row>
    <row r="4940">
      <c r="H4940" s="50"/>
      <c r="I4940" s="50"/>
      <c r="O4940" s="36" t="s">
        <v>48</v>
      </c>
      <c r="R4940" s="36" t="s">
        <v>48</v>
      </c>
    </row>
    <row r="4941">
      <c r="H4941" s="50"/>
      <c r="I4941" s="50"/>
      <c r="O4941" s="36" t="s">
        <v>48</v>
      </c>
      <c r="R4941" s="36" t="s">
        <v>48</v>
      </c>
    </row>
    <row r="4942">
      <c r="H4942" s="50"/>
      <c r="I4942" s="50"/>
      <c r="O4942" s="36" t="s">
        <v>48</v>
      </c>
      <c r="R4942" s="36" t="s">
        <v>48</v>
      </c>
    </row>
    <row r="4943">
      <c r="H4943" s="50"/>
      <c r="I4943" s="50"/>
      <c r="O4943" s="36" t="s">
        <v>48</v>
      </c>
      <c r="R4943" s="36" t="s">
        <v>48</v>
      </c>
    </row>
    <row r="4944">
      <c r="H4944" s="50"/>
      <c r="I4944" s="50"/>
      <c r="O4944" s="36" t="s">
        <v>48</v>
      </c>
      <c r="R4944" s="36" t="s">
        <v>48</v>
      </c>
    </row>
    <row r="4945">
      <c r="H4945" s="50"/>
      <c r="I4945" s="50"/>
      <c r="O4945" s="36" t="s">
        <v>48</v>
      </c>
      <c r="R4945" s="36" t="s">
        <v>48</v>
      </c>
    </row>
    <row r="4946">
      <c r="H4946" s="50"/>
      <c r="I4946" s="50"/>
      <c r="O4946" s="36" t="s">
        <v>48</v>
      </c>
      <c r="R4946" s="36" t="s">
        <v>48</v>
      </c>
    </row>
    <row r="4947">
      <c r="H4947" s="50"/>
      <c r="I4947" s="50"/>
      <c r="O4947" s="36" t="s">
        <v>48</v>
      </c>
      <c r="R4947" s="36" t="s">
        <v>48</v>
      </c>
    </row>
    <row r="4948">
      <c r="H4948" s="50"/>
      <c r="I4948" s="50"/>
      <c r="O4948" s="36" t="s">
        <v>48</v>
      </c>
      <c r="R4948" s="36" t="s">
        <v>48</v>
      </c>
    </row>
    <row r="4949">
      <c r="H4949" s="50"/>
      <c r="I4949" s="50"/>
      <c r="O4949" s="36" t="s">
        <v>48</v>
      </c>
      <c r="R4949" s="36" t="s">
        <v>48</v>
      </c>
    </row>
    <row r="4950">
      <c r="H4950" s="50"/>
      <c r="I4950" s="50"/>
      <c r="O4950" s="36" t="s">
        <v>48</v>
      </c>
      <c r="R4950" s="36" t="s">
        <v>48</v>
      </c>
    </row>
    <row r="4951">
      <c r="H4951" s="50"/>
      <c r="I4951" s="50"/>
      <c r="O4951" s="36" t="s">
        <v>48</v>
      </c>
      <c r="R4951" s="36" t="s">
        <v>48</v>
      </c>
    </row>
    <row r="4952">
      <c r="H4952" s="50"/>
      <c r="I4952" s="50"/>
      <c r="O4952" s="36" t="s">
        <v>48</v>
      </c>
      <c r="R4952" s="36" t="s">
        <v>48</v>
      </c>
    </row>
    <row r="4953">
      <c r="H4953" s="50"/>
      <c r="I4953" s="50"/>
      <c r="O4953" s="36" t="s">
        <v>48</v>
      </c>
      <c r="R4953" s="36" t="s">
        <v>48</v>
      </c>
    </row>
    <row r="4954">
      <c r="H4954" s="50"/>
      <c r="I4954" s="50"/>
      <c r="O4954" s="36" t="s">
        <v>48</v>
      </c>
      <c r="R4954" s="36" t="s">
        <v>48</v>
      </c>
    </row>
    <row r="4955">
      <c r="H4955" s="50"/>
      <c r="I4955" s="50"/>
      <c r="O4955" s="36" t="s">
        <v>48</v>
      </c>
      <c r="R4955" s="36" t="s">
        <v>48</v>
      </c>
    </row>
    <row r="4956">
      <c r="H4956" s="50"/>
      <c r="I4956" s="50"/>
      <c r="O4956" s="36" t="s">
        <v>48</v>
      </c>
      <c r="R4956" s="36" t="s">
        <v>48</v>
      </c>
    </row>
    <row r="4957">
      <c r="H4957" s="50"/>
      <c r="I4957" s="50"/>
      <c r="O4957" s="36" t="s">
        <v>48</v>
      </c>
      <c r="R4957" s="36" t="s">
        <v>48</v>
      </c>
    </row>
    <row r="4958">
      <c r="H4958" s="50"/>
      <c r="I4958" s="50"/>
      <c r="O4958" s="36" t="s">
        <v>48</v>
      </c>
      <c r="R4958" s="36" t="s">
        <v>48</v>
      </c>
    </row>
    <row r="4959">
      <c r="H4959" s="50"/>
      <c r="I4959" s="50"/>
      <c r="O4959" s="36" t="s">
        <v>48</v>
      </c>
      <c r="R4959" s="36" t="s">
        <v>48</v>
      </c>
    </row>
    <row r="4960">
      <c r="H4960" s="50"/>
      <c r="I4960" s="50"/>
      <c r="O4960" s="36" t="s">
        <v>48</v>
      </c>
      <c r="R4960" s="36" t="s">
        <v>48</v>
      </c>
    </row>
    <row r="4961">
      <c r="H4961" s="50"/>
      <c r="I4961" s="50"/>
      <c r="O4961" s="36" t="s">
        <v>48</v>
      </c>
      <c r="R4961" s="36" t="s">
        <v>48</v>
      </c>
    </row>
    <row r="4962">
      <c r="H4962" s="50"/>
      <c r="I4962" s="50"/>
      <c r="O4962" s="36" t="s">
        <v>48</v>
      </c>
      <c r="R4962" s="36" t="s">
        <v>48</v>
      </c>
    </row>
    <row r="4963">
      <c r="H4963" s="50"/>
      <c r="I4963" s="50"/>
      <c r="O4963" s="36" t="s">
        <v>48</v>
      </c>
      <c r="R4963" s="36" t="s">
        <v>48</v>
      </c>
    </row>
    <row r="4964">
      <c r="H4964" s="50"/>
      <c r="I4964" s="50"/>
      <c r="O4964" s="36" t="s">
        <v>48</v>
      </c>
      <c r="R4964" s="36" t="s">
        <v>48</v>
      </c>
    </row>
    <row r="4965">
      <c r="H4965" s="50"/>
      <c r="I4965" s="50"/>
      <c r="O4965" s="36" t="s">
        <v>48</v>
      </c>
      <c r="R4965" s="36" t="s">
        <v>48</v>
      </c>
    </row>
    <row r="4966">
      <c r="H4966" s="50"/>
      <c r="I4966" s="50"/>
      <c r="O4966" s="36" t="s">
        <v>48</v>
      </c>
      <c r="R4966" s="36" t="s">
        <v>48</v>
      </c>
    </row>
    <row r="4967">
      <c r="H4967" s="50"/>
      <c r="I4967" s="50"/>
      <c r="O4967" s="36" t="s">
        <v>48</v>
      </c>
      <c r="R4967" s="36" t="s">
        <v>48</v>
      </c>
    </row>
    <row r="4968">
      <c r="H4968" s="50"/>
      <c r="I4968" s="50"/>
      <c r="O4968" s="36" t="s">
        <v>48</v>
      </c>
      <c r="R4968" s="36" t="s">
        <v>48</v>
      </c>
    </row>
    <row r="4969">
      <c r="H4969" s="50"/>
      <c r="I4969" s="50"/>
      <c r="O4969" s="36" t="s">
        <v>48</v>
      </c>
      <c r="R4969" s="36" t="s">
        <v>48</v>
      </c>
    </row>
    <row r="4970">
      <c r="H4970" s="50"/>
      <c r="I4970" s="50"/>
      <c r="O4970" s="36" t="s">
        <v>48</v>
      </c>
      <c r="R4970" s="36" t="s">
        <v>48</v>
      </c>
    </row>
    <row r="4971">
      <c r="H4971" s="50"/>
      <c r="I4971" s="50"/>
      <c r="O4971" s="36" t="s">
        <v>48</v>
      </c>
      <c r="R4971" s="36" t="s">
        <v>48</v>
      </c>
    </row>
    <row r="4972">
      <c r="H4972" s="50"/>
      <c r="I4972" s="50"/>
      <c r="O4972" s="36" t="s">
        <v>48</v>
      </c>
      <c r="R4972" s="36" t="s">
        <v>48</v>
      </c>
    </row>
    <row r="4973">
      <c r="H4973" s="50"/>
      <c r="I4973" s="50"/>
      <c r="O4973" s="36" t="s">
        <v>48</v>
      </c>
      <c r="R4973" s="36" t="s">
        <v>48</v>
      </c>
    </row>
    <row r="4974">
      <c r="H4974" s="50"/>
      <c r="I4974" s="50"/>
      <c r="O4974" s="36" t="s">
        <v>48</v>
      </c>
      <c r="R4974" s="36" t="s">
        <v>48</v>
      </c>
    </row>
    <row r="4975">
      <c r="H4975" s="50"/>
      <c r="I4975" s="50"/>
      <c r="O4975" s="36" t="s">
        <v>48</v>
      </c>
      <c r="R4975" s="36" t="s">
        <v>48</v>
      </c>
    </row>
    <row r="4976">
      <c r="H4976" s="50"/>
      <c r="I4976" s="50"/>
      <c r="O4976" s="36" t="s">
        <v>48</v>
      </c>
      <c r="R4976" s="36" t="s">
        <v>48</v>
      </c>
    </row>
    <row r="4977">
      <c r="H4977" s="50"/>
      <c r="I4977" s="50"/>
      <c r="O4977" s="36" t="s">
        <v>48</v>
      </c>
      <c r="R4977" s="36" t="s">
        <v>48</v>
      </c>
    </row>
    <row r="4978">
      <c r="H4978" s="50"/>
      <c r="I4978" s="50"/>
      <c r="O4978" s="36" t="s">
        <v>48</v>
      </c>
      <c r="R4978" s="36" t="s">
        <v>48</v>
      </c>
    </row>
    <row r="4979">
      <c r="H4979" s="50"/>
      <c r="I4979" s="50"/>
      <c r="O4979" s="36" t="s">
        <v>48</v>
      </c>
      <c r="R4979" s="36" t="s">
        <v>48</v>
      </c>
    </row>
    <row r="4980">
      <c r="H4980" s="50"/>
      <c r="I4980" s="50"/>
      <c r="O4980" s="36" t="s">
        <v>48</v>
      </c>
      <c r="R4980" s="36" t="s">
        <v>48</v>
      </c>
    </row>
    <row r="4981">
      <c r="H4981" s="50"/>
      <c r="I4981" s="50"/>
      <c r="O4981" s="36" t="s">
        <v>48</v>
      </c>
      <c r="R4981" s="36" t="s">
        <v>48</v>
      </c>
    </row>
    <row r="4982">
      <c r="H4982" s="50"/>
      <c r="I4982" s="50"/>
      <c r="O4982" s="36" t="s">
        <v>48</v>
      </c>
      <c r="R4982" s="36" t="s">
        <v>48</v>
      </c>
    </row>
    <row r="4983">
      <c r="H4983" s="50"/>
      <c r="I4983" s="50"/>
      <c r="O4983" s="36" t="s">
        <v>48</v>
      </c>
      <c r="R4983" s="36" t="s">
        <v>48</v>
      </c>
    </row>
    <row r="4984">
      <c r="H4984" s="50"/>
      <c r="I4984" s="50"/>
      <c r="O4984" s="36" t="s">
        <v>48</v>
      </c>
      <c r="R4984" s="36" t="s">
        <v>48</v>
      </c>
    </row>
    <row r="4985">
      <c r="H4985" s="50"/>
      <c r="I4985" s="50"/>
      <c r="O4985" s="36" t="s">
        <v>48</v>
      </c>
      <c r="R4985" s="36" t="s">
        <v>48</v>
      </c>
    </row>
    <row r="4986">
      <c r="H4986" s="50"/>
      <c r="I4986" s="50"/>
      <c r="O4986" s="36" t="s">
        <v>48</v>
      </c>
      <c r="R4986" s="36" t="s">
        <v>48</v>
      </c>
    </row>
    <row r="4987">
      <c r="H4987" s="50"/>
      <c r="I4987" s="50"/>
      <c r="O4987" s="36" t="s">
        <v>48</v>
      </c>
      <c r="R4987" s="36" t="s">
        <v>48</v>
      </c>
    </row>
    <row r="4988">
      <c r="H4988" s="50"/>
      <c r="I4988" s="50"/>
      <c r="O4988" s="36" t="s">
        <v>48</v>
      </c>
      <c r="R4988" s="36" t="s">
        <v>48</v>
      </c>
    </row>
    <row r="4989">
      <c r="H4989" s="50"/>
      <c r="I4989" s="50"/>
      <c r="O4989" s="36" t="s">
        <v>48</v>
      </c>
      <c r="R4989" s="36" t="s">
        <v>48</v>
      </c>
    </row>
    <row r="4990">
      <c r="H4990" s="50"/>
      <c r="I4990" s="50"/>
      <c r="O4990" s="36" t="s">
        <v>48</v>
      </c>
      <c r="R4990" s="36" t="s">
        <v>48</v>
      </c>
    </row>
    <row r="4991">
      <c r="H4991" s="50"/>
      <c r="I4991" s="50"/>
      <c r="O4991" s="36" t="s">
        <v>48</v>
      </c>
      <c r="R4991" s="36" t="s">
        <v>48</v>
      </c>
    </row>
    <row r="4992">
      <c r="H4992" s="50"/>
      <c r="I4992" s="50"/>
      <c r="O4992" s="36" t="s">
        <v>48</v>
      </c>
      <c r="R4992" s="36" t="s">
        <v>48</v>
      </c>
    </row>
    <row r="4993">
      <c r="H4993" s="50"/>
      <c r="I4993" s="50"/>
      <c r="O4993" s="36" t="s">
        <v>48</v>
      </c>
      <c r="R4993" s="36" t="s">
        <v>48</v>
      </c>
    </row>
    <row r="4994">
      <c r="H4994" s="50"/>
      <c r="I4994" s="50"/>
      <c r="O4994" s="36" t="s">
        <v>48</v>
      </c>
      <c r="R4994" s="36" t="s">
        <v>48</v>
      </c>
    </row>
    <row r="4995">
      <c r="H4995" s="50"/>
      <c r="I4995" s="50"/>
      <c r="O4995" s="36" t="s">
        <v>48</v>
      </c>
      <c r="R4995" s="36" t="s">
        <v>48</v>
      </c>
    </row>
    <row r="4996">
      <c r="H4996" s="50"/>
      <c r="I4996" s="50"/>
      <c r="O4996" s="36" t="s">
        <v>48</v>
      </c>
      <c r="R4996" s="36" t="s">
        <v>48</v>
      </c>
    </row>
    <row r="4997">
      <c r="H4997" s="50"/>
      <c r="I4997" s="50"/>
      <c r="O4997" s="36" t="s">
        <v>48</v>
      </c>
      <c r="R4997" s="36" t="s">
        <v>48</v>
      </c>
    </row>
    <row r="4998">
      <c r="H4998" s="50"/>
      <c r="I4998" s="50"/>
      <c r="O4998" s="36" t="s">
        <v>48</v>
      </c>
      <c r="R4998" s="36" t="s">
        <v>48</v>
      </c>
    </row>
    <row r="4999">
      <c r="H4999" s="50"/>
      <c r="I4999" s="50"/>
      <c r="O4999" s="36" t="s">
        <v>48</v>
      </c>
      <c r="R4999" s="36" t="s">
        <v>48</v>
      </c>
    </row>
    <row r="5000">
      <c r="H5000" s="50"/>
      <c r="I5000" s="50"/>
      <c r="O5000" s="36" t="s">
        <v>48</v>
      </c>
      <c r="R5000" s="36" t="s">
        <v>48</v>
      </c>
    </row>
    <row r="5001">
      <c r="H5001" s="50"/>
      <c r="I5001" s="50"/>
      <c r="O5001" s="36" t="s">
        <v>48</v>
      </c>
      <c r="R5001" s="36" t="s">
        <v>48</v>
      </c>
    </row>
    <row r="5002">
      <c r="H5002" s="50"/>
      <c r="I5002" s="50"/>
      <c r="O5002" s="36" t="s">
        <v>48</v>
      </c>
      <c r="R5002" s="36" t="s">
        <v>48</v>
      </c>
    </row>
    <row r="5003">
      <c r="H5003" s="50"/>
      <c r="I5003" s="50"/>
      <c r="O5003" s="36" t="s">
        <v>48</v>
      </c>
      <c r="R5003" s="36" t="s">
        <v>48</v>
      </c>
    </row>
    <row r="5004">
      <c r="H5004" s="50"/>
      <c r="I5004" s="50"/>
      <c r="O5004" s="36" t="s">
        <v>48</v>
      </c>
      <c r="R5004" s="36" t="s">
        <v>48</v>
      </c>
    </row>
    <row r="5005">
      <c r="H5005" s="50"/>
      <c r="I5005" s="50"/>
      <c r="O5005" s="36" t="s">
        <v>48</v>
      </c>
      <c r="R5005" s="36" t="s">
        <v>48</v>
      </c>
    </row>
    <row r="5006">
      <c r="H5006" s="50"/>
      <c r="I5006" s="50"/>
      <c r="O5006" s="36" t="s">
        <v>48</v>
      </c>
      <c r="R5006" s="36" t="s">
        <v>48</v>
      </c>
    </row>
    <row r="5007">
      <c r="H5007" s="50"/>
      <c r="I5007" s="50"/>
      <c r="O5007" s="36" t="s">
        <v>48</v>
      </c>
      <c r="R5007" s="36" t="s">
        <v>48</v>
      </c>
    </row>
    <row r="5008">
      <c r="H5008" s="50"/>
      <c r="I5008" s="50"/>
      <c r="O5008" s="36" t="s">
        <v>48</v>
      </c>
      <c r="R5008" s="36" t="s">
        <v>48</v>
      </c>
    </row>
    <row r="5009">
      <c r="H5009" s="50"/>
      <c r="I5009" s="50"/>
      <c r="O5009" s="36" t="s">
        <v>48</v>
      </c>
      <c r="R5009" s="36" t="s">
        <v>48</v>
      </c>
    </row>
    <row r="5010">
      <c r="H5010" s="50"/>
      <c r="I5010" s="50"/>
      <c r="O5010" s="36" t="s">
        <v>48</v>
      </c>
      <c r="R5010" s="36" t="s">
        <v>48</v>
      </c>
    </row>
    <row r="5011">
      <c r="H5011" s="50"/>
      <c r="I5011" s="50"/>
      <c r="O5011" s="36" t="s">
        <v>48</v>
      </c>
      <c r="R5011" s="36" t="s">
        <v>48</v>
      </c>
    </row>
    <row r="5012">
      <c r="H5012" s="50"/>
      <c r="I5012" s="50"/>
      <c r="O5012" s="36" t="s">
        <v>48</v>
      </c>
      <c r="R5012" s="36" t="s">
        <v>48</v>
      </c>
    </row>
    <row r="5013">
      <c r="H5013" s="50"/>
      <c r="I5013" s="50"/>
      <c r="O5013" s="36" t="s">
        <v>48</v>
      </c>
      <c r="R5013" s="36" t="s">
        <v>48</v>
      </c>
    </row>
    <row r="5014">
      <c r="H5014" s="50"/>
      <c r="I5014" s="50"/>
      <c r="O5014" s="36" t="s">
        <v>48</v>
      </c>
      <c r="R5014" s="36" t="s">
        <v>48</v>
      </c>
    </row>
    <row r="5015">
      <c r="H5015" s="50"/>
      <c r="I5015" s="50"/>
      <c r="O5015" s="36" t="s">
        <v>48</v>
      </c>
      <c r="R5015" s="36" t="s">
        <v>48</v>
      </c>
    </row>
    <row r="5016">
      <c r="H5016" s="50"/>
      <c r="I5016" s="50"/>
      <c r="O5016" s="36" t="s">
        <v>48</v>
      </c>
      <c r="R5016" s="36" t="s">
        <v>48</v>
      </c>
    </row>
    <row r="5017">
      <c r="H5017" s="50"/>
      <c r="I5017" s="50"/>
      <c r="O5017" s="36" t="s">
        <v>48</v>
      </c>
      <c r="R5017" s="36" t="s">
        <v>48</v>
      </c>
    </row>
    <row r="5018">
      <c r="H5018" s="50"/>
      <c r="I5018" s="50"/>
      <c r="O5018" s="36" t="s">
        <v>48</v>
      </c>
      <c r="R5018" s="36" t="s">
        <v>48</v>
      </c>
    </row>
    <row r="5019">
      <c r="H5019" s="50"/>
      <c r="I5019" s="50"/>
      <c r="O5019" s="36" t="s">
        <v>48</v>
      </c>
      <c r="R5019" s="36" t="s">
        <v>48</v>
      </c>
    </row>
    <row r="5020">
      <c r="H5020" s="50"/>
      <c r="I5020" s="50"/>
      <c r="O5020" s="36" t="s">
        <v>48</v>
      </c>
      <c r="R5020" s="36" t="s">
        <v>48</v>
      </c>
    </row>
    <row r="5021">
      <c r="H5021" s="50"/>
      <c r="I5021" s="50"/>
      <c r="O5021" s="36" t="s">
        <v>48</v>
      </c>
      <c r="R5021" s="36" t="s">
        <v>48</v>
      </c>
    </row>
    <row r="5022">
      <c r="H5022" s="50"/>
      <c r="I5022" s="50"/>
      <c r="O5022" s="36" t="s">
        <v>48</v>
      </c>
      <c r="R5022" s="36" t="s">
        <v>48</v>
      </c>
    </row>
    <row r="5023">
      <c r="H5023" s="50"/>
      <c r="I5023" s="50"/>
      <c r="O5023" s="36" t="s">
        <v>48</v>
      </c>
      <c r="R5023" s="36" t="s">
        <v>48</v>
      </c>
    </row>
    <row r="5024">
      <c r="H5024" s="50"/>
      <c r="I5024" s="50"/>
      <c r="O5024" s="36" t="s">
        <v>48</v>
      </c>
      <c r="R5024" s="36" t="s">
        <v>48</v>
      </c>
    </row>
    <row r="5025">
      <c r="H5025" s="50"/>
      <c r="I5025" s="50"/>
      <c r="O5025" s="36" t="s">
        <v>48</v>
      </c>
      <c r="R5025" s="36" t="s">
        <v>48</v>
      </c>
    </row>
    <row r="5026">
      <c r="H5026" s="50"/>
      <c r="I5026" s="50"/>
      <c r="O5026" s="36" t="s">
        <v>48</v>
      </c>
      <c r="R5026" s="36" t="s">
        <v>48</v>
      </c>
    </row>
    <row r="5027">
      <c r="H5027" s="50"/>
      <c r="I5027" s="50"/>
      <c r="O5027" s="36" t="s">
        <v>48</v>
      </c>
      <c r="R5027" s="36" t="s">
        <v>48</v>
      </c>
    </row>
    <row r="5028">
      <c r="H5028" s="50"/>
      <c r="I5028" s="50"/>
      <c r="O5028" s="36" t="s">
        <v>48</v>
      </c>
      <c r="R5028" s="36" t="s">
        <v>48</v>
      </c>
    </row>
    <row r="5029">
      <c r="H5029" s="50"/>
      <c r="I5029" s="50"/>
      <c r="O5029" s="36" t="s">
        <v>48</v>
      </c>
      <c r="R5029" s="36" t="s">
        <v>48</v>
      </c>
    </row>
    <row r="5030">
      <c r="H5030" s="50"/>
      <c r="I5030" s="50"/>
      <c r="O5030" s="36" t="s">
        <v>48</v>
      </c>
      <c r="R5030" s="36" t="s">
        <v>48</v>
      </c>
    </row>
    <row r="5031">
      <c r="H5031" s="50"/>
      <c r="I5031" s="50"/>
      <c r="O5031" s="36" t="s">
        <v>48</v>
      </c>
      <c r="R5031" s="36" t="s">
        <v>48</v>
      </c>
    </row>
    <row r="5032">
      <c r="H5032" s="50"/>
      <c r="I5032" s="50"/>
      <c r="O5032" s="36" t="s">
        <v>48</v>
      </c>
      <c r="R5032" s="36" t="s">
        <v>48</v>
      </c>
    </row>
    <row r="5033">
      <c r="H5033" s="50"/>
      <c r="I5033" s="50"/>
      <c r="O5033" s="36" t="s">
        <v>48</v>
      </c>
      <c r="R5033" s="36" t="s">
        <v>48</v>
      </c>
    </row>
    <row r="5034">
      <c r="H5034" s="50"/>
      <c r="I5034" s="50"/>
      <c r="O5034" s="36" t="s">
        <v>48</v>
      </c>
      <c r="R5034" s="36" t="s">
        <v>48</v>
      </c>
    </row>
    <row r="5035">
      <c r="H5035" s="50"/>
      <c r="I5035" s="50"/>
      <c r="O5035" s="36" t="s">
        <v>48</v>
      </c>
      <c r="R5035" s="36" t="s">
        <v>48</v>
      </c>
    </row>
    <row r="5036">
      <c r="H5036" s="50"/>
      <c r="I5036" s="50"/>
      <c r="O5036" s="36" t="s">
        <v>48</v>
      </c>
      <c r="R5036" s="36" t="s">
        <v>48</v>
      </c>
    </row>
    <row r="5037">
      <c r="H5037" s="50"/>
      <c r="I5037" s="50"/>
      <c r="O5037" s="36" t="s">
        <v>48</v>
      </c>
      <c r="R5037" s="36" t="s">
        <v>48</v>
      </c>
    </row>
    <row r="5038">
      <c r="H5038" s="50"/>
      <c r="I5038" s="50"/>
      <c r="O5038" s="36" t="s">
        <v>48</v>
      </c>
      <c r="R5038" s="36" t="s">
        <v>48</v>
      </c>
    </row>
    <row r="5039">
      <c r="H5039" s="50"/>
      <c r="I5039" s="50"/>
      <c r="O5039" s="36" t="s">
        <v>48</v>
      </c>
      <c r="R5039" s="36" t="s">
        <v>48</v>
      </c>
    </row>
    <row r="5040">
      <c r="H5040" s="50"/>
      <c r="I5040" s="50"/>
      <c r="O5040" s="36" t="s">
        <v>48</v>
      </c>
      <c r="R5040" s="36" t="s">
        <v>48</v>
      </c>
    </row>
    <row r="5041">
      <c r="H5041" s="50"/>
      <c r="I5041" s="50"/>
      <c r="O5041" s="36" t="s">
        <v>48</v>
      </c>
      <c r="R5041" s="36" t="s">
        <v>48</v>
      </c>
    </row>
    <row r="5042">
      <c r="H5042" s="50"/>
      <c r="I5042" s="50"/>
      <c r="O5042" s="36" t="s">
        <v>48</v>
      </c>
      <c r="R5042" s="36" t="s">
        <v>48</v>
      </c>
    </row>
    <row r="5043">
      <c r="H5043" s="50"/>
      <c r="I5043" s="50"/>
      <c r="O5043" s="36" t="s">
        <v>48</v>
      </c>
      <c r="R5043" s="36" t="s">
        <v>48</v>
      </c>
    </row>
    <row r="5044">
      <c r="H5044" s="50"/>
      <c r="I5044" s="50"/>
      <c r="O5044" s="36" t="s">
        <v>48</v>
      </c>
      <c r="R5044" s="36" t="s">
        <v>48</v>
      </c>
    </row>
    <row r="5045">
      <c r="H5045" s="50"/>
      <c r="I5045" s="50"/>
      <c r="O5045" s="36" t="s">
        <v>48</v>
      </c>
      <c r="R5045" s="36" t="s">
        <v>48</v>
      </c>
    </row>
    <row r="5046">
      <c r="H5046" s="50"/>
      <c r="I5046" s="50"/>
      <c r="O5046" s="36" t="s">
        <v>48</v>
      </c>
      <c r="R5046" s="36" t="s">
        <v>48</v>
      </c>
    </row>
    <row r="5047">
      <c r="H5047" s="50"/>
      <c r="I5047" s="50"/>
      <c r="O5047" s="36" t="s">
        <v>48</v>
      </c>
      <c r="R5047" s="36" t="s">
        <v>48</v>
      </c>
    </row>
    <row r="5048">
      <c r="H5048" s="50"/>
      <c r="I5048" s="50"/>
      <c r="O5048" s="36" t="s">
        <v>48</v>
      </c>
      <c r="R5048" s="36" t="s">
        <v>48</v>
      </c>
    </row>
    <row r="5049">
      <c r="H5049" s="50"/>
      <c r="I5049" s="50"/>
      <c r="O5049" s="36" t="s">
        <v>48</v>
      </c>
      <c r="R5049" s="36" t="s">
        <v>48</v>
      </c>
    </row>
    <row r="5050">
      <c r="H5050" s="50"/>
      <c r="I5050" s="50"/>
      <c r="O5050" s="36" t="s">
        <v>48</v>
      </c>
      <c r="R5050" s="36" t="s">
        <v>48</v>
      </c>
    </row>
    <row r="5051">
      <c r="H5051" s="50"/>
      <c r="I5051" s="50"/>
      <c r="O5051" s="36" t="s">
        <v>48</v>
      </c>
      <c r="R5051" s="36" t="s">
        <v>48</v>
      </c>
    </row>
    <row r="5052">
      <c r="H5052" s="50"/>
      <c r="I5052" s="50"/>
      <c r="O5052" s="36" t="s">
        <v>48</v>
      </c>
      <c r="R5052" s="36" t="s">
        <v>48</v>
      </c>
    </row>
    <row r="5053">
      <c r="H5053" s="50"/>
      <c r="I5053" s="50"/>
      <c r="O5053" s="36" t="s">
        <v>48</v>
      </c>
      <c r="R5053" s="36" t="s">
        <v>48</v>
      </c>
    </row>
    <row r="5054">
      <c r="H5054" s="50"/>
      <c r="I5054" s="50"/>
      <c r="O5054" s="36" t="s">
        <v>48</v>
      </c>
      <c r="R5054" s="36" t="s">
        <v>48</v>
      </c>
    </row>
    <row r="5055">
      <c r="H5055" s="50"/>
      <c r="I5055" s="50"/>
      <c r="O5055" s="36" t="s">
        <v>48</v>
      </c>
      <c r="R5055" s="36" t="s">
        <v>48</v>
      </c>
    </row>
    <row r="5056">
      <c r="H5056" s="50"/>
      <c r="I5056" s="50"/>
      <c r="O5056" s="36" t="s">
        <v>48</v>
      </c>
      <c r="R5056" s="36" t="s">
        <v>48</v>
      </c>
    </row>
    <row r="5057">
      <c r="H5057" s="50"/>
      <c r="I5057" s="50"/>
      <c r="O5057" s="36" t="s">
        <v>48</v>
      </c>
      <c r="R5057" s="36" t="s">
        <v>48</v>
      </c>
    </row>
    <row r="5058">
      <c r="H5058" s="50"/>
      <c r="I5058" s="50"/>
      <c r="O5058" s="36" t="s">
        <v>48</v>
      </c>
      <c r="R5058" s="36" t="s">
        <v>48</v>
      </c>
    </row>
    <row r="5059">
      <c r="H5059" s="50"/>
      <c r="I5059" s="50"/>
      <c r="O5059" s="36" t="s">
        <v>48</v>
      </c>
      <c r="R5059" s="36" t="s">
        <v>48</v>
      </c>
    </row>
    <row r="5060">
      <c r="H5060" s="50"/>
      <c r="I5060" s="50"/>
      <c r="O5060" s="36" t="s">
        <v>48</v>
      </c>
      <c r="R5060" s="36" t="s">
        <v>48</v>
      </c>
    </row>
    <row r="5061">
      <c r="H5061" s="50"/>
      <c r="I5061" s="50"/>
      <c r="O5061" s="36" t="s">
        <v>48</v>
      </c>
      <c r="R5061" s="36" t="s">
        <v>48</v>
      </c>
    </row>
    <row r="5062">
      <c r="H5062" s="50"/>
      <c r="I5062" s="50"/>
      <c r="O5062" s="36" t="s">
        <v>48</v>
      </c>
      <c r="R5062" s="36" t="s">
        <v>48</v>
      </c>
    </row>
    <row r="5063">
      <c r="H5063" s="50"/>
      <c r="I5063" s="50"/>
      <c r="O5063" s="36" t="s">
        <v>48</v>
      </c>
      <c r="R5063" s="36" t="s">
        <v>48</v>
      </c>
    </row>
    <row r="5064">
      <c r="H5064" s="50"/>
      <c r="I5064" s="50"/>
      <c r="O5064" s="36" t="s">
        <v>48</v>
      </c>
      <c r="R5064" s="36" t="s">
        <v>48</v>
      </c>
    </row>
    <row r="5065">
      <c r="H5065" s="50"/>
      <c r="I5065" s="50"/>
      <c r="O5065" s="36" t="s">
        <v>48</v>
      </c>
      <c r="R5065" s="36" t="s">
        <v>48</v>
      </c>
    </row>
    <row r="5066">
      <c r="H5066" s="50"/>
      <c r="I5066" s="50"/>
      <c r="O5066" s="36" t="s">
        <v>48</v>
      </c>
      <c r="R5066" s="36" t="s">
        <v>48</v>
      </c>
    </row>
    <row r="5067">
      <c r="H5067" s="50"/>
      <c r="I5067" s="50"/>
      <c r="O5067" s="36" t="s">
        <v>48</v>
      </c>
      <c r="R5067" s="36" t="s">
        <v>48</v>
      </c>
    </row>
    <row r="5068">
      <c r="H5068" s="50"/>
      <c r="I5068" s="50"/>
      <c r="O5068" s="36" t="s">
        <v>48</v>
      </c>
      <c r="R5068" s="36" t="s">
        <v>48</v>
      </c>
    </row>
    <row r="5069">
      <c r="H5069" s="50"/>
      <c r="I5069" s="50"/>
      <c r="O5069" s="36" t="s">
        <v>48</v>
      </c>
      <c r="R5069" s="36" t="s">
        <v>48</v>
      </c>
    </row>
    <row r="5070">
      <c r="H5070" s="50"/>
      <c r="I5070" s="50"/>
      <c r="O5070" s="36" t="s">
        <v>48</v>
      </c>
      <c r="R5070" s="36" t="s">
        <v>48</v>
      </c>
    </row>
    <row r="5071">
      <c r="H5071" s="50"/>
      <c r="I5071" s="50"/>
      <c r="O5071" s="36" t="s">
        <v>48</v>
      </c>
      <c r="R5071" s="36" t="s">
        <v>48</v>
      </c>
    </row>
    <row r="5072">
      <c r="H5072" s="50"/>
      <c r="I5072" s="50"/>
      <c r="O5072" s="36" t="s">
        <v>48</v>
      </c>
      <c r="R5072" s="36" t="s">
        <v>48</v>
      </c>
    </row>
    <row r="5073">
      <c r="H5073" s="50"/>
      <c r="I5073" s="50"/>
      <c r="O5073" s="36" t="s">
        <v>48</v>
      </c>
      <c r="R5073" s="36" t="s">
        <v>48</v>
      </c>
    </row>
    <row r="5074">
      <c r="H5074" s="50"/>
      <c r="I5074" s="50"/>
      <c r="O5074" s="36" t="s">
        <v>48</v>
      </c>
      <c r="R5074" s="36" t="s">
        <v>48</v>
      </c>
    </row>
    <row r="5075">
      <c r="H5075" s="50"/>
      <c r="I5075" s="50"/>
      <c r="O5075" s="36" t="s">
        <v>48</v>
      </c>
      <c r="R5075" s="36" t="s">
        <v>48</v>
      </c>
    </row>
    <row r="5076">
      <c r="H5076" s="50"/>
      <c r="I5076" s="50"/>
      <c r="O5076" s="36" t="s">
        <v>48</v>
      </c>
      <c r="R5076" s="36" t="s">
        <v>48</v>
      </c>
    </row>
    <row r="5077">
      <c r="H5077" s="50"/>
      <c r="I5077" s="50"/>
      <c r="O5077" s="36" t="s">
        <v>48</v>
      </c>
      <c r="R5077" s="36" t="s">
        <v>48</v>
      </c>
    </row>
    <row r="5078">
      <c r="H5078" s="50"/>
      <c r="I5078" s="50"/>
      <c r="O5078" s="36" t="s">
        <v>48</v>
      </c>
      <c r="R5078" s="36" t="s">
        <v>48</v>
      </c>
    </row>
    <row r="5079">
      <c r="H5079" s="50"/>
      <c r="I5079" s="50"/>
      <c r="O5079" s="36" t="s">
        <v>48</v>
      </c>
      <c r="R5079" s="36" t="s">
        <v>48</v>
      </c>
    </row>
    <row r="5080">
      <c r="H5080" s="50"/>
      <c r="I5080" s="50"/>
      <c r="O5080" s="36" t="s">
        <v>48</v>
      </c>
      <c r="R5080" s="36" t="s">
        <v>48</v>
      </c>
    </row>
    <row r="5081">
      <c r="H5081" s="50"/>
      <c r="I5081" s="50"/>
      <c r="O5081" s="36" t="s">
        <v>48</v>
      </c>
      <c r="R5081" s="36" t="s">
        <v>48</v>
      </c>
    </row>
    <row r="5082">
      <c r="H5082" s="50"/>
      <c r="I5082" s="50"/>
      <c r="O5082" s="36" t="s">
        <v>48</v>
      </c>
      <c r="R5082" s="36" t="s">
        <v>48</v>
      </c>
    </row>
    <row r="5083">
      <c r="H5083" s="50"/>
      <c r="I5083" s="50"/>
      <c r="O5083" s="36" t="s">
        <v>48</v>
      </c>
      <c r="R5083" s="36" t="s">
        <v>48</v>
      </c>
    </row>
    <row r="5084">
      <c r="H5084" s="50"/>
      <c r="I5084" s="50"/>
      <c r="O5084" s="36" t="s">
        <v>48</v>
      </c>
      <c r="R5084" s="36" t="s">
        <v>48</v>
      </c>
    </row>
    <row r="5085">
      <c r="H5085" s="50"/>
      <c r="I5085" s="50"/>
      <c r="O5085" s="36" t="s">
        <v>48</v>
      </c>
      <c r="R5085" s="36" t="s">
        <v>48</v>
      </c>
    </row>
    <row r="5086">
      <c r="H5086" s="50"/>
      <c r="I5086" s="50"/>
      <c r="O5086" s="36" t="s">
        <v>48</v>
      </c>
      <c r="R5086" s="36" t="s">
        <v>48</v>
      </c>
    </row>
    <row r="5087">
      <c r="H5087" s="50"/>
      <c r="I5087" s="50"/>
      <c r="O5087" s="36" t="s">
        <v>48</v>
      </c>
      <c r="R5087" s="36" t="s">
        <v>48</v>
      </c>
    </row>
    <row r="5088">
      <c r="H5088" s="50"/>
      <c r="I5088" s="50"/>
      <c r="O5088" s="36" t="s">
        <v>48</v>
      </c>
      <c r="R5088" s="36" t="s">
        <v>48</v>
      </c>
    </row>
    <row r="5089">
      <c r="H5089" s="50"/>
      <c r="I5089" s="50"/>
      <c r="O5089" s="36" t="s">
        <v>48</v>
      </c>
      <c r="R5089" s="36" t="s">
        <v>48</v>
      </c>
    </row>
    <row r="5090">
      <c r="H5090" s="50"/>
      <c r="I5090" s="50"/>
      <c r="O5090" s="36" t="s">
        <v>48</v>
      </c>
      <c r="R5090" s="36" t="s">
        <v>48</v>
      </c>
    </row>
    <row r="5091">
      <c r="H5091" s="50"/>
      <c r="I5091" s="50"/>
      <c r="O5091" s="36" t="s">
        <v>48</v>
      </c>
      <c r="R5091" s="36" t="s">
        <v>48</v>
      </c>
    </row>
    <row r="5092">
      <c r="H5092" s="50"/>
      <c r="I5092" s="50"/>
      <c r="O5092" s="36" t="s">
        <v>48</v>
      </c>
      <c r="R5092" s="36" t="s">
        <v>48</v>
      </c>
    </row>
    <row r="5093">
      <c r="H5093" s="50"/>
      <c r="I5093" s="50"/>
      <c r="O5093" s="36" t="s">
        <v>48</v>
      </c>
      <c r="R5093" s="36" t="s">
        <v>48</v>
      </c>
    </row>
    <row r="5094">
      <c r="H5094" s="50"/>
      <c r="I5094" s="50"/>
      <c r="O5094" s="36" t="s">
        <v>48</v>
      </c>
      <c r="R5094" s="36" t="s">
        <v>48</v>
      </c>
    </row>
    <row r="5095">
      <c r="H5095" s="50"/>
      <c r="I5095" s="50"/>
      <c r="O5095" s="36" t="s">
        <v>48</v>
      </c>
      <c r="R5095" s="36" t="s">
        <v>48</v>
      </c>
    </row>
    <row r="5096">
      <c r="H5096" s="50"/>
      <c r="I5096" s="50"/>
      <c r="O5096" s="36" t="s">
        <v>48</v>
      </c>
      <c r="R5096" s="36" t="s">
        <v>48</v>
      </c>
    </row>
    <row r="5097">
      <c r="H5097" s="50"/>
      <c r="I5097" s="50"/>
      <c r="O5097" s="36" t="s">
        <v>48</v>
      </c>
      <c r="R5097" s="36" t="s">
        <v>48</v>
      </c>
    </row>
    <row r="5098">
      <c r="H5098" s="50"/>
      <c r="I5098" s="50"/>
      <c r="O5098" s="36" t="s">
        <v>48</v>
      </c>
      <c r="R5098" s="36" t="s">
        <v>48</v>
      </c>
    </row>
    <row r="5099">
      <c r="H5099" s="50"/>
      <c r="I5099" s="50"/>
      <c r="O5099" s="36" t="s">
        <v>48</v>
      </c>
      <c r="R5099" s="36" t="s">
        <v>48</v>
      </c>
    </row>
    <row r="5100">
      <c r="H5100" s="50"/>
      <c r="I5100" s="50"/>
      <c r="O5100" s="36" t="s">
        <v>48</v>
      </c>
      <c r="R5100" s="36" t="s">
        <v>48</v>
      </c>
    </row>
    <row r="5101">
      <c r="H5101" s="50"/>
      <c r="I5101" s="50"/>
      <c r="O5101" s="36" t="s">
        <v>48</v>
      </c>
      <c r="R5101" s="36" t="s">
        <v>48</v>
      </c>
    </row>
    <row r="5102">
      <c r="H5102" s="50"/>
      <c r="I5102" s="50"/>
      <c r="O5102" s="36" t="s">
        <v>48</v>
      </c>
      <c r="R5102" s="36" t="s">
        <v>48</v>
      </c>
    </row>
    <row r="5103">
      <c r="H5103" s="50"/>
      <c r="I5103" s="50"/>
      <c r="O5103" s="36" t="s">
        <v>48</v>
      </c>
      <c r="R5103" s="36" t="s">
        <v>48</v>
      </c>
    </row>
    <row r="5104">
      <c r="H5104" s="50"/>
      <c r="I5104" s="50"/>
      <c r="O5104" s="36" t="s">
        <v>48</v>
      </c>
      <c r="R5104" s="36" t="s">
        <v>48</v>
      </c>
    </row>
    <row r="5105">
      <c r="H5105" s="50"/>
      <c r="I5105" s="50"/>
      <c r="O5105" s="36" t="s">
        <v>48</v>
      </c>
      <c r="R5105" s="36" t="s">
        <v>48</v>
      </c>
    </row>
    <row r="5106">
      <c r="H5106" s="50"/>
      <c r="I5106" s="50"/>
      <c r="O5106" s="36" t="s">
        <v>48</v>
      </c>
      <c r="R5106" s="36" t="s">
        <v>48</v>
      </c>
    </row>
    <row r="5107">
      <c r="H5107" s="50"/>
      <c r="I5107" s="50"/>
      <c r="O5107" s="36" t="s">
        <v>48</v>
      </c>
      <c r="R5107" s="36" t="s">
        <v>48</v>
      </c>
    </row>
    <row r="5108">
      <c r="H5108" s="50"/>
      <c r="I5108" s="50"/>
      <c r="O5108" s="36" t="s">
        <v>48</v>
      </c>
      <c r="R5108" s="36" t="s">
        <v>48</v>
      </c>
    </row>
    <row r="5109">
      <c r="H5109" s="50"/>
      <c r="I5109" s="50"/>
      <c r="O5109" s="36" t="s">
        <v>48</v>
      </c>
      <c r="R5109" s="36" t="s">
        <v>48</v>
      </c>
    </row>
    <row r="5110">
      <c r="H5110" s="50"/>
      <c r="I5110" s="50"/>
      <c r="O5110" s="36" t="s">
        <v>48</v>
      </c>
      <c r="R5110" s="36" t="s">
        <v>48</v>
      </c>
    </row>
    <row r="5111">
      <c r="H5111" s="50"/>
      <c r="I5111" s="50"/>
      <c r="O5111" s="36" t="s">
        <v>48</v>
      </c>
      <c r="R5111" s="36" t="s">
        <v>48</v>
      </c>
    </row>
    <row r="5112">
      <c r="H5112" s="50"/>
      <c r="I5112" s="50"/>
      <c r="O5112" s="36" t="s">
        <v>48</v>
      </c>
      <c r="R5112" s="36" t="s">
        <v>48</v>
      </c>
    </row>
    <row r="5113">
      <c r="H5113" s="50"/>
      <c r="I5113" s="50"/>
      <c r="O5113" s="36" t="s">
        <v>48</v>
      </c>
      <c r="R5113" s="36" t="s">
        <v>48</v>
      </c>
    </row>
    <row r="5114">
      <c r="H5114" s="50"/>
      <c r="I5114" s="50"/>
      <c r="O5114" s="36" t="s">
        <v>48</v>
      </c>
      <c r="R5114" s="36" t="s">
        <v>48</v>
      </c>
    </row>
    <row r="5115">
      <c r="H5115" s="50"/>
      <c r="I5115" s="50"/>
      <c r="O5115" s="36" t="s">
        <v>48</v>
      </c>
      <c r="R5115" s="36" t="s">
        <v>48</v>
      </c>
    </row>
    <row r="5116">
      <c r="H5116" s="50"/>
      <c r="I5116" s="50"/>
      <c r="O5116" s="36" t="s">
        <v>48</v>
      </c>
      <c r="R5116" s="36" t="s">
        <v>48</v>
      </c>
    </row>
    <row r="5117">
      <c r="H5117" s="50"/>
      <c r="I5117" s="50"/>
      <c r="O5117" s="36" t="s">
        <v>48</v>
      </c>
      <c r="R5117" s="36" t="s">
        <v>48</v>
      </c>
    </row>
    <row r="5118">
      <c r="H5118" s="50"/>
      <c r="I5118" s="50"/>
      <c r="O5118" s="36" t="s">
        <v>48</v>
      </c>
      <c r="R5118" s="36" t="s">
        <v>48</v>
      </c>
    </row>
    <row r="5119">
      <c r="H5119" s="50"/>
      <c r="I5119" s="50"/>
      <c r="O5119" s="36" t="s">
        <v>48</v>
      </c>
      <c r="R5119" s="36" t="s">
        <v>48</v>
      </c>
    </row>
    <row r="5120">
      <c r="H5120" s="50"/>
      <c r="I5120" s="50"/>
      <c r="O5120" s="36" t="s">
        <v>48</v>
      </c>
      <c r="R5120" s="36" t="s">
        <v>48</v>
      </c>
    </row>
    <row r="5121">
      <c r="H5121" s="50"/>
      <c r="I5121" s="50"/>
      <c r="O5121" s="36" t="s">
        <v>48</v>
      </c>
      <c r="R5121" s="36" t="s">
        <v>48</v>
      </c>
    </row>
    <row r="5122">
      <c r="H5122" s="50"/>
      <c r="I5122" s="50"/>
      <c r="O5122" s="36" t="s">
        <v>48</v>
      </c>
      <c r="R5122" s="36" t="s">
        <v>48</v>
      </c>
    </row>
    <row r="5123">
      <c r="H5123" s="50"/>
      <c r="I5123" s="50"/>
      <c r="O5123" s="36" t="s">
        <v>48</v>
      </c>
      <c r="R5123" s="36" t="s">
        <v>48</v>
      </c>
    </row>
    <row r="5124">
      <c r="H5124" s="50"/>
      <c r="I5124" s="50"/>
      <c r="O5124" s="36" t="s">
        <v>48</v>
      </c>
      <c r="R5124" s="36" t="s">
        <v>48</v>
      </c>
    </row>
    <row r="5125">
      <c r="H5125" s="50"/>
      <c r="I5125" s="50"/>
      <c r="O5125" s="36" t="s">
        <v>48</v>
      </c>
      <c r="R5125" s="36" t="s">
        <v>48</v>
      </c>
    </row>
    <row r="5126">
      <c r="H5126" s="50"/>
      <c r="I5126" s="50"/>
      <c r="O5126" s="36" t="s">
        <v>48</v>
      </c>
      <c r="R5126" s="36" t="s">
        <v>48</v>
      </c>
    </row>
    <row r="5127">
      <c r="H5127" s="50"/>
      <c r="I5127" s="50"/>
      <c r="O5127" s="36" t="s">
        <v>48</v>
      </c>
      <c r="R5127" s="36" t="s">
        <v>48</v>
      </c>
    </row>
    <row r="5128">
      <c r="H5128" s="50"/>
      <c r="I5128" s="50"/>
      <c r="O5128" s="36" t="s">
        <v>48</v>
      </c>
      <c r="R5128" s="36" t="s">
        <v>48</v>
      </c>
    </row>
    <row r="5129">
      <c r="H5129" s="50"/>
      <c r="I5129" s="50"/>
      <c r="O5129" s="36" t="s">
        <v>48</v>
      </c>
      <c r="R5129" s="36" t="s">
        <v>48</v>
      </c>
    </row>
    <row r="5130">
      <c r="H5130" s="50"/>
      <c r="I5130" s="50"/>
      <c r="O5130" s="36" t="s">
        <v>48</v>
      </c>
      <c r="R5130" s="36" t="s">
        <v>48</v>
      </c>
    </row>
    <row r="5131">
      <c r="H5131" s="50"/>
      <c r="I5131" s="50"/>
      <c r="O5131" s="36" t="s">
        <v>48</v>
      </c>
      <c r="R5131" s="36" t="s">
        <v>48</v>
      </c>
    </row>
    <row r="5132">
      <c r="H5132" s="50"/>
      <c r="I5132" s="50"/>
      <c r="O5132" s="36" t="s">
        <v>48</v>
      </c>
      <c r="R5132" s="36" t="s">
        <v>48</v>
      </c>
    </row>
    <row r="5133">
      <c r="H5133" s="50"/>
      <c r="I5133" s="50"/>
      <c r="O5133" s="36" t="s">
        <v>48</v>
      </c>
      <c r="R5133" s="36" t="s">
        <v>48</v>
      </c>
    </row>
    <row r="5134">
      <c r="H5134" s="50"/>
      <c r="I5134" s="50"/>
      <c r="O5134" s="36" t="s">
        <v>48</v>
      </c>
      <c r="R5134" s="36" t="s">
        <v>48</v>
      </c>
    </row>
    <row r="5135">
      <c r="H5135" s="50"/>
      <c r="I5135" s="50"/>
      <c r="O5135" s="36" t="s">
        <v>48</v>
      </c>
      <c r="R5135" s="36" t="s">
        <v>48</v>
      </c>
    </row>
    <row r="5136">
      <c r="H5136" s="50"/>
      <c r="I5136" s="50"/>
      <c r="O5136" s="36" t="s">
        <v>48</v>
      </c>
      <c r="R5136" s="36" t="s">
        <v>48</v>
      </c>
    </row>
    <row r="5137">
      <c r="H5137" s="50"/>
      <c r="I5137" s="50"/>
      <c r="O5137" s="36" t="s">
        <v>48</v>
      </c>
      <c r="R5137" s="36" t="s">
        <v>48</v>
      </c>
    </row>
    <row r="5138">
      <c r="H5138" s="50"/>
      <c r="I5138" s="50"/>
      <c r="O5138" s="36" t="s">
        <v>48</v>
      </c>
      <c r="R5138" s="36" t="s">
        <v>48</v>
      </c>
    </row>
    <row r="5139">
      <c r="H5139" s="50"/>
      <c r="I5139" s="50"/>
      <c r="O5139" s="36" t="s">
        <v>48</v>
      </c>
      <c r="R5139" s="36" t="s">
        <v>48</v>
      </c>
    </row>
    <row r="5140">
      <c r="H5140" s="50"/>
      <c r="I5140" s="50"/>
      <c r="O5140" s="36" t="s">
        <v>48</v>
      </c>
      <c r="R5140" s="36" t="s">
        <v>48</v>
      </c>
    </row>
    <row r="5141">
      <c r="H5141" s="50"/>
      <c r="I5141" s="50"/>
      <c r="O5141" s="36" t="s">
        <v>48</v>
      </c>
      <c r="R5141" s="36" t="s">
        <v>48</v>
      </c>
    </row>
    <row r="5142">
      <c r="H5142" s="50"/>
      <c r="I5142" s="50"/>
      <c r="O5142" s="36" t="s">
        <v>48</v>
      </c>
      <c r="R5142" s="36" t="s">
        <v>48</v>
      </c>
    </row>
    <row r="5143">
      <c r="H5143" s="50"/>
      <c r="I5143" s="50"/>
      <c r="O5143" s="36" t="s">
        <v>48</v>
      </c>
      <c r="R5143" s="36" t="s">
        <v>48</v>
      </c>
    </row>
    <row r="5144">
      <c r="H5144" s="50"/>
      <c r="I5144" s="50"/>
      <c r="O5144" s="36" t="s">
        <v>48</v>
      </c>
      <c r="R5144" s="36" t="s">
        <v>48</v>
      </c>
    </row>
    <row r="5145">
      <c r="H5145" s="50"/>
      <c r="I5145" s="50"/>
      <c r="O5145" s="36" t="s">
        <v>48</v>
      </c>
      <c r="R5145" s="36" t="s">
        <v>48</v>
      </c>
    </row>
    <row r="5146">
      <c r="H5146" s="50"/>
      <c r="I5146" s="50"/>
      <c r="O5146" s="36" t="s">
        <v>48</v>
      </c>
      <c r="R5146" s="36" t="s">
        <v>48</v>
      </c>
    </row>
    <row r="5147">
      <c r="H5147" s="50"/>
      <c r="I5147" s="50"/>
      <c r="O5147" s="36" t="s">
        <v>48</v>
      </c>
      <c r="R5147" s="36" t="s">
        <v>48</v>
      </c>
    </row>
    <row r="5148">
      <c r="H5148" s="50"/>
      <c r="I5148" s="50"/>
      <c r="O5148" s="36" t="s">
        <v>48</v>
      </c>
      <c r="R5148" s="36" t="s">
        <v>48</v>
      </c>
    </row>
    <row r="5149">
      <c r="H5149" s="50"/>
      <c r="I5149" s="50"/>
      <c r="O5149" s="36" t="s">
        <v>48</v>
      </c>
      <c r="R5149" s="36" t="s">
        <v>48</v>
      </c>
    </row>
    <row r="5150">
      <c r="H5150" s="50"/>
      <c r="I5150" s="50"/>
      <c r="O5150" s="36" t="s">
        <v>48</v>
      </c>
      <c r="R5150" s="36" t="s">
        <v>48</v>
      </c>
    </row>
    <row r="5151">
      <c r="H5151" s="50"/>
      <c r="I5151" s="50"/>
      <c r="O5151" s="36" t="s">
        <v>48</v>
      </c>
      <c r="R5151" s="36" t="s">
        <v>48</v>
      </c>
    </row>
    <row r="5152">
      <c r="H5152" s="50"/>
      <c r="I5152" s="50"/>
      <c r="O5152" s="36" t="s">
        <v>48</v>
      </c>
      <c r="R5152" s="36" t="s">
        <v>48</v>
      </c>
    </row>
    <row r="5153">
      <c r="H5153" s="50"/>
      <c r="I5153" s="50"/>
      <c r="O5153" s="36" t="s">
        <v>48</v>
      </c>
      <c r="R5153" s="36" t="s">
        <v>48</v>
      </c>
    </row>
    <row r="5154">
      <c r="H5154" s="50"/>
      <c r="I5154" s="50"/>
      <c r="O5154" s="36" t="s">
        <v>48</v>
      </c>
      <c r="R5154" s="36" t="s">
        <v>48</v>
      </c>
    </row>
    <row r="5155">
      <c r="H5155" s="50"/>
      <c r="I5155" s="50"/>
      <c r="O5155" s="36" t="s">
        <v>48</v>
      </c>
      <c r="R5155" s="36" t="s">
        <v>48</v>
      </c>
    </row>
    <row r="5156">
      <c r="H5156" s="50"/>
      <c r="I5156" s="50"/>
      <c r="O5156" s="36" t="s">
        <v>48</v>
      </c>
      <c r="R5156" s="36" t="s">
        <v>48</v>
      </c>
    </row>
    <row r="5157">
      <c r="H5157" s="50"/>
      <c r="I5157" s="50"/>
      <c r="O5157" s="36" t="s">
        <v>48</v>
      </c>
      <c r="R5157" s="36" t="s">
        <v>48</v>
      </c>
    </row>
    <row r="5158">
      <c r="H5158" s="50"/>
      <c r="I5158" s="50"/>
      <c r="O5158" s="36" t="s">
        <v>48</v>
      </c>
      <c r="R5158" s="36" t="s">
        <v>48</v>
      </c>
    </row>
    <row r="5159">
      <c r="H5159" s="50"/>
      <c r="I5159" s="50"/>
      <c r="O5159" s="36" t="s">
        <v>48</v>
      </c>
      <c r="R5159" s="36" t="s">
        <v>48</v>
      </c>
    </row>
    <row r="5160">
      <c r="H5160" s="50"/>
      <c r="I5160" s="50"/>
      <c r="O5160" s="36" t="s">
        <v>48</v>
      </c>
      <c r="R5160" s="36" t="s">
        <v>48</v>
      </c>
    </row>
    <row r="5161">
      <c r="H5161" s="50"/>
      <c r="I5161" s="50"/>
      <c r="O5161" s="36" t="s">
        <v>48</v>
      </c>
      <c r="R5161" s="36" t="s">
        <v>48</v>
      </c>
    </row>
    <row r="5162">
      <c r="H5162" s="50"/>
      <c r="I5162" s="50"/>
      <c r="O5162" s="36" t="s">
        <v>48</v>
      </c>
      <c r="R5162" s="36" t="s">
        <v>48</v>
      </c>
    </row>
    <row r="5163">
      <c r="H5163" s="50"/>
      <c r="I5163" s="50"/>
      <c r="O5163" s="36" t="s">
        <v>48</v>
      </c>
      <c r="R5163" s="36" t="s">
        <v>48</v>
      </c>
    </row>
    <row r="5164">
      <c r="H5164" s="50"/>
      <c r="I5164" s="50"/>
      <c r="O5164" s="36" t="s">
        <v>48</v>
      </c>
      <c r="R5164" s="36" t="s">
        <v>48</v>
      </c>
    </row>
    <row r="5165">
      <c r="H5165" s="50"/>
      <c r="I5165" s="50"/>
      <c r="O5165" s="36" t="s">
        <v>48</v>
      </c>
      <c r="R5165" s="36" t="s">
        <v>48</v>
      </c>
    </row>
    <row r="5166">
      <c r="H5166" s="50"/>
      <c r="I5166" s="50"/>
      <c r="O5166" s="36" t="s">
        <v>48</v>
      </c>
      <c r="R5166" s="36" t="s">
        <v>48</v>
      </c>
    </row>
    <row r="5167">
      <c r="H5167" s="50"/>
      <c r="I5167" s="50"/>
      <c r="O5167" s="36" t="s">
        <v>48</v>
      </c>
      <c r="R5167" s="36" t="s">
        <v>48</v>
      </c>
    </row>
    <row r="5168">
      <c r="H5168" s="50"/>
      <c r="I5168" s="50"/>
      <c r="O5168" s="36" t="s">
        <v>48</v>
      </c>
      <c r="R5168" s="36" t="s">
        <v>48</v>
      </c>
    </row>
    <row r="5169">
      <c r="H5169" s="50"/>
      <c r="I5169" s="50"/>
      <c r="O5169" s="36" t="s">
        <v>48</v>
      </c>
      <c r="R5169" s="36" t="s">
        <v>48</v>
      </c>
    </row>
    <row r="5170">
      <c r="H5170" s="50"/>
      <c r="I5170" s="50"/>
      <c r="O5170" s="36" t="s">
        <v>48</v>
      </c>
      <c r="R5170" s="36" t="s">
        <v>48</v>
      </c>
    </row>
    <row r="5171">
      <c r="H5171" s="50"/>
      <c r="I5171" s="50"/>
      <c r="O5171" s="36" t="s">
        <v>48</v>
      </c>
      <c r="R5171" s="36" t="s">
        <v>48</v>
      </c>
    </row>
    <row r="5172">
      <c r="H5172" s="50"/>
      <c r="I5172" s="50"/>
      <c r="O5172" s="36" t="s">
        <v>48</v>
      </c>
      <c r="R5172" s="36" t="s">
        <v>48</v>
      </c>
    </row>
    <row r="5173">
      <c r="H5173" s="50"/>
      <c r="I5173" s="50"/>
      <c r="O5173" s="36" t="s">
        <v>48</v>
      </c>
      <c r="R5173" s="36" t="s">
        <v>48</v>
      </c>
    </row>
    <row r="5174">
      <c r="H5174" s="50"/>
      <c r="I5174" s="50"/>
      <c r="O5174" s="36" t="s">
        <v>48</v>
      </c>
      <c r="R5174" s="36" t="s">
        <v>48</v>
      </c>
    </row>
    <row r="5175">
      <c r="H5175" s="50"/>
      <c r="I5175" s="50"/>
      <c r="O5175" s="36" t="s">
        <v>48</v>
      </c>
      <c r="R5175" s="36" t="s">
        <v>48</v>
      </c>
    </row>
    <row r="5176">
      <c r="H5176" s="50"/>
      <c r="I5176" s="50"/>
      <c r="O5176" s="36" t="s">
        <v>48</v>
      </c>
      <c r="R5176" s="36" t="s">
        <v>48</v>
      </c>
    </row>
    <row r="5177">
      <c r="H5177" s="50"/>
      <c r="I5177" s="50"/>
      <c r="O5177" s="36" t="s">
        <v>48</v>
      </c>
      <c r="R5177" s="36" t="s">
        <v>48</v>
      </c>
    </row>
    <row r="5178">
      <c r="H5178" s="50"/>
      <c r="I5178" s="50"/>
      <c r="O5178" s="36" t="s">
        <v>48</v>
      </c>
      <c r="R5178" s="36" t="s">
        <v>48</v>
      </c>
    </row>
    <row r="5179">
      <c r="H5179" s="50"/>
      <c r="I5179" s="50"/>
      <c r="O5179" s="36" t="s">
        <v>48</v>
      </c>
      <c r="R5179" s="36" t="s">
        <v>48</v>
      </c>
    </row>
    <row r="5180">
      <c r="H5180" s="50"/>
      <c r="I5180" s="50"/>
      <c r="O5180" s="36" t="s">
        <v>48</v>
      </c>
      <c r="R5180" s="36" t="s">
        <v>48</v>
      </c>
    </row>
    <row r="5181">
      <c r="H5181" s="50"/>
      <c r="I5181" s="50"/>
      <c r="O5181" s="36" t="s">
        <v>48</v>
      </c>
      <c r="R5181" s="36" t="s">
        <v>48</v>
      </c>
    </row>
    <row r="5182">
      <c r="H5182" s="50"/>
      <c r="I5182" s="50"/>
      <c r="O5182" s="36" t="s">
        <v>48</v>
      </c>
      <c r="R5182" s="36" t="s">
        <v>48</v>
      </c>
    </row>
    <row r="5183">
      <c r="H5183" s="50"/>
      <c r="I5183" s="50"/>
      <c r="O5183" s="36" t="s">
        <v>48</v>
      </c>
      <c r="R5183" s="36" t="s">
        <v>48</v>
      </c>
    </row>
    <row r="5184">
      <c r="H5184" s="50"/>
      <c r="I5184" s="50"/>
      <c r="O5184" s="36" t="s">
        <v>48</v>
      </c>
      <c r="R5184" s="36" t="s">
        <v>48</v>
      </c>
    </row>
    <row r="5185">
      <c r="H5185" s="50"/>
      <c r="I5185" s="50"/>
      <c r="O5185" s="36" t="s">
        <v>48</v>
      </c>
      <c r="R5185" s="36" t="s">
        <v>48</v>
      </c>
    </row>
    <row r="5186">
      <c r="H5186" s="50"/>
      <c r="I5186" s="50"/>
      <c r="O5186" s="36" t="s">
        <v>48</v>
      </c>
      <c r="R5186" s="36" t="s">
        <v>48</v>
      </c>
    </row>
    <row r="5187">
      <c r="H5187" s="50"/>
      <c r="I5187" s="50"/>
      <c r="O5187" s="36" t="s">
        <v>48</v>
      </c>
      <c r="R5187" s="36" t="s">
        <v>48</v>
      </c>
    </row>
    <row r="5188">
      <c r="H5188" s="50"/>
      <c r="I5188" s="50"/>
      <c r="O5188" s="36" t="s">
        <v>48</v>
      </c>
      <c r="R5188" s="36" t="s">
        <v>48</v>
      </c>
    </row>
    <row r="5189">
      <c r="H5189" s="50"/>
      <c r="I5189" s="50"/>
      <c r="O5189" s="36" t="s">
        <v>48</v>
      </c>
      <c r="R5189" s="36" t="s">
        <v>48</v>
      </c>
    </row>
    <row r="5190">
      <c r="H5190" s="50"/>
      <c r="I5190" s="50"/>
      <c r="O5190" s="36" t="s">
        <v>48</v>
      </c>
      <c r="R5190" s="36" t="s">
        <v>48</v>
      </c>
    </row>
    <row r="5191">
      <c r="H5191" s="50"/>
      <c r="I5191" s="50"/>
      <c r="O5191" s="36" t="s">
        <v>48</v>
      </c>
      <c r="R5191" s="36" t="s">
        <v>48</v>
      </c>
    </row>
    <row r="5192">
      <c r="H5192" s="50"/>
      <c r="I5192" s="50"/>
      <c r="O5192" s="36" t="s">
        <v>48</v>
      </c>
      <c r="R5192" s="36" t="s">
        <v>48</v>
      </c>
    </row>
    <row r="5193">
      <c r="H5193" s="50"/>
      <c r="I5193" s="50"/>
      <c r="O5193" s="36" t="s">
        <v>48</v>
      </c>
      <c r="R5193" s="36" t="s">
        <v>48</v>
      </c>
    </row>
    <row r="5194">
      <c r="H5194" s="50"/>
      <c r="I5194" s="50"/>
      <c r="O5194" s="36" t="s">
        <v>48</v>
      </c>
      <c r="R5194" s="36" t="s">
        <v>48</v>
      </c>
    </row>
    <row r="5195">
      <c r="H5195" s="50"/>
      <c r="I5195" s="50"/>
      <c r="O5195" s="36" t="s">
        <v>48</v>
      </c>
      <c r="R5195" s="36" t="s">
        <v>48</v>
      </c>
    </row>
    <row r="5196">
      <c r="H5196" s="50"/>
      <c r="I5196" s="50"/>
      <c r="O5196" s="36" t="s">
        <v>48</v>
      </c>
      <c r="R5196" s="36" t="s">
        <v>48</v>
      </c>
    </row>
    <row r="5197">
      <c r="H5197" s="50"/>
      <c r="I5197" s="50"/>
      <c r="O5197" s="36" t="s">
        <v>48</v>
      </c>
      <c r="R5197" s="36" t="s">
        <v>48</v>
      </c>
    </row>
    <row r="5198">
      <c r="H5198" s="50"/>
      <c r="I5198" s="50"/>
      <c r="O5198" s="36" t="s">
        <v>48</v>
      </c>
      <c r="R5198" s="36" t="s">
        <v>48</v>
      </c>
    </row>
    <row r="5199">
      <c r="H5199" s="50"/>
      <c r="I5199" s="50"/>
      <c r="O5199" s="36" t="s">
        <v>48</v>
      </c>
      <c r="R5199" s="36" t="s">
        <v>48</v>
      </c>
    </row>
    <row r="5200">
      <c r="H5200" s="50"/>
      <c r="I5200" s="50"/>
      <c r="O5200" s="36" t="s">
        <v>48</v>
      </c>
      <c r="R5200" s="36" t="s">
        <v>48</v>
      </c>
    </row>
    <row r="5201">
      <c r="H5201" s="50"/>
      <c r="I5201" s="50"/>
      <c r="O5201" s="36" t="s">
        <v>48</v>
      </c>
      <c r="R5201" s="36" t="s">
        <v>48</v>
      </c>
    </row>
    <row r="5202">
      <c r="H5202" s="50"/>
      <c r="I5202" s="50"/>
      <c r="O5202" s="36" t="s">
        <v>48</v>
      </c>
      <c r="R5202" s="36" t="s">
        <v>48</v>
      </c>
    </row>
    <row r="5203">
      <c r="H5203" s="50"/>
      <c r="I5203" s="50"/>
      <c r="O5203" s="36" t="s">
        <v>48</v>
      </c>
      <c r="R5203" s="36" t="s">
        <v>48</v>
      </c>
    </row>
    <row r="5204">
      <c r="H5204" s="50"/>
      <c r="I5204" s="50"/>
      <c r="O5204" s="36" t="s">
        <v>48</v>
      </c>
      <c r="R5204" s="36" t="s">
        <v>48</v>
      </c>
    </row>
    <row r="5205">
      <c r="H5205" s="50"/>
      <c r="I5205" s="50"/>
      <c r="O5205" s="36" t="s">
        <v>48</v>
      </c>
      <c r="R5205" s="36" t="s">
        <v>48</v>
      </c>
    </row>
    <row r="5206">
      <c r="H5206" s="50"/>
      <c r="I5206" s="50"/>
      <c r="O5206" s="36" t="s">
        <v>48</v>
      </c>
      <c r="R5206" s="36" t="s">
        <v>48</v>
      </c>
    </row>
    <row r="5207">
      <c r="H5207" s="50"/>
      <c r="I5207" s="50"/>
      <c r="O5207" s="36" t="s">
        <v>48</v>
      </c>
      <c r="R5207" s="36" t="s">
        <v>48</v>
      </c>
    </row>
    <row r="5208">
      <c r="H5208" s="50"/>
      <c r="I5208" s="50"/>
      <c r="O5208" s="36" t="s">
        <v>48</v>
      </c>
      <c r="R5208" s="36" t="s">
        <v>48</v>
      </c>
    </row>
    <row r="5209">
      <c r="H5209" s="50"/>
      <c r="I5209" s="50"/>
      <c r="O5209" s="36" t="s">
        <v>48</v>
      </c>
      <c r="R5209" s="36" t="s">
        <v>48</v>
      </c>
    </row>
    <row r="5210">
      <c r="H5210" s="50"/>
      <c r="I5210" s="50"/>
      <c r="O5210" s="36" t="s">
        <v>48</v>
      </c>
      <c r="R5210" s="36" t="s">
        <v>48</v>
      </c>
    </row>
    <row r="5211">
      <c r="H5211" s="50"/>
      <c r="I5211" s="50"/>
      <c r="O5211" s="36" t="s">
        <v>48</v>
      </c>
      <c r="R5211" s="36" t="s">
        <v>48</v>
      </c>
    </row>
    <row r="5212">
      <c r="H5212" s="50"/>
      <c r="I5212" s="50"/>
      <c r="O5212" s="36" t="s">
        <v>48</v>
      </c>
      <c r="R5212" s="36" t="s">
        <v>48</v>
      </c>
    </row>
    <row r="5213">
      <c r="H5213" s="50"/>
      <c r="I5213" s="50"/>
      <c r="O5213" s="36" t="s">
        <v>48</v>
      </c>
      <c r="R5213" s="36" t="s">
        <v>48</v>
      </c>
    </row>
    <row r="5214">
      <c r="H5214" s="50"/>
      <c r="I5214" s="50"/>
      <c r="O5214" s="36" t="s">
        <v>48</v>
      </c>
      <c r="R5214" s="36" t="s">
        <v>48</v>
      </c>
    </row>
    <row r="5215">
      <c r="H5215" s="50"/>
      <c r="I5215" s="50"/>
      <c r="O5215" s="36" t="s">
        <v>48</v>
      </c>
      <c r="R5215" s="36" t="s">
        <v>48</v>
      </c>
    </row>
    <row r="5216">
      <c r="H5216" s="50"/>
      <c r="I5216" s="50"/>
      <c r="O5216" s="36" t="s">
        <v>48</v>
      </c>
      <c r="R5216" s="36" t="s">
        <v>48</v>
      </c>
    </row>
    <row r="5217">
      <c r="H5217" s="50"/>
      <c r="I5217" s="50"/>
      <c r="O5217" s="36" t="s">
        <v>48</v>
      </c>
      <c r="R5217" s="36" t="s">
        <v>48</v>
      </c>
    </row>
    <row r="5218">
      <c r="H5218" s="50"/>
      <c r="I5218" s="50"/>
      <c r="O5218" s="36" t="s">
        <v>48</v>
      </c>
      <c r="R5218" s="36" t="s">
        <v>48</v>
      </c>
    </row>
    <row r="5219">
      <c r="H5219" s="50"/>
      <c r="I5219" s="50"/>
      <c r="O5219" s="36" t="s">
        <v>48</v>
      </c>
      <c r="R5219" s="36" t="s">
        <v>48</v>
      </c>
    </row>
    <row r="5220">
      <c r="H5220" s="50"/>
      <c r="I5220" s="50"/>
      <c r="O5220" s="36" t="s">
        <v>48</v>
      </c>
      <c r="R5220" s="36" t="s">
        <v>48</v>
      </c>
    </row>
    <row r="5221">
      <c r="H5221" s="50"/>
      <c r="I5221" s="50"/>
      <c r="O5221" s="36" t="s">
        <v>48</v>
      </c>
      <c r="R5221" s="36" t="s">
        <v>48</v>
      </c>
    </row>
    <row r="5222">
      <c r="H5222" s="50"/>
      <c r="I5222" s="50"/>
      <c r="O5222" s="36" t="s">
        <v>48</v>
      </c>
      <c r="R5222" s="36" t="s">
        <v>48</v>
      </c>
    </row>
    <row r="5223">
      <c r="H5223" s="50"/>
      <c r="I5223" s="50"/>
      <c r="O5223" s="36" t="s">
        <v>48</v>
      </c>
      <c r="R5223" s="36" t="s">
        <v>48</v>
      </c>
    </row>
    <row r="5224">
      <c r="H5224" s="50"/>
      <c r="I5224" s="50"/>
      <c r="O5224" s="36" t="s">
        <v>48</v>
      </c>
      <c r="R5224" s="36" t="s">
        <v>48</v>
      </c>
    </row>
    <row r="5225">
      <c r="H5225" s="50"/>
      <c r="I5225" s="50"/>
      <c r="O5225" s="36" t="s">
        <v>48</v>
      </c>
      <c r="R5225" s="36" t="s">
        <v>48</v>
      </c>
    </row>
    <row r="5226">
      <c r="H5226" s="50"/>
      <c r="I5226" s="50"/>
      <c r="O5226" s="36" t="s">
        <v>48</v>
      </c>
      <c r="R5226" s="36" t="s">
        <v>48</v>
      </c>
    </row>
    <row r="5227">
      <c r="H5227" s="50"/>
      <c r="I5227" s="50"/>
      <c r="O5227" s="36" t="s">
        <v>48</v>
      </c>
      <c r="R5227" s="36" t="s">
        <v>48</v>
      </c>
    </row>
    <row r="5228">
      <c r="H5228" s="50"/>
      <c r="I5228" s="50"/>
      <c r="O5228" s="36" t="s">
        <v>48</v>
      </c>
      <c r="R5228" s="36" t="s">
        <v>48</v>
      </c>
    </row>
    <row r="5229">
      <c r="H5229" s="50"/>
      <c r="I5229" s="50"/>
      <c r="O5229" s="36" t="s">
        <v>48</v>
      </c>
      <c r="R5229" s="36" t="s">
        <v>48</v>
      </c>
    </row>
    <row r="5230">
      <c r="H5230" s="50"/>
      <c r="I5230" s="50"/>
      <c r="O5230" s="36" t="s">
        <v>48</v>
      </c>
      <c r="R5230" s="36" t="s">
        <v>48</v>
      </c>
    </row>
    <row r="5231">
      <c r="H5231" s="50"/>
      <c r="I5231" s="50"/>
      <c r="O5231" s="36" t="s">
        <v>48</v>
      </c>
      <c r="R5231" s="36" t="s">
        <v>48</v>
      </c>
    </row>
    <row r="5232">
      <c r="H5232" s="50"/>
      <c r="I5232" s="50"/>
      <c r="O5232" s="36" t="s">
        <v>48</v>
      </c>
      <c r="R5232" s="36" t="s">
        <v>48</v>
      </c>
    </row>
    <row r="5233">
      <c r="H5233" s="50"/>
      <c r="I5233" s="50"/>
      <c r="O5233" s="36" t="s">
        <v>48</v>
      </c>
      <c r="R5233" s="36" t="s">
        <v>48</v>
      </c>
    </row>
    <row r="5234">
      <c r="H5234" s="50"/>
      <c r="I5234" s="50"/>
      <c r="O5234" s="36" t="s">
        <v>48</v>
      </c>
      <c r="R5234" s="36" t="s">
        <v>48</v>
      </c>
    </row>
    <row r="5235">
      <c r="H5235" s="50"/>
      <c r="I5235" s="50"/>
      <c r="O5235" s="36" t="s">
        <v>48</v>
      </c>
      <c r="R5235" s="36" t="s">
        <v>48</v>
      </c>
    </row>
    <row r="5236">
      <c r="H5236" s="50"/>
      <c r="I5236" s="50"/>
      <c r="O5236" s="36" t="s">
        <v>48</v>
      </c>
      <c r="R5236" s="36" t="s">
        <v>48</v>
      </c>
    </row>
    <row r="5237">
      <c r="H5237" s="50"/>
      <c r="I5237" s="50"/>
      <c r="O5237" s="36" t="s">
        <v>48</v>
      </c>
      <c r="R5237" s="36" t="s">
        <v>48</v>
      </c>
    </row>
    <row r="5238">
      <c r="H5238" s="50"/>
      <c r="I5238" s="50"/>
      <c r="O5238" s="36" t="s">
        <v>48</v>
      </c>
      <c r="R5238" s="36" t="s">
        <v>48</v>
      </c>
    </row>
    <row r="5239">
      <c r="H5239" s="50"/>
      <c r="I5239" s="50"/>
      <c r="O5239" s="36" t="s">
        <v>48</v>
      </c>
      <c r="R5239" s="36" t="s">
        <v>48</v>
      </c>
    </row>
    <row r="5240">
      <c r="H5240" s="50"/>
      <c r="I5240" s="50"/>
      <c r="O5240" s="36" t="s">
        <v>48</v>
      </c>
      <c r="R5240" s="36" t="s">
        <v>48</v>
      </c>
    </row>
    <row r="5241">
      <c r="H5241" s="50"/>
      <c r="I5241" s="50"/>
      <c r="O5241" s="36" t="s">
        <v>48</v>
      </c>
      <c r="R5241" s="36" t="s">
        <v>48</v>
      </c>
    </row>
    <row r="5242">
      <c r="H5242" s="50"/>
      <c r="I5242" s="50"/>
      <c r="O5242" s="36" t="s">
        <v>48</v>
      </c>
      <c r="R5242" s="36" t="s">
        <v>48</v>
      </c>
    </row>
    <row r="5243">
      <c r="H5243" s="50"/>
      <c r="I5243" s="50"/>
      <c r="O5243" s="36" t="s">
        <v>48</v>
      </c>
      <c r="R5243" s="36" t="s">
        <v>48</v>
      </c>
    </row>
    <row r="5244">
      <c r="H5244" s="50"/>
      <c r="I5244" s="50"/>
      <c r="O5244" s="36" t="s">
        <v>48</v>
      </c>
      <c r="R5244" s="36" t="s">
        <v>48</v>
      </c>
    </row>
    <row r="5245">
      <c r="H5245" s="50"/>
      <c r="I5245" s="50"/>
      <c r="O5245" s="36" t="s">
        <v>48</v>
      </c>
      <c r="R5245" s="36" t="s">
        <v>48</v>
      </c>
    </row>
    <row r="5246">
      <c r="H5246" s="50"/>
      <c r="I5246" s="50"/>
      <c r="O5246" s="36" t="s">
        <v>48</v>
      </c>
      <c r="R5246" s="36" t="s">
        <v>48</v>
      </c>
    </row>
    <row r="5247">
      <c r="H5247" s="50"/>
      <c r="I5247" s="50"/>
      <c r="O5247" s="36" t="s">
        <v>48</v>
      </c>
      <c r="R5247" s="36" t="s">
        <v>48</v>
      </c>
    </row>
    <row r="5248">
      <c r="H5248" s="50"/>
      <c r="I5248" s="50"/>
      <c r="O5248" s="36" t="s">
        <v>48</v>
      </c>
      <c r="R5248" s="36" t="s">
        <v>48</v>
      </c>
    </row>
    <row r="5249">
      <c r="H5249" s="50"/>
      <c r="I5249" s="50"/>
      <c r="O5249" s="36" t="s">
        <v>48</v>
      </c>
      <c r="R5249" s="36" t="s">
        <v>48</v>
      </c>
    </row>
    <row r="5250">
      <c r="H5250" s="50"/>
      <c r="I5250" s="50"/>
      <c r="O5250" s="36" t="s">
        <v>48</v>
      </c>
      <c r="R5250" s="36" t="s">
        <v>48</v>
      </c>
    </row>
    <row r="5251">
      <c r="H5251" s="50"/>
      <c r="I5251" s="50"/>
      <c r="O5251" s="36" t="s">
        <v>48</v>
      </c>
      <c r="R5251" s="36" t="s">
        <v>48</v>
      </c>
    </row>
    <row r="5252">
      <c r="H5252" s="50"/>
      <c r="I5252" s="50"/>
      <c r="O5252" s="36" t="s">
        <v>48</v>
      </c>
      <c r="R5252" s="36" t="s">
        <v>48</v>
      </c>
    </row>
    <row r="5253">
      <c r="H5253" s="50"/>
      <c r="I5253" s="50"/>
      <c r="O5253" s="36" t="s">
        <v>48</v>
      </c>
      <c r="R5253" s="36" t="s">
        <v>48</v>
      </c>
    </row>
    <row r="5254">
      <c r="H5254" s="50"/>
      <c r="I5254" s="50"/>
      <c r="O5254" s="36" t="s">
        <v>48</v>
      </c>
      <c r="R5254" s="36" t="s">
        <v>48</v>
      </c>
    </row>
    <row r="5255">
      <c r="H5255" s="50"/>
      <c r="I5255" s="50"/>
      <c r="O5255" s="36" t="s">
        <v>48</v>
      </c>
      <c r="R5255" s="36" t="s">
        <v>48</v>
      </c>
    </row>
    <row r="5256">
      <c r="H5256" s="50"/>
      <c r="I5256" s="50"/>
      <c r="O5256" s="36" t="s">
        <v>48</v>
      </c>
      <c r="R5256" s="36" t="s">
        <v>48</v>
      </c>
    </row>
    <row r="5257">
      <c r="H5257" s="50"/>
      <c r="I5257" s="50"/>
      <c r="O5257" s="36" t="s">
        <v>48</v>
      </c>
      <c r="R5257" s="36" t="s">
        <v>48</v>
      </c>
    </row>
    <row r="5258">
      <c r="H5258" s="50"/>
      <c r="I5258" s="50"/>
      <c r="O5258" s="36" t="s">
        <v>48</v>
      </c>
      <c r="R5258" s="36" t="s">
        <v>48</v>
      </c>
    </row>
    <row r="5259">
      <c r="H5259" s="50"/>
      <c r="I5259" s="50"/>
      <c r="O5259" s="36" t="s">
        <v>48</v>
      </c>
      <c r="R5259" s="36" t="s">
        <v>48</v>
      </c>
    </row>
    <row r="5260">
      <c r="H5260" s="50"/>
      <c r="I5260" s="50"/>
      <c r="O5260" s="36" t="s">
        <v>48</v>
      </c>
      <c r="R5260" s="36" t="s">
        <v>48</v>
      </c>
    </row>
    <row r="5261">
      <c r="H5261" s="50"/>
      <c r="I5261" s="50"/>
      <c r="O5261" s="36" t="s">
        <v>48</v>
      </c>
      <c r="R5261" s="36" t="s">
        <v>48</v>
      </c>
    </row>
    <row r="5262">
      <c r="H5262" s="50"/>
      <c r="I5262" s="50"/>
      <c r="O5262" s="36" t="s">
        <v>48</v>
      </c>
      <c r="R5262" s="36" t="s">
        <v>48</v>
      </c>
    </row>
    <row r="5263">
      <c r="H5263" s="50"/>
      <c r="I5263" s="50"/>
      <c r="O5263" s="36" t="s">
        <v>48</v>
      </c>
      <c r="R5263" s="36" t="s">
        <v>48</v>
      </c>
    </row>
    <row r="5264">
      <c r="H5264" s="50"/>
      <c r="I5264" s="50"/>
      <c r="O5264" s="36" t="s">
        <v>48</v>
      </c>
      <c r="R5264" s="36" t="s">
        <v>48</v>
      </c>
    </row>
    <row r="5265">
      <c r="H5265" s="50"/>
      <c r="I5265" s="50"/>
      <c r="O5265" s="36" t="s">
        <v>48</v>
      </c>
      <c r="R5265" s="36" t="s">
        <v>48</v>
      </c>
    </row>
    <row r="5266">
      <c r="H5266" s="50"/>
      <c r="I5266" s="50"/>
      <c r="O5266" s="36" t="s">
        <v>48</v>
      </c>
      <c r="R5266" s="36" t="s">
        <v>48</v>
      </c>
    </row>
    <row r="5267">
      <c r="H5267" s="50"/>
      <c r="I5267" s="50"/>
      <c r="O5267" s="36" t="s">
        <v>48</v>
      </c>
      <c r="R5267" s="36" t="s">
        <v>48</v>
      </c>
    </row>
    <row r="5268">
      <c r="H5268" s="50"/>
      <c r="I5268" s="50"/>
      <c r="O5268" s="36" t="s">
        <v>48</v>
      </c>
      <c r="R5268" s="36" t="s">
        <v>48</v>
      </c>
    </row>
    <row r="5269">
      <c r="H5269" s="50"/>
      <c r="I5269" s="50"/>
      <c r="O5269" s="36" t="s">
        <v>48</v>
      </c>
      <c r="R5269" s="36" t="s">
        <v>48</v>
      </c>
    </row>
    <row r="5270">
      <c r="H5270" s="50"/>
      <c r="I5270" s="50"/>
      <c r="O5270" s="36" t="s">
        <v>48</v>
      </c>
      <c r="R5270" s="36" t="s">
        <v>48</v>
      </c>
    </row>
    <row r="5271">
      <c r="H5271" s="50"/>
      <c r="I5271" s="50"/>
      <c r="O5271" s="36" t="s">
        <v>48</v>
      </c>
      <c r="R5271" s="36" t="s">
        <v>48</v>
      </c>
    </row>
    <row r="5272">
      <c r="H5272" s="50"/>
      <c r="I5272" s="50"/>
      <c r="O5272" s="36" t="s">
        <v>48</v>
      </c>
      <c r="R5272" s="36" t="s">
        <v>48</v>
      </c>
    </row>
    <row r="5273">
      <c r="H5273" s="50"/>
      <c r="I5273" s="50"/>
      <c r="O5273" s="36" t="s">
        <v>48</v>
      </c>
      <c r="R5273" s="36" t="s">
        <v>48</v>
      </c>
    </row>
    <row r="5274">
      <c r="H5274" s="50"/>
      <c r="I5274" s="50"/>
      <c r="O5274" s="36" t="s">
        <v>48</v>
      </c>
      <c r="R5274" s="36" t="s">
        <v>48</v>
      </c>
    </row>
    <row r="5275">
      <c r="H5275" s="50"/>
      <c r="I5275" s="50"/>
      <c r="O5275" s="36" t="s">
        <v>48</v>
      </c>
      <c r="R5275" s="36" t="s">
        <v>48</v>
      </c>
    </row>
    <row r="5276">
      <c r="H5276" s="50"/>
      <c r="I5276" s="50"/>
      <c r="O5276" s="36" t="s">
        <v>48</v>
      </c>
      <c r="R5276" s="36" t="s">
        <v>48</v>
      </c>
    </row>
    <row r="5277">
      <c r="H5277" s="50"/>
      <c r="I5277" s="50"/>
      <c r="O5277" s="36" t="s">
        <v>48</v>
      </c>
      <c r="R5277" s="36" t="s">
        <v>48</v>
      </c>
    </row>
    <row r="5278">
      <c r="H5278" s="50"/>
      <c r="I5278" s="50"/>
      <c r="O5278" s="36" t="s">
        <v>48</v>
      </c>
      <c r="R5278" s="36" t="s">
        <v>48</v>
      </c>
    </row>
    <row r="5279">
      <c r="H5279" s="50"/>
      <c r="I5279" s="50"/>
      <c r="O5279" s="36" t="s">
        <v>48</v>
      </c>
      <c r="R5279" s="36" t="s">
        <v>48</v>
      </c>
    </row>
    <row r="5280">
      <c r="H5280" s="50"/>
      <c r="I5280" s="50"/>
      <c r="O5280" s="36" t="s">
        <v>48</v>
      </c>
      <c r="R5280" s="36" t="s">
        <v>48</v>
      </c>
    </row>
    <row r="5281">
      <c r="H5281" s="50"/>
      <c r="I5281" s="50"/>
      <c r="O5281" s="36" t="s">
        <v>48</v>
      </c>
      <c r="R5281" s="36" t="s">
        <v>48</v>
      </c>
    </row>
    <row r="5282">
      <c r="H5282" s="50"/>
      <c r="I5282" s="50"/>
      <c r="O5282" s="36" t="s">
        <v>48</v>
      </c>
      <c r="R5282" s="36" t="s">
        <v>48</v>
      </c>
    </row>
    <row r="5283">
      <c r="H5283" s="50"/>
      <c r="I5283" s="50"/>
      <c r="O5283" s="36" t="s">
        <v>48</v>
      </c>
      <c r="R5283" s="36" t="s">
        <v>48</v>
      </c>
    </row>
    <row r="5284">
      <c r="H5284" s="50"/>
      <c r="I5284" s="50"/>
      <c r="O5284" s="36" t="s">
        <v>48</v>
      </c>
      <c r="R5284" s="36" t="s">
        <v>48</v>
      </c>
    </row>
    <row r="5285">
      <c r="H5285" s="50"/>
      <c r="I5285" s="50"/>
      <c r="O5285" s="36" t="s">
        <v>48</v>
      </c>
      <c r="R5285" s="36" t="s">
        <v>48</v>
      </c>
    </row>
    <row r="5286">
      <c r="H5286" s="50"/>
      <c r="I5286" s="50"/>
      <c r="O5286" s="36" t="s">
        <v>48</v>
      </c>
      <c r="R5286" s="36" t="s">
        <v>48</v>
      </c>
    </row>
    <row r="5287">
      <c r="H5287" s="50"/>
      <c r="I5287" s="50"/>
      <c r="O5287" s="36" t="s">
        <v>48</v>
      </c>
      <c r="R5287" s="36" t="s">
        <v>48</v>
      </c>
    </row>
    <row r="5288">
      <c r="H5288" s="50"/>
      <c r="I5288" s="50"/>
      <c r="O5288" s="36" t="s">
        <v>48</v>
      </c>
      <c r="R5288" s="36" t="s">
        <v>48</v>
      </c>
    </row>
    <row r="5289">
      <c r="H5289" s="50"/>
      <c r="I5289" s="50"/>
      <c r="O5289" s="36" t="s">
        <v>48</v>
      </c>
      <c r="R5289" s="36" t="s">
        <v>48</v>
      </c>
    </row>
    <row r="5290">
      <c r="H5290" s="50"/>
      <c r="I5290" s="50"/>
      <c r="O5290" s="36" t="s">
        <v>48</v>
      </c>
      <c r="R5290" s="36" t="s">
        <v>48</v>
      </c>
    </row>
    <row r="5291">
      <c r="H5291" s="50"/>
      <c r="I5291" s="50"/>
      <c r="O5291" s="36" t="s">
        <v>48</v>
      </c>
      <c r="R5291" s="36" t="s">
        <v>48</v>
      </c>
    </row>
    <row r="5292">
      <c r="H5292" s="50"/>
      <c r="I5292" s="50"/>
      <c r="O5292" s="36" t="s">
        <v>48</v>
      </c>
      <c r="R5292" s="36" t="s">
        <v>48</v>
      </c>
    </row>
    <row r="5293">
      <c r="H5293" s="50"/>
      <c r="I5293" s="50"/>
      <c r="O5293" s="36" t="s">
        <v>48</v>
      </c>
      <c r="R5293" s="36" t="s">
        <v>48</v>
      </c>
    </row>
    <row r="5294">
      <c r="H5294" s="50"/>
      <c r="I5294" s="50"/>
      <c r="O5294" s="36" t="s">
        <v>48</v>
      </c>
      <c r="R5294" s="36" t="s">
        <v>48</v>
      </c>
    </row>
    <row r="5295">
      <c r="H5295" s="50"/>
      <c r="I5295" s="50"/>
      <c r="O5295" s="36" t="s">
        <v>48</v>
      </c>
      <c r="R5295" s="36" t="s">
        <v>48</v>
      </c>
    </row>
    <row r="5296">
      <c r="H5296" s="50"/>
      <c r="I5296" s="50"/>
      <c r="O5296" s="36" t="s">
        <v>48</v>
      </c>
      <c r="R5296" s="36" t="s">
        <v>48</v>
      </c>
    </row>
    <row r="5297">
      <c r="H5297" s="50"/>
      <c r="I5297" s="50"/>
      <c r="O5297" s="36" t="s">
        <v>48</v>
      </c>
      <c r="R5297" s="36" t="s">
        <v>48</v>
      </c>
    </row>
    <row r="5298">
      <c r="H5298" s="50"/>
      <c r="I5298" s="50"/>
      <c r="O5298" s="36" t="s">
        <v>48</v>
      </c>
      <c r="R5298" s="36" t="s">
        <v>48</v>
      </c>
    </row>
    <row r="5299">
      <c r="H5299" s="50"/>
      <c r="I5299" s="50"/>
      <c r="O5299" s="36" t="s">
        <v>48</v>
      </c>
      <c r="R5299" s="36" t="s">
        <v>48</v>
      </c>
    </row>
    <row r="5300">
      <c r="H5300" s="50"/>
      <c r="I5300" s="50"/>
      <c r="O5300" s="36" t="s">
        <v>48</v>
      </c>
      <c r="R5300" s="36" t="s">
        <v>48</v>
      </c>
    </row>
    <row r="5301">
      <c r="H5301" s="50"/>
      <c r="I5301" s="50"/>
      <c r="O5301" s="36" t="s">
        <v>48</v>
      </c>
      <c r="R5301" s="36" t="s">
        <v>48</v>
      </c>
    </row>
    <row r="5302">
      <c r="H5302" s="50"/>
      <c r="I5302" s="50"/>
      <c r="O5302" s="36" t="s">
        <v>48</v>
      </c>
      <c r="R5302" s="36" t="s">
        <v>48</v>
      </c>
    </row>
    <row r="5303">
      <c r="H5303" s="50"/>
      <c r="I5303" s="50"/>
      <c r="O5303" s="36" t="s">
        <v>48</v>
      </c>
      <c r="R5303" s="36" t="s">
        <v>48</v>
      </c>
    </row>
    <row r="5304">
      <c r="H5304" s="50"/>
      <c r="I5304" s="50"/>
      <c r="O5304" s="36" t="s">
        <v>48</v>
      </c>
      <c r="R5304" s="36" t="s">
        <v>48</v>
      </c>
    </row>
    <row r="5305">
      <c r="H5305" s="50"/>
      <c r="I5305" s="50"/>
      <c r="O5305" s="36" t="s">
        <v>48</v>
      </c>
      <c r="R5305" s="36" t="s">
        <v>48</v>
      </c>
    </row>
    <row r="5306">
      <c r="H5306" s="50"/>
      <c r="I5306" s="50"/>
      <c r="O5306" s="36" t="s">
        <v>48</v>
      </c>
      <c r="R5306" s="36" t="s">
        <v>48</v>
      </c>
    </row>
    <row r="5307">
      <c r="H5307" s="50"/>
      <c r="I5307" s="50"/>
      <c r="O5307" s="36" t="s">
        <v>48</v>
      </c>
      <c r="R5307" s="36" t="s">
        <v>48</v>
      </c>
    </row>
    <row r="5308">
      <c r="H5308" s="50"/>
      <c r="I5308" s="50"/>
      <c r="O5308" s="36" t="s">
        <v>48</v>
      </c>
      <c r="R5308" s="36" t="s">
        <v>48</v>
      </c>
    </row>
    <row r="5309">
      <c r="H5309" s="50"/>
      <c r="I5309" s="50"/>
      <c r="O5309" s="36" t="s">
        <v>48</v>
      </c>
      <c r="R5309" s="36" t="s">
        <v>48</v>
      </c>
    </row>
    <row r="5310">
      <c r="H5310" s="50"/>
      <c r="I5310" s="50"/>
      <c r="O5310" s="36" t="s">
        <v>48</v>
      </c>
      <c r="R5310" s="36" t="s">
        <v>48</v>
      </c>
    </row>
    <row r="5311">
      <c r="H5311" s="50"/>
      <c r="I5311" s="50"/>
      <c r="O5311" s="36" t="s">
        <v>48</v>
      </c>
      <c r="R5311" s="36" t="s">
        <v>48</v>
      </c>
    </row>
    <row r="5312">
      <c r="H5312" s="50"/>
      <c r="I5312" s="50"/>
      <c r="O5312" s="36" t="s">
        <v>48</v>
      </c>
      <c r="R5312" s="36" t="s">
        <v>48</v>
      </c>
    </row>
    <row r="5313">
      <c r="H5313" s="50"/>
      <c r="I5313" s="50"/>
      <c r="O5313" s="36" t="s">
        <v>48</v>
      </c>
      <c r="R5313" s="36" t="s">
        <v>48</v>
      </c>
    </row>
    <row r="5314">
      <c r="H5314" s="50"/>
      <c r="I5314" s="50"/>
      <c r="O5314" s="36" t="s">
        <v>48</v>
      </c>
      <c r="R5314" s="36" t="s">
        <v>48</v>
      </c>
    </row>
    <row r="5315">
      <c r="H5315" s="50"/>
      <c r="I5315" s="50"/>
      <c r="O5315" s="36" t="s">
        <v>48</v>
      </c>
      <c r="R5315" s="36" t="s">
        <v>48</v>
      </c>
    </row>
    <row r="5316">
      <c r="H5316" s="50"/>
      <c r="I5316" s="50"/>
      <c r="O5316" s="36" t="s">
        <v>48</v>
      </c>
      <c r="R5316" s="36" t="s">
        <v>48</v>
      </c>
    </row>
    <row r="5317">
      <c r="H5317" s="50"/>
      <c r="I5317" s="50"/>
      <c r="O5317" s="36" t="s">
        <v>48</v>
      </c>
      <c r="R5317" s="36" t="s">
        <v>48</v>
      </c>
    </row>
    <row r="5318">
      <c r="H5318" s="50"/>
      <c r="I5318" s="50"/>
      <c r="O5318" s="36" t="s">
        <v>48</v>
      </c>
      <c r="R5318" s="36" t="s">
        <v>48</v>
      </c>
    </row>
    <row r="5319">
      <c r="H5319" s="50"/>
      <c r="I5319" s="50"/>
      <c r="O5319" s="36" t="s">
        <v>48</v>
      </c>
      <c r="R5319" s="36" t="s">
        <v>48</v>
      </c>
    </row>
    <row r="5320">
      <c r="H5320" s="50"/>
      <c r="I5320" s="50"/>
      <c r="O5320" s="36" t="s">
        <v>48</v>
      </c>
      <c r="R5320" s="36" t="s">
        <v>48</v>
      </c>
    </row>
    <row r="5321">
      <c r="H5321" s="50"/>
      <c r="I5321" s="50"/>
      <c r="O5321" s="36" t="s">
        <v>48</v>
      </c>
      <c r="R5321" s="36" t="s">
        <v>48</v>
      </c>
    </row>
    <row r="5322">
      <c r="H5322" s="50"/>
      <c r="I5322" s="50"/>
      <c r="O5322" s="36" t="s">
        <v>48</v>
      </c>
      <c r="R5322" s="36" t="s">
        <v>48</v>
      </c>
    </row>
    <row r="5323">
      <c r="H5323" s="50"/>
      <c r="I5323" s="50"/>
      <c r="O5323" s="36" t="s">
        <v>48</v>
      </c>
      <c r="R5323" s="36" t="s">
        <v>48</v>
      </c>
    </row>
    <row r="5324">
      <c r="H5324" s="50"/>
      <c r="I5324" s="50"/>
      <c r="O5324" s="36" t="s">
        <v>48</v>
      </c>
      <c r="R5324" s="36" t="s">
        <v>48</v>
      </c>
    </row>
    <row r="5325">
      <c r="H5325" s="50"/>
      <c r="I5325" s="50"/>
      <c r="O5325" s="36" t="s">
        <v>48</v>
      </c>
      <c r="R5325" s="36" t="s">
        <v>48</v>
      </c>
    </row>
    <row r="5326">
      <c r="H5326" s="50"/>
      <c r="I5326" s="50"/>
      <c r="O5326" s="36" t="s">
        <v>48</v>
      </c>
      <c r="R5326" s="36" t="s">
        <v>48</v>
      </c>
    </row>
    <row r="5327">
      <c r="H5327" s="50"/>
      <c r="I5327" s="50"/>
      <c r="O5327" s="36" t="s">
        <v>48</v>
      </c>
      <c r="R5327" s="36" t="s">
        <v>48</v>
      </c>
    </row>
    <row r="5328">
      <c r="H5328" s="50"/>
      <c r="I5328" s="50"/>
      <c r="O5328" s="36" t="s">
        <v>48</v>
      </c>
      <c r="R5328" s="36" t="s">
        <v>48</v>
      </c>
    </row>
    <row r="5329">
      <c r="H5329" s="50"/>
      <c r="I5329" s="50"/>
      <c r="O5329" s="36" t="s">
        <v>48</v>
      </c>
      <c r="R5329" s="36" t="s">
        <v>48</v>
      </c>
    </row>
    <row r="5330">
      <c r="H5330" s="50"/>
      <c r="I5330" s="50"/>
      <c r="O5330" s="36" t="s">
        <v>48</v>
      </c>
      <c r="R5330" s="36" t="s">
        <v>48</v>
      </c>
    </row>
    <row r="5331">
      <c r="H5331" s="50"/>
      <c r="I5331" s="50"/>
      <c r="O5331" s="36" t="s">
        <v>48</v>
      </c>
      <c r="R5331" s="36" t="s">
        <v>48</v>
      </c>
    </row>
    <row r="5332">
      <c r="H5332" s="50"/>
      <c r="I5332" s="50"/>
      <c r="O5332" s="36" t="s">
        <v>48</v>
      </c>
      <c r="R5332" s="36" t="s">
        <v>48</v>
      </c>
    </row>
    <row r="5333">
      <c r="H5333" s="50"/>
      <c r="I5333" s="50"/>
      <c r="O5333" s="36" t="s">
        <v>48</v>
      </c>
      <c r="R5333" s="36" t="s">
        <v>48</v>
      </c>
    </row>
    <row r="5334">
      <c r="H5334" s="50"/>
      <c r="I5334" s="50"/>
      <c r="O5334" s="36" t="s">
        <v>48</v>
      </c>
      <c r="R5334" s="36" t="s">
        <v>48</v>
      </c>
    </row>
    <row r="5335">
      <c r="H5335" s="50"/>
      <c r="I5335" s="50"/>
      <c r="O5335" s="36" t="s">
        <v>48</v>
      </c>
      <c r="R5335" s="36" t="s">
        <v>48</v>
      </c>
    </row>
    <row r="5336">
      <c r="H5336" s="50"/>
      <c r="I5336" s="50"/>
      <c r="O5336" s="36" t="s">
        <v>48</v>
      </c>
      <c r="R5336" s="36" t="s">
        <v>48</v>
      </c>
    </row>
    <row r="5337">
      <c r="H5337" s="50"/>
      <c r="I5337" s="50"/>
      <c r="O5337" s="36" t="s">
        <v>48</v>
      </c>
      <c r="R5337" s="36" t="s">
        <v>48</v>
      </c>
    </row>
    <row r="5338">
      <c r="H5338" s="50"/>
      <c r="I5338" s="50"/>
      <c r="O5338" s="36" t="s">
        <v>48</v>
      </c>
      <c r="R5338" s="36" t="s">
        <v>48</v>
      </c>
    </row>
    <row r="5339">
      <c r="H5339" s="50"/>
      <c r="I5339" s="50"/>
      <c r="O5339" s="36" t="s">
        <v>48</v>
      </c>
      <c r="R5339" s="36" t="s">
        <v>48</v>
      </c>
    </row>
    <row r="5340">
      <c r="H5340" s="50"/>
      <c r="I5340" s="50"/>
      <c r="O5340" s="36" t="s">
        <v>48</v>
      </c>
      <c r="R5340" s="36" t="s">
        <v>48</v>
      </c>
    </row>
    <row r="5341">
      <c r="H5341" s="50"/>
      <c r="I5341" s="50"/>
      <c r="O5341" s="36" t="s">
        <v>48</v>
      </c>
      <c r="R5341" s="36" t="s">
        <v>48</v>
      </c>
    </row>
    <row r="5342">
      <c r="H5342" s="50"/>
      <c r="I5342" s="50"/>
      <c r="O5342" s="36" t="s">
        <v>48</v>
      </c>
      <c r="R5342" s="36" t="s">
        <v>48</v>
      </c>
    </row>
    <row r="5343">
      <c r="H5343" s="50"/>
      <c r="I5343" s="50"/>
      <c r="O5343" s="36" t="s">
        <v>48</v>
      </c>
      <c r="R5343" s="36" t="s">
        <v>48</v>
      </c>
    </row>
    <row r="5344">
      <c r="H5344" s="50"/>
      <c r="I5344" s="50"/>
      <c r="O5344" s="36" t="s">
        <v>48</v>
      </c>
      <c r="R5344" s="36" t="s">
        <v>48</v>
      </c>
    </row>
    <row r="5345">
      <c r="H5345" s="50"/>
      <c r="I5345" s="50"/>
      <c r="O5345" s="36" t="s">
        <v>48</v>
      </c>
      <c r="R5345" s="36" t="s">
        <v>48</v>
      </c>
    </row>
    <row r="5346">
      <c r="H5346" s="50"/>
      <c r="I5346" s="50"/>
      <c r="O5346" s="36" t="s">
        <v>48</v>
      </c>
      <c r="R5346" s="36" t="s">
        <v>48</v>
      </c>
    </row>
    <row r="5347">
      <c r="H5347" s="50"/>
      <c r="I5347" s="50"/>
      <c r="O5347" s="36" t="s">
        <v>48</v>
      </c>
      <c r="R5347" s="36" t="s">
        <v>48</v>
      </c>
    </row>
    <row r="5348">
      <c r="H5348" s="50"/>
      <c r="I5348" s="50"/>
      <c r="O5348" s="36" t="s">
        <v>48</v>
      </c>
      <c r="R5348" s="36" t="s">
        <v>48</v>
      </c>
    </row>
    <row r="5349">
      <c r="H5349" s="50"/>
      <c r="I5349" s="50"/>
      <c r="O5349" s="36" t="s">
        <v>48</v>
      </c>
      <c r="R5349" s="36" t="s">
        <v>48</v>
      </c>
    </row>
    <row r="5350">
      <c r="H5350" s="50"/>
      <c r="I5350" s="50"/>
      <c r="O5350" s="36" t="s">
        <v>48</v>
      </c>
      <c r="R5350" s="36" t="s">
        <v>48</v>
      </c>
    </row>
    <row r="5351">
      <c r="H5351" s="50"/>
      <c r="I5351" s="50"/>
      <c r="O5351" s="36" t="s">
        <v>48</v>
      </c>
      <c r="R5351" s="36" t="s">
        <v>48</v>
      </c>
    </row>
    <row r="5352">
      <c r="H5352" s="50"/>
      <c r="I5352" s="50"/>
      <c r="O5352" s="36" t="s">
        <v>48</v>
      </c>
      <c r="R5352" s="36" t="s">
        <v>48</v>
      </c>
    </row>
    <row r="5353">
      <c r="H5353" s="50"/>
      <c r="I5353" s="50"/>
      <c r="O5353" s="36" t="s">
        <v>48</v>
      </c>
      <c r="R5353" s="36" t="s">
        <v>48</v>
      </c>
    </row>
    <row r="5354">
      <c r="H5354" s="50"/>
      <c r="I5354" s="50"/>
      <c r="O5354" s="36" t="s">
        <v>48</v>
      </c>
      <c r="R5354" s="36" t="s">
        <v>48</v>
      </c>
    </row>
    <row r="5355">
      <c r="H5355" s="50"/>
      <c r="I5355" s="50"/>
      <c r="O5355" s="36" t="s">
        <v>48</v>
      </c>
      <c r="R5355" s="36" t="s">
        <v>48</v>
      </c>
    </row>
    <row r="5356">
      <c r="H5356" s="50"/>
      <c r="I5356" s="50"/>
      <c r="O5356" s="36" t="s">
        <v>48</v>
      </c>
      <c r="R5356" s="36" t="s">
        <v>48</v>
      </c>
    </row>
    <row r="5357">
      <c r="H5357" s="50"/>
      <c r="I5357" s="50"/>
      <c r="O5357" s="36" t="s">
        <v>48</v>
      </c>
      <c r="R5357" s="36" t="s">
        <v>48</v>
      </c>
    </row>
    <row r="5358">
      <c r="H5358" s="50"/>
      <c r="I5358" s="50"/>
      <c r="O5358" s="36" t="s">
        <v>48</v>
      </c>
      <c r="R5358" s="36" t="s">
        <v>48</v>
      </c>
    </row>
    <row r="5359">
      <c r="H5359" s="50"/>
      <c r="I5359" s="50"/>
      <c r="O5359" s="36" t="s">
        <v>48</v>
      </c>
      <c r="R5359" s="36" t="s">
        <v>48</v>
      </c>
    </row>
    <row r="5360">
      <c r="H5360" s="50"/>
      <c r="I5360" s="50"/>
      <c r="O5360" s="36" t="s">
        <v>48</v>
      </c>
      <c r="R5360" s="36" t="s">
        <v>48</v>
      </c>
    </row>
    <row r="5361">
      <c r="H5361" s="50"/>
      <c r="I5361" s="50"/>
      <c r="O5361" s="36" t="s">
        <v>48</v>
      </c>
      <c r="R5361" s="36" t="s">
        <v>48</v>
      </c>
    </row>
    <row r="5362">
      <c r="H5362" s="50"/>
      <c r="I5362" s="50"/>
      <c r="O5362" s="36" t="s">
        <v>48</v>
      </c>
      <c r="R5362" s="36" t="s">
        <v>48</v>
      </c>
    </row>
    <row r="5363">
      <c r="H5363" s="50"/>
      <c r="I5363" s="50"/>
      <c r="O5363" s="36" t="s">
        <v>48</v>
      </c>
      <c r="R5363" s="36" t="s">
        <v>48</v>
      </c>
    </row>
    <row r="5364">
      <c r="H5364" s="50"/>
      <c r="I5364" s="50"/>
      <c r="O5364" s="36" t="s">
        <v>48</v>
      </c>
      <c r="R5364" s="36" t="s">
        <v>48</v>
      </c>
    </row>
    <row r="5365">
      <c r="H5365" s="50"/>
      <c r="I5365" s="50"/>
      <c r="O5365" s="36" t="s">
        <v>48</v>
      </c>
      <c r="R5365" s="36" t="s">
        <v>48</v>
      </c>
    </row>
    <row r="5366">
      <c r="H5366" s="50"/>
      <c r="I5366" s="50"/>
      <c r="O5366" s="36" t="s">
        <v>48</v>
      </c>
      <c r="R5366" s="36" t="s">
        <v>48</v>
      </c>
    </row>
    <row r="5367">
      <c r="H5367" s="50"/>
      <c r="I5367" s="50"/>
      <c r="O5367" s="36" t="s">
        <v>48</v>
      </c>
      <c r="R5367" s="36" t="s">
        <v>48</v>
      </c>
    </row>
    <row r="5368">
      <c r="H5368" s="50"/>
      <c r="I5368" s="50"/>
      <c r="O5368" s="36" t="s">
        <v>48</v>
      </c>
      <c r="R5368" s="36" t="s">
        <v>48</v>
      </c>
    </row>
    <row r="5369">
      <c r="H5369" s="50"/>
      <c r="I5369" s="50"/>
      <c r="O5369" s="36" t="s">
        <v>48</v>
      </c>
      <c r="R5369" s="36" t="s">
        <v>48</v>
      </c>
    </row>
    <row r="5370">
      <c r="H5370" s="50"/>
      <c r="I5370" s="50"/>
      <c r="O5370" s="36" t="s">
        <v>48</v>
      </c>
      <c r="R5370" s="36" t="s">
        <v>48</v>
      </c>
    </row>
    <row r="5371">
      <c r="H5371" s="50"/>
      <c r="I5371" s="50"/>
      <c r="O5371" s="36" t="s">
        <v>48</v>
      </c>
      <c r="R5371" s="36" t="s">
        <v>48</v>
      </c>
    </row>
    <row r="5372">
      <c r="H5372" s="50"/>
      <c r="I5372" s="50"/>
      <c r="O5372" s="36" t="s">
        <v>48</v>
      </c>
      <c r="R5372" s="36" t="s">
        <v>48</v>
      </c>
    </row>
    <row r="5373">
      <c r="H5373" s="50"/>
      <c r="I5373" s="50"/>
      <c r="O5373" s="36" t="s">
        <v>48</v>
      </c>
      <c r="R5373" s="36" t="s">
        <v>48</v>
      </c>
    </row>
    <row r="5374">
      <c r="H5374" s="50"/>
      <c r="I5374" s="50"/>
      <c r="O5374" s="36" t="s">
        <v>48</v>
      </c>
      <c r="R5374" s="36" t="s">
        <v>48</v>
      </c>
    </row>
    <row r="5375">
      <c r="H5375" s="50"/>
      <c r="I5375" s="50"/>
      <c r="O5375" s="36" t="s">
        <v>48</v>
      </c>
      <c r="R5375" s="36" t="s">
        <v>48</v>
      </c>
    </row>
    <row r="5376">
      <c r="H5376" s="50"/>
      <c r="I5376" s="50"/>
      <c r="O5376" s="36" t="s">
        <v>48</v>
      </c>
      <c r="R5376" s="36" t="s">
        <v>48</v>
      </c>
    </row>
    <row r="5377">
      <c r="H5377" s="50"/>
      <c r="I5377" s="50"/>
      <c r="O5377" s="36" t="s">
        <v>48</v>
      </c>
      <c r="R5377" s="36" t="s">
        <v>48</v>
      </c>
    </row>
    <row r="5378">
      <c r="H5378" s="50"/>
      <c r="I5378" s="50"/>
      <c r="O5378" s="36" t="s">
        <v>48</v>
      </c>
      <c r="R5378" s="36" t="s">
        <v>48</v>
      </c>
    </row>
    <row r="5379">
      <c r="H5379" s="50"/>
      <c r="I5379" s="50"/>
      <c r="O5379" s="36" t="s">
        <v>48</v>
      </c>
      <c r="R5379" s="36" t="s">
        <v>48</v>
      </c>
    </row>
    <row r="5380">
      <c r="H5380" s="50"/>
      <c r="I5380" s="50"/>
      <c r="O5380" s="36" t="s">
        <v>48</v>
      </c>
      <c r="R5380" s="36" t="s">
        <v>48</v>
      </c>
    </row>
    <row r="5381">
      <c r="H5381" s="50"/>
      <c r="I5381" s="50"/>
      <c r="O5381" s="36" t="s">
        <v>48</v>
      </c>
      <c r="R5381" s="36" t="s">
        <v>48</v>
      </c>
    </row>
    <row r="5382">
      <c r="H5382" s="50"/>
      <c r="I5382" s="50"/>
      <c r="O5382" s="36" t="s">
        <v>48</v>
      </c>
      <c r="R5382" s="36" t="s">
        <v>48</v>
      </c>
    </row>
    <row r="5383">
      <c r="H5383" s="50"/>
      <c r="I5383" s="50"/>
      <c r="O5383" s="36" t="s">
        <v>48</v>
      </c>
      <c r="R5383" s="36" t="s">
        <v>48</v>
      </c>
    </row>
    <row r="5384">
      <c r="H5384" s="50"/>
      <c r="I5384" s="50"/>
      <c r="O5384" s="36" t="s">
        <v>48</v>
      </c>
      <c r="R5384" s="36" t="s">
        <v>48</v>
      </c>
    </row>
    <row r="5385">
      <c r="H5385" s="50"/>
      <c r="I5385" s="50"/>
      <c r="O5385" s="36" t="s">
        <v>48</v>
      </c>
      <c r="R5385" s="36" t="s">
        <v>48</v>
      </c>
    </row>
    <row r="5386">
      <c r="H5386" s="50"/>
      <c r="I5386" s="50"/>
      <c r="O5386" s="36" t="s">
        <v>48</v>
      </c>
      <c r="R5386" s="36" t="s">
        <v>48</v>
      </c>
    </row>
    <row r="5387">
      <c r="H5387" s="50"/>
      <c r="I5387" s="50"/>
      <c r="O5387" s="36" t="s">
        <v>48</v>
      </c>
      <c r="R5387" s="36" t="s">
        <v>48</v>
      </c>
    </row>
    <row r="5388">
      <c r="H5388" s="50"/>
      <c r="I5388" s="50"/>
      <c r="O5388" s="36" t="s">
        <v>48</v>
      </c>
      <c r="R5388" s="36" t="s">
        <v>48</v>
      </c>
    </row>
    <row r="5389">
      <c r="H5389" s="50"/>
      <c r="I5389" s="50"/>
      <c r="O5389" s="36" t="s">
        <v>48</v>
      </c>
      <c r="R5389" s="36" t="s">
        <v>48</v>
      </c>
    </row>
    <row r="5390">
      <c r="H5390" s="50"/>
      <c r="I5390" s="50"/>
      <c r="O5390" s="36" t="s">
        <v>48</v>
      </c>
      <c r="R5390" s="36" t="s">
        <v>48</v>
      </c>
    </row>
    <row r="5391">
      <c r="H5391" s="50"/>
      <c r="I5391" s="50"/>
      <c r="O5391" s="36" t="s">
        <v>48</v>
      </c>
      <c r="R5391" s="36" t="s">
        <v>48</v>
      </c>
    </row>
    <row r="5392">
      <c r="H5392" s="50"/>
      <c r="I5392" s="50"/>
      <c r="O5392" s="36" t="s">
        <v>48</v>
      </c>
      <c r="R5392" s="36" t="s">
        <v>48</v>
      </c>
    </row>
    <row r="5393">
      <c r="H5393" s="50"/>
      <c r="I5393" s="50"/>
      <c r="O5393" s="36" t="s">
        <v>48</v>
      </c>
      <c r="R5393" s="36" t="s">
        <v>48</v>
      </c>
    </row>
    <row r="5394">
      <c r="H5394" s="50"/>
      <c r="I5394" s="50"/>
      <c r="O5394" s="36" t="s">
        <v>48</v>
      </c>
      <c r="R5394" s="36" t="s">
        <v>48</v>
      </c>
    </row>
    <row r="5395">
      <c r="H5395" s="50"/>
      <c r="I5395" s="50"/>
      <c r="O5395" s="36" t="s">
        <v>48</v>
      </c>
      <c r="R5395" s="36" t="s">
        <v>48</v>
      </c>
    </row>
    <row r="5396">
      <c r="H5396" s="50"/>
      <c r="I5396" s="50"/>
      <c r="O5396" s="36" t="s">
        <v>48</v>
      </c>
      <c r="R5396" s="36" t="s">
        <v>48</v>
      </c>
    </row>
    <row r="5397">
      <c r="H5397" s="50"/>
      <c r="I5397" s="50"/>
      <c r="O5397" s="36" t="s">
        <v>48</v>
      </c>
      <c r="R5397" s="36" t="s">
        <v>48</v>
      </c>
    </row>
    <row r="5398">
      <c r="H5398" s="50"/>
      <c r="I5398" s="50"/>
      <c r="O5398" s="36" t="s">
        <v>48</v>
      </c>
      <c r="R5398" s="36" t="s">
        <v>48</v>
      </c>
    </row>
    <row r="5399">
      <c r="H5399" s="50"/>
      <c r="I5399" s="50"/>
      <c r="O5399" s="36" t="s">
        <v>48</v>
      </c>
      <c r="R5399" s="36" t="s">
        <v>48</v>
      </c>
    </row>
    <row r="5400">
      <c r="H5400" s="50"/>
      <c r="I5400" s="50"/>
      <c r="O5400" s="36" t="s">
        <v>48</v>
      </c>
      <c r="R5400" s="36" t="s">
        <v>48</v>
      </c>
    </row>
    <row r="5401">
      <c r="H5401" s="50"/>
      <c r="I5401" s="50"/>
      <c r="O5401" s="36" t="s">
        <v>48</v>
      </c>
      <c r="R5401" s="36" t="s">
        <v>48</v>
      </c>
    </row>
    <row r="5402">
      <c r="H5402" s="50"/>
      <c r="I5402" s="50"/>
      <c r="O5402" s="36" t="s">
        <v>48</v>
      </c>
      <c r="R5402" s="36" t="s">
        <v>48</v>
      </c>
    </row>
    <row r="5403">
      <c r="H5403" s="50"/>
      <c r="I5403" s="50"/>
      <c r="O5403" s="36" t="s">
        <v>48</v>
      </c>
      <c r="R5403" s="36" t="s">
        <v>48</v>
      </c>
    </row>
    <row r="5404">
      <c r="H5404" s="50"/>
      <c r="I5404" s="50"/>
      <c r="O5404" s="36" t="s">
        <v>48</v>
      </c>
      <c r="R5404" s="36" t="s">
        <v>48</v>
      </c>
    </row>
    <row r="5405">
      <c r="H5405" s="50"/>
      <c r="I5405" s="50"/>
      <c r="O5405" s="36" t="s">
        <v>48</v>
      </c>
      <c r="R5405" s="36" t="s">
        <v>48</v>
      </c>
    </row>
    <row r="5406">
      <c r="H5406" s="50"/>
      <c r="I5406" s="50"/>
      <c r="O5406" s="36" t="s">
        <v>48</v>
      </c>
      <c r="R5406" s="36" t="s">
        <v>48</v>
      </c>
    </row>
    <row r="5407">
      <c r="H5407" s="50"/>
      <c r="I5407" s="50"/>
      <c r="O5407" s="36" t="s">
        <v>48</v>
      </c>
      <c r="R5407" s="36" t="s">
        <v>48</v>
      </c>
    </row>
    <row r="5408">
      <c r="H5408" s="50"/>
      <c r="I5408" s="50"/>
      <c r="O5408" s="36" t="s">
        <v>48</v>
      </c>
      <c r="R5408" s="36" t="s">
        <v>48</v>
      </c>
    </row>
    <row r="5409">
      <c r="H5409" s="50"/>
      <c r="I5409" s="50"/>
      <c r="O5409" s="36" t="s">
        <v>48</v>
      </c>
      <c r="R5409" s="36" t="s">
        <v>48</v>
      </c>
    </row>
    <row r="5410">
      <c r="H5410" s="50"/>
      <c r="I5410" s="50"/>
      <c r="O5410" s="36" t="s">
        <v>48</v>
      </c>
      <c r="R5410" s="36" t="s">
        <v>48</v>
      </c>
    </row>
    <row r="5411">
      <c r="H5411" s="50"/>
      <c r="I5411" s="50"/>
      <c r="O5411" s="36" t="s">
        <v>48</v>
      </c>
      <c r="R5411" s="36" t="s">
        <v>48</v>
      </c>
    </row>
    <row r="5412">
      <c r="H5412" s="50"/>
      <c r="I5412" s="50"/>
      <c r="O5412" s="36" t="s">
        <v>48</v>
      </c>
      <c r="R5412" s="36" t="s">
        <v>48</v>
      </c>
    </row>
    <row r="5413">
      <c r="H5413" s="50"/>
      <c r="I5413" s="50"/>
      <c r="O5413" s="36" t="s">
        <v>48</v>
      </c>
      <c r="R5413" s="36" t="s">
        <v>48</v>
      </c>
    </row>
    <row r="5414">
      <c r="H5414" s="50"/>
      <c r="I5414" s="50"/>
      <c r="O5414" s="36" t="s">
        <v>48</v>
      </c>
      <c r="R5414" s="36" t="s">
        <v>48</v>
      </c>
    </row>
    <row r="5415">
      <c r="H5415" s="50"/>
      <c r="I5415" s="50"/>
      <c r="O5415" s="36" t="s">
        <v>48</v>
      </c>
      <c r="R5415" s="36" t="s">
        <v>48</v>
      </c>
    </row>
    <row r="5416">
      <c r="H5416" s="50"/>
      <c r="I5416" s="50"/>
      <c r="O5416" s="36" t="s">
        <v>48</v>
      </c>
      <c r="R5416" s="36" t="s">
        <v>48</v>
      </c>
    </row>
    <row r="5417">
      <c r="H5417" s="50"/>
      <c r="I5417" s="50"/>
      <c r="O5417" s="36" t="s">
        <v>48</v>
      </c>
      <c r="R5417" s="36" t="s">
        <v>48</v>
      </c>
    </row>
    <row r="5418">
      <c r="H5418" s="50"/>
      <c r="I5418" s="50"/>
      <c r="O5418" s="36" t="s">
        <v>48</v>
      </c>
      <c r="R5418" s="36" t="s">
        <v>48</v>
      </c>
    </row>
    <row r="5419">
      <c r="H5419" s="50"/>
      <c r="I5419" s="50"/>
      <c r="O5419" s="36" t="s">
        <v>48</v>
      </c>
      <c r="R5419" s="36" t="s">
        <v>48</v>
      </c>
    </row>
    <row r="5420">
      <c r="H5420" s="50"/>
      <c r="I5420" s="50"/>
      <c r="O5420" s="36" t="s">
        <v>48</v>
      </c>
      <c r="R5420" s="36" t="s">
        <v>48</v>
      </c>
    </row>
    <row r="5421">
      <c r="H5421" s="50"/>
      <c r="I5421" s="50"/>
      <c r="O5421" s="36" t="s">
        <v>48</v>
      </c>
      <c r="R5421" s="36" t="s">
        <v>48</v>
      </c>
    </row>
    <row r="5422">
      <c r="H5422" s="50"/>
      <c r="I5422" s="50"/>
      <c r="O5422" s="36" t="s">
        <v>48</v>
      </c>
      <c r="R5422" s="36" t="s">
        <v>48</v>
      </c>
    </row>
    <row r="5423">
      <c r="H5423" s="50"/>
      <c r="I5423" s="50"/>
      <c r="O5423" s="36" t="s">
        <v>48</v>
      </c>
      <c r="R5423" s="36" t="s">
        <v>48</v>
      </c>
    </row>
    <row r="5424">
      <c r="H5424" s="50"/>
      <c r="I5424" s="50"/>
      <c r="O5424" s="36" t="s">
        <v>48</v>
      </c>
      <c r="R5424" s="36" t="s">
        <v>48</v>
      </c>
    </row>
    <row r="5425">
      <c r="H5425" s="50"/>
      <c r="I5425" s="50"/>
      <c r="O5425" s="36" t="s">
        <v>48</v>
      </c>
      <c r="R5425" s="36" t="s">
        <v>48</v>
      </c>
    </row>
    <row r="5426">
      <c r="H5426" s="50"/>
      <c r="I5426" s="50"/>
      <c r="O5426" s="36" t="s">
        <v>48</v>
      </c>
      <c r="R5426" s="36" t="s">
        <v>48</v>
      </c>
    </row>
    <row r="5427">
      <c r="H5427" s="50"/>
      <c r="I5427" s="50"/>
      <c r="O5427" s="36" t="s">
        <v>48</v>
      </c>
      <c r="R5427" s="36" t="s">
        <v>48</v>
      </c>
    </row>
    <row r="5428">
      <c r="H5428" s="50"/>
      <c r="I5428" s="50"/>
      <c r="O5428" s="36" t="s">
        <v>48</v>
      </c>
      <c r="R5428" s="36" t="s">
        <v>48</v>
      </c>
    </row>
    <row r="5429">
      <c r="H5429" s="50"/>
      <c r="I5429" s="50"/>
      <c r="O5429" s="36" t="s">
        <v>48</v>
      </c>
      <c r="R5429" s="36" t="s">
        <v>48</v>
      </c>
    </row>
    <row r="5430">
      <c r="H5430" s="50"/>
      <c r="I5430" s="50"/>
      <c r="O5430" s="36" t="s">
        <v>48</v>
      </c>
      <c r="R5430" s="36" t="s">
        <v>48</v>
      </c>
    </row>
    <row r="5431">
      <c r="H5431" s="50"/>
      <c r="I5431" s="50"/>
      <c r="O5431" s="36" t="s">
        <v>48</v>
      </c>
      <c r="R5431" s="36" t="s">
        <v>48</v>
      </c>
    </row>
    <row r="5432">
      <c r="H5432" s="50"/>
      <c r="I5432" s="50"/>
      <c r="O5432" s="36" t="s">
        <v>48</v>
      </c>
      <c r="R5432" s="36" t="s">
        <v>48</v>
      </c>
    </row>
    <row r="5433">
      <c r="H5433" s="50"/>
      <c r="I5433" s="50"/>
      <c r="O5433" s="36" t="s">
        <v>48</v>
      </c>
      <c r="R5433" s="36" t="s">
        <v>48</v>
      </c>
    </row>
    <row r="5434">
      <c r="H5434" s="50"/>
      <c r="I5434" s="50"/>
      <c r="O5434" s="36" t="s">
        <v>48</v>
      </c>
      <c r="R5434" s="36" t="s">
        <v>48</v>
      </c>
    </row>
    <row r="5435">
      <c r="H5435" s="50"/>
      <c r="I5435" s="50"/>
      <c r="O5435" s="36" t="s">
        <v>48</v>
      </c>
      <c r="R5435" s="36" t="s">
        <v>48</v>
      </c>
    </row>
    <row r="5436">
      <c r="H5436" s="50"/>
      <c r="I5436" s="50"/>
      <c r="O5436" s="36" t="s">
        <v>48</v>
      </c>
      <c r="R5436" s="36" t="s">
        <v>48</v>
      </c>
    </row>
    <row r="5437">
      <c r="H5437" s="50"/>
      <c r="I5437" s="50"/>
      <c r="O5437" s="36" t="s">
        <v>48</v>
      </c>
      <c r="R5437" s="36" t="s">
        <v>48</v>
      </c>
    </row>
    <row r="5438">
      <c r="H5438" s="50"/>
      <c r="I5438" s="50"/>
      <c r="O5438" s="36" t="s">
        <v>48</v>
      </c>
      <c r="R5438" s="36" t="s">
        <v>48</v>
      </c>
    </row>
    <row r="5439">
      <c r="H5439" s="50"/>
      <c r="I5439" s="50"/>
      <c r="O5439" s="36" t="s">
        <v>48</v>
      </c>
      <c r="R5439" s="36" t="s">
        <v>48</v>
      </c>
    </row>
    <row r="5440">
      <c r="H5440" s="50"/>
      <c r="I5440" s="50"/>
      <c r="O5440" s="36" t="s">
        <v>48</v>
      </c>
      <c r="R5440" s="36" t="s">
        <v>48</v>
      </c>
    </row>
    <row r="5441">
      <c r="H5441" s="50"/>
      <c r="I5441" s="50"/>
      <c r="O5441" s="36" t="s">
        <v>48</v>
      </c>
      <c r="R5441" s="36" t="s">
        <v>48</v>
      </c>
    </row>
    <row r="5442">
      <c r="H5442" s="50"/>
      <c r="I5442" s="50"/>
      <c r="O5442" s="36" t="s">
        <v>48</v>
      </c>
      <c r="R5442" s="36" t="s">
        <v>48</v>
      </c>
    </row>
    <row r="5443">
      <c r="H5443" s="50"/>
      <c r="I5443" s="50"/>
      <c r="O5443" s="36" t="s">
        <v>48</v>
      </c>
      <c r="R5443" s="36" t="s">
        <v>48</v>
      </c>
    </row>
    <row r="5444">
      <c r="H5444" s="50"/>
      <c r="I5444" s="50"/>
      <c r="O5444" s="36" t="s">
        <v>48</v>
      </c>
      <c r="R5444" s="36" t="s">
        <v>48</v>
      </c>
    </row>
    <row r="5445">
      <c r="H5445" s="50"/>
      <c r="I5445" s="50"/>
      <c r="O5445" s="36" t="s">
        <v>48</v>
      </c>
      <c r="R5445" s="36" t="s">
        <v>48</v>
      </c>
    </row>
    <row r="5446">
      <c r="H5446" s="50"/>
      <c r="I5446" s="50"/>
      <c r="O5446" s="36" t="s">
        <v>48</v>
      </c>
      <c r="R5446" s="36" t="s">
        <v>48</v>
      </c>
    </row>
    <row r="5447">
      <c r="H5447" s="50"/>
      <c r="I5447" s="50"/>
      <c r="O5447" s="36" t="s">
        <v>48</v>
      </c>
      <c r="R5447" s="36" t="s">
        <v>48</v>
      </c>
    </row>
    <row r="5448">
      <c r="H5448" s="50"/>
      <c r="I5448" s="50"/>
      <c r="O5448" s="36" t="s">
        <v>48</v>
      </c>
      <c r="R5448" s="36" t="s">
        <v>48</v>
      </c>
    </row>
    <row r="5449">
      <c r="H5449" s="50"/>
      <c r="I5449" s="50"/>
      <c r="O5449" s="36" t="s">
        <v>48</v>
      </c>
      <c r="R5449" s="36" t="s">
        <v>48</v>
      </c>
    </row>
    <row r="5450">
      <c r="H5450" s="50"/>
      <c r="I5450" s="50"/>
      <c r="O5450" s="36" t="s">
        <v>48</v>
      </c>
      <c r="R5450" s="36" t="s">
        <v>48</v>
      </c>
    </row>
    <row r="5451">
      <c r="H5451" s="50"/>
      <c r="I5451" s="50"/>
      <c r="O5451" s="36" t="s">
        <v>48</v>
      </c>
      <c r="R5451" s="36" t="s">
        <v>48</v>
      </c>
    </row>
    <row r="5452">
      <c r="H5452" s="50"/>
      <c r="I5452" s="50"/>
      <c r="O5452" s="36" t="s">
        <v>48</v>
      </c>
      <c r="R5452" s="36" t="s">
        <v>48</v>
      </c>
    </row>
    <row r="5453">
      <c r="H5453" s="50"/>
      <c r="I5453" s="50"/>
      <c r="O5453" s="36" t="s">
        <v>48</v>
      </c>
      <c r="R5453" s="36" t="s">
        <v>48</v>
      </c>
    </row>
    <row r="5454">
      <c r="H5454" s="50"/>
      <c r="I5454" s="50"/>
      <c r="O5454" s="36" t="s">
        <v>48</v>
      </c>
      <c r="R5454" s="36" t="s">
        <v>48</v>
      </c>
    </row>
    <row r="5455">
      <c r="H5455" s="50"/>
      <c r="I5455" s="50"/>
      <c r="O5455" s="36" t="s">
        <v>48</v>
      </c>
      <c r="R5455" s="36" t="s">
        <v>48</v>
      </c>
    </row>
    <row r="5456">
      <c r="H5456" s="50"/>
      <c r="I5456" s="50"/>
      <c r="O5456" s="36" t="s">
        <v>48</v>
      </c>
      <c r="R5456" s="36" t="s">
        <v>48</v>
      </c>
    </row>
    <row r="5457">
      <c r="H5457" s="50"/>
      <c r="I5457" s="50"/>
      <c r="O5457" s="36" t="s">
        <v>48</v>
      </c>
      <c r="R5457" s="36" t="s">
        <v>48</v>
      </c>
    </row>
    <row r="5458">
      <c r="H5458" s="50"/>
      <c r="I5458" s="50"/>
      <c r="O5458" s="36" t="s">
        <v>48</v>
      </c>
      <c r="R5458" s="36" t="s">
        <v>48</v>
      </c>
    </row>
    <row r="5459">
      <c r="H5459" s="50"/>
      <c r="I5459" s="50"/>
      <c r="O5459" s="36" t="s">
        <v>48</v>
      </c>
      <c r="R5459" s="36" t="s">
        <v>48</v>
      </c>
    </row>
    <row r="5460">
      <c r="H5460" s="50"/>
      <c r="I5460" s="50"/>
      <c r="O5460" s="36" t="s">
        <v>48</v>
      </c>
      <c r="R5460" s="36" t="s">
        <v>48</v>
      </c>
    </row>
    <row r="5461">
      <c r="H5461" s="50"/>
      <c r="I5461" s="50"/>
      <c r="O5461" s="36" t="s">
        <v>48</v>
      </c>
      <c r="R5461" s="36" t="s">
        <v>48</v>
      </c>
    </row>
    <row r="5462">
      <c r="H5462" s="50"/>
      <c r="I5462" s="50"/>
      <c r="O5462" s="36" t="s">
        <v>48</v>
      </c>
      <c r="R5462" s="36" t="s">
        <v>48</v>
      </c>
    </row>
    <row r="5463">
      <c r="H5463" s="50"/>
      <c r="I5463" s="50"/>
      <c r="O5463" s="36" t="s">
        <v>48</v>
      </c>
      <c r="R5463" s="36" t="s">
        <v>48</v>
      </c>
    </row>
    <row r="5464">
      <c r="H5464" s="50"/>
      <c r="I5464" s="50"/>
      <c r="O5464" s="36" t="s">
        <v>48</v>
      </c>
      <c r="R5464" s="36" t="s">
        <v>48</v>
      </c>
    </row>
    <row r="5465">
      <c r="H5465" s="50"/>
      <c r="I5465" s="50"/>
      <c r="O5465" s="36" t="s">
        <v>48</v>
      </c>
      <c r="R5465" s="36" t="s">
        <v>48</v>
      </c>
    </row>
    <row r="5466">
      <c r="H5466" s="50"/>
      <c r="I5466" s="50"/>
      <c r="O5466" s="36" t="s">
        <v>48</v>
      </c>
      <c r="R5466" s="36" t="s">
        <v>48</v>
      </c>
    </row>
    <row r="5467">
      <c r="H5467" s="50"/>
      <c r="I5467" s="50"/>
      <c r="O5467" s="36" t="s">
        <v>48</v>
      </c>
      <c r="R5467" s="36" t="s">
        <v>48</v>
      </c>
    </row>
    <row r="5468">
      <c r="H5468" s="50"/>
      <c r="I5468" s="50"/>
      <c r="O5468" s="36" t="s">
        <v>48</v>
      </c>
      <c r="R5468" s="36" t="s">
        <v>48</v>
      </c>
    </row>
    <row r="5469">
      <c r="H5469" s="50"/>
      <c r="I5469" s="50"/>
      <c r="O5469" s="36" t="s">
        <v>48</v>
      </c>
      <c r="R5469" s="36" t="s">
        <v>48</v>
      </c>
    </row>
    <row r="5470">
      <c r="H5470" s="50"/>
      <c r="I5470" s="50"/>
      <c r="O5470" s="36" t="s">
        <v>48</v>
      </c>
      <c r="R5470" s="36" t="s">
        <v>48</v>
      </c>
    </row>
    <row r="5471">
      <c r="H5471" s="50"/>
      <c r="I5471" s="50"/>
      <c r="O5471" s="36" t="s">
        <v>48</v>
      </c>
      <c r="R5471" s="36" t="s">
        <v>48</v>
      </c>
    </row>
    <row r="5472">
      <c r="H5472" s="50"/>
      <c r="I5472" s="50"/>
      <c r="O5472" s="36" t="s">
        <v>48</v>
      </c>
      <c r="R5472" s="36" t="s">
        <v>48</v>
      </c>
    </row>
    <row r="5473">
      <c r="H5473" s="50"/>
      <c r="I5473" s="50"/>
      <c r="O5473" s="36" t="s">
        <v>48</v>
      </c>
      <c r="R5473" s="36" t="s">
        <v>48</v>
      </c>
    </row>
    <row r="5474">
      <c r="H5474" s="50"/>
      <c r="I5474" s="50"/>
      <c r="O5474" s="36" t="s">
        <v>48</v>
      </c>
      <c r="R5474" s="36" t="s">
        <v>48</v>
      </c>
    </row>
    <row r="5475">
      <c r="H5475" s="50"/>
      <c r="I5475" s="50"/>
      <c r="O5475" s="36" t="s">
        <v>48</v>
      </c>
      <c r="R5475" s="36" t="s">
        <v>48</v>
      </c>
    </row>
    <row r="5476">
      <c r="H5476" s="50"/>
      <c r="I5476" s="50"/>
      <c r="O5476" s="36" t="s">
        <v>48</v>
      </c>
      <c r="R5476" s="36" t="s">
        <v>48</v>
      </c>
    </row>
    <row r="5477">
      <c r="H5477" s="50"/>
      <c r="I5477" s="50"/>
      <c r="O5477" s="36" t="s">
        <v>48</v>
      </c>
      <c r="R5477" s="36" t="s">
        <v>48</v>
      </c>
    </row>
    <row r="5478">
      <c r="H5478" s="50"/>
      <c r="I5478" s="50"/>
      <c r="O5478" s="36" t="s">
        <v>48</v>
      </c>
      <c r="R5478" s="36" t="s">
        <v>48</v>
      </c>
    </row>
    <row r="5479">
      <c r="H5479" s="50"/>
      <c r="I5479" s="50"/>
      <c r="O5479" s="36" t="s">
        <v>48</v>
      </c>
      <c r="R5479" s="36" t="s">
        <v>48</v>
      </c>
    </row>
    <row r="5480">
      <c r="H5480" s="50"/>
      <c r="I5480" s="50"/>
      <c r="O5480" s="36" t="s">
        <v>48</v>
      </c>
      <c r="R5480" s="36" t="s">
        <v>48</v>
      </c>
    </row>
    <row r="5481">
      <c r="H5481" s="50"/>
      <c r="I5481" s="50"/>
      <c r="O5481" s="36" t="s">
        <v>48</v>
      </c>
      <c r="R5481" s="36" t="s">
        <v>48</v>
      </c>
    </row>
    <row r="5482">
      <c r="H5482" s="50"/>
      <c r="I5482" s="50"/>
      <c r="O5482" s="36" t="s">
        <v>48</v>
      </c>
      <c r="R5482" s="36" t="s">
        <v>48</v>
      </c>
    </row>
    <row r="5483">
      <c r="H5483" s="50"/>
      <c r="I5483" s="50"/>
      <c r="O5483" s="36" t="s">
        <v>48</v>
      </c>
      <c r="R5483" s="36" t="s">
        <v>48</v>
      </c>
    </row>
    <row r="5484">
      <c r="H5484" s="50"/>
      <c r="I5484" s="50"/>
      <c r="O5484" s="36" t="s">
        <v>48</v>
      </c>
      <c r="R5484" s="36" t="s">
        <v>48</v>
      </c>
    </row>
    <row r="5485">
      <c r="H5485" s="50"/>
      <c r="I5485" s="50"/>
      <c r="O5485" s="36" t="s">
        <v>48</v>
      </c>
      <c r="R5485" s="36" t="s">
        <v>48</v>
      </c>
    </row>
    <row r="5486">
      <c r="H5486" s="50"/>
      <c r="I5486" s="50"/>
      <c r="O5486" s="36" t="s">
        <v>48</v>
      </c>
      <c r="R5486" s="36" t="s">
        <v>48</v>
      </c>
    </row>
    <row r="5487">
      <c r="H5487" s="50"/>
      <c r="I5487" s="50"/>
      <c r="O5487" s="36" t="s">
        <v>48</v>
      </c>
      <c r="R5487" s="36" t="s">
        <v>48</v>
      </c>
    </row>
    <row r="5488">
      <c r="H5488" s="50"/>
      <c r="I5488" s="50"/>
      <c r="O5488" s="36" t="s">
        <v>48</v>
      </c>
      <c r="R5488" s="36" t="s">
        <v>48</v>
      </c>
    </row>
    <row r="5489">
      <c r="H5489" s="50"/>
      <c r="I5489" s="50"/>
      <c r="O5489" s="36" t="s">
        <v>48</v>
      </c>
      <c r="R5489" s="36" t="s">
        <v>48</v>
      </c>
    </row>
    <row r="5490">
      <c r="H5490" s="50"/>
      <c r="I5490" s="50"/>
      <c r="O5490" s="36" t="s">
        <v>48</v>
      </c>
      <c r="R5490" s="36" t="s">
        <v>48</v>
      </c>
    </row>
    <row r="5491">
      <c r="H5491" s="50"/>
      <c r="I5491" s="50"/>
      <c r="O5491" s="36" t="s">
        <v>48</v>
      </c>
      <c r="R5491" s="36" t="s">
        <v>48</v>
      </c>
    </row>
    <row r="5492">
      <c r="H5492" s="50"/>
      <c r="I5492" s="50"/>
      <c r="O5492" s="36" t="s">
        <v>48</v>
      </c>
      <c r="R5492" s="36" t="s">
        <v>48</v>
      </c>
    </row>
    <row r="5493">
      <c r="H5493" s="50"/>
      <c r="I5493" s="50"/>
      <c r="O5493" s="36" t="s">
        <v>48</v>
      </c>
      <c r="R5493" s="36" t="s">
        <v>48</v>
      </c>
    </row>
    <row r="5494">
      <c r="H5494" s="50"/>
      <c r="I5494" s="50"/>
      <c r="O5494" s="36" t="s">
        <v>48</v>
      </c>
      <c r="R5494" s="36" t="s">
        <v>48</v>
      </c>
    </row>
    <row r="5495">
      <c r="H5495" s="50"/>
      <c r="I5495" s="50"/>
      <c r="O5495" s="36" t="s">
        <v>48</v>
      </c>
      <c r="R5495" s="36" t="s">
        <v>48</v>
      </c>
    </row>
    <row r="5496">
      <c r="H5496" s="50"/>
      <c r="I5496" s="50"/>
      <c r="O5496" s="36" t="s">
        <v>48</v>
      </c>
      <c r="R5496" s="36" t="s">
        <v>48</v>
      </c>
    </row>
    <row r="5497">
      <c r="H5497" s="50"/>
      <c r="I5497" s="50"/>
      <c r="O5497" s="36" t="s">
        <v>48</v>
      </c>
      <c r="R5497" s="36" t="s">
        <v>48</v>
      </c>
    </row>
    <row r="5498">
      <c r="H5498" s="50"/>
      <c r="I5498" s="50"/>
      <c r="O5498" s="36" t="s">
        <v>48</v>
      </c>
      <c r="R5498" s="36" t="s">
        <v>48</v>
      </c>
    </row>
    <row r="5499">
      <c r="H5499" s="50"/>
      <c r="I5499" s="50"/>
      <c r="O5499" s="36" t="s">
        <v>48</v>
      </c>
      <c r="R5499" s="36" t="s">
        <v>48</v>
      </c>
    </row>
    <row r="5500">
      <c r="H5500" s="50"/>
      <c r="I5500" s="50"/>
      <c r="O5500" s="36" t="s">
        <v>48</v>
      </c>
      <c r="R5500" s="36" t="s">
        <v>48</v>
      </c>
    </row>
    <row r="5501">
      <c r="H5501" s="50"/>
      <c r="I5501" s="50"/>
      <c r="O5501" s="36" t="s">
        <v>48</v>
      </c>
      <c r="R5501" s="36" t="s">
        <v>48</v>
      </c>
    </row>
    <row r="5502">
      <c r="H5502" s="50"/>
      <c r="I5502" s="50"/>
      <c r="O5502" s="36" t="s">
        <v>48</v>
      </c>
      <c r="R5502" s="36" t="s">
        <v>48</v>
      </c>
    </row>
    <row r="5503">
      <c r="H5503" s="50"/>
      <c r="I5503" s="50"/>
      <c r="O5503" s="36" t="s">
        <v>48</v>
      </c>
      <c r="R5503" s="36" t="s">
        <v>48</v>
      </c>
    </row>
    <row r="5504">
      <c r="H5504" s="50"/>
      <c r="I5504" s="50"/>
      <c r="O5504" s="36" t="s">
        <v>48</v>
      </c>
      <c r="R5504" s="36" t="s">
        <v>48</v>
      </c>
    </row>
    <row r="5505">
      <c r="H5505" s="50"/>
      <c r="I5505" s="50"/>
      <c r="O5505" s="36" t="s">
        <v>48</v>
      </c>
      <c r="R5505" s="36" t="s">
        <v>48</v>
      </c>
    </row>
    <row r="5506">
      <c r="H5506" s="50"/>
      <c r="I5506" s="50"/>
      <c r="O5506" s="36" t="s">
        <v>48</v>
      </c>
      <c r="R5506" s="36" t="s">
        <v>48</v>
      </c>
    </row>
    <row r="5507">
      <c r="H5507" s="50"/>
      <c r="I5507" s="50"/>
      <c r="O5507" s="36" t="s">
        <v>48</v>
      </c>
      <c r="R5507" s="36" t="s">
        <v>48</v>
      </c>
    </row>
    <row r="5508">
      <c r="H5508" s="50"/>
      <c r="I5508" s="50"/>
      <c r="O5508" s="36" t="s">
        <v>48</v>
      </c>
      <c r="R5508" s="36" t="s">
        <v>48</v>
      </c>
    </row>
    <row r="5509">
      <c r="H5509" s="50"/>
      <c r="I5509" s="50"/>
      <c r="O5509" s="36" t="s">
        <v>48</v>
      </c>
      <c r="R5509" s="36" t="s">
        <v>48</v>
      </c>
    </row>
    <row r="5510">
      <c r="H5510" s="50"/>
      <c r="I5510" s="50"/>
      <c r="O5510" s="36" t="s">
        <v>48</v>
      </c>
      <c r="R5510" s="36" t="s">
        <v>48</v>
      </c>
    </row>
    <row r="5511">
      <c r="H5511" s="50"/>
      <c r="I5511" s="50"/>
      <c r="O5511" s="36" t="s">
        <v>48</v>
      </c>
      <c r="R5511" s="36" t="s">
        <v>48</v>
      </c>
    </row>
    <row r="5512">
      <c r="H5512" s="50"/>
      <c r="I5512" s="50"/>
      <c r="O5512" s="36" t="s">
        <v>48</v>
      </c>
      <c r="R5512" s="36" t="s">
        <v>48</v>
      </c>
    </row>
    <row r="5513">
      <c r="H5513" s="50"/>
      <c r="I5513" s="50"/>
      <c r="O5513" s="36" t="s">
        <v>48</v>
      </c>
      <c r="R5513" s="36" t="s">
        <v>48</v>
      </c>
    </row>
    <row r="5514">
      <c r="H5514" s="50"/>
      <c r="I5514" s="50"/>
      <c r="O5514" s="36" t="s">
        <v>48</v>
      </c>
      <c r="R5514" s="36" t="s">
        <v>48</v>
      </c>
    </row>
    <row r="5515">
      <c r="H5515" s="50"/>
      <c r="I5515" s="50"/>
      <c r="O5515" s="36" t="s">
        <v>48</v>
      </c>
      <c r="R5515" s="36" t="s">
        <v>48</v>
      </c>
    </row>
    <row r="5516">
      <c r="H5516" s="50"/>
      <c r="I5516" s="50"/>
      <c r="O5516" s="36" t="s">
        <v>48</v>
      </c>
      <c r="R5516" s="36" t="s">
        <v>48</v>
      </c>
    </row>
    <row r="5517">
      <c r="H5517" s="50"/>
      <c r="I5517" s="50"/>
      <c r="O5517" s="36" t="s">
        <v>48</v>
      </c>
      <c r="R5517" s="36" t="s">
        <v>48</v>
      </c>
    </row>
    <row r="5518">
      <c r="H5518" s="50"/>
      <c r="I5518" s="50"/>
      <c r="O5518" s="36" t="s">
        <v>48</v>
      </c>
      <c r="R5518" s="36" t="s">
        <v>48</v>
      </c>
    </row>
    <row r="5519">
      <c r="H5519" s="50"/>
      <c r="I5519" s="50"/>
      <c r="O5519" s="36" t="s">
        <v>48</v>
      </c>
      <c r="R5519" s="36" t="s">
        <v>48</v>
      </c>
    </row>
    <row r="5520">
      <c r="H5520" s="50"/>
      <c r="I5520" s="50"/>
      <c r="O5520" s="36" t="s">
        <v>48</v>
      </c>
      <c r="R5520" s="36" t="s">
        <v>48</v>
      </c>
    </row>
    <row r="5521">
      <c r="H5521" s="50"/>
      <c r="I5521" s="50"/>
      <c r="O5521" s="36" t="s">
        <v>48</v>
      </c>
      <c r="R5521" s="36" t="s">
        <v>48</v>
      </c>
    </row>
    <row r="5522">
      <c r="H5522" s="50"/>
      <c r="I5522" s="50"/>
      <c r="O5522" s="36" t="s">
        <v>48</v>
      </c>
      <c r="R5522" s="36" t="s">
        <v>48</v>
      </c>
    </row>
    <row r="5523">
      <c r="H5523" s="50"/>
      <c r="I5523" s="50"/>
      <c r="O5523" s="36" t="s">
        <v>48</v>
      </c>
      <c r="R5523" s="36" t="s">
        <v>48</v>
      </c>
    </row>
    <row r="5524">
      <c r="H5524" s="50"/>
      <c r="I5524" s="50"/>
      <c r="O5524" s="36" t="s">
        <v>48</v>
      </c>
      <c r="R5524" s="36" t="s">
        <v>48</v>
      </c>
    </row>
    <row r="5525">
      <c r="H5525" s="50"/>
      <c r="I5525" s="50"/>
      <c r="O5525" s="36" t="s">
        <v>48</v>
      </c>
      <c r="R5525" s="36" t="s">
        <v>48</v>
      </c>
    </row>
    <row r="5526">
      <c r="H5526" s="50"/>
      <c r="I5526" s="50"/>
      <c r="O5526" s="36" t="s">
        <v>48</v>
      </c>
      <c r="R5526" s="36" t="s">
        <v>48</v>
      </c>
    </row>
    <row r="5527">
      <c r="H5527" s="50"/>
      <c r="I5527" s="50"/>
      <c r="O5527" s="36" t="s">
        <v>48</v>
      </c>
      <c r="R5527" s="36" t="s">
        <v>48</v>
      </c>
    </row>
    <row r="5528">
      <c r="H5528" s="50"/>
      <c r="I5528" s="50"/>
      <c r="O5528" s="36" t="s">
        <v>48</v>
      </c>
      <c r="R5528" s="36" t="s">
        <v>48</v>
      </c>
    </row>
    <row r="5529">
      <c r="H5529" s="50"/>
      <c r="I5529" s="50"/>
      <c r="O5529" s="36" t="s">
        <v>48</v>
      </c>
      <c r="R5529" s="36" t="s">
        <v>48</v>
      </c>
    </row>
    <row r="5530">
      <c r="H5530" s="50"/>
      <c r="I5530" s="50"/>
      <c r="O5530" s="36" t="s">
        <v>48</v>
      </c>
      <c r="R5530" s="36" t="s">
        <v>48</v>
      </c>
    </row>
    <row r="5531">
      <c r="H5531" s="50"/>
      <c r="I5531" s="50"/>
      <c r="O5531" s="36" t="s">
        <v>48</v>
      </c>
      <c r="R5531" s="36" t="s">
        <v>48</v>
      </c>
    </row>
    <row r="5532">
      <c r="H5532" s="50"/>
      <c r="I5532" s="50"/>
      <c r="O5532" s="36" t="s">
        <v>48</v>
      </c>
      <c r="R5532" s="36" t="s">
        <v>48</v>
      </c>
    </row>
    <row r="5533">
      <c r="H5533" s="50"/>
      <c r="I5533" s="50"/>
      <c r="O5533" s="36" t="s">
        <v>48</v>
      </c>
      <c r="R5533" s="36" t="s">
        <v>48</v>
      </c>
    </row>
    <row r="5534">
      <c r="H5534" s="50"/>
      <c r="I5534" s="50"/>
      <c r="O5534" s="36" t="s">
        <v>48</v>
      </c>
      <c r="R5534" s="36" t="s">
        <v>48</v>
      </c>
    </row>
    <row r="5535">
      <c r="H5535" s="50"/>
      <c r="I5535" s="50"/>
      <c r="O5535" s="36" t="s">
        <v>48</v>
      </c>
      <c r="R5535" s="36" t="s">
        <v>48</v>
      </c>
    </row>
    <row r="5536">
      <c r="H5536" s="50"/>
      <c r="I5536" s="50"/>
      <c r="O5536" s="36" t="s">
        <v>48</v>
      </c>
      <c r="R5536" s="36" t="s">
        <v>48</v>
      </c>
    </row>
    <row r="5537">
      <c r="H5537" s="50"/>
      <c r="I5537" s="50"/>
      <c r="O5537" s="36" t="s">
        <v>48</v>
      </c>
      <c r="R5537" s="36" t="s">
        <v>48</v>
      </c>
    </row>
    <row r="5538">
      <c r="H5538" s="50"/>
      <c r="I5538" s="50"/>
      <c r="O5538" s="36" t="s">
        <v>48</v>
      </c>
      <c r="R5538" s="36" t="s">
        <v>48</v>
      </c>
    </row>
    <row r="5539">
      <c r="H5539" s="50"/>
      <c r="I5539" s="50"/>
      <c r="O5539" s="36" t="s">
        <v>48</v>
      </c>
      <c r="R5539" s="36" t="s">
        <v>48</v>
      </c>
    </row>
    <row r="5540">
      <c r="H5540" s="50"/>
      <c r="I5540" s="50"/>
      <c r="O5540" s="36" t="s">
        <v>48</v>
      </c>
      <c r="R5540" s="36" t="s">
        <v>48</v>
      </c>
    </row>
    <row r="5541">
      <c r="H5541" s="50"/>
      <c r="I5541" s="50"/>
      <c r="O5541" s="36" t="s">
        <v>48</v>
      </c>
      <c r="R5541" s="36" t="s">
        <v>48</v>
      </c>
    </row>
    <row r="5542">
      <c r="H5542" s="50"/>
      <c r="I5542" s="50"/>
      <c r="O5542" s="36" t="s">
        <v>48</v>
      </c>
      <c r="R5542" s="36" t="s">
        <v>48</v>
      </c>
    </row>
    <row r="5543">
      <c r="H5543" s="50"/>
      <c r="I5543" s="50"/>
      <c r="O5543" s="36" t="s">
        <v>48</v>
      </c>
      <c r="R5543" s="36" t="s">
        <v>48</v>
      </c>
    </row>
    <row r="5544">
      <c r="H5544" s="50"/>
      <c r="I5544" s="50"/>
      <c r="O5544" s="36" t="s">
        <v>48</v>
      </c>
      <c r="R5544" s="36" t="s">
        <v>48</v>
      </c>
    </row>
    <row r="5545">
      <c r="H5545" s="50"/>
      <c r="I5545" s="50"/>
      <c r="O5545" s="36" t="s">
        <v>48</v>
      </c>
      <c r="R5545" s="36" t="s">
        <v>48</v>
      </c>
    </row>
    <row r="5546">
      <c r="H5546" s="50"/>
      <c r="I5546" s="50"/>
      <c r="O5546" s="36" t="s">
        <v>48</v>
      </c>
      <c r="R5546" s="36" t="s">
        <v>48</v>
      </c>
    </row>
    <row r="5547">
      <c r="H5547" s="50"/>
      <c r="I5547" s="50"/>
      <c r="O5547" s="36" t="s">
        <v>48</v>
      </c>
      <c r="R5547" s="36" t="s">
        <v>48</v>
      </c>
    </row>
    <row r="5548">
      <c r="H5548" s="50"/>
      <c r="I5548" s="50"/>
      <c r="O5548" s="36" t="s">
        <v>48</v>
      </c>
      <c r="R5548" s="36" t="s">
        <v>48</v>
      </c>
    </row>
    <row r="5549">
      <c r="H5549" s="50"/>
      <c r="I5549" s="50"/>
      <c r="O5549" s="36" t="s">
        <v>48</v>
      </c>
      <c r="R5549" s="36" t="s">
        <v>48</v>
      </c>
    </row>
    <row r="5550">
      <c r="H5550" s="50"/>
      <c r="I5550" s="50"/>
      <c r="O5550" s="36" t="s">
        <v>48</v>
      </c>
      <c r="R5550" s="36" t="s">
        <v>48</v>
      </c>
    </row>
    <row r="5551">
      <c r="H5551" s="50"/>
      <c r="I5551" s="50"/>
      <c r="O5551" s="36" t="s">
        <v>48</v>
      </c>
      <c r="R5551" s="36" t="s">
        <v>48</v>
      </c>
    </row>
    <row r="5552">
      <c r="H5552" s="50"/>
      <c r="I5552" s="50"/>
      <c r="O5552" s="36" t="s">
        <v>48</v>
      </c>
      <c r="R5552" s="36" t="s">
        <v>48</v>
      </c>
    </row>
    <row r="5553">
      <c r="H5553" s="50"/>
      <c r="I5553" s="50"/>
      <c r="O5553" s="36" t="s">
        <v>48</v>
      </c>
      <c r="R5553" s="36" t="s">
        <v>48</v>
      </c>
    </row>
    <row r="5554">
      <c r="H5554" s="50"/>
      <c r="I5554" s="50"/>
      <c r="O5554" s="36" t="s">
        <v>48</v>
      </c>
      <c r="R5554" s="36" t="s">
        <v>48</v>
      </c>
    </row>
    <row r="5555">
      <c r="H5555" s="50"/>
      <c r="I5555" s="50"/>
      <c r="O5555" s="36" t="s">
        <v>48</v>
      </c>
      <c r="R5555" s="36" t="s">
        <v>48</v>
      </c>
    </row>
    <row r="5556">
      <c r="H5556" s="50"/>
      <c r="I5556" s="50"/>
      <c r="O5556" s="36" t="s">
        <v>48</v>
      </c>
      <c r="R5556" s="36" t="s">
        <v>48</v>
      </c>
    </row>
    <row r="5557">
      <c r="H5557" s="50"/>
      <c r="I5557" s="50"/>
      <c r="O5557" s="36" t="s">
        <v>48</v>
      </c>
      <c r="R5557" s="36" t="s">
        <v>48</v>
      </c>
    </row>
    <row r="5558">
      <c r="H5558" s="50"/>
      <c r="I5558" s="50"/>
      <c r="O5558" s="36" t="s">
        <v>48</v>
      </c>
      <c r="R5558" s="36" t="s">
        <v>48</v>
      </c>
    </row>
    <row r="5559">
      <c r="H5559" s="50"/>
      <c r="I5559" s="50"/>
      <c r="O5559" s="36" t="s">
        <v>48</v>
      </c>
      <c r="R5559" s="36" t="s">
        <v>48</v>
      </c>
    </row>
    <row r="5560">
      <c r="H5560" s="50"/>
      <c r="I5560" s="50"/>
      <c r="O5560" s="36" t="s">
        <v>48</v>
      </c>
      <c r="R5560" s="36" t="s">
        <v>48</v>
      </c>
    </row>
    <row r="5561">
      <c r="H5561" s="50"/>
      <c r="I5561" s="50"/>
      <c r="O5561" s="36" t="s">
        <v>48</v>
      </c>
      <c r="R5561" s="36" t="s">
        <v>48</v>
      </c>
    </row>
    <row r="5562">
      <c r="H5562" s="50"/>
      <c r="I5562" s="50"/>
      <c r="O5562" s="36" t="s">
        <v>48</v>
      </c>
      <c r="R5562" s="36" t="s">
        <v>48</v>
      </c>
    </row>
    <row r="5563">
      <c r="H5563" s="50"/>
      <c r="I5563" s="50"/>
      <c r="O5563" s="36" t="s">
        <v>48</v>
      </c>
      <c r="R5563" s="36" t="s">
        <v>48</v>
      </c>
    </row>
    <row r="5564">
      <c r="H5564" s="50"/>
      <c r="I5564" s="50"/>
      <c r="O5564" s="36" t="s">
        <v>48</v>
      </c>
      <c r="R5564" s="36" t="s">
        <v>48</v>
      </c>
    </row>
    <row r="5565">
      <c r="H5565" s="50"/>
      <c r="I5565" s="50"/>
      <c r="O5565" s="36" t="s">
        <v>48</v>
      </c>
      <c r="R5565" s="36" t="s">
        <v>48</v>
      </c>
    </row>
    <row r="5566">
      <c r="H5566" s="50"/>
      <c r="I5566" s="50"/>
      <c r="O5566" s="36" t="s">
        <v>48</v>
      </c>
      <c r="R5566" s="36" t="s">
        <v>48</v>
      </c>
    </row>
    <row r="5567">
      <c r="H5567" s="50"/>
      <c r="I5567" s="50"/>
      <c r="O5567" s="36" t="s">
        <v>48</v>
      </c>
      <c r="R5567" s="36" t="s">
        <v>48</v>
      </c>
    </row>
    <row r="5568">
      <c r="H5568" s="50"/>
      <c r="I5568" s="50"/>
      <c r="O5568" s="36" t="s">
        <v>48</v>
      </c>
      <c r="R5568" s="36" t="s">
        <v>48</v>
      </c>
    </row>
    <row r="5569">
      <c r="H5569" s="50"/>
      <c r="I5569" s="50"/>
      <c r="O5569" s="36" t="s">
        <v>48</v>
      </c>
      <c r="R5569" s="36" t="s">
        <v>48</v>
      </c>
    </row>
    <row r="5570">
      <c r="H5570" s="50"/>
      <c r="I5570" s="50"/>
      <c r="O5570" s="36" t="s">
        <v>48</v>
      </c>
      <c r="R5570" s="36" t="s">
        <v>48</v>
      </c>
    </row>
    <row r="5571">
      <c r="H5571" s="50"/>
      <c r="I5571" s="50"/>
      <c r="O5571" s="36" t="s">
        <v>48</v>
      </c>
      <c r="R5571" s="36" t="s">
        <v>48</v>
      </c>
    </row>
    <row r="5572">
      <c r="H5572" s="50"/>
      <c r="I5572" s="50"/>
      <c r="O5572" s="36" t="s">
        <v>48</v>
      </c>
      <c r="R5572" s="36" t="s">
        <v>48</v>
      </c>
    </row>
    <row r="5573">
      <c r="H5573" s="50"/>
      <c r="I5573" s="50"/>
      <c r="O5573" s="36" t="s">
        <v>48</v>
      </c>
      <c r="R5573" s="36" t="s">
        <v>48</v>
      </c>
    </row>
    <row r="5574">
      <c r="H5574" s="50"/>
      <c r="I5574" s="50"/>
      <c r="O5574" s="36" t="s">
        <v>48</v>
      </c>
      <c r="R5574" s="36" t="s">
        <v>48</v>
      </c>
    </row>
    <row r="5575">
      <c r="H5575" s="50"/>
      <c r="I5575" s="50"/>
      <c r="O5575" s="36" t="s">
        <v>48</v>
      </c>
      <c r="R5575" s="36" t="s">
        <v>48</v>
      </c>
    </row>
    <row r="5576">
      <c r="H5576" s="50"/>
      <c r="I5576" s="50"/>
      <c r="O5576" s="36" t="s">
        <v>48</v>
      </c>
      <c r="R5576" s="36" t="s">
        <v>48</v>
      </c>
    </row>
    <row r="5577">
      <c r="H5577" s="50"/>
      <c r="I5577" s="50"/>
      <c r="O5577" s="36" t="s">
        <v>48</v>
      </c>
      <c r="R5577" s="36" t="s">
        <v>48</v>
      </c>
    </row>
    <row r="5578">
      <c r="H5578" s="50"/>
      <c r="I5578" s="50"/>
      <c r="O5578" s="36" t="s">
        <v>48</v>
      </c>
      <c r="R5578" s="36" t="s">
        <v>48</v>
      </c>
    </row>
    <row r="5579">
      <c r="H5579" s="50"/>
      <c r="I5579" s="50"/>
      <c r="O5579" s="36" t="s">
        <v>48</v>
      </c>
      <c r="R5579" s="36" t="s">
        <v>48</v>
      </c>
    </row>
    <row r="5580">
      <c r="H5580" s="50"/>
      <c r="I5580" s="50"/>
      <c r="O5580" s="36" t="s">
        <v>48</v>
      </c>
      <c r="R5580" s="36" t="s">
        <v>48</v>
      </c>
    </row>
    <row r="5581">
      <c r="H5581" s="50"/>
      <c r="I5581" s="50"/>
      <c r="O5581" s="36" t="s">
        <v>48</v>
      </c>
      <c r="R5581" s="36" t="s">
        <v>48</v>
      </c>
    </row>
    <row r="5582">
      <c r="H5582" s="50"/>
      <c r="I5582" s="50"/>
      <c r="O5582" s="36" t="s">
        <v>48</v>
      </c>
      <c r="R5582" s="36" t="s">
        <v>48</v>
      </c>
    </row>
    <row r="5583">
      <c r="H5583" s="50"/>
      <c r="I5583" s="50"/>
      <c r="O5583" s="36" t="s">
        <v>48</v>
      </c>
      <c r="R5583" s="36" t="s">
        <v>48</v>
      </c>
    </row>
    <row r="5584">
      <c r="H5584" s="50"/>
      <c r="I5584" s="50"/>
      <c r="O5584" s="36" t="s">
        <v>48</v>
      </c>
      <c r="R5584" s="36" t="s">
        <v>48</v>
      </c>
    </row>
    <row r="5585">
      <c r="H5585" s="50"/>
      <c r="I5585" s="50"/>
      <c r="O5585" s="36" t="s">
        <v>48</v>
      </c>
      <c r="R5585" s="36" t="s">
        <v>48</v>
      </c>
    </row>
    <row r="5586">
      <c r="H5586" s="50"/>
      <c r="I5586" s="50"/>
      <c r="O5586" s="36" t="s">
        <v>48</v>
      </c>
      <c r="R5586" s="36" t="s">
        <v>48</v>
      </c>
    </row>
    <row r="5587">
      <c r="H5587" s="50"/>
      <c r="I5587" s="50"/>
      <c r="O5587" s="36" t="s">
        <v>48</v>
      </c>
      <c r="R5587" s="36" t="s">
        <v>48</v>
      </c>
    </row>
    <row r="5588">
      <c r="H5588" s="50"/>
      <c r="I5588" s="50"/>
      <c r="O5588" s="36" t="s">
        <v>48</v>
      </c>
      <c r="R5588" s="36" t="s">
        <v>48</v>
      </c>
    </row>
    <row r="5589">
      <c r="H5589" s="50"/>
      <c r="I5589" s="50"/>
      <c r="O5589" s="36" t="s">
        <v>48</v>
      </c>
      <c r="R5589" s="36" t="s">
        <v>48</v>
      </c>
    </row>
    <row r="5590">
      <c r="H5590" s="50"/>
      <c r="I5590" s="50"/>
      <c r="O5590" s="36" t="s">
        <v>48</v>
      </c>
      <c r="R5590" s="36" t="s">
        <v>48</v>
      </c>
    </row>
    <row r="5591">
      <c r="H5591" s="50"/>
      <c r="I5591" s="50"/>
      <c r="O5591" s="36" t="s">
        <v>48</v>
      </c>
      <c r="R5591" s="36" t="s">
        <v>48</v>
      </c>
    </row>
    <row r="5592">
      <c r="H5592" s="50"/>
      <c r="I5592" s="50"/>
      <c r="O5592" s="36" t="s">
        <v>48</v>
      </c>
      <c r="R5592" s="36" t="s">
        <v>48</v>
      </c>
    </row>
    <row r="5593">
      <c r="H5593" s="50"/>
      <c r="I5593" s="50"/>
      <c r="O5593" s="36" t="s">
        <v>48</v>
      </c>
      <c r="R5593" s="36" t="s">
        <v>48</v>
      </c>
    </row>
    <row r="5594">
      <c r="H5594" s="50"/>
      <c r="I5594" s="50"/>
      <c r="O5594" s="36" t="s">
        <v>48</v>
      </c>
      <c r="R5594" s="36" t="s">
        <v>48</v>
      </c>
    </row>
    <row r="5595">
      <c r="H5595" s="50"/>
      <c r="I5595" s="50"/>
      <c r="O5595" s="36" t="s">
        <v>48</v>
      </c>
      <c r="R5595" s="36" t="s">
        <v>48</v>
      </c>
    </row>
    <row r="5596">
      <c r="H5596" s="50"/>
      <c r="I5596" s="50"/>
      <c r="O5596" s="36" t="s">
        <v>48</v>
      </c>
      <c r="R5596" s="36" t="s">
        <v>48</v>
      </c>
    </row>
    <row r="5597">
      <c r="H5597" s="50"/>
      <c r="I5597" s="50"/>
      <c r="O5597" s="36" t="s">
        <v>48</v>
      </c>
      <c r="R5597" s="36" t="s">
        <v>48</v>
      </c>
    </row>
    <row r="5598">
      <c r="H5598" s="50"/>
      <c r="I5598" s="50"/>
      <c r="O5598" s="36" t="s">
        <v>48</v>
      </c>
      <c r="R5598" s="36" t="s">
        <v>48</v>
      </c>
    </row>
    <row r="5599">
      <c r="H5599" s="50"/>
      <c r="I5599" s="50"/>
      <c r="O5599" s="36" t="s">
        <v>48</v>
      </c>
      <c r="R5599" s="36" t="s">
        <v>48</v>
      </c>
    </row>
    <row r="5600">
      <c r="H5600" s="50"/>
      <c r="I5600" s="50"/>
      <c r="O5600" s="36" t="s">
        <v>48</v>
      </c>
      <c r="R5600" s="36" t="s">
        <v>48</v>
      </c>
    </row>
    <row r="5601">
      <c r="H5601" s="50"/>
      <c r="I5601" s="50"/>
      <c r="O5601" s="36" t="s">
        <v>48</v>
      </c>
      <c r="R5601" s="36" t="s">
        <v>48</v>
      </c>
    </row>
    <row r="5602">
      <c r="H5602" s="50"/>
      <c r="I5602" s="50"/>
      <c r="O5602" s="36" t="s">
        <v>48</v>
      </c>
      <c r="R5602" s="36" t="s">
        <v>48</v>
      </c>
    </row>
    <row r="5603">
      <c r="H5603" s="50"/>
      <c r="I5603" s="50"/>
      <c r="O5603" s="36" t="s">
        <v>48</v>
      </c>
      <c r="R5603" s="36" t="s">
        <v>48</v>
      </c>
    </row>
    <row r="5604">
      <c r="H5604" s="50"/>
      <c r="I5604" s="50"/>
      <c r="O5604" s="36" t="s">
        <v>48</v>
      </c>
      <c r="R5604" s="36" t="s">
        <v>48</v>
      </c>
    </row>
    <row r="5605">
      <c r="H5605" s="50"/>
      <c r="I5605" s="50"/>
      <c r="O5605" s="36" t="s">
        <v>48</v>
      </c>
      <c r="R5605" s="36" t="s">
        <v>48</v>
      </c>
    </row>
    <row r="5606">
      <c r="H5606" s="50"/>
      <c r="I5606" s="50"/>
      <c r="O5606" s="36" t="s">
        <v>48</v>
      </c>
      <c r="R5606" s="36" t="s">
        <v>48</v>
      </c>
    </row>
    <row r="5607">
      <c r="H5607" s="50"/>
      <c r="I5607" s="50"/>
      <c r="O5607" s="36" t="s">
        <v>48</v>
      </c>
      <c r="R5607" s="36" t="s">
        <v>48</v>
      </c>
    </row>
    <row r="5608">
      <c r="H5608" s="50"/>
      <c r="I5608" s="50"/>
      <c r="O5608" s="36" t="s">
        <v>48</v>
      </c>
      <c r="R5608" s="36" t="s">
        <v>48</v>
      </c>
    </row>
    <row r="5609">
      <c r="H5609" s="50"/>
      <c r="I5609" s="50"/>
      <c r="O5609" s="36" t="s">
        <v>48</v>
      </c>
      <c r="R5609" s="36" t="s">
        <v>48</v>
      </c>
    </row>
    <row r="5610">
      <c r="H5610" s="50"/>
      <c r="I5610" s="50"/>
      <c r="O5610" s="36" t="s">
        <v>48</v>
      </c>
      <c r="R5610" s="36" t="s">
        <v>48</v>
      </c>
    </row>
    <row r="5611">
      <c r="H5611" s="50"/>
      <c r="I5611" s="50"/>
      <c r="O5611" s="36" t="s">
        <v>48</v>
      </c>
      <c r="R5611" s="36" t="s">
        <v>48</v>
      </c>
    </row>
    <row r="5612">
      <c r="H5612" s="50"/>
      <c r="I5612" s="50"/>
      <c r="O5612" s="36" t="s">
        <v>48</v>
      </c>
      <c r="R5612" s="36" t="s">
        <v>48</v>
      </c>
    </row>
    <row r="5613">
      <c r="H5613" s="50"/>
      <c r="I5613" s="50"/>
      <c r="O5613" s="36" t="s">
        <v>48</v>
      </c>
      <c r="R5613" s="36" t="s">
        <v>48</v>
      </c>
    </row>
    <row r="5614">
      <c r="H5614" s="50"/>
      <c r="I5614" s="50"/>
      <c r="O5614" s="36" t="s">
        <v>48</v>
      </c>
      <c r="R5614" s="36" t="s">
        <v>48</v>
      </c>
    </row>
    <row r="5615">
      <c r="H5615" s="50"/>
      <c r="I5615" s="50"/>
      <c r="O5615" s="36" t="s">
        <v>48</v>
      </c>
      <c r="R5615" s="36" t="s">
        <v>48</v>
      </c>
    </row>
    <row r="5616">
      <c r="H5616" s="50"/>
      <c r="I5616" s="50"/>
      <c r="O5616" s="36" t="s">
        <v>48</v>
      </c>
      <c r="R5616" s="36" t="s">
        <v>48</v>
      </c>
    </row>
    <row r="5617">
      <c r="H5617" s="50"/>
      <c r="I5617" s="50"/>
      <c r="O5617" s="36" t="s">
        <v>48</v>
      </c>
      <c r="R5617" s="36" t="s">
        <v>48</v>
      </c>
    </row>
    <row r="5618">
      <c r="H5618" s="50"/>
      <c r="I5618" s="50"/>
      <c r="O5618" s="36" t="s">
        <v>48</v>
      </c>
      <c r="R5618" s="36" t="s">
        <v>48</v>
      </c>
    </row>
    <row r="5619">
      <c r="H5619" s="50"/>
      <c r="I5619" s="50"/>
      <c r="O5619" s="36" t="s">
        <v>48</v>
      </c>
      <c r="R5619" s="36" t="s">
        <v>48</v>
      </c>
    </row>
    <row r="5620">
      <c r="H5620" s="50"/>
      <c r="I5620" s="50"/>
      <c r="O5620" s="36" t="s">
        <v>48</v>
      </c>
      <c r="R5620" s="36" t="s">
        <v>48</v>
      </c>
    </row>
    <row r="5621">
      <c r="H5621" s="50"/>
      <c r="I5621" s="50"/>
      <c r="O5621" s="36" t="s">
        <v>48</v>
      </c>
      <c r="R5621" s="36" t="s">
        <v>48</v>
      </c>
    </row>
    <row r="5622">
      <c r="H5622" s="50"/>
      <c r="I5622" s="50"/>
      <c r="O5622" s="36" t="s">
        <v>48</v>
      </c>
      <c r="R5622" s="36" t="s">
        <v>48</v>
      </c>
    </row>
    <row r="5623">
      <c r="H5623" s="50"/>
      <c r="I5623" s="50"/>
      <c r="O5623" s="36" t="s">
        <v>48</v>
      </c>
      <c r="R5623" s="36" t="s">
        <v>48</v>
      </c>
    </row>
    <row r="5624">
      <c r="H5624" s="50"/>
      <c r="I5624" s="50"/>
      <c r="O5624" s="36" t="s">
        <v>48</v>
      </c>
      <c r="R5624" s="36" t="s">
        <v>48</v>
      </c>
    </row>
    <row r="5625">
      <c r="H5625" s="50"/>
      <c r="I5625" s="50"/>
      <c r="O5625" s="36" t="s">
        <v>48</v>
      </c>
      <c r="R5625" s="36" t="s">
        <v>48</v>
      </c>
    </row>
    <row r="5626">
      <c r="H5626" s="50"/>
      <c r="I5626" s="50"/>
      <c r="O5626" s="36" t="s">
        <v>48</v>
      </c>
      <c r="R5626" s="36" t="s">
        <v>48</v>
      </c>
    </row>
    <row r="5627">
      <c r="H5627" s="50"/>
      <c r="I5627" s="50"/>
      <c r="O5627" s="36" t="s">
        <v>48</v>
      </c>
      <c r="R5627" s="36" t="s">
        <v>48</v>
      </c>
    </row>
    <row r="5628">
      <c r="H5628" s="50"/>
      <c r="I5628" s="50"/>
      <c r="O5628" s="36" t="s">
        <v>48</v>
      </c>
      <c r="R5628" s="36" t="s">
        <v>48</v>
      </c>
    </row>
    <row r="5629">
      <c r="H5629" s="50"/>
      <c r="I5629" s="50"/>
      <c r="O5629" s="36" t="s">
        <v>48</v>
      </c>
      <c r="R5629" s="36" t="s">
        <v>48</v>
      </c>
    </row>
    <row r="5630">
      <c r="H5630" s="50"/>
      <c r="I5630" s="50"/>
      <c r="O5630" s="36" t="s">
        <v>48</v>
      </c>
      <c r="R5630" s="36" t="s">
        <v>48</v>
      </c>
    </row>
    <row r="5631">
      <c r="H5631" s="50"/>
      <c r="I5631" s="50"/>
      <c r="O5631" s="36" t="s">
        <v>48</v>
      </c>
      <c r="R5631" s="36" t="s">
        <v>48</v>
      </c>
    </row>
    <row r="5632">
      <c r="H5632" s="50"/>
      <c r="I5632" s="50"/>
      <c r="O5632" s="36" t="s">
        <v>48</v>
      </c>
      <c r="R5632" s="36" t="s">
        <v>48</v>
      </c>
    </row>
    <row r="5633">
      <c r="H5633" s="50"/>
      <c r="I5633" s="50"/>
      <c r="O5633" s="36" t="s">
        <v>48</v>
      </c>
      <c r="R5633" s="36" t="s">
        <v>48</v>
      </c>
    </row>
    <row r="5634">
      <c r="H5634" s="50"/>
      <c r="I5634" s="50"/>
      <c r="O5634" s="36" t="s">
        <v>48</v>
      </c>
      <c r="R5634" s="36" t="s">
        <v>48</v>
      </c>
    </row>
    <row r="5635">
      <c r="H5635" s="50"/>
      <c r="I5635" s="50"/>
      <c r="O5635" s="36" t="s">
        <v>48</v>
      </c>
      <c r="R5635" s="36" t="s">
        <v>48</v>
      </c>
    </row>
    <row r="5636">
      <c r="H5636" s="50"/>
      <c r="I5636" s="50"/>
      <c r="O5636" s="36" t="s">
        <v>48</v>
      </c>
      <c r="R5636" s="36" t="s">
        <v>48</v>
      </c>
    </row>
    <row r="5637">
      <c r="H5637" s="50"/>
      <c r="I5637" s="50"/>
      <c r="O5637" s="36" t="s">
        <v>48</v>
      </c>
      <c r="R5637" s="36" t="s">
        <v>48</v>
      </c>
    </row>
    <row r="5638">
      <c r="H5638" s="50"/>
      <c r="I5638" s="50"/>
      <c r="O5638" s="36" t="s">
        <v>48</v>
      </c>
      <c r="R5638" s="36" t="s">
        <v>48</v>
      </c>
    </row>
    <row r="5639">
      <c r="H5639" s="50"/>
      <c r="I5639" s="50"/>
      <c r="O5639" s="36" t="s">
        <v>48</v>
      </c>
      <c r="R5639" s="36" t="s">
        <v>48</v>
      </c>
    </row>
    <row r="5640">
      <c r="H5640" s="50"/>
      <c r="I5640" s="50"/>
      <c r="O5640" s="36" t="s">
        <v>48</v>
      </c>
      <c r="R5640" s="36" t="s">
        <v>48</v>
      </c>
    </row>
    <row r="5641">
      <c r="H5641" s="50"/>
      <c r="I5641" s="50"/>
      <c r="O5641" s="36" t="s">
        <v>48</v>
      </c>
      <c r="R5641" s="36" t="s">
        <v>48</v>
      </c>
    </row>
    <row r="5642">
      <c r="H5642" s="50"/>
      <c r="I5642" s="50"/>
      <c r="O5642" s="36" t="s">
        <v>48</v>
      </c>
      <c r="R5642" s="36" t="s">
        <v>48</v>
      </c>
    </row>
    <row r="5643">
      <c r="H5643" s="50"/>
      <c r="I5643" s="50"/>
      <c r="O5643" s="36" t="s">
        <v>48</v>
      </c>
      <c r="R5643" s="36" t="s">
        <v>48</v>
      </c>
    </row>
    <row r="5644">
      <c r="H5644" s="50"/>
      <c r="I5644" s="50"/>
      <c r="O5644" s="36" t="s">
        <v>48</v>
      </c>
      <c r="R5644" s="36" t="s">
        <v>48</v>
      </c>
    </row>
    <row r="5645">
      <c r="H5645" s="50"/>
      <c r="I5645" s="50"/>
      <c r="O5645" s="36" t="s">
        <v>48</v>
      </c>
      <c r="R5645" s="36" t="s">
        <v>48</v>
      </c>
    </row>
    <row r="5646">
      <c r="H5646" s="50"/>
      <c r="I5646" s="50"/>
      <c r="O5646" s="36" t="s">
        <v>48</v>
      </c>
      <c r="R5646" s="36" t="s">
        <v>48</v>
      </c>
    </row>
    <row r="5647">
      <c r="H5647" s="50"/>
      <c r="I5647" s="50"/>
      <c r="O5647" s="36" t="s">
        <v>48</v>
      </c>
      <c r="R5647" s="36" t="s">
        <v>48</v>
      </c>
    </row>
    <row r="5648">
      <c r="H5648" s="50"/>
      <c r="I5648" s="50"/>
      <c r="O5648" s="36" t="s">
        <v>48</v>
      </c>
      <c r="R5648" s="36" t="s">
        <v>48</v>
      </c>
    </row>
    <row r="5649">
      <c r="H5649" s="50"/>
      <c r="I5649" s="50"/>
      <c r="O5649" s="36" t="s">
        <v>48</v>
      </c>
      <c r="R5649" s="36" t="s">
        <v>48</v>
      </c>
    </row>
    <row r="5650">
      <c r="H5650" s="50"/>
      <c r="I5650" s="50"/>
      <c r="O5650" s="36" t="s">
        <v>48</v>
      </c>
      <c r="R5650" s="36" t="s">
        <v>48</v>
      </c>
    </row>
    <row r="5651">
      <c r="H5651" s="50"/>
      <c r="I5651" s="50"/>
      <c r="O5651" s="36" t="s">
        <v>48</v>
      </c>
      <c r="R5651" s="36" t="s">
        <v>48</v>
      </c>
    </row>
    <row r="5652">
      <c r="H5652" s="50"/>
      <c r="I5652" s="50"/>
      <c r="O5652" s="36" t="s">
        <v>48</v>
      </c>
      <c r="R5652" s="36" t="s">
        <v>48</v>
      </c>
    </row>
    <row r="5653">
      <c r="H5653" s="50"/>
      <c r="I5653" s="50"/>
      <c r="O5653" s="36" t="s">
        <v>48</v>
      </c>
      <c r="R5653" s="36" t="s">
        <v>48</v>
      </c>
    </row>
    <row r="5654">
      <c r="H5654" s="50"/>
      <c r="I5654" s="50"/>
      <c r="O5654" s="36" t="s">
        <v>48</v>
      </c>
      <c r="R5654" s="36" t="s">
        <v>48</v>
      </c>
    </row>
    <row r="5655">
      <c r="H5655" s="50"/>
      <c r="I5655" s="50"/>
      <c r="O5655" s="36" t="s">
        <v>48</v>
      </c>
      <c r="R5655" s="36" t="s">
        <v>48</v>
      </c>
    </row>
    <row r="5656">
      <c r="H5656" s="50"/>
      <c r="I5656" s="50"/>
      <c r="O5656" s="36" t="s">
        <v>48</v>
      </c>
      <c r="R5656" s="36" t="s">
        <v>48</v>
      </c>
    </row>
    <row r="5657">
      <c r="H5657" s="50"/>
      <c r="I5657" s="50"/>
      <c r="O5657" s="36" t="s">
        <v>48</v>
      </c>
      <c r="R5657" s="36" t="s">
        <v>48</v>
      </c>
    </row>
    <row r="5658">
      <c r="H5658" s="50"/>
      <c r="I5658" s="50"/>
      <c r="O5658" s="36" t="s">
        <v>48</v>
      </c>
      <c r="R5658" s="36" t="s">
        <v>48</v>
      </c>
    </row>
    <row r="5659">
      <c r="H5659" s="50"/>
      <c r="I5659" s="50"/>
      <c r="O5659" s="36" t="s">
        <v>48</v>
      </c>
      <c r="R5659" s="36" t="s">
        <v>48</v>
      </c>
    </row>
    <row r="5660">
      <c r="H5660" s="50"/>
      <c r="I5660" s="50"/>
      <c r="O5660" s="36" t="s">
        <v>48</v>
      </c>
      <c r="R5660" s="36" t="s">
        <v>48</v>
      </c>
    </row>
    <row r="5661">
      <c r="H5661" s="50"/>
      <c r="I5661" s="50"/>
      <c r="O5661" s="36" t="s">
        <v>48</v>
      </c>
      <c r="R5661" s="36" t="s">
        <v>48</v>
      </c>
    </row>
    <row r="5662">
      <c r="H5662" s="50"/>
      <c r="I5662" s="50"/>
      <c r="O5662" s="36" t="s">
        <v>48</v>
      </c>
      <c r="R5662" s="36" t="s">
        <v>48</v>
      </c>
    </row>
    <row r="5663">
      <c r="H5663" s="50"/>
      <c r="I5663" s="50"/>
      <c r="O5663" s="36" t="s">
        <v>48</v>
      </c>
      <c r="R5663" s="36" t="s">
        <v>48</v>
      </c>
    </row>
    <row r="5664">
      <c r="H5664" s="50"/>
      <c r="I5664" s="50"/>
      <c r="O5664" s="36" t="s">
        <v>48</v>
      </c>
      <c r="R5664" s="36" t="s">
        <v>48</v>
      </c>
    </row>
    <row r="5665">
      <c r="H5665" s="50"/>
      <c r="I5665" s="50"/>
      <c r="O5665" s="36" t="s">
        <v>48</v>
      </c>
      <c r="R5665" s="36" t="s">
        <v>48</v>
      </c>
    </row>
    <row r="5666">
      <c r="H5666" s="50"/>
      <c r="I5666" s="50"/>
      <c r="O5666" s="36" t="s">
        <v>48</v>
      </c>
      <c r="R5666" s="36" t="s">
        <v>48</v>
      </c>
    </row>
    <row r="5667">
      <c r="H5667" s="50"/>
      <c r="I5667" s="50"/>
      <c r="O5667" s="36" t="s">
        <v>48</v>
      </c>
      <c r="R5667" s="36" t="s">
        <v>48</v>
      </c>
    </row>
    <row r="5668">
      <c r="H5668" s="50"/>
      <c r="I5668" s="50"/>
      <c r="O5668" s="36" t="s">
        <v>48</v>
      </c>
      <c r="R5668" s="36" t="s">
        <v>48</v>
      </c>
    </row>
    <row r="5669">
      <c r="H5669" s="50"/>
      <c r="I5669" s="50"/>
      <c r="O5669" s="36" t="s">
        <v>48</v>
      </c>
      <c r="R5669" s="36" t="s">
        <v>48</v>
      </c>
    </row>
    <row r="5670">
      <c r="H5670" s="50"/>
      <c r="I5670" s="50"/>
      <c r="O5670" s="36" t="s">
        <v>48</v>
      </c>
      <c r="R5670" s="36" t="s">
        <v>48</v>
      </c>
    </row>
    <row r="5671">
      <c r="H5671" s="50"/>
      <c r="I5671" s="50"/>
      <c r="O5671" s="36" t="s">
        <v>48</v>
      </c>
      <c r="R5671" s="36" t="s">
        <v>48</v>
      </c>
    </row>
    <row r="5672">
      <c r="H5672" s="50"/>
      <c r="I5672" s="50"/>
      <c r="O5672" s="36" t="s">
        <v>48</v>
      </c>
      <c r="R5672" s="36" t="s">
        <v>48</v>
      </c>
    </row>
    <row r="5673">
      <c r="H5673" s="50"/>
      <c r="I5673" s="50"/>
      <c r="O5673" s="36" t="s">
        <v>48</v>
      </c>
      <c r="R5673" s="36" t="s">
        <v>48</v>
      </c>
    </row>
    <row r="5674">
      <c r="H5674" s="50"/>
      <c r="I5674" s="50"/>
      <c r="O5674" s="36" t="s">
        <v>48</v>
      </c>
      <c r="R5674" s="36" t="s">
        <v>48</v>
      </c>
    </row>
    <row r="5675">
      <c r="H5675" s="50"/>
      <c r="I5675" s="50"/>
      <c r="O5675" s="36" t="s">
        <v>48</v>
      </c>
      <c r="R5675" s="36" t="s">
        <v>48</v>
      </c>
    </row>
    <row r="5676">
      <c r="H5676" s="50"/>
      <c r="I5676" s="50"/>
      <c r="O5676" s="36" t="s">
        <v>48</v>
      </c>
      <c r="R5676" s="36" t="s">
        <v>48</v>
      </c>
    </row>
    <row r="5677">
      <c r="H5677" s="50"/>
      <c r="I5677" s="50"/>
      <c r="O5677" s="36" t="s">
        <v>48</v>
      </c>
      <c r="R5677" s="36" t="s">
        <v>48</v>
      </c>
    </row>
    <row r="5678">
      <c r="H5678" s="50"/>
      <c r="I5678" s="50"/>
      <c r="O5678" s="36" t="s">
        <v>48</v>
      </c>
      <c r="R5678" s="36" t="s">
        <v>48</v>
      </c>
    </row>
    <row r="5679">
      <c r="H5679" s="50"/>
      <c r="I5679" s="50"/>
      <c r="O5679" s="36" t="s">
        <v>48</v>
      </c>
      <c r="R5679" s="36" t="s">
        <v>48</v>
      </c>
    </row>
    <row r="5680">
      <c r="H5680" s="50"/>
      <c r="I5680" s="50"/>
      <c r="O5680" s="36" t="s">
        <v>48</v>
      </c>
      <c r="R5680" s="36" t="s">
        <v>48</v>
      </c>
    </row>
    <row r="5681">
      <c r="H5681" s="50"/>
      <c r="I5681" s="50"/>
      <c r="O5681" s="36" t="s">
        <v>48</v>
      </c>
      <c r="R5681" s="36" t="s">
        <v>48</v>
      </c>
    </row>
    <row r="5682">
      <c r="H5682" s="50"/>
      <c r="I5682" s="50"/>
      <c r="O5682" s="36" t="s">
        <v>48</v>
      </c>
      <c r="R5682" s="36" t="s">
        <v>48</v>
      </c>
    </row>
    <row r="5683">
      <c r="H5683" s="50"/>
      <c r="I5683" s="50"/>
      <c r="O5683" s="36" t="s">
        <v>48</v>
      </c>
      <c r="R5683" s="36" t="s">
        <v>48</v>
      </c>
    </row>
    <row r="5684">
      <c r="H5684" s="50"/>
      <c r="I5684" s="50"/>
      <c r="O5684" s="36" t="s">
        <v>48</v>
      </c>
      <c r="R5684" s="36" t="s">
        <v>48</v>
      </c>
    </row>
    <row r="5685">
      <c r="H5685" s="50"/>
      <c r="I5685" s="50"/>
      <c r="O5685" s="36" t="s">
        <v>48</v>
      </c>
      <c r="R5685" s="36" t="s">
        <v>48</v>
      </c>
    </row>
    <row r="5686">
      <c r="H5686" s="50"/>
      <c r="I5686" s="50"/>
      <c r="O5686" s="36" t="s">
        <v>48</v>
      </c>
      <c r="R5686" s="36" t="s">
        <v>48</v>
      </c>
    </row>
    <row r="5687">
      <c r="H5687" s="50"/>
      <c r="I5687" s="50"/>
      <c r="O5687" s="36" t="s">
        <v>48</v>
      </c>
      <c r="R5687" s="36" t="s">
        <v>48</v>
      </c>
    </row>
    <row r="5688">
      <c r="H5688" s="50"/>
      <c r="I5688" s="50"/>
      <c r="O5688" s="36" t="s">
        <v>48</v>
      </c>
      <c r="R5688" s="36" t="s">
        <v>48</v>
      </c>
    </row>
    <row r="5689">
      <c r="H5689" s="50"/>
      <c r="I5689" s="50"/>
      <c r="O5689" s="36" t="s">
        <v>48</v>
      </c>
      <c r="R5689" s="36" t="s">
        <v>48</v>
      </c>
    </row>
    <row r="5690">
      <c r="H5690" s="50"/>
      <c r="I5690" s="50"/>
      <c r="O5690" s="36" t="s">
        <v>48</v>
      </c>
      <c r="R5690" s="36" t="s">
        <v>48</v>
      </c>
    </row>
    <row r="5691">
      <c r="H5691" s="50"/>
      <c r="I5691" s="50"/>
      <c r="O5691" s="36" t="s">
        <v>48</v>
      </c>
      <c r="R5691" s="36" t="s">
        <v>48</v>
      </c>
    </row>
    <row r="5692">
      <c r="H5692" s="50"/>
      <c r="I5692" s="50"/>
      <c r="O5692" s="36" t="s">
        <v>48</v>
      </c>
      <c r="R5692" s="36" t="s">
        <v>48</v>
      </c>
    </row>
    <row r="5693">
      <c r="H5693" s="50"/>
      <c r="I5693" s="50"/>
      <c r="O5693" s="36" t="s">
        <v>48</v>
      </c>
      <c r="R5693" s="36" t="s">
        <v>48</v>
      </c>
    </row>
    <row r="5694">
      <c r="H5694" s="50"/>
      <c r="I5694" s="50"/>
      <c r="O5694" s="36" t="s">
        <v>48</v>
      </c>
      <c r="R5694" s="36" t="s">
        <v>48</v>
      </c>
    </row>
    <row r="5695">
      <c r="H5695" s="50"/>
      <c r="I5695" s="50"/>
      <c r="O5695" s="36" t="s">
        <v>48</v>
      </c>
      <c r="R5695" s="36" t="s">
        <v>48</v>
      </c>
    </row>
    <row r="5696">
      <c r="H5696" s="50"/>
      <c r="I5696" s="50"/>
      <c r="O5696" s="36" t="s">
        <v>48</v>
      </c>
      <c r="R5696" s="36" t="s">
        <v>48</v>
      </c>
    </row>
    <row r="5697">
      <c r="H5697" s="50"/>
      <c r="I5697" s="50"/>
      <c r="O5697" s="36" t="s">
        <v>48</v>
      </c>
      <c r="R5697" s="36" t="s">
        <v>48</v>
      </c>
    </row>
    <row r="5698">
      <c r="H5698" s="50"/>
      <c r="I5698" s="50"/>
      <c r="O5698" s="36" t="s">
        <v>48</v>
      </c>
      <c r="R5698" s="36" t="s">
        <v>48</v>
      </c>
    </row>
    <row r="5699">
      <c r="H5699" s="50"/>
      <c r="I5699" s="50"/>
      <c r="O5699" s="36" t="s">
        <v>48</v>
      </c>
      <c r="R5699" s="36" t="s">
        <v>48</v>
      </c>
    </row>
    <row r="5700">
      <c r="H5700" s="50"/>
      <c r="I5700" s="50"/>
      <c r="O5700" s="36" t="s">
        <v>48</v>
      </c>
      <c r="R5700" s="36" t="s">
        <v>48</v>
      </c>
    </row>
    <row r="5701">
      <c r="H5701" s="50"/>
      <c r="I5701" s="50"/>
      <c r="O5701" s="36" t="s">
        <v>48</v>
      </c>
      <c r="R5701" s="36" t="s">
        <v>48</v>
      </c>
    </row>
    <row r="5702">
      <c r="H5702" s="50"/>
      <c r="I5702" s="50"/>
      <c r="O5702" s="36" t="s">
        <v>48</v>
      </c>
      <c r="R5702" s="36" t="s">
        <v>48</v>
      </c>
    </row>
    <row r="5703">
      <c r="H5703" s="50"/>
      <c r="I5703" s="50"/>
      <c r="O5703" s="36" t="s">
        <v>48</v>
      </c>
      <c r="R5703" s="36" t="s">
        <v>48</v>
      </c>
    </row>
    <row r="5704">
      <c r="H5704" s="50"/>
      <c r="I5704" s="50"/>
      <c r="O5704" s="36" t="s">
        <v>48</v>
      </c>
      <c r="R5704" s="36" t="s">
        <v>48</v>
      </c>
    </row>
    <row r="5705">
      <c r="H5705" s="50"/>
      <c r="I5705" s="50"/>
      <c r="O5705" s="36" t="s">
        <v>48</v>
      </c>
      <c r="R5705" s="36" t="s">
        <v>48</v>
      </c>
    </row>
    <row r="5706">
      <c r="H5706" s="50"/>
      <c r="I5706" s="50"/>
      <c r="O5706" s="36" t="s">
        <v>48</v>
      </c>
      <c r="R5706" s="36" t="s">
        <v>48</v>
      </c>
    </row>
    <row r="5707">
      <c r="H5707" s="50"/>
      <c r="I5707" s="50"/>
      <c r="O5707" s="36" t="s">
        <v>48</v>
      </c>
      <c r="R5707" s="36" t="s">
        <v>48</v>
      </c>
    </row>
    <row r="5708">
      <c r="H5708" s="50"/>
      <c r="I5708" s="50"/>
      <c r="O5708" s="36" t="s">
        <v>48</v>
      </c>
      <c r="R5708" s="36" t="s">
        <v>48</v>
      </c>
    </row>
    <row r="5709">
      <c r="H5709" s="50"/>
      <c r="I5709" s="50"/>
      <c r="O5709" s="36" t="s">
        <v>48</v>
      </c>
      <c r="R5709" s="36" t="s">
        <v>48</v>
      </c>
    </row>
    <row r="5710">
      <c r="H5710" s="50"/>
      <c r="I5710" s="50"/>
      <c r="O5710" s="36" t="s">
        <v>48</v>
      </c>
      <c r="R5710" s="36" t="s">
        <v>48</v>
      </c>
    </row>
    <row r="5711">
      <c r="H5711" s="50"/>
      <c r="I5711" s="50"/>
      <c r="O5711" s="36" t="s">
        <v>48</v>
      </c>
      <c r="R5711" s="36" t="s">
        <v>48</v>
      </c>
    </row>
    <row r="5712">
      <c r="H5712" s="50"/>
      <c r="I5712" s="50"/>
      <c r="O5712" s="36" t="s">
        <v>48</v>
      </c>
      <c r="R5712" s="36" t="s">
        <v>48</v>
      </c>
    </row>
    <row r="5713">
      <c r="H5713" s="50"/>
      <c r="I5713" s="50"/>
      <c r="O5713" s="36" t="s">
        <v>48</v>
      </c>
      <c r="R5713" s="36" t="s">
        <v>48</v>
      </c>
    </row>
    <row r="5714">
      <c r="H5714" s="50"/>
      <c r="I5714" s="50"/>
      <c r="O5714" s="36" t="s">
        <v>48</v>
      </c>
      <c r="R5714" s="36" t="s">
        <v>48</v>
      </c>
    </row>
    <row r="5715">
      <c r="H5715" s="50"/>
      <c r="I5715" s="50"/>
      <c r="O5715" s="36" t="s">
        <v>48</v>
      </c>
      <c r="R5715" s="36" t="s">
        <v>48</v>
      </c>
    </row>
    <row r="5716">
      <c r="H5716" s="50"/>
      <c r="I5716" s="50"/>
      <c r="O5716" s="36" t="s">
        <v>48</v>
      </c>
      <c r="R5716" s="36" t="s">
        <v>48</v>
      </c>
    </row>
    <row r="5717">
      <c r="H5717" s="50"/>
      <c r="I5717" s="50"/>
      <c r="O5717" s="36" t="s">
        <v>48</v>
      </c>
      <c r="R5717" s="36" t="s">
        <v>48</v>
      </c>
    </row>
    <row r="5718">
      <c r="H5718" s="50"/>
      <c r="I5718" s="50"/>
      <c r="O5718" s="36" t="s">
        <v>48</v>
      </c>
      <c r="R5718" s="36" t="s">
        <v>48</v>
      </c>
    </row>
    <row r="5719">
      <c r="H5719" s="50"/>
      <c r="I5719" s="50"/>
      <c r="O5719" s="36" t="s">
        <v>48</v>
      </c>
      <c r="R5719" s="36" t="s">
        <v>48</v>
      </c>
    </row>
    <row r="5720">
      <c r="H5720" s="50"/>
      <c r="I5720" s="50"/>
      <c r="O5720" s="36" t="s">
        <v>48</v>
      </c>
      <c r="R5720" s="36" t="s">
        <v>48</v>
      </c>
    </row>
    <row r="5721">
      <c r="H5721" s="50"/>
      <c r="I5721" s="50"/>
      <c r="O5721" s="36" t="s">
        <v>48</v>
      </c>
      <c r="R5721" s="36" t="s">
        <v>48</v>
      </c>
    </row>
    <row r="5722">
      <c r="H5722" s="50"/>
      <c r="I5722" s="50"/>
      <c r="O5722" s="36" t="s">
        <v>48</v>
      </c>
      <c r="R5722" s="36" t="s">
        <v>48</v>
      </c>
    </row>
    <row r="5723">
      <c r="H5723" s="50"/>
      <c r="I5723" s="50"/>
      <c r="O5723" s="36" t="s">
        <v>48</v>
      </c>
      <c r="R5723" s="36" t="s">
        <v>48</v>
      </c>
    </row>
    <row r="5724">
      <c r="H5724" s="50"/>
      <c r="I5724" s="50"/>
      <c r="O5724" s="36" t="s">
        <v>48</v>
      </c>
      <c r="R5724" s="36" t="s">
        <v>48</v>
      </c>
    </row>
    <row r="5725">
      <c r="H5725" s="50"/>
      <c r="I5725" s="50"/>
      <c r="O5725" s="36" t="s">
        <v>48</v>
      </c>
      <c r="R5725" s="36" t="s">
        <v>48</v>
      </c>
    </row>
    <row r="5726">
      <c r="H5726" s="50"/>
      <c r="I5726" s="50"/>
      <c r="O5726" s="36" t="s">
        <v>48</v>
      </c>
      <c r="R5726" s="36" t="s">
        <v>48</v>
      </c>
    </row>
    <row r="5727">
      <c r="H5727" s="50"/>
      <c r="I5727" s="50"/>
      <c r="O5727" s="36" t="s">
        <v>48</v>
      </c>
      <c r="R5727" s="36" t="s">
        <v>48</v>
      </c>
    </row>
    <row r="5728">
      <c r="H5728" s="50"/>
      <c r="I5728" s="50"/>
      <c r="O5728" s="36" t="s">
        <v>48</v>
      </c>
      <c r="R5728" s="36" t="s">
        <v>48</v>
      </c>
    </row>
    <row r="5729">
      <c r="H5729" s="50"/>
      <c r="I5729" s="50"/>
      <c r="O5729" s="36" t="s">
        <v>48</v>
      </c>
      <c r="R5729" s="36" t="s">
        <v>48</v>
      </c>
    </row>
    <row r="5730">
      <c r="H5730" s="50"/>
      <c r="I5730" s="50"/>
      <c r="O5730" s="36" t="s">
        <v>48</v>
      </c>
      <c r="R5730" s="36" t="s">
        <v>48</v>
      </c>
    </row>
    <row r="5731">
      <c r="H5731" s="50"/>
      <c r="I5731" s="50"/>
      <c r="O5731" s="36" t="s">
        <v>48</v>
      </c>
      <c r="R5731" s="36" t="s">
        <v>48</v>
      </c>
    </row>
    <row r="5732">
      <c r="H5732" s="50"/>
      <c r="I5732" s="50"/>
      <c r="O5732" s="36" t="s">
        <v>48</v>
      </c>
      <c r="R5732" s="36" t="s">
        <v>48</v>
      </c>
    </row>
    <row r="5733">
      <c r="H5733" s="50"/>
      <c r="I5733" s="50"/>
      <c r="O5733" s="36" t="s">
        <v>48</v>
      </c>
      <c r="R5733" s="36" t="s">
        <v>48</v>
      </c>
    </row>
    <row r="5734">
      <c r="H5734" s="50"/>
      <c r="I5734" s="50"/>
      <c r="O5734" s="36" t="s">
        <v>48</v>
      </c>
      <c r="R5734" s="36" t="s">
        <v>48</v>
      </c>
    </row>
    <row r="5735">
      <c r="H5735" s="50"/>
      <c r="I5735" s="50"/>
      <c r="O5735" s="36" t="s">
        <v>48</v>
      </c>
      <c r="R5735" s="36" t="s">
        <v>48</v>
      </c>
    </row>
    <row r="5736">
      <c r="H5736" s="50"/>
      <c r="I5736" s="50"/>
      <c r="O5736" s="36" t="s">
        <v>48</v>
      </c>
      <c r="R5736" s="36" t="s">
        <v>48</v>
      </c>
    </row>
    <row r="5737">
      <c r="H5737" s="50"/>
      <c r="I5737" s="50"/>
      <c r="O5737" s="36" t="s">
        <v>48</v>
      </c>
      <c r="R5737" s="36" t="s">
        <v>48</v>
      </c>
    </row>
    <row r="5738">
      <c r="H5738" s="50"/>
      <c r="I5738" s="50"/>
      <c r="O5738" s="36" t="s">
        <v>48</v>
      </c>
      <c r="R5738" s="36" t="s">
        <v>48</v>
      </c>
    </row>
    <row r="5739">
      <c r="H5739" s="50"/>
      <c r="I5739" s="50"/>
      <c r="O5739" s="36" t="s">
        <v>48</v>
      </c>
      <c r="R5739" s="36" t="s">
        <v>48</v>
      </c>
    </row>
    <row r="5740">
      <c r="H5740" s="50"/>
      <c r="I5740" s="50"/>
      <c r="O5740" s="36" t="s">
        <v>48</v>
      </c>
      <c r="R5740" s="36" t="s">
        <v>48</v>
      </c>
    </row>
    <row r="5741">
      <c r="H5741" s="50"/>
      <c r="I5741" s="50"/>
      <c r="O5741" s="36" t="s">
        <v>48</v>
      </c>
      <c r="R5741" s="36" t="s">
        <v>48</v>
      </c>
    </row>
    <row r="5742">
      <c r="H5742" s="50"/>
      <c r="I5742" s="50"/>
      <c r="O5742" s="36" t="s">
        <v>48</v>
      </c>
      <c r="R5742" s="36" t="s">
        <v>48</v>
      </c>
    </row>
    <row r="5743">
      <c r="H5743" s="50"/>
      <c r="I5743" s="50"/>
      <c r="O5743" s="36" t="s">
        <v>48</v>
      </c>
      <c r="R5743" s="36" t="s">
        <v>48</v>
      </c>
    </row>
    <row r="5744">
      <c r="H5744" s="50"/>
      <c r="I5744" s="50"/>
      <c r="O5744" s="36" t="s">
        <v>48</v>
      </c>
      <c r="R5744" s="36" t="s">
        <v>48</v>
      </c>
    </row>
    <row r="5745">
      <c r="H5745" s="50"/>
      <c r="I5745" s="50"/>
      <c r="O5745" s="36" t="s">
        <v>48</v>
      </c>
      <c r="R5745" s="36" t="s">
        <v>48</v>
      </c>
    </row>
    <row r="5746">
      <c r="H5746" s="50"/>
      <c r="I5746" s="50"/>
      <c r="O5746" s="36" t="s">
        <v>48</v>
      </c>
      <c r="R5746" s="36" t="s">
        <v>48</v>
      </c>
    </row>
    <row r="5747">
      <c r="H5747" s="50"/>
      <c r="I5747" s="50"/>
      <c r="O5747" s="36" t="s">
        <v>48</v>
      </c>
      <c r="R5747" s="36" t="s">
        <v>48</v>
      </c>
    </row>
    <row r="5748">
      <c r="H5748" s="50"/>
      <c r="I5748" s="50"/>
      <c r="O5748" s="36" t="s">
        <v>48</v>
      </c>
      <c r="R5748" s="36" t="s">
        <v>48</v>
      </c>
    </row>
    <row r="5749">
      <c r="H5749" s="50"/>
      <c r="I5749" s="50"/>
      <c r="O5749" s="36" t="s">
        <v>48</v>
      </c>
      <c r="R5749" s="36" t="s">
        <v>48</v>
      </c>
    </row>
    <row r="5750">
      <c r="H5750" s="50"/>
      <c r="I5750" s="50"/>
      <c r="O5750" s="36" t="s">
        <v>48</v>
      </c>
      <c r="R5750" s="36" t="s">
        <v>48</v>
      </c>
    </row>
    <row r="5751">
      <c r="H5751" s="50"/>
      <c r="I5751" s="50"/>
      <c r="O5751" s="36" t="s">
        <v>48</v>
      </c>
      <c r="R5751" s="36" t="s">
        <v>48</v>
      </c>
    </row>
    <row r="5752">
      <c r="H5752" s="50"/>
      <c r="I5752" s="50"/>
      <c r="O5752" s="36" t="s">
        <v>48</v>
      </c>
      <c r="R5752" s="36" t="s">
        <v>48</v>
      </c>
    </row>
    <row r="5753">
      <c r="H5753" s="50"/>
      <c r="I5753" s="50"/>
      <c r="O5753" s="36" t="s">
        <v>48</v>
      </c>
      <c r="R5753" s="36" t="s">
        <v>48</v>
      </c>
    </row>
    <row r="5754">
      <c r="H5754" s="50"/>
      <c r="I5754" s="50"/>
      <c r="O5754" s="36" t="s">
        <v>48</v>
      </c>
      <c r="R5754" s="36" t="s">
        <v>48</v>
      </c>
    </row>
    <row r="5755">
      <c r="H5755" s="50"/>
      <c r="I5755" s="50"/>
      <c r="O5755" s="36" t="s">
        <v>48</v>
      </c>
      <c r="R5755" s="36" t="s">
        <v>48</v>
      </c>
    </row>
    <row r="5756">
      <c r="H5756" s="50"/>
      <c r="I5756" s="50"/>
      <c r="O5756" s="36" t="s">
        <v>48</v>
      </c>
      <c r="R5756" s="36" t="s">
        <v>48</v>
      </c>
    </row>
    <row r="5757">
      <c r="H5757" s="50"/>
      <c r="I5757" s="50"/>
      <c r="O5757" s="36" t="s">
        <v>48</v>
      </c>
      <c r="R5757" s="36" t="s">
        <v>48</v>
      </c>
    </row>
    <row r="5758">
      <c r="H5758" s="50"/>
      <c r="I5758" s="50"/>
      <c r="O5758" s="36" t="s">
        <v>48</v>
      </c>
      <c r="R5758" s="36" t="s">
        <v>48</v>
      </c>
    </row>
    <row r="5759">
      <c r="H5759" s="50"/>
      <c r="I5759" s="50"/>
      <c r="O5759" s="36" t="s">
        <v>48</v>
      </c>
      <c r="R5759" s="36" t="s">
        <v>48</v>
      </c>
    </row>
    <row r="5760">
      <c r="H5760" s="50"/>
      <c r="I5760" s="50"/>
      <c r="O5760" s="36" t="s">
        <v>48</v>
      </c>
      <c r="R5760" s="36" t="s">
        <v>48</v>
      </c>
    </row>
    <row r="5761">
      <c r="H5761" s="50"/>
      <c r="I5761" s="50"/>
      <c r="O5761" s="36" t="s">
        <v>48</v>
      </c>
      <c r="R5761" s="36" t="s">
        <v>48</v>
      </c>
    </row>
    <row r="5762">
      <c r="H5762" s="50"/>
      <c r="I5762" s="50"/>
      <c r="O5762" s="36" t="s">
        <v>48</v>
      </c>
      <c r="R5762" s="36" t="s">
        <v>48</v>
      </c>
    </row>
    <row r="5763">
      <c r="H5763" s="50"/>
      <c r="I5763" s="50"/>
      <c r="O5763" s="36" t="s">
        <v>48</v>
      </c>
      <c r="R5763" s="36" t="s">
        <v>48</v>
      </c>
    </row>
    <row r="5764">
      <c r="H5764" s="50"/>
      <c r="I5764" s="50"/>
      <c r="O5764" s="36" t="s">
        <v>48</v>
      </c>
      <c r="R5764" s="36" t="s">
        <v>48</v>
      </c>
    </row>
    <row r="5765">
      <c r="H5765" s="50"/>
      <c r="I5765" s="50"/>
      <c r="O5765" s="36" t="s">
        <v>48</v>
      </c>
      <c r="R5765" s="36" t="s">
        <v>48</v>
      </c>
    </row>
    <row r="5766">
      <c r="H5766" s="50"/>
      <c r="I5766" s="50"/>
      <c r="O5766" s="36" t="s">
        <v>48</v>
      </c>
      <c r="R5766" s="36" t="s">
        <v>48</v>
      </c>
    </row>
    <row r="5767">
      <c r="H5767" s="50"/>
      <c r="I5767" s="50"/>
      <c r="O5767" s="36" t="s">
        <v>48</v>
      </c>
      <c r="R5767" s="36" t="s">
        <v>48</v>
      </c>
    </row>
    <row r="5768">
      <c r="H5768" s="50"/>
      <c r="I5768" s="50"/>
      <c r="O5768" s="36" t="s">
        <v>48</v>
      </c>
      <c r="R5768" s="36" t="s">
        <v>48</v>
      </c>
    </row>
    <row r="5769">
      <c r="H5769" s="50"/>
      <c r="I5769" s="50"/>
      <c r="O5769" s="36" t="s">
        <v>48</v>
      </c>
      <c r="R5769" s="36" t="s">
        <v>48</v>
      </c>
    </row>
    <row r="5770">
      <c r="H5770" s="50"/>
      <c r="I5770" s="50"/>
      <c r="O5770" s="36" t="s">
        <v>48</v>
      </c>
      <c r="R5770" s="36" t="s">
        <v>48</v>
      </c>
    </row>
    <row r="5771">
      <c r="H5771" s="50"/>
      <c r="I5771" s="50"/>
      <c r="O5771" s="36" t="s">
        <v>48</v>
      </c>
      <c r="R5771" s="36" t="s">
        <v>48</v>
      </c>
    </row>
    <row r="5772">
      <c r="H5772" s="50"/>
      <c r="I5772" s="50"/>
      <c r="O5772" s="36" t="s">
        <v>48</v>
      </c>
      <c r="R5772" s="36" t="s">
        <v>48</v>
      </c>
    </row>
    <row r="5773">
      <c r="H5773" s="50"/>
      <c r="I5773" s="50"/>
      <c r="O5773" s="36" t="s">
        <v>48</v>
      </c>
      <c r="R5773" s="36" t="s">
        <v>48</v>
      </c>
    </row>
    <row r="5774">
      <c r="H5774" s="50"/>
      <c r="I5774" s="50"/>
      <c r="O5774" s="36" t="s">
        <v>48</v>
      </c>
      <c r="R5774" s="36" t="s">
        <v>48</v>
      </c>
    </row>
    <row r="5775">
      <c r="H5775" s="50"/>
      <c r="I5775" s="50"/>
      <c r="O5775" s="36" t="s">
        <v>48</v>
      </c>
      <c r="R5775" s="36" t="s">
        <v>48</v>
      </c>
    </row>
    <row r="5776">
      <c r="H5776" s="50"/>
      <c r="I5776" s="50"/>
      <c r="O5776" s="36" t="s">
        <v>48</v>
      </c>
      <c r="R5776" s="36" t="s">
        <v>48</v>
      </c>
    </row>
    <row r="5777">
      <c r="H5777" s="50"/>
      <c r="I5777" s="50"/>
      <c r="O5777" s="36" t="s">
        <v>48</v>
      </c>
      <c r="R5777" s="36" t="s">
        <v>48</v>
      </c>
    </row>
    <row r="5778">
      <c r="H5778" s="50"/>
      <c r="I5778" s="50"/>
      <c r="O5778" s="36" t="s">
        <v>48</v>
      </c>
      <c r="R5778" s="36" t="s">
        <v>48</v>
      </c>
    </row>
    <row r="5779">
      <c r="H5779" s="50"/>
      <c r="I5779" s="50"/>
      <c r="O5779" s="36" t="s">
        <v>48</v>
      </c>
      <c r="R5779" s="36" t="s">
        <v>48</v>
      </c>
    </row>
    <row r="5780">
      <c r="H5780" s="50"/>
      <c r="I5780" s="50"/>
      <c r="O5780" s="36" t="s">
        <v>48</v>
      </c>
      <c r="R5780" s="36" t="s">
        <v>48</v>
      </c>
    </row>
    <row r="5781">
      <c r="H5781" s="50"/>
      <c r="I5781" s="50"/>
      <c r="O5781" s="36" t="s">
        <v>48</v>
      </c>
      <c r="R5781" s="36" t="s">
        <v>48</v>
      </c>
    </row>
    <row r="5782">
      <c r="H5782" s="50"/>
      <c r="I5782" s="50"/>
      <c r="O5782" s="36" t="s">
        <v>48</v>
      </c>
      <c r="R5782" s="36" t="s">
        <v>48</v>
      </c>
    </row>
    <row r="5783">
      <c r="H5783" s="50"/>
      <c r="I5783" s="50"/>
      <c r="O5783" s="36" t="s">
        <v>48</v>
      </c>
      <c r="R5783" s="36" t="s">
        <v>48</v>
      </c>
    </row>
    <row r="5784">
      <c r="H5784" s="50"/>
      <c r="I5784" s="50"/>
      <c r="O5784" s="36" t="s">
        <v>48</v>
      </c>
      <c r="R5784" s="36" t="s">
        <v>48</v>
      </c>
    </row>
    <row r="5785">
      <c r="H5785" s="50"/>
      <c r="I5785" s="50"/>
      <c r="O5785" s="36" t="s">
        <v>48</v>
      </c>
      <c r="R5785" s="36" t="s">
        <v>48</v>
      </c>
    </row>
    <row r="5786">
      <c r="H5786" s="50"/>
      <c r="I5786" s="50"/>
      <c r="O5786" s="36" t="s">
        <v>48</v>
      </c>
      <c r="R5786" s="36" t="s">
        <v>48</v>
      </c>
    </row>
    <row r="5787">
      <c r="H5787" s="50"/>
      <c r="I5787" s="50"/>
      <c r="O5787" s="36" t="s">
        <v>48</v>
      </c>
      <c r="R5787" s="36" t="s">
        <v>48</v>
      </c>
    </row>
    <row r="5788">
      <c r="H5788" s="50"/>
      <c r="I5788" s="50"/>
      <c r="O5788" s="36" t="s">
        <v>48</v>
      </c>
      <c r="R5788" s="36" t="s">
        <v>48</v>
      </c>
    </row>
    <row r="5789">
      <c r="H5789" s="50"/>
      <c r="I5789" s="50"/>
      <c r="O5789" s="36" t="s">
        <v>48</v>
      </c>
      <c r="R5789" s="36" t="s">
        <v>48</v>
      </c>
    </row>
    <row r="5790">
      <c r="H5790" s="50"/>
      <c r="I5790" s="50"/>
      <c r="O5790" s="36" t="s">
        <v>48</v>
      </c>
      <c r="R5790" s="36" t="s">
        <v>48</v>
      </c>
    </row>
    <row r="5791">
      <c r="H5791" s="50"/>
      <c r="I5791" s="50"/>
      <c r="O5791" s="36" t="s">
        <v>48</v>
      </c>
      <c r="R5791" s="36" t="s">
        <v>48</v>
      </c>
    </row>
    <row r="5792">
      <c r="H5792" s="50"/>
      <c r="I5792" s="50"/>
      <c r="O5792" s="36" t="s">
        <v>48</v>
      </c>
      <c r="R5792" s="36" t="s">
        <v>48</v>
      </c>
    </row>
    <row r="5793">
      <c r="H5793" s="50"/>
      <c r="I5793" s="50"/>
      <c r="O5793" s="36" t="s">
        <v>48</v>
      </c>
      <c r="R5793" s="36" t="s">
        <v>48</v>
      </c>
    </row>
    <row r="5794">
      <c r="H5794" s="50"/>
      <c r="I5794" s="50"/>
      <c r="O5794" s="36" t="s">
        <v>48</v>
      </c>
      <c r="R5794" s="36" t="s">
        <v>48</v>
      </c>
    </row>
    <row r="5795">
      <c r="H5795" s="50"/>
      <c r="I5795" s="50"/>
      <c r="O5795" s="36" t="s">
        <v>48</v>
      </c>
      <c r="R5795" s="36" t="s">
        <v>48</v>
      </c>
    </row>
    <row r="5796">
      <c r="H5796" s="50"/>
      <c r="I5796" s="50"/>
      <c r="O5796" s="36" t="s">
        <v>48</v>
      </c>
      <c r="R5796" s="36" t="s">
        <v>48</v>
      </c>
    </row>
    <row r="5797">
      <c r="H5797" s="50"/>
      <c r="I5797" s="50"/>
      <c r="O5797" s="36" t="s">
        <v>48</v>
      </c>
      <c r="R5797" s="36" t="s">
        <v>48</v>
      </c>
    </row>
    <row r="5798">
      <c r="H5798" s="50"/>
      <c r="I5798" s="50"/>
      <c r="O5798" s="36" t="s">
        <v>48</v>
      </c>
      <c r="R5798" s="36" t="s">
        <v>48</v>
      </c>
    </row>
    <row r="5799">
      <c r="H5799" s="50"/>
      <c r="I5799" s="50"/>
      <c r="O5799" s="36" t="s">
        <v>48</v>
      </c>
      <c r="R5799" s="36" t="s">
        <v>48</v>
      </c>
    </row>
    <row r="5800">
      <c r="H5800" s="50"/>
      <c r="I5800" s="50"/>
      <c r="O5800" s="36" t="s">
        <v>48</v>
      </c>
      <c r="R5800" s="36" t="s">
        <v>48</v>
      </c>
    </row>
    <row r="5801">
      <c r="H5801" s="50"/>
      <c r="I5801" s="50"/>
      <c r="O5801" s="36" t="s">
        <v>48</v>
      </c>
      <c r="R5801" s="36" t="s">
        <v>48</v>
      </c>
    </row>
    <row r="5802">
      <c r="H5802" s="50"/>
      <c r="I5802" s="50"/>
      <c r="O5802" s="36" t="s">
        <v>48</v>
      </c>
      <c r="R5802" s="36" t="s">
        <v>48</v>
      </c>
    </row>
    <row r="5803">
      <c r="H5803" s="50"/>
      <c r="I5803" s="50"/>
      <c r="O5803" s="36" t="s">
        <v>48</v>
      </c>
      <c r="R5803" s="36" t="s">
        <v>48</v>
      </c>
    </row>
    <row r="5804">
      <c r="H5804" s="50"/>
      <c r="I5804" s="50"/>
      <c r="O5804" s="36" t="s">
        <v>48</v>
      </c>
      <c r="R5804" s="36" t="s">
        <v>48</v>
      </c>
    </row>
    <row r="5805">
      <c r="H5805" s="50"/>
      <c r="I5805" s="50"/>
      <c r="O5805" s="36" t="s">
        <v>48</v>
      </c>
      <c r="R5805" s="36" t="s">
        <v>48</v>
      </c>
    </row>
    <row r="5806">
      <c r="H5806" s="50"/>
      <c r="I5806" s="50"/>
      <c r="O5806" s="36" t="s">
        <v>48</v>
      </c>
      <c r="R5806" s="36" t="s">
        <v>48</v>
      </c>
    </row>
    <row r="5807">
      <c r="H5807" s="50"/>
      <c r="I5807" s="50"/>
      <c r="O5807" s="36" t="s">
        <v>48</v>
      </c>
      <c r="R5807" s="36" t="s">
        <v>48</v>
      </c>
    </row>
    <row r="5808">
      <c r="H5808" s="50"/>
      <c r="I5808" s="50"/>
      <c r="O5808" s="36" t="s">
        <v>48</v>
      </c>
      <c r="R5808" s="36" t="s">
        <v>48</v>
      </c>
    </row>
    <row r="5809">
      <c r="H5809" s="50"/>
      <c r="I5809" s="50"/>
      <c r="O5809" s="36" t="s">
        <v>48</v>
      </c>
      <c r="R5809" s="36" t="s">
        <v>48</v>
      </c>
    </row>
    <row r="5810">
      <c r="H5810" s="50"/>
      <c r="I5810" s="50"/>
      <c r="O5810" s="36" t="s">
        <v>48</v>
      </c>
      <c r="R5810" s="36" t="s">
        <v>48</v>
      </c>
    </row>
    <row r="5811">
      <c r="H5811" s="50"/>
      <c r="I5811" s="50"/>
      <c r="O5811" s="36" t="s">
        <v>48</v>
      </c>
      <c r="R5811" s="36" t="s">
        <v>48</v>
      </c>
    </row>
    <row r="5812">
      <c r="H5812" s="50"/>
      <c r="I5812" s="50"/>
      <c r="O5812" s="36" t="s">
        <v>48</v>
      </c>
      <c r="R5812" s="36" t="s">
        <v>48</v>
      </c>
    </row>
    <row r="5813">
      <c r="H5813" s="50"/>
      <c r="I5813" s="50"/>
      <c r="O5813" s="36" t="s">
        <v>48</v>
      </c>
      <c r="R5813" s="36" t="s">
        <v>48</v>
      </c>
    </row>
    <row r="5814">
      <c r="H5814" s="50"/>
      <c r="I5814" s="50"/>
      <c r="O5814" s="36" t="s">
        <v>48</v>
      </c>
      <c r="R5814" s="36" t="s">
        <v>48</v>
      </c>
    </row>
    <row r="5815">
      <c r="H5815" s="50"/>
      <c r="I5815" s="50"/>
      <c r="O5815" s="36" t="s">
        <v>48</v>
      </c>
      <c r="R5815" s="36" t="s">
        <v>48</v>
      </c>
    </row>
    <row r="5816">
      <c r="H5816" s="50"/>
      <c r="I5816" s="50"/>
      <c r="O5816" s="36" t="s">
        <v>48</v>
      </c>
      <c r="R5816" s="36" t="s">
        <v>48</v>
      </c>
    </row>
    <row r="5817">
      <c r="H5817" s="50"/>
      <c r="I5817" s="50"/>
      <c r="O5817" s="36" t="s">
        <v>48</v>
      </c>
      <c r="R5817" s="36" t="s">
        <v>48</v>
      </c>
    </row>
    <row r="5818">
      <c r="H5818" s="50"/>
      <c r="I5818" s="50"/>
      <c r="O5818" s="36" t="s">
        <v>48</v>
      </c>
      <c r="R5818" s="36" t="s">
        <v>48</v>
      </c>
    </row>
    <row r="5819">
      <c r="H5819" s="50"/>
      <c r="I5819" s="50"/>
      <c r="O5819" s="36" t="s">
        <v>48</v>
      </c>
      <c r="R5819" s="36" t="s">
        <v>48</v>
      </c>
    </row>
    <row r="5820">
      <c r="H5820" s="50"/>
      <c r="I5820" s="50"/>
      <c r="O5820" s="36" t="s">
        <v>48</v>
      </c>
      <c r="R5820" s="36" t="s">
        <v>48</v>
      </c>
    </row>
    <row r="5821">
      <c r="H5821" s="50"/>
      <c r="I5821" s="50"/>
      <c r="O5821" s="36" t="s">
        <v>48</v>
      </c>
      <c r="R5821" s="36" t="s">
        <v>48</v>
      </c>
    </row>
    <row r="5822">
      <c r="H5822" s="50"/>
      <c r="I5822" s="50"/>
      <c r="O5822" s="36" t="s">
        <v>48</v>
      </c>
      <c r="R5822" s="36" t="s">
        <v>48</v>
      </c>
    </row>
    <row r="5823">
      <c r="H5823" s="50"/>
      <c r="I5823" s="50"/>
      <c r="O5823" s="36" t="s">
        <v>48</v>
      </c>
      <c r="R5823" s="36" t="s">
        <v>48</v>
      </c>
    </row>
    <row r="5824">
      <c r="H5824" s="50"/>
      <c r="I5824" s="50"/>
      <c r="O5824" s="36" t="s">
        <v>48</v>
      </c>
      <c r="R5824" s="36" t="s">
        <v>48</v>
      </c>
    </row>
    <row r="5825">
      <c r="H5825" s="50"/>
      <c r="I5825" s="50"/>
      <c r="O5825" s="36" t="s">
        <v>48</v>
      </c>
      <c r="R5825" s="36" t="s">
        <v>48</v>
      </c>
    </row>
    <row r="5826">
      <c r="H5826" s="50"/>
      <c r="I5826" s="50"/>
      <c r="O5826" s="36" t="s">
        <v>48</v>
      </c>
      <c r="R5826" s="36" t="s">
        <v>48</v>
      </c>
    </row>
    <row r="5827">
      <c r="H5827" s="50"/>
      <c r="I5827" s="50"/>
      <c r="O5827" s="36" t="s">
        <v>48</v>
      </c>
      <c r="R5827" s="36" t="s">
        <v>48</v>
      </c>
    </row>
    <row r="5828">
      <c r="H5828" s="50"/>
      <c r="I5828" s="50"/>
      <c r="O5828" s="36" t="s">
        <v>48</v>
      </c>
      <c r="R5828" s="36" t="s">
        <v>48</v>
      </c>
    </row>
    <row r="5829">
      <c r="H5829" s="50"/>
      <c r="I5829" s="50"/>
      <c r="O5829" s="36" t="s">
        <v>48</v>
      </c>
      <c r="R5829" s="36" t="s">
        <v>48</v>
      </c>
    </row>
    <row r="5830">
      <c r="H5830" s="50"/>
      <c r="I5830" s="50"/>
      <c r="O5830" s="36" t="s">
        <v>48</v>
      </c>
      <c r="R5830" s="36" t="s">
        <v>48</v>
      </c>
    </row>
    <row r="5831">
      <c r="H5831" s="50"/>
      <c r="I5831" s="50"/>
      <c r="O5831" s="36" t="s">
        <v>48</v>
      </c>
      <c r="R5831" s="36" t="s">
        <v>48</v>
      </c>
    </row>
    <row r="5832">
      <c r="H5832" s="50"/>
      <c r="I5832" s="50"/>
      <c r="O5832" s="36" t="s">
        <v>48</v>
      </c>
      <c r="R5832" s="36" t="s">
        <v>48</v>
      </c>
    </row>
    <row r="5833">
      <c r="H5833" s="50"/>
      <c r="I5833" s="50"/>
      <c r="O5833" s="36" t="s">
        <v>48</v>
      </c>
      <c r="R5833" s="36" t="s">
        <v>48</v>
      </c>
    </row>
    <row r="5834">
      <c r="H5834" s="50"/>
      <c r="I5834" s="50"/>
      <c r="O5834" s="36" t="s">
        <v>48</v>
      </c>
      <c r="R5834" s="36" t="s">
        <v>48</v>
      </c>
    </row>
    <row r="5835">
      <c r="H5835" s="50"/>
      <c r="I5835" s="50"/>
      <c r="O5835" s="36" t="s">
        <v>48</v>
      </c>
      <c r="R5835" s="36" t="s">
        <v>48</v>
      </c>
    </row>
    <row r="5836">
      <c r="H5836" s="50"/>
      <c r="I5836" s="50"/>
      <c r="O5836" s="36" t="s">
        <v>48</v>
      </c>
      <c r="R5836" s="36" t="s">
        <v>48</v>
      </c>
    </row>
    <row r="5837">
      <c r="H5837" s="50"/>
      <c r="I5837" s="50"/>
      <c r="O5837" s="36" t="s">
        <v>48</v>
      </c>
      <c r="R5837" s="36" t="s">
        <v>48</v>
      </c>
    </row>
    <row r="5838">
      <c r="H5838" s="50"/>
      <c r="I5838" s="50"/>
      <c r="O5838" s="36" t="s">
        <v>48</v>
      </c>
      <c r="R5838" s="36" t="s">
        <v>48</v>
      </c>
    </row>
    <row r="5839">
      <c r="H5839" s="50"/>
      <c r="I5839" s="50"/>
      <c r="O5839" s="36" t="s">
        <v>48</v>
      </c>
      <c r="R5839" s="36" t="s">
        <v>48</v>
      </c>
    </row>
    <row r="5840">
      <c r="H5840" s="50"/>
      <c r="I5840" s="50"/>
      <c r="O5840" s="36" t="s">
        <v>48</v>
      </c>
      <c r="R5840" s="36" t="s">
        <v>48</v>
      </c>
    </row>
    <row r="5841">
      <c r="H5841" s="50"/>
      <c r="I5841" s="50"/>
      <c r="O5841" s="36" t="s">
        <v>48</v>
      </c>
      <c r="R5841" s="36" t="s">
        <v>48</v>
      </c>
    </row>
    <row r="5842">
      <c r="H5842" s="50"/>
      <c r="I5842" s="50"/>
      <c r="O5842" s="36" t="s">
        <v>48</v>
      </c>
      <c r="R5842" s="36" t="s">
        <v>48</v>
      </c>
    </row>
    <row r="5843">
      <c r="H5843" s="50"/>
      <c r="I5843" s="50"/>
      <c r="O5843" s="36" t="s">
        <v>48</v>
      </c>
      <c r="R5843" s="36" t="s">
        <v>48</v>
      </c>
    </row>
    <row r="5844">
      <c r="H5844" s="50"/>
      <c r="I5844" s="50"/>
      <c r="O5844" s="36" t="s">
        <v>48</v>
      </c>
      <c r="R5844" s="36" t="s">
        <v>48</v>
      </c>
    </row>
    <row r="5845">
      <c r="H5845" s="50"/>
      <c r="I5845" s="50"/>
      <c r="O5845" s="36" t="s">
        <v>48</v>
      </c>
      <c r="R5845" s="36" t="s">
        <v>48</v>
      </c>
    </row>
    <row r="5846">
      <c r="H5846" s="50"/>
      <c r="I5846" s="50"/>
      <c r="O5846" s="36" t="s">
        <v>48</v>
      </c>
      <c r="R5846" s="36" t="s">
        <v>48</v>
      </c>
    </row>
    <row r="5847">
      <c r="H5847" s="50"/>
      <c r="I5847" s="50"/>
      <c r="O5847" s="36" t="s">
        <v>48</v>
      </c>
      <c r="R5847" s="36" t="s">
        <v>48</v>
      </c>
    </row>
    <row r="5848">
      <c r="H5848" s="50"/>
      <c r="I5848" s="50"/>
      <c r="O5848" s="36" t="s">
        <v>48</v>
      </c>
      <c r="R5848" s="36" t="s">
        <v>48</v>
      </c>
    </row>
    <row r="5849">
      <c r="H5849" s="50"/>
      <c r="I5849" s="50"/>
      <c r="O5849" s="36" t="s">
        <v>48</v>
      </c>
      <c r="R5849" s="36" t="s">
        <v>48</v>
      </c>
    </row>
    <row r="5850">
      <c r="H5850" s="50"/>
      <c r="I5850" s="50"/>
      <c r="O5850" s="36" t="s">
        <v>48</v>
      </c>
      <c r="R5850" s="36" t="s">
        <v>48</v>
      </c>
    </row>
    <row r="5851">
      <c r="H5851" s="50"/>
      <c r="I5851" s="50"/>
      <c r="O5851" s="36" t="s">
        <v>48</v>
      </c>
      <c r="R5851" s="36" t="s">
        <v>48</v>
      </c>
    </row>
    <row r="5852">
      <c r="H5852" s="50"/>
      <c r="I5852" s="50"/>
      <c r="O5852" s="36" t="s">
        <v>48</v>
      </c>
      <c r="R5852" s="36" t="s">
        <v>48</v>
      </c>
    </row>
    <row r="5853">
      <c r="H5853" s="50"/>
      <c r="I5853" s="50"/>
      <c r="O5853" s="36" t="s">
        <v>48</v>
      </c>
      <c r="R5853" s="36" t="s">
        <v>48</v>
      </c>
    </row>
    <row r="5854">
      <c r="H5854" s="50"/>
      <c r="I5854" s="50"/>
      <c r="O5854" s="36" t="s">
        <v>48</v>
      </c>
      <c r="R5854" s="36" t="s">
        <v>48</v>
      </c>
    </row>
    <row r="5855">
      <c r="H5855" s="50"/>
      <c r="I5855" s="50"/>
      <c r="O5855" s="36" t="s">
        <v>48</v>
      </c>
      <c r="R5855" s="36" t="s">
        <v>48</v>
      </c>
    </row>
    <row r="5856">
      <c r="H5856" s="50"/>
      <c r="I5856" s="50"/>
      <c r="O5856" s="36" t="s">
        <v>48</v>
      </c>
      <c r="R5856" s="36" t="s">
        <v>48</v>
      </c>
    </row>
    <row r="5857">
      <c r="H5857" s="50"/>
      <c r="I5857" s="50"/>
      <c r="O5857" s="36" t="s">
        <v>48</v>
      </c>
      <c r="R5857" s="36" t="s">
        <v>48</v>
      </c>
    </row>
    <row r="5858">
      <c r="H5858" s="50"/>
      <c r="I5858" s="50"/>
      <c r="O5858" s="36" t="s">
        <v>48</v>
      </c>
      <c r="R5858" s="36" t="s">
        <v>48</v>
      </c>
    </row>
    <row r="5859">
      <c r="H5859" s="50"/>
      <c r="I5859" s="50"/>
      <c r="O5859" s="36" t="s">
        <v>48</v>
      </c>
      <c r="R5859" s="36" t="s">
        <v>48</v>
      </c>
    </row>
    <row r="5860">
      <c r="H5860" s="50"/>
      <c r="I5860" s="50"/>
      <c r="O5860" s="36" t="s">
        <v>48</v>
      </c>
      <c r="R5860" s="36" t="s">
        <v>48</v>
      </c>
    </row>
    <row r="5861">
      <c r="H5861" s="50"/>
      <c r="I5861" s="50"/>
      <c r="O5861" s="36" t="s">
        <v>48</v>
      </c>
      <c r="R5861" s="36" t="s">
        <v>48</v>
      </c>
    </row>
    <row r="5862">
      <c r="H5862" s="50"/>
      <c r="I5862" s="50"/>
      <c r="O5862" s="36" t="s">
        <v>48</v>
      </c>
      <c r="R5862" s="36" t="s">
        <v>48</v>
      </c>
    </row>
    <row r="5863">
      <c r="H5863" s="50"/>
      <c r="I5863" s="50"/>
      <c r="O5863" s="36" t="s">
        <v>48</v>
      </c>
      <c r="R5863" s="36" t="s">
        <v>48</v>
      </c>
    </row>
    <row r="5864">
      <c r="H5864" s="50"/>
      <c r="I5864" s="50"/>
      <c r="O5864" s="36" t="s">
        <v>48</v>
      </c>
      <c r="R5864" s="36" t="s">
        <v>48</v>
      </c>
    </row>
    <row r="5865">
      <c r="H5865" s="50"/>
      <c r="I5865" s="50"/>
      <c r="O5865" s="36" t="s">
        <v>48</v>
      </c>
      <c r="R5865" s="36" t="s">
        <v>48</v>
      </c>
    </row>
    <row r="5866">
      <c r="H5866" s="50"/>
      <c r="I5866" s="50"/>
      <c r="O5866" s="36" t="s">
        <v>48</v>
      </c>
      <c r="R5866" s="36" t="s">
        <v>48</v>
      </c>
    </row>
    <row r="5867">
      <c r="H5867" s="50"/>
      <c r="I5867" s="50"/>
      <c r="O5867" s="36" t="s">
        <v>48</v>
      </c>
      <c r="R5867" s="36" t="s">
        <v>48</v>
      </c>
    </row>
    <row r="5868">
      <c r="H5868" s="50"/>
      <c r="I5868" s="50"/>
      <c r="O5868" s="36" t="s">
        <v>48</v>
      </c>
      <c r="R5868" s="36" t="s">
        <v>48</v>
      </c>
    </row>
    <row r="5869">
      <c r="H5869" s="50"/>
      <c r="I5869" s="50"/>
      <c r="O5869" s="36" t="s">
        <v>48</v>
      </c>
      <c r="R5869" s="36" t="s">
        <v>48</v>
      </c>
    </row>
    <row r="5870">
      <c r="H5870" s="50"/>
      <c r="I5870" s="50"/>
      <c r="O5870" s="36" t="s">
        <v>48</v>
      </c>
      <c r="R5870" s="36" t="s">
        <v>48</v>
      </c>
    </row>
    <row r="5871">
      <c r="H5871" s="50"/>
      <c r="I5871" s="50"/>
      <c r="O5871" s="36" t="s">
        <v>48</v>
      </c>
      <c r="R5871" s="36" t="s">
        <v>48</v>
      </c>
    </row>
    <row r="5872">
      <c r="H5872" s="50"/>
      <c r="I5872" s="50"/>
      <c r="O5872" s="36" t="s">
        <v>48</v>
      </c>
      <c r="R5872" s="36" t="s">
        <v>48</v>
      </c>
    </row>
    <row r="5873">
      <c r="H5873" s="50"/>
      <c r="I5873" s="50"/>
      <c r="O5873" s="36" t="s">
        <v>48</v>
      </c>
      <c r="R5873" s="36" t="s">
        <v>48</v>
      </c>
    </row>
    <row r="5874">
      <c r="H5874" s="50"/>
      <c r="I5874" s="50"/>
      <c r="O5874" s="36" t="s">
        <v>48</v>
      </c>
      <c r="R5874" s="36" t="s">
        <v>48</v>
      </c>
    </row>
    <row r="5875">
      <c r="H5875" s="50"/>
      <c r="I5875" s="50"/>
      <c r="O5875" s="36" t="s">
        <v>48</v>
      </c>
      <c r="R5875" s="36" t="s">
        <v>48</v>
      </c>
    </row>
    <row r="5876">
      <c r="H5876" s="50"/>
      <c r="I5876" s="50"/>
      <c r="O5876" s="36" t="s">
        <v>48</v>
      </c>
      <c r="R5876" s="36" t="s">
        <v>48</v>
      </c>
    </row>
    <row r="5877">
      <c r="H5877" s="50"/>
      <c r="I5877" s="50"/>
      <c r="O5877" s="36" t="s">
        <v>48</v>
      </c>
      <c r="R5877" s="36" t="s">
        <v>48</v>
      </c>
    </row>
    <row r="5878">
      <c r="H5878" s="50"/>
      <c r="I5878" s="50"/>
      <c r="O5878" s="36" t="s">
        <v>48</v>
      </c>
      <c r="R5878" s="36" t="s">
        <v>48</v>
      </c>
    </row>
    <row r="5879">
      <c r="H5879" s="50"/>
      <c r="I5879" s="50"/>
      <c r="O5879" s="36" t="s">
        <v>48</v>
      </c>
      <c r="R5879" s="36" t="s">
        <v>48</v>
      </c>
    </row>
    <row r="5880">
      <c r="H5880" s="50"/>
      <c r="I5880" s="50"/>
      <c r="O5880" s="36" t="s">
        <v>48</v>
      </c>
      <c r="R5880" s="36" t="s">
        <v>48</v>
      </c>
    </row>
    <row r="5881">
      <c r="H5881" s="50"/>
      <c r="I5881" s="50"/>
      <c r="O5881" s="36" t="s">
        <v>48</v>
      </c>
      <c r="R5881" s="36" t="s">
        <v>48</v>
      </c>
    </row>
    <row r="5882">
      <c r="H5882" s="50"/>
      <c r="I5882" s="50"/>
      <c r="O5882" s="36" t="s">
        <v>48</v>
      </c>
      <c r="R5882" s="36" t="s">
        <v>48</v>
      </c>
    </row>
    <row r="5883">
      <c r="H5883" s="50"/>
      <c r="I5883" s="50"/>
      <c r="O5883" s="36" t="s">
        <v>48</v>
      </c>
      <c r="R5883" s="36" t="s">
        <v>48</v>
      </c>
    </row>
    <row r="5884">
      <c r="H5884" s="50"/>
      <c r="I5884" s="50"/>
      <c r="O5884" s="36" t="s">
        <v>48</v>
      </c>
      <c r="R5884" s="36" t="s">
        <v>48</v>
      </c>
    </row>
    <row r="5885">
      <c r="H5885" s="50"/>
      <c r="I5885" s="50"/>
      <c r="O5885" s="36" t="s">
        <v>48</v>
      </c>
      <c r="R5885" s="36" t="s">
        <v>48</v>
      </c>
    </row>
    <row r="5886">
      <c r="H5886" s="50"/>
      <c r="I5886" s="50"/>
      <c r="O5886" s="36" t="s">
        <v>48</v>
      </c>
      <c r="R5886" s="36" t="s">
        <v>48</v>
      </c>
    </row>
    <row r="5887">
      <c r="H5887" s="50"/>
      <c r="I5887" s="50"/>
      <c r="O5887" s="36" t="s">
        <v>48</v>
      </c>
      <c r="R5887" s="36" t="s">
        <v>48</v>
      </c>
    </row>
    <row r="5888">
      <c r="H5888" s="50"/>
      <c r="I5888" s="50"/>
      <c r="O5888" s="36" t="s">
        <v>48</v>
      </c>
      <c r="R5888" s="36" t="s">
        <v>48</v>
      </c>
    </row>
    <row r="5889">
      <c r="H5889" s="50"/>
      <c r="I5889" s="50"/>
      <c r="O5889" s="36" t="s">
        <v>48</v>
      </c>
      <c r="R5889" s="36" t="s">
        <v>48</v>
      </c>
    </row>
    <row r="5890">
      <c r="H5890" s="50"/>
      <c r="I5890" s="50"/>
      <c r="O5890" s="36" t="s">
        <v>48</v>
      </c>
      <c r="R5890" s="36" t="s">
        <v>48</v>
      </c>
    </row>
    <row r="5891">
      <c r="H5891" s="50"/>
      <c r="I5891" s="50"/>
      <c r="O5891" s="36" t="s">
        <v>48</v>
      </c>
      <c r="R5891" s="36" t="s">
        <v>48</v>
      </c>
    </row>
    <row r="5892">
      <c r="H5892" s="50"/>
      <c r="I5892" s="50"/>
      <c r="O5892" s="36" t="s">
        <v>48</v>
      </c>
      <c r="R5892" s="36" t="s">
        <v>48</v>
      </c>
    </row>
    <row r="5893">
      <c r="H5893" s="50"/>
      <c r="I5893" s="50"/>
      <c r="O5893" s="36" t="s">
        <v>48</v>
      </c>
      <c r="R5893" s="36" t="s">
        <v>48</v>
      </c>
    </row>
    <row r="5894">
      <c r="H5894" s="50"/>
      <c r="I5894" s="50"/>
      <c r="O5894" s="36" t="s">
        <v>48</v>
      </c>
      <c r="R5894" s="36" t="s">
        <v>48</v>
      </c>
    </row>
    <row r="5895">
      <c r="H5895" s="50"/>
      <c r="I5895" s="50"/>
      <c r="O5895" s="36" t="s">
        <v>48</v>
      </c>
      <c r="R5895" s="36" t="s">
        <v>48</v>
      </c>
    </row>
    <row r="5896">
      <c r="H5896" s="50"/>
      <c r="I5896" s="50"/>
      <c r="O5896" s="36" t="s">
        <v>48</v>
      </c>
      <c r="R5896" s="36" t="s">
        <v>48</v>
      </c>
    </row>
    <row r="5897">
      <c r="H5897" s="50"/>
      <c r="I5897" s="50"/>
      <c r="O5897" s="36" t="s">
        <v>48</v>
      </c>
      <c r="R5897" s="36" t="s">
        <v>48</v>
      </c>
    </row>
    <row r="5898">
      <c r="H5898" s="50"/>
      <c r="I5898" s="50"/>
      <c r="O5898" s="36" t="s">
        <v>48</v>
      </c>
      <c r="R5898" s="36" t="s">
        <v>48</v>
      </c>
    </row>
    <row r="5899">
      <c r="H5899" s="50"/>
      <c r="I5899" s="50"/>
      <c r="O5899" s="36" t="s">
        <v>48</v>
      </c>
      <c r="R5899" s="36" t="s">
        <v>48</v>
      </c>
    </row>
    <row r="5900">
      <c r="H5900" s="50"/>
      <c r="I5900" s="50"/>
      <c r="O5900" s="36" t="s">
        <v>48</v>
      </c>
      <c r="R5900" s="36" t="s">
        <v>48</v>
      </c>
    </row>
    <row r="5901">
      <c r="H5901" s="50"/>
      <c r="I5901" s="50"/>
      <c r="O5901" s="36" t="s">
        <v>48</v>
      </c>
      <c r="R5901" s="36" t="s">
        <v>48</v>
      </c>
    </row>
    <row r="5902">
      <c r="H5902" s="50"/>
      <c r="I5902" s="50"/>
      <c r="O5902" s="36" t="s">
        <v>48</v>
      </c>
      <c r="R5902" s="36" t="s">
        <v>48</v>
      </c>
    </row>
    <row r="5903">
      <c r="H5903" s="50"/>
      <c r="I5903" s="50"/>
      <c r="O5903" s="36" t="s">
        <v>48</v>
      </c>
      <c r="R5903" s="36" t="s">
        <v>48</v>
      </c>
    </row>
    <row r="5904">
      <c r="H5904" s="50"/>
      <c r="I5904" s="50"/>
      <c r="O5904" s="36" t="s">
        <v>48</v>
      </c>
      <c r="R5904" s="36" t="s">
        <v>48</v>
      </c>
    </row>
    <row r="5905">
      <c r="H5905" s="50"/>
      <c r="I5905" s="50"/>
      <c r="O5905" s="36" t="s">
        <v>48</v>
      </c>
      <c r="R5905" s="36" t="s">
        <v>48</v>
      </c>
    </row>
    <row r="5906">
      <c r="H5906" s="50"/>
      <c r="I5906" s="50"/>
      <c r="O5906" s="36" t="s">
        <v>48</v>
      </c>
      <c r="R5906" s="36" t="s">
        <v>48</v>
      </c>
    </row>
    <row r="5907">
      <c r="H5907" s="50"/>
      <c r="I5907" s="50"/>
      <c r="O5907" s="36" t="s">
        <v>48</v>
      </c>
      <c r="R5907" s="36" t="s">
        <v>48</v>
      </c>
    </row>
    <row r="5908">
      <c r="H5908" s="50"/>
      <c r="I5908" s="50"/>
      <c r="O5908" s="36" t="s">
        <v>48</v>
      </c>
      <c r="R5908" s="36" t="s">
        <v>48</v>
      </c>
    </row>
    <row r="5909">
      <c r="H5909" s="50"/>
      <c r="I5909" s="50"/>
      <c r="O5909" s="36" t="s">
        <v>48</v>
      </c>
      <c r="R5909" s="36" t="s">
        <v>48</v>
      </c>
    </row>
    <row r="5910">
      <c r="H5910" s="50"/>
      <c r="I5910" s="50"/>
      <c r="O5910" s="36" t="s">
        <v>48</v>
      </c>
      <c r="R5910" s="36" t="s">
        <v>48</v>
      </c>
    </row>
    <row r="5911">
      <c r="H5911" s="50"/>
      <c r="I5911" s="50"/>
      <c r="O5911" s="36" t="s">
        <v>48</v>
      </c>
      <c r="R5911" s="36" t="s">
        <v>48</v>
      </c>
    </row>
    <row r="5912">
      <c r="H5912" s="50"/>
      <c r="I5912" s="50"/>
      <c r="O5912" s="36" t="s">
        <v>48</v>
      </c>
      <c r="R5912" s="36" t="s">
        <v>48</v>
      </c>
    </row>
    <row r="5913">
      <c r="H5913" s="50"/>
      <c r="I5913" s="50"/>
      <c r="O5913" s="36" t="s">
        <v>48</v>
      </c>
      <c r="R5913" s="36" t="s">
        <v>48</v>
      </c>
    </row>
    <row r="5914">
      <c r="H5914" s="50"/>
      <c r="I5914" s="50"/>
      <c r="O5914" s="36" t="s">
        <v>48</v>
      </c>
      <c r="R5914" s="36" t="s">
        <v>48</v>
      </c>
    </row>
    <row r="5915">
      <c r="H5915" s="50"/>
      <c r="I5915" s="50"/>
      <c r="O5915" s="36" t="s">
        <v>48</v>
      </c>
      <c r="R5915" s="36" t="s">
        <v>48</v>
      </c>
    </row>
    <row r="5916">
      <c r="H5916" s="50"/>
      <c r="I5916" s="50"/>
      <c r="O5916" s="36" t="s">
        <v>48</v>
      </c>
      <c r="R5916" s="36" t="s">
        <v>48</v>
      </c>
    </row>
    <row r="5917">
      <c r="H5917" s="50"/>
      <c r="I5917" s="50"/>
      <c r="O5917" s="36" t="s">
        <v>48</v>
      </c>
      <c r="R5917" s="36" t="s">
        <v>48</v>
      </c>
    </row>
    <row r="5918">
      <c r="H5918" s="50"/>
      <c r="I5918" s="50"/>
      <c r="O5918" s="36" t="s">
        <v>48</v>
      </c>
      <c r="R5918" s="36" t="s">
        <v>48</v>
      </c>
    </row>
    <row r="5919">
      <c r="H5919" s="50"/>
      <c r="I5919" s="50"/>
      <c r="O5919" s="36" t="s">
        <v>48</v>
      </c>
      <c r="R5919" s="36" t="s">
        <v>48</v>
      </c>
    </row>
    <row r="5920">
      <c r="H5920" s="50"/>
      <c r="I5920" s="50"/>
      <c r="O5920" s="36" t="s">
        <v>48</v>
      </c>
      <c r="R5920" s="36" t="s">
        <v>48</v>
      </c>
    </row>
    <row r="5921">
      <c r="H5921" s="50"/>
      <c r="I5921" s="50"/>
      <c r="O5921" s="36" t="s">
        <v>48</v>
      </c>
      <c r="R5921" s="36" t="s">
        <v>48</v>
      </c>
    </row>
    <row r="5922">
      <c r="H5922" s="50"/>
      <c r="I5922" s="50"/>
      <c r="O5922" s="36" t="s">
        <v>48</v>
      </c>
      <c r="R5922" s="36" t="s">
        <v>48</v>
      </c>
    </row>
    <row r="5923">
      <c r="H5923" s="50"/>
      <c r="I5923" s="50"/>
      <c r="O5923" s="36" t="s">
        <v>48</v>
      </c>
      <c r="R5923" s="36" t="s">
        <v>48</v>
      </c>
    </row>
    <row r="5924">
      <c r="H5924" s="50"/>
      <c r="I5924" s="50"/>
      <c r="O5924" s="36" t="s">
        <v>48</v>
      </c>
      <c r="R5924" s="36" t="s">
        <v>48</v>
      </c>
    </row>
    <row r="5925">
      <c r="H5925" s="50"/>
      <c r="I5925" s="50"/>
      <c r="O5925" s="36" t="s">
        <v>48</v>
      </c>
      <c r="R5925" s="36" t="s">
        <v>48</v>
      </c>
    </row>
    <row r="5926">
      <c r="H5926" s="50"/>
      <c r="I5926" s="50"/>
      <c r="O5926" s="36" t="s">
        <v>48</v>
      </c>
      <c r="R5926" s="36" t="s">
        <v>48</v>
      </c>
    </row>
    <row r="5927">
      <c r="H5927" s="50"/>
      <c r="I5927" s="50"/>
      <c r="O5927" s="36" t="s">
        <v>48</v>
      </c>
      <c r="R5927" s="36" t="s">
        <v>48</v>
      </c>
    </row>
    <row r="5928">
      <c r="H5928" s="50"/>
      <c r="I5928" s="50"/>
      <c r="O5928" s="36" t="s">
        <v>48</v>
      </c>
      <c r="R5928" s="36" t="s">
        <v>48</v>
      </c>
    </row>
    <row r="5929">
      <c r="H5929" s="50"/>
      <c r="I5929" s="50"/>
      <c r="O5929" s="36" t="s">
        <v>48</v>
      </c>
      <c r="R5929" s="36" t="s">
        <v>48</v>
      </c>
    </row>
    <row r="5930">
      <c r="H5930" s="50"/>
      <c r="I5930" s="50"/>
      <c r="O5930" s="36" t="s">
        <v>48</v>
      </c>
      <c r="R5930" s="36" t="s">
        <v>48</v>
      </c>
    </row>
    <row r="5931">
      <c r="H5931" s="50"/>
      <c r="I5931" s="50"/>
      <c r="O5931" s="36" t="s">
        <v>48</v>
      </c>
      <c r="R5931" s="36" t="s">
        <v>48</v>
      </c>
    </row>
    <row r="5932">
      <c r="H5932" s="50"/>
      <c r="I5932" s="50"/>
      <c r="O5932" s="36" t="s">
        <v>48</v>
      </c>
      <c r="R5932" s="36" t="s">
        <v>48</v>
      </c>
    </row>
    <row r="5933">
      <c r="H5933" s="50"/>
      <c r="I5933" s="50"/>
      <c r="O5933" s="36" t="s">
        <v>48</v>
      </c>
      <c r="R5933" s="36" t="s">
        <v>48</v>
      </c>
    </row>
    <row r="5934">
      <c r="H5934" s="50"/>
      <c r="I5934" s="50"/>
      <c r="O5934" s="36" t="s">
        <v>48</v>
      </c>
      <c r="R5934" s="36" t="s">
        <v>48</v>
      </c>
    </row>
    <row r="5935">
      <c r="H5935" s="50"/>
      <c r="I5935" s="50"/>
      <c r="O5935" s="36" t="s">
        <v>48</v>
      </c>
      <c r="R5935" s="36" t="s">
        <v>48</v>
      </c>
    </row>
    <row r="5936">
      <c r="H5936" s="50"/>
      <c r="I5936" s="50"/>
      <c r="O5936" s="36" t="s">
        <v>48</v>
      </c>
      <c r="R5936" s="36" t="s">
        <v>48</v>
      </c>
    </row>
    <row r="5937">
      <c r="H5937" s="50"/>
      <c r="I5937" s="50"/>
      <c r="O5937" s="36" t="s">
        <v>48</v>
      </c>
      <c r="R5937" s="36" t="s">
        <v>48</v>
      </c>
    </row>
    <row r="5938">
      <c r="H5938" s="50"/>
      <c r="I5938" s="50"/>
      <c r="O5938" s="36" t="s">
        <v>48</v>
      </c>
      <c r="R5938" s="36" t="s">
        <v>48</v>
      </c>
    </row>
    <row r="5939">
      <c r="H5939" s="50"/>
      <c r="I5939" s="50"/>
      <c r="O5939" s="36" t="s">
        <v>48</v>
      </c>
      <c r="R5939" s="36" t="s">
        <v>48</v>
      </c>
    </row>
    <row r="5940">
      <c r="H5940" s="50"/>
      <c r="I5940" s="50"/>
      <c r="O5940" s="36" t="s">
        <v>48</v>
      </c>
      <c r="R5940" s="36" t="s">
        <v>48</v>
      </c>
    </row>
    <row r="5941">
      <c r="H5941" s="50"/>
      <c r="I5941" s="50"/>
      <c r="O5941" s="36" t="s">
        <v>48</v>
      </c>
      <c r="R5941" s="36" t="s">
        <v>48</v>
      </c>
    </row>
    <row r="5942">
      <c r="H5942" s="50"/>
      <c r="I5942" s="50"/>
      <c r="O5942" s="36" t="s">
        <v>48</v>
      </c>
      <c r="R5942" s="36" t="s">
        <v>48</v>
      </c>
    </row>
    <row r="5943">
      <c r="H5943" s="50"/>
      <c r="I5943" s="50"/>
      <c r="O5943" s="36" t="s">
        <v>48</v>
      </c>
      <c r="R5943" s="36" t="s">
        <v>48</v>
      </c>
    </row>
    <row r="5944">
      <c r="H5944" s="50"/>
      <c r="I5944" s="50"/>
      <c r="O5944" s="36" t="s">
        <v>48</v>
      </c>
      <c r="R5944" s="36" t="s">
        <v>48</v>
      </c>
    </row>
    <row r="5945">
      <c r="H5945" s="50"/>
      <c r="I5945" s="50"/>
      <c r="O5945" s="36" t="s">
        <v>48</v>
      </c>
      <c r="R5945" s="36" t="s">
        <v>48</v>
      </c>
    </row>
    <row r="5946">
      <c r="H5946" s="50"/>
      <c r="I5946" s="50"/>
      <c r="O5946" s="36" t="s">
        <v>48</v>
      </c>
      <c r="R5946" s="36" t="s">
        <v>48</v>
      </c>
    </row>
    <row r="5947">
      <c r="H5947" s="50"/>
      <c r="I5947" s="50"/>
      <c r="O5947" s="36" t="s">
        <v>48</v>
      </c>
      <c r="R5947" s="36" t="s">
        <v>48</v>
      </c>
    </row>
    <row r="5948">
      <c r="H5948" s="50"/>
      <c r="I5948" s="50"/>
      <c r="O5948" s="36" t="s">
        <v>48</v>
      </c>
      <c r="R5948" s="36" t="s">
        <v>48</v>
      </c>
    </row>
    <row r="5949">
      <c r="H5949" s="50"/>
      <c r="I5949" s="50"/>
      <c r="O5949" s="36" t="s">
        <v>48</v>
      </c>
      <c r="R5949" s="36" t="s">
        <v>48</v>
      </c>
    </row>
    <row r="5950">
      <c r="H5950" s="50"/>
      <c r="I5950" s="50"/>
      <c r="O5950" s="36" t="s">
        <v>48</v>
      </c>
      <c r="R5950" s="36" t="s">
        <v>48</v>
      </c>
    </row>
    <row r="5951">
      <c r="H5951" s="50"/>
      <c r="I5951" s="50"/>
      <c r="O5951" s="36" t="s">
        <v>48</v>
      </c>
      <c r="R5951" s="36" t="s">
        <v>48</v>
      </c>
    </row>
    <row r="5952">
      <c r="H5952" s="50"/>
      <c r="I5952" s="50"/>
      <c r="O5952" s="36" t="s">
        <v>48</v>
      </c>
      <c r="R5952" s="36" t="s">
        <v>48</v>
      </c>
    </row>
    <row r="5953">
      <c r="H5953" s="50"/>
      <c r="I5953" s="50"/>
      <c r="O5953" s="36" t="s">
        <v>48</v>
      </c>
      <c r="R5953" s="36" t="s">
        <v>48</v>
      </c>
    </row>
    <row r="5954">
      <c r="H5954" s="50"/>
      <c r="I5954" s="50"/>
      <c r="O5954" s="36" t="s">
        <v>48</v>
      </c>
      <c r="R5954" s="36" t="s">
        <v>48</v>
      </c>
    </row>
    <row r="5955">
      <c r="H5955" s="50"/>
      <c r="I5955" s="50"/>
      <c r="O5955" s="36" t="s">
        <v>48</v>
      </c>
      <c r="R5955" s="36" t="s">
        <v>48</v>
      </c>
    </row>
    <row r="5956">
      <c r="H5956" s="50"/>
      <c r="I5956" s="50"/>
      <c r="O5956" s="36" t="s">
        <v>48</v>
      </c>
      <c r="R5956" s="36" t="s">
        <v>48</v>
      </c>
    </row>
    <row r="5957">
      <c r="H5957" s="50"/>
      <c r="I5957" s="50"/>
      <c r="O5957" s="36" t="s">
        <v>48</v>
      </c>
      <c r="R5957" s="36" t="s">
        <v>48</v>
      </c>
    </row>
    <row r="5958">
      <c r="H5958" s="50"/>
      <c r="I5958" s="50"/>
      <c r="O5958" s="36" t="s">
        <v>48</v>
      </c>
      <c r="R5958" s="36" t="s">
        <v>48</v>
      </c>
    </row>
    <row r="5959">
      <c r="H5959" s="50"/>
      <c r="I5959" s="50"/>
      <c r="O5959" s="36" t="s">
        <v>48</v>
      </c>
      <c r="R5959" s="36" t="s">
        <v>48</v>
      </c>
    </row>
    <row r="5960">
      <c r="H5960" s="50"/>
      <c r="I5960" s="50"/>
      <c r="O5960" s="36" t="s">
        <v>48</v>
      </c>
      <c r="R5960" s="36" t="s">
        <v>48</v>
      </c>
    </row>
    <row r="5961">
      <c r="H5961" s="50"/>
      <c r="I5961" s="50"/>
      <c r="O5961" s="36" t="s">
        <v>48</v>
      </c>
      <c r="R5961" s="36" t="s">
        <v>48</v>
      </c>
    </row>
    <row r="5962">
      <c r="H5962" s="50"/>
      <c r="I5962" s="50"/>
      <c r="O5962" s="36" t="s">
        <v>48</v>
      </c>
      <c r="R5962" s="36" t="s">
        <v>48</v>
      </c>
    </row>
    <row r="5963">
      <c r="H5963" s="50"/>
      <c r="I5963" s="50"/>
      <c r="O5963" s="36" t="s">
        <v>48</v>
      </c>
      <c r="R5963" s="36" t="s">
        <v>48</v>
      </c>
    </row>
    <row r="5964">
      <c r="H5964" s="50"/>
      <c r="I5964" s="50"/>
      <c r="O5964" s="36" t="s">
        <v>48</v>
      </c>
      <c r="R5964" s="36" t="s">
        <v>48</v>
      </c>
    </row>
    <row r="5965">
      <c r="H5965" s="50"/>
      <c r="I5965" s="50"/>
      <c r="O5965" s="36" t="s">
        <v>48</v>
      </c>
      <c r="R5965" s="36" t="s">
        <v>48</v>
      </c>
    </row>
    <row r="5966">
      <c r="H5966" s="50"/>
      <c r="I5966" s="50"/>
      <c r="O5966" s="36" t="s">
        <v>48</v>
      </c>
      <c r="R5966" s="36" t="s">
        <v>48</v>
      </c>
    </row>
    <row r="5967">
      <c r="H5967" s="50"/>
      <c r="I5967" s="50"/>
      <c r="O5967" s="36" t="s">
        <v>48</v>
      </c>
      <c r="R5967" s="36" t="s">
        <v>48</v>
      </c>
    </row>
    <row r="5968">
      <c r="H5968" s="50"/>
      <c r="I5968" s="50"/>
      <c r="O5968" s="36" t="s">
        <v>48</v>
      </c>
      <c r="R5968" s="36" t="s">
        <v>48</v>
      </c>
    </row>
    <row r="5969">
      <c r="H5969" s="50"/>
      <c r="I5969" s="50"/>
      <c r="O5969" s="36" t="s">
        <v>48</v>
      </c>
      <c r="R5969" s="36" t="s">
        <v>48</v>
      </c>
    </row>
    <row r="5970">
      <c r="H5970" s="50"/>
      <c r="I5970" s="50"/>
      <c r="O5970" s="36" t="s">
        <v>48</v>
      </c>
      <c r="R5970" s="36" t="s">
        <v>48</v>
      </c>
    </row>
    <row r="5971">
      <c r="H5971" s="50"/>
      <c r="I5971" s="50"/>
      <c r="O5971" s="36" t="s">
        <v>48</v>
      </c>
      <c r="R5971" s="36" t="s">
        <v>48</v>
      </c>
    </row>
    <row r="5972">
      <c r="H5972" s="50"/>
      <c r="I5972" s="50"/>
      <c r="O5972" s="36" t="s">
        <v>48</v>
      </c>
      <c r="R5972" s="36" t="s">
        <v>48</v>
      </c>
    </row>
    <row r="5973">
      <c r="H5973" s="50"/>
      <c r="I5973" s="50"/>
      <c r="O5973" s="36" t="s">
        <v>48</v>
      </c>
      <c r="R5973" s="36" t="s">
        <v>48</v>
      </c>
    </row>
    <row r="5974">
      <c r="H5974" s="50"/>
      <c r="I5974" s="50"/>
      <c r="O5974" s="36" t="s">
        <v>48</v>
      </c>
      <c r="R5974" s="36" t="s">
        <v>48</v>
      </c>
    </row>
    <row r="5975">
      <c r="H5975" s="50"/>
      <c r="I5975" s="50"/>
      <c r="O5975" s="36" t="s">
        <v>48</v>
      </c>
      <c r="R5975" s="36" t="s">
        <v>48</v>
      </c>
    </row>
    <row r="5976">
      <c r="H5976" s="50"/>
      <c r="I5976" s="50"/>
      <c r="O5976" s="36" t="s">
        <v>48</v>
      </c>
      <c r="R5976" s="36" t="s">
        <v>48</v>
      </c>
    </row>
    <row r="5977">
      <c r="H5977" s="50"/>
      <c r="I5977" s="50"/>
      <c r="O5977" s="36" t="s">
        <v>48</v>
      </c>
      <c r="R5977" s="36" t="s">
        <v>48</v>
      </c>
    </row>
    <row r="5978">
      <c r="H5978" s="50"/>
      <c r="I5978" s="50"/>
      <c r="O5978" s="36" t="s">
        <v>48</v>
      </c>
      <c r="R5978" s="36" t="s">
        <v>48</v>
      </c>
    </row>
    <row r="5979">
      <c r="H5979" s="50"/>
      <c r="I5979" s="50"/>
      <c r="O5979" s="36" t="s">
        <v>48</v>
      </c>
      <c r="R5979" s="36" t="s">
        <v>48</v>
      </c>
    </row>
    <row r="5980">
      <c r="H5980" s="50"/>
      <c r="I5980" s="50"/>
      <c r="O5980" s="36" t="s">
        <v>48</v>
      </c>
      <c r="R5980" s="36" t="s">
        <v>48</v>
      </c>
    </row>
    <row r="5981">
      <c r="H5981" s="50"/>
      <c r="I5981" s="50"/>
      <c r="O5981" s="36" t="s">
        <v>48</v>
      </c>
      <c r="R5981" s="36" t="s">
        <v>48</v>
      </c>
    </row>
    <row r="5982">
      <c r="H5982" s="50"/>
      <c r="I5982" s="50"/>
      <c r="O5982" s="36" t="s">
        <v>48</v>
      </c>
      <c r="R5982" s="36" t="s">
        <v>48</v>
      </c>
    </row>
    <row r="5983">
      <c r="H5983" s="50"/>
      <c r="I5983" s="50"/>
      <c r="O5983" s="36" t="s">
        <v>48</v>
      </c>
      <c r="R5983" s="36" t="s">
        <v>48</v>
      </c>
    </row>
    <row r="5984">
      <c r="H5984" s="50"/>
      <c r="I5984" s="50"/>
      <c r="O5984" s="36" t="s">
        <v>48</v>
      </c>
      <c r="R5984" s="36" t="s">
        <v>48</v>
      </c>
    </row>
    <row r="5985">
      <c r="H5985" s="50"/>
      <c r="I5985" s="50"/>
      <c r="O5985" s="36" t="s">
        <v>48</v>
      </c>
      <c r="R5985" s="36" t="s">
        <v>48</v>
      </c>
    </row>
    <row r="5986">
      <c r="H5986" s="50"/>
      <c r="I5986" s="50"/>
      <c r="O5986" s="36" t="s">
        <v>48</v>
      </c>
      <c r="R5986" s="36" t="s">
        <v>48</v>
      </c>
    </row>
    <row r="5987">
      <c r="H5987" s="50"/>
      <c r="I5987" s="50"/>
      <c r="O5987" s="36" t="s">
        <v>48</v>
      </c>
      <c r="R5987" s="36" t="s">
        <v>48</v>
      </c>
    </row>
    <row r="5988">
      <c r="H5988" s="50"/>
      <c r="I5988" s="50"/>
      <c r="O5988" s="36" t="s">
        <v>48</v>
      </c>
      <c r="R5988" s="36" t="s">
        <v>48</v>
      </c>
    </row>
    <row r="5989">
      <c r="H5989" s="50"/>
      <c r="I5989" s="50"/>
      <c r="O5989" s="36" t="s">
        <v>48</v>
      </c>
      <c r="R5989" s="36" t="s">
        <v>48</v>
      </c>
    </row>
    <row r="5990">
      <c r="H5990" s="50"/>
      <c r="I5990" s="50"/>
      <c r="O5990" s="36" t="s">
        <v>48</v>
      </c>
      <c r="R5990" s="36" t="s">
        <v>48</v>
      </c>
    </row>
    <row r="5991">
      <c r="H5991" s="50"/>
      <c r="I5991" s="50"/>
      <c r="O5991" s="36" t="s">
        <v>48</v>
      </c>
      <c r="R5991" s="36" t="s">
        <v>48</v>
      </c>
    </row>
    <row r="5992">
      <c r="H5992" s="50"/>
      <c r="I5992" s="50"/>
      <c r="O5992" s="36" t="s">
        <v>48</v>
      </c>
      <c r="R5992" s="36" t="s">
        <v>48</v>
      </c>
    </row>
    <row r="5993">
      <c r="H5993" s="50"/>
      <c r="I5993" s="50"/>
      <c r="O5993" s="36" t="s">
        <v>48</v>
      </c>
      <c r="R5993" s="36" t="s">
        <v>48</v>
      </c>
    </row>
    <row r="5994">
      <c r="H5994" s="50"/>
      <c r="I5994" s="50"/>
      <c r="O5994" s="36" t="s">
        <v>48</v>
      </c>
      <c r="R5994" s="36" t="s">
        <v>48</v>
      </c>
    </row>
    <row r="5995">
      <c r="H5995" s="50"/>
      <c r="I5995" s="50"/>
      <c r="O5995" s="36" t="s">
        <v>48</v>
      </c>
      <c r="R5995" s="36" t="s">
        <v>48</v>
      </c>
    </row>
    <row r="5996">
      <c r="H5996" s="50"/>
      <c r="I5996" s="50"/>
      <c r="O5996" s="36" t="s">
        <v>48</v>
      </c>
      <c r="R5996" s="36" t="s">
        <v>48</v>
      </c>
    </row>
    <row r="5997">
      <c r="H5997" s="50"/>
      <c r="I5997" s="50"/>
      <c r="O5997" s="36" t="s">
        <v>48</v>
      </c>
      <c r="R5997" s="36" t="s">
        <v>48</v>
      </c>
    </row>
    <row r="5998">
      <c r="H5998" s="50"/>
      <c r="I5998" s="50"/>
      <c r="O5998" s="36" t="s">
        <v>48</v>
      </c>
      <c r="R5998" s="36" t="s">
        <v>48</v>
      </c>
    </row>
    <row r="5999">
      <c r="H5999" s="50"/>
      <c r="I5999" s="50"/>
      <c r="O5999" s="36" t="s">
        <v>48</v>
      </c>
      <c r="R5999" s="36" t="s">
        <v>48</v>
      </c>
    </row>
    <row r="6000">
      <c r="H6000" s="50"/>
      <c r="I6000" s="50"/>
      <c r="O6000" s="36" t="s">
        <v>48</v>
      </c>
      <c r="R6000" s="36" t="s">
        <v>48</v>
      </c>
    </row>
    <row r="6001">
      <c r="H6001" s="50"/>
      <c r="I6001" s="50"/>
      <c r="O6001" s="36" t="s">
        <v>48</v>
      </c>
      <c r="R6001" s="36" t="s">
        <v>48</v>
      </c>
    </row>
    <row r="6002">
      <c r="H6002" s="50"/>
      <c r="I6002" s="50"/>
      <c r="O6002" s="36" t="s">
        <v>48</v>
      </c>
      <c r="R6002" s="36" t="s">
        <v>48</v>
      </c>
    </row>
    <row r="6003">
      <c r="H6003" s="50"/>
      <c r="I6003" s="50"/>
      <c r="O6003" s="36" t="s">
        <v>48</v>
      </c>
      <c r="R6003" s="36" t="s">
        <v>48</v>
      </c>
    </row>
    <row r="6004">
      <c r="H6004" s="50"/>
      <c r="I6004" s="50"/>
      <c r="O6004" s="36" t="s">
        <v>48</v>
      </c>
      <c r="R6004" s="36" t="s">
        <v>48</v>
      </c>
    </row>
    <row r="6005">
      <c r="H6005" s="50"/>
      <c r="I6005" s="50"/>
      <c r="O6005" s="36" t="s">
        <v>48</v>
      </c>
      <c r="R6005" s="36" t="s">
        <v>48</v>
      </c>
    </row>
    <row r="6006">
      <c r="H6006" s="50"/>
      <c r="I6006" s="50"/>
      <c r="O6006" s="36" t="s">
        <v>48</v>
      </c>
      <c r="R6006" s="36" t="s">
        <v>48</v>
      </c>
    </row>
    <row r="6007">
      <c r="H6007" s="50"/>
      <c r="I6007" s="50"/>
      <c r="O6007" s="36" t="s">
        <v>48</v>
      </c>
      <c r="R6007" s="36" t="s">
        <v>48</v>
      </c>
    </row>
    <row r="6008">
      <c r="H6008" s="50"/>
      <c r="I6008" s="50"/>
      <c r="O6008" s="36" t="s">
        <v>48</v>
      </c>
      <c r="R6008" s="36" t="s">
        <v>48</v>
      </c>
    </row>
    <row r="6009">
      <c r="H6009" s="50"/>
      <c r="I6009" s="50"/>
      <c r="O6009" s="36" t="s">
        <v>48</v>
      </c>
      <c r="R6009" s="36" t="s">
        <v>48</v>
      </c>
    </row>
    <row r="6010">
      <c r="H6010" s="50"/>
      <c r="I6010" s="50"/>
      <c r="O6010" s="36" t="s">
        <v>48</v>
      </c>
      <c r="R6010" s="36" t="s">
        <v>48</v>
      </c>
    </row>
    <row r="6011">
      <c r="H6011" s="50"/>
      <c r="I6011" s="50"/>
      <c r="O6011" s="36" t="s">
        <v>48</v>
      </c>
      <c r="R6011" s="36" t="s">
        <v>48</v>
      </c>
    </row>
    <row r="6012">
      <c r="H6012" s="50"/>
      <c r="I6012" s="50"/>
      <c r="O6012" s="36" t="s">
        <v>48</v>
      </c>
      <c r="R6012" s="36" t="s">
        <v>48</v>
      </c>
    </row>
    <row r="6013">
      <c r="H6013" s="50"/>
      <c r="I6013" s="50"/>
      <c r="O6013" s="36" t="s">
        <v>48</v>
      </c>
      <c r="R6013" s="36" t="s">
        <v>48</v>
      </c>
    </row>
    <row r="6014">
      <c r="H6014" s="50"/>
      <c r="I6014" s="50"/>
      <c r="O6014" s="36" t="s">
        <v>48</v>
      </c>
      <c r="R6014" s="36" t="s">
        <v>48</v>
      </c>
    </row>
    <row r="6015">
      <c r="H6015" s="50"/>
      <c r="I6015" s="50"/>
      <c r="O6015" s="36" t="s">
        <v>48</v>
      </c>
      <c r="R6015" s="36" t="s">
        <v>48</v>
      </c>
    </row>
    <row r="6016">
      <c r="H6016" s="50"/>
      <c r="I6016" s="50"/>
      <c r="O6016" s="36" t="s">
        <v>48</v>
      </c>
      <c r="R6016" s="36" t="s">
        <v>48</v>
      </c>
    </row>
    <row r="6017">
      <c r="H6017" s="50"/>
      <c r="I6017" s="50"/>
      <c r="O6017" s="36" t="s">
        <v>48</v>
      </c>
      <c r="R6017" s="36" t="s">
        <v>48</v>
      </c>
    </row>
    <row r="6018">
      <c r="H6018" s="50"/>
      <c r="I6018" s="50"/>
      <c r="O6018" s="36" t="s">
        <v>48</v>
      </c>
      <c r="R6018" s="36" t="s">
        <v>48</v>
      </c>
    </row>
    <row r="6019">
      <c r="H6019" s="50"/>
      <c r="I6019" s="50"/>
      <c r="O6019" s="36" t="s">
        <v>48</v>
      </c>
      <c r="R6019" s="36" t="s">
        <v>48</v>
      </c>
    </row>
    <row r="6020">
      <c r="H6020" s="50"/>
      <c r="I6020" s="50"/>
      <c r="O6020" s="36" t="s">
        <v>48</v>
      </c>
      <c r="R6020" s="36" t="s">
        <v>48</v>
      </c>
    </row>
    <row r="6021">
      <c r="H6021" s="50"/>
      <c r="I6021" s="50"/>
      <c r="O6021" s="36" t="s">
        <v>48</v>
      </c>
      <c r="R6021" s="36" t="s">
        <v>48</v>
      </c>
    </row>
    <row r="6022">
      <c r="H6022" s="50"/>
      <c r="I6022" s="50"/>
      <c r="O6022" s="36" t="s">
        <v>48</v>
      </c>
      <c r="R6022" s="36" t="s">
        <v>48</v>
      </c>
    </row>
    <row r="6023">
      <c r="H6023" s="50"/>
      <c r="I6023" s="50"/>
      <c r="O6023" s="36" t="s">
        <v>48</v>
      </c>
      <c r="R6023" s="36" t="s">
        <v>48</v>
      </c>
    </row>
    <row r="6024">
      <c r="H6024" s="50"/>
      <c r="I6024" s="50"/>
      <c r="O6024" s="36" t="s">
        <v>48</v>
      </c>
      <c r="R6024" s="36" t="s">
        <v>48</v>
      </c>
    </row>
    <row r="6025">
      <c r="H6025" s="50"/>
      <c r="I6025" s="50"/>
      <c r="O6025" s="36" t="s">
        <v>48</v>
      </c>
      <c r="R6025" s="36" t="s">
        <v>48</v>
      </c>
    </row>
    <row r="6026">
      <c r="H6026" s="50"/>
      <c r="I6026" s="50"/>
      <c r="O6026" s="36" t="s">
        <v>48</v>
      </c>
      <c r="R6026" s="36" t="s">
        <v>48</v>
      </c>
    </row>
    <row r="6027">
      <c r="H6027" s="50"/>
      <c r="I6027" s="50"/>
      <c r="O6027" s="36" t="s">
        <v>48</v>
      </c>
      <c r="R6027" s="36" t="s">
        <v>48</v>
      </c>
    </row>
    <row r="6028">
      <c r="H6028" s="50"/>
      <c r="I6028" s="50"/>
      <c r="O6028" s="36" t="s">
        <v>48</v>
      </c>
      <c r="R6028" s="36" t="s">
        <v>48</v>
      </c>
    </row>
    <row r="6029">
      <c r="H6029" s="50"/>
      <c r="I6029" s="50"/>
      <c r="O6029" s="36" t="s">
        <v>48</v>
      </c>
      <c r="R6029" s="36" t="s">
        <v>48</v>
      </c>
    </row>
    <row r="6030">
      <c r="H6030" s="50"/>
      <c r="I6030" s="50"/>
      <c r="O6030" s="36" t="s">
        <v>48</v>
      </c>
      <c r="R6030" s="36" t="s">
        <v>48</v>
      </c>
    </row>
    <row r="6031">
      <c r="H6031" s="50"/>
      <c r="I6031" s="50"/>
      <c r="O6031" s="36" t="s">
        <v>48</v>
      </c>
      <c r="R6031" s="36" t="s">
        <v>48</v>
      </c>
    </row>
    <row r="6032">
      <c r="H6032" s="50"/>
      <c r="I6032" s="50"/>
      <c r="O6032" s="36" t="s">
        <v>48</v>
      </c>
      <c r="R6032" s="36" t="s">
        <v>48</v>
      </c>
    </row>
    <row r="6033">
      <c r="H6033" s="50"/>
      <c r="I6033" s="50"/>
      <c r="O6033" s="36" t="s">
        <v>48</v>
      </c>
      <c r="R6033" s="36" t="s">
        <v>48</v>
      </c>
    </row>
    <row r="6034">
      <c r="H6034" s="50"/>
      <c r="I6034" s="50"/>
      <c r="O6034" s="36" t="s">
        <v>48</v>
      </c>
      <c r="R6034" s="36" t="s">
        <v>48</v>
      </c>
    </row>
    <row r="6035">
      <c r="H6035" s="50"/>
      <c r="I6035" s="50"/>
      <c r="O6035" s="36" t="s">
        <v>48</v>
      </c>
      <c r="R6035" s="36" t="s">
        <v>48</v>
      </c>
    </row>
    <row r="6036">
      <c r="H6036" s="50"/>
      <c r="I6036" s="50"/>
      <c r="O6036" s="36" t="s">
        <v>48</v>
      </c>
      <c r="R6036" s="36" t="s">
        <v>48</v>
      </c>
    </row>
    <row r="6037">
      <c r="H6037" s="50"/>
      <c r="I6037" s="50"/>
      <c r="O6037" s="36" t="s">
        <v>48</v>
      </c>
      <c r="R6037" s="36" t="s">
        <v>48</v>
      </c>
    </row>
    <row r="6038">
      <c r="H6038" s="50"/>
      <c r="I6038" s="50"/>
      <c r="O6038" s="36" t="s">
        <v>48</v>
      </c>
      <c r="R6038" s="36" t="s">
        <v>48</v>
      </c>
    </row>
    <row r="6039">
      <c r="H6039" s="50"/>
      <c r="I6039" s="50"/>
      <c r="O6039" s="36" t="s">
        <v>48</v>
      </c>
      <c r="R6039" s="36" t="s">
        <v>48</v>
      </c>
    </row>
    <row r="6040">
      <c r="H6040" s="50"/>
      <c r="I6040" s="50"/>
      <c r="O6040" s="36" t="s">
        <v>48</v>
      </c>
      <c r="R6040" s="36" t="s">
        <v>48</v>
      </c>
    </row>
    <row r="6041">
      <c r="H6041" s="50"/>
      <c r="I6041" s="50"/>
      <c r="O6041" s="36" t="s">
        <v>48</v>
      </c>
      <c r="R6041" s="36" t="s">
        <v>48</v>
      </c>
    </row>
    <row r="6042">
      <c r="H6042" s="50"/>
      <c r="I6042" s="50"/>
      <c r="O6042" s="36" t="s">
        <v>48</v>
      </c>
      <c r="R6042" s="36" t="s">
        <v>48</v>
      </c>
    </row>
    <row r="6043">
      <c r="H6043" s="50"/>
      <c r="I6043" s="50"/>
      <c r="O6043" s="36" t="s">
        <v>48</v>
      </c>
      <c r="R6043" s="36" t="s">
        <v>48</v>
      </c>
    </row>
    <row r="6044">
      <c r="H6044" s="50"/>
      <c r="I6044" s="50"/>
      <c r="O6044" s="36" t="s">
        <v>48</v>
      </c>
      <c r="R6044" s="36" t="s">
        <v>48</v>
      </c>
    </row>
    <row r="6045">
      <c r="H6045" s="50"/>
      <c r="I6045" s="50"/>
      <c r="O6045" s="36" t="s">
        <v>48</v>
      </c>
      <c r="R6045" s="36" t="s">
        <v>48</v>
      </c>
    </row>
    <row r="6046">
      <c r="H6046" s="50"/>
      <c r="I6046" s="50"/>
      <c r="O6046" s="36" t="s">
        <v>48</v>
      </c>
      <c r="R6046" s="36" t="s">
        <v>48</v>
      </c>
    </row>
    <row r="6047">
      <c r="H6047" s="50"/>
      <c r="I6047" s="50"/>
      <c r="O6047" s="36" t="s">
        <v>48</v>
      </c>
      <c r="R6047" s="36" t="s">
        <v>48</v>
      </c>
    </row>
    <row r="6048">
      <c r="H6048" s="50"/>
      <c r="I6048" s="50"/>
      <c r="O6048" s="36" t="s">
        <v>48</v>
      </c>
      <c r="R6048" s="36" t="s">
        <v>48</v>
      </c>
    </row>
    <row r="6049">
      <c r="H6049" s="50"/>
      <c r="I6049" s="50"/>
      <c r="O6049" s="36" t="s">
        <v>48</v>
      </c>
      <c r="R6049" s="36" t="s">
        <v>48</v>
      </c>
    </row>
    <row r="6050">
      <c r="H6050" s="50"/>
      <c r="I6050" s="50"/>
      <c r="O6050" s="36" t="s">
        <v>48</v>
      </c>
      <c r="R6050" s="36" t="s">
        <v>48</v>
      </c>
    </row>
    <row r="6051">
      <c r="H6051" s="50"/>
      <c r="I6051" s="50"/>
      <c r="O6051" s="36" t="s">
        <v>48</v>
      </c>
      <c r="R6051" s="36" t="s">
        <v>48</v>
      </c>
    </row>
    <row r="6052">
      <c r="H6052" s="50"/>
      <c r="I6052" s="50"/>
      <c r="O6052" s="36" t="s">
        <v>48</v>
      </c>
      <c r="R6052" s="36" t="s">
        <v>48</v>
      </c>
    </row>
    <row r="6053">
      <c r="H6053" s="50"/>
      <c r="I6053" s="50"/>
      <c r="O6053" s="36" t="s">
        <v>48</v>
      </c>
      <c r="R6053" s="36" t="s">
        <v>48</v>
      </c>
    </row>
    <row r="6054">
      <c r="H6054" s="50"/>
      <c r="I6054" s="50"/>
      <c r="O6054" s="36" t="s">
        <v>48</v>
      </c>
      <c r="R6054" s="36" t="s">
        <v>48</v>
      </c>
    </row>
    <row r="6055">
      <c r="H6055" s="50"/>
      <c r="I6055" s="50"/>
      <c r="O6055" s="36" t="s">
        <v>48</v>
      </c>
      <c r="R6055" s="36" t="s">
        <v>48</v>
      </c>
    </row>
    <row r="6056">
      <c r="H6056" s="50"/>
      <c r="I6056" s="50"/>
      <c r="O6056" s="36" t="s">
        <v>48</v>
      </c>
      <c r="R6056" s="36" t="s">
        <v>48</v>
      </c>
    </row>
    <row r="6057">
      <c r="H6057" s="50"/>
      <c r="I6057" s="50"/>
      <c r="O6057" s="36" t="s">
        <v>48</v>
      </c>
      <c r="R6057" s="36" t="s">
        <v>48</v>
      </c>
    </row>
    <row r="6058">
      <c r="H6058" s="50"/>
      <c r="I6058" s="50"/>
      <c r="O6058" s="36" t="s">
        <v>48</v>
      </c>
      <c r="R6058" s="36" t="s">
        <v>48</v>
      </c>
    </row>
    <row r="6059">
      <c r="H6059" s="50"/>
      <c r="I6059" s="50"/>
      <c r="O6059" s="36" t="s">
        <v>48</v>
      </c>
      <c r="R6059" s="36" t="s">
        <v>48</v>
      </c>
    </row>
    <row r="6060">
      <c r="H6060" s="50"/>
      <c r="I6060" s="50"/>
      <c r="O6060" s="36" t="s">
        <v>48</v>
      </c>
      <c r="R6060" s="36" t="s">
        <v>48</v>
      </c>
    </row>
    <row r="6061">
      <c r="H6061" s="50"/>
      <c r="I6061" s="50"/>
      <c r="O6061" s="36" t="s">
        <v>48</v>
      </c>
      <c r="R6061" s="36" t="s">
        <v>48</v>
      </c>
    </row>
    <row r="6062">
      <c r="H6062" s="50"/>
      <c r="I6062" s="50"/>
      <c r="O6062" s="36" t="s">
        <v>48</v>
      </c>
      <c r="R6062" s="36" t="s">
        <v>48</v>
      </c>
    </row>
    <row r="6063">
      <c r="H6063" s="50"/>
      <c r="I6063" s="50"/>
      <c r="O6063" s="36" t="s">
        <v>48</v>
      </c>
      <c r="R6063" s="36" t="s">
        <v>48</v>
      </c>
    </row>
    <row r="6064">
      <c r="H6064" s="50"/>
      <c r="I6064" s="50"/>
      <c r="O6064" s="36" t="s">
        <v>48</v>
      </c>
      <c r="R6064" s="36" t="s">
        <v>48</v>
      </c>
    </row>
    <row r="6065">
      <c r="H6065" s="50"/>
      <c r="I6065" s="50"/>
      <c r="O6065" s="36" t="s">
        <v>48</v>
      </c>
      <c r="R6065" s="36" t="s">
        <v>48</v>
      </c>
    </row>
    <row r="6066">
      <c r="H6066" s="50"/>
      <c r="I6066" s="50"/>
      <c r="O6066" s="36" t="s">
        <v>48</v>
      </c>
      <c r="R6066" s="36" t="s">
        <v>48</v>
      </c>
    </row>
    <row r="6067">
      <c r="H6067" s="50"/>
      <c r="I6067" s="50"/>
      <c r="O6067" s="36" t="s">
        <v>48</v>
      </c>
      <c r="R6067" s="36" t="s">
        <v>48</v>
      </c>
    </row>
    <row r="6068">
      <c r="H6068" s="50"/>
      <c r="I6068" s="50"/>
      <c r="O6068" s="36" t="s">
        <v>48</v>
      </c>
      <c r="R6068" s="36" t="s">
        <v>48</v>
      </c>
    </row>
    <row r="6069">
      <c r="H6069" s="50"/>
      <c r="I6069" s="50"/>
      <c r="O6069" s="36" t="s">
        <v>48</v>
      </c>
      <c r="R6069" s="36" t="s">
        <v>48</v>
      </c>
    </row>
    <row r="6070">
      <c r="H6070" s="50"/>
      <c r="I6070" s="50"/>
      <c r="O6070" s="36" t="s">
        <v>48</v>
      </c>
      <c r="R6070" s="36" t="s">
        <v>48</v>
      </c>
    </row>
    <row r="6071">
      <c r="H6071" s="50"/>
      <c r="I6071" s="50"/>
      <c r="O6071" s="36" t="s">
        <v>48</v>
      </c>
      <c r="R6071" s="36" t="s">
        <v>48</v>
      </c>
    </row>
    <row r="6072">
      <c r="H6072" s="50"/>
      <c r="I6072" s="50"/>
      <c r="O6072" s="36" t="s">
        <v>48</v>
      </c>
      <c r="R6072" s="36" t="s">
        <v>48</v>
      </c>
    </row>
    <row r="6073">
      <c r="H6073" s="50"/>
      <c r="I6073" s="50"/>
      <c r="O6073" s="36" t="s">
        <v>48</v>
      </c>
      <c r="R6073" s="36" t="s">
        <v>48</v>
      </c>
    </row>
    <row r="6074">
      <c r="H6074" s="50"/>
      <c r="I6074" s="50"/>
      <c r="O6074" s="36" t="s">
        <v>48</v>
      </c>
      <c r="R6074" s="36" t="s">
        <v>48</v>
      </c>
    </row>
    <row r="6075">
      <c r="H6075" s="50"/>
      <c r="I6075" s="50"/>
      <c r="O6075" s="36" t="s">
        <v>48</v>
      </c>
      <c r="R6075" s="36" t="s">
        <v>48</v>
      </c>
    </row>
    <row r="6076">
      <c r="H6076" s="50"/>
      <c r="I6076" s="50"/>
      <c r="O6076" s="36" t="s">
        <v>48</v>
      </c>
      <c r="R6076" s="36" t="s">
        <v>48</v>
      </c>
    </row>
    <row r="6077">
      <c r="H6077" s="50"/>
      <c r="I6077" s="50"/>
      <c r="O6077" s="36" t="s">
        <v>48</v>
      </c>
      <c r="R6077" s="36" t="s">
        <v>48</v>
      </c>
    </row>
    <row r="6078">
      <c r="H6078" s="50"/>
      <c r="I6078" s="50"/>
      <c r="O6078" s="36" t="s">
        <v>48</v>
      </c>
      <c r="R6078" s="36" t="s">
        <v>48</v>
      </c>
    </row>
    <row r="6079">
      <c r="H6079" s="50"/>
      <c r="I6079" s="50"/>
      <c r="O6079" s="36" t="s">
        <v>48</v>
      </c>
      <c r="R6079" s="36" t="s">
        <v>48</v>
      </c>
    </row>
    <row r="6080">
      <c r="H6080" s="50"/>
      <c r="I6080" s="50"/>
      <c r="O6080" s="36" t="s">
        <v>48</v>
      </c>
      <c r="R6080" s="36" t="s">
        <v>48</v>
      </c>
    </row>
    <row r="6081">
      <c r="H6081" s="50"/>
      <c r="I6081" s="50"/>
      <c r="O6081" s="36" t="s">
        <v>48</v>
      </c>
      <c r="R6081" s="36" t="s">
        <v>48</v>
      </c>
    </row>
    <row r="6082">
      <c r="H6082" s="50"/>
      <c r="I6082" s="50"/>
      <c r="O6082" s="36" t="s">
        <v>48</v>
      </c>
      <c r="R6082" s="36" t="s">
        <v>48</v>
      </c>
    </row>
    <row r="6083">
      <c r="H6083" s="50"/>
      <c r="I6083" s="50"/>
      <c r="O6083" s="36" t="s">
        <v>48</v>
      </c>
      <c r="R6083" s="36" t="s">
        <v>48</v>
      </c>
    </row>
    <row r="6084">
      <c r="H6084" s="50"/>
      <c r="I6084" s="50"/>
      <c r="O6084" s="36" t="s">
        <v>48</v>
      </c>
      <c r="R6084" s="36" t="s">
        <v>48</v>
      </c>
    </row>
    <row r="6085">
      <c r="H6085" s="50"/>
      <c r="I6085" s="50"/>
      <c r="O6085" s="36" t="s">
        <v>48</v>
      </c>
      <c r="R6085" s="36" t="s">
        <v>48</v>
      </c>
    </row>
    <row r="6086">
      <c r="H6086" s="50"/>
      <c r="I6086" s="50"/>
      <c r="O6086" s="36" t="s">
        <v>48</v>
      </c>
      <c r="R6086" s="36" t="s">
        <v>48</v>
      </c>
    </row>
    <row r="6087">
      <c r="H6087" s="50"/>
      <c r="I6087" s="50"/>
      <c r="O6087" s="36" t="s">
        <v>48</v>
      </c>
      <c r="R6087" s="36" t="s">
        <v>48</v>
      </c>
    </row>
    <row r="6088">
      <c r="H6088" s="50"/>
      <c r="I6088" s="50"/>
      <c r="O6088" s="36" t="s">
        <v>48</v>
      </c>
      <c r="R6088" s="36" t="s">
        <v>48</v>
      </c>
    </row>
    <row r="6089">
      <c r="H6089" s="50"/>
      <c r="I6089" s="50"/>
      <c r="O6089" s="36" t="s">
        <v>48</v>
      </c>
      <c r="R6089" s="36" t="s">
        <v>48</v>
      </c>
    </row>
    <row r="6090">
      <c r="H6090" s="50"/>
      <c r="I6090" s="50"/>
      <c r="O6090" s="36" t="s">
        <v>48</v>
      </c>
      <c r="R6090" s="36" t="s">
        <v>48</v>
      </c>
    </row>
    <row r="6091">
      <c r="H6091" s="50"/>
      <c r="I6091" s="50"/>
      <c r="O6091" s="36" t="s">
        <v>48</v>
      </c>
      <c r="R6091" s="36" t="s">
        <v>48</v>
      </c>
    </row>
    <row r="6092">
      <c r="H6092" s="50"/>
      <c r="I6092" s="50"/>
      <c r="O6092" s="36" t="s">
        <v>48</v>
      </c>
      <c r="R6092" s="36" t="s">
        <v>48</v>
      </c>
    </row>
    <row r="6093">
      <c r="H6093" s="50"/>
      <c r="I6093" s="50"/>
      <c r="O6093" s="36" t="s">
        <v>48</v>
      </c>
      <c r="R6093" s="36" t="s">
        <v>48</v>
      </c>
    </row>
    <row r="6094">
      <c r="H6094" s="50"/>
      <c r="I6094" s="50"/>
      <c r="O6094" s="36" t="s">
        <v>48</v>
      </c>
      <c r="R6094" s="36" t="s">
        <v>48</v>
      </c>
    </row>
    <row r="6095">
      <c r="H6095" s="50"/>
      <c r="I6095" s="50"/>
      <c r="O6095" s="36" t="s">
        <v>48</v>
      </c>
      <c r="R6095" s="36" t="s">
        <v>48</v>
      </c>
    </row>
    <row r="6096">
      <c r="H6096" s="50"/>
      <c r="I6096" s="50"/>
      <c r="O6096" s="36" t="s">
        <v>48</v>
      </c>
      <c r="R6096" s="36" t="s">
        <v>48</v>
      </c>
    </row>
    <row r="6097">
      <c r="H6097" s="50"/>
      <c r="I6097" s="50"/>
      <c r="O6097" s="36" t="s">
        <v>48</v>
      </c>
      <c r="R6097" s="36" t="s">
        <v>48</v>
      </c>
    </row>
    <row r="6098">
      <c r="H6098" s="50"/>
      <c r="I6098" s="50"/>
      <c r="O6098" s="36" t="s">
        <v>48</v>
      </c>
      <c r="R6098" s="36" t="s">
        <v>48</v>
      </c>
    </row>
    <row r="6099">
      <c r="H6099" s="50"/>
      <c r="I6099" s="50"/>
      <c r="O6099" s="36" t="s">
        <v>48</v>
      </c>
      <c r="R6099" s="36" t="s">
        <v>48</v>
      </c>
    </row>
    <row r="6100">
      <c r="H6100" s="50"/>
      <c r="I6100" s="50"/>
      <c r="O6100" s="36" t="s">
        <v>48</v>
      </c>
      <c r="R6100" s="36" t="s">
        <v>48</v>
      </c>
    </row>
    <row r="6101">
      <c r="H6101" s="50"/>
      <c r="I6101" s="50"/>
      <c r="O6101" s="36" t="s">
        <v>48</v>
      </c>
      <c r="R6101" s="36" t="s">
        <v>48</v>
      </c>
    </row>
    <row r="6102">
      <c r="H6102" s="50"/>
      <c r="I6102" s="50"/>
      <c r="O6102" s="36" t="s">
        <v>48</v>
      </c>
      <c r="R6102" s="36" t="s">
        <v>48</v>
      </c>
    </row>
    <row r="6103">
      <c r="H6103" s="50"/>
      <c r="I6103" s="50"/>
      <c r="O6103" s="36" t="s">
        <v>48</v>
      </c>
      <c r="R6103" s="36" t="s">
        <v>48</v>
      </c>
    </row>
    <row r="6104">
      <c r="H6104" s="50"/>
      <c r="I6104" s="50"/>
      <c r="O6104" s="36" t="s">
        <v>48</v>
      </c>
      <c r="R6104" s="36" t="s">
        <v>48</v>
      </c>
    </row>
    <row r="6105">
      <c r="H6105" s="50"/>
      <c r="I6105" s="50"/>
      <c r="O6105" s="36" t="s">
        <v>48</v>
      </c>
      <c r="R6105" s="36" t="s">
        <v>48</v>
      </c>
    </row>
    <row r="6106">
      <c r="H6106" s="50"/>
      <c r="I6106" s="50"/>
      <c r="O6106" s="36" t="s">
        <v>48</v>
      </c>
      <c r="R6106" s="36" t="s">
        <v>48</v>
      </c>
    </row>
    <row r="6107">
      <c r="H6107" s="50"/>
      <c r="I6107" s="50"/>
      <c r="O6107" s="36" t="s">
        <v>48</v>
      </c>
      <c r="R6107" s="36" t="s">
        <v>48</v>
      </c>
    </row>
    <row r="6108">
      <c r="H6108" s="50"/>
      <c r="I6108" s="50"/>
      <c r="O6108" s="36" t="s">
        <v>48</v>
      </c>
      <c r="R6108" s="36" t="s">
        <v>48</v>
      </c>
    </row>
    <row r="6109">
      <c r="H6109" s="50"/>
      <c r="I6109" s="50"/>
      <c r="O6109" s="36" t="s">
        <v>48</v>
      </c>
      <c r="R6109" s="36" t="s">
        <v>48</v>
      </c>
    </row>
    <row r="6110">
      <c r="H6110" s="50"/>
      <c r="I6110" s="50"/>
      <c r="O6110" s="36" t="s">
        <v>48</v>
      </c>
      <c r="R6110" s="36" t="s">
        <v>48</v>
      </c>
    </row>
    <row r="6111">
      <c r="H6111" s="50"/>
      <c r="I6111" s="50"/>
      <c r="O6111" s="36" t="s">
        <v>48</v>
      </c>
      <c r="R6111" s="36" t="s">
        <v>48</v>
      </c>
    </row>
    <row r="6112">
      <c r="H6112" s="50"/>
      <c r="I6112" s="50"/>
      <c r="O6112" s="36" t="s">
        <v>48</v>
      </c>
      <c r="R6112" s="36" t="s">
        <v>48</v>
      </c>
    </row>
    <row r="6113">
      <c r="H6113" s="50"/>
      <c r="I6113" s="50"/>
      <c r="O6113" s="36" t="s">
        <v>48</v>
      </c>
      <c r="R6113" s="36" t="s">
        <v>48</v>
      </c>
    </row>
    <row r="6114">
      <c r="H6114" s="50"/>
      <c r="I6114" s="50"/>
      <c r="O6114" s="36" t="s">
        <v>48</v>
      </c>
      <c r="R6114" s="36" t="s">
        <v>48</v>
      </c>
    </row>
    <row r="6115">
      <c r="H6115" s="50"/>
      <c r="I6115" s="50"/>
      <c r="O6115" s="36" t="s">
        <v>48</v>
      </c>
      <c r="R6115" s="36" t="s">
        <v>48</v>
      </c>
    </row>
    <row r="6116">
      <c r="H6116" s="50"/>
      <c r="I6116" s="50"/>
      <c r="O6116" s="36" t="s">
        <v>48</v>
      </c>
      <c r="R6116" s="36" t="s">
        <v>48</v>
      </c>
    </row>
    <row r="6117">
      <c r="H6117" s="50"/>
      <c r="I6117" s="50"/>
      <c r="O6117" s="36" t="s">
        <v>48</v>
      </c>
      <c r="R6117" s="36" t="s">
        <v>48</v>
      </c>
    </row>
    <row r="6118">
      <c r="H6118" s="50"/>
      <c r="I6118" s="50"/>
      <c r="O6118" s="36" t="s">
        <v>48</v>
      </c>
      <c r="R6118" s="36" t="s">
        <v>48</v>
      </c>
    </row>
    <row r="6119">
      <c r="H6119" s="50"/>
      <c r="I6119" s="50"/>
      <c r="O6119" s="36" t="s">
        <v>48</v>
      </c>
      <c r="R6119" s="36" t="s">
        <v>48</v>
      </c>
    </row>
    <row r="6120">
      <c r="H6120" s="50"/>
      <c r="I6120" s="50"/>
      <c r="O6120" s="36" t="s">
        <v>48</v>
      </c>
      <c r="R6120" s="36" t="s">
        <v>48</v>
      </c>
    </row>
    <row r="6121">
      <c r="H6121" s="50"/>
      <c r="I6121" s="50"/>
      <c r="O6121" s="36" t="s">
        <v>48</v>
      </c>
      <c r="R6121" s="36" t="s">
        <v>48</v>
      </c>
    </row>
    <row r="6122">
      <c r="H6122" s="50"/>
      <c r="I6122" s="50"/>
      <c r="O6122" s="36" t="s">
        <v>48</v>
      </c>
      <c r="R6122" s="36" t="s">
        <v>48</v>
      </c>
    </row>
    <row r="6123">
      <c r="H6123" s="50"/>
      <c r="I6123" s="50"/>
      <c r="O6123" s="36" t="s">
        <v>48</v>
      </c>
      <c r="R6123" s="36" t="s">
        <v>48</v>
      </c>
    </row>
    <row r="6124">
      <c r="H6124" s="50"/>
      <c r="I6124" s="50"/>
      <c r="O6124" s="36" t="s">
        <v>48</v>
      </c>
      <c r="R6124" s="36" t="s">
        <v>48</v>
      </c>
    </row>
    <row r="6125">
      <c r="H6125" s="50"/>
      <c r="I6125" s="50"/>
      <c r="O6125" s="36" t="s">
        <v>48</v>
      </c>
      <c r="R6125" s="36" t="s">
        <v>48</v>
      </c>
    </row>
    <row r="6126">
      <c r="H6126" s="50"/>
      <c r="I6126" s="50"/>
      <c r="O6126" s="36" t="s">
        <v>48</v>
      </c>
      <c r="R6126" s="36" t="s">
        <v>48</v>
      </c>
    </row>
    <row r="6127">
      <c r="H6127" s="50"/>
      <c r="I6127" s="50"/>
      <c r="O6127" s="36" t="s">
        <v>48</v>
      </c>
      <c r="R6127" s="36" t="s">
        <v>48</v>
      </c>
    </row>
    <row r="6128">
      <c r="H6128" s="50"/>
      <c r="I6128" s="50"/>
      <c r="O6128" s="36" t="s">
        <v>48</v>
      </c>
      <c r="R6128" s="36" t="s">
        <v>48</v>
      </c>
    </row>
    <row r="6129">
      <c r="H6129" s="50"/>
      <c r="I6129" s="50"/>
      <c r="O6129" s="36" t="s">
        <v>48</v>
      </c>
      <c r="R6129" s="36" t="s">
        <v>48</v>
      </c>
    </row>
    <row r="6130">
      <c r="H6130" s="50"/>
      <c r="I6130" s="50"/>
      <c r="O6130" s="36" t="s">
        <v>48</v>
      </c>
      <c r="R6130" s="36" t="s">
        <v>48</v>
      </c>
    </row>
    <row r="6131">
      <c r="H6131" s="50"/>
      <c r="I6131" s="50"/>
      <c r="O6131" s="36" t="s">
        <v>48</v>
      </c>
      <c r="R6131" s="36" t="s">
        <v>48</v>
      </c>
    </row>
    <row r="6132">
      <c r="H6132" s="50"/>
      <c r="I6132" s="50"/>
      <c r="O6132" s="36" t="s">
        <v>48</v>
      </c>
      <c r="R6132" s="36" t="s">
        <v>48</v>
      </c>
    </row>
    <row r="6133">
      <c r="H6133" s="50"/>
      <c r="I6133" s="50"/>
      <c r="O6133" s="36" t="s">
        <v>48</v>
      </c>
      <c r="R6133" s="36" t="s">
        <v>48</v>
      </c>
    </row>
    <row r="6134">
      <c r="H6134" s="50"/>
      <c r="I6134" s="50"/>
      <c r="O6134" s="36" t="s">
        <v>48</v>
      </c>
      <c r="R6134" s="36" t="s">
        <v>48</v>
      </c>
    </row>
    <row r="6135">
      <c r="H6135" s="50"/>
      <c r="I6135" s="50"/>
      <c r="O6135" s="36" t="s">
        <v>48</v>
      </c>
      <c r="R6135" s="36" t="s">
        <v>48</v>
      </c>
    </row>
    <row r="6136">
      <c r="H6136" s="50"/>
      <c r="I6136" s="50"/>
      <c r="O6136" s="36" t="s">
        <v>48</v>
      </c>
      <c r="R6136" s="36" t="s">
        <v>48</v>
      </c>
    </row>
    <row r="6137">
      <c r="H6137" s="50"/>
      <c r="I6137" s="50"/>
      <c r="O6137" s="36" t="s">
        <v>48</v>
      </c>
      <c r="R6137" s="36" t="s">
        <v>48</v>
      </c>
    </row>
    <row r="6138">
      <c r="H6138" s="50"/>
      <c r="I6138" s="50"/>
      <c r="O6138" s="36" t="s">
        <v>48</v>
      </c>
      <c r="R6138" s="36" t="s">
        <v>48</v>
      </c>
    </row>
    <row r="6139">
      <c r="H6139" s="50"/>
      <c r="I6139" s="50"/>
      <c r="O6139" s="36" t="s">
        <v>48</v>
      </c>
      <c r="R6139" s="36" t="s">
        <v>48</v>
      </c>
    </row>
    <row r="6140">
      <c r="H6140" s="50"/>
      <c r="I6140" s="50"/>
      <c r="O6140" s="36" t="s">
        <v>48</v>
      </c>
      <c r="R6140" s="36" t="s">
        <v>48</v>
      </c>
    </row>
    <row r="6141">
      <c r="H6141" s="50"/>
      <c r="I6141" s="50"/>
      <c r="O6141" s="36" t="s">
        <v>48</v>
      </c>
      <c r="R6141" s="36" t="s">
        <v>48</v>
      </c>
    </row>
    <row r="6142">
      <c r="H6142" s="50"/>
      <c r="I6142" s="50"/>
      <c r="O6142" s="36" t="s">
        <v>48</v>
      </c>
      <c r="R6142" s="36" t="s">
        <v>48</v>
      </c>
    </row>
    <row r="6143">
      <c r="H6143" s="50"/>
      <c r="I6143" s="50"/>
      <c r="O6143" s="36" t="s">
        <v>48</v>
      </c>
      <c r="R6143" s="36" t="s">
        <v>48</v>
      </c>
    </row>
    <row r="6144">
      <c r="H6144" s="50"/>
      <c r="I6144" s="50"/>
      <c r="O6144" s="36" t="s">
        <v>48</v>
      </c>
      <c r="R6144" s="36" t="s">
        <v>48</v>
      </c>
    </row>
    <row r="6145">
      <c r="H6145" s="50"/>
      <c r="I6145" s="50"/>
      <c r="O6145" s="36" t="s">
        <v>48</v>
      </c>
      <c r="R6145" s="36" t="s">
        <v>48</v>
      </c>
    </row>
    <row r="6146">
      <c r="H6146" s="50"/>
      <c r="I6146" s="50"/>
      <c r="O6146" s="36" t="s">
        <v>48</v>
      </c>
      <c r="R6146" s="36" t="s">
        <v>48</v>
      </c>
    </row>
    <row r="6147">
      <c r="H6147" s="50"/>
      <c r="I6147" s="50"/>
      <c r="O6147" s="36" t="s">
        <v>48</v>
      </c>
      <c r="R6147" s="36" t="s">
        <v>48</v>
      </c>
    </row>
    <row r="6148">
      <c r="H6148" s="50"/>
      <c r="I6148" s="50"/>
      <c r="O6148" s="36" t="s">
        <v>48</v>
      </c>
      <c r="R6148" s="36" t="s">
        <v>48</v>
      </c>
    </row>
    <row r="6149">
      <c r="H6149" s="50"/>
      <c r="I6149" s="50"/>
      <c r="O6149" s="36" t="s">
        <v>48</v>
      </c>
      <c r="R6149" s="36" t="s">
        <v>48</v>
      </c>
    </row>
    <row r="6150">
      <c r="H6150" s="50"/>
      <c r="I6150" s="50"/>
      <c r="O6150" s="36" t="s">
        <v>48</v>
      </c>
      <c r="R6150" s="36" t="s">
        <v>48</v>
      </c>
    </row>
    <row r="6151">
      <c r="H6151" s="50"/>
      <c r="I6151" s="50"/>
      <c r="O6151" s="36" t="s">
        <v>48</v>
      </c>
      <c r="R6151" s="36" t="s">
        <v>48</v>
      </c>
    </row>
    <row r="6152">
      <c r="H6152" s="50"/>
      <c r="I6152" s="50"/>
      <c r="O6152" s="36" t="s">
        <v>48</v>
      </c>
      <c r="R6152" s="36" t="s">
        <v>48</v>
      </c>
    </row>
    <row r="6153">
      <c r="H6153" s="50"/>
      <c r="I6153" s="50"/>
      <c r="O6153" s="36" t="s">
        <v>48</v>
      </c>
      <c r="R6153" s="36" t="s">
        <v>48</v>
      </c>
    </row>
    <row r="6154">
      <c r="H6154" s="50"/>
      <c r="I6154" s="50"/>
      <c r="O6154" s="36" t="s">
        <v>48</v>
      </c>
      <c r="R6154" s="36" t="s">
        <v>48</v>
      </c>
    </row>
    <row r="6155">
      <c r="H6155" s="50"/>
      <c r="I6155" s="50"/>
      <c r="O6155" s="36" t="s">
        <v>48</v>
      </c>
      <c r="R6155" s="36" t="s">
        <v>48</v>
      </c>
    </row>
    <row r="6156">
      <c r="H6156" s="50"/>
      <c r="I6156" s="50"/>
      <c r="O6156" s="36" t="s">
        <v>48</v>
      </c>
      <c r="R6156" s="36" t="s">
        <v>48</v>
      </c>
    </row>
    <row r="6157">
      <c r="H6157" s="50"/>
      <c r="I6157" s="50"/>
      <c r="O6157" s="36" t="s">
        <v>48</v>
      </c>
      <c r="R6157" s="36" t="s">
        <v>48</v>
      </c>
    </row>
    <row r="6158">
      <c r="H6158" s="50"/>
      <c r="I6158" s="50"/>
      <c r="O6158" s="36" t="s">
        <v>48</v>
      </c>
      <c r="R6158" s="36" t="s">
        <v>48</v>
      </c>
    </row>
    <row r="6159">
      <c r="H6159" s="50"/>
      <c r="I6159" s="50"/>
      <c r="O6159" s="36" t="s">
        <v>48</v>
      </c>
      <c r="R6159" s="36" t="s">
        <v>48</v>
      </c>
    </row>
    <row r="6160">
      <c r="H6160" s="50"/>
      <c r="I6160" s="50"/>
      <c r="O6160" s="36" t="s">
        <v>48</v>
      </c>
      <c r="R6160" s="36" t="s">
        <v>48</v>
      </c>
    </row>
    <row r="6161">
      <c r="H6161" s="50"/>
      <c r="I6161" s="50"/>
      <c r="O6161" s="36" t="s">
        <v>48</v>
      </c>
      <c r="R6161" s="36" t="s">
        <v>48</v>
      </c>
    </row>
    <row r="6162">
      <c r="H6162" s="50"/>
      <c r="I6162" s="50"/>
      <c r="O6162" s="36" t="s">
        <v>48</v>
      </c>
      <c r="R6162" s="36" t="s">
        <v>48</v>
      </c>
    </row>
    <row r="6163">
      <c r="H6163" s="50"/>
      <c r="I6163" s="50"/>
      <c r="O6163" s="36" t="s">
        <v>48</v>
      </c>
      <c r="R6163" s="36" t="s">
        <v>48</v>
      </c>
    </row>
    <row r="6164">
      <c r="H6164" s="50"/>
      <c r="I6164" s="50"/>
      <c r="O6164" s="36" t="s">
        <v>48</v>
      </c>
      <c r="R6164" s="36" t="s">
        <v>48</v>
      </c>
    </row>
    <row r="6165">
      <c r="H6165" s="50"/>
      <c r="I6165" s="50"/>
      <c r="O6165" s="36" t="s">
        <v>48</v>
      </c>
      <c r="R6165" s="36" t="s">
        <v>48</v>
      </c>
    </row>
    <row r="6166">
      <c r="H6166" s="50"/>
      <c r="I6166" s="50"/>
      <c r="O6166" s="36" t="s">
        <v>48</v>
      </c>
      <c r="R6166" s="36" t="s">
        <v>48</v>
      </c>
    </row>
    <row r="6167">
      <c r="H6167" s="50"/>
      <c r="I6167" s="50"/>
      <c r="O6167" s="36" t="s">
        <v>48</v>
      </c>
      <c r="R6167" s="36" t="s">
        <v>48</v>
      </c>
    </row>
    <row r="6168">
      <c r="H6168" s="50"/>
      <c r="I6168" s="50"/>
      <c r="O6168" s="36" t="s">
        <v>48</v>
      </c>
      <c r="R6168" s="36" t="s">
        <v>48</v>
      </c>
    </row>
    <row r="6169">
      <c r="H6169" s="50"/>
      <c r="I6169" s="50"/>
      <c r="O6169" s="36" t="s">
        <v>48</v>
      </c>
      <c r="R6169" s="36" t="s">
        <v>48</v>
      </c>
    </row>
    <row r="6170">
      <c r="H6170" s="50"/>
      <c r="I6170" s="50"/>
      <c r="O6170" s="36" t="s">
        <v>48</v>
      </c>
      <c r="R6170" s="36" t="s">
        <v>48</v>
      </c>
    </row>
    <row r="6171">
      <c r="H6171" s="50"/>
      <c r="I6171" s="50"/>
      <c r="O6171" s="36" t="s">
        <v>48</v>
      </c>
      <c r="R6171" s="36" t="s">
        <v>48</v>
      </c>
    </row>
    <row r="6172">
      <c r="H6172" s="50"/>
      <c r="I6172" s="50"/>
      <c r="O6172" s="36" t="s">
        <v>48</v>
      </c>
      <c r="R6172" s="36" t="s">
        <v>48</v>
      </c>
    </row>
    <row r="6173">
      <c r="H6173" s="50"/>
      <c r="I6173" s="50"/>
      <c r="O6173" s="36" t="s">
        <v>48</v>
      </c>
      <c r="R6173" s="36" t="s">
        <v>48</v>
      </c>
    </row>
    <row r="6174">
      <c r="H6174" s="50"/>
      <c r="I6174" s="50"/>
      <c r="O6174" s="36" t="s">
        <v>48</v>
      </c>
      <c r="R6174" s="36" t="s">
        <v>48</v>
      </c>
    </row>
    <row r="6175">
      <c r="H6175" s="50"/>
      <c r="I6175" s="50"/>
      <c r="O6175" s="36" t="s">
        <v>48</v>
      </c>
      <c r="R6175" s="36" t="s">
        <v>48</v>
      </c>
    </row>
    <row r="6176">
      <c r="H6176" s="50"/>
      <c r="I6176" s="50"/>
      <c r="O6176" s="36" t="s">
        <v>48</v>
      </c>
      <c r="R6176" s="36" t="s">
        <v>48</v>
      </c>
    </row>
    <row r="6177">
      <c r="H6177" s="50"/>
      <c r="I6177" s="50"/>
      <c r="O6177" s="36" t="s">
        <v>48</v>
      </c>
      <c r="R6177" s="36" t="s">
        <v>48</v>
      </c>
    </row>
    <row r="6178">
      <c r="H6178" s="50"/>
      <c r="I6178" s="50"/>
      <c r="O6178" s="36" t="s">
        <v>48</v>
      </c>
      <c r="R6178" s="36" t="s">
        <v>48</v>
      </c>
    </row>
    <row r="6179">
      <c r="H6179" s="50"/>
      <c r="I6179" s="50"/>
      <c r="O6179" s="36" t="s">
        <v>48</v>
      </c>
      <c r="R6179" s="36" t="s">
        <v>48</v>
      </c>
    </row>
    <row r="6180">
      <c r="H6180" s="50"/>
      <c r="I6180" s="50"/>
      <c r="O6180" s="36" t="s">
        <v>48</v>
      </c>
      <c r="R6180" s="36" t="s">
        <v>48</v>
      </c>
    </row>
    <row r="6181">
      <c r="H6181" s="50"/>
      <c r="I6181" s="50"/>
      <c r="O6181" s="36" t="s">
        <v>48</v>
      </c>
      <c r="R6181" s="36" t="s">
        <v>48</v>
      </c>
    </row>
    <row r="6182">
      <c r="H6182" s="50"/>
      <c r="I6182" s="50"/>
      <c r="O6182" s="36" t="s">
        <v>48</v>
      </c>
      <c r="R6182" s="36" t="s">
        <v>48</v>
      </c>
    </row>
    <row r="6183">
      <c r="H6183" s="50"/>
      <c r="I6183" s="50"/>
      <c r="O6183" s="36" t="s">
        <v>48</v>
      </c>
      <c r="R6183" s="36" t="s">
        <v>48</v>
      </c>
    </row>
    <row r="6184">
      <c r="H6184" s="50"/>
      <c r="I6184" s="50"/>
      <c r="O6184" s="36" t="s">
        <v>48</v>
      </c>
      <c r="R6184" s="36" t="s">
        <v>48</v>
      </c>
    </row>
    <row r="6185">
      <c r="H6185" s="50"/>
      <c r="I6185" s="50"/>
      <c r="O6185" s="36" t="s">
        <v>48</v>
      </c>
      <c r="R6185" s="36" t="s">
        <v>48</v>
      </c>
    </row>
    <row r="6186">
      <c r="H6186" s="50"/>
      <c r="I6186" s="50"/>
      <c r="O6186" s="36" t="s">
        <v>48</v>
      </c>
      <c r="R6186" s="36" t="s">
        <v>48</v>
      </c>
    </row>
    <row r="6187">
      <c r="H6187" s="50"/>
      <c r="I6187" s="50"/>
      <c r="O6187" s="36" t="s">
        <v>48</v>
      </c>
      <c r="R6187" s="36" t="s">
        <v>48</v>
      </c>
    </row>
    <row r="6188">
      <c r="H6188" s="50"/>
      <c r="I6188" s="50"/>
      <c r="O6188" s="36" t="s">
        <v>48</v>
      </c>
      <c r="R6188" s="36" t="s">
        <v>48</v>
      </c>
    </row>
    <row r="6189">
      <c r="H6189" s="50"/>
      <c r="I6189" s="50"/>
      <c r="O6189" s="36" t="s">
        <v>48</v>
      </c>
      <c r="R6189" s="36" t="s">
        <v>48</v>
      </c>
    </row>
    <row r="6190">
      <c r="H6190" s="50"/>
      <c r="I6190" s="50"/>
      <c r="O6190" s="36" t="s">
        <v>48</v>
      </c>
      <c r="R6190" s="36" t="s">
        <v>48</v>
      </c>
    </row>
    <row r="6191">
      <c r="H6191" s="50"/>
      <c r="I6191" s="50"/>
      <c r="O6191" s="36" t="s">
        <v>48</v>
      </c>
      <c r="R6191" s="36" t="s">
        <v>48</v>
      </c>
    </row>
    <row r="6192">
      <c r="H6192" s="50"/>
      <c r="I6192" s="50"/>
      <c r="O6192" s="36" t="s">
        <v>48</v>
      </c>
      <c r="R6192" s="36" t="s">
        <v>48</v>
      </c>
    </row>
    <row r="6193">
      <c r="H6193" s="50"/>
      <c r="I6193" s="50"/>
      <c r="O6193" s="36" t="s">
        <v>48</v>
      </c>
      <c r="R6193" s="36" t="s">
        <v>48</v>
      </c>
    </row>
    <row r="6194">
      <c r="H6194" s="50"/>
      <c r="I6194" s="50"/>
      <c r="O6194" s="36" t="s">
        <v>48</v>
      </c>
      <c r="R6194" s="36" t="s">
        <v>48</v>
      </c>
    </row>
    <row r="6195">
      <c r="H6195" s="50"/>
      <c r="I6195" s="50"/>
      <c r="O6195" s="36" t="s">
        <v>48</v>
      </c>
      <c r="R6195" s="36" t="s">
        <v>48</v>
      </c>
    </row>
    <row r="6196">
      <c r="H6196" s="50"/>
      <c r="I6196" s="50"/>
      <c r="O6196" s="36" t="s">
        <v>48</v>
      </c>
      <c r="R6196" s="36" t="s">
        <v>48</v>
      </c>
    </row>
    <row r="6197">
      <c r="H6197" s="50"/>
      <c r="I6197" s="50"/>
      <c r="O6197" s="36" t="s">
        <v>48</v>
      </c>
      <c r="R6197" s="36" t="s">
        <v>48</v>
      </c>
    </row>
    <row r="6198">
      <c r="H6198" s="50"/>
      <c r="I6198" s="50"/>
      <c r="O6198" s="36" t="s">
        <v>48</v>
      </c>
      <c r="R6198" s="36" t="s">
        <v>48</v>
      </c>
    </row>
    <row r="6199">
      <c r="H6199" s="50"/>
      <c r="I6199" s="50"/>
      <c r="O6199" s="36" t="s">
        <v>48</v>
      </c>
      <c r="R6199" s="36" t="s">
        <v>48</v>
      </c>
    </row>
    <row r="6200">
      <c r="H6200" s="50"/>
      <c r="I6200" s="50"/>
      <c r="O6200" s="36" t="s">
        <v>48</v>
      </c>
      <c r="R6200" s="36" t="s">
        <v>48</v>
      </c>
    </row>
    <row r="6201">
      <c r="H6201" s="50"/>
      <c r="I6201" s="50"/>
      <c r="O6201" s="36" t="s">
        <v>48</v>
      </c>
      <c r="R6201" s="36" t="s">
        <v>48</v>
      </c>
    </row>
    <row r="6202">
      <c r="H6202" s="50"/>
      <c r="I6202" s="50"/>
      <c r="O6202" s="36" t="s">
        <v>48</v>
      </c>
      <c r="R6202" s="36" t="s">
        <v>48</v>
      </c>
    </row>
    <row r="6203">
      <c r="H6203" s="50"/>
      <c r="I6203" s="50"/>
      <c r="O6203" s="36" t="s">
        <v>48</v>
      </c>
      <c r="R6203" s="36" t="s">
        <v>48</v>
      </c>
    </row>
    <row r="6204">
      <c r="H6204" s="50"/>
      <c r="I6204" s="50"/>
      <c r="O6204" s="36" t="s">
        <v>48</v>
      </c>
      <c r="R6204" s="36" t="s">
        <v>48</v>
      </c>
    </row>
    <row r="6205">
      <c r="H6205" s="50"/>
      <c r="I6205" s="50"/>
      <c r="O6205" s="36" t="s">
        <v>48</v>
      </c>
      <c r="R6205" s="36" t="s">
        <v>48</v>
      </c>
    </row>
    <row r="6206">
      <c r="H6206" s="50"/>
      <c r="I6206" s="50"/>
      <c r="O6206" s="36" t="s">
        <v>48</v>
      </c>
      <c r="R6206" s="36" t="s">
        <v>48</v>
      </c>
    </row>
    <row r="6207">
      <c r="H6207" s="50"/>
      <c r="I6207" s="50"/>
      <c r="O6207" s="36" t="s">
        <v>48</v>
      </c>
      <c r="R6207" s="36" t="s">
        <v>48</v>
      </c>
    </row>
    <row r="6208">
      <c r="H6208" s="50"/>
      <c r="I6208" s="50"/>
      <c r="O6208" s="36" t="s">
        <v>48</v>
      </c>
      <c r="R6208" s="36" t="s">
        <v>48</v>
      </c>
    </row>
    <row r="6209">
      <c r="H6209" s="50"/>
      <c r="I6209" s="50"/>
      <c r="O6209" s="36" t="s">
        <v>48</v>
      </c>
      <c r="R6209" s="36" t="s">
        <v>48</v>
      </c>
    </row>
    <row r="6210">
      <c r="H6210" s="50"/>
      <c r="I6210" s="50"/>
      <c r="O6210" s="36" t="s">
        <v>48</v>
      </c>
      <c r="R6210" s="36" t="s">
        <v>48</v>
      </c>
    </row>
    <row r="6211">
      <c r="H6211" s="50"/>
      <c r="I6211" s="50"/>
      <c r="O6211" s="36" t="s">
        <v>48</v>
      </c>
      <c r="R6211" s="36" t="s">
        <v>48</v>
      </c>
    </row>
    <row r="6212">
      <c r="H6212" s="50"/>
      <c r="I6212" s="50"/>
      <c r="O6212" s="36" t="s">
        <v>48</v>
      </c>
      <c r="R6212" s="36" t="s">
        <v>48</v>
      </c>
    </row>
    <row r="6213">
      <c r="H6213" s="50"/>
      <c r="I6213" s="50"/>
      <c r="O6213" s="36" t="s">
        <v>48</v>
      </c>
      <c r="R6213" s="36" t="s">
        <v>48</v>
      </c>
    </row>
    <row r="6214">
      <c r="H6214" s="50"/>
      <c r="I6214" s="50"/>
      <c r="O6214" s="36" t="s">
        <v>48</v>
      </c>
      <c r="R6214" s="36" t="s">
        <v>48</v>
      </c>
    </row>
    <row r="6215">
      <c r="H6215" s="50"/>
      <c r="I6215" s="50"/>
      <c r="O6215" s="36" t="s">
        <v>48</v>
      </c>
      <c r="R6215" s="36" t="s">
        <v>48</v>
      </c>
    </row>
    <row r="6216">
      <c r="H6216" s="50"/>
      <c r="I6216" s="50"/>
      <c r="O6216" s="36" t="s">
        <v>48</v>
      </c>
      <c r="R6216" s="36" t="s">
        <v>48</v>
      </c>
    </row>
    <row r="6217">
      <c r="H6217" s="50"/>
      <c r="I6217" s="50"/>
      <c r="O6217" s="36" t="s">
        <v>48</v>
      </c>
      <c r="R6217" s="36" t="s">
        <v>48</v>
      </c>
    </row>
    <row r="6218">
      <c r="H6218" s="50"/>
      <c r="I6218" s="50"/>
      <c r="O6218" s="36" t="s">
        <v>48</v>
      </c>
      <c r="R6218" s="36" t="s">
        <v>48</v>
      </c>
    </row>
    <row r="6219">
      <c r="H6219" s="50"/>
      <c r="I6219" s="50"/>
      <c r="O6219" s="36" t="s">
        <v>48</v>
      </c>
      <c r="R6219" s="36" t="s">
        <v>48</v>
      </c>
    </row>
    <row r="6220">
      <c r="H6220" s="50"/>
      <c r="I6220" s="50"/>
      <c r="O6220" s="36" t="s">
        <v>48</v>
      </c>
      <c r="R6220" s="36" t="s">
        <v>48</v>
      </c>
    </row>
    <row r="6221">
      <c r="H6221" s="50"/>
      <c r="I6221" s="50"/>
      <c r="O6221" s="36" t="s">
        <v>48</v>
      </c>
      <c r="R6221" s="36" t="s">
        <v>48</v>
      </c>
    </row>
    <row r="6222">
      <c r="H6222" s="50"/>
      <c r="I6222" s="50"/>
      <c r="O6222" s="36" t="s">
        <v>48</v>
      </c>
      <c r="R6222" s="36" t="s">
        <v>48</v>
      </c>
    </row>
    <row r="6223">
      <c r="H6223" s="50"/>
      <c r="I6223" s="50"/>
      <c r="O6223" s="36" t="s">
        <v>48</v>
      </c>
      <c r="R6223" s="36" t="s">
        <v>48</v>
      </c>
    </row>
    <row r="6224">
      <c r="H6224" s="50"/>
      <c r="I6224" s="50"/>
      <c r="O6224" s="36" t="s">
        <v>48</v>
      </c>
      <c r="R6224" s="36" t="s">
        <v>48</v>
      </c>
    </row>
    <row r="6225">
      <c r="H6225" s="50"/>
      <c r="I6225" s="50"/>
      <c r="O6225" s="36" t="s">
        <v>48</v>
      </c>
      <c r="R6225" s="36" t="s">
        <v>48</v>
      </c>
    </row>
    <row r="6226">
      <c r="H6226" s="50"/>
      <c r="I6226" s="50"/>
      <c r="O6226" s="36" t="s">
        <v>48</v>
      </c>
      <c r="R6226" s="36" t="s">
        <v>48</v>
      </c>
    </row>
    <row r="6227">
      <c r="H6227" s="50"/>
      <c r="I6227" s="50"/>
      <c r="O6227" s="36" t="s">
        <v>48</v>
      </c>
      <c r="R6227" s="36" t="s">
        <v>48</v>
      </c>
    </row>
    <row r="6228">
      <c r="H6228" s="50"/>
      <c r="I6228" s="50"/>
      <c r="O6228" s="36" t="s">
        <v>48</v>
      </c>
      <c r="R6228" s="36" t="s">
        <v>48</v>
      </c>
    </row>
    <row r="6229">
      <c r="H6229" s="50"/>
      <c r="I6229" s="50"/>
      <c r="O6229" s="36" t="s">
        <v>48</v>
      </c>
      <c r="R6229" s="36" t="s">
        <v>48</v>
      </c>
    </row>
    <row r="6230">
      <c r="H6230" s="50"/>
      <c r="I6230" s="50"/>
      <c r="O6230" s="36" t="s">
        <v>48</v>
      </c>
      <c r="R6230" s="36" t="s">
        <v>48</v>
      </c>
    </row>
    <row r="6231">
      <c r="H6231" s="50"/>
      <c r="I6231" s="50"/>
      <c r="O6231" s="36" t="s">
        <v>48</v>
      </c>
      <c r="R6231" s="36" t="s">
        <v>48</v>
      </c>
    </row>
    <row r="6232">
      <c r="H6232" s="50"/>
      <c r="I6232" s="50"/>
      <c r="O6232" s="36" t="s">
        <v>48</v>
      </c>
      <c r="R6232" s="36" t="s">
        <v>48</v>
      </c>
    </row>
    <row r="6233">
      <c r="H6233" s="50"/>
      <c r="I6233" s="50"/>
      <c r="O6233" s="36" t="s">
        <v>48</v>
      </c>
      <c r="R6233" s="36" t="s">
        <v>48</v>
      </c>
    </row>
    <row r="6234">
      <c r="H6234" s="50"/>
      <c r="I6234" s="50"/>
      <c r="O6234" s="36" t="s">
        <v>48</v>
      </c>
      <c r="R6234" s="36" t="s">
        <v>48</v>
      </c>
    </row>
    <row r="6235">
      <c r="H6235" s="50"/>
      <c r="I6235" s="50"/>
      <c r="O6235" s="36" t="s">
        <v>48</v>
      </c>
      <c r="R6235" s="36" t="s">
        <v>48</v>
      </c>
    </row>
    <row r="6236">
      <c r="H6236" s="50"/>
      <c r="I6236" s="50"/>
      <c r="O6236" s="36" t="s">
        <v>48</v>
      </c>
      <c r="R6236" s="36" t="s">
        <v>48</v>
      </c>
    </row>
    <row r="6237">
      <c r="H6237" s="50"/>
      <c r="I6237" s="50"/>
      <c r="O6237" s="36" t="s">
        <v>48</v>
      </c>
      <c r="R6237" s="36" t="s">
        <v>48</v>
      </c>
    </row>
    <row r="6238">
      <c r="H6238" s="50"/>
      <c r="I6238" s="50"/>
      <c r="O6238" s="36" t="s">
        <v>48</v>
      </c>
      <c r="R6238" s="36" t="s">
        <v>48</v>
      </c>
    </row>
    <row r="6239">
      <c r="H6239" s="50"/>
      <c r="I6239" s="50"/>
      <c r="O6239" s="36" t="s">
        <v>48</v>
      </c>
      <c r="R6239" s="36" t="s">
        <v>48</v>
      </c>
    </row>
    <row r="6240">
      <c r="H6240" s="50"/>
      <c r="I6240" s="50"/>
      <c r="O6240" s="36" t="s">
        <v>48</v>
      </c>
      <c r="R6240" s="36" t="s">
        <v>48</v>
      </c>
    </row>
    <row r="6241">
      <c r="H6241" s="50"/>
      <c r="I6241" s="50"/>
      <c r="O6241" s="36" t="s">
        <v>48</v>
      </c>
      <c r="R6241" s="36" t="s">
        <v>48</v>
      </c>
    </row>
    <row r="6242">
      <c r="H6242" s="50"/>
      <c r="I6242" s="50"/>
      <c r="O6242" s="36" t="s">
        <v>48</v>
      </c>
      <c r="R6242" s="36" t="s">
        <v>48</v>
      </c>
    </row>
    <row r="6243">
      <c r="H6243" s="50"/>
      <c r="I6243" s="50"/>
      <c r="O6243" s="36" t="s">
        <v>48</v>
      </c>
      <c r="R6243" s="36" t="s">
        <v>48</v>
      </c>
    </row>
    <row r="6244">
      <c r="H6244" s="50"/>
      <c r="I6244" s="50"/>
      <c r="O6244" s="36" t="s">
        <v>48</v>
      </c>
      <c r="R6244" s="36" t="s">
        <v>48</v>
      </c>
    </row>
    <row r="6245">
      <c r="H6245" s="50"/>
      <c r="I6245" s="50"/>
      <c r="O6245" s="36" t="s">
        <v>48</v>
      </c>
      <c r="R6245" s="36" t="s">
        <v>48</v>
      </c>
    </row>
    <row r="6246">
      <c r="H6246" s="50"/>
      <c r="I6246" s="50"/>
      <c r="O6246" s="36" t="s">
        <v>48</v>
      </c>
      <c r="R6246" s="36" t="s">
        <v>48</v>
      </c>
    </row>
    <row r="6247">
      <c r="H6247" s="50"/>
      <c r="I6247" s="50"/>
      <c r="O6247" s="36" t="s">
        <v>48</v>
      </c>
      <c r="R6247" s="36" t="s">
        <v>48</v>
      </c>
    </row>
    <row r="6248">
      <c r="H6248" s="50"/>
      <c r="I6248" s="50"/>
      <c r="O6248" s="36" t="s">
        <v>48</v>
      </c>
      <c r="R6248" s="36" t="s">
        <v>48</v>
      </c>
    </row>
    <row r="6249">
      <c r="H6249" s="50"/>
      <c r="I6249" s="50"/>
      <c r="O6249" s="36" t="s">
        <v>48</v>
      </c>
      <c r="R6249" s="36" t="s">
        <v>48</v>
      </c>
    </row>
    <row r="6250">
      <c r="H6250" s="50"/>
      <c r="I6250" s="50"/>
      <c r="O6250" s="36" t="s">
        <v>48</v>
      </c>
      <c r="R6250" s="36" t="s">
        <v>48</v>
      </c>
    </row>
    <row r="6251">
      <c r="H6251" s="50"/>
      <c r="I6251" s="50"/>
      <c r="O6251" s="36" t="s">
        <v>48</v>
      </c>
      <c r="R6251" s="36" t="s">
        <v>48</v>
      </c>
    </row>
    <row r="6252">
      <c r="H6252" s="50"/>
      <c r="I6252" s="50"/>
      <c r="O6252" s="36" t="s">
        <v>48</v>
      </c>
      <c r="R6252" s="36" t="s">
        <v>48</v>
      </c>
    </row>
    <row r="6253">
      <c r="H6253" s="50"/>
      <c r="I6253" s="50"/>
      <c r="O6253" s="36" t="s">
        <v>48</v>
      </c>
      <c r="R6253" s="36" t="s">
        <v>48</v>
      </c>
    </row>
    <row r="6254">
      <c r="H6254" s="50"/>
      <c r="I6254" s="50"/>
      <c r="O6254" s="36" t="s">
        <v>48</v>
      </c>
      <c r="R6254" s="36" t="s">
        <v>48</v>
      </c>
    </row>
    <row r="6255">
      <c r="H6255" s="50"/>
      <c r="I6255" s="50"/>
      <c r="O6255" s="36" t="s">
        <v>48</v>
      </c>
      <c r="R6255" s="36" t="s">
        <v>48</v>
      </c>
    </row>
    <row r="6256">
      <c r="H6256" s="50"/>
      <c r="I6256" s="50"/>
      <c r="O6256" s="36" t="s">
        <v>48</v>
      </c>
      <c r="R6256" s="36" t="s">
        <v>48</v>
      </c>
    </row>
    <row r="6257">
      <c r="H6257" s="50"/>
      <c r="I6257" s="50"/>
      <c r="O6257" s="36" t="s">
        <v>48</v>
      </c>
      <c r="R6257" s="36" t="s">
        <v>48</v>
      </c>
    </row>
    <row r="6258">
      <c r="H6258" s="50"/>
      <c r="I6258" s="50"/>
      <c r="O6258" s="36" t="s">
        <v>48</v>
      </c>
      <c r="R6258" s="36" t="s">
        <v>48</v>
      </c>
    </row>
    <row r="6259">
      <c r="H6259" s="50"/>
      <c r="I6259" s="50"/>
      <c r="O6259" s="36" t="s">
        <v>48</v>
      </c>
      <c r="R6259" s="36" t="s">
        <v>48</v>
      </c>
    </row>
    <row r="6260">
      <c r="H6260" s="50"/>
      <c r="I6260" s="50"/>
      <c r="O6260" s="36" t="s">
        <v>48</v>
      </c>
      <c r="R6260" s="36" t="s">
        <v>48</v>
      </c>
    </row>
    <row r="6261">
      <c r="H6261" s="50"/>
      <c r="I6261" s="50"/>
      <c r="O6261" s="36" t="s">
        <v>48</v>
      </c>
      <c r="R6261" s="36" t="s">
        <v>48</v>
      </c>
    </row>
    <row r="6262">
      <c r="H6262" s="50"/>
      <c r="I6262" s="50"/>
      <c r="O6262" s="36" t="s">
        <v>48</v>
      </c>
      <c r="R6262" s="36" t="s">
        <v>48</v>
      </c>
    </row>
    <row r="6263">
      <c r="H6263" s="50"/>
      <c r="I6263" s="50"/>
      <c r="O6263" s="36" t="s">
        <v>48</v>
      </c>
      <c r="R6263" s="36" t="s">
        <v>48</v>
      </c>
    </row>
    <row r="6264">
      <c r="H6264" s="50"/>
      <c r="I6264" s="50"/>
      <c r="O6264" s="36" t="s">
        <v>48</v>
      </c>
      <c r="R6264" s="36" t="s">
        <v>48</v>
      </c>
    </row>
    <row r="6265">
      <c r="H6265" s="50"/>
      <c r="I6265" s="50"/>
      <c r="O6265" s="36" t="s">
        <v>48</v>
      </c>
      <c r="R6265" s="36" t="s">
        <v>48</v>
      </c>
    </row>
    <row r="6266">
      <c r="H6266" s="50"/>
      <c r="I6266" s="50"/>
      <c r="O6266" s="36" t="s">
        <v>48</v>
      </c>
      <c r="R6266" s="36" t="s">
        <v>48</v>
      </c>
    </row>
    <row r="6267">
      <c r="H6267" s="50"/>
      <c r="I6267" s="50"/>
      <c r="O6267" s="36" t="s">
        <v>48</v>
      </c>
      <c r="R6267" s="36" t="s">
        <v>48</v>
      </c>
    </row>
    <row r="6268">
      <c r="H6268" s="50"/>
      <c r="I6268" s="50"/>
      <c r="O6268" s="36" t="s">
        <v>48</v>
      </c>
      <c r="R6268" s="36" t="s">
        <v>48</v>
      </c>
    </row>
    <row r="6269">
      <c r="H6269" s="50"/>
      <c r="I6269" s="50"/>
      <c r="O6269" s="36" t="s">
        <v>48</v>
      </c>
      <c r="R6269" s="36" t="s">
        <v>48</v>
      </c>
    </row>
    <row r="6270">
      <c r="H6270" s="50"/>
      <c r="I6270" s="50"/>
      <c r="O6270" s="36" t="s">
        <v>48</v>
      </c>
      <c r="R6270" s="36" t="s">
        <v>48</v>
      </c>
    </row>
    <row r="6271">
      <c r="H6271" s="50"/>
      <c r="I6271" s="50"/>
      <c r="O6271" s="36" t="s">
        <v>48</v>
      </c>
      <c r="R6271" s="36" t="s">
        <v>48</v>
      </c>
    </row>
    <row r="6272">
      <c r="H6272" s="50"/>
      <c r="I6272" s="50"/>
      <c r="O6272" s="36" t="s">
        <v>48</v>
      </c>
      <c r="R6272" s="36" t="s">
        <v>48</v>
      </c>
    </row>
    <row r="6273">
      <c r="H6273" s="50"/>
      <c r="I6273" s="50"/>
      <c r="O6273" s="36" t="s">
        <v>48</v>
      </c>
      <c r="R6273" s="36" t="s">
        <v>48</v>
      </c>
    </row>
    <row r="6274">
      <c r="H6274" s="50"/>
      <c r="I6274" s="50"/>
      <c r="O6274" s="36" t="s">
        <v>48</v>
      </c>
      <c r="R6274" s="36" t="s">
        <v>48</v>
      </c>
    </row>
    <row r="6275">
      <c r="H6275" s="50"/>
      <c r="I6275" s="50"/>
      <c r="O6275" s="36" t="s">
        <v>48</v>
      </c>
      <c r="R6275" s="36" t="s">
        <v>48</v>
      </c>
    </row>
    <row r="6276">
      <c r="H6276" s="50"/>
      <c r="I6276" s="50"/>
      <c r="O6276" s="36" t="s">
        <v>48</v>
      </c>
      <c r="R6276" s="36" t="s">
        <v>48</v>
      </c>
    </row>
    <row r="6277">
      <c r="H6277" s="50"/>
      <c r="I6277" s="50"/>
      <c r="O6277" s="36" t="s">
        <v>48</v>
      </c>
      <c r="R6277" s="36" t="s">
        <v>48</v>
      </c>
    </row>
    <row r="6278">
      <c r="H6278" s="50"/>
      <c r="I6278" s="50"/>
      <c r="O6278" s="36" t="s">
        <v>48</v>
      </c>
      <c r="R6278" s="36" t="s">
        <v>48</v>
      </c>
    </row>
    <row r="6279">
      <c r="H6279" s="50"/>
      <c r="I6279" s="50"/>
      <c r="O6279" s="36" t="s">
        <v>48</v>
      </c>
      <c r="R6279" s="36" t="s">
        <v>48</v>
      </c>
    </row>
    <row r="6280">
      <c r="H6280" s="50"/>
      <c r="I6280" s="50"/>
      <c r="O6280" s="36" t="s">
        <v>48</v>
      </c>
      <c r="R6280" s="36" t="s">
        <v>48</v>
      </c>
    </row>
    <row r="6281">
      <c r="H6281" s="50"/>
      <c r="I6281" s="50"/>
      <c r="O6281" s="36" t="s">
        <v>48</v>
      </c>
      <c r="R6281" s="36" t="s">
        <v>48</v>
      </c>
    </row>
    <row r="6282">
      <c r="H6282" s="50"/>
      <c r="I6282" s="50"/>
      <c r="O6282" s="36" t="s">
        <v>48</v>
      </c>
      <c r="R6282" s="36" t="s">
        <v>48</v>
      </c>
    </row>
    <row r="6283">
      <c r="H6283" s="50"/>
      <c r="I6283" s="50"/>
      <c r="O6283" s="36" t="s">
        <v>48</v>
      </c>
      <c r="R6283" s="36" t="s">
        <v>48</v>
      </c>
    </row>
    <row r="6284">
      <c r="H6284" s="50"/>
      <c r="I6284" s="50"/>
      <c r="O6284" s="36" t="s">
        <v>48</v>
      </c>
      <c r="R6284" s="36" t="s">
        <v>48</v>
      </c>
    </row>
    <row r="6285">
      <c r="H6285" s="50"/>
      <c r="I6285" s="50"/>
      <c r="O6285" s="36" t="s">
        <v>48</v>
      </c>
      <c r="R6285" s="36" t="s">
        <v>48</v>
      </c>
    </row>
    <row r="6286">
      <c r="H6286" s="50"/>
      <c r="I6286" s="50"/>
      <c r="O6286" s="36" t="s">
        <v>48</v>
      </c>
      <c r="R6286" s="36" t="s">
        <v>48</v>
      </c>
    </row>
    <row r="6287">
      <c r="H6287" s="50"/>
      <c r="I6287" s="50"/>
      <c r="O6287" s="36" t="s">
        <v>48</v>
      </c>
      <c r="R6287" s="36" t="s">
        <v>48</v>
      </c>
    </row>
    <row r="6288">
      <c r="H6288" s="50"/>
      <c r="I6288" s="50"/>
      <c r="O6288" s="36" t="s">
        <v>48</v>
      </c>
      <c r="R6288" s="36" t="s">
        <v>48</v>
      </c>
    </row>
    <row r="6289">
      <c r="H6289" s="50"/>
      <c r="I6289" s="50"/>
      <c r="O6289" s="36" t="s">
        <v>48</v>
      </c>
      <c r="R6289" s="36" t="s">
        <v>48</v>
      </c>
    </row>
    <row r="6290">
      <c r="H6290" s="50"/>
      <c r="I6290" s="50"/>
      <c r="O6290" s="36" t="s">
        <v>48</v>
      </c>
      <c r="R6290" s="36" t="s">
        <v>48</v>
      </c>
    </row>
    <row r="6291">
      <c r="H6291" s="50"/>
      <c r="I6291" s="50"/>
      <c r="O6291" s="36" t="s">
        <v>48</v>
      </c>
      <c r="R6291" s="36" t="s">
        <v>48</v>
      </c>
    </row>
    <row r="6292">
      <c r="H6292" s="50"/>
      <c r="I6292" s="50"/>
      <c r="O6292" s="36" t="s">
        <v>48</v>
      </c>
      <c r="R6292" s="36" t="s">
        <v>48</v>
      </c>
    </row>
    <row r="6293">
      <c r="H6293" s="50"/>
      <c r="I6293" s="50"/>
      <c r="O6293" s="36" t="s">
        <v>48</v>
      </c>
      <c r="R6293" s="36" t="s">
        <v>48</v>
      </c>
    </row>
    <row r="6294">
      <c r="H6294" s="50"/>
      <c r="I6294" s="50"/>
      <c r="O6294" s="36" t="s">
        <v>48</v>
      </c>
      <c r="R6294" s="36" t="s">
        <v>48</v>
      </c>
    </row>
    <row r="6295">
      <c r="H6295" s="50"/>
      <c r="I6295" s="50"/>
      <c r="O6295" s="36" t="s">
        <v>48</v>
      </c>
      <c r="R6295" s="36" t="s">
        <v>48</v>
      </c>
    </row>
    <row r="6296">
      <c r="H6296" s="50"/>
      <c r="I6296" s="50"/>
      <c r="O6296" s="36" t="s">
        <v>48</v>
      </c>
      <c r="R6296" s="36" t="s">
        <v>48</v>
      </c>
    </row>
    <row r="6297">
      <c r="H6297" s="50"/>
      <c r="I6297" s="50"/>
      <c r="O6297" s="36" t="s">
        <v>48</v>
      </c>
      <c r="R6297" s="36" t="s">
        <v>48</v>
      </c>
    </row>
    <row r="6298">
      <c r="H6298" s="50"/>
      <c r="I6298" s="50"/>
      <c r="O6298" s="36" t="s">
        <v>48</v>
      </c>
      <c r="R6298" s="36" t="s">
        <v>48</v>
      </c>
    </row>
    <row r="6299">
      <c r="H6299" s="50"/>
      <c r="I6299" s="50"/>
      <c r="O6299" s="36" t="s">
        <v>48</v>
      </c>
      <c r="R6299" s="36" t="s">
        <v>48</v>
      </c>
    </row>
    <row r="6300">
      <c r="H6300" s="50"/>
      <c r="I6300" s="50"/>
      <c r="O6300" s="36" t="s">
        <v>48</v>
      </c>
      <c r="R6300" s="36" t="s">
        <v>48</v>
      </c>
    </row>
    <row r="6301">
      <c r="H6301" s="50"/>
      <c r="I6301" s="50"/>
      <c r="O6301" s="36" t="s">
        <v>48</v>
      </c>
      <c r="R6301" s="36" t="s">
        <v>48</v>
      </c>
    </row>
    <row r="6302">
      <c r="H6302" s="50"/>
      <c r="I6302" s="50"/>
      <c r="O6302" s="36" t="s">
        <v>48</v>
      </c>
      <c r="R6302" s="36" t="s">
        <v>48</v>
      </c>
    </row>
    <row r="6303">
      <c r="H6303" s="50"/>
      <c r="I6303" s="50"/>
      <c r="O6303" s="36" t="s">
        <v>48</v>
      </c>
      <c r="R6303" s="36" t="s">
        <v>48</v>
      </c>
    </row>
    <row r="6304">
      <c r="H6304" s="50"/>
      <c r="I6304" s="50"/>
      <c r="O6304" s="36" t="s">
        <v>48</v>
      </c>
      <c r="R6304" s="36" t="s">
        <v>48</v>
      </c>
    </row>
    <row r="6305">
      <c r="H6305" s="50"/>
      <c r="I6305" s="50"/>
      <c r="O6305" s="36" t="s">
        <v>48</v>
      </c>
      <c r="R6305" s="36" t="s">
        <v>48</v>
      </c>
    </row>
    <row r="6306">
      <c r="H6306" s="50"/>
      <c r="I6306" s="50"/>
      <c r="O6306" s="36" t="s">
        <v>48</v>
      </c>
      <c r="R6306" s="36" t="s">
        <v>48</v>
      </c>
    </row>
    <row r="6307">
      <c r="H6307" s="50"/>
      <c r="I6307" s="50"/>
      <c r="O6307" s="36" t="s">
        <v>48</v>
      </c>
      <c r="R6307" s="36" t="s">
        <v>48</v>
      </c>
    </row>
    <row r="6308">
      <c r="H6308" s="50"/>
      <c r="I6308" s="50"/>
      <c r="O6308" s="36" t="s">
        <v>48</v>
      </c>
      <c r="R6308" s="36" t="s">
        <v>48</v>
      </c>
    </row>
    <row r="6309">
      <c r="H6309" s="50"/>
      <c r="I6309" s="50"/>
      <c r="O6309" s="36" t="s">
        <v>48</v>
      </c>
      <c r="R6309" s="36" t="s">
        <v>48</v>
      </c>
    </row>
    <row r="6310">
      <c r="H6310" s="50"/>
      <c r="I6310" s="50"/>
      <c r="O6310" s="36" t="s">
        <v>48</v>
      </c>
      <c r="R6310" s="36" t="s">
        <v>48</v>
      </c>
    </row>
    <row r="6311">
      <c r="H6311" s="50"/>
      <c r="I6311" s="50"/>
      <c r="O6311" s="36" t="s">
        <v>48</v>
      </c>
      <c r="R6311" s="36" t="s">
        <v>48</v>
      </c>
    </row>
    <row r="6312">
      <c r="H6312" s="50"/>
      <c r="I6312" s="50"/>
      <c r="O6312" s="36" t="s">
        <v>48</v>
      </c>
      <c r="R6312" s="36" t="s">
        <v>48</v>
      </c>
    </row>
    <row r="6313">
      <c r="H6313" s="50"/>
      <c r="I6313" s="50"/>
      <c r="O6313" s="36" t="s">
        <v>48</v>
      </c>
      <c r="R6313" s="36" t="s">
        <v>48</v>
      </c>
    </row>
    <row r="6314">
      <c r="H6314" s="50"/>
      <c r="I6314" s="50"/>
      <c r="O6314" s="36" t="s">
        <v>48</v>
      </c>
      <c r="R6314" s="36" t="s">
        <v>48</v>
      </c>
    </row>
    <row r="6315">
      <c r="H6315" s="50"/>
      <c r="I6315" s="50"/>
      <c r="O6315" s="36" t="s">
        <v>48</v>
      </c>
      <c r="R6315" s="36" t="s">
        <v>48</v>
      </c>
    </row>
    <row r="6316">
      <c r="H6316" s="50"/>
      <c r="I6316" s="50"/>
      <c r="O6316" s="36" t="s">
        <v>48</v>
      </c>
      <c r="R6316" s="36" t="s">
        <v>48</v>
      </c>
    </row>
    <row r="6317">
      <c r="H6317" s="50"/>
      <c r="I6317" s="50"/>
      <c r="O6317" s="36" t="s">
        <v>48</v>
      </c>
      <c r="R6317" s="36" t="s">
        <v>48</v>
      </c>
    </row>
    <row r="6318">
      <c r="H6318" s="50"/>
      <c r="I6318" s="50"/>
      <c r="O6318" s="36" t="s">
        <v>48</v>
      </c>
      <c r="R6318" s="36" t="s">
        <v>48</v>
      </c>
    </row>
    <row r="6319">
      <c r="H6319" s="50"/>
      <c r="I6319" s="50"/>
      <c r="O6319" s="36" t="s">
        <v>48</v>
      </c>
      <c r="R6319" s="36" t="s">
        <v>48</v>
      </c>
    </row>
    <row r="6320">
      <c r="H6320" s="50"/>
      <c r="I6320" s="50"/>
      <c r="O6320" s="36" t="s">
        <v>48</v>
      </c>
      <c r="R6320" s="36" t="s">
        <v>48</v>
      </c>
    </row>
    <row r="6321">
      <c r="H6321" s="50"/>
      <c r="I6321" s="50"/>
      <c r="O6321" s="36" t="s">
        <v>48</v>
      </c>
      <c r="R6321" s="36" t="s">
        <v>48</v>
      </c>
    </row>
    <row r="6322">
      <c r="H6322" s="50"/>
      <c r="I6322" s="50"/>
      <c r="O6322" s="36" t="s">
        <v>48</v>
      </c>
      <c r="R6322" s="36" t="s">
        <v>48</v>
      </c>
    </row>
    <row r="6323">
      <c r="H6323" s="50"/>
      <c r="I6323" s="50"/>
      <c r="O6323" s="36" t="s">
        <v>48</v>
      </c>
      <c r="R6323" s="36" t="s">
        <v>48</v>
      </c>
    </row>
    <row r="6324">
      <c r="H6324" s="50"/>
      <c r="I6324" s="50"/>
      <c r="O6324" s="36" t="s">
        <v>48</v>
      </c>
      <c r="R6324" s="36" t="s">
        <v>48</v>
      </c>
    </row>
    <row r="6325">
      <c r="H6325" s="50"/>
      <c r="I6325" s="50"/>
      <c r="O6325" s="36" t="s">
        <v>48</v>
      </c>
      <c r="R6325" s="36" t="s">
        <v>48</v>
      </c>
    </row>
    <row r="6326">
      <c r="H6326" s="50"/>
      <c r="I6326" s="50"/>
      <c r="O6326" s="36" t="s">
        <v>48</v>
      </c>
      <c r="R6326" s="36" t="s">
        <v>48</v>
      </c>
    </row>
    <row r="6327">
      <c r="H6327" s="50"/>
      <c r="I6327" s="50"/>
      <c r="O6327" s="36" t="s">
        <v>48</v>
      </c>
      <c r="R6327" s="36" t="s">
        <v>48</v>
      </c>
    </row>
    <row r="6328">
      <c r="H6328" s="50"/>
      <c r="I6328" s="50"/>
      <c r="O6328" s="36" t="s">
        <v>48</v>
      </c>
      <c r="R6328" s="36" t="s">
        <v>48</v>
      </c>
    </row>
    <row r="6329">
      <c r="H6329" s="50"/>
      <c r="I6329" s="50"/>
      <c r="O6329" s="36" t="s">
        <v>48</v>
      </c>
      <c r="R6329" s="36" t="s">
        <v>48</v>
      </c>
    </row>
    <row r="6330">
      <c r="H6330" s="50"/>
      <c r="I6330" s="50"/>
      <c r="O6330" s="36" t="s">
        <v>48</v>
      </c>
      <c r="R6330" s="36" t="s">
        <v>48</v>
      </c>
    </row>
    <row r="6331">
      <c r="H6331" s="50"/>
      <c r="I6331" s="50"/>
      <c r="O6331" s="36" t="s">
        <v>48</v>
      </c>
      <c r="R6331" s="36" t="s">
        <v>48</v>
      </c>
    </row>
    <row r="6332">
      <c r="H6332" s="50"/>
      <c r="I6332" s="50"/>
      <c r="O6332" s="36" t="s">
        <v>48</v>
      </c>
      <c r="R6332" s="36" t="s">
        <v>48</v>
      </c>
    </row>
    <row r="6333">
      <c r="H6333" s="50"/>
      <c r="I6333" s="50"/>
      <c r="O6333" s="36" t="s">
        <v>48</v>
      </c>
      <c r="R6333" s="36" t="s">
        <v>48</v>
      </c>
    </row>
    <row r="6334">
      <c r="H6334" s="50"/>
      <c r="I6334" s="50"/>
      <c r="O6334" s="36" t="s">
        <v>48</v>
      </c>
      <c r="R6334" s="36" t="s">
        <v>48</v>
      </c>
    </row>
    <row r="6335">
      <c r="H6335" s="50"/>
      <c r="I6335" s="50"/>
      <c r="O6335" s="36" t="s">
        <v>48</v>
      </c>
      <c r="R6335" s="36" t="s">
        <v>48</v>
      </c>
    </row>
    <row r="6336">
      <c r="H6336" s="50"/>
      <c r="I6336" s="50"/>
      <c r="O6336" s="36" t="s">
        <v>48</v>
      </c>
      <c r="R6336" s="36" t="s">
        <v>48</v>
      </c>
    </row>
    <row r="6337">
      <c r="H6337" s="50"/>
      <c r="I6337" s="50"/>
      <c r="O6337" s="36" t="s">
        <v>48</v>
      </c>
      <c r="R6337" s="36" t="s">
        <v>48</v>
      </c>
    </row>
    <row r="6338">
      <c r="H6338" s="50"/>
      <c r="I6338" s="50"/>
      <c r="O6338" s="36" t="s">
        <v>48</v>
      </c>
      <c r="R6338" s="36" t="s">
        <v>48</v>
      </c>
    </row>
    <row r="6339">
      <c r="H6339" s="50"/>
      <c r="I6339" s="50"/>
      <c r="O6339" s="36" t="s">
        <v>48</v>
      </c>
      <c r="R6339" s="36" t="s">
        <v>48</v>
      </c>
    </row>
    <row r="6340">
      <c r="H6340" s="50"/>
      <c r="I6340" s="50"/>
      <c r="O6340" s="36" t="s">
        <v>48</v>
      </c>
      <c r="R6340" s="36" t="s">
        <v>48</v>
      </c>
    </row>
    <row r="6341">
      <c r="H6341" s="50"/>
      <c r="I6341" s="50"/>
      <c r="O6341" s="36" t="s">
        <v>48</v>
      </c>
      <c r="R6341" s="36" t="s">
        <v>48</v>
      </c>
    </row>
    <row r="6342">
      <c r="H6342" s="50"/>
      <c r="I6342" s="50"/>
      <c r="O6342" s="36" t="s">
        <v>48</v>
      </c>
      <c r="R6342" s="36" t="s">
        <v>48</v>
      </c>
    </row>
    <row r="6343">
      <c r="H6343" s="50"/>
      <c r="I6343" s="50"/>
      <c r="O6343" s="36" t="s">
        <v>48</v>
      </c>
      <c r="R6343" s="36" t="s">
        <v>48</v>
      </c>
    </row>
    <row r="6344">
      <c r="H6344" s="50"/>
      <c r="I6344" s="50"/>
      <c r="O6344" s="36" t="s">
        <v>48</v>
      </c>
      <c r="R6344" s="36" t="s">
        <v>48</v>
      </c>
    </row>
    <row r="6345">
      <c r="H6345" s="50"/>
      <c r="I6345" s="50"/>
      <c r="O6345" s="36" t="s">
        <v>48</v>
      </c>
      <c r="R6345" s="36" t="s">
        <v>48</v>
      </c>
    </row>
    <row r="6346">
      <c r="H6346" s="50"/>
      <c r="I6346" s="50"/>
      <c r="O6346" s="36" t="s">
        <v>48</v>
      </c>
      <c r="R6346" s="36" t="s">
        <v>48</v>
      </c>
    </row>
    <row r="6347">
      <c r="H6347" s="50"/>
      <c r="I6347" s="50"/>
      <c r="O6347" s="36" t="s">
        <v>48</v>
      </c>
      <c r="R6347" s="36" t="s">
        <v>48</v>
      </c>
    </row>
    <row r="6348">
      <c r="H6348" s="50"/>
      <c r="I6348" s="50"/>
      <c r="O6348" s="36" t="s">
        <v>48</v>
      </c>
      <c r="R6348" s="36" t="s">
        <v>48</v>
      </c>
    </row>
    <row r="6349">
      <c r="H6349" s="50"/>
      <c r="I6349" s="50"/>
      <c r="O6349" s="36" t="s">
        <v>48</v>
      </c>
      <c r="R6349" s="36" t="s">
        <v>48</v>
      </c>
    </row>
    <row r="6350">
      <c r="H6350" s="50"/>
      <c r="I6350" s="50"/>
      <c r="O6350" s="36" t="s">
        <v>48</v>
      </c>
      <c r="R6350" s="36" t="s">
        <v>48</v>
      </c>
    </row>
    <row r="6351">
      <c r="H6351" s="50"/>
      <c r="I6351" s="50"/>
      <c r="O6351" s="36" t="s">
        <v>48</v>
      </c>
      <c r="R6351" s="36" t="s">
        <v>48</v>
      </c>
    </row>
    <row r="6352">
      <c r="H6352" s="50"/>
      <c r="I6352" s="50"/>
      <c r="O6352" s="36" t="s">
        <v>48</v>
      </c>
      <c r="R6352" s="36" t="s">
        <v>48</v>
      </c>
    </row>
    <row r="6353">
      <c r="H6353" s="50"/>
      <c r="I6353" s="50"/>
      <c r="O6353" s="36" t="s">
        <v>48</v>
      </c>
      <c r="R6353" s="36" t="s">
        <v>48</v>
      </c>
    </row>
    <row r="6354">
      <c r="H6354" s="50"/>
      <c r="I6354" s="50"/>
      <c r="O6354" s="36" t="s">
        <v>48</v>
      </c>
      <c r="R6354" s="36" t="s">
        <v>48</v>
      </c>
    </row>
    <row r="6355">
      <c r="H6355" s="50"/>
      <c r="I6355" s="50"/>
      <c r="O6355" s="36" t="s">
        <v>48</v>
      </c>
      <c r="R6355" s="36" t="s">
        <v>48</v>
      </c>
    </row>
    <row r="6356">
      <c r="H6356" s="50"/>
      <c r="I6356" s="50"/>
      <c r="O6356" s="36" t="s">
        <v>48</v>
      </c>
      <c r="R6356" s="36" t="s">
        <v>48</v>
      </c>
    </row>
    <row r="6357">
      <c r="H6357" s="50"/>
      <c r="I6357" s="50"/>
      <c r="O6357" s="36" t="s">
        <v>48</v>
      </c>
      <c r="R6357" s="36" t="s">
        <v>48</v>
      </c>
    </row>
    <row r="6358">
      <c r="H6358" s="50"/>
      <c r="I6358" s="50"/>
      <c r="O6358" s="36" t="s">
        <v>48</v>
      </c>
      <c r="R6358" s="36" t="s">
        <v>48</v>
      </c>
    </row>
    <row r="6359">
      <c r="H6359" s="50"/>
      <c r="I6359" s="50"/>
      <c r="O6359" s="36" t="s">
        <v>48</v>
      </c>
      <c r="R6359" s="36" t="s">
        <v>48</v>
      </c>
    </row>
    <row r="6360">
      <c r="H6360" s="50"/>
      <c r="I6360" s="50"/>
      <c r="O6360" s="36" t="s">
        <v>48</v>
      </c>
      <c r="R6360" s="36" t="s">
        <v>48</v>
      </c>
    </row>
    <row r="6361">
      <c r="H6361" s="50"/>
      <c r="I6361" s="50"/>
      <c r="O6361" s="36" t="s">
        <v>48</v>
      </c>
      <c r="R6361" s="36" t="s">
        <v>48</v>
      </c>
    </row>
    <row r="6362">
      <c r="H6362" s="50"/>
      <c r="I6362" s="50"/>
      <c r="O6362" s="36" t="s">
        <v>48</v>
      </c>
      <c r="R6362" s="36" t="s">
        <v>48</v>
      </c>
    </row>
    <row r="6363">
      <c r="H6363" s="50"/>
      <c r="I6363" s="50"/>
      <c r="O6363" s="36" t="s">
        <v>48</v>
      </c>
      <c r="R6363" s="36" t="s">
        <v>48</v>
      </c>
    </row>
    <row r="6364">
      <c r="H6364" s="50"/>
      <c r="I6364" s="50"/>
      <c r="O6364" s="36" t="s">
        <v>48</v>
      </c>
      <c r="R6364" s="36" t="s">
        <v>48</v>
      </c>
    </row>
    <row r="6365">
      <c r="H6365" s="50"/>
      <c r="I6365" s="50"/>
      <c r="O6365" s="36" t="s">
        <v>48</v>
      </c>
      <c r="R6365" s="36" t="s">
        <v>48</v>
      </c>
    </row>
    <row r="6366">
      <c r="H6366" s="50"/>
      <c r="I6366" s="50"/>
      <c r="O6366" s="36" t="s">
        <v>48</v>
      </c>
      <c r="R6366" s="36" t="s">
        <v>48</v>
      </c>
    </row>
    <row r="6367">
      <c r="H6367" s="50"/>
      <c r="I6367" s="50"/>
      <c r="O6367" s="36" t="s">
        <v>48</v>
      </c>
      <c r="R6367" s="36" t="s">
        <v>48</v>
      </c>
    </row>
    <row r="6368">
      <c r="H6368" s="50"/>
      <c r="I6368" s="50"/>
      <c r="O6368" s="36" t="s">
        <v>48</v>
      </c>
      <c r="R6368" s="36" t="s">
        <v>48</v>
      </c>
    </row>
    <row r="6369">
      <c r="H6369" s="50"/>
      <c r="I6369" s="50"/>
      <c r="O6369" s="36" t="s">
        <v>48</v>
      </c>
      <c r="R6369" s="36" t="s">
        <v>48</v>
      </c>
    </row>
    <row r="6370">
      <c r="H6370" s="50"/>
      <c r="I6370" s="50"/>
      <c r="O6370" s="36" t="s">
        <v>48</v>
      </c>
      <c r="R6370" s="36" t="s">
        <v>48</v>
      </c>
    </row>
    <row r="6371">
      <c r="H6371" s="50"/>
      <c r="I6371" s="50"/>
      <c r="O6371" s="36" t="s">
        <v>48</v>
      </c>
      <c r="R6371" s="36" t="s">
        <v>48</v>
      </c>
    </row>
    <row r="6372">
      <c r="H6372" s="50"/>
      <c r="I6372" s="50"/>
      <c r="O6372" s="36" t="s">
        <v>48</v>
      </c>
      <c r="R6372" s="36" t="s">
        <v>48</v>
      </c>
    </row>
    <row r="6373">
      <c r="H6373" s="50"/>
      <c r="I6373" s="50"/>
      <c r="O6373" s="36" t="s">
        <v>48</v>
      </c>
      <c r="R6373" s="36" t="s">
        <v>48</v>
      </c>
    </row>
    <row r="6374">
      <c r="H6374" s="50"/>
      <c r="I6374" s="50"/>
      <c r="O6374" s="36" t="s">
        <v>48</v>
      </c>
      <c r="R6374" s="36" t="s">
        <v>48</v>
      </c>
    </row>
    <row r="6375">
      <c r="H6375" s="50"/>
      <c r="I6375" s="50"/>
      <c r="O6375" s="36" t="s">
        <v>48</v>
      </c>
      <c r="R6375" s="36" t="s">
        <v>48</v>
      </c>
    </row>
    <row r="6376">
      <c r="H6376" s="50"/>
      <c r="I6376" s="50"/>
      <c r="O6376" s="36" t="s">
        <v>48</v>
      </c>
      <c r="R6376" s="36" t="s">
        <v>48</v>
      </c>
    </row>
    <row r="6377">
      <c r="H6377" s="50"/>
      <c r="I6377" s="50"/>
      <c r="O6377" s="36" t="s">
        <v>48</v>
      </c>
      <c r="R6377" s="36" t="s">
        <v>48</v>
      </c>
    </row>
    <row r="6378">
      <c r="H6378" s="50"/>
      <c r="I6378" s="50"/>
      <c r="O6378" s="36" t="s">
        <v>48</v>
      </c>
      <c r="R6378" s="36" t="s">
        <v>48</v>
      </c>
    </row>
    <row r="6379">
      <c r="H6379" s="50"/>
      <c r="I6379" s="50"/>
      <c r="O6379" s="36" t="s">
        <v>48</v>
      </c>
      <c r="R6379" s="36" t="s">
        <v>48</v>
      </c>
    </row>
    <row r="6380">
      <c r="H6380" s="50"/>
      <c r="I6380" s="50"/>
      <c r="O6380" s="36" t="s">
        <v>48</v>
      </c>
      <c r="R6380" s="36" t="s">
        <v>48</v>
      </c>
    </row>
    <row r="6381">
      <c r="H6381" s="50"/>
      <c r="I6381" s="50"/>
      <c r="O6381" s="36" t="s">
        <v>48</v>
      </c>
      <c r="R6381" s="36" t="s">
        <v>48</v>
      </c>
    </row>
    <row r="6382">
      <c r="H6382" s="50"/>
      <c r="I6382" s="50"/>
      <c r="O6382" s="36" t="s">
        <v>48</v>
      </c>
      <c r="R6382" s="36" t="s">
        <v>48</v>
      </c>
    </row>
    <row r="6383">
      <c r="H6383" s="50"/>
      <c r="I6383" s="50"/>
      <c r="O6383" s="36" t="s">
        <v>48</v>
      </c>
      <c r="R6383" s="36" t="s">
        <v>48</v>
      </c>
    </row>
    <row r="6384">
      <c r="H6384" s="50"/>
      <c r="I6384" s="50"/>
      <c r="O6384" s="36" t="s">
        <v>48</v>
      </c>
      <c r="R6384" s="36" t="s">
        <v>48</v>
      </c>
    </row>
    <row r="6385">
      <c r="H6385" s="50"/>
      <c r="I6385" s="50"/>
      <c r="O6385" s="36" t="s">
        <v>48</v>
      </c>
      <c r="R6385" s="36" t="s">
        <v>48</v>
      </c>
    </row>
    <row r="6386">
      <c r="H6386" s="50"/>
      <c r="I6386" s="50"/>
      <c r="O6386" s="36" t="s">
        <v>48</v>
      </c>
      <c r="R6386" s="36" t="s">
        <v>48</v>
      </c>
    </row>
    <row r="6387">
      <c r="H6387" s="50"/>
      <c r="I6387" s="50"/>
      <c r="O6387" s="36" t="s">
        <v>48</v>
      </c>
      <c r="R6387" s="36" t="s">
        <v>48</v>
      </c>
    </row>
    <row r="6388">
      <c r="H6388" s="50"/>
      <c r="I6388" s="50"/>
      <c r="O6388" s="36" t="s">
        <v>48</v>
      </c>
      <c r="R6388" s="36" t="s">
        <v>48</v>
      </c>
    </row>
    <row r="6389">
      <c r="H6389" s="50"/>
      <c r="I6389" s="50"/>
      <c r="O6389" s="36" t="s">
        <v>48</v>
      </c>
      <c r="R6389" s="36" t="s">
        <v>48</v>
      </c>
    </row>
    <row r="6390">
      <c r="H6390" s="50"/>
      <c r="I6390" s="50"/>
      <c r="O6390" s="36" t="s">
        <v>48</v>
      </c>
      <c r="R6390" s="36" t="s">
        <v>48</v>
      </c>
    </row>
    <row r="6391">
      <c r="H6391" s="50"/>
      <c r="I6391" s="50"/>
      <c r="O6391" s="36" t="s">
        <v>48</v>
      </c>
      <c r="R6391" s="36" t="s">
        <v>48</v>
      </c>
    </row>
    <row r="6392">
      <c r="H6392" s="50"/>
      <c r="I6392" s="50"/>
      <c r="O6392" s="36" t="s">
        <v>48</v>
      </c>
      <c r="R6392" s="36" t="s">
        <v>48</v>
      </c>
    </row>
    <row r="6393">
      <c r="H6393" s="50"/>
      <c r="I6393" s="50"/>
      <c r="O6393" s="36" t="s">
        <v>48</v>
      </c>
      <c r="R6393" s="36" t="s">
        <v>48</v>
      </c>
    </row>
    <row r="6394">
      <c r="H6394" s="50"/>
      <c r="I6394" s="50"/>
      <c r="O6394" s="36" t="s">
        <v>48</v>
      </c>
      <c r="R6394" s="36" t="s">
        <v>48</v>
      </c>
    </row>
    <row r="6395">
      <c r="H6395" s="50"/>
      <c r="I6395" s="50"/>
      <c r="O6395" s="36" t="s">
        <v>48</v>
      </c>
      <c r="R6395" s="36" t="s">
        <v>48</v>
      </c>
    </row>
    <row r="6396">
      <c r="H6396" s="50"/>
      <c r="I6396" s="50"/>
      <c r="O6396" s="36" t="s">
        <v>48</v>
      </c>
      <c r="R6396" s="36" t="s">
        <v>48</v>
      </c>
    </row>
    <row r="6397">
      <c r="H6397" s="50"/>
      <c r="I6397" s="50"/>
      <c r="O6397" s="36" t="s">
        <v>48</v>
      </c>
      <c r="R6397" s="36" t="s">
        <v>48</v>
      </c>
    </row>
    <row r="6398">
      <c r="H6398" s="50"/>
      <c r="I6398" s="50"/>
      <c r="O6398" s="36" t="s">
        <v>48</v>
      </c>
      <c r="R6398" s="36" t="s">
        <v>48</v>
      </c>
    </row>
    <row r="6399">
      <c r="H6399" s="50"/>
      <c r="I6399" s="50"/>
      <c r="O6399" s="36" t="s">
        <v>48</v>
      </c>
      <c r="R6399" s="36" t="s">
        <v>48</v>
      </c>
    </row>
    <row r="6400">
      <c r="H6400" s="50"/>
      <c r="I6400" s="50"/>
      <c r="O6400" s="36" t="s">
        <v>48</v>
      </c>
      <c r="R6400" s="36" t="s">
        <v>48</v>
      </c>
    </row>
    <row r="6401">
      <c r="H6401" s="50"/>
      <c r="I6401" s="50"/>
      <c r="O6401" s="36" t="s">
        <v>48</v>
      </c>
      <c r="R6401" s="36" t="s">
        <v>48</v>
      </c>
    </row>
    <row r="6402">
      <c r="H6402" s="50"/>
      <c r="I6402" s="50"/>
      <c r="O6402" s="36" t="s">
        <v>48</v>
      </c>
      <c r="R6402" s="36" t="s">
        <v>48</v>
      </c>
    </row>
    <row r="6403">
      <c r="H6403" s="50"/>
      <c r="I6403" s="50"/>
      <c r="O6403" s="36" t="s">
        <v>48</v>
      </c>
      <c r="R6403" s="36" t="s">
        <v>48</v>
      </c>
    </row>
    <row r="6404">
      <c r="H6404" s="50"/>
      <c r="I6404" s="50"/>
      <c r="O6404" s="36" t="s">
        <v>48</v>
      </c>
      <c r="R6404" s="36" t="s">
        <v>48</v>
      </c>
    </row>
    <row r="6405">
      <c r="H6405" s="50"/>
      <c r="I6405" s="50"/>
      <c r="O6405" s="36" t="s">
        <v>48</v>
      </c>
      <c r="R6405" s="36" t="s">
        <v>48</v>
      </c>
    </row>
    <row r="6406">
      <c r="H6406" s="50"/>
      <c r="I6406" s="50"/>
      <c r="O6406" s="36" t="s">
        <v>48</v>
      </c>
      <c r="R6406" s="36" t="s">
        <v>48</v>
      </c>
    </row>
    <row r="6407">
      <c r="H6407" s="50"/>
      <c r="I6407" s="50"/>
      <c r="O6407" s="36" t="s">
        <v>48</v>
      </c>
      <c r="R6407" s="36" t="s">
        <v>48</v>
      </c>
    </row>
    <row r="6408">
      <c r="H6408" s="50"/>
      <c r="I6408" s="50"/>
      <c r="O6408" s="36" t="s">
        <v>48</v>
      </c>
      <c r="R6408" s="36" t="s">
        <v>48</v>
      </c>
    </row>
    <row r="6409">
      <c r="H6409" s="50"/>
      <c r="I6409" s="50"/>
      <c r="O6409" s="36" t="s">
        <v>48</v>
      </c>
      <c r="R6409" s="36" t="s">
        <v>48</v>
      </c>
    </row>
    <row r="6410">
      <c r="H6410" s="50"/>
      <c r="I6410" s="50"/>
      <c r="O6410" s="36" t="s">
        <v>48</v>
      </c>
      <c r="R6410" s="36" t="s">
        <v>48</v>
      </c>
    </row>
    <row r="6411">
      <c r="H6411" s="50"/>
      <c r="I6411" s="50"/>
      <c r="O6411" s="36" t="s">
        <v>48</v>
      </c>
      <c r="R6411" s="36" t="s">
        <v>48</v>
      </c>
    </row>
    <row r="6412">
      <c r="H6412" s="50"/>
      <c r="I6412" s="50"/>
      <c r="O6412" s="36" t="s">
        <v>48</v>
      </c>
      <c r="R6412" s="36" t="s">
        <v>48</v>
      </c>
    </row>
    <row r="6413">
      <c r="H6413" s="50"/>
      <c r="I6413" s="50"/>
      <c r="O6413" s="36" t="s">
        <v>48</v>
      </c>
      <c r="R6413" s="36" t="s">
        <v>48</v>
      </c>
    </row>
    <row r="6414">
      <c r="H6414" s="50"/>
      <c r="I6414" s="50"/>
      <c r="O6414" s="36" t="s">
        <v>48</v>
      </c>
      <c r="R6414" s="36" t="s">
        <v>48</v>
      </c>
    </row>
    <row r="6415">
      <c r="H6415" s="50"/>
      <c r="I6415" s="50"/>
      <c r="O6415" s="36" t="s">
        <v>48</v>
      </c>
      <c r="R6415" s="36" t="s">
        <v>48</v>
      </c>
    </row>
    <row r="6416">
      <c r="H6416" s="50"/>
      <c r="I6416" s="50"/>
      <c r="O6416" s="36" t="s">
        <v>48</v>
      </c>
      <c r="R6416" s="36" t="s">
        <v>48</v>
      </c>
    </row>
    <row r="6417">
      <c r="H6417" s="50"/>
      <c r="I6417" s="50"/>
      <c r="O6417" s="36" t="s">
        <v>48</v>
      </c>
      <c r="R6417" s="36" t="s">
        <v>48</v>
      </c>
    </row>
    <row r="6418">
      <c r="H6418" s="50"/>
      <c r="I6418" s="50"/>
      <c r="O6418" s="36" t="s">
        <v>48</v>
      </c>
      <c r="R6418" s="36" t="s">
        <v>48</v>
      </c>
    </row>
    <row r="6419">
      <c r="H6419" s="50"/>
      <c r="I6419" s="50"/>
      <c r="O6419" s="36" t="s">
        <v>48</v>
      </c>
      <c r="R6419" s="36" t="s">
        <v>48</v>
      </c>
    </row>
    <row r="6420">
      <c r="H6420" s="50"/>
      <c r="I6420" s="50"/>
      <c r="O6420" s="36" t="s">
        <v>48</v>
      </c>
      <c r="R6420" s="36" t="s">
        <v>48</v>
      </c>
    </row>
    <row r="6421">
      <c r="H6421" s="50"/>
      <c r="I6421" s="50"/>
      <c r="O6421" s="36" t="s">
        <v>48</v>
      </c>
      <c r="R6421" s="36" t="s">
        <v>48</v>
      </c>
    </row>
    <row r="6422">
      <c r="H6422" s="50"/>
      <c r="I6422" s="50"/>
      <c r="O6422" s="36" t="s">
        <v>48</v>
      </c>
      <c r="R6422" s="36" t="s">
        <v>48</v>
      </c>
    </row>
    <row r="6423">
      <c r="H6423" s="50"/>
      <c r="I6423" s="50"/>
      <c r="O6423" s="36" t="s">
        <v>48</v>
      </c>
      <c r="R6423" s="36" t="s">
        <v>48</v>
      </c>
    </row>
    <row r="6424">
      <c r="H6424" s="50"/>
      <c r="I6424" s="50"/>
      <c r="O6424" s="36" t="s">
        <v>48</v>
      </c>
      <c r="R6424" s="36" t="s">
        <v>48</v>
      </c>
    </row>
    <row r="6425">
      <c r="H6425" s="50"/>
      <c r="I6425" s="50"/>
      <c r="O6425" s="36" t="s">
        <v>48</v>
      </c>
      <c r="R6425" s="36" t="s">
        <v>48</v>
      </c>
    </row>
    <row r="6426">
      <c r="H6426" s="50"/>
      <c r="I6426" s="50"/>
      <c r="O6426" s="36" t="s">
        <v>48</v>
      </c>
      <c r="R6426" s="36" t="s">
        <v>48</v>
      </c>
    </row>
    <row r="6427">
      <c r="H6427" s="50"/>
      <c r="I6427" s="50"/>
      <c r="O6427" s="36" t="s">
        <v>48</v>
      </c>
      <c r="R6427" s="36" t="s">
        <v>48</v>
      </c>
    </row>
    <row r="6428">
      <c r="H6428" s="50"/>
      <c r="I6428" s="50"/>
      <c r="O6428" s="36" t="s">
        <v>48</v>
      </c>
      <c r="R6428" s="36" t="s">
        <v>48</v>
      </c>
    </row>
    <row r="6429">
      <c r="H6429" s="50"/>
      <c r="I6429" s="50"/>
      <c r="O6429" s="36" t="s">
        <v>48</v>
      </c>
      <c r="R6429" s="36" t="s">
        <v>48</v>
      </c>
    </row>
    <row r="6430">
      <c r="H6430" s="50"/>
      <c r="I6430" s="50"/>
      <c r="O6430" s="36" t="s">
        <v>48</v>
      </c>
      <c r="R6430" s="36" t="s">
        <v>48</v>
      </c>
    </row>
    <row r="6431">
      <c r="H6431" s="50"/>
      <c r="I6431" s="50"/>
      <c r="O6431" s="36" t="s">
        <v>48</v>
      </c>
      <c r="R6431" s="36" t="s">
        <v>48</v>
      </c>
    </row>
    <row r="6432">
      <c r="H6432" s="50"/>
      <c r="I6432" s="50"/>
      <c r="O6432" s="36" t="s">
        <v>48</v>
      </c>
      <c r="R6432" s="36" t="s">
        <v>48</v>
      </c>
    </row>
    <row r="6433">
      <c r="H6433" s="50"/>
      <c r="I6433" s="50"/>
      <c r="O6433" s="36" t="s">
        <v>48</v>
      </c>
      <c r="R6433" s="36" t="s">
        <v>48</v>
      </c>
    </row>
    <row r="6434">
      <c r="H6434" s="50"/>
      <c r="I6434" s="50"/>
      <c r="O6434" s="36" t="s">
        <v>48</v>
      </c>
      <c r="R6434" s="36" t="s">
        <v>48</v>
      </c>
    </row>
    <row r="6435">
      <c r="H6435" s="50"/>
      <c r="I6435" s="50"/>
      <c r="O6435" s="36" t="s">
        <v>48</v>
      </c>
      <c r="R6435" s="36" t="s">
        <v>48</v>
      </c>
    </row>
    <row r="6436">
      <c r="H6436" s="50"/>
      <c r="I6436" s="50"/>
      <c r="O6436" s="36" t="s">
        <v>48</v>
      </c>
      <c r="R6436" s="36" t="s">
        <v>48</v>
      </c>
    </row>
    <row r="6437">
      <c r="H6437" s="50"/>
      <c r="I6437" s="50"/>
      <c r="O6437" s="36" t="s">
        <v>48</v>
      </c>
      <c r="R6437" s="36" t="s">
        <v>48</v>
      </c>
    </row>
    <row r="6438">
      <c r="H6438" s="50"/>
      <c r="I6438" s="50"/>
      <c r="O6438" s="36" t="s">
        <v>48</v>
      </c>
      <c r="R6438" s="36" t="s">
        <v>48</v>
      </c>
    </row>
    <row r="6439">
      <c r="H6439" s="50"/>
      <c r="I6439" s="50"/>
      <c r="O6439" s="36" t="s">
        <v>48</v>
      </c>
      <c r="R6439" s="36" t="s">
        <v>48</v>
      </c>
    </row>
    <row r="6440">
      <c r="H6440" s="50"/>
      <c r="I6440" s="50"/>
      <c r="O6440" s="36" t="s">
        <v>48</v>
      </c>
      <c r="R6440" s="36" t="s">
        <v>48</v>
      </c>
    </row>
    <row r="6441">
      <c r="H6441" s="50"/>
      <c r="I6441" s="50"/>
      <c r="O6441" s="36" t="s">
        <v>48</v>
      </c>
      <c r="R6441" s="36" t="s">
        <v>48</v>
      </c>
    </row>
    <row r="6442">
      <c r="H6442" s="50"/>
      <c r="I6442" s="50"/>
      <c r="O6442" s="36" t="s">
        <v>48</v>
      </c>
      <c r="R6442" s="36" t="s">
        <v>48</v>
      </c>
    </row>
    <row r="6443">
      <c r="H6443" s="50"/>
      <c r="I6443" s="50"/>
      <c r="O6443" s="36" t="s">
        <v>48</v>
      </c>
      <c r="R6443" s="36" t="s">
        <v>48</v>
      </c>
    </row>
    <row r="6444">
      <c r="H6444" s="50"/>
      <c r="I6444" s="50"/>
      <c r="O6444" s="36" t="s">
        <v>48</v>
      </c>
      <c r="R6444" s="36" t="s">
        <v>48</v>
      </c>
    </row>
    <row r="6445">
      <c r="H6445" s="50"/>
      <c r="I6445" s="50"/>
      <c r="O6445" s="36" t="s">
        <v>48</v>
      </c>
      <c r="R6445" s="36" t="s">
        <v>48</v>
      </c>
    </row>
    <row r="6446">
      <c r="H6446" s="50"/>
      <c r="I6446" s="50"/>
      <c r="O6446" s="36" t="s">
        <v>48</v>
      </c>
      <c r="R6446" s="36" t="s">
        <v>48</v>
      </c>
    </row>
    <row r="6447">
      <c r="H6447" s="50"/>
      <c r="I6447" s="50"/>
      <c r="O6447" s="36" t="s">
        <v>48</v>
      </c>
      <c r="R6447" s="36" t="s">
        <v>48</v>
      </c>
    </row>
    <row r="6448">
      <c r="H6448" s="50"/>
      <c r="I6448" s="50"/>
      <c r="O6448" s="36" t="s">
        <v>48</v>
      </c>
      <c r="R6448" s="36" t="s">
        <v>48</v>
      </c>
    </row>
    <row r="6449">
      <c r="H6449" s="50"/>
      <c r="I6449" s="50"/>
      <c r="O6449" s="36" t="s">
        <v>48</v>
      </c>
      <c r="R6449" s="36" t="s">
        <v>48</v>
      </c>
    </row>
    <row r="6450">
      <c r="H6450" s="50"/>
      <c r="I6450" s="50"/>
      <c r="O6450" s="36" t="s">
        <v>48</v>
      </c>
      <c r="R6450" s="36" t="s">
        <v>48</v>
      </c>
    </row>
    <row r="6451">
      <c r="H6451" s="50"/>
      <c r="I6451" s="50"/>
      <c r="O6451" s="36" t="s">
        <v>48</v>
      </c>
      <c r="R6451" s="36" t="s">
        <v>48</v>
      </c>
    </row>
    <row r="6452">
      <c r="H6452" s="50"/>
      <c r="I6452" s="50"/>
      <c r="O6452" s="36" t="s">
        <v>48</v>
      </c>
      <c r="R6452" s="36" t="s">
        <v>48</v>
      </c>
    </row>
    <row r="6453">
      <c r="H6453" s="50"/>
      <c r="I6453" s="50"/>
      <c r="O6453" s="36" t="s">
        <v>48</v>
      </c>
      <c r="R6453" s="36" t="s">
        <v>48</v>
      </c>
    </row>
    <row r="6454">
      <c r="H6454" s="50"/>
      <c r="I6454" s="50"/>
      <c r="O6454" s="36" t="s">
        <v>48</v>
      </c>
      <c r="R6454" s="36" t="s">
        <v>48</v>
      </c>
    </row>
    <row r="6455">
      <c r="H6455" s="50"/>
      <c r="I6455" s="50"/>
      <c r="O6455" s="36" t="s">
        <v>48</v>
      </c>
      <c r="R6455" s="36" t="s">
        <v>48</v>
      </c>
    </row>
    <row r="6456">
      <c r="H6456" s="50"/>
      <c r="I6456" s="50"/>
      <c r="O6456" s="36" t="s">
        <v>48</v>
      </c>
      <c r="R6456" s="36" t="s">
        <v>48</v>
      </c>
    </row>
    <row r="6457">
      <c r="H6457" s="50"/>
      <c r="I6457" s="50"/>
      <c r="O6457" s="36" t="s">
        <v>48</v>
      </c>
      <c r="R6457" s="36" t="s">
        <v>48</v>
      </c>
    </row>
    <row r="6458">
      <c r="H6458" s="50"/>
      <c r="I6458" s="50"/>
      <c r="O6458" s="36" t="s">
        <v>48</v>
      </c>
      <c r="R6458" s="36" t="s">
        <v>48</v>
      </c>
    </row>
    <row r="6459">
      <c r="H6459" s="50"/>
      <c r="I6459" s="50"/>
      <c r="O6459" s="36" t="s">
        <v>48</v>
      </c>
      <c r="R6459" s="36" t="s">
        <v>48</v>
      </c>
    </row>
    <row r="6460">
      <c r="H6460" s="50"/>
      <c r="I6460" s="50"/>
      <c r="O6460" s="36" t="s">
        <v>48</v>
      </c>
      <c r="R6460" s="36" t="s">
        <v>48</v>
      </c>
    </row>
    <row r="6461">
      <c r="H6461" s="50"/>
      <c r="I6461" s="50"/>
      <c r="O6461" s="36" t="s">
        <v>48</v>
      </c>
      <c r="R6461" s="36" t="s">
        <v>48</v>
      </c>
    </row>
    <row r="6462">
      <c r="H6462" s="50"/>
      <c r="I6462" s="50"/>
      <c r="O6462" s="36" t="s">
        <v>48</v>
      </c>
      <c r="R6462" s="36" t="s">
        <v>48</v>
      </c>
    </row>
    <row r="6463">
      <c r="H6463" s="50"/>
      <c r="I6463" s="50"/>
      <c r="O6463" s="36" t="s">
        <v>48</v>
      </c>
      <c r="R6463" s="36" t="s">
        <v>48</v>
      </c>
    </row>
    <row r="6464">
      <c r="H6464" s="50"/>
      <c r="I6464" s="50"/>
      <c r="O6464" s="36" t="s">
        <v>48</v>
      </c>
      <c r="R6464" s="36" t="s">
        <v>48</v>
      </c>
    </row>
    <row r="6465">
      <c r="H6465" s="50"/>
      <c r="I6465" s="50"/>
      <c r="O6465" s="36" t="s">
        <v>48</v>
      </c>
      <c r="R6465" s="36" t="s">
        <v>48</v>
      </c>
    </row>
    <row r="6466">
      <c r="H6466" s="50"/>
      <c r="I6466" s="50"/>
      <c r="O6466" s="36" t="s">
        <v>48</v>
      </c>
      <c r="R6466" s="36" t="s">
        <v>48</v>
      </c>
    </row>
    <row r="6467">
      <c r="H6467" s="50"/>
      <c r="I6467" s="50"/>
      <c r="O6467" s="36" t="s">
        <v>48</v>
      </c>
      <c r="R6467" s="36" t="s">
        <v>48</v>
      </c>
    </row>
    <row r="6468">
      <c r="H6468" s="50"/>
      <c r="I6468" s="50"/>
      <c r="O6468" s="36" t="s">
        <v>48</v>
      </c>
      <c r="R6468" s="36" t="s">
        <v>48</v>
      </c>
    </row>
    <row r="6469">
      <c r="H6469" s="50"/>
      <c r="I6469" s="50"/>
      <c r="O6469" s="36" t="s">
        <v>48</v>
      </c>
      <c r="R6469" s="36" t="s">
        <v>48</v>
      </c>
    </row>
    <row r="6470">
      <c r="H6470" s="50"/>
      <c r="I6470" s="50"/>
      <c r="O6470" s="36" t="s">
        <v>48</v>
      </c>
      <c r="R6470" s="36" t="s">
        <v>48</v>
      </c>
    </row>
    <row r="6471">
      <c r="H6471" s="50"/>
      <c r="I6471" s="50"/>
      <c r="O6471" s="36" t="s">
        <v>48</v>
      </c>
      <c r="R6471" s="36" t="s">
        <v>48</v>
      </c>
    </row>
    <row r="6472">
      <c r="H6472" s="50"/>
      <c r="I6472" s="50"/>
      <c r="O6472" s="36" t="s">
        <v>48</v>
      </c>
      <c r="R6472" s="36" t="s">
        <v>48</v>
      </c>
    </row>
    <row r="6473">
      <c r="H6473" s="50"/>
      <c r="I6473" s="50"/>
      <c r="O6473" s="36" t="s">
        <v>48</v>
      </c>
      <c r="R6473" s="36" t="s">
        <v>48</v>
      </c>
    </row>
    <row r="6474">
      <c r="H6474" s="50"/>
      <c r="I6474" s="50"/>
      <c r="O6474" s="36" t="s">
        <v>48</v>
      </c>
      <c r="R6474" s="36" t="s">
        <v>48</v>
      </c>
    </row>
    <row r="6475">
      <c r="H6475" s="50"/>
      <c r="I6475" s="50"/>
      <c r="O6475" s="36" t="s">
        <v>48</v>
      </c>
      <c r="R6475" s="36" t="s">
        <v>48</v>
      </c>
    </row>
    <row r="6476">
      <c r="H6476" s="50"/>
      <c r="I6476" s="50"/>
      <c r="O6476" s="36" t="s">
        <v>48</v>
      </c>
      <c r="R6476" s="36" t="s">
        <v>48</v>
      </c>
    </row>
    <row r="6477">
      <c r="H6477" s="50"/>
      <c r="I6477" s="50"/>
      <c r="O6477" s="36" t="s">
        <v>48</v>
      </c>
      <c r="R6477" s="36" t="s">
        <v>48</v>
      </c>
    </row>
    <row r="6478">
      <c r="H6478" s="50"/>
      <c r="I6478" s="50"/>
      <c r="O6478" s="36" t="s">
        <v>48</v>
      </c>
      <c r="R6478" s="36" t="s">
        <v>48</v>
      </c>
    </row>
    <row r="6479">
      <c r="H6479" s="50"/>
      <c r="I6479" s="50"/>
      <c r="O6479" s="36" t="s">
        <v>48</v>
      </c>
      <c r="R6479" s="36" t="s">
        <v>48</v>
      </c>
    </row>
    <row r="6480">
      <c r="H6480" s="50"/>
      <c r="I6480" s="50"/>
      <c r="O6480" s="36" t="s">
        <v>48</v>
      </c>
      <c r="R6480" s="36" t="s">
        <v>48</v>
      </c>
    </row>
    <row r="6481">
      <c r="H6481" s="50"/>
      <c r="I6481" s="50"/>
      <c r="O6481" s="36" t="s">
        <v>48</v>
      </c>
      <c r="R6481" s="36" t="s">
        <v>48</v>
      </c>
    </row>
    <row r="6482">
      <c r="H6482" s="50"/>
      <c r="I6482" s="50"/>
      <c r="O6482" s="36" t="s">
        <v>48</v>
      </c>
      <c r="R6482" s="36" t="s">
        <v>48</v>
      </c>
    </row>
    <row r="6483">
      <c r="H6483" s="50"/>
      <c r="I6483" s="50"/>
      <c r="O6483" s="36" t="s">
        <v>48</v>
      </c>
      <c r="R6483" s="36" t="s">
        <v>48</v>
      </c>
    </row>
    <row r="6484">
      <c r="H6484" s="50"/>
      <c r="I6484" s="50"/>
      <c r="O6484" s="36" t="s">
        <v>48</v>
      </c>
      <c r="R6484" s="36" t="s">
        <v>48</v>
      </c>
    </row>
    <row r="6485">
      <c r="H6485" s="50"/>
      <c r="I6485" s="50"/>
      <c r="O6485" s="36" t="s">
        <v>48</v>
      </c>
      <c r="R6485" s="36" t="s">
        <v>48</v>
      </c>
    </row>
    <row r="6486">
      <c r="H6486" s="50"/>
      <c r="I6486" s="50"/>
      <c r="O6486" s="36" t="s">
        <v>48</v>
      </c>
      <c r="R6486" s="36" t="s">
        <v>48</v>
      </c>
    </row>
    <row r="6487">
      <c r="H6487" s="50"/>
      <c r="I6487" s="50"/>
      <c r="O6487" s="36" t="s">
        <v>48</v>
      </c>
      <c r="R6487" s="36" t="s">
        <v>48</v>
      </c>
    </row>
    <row r="6488">
      <c r="H6488" s="50"/>
      <c r="I6488" s="50"/>
      <c r="O6488" s="36" t="s">
        <v>48</v>
      </c>
      <c r="R6488" s="36" t="s">
        <v>48</v>
      </c>
    </row>
    <row r="6489">
      <c r="H6489" s="50"/>
      <c r="I6489" s="50"/>
      <c r="O6489" s="36" t="s">
        <v>48</v>
      </c>
      <c r="R6489" s="36" t="s">
        <v>48</v>
      </c>
    </row>
    <row r="6490">
      <c r="H6490" s="50"/>
      <c r="I6490" s="50"/>
      <c r="O6490" s="36" t="s">
        <v>48</v>
      </c>
      <c r="R6490" s="36" t="s">
        <v>48</v>
      </c>
    </row>
    <row r="6491">
      <c r="H6491" s="50"/>
      <c r="I6491" s="50"/>
      <c r="O6491" s="36" t="s">
        <v>48</v>
      </c>
      <c r="R6491" s="36" t="s">
        <v>48</v>
      </c>
    </row>
    <row r="6492">
      <c r="H6492" s="50"/>
      <c r="I6492" s="50"/>
      <c r="O6492" s="36" t="s">
        <v>48</v>
      </c>
      <c r="R6492" s="36" t="s">
        <v>48</v>
      </c>
    </row>
    <row r="6493">
      <c r="H6493" s="50"/>
      <c r="I6493" s="50"/>
      <c r="O6493" s="36" t="s">
        <v>48</v>
      </c>
      <c r="R6493" s="36" t="s">
        <v>48</v>
      </c>
    </row>
    <row r="6494">
      <c r="H6494" s="50"/>
      <c r="I6494" s="50"/>
      <c r="O6494" s="36" t="s">
        <v>48</v>
      </c>
      <c r="R6494" s="36" t="s">
        <v>48</v>
      </c>
    </row>
    <row r="6495">
      <c r="H6495" s="50"/>
      <c r="I6495" s="50"/>
      <c r="O6495" s="36" t="s">
        <v>48</v>
      </c>
      <c r="R6495" s="36" t="s">
        <v>48</v>
      </c>
    </row>
    <row r="6496">
      <c r="H6496" s="50"/>
      <c r="I6496" s="50"/>
      <c r="O6496" s="36" t="s">
        <v>48</v>
      </c>
      <c r="R6496" s="36" t="s">
        <v>48</v>
      </c>
    </row>
    <row r="6497">
      <c r="H6497" s="50"/>
      <c r="I6497" s="50"/>
      <c r="O6497" s="36" t="s">
        <v>48</v>
      </c>
      <c r="R6497" s="36" t="s">
        <v>48</v>
      </c>
    </row>
    <row r="6498">
      <c r="H6498" s="50"/>
      <c r="I6498" s="50"/>
      <c r="O6498" s="36" t="s">
        <v>48</v>
      </c>
      <c r="R6498" s="36" t="s">
        <v>48</v>
      </c>
    </row>
    <row r="6499">
      <c r="H6499" s="50"/>
      <c r="I6499" s="50"/>
      <c r="O6499" s="36" t="s">
        <v>48</v>
      </c>
      <c r="R6499" s="36" t="s">
        <v>48</v>
      </c>
    </row>
    <row r="6500">
      <c r="H6500" s="50"/>
      <c r="I6500" s="50"/>
      <c r="O6500" s="36" t="s">
        <v>48</v>
      </c>
      <c r="R6500" s="36" t="s">
        <v>48</v>
      </c>
    </row>
    <row r="6501">
      <c r="H6501" s="50"/>
      <c r="I6501" s="50"/>
      <c r="O6501" s="36" t="s">
        <v>48</v>
      </c>
      <c r="R6501" s="36" t="s">
        <v>48</v>
      </c>
    </row>
    <row r="6502">
      <c r="H6502" s="50"/>
      <c r="I6502" s="50"/>
      <c r="O6502" s="36" t="s">
        <v>48</v>
      </c>
      <c r="R6502" s="36" t="s">
        <v>48</v>
      </c>
    </row>
    <row r="6503">
      <c r="H6503" s="50"/>
      <c r="I6503" s="50"/>
      <c r="O6503" s="36" t="s">
        <v>48</v>
      </c>
      <c r="R6503" s="36" t="s">
        <v>48</v>
      </c>
    </row>
    <row r="6504">
      <c r="H6504" s="50"/>
      <c r="I6504" s="50"/>
      <c r="O6504" s="36" t="s">
        <v>48</v>
      </c>
      <c r="R6504" s="36" t="s">
        <v>48</v>
      </c>
    </row>
    <row r="6505">
      <c r="H6505" s="50"/>
      <c r="I6505" s="50"/>
      <c r="O6505" s="36" t="s">
        <v>48</v>
      </c>
      <c r="R6505" s="36" t="s">
        <v>48</v>
      </c>
    </row>
    <row r="6506">
      <c r="H6506" s="50"/>
      <c r="I6506" s="50"/>
      <c r="O6506" s="36" t="s">
        <v>48</v>
      </c>
      <c r="R6506" s="36" t="s">
        <v>48</v>
      </c>
    </row>
    <row r="6507">
      <c r="H6507" s="50"/>
      <c r="I6507" s="50"/>
      <c r="O6507" s="36" t="s">
        <v>48</v>
      </c>
      <c r="R6507" s="36" t="s">
        <v>48</v>
      </c>
    </row>
    <row r="6508">
      <c r="H6508" s="50"/>
      <c r="I6508" s="50"/>
      <c r="O6508" s="36" t="s">
        <v>48</v>
      </c>
      <c r="R6508" s="36" t="s">
        <v>48</v>
      </c>
    </row>
    <row r="6509">
      <c r="H6509" s="50"/>
      <c r="I6509" s="50"/>
      <c r="O6509" s="36" t="s">
        <v>48</v>
      </c>
      <c r="R6509" s="36" t="s">
        <v>48</v>
      </c>
    </row>
    <row r="6510">
      <c r="H6510" s="50"/>
      <c r="I6510" s="50"/>
      <c r="O6510" s="36" t="s">
        <v>48</v>
      </c>
      <c r="R6510" s="36" t="s">
        <v>48</v>
      </c>
    </row>
    <row r="6511">
      <c r="H6511" s="50"/>
      <c r="I6511" s="50"/>
      <c r="O6511" s="36" t="s">
        <v>48</v>
      </c>
      <c r="R6511" s="36" t="s">
        <v>48</v>
      </c>
    </row>
    <row r="6512">
      <c r="H6512" s="50"/>
      <c r="I6512" s="50"/>
      <c r="O6512" s="36" t="s">
        <v>48</v>
      </c>
      <c r="R6512" s="36" t="s">
        <v>48</v>
      </c>
    </row>
    <row r="6513">
      <c r="H6513" s="50"/>
      <c r="I6513" s="50"/>
      <c r="O6513" s="36" t="s">
        <v>48</v>
      </c>
      <c r="R6513" s="36" t="s">
        <v>48</v>
      </c>
    </row>
    <row r="6514">
      <c r="H6514" s="50"/>
      <c r="I6514" s="50"/>
      <c r="O6514" s="36" t="s">
        <v>48</v>
      </c>
      <c r="R6514" s="36" t="s">
        <v>48</v>
      </c>
    </row>
    <row r="6515">
      <c r="H6515" s="50"/>
      <c r="I6515" s="50"/>
      <c r="O6515" s="36" t="s">
        <v>48</v>
      </c>
      <c r="R6515" s="36" t="s">
        <v>48</v>
      </c>
    </row>
    <row r="6516">
      <c r="H6516" s="50"/>
      <c r="I6516" s="50"/>
      <c r="O6516" s="36" t="s">
        <v>48</v>
      </c>
      <c r="R6516" s="36" t="s">
        <v>48</v>
      </c>
    </row>
    <row r="6517">
      <c r="H6517" s="50"/>
      <c r="I6517" s="50"/>
      <c r="O6517" s="36" t="s">
        <v>48</v>
      </c>
      <c r="R6517" s="36" t="s">
        <v>48</v>
      </c>
    </row>
    <row r="6518">
      <c r="H6518" s="50"/>
      <c r="I6518" s="50"/>
      <c r="O6518" s="36" t="s">
        <v>48</v>
      </c>
      <c r="R6518" s="36" t="s">
        <v>48</v>
      </c>
    </row>
    <row r="6519">
      <c r="H6519" s="50"/>
      <c r="I6519" s="50"/>
      <c r="O6519" s="36" t="s">
        <v>48</v>
      </c>
      <c r="R6519" s="36" t="s">
        <v>48</v>
      </c>
    </row>
    <row r="6520">
      <c r="H6520" s="50"/>
      <c r="I6520" s="50"/>
      <c r="O6520" s="36" t="s">
        <v>48</v>
      </c>
      <c r="R6520" s="36" t="s">
        <v>48</v>
      </c>
    </row>
    <row r="6521">
      <c r="H6521" s="50"/>
      <c r="I6521" s="50"/>
      <c r="O6521" s="36" t="s">
        <v>48</v>
      </c>
      <c r="R6521" s="36" t="s">
        <v>48</v>
      </c>
    </row>
    <row r="6522">
      <c r="H6522" s="50"/>
      <c r="I6522" s="50"/>
      <c r="O6522" s="36" t="s">
        <v>48</v>
      </c>
      <c r="R6522" s="36" t="s">
        <v>48</v>
      </c>
    </row>
    <row r="6523">
      <c r="H6523" s="50"/>
      <c r="I6523" s="50"/>
      <c r="O6523" s="36" t="s">
        <v>48</v>
      </c>
      <c r="R6523" s="36" t="s">
        <v>48</v>
      </c>
    </row>
    <row r="6524">
      <c r="H6524" s="50"/>
      <c r="I6524" s="50"/>
      <c r="O6524" s="36" t="s">
        <v>48</v>
      </c>
      <c r="R6524" s="36" t="s">
        <v>48</v>
      </c>
    </row>
    <row r="6525">
      <c r="H6525" s="50"/>
      <c r="I6525" s="50"/>
      <c r="O6525" s="36" t="s">
        <v>48</v>
      </c>
      <c r="R6525" s="36" t="s">
        <v>48</v>
      </c>
    </row>
    <row r="6526">
      <c r="H6526" s="50"/>
      <c r="I6526" s="50"/>
      <c r="O6526" s="36" t="s">
        <v>48</v>
      </c>
      <c r="R6526" s="36" t="s">
        <v>48</v>
      </c>
    </row>
    <row r="6527">
      <c r="H6527" s="50"/>
      <c r="I6527" s="50"/>
      <c r="O6527" s="36" t="s">
        <v>48</v>
      </c>
      <c r="R6527" s="36" t="s">
        <v>48</v>
      </c>
    </row>
    <row r="6528">
      <c r="H6528" s="50"/>
      <c r="I6528" s="50"/>
      <c r="O6528" s="36" t="s">
        <v>48</v>
      </c>
      <c r="R6528" s="36" t="s">
        <v>48</v>
      </c>
    </row>
    <row r="6529">
      <c r="H6529" s="50"/>
      <c r="I6529" s="50"/>
      <c r="O6529" s="36" t="s">
        <v>48</v>
      </c>
      <c r="R6529" s="36" t="s">
        <v>48</v>
      </c>
    </row>
    <row r="6530">
      <c r="H6530" s="50"/>
      <c r="I6530" s="50"/>
      <c r="O6530" s="36" t="s">
        <v>48</v>
      </c>
      <c r="R6530" s="36" t="s">
        <v>48</v>
      </c>
    </row>
    <row r="6531">
      <c r="H6531" s="50"/>
      <c r="I6531" s="50"/>
      <c r="O6531" s="36" t="s">
        <v>48</v>
      </c>
      <c r="R6531" s="36" t="s">
        <v>48</v>
      </c>
    </row>
    <row r="6532">
      <c r="H6532" s="50"/>
      <c r="I6532" s="50"/>
      <c r="O6532" s="36" t="s">
        <v>48</v>
      </c>
      <c r="R6532" s="36" t="s">
        <v>48</v>
      </c>
    </row>
    <row r="6533">
      <c r="H6533" s="50"/>
      <c r="I6533" s="50"/>
      <c r="O6533" s="36" t="s">
        <v>48</v>
      </c>
      <c r="R6533" s="36" t="s">
        <v>48</v>
      </c>
    </row>
    <row r="6534">
      <c r="H6534" s="50"/>
      <c r="I6534" s="50"/>
      <c r="O6534" s="36" t="s">
        <v>48</v>
      </c>
      <c r="R6534" s="36" t="s">
        <v>48</v>
      </c>
    </row>
    <row r="6535">
      <c r="H6535" s="50"/>
      <c r="I6535" s="50"/>
      <c r="O6535" s="36" t="s">
        <v>48</v>
      </c>
      <c r="R6535" s="36" t="s">
        <v>48</v>
      </c>
    </row>
    <row r="6536">
      <c r="H6536" s="50"/>
      <c r="I6536" s="50"/>
      <c r="O6536" s="36" t="s">
        <v>48</v>
      </c>
      <c r="R6536" s="36" t="s">
        <v>48</v>
      </c>
    </row>
    <row r="6537">
      <c r="H6537" s="50"/>
      <c r="I6537" s="50"/>
      <c r="O6537" s="36" t="s">
        <v>48</v>
      </c>
      <c r="R6537" s="36" t="s">
        <v>48</v>
      </c>
    </row>
    <row r="6538">
      <c r="H6538" s="50"/>
      <c r="I6538" s="50"/>
      <c r="O6538" s="36" t="s">
        <v>48</v>
      </c>
      <c r="R6538" s="36" t="s">
        <v>48</v>
      </c>
    </row>
    <row r="6539">
      <c r="H6539" s="50"/>
      <c r="I6539" s="50"/>
      <c r="O6539" s="36" t="s">
        <v>48</v>
      </c>
      <c r="R6539" s="36" t="s">
        <v>48</v>
      </c>
    </row>
    <row r="6540">
      <c r="H6540" s="50"/>
      <c r="I6540" s="50"/>
      <c r="O6540" s="36" t="s">
        <v>48</v>
      </c>
      <c r="R6540" s="36" t="s">
        <v>48</v>
      </c>
    </row>
    <row r="6541">
      <c r="H6541" s="50"/>
      <c r="I6541" s="50"/>
      <c r="O6541" s="36" t="s">
        <v>48</v>
      </c>
      <c r="R6541" s="36" t="s">
        <v>48</v>
      </c>
    </row>
    <row r="6542">
      <c r="H6542" s="50"/>
      <c r="I6542" s="50"/>
      <c r="O6542" s="36" t="s">
        <v>48</v>
      </c>
      <c r="R6542" s="36" t="s">
        <v>48</v>
      </c>
    </row>
    <row r="6543">
      <c r="H6543" s="50"/>
      <c r="I6543" s="50"/>
      <c r="O6543" s="36" t="s">
        <v>48</v>
      </c>
      <c r="R6543" s="36" t="s">
        <v>48</v>
      </c>
    </row>
    <row r="6544">
      <c r="H6544" s="50"/>
      <c r="I6544" s="50"/>
      <c r="O6544" s="36" t="s">
        <v>48</v>
      </c>
      <c r="R6544" s="36" t="s">
        <v>48</v>
      </c>
    </row>
    <row r="6545">
      <c r="H6545" s="50"/>
      <c r="I6545" s="50"/>
      <c r="O6545" s="36" t="s">
        <v>48</v>
      </c>
      <c r="R6545" s="36" t="s">
        <v>48</v>
      </c>
    </row>
    <row r="6546">
      <c r="H6546" s="50"/>
      <c r="I6546" s="50"/>
      <c r="O6546" s="36" t="s">
        <v>48</v>
      </c>
      <c r="R6546" s="36" t="s">
        <v>48</v>
      </c>
    </row>
    <row r="6547">
      <c r="H6547" s="50"/>
      <c r="I6547" s="50"/>
      <c r="O6547" s="36" t="s">
        <v>48</v>
      </c>
      <c r="R6547" s="36" t="s">
        <v>48</v>
      </c>
    </row>
    <row r="6548">
      <c r="H6548" s="50"/>
      <c r="I6548" s="50"/>
      <c r="O6548" s="36" t="s">
        <v>48</v>
      </c>
      <c r="R6548" s="36" t="s">
        <v>48</v>
      </c>
    </row>
    <row r="6549">
      <c r="H6549" s="50"/>
      <c r="I6549" s="50"/>
      <c r="O6549" s="36" t="s">
        <v>48</v>
      </c>
      <c r="R6549" s="36" t="s">
        <v>48</v>
      </c>
    </row>
    <row r="6550">
      <c r="H6550" s="50"/>
      <c r="I6550" s="50"/>
      <c r="O6550" s="36" t="s">
        <v>48</v>
      </c>
      <c r="R6550" s="36" t="s">
        <v>48</v>
      </c>
    </row>
    <row r="6551">
      <c r="H6551" s="50"/>
      <c r="I6551" s="50"/>
      <c r="O6551" s="36" t="s">
        <v>48</v>
      </c>
      <c r="R6551" s="36" t="s">
        <v>48</v>
      </c>
    </row>
    <row r="6552">
      <c r="H6552" s="50"/>
      <c r="I6552" s="50"/>
      <c r="O6552" s="36" t="s">
        <v>48</v>
      </c>
      <c r="R6552" s="36" t="s">
        <v>48</v>
      </c>
    </row>
    <row r="6553">
      <c r="H6553" s="50"/>
      <c r="I6553" s="50"/>
      <c r="O6553" s="36" t="s">
        <v>48</v>
      </c>
      <c r="R6553" s="36" t="s">
        <v>48</v>
      </c>
    </row>
    <row r="6554">
      <c r="H6554" s="50"/>
      <c r="I6554" s="50"/>
      <c r="O6554" s="36" t="s">
        <v>48</v>
      </c>
      <c r="R6554" s="36" t="s">
        <v>48</v>
      </c>
    </row>
    <row r="6555">
      <c r="H6555" s="50"/>
      <c r="I6555" s="50"/>
      <c r="O6555" s="36" t="s">
        <v>48</v>
      </c>
      <c r="R6555" s="36" t="s">
        <v>48</v>
      </c>
    </row>
    <row r="6556">
      <c r="H6556" s="50"/>
      <c r="I6556" s="50"/>
      <c r="O6556" s="36" t="s">
        <v>48</v>
      </c>
      <c r="R6556" s="36" t="s">
        <v>48</v>
      </c>
    </row>
    <row r="6557">
      <c r="H6557" s="50"/>
      <c r="I6557" s="50"/>
      <c r="O6557" s="36" t="s">
        <v>48</v>
      </c>
      <c r="R6557" s="36" t="s">
        <v>48</v>
      </c>
    </row>
    <row r="6558">
      <c r="H6558" s="50"/>
      <c r="I6558" s="50"/>
      <c r="O6558" s="36" t="s">
        <v>48</v>
      </c>
      <c r="R6558" s="36" t="s">
        <v>48</v>
      </c>
    </row>
    <row r="6559">
      <c r="H6559" s="50"/>
      <c r="I6559" s="50"/>
      <c r="O6559" s="36" t="s">
        <v>48</v>
      </c>
      <c r="R6559" s="36" t="s">
        <v>48</v>
      </c>
    </row>
    <row r="6560">
      <c r="H6560" s="50"/>
      <c r="I6560" s="50"/>
      <c r="O6560" s="36" t="s">
        <v>48</v>
      </c>
      <c r="R6560" s="36" t="s">
        <v>48</v>
      </c>
    </row>
    <row r="6561">
      <c r="H6561" s="50"/>
      <c r="I6561" s="50"/>
      <c r="O6561" s="36" t="s">
        <v>48</v>
      </c>
      <c r="R6561" s="36" t="s">
        <v>48</v>
      </c>
    </row>
    <row r="6562">
      <c r="H6562" s="50"/>
      <c r="I6562" s="50"/>
      <c r="O6562" s="36" t="s">
        <v>48</v>
      </c>
      <c r="R6562" s="36" t="s">
        <v>48</v>
      </c>
    </row>
    <row r="6563">
      <c r="H6563" s="50"/>
      <c r="I6563" s="50"/>
      <c r="O6563" s="36" t="s">
        <v>48</v>
      </c>
      <c r="R6563" s="36" t="s">
        <v>48</v>
      </c>
    </row>
    <row r="6564">
      <c r="H6564" s="50"/>
      <c r="I6564" s="50"/>
      <c r="O6564" s="36" t="s">
        <v>48</v>
      </c>
      <c r="R6564" s="36" t="s">
        <v>48</v>
      </c>
    </row>
    <row r="6565">
      <c r="H6565" s="50"/>
      <c r="I6565" s="50"/>
      <c r="O6565" s="36" t="s">
        <v>48</v>
      </c>
      <c r="R6565" s="36" t="s">
        <v>48</v>
      </c>
    </row>
    <row r="6566">
      <c r="H6566" s="50"/>
      <c r="I6566" s="50"/>
      <c r="O6566" s="36" t="s">
        <v>48</v>
      </c>
      <c r="R6566" s="36" t="s">
        <v>48</v>
      </c>
    </row>
    <row r="6567">
      <c r="H6567" s="50"/>
      <c r="I6567" s="50"/>
      <c r="O6567" s="36" t="s">
        <v>48</v>
      </c>
      <c r="R6567" s="36" t="s">
        <v>48</v>
      </c>
    </row>
    <row r="6568">
      <c r="H6568" s="50"/>
      <c r="I6568" s="50"/>
      <c r="O6568" s="36" t="s">
        <v>48</v>
      </c>
      <c r="R6568" s="36" t="s">
        <v>48</v>
      </c>
    </row>
    <row r="6569">
      <c r="H6569" s="50"/>
      <c r="I6569" s="50"/>
      <c r="O6569" s="36" t="s">
        <v>48</v>
      </c>
      <c r="R6569" s="36" t="s">
        <v>48</v>
      </c>
    </row>
    <row r="6570">
      <c r="H6570" s="50"/>
      <c r="I6570" s="50"/>
      <c r="O6570" s="36" t="s">
        <v>48</v>
      </c>
      <c r="R6570" s="36" t="s">
        <v>48</v>
      </c>
    </row>
    <row r="6571">
      <c r="H6571" s="50"/>
      <c r="I6571" s="50"/>
      <c r="O6571" s="36" t="s">
        <v>48</v>
      </c>
      <c r="R6571" s="36" t="s">
        <v>48</v>
      </c>
    </row>
    <row r="6572">
      <c r="H6572" s="50"/>
      <c r="I6572" s="50"/>
      <c r="O6572" s="36" t="s">
        <v>48</v>
      </c>
      <c r="R6572" s="36" t="s">
        <v>48</v>
      </c>
    </row>
    <row r="6573">
      <c r="H6573" s="50"/>
      <c r="I6573" s="50"/>
      <c r="O6573" s="36" t="s">
        <v>48</v>
      </c>
      <c r="R6573" s="36" t="s">
        <v>48</v>
      </c>
    </row>
    <row r="6574">
      <c r="H6574" s="50"/>
      <c r="I6574" s="50"/>
      <c r="O6574" s="36" t="s">
        <v>48</v>
      </c>
      <c r="R6574" s="36" t="s">
        <v>48</v>
      </c>
    </row>
    <row r="6575">
      <c r="H6575" s="50"/>
      <c r="I6575" s="50"/>
      <c r="O6575" s="36" t="s">
        <v>48</v>
      </c>
      <c r="R6575" s="36" t="s">
        <v>48</v>
      </c>
    </row>
    <row r="6576">
      <c r="H6576" s="50"/>
      <c r="I6576" s="50"/>
      <c r="O6576" s="36" t="s">
        <v>48</v>
      </c>
      <c r="R6576" s="36" t="s">
        <v>48</v>
      </c>
    </row>
    <row r="6577">
      <c r="H6577" s="50"/>
      <c r="I6577" s="50"/>
      <c r="O6577" s="36" t="s">
        <v>48</v>
      </c>
      <c r="R6577" s="36" t="s">
        <v>48</v>
      </c>
    </row>
    <row r="6578">
      <c r="H6578" s="50"/>
      <c r="I6578" s="50"/>
      <c r="O6578" s="36" t="s">
        <v>48</v>
      </c>
      <c r="R6578" s="36" t="s">
        <v>48</v>
      </c>
    </row>
    <row r="6579">
      <c r="H6579" s="50"/>
      <c r="I6579" s="50"/>
      <c r="O6579" s="36" t="s">
        <v>48</v>
      </c>
      <c r="R6579" s="36" t="s">
        <v>48</v>
      </c>
    </row>
    <row r="6580">
      <c r="H6580" s="50"/>
      <c r="I6580" s="50"/>
      <c r="O6580" s="36" t="s">
        <v>48</v>
      </c>
      <c r="R6580" s="36" t="s">
        <v>48</v>
      </c>
    </row>
    <row r="6581">
      <c r="H6581" s="50"/>
      <c r="I6581" s="50"/>
      <c r="O6581" s="36" t="s">
        <v>48</v>
      </c>
      <c r="R6581" s="36" t="s">
        <v>48</v>
      </c>
    </row>
    <row r="6582">
      <c r="H6582" s="50"/>
      <c r="I6582" s="50"/>
      <c r="O6582" s="36" t="s">
        <v>48</v>
      </c>
      <c r="R6582" s="36" t="s">
        <v>48</v>
      </c>
    </row>
    <row r="6583">
      <c r="H6583" s="50"/>
      <c r="I6583" s="50"/>
      <c r="O6583" s="36" t="s">
        <v>48</v>
      </c>
      <c r="R6583" s="36" t="s">
        <v>48</v>
      </c>
    </row>
    <row r="6584">
      <c r="H6584" s="50"/>
      <c r="I6584" s="50"/>
      <c r="O6584" s="36" t="s">
        <v>48</v>
      </c>
      <c r="R6584" s="36" t="s">
        <v>48</v>
      </c>
    </row>
    <row r="6585">
      <c r="H6585" s="50"/>
      <c r="I6585" s="50"/>
      <c r="O6585" s="36" t="s">
        <v>48</v>
      </c>
      <c r="R6585" s="36" t="s">
        <v>48</v>
      </c>
    </row>
    <row r="6586">
      <c r="H6586" s="50"/>
      <c r="I6586" s="50"/>
      <c r="O6586" s="36" t="s">
        <v>48</v>
      </c>
      <c r="R6586" s="36" t="s">
        <v>48</v>
      </c>
    </row>
    <row r="6587">
      <c r="H6587" s="50"/>
      <c r="I6587" s="50"/>
      <c r="O6587" s="36" t="s">
        <v>48</v>
      </c>
      <c r="R6587" s="36" t="s">
        <v>48</v>
      </c>
    </row>
    <row r="6588">
      <c r="H6588" s="50"/>
      <c r="I6588" s="50"/>
      <c r="O6588" s="36" t="s">
        <v>48</v>
      </c>
      <c r="R6588" s="36" t="s">
        <v>48</v>
      </c>
    </row>
    <row r="6589">
      <c r="H6589" s="50"/>
      <c r="I6589" s="50"/>
      <c r="O6589" s="36" t="s">
        <v>48</v>
      </c>
      <c r="R6589" s="36" t="s">
        <v>48</v>
      </c>
    </row>
    <row r="6590">
      <c r="H6590" s="50"/>
      <c r="I6590" s="50"/>
      <c r="O6590" s="36" t="s">
        <v>48</v>
      </c>
      <c r="R6590" s="36" t="s">
        <v>48</v>
      </c>
    </row>
    <row r="6591">
      <c r="H6591" s="50"/>
      <c r="I6591" s="50"/>
      <c r="O6591" s="36" t="s">
        <v>48</v>
      </c>
      <c r="R6591" s="36" t="s">
        <v>48</v>
      </c>
    </row>
    <row r="6592">
      <c r="H6592" s="50"/>
      <c r="I6592" s="50"/>
      <c r="O6592" s="36" t="s">
        <v>48</v>
      </c>
      <c r="R6592" s="36" t="s">
        <v>48</v>
      </c>
    </row>
    <row r="6593">
      <c r="H6593" s="50"/>
      <c r="I6593" s="50"/>
      <c r="O6593" s="36" t="s">
        <v>48</v>
      </c>
      <c r="R6593" s="36" t="s">
        <v>48</v>
      </c>
    </row>
    <row r="6594">
      <c r="H6594" s="50"/>
      <c r="I6594" s="50"/>
      <c r="O6594" s="36" t="s">
        <v>48</v>
      </c>
      <c r="R6594" s="36" t="s">
        <v>48</v>
      </c>
    </row>
    <row r="6595">
      <c r="H6595" s="50"/>
      <c r="I6595" s="50"/>
      <c r="O6595" s="36" t="s">
        <v>48</v>
      </c>
      <c r="R6595" s="36" t="s">
        <v>48</v>
      </c>
    </row>
    <row r="6596">
      <c r="H6596" s="50"/>
      <c r="I6596" s="50"/>
      <c r="O6596" s="36" t="s">
        <v>48</v>
      </c>
      <c r="R6596" s="36" t="s">
        <v>48</v>
      </c>
    </row>
    <row r="6597">
      <c r="H6597" s="50"/>
      <c r="I6597" s="50"/>
      <c r="O6597" s="36" t="s">
        <v>48</v>
      </c>
      <c r="R6597" s="36" t="s">
        <v>48</v>
      </c>
    </row>
    <row r="6598">
      <c r="H6598" s="50"/>
      <c r="I6598" s="50"/>
      <c r="O6598" s="36" t="s">
        <v>48</v>
      </c>
      <c r="R6598" s="36" t="s">
        <v>48</v>
      </c>
    </row>
    <row r="6599">
      <c r="H6599" s="50"/>
      <c r="I6599" s="50"/>
      <c r="O6599" s="36" t="s">
        <v>48</v>
      </c>
      <c r="R6599" s="36" t="s">
        <v>48</v>
      </c>
    </row>
    <row r="6600">
      <c r="H6600" s="50"/>
      <c r="I6600" s="50"/>
      <c r="O6600" s="36" t="s">
        <v>48</v>
      </c>
      <c r="R6600" s="36" t="s">
        <v>48</v>
      </c>
    </row>
    <row r="6601">
      <c r="H6601" s="50"/>
      <c r="I6601" s="50"/>
      <c r="O6601" s="36" t="s">
        <v>48</v>
      </c>
      <c r="R6601" s="36" t="s">
        <v>48</v>
      </c>
    </row>
    <row r="6602">
      <c r="H6602" s="50"/>
      <c r="I6602" s="50"/>
      <c r="O6602" s="36" t="s">
        <v>48</v>
      </c>
      <c r="R6602" s="36" t="s">
        <v>48</v>
      </c>
    </row>
    <row r="6603">
      <c r="H6603" s="50"/>
      <c r="I6603" s="50"/>
      <c r="O6603" s="36" t="s">
        <v>48</v>
      </c>
      <c r="R6603" s="36" t="s">
        <v>48</v>
      </c>
    </row>
    <row r="6604">
      <c r="H6604" s="50"/>
      <c r="I6604" s="50"/>
      <c r="O6604" s="36" t="s">
        <v>48</v>
      </c>
      <c r="R6604" s="36" t="s">
        <v>48</v>
      </c>
    </row>
    <row r="6605">
      <c r="H6605" s="50"/>
      <c r="I6605" s="50"/>
      <c r="O6605" s="36" t="s">
        <v>48</v>
      </c>
      <c r="R6605" s="36" t="s">
        <v>48</v>
      </c>
    </row>
    <row r="6606">
      <c r="H6606" s="50"/>
      <c r="I6606" s="50"/>
      <c r="O6606" s="36" t="s">
        <v>48</v>
      </c>
      <c r="R6606" s="36" t="s">
        <v>48</v>
      </c>
    </row>
    <row r="6607">
      <c r="H6607" s="50"/>
      <c r="I6607" s="50"/>
      <c r="O6607" s="36" t="s">
        <v>48</v>
      </c>
      <c r="R6607" s="36" t="s">
        <v>48</v>
      </c>
    </row>
    <row r="6608">
      <c r="H6608" s="50"/>
      <c r="I6608" s="50"/>
      <c r="O6608" s="36" t="s">
        <v>48</v>
      </c>
      <c r="R6608" s="36" t="s">
        <v>48</v>
      </c>
    </row>
    <row r="6609">
      <c r="H6609" s="50"/>
      <c r="I6609" s="50"/>
      <c r="O6609" s="36" t="s">
        <v>48</v>
      </c>
      <c r="R6609" s="36" t="s">
        <v>48</v>
      </c>
    </row>
    <row r="6610">
      <c r="H6610" s="50"/>
      <c r="I6610" s="50"/>
      <c r="O6610" s="36" t="s">
        <v>48</v>
      </c>
      <c r="R6610" s="36" t="s">
        <v>48</v>
      </c>
    </row>
    <row r="6611">
      <c r="H6611" s="50"/>
      <c r="I6611" s="50"/>
      <c r="O6611" s="36" t="s">
        <v>48</v>
      </c>
      <c r="R6611" s="36" t="s">
        <v>48</v>
      </c>
    </row>
    <row r="6612">
      <c r="H6612" s="50"/>
      <c r="I6612" s="50"/>
      <c r="O6612" s="36" t="s">
        <v>48</v>
      </c>
      <c r="R6612" s="36" t="s">
        <v>48</v>
      </c>
    </row>
    <row r="6613">
      <c r="H6613" s="50"/>
      <c r="I6613" s="50"/>
      <c r="O6613" s="36" t="s">
        <v>48</v>
      </c>
      <c r="R6613" s="36" t="s">
        <v>48</v>
      </c>
    </row>
    <row r="6614">
      <c r="H6614" s="50"/>
      <c r="I6614" s="50"/>
      <c r="O6614" s="36" t="s">
        <v>48</v>
      </c>
      <c r="R6614" s="36" t="s">
        <v>48</v>
      </c>
    </row>
    <row r="6615">
      <c r="H6615" s="50"/>
      <c r="I6615" s="50"/>
      <c r="O6615" s="36" t="s">
        <v>48</v>
      </c>
      <c r="R6615" s="36" t="s">
        <v>48</v>
      </c>
    </row>
    <row r="6616">
      <c r="H6616" s="50"/>
      <c r="I6616" s="50"/>
      <c r="O6616" s="36" t="s">
        <v>48</v>
      </c>
      <c r="R6616" s="36" t="s">
        <v>48</v>
      </c>
    </row>
    <row r="6617">
      <c r="H6617" s="50"/>
      <c r="I6617" s="50"/>
      <c r="O6617" s="36" t="s">
        <v>48</v>
      </c>
      <c r="R6617" s="36" t="s">
        <v>48</v>
      </c>
    </row>
    <row r="6618">
      <c r="H6618" s="50"/>
      <c r="I6618" s="50"/>
      <c r="O6618" s="36" t="s">
        <v>48</v>
      </c>
      <c r="R6618" s="36" t="s">
        <v>48</v>
      </c>
    </row>
    <row r="6619">
      <c r="H6619" s="50"/>
      <c r="I6619" s="50"/>
      <c r="O6619" s="36" t="s">
        <v>48</v>
      </c>
      <c r="R6619" s="36" t="s">
        <v>48</v>
      </c>
    </row>
    <row r="6620">
      <c r="H6620" s="50"/>
      <c r="I6620" s="50"/>
      <c r="O6620" s="36" t="s">
        <v>48</v>
      </c>
      <c r="R6620" s="36" t="s">
        <v>48</v>
      </c>
    </row>
    <row r="6621">
      <c r="H6621" s="50"/>
      <c r="I6621" s="50"/>
      <c r="O6621" s="36" t="s">
        <v>48</v>
      </c>
      <c r="R6621" s="36" t="s">
        <v>48</v>
      </c>
    </row>
    <row r="6622">
      <c r="H6622" s="50"/>
      <c r="I6622" s="50"/>
      <c r="O6622" s="36" t="s">
        <v>48</v>
      </c>
      <c r="R6622" s="36" t="s">
        <v>48</v>
      </c>
    </row>
    <row r="6623">
      <c r="H6623" s="50"/>
      <c r="I6623" s="50"/>
      <c r="O6623" s="36" t="s">
        <v>48</v>
      </c>
      <c r="R6623" s="36" t="s">
        <v>48</v>
      </c>
    </row>
    <row r="6624">
      <c r="H6624" s="50"/>
      <c r="I6624" s="50"/>
      <c r="O6624" s="36" t="s">
        <v>48</v>
      </c>
      <c r="R6624" s="36" t="s">
        <v>48</v>
      </c>
    </row>
    <row r="6625">
      <c r="H6625" s="50"/>
      <c r="I6625" s="50"/>
      <c r="O6625" s="36" t="s">
        <v>48</v>
      </c>
      <c r="R6625" s="36" t="s">
        <v>48</v>
      </c>
    </row>
    <row r="6626">
      <c r="H6626" s="50"/>
      <c r="I6626" s="50"/>
      <c r="O6626" s="36" t="s">
        <v>48</v>
      </c>
      <c r="R6626" s="36" t="s">
        <v>48</v>
      </c>
    </row>
    <row r="6627">
      <c r="H6627" s="50"/>
      <c r="I6627" s="50"/>
      <c r="O6627" s="36" t="s">
        <v>48</v>
      </c>
      <c r="R6627" s="36" t="s">
        <v>48</v>
      </c>
    </row>
    <row r="6628">
      <c r="H6628" s="50"/>
      <c r="I6628" s="50"/>
      <c r="O6628" s="36" t="s">
        <v>48</v>
      </c>
      <c r="R6628" s="36" t="s">
        <v>48</v>
      </c>
    </row>
    <row r="6629">
      <c r="H6629" s="50"/>
      <c r="I6629" s="50"/>
      <c r="O6629" s="36" t="s">
        <v>48</v>
      </c>
      <c r="R6629" s="36" t="s">
        <v>48</v>
      </c>
    </row>
    <row r="6630">
      <c r="H6630" s="50"/>
      <c r="I6630" s="50"/>
      <c r="O6630" s="36" t="s">
        <v>48</v>
      </c>
      <c r="R6630" s="36" t="s">
        <v>48</v>
      </c>
    </row>
    <row r="6631">
      <c r="H6631" s="50"/>
      <c r="I6631" s="50"/>
      <c r="O6631" s="36" t="s">
        <v>48</v>
      </c>
      <c r="R6631" s="36" t="s">
        <v>48</v>
      </c>
    </row>
    <row r="6632">
      <c r="H6632" s="50"/>
      <c r="I6632" s="50"/>
      <c r="O6632" s="36" t="s">
        <v>48</v>
      </c>
      <c r="R6632" s="36" t="s">
        <v>48</v>
      </c>
    </row>
    <row r="6633">
      <c r="H6633" s="50"/>
      <c r="I6633" s="50"/>
      <c r="O6633" s="36" t="s">
        <v>48</v>
      </c>
      <c r="R6633" s="36" t="s">
        <v>48</v>
      </c>
    </row>
    <row r="6634">
      <c r="H6634" s="50"/>
      <c r="I6634" s="50"/>
      <c r="O6634" s="36" t="s">
        <v>48</v>
      </c>
      <c r="R6634" s="36" t="s">
        <v>48</v>
      </c>
    </row>
    <row r="6635">
      <c r="H6635" s="50"/>
      <c r="I6635" s="50"/>
      <c r="O6635" s="36" t="s">
        <v>48</v>
      </c>
      <c r="R6635" s="36" t="s">
        <v>48</v>
      </c>
    </row>
    <row r="6636">
      <c r="H6636" s="50"/>
      <c r="I6636" s="50"/>
      <c r="O6636" s="36" t="s">
        <v>48</v>
      </c>
      <c r="R6636" s="36" t="s">
        <v>48</v>
      </c>
    </row>
    <row r="6637">
      <c r="H6637" s="50"/>
      <c r="I6637" s="50"/>
      <c r="O6637" s="36" t="s">
        <v>48</v>
      </c>
      <c r="R6637" s="36" t="s">
        <v>48</v>
      </c>
    </row>
    <row r="6638">
      <c r="H6638" s="50"/>
      <c r="I6638" s="50"/>
      <c r="O6638" s="36" t="s">
        <v>48</v>
      </c>
      <c r="R6638" s="36" t="s">
        <v>48</v>
      </c>
    </row>
    <row r="6639">
      <c r="H6639" s="50"/>
      <c r="I6639" s="50"/>
      <c r="O6639" s="36" t="s">
        <v>48</v>
      </c>
      <c r="R6639" s="36" t="s">
        <v>48</v>
      </c>
    </row>
    <row r="6640">
      <c r="H6640" s="50"/>
      <c r="I6640" s="50"/>
      <c r="O6640" s="36" t="s">
        <v>48</v>
      </c>
      <c r="R6640" s="36" t="s">
        <v>48</v>
      </c>
    </row>
    <row r="6641">
      <c r="H6641" s="50"/>
      <c r="I6641" s="50"/>
      <c r="O6641" s="36" t="s">
        <v>48</v>
      </c>
      <c r="R6641" s="36" t="s">
        <v>48</v>
      </c>
    </row>
    <row r="6642">
      <c r="H6642" s="50"/>
      <c r="I6642" s="50"/>
      <c r="O6642" s="36" t="s">
        <v>48</v>
      </c>
      <c r="R6642" s="36" t="s">
        <v>48</v>
      </c>
    </row>
    <row r="6643">
      <c r="H6643" s="50"/>
      <c r="I6643" s="50"/>
      <c r="O6643" s="36" t="s">
        <v>48</v>
      </c>
      <c r="R6643" s="36" t="s">
        <v>48</v>
      </c>
    </row>
    <row r="6644">
      <c r="H6644" s="50"/>
      <c r="I6644" s="50"/>
      <c r="O6644" s="36" t="s">
        <v>48</v>
      </c>
      <c r="R6644" s="36" t="s">
        <v>48</v>
      </c>
    </row>
    <row r="6645">
      <c r="H6645" s="50"/>
      <c r="I6645" s="50"/>
      <c r="O6645" s="36" t="s">
        <v>48</v>
      </c>
      <c r="R6645" s="36" t="s">
        <v>48</v>
      </c>
    </row>
    <row r="6646">
      <c r="H6646" s="50"/>
      <c r="I6646" s="50"/>
      <c r="O6646" s="36" t="s">
        <v>48</v>
      </c>
      <c r="R6646" s="36" t="s">
        <v>48</v>
      </c>
    </row>
    <row r="6647">
      <c r="H6647" s="50"/>
      <c r="I6647" s="50"/>
      <c r="O6647" s="36" t="s">
        <v>48</v>
      </c>
      <c r="R6647" s="36" t="s">
        <v>48</v>
      </c>
    </row>
    <row r="6648">
      <c r="H6648" s="50"/>
      <c r="I6648" s="50"/>
      <c r="O6648" s="36" t="s">
        <v>48</v>
      </c>
      <c r="R6648" s="36" t="s">
        <v>48</v>
      </c>
    </row>
    <row r="6649">
      <c r="H6649" s="50"/>
      <c r="I6649" s="50"/>
      <c r="O6649" s="36" t="s">
        <v>48</v>
      </c>
      <c r="R6649" s="36" t="s">
        <v>48</v>
      </c>
    </row>
    <row r="6650">
      <c r="H6650" s="50"/>
      <c r="I6650" s="50"/>
      <c r="O6650" s="36" t="s">
        <v>48</v>
      </c>
      <c r="R6650" s="36" t="s">
        <v>48</v>
      </c>
    </row>
    <row r="6651">
      <c r="H6651" s="50"/>
      <c r="I6651" s="50"/>
      <c r="O6651" s="36" t="s">
        <v>48</v>
      </c>
      <c r="R6651" s="36" t="s">
        <v>48</v>
      </c>
    </row>
    <row r="6652">
      <c r="H6652" s="50"/>
      <c r="I6652" s="50"/>
      <c r="O6652" s="36" t="s">
        <v>48</v>
      </c>
      <c r="R6652" s="36" t="s">
        <v>48</v>
      </c>
    </row>
    <row r="6653">
      <c r="H6653" s="50"/>
      <c r="I6653" s="50"/>
      <c r="O6653" s="36" t="s">
        <v>48</v>
      </c>
      <c r="R6653" s="36" t="s">
        <v>48</v>
      </c>
    </row>
    <row r="6654">
      <c r="H6654" s="50"/>
      <c r="I6654" s="50"/>
      <c r="O6654" s="36" t="s">
        <v>48</v>
      </c>
      <c r="R6654" s="36" t="s">
        <v>48</v>
      </c>
    </row>
    <row r="6655">
      <c r="H6655" s="50"/>
      <c r="I6655" s="50"/>
      <c r="O6655" s="36" t="s">
        <v>48</v>
      </c>
      <c r="R6655" s="36" t="s">
        <v>48</v>
      </c>
    </row>
    <row r="6656">
      <c r="H6656" s="50"/>
      <c r="I6656" s="50"/>
      <c r="O6656" s="36" t="s">
        <v>48</v>
      </c>
      <c r="R6656" s="36" t="s">
        <v>48</v>
      </c>
    </row>
    <row r="6657">
      <c r="H6657" s="50"/>
      <c r="I6657" s="50"/>
      <c r="O6657" s="36" t="s">
        <v>48</v>
      </c>
      <c r="R6657" s="36" t="s">
        <v>48</v>
      </c>
    </row>
    <row r="6658">
      <c r="H6658" s="50"/>
      <c r="I6658" s="50"/>
      <c r="O6658" s="36" t="s">
        <v>48</v>
      </c>
      <c r="R6658" s="36" t="s">
        <v>48</v>
      </c>
    </row>
    <row r="6659">
      <c r="H6659" s="50"/>
      <c r="I6659" s="50"/>
      <c r="O6659" s="36" t="s">
        <v>48</v>
      </c>
      <c r="R6659" s="36" t="s">
        <v>48</v>
      </c>
    </row>
    <row r="6660">
      <c r="H6660" s="50"/>
      <c r="I6660" s="50"/>
      <c r="O6660" s="36" t="s">
        <v>48</v>
      </c>
      <c r="R6660" s="36" t="s">
        <v>48</v>
      </c>
    </row>
    <row r="6661">
      <c r="H6661" s="50"/>
      <c r="I6661" s="50"/>
      <c r="O6661" s="36" t="s">
        <v>48</v>
      </c>
      <c r="R6661" s="36" t="s">
        <v>48</v>
      </c>
    </row>
    <row r="6662">
      <c r="H6662" s="50"/>
      <c r="I6662" s="50"/>
      <c r="O6662" s="36" t="s">
        <v>48</v>
      </c>
      <c r="R6662" s="36" t="s">
        <v>48</v>
      </c>
    </row>
    <row r="6663">
      <c r="H6663" s="50"/>
      <c r="I6663" s="50"/>
      <c r="O6663" s="36" t="s">
        <v>48</v>
      </c>
      <c r="R6663" s="36" t="s">
        <v>48</v>
      </c>
    </row>
    <row r="6664">
      <c r="H6664" s="50"/>
      <c r="I6664" s="50"/>
      <c r="O6664" s="36" t="s">
        <v>48</v>
      </c>
      <c r="R6664" s="36" t="s">
        <v>48</v>
      </c>
    </row>
    <row r="6665">
      <c r="H6665" s="50"/>
      <c r="I6665" s="50"/>
      <c r="O6665" s="36" t="s">
        <v>48</v>
      </c>
      <c r="R6665" s="36" t="s">
        <v>48</v>
      </c>
    </row>
    <row r="6666">
      <c r="H6666" s="50"/>
      <c r="I6666" s="50"/>
      <c r="O6666" s="36" t="s">
        <v>48</v>
      </c>
      <c r="R6666" s="36" t="s">
        <v>48</v>
      </c>
    </row>
    <row r="6667">
      <c r="H6667" s="50"/>
      <c r="I6667" s="50"/>
      <c r="O6667" s="36" t="s">
        <v>48</v>
      </c>
      <c r="R6667" s="36" t="s">
        <v>48</v>
      </c>
    </row>
    <row r="6668">
      <c r="H6668" s="50"/>
      <c r="I6668" s="50"/>
      <c r="O6668" s="36" t="s">
        <v>48</v>
      </c>
      <c r="R6668" s="36" t="s">
        <v>48</v>
      </c>
    </row>
    <row r="6669">
      <c r="H6669" s="50"/>
      <c r="I6669" s="50"/>
      <c r="O6669" s="36" t="s">
        <v>48</v>
      </c>
      <c r="R6669" s="36" t="s">
        <v>48</v>
      </c>
    </row>
    <row r="6670">
      <c r="H6670" s="50"/>
      <c r="I6670" s="50"/>
      <c r="O6670" s="36" t="s">
        <v>48</v>
      </c>
      <c r="R6670" s="36" t="s">
        <v>48</v>
      </c>
    </row>
    <row r="6671">
      <c r="H6671" s="50"/>
      <c r="I6671" s="50"/>
      <c r="O6671" s="36" t="s">
        <v>48</v>
      </c>
      <c r="R6671" s="36" t="s">
        <v>48</v>
      </c>
    </row>
    <row r="6672">
      <c r="H6672" s="50"/>
      <c r="I6672" s="50"/>
      <c r="O6672" s="36" t="s">
        <v>48</v>
      </c>
      <c r="R6672" s="36" t="s">
        <v>48</v>
      </c>
    </row>
    <row r="6673">
      <c r="H6673" s="50"/>
      <c r="I6673" s="50"/>
      <c r="O6673" s="36" t="s">
        <v>48</v>
      </c>
      <c r="R6673" s="36" t="s">
        <v>48</v>
      </c>
    </row>
    <row r="6674">
      <c r="H6674" s="50"/>
      <c r="I6674" s="50"/>
      <c r="O6674" s="36" t="s">
        <v>48</v>
      </c>
      <c r="R6674" s="36" t="s">
        <v>48</v>
      </c>
    </row>
    <row r="6675">
      <c r="H6675" s="50"/>
      <c r="I6675" s="50"/>
      <c r="O6675" s="36" t="s">
        <v>48</v>
      </c>
      <c r="R6675" s="36" t="s">
        <v>48</v>
      </c>
    </row>
    <row r="6676">
      <c r="H6676" s="50"/>
      <c r="I6676" s="50"/>
      <c r="O6676" s="36" t="s">
        <v>48</v>
      </c>
      <c r="R6676" s="36" t="s">
        <v>48</v>
      </c>
    </row>
    <row r="6677">
      <c r="H6677" s="50"/>
      <c r="I6677" s="50"/>
      <c r="O6677" s="36" t="s">
        <v>48</v>
      </c>
      <c r="R6677" s="36" t="s">
        <v>48</v>
      </c>
    </row>
    <row r="6678">
      <c r="H6678" s="50"/>
      <c r="I6678" s="50"/>
      <c r="O6678" s="36" t="s">
        <v>48</v>
      </c>
      <c r="R6678" s="36" t="s">
        <v>48</v>
      </c>
    </row>
    <row r="6679">
      <c r="H6679" s="50"/>
      <c r="I6679" s="50"/>
      <c r="O6679" s="36" t="s">
        <v>48</v>
      </c>
      <c r="R6679" s="36" t="s">
        <v>48</v>
      </c>
    </row>
    <row r="6680">
      <c r="H6680" s="50"/>
      <c r="I6680" s="50"/>
      <c r="O6680" s="36" t="s">
        <v>48</v>
      </c>
      <c r="R6680" s="36" t="s">
        <v>48</v>
      </c>
    </row>
    <row r="6681">
      <c r="H6681" s="50"/>
      <c r="I6681" s="50"/>
      <c r="O6681" s="36" t="s">
        <v>48</v>
      </c>
      <c r="R6681" s="36" t="s">
        <v>48</v>
      </c>
    </row>
    <row r="6682">
      <c r="H6682" s="50"/>
      <c r="I6682" s="50"/>
      <c r="O6682" s="36" t="s">
        <v>48</v>
      </c>
      <c r="R6682" s="36" t="s">
        <v>48</v>
      </c>
    </row>
    <row r="6683">
      <c r="H6683" s="50"/>
      <c r="I6683" s="50"/>
      <c r="O6683" s="36" t="s">
        <v>48</v>
      </c>
      <c r="R6683" s="36" t="s">
        <v>48</v>
      </c>
    </row>
    <row r="6684">
      <c r="H6684" s="50"/>
      <c r="I6684" s="50"/>
      <c r="O6684" s="36" t="s">
        <v>48</v>
      </c>
      <c r="R6684" s="36" t="s">
        <v>48</v>
      </c>
    </row>
    <row r="6685">
      <c r="H6685" s="50"/>
      <c r="I6685" s="50"/>
      <c r="O6685" s="36" t="s">
        <v>48</v>
      </c>
      <c r="R6685" s="36" t="s">
        <v>48</v>
      </c>
    </row>
    <row r="6686">
      <c r="H6686" s="50"/>
      <c r="I6686" s="50"/>
      <c r="O6686" s="36" t="s">
        <v>48</v>
      </c>
      <c r="R6686" s="36" t="s">
        <v>48</v>
      </c>
    </row>
    <row r="6687">
      <c r="H6687" s="50"/>
      <c r="I6687" s="50"/>
      <c r="O6687" s="36" t="s">
        <v>48</v>
      </c>
      <c r="R6687" s="36" t="s">
        <v>48</v>
      </c>
    </row>
    <row r="6688">
      <c r="H6688" s="50"/>
      <c r="I6688" s="50"/>
      <c r="O6688" s="36" t="s">
        <v>48</v>
      </c>
      <c r="R6688" s="36" t="s">
        <v>48</v>
      </c>
    </row>
    <row r="6689">
      <c r="H6689" s="50"/>
      <c r="I6689" s="50"/>
      <c r="O6689" s="36" t="s">
        <v>48</v>
      </c>
      <c r="R6689" s="36" t="s">
        <v>48</v>
      </c>
    </row>
    <row r="6690">
      <c r="H6690" s="50"/>
      <c r="I6690" s="50"/>
      <c r="O6690" s="36" t="s">
        <v>48</v>
      </c>
      <c r="R6690" s="36" t="s">
        <v>48</v>
      </c>
    </row>
    <row r="6691">
      <c r="H6691" s="50"/>
      <c r="I6691" s="50"/>
      <c r="O6691" s="36" t="s">
        <v>48</v>
      </c>
      <c r="R6691" s="36" t="s">
        <v>48</v>
      </c>
    </row>
    <row r="6692">
      <c r="H6692" s="50"/>
      <c r="I6692" s="50"/>
      <c r="O6692" s="36" t="s">
        <v>48</v>
      </c>
      <c r="R6692" s="36" t="s">
        <v>48</v>
      </c>
    </row>
    <row r="6693">
      <c r="H6693" s="50"/>
      <c r="I6693" s="50"/>
      <c r="O6693" s="36" t="s">
        <v>48</v>
      </c>
      <c r="R6693" s="36" t="s">
        <v>48</v>
      </c>
    </row>
    <row r="6694">
      <c r="H6694" s="50"/>
      <c r="I6694" s="50"/>
      <c r="O6694" s="36" t="s">
        <v>48</v>
      </c>
      <c r="R6694" s="36" t="s">
        <v>48</v>
      </c>
    </row>
    <row r="6695">
      <c r="H6695" s="50"/>
      <c r="I6695" s="50"/>
      <c r="O6695" s="36" t="s">
        <v>48</v>
      </c>
      <c r="R6695" s="36" t="s">
        <v>48</v>
      </c>
    </row>
    <row r="6696">
      <c r="H6696" s="50"/>
      <c r="I6696" s="50"/>
      <c r="O6696" s="36" t="s">
        <v>48</v>
      </c>
      <c r="R6696" s="36" t="s">
        <v>48</v>
      </c>
    </row>
    <row r="6697">
      <c r="H6697" s="50"/>
      <c r="I6697" s="50"/>
      <c r="O6697" s="36" t="s">
        <v>48</v>
      </c>
      <c r="R6697" s="36" t="s">
        <v>48</v>
      </c>
    </row>
    <row r="6698">
      <c r="H6698" s="50"/>
      <c r="I6698" s="50"/>
      <c r="O6698" s="36" t="s">
        <v>48</v>
      </c>
      <c r="R6698" s="36" t="s">
        <v>48</v>
      </c>
    </row>
    <row r="6699">
      <c r="H6699" s="50"/>
      <c r="I6699" s="50"/>
      <c r="O6699" s="36" t="s">
        <v>48</v>
      </c>
      <c r="R6699" s="36" t="s">
        <v>48</v>
      </c>
    </row>
    <row r="6700">
      <c r="H6700" s="50"/>
      <c r="I6700" s="50"/>
      <c r="O6700" s="36" t="s">
        <v>48</v>
      </c>
      <c r="R6700" s="36" t="s">
        <v>48</v>
      </c>
    </row>
    <row r="6701">
      <c r="H6701" s="50"/>
      <c r="I6701" s="50"/>
      <c r="O6701" s="36" t="s">
        <v>48</v>
      </c>
      <c r="R6701" s="36" t="s">
        <v>48</v>
      </c>
    </row>
    <row r="6702">
      <c r="H6702" s="50"/>
      <c r="I6702" s="50"/>
      <c r="O6702" s="36" t="s">
        <v>48</v>
      </c>
      <c r="R6702" s="36" t="s">
        <v>48</v>
      </c>
    </row>
    <row r="6703">
      <c r="H6703" s="50"/>
      <c r="I6703" s="50"/>
      <c r="O6703" s="36" t="s">
        <v>48</v>
      </c>
      <c r="R6703" s="36" t="s">
        <v>48</v>
      </c>
    </row>
    <row r="6704">
      <c r="H6704" s="50"/>
      <c r="I6704" s="50"/>
      <c r="O6704" s="36" t="s">
        <v>48</v>
      </c>
      <c r="R6704" s="36" t="s">
        <v>48</v>
      </c>
    </row>
    <row r="6705">
      <c r="H6705" s="50"/>
      <c r="I6705" s="50"/>
      <c r="O6705" s="36" t="s">
        <v>48</v>
      </c>
      <c r="R6705" s="36" t="s">
        <v>48</v>
      </c>
    </row>
    <row r="6706">
      <c r="H6706" s="50"/>
      <c r="I6706" s="50"/>
      <c r="O6706" s="36" t="s">
        <v>48</v>
      </c>
      <c r="R6706" s="36" t="s">
        <v>48</v>
      </c>
    </row>
    <row r="6707">
      <c r="H6707" s="50"/>
      <c r="I6707" s="50"/>
      <c r="O6707" s="36" t="s">
        <v>48</v>
      </c>
      <c r="R6707" s="36" t="s">
        <v>48</v>
      </c>
    </row>
    <row r="6708">
      <c r="H6708" s="50"/>
      <c r="I6708" s="50"/>
      <c r="O6708" s="36" t="s">
        <v>48</v>
      </c>
      <c r="R6708" s="36" t="s">
        <v>48</v>
      </c>
    </row>
    <row r="6709">
      <c r="H6709" s="50"/>
      <c r="I6709" s="50"/>
      <c r="O6709" s="36" t="s">
        <v>48</v>
      </c>
      <c r="R6709" s="36" t="s">
        <v>48</v>
      </c>
    </row>
    <row r="6710">
      <c r="H6710" s="50"/>
      <c r="I6710" s="50"/>
      <c r="O6710" s="36" t="s">
        <v>48</v>
      </c>
      <c r="R6710" s="36" t="s">
        <v>48</v>
      </c>
    </row>
    <row r="6711">
      <c r="H6711" s="50"/>
      <c r="I6711" s="50"/>
      <c r="O6711" s="36" t="s">
        <v>48</v>
      </c>
      <c r="R6711" s="36" t="s">
        <v>48</v>
      </c>
    </row>
    <row r="6712">
      <c r="H6712" s="50"/>
      <c r="I6712" s="50"/>
      <c r="O6712" s="36" t="s">
        <v>48</v>
      </c>
      <c r="R6712" s="36" t="s">
        <v>48</v>
      </c>
    </row>
    <row r="6713">
      <c r="H6713" s="50"/>
      <c r="I6713" s="50"/>
      <c r="O6713" s="36" t="s">
        <v>48</v>
      </c>
      <c r="R6713" s="36" t="s">
        <v>48</v>
      </c>
    </row>
    <row r="6714">
      <c r="H6714" s="50"/>
      <c r="I6714" s="50"/>
      <c r="O6714" s="36" t="s">
        <v>48</v>
      </c>
      <c r="R6714" s="36" t="s">
        <v>48</v>
      </c>
    </row>
    <row r="6715">
      <c r="H6715" s="50"/>
      <c r="I6715" s="50"/>
      <c r="O6715" s="36" t="s">
        <v>48</v>
      </c>
      <c r="R6715" s="36" t="s">
        <v>48</v>
      </c>
    </row>
    <row r="6716">
      <c r="H6716" s="50"/>
      <c r="I6716" s="50"/>
      <c r="O6716" s="36" t="s">
        <v>48</v>
      </c>
      <c r="R6716" s="36" t="s">
        <v>48</v>
      </c>
    </row>
    <row r="6717">
      <c r="H6717" s="50"/>
      <c r="I6717" s="50"/>
      <c r="O6717" s="36" t="s">
        <v>48</v>
      </c>
      <c r="R6717" s="36" t="s">
        <v>48</v>
      </c>
    </row>
    <row r="6718">
      <c r="H6718" s="50"/>
      <c r="I6718" s="50"/>
      <c r="O6718" s="36" t="s">
        <v>48</v>
      </c>
      <c r="R6718" s="36" t="s">
        <v>48</v>
      </c>
    </row>
    <row r="6719">
      <c r="H6719" s="50"/>
      <c r="I6719" s="50"/>
      <c r="O6719" s="36" t="s">
        <v>48</v>
      </c>
      <c r="R6719" s="36" t="s">
        <v>48</v>
      </c>
    </row>
    <row r="6720">
      <c r="H6720" s="50"/>
      <c r="I6720" s="50"/>
      <c r="O6720" s="36" t="s">
        <v>48</v>
      </c>
      <c r="R6720" s="36" t="s">
        <v>48</v>
      </c>
    </row>
    <row r="6721">
      <c r="H6721" s="50"/>
      <c r="I6721" s="50"/>
      <c r="O6721" s="36" t="s">
        <v>48</v>
      </c>
      <c r="R6721" s="36" t="s">
        <v>48</v>
      </c>
    </row>
    <row r="6722">
      <c r="H6722" s="50"/>
      <c r="I6722" s="50"/>
      <c r="O6722" s="36" t="s">
        <v>48</v>
      </c>
      <c r="R6722" s="36" t="s">
        <v>48</v>
      </c>
    </row>
    <row r="6723">
      <c r="H6723" s="50"/>
      <c r="I6723" s="50"/>
      <c r="O6723" s="36" t="s">
        <v>48</v>
      </c>
      <c r="R6723" s="36" t="s">
        <v>48</v>
      </c>
    </row>
    <row r="6724">
      <c r="H6724" s="50"/>
      <c r="I6724" s="50"/>
      <c r="O6724" s="36" t="s">
        <v>48</v>
      </c>
      <c r="R6724" s="36" t="s">
        <v>48</v>
      </c>
    </row>
    <row r="6725">
      <c r="H6725" s="50"/>
      <c r="I6725" s="50"/>
      <c r="O6725" s="36" t="s">
        <v>48</v>
      </c>
      <c r="R6725" s="36" t="s">
        <v>48</v>
      </c>
    </row>
    <row r="6726">
      <c r="H6726" s="50"/>
      <c r="I6726" s="50"/>
      <c r="O6726" s="36" t="s">
        <v>48</v>
      </c>
      <c r="R6726" s="36" t="s">
        <v>48</v>
      </c>
    </row>
    <row r="6727">
      <c r="H6727" s="50"/>
      <c r="I6727" s="50"/>
      <c r="O6727" s="36" t="s">
        <v>48</v>
      </c>
      <c r="R6727" s="36" t="s">
        <v>48</v>
      </c>
    </row>
    <row r="6728">
      <c r="H6728" s="50"/>
      <c r="I6728" s="50"/>
      <c r="O6728" s="36" t="s">
        <v>48</v>
      </c>
      <c r="R6728" s="36" t="s">
        <v>48</v>
      </c>
    </row>
    <row r="6729">
      <c r="H6729" s="50"/>
      <c r="I6729" s="50"/>
      <c r="O6729" s="36" t="s">
        <v>48</v>
      </c>
      <c r="R6729" s="36" t="s">
        <v>48</v>
      </c>
    </row>
    <row r="6730">
      <c r="H6730" s="50"/>
      <c r="I6730" s="50"/>
      <c r="O6730" s="36" t="s">
        <v>48</v>
      </c>
      <c r="R6730" s="36" t="s">
        <v>48</v>
      </c>
    </row>
    <row r="6731">
      <c r="H6731" s="50"/>
      <c r="I6731" s="50"/>
      <c r="O6731" s="36" t="s">
        <v>48</v>
      </c>
      <c r="R6731" s="36" t="s">
        <v>48</v>
      </c>
    </row>
    <row r="6732">
      <c r="H6732" s="50"/>
      <c r="I6732" s="50"/>
      <c r="O6732" s="36" t="s">
        <v>48</v>
      </c>
      <c r="R6732" s="36" t="s">
        <v>48</v>
      </c>
    </row>
    <row r="6733">
      <c r="H6733" s="50"/>
      <c r="I6733" s="50"/>
      <c r="O6733" s="36" t="s">
        <v>48</v>
      </c>
      <c r="R6733" s="36" t="s">
        <v>48</v>
      </c>
    </row>
    <row r="6734">
      <c r="H6734" s="50"/>
      <c r="I6734" s="50"/>
      <c r="O6734" s="36" t="s">
        <v>48</v>
      </c>
      <c r="R6734" s="36" t="s">
        <v>48</v>
      </c>
    </row>
    <row r="6735">
      <c r="H6735" s="50"/>
      <c r="I6735" s="50"/>
      <c r="O6735" s="36" t="s">
        <v>48</v>
      </c>
      <c r="R6735" s="36" t="s">
        <v>48</v>
      </c>
    </row>
    <row r="6736">
      <c r="H6736" s="50"/>
      <c r="I6736" s="50"/>
      <c r="O6736" s="36" t="s">
        <v>48</v>
      </c>
      <c r="R6736" s="36" t="s">
        <v>48</v>
      </c>
    </row>
    <row r="6737">
      <c r="H6737" s="50"/>
      <c r="I6737" s="50"/>
      <c r="O6737" s="36" t="s">
        <v>48</v>
      </c>
      <c r="R6737" s="36" t="s">
        <v>48</v>
      </c>
    </row>
    <row r="6738">
      <c r="H6738" s="50"/>
      <c r="I6738" s="50"/>
      <c r="O6738" s="36" t="s">
        <v>48</v>
      </c>
      <c r="R6738" s="36" t="s">
        <v>48</v>
      </c>
    </row>
    <row r="6739">
      <c r="H6739" s="50"/>
      <c r="I6739" s="50"/>
      <c r="O6739" s="36" t="s">
        <v>48</v>
      </c>
      <c r="R6739" s="36" t="s">
        <v>48</v>
      </c>
    </row>
    <row r="6740">
      <c r="H6740" s="50"/>
      <c r="I6740" s="50"/>
      <c r="O6740" s="36" t="s">
        <v>48</v>
      </c>
      <c r="R6740" s="36" t="s">
        <v>48</v>
      </c>
    </row>
    <row r="6741">
      <c r="H6741" s="50"/>
      <c r="I6741" s="50"/>
      <c r="O6741" s="36" t="s">
        <v>48</v>
      </c>
      <c r="R6741" s="36" t="s">
        <v>48</v>
      </c>
    </row>
    <row r="6742">
      <c r="H6742" s="50"/>
      <c r="I6742" s="50"/>
      <c r="O6742" s="36" t="s">
        <v>48</v>
      </c>
      <c r="R6742" s="36" t="s">
        <v>48</v>
      </c>
    </row>
    <row r="6743">
      <c r="H6743" s="50"/>
      <c r="I6743" s="50"/>
      <c r="O6743" s="36" t="s">
        <v>48</v>
      </c>
      <c r="R6743" s="36" t="s">
        <v>48</v>
      </c>
    </row>
    <row r="6744">
      <c r="H6744" s="50"/>
      <c r="I6744" s="50"/>
      <c r="O6744" s="36" t="s">
        <v>48</v>
      </c>
      <c r="R6744" s="36" t="s">
        <v>48</v>
      </c>
    </row>
    <row r="6745">
      <c r="H6745" s="50"/>
      <c r="I6745" s="50"/>
      <c r="O6745" s="36" t="s">
        <v>48</v>
      </c>
      <c r="R6745" s="36" t="s">
        <v>48</v>
      </c>
    </row>
    <row r="6746">
      <c r="H6746" s="50"/>
      <c r="I6746" s="50"/>
      <c r="O6746" s="36" t="s">
        <v>48</v>
      </c>
      <c r="R6746" s="36" t="s">
        <v>48</v>
      </c>
    </row>
    <row r="6747">
      <c r="H6747" s="50"/>
      <c r="I6747" s="50"/>
      <c r="O6747" s="36" t="s">
        <v>48</v>
      </c>
      <c r="R6747" s="36" t="s">
        <v>48</v>
      </c>
    </row>
    <row r="6748">
      <c r="H6748" s="50"/>
      <c r="I6748" s="50"/>
      <c r="O6748" s="36" t="s">
        <v>48</v>
      </c>
      <c r="R6748" s="36" t="s">
        <v>48</v>
      </c>
    </row>
    <row r="6749">
      <c r="H6749" s="50"/>
      <c r="I6749" s="50"/>
      <c r="O6749" s="36" t="s">
        <v>48</v>
      </c>
      <c r="R6749" s="36" t="s">
        <v>48</v>
      </c>
    </row>
    <row r="6750">
      <c r="H6750" s="50"/>
      <c r="I6750" s="50"/>
      <c r="O6750" s="36" t="s">
        <v>48</v>
      </c>
      <c r="R6750" s="36" t="s">
        <v>48</v>
      </c>
    </row>
    <row r="6751">
      <c r="H6751" s="50"/>
      <c r="I6751" s="50"/>
      <c r="O6751" s="36" t="s">
        <v>48</v>
      </c>
      <c r="R6751" s="36" t="s">
        <v>48</v>
      </c>
    </row>
    <row r="6752">
      <c r="H6752" s="50"/>
      <c r="I6752" s="50"/>
      <c r="O6752" s="36" t="s">
        <v>48</v>
      </c>
      <c r="R6752" s="36" t="s">
        <v>48</v>
      </c>
    </row>
    <row r="6753">
      <c r="H6753" s="50"/>
      <c r="I6753" s="50"/>
      <c r="O6753" s="36" t="s">
        <v>48</v>
      </c>
      <c r="R6753" s="36" t="s">
        <v>48</v>
      </c>
    </row>
    <row r="6754">
      <c r="H6754" s="50"/>
      <c r="I6754" s="50"/>
      <c r="O6754" s="36" t="s">
        <v>48</v>
      </c>
      <c r="R6754" s="36" t="s">
        <v>48</v>
      </c>
    </row>
    <row r="6755">
      <c r="H6755" s="50"/>
      <c r="I6755" s="50"/>
      <c r="O6755" s="36" t="s">
        <v>48</v>
      </c>
      <c r="R6755" s="36" t="s">
        <v>48</v>
      </c>
    </row>
    <row r="6756">
      <c r="H6756" s="50"/>
      <c r="I6756" s="50"/>
      <c r="O6756" s="36" t="s">
        <v>48</v>
      </c>
      <c r="R6756" s="36" t="s">
        <v>48</v>
      </c>
    </row>
    <row r="6757">
      <c r="H6757" s="50"/>
      <c r="I6757" s="50"/>
      <c r="O6757" s="36" t="s">
        <v>48</v>
      </c>
      <c r="R6757" s="36" t="s">
        <v>48</v>
      </c>
    </row>
    <row r="6758">
      <c r="H6758" s="50"/>
      <c r="I6758" s="50"/>
      <c r="O6758" s="36" t="s">
        <v>48</v>
      </c>
      <c r="R6758" s="36" t="s">
        <v>48</v>
      </c>
    </row>
    <row r="6759">
      <c r="H6759" s="50"/>
      <c r="I6759" s="50"/>
      <c r="O6759" s="36" t="s">
        <v>48</v>
      </c>
      <c r="R6759" s="36" t="s">
        <v>48</v>
      </c>
    </row>
    <row r="6760">
      <c r="H6760" s="50"/>
      <c r="I6760" s="50"/>
      <c r="O6760" s="36" t="s">
        <v>48</v>
      </c>
      <c r="R6760" s="36" t="s">
        <v>48</v>
      </c>
    </row>
    <row r="6761">
      <c r="H6761" s="50"/>
      <c r="I6761" s="50"/>
      <c r="O6761" s="36" t="s">
        <v>48</v>
      </c>
      <c r="R6761" s="36" t="s">
        <v>48</v>
      </c>
    </row>
    <row r="6762">
      <c r="H6762" s="50"/>
      <c r="I6762" s="50"/>
      <c r="O6762" s="36" t="s">
        <v>48</v>
      </c>
      <c r="R6762" s="36" t="s">
        <v>48</v>
      </c>
    </row>
    <row r="6763">
      <c r="H6763" s="50"/>
      <c r="I6763" s="50"/>
      <c r="O6763" s="36" t="s">
        <v>48</v>
      </c>
      <c r="R6763" s="36" t="s">
        <v>48</v>
      </c>
    </row>
    <row r="6764">
      <c r="H6764" s="50"/>
      <c r="I6764" s="50"/>
      <c r="O6764" s="36" t="s">
        <v>48</v>
      </c>
      <c r="R6764" s="36" t="s">
        <v>48</v>
      </c>
    </row>
    <row r="6765">
      <c r="H6765" s="50"/>
      <c r="I6765" s="50"/>
      <c r="O6765" s="36" t="s">
        <v>48</v>
      </c>
      <c r="R6765" s="36" t="s">
        <v>48</v>
      </c>
    </row>
    <row r="6766">
      <c r="H6766" s="50"/>
      <c r="I6766" s="50"/>
      <c r="O6766" s="36" t="s">
        <v>48</v>
      </c>
      <c r="R6766" s="36" t="s">
        <v>48</v>
      </c>
    </row>
    <row r="6767">
      <c r="H6767" s="50"/>
      <c r="I6767" s="50"/>
      <c r="O6767" s="36" t="s">
        <v>48</v>
      </c>
      <c r="R6767" s="36" t="s">
        <v>48</v>
      </c>
    </row>
    <row r="6768">
      <c r="H6768" s="50"/>
      <c r="I6768" s="50"/>
      <c r="O6768" s="36" t="s">
        <v>48</v>
      </c>
      <c r="R6768" s="36" t="s">
        <v>48</v>
      </c>
    </row>
    <row r="6769">
      <c r="H6769" s="50"/>
      <c r="I6769" s="50"/>
      <c r="O6769" s="36" t="s">
        <v>48</v>
      </c>
      <c r="R6769" s="36" t="s">
        <v>48</v>
      </c>
    </row>
    <row r="6770">
      <c r="H6770" s="50"/>
      <c r="I6770" s="50"/>
      <c r="O6770" s="36" t="s">
        <v>48</v>
      </c>
      <c r="R6770" s="36" t="s">
        <v>48</v>
      </c>
    </row>
    <row r="6771">
      <c r="H6771" s="50"/>
      <c r="I6771" s="50"/>
      <c r="O6771" s="36" t="s">
        <v>48</v>
      </c>
      <c r="R6771" s="36" t="s">
        <v>48</v>
      </c>
    </row>
    <row r="6772">
      <c r="H6772" s="50"/>
      <c r="I6772" s="50"/>
      <c r="O6772" s="36" t="s">
        <v>48</v>
      </c>
      <c r="R6772" s="36" t="s">
        <v>48</v>
      </c>
    </row>
    <row r="6773">
      <c r="H6773" s="50"/>
      <c r="I6773" s="50"/>
      <c r="O6773" s="36" t="s">
        <v>48</v>
      </c>
      <c r="R6773" s="36" t="s">
        <v>48</v>
      </c>
    </row>
    <row r="6774">
      <c r="H6774" s="50"/>
      <c r="I6774" s="50"/>
      <c r="O6774" s="36" t="s">
        <v>48</v>
      </c>
      <c r="R6774" s="36" t="s">
        <v>48</v>
      </c>
    </row>
    <row r="6775">
      <c r="H6775" s="50"/>
      <c r="I6775" s="50"/>
      <c r="O6775" s="36" t="s">
        <v>48</v>
      </c>
      <c r="R6775" s="36" t="s">
        <v>48</v>
      </c>
    </row>
    <row r="6776">
      <c r="H6776" s="50"/>
      <c r="I6776" s="50"/>
      <c r="O6776" s="36" t="s">
        <v>48</v>
      </c>
      <c r="R6776" s="36" t="s">
        <v>48</v>
      </c>
    </row>
    <row r="6777">
      <c r="H6777" s="50"/>
      <c r="I6777" s="50"/>
      <c r="O6777" s="36" t="s">
        <v>48</v>
      </c>
      <c r="R6777" s="36" t="s">
        <v>48</v>
      </c>
    </row>
    <row r="6778">
      <c r="H6778" s="50"/>
      <c r="I6778" s="50"/>
      <c r="O6778" s="36" t="s">
        <v>48</v>
      </c>
      <c r="R6778" s="36" t="s">
        <v>48</v>
      </c>
    </row>
    <row r="6779">
      <c r="H6779" s="50"/>
      <c r="I6779" s="50"/>
      <c r="O6779" s="36" t="s">
        <v>48</v>
      </c>
      <c r="R6779" s="36" t="s">
        <v>48</v>
      </c>
    </row>
    <row r="6780">
      <c r="H6780" s="50"/>
      <c r="I6780" s="50"/>
      <c r="O6780" s="36" t="s">
        <v>48</v>
      </c>
      <c r="R6780" s="36" t="s">
        <v>48</v>
      </c>
    </row>
    <row r="6781">
      <c r="H6781" s="50"/>
      <c r="I6781" s="50"/>
      <c r="O6781" s="36" t="s">
        <v>48</v>
      </c>
      <c r="R6781" s="36" t="s">
        <v>48</v>
      </c>
    </row>
    <row r="6782">
      <c r="H6782" s="50"/>
      <c r="I6782" s="50"/>
      <c r="O6782" s="36" t="s">
        <v>48</v>
      </c>
      <c r="R6782" s="36" t="s">
        <v>48</v>
      </c>
    </row>
    <row r="6783">
      <c r="H6783" s="50"/>
      <c r="I6783" s="50"/>
      <c r="O6783" s="36" t="s">
        <v>48</v>
      </c>
      <c r="R6783" s="36" t="s">
        <v>48</v>
      </c>
    </row>
    <row r="6784">
      <c r="H6784" s="50"/>
      <c r="I6784" s="50"/>
      <c r="O6784" s="36" t="s">
        <v>48</v>
      </c>
      <c r="R6784" s="36" t="s">
        <v>48</v>
      </c>
    </row>
    <row r="6785">
      <c r="H6785" s="50"/>
      <c r="I6785" s="50"/>
      <c r="O6785" s="36" t="s">
        <v>48</v>
      </c>
      <c r="R6785" s="36" t="s">
        <v>48</v>
      </c>
    </row>
    <row r="6786">
      <c r="H6786" s="50"/>
      <c r="I6786" s="50"/>
      <c r="O6786" s="36" t="s">
        <v>48</v>
      </c>
      <c r="R6786" s="36" t="s">
        <v>48</v>
      </c>
    </row>
    <row r="6787">
      <c r="H6787" s="50"/>
      <c r="I6787" s="50"/>
      <c r="O6787" s="36" t="s">
        <v>48</v>
      </c>
      <c r="R6787" s="36" t="s">
        <v>48</v>
      </c>
    </row>
    <row r="6788">
      <c r="H6788" s="50"/>
      <c r="I6788" s="50"/>
      <c r="O6788" s="36" t="s">
        <v>48</v>
      </c>
      <c r="R6788" s="36" t="s">
        <v>48</v>
      </c>
    </row>
    <row r="6789">
      <c r="H6789" s="50"/>
      <c r="I6789" s="50"/>
      <c r="O6789" s="36" t="s">
        <v>48</v>
      </c>
      <c r="R6789" s="36" t="s">
        <v>48</v>
      </c>
    </row>
    <row r="6790">
      <c r="H6790" s="50"/>
      <c r="I6790" s="50"/>
      <c r="O6790" s="36" t="s">
        <v>48</v>
      </c>
      <c r="R6790" s="36" t="s">
        <v>48</v>
      </c>
    </row>
    <row r="6791">
      <c r="H6791" s="50"/>
      <c r="I6791" s="50"/>
      <c r="O6791" s="36" t="s">
        <v>48</v>
      </c>
      <c r="R6791" s="36" t="s">
        <v>48</v>
      </c>
    </row>
    <row r="6792">
      <c r="H6792" s="50"/>
      <c r="I6792" s="50"/>
      <c r="O6792" s="36" t="s">
        <v>48</v>
      </c>
      <c r="R6792" s="36" t="s">
        <v>48</v>
      </c>
    </row>
    <row r="6793">
      <c r="H6793" s="50"/>
      <c r="I6793" s="50"/>
      <c r="O6793" s="36" t="s">
        <v>48</v>
      </c>
      <c r="R6793" s="36" t="s">
        <v>48</v>
      </c>
    </row>
    <row r="6794">
      <c r="H6794" s="50"/>
      <c r="I6794" s="50"/>
      <c r="O6794" s="36" t="s">
        <v>48</v>
      </c>
      <c r="R6794" s="36" t="s">
        <v>48</v>
      </c>
    </row>
    <row r="6795">
      <c r="H6795" s="50"/>
      <c r="I6795" s="50"/>
      <c r="O6795" s="36" t="s">
        <v>48</v>
      </c>
      <c r="R6795" s="36" t="s">
        <v>48</v>
      </c>
    </row>
    <row r="6796">
      <c r="H6796" s="50"/>
      <c r="I6796" s="50"/>
      <c r="O6796" s="36" t="s">
        <v>48</v>
      </c>
      <c r="R6796" s="36" t="s">
        <v>48</v>
      </c>
    </row>
    <row r="6797">
      <c r="H6797" s="50"/>
      <c r="I6797" s="50"/>
      <c r="O6797" s="36" t="s">
        <v>48</v>
      </c>
      <c r="R6797" s="36" t="s">
        <v>48</v>
      </c>
    </row>
    <row r="6798">
      <c r="H6798" s="50"/>
      <c r="I6798" s="50"/>
      <c r="O6798" s="36" t="s">
        <v>48</v>
      </c>
      <c r="R6798" s="36" t="s">
        <v>48</v>
      </c>
    </row>
    <row r="6799">
      <c r="H6799" s="50"/>
      <c r="I6799" s="50"/>
      <c r="O6799" s="36" t="s">
        <v>48</v>
      </c>
      <c r="R6799" s="36" t="s">
        <v>48</v>
      </c>
    </row>
    <row r="6800">
      <c r="H6800" s="50"/>
      <c r="I6800" s="50"/>
      <c r="O6800" s="36" t="s">
        <v>48</v>
      </c>
      <c r="R6800" s="36" t="s">
        <v>48</v>
      </c>
    </row>
    <row r="6801">
      <c r="H6801" s="50"/>
      <c r="I6801" s="50"/>
      <c r="O6801" s="36" t="s">
        <v>48</v>
      </c>
      <c r="R6801" s="36" t="s">
        <v>48</v>
      </c>
    </row>
    <row r="6802">
      <c r="H6802" s="50"/>
      <c r="I6802" s="50"/>
      <c r="O6802" s="36" t="s">
        <v>48</v>
      </c>
      <c r="R6802" s="36" t="s">
        <v>48</v>
      </c>
    </row>
    <row r="6803">
      <c r="H6803" s="50"/>
      <c r="I6803" s="50"/>
      <c r="O6803" s="36" t="s">
        <v>48</v>
      </c>
      <c r="R6803" s="36" t="s">
        <v>48</v>
      </c>
    </row>
    <row r="6804">
      <c r="H6804" s="50"/>
      <c r="I6804" s="50"/>
      <c r="O6804" s="36" t="s">
        <v>48</v>
      </c>
      <c r="R6804" s="36" t="s">
        <v>48</v>
      </c>
    </row>
    <row r="6805">
      <c r="H6805" s="50"/>
      <c r="I6805" s="50"/>
      <c r="O6805" s="36" t="s">
        <v>48</v>
      </c>
      <c r="R6805" s="36" t="s">
        <v>48</v>
      </c>
    </row>
    <row r="6806">
      <c r="H6806" s="50"/>
      <c r="I6806" s="50"/>
      <c r="O6806" s="36" t="s">
        <v>48</v>
      </c>
      <c r="R6806" s="36" t="s">
        <v>48</v>
      </c>
    </row>
    <row r="6807">
      <c r="H6807" s="50"/>
      <c r="I6807" s="50"/>
      <c r="O6807" s="36" t="s">
        <v>48</v>
      </c>
      <c r="R6807" s="36" t="s">
        <v>48</v>
      </c>
    </row>
    <row r="6808">
      <c r="H6808" s="50"/>
      <c r="I6808" s="50"/>
      <c r="O6808" s="36" t="s">
        <v>48</v>
      </c>
      <c r="R6808" s="36" t="s">
        <v>48</v>
      </c>
    </row>
    <row r="6809">
      <c r="H6809" s="50"/>
      <c r="I6809" s="50"/>
      <c r="O6809" s="36" t="s">
        <v>48</v>
      </c>
      <c r="R6809" s="36" t="s">
        <v>48</v>
      </c>
    </row>
    <row r="6810">
      <c r="H6810" s="50"/>
      <c r="I6810" s="50"/>
      <c r="O6810" s="36" t="s">
        <v>48</v>
      </c>
      <c r="R6810" s="36" t="s">
        <v>48</v>
      </c>
    </row>
    <row r="6811">
      <c r="H6811" s="50"/>
      <c r="I6811" s="50"/>
      <c r="O6811" s="36" t="s">
        <v>48</v>
      </c>
      <c r="R6811" s="36" t="s">
        <v>48</v>
      </c>
    </row>
    <row r="6812">
      <c r="H6812" s="50"/>
      <c r="I6812" s="50"/>
      <c r="O6812" s="36" t="s">
        <v>48</v>
      </c>
      <c r="R6812" s="36" t="s">
        <v>48</v>
      </c>
    </row>
    <row r="6813">
      <c r="H6813" s="50"/>
      <c r="I6813" s="50"/>
      <c r="O6813" s="36" t="s">
        <v>48</v>
      </c>
      <c r="R6813" s="36" t="s">
        <v>48</v>
      </c>
    </row>
    <row r="6814">
      <c r="H6814" s="50"/>
      <c r="I6814" s="50"/>
      <c r="O6814" s="36" t="s">
        <v>48</v>
      </c>
      <c r="R6814" s="36" t="s">
        <v>48</v>
      </c>
    </row>
    <row r="6815">
      <c r="H6815" s="50"/>
      <c r="I6815" s="50"/>
      <c r="O6815" s="36" t="s">
        <v>48</v>
      </c>
      <c r="R6815" s="36" t="s">
        <v>48</v>
      </c>
    </row>
    <row r="6816">
      <c r="H6816" s="50"/>
      <c r="I6816" s="50"/>
      <c r="O6816" s="36" t="s">
        <v>48</v>
      </c>
      <c r="R6816" s="36" t="s">
        <v>48</v>
      </c>
    </row>
    <row r="6817">
      <c r="H6817" s="50"/>
      <c r="I6817" s="50"/>
      <c r="O6817" s="36" t="s">
        <v>48</v>
      </c>
      <c r="R6817" s="36" t="s">
        <v>48</v>
      </c>
    </row>
    <row r="6818">
      <c r="H6818" s="50"/>
      <c r="I6818" s="50"/>
      <c r="O6818" s="36" t="s">
        <v>48</v>
      </c>
      <c r="R6818" s="36" t="s">
        <v>48</v>
      </c>
    </row>
    <row r="6819">
      <c r="H6819" s="50"/>
      <c r="I6819" s="50"/>
      <c r="O6819" s="36" t="s">
        <v>48</v>
      </c>
      <c r="R6819" s="36" t="s">
        <v>48</v>
      </c>
    </row>
    <row r="6820">
      <c r="H6820" s="50"/>
      <c r="I6820" s="50"/>
      <c r="O6820" s="36" t="s">
        <v>48</v>
      </c>
      <c r="R6820" s="36" t="s">
        <v>48</v>
      </c>
    </row>
    <row r="6821">
      <c r="H6821" s="50"/>
      <c r="I6821" s="50"/>
      <c r="O6821" s="36" t="s">
        <v>48</v>
      </c>
      <c r="R6821" s="36" t="s">
        <v>48</v>
      </c>
    </row>
    <row r="6822">
      <c r="H6822" s="50"/>
      <c r="I6822" s="50"/>
      <c r="O6822" s="36" t="s">
        <v>48</v>
      </c>
      <c r="R6822" s="36" t="s">
        <v>48</v>
      </c>
    </row>
    <row r="6823">
      <c r="H6823" s="50"/>
      <c r="I6823" s="50"/>
      <c r="O6823" s="36" t="s">
        <v>48</v>
      </c>
      <c r="R6823" s="36" t="s">
        <v>48</v>
      </c>
    </row>
    <row r="6824">
      <c r="H6824" s="50"/>
      <c r="I6824" s="50"/>
      <c r="O6824" s="36" t="s">
        <v>48</v>
      </c>
      <c r="R6824" s="36" t="s">
        <v>48</v>
      </c>
    </row>
    <row r="6825">
      <c r="H6825" s="50"/>
      <c r="I6825" s="50"/>
      <c r="O6825" s="36" t="s">
        <v>48</v>
      </c>
      <c r="R6825" s="36" t="s">
        <v>48</v>
      </c>
    </row>
    <row r="6826">
      <c r="H6826" s="50"/>
      <c r="I6826" s="50"/>
      <c r="O6826" s="36" t="s">
        <v>48</v>
      </c>
      <c r="R6826" s="36" t="s">
        <v>48</v>
      </c>
    </row>
    <row r="6827">
      <c r="H6827" s="50"/>
      <c r="I6827" s="50"/>
      <c r="O6827" s="36" t="s">
        <v>48</v>
      </c>
      <c r="R6827" s="36" t="s">
        <v>48</v>
      </c>
    </row>
    <row r="6828">
      <c r="H6828" s="50"/>
      <c r="I6828" s="50"/>
      <c r="O6828" s="36" t="s">
        <v>48</v>
      </c>
      <c r="R6828" s="36" t="s">
        <v>48</v>
      </c>
    </row>
    <row r="6829">
      <c r="H6829" s="50"/>
      <c r="I6829" s="50"/>
      <c r="O6829" s="36" t="s">
        <v>48</v>
      </c>
      <c r="R6829" s="36" t="s">
        <v>48</v>
      </c>
    </row>
    <row r="6830">
      <c r="H6830" s="50"/>
      <c r="I6830" s="50"/>
      <c r="O6830" s="36" t="s">
        <v>48</v>
      </c>
      <c r="R6830" s="36" t="s">
        <v>48</v>
      </c>
    </row>
    <row r="6831">
      <c r="H6831" s="50"/>
      <c r="I6831" s="50"/>
      <c r="O6831" s="36" t="s">
        <v>48</v>
      </c>
      <c r="R6831" s="36" t="s">
        <v>48</v>
      </c>
    </row>
    <row r="6832">
      <c r="H6832" s="50"/>
      <c r="I6832" s="50"/>
      <c r="O6832" s="36" t="s">
        <v>48</v>
      </c>
      <c r="R6832" s="36" t="s">
        <v>48</v>
      </c>
    </row>
    <row r="6833">
      <c r="H6833" s="50"/>
      <c r="I6833" s="50"/>
      <c r="O6833" s="36" t="s">
        <v>48</v>
      </c>
      <c r="R6833" s="36" t="s">
        <v>48</v>
      </c>
    </row>
    <row r="6834">
      <c r="H6834" s="50"/>
      <c r="I6834" s="50"/>
      <c r="O6834" s="36" t="s">
        <v>48</v>
      </c>
      <c r="R6834" s="36" t="s">
        <v>48</v>
      </c>
    </row>
    <row r="6835">
      <c r="H6835" s="50"/>
      <c r="I6835" s="50"/>
      <c r="O6835" s="36" t="s">
        <v>48</v>
      </c>
      <c r="R6835" s="36" t="s">
        <v>48</v>
      </c>
    </row>
    <row r="6836">
      <c r="H6836" s="50"/>
      <c r="I6836" s="50"/>
      <c r="O6836" s="36" t="s">
        <v>48</v>
      </c>
      <c r="R6836" s="36" t="s">
        <v>48</v>
      </c>
    </row>
    <row r="6837">
      <c r="H6837" s="50"/>
      <c r="I6837" s="50"/>
      <c r="O6837" s="36" t="s">
        <v>48</v>
      </c>
      <c r="R6837" s="36" t="s">
        <v>48</v>
      </c>
    </row>
    <row r="6838">
      <c r="H6838" s="50"/>
      <c r="I6838" s="50"/>
      <c r="O6838" s="36" t="s">
        <v>48</v>
      </c>
      <c r="R6838" s="36" t="s">
        <v>48</v>
      </c>
    </row>
    <row r="6839">
      <c r="H6839" s="50"/>
      <c r="I6839" s="50"/>
      <c r="O6839" s="36" t="s">
        <v>48</v>
      </c>
      <c r="R6839" s="36" t="s">
        <v>48</v>
      </c>
    </row>
    <row r="6840">
      <c r="H6840" s="50"/>
      <c r="I6840" s="50"/>
      <c r="O6840" s="36" t="s">
        <v>48</v>
      </c>
      <c r="R6840" s="36" t="s">
        <v>48</v>
      </c>
    </row>
    <row r="6841">
      <c r="H6841" s="50"/>
      <c r="I6841" s="50"/>
      <c r="O6841" s="36" t="s">
        <v>48</v>
      </c>
      <c r="R6841" s="36" t="s">
        <v>48</v>
      </c>
    </row>
    <row r="6842">
      <c r="H6842" s="50"/>
      <c r="I6842" s="50"/>
      <c r="O6842" s="36" t="s">
        <v>48</v>
      </c>
      <c r="R6842" s="36" t="s">
        <v>48</v>
      </c>
    </row>
    <row r="6843">
      <c r="H6843" s="50"/>
      <c r="I6843" s="50"/>
      <c r="O6843" s="36" t="s">
        <v>48</v>
      </c>
      <c r="R6843" s="36" t="s">
        <v>48</v>
      </c>
    </row>
    <row r="6844">
      <c r="H6844" s="50"/>
      <c r="I6844" s="50"/>
      <c r="O6844" s="36" t="s">
        <v>48</v>
      </c>
      <c r="R6844" s="36" t="s">
        <v>48</v>
      </c>
    </row>
    <row r="6845">
      <c r="H6845" s="50"/>
      <c r="I6845" s="50"/>
      <c r="O6845" s="36" t="s">
        <v>48</v>
      </c>
      <c r="R6845" s="36" t="s">
        <v>48</v>
      </c>
    </row>
    <row r="6846">
      <c r="H6846" s="50"/>
      <c r="I6846" s="50"/>
      <c r="O6846" s="36" t="s">
        <v>48</v>
      </c>
      <c r="R6846" s="36" t="s">
        <v>48</v>
      </c>
    </row>
    <row r="6847">
      <c r="H6847" s="50"/>
      <c r="I6847" s="50"/>
      <c r="O6847" s="36" t="s">
        <v>48</v>
      </c>
      <c r="R6847" s="36" t="s">
        <v>48</v>
      </c>
    </row>
    <row r="6848">
      <c r="H6848" s="50"/>
      <c r="I6848" s="50"/>
      <c r="O6848" s="36" t="s">
        <v>48</v>
      </c>
      <c r="R6848" s="36" t="s">
        <v>48</v>
      </c>
    </row>
    <row r="6849">
      <c r="H6849" s="50"/>
      <c r="I6849" s="50"/>
      <c r="O6849" s="36" t="s">
        <v>48</v>
      </c>
      <c r="R6849" s="36" t="s">
        <v>48</v>
      </c>
    </row>
    <row r="6850">
      <c r="H6850" s="50"/>
      <c r="I6850" s="50"/>
      <c r="O6850" s="36" t="s">
        <v>48</v>
      </c>
      <c r="R6850" s="36" t="s">
        <v>48</v>
      </c>
    </row>
    <row r="6851">
      <c r="H6851" s="50"/>
      <c r="I6851" s="50"/>
      <c r="O6851" s="36" t="s">
        <v>48</v>
      </c>
      <c r="R6851" s="36" t="s">
        <v>48</v>
      </c>
    </row>
    <row r="6852">
      <c r="H6852" s="50"/>
      <c r="I6852" s="50"/>
      <c r="O6852" s="36" t="s">
        <v>48</v>
      </c>
      <c r="R6852" s="36" t="s">
        <v>48</v>
      </c>
    </row>
    <row r="6853">
      <c r="H6853" s="50"/>
      <c r="I6853" s="50"/>
      <c r="O6853" s="36" t="s">
        <v>48</v>
      </c>
      <c r="R6853" s="36" t="s">
        <v>48</v>
      </c>
    </row>
    <row r="6854">
      <c r="H6854" s="50"/>
      <c r="I6854" s="50"/>
      <c r="O6854" s="36" t="s">
        <v>48</v>
      </c>
      <c r="R6854" s="36" t="s">
        <v>48</v>
      </c>
    </row>
    <row r="6855">
      <c r="H6855" s="50"/>
      <c r="I6855" s="50"/>
      <c r="O6855" s="36" t="s">
        <v>48</v>
      </c>
      <c r="R6855" s="36" t="s">
        <v>48</v>
      </c>
    </row>
    <row r="6856">
      <c r="H6856" s="50"/>
      <c r="I6856" s="50"/>
      <c r="O6856" s="36" t="s">
        <v>48</v>
      </c>
      <c r="R6856" s="36" t="s">
        <v>48</v>
      </c>
    </row>
    <row r="6857">
      <c r="H6857" s="50"/>
      <c r="I6857" s="50"/>
      <c r="O6857" s="36" t="s">
        <v>48</v>
      </c>
      <c r="R6857" s="36" t="s">
        <v>48</v>
      </c>
    </row>
    <row r="6858">
      <c r="H6858" s="50"/>
      <c r="I6858" s="50"/>
      <c r="O6858" s="36" t="s">
        <v>48</v>
      </c>
      <c r="R6858" s="36" t="s">
        <v>48</v>
      </c>
    </row>
    <row r="6859">
      <c r="H6859" s="50"/>
      <c r="I6859" s="50"/>
      <c r="O6859" s="36" t="s">
        <v>48</v>
      </c>
      <c r="R6859" s="36" t="s">
        <v>48</v>
      </c>
    </row>
    <row r="6860">
      <c r="H6860" s="50"/>
      <c r="I6860" s="50"/>
      <c r="O6860" s="36" t="s">
        <v>48</v>
      </c>
      <c r="R6860" s="36" t="s">
        <v>48</v>
      </c>
    </row>
    <row r="6861">
      <c r="H6861" s="50"/>
      <c r="I6861" s="50"/>
      <c r="O6861" s="36" t="s">
        <v>48</v>
      </c>
      <c r="R6861" s="36" t="s">
        <v>48</v>
      </c>
    </row>
    <row r="6862">
      <c r="H6862" s="50"/>
      <c r="I6862" s="50"/>
      <c r="O6862" s="36" t="s">
        <v>48</v>
      </c>
      <c r="R6862" s="36" t="s">
        <v>48</v>
      </c>
    </row>
    <row r="6863">
      <c r="H6863" s="50"/>
      <c r="I6863" s="50"/>
      <c r="O6863" s="36" t="s">
        <v>48</v>
      </c>
      <c r="R6863" s="36" t="s">
        <v>48</v>
      </c>
    </row>
    <row r="6864">
      <c r="H6864" s="50"/>
      <c r="I6864" s="50"/>
      <c r="O6864" s="36" t="s">
        <v>48</v>
      </c>
      <c r="R6864" s="36" t="s">
        <v>48</v>
      </c>
    </row>
    <row r="6865">
      <c r="H6865" s="50"/>
      <c r="I6865" s="50"/>
      <c r="O6865" s="36" t="s">
        <v>48</v>
      </c>
      <c r="R6865" s="36" t="s">
        <v>48</v>
      </c>
    </row>
    <row r="6866">
      <c r="H6866" s="50"/>
      <c r="I6866" s="50"/>
      <c r="O6866" s="36" t="s">
        <v>48</v>
      </c>
      <c r="R6866" s="36" t="s">
        <v>48</v>
      </c>
    </row>
    <row r="6867">
      <c r="H6867" s="50"/>
      <c r="I6867" s="50"/>
      <c r="O6867" s="36" t="s">
        <v>48</v>
      </c>
      <c r="R6867" s="36" t="s">
        <v>48</v>
      </c>
    </row>
    <row r="6868">
      <c r="H6868" s="50"/>
      <c r="I6868" s="50"/>
      <c r="O6868" s="36" t="s">
        <v>48</v>
      </c>
      <c r="R6868" s="36" t="s">
        <v>48</v>
      </c>
    </row>
    <row r="6869">
      <c r="H6869" s="50"/>
      <c r="I6869" s="50"/>
      <c r="O6869" s="36" t="s">
        <v>48</v>
      </c>
      <c r="R6869" s="36" t="s">
        <v>48</v>
      </c>
    </row>
    <row r="6870">
      <c r="H6870" s="50"/>
      <c r="I6870" s="50"/>
      <c r="O6870" s="36" t="s">
        <v>48</v>
      </c>
      <c r="R6870" s="36" t="s">
        <v>48</v>
      </c>
    </row>
    <row r="6871">
      <c r="H6871" s="50"/>
      <c r="I6871" s="50"/>
      <c r="O6871" s="36" t="s">
        <v>48</v>
      </c>
      <c r="R6871" s="36" t="s">
        <v>48</v>
      </c>
    </row>
    <row r="6872">
      <c r="H6872" s="50"/>
      <c r="I6872" s="50"/>
      <c r="O6872" s="36" t="s">
        <v>48</v>
      </c>
      <c r="R6872" s="36" t="s">
        <v>48</v>
      </c>
    </row>
    <row r="6873">
      <c r="H6873" s="50"/>
      <c r="I6873" s="50"/>
      <c r="O6873" s="36" t="s">
        <v>48</v>
      </c>
      <c r="R6873" s="36" t="s">
        <v>48</v>
      </c>
    </row>
    <row r="6874">
      <c r="H6874" s="50"/>
      <c r="I6874" s="50"/>
      <c r="O6874" s="36" t="s">
        <v>48</v>
      </c>
      <c r="R6874" s="36" t="s">
        <v>48</v>
      </c>
    </row>
    <row r="6875">
      <c r="H6875" s="50"/>
      <c r="I6875" s="50"/>
      <c r="O6875" s="36" t="s">
        <v>48</v>
      </c>
      <c r="R6875" s="36" t="s">
        <v>48</v>
      </c>
    </row>
    <row r="6876">
      <c r="H6876" s="50"/>
      <c r="I6876" s="50"/>
      <c r="O6876" s="36" t="s">
        <v>48</v>
      </c>
      <c r="R6876" s="36" t="s">
        <v>48</v>
      </c>
    </row>
    <row r="6877">
      <c r="H6877" s="50"/>
      <c r="I6877" s="50"/>
      <c r="O6877" s="36" t="s">
        <v>48</v>
      </c>
      <c r="R6877" s="36" t="s">
        <v>48</v>
      </c>
    </row>
    <row r="6878">
      <c r="H6878" s="50"/>
      <c r="I6878" s="50"/>
      <c r="O6878" s="36" t="s">
        <v>48</v>
      </c>
      <c r="R6878" s="36" t="s">
        <v>48</v>
      </c>
    </row>
    <row r="6879">
      <c r="H6879" s="50"/>
      <c r="I6879" s="50"/>
      <c r="O6879" s="36" t="s">
        <v>48</v>
      </c>
      <c r="R6879" s="36" t="s">
        <v>48</v>
      </c>
    </row>
    <row r="6880">
      <c r="H6880" s="50"/>
      <c r="I6880" s="50"/>
      <c r="O6880" s="36" t="s">
        <v>48</v>
      </c>
      <c r="R6880" s="36" t="s">
        <v>48</v>
      </c>
    </row>
    <row r="6881">
      <c r="H6881" s="50"/>
      <c r="I6881" s="50"/>
      <c r="O6881" s="36" t="s">
        <v>48</v>
      </c>
      <c r="R6881" s="36" t="s">
        <v>48</v>
      </c>
    </row>
    <row r="6882">
      <c r="H6882" s="50"/>
      <c r="I6882" s="50"/>
      <c r="O6882" s="36" t="s">
        <v>48</v>
      </c>
      <c r="R6882" s="36" t="s">
        <v>48</v>
      </c>
    </row>
    <row r="6883">
      <c r="H6883" s="50"/>
      <c r="I6883" s="50"/>
      <c r="O6883" s="36" t="s">
        <v>48</v>
      </c>
      <c r="R6883" s="36" t="s">
        <v>48</v>
      </c>
    </row>
    <row r="6884">
      <c r="H6884" s="50"/>
      <c r="I6884" s="50"/>
      <c r="O6884" s="36" t="s">
        <v>48</v>
      </c>
      <c r="R6884" s="36" t="s">
        <v>48</v>
      </c>
    </row>
    <row r="6885">
      <c r="H6885" s="50"/>
      <c r="I6885" s="50"/>
      <c r="O6885" s="36" t="s">
        <v>48</v>
      </c>
      <c r="R6885" s="36" t="s">
        <v>48</v>
      </c>
    </row>
    <row r="6886">
      <c r="H6886" s="50"/>
      <c r="I6886" s="50"/>
      <c r="O6886" s="36" t="s">
        <v>48</v>
      </c>
      <c r="R6886" s="36" t="s">
        <v>48</v>
      </c>
    </row>
    <row r="6887">
      <c r="H6887" s="50"/>
      <c r="I6887" s="50"/>
      <c r="O6887" s="36" t="s">
        <v>48</v>
      </c>
      <c r="R6887" s="36" t="s">
        <v>48</v>
      </c>
    </row>
    <row r="6888">
      <c r="H6888" s="50"/>
      <c r="I6888" s="50"/>
      <c r="O6888" s="36" t="s">
        <v>48</v>
      </c>
      <c r="R6888" s="36" t="s">
        <v>48</v>
      </c>
    </row>
    <row r="6889">
      <c r="H6889" s="50"/>
      <c r="I6889" s="50"/>
      <c r="O6889" s="36" t="s">
        <v>48</v>
      </c>
      <c r="R6889" s="36" t="s">
        <v>48</v>
      </c>
    </row>
    <row r="6890">
      <c r="H6890" s="50"/>
      <c r="I6890" s="50"/>
      <c r="O6890" s="36" t="s">
        <v>48</v>
      </c>
      <c r="R6890" s="36" t="s">
        <v>48</v>
      </c>
    </row>
    <row r="6891">
      <c r="H6891" s="50"/>
      <c r="I6891" s="50"/>
      <c r="O6891" s="36" t="s">
        <v>48</v>
      </c>
      <c r="R6891" s="36" t="s">
        <v>48</v>
      </c>
    </row>
    <row r="6892">
      <c r="H6892" s="50"/>
      <c r="I6892" s="50"/>
      <c r="O6892" s="36" t="s">
        <v>48</v>
      </c>
      <c r="R6892" s="36" t="s">
        <v>48</v>
      </c>
    </row>
    <row r="6893">
      <c r="H6893" s="50"/>
      <c r="I6893" s="50"/>
      <c r="O6893" s="36" t="s">
        <v>48</v>
      </c>
      <c r="R6893" s="36" t="s">
        <v>48</v>
      </c>
    </row>
    <row r="6894">
      <c r="H6894" s="50"/>
      <c r="I6894" s="50"/>
      <c r="O6894" s="36" t="s">
        <v>48</v>
      </c>
      <c r="R6894" s="36" t="s">
        <v>48</v>
      </c>
    </row>
    <row r="6895">
      <c r="H6895" s="50"/>
      <c r="I6895" s="50"/>
      <c r="O6895" s="36" t="s">
        <v>48</v>
      </c>
      <c r="R6895" s="36" t="s">
        <v>48</v>
      </c>
    </row>
    <row r="6896">
      <c r="H6896" s="50"/>
      <c r="I6896" s="50"/>
      <c r="O6896" s="36" t="s">
        <v>48</v>
      </c>
      <c r="R6896" s="36" t="s">
        <v>48</v>
      </c>
    </row>
    <row r="6897">
      <c r="H6897" s="50"/>
      <c r="I6897" s="50"/>
      <c r="O6897" s="36" t="s">
        <v>48</v>
      </c>
      <c r="R6897" s="36" t="s">
        <v>48</v>
      </c>
    </row>
    <row r="6898">
      <c r="H6898" s="50"/>
      <c r="I6898" s="50"/>
      <c r="O6898" s="36" t="s">
        <v>48</v>
      </c>
      <c r="R6898" s="36" t="s">
        <v>48</v>
      </c>
    </row>
    <row r="6899">
      <c r="H6899" s="50"/>
      <c r="I6899" s="50"/>
      <c r="O6899" s="36" t="s">
        <v>48</v>
      </c>
      <c r="R6899" s="36" t="s">
        <v>48</v>
      </c>
    </row>
    <row r="6900">
      <c r="H6900" s="50"/>
      <c r="I6900" s="50"/>
      <c r="O6900" s="36" t="s">
        <v>48</v>
      </c>
      <c r="R6900" s="36" t="s">
        <v>48</v>
      </c>
    </row>
    <row r="6901">
      <c r="H6901" s="50"/>
      <c r="I6901" s="50"/>
      <c r="O6901" s="36" t="s">
        <v>48</v>
      </c>
      <c r="R6901" s="36" t="s">
        <v>48</v>
      </c>
    </row>
    <row r="6902">
      <c r="H6902" s="50"/>
      <c r="I6902" s="50"/>
      <c r="O6902" s="36" t="s">
        <v>48</v>
      </c>
      <c r="R6902" s="36" t="s">
        <v>48</v>
      </c>
    </row>
    <row r="6903">
      <c r="H6903" s="50"/>
      <c r="I6903" s="50"/>
      <c r="O6903" s="36" t="s">
        <v>48</v>
      </c>
      <c r="R6903" s="36" t="s">
        <v>48</v>
      </c>
    </row>
    <row r="6904">
      <c r="H6904" s="50"/>
      <c r="I6904" s="50"/>
      <c r="O6904" s="36" t="s">
        <v>48</v>
      </c>
      <c r="R6904" s="36" t="s">
        <v>48</v>
      </c>
    </row>
    <row r="6905">
      <c r="H6905" s="50"/>
      <c r="I6905" s="50"/>
      <c r="O6905" s="36" t="s">
        <v>48</v>
      </c>
      <c r="R6905" s="36" t="s">
        <v>48</v>
      </c>
    </row>
    <row r="6906">
      <c r="H6906" s="50"/>
      <c r="I6906" s="50"/>
      <c r="O6906" s="36" t="s">
        <v>48</v>
      </c>
      <c r="R6906" s="36" t="s">
        <v>48</v>
      </c>
    </row>
    <row r="6907">
      <c r="H6907" s="50"/>
      <c r="I6907" s="50"/>
      <c r="O6907" s="36" t="s">
        <v>48</v>
      </c>
      <c r="R6907" s="36" t="s">
        <v>48</v>
      </c>
    </row>
    <row r="6908">
      <c r="H6908" s="50"/>
      <c r="I6908" s="50"/>
      <c r="O6908" s="36" t="s">
        <v>48</v>
      </c>
      <c r="R6908" s="36" t="s">
        <v>48</v>
      </c>
    </row>
    <row r="6909">
      <c r="H6909" s="50"/>
      <c r="I6909" s="50"/>
      <c r="O6909" s="36" t="s">
        <v>48</v>
      </c>
      <c r="R6909" s="36" t="s">
        <v>48</v>
      </c>
    </row>
    <row r="6910">
      <c r="H6910" s="50"/>
      <c r="I6910" s="50"/>
      <c r="O6910" s="36" t="s">
        <v>48</v>
      </c>
      <c r="R6910" s="36" t="s">
        <v>48</v>
      </c>
    </row>
    <row r="6911">
      <c r="H6911" s="50"/>
      <c r="I6911" s="50"/>
      <c r="O6911" s="36" t="s">
        <v>48</v>
      </c>
      <c r="R6911" s="36" t="s">
        <v>48</v>
      </c>
    </row>
    <row r="6912">
      <c r="H6912" s="50"/>
      <c r="I6912" s="50"/>
      <c r="O6912" s="36" t="s">
        <v>48</v>
      </c>
      <c r="R6912" s="36" t="s">
        <v>48</v>
      </c>
    </row>
    <row r="6913">
      <c r="H6913" s="50"/>
      <c r="I6913" s="50"/>
      <c r="O6913" s="36" t="s">
        <v>48</v>
      </c>
      <c r="R6913" s="36" t="s">
        <v>48</v>
      </c>
    </row>
    <row r="6914">
      <c r="H6914" s="50"/>
      <c r="I6914" s="50"/>
      <c r="O6914" s="36" t="s">
        <v>48</v>
      </c>
      <c r="R6914" s="36" t="s">
        <v>48</v>
      </c>
    </row>
    <row r="6915">
      <c r="H6915" s="50"/>
      <c r="I6915" s="50"/>
      <c r="O6915" s="36" t="s">
        <v>48</v>
      </c>
      <c r="R6915" s="36" t="s">
        <v>48</v>
      </c>
    </row>
    <row r="6916">
      <c r="H6916" s="50"/>
      <c r="I6916" s="50"/>
      <c r="O6916" s="36" t="s">
        <v>48</v>
      </c>
      <c r="R6916" s="36" t="s">
        <v>48</v>
      </c>
    </row>
    <row r="6917">
      <c r="H6917" s="50"/>
      <c r="I6917" s="50"/>
      <c r="O6917" s="36" t="s">
        <v>48</v>
      </c>
      <c r="R6917" s="36" t="s">
        <v>48</v>
      </c>
    </row>
    <row r="6918">
      <c r="H6918" s="50"/>
      <c r="I6918" s="50"/>
      <c r="O6918" s="36" t="s">
        <v>48</v>
      </c>
      <c r="R6918" s="36" t="s">
        <v>48</v>
      </c>
    </row>
    <row r="6919">
      <c r="H6919" s="50"/>
      <c r="I6919" s="50"/>
      <c r="O6919" s="36" t="s">
        <v>48</v>
      </c>
      <c r="R6919" s="36" t="s">
        <v>48</v>
      </c>
    </row>
    <row r="6920">
      <c r="H6920" s="50"/>
      <c r="I6920" s="50"/>
      <c r="O6920" s="36" t="s">
        <v>48</v>
      </c>
      <c r="R6920" s="36" t="s">
        <v>48</v>
      </c>
    </row>
    <row r="6921">
      <c r="H6921" s="50"/>
      <c r="I6921" s="50"/>
      <c r="O6921" s="36" t="s">
        <v>48</v>
      </c>
      <c r="R6921" s="36" t="s">
        <v>48</v>
      </c>
    </row>
    <row r="6922">
      <c r="H6922" s="50"/>
      <c r="I6922" s="50"/>
      <c r="O6922" s="36" t="s">
        <v>48</v>
      </c>
      <c r="R6922" s="36" t="s">
        <v>48</v>
      </c>
    </row>
    <row r="6923">
      <c r="H6923" s="50"/>
      <c r="I6923" s="50"/>
      <c r="O6923" s="36" t="s">
        <v>48</v>
      </c>
      <c r="R6923" s="36" t="s">
        <v>48</v>
      </c>
    </row>
    <row r="6924">
      <c r="H6924" s="50"/>
      <c r="I6924" s="50"/>
      <c r="O6924" s="36" t="s">
        <v>48</v>
      </c>
      <c r="R6924" s="36" t="s">
        <v>48</v>
      </c>
    </row>
    <row r="6925">
      <c r="H6925" s="50"/>
      <c r="I6925" s="50"/>
      <c r="O6925" s="36" t="s">
        <v>48</v>
      </c>
      <c r="R6925" s="36" t="s">
        <v>48</v>
      </c>
    </row>
    <row r="6926">
      <c r="H6926" s="50"/>
      <c r="I6926" s="50"/>
      <c r="O6926" s="36" t="s">
        <v>48</v>
      </c>
      <c r="R6926" s="36" t="s">
        <v>48</v>
      </c>
    </row>
    <row r="6927">
      <c r="H6927" s="50"/>
      <c r="I6927" s="50"/>
      <c r="O6927" s="36" t="s">
        <v>48</v>
      </c>
      <c r="R6927" s="36" t="s">
        <v>48</v>
      </c>
    </row>
    <row r="6928">
      <c r="H6928" s="50"/>
      <c r="I6928" s="50"/>
      <c r="O6928" s="36" t="s">
        <v>48</v>
      </c>
      <c r="R6928" s="36" t="s">
        <v>48</v>
      </c>
    </row>
    <row r="6929">
      <c r="H6929" s="50"/>
      <c r="I6929" s="50"/>
      <c r="O6929" s="36" t="s">
        <v>48</v>
      </c>
      <c r="R6929" s="36" t="s">
        <v>48</v>
      </c>
    </row>
    <row r="6930">
      <c r="H6930" s="50"/>
      <c r="I6930" s="50"/>
      <c r="O6930" s="36" t="s">
        <v>48</v>
      </c>
      <c r="R6930" s="36" t="s">
        <v>48</v>
      </c>
    </row>
    <row r="6931">
      <c r="H6931" s="50"/>
      <c r="I6931" s="50"/>
      <c r="O6931" s="36" t="s">
        <v>48</v>
      </c>
      <c r="R6931" s="36" t="s">
        <v>48</v>
      </c>
    </row>
    <row r="6932">
      <c r="H6932" s="50"/>
      <c r="I6932" s="50"/>
      <c r="O6932" s="36" t="s">
        <v>48</v>
      </c>
      <c r="R6932" s="36" t="s">
        <v>48</v>
      </c>
    </row>
    <row r="6933">
      <c r="H6933" s="50"/>
      <c r="I6933" s="50"/>
      <c r="O6933" s="36" t="s">
        <v>48</v>
      </c>
      <c r="R6933" s="36" t="s">
        <v>48</v>
      </c>
    </row>
    <row r="6934">
      <c r="H6934" s="50"/>
      <c r="I6934" s="50"/>
      <c r="O6934" s="36" t="s">
        <v>48</v>
      </c>
      <c r="R6934" s="36" t="s">
        <v>48</v>
      </c>
    </row>
    <row r="6935">
      <c r="H6935" s="50"/>
      <c r="I6935" s="50"/>
      <c r="O6935" s="36" t="s">
        <v>48</v>
      </c>
      <c r="R6935" s="36" t="s">
        <v>48</v>
      </c>
    </row>
    <row r="6936">
      <c r="H6936" s="50"/>
      <c r="I6936" s="50"/>
      <c r="O6936" s="36" t="s">
        <v>48</v>
      </c>
      <c r="R6936" s="36" t="s">
        <v>48</v>
      </c>
    </row>
    <row r="6937">
      <c r="H6937" s="50"/>
      <c r="I6937" s="50"/>
      <c r="O6937" s="36" t="s">
        <v>48</v>
      </c>
      <c r="R6937" s="36" t="s">
        <v>48</v>
      </c>
    </row>
    <row r="6938">
      <c r="H6938" s="50"/>
      <c r="I6938" s="50"/>
      <c r="O6938" s="36" t="s">
        <v>48</v>
      </c>
      <c r="R6938" s="36" t="s">
        <v>48</v>
      </c>
    </row>
    <row r="6939">
      <c r="H6939" s="50"/>
      <c r="I6939" s="50"/>
      <c r="O6939" s="36" t="s">
        <v>48</v>
      </c>
      <c r="R6939" s="36" t="s">
        <v>48</v>
      </c>
    </row>
    <row r="6940">
      <c r="H6940" s="50"/>
      <c r="I6940" s="50"/>
      <c r="O6940" s="36" t="s">
        <v>48</v>
      </c>
      <c r="R6940" s="36" t="s">
        <v>48</v>
      </c>
    </row>
    <row r="6941">
      <c r="H6941" s="50"/>
      <c r="I6941" s="50"/>
      <c r="O6941" s="36" t="s">
        <v>48</v>
      </c>
      <c r="R6941" s="36" t="s">
        <v>48</v>
      </c>
    </row>
    <row r="6942">
      <c r="H6942" s="50"/>
      <c r="I6942" s="50"/>
      <c r="O6942" s="36" t="s">
        <v>48</v>
      </c>
      <c r="R6942" s="36" t="s">
        <v>48</v>
      </c>
    </row>
    <row r="6943">
      <c r="H6943" s="50"/>
      <c r="I6943" s="50"/>
      <c r="O6943" s="36" t="s">
        <v>48</v>
      </c>
      <c r="R6943" s="36" t="s">
        <v>48</v>
      </c>
    </row>
    <row r="6944">
      <c r="H6944" s="50"/>
      <c r="I6944" s="50"/>
      <c r="O6944" s="36" t="s">
        <v>48</v>
      </c>
      <c r="R6944" s="36" t="s">
        <v>48</v>
      </c>
    </row>
    <row r="6945">
      <c r="H6945" s="50"/>
      <c r="I6945" s="50"/>
      <c r="O6945" s="36" t="s">
        <v>48</v>
      </c>
      <c r="R6945" s="36" t="s">
        <v>48</v>
      </c>
    </row>
    <row r="6946">
      <c r="H6946" s="50"/>
      <c r="I6946" s="50"/>
      <c r="O6946" s="36" t="s">
        <v>48</v>
      </c>
      <c r="R6946" s="36" t="s">
        <v>48</v>
      </c>
    </row>
    <row r="6947">
      <c r="H6947" s="50"/>
      <c r="I6947" s="50"/>
      <c r="O6947" s="36" t="s">
        <v>48</v>
      </c>
      <c r="R6947" s="36" t="s">
        <v>48</v>
      </c>
    </row>
    <row r="6948">
      <c r="H6948" s="50"/>
      <c r="I6948" s="50"/>
      <c r="O6948" s="36" t="s">
        <v>48</v>
      </c>
      <c r="R6948" s="36" t="s">
        <v>48</v>
      </c>
    </row>
    <row r="6949">
      <c r="H6949" s="50"/>
      <c r="I6949" s="50"/>
      <c r="O6949" s="36" t="s">
        <v>48</v>
      </c>
      <c r="R6949" s="36" t="s">
        <v>48</v>
      </c>
    </row>
    <row r="6950">
      <c r="H6950" s="50"/>
      <c r="I6950" s="50"/>
      <c r="O6950" s="36" t="s">
        <v>48</v>
      </c>
      <c r="R6950" s="36" t="s">
        <v>48</v>
      </c>
    </row>
    <row r="6951">
      <c r="H6951" s="50"/>
      <c r="I6951" s="50"/>
      <c r="O6951" s="36" t="s">
        <v>48</v>
      </c>
      <c r="R6951" s="36" t="s">
        <v>48</v>
      </c>
    </row>
    <row r="6952">
      <c r="H6952" s="50"/>
      <c r="I6952" s="50"/>
      <c r="O6952" s="36" t="s">
        <v>48</v>
      </c>
      <c r="R6952" s="36" t="s">
        <v>48</v>
      </c>
    </row>
    <row r="6953">
      <c r="H6953" s="50"/>
      <c r="I6953" s="50"/>
      <c r="O6953" s="36" t="s">
        <v>48</v>
      </c>
      <c r="R6953" s="36" t="s">
        <v>48</v>
      </c>
    </row>
    <row r="6954">
      <c r="H6954" s="50"/>
      <c r="I6954" s="50"/>
      <c r="O6954" s="36" t="s">
        <v>48</v>
      </c>
      <c r="R6954" s="36" t="s">
        <v>48</v>
      </c>
    </row>
    <row r="6955">
      <c r="H6955" s="50"/>
      <c r="I6955" s="50"/>
      <c r="O6955" s="36" t="s">
        <v>48</v>
      </c>
      <c r="R6955" s="36" t="s">
        <v>48</v>
      </c>
    </row>
    <row r="6956">
      <c r="H6956" s="50"/>
      <c r="I6956" s="50"/>
      <c r="O6956" s="36" t="s">
        <v>48</v>
      </c>
      <c r="R6956" s="36" t="s">
        <v>48</v>
      </c>
    </row>
    <row r="6957">
      <c r="H6957" s="50"/>
      <c r="I6957" s="50"/>
      <c r="O6957" s="36" t="s">
        <v>48</v>
      </c>
      <c r="R6957" s="36" t="s">
        <v>48</v>
      </c>
    </row>
    <row r="6958">
      <c r="H6958" s="50"/>
      <c r="I6958" s="50"/>
      <c r="O6958" s="36" t="s">
        <v>48</v>
      </c>
      <c r="R6958" s="36" t="s">
        <v>48</v>
      </c>
    </row>
    <row r="6959">
      <c r="H6959" s="50"/>
      <c r="I6959" s="50"/>
      <c r="O6959" s="36" t="s">
        <v>48</v>
      </c>
      <c r="R6959" s="36" t="s">
        <v>48</v>
      </c>
    </row>
    <row r="6960">
      <c r="H6960" s="50"/>
      <c r="I6960" s="50"/>
      <c r="O6960" s="36" t="s">
        <v>48</v>
      </c>
      <c r="R6960" s="36" t="s">
        <v>48</v>
      </c>
    </row>
    <row r="6961">
      <c r="H6961" s="50"/>
      <c r="I6961" s="50"/>
      <c r="O6961" s="36" t="s">
        <v>48</v>
      </c>
      <c r="R6961" s="36" t="s">
        <v>48</v>
      </c>
    </row>
    <row r="6962">
      <c r="H6962" s="50"/>
      <c r="I6962" s="50"/>
      <c r="O6962" s="36" t="s">
        <v>48</v>
      </c>
      <c r="R6962" s="36" t="s">
        <v>48</v>
      </c>
    </row>
    <row r="6963">
      <c r="H6963" s="50"/>
      <c r="I6963" s="50"/>
      <c r="O6963" s="36" t="s">
        <v>48</v>
      </c>
      <c r="R6963" s="36" t="s">
        <v>48</v>
      </c>
    </row>
    <row r="6964">
      <c r="H6964" s="50"/>
      <c r="I6964" s="50"/>
      <c r="O6964" s="36" t="s">
        <v>48</v>
      </c>
      <c r="R6964" s="36" t="s">
        <v>48</v>
      </c>
    </row>
    <row r="6965">
      <c r="H6965" s="50"/>
      <c r="I6965" s="50"/>
      <c r="O6965" s="36" t="s">
        <v>48</v>
      </c>
      <c r="R6965" s="36" t="s">
        <v>48</v>
      </c>
    </row>
    <row r="6966">
      <c r="H6966" s="50"/>
      <c r="I6966" s="50"/>
      <c r="O6966" s="36" t="s">
        <v>48</v>
      </c>
      <c r="R6966" s="36" t="s">
        <v>48</v>
      </c>
    </row>
    <row r="6967">
      <c r="H6967" s="50"/>
      <c r="I6967" s="50"/>
      <c r="O6967" s="36" t="s">
        <v>48</v>
      </c>
      <c r="R6967" s="36" t="s">
        <v>48</v>
      </c>
    </row>
    <row r="6968">
      <c r="H6968" s="50"/>
      <c r="I6968" s="50"/>
      <c r="O6968" s="36" t="s">
        <v>48</v>
      </c>
      <c r="R6968" s="36" t="s">
        <v>48</v>
      </c>
    </row>
    <row r="6969">
      <c r="H6969" s="50"/>
      <c r="I6969" s="50"/>
      <c r="O6969" s="36" t="s">
        <v>48</v>
      </c>
      <c r="R6969" s="36" t="s">
        <v>48</v>
      </c>
    </row>
    <row r="6970">
      <c r="H6970" s="50"/>
      <c r="I6970" s="50"/>
      <c r="O6970" s="36" t="s">
        <v>48</v>
      </c>
      <c r="R6970" s="36" t="s">
        <v>48</v>
      </c>
    </row>
    <row r="6971">
      <c r="H6971" s="50"/>
      <c r="I6971" s="50"/>
      <c r="O6971" s="36" t="s">
        <v>48</v>
      </c>
      <c r="R6971" s="36" t="s">
        <v>48</v>
      </c>
    </row>
    <row r="6972">
      <c r="H6972" s="50"/>
      <c r="I6972" s="50"/>
      <c r="O6972" s="36" t="s">
        <v>48</v>
      </c>
      <c r="R6972" s="36" t="s">
        <v>48</v>
      </c>
    </row>
    <row r="6973">
      <c r="H6973" s="50"/>
      <c r="I6973" s="50"/>
      <c r="O6973" s="36" t="s">
        <v>48</v>
      </c>
      <c r="R6973" s="36" t="s">
        <v>48</v>
      </c>
    </row>
    <row r="6974">
      <c r="H6974" s="50"/>
      <c r="I6974" s="50"/>
      <c r="O6974" s="36" t="s">
        <v>48</v>
      </c>
      <c r="R6974" s="36" t="s">
        <v>48</v>
      </c>
    </row>
    <row r="6975">
      <c r="H6975" s="50"/>
      <c r="I6975" s="50"/>
      <c r="O6975" s="36" t="s">
        <v>48</v>
      </c>
      <c r="R6975" s="36" t="s">
        <v>48</v>
      </c>
    </row>
    <row r="6976">
      <c r="H6976" s="50"/>
      <c r="I6976" s="50"/>
      <c r="O6976" s="36" t="s">
        <v>48</v>
      </c>
      <c r="R6976" s="36" t="s">
        <v>48</v>
      </c>
    </row>
    <row r="6977">
      <c r="H6977" s="50"/>
      <c r="I6977" s="50"/>
      <c r="O6977" s="36" t="s">
        <v>48</v>
      </c>
      <c r="R6977" s="36" t="s">
        <v>48</v>
      </c>
    </row>
    <row r="6978">
      <c r="H6978" s="50"/>
      <c r="I6978" s="50"/>
      <c r="O6978" s="36" t="s">
        <v>48</v>
      </c>
      <c r="R6978" s="36" t="s">
        <v>48</v>
      </c>
    </row>
    <row r="6979">
      <c r="H6979" s="50"/>
      <c r="I6979" s="50"/>
      <c r="O6979" s="36" t="s">
        <v>48</v>
      </c>
      <c r="R6979" s="36" t="s">
        <v>48</v>
      </c>
    </row>
    <row r="6980">
      <c r="H6980" s="50"/>
      <c r="I6980" s="50"/>
      <c r="O6980" s="36" t="s">
        <v>48</v>
      </c>
      <c r="R6980" s="36" t="s">
        <v>48</v>
      </c>
    </row>
    <row r="6981">
      <c r="H6981" s="50"/>
      <c r="I6981" s="50"/>
      <c r="O6981" s="36" t="s">
        <v>48</v>
      </c>
      <c r="R6981" s="36" t="s">
        <v>48</v>
      </c>
    </row>
    <row r="6982">
      <c r="H6982" s="50"/>
      <c r="I6982" s="50"/>
      <c r="O6982" s="36" t="s">
        <v>48</v>
      </c>
      <c r="R6982" s="36" t="s">
        <v>48</v>
      </c>
    </row>
    <row r="6983">
      <c r="H6983" s="50"/>
      <c r="I6983" s="50"/>
      <c r="O6983" s="36" t="s">
        <v>48</v>
      </c>
      <c r="R6983" s="36" t="s">
        <v>48</v>
      </c>
    </row>
    <row r="6984">
      <c r="H6984" s="50"/>
      <c r="I6984" s="50"/>
      <c r="O6984" s="36" t="s">
        <v>48</v>
      </c>
      <c r="R6984" s="36" t="s">
        <v>48</v>
      </c>
    </row>
    <row r="6985">
      <c r="H6985" s="50"/>
      <c r="I6985" s="50"/>
      <c r="O6985" s="36" t="s">
        <v>48</v>
      </c>
      <c r="R6985" s="36" t="s">
        <v>48</v>
      </c>
    </row>
    <row r="6986">
      <c r="H6986" s="50"/>
      <c r="I6986" s="50"/>
      <c r="O6986" s="36" t="s">
        <v>48</v>
      </c>
      <c r="R6986" s="36" t="s">
        <v>48</v>
      </c>
    </row>
    <row r="6987">
      <c r="H6987" s="50"/>
      <c r="I6987" s="50"/>
      <c r="O6987" s="36" t="s">
        <v>48</v>
      </c>
      <c r="R6987" s="36" t="s">
        <v>48</v>
      </c>
    </row>
    <row r="6988">
      <c r="H6988" s="50"/>
      <c r="I6988" s="50"/>
      <c r="O6988" s="36" t="s">
        <v>48</v>
      </c>
      <c r="R6988" s="36" t="s">
        <v>48</v>
      </c>
    </row>
    <row r="6989">
      <c r="H6989" s="50"/>
      <c r="I6989" s="50"/>
      <c r="O6989" s="36" t="s">
        <v>48</v>
      </c>
      <c r="R6989" s="36" t="s">
        <v>48</v>
      </c>
    </row>
    <row r="6990">
      <c r="H6990" s="50"/>
      <c r="I6990" s="50"/>
      <c r="O6990" s="36" t="s">
        <v>48</v>
      </c>
      <c r="R6990" s="36" t="s">
        <v>48</v>
      </c>
    </row>
    <row r="6991">
      <c r="H6991" s="50"/>
      <c r="I6991" s="50"/>
      <c r="O6991" s="36" t="s">
        <v>48</v>
      </c>
      <c r="R6991" s="36" t="s">
        <v>48</v>
      </c>
    </row>
    <row r="6992">
      <c r="H6992" s="50"/>
      <c r="I6992" s="50"/>
      <c r="O6992" s="36" t="s">
        <v>48</v>
      </c>
      <c r="R6992" s="36" t="s">
        <v>48</v>
      </c>
    </row>
    <row r="6993">
      <c r="H6993" s="50"/>
      <c r="I6993" s="50"/>
      <c r="O6993" s="36" t="s">
        <v>48</v>
      </c>
      <c r="R6993" s="36" t="s">
        <v>48</v>
      </c>
    </row>
    <row r="6994">
      <c r="H6994" s="50"/>
      <c r="I6994" s="50"/>
      <c r="O6994" s="36" t="s">
        <v>48</v>
      </c>
      <c r="R6994" s="36" t="s">
        <v>48</v>
      </c>
    </row>
    <row r="6995">
      <c r="H6995" s="50"/>
      <c r="I6995" s="50"/>
      <c r="O6995" s="36" t="s">
        <v>48</v>
      </c>
      <c r="R6995" s="36" t="s">
        <v>48</v>
      </c>
    </row>
    <row r="6996">
      <c r="H6996" s="50"/>
      <c r="I6996" s="50"/>
      <c r="O6996" s="36" t="s">
        <v>48</v>
      </c>
      <c r="R6996" s="36" t="s">
        <v>48</v>
      </c>
    </row>
    <row r="6997">
      <c r="H6997" s="50"/>
      <c r="I6997" s="50"/>
      <c r="O6997" s="36" t="s">
        <v>48</v>
      </c>
      <c r="R6997" s="36" t="s">
        <v>48</v>
      </c>
    </row>
    <row r="6998">
      <c r="H6998" s="50"/>
      <c r="I6998" s="50"/>
      <c r="O6998" s="36" t="s">
        <v>48</v>
      </c>
      <c r="R6998" s="36" t="s">
        <v>48</v>
      </c>
    </row>
    <row r="6999">
      <c r="H6999" s="50"/>
      <c r="I6999" s="50"/>
      <c r="O6999" s="36" t="s">
        <v>48</v>
      </c>
      <c r="R6999" s="36" t="s">
        <v>48</v>
      </c>
    </row>
    <row r="7000">
      <c r="H7000" s="50"/>
      <c r="I7000" s="50"/>
      <c r="O7000" s="36" t="s">
        <v>48</v>
      </c>
      <c r="R7000" s="36" t="s">
        <v>48</v>
      </c>
    </row>
    <row r="7001">
      <c r="H7001" s="50"/>
      <c r="I7001" s="50"/>
      <c r="O7001" s="36" t="s">
        <v>48</v>
      </c>
      <c r="R7001" s="36" t="s">
        <v>48</v>
      </c>
    </row>
    <row r="7002">
      <c r="H7002" s="50"/>
      <c r="I7002" s="50"/>
      <c r="O7002" s="36" t="s">
        <v>48</v>
      </c>
      <c r="R7002" s="36" t="s">
        <v>48</v>
      </c>
    </row>
    <row r="7003">
      <c r="H7003" s="50"/>
      <c r="I7003" s="50"/>
      <c r="O7003" s="36" t="s">
        <v>48</v>
      </c>
      <c r="R7003" s="36" t="s">
        <v>48</v>
      </c>
    </row>
    <row r="7004">
      <c r="H7004" s="50"/>
      <c r="I7004" s="50"/>
      <c r="O7004" s="36" t="s">
        <v>48</v>
      </c>
      <c r="R7004" s="36" t="s">
        <v>48</v>
      </c>
    </row>
    <row r="7005">
      <c r="H7005" s="50"/>
      <c r="I7005" s="50"/>
      <c r="O7005" s="36" t="s">
        <v>48</v>
      </c>
      <c r="R7005" s="36" t="s">
        <v>48</v>
      </c>
    </row>
    <row r="7006">
      <c r="H7006" s="50"/>
      <c r="I7006" s="50"/>
      <c r="O7006" s="36" t="s">
        <v>48</v>
      </c>
      <c r="R7006" s="36" t="s">
        <v>48</v>
      </c>
    </row>
    <row r="7007">
      <c r="H7007" s="50"/>
      <c r="I7007" s="50"/>
      <c r="O7007" s="36" t="s">
        <v>48</v>
      </c>
      <c r="R7007" s="36" t="s">
        <v>48</v>
      </c>
    </row>
    <row r="7008">
      <c r="H7008" s="50"/>
      <c r="I7008" s="50"/>
      <c r="O7008" s="36" t="s">
        <v>48</v>
      </c>
      <c r="R7008" s="36" t="s">
        <v>48</v>
      </c>
    </row>
    <row r="7009">
      <c r="H7009" s="50"/>
      <c r="I7009" s="50"/>
      <c r="O7009" s="36" t="s">
        <v>48</v>
      </c>
      <c r="R7009" s="36" t="s">
        <v>48</v>
      </c>
    </row>
    <row r="7010">
      <c r="H7010" s="50"/>
      <c r="I7010" s="50"/>
      <c r="O7010" s="36" t="s">
        <v>48</v>
      </c>
      <c r="R7010" s="36" t="s">
        <v>48</v>
      </c>
    </row>
    <row r="7011">
      <c r="H7011" s="50"/>
      <c r="I7011" s="50"/>
      <c r="O7011" s="36" t="s">
        <v>48</v>
      </c>
      <c r="R7011" s="36" t="s">
        <v>48</v>
      </c>
    </row>
    <row r="7012">
      <c r="H7012" s="50"/>
      <c r="I7012" s="50"/>
      <c r="O7012" s="36" t="s">
        <v>48</v>
      </c>
      <c r="R7012" s="36" t="s">
        <v>48</v>
      </c>
    </row>
    <row r="7013">
      <c r="H7013" s="50"/>
      <c r="I7013" s="50"/>
      <c r="O7013" s="36" t="s">
        <v>48</v>
      </c>
      <c r="R7013" s="36" t="s">
        <v>48</v>
      </c>
    </row>
    <row r="7014">
      <c r="H7014" s="50"/>
      <c r="I7014" s="50"/>
      <c r="O7014" s="36" t="s">
        <v>48</v>
      </c>
      <c r="R7014" s="36" t="s">
        <v>48</v>
      </c>
    </row>
    <row r="7015">
      <c r="H7015" s="50"/>
      <c r="I7015" s="50"/>
      <c r="O7015" s="36" t="s">
        <v>48</v>
      </c>
      <c r="R7015" s="36" t="s">
        <v>48</v>
      </c>
    </row>
    <row r="7016">
      <c r="H7016" s="50"/>
      <c r="I7016" s="50"/>
      <c r="O7016" s="36" t="s">
        <v>48</v>
      </c>
      <c r="R7016" s="36" t="s">
        <v>48</v>
      </c>
    </row>
    <row r="7017">
      <c r="H7017" s="50"/>
      <c r="I7017" s="50"/>
      <c r="O7017" s="36" t="s">
        <v>48</v>
      </c>
      <c r="R7017" s="36" t="s">
        <v>48</v>
      </c>
    </row>
    <row r="7018">
      <c r="H7018" s="50"/>
      <c r="I7018" s="50"/>
      <c r="O7018" s="36" t="s">
        <v>48</v>
      </c>
      <c r="R7018" s="36" t="s">
        <v>48</v>
      </c>
    </row>
    <row r="7019">
      <c r="H7019" s="50"/>
      <c r="I7019" s="50"/>
      <c r="O7019" s="36" t="s">
        <v>48</v>
      </c>
      <c r="R7019" s="36" t="s">
        <v>48</v>
      </c>
    </row>
    <row r="7020">
      <c r="H7020" s="50"/>
      <c r="I7020" s="50"/>
      <c r="O7020" s="36" t="s">
        <v>48</v>
      </c>
      <c r="R7020" s="36" t="s">
        <v>48</v>
      </c>
    </row>
    <row r="7021">
      <c r="H7021" s="50"/>
      <c r="I7021" s="50"/>
      <c r="O7021" s="36" t="s">
        <v>48</v>
      </c>
      <c r="R7021" s="36" t="s">
        <v>48</v>
      </c>
    </row>
    <row r="7022">
      <c r="H7022" s="50"/>
      <c r="I7022" s="50"/>
      <c r="O7022" s="36" t="s">
        <v>48</v>
      </c>
      <c r="R7022" s="36" t="s">
        <v>48</v>
      </c>
    </row>
    <row r="7023">
      <c r="H7023" s="50"/>
      <c r="I7023" s="50"/>
      <c r="O7023" s="36" t="s">
        <v>48</v>
      </c>
      <c r="R7023" s="36" t="s">
        <v>48</v>
      </c>
    </row>
    <row r="7024">
      <c r="H7024" s="50"/>
      <c r="I7024" s="50"/>
      <c r="O7024" s="36" t="s">
        <v>48</v>
      </c>
      <c r="R7024" s="36" t="s">
        <v>48</v>
      </c>
    </row>
    <row r="7025">
      <c r="H7025" s="50"/>
      <c r="I7025" s="50"/>
      <c r="O7025" s="36" t="s">
        <v>48</v>
      </c>
      <c r="R7025" s="36" t="s">
        <v>48</v>
      </c>
    </row>
    <row r="7026">
      <c r="H7026" s="50"/>
      <c r="I7026" s="50"/>
      <c r="O7026" s="36" t="s">
        <v>48</v>
      </c>
      <c r="R7026" s="36" t="s">
        <v>48</v>
      </c>
    </row>
    <row r="7027">
      <c r="H7027" s="50"/>
      <c r="I7027" s="50"/>
      <c r="O7027" s="36" t="s">
        <v>48</v>
      </c>
      <c r="R7027" s="36" t="s">
        <v>48</v>
      </c>
    </row>
    <row r="7028">
      <c r="H7028" s="50"/>
      <c r="I7028" s="50"/>
      <c r="O7028" s="36" t="s">
        <v>48</v>
      </c>
      <c r="R7028" s="36" t="s">
        <v>48</v>
      </c>
    </row>
    <row r="7029">
      <c r="H7029" s="50"/>
      <c r="I7029" s="50"/>
      <c r="O7029" s="36" t="s">
        <v>48</v>
      </c>
      <c r="R7029" s="36" t="s">
        <v>48</v>
      </c>
    </row>
    <row r="7030">
      <c r="H7030" s="50"/>
      <c r="I7030" s="50"/>
      <c r="O7030" s="36" t="s">
        <v>48</v>
      </c>
      <c r="R7030" s="36" t="s">
        <v>48</v>
      </c>
    </row>
    <row r="7031">
      <c r="H7031" s="50"/>
      <c r="I7031" s="50"/>
      <c r="O7031" s="36" t="s">
        <v>48</v>
      </c>
      <c r="R7031" s="36" t="s">
        <v>48</v>
      </c>
    </row>
    <row r="7032">
      <c r="H7032" s="50"/>
      <c r="I7032" s="50"/>
      <c r="O7032" s="36" t="s">
        <v>48</v>
      </c>
      <c r="R7032" s="36" t="s">
        <v>48</v>
      </c>
    </row>
    <row r="7033">
      <c r="H7033" s="50"/>
      <c r="I7033" s="50"/>
      <c r="O7033" s="36" t="s">
        <v>48</v>
      </c>
      <c r="R7033" s="36" t="s">
        <v>48</v>
      </c>
    </row>
    <row r="7034">
      <c r="H7034" s="50"/>
      <c r="I7034" s="50"/>
      <c r="O7034" s="36" t="s">
        <v>48</v>
      </c>
      <c r="R7034" s="36" t="s">
        <v>48</v>
      </c>
    </row>
    <row r="7035">
      <c r="H7035" s="50"/>
      <c r="I7035" s="50"/>
      <c r="O7035" s="36" t="s">
        <v>48</v>
      </c>
      <c r="R7035" s="36" t="s">
        <v>48</v>
      </c>
    </row>
    <row r="7036">
      <c r="H7036" s="50"/>
      <c r="I7036" s="50"/>
      <c r="O7036" s="36" t="s">
        <v>48</v>
      </c>
      <c r="R7036" s="36" t="s">
        <v>48</v>
      </c>
    </row>
    <row r="7037">
      <c r="H7037" s="50"/>
      <c r="I7037" s="50"/>
      <c r="O7037" s="36" t="s">
        <v>48</v>
      </c>
      <c r="R7037" s="36" t="s">
        <v>48</v>
      </c>
    </row>
    <row r="7038">
      <c r="H7038" s="50"/>
      <c r="I7038" s="50"/>
      <c r="O7038" s="36" t="s">
        <v>48</v>
      </c>
      <c r="R7038" s="36" t="s">
        <v>48</v>
      </c>
    </row>
    <row r="7039">
      <c r="H7039" s="50"/>
      <c r="I7039" s="50"/>
      <c r="O7039" s="36" t="s">
        <v>48</v>
      </c>
      <c r="R7039" s="36" t="s">
        <v>48</v>
      </c>
    </row>
    <row r="7040">
      <c r="H7040" s="50"/>
      <c r="I7040" s="50"/>
      <c r="O7040" s="36" t="s">
        <v>48</v>
      </c>
      <c r="R7040" s="36" t="s">
        <v>48</v>
      </c>
    </row>
    <row r="7041">
      <c r="H7041" s="50"/>
      <c r="I7041" s="50"/>
      <c r="O7041" s="36" t="s">
        <v>48</v>
      </c>
      <c r="R7041" s="36" t="s">
        <v>48</v>
      </c>
    </row>
    <row r="7042">
      <c r="H7042" s="50"/>
      <c r="I7042" s="50"/>
      <c r="O7042" s="36" t="s">
        <v>48</v>
      </c>
      <c r="R7042" s="36" t="s">
        <v>48</v>
      </c>
    </row>
    <row r="7043">
      <c r="H7043" s="50"/>
      <c r="I7043" s="50"/>
      <c r="O7043" s="36" t="s">
        <v>48</v>
      </c>
      <c r="R7043" s="36" t="s">
        <v>48</v>
      </c>
    </row>
    <row r="7044">
      <c r="H7044" s="50"/>
      <c r="I7044" s="50"/>
      <c r="O7044" s="36" t="s">
        <v>48</v>
      </c>
      <c r="R7044" s="36" t="s">
        <v>48</v>
      </c>
    </row>
    <row r="7045">
      <c r="H7045" s="50"/>
      <c r="I7045" s="50"/>
      <c r="O7045" s="36" t="s">
        <v>48</v>
      </c>
      <c r="R7045" s="36" t="s">
        <v>48</v>
      </c>
    </row>
    <row r="7046">
      <c r="H7046" s="50"/>
      <c r="I7046" s="50"/>
      <c r="O7046" s="36" t="s">
        <v>48</v>
      </c>
      <c r="R7046" s="36" t="s">
        <v>48</v>
      </c>
    </row>
    <row r="7047">
      <c r="H7047" s="50"/>
      <c r="I7047" s="50"/>
      <c r="O7047" s="36" t="s">
        <v>48</v>
      </c>
      <c r="R7047" s="36" t="s">
        <v>48</v>
      </c>
    </row>
    <row r="7048">
      <c r="H7048" s="50"/>
      <c r="I7048" s="50"/>
      <c r="O7048" s="36" t="s">
        <v>48</v>
      </c>
      <c r="R7048" s="36" t="s">
        <v>48</v>
      </c>
    </row>
    <row r="7049">
      <c r="H7049" s="50"/>
      <c r="I7049" s="50"/>
      <c r="O7049" s="36" t="s">
        <v>48</v>
      </c>
      <c r="R7049" s="36" t="s">
        <v>48</v>
      </c>
    </row>
    <row r="7050">
      <c r="H7050" s="50"/>
      <c r="I7050" s="50"/>
      <c r="O7050" s="36" t="s">
        <v>48</v>
      </c>
      <c r="R7050" s="36" t="s">
        <v>48</v>
      </c>
    </row>
    <row r="7051">
      <c r="H7051" s="50"/>
      <c r="I7051" s="50"/>
      <c r="O7051" s="36" t="s">
        <v>48</v>
      </c>
      <c r="R7051" s="36" t="s">
        <v>48</v>
      </c>
    </row>
    <row r="7052">
      <c r="H7052" s="50"/>
      <c r="I7052" s="50"/>
      <c r="O7052" s="36" t="s">
        <v>48</v>
      </c>
      <c r="R7052" s="36" t="s">
        <v>48</v>
      </c>
    </row>
    <row r="7053">
      <c r="H7053" s="50"/>
      <c r="I7053" s="50"/>
      <c r="O7053" s="36" t="s">
        <v>48</v>
      </c>
      <c r="R7053" s="36" t="s">
        <v>48</v>
      </c>
    </row>
    <row r="7054">
      <c r="H7054" s="50"/>
      <c r="I7054" s="50"/>
      <c r="O7054" s="36" t="s">
        <v>48</v>
      </c>
      <c r="R7054" s="36" t="s">
        <v>48</v>
      </c>
    </row>
    <row r="7055">
      <c r="H7055" s="50"/>
      <c r="I7055" s="50"/>
      <c r="O7055" s="36" t="s">
        <v>48</v>
      </c>
      <c r="R7055" s="36" t="s">
        <v>48</v>
      </c>
    </row>
    <row r="7056">
      <c r="H7056" s="50"/>
      <c r="I7056" s="50"/>
      <c r="O7056" s="36" t="s">
        <v>48</v>
      </c>
      <c r="R7056" s="36" t="s">
        <v>48</v>
      </c>
    </row>
    <row r="7057">
      <c r="H7057" s="50"/>
      <c r="I7057" s="50"/>
      <c r="O7057" s="36" t="s">
        <v>48</v>
      </c>
      <c r="R7057" s="36" t="s">
        <v>48</v>
      </c>
    </row>
    <row r="7058">
      <c r="H7058" s="50"/>
      <c r="I7058" s="50"/>
      <c r="O7058" s="36" t="s">
        <v>48</v>
      </c>
      <c r="R7058" s="36" t="s">
        <v>48</v>
      </c>
    </row>
    <row r="7059">
      <c r="H7059" s="50"/>
      <c r="I7059" s="50"/>
      <c r="O7059" s="36" t="s">
        <v>48</v>
      </c>
      <c r="R7059" s="36" t="s">
        <v>48</v>
      </c>
    </row>
    <row r="7060">
      <c r="H7060" s="50"/>
      <c r="I7060" s="50"/>
      <c r="O7060" s="36" t="s">
        <v>48</v>
      </c>
      <c r="R7060" s="36" t="s">
        <v>48</v>
      </c>
    </row>
    <row r="7061">
      <c r="H7061" s="50"/>
      <c r="I7061" s="50"/>
      <c r="O7061" s="36" t="s">
        <v>48</v>
      </c>
      <c r="R7061" s="36" t="s">
        <v>48</v>
      </c>
    </row>
    <row r="7062">
      <c r="H7062" s="50"/>
      <c r="I7062" s="50"/>
      <c r="O7062" s="36" t="s">
        <v>48</v>
      </c>
      <c r="R7062" s="36" t="s">
        <v>48</v>
      </c>
    </row>
    <row r="7063">
      <c r="H7063" s="50"/>
      <c r="I7063" s="50"/>
      <c r="O7063" s="36" t="s">
        <v>48</v>
      </c>
      <c r="R7063" s="36" t="s">
        <v>48</v>
      </c>
    </row>
    <row r="7064">
      <c r="H7064" s="50"/>
      <c r="I7064" s="50"/>
      <c r="O7064" s="36" t="s">
        <v>48</v>
      </c>
      <c r="R7064" s="36" t="s">
        <v>48</v>
      </c>
    </row>
    <row r="7065">
      <c r="H7065" s="50"/>
      <c r="I7065" s="50"/>
      <c r="O7065" s="36" t="s">
        <v>48</v>
      </c>
      <c r="R7065" s="36" t="s">
        <v>48</v>
      </c>
    </row>
    <row r="7066">
      <c r="H7066" s="50"/>
      <c r="I7066" s="50"/>
      <c r="O7066" s="36" t="s">
        <v>48</v>
      </c>
      <c r="R7066" s="36" t="s">
        <v>48</v>
      </c>
    </row>
    <row r="7067">
      <c r="H7067" s="50"/>
      <c r="I7067" s="50"/>
      <c r="O7067" s="36" t="s">
        <v>48</v>
      </c>
      <c r="R7067" s="36" t="s">
        <v>48</v>
      </c>
    </row>
    <row r="7068">
      <c r="H7068" s="50"/>
      <c r="I7068" s="50"/>
      <c r="O7068" s="36" t="s">
        <v>48</v>
      </c>
      <c r="R7068" s="36" t="s">
        <v>48</v>
      </c>
    </row>
    <row r="7069">
      <c r="H7069" s="50"/>
      <c r="I7069" s="50"/>
      <c r="O7069" s="36" t="s">
        <v>48</v>
      </c>
      <c r="R7069" s="36" t="s">
        <v>48</v>
      </c>
    </row>
    <row r="7070">
      <c r="H7070" s="50"/>
      <c r="I7070" s="50"/>
      <c r="O7070" s="36" t="s">
        <v>48</v>
      </c>
      <c r="R7070" s="36" t="s">
        <v>48</v>
      </c>
    </row>
    <row r="7071">
      <c r="H7071" s="50"/>
      <c r="I7071" s="50"/>
      <c r="O7071" s="36" t="s">
        <v>48</v>
      </c>
      <c r="R7071" s="36" t="s">
        <v>48</v>
      </c>
    </row>
    <row r="7072">
      <c r="H7072" s="50"/>
      <c r="I7072" s="50"/>
      <c r="O7072" s="36" t="s">
        <v>48</v>
      </c>
      <c r="R7072" s="36" t="s">
        <v>48</v>
      </c>
    </row>
    <row r="7073">
      <c r="H7073" s="50"/>
      <c r="I7073" s="50"/>
      <c r="O7073" s="36" t="s">
        <v>48</v>
      </c>
      <c r="R7073" s="36" t="s">
        <v>48</v>
      </c>
    </row>
    <row r="7074">
      <c r="H7074" s="50"/>
      <c r="I7074" s="50"/>
      <c r="O7074" s="36" t="s">
        <v>48</v>
      </c>
      <c r="R7074" s="36" t="s">
        <v>48</v>
      </c>
    </row>
    <row r="7075">
      <c r="H7075" s="50"/>
      <c r="I7075" s="50"/>
      <c r="O7075" s="36" t="s">
        <v>48</v>
      </c>
      <c r="R7075" s="36" t="s">
        <v>48</v>
      </c>
    </row>
    <row r="7076">
      <c r="H7076" s="50"/>
      <c r="I7076" s="50"/>
      <c r="O7076" s="36" t="s">
        <v>48</v>
      </c>
      <c r="R7076" s="36" t="s">
        <v>48</v>
      </c>
    </row>
    <row r="7077">
      <c r="H7077" s="50"/>
      <c r="I7077" s="50"/>
      <c r="O7077" s="36" t="s">
        <v>48</v>
      </c>
      <c r="R7077" s="36" t="s">
        <v>48</v>
      </c>
    </row>
    <row r="7078">
      <c r="H7078" s="50"/>
      <c r="I7078" s="50"/>
      <c r="O7078" s="36" t="s">
        <v>48</v>
      </c>
      <c r="R7078" s="36" t="s">
        <v>48</v>
      </c>
    </row>
    <row r="7079">
      <c r="H7079" s="50"/>
      <c r="I7079" s="50"/>
      <c r="O7079" s="36" t="s">
        <v>48</v>
      </c>
      <c r="R7079" s="36" t="s">
        <v>48</v>
      </c>
    </row>
    <row r="7080">
      <c r="H7080" s="50"/>
      <c r="I7080" s="50"/>
      <c r="O7080" s="36" t="s">
        <v>48</v>
      </c>
      <c r="R7080" s="36" t="s">
        <v>48</v>
      </c>
    </row>
    <row r="7081">
      <c r="H7081" s="50"/>
      <c r="I7081" s="50"/>
      <c r="O7081" s="36" t="s">
        <v>48</v>
      </c>
      <c r="R7081" s="36" t="s">
        <v>48</v>
      </c>
    </row>
    <row r="7082">
      <c r="H7082" s="50"/>
      <c r="I7082" s="50"/>
      <c r="O7082" s="36" t="s">
        <v>48</v>
      </c>
      <c r="R7082" s="36" t="s">
        <v>48</v>
      </c>
    </row>
    <row r="7083">
      <c r="H7083" s="50"/>
      <c r="I7083" s="50"/>
      <c r="O7083" s="36" t="s">
        <v>48</v>
      </c>
      <c r="R7083" s="36" t="s">
        <v>48</v>
      </c>
    </row>
    <row r="7084">
      <c r="H7084" s="50"/>
      <c r="I7084" s="50"/>
      <c r="O7084" s="36" t="s">
        <v>48</v>
      </c>
      <c r="R7084" s="36" t="s">
        <v>48</v>
      </c>
    </row>
    <row r="7085">
      <c r="H7085" s="50"/>
      <c r="I7085" s="50"/>
      <c r="O7085" s="36" t="s">
        <v>48</v>
      </c>
      <c r="R7085" s="36" t="s">
        <v>48</v>
      </c>
    </row>
    <row r="7086">
      <c r="H7086" s="50"/>
      <c r="I7086" s="50"/>
      <c r="O7086" s="36" t="s">
        <v>48</v>
      </c>
      <c r="R7086" s="36" t="s">
        <v>48</v>
      </c>
    </row>
    <row r="7087">
      <c r="H7087" s="50"/>
      <c r="I7087" s="50"/>
      <c r="O7087" s="36" t="s">
        <v>48</v>
      </c>
      <c r="R7087" s="36" t="s">
        <v>48</v>
      </c>
    </row>
    <row r="7088">
      <c r="H7088" s="50"/>
      <c r="I7088" s="50"/>
      <c r="O7088" s="36" t="s">
        <v>48</v>
      </c>
      <c r="R7088" s="36" t="s">
        <v>48</v>
      </c>
    </row>
    <row r="7089">
      <c r="H7089" s="50"/>
      <c r="I7089" s="50"/>
      <c r="O7089" s="36" t="s">
        <v>48</v>
      </c>
      <c r="R7089" s="36" t="s">
        <v>48</v>
      </c>
    </row>
    <row r="7090">
      <c r="H7090" s="50"/>
      <c r="I7090" s="50"/>
      <c r="O7090" s="36" t="s">
        <v>48</v>
      </c>
      <c r="R7090" s="36" t="s">
        <v>48</v>
      </c>
    </row>
    <row r="7091">
      <c r="H7091" s="50"/>
      <c r="I7091" s="50"/>
      <c r="O7091" s="36" t="s">
        <v>48</v>
      </c>
      <c r="R7091" s="36" t="s">
        <v>48</v>
      </c>
    </row>
    <row r="7092">
      <c r="H7092" s="50"/>
      <c r="I7092" s="50"/>
      <c r="O7092" s="36" t="s">
        <v>48</v>
      </c>
      <c r="R7092" s="36" t="s">
        <v>48</v>
      </c>
    </row>
    <row r="7093">
      <c r="H7093" s="50"/>
      <c r="I7093" s="50"/>
      <c r="O7093" s="36" t="s">
        <v>48</v>
      </c>
      <c r="R7093" s="36" t="s">
        <v>48</v>
      </c>
    </row>
    <row r="7094">
      <c r="H7094" s="50"/>
      <c r="I7094" s="50"/>
      <c r="O7094" s="36" t="s">
        <v>48</v>
      </c>
      <c r="R7094" s="36" t="s">
        <v>48</v>
      </c>
    </row>
    <row r="7095">
      <c r="H7095" s="50"/>
      <c r="I7095" s="50"/>
      <c r="O7095" s="36" t="s">
        <v>48</v>
      </c>
      <c r="R7095" s="36" t="s">
        <v>48</v>
      </c>
    </row>
    <row r="7096">
      <c r="H7096" s="50"/>
      <c r="I7096" s="50"/>
      <c r="O7096" s="36" t="s">
        <v>48</v>
      </c>
      <c r="R7096" s="36" t="s">
        <v>48</v>
      </c>
    </row>
    <row r="7097">
      <c r="H7097" s="50"/>
      <c r="I7097" s="50"/>
      <c r="O7097" s="36" t="s">
        <v>48</v>
      </c>
      <c r="R7097" s="36" t="s">
        <v>48</v>
      </c>
    </row>
    <row r="7098">
      <c r="H7098" s="50"/>
      <c r="I7098" s="50"/>
      <c r="O7098" s="36" t="s">
        <v>48</v>
      </c>
      <c r="R7098" s="36" t="s">
        <v>48</v>
      </c>
    </row>
    <row r="7099">
      <c r="H7099" s="50"/>
      <c r="I7099" s="50"/>
      <c r="O7099" s="36" t="s">
        <v>48</v>
      </c>
      <c r="R7099" s="36" t="s">
        <v>48</v>
      </c>
    </row>
    <row r="7100">
      <c r="H7100" s="50"/>
      <c r="I7100" s="50"/>
      <c r="O7100" s="36" t="s">
        <v>48</v>
      </c>
      <c r="R7100" s="36" t="s">
        <v>48</v>
      </c>
    </row>
    <row r="7101">
      <c r="H7101" s="50"/>
      <c r="I7101" s="50"/>
      <c r="O7101" s="36" t="s">
        <v>48</v>
      </c>
      <c r="R7101" s="36" t="s">
        <v>48</v>
      </c>
    </row>
    <row r="7102">
      <c r="H7102" s="50"/>
      <c r="I7102" s="50"/>
      <c r="O7102" s="36" t="s">
        <v>48</v>
      </c>
      <c r="R7102" s="36" t="s">
        <v>48</v>
      </c>
    </row>
    <row r="7103">
      <c r="H7103" s="50"/>
      <c r="I7103" s="50"/>
      <c r="O7103" s="36" t="s">
        <v>48</v>
      </c>
      <c r="R7103" s="36" t="s">
        <v>48</v>
      </c>
    </row>
    <row r="7104">
      <c r="H7104" s="50"/>
      <c r="I7104" s="50"/>
      <c r="O7104" s="36" t="s">
        <v>48</v>
      </c>
      <c r="R7104" s="36" t="s">
        <v>48</v>
      </c>
    </row>
    <row r="7105">
      <c r="H7105" s="50"/>
      <c r="I7105" s="50"/>
      <c r="O7105" s="36" t="s">
        <v>48</v>
      </c>
      <c r="R7105" s="36" t="s">
        <v>48</v>
      </c>
    </row>
    <row r="7106">
      <c r="H7106" s="50"/>
      <c r="I7106" s="50"/>
      <c r="O7106" s="36" t="s">
        <v>48</v>
      </c>
      <c r="R7106" s="36" t="s">
        <v>48</v>
      </c>
    </row>
    <row r="7107">
      <c r="H7107" s="50"/>
      <c r="I7107" s="50"/>
      <c r="O7107" s="36" t="s">
        <v>48</v>
      </c>
      <c r="R7107" s="36" t="s">
        <v>48</v>
      </c>
    </row>
    <row r="7108">
      <c r="H7108" s="50"/>
      <c r="I7108" s="50"/>
      <c r="O7108" s="36" t="s">
        <v>48</v>
      </c>
      <c r="R7108" s="36" t="s">
        <v>48</v>
      </c>
    </row>
    <row r="7109">
      <c r="H7109" s="50"/>
      <c r="I7109" s="50"/>
      <c r="O7109" s="36" t="s">
        <v>48</v>
      </c>
      <c r="R7109" s="36" t="s">
        <v>48</v>
      </c>
    </row>
    <row r="7110">
      <c r="H7110" s="50"/>
      <c r="I7110" s="50"/>
      <c r="O7110" s="36" t="s">
        <v>48</v>
      </c>
      <c r="R7110" s="36" t="s">
        <v>48</v>
      </c>
    </row>
    <row r="7111">
      <c r="H7111" s="50"/>
      <c r="I7111" s="50"/>
      <c r="O7111" s="36" t="s">
        <v>48</v>
      </c>
      <c r="R7111" s="36" t="s">
        <v>48</v>
      </c>
    </row>
    <row r="7112">
      <c r="H7112" s="50"/>
      <c r="I7112" s="50"/>
      <c r="O7112" s="36" t="s">
        <v>48</v>
      </c>
      <c r="R7112" s="36" t="s">
        <v>48</v>
      </c>
    </row>
    <row r="7113">
      <c r="H7113" s="50"/>
      <c r="I7113" s="50"/>
      <c r="O7113" s="36" t="s">
        <v>48</v>
      </c>
      <c r="R7113" s="36" t="s">
        <v>48</v>
      </c>
    </row>
    <row r="7114">
      <c r="H7114" s="50"/>
      <c r="I7114" s="50"/>
      <c r="O7114" s="36" t="s">
        <v>48</v>
      </c>
      <c r="R7114" s="36" t="s">
        <v>48</v>
      </c>
    </row>
    <row r="7115">
      <c r="H7115" s="50"/>
      <c r="I7115" s="50"/>
      <c r="O7115" s="36" t="s">
        <v>48</v>
      </c>
      <c r="R7115" s="36" t="s">
        <v>48</v>
      </c>
    </row>
    <row r="7116">
      <c r="H7116" s="50"/>
      <c r="I7116" s="50"/>
      <c r="O7116" s="36" t="s">
        <v>48</v>
      </c>
      <c r="R7116" s="36" t="s">
        <v>48</v>
      </c>
    </row>
    <row r="7117">
      <c r="H7117" s="50"/>
      <c r="I7117" s="50"/>
      <c r="O7117" s="36" t="s">
        <v>48</v>
      </c>
      <c r="R7117" s="36" t="s">
        <v>48</v>
      </c>
    </row>
    <row r="7118">
      <c r="H7118" s="50"/>
      <c r="I7118" s="50"/>
      <c r="O7118" s="36" t="s">
        <v>48</v>
      </c>
      <c r="R7118" s="36" t="s">
        <v>48</v>
      </c>
    </row>
    <row r="7119">
      <c r="H7119" s="50"/>
      <c r="I7119" s="50"/>
      <c r="O7119" s="36" t="s">
        <v>48</v>
      </c>
      <c r="R7119" s="36" t="s">
        <v>48</v>
      </c>
    </row>
    <row r="7120">
      <c r="H7120" s="50"/>
      <c r="I7120" s="50"/>
      <c r="O7120" s="36" t="s">
        <v>48</v>
      </c>
      <c r="R7120" s="36" t="s">
        <v>48</v>
      </c>
    </row>
    <row r="7121">
      <c r="H7121" s="50"/>
      <c r="I7121" s="50"/>
      <c r="O7121" s="36" t="s">
        <v>48</v>
      </c>
      <c r="R7121" s="36" t="s">
        <v>48</v>
      </c>
    </row>
    <row r="7122">
      <c r="H7122" s="50"/>
      <c r="I7122" s="50"/>
      <c r="O7122" s="36" t="s">
        <v>48</v>
      </c>
      <c r="R7122" s="36" t="s">
        <v>48</v>
      </c>
    </row>
    <row r="7123">
      <c r="H7123" s="50"/>
      <c r="I7123" s="50"/>
      <c r="O7123" s="36" t="s">
        <v>48</v>
      </c>
      <c r="R7123" s="36" t="s">
        <v>48</v>
      </c>
    </row>
    <row r="7124">
      <c r="H7124" s="50"/>
      <c r="I7124" s="50"/>
      <c r="O7124" s="36" t="s">
        <v>48</v>
      </c>
      <c r="R7124" s="36" t="s">
        <v>48</v>
      </c>
    </row>
    <row r="7125">
      <c r="H7125" s="50"/>
      <c r="I7125" s="50"/>
      <c r="O7125" s="36" t="s">
        <v>48</v>
      </c>
      <c r="R7125" s="36" t="s">
        <v>48</v>
      </c>
    </row>
    <row r="7126">
      <c r="H7126" s="50"/>
      <c r="I7126" s="50"/>
      <c r="O7126" s="36" t="s">
        <v>48</v>
      </c>
      <c r="R7126" s="36" t="s">
        <v>48</v>
      </c>
    </row>
    <row r="7127">
      <c r="H7127" s="50"/>
      <c r="I7127" s="50"/>
      <c r="O7127" s="36" t="s">
        <v>48</v>
      </c>
      <c r="R7127" s="36" t="s">
        <v>48</v>
      </c>
    </row>
    <row r="7128">
      <c r="H7128" s="50"/>
      <c r="I7128" s="50"/>
      <c r="O7128" s="36" t="s">
        <v>48</v>
      </c>
      <c r="R7128" s="36" t="s">
        <v>48</v>
      </c>
    </row>
    <row r="7129">
      <c r="H7129" s="50"/>
      <c r="I7129" s="50"/>
      <c r="O7129" s="36" t="s">
        <v>48</v>
      </c>
      <c r="R7129" s="36" t="s">
        <v>48</v>
      </c>
    </row>
    <row r="7130">
      <c r="H7130" s="50"/>
      <c r="I7130" s="50"/>
      <c r="O7130" s="36" t="s">
        <v>48</v>
      </c>
      <c r="R7130" s="36" t="s">
        <v>48</v>
      </c>
    </row>
    <row r="7131">
      <c r="H7131" s="50"/>
      <c r="I7131" s="50"/>
      <c r="O7131" s="36" t="s">
        <v>48</v>
      </c>
      <c r="R7131" s="36" t="s">
        <v>48</v>
      </c>
    </row>
    <row r="7132">
      <c r="H7132" s="50"/>
      <c r="I7132" s="50"/>
      <c r="O7132" s="36" t="s">
        <v>48</v>
      </c>
      <c r="R7132" s="36" t="s">
        <v>48</v>
      </c>
    </row>
    <row r="7133">
      <c r="H7133" s="50"/>
      <c r="I7133" s="50"/>
      <c r="O7133" s="36" t="s">
        <v>48</v>
      </c>
      <c r="R7133" s="36" t="s">
        <v>48</v>
      </c>
    </row>
    <row r="7134">
      <c r="H7134" s="50"/>
      <c r="I7134" s="50"/>
      <c r="O7134" s="36" t="s">
        <v>48</v>
      </c>
      <c r="R7134" s="36" t="s">
        <v>48</v>
      </c>
    </row>
    <row r="7135">
      <c r="H7135" s="50"/>
      <c r="I7135" s="50"/>
      <c r="O7135" s="36" t="s">
        <v>48</v>
      </c>
      <c r="R7135" s="36" t="s">
        <v>48</v>
      </c>
    </row>
    <row r="7136">
      <c r="H7136" s="50"/>
      <c r="I7136" s="50"/>
      <c r="O7136" s="36" t="s">
        <v>48</v>
      </c>
      <c r="R7136" s="36" t="s">
        <v>48</v>
      </c>
    </row>
    <row r="7137">
      <c r="H7137" s="50"/>
      <c r="I7137" s="50"/>
      <c r="O7137" s="36" t="s">
        <v>48</v>
      </c>
      <c r="R7137" s="36" t="s">
        <v>48</v>
      </c>
    </row>
    <row r="7138">
      <c r="H7138" s="50"/>
      <c r="I7138" s="50"/>
      <c r="O7138" s="36" t="s">
        <v>48</v>
      </c>
      <c r="R7138" s="36" t="s">
        <v>48</v>
      </c>
    </row>
    <row r="7139">
      <c r="H7139" s="50"/>
      <c r="I7139" s="50"/>
      <c r="O7139" s="36" t="s">
        <v>48</v>
      </c>
      <c r="R7139" s="36" t="s">
        <v>48</v>
      </c>
    </row>
    <row r="7140">
      <c r="H7140" s="50"/>
      <c r="I7140" s="50"/>
      <c r="O7140" s="36" t="s">
        <v>48</v>
      </c>
      <c r="R7140" s="36" t="s">
        <v>48</v>
      </c>
    </row>
    <row r="7141">
      <c r="H7141" s="50"/>
      <c r="I7141" s="50"/>
      <c r="O7141" s="36" t="s">
        <v>48</v>
      </c>
      <c r="R7141" s="36" t="s">
        <v>48</v>
      </c>
    </row>
    <row r="7142">
      <c r="H7142" s="50"/>
      <c r="I7142" s="50"/>
      <c r="O7142" s="36" t="s">
        <v>48</v>
      </c>
      <c r="R7142" s="36" t="s">
        <v>48</v>
      </c>
    </row>
    <row r="7143">
      <c r="H7143" s="50"/>
      <c r="I7143" s="50"/>
      <c r="O7143" s="36" t="s">
        <v>48</v>
      </c>
      <c r="R7143" s="36" t="s">
        <v>48</v>
      </c>
    </row>
    <row r="7144">
      <c r="H7144" s="50"/>
      <c r="I7144" s="50"/>
      <c r="O7144" s="36" t="s">
        <v>48</v>
      </c>
      <c r="R7144" s="36" t="s">
        <v>48</v>
      </c>
    </row>
    <row r="7145">
      <c r="H7145" s="50"/>
      <c r="I7145" s="50"/>
      <c r="O7145" s="36" t="s">
        <v>48</v>
      </c>
      <c r="R7145" s="36" t="s">
        <v>48</v>
      </c>
    </row>
    <row r="7146">
      <c r="H7146" s="50"/>
      <c r="I7146" s="50"/>
      <c r="O7146" s="36" t="s">
        <v>48</v>
      </c>
      <c r="R7146" s="36" t="s">
        <v>48</v>
      </c>
    </row>
    <row r="7147">
      <c r="H7147" s="50"/>
      <c r="I7147" s="50"/>
      <c r="O7147" s="36" t="s">
        <v>48</v>
      </c>
      <c r="R7147" s="36" t="s">
        <v>48</v>
      </c>
    </row>
    <row r="7148">
      <c r="H7148" s="50"/>
      <c r="I7148" s="50"/>
      <c r="O7148" s="36" t="s">
        <v>48</v>
      </c>
      <c r="R7148" s="36" t="s">
        <v>48</v>
      </c>
    </row>
    <row r="7149">
      <c r="H7149" s="50"/>
      <c r="I7149" s="50"/>
      <c r="O7149" s="36" t="s">
        <v>48</v>
      </c>
      <c r="R7149" s="36" t="s">
        <v>48</v>
      </c>
    </row>
    <row r="7150">
      <c r="H7150" s="50"/>
      <c r="I7150" s="50"/>
      <c r="O7150" s="36" t="s">
        <v>48</v>
      </c>
      <c r="R7150" s="36" t="s">
        <v>48</v>
      </c>
    </row>
    <row r="7151">
      <c r="H7151" s="50"/>
      <c r="I7151" s="50"/>
      <c r="O7151" s="36" t="s">
        <v>48</v>
      </c>
      <c r="R7151" s="36" t="s">
        <v>48</v>
      </c>
    </row>
    <row r="7152">
      <c r="H7152" s="50"/>
      <c r="I7152" s="50"/>
      <c r="O7152" s="36" t="s">
        <v>48</v>
      </c>
      <c r="R7152" s="36" t="s">
        <v>48</v>
      </c>
    </row>
    <row r="7153">
      <c r="H7153" s="50"/>
      <c r="I7153" s="50"/>
      <c r="O7153" s="36" t="s">
        <v>48</v>
      </c>
      <c r="R7153" s="36" t="s">
        <v>48</v>
      </c>
    </row>
    <row r="7154">
      <c r="H7154" s="50"/>
      <c r="I7154" s="50"/>
      <c r="O7154" s="36" t="s">
        <v>48</v>
      </c>
      <c r="R7154" s="36" t="s">
        <v>48</v>
      </c>
    </row>
    <row r="7155">
      <c r="H7155" s="50"/>
      <c r="I7155" s="50"/>
      <c r="O7155" s="36" t="s">
        <v>48</v>
      </c>
      <c r="R7155" s="36" t="s">
        <v>48</v>
      </c>
    </row>
    <row r="7156">
      <c r="H7156" s="50"/>
      <c r="I7156" s="50"/>
      <c r="O7156" s="36" t="s">
        <v>48</v>
      </c>
      <c r="R7156" s="36" t="s">
        <v>48</v>
      </c>
    </row>
    <row r="7157">
      <c r="H7157" s="50"/>
      <c r="I7157" s="50"/>
      <c r="O7157" s="36" t="s">
        <v>48</v>
      </c>
      <c r="R7157" s="36" t="s">
        <v>48</v>
      </c>
    </row>
    <row r="7158">
      <c r="H7158" s="50"/>
      <c r="I7158" s="50"/>
      <c r="O7158" s="36" t="s">
        <v>48</v>
      </c>
      <c r="R7158" s="36" t="s">
        <v>48</v>
      </c>
    </row>
    <row r="7159">
      <c r="H7159" s="50"/>
      <c r="I7159" s="50"/>
      <c r="O7159" s="36" t="s">
        <v>48</v>
      </c>
      <c r="R7159" s="36" t="s">
        <v>48</v>
      </c>
    </row>
    <row r="7160">
      <c r="H7160" s="50"/>
      <c r="I7160" s="50"/>
      <c r="O7160" s="36" t="s">
        <v>48</v>
      </c>
      <c r="R7160" s="36" t="s">
        <v>48</v>
      </c>
    </row>
    <row r="7161">
      <c r="H7161" s="50"/>
      <c r="I7161" s="50"/>
      <c r="O7161" s="36" t="s">
        <v>48</v>
      </c>
      <c r="R7161" s="36" t="s">
        <v>48</v>
      </c>
    </row>
    <row r="7162">
      <c r="H7162" s="50"/>
      <c r="I7162" s="50"/>
      <c r="O7162" s="36" t="s">
        <v>48</v>
      </c>
      <c r="R7162" s="36" t="s">
        <v>48</v>
      </c>
    </row>
    <row r="7163">
      <c r="H7163" s="50"/>
      <c r="I7163" s="50"/>
      <c r="O7163" s="36" t="s">
        <v>48</v>
      </c>
      <c r="R7163" s="36" t="s">
        <v>48</v>
      </c>
    </row>
    <row r="7164">
      <c r="H7164" s="50"/>
      <c r="I7164" s="50"/>
      <c r="O7164" s="36" t="s">
        <v>48</v>
      </c>
      <c r="R7164" s="36" t="s">
        <v>48</v>
      </c>
    </row>
    <row r="7165">
      <c r="H7165" s="50"/>
      <c r="I7165" s="50"/>
      <c r="O7165" s="36" t="s">
        <v>48</v>
      </c>
      <c r="R7165" s="36" t="s">
        <v>48</v>
      </c>
    </row>
    <row r="7166">
      <c r="H7166" s="50"/>
      <c r="I7166" s="50"/>
      <c r="O7166" s="36" t="s">
        <v>48</v>
      </c>
      <c r="R7166" s="36" t="s">
        <v>48</v>
      </c>
    </row>
    <row r="7167">
      <c r="H7167" s="50"/>
      <c r="I7167" s="50"/>
      <c r="O7167" s="36" t="s">
        <v>48</v>
      </c>
      <c r="R7167" s="36" t="s">
        <v>48</v>
      </c>
    </row>
    <row r="7168">
      <c r="H7168" s="50"/>
      <c r="I7168" s="50"/>
      <c r="O7168" s="36" t="s">
        <v>48</v>
      </c>
      <c r="R7168" s="36" t="s">
        <v>48</v>
      </c>
    </row>
    <row r="7169">
      <c r="H7169" s="50"/>
      <c r="I7169" s="50"/>
      <c r="O7169" s="36" t="s">
        <v>48</v>
      </c>
      <c r="R7169" s="36" t="s">
        <v>48</v>
      </c>
    </row>
    <row r="7170">
      <c r="H7170" s="50"/>
      <c r="I7170" s="50"/>
      <c r="O7170" s="36" t="s">
        <v>48</v>
      </c>
      <c r="R7170" s="36" t="s">
        <v>48</v>
      </c>
    </row>
    <row r="7171">
      <c r="H7171" s="50"/>
      <c r="I7171" s="50"/>
      <c r="O7171" s="36" t="s">
        <v>48</v>
      </c>
      <c r="R7171" s="36" t="s">
        <v>48</v>
      </c>
    </row>
    <row r="7172">
      <c r="H7172" s="50"/>
      <c r="I7172" s="50"/>
      <c r="O7172" s="36" t="s">
        <v>48</v>
      </c>
      <c r="R7172" s="36" t="s">
        <v>48</v>
      </c>
    </row>
    <row r="7173">
      <c r="H7173" s="50"/>
      <c r="I7173" s="50"/>
      <c r="O7173" s="36" t="s">
        <v>48</v>
      </c>
      <c r="R7173" s="36" t="s">
        <v>48</v>
      </c>
    </row>
    <row r="7174">
      <c r="H7174" s="50"/>
      <c r="I7174" s="50"/>
      <c r="O7174" s="36" t="s">
        <v>48</v>
      </c>
      <c r="R7174" s="36" t="s">
        <v>48</v>
      </c>
    </row>
    <row r="7175">
      <c r="H7175" s="50"/>
      <c r="I7175" s="50"/>
      <c r="O7175" s="36" t="s">
        <v>48</v>
      </c>
      <c r="R7175" s="36" t="s">
        <v>48</v>
      </c>
    </row>
    <row r="7176">
      <c r="H7176" s="50"/>
      <c r="I7176" s="50"/>
      <c r="O7176" s="36" t="s">
        <v>48</v>
      </c>
      <c r="R7176" s="36" t="s">
        <v>48</v>
      </c>
    </row>
    <row r="7177">
      <c r="H7177" s="50"/>
      <c r="I7177" s="50"/>
      <c r="O7177" s="36" t="s">
        <v>48</v>
      </c>
      <c r="R7177" s="36" t="s">
        <v>48</v>
      </c>
    </row>
    <row r="7178">
      <c r="H7178" s="50"/>
      <c r="I7178" s="50"/>
      <c r="O7178" s="36" t="s">
        <v>48</v>
      </c>
      <c r="R7178" s="36" t="s">
        <v>48</v>
      </c>
    </row>
    <row r="7179">
      <c r="H7179" s="50"/>
      <c r="I7179" s="50"/>
      <c r="O7179" s="36" t="s">
        <v>48</v>
      </c>
      <c r="R7179" s="36" t="s">
        <v>48</v>
      </c>
    </row>
    <row r="7180">
      <c r="H7180" s="50"/>
      <c r="I7180" s="50"/>
      <c r="O7180" s="36" t="s">
        <v>48</v>
      </c>
      <c r="R7180" s="36" t="s">
        <v>48</v>
      </c>
    </row>
    <row r="7181">
      <c r="H7181" s="50"/>
      <c r="I7181" s="50"/>
      <c r="O7181" s="36" t="s">
        <v>48</v>
      </c>
      <c r="R7181" s="36" t="s">
        <v>48</v>
      </c>
    </row>
    <row r="7182">
      <c r="H7182" s="50"/>
      <c r="I7182" s="50"/>
      <c r="O7182" s="36" t="s">
        <v>48</v>
      </c>
      <c r="R7182" s="36" t="s">
        <v>48</v>
      </c>
    </row>
    <row r="7183">
      <c r="H7183" s="50"/>
      <c r="I7183" s="50"/>
      <c r="O7183" s="36" t="s">
        <v>48</v>
      </c>
      <c r="R7183" s="36" t="s">
        <v>48</v>
      </c>
    </row>
    <row r="7184">
      <c r="H7184" s="50"/>
      <c r="I7184" s="50"/>
      <c r="O7184" s="36" t="s">
        <v>48</v>
      </c>
      <c r="R7184" s="36" t="s">
        <v>48</v>
      </c>
    </row>
    <row r="7185">
      <c r="H7185" s="50"/>
      <c r="I7185" s="50"/>
      <c r="O7185" s="36" t="s">
        <v>48</v>
      </c>
      <c r="R7185" s="36" t="s">
        <v>48</v>
      </c>
    </row>
    <row r="7186">
      <c r="H7186" s="50"/>
      <c r="I7186" s="50"/>
      <c r="O7186" s="36" t="s">
        <v>48</v>
      </c>
      <c r="R7186" s="36" t="s">
        <v>48</v>
      </c>
    </row>
    <row r="7187">
      <c r="H7187" s="50"/>
      <c r="I7187" s="50"/>
      <c r="O7187" s="36" t="s">
        <v>48</v>
      </c>
      <c r="R7187" s="36" t="s">
        <v>48</v>
      </c>
    </row>
    <row r="7188">
      <c r="H7188" s="50"/>
      <c r="I7188" s="50"/>
      <c r="O7188" s="36" t="s">
        <v>48</v>
      </c>
      <c r="R7188" s="36" t="s">
        <v>48</v>
      </c>
    </row>
    <row r="7189">
      <c r="H7189" s="50"/>
      <c r="I7189" s="50"/>
      <c r="O7189" s="36" t="s">
        <v>48</v>
      </c>
      <c r="R7189" s="36" t="s">
        <v>48</v>
      </c>
    </row>
    <row r="7190">
      <c r="H7190" s="50"/>
      <c r="I7190" s="50"/>
      <c r="O7190" s="36" t="s">
        <v>48</v>
      </c>
      <c r="R7190" s="36" t="s">
        <v>48</v>
      </c>
    </row>
    <row r="7191">
      <c r="H7191" s="50"/>
      <c r="I7191" s="50"/>
      <c r="O7191" s="36" t="s">
        <v>48</v>
      </c>
      <c r="R7191" s="36" t="s">
        <v>48</v>
      </c>
    </row>
    <row r="7192">
      <c r="H7192" s="50"/>
      <c r="I7192" s="50"/>
      <c r="O7192" s="36" t="s">
        <v>48</v>
      </c>
      <c r="R7192" s="36" t="s">
        <v>48</v>
      </c>
    </row>
    <row r="7193">
      <c r="H7193" s="50"/>
      <c r="I7193" s="50"/>
      <c r="O7193" s="36" t="s">
        <v>48</v>
      </c>
      <c r="R7193" s="36" t="s">
        <v>48</v>
      </c>
    </row>
    <row r="7194">
      <c r="H7194" s="50"/>
      <c r="I7194" s="50"/>
      <c r="O7194" s="36" t="s">
        <v>48</v>
      </c>
      <c r="R7194" s="36" t="s">
        <v>48</v>
      </c>
    </row>
    <row r="7195">
      <c r="H7195" s="50"/>
      <c r="I7195" s="50"/>
      <c r="O7195" s="36" t="s">
        <v>48</v>
      </c>
      <c r="R7195" s="36" t="s">
        <v>48</v>
      </c>
    </row>
    <row r="7196">
      <c r="H7196" s="50"/>
      <c r="I7196" s="50"/>
      <c r="O7196" s="36" t="s">
        <v>48</v>
      </c>
      <c r="R7196" s="36" t="s">
        <v>48</v>
      </c>
    </row>
    <row r="7197">
      <c r="H7197" s="50"/>
      <c r="I7197" s="50"/>
      <c r="O7197" s="36" t="s">
        <v>48</v>
      </c>
      <c r="R7197" s="36" t="s">
        <v>48</v>
      </c>
    </row>
    <row r="7198">
      <c r="H7198" s="50"/>
      <c r="I7198" s="50"/>
      <c r="O7198" s="36" t="s">
        <v>48</v>
      </c>
      <c r="R7198" s="36" t="s">
        <v>48</v>
      </c>
    </row>
    <row r="7199">
      <c r="H7199" s="50"/>
      <c r="I7199" s="50"/>
      <c r="O7199" s="36" t="s">
        <v>48</v>
      </c>
      <c r="R7199" s="36" t="s">
        <v>48</v>
      </c>
    </row>
    <row r="7200">
      <c r="H7200" s="50"/>
      <c r="I7200" s="50"/>
      <c r="O7200" s="36" t="s">
        <v>48</v>
      </c>
      <c r="R7200" s="36" t="s">
        <v>48</v>
      </c>
    </row>
    <row r="7201">
      <c r="H7201" s="50"/>
      <c r="I7201" s="50"/>
      <c r="O7201" s="36" t="s">
        <v>48</v>
      </c>
      <c r="R7201" s="36" t="s">
        <v>48</v>
      </c>
    </row>
    <row r="7202">
      <c r="H7202" s="50"/>
      <c r="I7202" s="50"/>
      <c r="O7202" s="36" t="s">
        <v>48</v>
      </c>
      <c r="R7202" s="36" t="s">
        <v>48</v>
      </c>
    </row>
    <row r="7203">
      <c r="H7203" s="50"/>
      <c r="I7203" s="50"/>
      <c r="O7203" s="36" t="s">
        <v>48</v>
      </c>
      <c r="R7203" s="36" t="s">
        <v>48</v>
      </c>
    </row>
    <row r="7204">
      <c r="H7204" s="50"/>
      <c r="I7204" s="50"/>
      <c r="O7204" s="36" t="s">
        <v>48</v>
      </c>
      <c r="R7204" s="36" t="s">
        <v>48</v>
      </c>
    </row>
    <row r="7205">
      <c r="H7205" s="50"/>
      <c r="I7205" s="50"/>
      <c r="O7205" s="36" t="s">
        <v>48</v>
      </c>
      <c r="R7205" s="36" t="s">
        <v>48</v>
      </c>
    </row>
    <row r="7206">
      <c r="H7206" s="50"/>
      <c r="I7206" s="50"/>
      <c r="O7206" s="36" t="s">
        <v>48</v>
      </c>
      <c r="R7206" s="36" t="s">
        <v>48</v>
      </c>
    </row>
    <row r="7207">
      <c r="H7207" s="50"/>
      <c r="I7207" s="50"/>
      <c r="O7207" s="36" t="s">
        <v>48</v>
      </c>
      <c r="R7207" s="36" t="s">
        <v>48</v>
      </c>
    </row>
    <row r="7208">
      <c r="H7208" s="50"/>
      <c r="I7208" s="50"/>
      <c r="O7208" s="36" t="s">
        <v>48</v>
      </c>
      <c r="R7208" s="36" t="s">
        <v>48</v>
      </c>
    </row>
    <row r="7209">
      <c r="H7209" s="50"/>
      <c r="I7209" s="50"/>
      <c r="O7209" s="36" t="s">
        <v>48</v>
      </c>
      <c r="R7209" s="36" t="s">
        <v>48</v>
      </c>
    </row>
    <row r="7210">
      <c r="H7210" s="50"/>
      <c r="I7210" s="50"/>
      <c r="O7210" s="36" t="s">
        <v>48</v>
      </c>
      <c r="R7210" s="36" t="s">
        <v>48</v>
      </c>
    </row>
    <row r="7211">
      <c r="H7211" s="50"/>
      <c r="I7211" s="50"/>
      <c r="O7211" s="36" t="s">
        <v>48</v>
      </c>
      <c r="R7211" s="36" t="s">
        <v>48</v>
      </c>
    </row>
    <row r="7212">
      <c r="H7212" s="50"/>
      <c r="I7212" s="50"/>
      <c r="O7212" s="36" t="s">
        <v>48</v>
      </c>
      <c r="R7212" s="36" t="s">
        <v>48</v>
      </c>
    </row>
    <row r="7213">
      <c r="H7213" s="50"/>
      <c r="I7213" s="50"/>
      <c r="O7213" s="36" t="s">
        <v>48</v>
      </c>
      <c r="R7213" s="36" t="s">
        <v>48</v>
      </c>
    </row>
    <row r="7214">
      <c r="H7214" s="50"/>
      <c r="I7214" s="50"/>
      <c r="O7214" s="36" t="s">
        <v>48</v>
      </c>
      <c r="R7214" s="36" t="s">
        <v>48</v>
      </c>
    </row>
    <row r="7215">
      <c r="H7215" s="50"/>
      <c r="I7215" s="50"/>
      <c r="O7215" s="36" t="s">
        <v>48</v>
      </c>
      <c r="R7215" s="36" t="s">
        <v>48</v>
      </c>
    </row>
    <row r="7216">
      <c r="H7216" s="50"/>
      <c r="I7216" s="50"/>
      <c r="O7216" s="36" t="s">
        <v>48</v>
      </c>
      <c r="R7216" s="36" t="s">
        <v>48</v>
      </c>
    </row>
    <row r="7217">
      <c r="H7217" s="50"/>
      <c r="I7217" s="50"/>
      <c r="O7217" s="36" t="s">
        <v>48</v>
      </c>
      <c r="R7217" s="36" t="s">
        <v>48</v>
      </c>
    </row>
    <row r="7218">
      <c r="H7218" s="50"/>
      <c r="I7218" s="50"/>
      <c r="O7218" s="36" t="s">
        <v>48</v>
      </c>
      <c r="R7218" s="36" t="s">
        <v>48</v>
      </c>
    </row>
    <row r="7219">
      <c r="H7219" s="50"/>
      <c r="I7219" s="50"/>
      <c r="O7219" s="36" t="s">
        <v>48</v>
      </c>
      <c r="R7219" s="36" t="s">
        <v>48</v>
      </c>
    </row>
    <row r="7220">
      <c r="H7220" s="50"/>
      <c r="I7220" s="50"/>
      <c r="O7220" s="36" t="s">
        <v>48</v>
      </c>
      <c r="R7220" s="36" t="s">
        <v>48</v>
      </c>
    </row>
    <row r="7221">
      <c r="H7221" s="50"/>
      <c r="I7221" s="50"/>
      <c r="O7221" s="36" t="s">
        <v>48</v>
      </c>
      <c r="R7221" s="36" t="s">
        <v>48</v>
      </c>
    </row>
    <row r="7222">
      <c r="H7222" s="50"/>
      <c r="I7222" s="50"/>
      <c r="O7222" s="36" t="s">
        <v>48</v>
      </c>
      <c r="R7222" s="36" t="s">
        <v>48</v>
      </c>
    </row>
    <row r="7223">
      <c r="H7223" s="50"/>
      <c r="I7223" s="50"/>
      <c r="O7223" s="36" t="s">
        <v>48</v>
      </c>
      <c r="R7223" s="36" t="s">
        <v>48</v>
      </c>
    </row>
    <row r="7224">
      <c r="H7224" s="50"/>
      <c r="I7224" s="50"/>
      <c r="O7224" s="36" t="s">
        <v>48</v>
      </c>
      <c r="R7224" s="36" t="s">
        <v>48</v>
      </c>
    </row>
    <row r="7225">
      <c r="H7225" s="50"/>
      <c r="I7225" s="50"/>
      <c r="O7225" s="36" t="s">
        <v>48</v>
      </c>
      <c r="R7225" s="36" t="s">
        <v>48</v>
      </c>
    </row>
    <row r="7226">
      <c r="H7226" s="50"/>
      <c r="I7226" s="50"/>
      <c r="O7226" s="36" t="s">
        <v>48</v>
      </c>
      <c r="R7226" s="36" t="s">
        <v>48</v>
      </c>
    </row>
    <row r="7227">
      <c r="H7227" s="50"/>
      <c r="I7227" s="50"/>
      <c r="O7227" s="36" t="s">
        <v>48</v>
      </c>
      <c r="R7227" s="36" t="s">
        <v>48</v>
      </c>
    </row>
    <row r="7228">
      <c r="H7228" s="50"/>
      <c r="I7228" s="50"/>
      <c r="O7228" s="36" t="s">
        <v>48</v>
      </c>
      <c r="R7228" s="36" t="s">
        <v>48</v>
      </c>
    </row>
    <row r="7229">
      <c r="H7229" s="50"/>
      <c r="I7229" s="50"/>
      <c r="O7229" s="36" t="s">
        <v>48</v>
      </c>
      <c r="R7229" s="36" t="s">
        <v>48</v>
      </c>
    </row>
    <row r="7230">
      <c r="H7230" s="50"/>
      <c r="I7230" s="50"/>
      <c r="O7230" s="36" t="s">
        <v>48</v>
      </c>
      <c r="R7230" s="36" t="s">
        <v>48</v>
      </c>
    </row>
    <row r="7231">
      <c r="H7231" s="50"/>
      <c r="I7231" s="50"/>
      <c r="O7231" s="36" t="s">
        <v>48</v>
      </c>
      <c r="R7231" s="36" t="s">
        <v>48</v>
      </c>
    </row>
    <row r="7232">
      <c r="H7232" s="50"/>
      <c r="I7232" s="50"/>
      <c r="O7232" s="36" t="s">
        <v>48</v>
      </c>
      <c r="R7232" s="36" t="s">
        <v>48</v>
      </c>
    </row>
    <row r="7233">
      <c r="H7233" s="50"/>
      <c r="I7233" s="50"/>
      <c r="O7233" s="36" t="s">
        <v>48</v>
      </c>
      <c r="R7233" s="36" t="s">
        <v>48</v>
      </c>
    </row>
    <row r="7234">
      <c r="H7234" s="50"/>
      <c r="I7234" s="50"/>
      <c r="O7234" s="36" t="s">
        <v>48</v>
      </c>
      <c r="R7234" s="36" t="s">
        <v>48</v>
      </c>
    </row>
    <row r="7235">
      <c r="H7235" s="50"/>
      <c r="I7235" s="50"/>
      <c r="O7235" s="36" t="s">
        <v>48</v>
      </c>
      <c r="R7235" s="36" t="s">
        <v>48</v>
      </c>
    </row>
    <row r="7236">
      <c r="H7236" s="50"/>
      <c r="I7236" s="50"/>
      <c r="O7236" s="36" t="s">
        <v>48</v>
      </c>
      <c r="R7236" s="36" t="s">
        <v>48</v>
      </c>
    </row>
    <row r="7237">
      <c r="H7237" s="50"/>
      <c r="I7237" s="50"/>
      <c r="O7237" s="36" t="s">
        <v>48</v>
      </c>
      <c r="R7237" s="36" t="s">
        <v>48</v>
      </c>
    </row>
    <row r="7238">
      <c r="H7238" s="50"/>
      <c r="I7238" s="50"/>
      <c r="O7238" s="36" t="s">
        <v>48</v>
      </c>
      <c r="R7238" s="36" t="s">
        <v>48</v>
      </c>
    </row>
    <row r="7239">
      <c r="H7239" s="50"/>
      <c r="I7239" s="50"/>
      <c r="O7239" s="36" t="s">
        <v>48</v>
      </c>
      <c r="R7239" s="36" t="s">
        <v>48</v>
      </c>
    </row>
    <row r="7240">
      <c r="H7240" s="50"/>
      <c r="I7240" s="50"/>
      <c r="O7240" s="36" t="s">
        <v>48</v>
      </c>
      <c r="R7240" s="36" t="s">
        <v>48</v>
      </c>
    </row>
    <row r="7241">
      <c r="H7241" s="50"/>
      <c r="I7241" s="50"/>
      <c r="O7241" s="36" t="s">
        <v>48</v>
      </c>
      <c r="R7241" s="36" t="s">
        <v>48</v>
      </c>
    </row>
    <row r="7242">
      <c r="H7242" s="50"/>
      <c r="I7242" s="50"/>
      <c r="O7242" s="36" t="s">
        <v>48</v>
      </c>
      <c r="R7242" s="36" t="s">
        <v>48</v>
      </c>
    </row>
    <row r="7243">
      <c r="H7243" s="50"/>
      <c r="I7243" s="50"/>
      <c r="O7243" s="36" t="s">
        <v>48</v>
      </c>
      <c r="R7243" s="36" t="s">
        <v>48</v>
      </c>
    </row>
    <row r="7244">
      <c r="H7244" s="50"/>
      <c r="I7244" s="50"/>
      <c r="O7244" s="36" t="s">
        <v>48</v>
      </c>
      <c r="R7244" s="36" t="s">
        <v>48</v>
      </c>
    </row>
    <row r="7245">
      <c r="H7245" s="50"/>
      <c r="I7245" s="50"/>
      <c r="O7245" s="36" t="s">
        <v>48</v>
      </c>
      <c r="R7245" s="36" t="s">
        <v>48</v>
      </c>
    </row>
    <row r="7246">
      <c r="H7246" s="50"/>
      <c r="I7246" s="50"/>
      <c r="O7246" s="36" t="s">
        <v>48</v>
      </c>
      <c r="R7246" s="36" t="s">
        <v>48</v>
      </c>
    </row>
    <row r="7247">
      <c r="H7247" s="50"/>
      <c r="I7247" s="50"/>
      <c r="O7247" s="36" t="s">
        <v>48</v>
      </c>
      <c r="R7247" s="36" t="s">
        <v>48</v>
      </c>
    </row>
    <row r="7248">
      <c r="H7248" s="50"/>
      <c r="I7248" s="50"/>
      <c r="O7248" s="36" t="s">
        <v>48</v>
      </c>
      <c r="R7248" s="36" t="s">
        <v>48</v>
      </c>
    </row>
    <row r="7249">
      <c r="H7249" s="50"/>
      <c r="I7249" s="50"/>
      <c r="O7249" s="36" t="s">
        <v>48</v>
      </c>
      <c r="R7249" s="36" t="s">
        <v>48</v>
      </c>
    </row>
    <row r="7250">
      <c r="H7250" s="50"/>
      <c r="I7250" s="50"/>
      <c r="O7250" s="36" t="s">
        <v>48</v>
      </c>
      <c r="R7250" s="36" t="s">
        <v>48</v>
      </c>
    </row>
    <row r="7251">
      <c r="H7251" s="50"/>
      <c r="I7251" s="50"/>
      <c r="O7251" s="36" t="s">
        <v>48</v>
      </c>
      <c r="R7251" s="36" t="s">
        <v>48</v>
      </c>
    </row>
    <row r="7252">
      <c r="H7252" s="50"/>
      <c r="I7252" s="50"/>
      <c r="O7252" s="36" t="s">
        <v>48</v>
      </c>
      <c r="R7252" s="36" t="s">
        <v>48</v>
      </c>
    </row>
    <row r="7253">
      <c r="H7253" s="50"/>
      <c r="I7253" s="50"/>
      <c r="O7253" s="36" t="s">
        <v>48</v>
      </c>
      <c r="R7253" s="36" t="s">
        <v>48</v>
      </c>
    </row>
    <row r="7254">
      <c r="H7254" s="50"/>
      <c r="I7254" s="50"/>
      <c r="O7254" s="36" t="s">
        <v>48</v>
      </c>
      <c r="R7254" s="36" t="s">
        <v>48</v>
      </c>
    </row>
    <row r="7255">
      <c r="H7255" s="50"/>
      <c r="I7255" s="50"/>
      <c r="O7255" s="36" t="s">
        <v>48</v>
      </c>
      <c r="R7255" s="36" t="s">
        <v>48</v>
      </c>
    </row>
    <row r="7256">
      <c r="H7256" s="50"/>
      <c r="I7256" s="50"/>
      <c r="O7256" s="36" t="s">
        <v>48</v>
      </c>
      <c r="R7256" s="36" t="s">
        <v>48</v>
      </c>
    </row>
    <row r="7257">
      <c r="H7257" s="50"/>
      <c r="I7257" s="50"/>
      <c r="O7257" s="36" t="s">
        <v>48</v>
      </c>
      <c r="R7257" s="36" t="s">
        <v>48</v>
      </c>
    </row>
    <row r="7258">
      <c r="H7258" s="50"/>
      <c r="I7258" s="50"/>
      <c r="O7258" s="36" t="s">
        <v>48</v>
      </c>
      <c r="R7258" s="36" t="s">
        <v>48</v>
      </c>
    </row>
    <row r="7259">
      <c r="H7259" s="50"/>
      <c r="I7259" s="50"/>
      <c r="O7259" s="36" t="s">
        <v>48</v>
      </c>
      <c r="R7259" s="36" t="s">
        <v>48</v>
      </c>
    </row>
    <row r="7260">
      <c r="H7260" s="50"/>
      <c r="I7260" s="50"/>
      <c r="O7260" s="36" t="s">
        <v>48</v>
      </c>
      <c r="R7260" s="36" t="s">
        <v>48</v>
      </c>
    </row>
    <row r="7261">
      <c r="H7261" s="50"/>
      <c r="I7261" s="50"/>
      <c r="O7261" s="36" t="s">
        <v>48</v>
      </c>
      <c r="R7261" s="36" t="s">
        <v>48</v>
      </c>
    </row>
    <row r="7262">
      <c r="H7262" s="50"/>
      <c r="I7262" s="50"/>
      <c r="O7262" s="36" t="s">
        <v>48</v>
      </c>
      <c r="R7262" s="36" t="s">
        <v>48</v>
      </c>
    </row>
    <row r="7263">
      <c r="H7263" s="50"/>
      <c r="I7263" s="50"/>
      <c r="O7263" s="36" t="s">
        <v>48</v>
      </c>
      <c r="R7263" s="36" t="s">
        <v>48</v>
      </c>
    </row>
    <row r="7264">
      <c r="H7264" s="50"/>
      <c r="I7264" s="50"/>
      <c r="O7264" s="36" t="s">
        <v>48</v>
      </c>
      <c r="R7264" s="36" t="s">
        <v>48</v>
      </c>
    </row>
    <row r="7265">
      <c r="H7265" s="50"/>
      <c r="I7265" s="50"/>
      <c r="O7265" s="36" t="s">
        <v>48</v>
      </c>
      <c r="R7265" s="36" t="s">
        <v>48</v>
      </c>
    </row>
    <row r="7266">
      <c r="H7266" s="50"/>
      <c r="I7266" s="50"/>
      <c r="O7266" s="36" t="s">
        <v>48</v>
      </c>
      <c r="R7266" s="36" t="s">
        <v>48</v>
      </c>
    </row>
    <row r="7267">
      <c r="H7267" s="50"/>
      <c r="I7267" s="50"/>
      <c r="O7267" s="36" t="s">
        <v>48</v>
      </c>
      <c r="R7267" s="36" t="s">
        <v>48</v>
      </c>
    </row>
    <row r="7268">
      <c r="H7268" s="50"/>
      <c r="I7268" s="50"/>
      <c r="O7268" s="36" t="s">
        <v>48</v>
      </c>
      <c r="R7268" s="36" t="s">
        <v>48</v>
      </c>
    </row>
    <row r="7269">
      <c r="H7269" s="50"/>
      <c r="I7269" s="50"/>
      <c r="O7269" s="36" t="s">
        <v>48</v>
      </c>
      <c r="R7269" s="36" t="s">
        <v>48</v>
      </c>
    </row>
    <row r="7270">
      <c r="H7270" s="50"/>
      <c r="I7270" s="50"/>
      <c r="O7270" s="36" t="s">
        <v>48</v>
      </c>
      <c r="R7270" s="36" t="s">
        <v>48</v>
      </c>
    </row>
    <row r="7271">
      <c r="H7271" s="50"/>
      <c r="I7271" s="50"/>
      <c r="O7271" s="36" t="s">
        <v>48</v>
      </c>
      <c r="R7271" s="36" t="s">
        <v>48</v>
      </c>
    </row>
    <row r="7272">
      <c r="H7272" s="50"/>
      <c r="I7272" s="50"/>
      <c r="O7272" s="36" t="s">
        <v>48</v>
      </c>
      <c r="R7272" s="36" t="s">
        <v>48</v>
      </c>
    </row>
    <row r="7273">
      <c r="H7273" s="50"/>
      <c r="I7273" s="50"/>
      <c r="O7273" s="36" t="s">
        <v>48</v>
      </c>
      <c r="R7273" s="36" t="s">
        <v>48</v>
      </c>
    </row>
    <row r="7274">
      <c r="H7274" s="50"/>
      <c r="I7274" s="50"/>
      <c r="O7274" s="36" t="s">
        <v>48</v>
      </c>
      <c r="R7274" s="36" t="s">
        <v>48</v>
      </c>
    </row>
    <row r="7275">
      <c r="H7275" s="50"/>
      <c r="I7275" s="50"/>
      <c r="O7275" s="36" t="s">
        <v>48</v>
      </c>
      <c r="R7275" s="36" t="s">
        <v>48</v>
      </c>
    </row>
    <row r="7276">
      <c r="H7276" s="50"/>
      <c r="I7276" s="50"/>
      <c r="O7276" s="36" t="s">
        <v>48</v>
      </c>
      <c r="R7276" s="36" t="s">
        <v>48</v>
      </c>
    </row>
    <row r="7277">
      <c r="H7277" s="50"/>
      <c r="I7277" s="50"/>
      <c r="O7277" s="36" t="s">
        <v>48</v>
      </c>
      <c r="R7277" s="36" t="s">
        <v>48</v>
      </c>
    </row>
    <row r="7278">
      <c r="H7278" s="50"/>
      <c r="I7278" s="50"/>
      <c r="O7278" s="36" t="s">
        <v>48</v>
      </c>
      <c r="R7278" s="36" t="s">
        <v>48</v>
      </c>
    </row>
    <row r="7279">
      <c r="H7279" s="50"/>
      <c r="I7279" s="50"/>
      <c r="O7279" s="36" t="s">
        <v>48</v>
      </c>
      <c r="R7279" s="36" t="s">
        <v>48</v>
      </c>
    </row>
    <row r="7280">
      <c r="H7280" s="50"/>
      <c r="I7280" s="50"/>
      <c r="O7280" s="36" t="s">
        <v>48</v>
      </c>
      <c r="R7280" s="36" t="s">
        <v>48</v>
      </c>
    </row>
    <row r="7281">
      <c r="H7281" s="50"/>
      <c r="I7281" s="50"/>
      <c r="O7281" s="36" t="s">
        <v>48</v>
      </c>
      <c r="R7281" s="36" t="s">
        <v>48</v>
      </c>
    </row>
    <row r="7282">
      <c r="H7282" s="50"/>
      <c r="I7282" s="50"/>
      <c r="O7282" s="36" t="s">
        <v>48</v>
      </c>
      <c r="R7282" s="36" t="s">
        <v>48</v>
      </c>
    </row>
    <row r="7283">
      <c r="H7283" s="50"/>
      <c r="I7283" s="50"/>
      <c r="O7283" s="36" t="s">
        <v>48</v>
      </c>
      <c r="R7283" s="36" t="s">
        <v>48</v>
      </c>
    </row>
    <row r="7284">
      <c r="H7284" s="50"/>
      <c r="I7284" s="50"/>
      <c r="O7284" s="36" t="s">
        <v>48</v>
      </c>
      <c r="R7284" s="36" t="s">
        <v>48</v>
      </c>
    </row>
    <row r="7285">
      <c r="H7285" s="50"/>
      <c r="I7285" s="50"/>
      <c r="O7285" s="36" t="s">
        <v>48</v>
      </c>
      <c r="R7285" s="36" t="s">
        <v>48</v>
      </c>
    </row>
    <row r="7286">
      <c r="H7286" s="50"/>
      <c r="I7286" s="50"/>
      <c r="O7286" s="36" t="s">
        <v>48</v>
      </c>
      <c r="R7286" s="36" t="s">
        <v>48</v>
      </c>
    </row>
    <row r="7287">
      <c r="H7287" s="50"/>
      <c r="I7287" s="50"/>
      <c r="O7287" s="36" t="s">
        <v>48</v>
      </c>
      <c r="R7287" s="36" t="s">
        <v>48</v>
      </c>
    </row>
    <row r="7288">
      <c r="H7288" s="50"/>
      <c r="I7288" s="50"/>
      <c r="O7288" s="36" t="s">
        <v>48</v>
      </c>
      <c r="R7288" s="36" t="s">
        <v>48</v>
      </c>
    </row>
    <row r="7289">
      <c r="H7289" s="50"/>
      <c r="I7289" s="50"/>
      <c r="O7289" s="36" t="s">
        <v>48</v>
      </c>
      <c r="R7289" s="36" t="s">
        <v>48</v>
      </c>
    </row>
    <row r="7290">
      <c r="H7290" s="50"/>
      <c r="I7290" s="50"/>
      <c r="O7290" s="36" t="s">
        <v>48</v>
      </c>
      <c r="R7290" s="36" t="s">
        <v>48</v>
      </c>
    </row>
    <row r="7291">
      <c r="H7291" s="50"/>
      <c r="I7291" s="50"/>
      <c r="O7291" s="36" t="s">
        <v>48</v>
      </c>
      <c r="R7291" s="36" t="s">
        <v>48</v>
      </c>
    </row>
    <row r="7292">
      <c r="H7292" s="50"/>
      <c r="I7292" s="50"/>
      <c r="O7292" s="36" t="s">
        <v>48</v>
      </c>
      <c r="R7292" s="36" t="s">
        <v>48</v>
      </c>
    </row>
    <row r="7293">
      <c r="H7293" s="50"/>
      <c r="I7293" s="50"/>
      <c r="O7293" s="36" t="s">
        <v>48</v>
      </c>
      <c r="R7293" s="36" t="s">
        <v>48</v>
      </c>
    </row>
    <row r="7294">
      <c r="H7294" s="50"/>
      <c r="I7294" s="50"/>
      <c r="O7294" s="36" t="s">
        <v>48</v>
      </c>
      <c r="R7294" s="36" t="s">
        <v>48</v>
      </c>
    </row>
    <row r="7295">
      <c r="H7295" s="50"/>
      <c r="I7295" s="50"/>
      <c r="O7295" s="36" t="s">
        <v>48</v>
      </c>
      <c r="R7295" s="36" t="s">
        <v>48</v>
      </c>
    </row>
    <row r="7296">
      <c r="H7296" s="50"/>
      <c r="I7296" s="50"/>
      <c r="O7296" s="36" t="s">
        <v>48</v>
      </c>
      <c r="R7296" s="36" t="s">
        <v>48</v>
      </c>
    </row>
    <row r="7297">
      <c r="H7297" s="50"/>
      <c r="I7297" s="50"/>
      <c r="O7297" s="36" t="s">
        <v>48</v>
      </c>
      <c r="R7297" s="36" t="s">
        <v>48</v>
      </c>
    </row>
    <row r="7298">
      <c r="H7298" s="50"/>
      <c r="I7298" s="50"/>
      <c r="O7298" s="36" t="s">
        <v>48</v>
      </c>
      <c r="R7298" s="36" t="s">
        <v>48</v>
      </c>
    </row>
    <row r="7299">
      <c r="H7299" s="50"/>
      <c r="I7299" s="50"/>
      <c r="O7299" s="36" t="s">
        <v>48</v>
      </c>
      <c r="R7299" s="36" t="s">
        <v>48</v>
      </c>
    </row>
    <row r="7300">
      <c r="H7300" s="50"/>
      <c r="I7300" s="50"/>
      <c r="O7300" s="36" t="s">
        <v>48</v>
      </c>
      <c r="R7300" s="36" t="s">
        <v>48</v>
      </c>
    </row>
    <row r="7301">
      <c r="H7301" s="50"/>
      <c r="I7301" s="50"/>
      <c r="O7301" s="36" t="s">
        <v>48</v>
      </c>
      <c r="R7301" s="36" t="s">
        <v>48</v>
      </c>
    </row>
    <row r="7302">
      <c r="H7302" s="50"/>
      <c r="I7302" s="50"/>
      <c r="O7302" s="36" t="s">
        <v>48</v>
      </c>
      <c r="R7302" s="36" t="s">
        <v>48</v>
      </c>
    </row>
    <row r="7303">
      <c r="H7303" s="50"/>
      <c r="I7303" s="50"/>
      <c r="O7303" s="36" t="s">
        <v>48</v>
      </c>
      <c r="R7303" s="36" t="s">
        <v>48</v>
      </c>
    </row>
    <row r="7304">
      <c r="H7304" s="50"/>
      <c r="I7304" s="50"/>
      <c r="O7304" s="36" t="s">
        <v>48</v>
      </c>
      <c r="R7304" s="36" t="s">
        <v>48</v>
      </c>
    </row>
    <row r="7305">
      <c r="H7305" s="50"/>
      <c r="I7305" s="50"/>
      <c r="O7305" s="36" t="s">
        <v>48</v>
      </c>
      <c r="R7305" s="36" t="s">
        <v>48</v>
      </c>
    </row>
    <row r="7306">
      <c r="H7306" s="50"/>
      <c r="I7306" s="50"/>
      <c r="O7306" s="36" t="s">
        <v>48</v>
      </c>
      <c r="R7306" s="36" t="s">
        <v>48</v>
      </c>
    </row>
    <row r="7307">
      <c r="H7307" s="50"/>
      <c r="I7307" s="50"/>
      <c r="O7307" s="36" t="s">
        <v>48</v>
      </c>
      <c r="R7307" s="36" t="s">
        <v>48</v>
      </c>
    </row>
    <row r="7308">
      <c r="H7308" s="50"/>
      <c r="I7308" s="50"/>
      <c r="O7308" s="36" t="s">
        <v>48</v>
      </c>
      <c r="R7308" s="36" t="s">
        <v>48</v>
      </c>
    </row>
    <row r="7309">
      <c r="H7309" s="50"/>
      <c r="I7309" s="50"/>
      <c r="O7309" s="36" t="s">
        <v>48</v>
      </c>
      <c r="R7309" s="36" t="s">
        <v>48</v>
      </c>
    </row>
    <row r="7310">
      <c r="H7310" s="50"/>
      <c r="I7310" s="50"/>
      <c r="O7310" s="36" t="s">
        <v>48</v>
      </c>
      <c r="R7310" s="36" t="s">
        <v>48</v>
      </c>
    </row>
    <row r="7311">
      <c r="H7311" s="50"/>
      <c r="I7311" s="50"/>
      <c r="O7311" s="36" t="s">
        <v>48</v>
      </c>
      <c r="R7311" s="36" t="s">
        <v>48</v>
      </c>
    </row>
    <row r="7312">
      <c r="H7312" s="50"/>
      <c r="I7312" s="50"/>
      <c r="O7312" s="36" t="s">
        <v>48</v>
      </c>
      <c r="R7312" s="36" t="s">
        <v>48</v>
      </c>
    </row>
    <row r="7313">
      <c r="H7313" s="50"/>
      <c r="I7313" s="50"/>
      <c r="O7313" s="36" t="s">
        <v>48</v>
      </c>
      <c r="R7313" s="36" t="s">
        <v>48</v>
      </c>
    </row>
    <row r="7314">
      <c r="H7314" s="50"/>
      <c r="I7314" s="50"/>
      <c r="O7314" s="36" t="s">
        <v>48</v>
      </c>
      <c r="R7314" s="36" t="s">
        <v>48</v>
      </c>
    </row>
    <row r="7315">
      <c r="H7315" s="50"/>
      <c r="I7315" s="50"/>
      <c r="O7315" s="36" t="s">
        <v>48</v>
      </c>
      <c r="R7315" s="36" t="s">
        <v>48</v>
      </c>
    </row>
    <row r="7316">
      <c r="H7316" s="50"/>
      <c r="I7316" s="50"/>
      <c r="O7316" s="36" t="s">
        <v>48</v>
      </c>
      <c r="R7316" s="36" t="s">
        <v>48</v>
      </c>
    </row>
    <row r="7317">
      <c r="H7317" s="50"/>
      <c r="I7317" s="50"/>
      <c r="O7317" s="36" t="s">
        <v>48</v>
      </c>
      <c r="R7317" s="36" t="s">
        <v>48</v>
      </c>
    </row>
    <row r="7318">
      <c r="H7318" s="50"/>
      <c r="I7318" s="50"/>
      <c r="O7318" s="36" t="s">
        <v>48</v>
      </c>
      <c r="R7318" s="36" t="s">
        <v>48</v>
      </c>
    </row>
    <row r="7319">
      <c r="H7319" s="50"/>
      <c r="I7319" s="50"/>
      <c r="O7319" s="36" t="s">
        <v>48</v>
      </c>
      <c r="R7319" s="36" t="s">
        <v>48</v>
      </c>
    </row>
    <row r="7320">
      <c r="H7320" s="50"/>
      <c r="I7320" s="50"/>
      <c r="O7320" s="36" t="s">
        <v>48</v>
      </c>
      <c r="R7320" s="36" t="s">
        <v>48</v>
      </c>
    </row>
    <row r="7321">
      <c r="H7321" s="50"/>
      <c r="I7321" s="50"/>
      <c r="O7321" s="36" t="s">
        <v>48</v>
      </c>
      <c r="R7321" s="36" t="s">
        <v>48</v>
      </c>
    </row>
    <row r="7322">
      <c r="H7322" s="50"/>
      <c r="I7322" s="50"/>
      <c r="O7322" s="36" t="s">
        <v>48</v>
      </c>
      <c r="R7322" s="36" t="s">
        <v>48</v>
      </c>
    </row>
    <row r="7323">
      <c r="H7323" s="50"/>
      <c r="I7323" s="50"/>
      <c r="O7323" s="36" t="s">
        <v>48</v>
      </c>
      <c r="R7323" s="36" t="s">
        <v>48</v>
      </c>
    </row>
    <row r="7324">
      <c r="H7324" s="50"/>
      <c r="I7324" s="50"/>
      <c r="O7324" s="36" t="s">
        <v>48</v>
      </c>
      <c r="R7324" s="36" t="s">
        <v>48</v>
      </c>
    </row>
    <row r="7325">
      <c r="H7325" s="50"/>
      <c r="I7325" s="50"/>
      <c r="O7325" s="36" t="s">
        <v>48</v>
      </c>
      <c r="R7325" s="36" t="s">
        <v>48</v>
      </c>
    </row>
    <row r="7326">
      <c r="H7326" s="50"/>
      <c r="I7326" s="50"/>
      <c r="O7326" s="36" t="s">
        <v>48</v>
      </c>
      <c r="R7326" s="36" t="s">
        <v>48</v>
      </c>
    </row>
    <row r="7327">
      <c r="H7327" s="50"/>
      <c r="I7327" s="50"/>
      <c r="O7327" s="36" t="s">
        <v>48</v>
      </c>
      <c r="R7327" s="36" t="s">
        <v>48</v>
      </c>
    </row>
    <row r="7328">
      <c r="H7328" s="50"/>
      <c r="I7328" s="50"/>
      <c r="O7328" s="36" t="s">
        <v>48</v>
      </c>
      <c r="R7328" s="36" t="s">
        <v>48</v>
      </c>
    </row>
    <row r="7329">
      <c r="H7329" s="50"/>
      <c r="I7329" s="50"/>
      <c r="O7329" s="36" t="s">
        <v>48</v>
      </c>
      <c r="R7329" s="36" t="s">
        <v>48</v>
      </c>
    </row>
    <row r="7330">
      <c r="H7330" s="50"/>
      <c r="I7330" s="50"/>
      <c r="O7330" s="36" t="s">
        <v>48</v>
      </c>
      <c r="R7330" s="36" t="s">
        <v>48</v>
      </c>
    </row>
    <row r="7331">
      <c r="H7331" s="50"/>
      <c r="I7331" s="50"/>
      <c r="O7331" s="36" t="s">
        <v>48</v>
      </c>
      <c r="R7331" s="36" t="s">
        <v>48</v>
      </c>
    </row>
    <row r="7332">
      <c r="H7332" s="50"/>
      <c r="I7332" s="50"/>
      <c r="O7332" s="36" t="s">
        <v>48</v>
      </c>
      <c r="R7332" s="36" t="s">
        <v>48</v>
      </c>
    </row>
    <row r="7333">
      <c r="H7333" s="50"/>
      <c r="I7333" s="50"/>
      <c r="O7333" s="36" t="s">
        <v>48</v>
      </c>
      <c r="R7333" s="36" t="s">
        <v>48</v>
      </c>
    </row>
    <row r="7334">
      <c r="H7334" s="50"/>
      <c r="I7334" s="50"/>
      <c r="O7334" s="36" t="s">
        <v>48</v>
      </c>
      <c r="R7334" s="36" t="s">
        <v>48</v>
      </c>
    </row>
    <row r="7335">
      <c r="H7335" s="50"/>
      <c r="I7335" s="50"/>
      <c r="O7335" s="36" t="s">
        <v>48</v>
      </c>
      <c r="R7335" s="36" t="s">
        <v>48</v>
      </c>
    </row>
    <row r="7336">
      <c r="H7336" s="50"/>
      <c r="I7336" s="50"/>
      <c r="O7336" s="36" t="s">
        <v>48</v>
      </c>
      <c r="R7336" s="36" t="s">
        <v>48</v>
      </c>
    </row>
    <row r="7337">
      <c r="H7337" s="50"/>
      <c r="I7337" s="50"/>
      <c r="O7337" s="36" t="s">
        <v>48</v>
      </c>
      <c r="R7337" s="36" t="s">
        <v>48</v>
      </c>
    </row>
    <row r="7338">
      <c r="H7338" s="50"/>
      <c r="I7338" s="50"/>
      <c r="O7338" s="36" t="s">
        <v>48</v>
      </c>
      <c r="R7338" s="36" t="s">
        <v>48</v>
      </c>
    </row>
    <row r="7339">
      <c r="H7339" s="50"/>
      <c r="I7339" s="50"/>
      <c r="O7339" s="36" t="s">
        <v>48</v>
      </c>
      <c r="R7339" s="36" t="s">
        <v>48</v>
      </c>
    </row>
    <row r="7340">
      <c r="H7340" s="50"/>
      <c r="I7340" s="50"/>
      <c r="O7340" s="36" t="s">
        <v>48</v>
      </c>
      <c r="R7340" s="36" t="s">
        <v>48</v>
      </c>
    </row>
    <row r="7341">
      <c r="H7341" s="50"/>
      <c r="I7341" s="50"/>
      <c r="O7341" s="36" t="s">
        <v>48</v>
      </c>
      <c r="R7341" s="36" t="s">
        <v>48</v>
      </c>
    </row>
    <row r="7342">
      <c r="H7342" s="50"/>
      <c r="I7342" s="50"/>
      <c r="O7342" s="36" t="s">
        <v>48</v>
      </c>
      <c r="R7342" s="36" t="s">
        <v>48</v>
      </c>
    </row>
    <row r="7343">
      <c r="H7343" s="50"/>
      <c r="I7343" s="50"/>
      <c r="O7343" s="36" t="s">
        <v>48</v>
      </c>
      <c r="R7343" s="36" t="s">
        <v>48</v>
      </c>
    </row>
    <row r="7344">
      <c r="H7344" s="50"/>
      <c r="I7344" s="50"/>
      <c r="O7344" s="36" t="s">
        <v>48</v>
      </c>
      <c r="R7344" s="36" t="s">
        <v>48</v>
      </c>
    </row>
    <row r="7345">
      <c r="H7345" s="50"/>
      <c r="I7345" s="50"/>
      <c r="O7345" s="36" t="s">
        <v>48</v>
      </c>
      <c r="R7345" s="36" t="s">
        <v>48</v>
      </c>
    </row>
    <row r="7346">
      <c r="H7346" s="50"/>
      <c r="I7346" s="50"/>
      <c r="O7346" s="36" t="s">
        <v>48</v>
      </c>
      <c r="R7346" s="36" t="s">
        <v>48</v>
      </c>
    </row>
    <row r="7347">
      <c r="H7347" s="50"/>
      <c r="I7347" s="50"/>
      <c r="O7347" s="36" t="s">
        <v>48</v>
      </c>
      <c r="R7347" s="36" t="s">
        <v>48</v>
      </c>
    </row>
    <row r="7348">
      <c r="H7348" s="50"/>
      <c r="I7348" s="50"/>
      <c r="O7348" s="36" t="s">
        <v>48</v>
      </c>
      <c r="R7348" s="36" t="s">
        <v>48</v>
      </c>
    </row>
    <row r="7349">
      <c r="H7349" s="50"/>
      <c r="I7349" s="50"/>
      <c r="O7349" s="36" t="s">
        <v>48</v>
      </c>
      <c r="R7349" s="36" t="s">
        <v>48</v>
      </c>
    </row>
    <row r="7350">
      <c r="H7350" s="50"/>
      <c r="I7350" s="50"/>
      <c r="O7350" s="36" t="s">
        <v>48</v>
      </c>
      <c r="R7350" s="36" t="s">
        <v>48</v>
      </c>
    </row>
    <row r="7351">
      <c r="H7351" s="50"/>
      <c r="I7351" s="50"/>
      <c r="O7351" s="36" t="s">
        <v>48</v>
      </c>
      <c r="R7351" s="36" t="s">
        <v>48</v>
      </c>
    </row>
    <row r="7352">
      <c r="H7352" s="50"/>
      <c r="I7352" s="50"/>
      <c r="O7352" s="36" t="s">
        <v>48</v>
      </c>
      <c r="R7352" s="36" t="s">
        <v>48</v>
      </c>
    </row>
    <row r="7353">
      <c r="H7353" s="50"/>
      <c r="I7353" s="50"/>
      <c r="O7353" s="36" t="s">
        <v>48</v>
      </c>
      <c r="R7353" s="36" t="s">
        <v>48</v>
      </c>
    </row>
    <row r="7354">
      <c r="H7354" s="50"/>
      <c r="I7354" s="50"/>
      <c r="O7354" s="36" t="s">
        <v>48</v>
      </c>
      <c r="R7354" s="36" t="s">
        <v>48</v>
      </c>
    </row>
    <row r="7355">
      <c r="H7355" s="50"/>
      <c r="I7355" s="50"/>
      <c r="O7355" s="36" t="s">
        <v>48</v>
      </c>
      <c r="R7355" s="36" t="s">
        <v>48</v>
      </c>
    </row>
    <row r="7356">
      <c r="H7356" s="50"/>
      <c r="I7356" s="50"/>
      <c r="O7356" s="36" t="s">
        <v>48</v>
      </c>
      <c r="R7356" s="36" t="s">
        <v>48</v>
      </c>
    </row>
    <row r="7357">
      <c r="H7357" s="50"/>
      <c r="I7357" s="50"/>
      <c r="O7357" s="36" t="s">
        <v>48</v>
      </c>
      <c r="R7357" s="36" t="s">
        <v>48</v>
      </c>
    </row>
    <row r="7358">
      <c r="H7358" s="50"/>
      <c r="I7358" s="50"/>
      <c r="O7358" s="36" t="s">
        <v>48</v>
      </c>
      <c r="R7358" s="36" t="s">
        <v>48</v>
      </c>
    </row>
    <row r="7359">
      <c r="H7359" s="50"/>
      <c r="I7359" s="50"/>
      <c r="O7359" s="36" t="s">
        <v>48</v>
      </c>
      <c r="R7359" s="36" t="s">
        <v>48</v>
      </c>
    </row>
    <row r="7360">
      <c r="H7360" s="50"/>
      <c r="I7360" s="50"/>
      <c r="O7360" s="36" t="s">
        <v>48</v>
      </c>
      <c r="R7360" s="36" t="s">
        <v>48</v>
      </c>
    </row>
    <row r="7361">
      <c r="H7361" s="50"/>
      <c r="I7361" s="50"/>
      <c r="O7361" s="36" t="s">
        <v>48</v>
      </c>
      <c r="R7361" s="36" t="s">
        <v>48</v>
      </c>
    </row>
    <row r="7362">
      <c r="H7362" s="50"/>
      <c r="I7362" s="50"/>
      <c r="O7362" s="36" t="s">
        <v>48</v>
      </c>
      <c r="R7362" s="36" t="s">
        <v>48</v>
      </c>
    </row>
    <row r="7363">
      <c r="H7363" s="50"/>
      <c r="I7363" s="50"/>
      <c r="O7363" s="36" t="s">
        <v>48</v>
      </c>
      <c r="R7363" s="36" t="s">
        <v>48</v>
      </c>
    </row>
    <row r="7364">
      <c r="H7364" s="50"/>
      <c r="I7364" s="50"/>
      <c r="O7364" s="36" t="s">
        <v>48</v>
      </c>
      <c r="R7364" s="36" t="s">
        <v>48</v>
      </c>
    </row>
    <row r="7365">
      <c r="H7365" s="50"/>
      <c r="I7365" s="50"/>
      <c r="O7365" s="36" t="s">
        <v>48</v>
      </c>
      <c r="R7365" s="36" t="s">
        <v>48</v>
      </c>
    </row>
    <row r="7366">
      <c r="H7366" s="50"/>
      <c r="I7366" s="50"/>
      <c r="O7366" s="36" t="s">
        <v>48</v>
      </c>
      <c r="R7366" s="36" t="s">
        <v>48</v>
      </c>
    </row>
    <row r="7367">
      <c r="H7367" s="50"/>
      <c r="I7367" s="50"/>
      <c r="O7367" s="36" t="s">
        <v>48</v>
      </c>
      <c r="R7367" s="36" t="s">
        <v>48</v>
      </c>
    </row>
    <row r="7368">
      <c r="H7368" s="50"/>
      <c r="I7368" s="50"/>
      <c r="O7368" s="36" t="s">
        <v>48</v>
      </c>
      <c r="R7368" s="36" t="s">
        <v>48</v>
      </c>
    </row>
    <row r="7369">
      <c r="H7369" s="50"/>
      <c r="I7369" s="50"/>
      <c r="O7369" s="36" t="s">
        <v>48</v>
      </c>
      <c r="R7369" s="36" t="s">
        <v>48</v>
      </c>
    </row>
    <row r="7370">
      <c r="H7370" s="50"/>
      <c r="I7370" s="50"/>
      <c r="O7370" s="36" t="s">
        <v>48</v>
      </c>
      <c r="R7370" s="36" t="s">
        <v>48</v>
      </c>
    </row>
    <row r="7371">
      <c r="H7371" s="50"/>
      <c r="I7371" s="50"/>
      <c r="O7371" s="36" t="s">
        <v>48</v>
      </c>
      <c r="R7371" s="36" t="s">
        <v>48</v>
      </c>
    </row>
    <row r="7372">
      <c r="H7372" s="50"/>
      <c r="I7372" s="50"/>
      <c r="O7372" s="36" t="s">
        <v>48</v>
      </c>
      <c r="R7372" s="36" t="s">
        <v>48</v>
      </c>
    </row>
    <row r="7373">
      <c r="H7373" s="50"/>
      <c r="I7373" s="50"/>
      <c r="O7373" s="36" t="s">
        <v>48</v>
      </c>
      <c r="R7373" s="36" t="s">
        <v>48</v>
      </c>
    </row>
    <row r="7374">
      <c r="H7374" s="50"/>
      <c r="I7374" s="50"/>
      <c r="O7374" s="36" t="s">
        <v>48</v>
      </c>
      <c r="R7374" s="36" t="s">
        <v>48</v>
      </c>
    </row>
    <row r="7375">
      <c r="H7375" s="50"/>
      <c r="I7375" s="50"/>
      <c r="O7375" s="36" t="s">
        <v>48</v>
      </c>
      <c r="R7375" s="36" t="s">
        <v>48</v>
      </c>
    </row>
    <row r="7376">
      <c r="H7376" s="50"/>
      <c r="I7376" s="50"/>
      <c r="O7376" s="36" t="s">
        <v>48</v>
      </c>
      <c r="R7376" s="36" t="s">
        <v>48</v>
      </c>
    </row>
    <row r="7377">
      <c r="H7377" s="50"/>
      <c r="I7377" s="50"/>
      <c r="O7377" s="36" t="s">
        <v>48</v>
      </c>
      <c r="R7377" s="36" t="s">
        <v>48</v>
      </c>
    </row>
    <row r="7378">
      <c r="H7378" s="50"/>
      <c r="I7378" s="50"/>
      <c r="O7378" s="36" t="s">
        <v>48</v>
      </c>
      <c r="R7378" s="36" t="s">
        <v>48</v>
      </c>
    </row>
    <row r="7379">
      <c r="H7379" s="50"/>
      <c r="I7379" s="50"/>
      <c r="O7379" s="36" t="s">
        <v>48</v>
      </c>
      <c r="R7379" s="36" t="s">
        <v>48</v>
      </c>
    </row>
    <row r="7380">
      <c r="H7380" s="50"/>
      <c r="I7380" s="50"/>
      <c r="O7380" s="36" t="s">
        <v>48</v>
      </c>
      <c r="R7380" s="36" t="s">
        <v>48</v>
      </c>
    </row>
    <row r="7381">
      <c r="H7381" s="50"/>
      <c r="I7381" s="50"/>
      <c r="O7381" s="36" t="s">
        <v>48</v>
      </c>
      <c r="R7381" s="36" t="s">
        <v>48</v>
      </c>
    </row>
    <row r="7382">
      <c r="H7382" s="50"/>
      <c r="I7382" s="50"/>
      <c r="O7382" s="36" t="s">
        <v>48</v>
      </c>
      <c r="R7382" s="36" t="s">
        <v>48</v>
      </c>
    </row>
    <row r="7383">
      <c r="H7383" s="50"/>
      <c r="I7383" s="50"/>
      <c r="O7383" s="36" t="s">
        <v>48</v>
      </c>
      <c r="R7383" s="36" t="s">
        <v>48</v>
      </c>
    </row>
    <row r="7384">
      <c r="H7384" s="50"/>
      <c r="I7384" s="50"/>
      <c r="O7384" s="36" t="s">
        <v>48</v>
      </c>
      <c r="R7384" s="36" t="s">
        <v>48</v>
      </c>
    </row>
    <row r="7385">
      <c r="H7385" s="50"/>
      <c r="I7385" s="50"/>
      <c r="O7385" s="36" t="s">
        <v>48</v>
      </c>
      <c r="R7385" s="36" t="s">
        <v>48</v>
      </c>
    </row>
    <row r="7386">
      <c r="H7386" s="50"/>
      <c r="I7386" s="50"/>
      <c r="O7386" s="36" t="s">
        <v>48</v>
      </c>
      <c r="R7386" s="36" t="s">
        <v>48</v>
      </c>
    </row>
    <row r="7387">
      <c r="H7387" s="50"/>
      <c r="I7387" s="50"/>
      <c r="O7387" s="36" t="s">
        <v>48</v>
      </c>
      <c r="R7387" s="36" t="s">
        <v>48</v>
      </c>
    </row>
    <row r="7388">
      <c r="H7388" s="50"/>
      <c r="I7388" s="50"/>
      <c r="O7388" s="36" t="s">
        <v>48</v>
      </c>
      <c r="R7388" s="36" t="s">
        <v>48</v>
      </c>
    </row>
    <row r="7389">
      <c r="H7389" s="50"/>
      <c r="I7389" s="50"/>
      <c r="O7389" s="36" t="s">
        <v>48</v>
      </c>
      <c r="R7389" s="36" t="s">
        <v>48</v>
      </c>
    </row>
    <row r="7390">
      <c r="H7390" s="50"/>
      <c r="I7390" s="50"/>
      <c r="O7390" s="36" t="s">
        <v>48</v>
      </c>
      <c r="R7390" s="36" t="s">
        <v>48</v>
      </c>
    </row>
    <row r="7391">
      <c r="H7391" s="50"/>
      <c r="I7391" s="50"/>
      <c r="O7391" s="36" t="s">
        <v>48</v>
      </c>
      <c r="R7391" s="36" t="s">
        <v>48</v>
      </c>
    </row>
    <row r="7392">
      <c r="H7392" s="50"/>
      <c r="I7392" s="50"/>
      <c r="O7392" s="36" t="s">
        <v>48</v>
      </c>
      <c r="R7392" s="36" t="s">
        <v>48</v>
      </c>
    </row>
    <row r="7393">
      <c r="H7393" s="50"/>
      <c r="I7393" s="50"/>
      <c r="O7393" s="36" t="s">
        <v>48</v>
      </c>
      <c r="R7393" s="36" t="s">
        <v>48</v>
      </c>
    </row>
    <row r="7394">
      <c r="H7394" s="50"/>
      <c r="I7394" s="50"/>
      <c r="O7394" s="36" t="s">
        <v>48</v>
      </c>
      <c r="R7394" s="36" t="s">
        <v>48</v>
      </c>
    </row>
    <row r="7395">
      <c r="H7395" s="50"/>
      <c r="I7395" s="50"/>
      <c r="O7395" s="36" t="s">
        <v>48</v>
      </c>
      <c r="R7395" s="36" t="s">
        <v>48</v>
      </c>
    </row>
    <row r="7396">
      <c r="H7396" s="50"/>
      <c r="I7396" s="50"/>
      <c r="O7396" s="36" t="s">
        <v>48</v>
      </c>
      <c r="R7396" s="36" t="s">
        <v>48</v>
      </c>
    </row>
    <row r="7397">
      <c r="H7397" s="50"/>
      <c r="I7397" s="50"/>
      <c r="O7397" s="36" t="s">
        <v>48</v>
      </c>
      <c r="R7397" s="36" t="s">
        <v>48</v>
      </c>
    </row>
    <row r="7398">
      <c r="H7398" s="50"/>
      <c r="I7398" s="50"/>
      <c r="O7398" s="36" t="s">
        <v>48</v>
      </c>
      <c r="R7398" s="36" t="s">
        <v>48</v>
      </c>
    </row>
    <row r="7399">
      <c r="H7399" s="50"/>
      <c r="I7399" s="50"/>
      <c r="O7399" s="36" t="s">
        <v>48</v>
      </c>
      <c r="R7399" s="36" t="s">
        <v>48</v>
      </c>
    </row>
    <row r="7400">
      <c r="H7400" s="50"/>
      <c r="I7400" s="50"/>
      <c r="O7400" s="36" t="s">
        <v>48</v>
      </c>
      <c r="R7400" s="36" t="s">
        <v>48</v>
      </c>
    </row>
    <row r="7401">
      <c r="H7401" s="50"/>
      <c r="I7401" s="50"/>
      <c r="O7401" s="36" t="s">
        <v>48</v>
      </c>
      <c r="R7401" s="36" t="s">
        <v>48</v>
      </c>
    </row>
    <row r="7402">
      <c r="H7402" s="50"/>
      <c r="I7402" s="50"/>
      <c r="O7402" s="36" t="s">
        <v>48</v>
      </c>
      <c r="R7402" s="36" t="s">
        <v>48</v>
      </c>
    </row>
    <row r="7403">
      <c r="H7403" s="50"/>
      <c r="I7403" s="50"/>
      <c r="O7403" s="36" t="s">
        <v>48</v>
      </c>
      <c r="R7403" s="36" t="s">
        <v>48</v>
      </c>
    </row>
    <row r="7404">
      <c r="H7404" s="50"/>
      <c r="I7404" s="50"/>
      <c r="O7404" s="36" t="s">
        <v>48</v>
      </c>
      <c r="R7404" s="36" t="s">
        <v>48</v>
      </c>
    </row>
    <row r="7405">
      <c r="H7405" s="50"/>
      <c r="I7405" s="50"/>
      <c r="O7405" s="36" t="s">
        <v>48</v>
      </c>
      <c r="R7405" s="36" t="s">
        <v>48</v>
      </c>
    </row>
    <row r="7406">
      <c r="H7406" s="50"/>
      <c r="I7406" s="50"/>
      <c r="O7406" s="36" t="s">
        <v>48</v>
      </c>
      <c r="R7406" s="36" t="s">
        <v>48</v>
      </c>
    </row>
    <row r="7407">
      <c r="H7407" s="50"/>
      <c r="I7407" s="50"/>
      <c r="O7407" s="36" t="s">
        <v>48</v>
      </c>
      <c r="R7407" s="36" t="s">
        <v>48</v>
      </c>
    </row>
    <row r="7408">
      <c r="H7408" s="50"/>
      <c r="I7408" s="50"/>
      <c r="O7408" s="36" t="s">
        <v>48</v>
      </c>
      <c r="R7408" s="36" t="s">
        <v>48</v>
      </c>
    </row>
    <row r="7409">
      <c r="H7409" s="50"/>
      <c r="I7409" s="50"/>
      <c r="O7409" s="36" t="s">
        <v>48</v>
      </c>
      <c r="R7409" s="36" t="s">
        <v>48</v>
      </c>
    </row>
    <row r="7410">
      <c r="H7410" s="50"/>
      <c r="I7410" s="50"/>
      <c r="O7410" s="36" t="s">
        <v>48</v>
      </c>
      <c r="R7410" s="36" t="s">
        <v>48</v>
      </c>
    </row>
    <row r="7411">
      <c r="H7411" s="50"/>
      <c r="I7411" s="50"/>
      <c r="O7411" s="36" t="s">
        <v>48</v>
      </c>
      <c r="R7411" s="36" t="s">
        <v>48</v>
      </c>
    </row>
    <row r="7412">
      <c r="H7412" s="50"/>
      <c r="I7412" s="50"/>
      <c r="O7412" s="36" t="s">
        <v>48</v>
      </c>
      <c r="R7412" s="36" t="s">
        <v>48</v>
      </c>
    </row>
    <row r="7413">
      <c r="H7413" s="50"/>
      <c r="I7413" s="50"/>
      <c r="O7413" s="36" t="s">
        <v>48</v>
      </c>
      <c r="R7413" s="36" t="s">
        <v>48</v>
      </c>
    </row>
    <row r="7414">
      <c r="H7414" s="50"/>
      <c r="I7414" s="50"/>
      <c r="O7414" s="36" t="s">
        <v>48</v>
      </c>
      <c r="R7414" s="36" t="s">
        <v>48</v>
      </c>
    </row>
    <row r="7415">
      <c r="H7415" s="50"/>
      <c r="I7415" s="50"/>
      <c r="O7415" s="36" t="s">
        <v>48</v>
      </c>
      <c r="R7415" s="36" t="s">
        <v>48</v>
      </c>
    </row>
    <row r="7416">
      <c r="H7416" s="50"/>
      <c r="I7416" s="50"/>
      <c r="O7416" s="36" t="s">
        <v>48</v>
      </c>
      <c r="R7416" s="36" t="s">
        <v>48</v>
      </c>
    </row>
    <row r="7417">
      <c r="H7417" s="50"/>
      <c r="I7417" s="50"/>
      <c r="O7417" s="36" t="s">
        <v>48</v>
      </c>
      <c r="R7417" s="36" t="s">
        <v>48</v>
      </c>
    </row>
    <row r="7418">
      <c r="H7418" s="50"/>
      <c r="I7418" s="50"/>
      <c r="O7418" s="36" t="s">
        <v>48</v>
      </c>
      <c r="R7418" s="36" t="s">
        <v>48</v>
      </c>
    </row>
    <row r="7419">
      <c r="H7419" s="50"/>
      <c r="I7419" s="50"/>
      <c r="O7419" s="36" t="s">
        <v>48</v>
      </c>
      <c r="R7419" s="36" t="s">
        <v>48</v>
      </c>
    </row>
    <row r="7420">
      <c r="H7420" s="50"/>
      <c r="I7420" s="50"/>
      <c r="O7420" s="36" t="s">
        <v>48</v>
      </c>
      <c r="R7420" s="36" t="s">
        <v>48</v>
      </c>
    </row>
    <row r="7421">
      <c r="H7421" s="50"/>
      <c r="I7421" s="50"/>
      <c r="O7421" s="36" t="s">
        <v>48</v>
      </c>
      <c r="R7421" s="36" t="s">
        <v>48</v>
      </c>
    </row>
    <row r="7422">
      <c r="H7422" s="50"/>
      <c r="I7422" s="50"/>
      <c r="O7422" s="36" t="s">
        <v>48</v>
      </c>
      <c r="R7422" s="36" t="s">
        <v>48</v>
      </c>
    </row>
    <row r="7423">
      <c r="H7423" s="50"/>
      <c r="I7423" s="50"/>
      <c r="O7423" s="36" t="s">
        <v>48</v>
      </c>
      <c r="R7423" s="36" t="s">
        <v>48</v>
      </c>
    </row>
    <row r="7424">
      <c r="H7424" s="50"/>
      <c r="I7424" s="50"/>
      <c r="O7424" s="36" t="s">
        <v>48</v>
      </c>
      <c r="R7424" s="36" t="s">
        <v>48</v>
      </c>
    </row>
    <row r="7425">
      <c r="H7425" s="50"/>
      <c r="I7425" s="50"/>
      <c r="O7425" s="36" t="s">
        <v>48</v>
      </c>
      <c r="R7425" s="36" t="s">
        <v>48</v>
      </c>
    </row>
    <row r="7426">
      <c r="H7426" s="50"/>
      <c r="I7426" s="50"/>
      <c r="O7426" s="36" t="s">
        <v>48</v>
      </c>
      <c r="R7426" s="36" t="s">
        <v>48</v>
      </c>
    </row>
    <row r="7427">
      <c r="H7427" s="50"/>
      <c r="I7427" s="50"/>
      <c r="O7427" s="36" t="s">
        <v>48</v>
      </c>
      <c r="R7427" s="36" t="s">
        <v>48</v>
      </c>
    </row>
    <row r="7428">
      <c r="H7428" s="50"/>
      <c r="I7428" s="50"/>
      <c r="O7428" s="36" t="s">
        <v>48</v>
      </c>
      <c r="R7428" s="36" t="s">
        <v>48</v>
      </c>
    </row>
    <row r="7429">
      <c r="H7429" s="50"/>
      <c r="I7429" s="50"/>
      <c r="O7429" s="36" t="s">
        <v>48</v>
      </c>
      <c r="R7429" s="36" t="s">
        <v>48</v>
      </c>
    </row>
    <row r="7430">
      <c r="H7430" s="50"/>
      <c r="I7430" s="50"/>
      <c r="O7430" s="36" t="s">
        <v>48</v>
      </c>
      <c r="R7430" s="36" t="s">
        <v>48</v>
      </c>
    </row>
    <row r="7431">
      <c r="H7431" s="50"/>
      <c r="I7431" s="50"/>
      <c r="O7431" s="36" t="s">
        <v>48</v>
      </c>
      <c r="R7431" s="36" t="s">
        <v>48</v>
      </c>
    </row>
    <row r="7432">
      <c r="H7432" s="50"/>
      <c r="I7432" s="50"/>
      <c r="O7432" s="36" t="s">
        <v>48</v>
      </c>
      <c r="R7432" s="36" t="s">
        <v>48</v>
      </c>
    </row>
    <row r="7433">
      <c r="H7433" s="50"/>
      <c r="I7433" s="50"/>
      <c r="O7433" s="36" t="s">
        <v>48</v>
      </c>
      <c r="R7433" s="36" t="s">
        <v>48</v>
      </c>
    </row>
    <row r="7434">
      <c r="H7434" s="50"/>
      <c r="I7434" s="50"/>
      <c r="O7434" s="36" t="s">
        <v>48</v>
      </c>
      <c r="R7434" s="36" t="s">
        <v>48</v>
      </c>
    </row>
    <row r="7435">
      <c r="H7435" s="50"/>
      <c r="I7435" s="50"/>
      <c r="O7435" s="36" t="s">
        <v>48</v>
      </c>
      <c r="R7435" s="36" t="s">
        <v>48</v>
      </c>
    </row>
    <row r="7436">
      <c r="H7436" s="50"/>
      <c r="I7436" s="50"/>
      <c r="O7436" s="36" t="s">
        <v>48</v>
      </c>
      <c r="R7436" s="36" t="s">
        <v>48</v>
      </c>
    </row>
    <row r="7437">
      <c r="H7437" s="50"/>
      <c r="I7437" s="50"/>
      <c r="O7437" s="36" t="s">
        <v>48</v>
      </c>
      <c r="R7437" s="36" t="s">
        <v>48</v>
      </c>
    </row>
    <row r="7438">
      <c r="H7438" s="50"/>
      <c r="I7438" s="50"/>
      <c r="O7438" s="36" t="s">
        <v>48</v>
      </c>
      <c r="R7438" s="36" t="s">
        <v>48</v>
      </c>
    </row>
    <row r="7439">
      <c r="H7439" s="50"/>
      <c r="I7439" s="50"/>
      <c r="O7439" s="36" t="s">
        <v>48</v>
      </c>
      <c r="R7439" s="36" t="s">
        <v>48</v>
      </c>
    </row>
    <row r="7440">
      <c r="H7440" s="50"/>
      <c r="I7440" s="50"/>
      <c r="O7440" s="36" t="s">
        <v>48</v>
      </c>
      <c r="R7440" s="36" t="s">
        <v>48</v>
      </c>
    </row>
    <row r="7441">
      <c r="H7441" s="50"/>
      <c r="I7441" s="50"/>
      <c r="O7441" s="36" t="s">
        <v>48</v>
      </c>
      <c r="R7441" s="36" t="s">
        <v>48</v>
      </c>
    </row>
    <row r="7442">
      <c r="H7442" s="50"/>
      <c r="I7442" s="50"/>
      <c r="O7442" s="36" t="s">
        <v>48</v>
      </c>
      <c r="R7442" s="36" t="s">
        <v>48</v>
      </c>
    </row>
    <row r="7443">
      <c r="H7443" s="50"/>
      <c r="I7443" s="50"/>
      <c r="O7443" s="36" t="s">
        <v>48</v>
      </c>
      <c r="R7443" s="36" t="s">
        <v>48</v>
      </c>
    </row>
    <row r="7444">
      <c r="H7444" s="50"/>
      <c r="I7444" s="50"/>
      <c r="O7444" s="36" t="s">
        <v>48</v>
      </c>
      <c r="R7444" s="36" t="s">
        <v>48</v>
      </c>
    </row>
    <row r="7445">
      <c r="H7445" s="50"/>
      <c r="I7445" s="50"/>
      <c r="O7445" s="36" t="s">
        <v>48</v>
      </c>
      <c r="R7445" s="36" t="s">
        <v>48</v>
      </c>
    </row>
    <row r="7446">
      <c r="H7446" s="50"/>
      <c r="I7446" s="50"/>
      <c r="O7446" s="36" t="s">
        <v>48</v>
      </c>
      <c r="R7446" s="36" t="s">
        <v>48</v>
      </c>
    </row>
    <row r="7447">
      <c r="H7447" s="50"/>
      <c r="I7447" s="50"/>
      <c r="O7447" s="36" t="s">
        <v>48</v>
      </c>
      <c r="R7447" s="36" t="s">
        <v>48</v>
      </c>
    </row>
    <row r="7448">
      <c r="H7448" s="50"/>
      <c r="I7448" s="50"/>
      <c r="O7448" s="36" t="s">
        <v>48</v>
      </c>
      <c r="R7448" s="36" t="s">
        <v>48</v>
      </c>
    </row>
    <row r="7449">
      <c r="H7449" s="50"/>
      <c r="I7449" s="50"/>
      <c r="O7449" s="36" t="s">
        <v>48</v>
      </c>
      <c r="R7449" s="36" t="s">
        <v>48</v>
      </c>
    </row>
    <row r="7450">
      <c r="H7450" s="50"/>
      <c r="I7450" s="50"/>
      <c r="O7450" s="36" t="s">
        <v>48</v>
      </c>
      <c r="R7450" s="36" t="s">
        <v>48</v>
      </c>
    </row>
    <row r="7451">
      <c r="H7451" s="50"/>
      <c r="I7451" s="50"/>
      <c r="O7451" s="36" t="s">
        <v>48</v>
      </c>
      <c r="R7451" s="36" t="s">
        <v>48</v>
      </c>
    </row>
    <row r="7452">
      <c r="H7452" s="50"/>
      <c r="I7452" s="50"/>
      <c r="O7452" s="36" t="s">
        <v>48</v>
      </c>
      <c r="R7452" s="36" t="s">
        <v>48</v>
      </c>
    </row>
    <row r="7453">
      <c r="H7453" s="50"/>
      <c r="I7453" s="50"/>
      <c r="O7453" s="36" t="s">
        <v>48</v>
      </c>
      <c r="R7453" s="36" t="s">
        <v>48</v>
      </c>
    </row>
    <row r="7454">
      <c r="H7454" s="50"/>
      <c r="I7454" s="50"/>
      <c r="O7454" s="36" t="s">
        <v>48</v>
      </c>
      <c r="R7454" s="36" t="s">
        <v>48</v>
      </c>
    </row>
    <row r="7455">
      <c r="H7455" s="50"/>
      <c r="I7455" s="50"/>
      <c r="O7455" s="36" t="s">
        <v>48</v>
      </c>
      <c r="R7455" s="36" t="s">
        <v>48</v>
      </c>
    </row>
    <row r="7456">
      <c r="H7456" s="50"/>
      <c r="I7456" s="50"/>
      <c r="O7456" s="36" t="s">
        <v>48</v>
      </c>
      <c r="R7456" s="36" t="s">
        <v>48</v>
      </c>
    </row>
    <row r="7457">
      <c r="H7457" s="50"/>
      <c r="I7457" s="50"/>
      <c r="O7457" s="36" t="s">
        <v>48</v>
      </c>
      <c r="R7457" s="36" t="s">
        <v>48</v>
      </c>
    </row>
    <row r="7458">
      <c r="H7458" s="50"/>
      <c r="I7458" s="50"/>
      <c r="O7458" s="36" t="s">
        <v>48</v>
      </c>
      <c r="R7458" s="36" t="s">
        <v>48</v>
      </c>
    </row>
    <row r="7459">
      <c r="H7459" s="50"/>
      <c r="I7459" s="50"/>
      <c r="O7459" s="36" t="s">
        <v>48</v>
      </c>
      <c r="R7459" s="36" t="s">
        <v>48</v>
      </c>
    </row>
    <row r="7460">
      <c r="H7460" s="50"/>
      <c r="I7460" s="50"/>
      <c r="O7460" s="36" t="s">
        <v>48</v>
      </c>
      <c r="R7460" s="36" t="s">
        <v>48</v>
      </c>
    </row>
    <row r="7461">
      <c r="H7461" s="50"/>
      <c r="I7461" s="50"/>
      <c r="O7461" s="36" t="s">
        <v>48</v>
      </c>
      <c r="R7461" s="36" t="s">
        <v>48</v>
      </c>
    </row>
    <row r="7462">
      <c r="H7462" s="50"/>
      <c r="I7462" s="50"/>
      <c r="O7462" s="36" t="s">
        <v>48</v>
      </c>
      <c r="R7462" s="36" t="s">
        <v>48</v>
      </c>
    </row>
    <row r="7463">
      <c r="H7463" s="50"/>
      <c r="I7463" s="50"/>
      <c r="O7463" s="36" t="s">
        <v>48</v>
      </c>
      <c r="R7463" s="36" t="s">
        <v>48</v>
      </c>
    </row>
    <row r="7464">
      <c r="H7464" s="50"/>
      <c r="I7464" s="50"/>
      <c r="O7464" s="36" t="s">
        <v>48</v>
      </c>
      <c r="R7464" s="36" t="s">
        <v>48</v>
      </c>
    </row>
    <row r="7465">
      <c r="H7465" s="50"/>
      <c r="I7465" s="50"/>
      <c r="O7465" s="36" t="s">
        <v>48</v>
      </c>
      <c r="R7465" s="36" t="s">
        <v>48</v>
      </c>
    </row>
    <row r="7466">
      <c r="H7466" s="50"/>
      <c r="I7466" s="50"/>
      <c r="O7466" s="36" t="s">
        <v>48</v>
      </c>
      <c r="R7466" s="36" t="s">
        <v>48</v>
      </c>
    </row>
    <row r="7467">
      <c r="H7467" s="50"/>
      <c r="I7467" s="50"/>
      <c r="O7467" s="36" t="s">
        <v>48</v>
      </c>
      <c r="R7467" s="36" t="s">
        <v>48</v>
      </c>
    </row>
    <row r="7468">
      <c r="H7468" s="50"/>
      <c r="I7468" s="50"/>
      <c r="O7468" s="36" t="s">
        <v>48</v>
      </c>
      <c r="R7468" s="36" t="s">
        <v>48</v>
      </c>
    </row>
    <row r="7469">
      <c r="H7469" s="50"/>
      <c r="I7469" s="50"/>
      <c r="O7469" s="36" t="s">
        <v>48</v>
      </c>
      <c r="R7469" s="36" t="s">
        <v>48</v>
      </c>
    </row>
    <row r="7470">
      <c r="H7470" s="50"/>
      <c r="I7470" s="50"/>
      <c r="O7470" s="36" t="s">
        <v>48</v>
      </c>
      <c r="R7470" s="36" t="s">
        <v>48</v>
      </c>
    </row>
    <row r="7471">
      <c r="H7471" s="50"/>
      <c r="I7471" s="50"/>
      <c r="O7471" s="36" t="s">
        <v>48</v>
      </c>
      <c r="R7471" s="36" t="s">
        <v>48</v>
      </c>
    </row>
    <row r="7472">
      <c r="H7472" s="50"/>
      <c r="I7472" s="50"/>
      <c r="O7472" s="36" t="s">
        <v>48</v>
      </c>
      <c r="R7472" s="36" t="s">
        <v>48</v>
      </c>
    </row>
    <row r="7473">
      <c r="H7473" s="50"/>
      <c r="I7473" s="50"/>
      <c r="O7473" s="36" t="s">
        <v>48</v>
      </c>
      <c r="R7473" s="36" t="s">
        <v>48</v>
      </c>
    </row>
    <row r="7474">
      <c r="H7474" s="50"/>
      <c r="I7474" s="50"/>
      <c r="O7474" s="36" t="s">
        <v>48</v>
      </c>
      <c r="R7474" s="36" t="s">
        <v>48</v>
      </c>
    </row>
    <row r="7475">
      <c r="H7475" s="50"/>
      <c r="I7475" s="50"/>
      <c r="O7475" s="36" t="s">
        <v>48</v>
      </c>
      <c r="R7475" s="36" t="s">
        <v>48</v>
      </c>
    </row>
    <row r="7476">
      <c r="H7476" s="50"/>
      <c r="I7476" s="50"/>
      <c r="O7476" s="36" t="s">
        <v>48</v>
      </c>
      <c r="R7476" s="36" t="s">
        <v>48</v>
      </c>
    </row>
    <row r="7477">
      <c r="H7477" s="50"/>
      <c r="I7477" s="50"/>
      <c r="O7477" s="36" t="s">
        <v>48</v>
      </c>
      <c r="R7477" s="36" t="s">
        <v>48</v>
      </c>
    </row>
    <row r="7478">
      <c r="H7478" s="50"/>
      <c r="I7478" s="50"/>
      <c r="O7478" s="36" t="s">
        <v>48</v>
      </c>
      <c r="R7478" s="36" t="s">
        <v>48</v>
      </c>
    </row>
    <row r="7479">
      <c r="H7479" s="50"/>
      <c r="I7479" s="50"/>
      <c r="O7479" s="36" t="s">
        <v>48</v>
      </c>
      <c r="R7479" s="36" t="s">
        <v>48</v>
      </c>
    </row>
    <row r="7480">
      <c r="H7480" s="50"/>
      <c r="I7480" s="50"/>
      <c r="O7480" s="36" t="s">
        <v>48</v>
      </c>
      <c r="R7480" s="36" t="s">
        <v>48</v>
      </c>
    </row>
    <row r="7481">
      <c r="H7481" s="50"/>
      <c r="I7481" s="50"/>
      <c r="O7481" s="36" t="s">
        <v>48</v>
      </c>
      <c r="R7481" s="36" t="s">
        <v>48</v>
      </c>
    </row>
    <row r="7482">
      <c r="H7482" s="50"/>
      <c r="I7482" s="50"/>
      <c r="O7482" s="36" t="s">
        <v>48</v>
      </c>
      <c r="R7482" s="36" t="s">
        <v>48</v>
      </c>
    </row>
    <row r="7483">
      <c r="H7483" s="50"/>
      <c r="I7483" s="50"/>
      <c r="O7483" s="36" t="s">
        <v>48</v>
      </c>
      <c r="R7483" s="36" t="s">
        <v>48</v>
      </c>
    </row>
    <row r="7484">
      <c r="H7484" s="50"/>
      <c r="I7484" s="50"/>
      <c r="O7484" s="36" t="s">
        <v>48</v>
      </c>
      <c r="R7484" s="36" t="s">
        <v>48</v>
      </c>
    </row>
    <row r="7485">
      <c r="H7485" s="50"/>
      <c r="I7485" s="50"/>
      <c r="O7485" s="36" t="s">
        <v>48</v>
      </c>
      <c r="R7485" s="36" t="s">
        <v>48</v>
      </c>
    </row>
    <row r="7486">
      <c r="H7486" s="50"/>
      <c r="I7486" s="50"/>
      <c r="O7486" s="36" t="s">
        <v>48</v>
      </c>
      <c r="R7486" s="36" t="s">
        <v>48</v>
      </c>
    </row>
    <row r="7487">
      <c r="H7487" s="50"/>
      <c r="I7487" s="50"/>
      <c r="O7487" s="36" t="s">
        <v>48</v>
      </c>
      <c r="R7487" s="36" t="s">
        <v>48</v>
      </c>
    </row>
    <row r="7488">
      <c r="H7488" s="50"/>
      <c r="I7488" s="50"/>
      <c r="O7488" s="36" t="s">
        <v>48</v>
      </c>
      <c r="R7488" s="36" t="s">
        <v>48</v>
      </c>
    </row>
    <row r="7489">
      <c r="H7489" s="50"/>
      <c r="I7489" s="50"/>
      <c r="O7489" s="36" t="s">
        <v>48</v>
      </c>
      <c r="R7489" s="36" t="s">
        <v>48</v>
      </c>
    </row>
    <row r="7490">
      <c r="H7490" s="50"/>
      <c r="I7490" s="50"/>
      <c r="O7490" s="36" t="s">
        <v>48</v>
      </c>
      <c r="R7490" s="36" t="s">
        <v>48</v>
      </c>
    </row>
    <row r="7491">
      <c r="H7491" s="50"/>
      <c r="I7491" s="50"/>
      <c r="O7491" s="36" t="s">
        <v>48</v>
      </c>
      <c r="R7491" s="36" t="s">
        <v>48</v>
      </c>
    </row>
    <row r="7492">
      <c r="H7492" s="50"/>
      <c r="I7492" s="50"/>
      <c r="O7492" s="36" t="s">
        <v>48</v>
      </c>
      <c r="R7492" s="36" t="s">
        <v>48</v>
      </c>
    </row>
    <row r="7493">
      <c r="H7493" s="50"/>
      <c r="I7493" s="50"/>
      <c r="O7493" s="36" t="s">
        <v>48</v>
      </c>
      <c r="R7493" s="36" t="s">
        <v>48</v>
      </c>
    </row>
    <row r="7494">
      <c r="H7494" s="50"/>
      <c r="I7494" s="50"/>
      <c r="O7494" s="36" t="s">
        <v>48</v>
      </c>
      <c r="R7494" s="36" t="s">
        <v>48</v>
      </c>
    </row>
    <row r="7495">
      <c r="H7495" s="50"/>
      <c r="I7495" s="50"/>
      <c r="O7495" s="36" t="s">
        <v>48</v>
      </c>
      <c r="R7495" s="36" t="s">
        <v>48</v>
      </c>
    </row>
    <row r="7496">
      <c r="H7496" s="50"/>
      <c r="I7496" s="50"/>
      <c r="O7496" s="36" t="s">
        <v>48</v>
      </c>
      <c r="R7496" s="36" t="s">
        <v>48</v>
      </c>
    </row>
    <row r="7497">
      <c r="H7497" s="50"/>
      <c r="I7497" s="50"/>
      <c r="O7497" s="36" t="s">
        <v>48</v>
      </c>
      <c r="R7497" s="36" t="s">
        <v>48</v>
      </c>
    </row>
    <row r="7498">
      <c r="H7498" s="50"/>
      <c r="I7498" s="50"/>
      <c r="O7498" s="36" t="s">
        <v>48</v>
      </c>
      <c r="R7498" s="36" t="s">
        <v>48</v>
      </c>
    </row>
    <row r="7499">
      <c r="H7499" s="50"/>
      <c r="I7499" s="50"/>
      <c r="O7499" s="36" t="s">
        <v>48</v>
      </c>
      <c r="R7499" s="36" t="s">
        <v>48</v>
      </c>
    </row>
    <row r="7500">
      <c r="H7500" s="50"/>
      <c r="I7500" s="50"/>
      <c r="O7500" s="36" t="s">
        <v>48</v>
      </c>
      <c r="R7500" s="36" t="s">
        <v>48</v>
      </c>
    </row>
    <row r="7501">
      <c r="H7501" s="50"/>
      <c r="I7501" s="50"/>
      <c r="O7501" s="36" t="s">
        <v>48</v>
      </c>
      <c r="R7501" s="36" t="s">
        <v>48</v>
      </c>
    </row>
    <row r="7502">
      <c r="H7502" s="50"/>
      <c r="I7502" s="50"/>
      <c r="O7502" s="36" t="s">
        <v>48</v>
      </c>
      <c r="R7502" s="36" t="s">
        <v>48</v>
      </c>
    </row>
    <row r="7503">
      <c r="H7503" s="50"/>
      <c r="I7503" s="50"/>
      <c r="O7503" s="36" t="s">
        <v>48</v>
      </c>
      <c r="R7503" s="36" t="s">
        <v>48</v>
      </c>
    </row>
    <row r="7504">
      <c r="H7504" s="50"/>
      <c r="I7504" s="50"/>
      <c r="O7504" s="36" t="s">
        <v>48</v>
      </c>
      <c r="R7504" s="36" t="s">
        <v>48</v>
      </c>
    </row>
    <row r="7505">
      <c r="H7505" s="50"/>
      <c r="I7505" s="50"/>
      <c r="O7505" s="36" t="s">
        <v>48</v>
      </c>
      <c r="R7505" s="36" t="s">
        <v>48</v>
      </c>
    </row>
    <row r="7506">
      <c r="H7506" s="50"/>
      <c r="I7506" s="50"/>
      <c r="O7506" s="36" t="s">
        <v>48</v>
      </c>
      <c r="R7506" s="36" t="s">
        <v>48</v>
      </c>
    </row>
    <row r="7507">
      <c r="H7507" s="50"/>
      <c r="I7507" s="50"/>
      <c r="O7507" s="36" t="s">
        <v>48</v>
      </c>
      <c r="R7507" s="36" t="s">
        <v>48</v>
      </c>
    </row>
    <row r="7508">
      <c r="H7508" s="50"/>
      <c r="I7508" s="50"/>
      <c r="O7508" s="36" t="s">
        <v>48</v>
      </c>
      <c r="R7508" s="36" t="s">
        <v>48</v>
      </c>
    </row>
    <row r="7509">
      <c r="H7509" s="50"/>
      <c r="I7509" s="50"/>
      <c r="O7509" s="36" t="s">
        <v>48</v>
      </c>
      <c r="R7509" s="36" t="s">
        <v>48</v>
      </c>
    </row>
    <row r="7510">
      <c r="H7510" s="50"/>
      <c r="I7510" s="50"/>
      <c r="O7510" s="36" t="s">
        <v>48</v>
      </c>
      <c r="R7510" s="36" t="s">
        <v>48</v>
      </c>
    </row>
    <row r="7511">
      <c r="H7511" s="50"/>
      <c r="I7511" s="50"/>
      <c r="O7511" s="36" t="s">
        <v>48</v>
      </c>
      <c r="R7511" s="36" t="s">
        <v>48</v>
      </c>
    </row>
    <row r="7512">
      <c r="H7512" s="50"/>
      <c r="I7512" s="50"/>
      <c r="O7512" s="36" t="s">
        <v>48</v>
      </c>
      <c r="R7512" s="36" t="s">
        <v>48</v>
      </c>
    </row>
    <row r="7513">
      <c r="H7513" s="50"/>
      <c r="I7513" s="50"/>
      <c r="O7513" s="36" t="s">
        <v>48</v>
      </c>
      <c r="R7513" s="36" t="s">
        <v>48</v>
      </c>
    </row>
    <row r="7514">
      <c r="H7514" s="50"/>
      <c r="I7514" s="50"/>
      <c r="O7514" s="36" t="s">
        <v>48</v>
      </c>
      <c r="R7514" s="36" t="s">
        <v>48</v>
      </c>
    </row>
    <row r="7515">
      <c r="H7515" s="50"/>
      <c r="I7515" s="50"/>
      <c r="O7515" s="36" t="s">
        <v>48</v>
      </c>
      <c r="R7515" s="36" t="s">
        <v>48</v>
      </c>
    </row>
    <row r="7516">
      <c r="H7516" s="50"/>
      <c r="I7516" s="50"/>
      <c r="O7516" s="36" t="s">
        <v>48</v>
      </c>
      <c r="R7516" s="36" t="s">
        <v>48</v>
      </c>
    </row>
    <row r="7517">
      <c r="H7517" s="50"/>
      <c r="I7517" s="50"/>
      <c r="O7517" s="36" t="s">
        <v>48</v>
      </c>
      <c r="R7517" s="36" t="s">
        <v>48</v>
      </c>
    </row>
    <row r="7518">
      <c r="H7518" s="50"/>
      <c r="I7518" s="50"/>
      <c r="O7518" s="36" t="s">
        <v>48</v>
      </c>
      <c r="R7518" s="36" t="s">
        <v>48</v>
      </c>
    </row>
    <row r="7519">
      <c r="H7519" s="50"/>
      <c r="I7519" s="50"/>
      <c r="O7519" s="36" t="s">
        <v>48</v>
      </c>
      <c r="R7519" s="36" t="s">
        <v>48</v>
      </c>
    </row>
    <row r="7520">
      <c r="H7520" s="50"/>
      <c r="I7520" s="50"/>
      <c r="O7520" s="36" t="s">
        <v>48</v>
      </c>
      <c r="R7520" s="36" t="s">
        <v>48</v>
      </c>
    </row>
    <row r="7521">
      <c r="H7521" s="50"/>
      <c r="I7521" s="50"/>
      <c r="O7521" s="36" t="s">
        <v>48</v>
      </c>
      <c r="R7521" s="36" t="s">
        <v>48</v>
      </c>
    </row>
    <row r="7522">
      <c r="H7522" s="50"/>
      <c r="I7522" s="50"/>
      <c r="O7522" s="36" t="s">
        <v>48</v>
      </c>
      <c r="R7522" s="36" t="s">
        <v>48</v>
      </c>
    </row>
    <row r="7523">
      <c r="H7523" s="50"/>
      <c r="I7523" s="50"/>
      <c r="O7523" s="36" t="s">
        <v>48</v>
      </c>
      <c r="R7523" s="36" t="s">
        <v>48</v>
      </c>
    </row>
    <row r="7524">
      <c r="H7524" s="50"/>
      <c r="I7524" s="50"/>
      <c r="O7524" s="36" t="s">
        <v>48</v>
      </c>
      <c r="R7524" s="36" t="s">
        <v>48</v>
      </c>
    </row>
    <row r="7525">
      <c r="H7525" s="50"/>
      <c r="I7525" s="50"/>
      <c r="O7525" s="36" t="s">
        <v>48</v>
      </c>
      <c r="R7525" s="36" t="s">
        <v>48</v>
      </c>
    </row>
    <row r="7526">
      <c r="H7526" s="50"/>
      <c r="I7526" s="50"/>
      <c r="O7526" s="36" t="s">
        <v>48</v>
      </c>
      <c r="R7526" s="36" t="s">
        <v>48</v>
      </c>
    </row>
    <row r="7527">
      <c r="H7527" s="50"/>
      <c r="I7527" s="50"/>
      <c r="O7527" s="36" t="s">
        <v>48</v>
      </c>
      <c r="R7527" s="36" t="s">
        <v>48</v>
      </c>
    </row>
    <row r="7528">
      <c r="H7528" s="50"/>
      <c r="I7528" s="50"/>
      <c r="O7528" s="36" t="s">
        <v>48</v>
      </c>
      <c r="R7528" s="36" t="s">
        <v>48</v>
      </c>
    </row>
    <row r="7529">
      <c r="H7529" s="50"/>
      <c r="I7529" s="50"/>
      <c r="O7529" s="36" t="s">
        <v>48</v>
      </c>
      <c r="R7529" s="36" t="s">
        <v>48</v>
      </c>
    </row>
    <row r="7530">
      <c r="H7530" s="50"/>
      <c r="I7530" s="50"/>
      <c r="O7530" s="36" t="s">
        <v>48</v>
      </c>
      <c r="R7530" s="36" t="s">
        <v>48</v>
      </c>
    </row>
    <row r="7531">
      <c r="H7531" s="50"/>
      <c r="I7531" s="50"/>
      <c r="O7531" s="36" t="s">
        <v>48</v>
      </c>
      <c r="R7531" s="36" t="s">
        <v>48</v>
      </c>
    </row>
    <row r="7532">
      <c r="H7532" s="50"/>
      <c r="I7532" s="50"/>
      <c r="O7532" s="36" t="s">
        <v>48</v>
      </c>
      <c r="R7532" s="36" t="s">
        <v>48</v>
      </c>
    </row>
    <row r="7533">
      <c r="H7533" s="50"/>
      <c r="I7533" s="50"/>
      <c r="O7533" s="36" t="s">
        <v>48</v>
      </c>
      <c r="R7533" s="36" t="s">
        <v>48</v>
      </c>
    </row>
    <row r="7534">
      <c r="H7534" s="50"/>
      <c r="I7534" s="50"/>
      <c r="O7534" s="36" t="s">
        <v>48</v>
      </c>
      <c r="R7534" s="36" t="s">
        <v>48</v>
      </c>
    </row>
    <row r="7535">
      <c r="H7535" s="50"/>
      <c r="I7535" s="50"/>
      <c r="O7535" s="36" t="s">
        <v>48</v>
      </c>
      <c r="R7535" s="36" t="s">
        <v>48</v>
      </c>
    </row>
    <row r="7536">
      <c r="H7536" s="50"/>
      <c r="I7536" s="50"/>
      <c r="O7536" s="36" t="s">
        <v>48</v>
      </c>
      <c r="R7536" s="36" t="s">
        <v>48</v>
      </c>
    </row>
    <row r="7537">
      <c r="H7537" s="50"/>
      <c r="I7537" s="50"/>
      <c r="O7537" s="36" t="s">
        <v>48</v>
      </c>
      <c r="R7537" s="36" t="s">
        <v>48</v>
      </c>
    </row>
    <row r="7538">
      <c r="H7538" s="50"/>
      <c r="I7538" s="50"/>
      <c r="O7538" s="36" t="s">
        <v>48</v>
      </c>
      <c r="R7538" s="36" t="s">
        <v>48</v>
      </c>
    </row>
    <row r="7539">
      <c r="H7539" s="50"/>
      <c r="I7539" s="50"/>
      <c r="O7539" s="36" t="s">
        <v>48</v>
      </c>
      <c r="R7539" s="36" t="s">
        <v>48</v>
      </c>
    </row>
    <row r="7540">
      <c r="H7540" s="50"/>
      <c r="I7540" s="50"/>
      <c r="O7540" s="36" t="s">
        <v>48</v>
      </c>
      <c r="R7540" s="36" t="s">
        <v>48</v>
      </c>
    </row>
    <row r="7541">
      <c r="H7541" s="50"/>
      <c r="I7541" s="50"/>
      <c r="O7541" s="36" t="s">
        <v>48</v>
      </c>
      <c r="R7541" s="36" t="s">
        <v>48</v>
      </c>
    </row>
    <row r="7542">
      <c r="H7542" s="50"/>
      <c r="I7542" s="50"/>
      <c r="O7542" s="36" t="s">
        <v>48</v>
      </c>
      <c r="R7542" s="36" t="s">
        <v>48</v>
      </c>
    </row>
    <row r="7543">
      <c r="H7543" s="50"/>
      <c r="I7543" s="50"/>
      <c r="O7543" s="36" t="s">
        <v>48</v>
      </c>
      <c r="R7543" s="36" t="s">
        <v>48</v>
      </c>
    </row>
    <row r="7544">
      <c r="H7544" s="50"/>
      <c r="I7544" s="50"/>
      <c r="O7544" s="36" t="s">
        <v>48</v>
      </c>
      <c r="R7544" s="36" t="s">
        <v>48</v>
      </c>
    </row>
    <row r="7545">
      <c r="H7545" s="50"/>
      <c r="I7545" s="50"/>
      <c r="O7545" s="36" t="s">
        <v>48</v>
      </c>
      <c r="R7545" s="36" t="s">
        <v>48</v>
      </c>
    </row>
    <row r="7546">
      <c r="H7546" s="50"/>
      <c r="I7546" s="50"/>
      <c r="O7546" s="36" t="s">
        <v>48</v>
      </c>
      <c r="R7546" s="36" t="s">
        <v>48</v>
      </c>
    </row>
    <row r="7547">
      <c r="H7547" s="50"/>
      <c r="I7547" s="50"/>
      <c r="O7547" s="36" t="s">
        <v>48</v>
      </c>
      <c r="R7547" s="36" t="s">
        <v>48</v>
      </c>
    </row>
    <row r="7548">
      <c r="H7548" s="50"/>
      <c r="I7548" s="50"/>
      <c r="O7548" s="36" t="s">
        <v>48</v>
      </c>
      <c r="R7548" s="36" t="s">
        <v>48</v>
      </c>
    </row>
    <row r="7549">
      <c r="H7549" s="50"/>
      <c r="I7549" s="50"/>
      <c r="O7549" s="36" t="s">
        <v>48</v>
      </c>
      <c r="R7549" s="36" t="s">
        <v>48</v>
      </c>
    </row>
    <row r="7550">
      <c r="H7550" s="50"/>
      <c r="I7550" s="50"/>
      <c r="O7550" s="36" t="s">
        <v>48</v>
      </c>
      <c r="R7550" s="36" t="s">
        <v>48</v>
      </c>
    </row>
    <row r="7551">
      <c r="H7551" s="50"/>
      <c r="I7551" s="50"/>
      <c r="O7551" s="36" t="s">
        <v>48</v>
      </c>
      <c r="R7551" s="36" t="s">
        <v>48</v>
      </c>
    </row>
    <row r="7552">
      <c r="H7552" s="50"/>
      <c r="I7552" s="50"/>
      <c r="O7552" s="36" t="s">
        <v>48</v>
      </c>
      <c r="R7552" s="36" t="s">
        <v>48</v>
      </c>
    </row>
    <row r="7553">
      <c r="H7553" s="50"/>
      <c r="I7553" s="50"/>
      <c r="O7553" s="36" t="s">
        <v>48</v>
      </c>
      <c r="R7553" s="36" t="s">
        <v>48</v>
      </c>
    </row>
    <row r="7554">
      <c r="H7554" s="50"/>
      <c r="I7554" s="50"/>
      <c r="O7554" s="36" t="s">
        <v>48</v>
      </c>
      <c r="R7554" s="36" t="s">
        <v>48</v>
      </c>
    </row>
    <row r="7555">
      <c r="H7555" s="50"/>
      <c r="I7555" s="50"/>
      <c r="O7555" s="36" t="s">
        <v>48</v>
      </c>
      <c r="R7555" s="36" t="s">
        <v>48</v>
      </c>
    </row>
    <row r="7556">
      <c r="H7556" s="50"/>
      <c r="I7556" s="50"/>
      <c r="O7556" s="36" t="s">
        <v>48</v>
      </c>
      <c r="R7556" s="36" t="s">
        <v>48</v>
      </c>
    </row>
    <row r="7557">
      <c r="H7557" s="50"/>
      <c r="I7557" s="50"/>
      <c r="O7557" s="36" t="s">
        <v>48</v>
      </c>
      <c r="R7557" s="36" t="s">
        <v>48</v>
      </c>
    </row>
    <row r="7558">
      <c r="H7558" s="50"/>
      <c r="I7558" s="50"/>
      <c r="O7558" s="36" t="s">
        <v>48</v>
      </c>
      <c r="R7558" s="36" t="s">
        <v>48</v>
      </c>
    </row>
    <row r="7559">
      <c r="H7559" s="50"/>
      <c r="I7559" s="50"/>
      <c r="O7559" s="36" t="s">
        <v>48</v>
      </c>
      <c r="R7559" s="36" t="s">
        <v>48</v>
      </c>
    </row>
    <row r="7560">
      <c r="H7560" s="50"/>
      <c r="I7560" s="50"/>
      <c r="O7560" s="36" t="s">
        <v>48</v>
      </c>
      <c r="R7560" s="36" t="s">
        <v>48</v>
      </c>
    </row>
    <row r="7561">
      <c r="H7561" s="50"/>
      <c r="I7561" s="50"/>
      <c r="O7561" s="36" t="s">
        <v>48</v>
      </c>
      <c r="R7561" s="36" t="s">
        <v>48</v>
      </c>
    </row>
    <row r="7562">
      <c r="H7562" s="50"/>
      <c r="I7562" s="50"/>
      <c r="O7562" s="36" t="s">
        <v>48</v>
      </c>
      <c r="R7562" s="36" t="s">
        <v>48</v>
      </c>
    </row>
    <row r="7563">
      <c r="H7563" s="50"/>
      <c r="I7563" s="50"/>
      <c r="O7563" s="36" t="s">
        <v>48</v>
      </c>
      <c r="R7563" s="36" t="s">
        <v>48</v>
      </c>
    </row>
    <row r="7564">
      <c r="H7564" s="50"/>
      <c r="I7564" s="50"/>
      <c r="O7564" s="36" t="s">
        <v>48</v>
      </c>
      <c r="R7564" s="36" t="s">
        <v>48</v>
      </c>
    </row>
    <row r="7565">
      <c r="H7565" s="50"/>
      <c r="I7565" s="50"/>
      <c r="O7565" s="36" t="s">
        <v>48</v>
      </c>
      <c r="R7565" s="36" t="s">
        <v>48</v>
      </c>
    </row>
    <row r="7566">
      <c r="H7566" s="50"/>
      <c r="I7566" s="50"/>
      <c r="O7566" s="36" t="s">
        <v>48</v>
      </c>
      <c r="R7566" s="36" t="s">
        <v>48</v>
      </c>
    </row>
    <row r="7567">
      <c r="H7567" s="50"/>
      <c r="I7567" s="50"/>
      <c r="O7567" s="36" t="s">
        <v>48</v>
      </c>
      <c r="R7567" s="36" t="s">
        <v>48</v>
      </c>
    </row>
    <row r="7568">
      <c r="H7568" s="50"/>
      <c r="I7568" s="50"/>
      <c r="O7568" s="36" t="s">
        <v>48</v>
      </c>
      <c r="R7568" s="36" t="s">
        <v>48</v>
      </c>
    </row>
    <row r="7569">
      <c r="H7569" s="50"/>
      <c r="I7569" s="50"/>
      <c r="O7569" s="36" t="s">
        <v>48</v>
      </c>
      <c r="R7569" s="36" t="s">
        <v>48</v>
      </c>
    </row>
    <row r="7570">
      <c r="H7570" s="50"/>
      <c r="I7570" s="50"/>
      <c r="O7570" s="36" t="s">
        <v>48</v>
      </c>
      <c r="R7570" s="36" t="s">
        <v>48</v>
      </c>
    </row>
    <row r="7571">
      <c r="H7571" s="50"/>
      <c r="I7571" s="50"/>
      <c r="O7571" s="36" t="s">
        <v>48</v>
      </c>
      <c r="R7571" s="36" t="s">
        <v>48</v>
      </c>
    </row>
    <row r="7572">
      <c r="H7572" s="50"/>
      <c r="I7572" s="50"/>
      <c r="O7572" s="36" t="s">
        <v>48</v>
      </c>
      <c r="R7572" s="36" t="s">
        <v>48</v>
      </c>
    </row>
    <row r="7573">
      <c r="H7573" s="50"/>
      <c r="I7573" s="50"/>
      <c r="O7573" s="36" t="s">
        <v>48</v>
      </c>
      <c r="R7573" s="36" t="s">
        <v>48</v>
      </c>
    </row>
    <row r="7574">
      <c r="H7574" s="50"/>
      <c r="I7574" s="50"/>
      <c r="O7574" s="36" t="s">
        <v>48</v>
      </c>
      <c r="R7574" s="36" t="s">
        <v>48</v>
      </c>
    </row>
    <row r="7575">
      <c r="H7575" s="50"/>
      <c r="I7575" s="50"/>
      <c r="O7575" s="36" t="s">
        <v>48</v>
      </c>
      <c r="R7575" s="36" t="s">
        <v>48</v>
      </c>
    </row>
    <row r="7576">
      <c r="H7576" s="50"/>
      <c r="I7576" s="50"/>
      <c r="O7576" s="36" t="s">
        <v>48</v>
      </c>
      <c r="R7576" s="36" t="s">
        <v>48</v>
      </c>
    </row>
    <row r="7577">
      <c r="H7577" s="50"/>
      <c r="I7577" s="50"/>
      <c r="O7577" s="36" t="s">
        <v>48</v>
      </c>
      <c r="R7577" s="36" t="s">
        <v>48</v>
      </c>
    </row>
    <row r="7578">
      <c r="H7578" s="50"/>
      <c r="I7578" s="50"/>
      <c r="O7578" s="36" t="s">
        <v>48</v>
      </c>
      <c r="R7578" s="36" t="s">
        <v>48</v>
      </c>
    </row>
    <row r="7579">
      <c r="H7579" s="50"/>
      <c r="I7579" s="50"/>
      <c r="O7579" s="36" t="s">
        <v>48</v>
      </c>
      <c r="R7579" s="36" t="s">
        <v>48</v>
      </c>
    </row>
    <row r="7580">
      <c r="H7580" s="50"/>
      <c r="I7580" s="50"/>
      <c r="O7580" s="36" t="s">
        <v>48</v>
      </c>
      <c r="R7580" s="36" t="s">
        <v>48</v>
      </c>
    </row>
    <row r="7581">
      <c r="H7581" s="50"/>
      <c r="I7581" s="50"/>
      <c r="O7581" s="36" t="s">
        <v>48</v>
      </c>
      <c r="R7581" s="36" t="s">
        <v>48</v>
      </c>
    </row>
    <row r="7582">
      <c r="H7582" s="50"/>
      <c r="I7582" s="50"/>
      <c r="O7582" s="36" t="s">
        <v>48</v>
      </c>
      <c r="R7582" s="36" t="s">
        <v>48</v>
      </c>
    </row>
    <row r="7583">
      <c r="H7583" s="50"/>
      <c r="I7583" s="50"/>
      <c r="O7583" s="36" t="s">
        <v>48</v>
      </c>
      <c r="R7583" s="36" t="s">
        <v>48</v>
      </c>
    </row>
    <row r="7584">
      <c r="H7584" s="50"/>
      <c r="I7584" s="50"/>
      <c r="O7584" s="36" t="s">
        <v>48</v>
      </c>
      <c r="R7584" s="36" t="s">
        <v>48</v>
      </c>
    </row>
    <row r="7585">
      <c r="H7585" s="50"/>
      <c r="I7585" s="50"/>
      <c r="O7585" s="36" t="s">
        <v>48</v>
      </c>
      <c r="R7585" s="36" t="s">
        <v>48</v>
      </c>
    </row>
    <row r="7586">
      <c r="H7586" s="50"/>
      <c r="I7586" s="50"/>
      <c r="O7586" s="36" t="s">
        <v>48</v>
      </c>
      <c r="R7586" s="36" t="s">
        <v>48</v>
      </c>
    </row>
    <row r="7587">
      <c r="H7587" s="50"/>
      <c r="I7587" s="50"/>
      <c r="O7587" s="36" t="s">
        <v>48</v>
      </c>
      <c r="R7587" s="36" t="s">
        <v>48</v>
      </c>
    </row>
    <row r="7588">
      <c r="H7588" s="50"/>
      <c r="I7588" s="50"/>
      <c r="O7588" s="36" t="s">
        <v>48</v>
      </c>
      <c r="R7588" s="36" t="s">
        <v>48</v>
      </c>
    </row>
    <row r="7589">
      <c r="H7589" s="50"/>
      <c r="I7589" s="50"/>
      <c r="O7589" s="36" t="s">
        <v>48</v>
      </c>
      <c r="R7589" s="36" t="s">
        <v>48</v>
      </c>
    </row>
    <row r="7590">
      <c r="H7590" s="50"/>
      <c r="I7590" s="50"/>
      <c r="O7590" s="36" t="s">
        <v>48</v>
      </c>
      <c r="R7590" s="36" t="s">
        <v>48</v>
      </c>
    </row>
    <row r="7591">
      <c r="H7591" s="50"/>
      <c r="I7591" s="50"/>
      <c r="O7591" s="36" t="s">
        <v>48</v>
      </c>
      <c r="R7591" s="36" t="s">
        <v>48</v>
      </c>
    </row>
    <row r="7592">
      <c r="H7592" s="50"/>
      <c r="I7592" s="50"/>
      <c r="O7592" s="36" t="s">
        <v>48</v>
      </c>
      <c r="R7592" s="36" t="s">
        <v>48</v>
      </c>
    </row>
    <row r="7593">
      <c r="H7593" s="50"/>
      <c r="I7593" s="50"/>
      <c r="O7593" s="36" t="s">
        <v>48</v>
      </c>
      <c r="R7593" s="36" t="s">
        <v>48</v>
      </c>
    </row>
    <row r="7594">
      <c r="H7594" s="50"/>
      <c r="I7594" s="50"/>
      <c r="O7594" s="36" t="s">
        <v>48</v>
      </c>
      <c r="R7594" s="36" t="s">
        <v>48</v>
      </c>
    </row>
    <row r="7595">
      <c r="H7595" s="50"/>
      <c r="I7595" s="50"/>
      <c r="O7595" s="36" t="s">
        <v>48</v>
      </c>
      <c r="R7595" s="36" t="s">
        <v>48</v>
      </c>
    </row>
    <row r="7596">
      <c r="H7596" s="50"/>
      <c r="I7596" s="50"/>
      <c r="O7596" s="36" t="s">
        <v>48</v>
      </c>
      <c r="R7596" s="36" t="s">
        <v>48</v>
      </c>
    </row>
    <row r="7597">
      <c r="H7597" s="50"/>
      <c r="I7597" s="50"/>
      <c r="O7597" s="36" t="s">
        <v>48</v>
      </c>
      <c r="R7597" s="36" t="s">
        <v>48</v>
      </c>
    </row>
    <row r="7598">
      <c r="H7598" s="50"/>
      <c r="I7598" s="50"/>
      <c r="O7598" s="36" t="s">
        <v>48</v>
      </c>
      <c r="R7598" s="36" t="s">
        <v>48</v>
      </c>
    </row>
    <row r="7599">
      <c r="H7599" s="50"/>
      <c r="I7599" s="50"/>
      <c r="O7599" s="36" t="s">
        <v>48</v>
      </c>
      <c r="R7599" s="36" t="s">
        <v>48</v>
      </c>
    </row>
    <row r="7600">
      <c r="H7600" s="50"/>
      <c r="I7600" s="50"/>
      <c r="O7600" s="36" t="s">
        <v>48</v>
      </c>
      <c r="R7600" s="36" t="s">
        <v>48</v>
      </c>
    </row>
    <row r="7601">
      <c r="H7601" s="50"/>
      <c r="I7601" s="50"/>
      <c r="O7601" s="36" t="s">
        <v>48</v>
      </c>
      <c r="R7601" s="36" t="s">
        <v>48</v>
      </c>
    </row>
    <row r="7602">
      <c r="H7602" s="50"/>
      <c r="I7602" s="50"/>
      <c r="O7602" s="36" t="s">
        <v>48</v>
      </c>
      <c r="R7602" s="36" t="s">
        <v>48</v>
      </c>
    </row>
    <row r="7603">
      <c r="H7603" s="50"/>
      <c r="I7603" s="50"/>
      <c r="O7603" s="36" t="s">
        <v>48</v>
      </c>
      <c r="R7603" s="36" t="s">
        <v>48</v>
      </c>
    </row>
    <row r="7604">
      <c r="H7604" s="50"/>
      <c r="I7604" s="50"/>
      <c r="O7604" s="36" t="s">
        <v>48</v>
      </c>
      <c r="R7604" s="36" t="s">
        <v>48</v>
      </c>
    </row>
    <row r="7605">
      <c r="H7605" s="50"/>
      <c r="I7605" s="50"/>
      <c r="O7605" s="36" t="s">
        <v>48</v>
      </c>
      <c r="R7605" s="36" t="s">
        <v>48</v>
      </c>
    </row>
    <row r="7606">
      <c r="H7606" s="50"/>
      <c r="I7606" s="50"/>
      <c r="O7606" s="36" t="s">
        <v>48</v>
      </c>
      <c r="R7606" s="36" t="s">
        <v>48</v>
      </c>
    </row>
    <row r="7607">
      <c r="H7607" s="50"/>
      <c r="I7607" s="50"/>
      <c r="O7607" s="36" t="s">
        <v>48</v>
      </c>
      <c r="R7607" s="36" t="s">
        <v>48</v>
      </c>
    </row>
    <row r="7608">
      <c r="H7608" s="50"/>
      <c r="I7608" s="50"/>
      <c r="O7608" s="36" t="s">
        <v>48</v>
      </c>
      <c r="R7608" s="36" t="s">
        <v>48</v>
      </c>
    </row>
    <row r="7609">
      <c r="H7609" s="50"/>
      <c r="I7609" s="50"/>
      <c r="O7609" s="36" t="s">
        <v>48</v>
      </c>
      <c r="R7609" s="36" t="s">
        <v>48</v>
      </c>
    </row>
    <row r="7610">
      <c r="H7610" s="50"/>
      <c r="I7610" s="50"/>
      <c r="O7610" s="36" t="s">
        <v>48</v>
      </c>
      <c r="R7610" s="36" t="s">
        <v>48</v>
      </c>
    </row>
    <row r="7611">
      <c r="H7611" s="50"/>
      <c r="I7611" s="50"/>
      <c r="O7611" s="36" t="s">
        <v>48</v>
      </c>
      <c r="R7611" s="36" t="s">
        <v>48</v>
      </c>
    </row>
    <row r="7612">
      <c r="H7612" s="50"/>
      <c r="I7612" s="50"/>
      <c r="O7612" s="36" t="s">
        <v>48</v>
      </c>
      <c r="R7612" s="36" t="s">
        <v>48</v>
      </c>
    </row>
    <row r="7613">
      <c r="H7613" s="50"/>
      <c r="I7613" s="50"/>
      <c r="O7613" s="36" t="s">
        <v>48</v>
      </c>
      <c r="R7613" s="36" t="s">
        <v>48</v>
      </c>
    </row>
    <row r="7614">
      <c r="H7614" s="50"/>
      <c r="I7614" s="50"/>
      <c r="O7614" s="36" t="s">
        <v>48</v>
      </c>
      <c r="R7614" s="36" t="s">
        <v>48</v>
      </c>
    </row>
    <row r="7615">
      <c r="H7615" s="50"/>
      <c r="I7615" s="50"/>
      <c r="O7615" s="36" t="s">
        <v>48</v>
      </c>
      <c r="R7615" s="36" t="s">
        <v>48</v>
      </c>
    </row>
    <row r="7616">
      <c r="H7616" s="50"/>
      <c r="I7616" s="50"/>
      <c r="O7616" s="36" t="s">
        <v>48</v>
      </c>
      <c r="R7616" s="36" t="s">
        <v>48</v>
      </c>
    </row>
    <row r="7617">
      <c r="H7617" s="50"/>
      <c r="I7617" s="50"/>
      <c r="O7617" s="36" t="s">
        <v>48</v>
      </c>
      <c r="R7617" s="36" t="s">
        <v>48</v>
      </c>
    </row>
    <row r="7618">
      <c r="H7618" s="50"/>
      <c r="I7618" s="50"/>
      <c r="O7618" s="36" t="s">
        <v>48</v>
      </c>
      <c r="R7618" s="36" t="s">
        <v>48</v>
      </c>
    </row>
    <row r="7619">
      <c r="H7619" s="50"/>
      <c r="I7619" s="50"/>
      <c r="O7619" s="36" t="s">
        <v>48</v>
      </c>
      <c r="R7619" s="36" t="s">
        <v>48</v>
      </c>
    </row>
    <row r="7620">
      <c r="H7620" s="50"/>
      <c r="I7620" s="50"/>
      <c r="O7620" s="36" t="s">
        <v>48</v>
      </c>
      <c r="R7620" s="36" t="s">
        <v>48</v>
      </c>
    </row>
    <row r="7621">
      <c r="H7621" s="50"/>
      <c r="I7621" s="50"/>
      <c r="O7621" s="36" t="s">
        <v>48</v>
      </c>
      <c r="R7621" s="36" t="s">
        <v>48</v>
      </c>
    </row>
    <row r="7622">
      <c r="H7622" s="50"/>
      <c r="I7622" s="50"/>
      <c r="O7622" s="36" t="s">
        <v>48</v>
      </c>
      <c r="R7622" s="36" t="s">
        <v>48</v>
      </c>
    </row>
    <row r="7623">
      <c r="H7623" s="50"/>
      <c r="I7623" s="50"/>
      <c r="O7623" s="36" t="s">
        <v>48</v>
      </c>
      <c r="R7623" s="36" t="s">
        <v>48</v>
      </c>
    </row>
    <row r="7624">
      <c r="H7624" s="50"/>
      <c r="I7624" s="50"/>
      <c r="O7624" s="36" t="s">
        <v>48</v>
      </c>
      <c r="R7624" s="36" t="s">
        <v>48</v>
      </c>
    </row>
    <row r="7625">
      <c r="H7625" s="50"/>
      <c r="I7625" s="50"/>
      <c r="O7625" s="36" t="s">
        <v>48</v>
      </c>
      <c r="R7625" s="36" t="s">
        <v>48</v>
      </c>
    </row>
    <row r="7626">
      <c r="H7626" s="50"/>
      <c r="I7626" s="50"/>
      <c r="O7626" s="36" t="s">
        <v>48</v>
      </c>
      <c r="R7626" s="36" t="s">
        <v>48</v>
      </c>
    </row>
    <row r="7627">
      <c r="H7627" s="50"/>
      <c r="I7627" s="50"/>
      <c r="O7627" s="36" t="s">
        <v>48</v>
      </c>
      <c r="R7627" s="36" t="s">
        <v>48</v>
      </c>
    </row>
    <row r="7628">
      <c r="H7628" s="50"/>
      <c r="I7628" s="50"/>
      <c r="O7628" s="36" t="s">
        <v>48</v>
      </c>
      <c r="R7628" s="36" t="s">
        <v>48</v>
      </c>
    </row>
    <row r="7629">
      <c r="H7629" s="50"/>
      <c r="I7629" s="50"/>
      <c r="O7629" s="36" t="s">
        <v>48</v>
      </c>
      <c r="R7629" s="36" t="s">
        <v>48</v>
      </c>
    </row>
    <row r="7630">
      <c r="H7630" s="50"/>
      <c r="I7630" s="50"/>
      <c r="O7630" s="36" t="s">
        <v>48</v>
      </c>
      <c r="R7630" s="36" t="s">
        <v>48</v>
      </c>
    </row>
    <row r="7631">
      <c r="H7631" s="50"/>
      <c r="I7631" s="50"/>
      <c r="O7631" s="36" t="s">
        <v>48</v>
      </c>
      <c r="R7631" s="36" t="s">
        <v>48</v>
      </c>
    </row>
    <row r="7632">
      <c r="H7632" s="50"/>
      <c r="I7632" s="50"/>
      <c r="O7632" s="36" t="s">
        <v>48</v>
      </c>
      <c r="R7632" s="36" t="s">
        <v>48</v>
      </c>
    </row>
    <row r="7633">
      <c r="H7633" s="50"/>
      <c r="I7633" s="50"/>
      <c r="O7633" s="36" t="s">
        <v>48</v>
      </c>
      <c r="R7633" s="36" t="s">
        <v>48</v>
      </c>
    </row>
    <row r="7634">
      <c r="H7634" s="50"/>
      <c r="I7634" s="50"/>
      <c r="O7634" s="36" t="s">
        <v>48</v>
      </c>
      <c r="R7634" s="36" t="s">
        <v>48</v>
      </c>
    </row>
    <row r="7635">
      <c r="H7635" s="50"/>
      <c r="I7635" s="50"/>
      <c r="O7635" s="36" t="s">
        <v>48</v>
      </c>
      <c r="R7635" s="36" t="s">
        <v>48</v>
      </c>
    </row>
    <row r="7636">
      <c r="H7636" s="50"/>
      <c r="I7636" s="50"/>
      <c r="O7636" s="36" t="s">
        <v>48</v>
      </c>
      <c r="R7636" s="36" t="s">
        <v>48</v>
      </c>
    </row>
    <row r="7637">
      <c r="H7637" s="50"/>
      <c r="I7637" s="50"/>
      <c r="O7637" s="36" t="s">
        <v>48</v>
      </c>
      <c r="R7637" s="36" t="s">
        <v>48</v>
      </c>
    </row>
    <row r="7638">
      <c r="H7638" s="50"/>
      <c r="I7638" s="50"/>
      <c r="O7638" s="36" t="s">
        <v>48</v>
      </c>
      <c r="R7638" s="36" t="s">
        <v>48</v>
      </c>
    </row>
    <row r="7639">
      <c r="H7639" s="50"/>
      <c r="I7639" s="50"/>
      <c r="O7639" s="36" t="s">
        <v>48</v>
      </c>
      <c r="R7639" s="36" t="s">
        <v>48</v>
      </c>
    </row>
    <row r="7640">
      <c r="H7640" s="50"/>
      <c r="I7640" s="50"/>
      <c r="O7640" s="36" t="s">
        <v>48</v>
      </c>
      <c r="R7640" s="36" t="s">
        <v>48</v>
      </c>
    </row>
    <row r="7641">
      <c r="H7641" s="50"/>
      <c r="I7641" s="50"/>
      <c r="O7641" s="36" t="s">
        <v>48</v>
      </c>
      <c r="R7641" s="36" t="s">
        <v>48</v>
      </c>
    </row>
    <row r="7642">
      <c r="H7642" s="50"/>
      <c r="I7642" s="50"/>
      <c r="O7642" s="36" t="s">
        <v>48</v>
      </c>
      <c r="R7642" s="36" t="s">
        <v>48</v>
      </c>
    </row>
    <row r="7643">
      <c r="H7643" s="50"/>
      <c r="I7643" s="50"/>
      <c r="O7643" s="36" t="s">
        <v>48</v>
      </c>
      <c r="R7643" s="36" t="s">
        <v>48</v>
      </c>
    </row>
    <row r="7644">
      <c r="H7644" s="50"/>
      <c r="I7644" s="50"/>
      <c r="O7644" s="36" t="s">
        <v>48</v>
      </c>
      <c r="R7644" s="36" t="s">
        <v>48</v>
      </c>
    </row>
    <row r="7645">
      <c r="H7645" s="50"/>
      <c r="I7645" s="50"/>
      <c r="O7645" s="36" t="s">
        <v>48</v>
      </c>
      <c r="R7645" s="36" t="s">
        <v>48</v>
      </c>
    </row>
    <row r="7646">
      <c r="H7646" s="50"/>
      <c r="I7646" s="50"/>
      <c r="O7646" s="36" t="s">
        <v>48</v>
      </c>
      <c r="R7646" s="36" t="s">
        <v>48</v>
      </c>
    </row>
    <row r="7647">
      <c r="H7647" s="50"/>
      <c r="I7647" s="50"/>
      <c r="O7647" s="36" t="s">
        <v>48</v>
      </c>
      <c r="R7647" s="36" t="s">
        <v>48</v>
      </c>
    </row>
    <row r="7648">
      <c r="H7648" s="50"/>
      <c r="I7648" s="50"/>
      <c r="O7648" s="36" t="s">
        <v>48</v>
      </c>
      <c r="R7648" s="36" t="s">
        <v>48</v>
      </c>
    </row>
    <row r="7649">
      <c r="H7649" s="50"/>
      <c r="I7649" s="50"/>
      <c r="O7649" s="36" t="s">
        <v>48</v>
      </c>
      <c r="R7649" s="36" t="s">
        <v>48</v>
      </c>
    </row>
    <row r="7650">
      <c r="H7650" s="50"/>
      <c r="I7650" s="50"/>
      <c r="O7650" s="36" t="s">
        <v>48</v>
      </c>
      <c r="R7650" s="36" t="s">
        <v>48</v>
      </c>
    </row>
    <row r="7651">
      <c r="H7651" s="50"/>
      <c r="I7651" s="50"/>
      <c r="O7651" s="36" t="s">
        <v>48</v>
      </c>
      <c r="R7651" s="36" t="s">
        <v>48</v>
      </c>
    </row>
    <row r="7652">
      <c r="H7652" s="50"/>
      <c r="I7652" s="50"/>
      <c r="O7652" s="36" t="s">
        <v>48</v>
      </c>
      <c r="R7652" s="36" t="s">
        <v>48</v>
      </c>
    </row>
    <row r="7653">
      <c r="H7653" s="50"/>
      <c r="I7653" s="50"/>
      <c r="O7653" s="36" t="s">
        <v>48</v>
      </c>
      <c r="R7653" s="36" t="s">
        <v>48</v>
      </c>
    </row>
    <row r="7654">
      <c r="H7654" s="50"/>
      <c r="I7654" s="50"/>
      <c r="O7654" s="36" t="s">
        <v>48</v>
      </c>
      <c r="R7654" s="36" t="s">
        <v>48</v>
      </c>
    </row>
    <row r="7655">
      <c r="H7655" s="50"/>
      <c r="I7655" s="50"/>
      <c r="O7655" s="36" t="s">
        <v>48</v>
      </c>
      <c r="R7655" s="36" t="s">
        <v>48</v>
      </c>
    </row>
    <row r="7656">
      <c r="H7656" s="50"/>
      <c r="I7656" s="50"/>
      <c r="O7656" s="36" t="s">
        <v>48</v>
      </c>
      <c r="R7656" s="36" t="s">
        <v>48</v>
      </c>
    </row>
    <row r="7657">
      <c r="H7657" s="50"/>
      <c r="I7657" s="50"/>
      <c r="O7657" s="36" t="s">
        <v>48</v>
      </c>
      <c r="R7657" s="36" t="s">
        <v>48</v>
      </c>
    </row>
    <row r="7658">
      <c r="H7658" s="50"/>
      <c r="I7658" s="50"/>
      <c r="O7658" s="36" t="s">
        <v>48</v>
      </c>
      <c r="R7658" s="36" t="s">
        <v>48</v>
      </c>
    </row>
    <row r="7659">
      <c r="H7659" s="50"/>
      <c r="I7659" s="50"/>
      <c r="O7659" s="36" t="s">
        <v>48</v>
      </c>
      <c r="R7659" s="36" t="s">
        <v>48</v>
      </c>
    </row>
    <row r="7660">
      <c r="H7660" s="50"/>
      <c r="I7660" s="50"/>
      <c r="O7660" s="36" t="s">
        <v>48</v>
      </c>
      <c r="R7660" s="36" t="s">
        <v>48</v>
      </c>
    </row>
    <row r="7661">
      <c r="H7661" s="50"/>
      <c r="I7661" s="50"/>
      <c r="O7661" s="36" t="s">
        <v>48</v>
      </c>
      <c r="R7661" s="36" t="s">
        <v>48</v>
      </c>
    </row>
    <row r="7662">
      <c r="H7662" s="50"/>
      <c r="I7662" s="50"/>
      <c r="O7662" s="36" t="s">
        <v>48</v>
      </c>
      <c r="R7662" s="36" t="s">
        <v>48</v>
      </c>
    </row>
    <row r="7663">
      <c r="H7663" s="50"/>
      <c r="I7663" s="50"/>
      <c r="O7663" s="36" t="s">
        <v>48</v>
      </c>
      <c r="R7663" s="36" t="s">
        <v>48</v>
      </c>
    </row>
    <row r="7664">
      <c r="H7664" s="50"/>
      <c r="I7664" s="50"/>
      <c r="O7664" s="36" t="s">
        <v>48</v>
      </c>
      <c r="R7664" s="36" t="s">
        <v>48</v>
      </c>
    </row>
    <row r="7665">
      <c r="H7665" s="50"/>
      <c r="I7665" s="50"/>
      <c r="O7665" s="36" t="s">
        <v>48</v>
      </c>
      <c r="R7665" s="36" t="s">
        <v>48</v>
      </c>
    </row>
    <row r="7666">
      <c r="H7666" s="50"/>
      <c r="I7666" s="50"/>
      <c r="O7666" s="36" t="s">
        <v>48</v>
      </c>
      <c r="R7666" s="36" t="s">
        <v>48</v>
      </c>
    </row>
    <row r="7667">
      <c r="H7667" s="50"/>
      <c r="I7667" s="50"/>
      <c r="O7667" s="36" t="s">
        <v>48</v>
      </c>
      <c r="R7667" s="36" t="s">
        <v>48</v>
      </c>
    </row>
    <row r="7668">
      <c r="H7668" s="50"/>
      <c r="I7668" s="50"/>
      <c r="O7668" s="36" t="s">
        <v>48</v>
      </c>
      <c r="R7668" s="36" t="s">
        <v>48</v>
      </c>
    </row>
    <row r="7669">
      <c r="H7669" s="50"/>
      <c r="I7669" s="50"/>
      <c r="O7669" s="36" t="s">
        <v>48</v>
      </c>
      <c r="R7669" s="36" t="s">
        <v>48</v>
      </c>
    </row>
    <row r="7670">
      <c r="H7670" s="50"/>
      <c r="I7670" s="50"/>
      <c r="O7670" s="36" t="s">
        <v>48</v>
      </c>
      <c r="R7670" s="36" t="s">
        <v>48</v>
      </c>
    </row>
    <row r="7671">
      <c r="H7671" s="50"/>
      <c r="I7671" s="50"/>
      <c r="O7671" s="36" t="s">
        <v>48</v>
      </c>
      <c r="R7671" s="36" t="s">
        <v>48</v>
      </c>
    </row>
    <row r="7672">
      <c r="H7672" s="50"/>
      <c r="I7672" s="50"/>
      <c r="O7672" s="36" t="s">
        <v>48</v>
      </c>
      <c r="R7672" s="36" t="s">
        <v>48</v>
      </c>
    </row>
    <row r="7673">
      <c r="H7673" s="50"/>
      <c r="I7673" s="50"/>
      <c r="O7673" s="36" t="s">
        <v>48</v>
      </c>
      <c r="R7673" s="36" t="s">
        <v>48</v>
      </c>
    </row>
    <row r="7674">
      <c r="H7674" s="50"/>
      <c r="I7674" s="50"/>
      <c r="O7674" s="36" t="s">
        <v>48</v>
      </c>
      <c r="R7674" s="36" t="s">
        <v>48</v>
      </c>
    </row>
    <row r="7675">
      <c r="H7675" s="50"/>
      <c r="I7675" s="50"/>
      <c r="O7675" s="36" t="s">
        <v>48</v>
      </c>
      <c r="R7675" s="36" t="s">
        <v>48</v>
      </c>
    </row>
    <row r="7676">
      <c r="H7676" s="50"/>
      <c r="I7676" s="50"/>
      <c r="O7676" s="36" t="s">
        <v>48</v>
      </c>
      <c r="R7676" s="36" t="s">
        <v>48</v>
      </c>
    </row>
    <row r="7677">
      <c r="H7677" s="50"/>
      <c r="I7677" s="50"/>
      <c r="O7677" s="36" t="s">
        <v>48</v>
      </c>
      <c r="R7677" s="36" t="s">
        <v>48</v>
      </c>
    </row>
    <row r="7678">
      <c r="H7678" s="50"/>
      <c r="I7678" s="50"/>
      <c r="O7678" s="36" t="s">
        <v>48</v>
      </c>
      <c r="R7678" s="36" t="s">
        <v>48</v>
      </c>
    </row>
    <row r="7679">
      <c r="H7679" s="50"/>
      <c r="I7679" s="50"/>
      <c r="O7679" s="36" t="s">
        <v>48</v>
      </c>
      <c r="R7679" s="36" t="s">
        <v>48</v>
      </c>
    </row>
    <row r="7680">
      <c r="H7680" s="50"/>
      <c r="I7680" s="50"/>
      <c r="O7680" s="36" t="s">
        <v>48</v>
      </c>
      <c r="R7680" s="36" t="s">
        <v>48</v>
      </c>
    </row>
    <row r="7681">
      <c r="H7681" s="50"/>
      <c r="I7681" s="50"/>
      <c r="O7681" s="36" t="s">
        <v>48</v>
      </c>
      <c r="R7681" s="36" t="s">
        <v>48</v>
      </c>
    </row>
    <row r="7682">
      <c r="H7682" s="50"/>
      <c r="I7682" s="50"/>
      <c r="O7682" s="36" t="s">
        <v>48</v>
      </c>
      <c r="R7682" s="36" t="s">
        <v>48</v>
      </c>
    </row>
    <row r="7683">
      <c r="H7683" s="50"/>
      <c r="I7683" s="50"/>
      <c r="O7683" s="36" t="s">
        <v>48</v>
      </c>
      <c r="R7683" s="36" t="s">
        <v>48</v>
      </c>
    </row>
    <row r="7684">
      <c r="H7684" s="50"/>
      <c r="I7684" s="50"/>
      <c r="O7684" s="36" t="s">
        <v>48</v>
      </c>
      <c r="R7684" s="36" t="s">
        <v>48</v>
      </c>
    </row>
    <row r="7685">
      <c r="H7685" s="50"/>
      <c r="I7685" s="50"/>
      <c r="O7685" s="36" t="s">
        <v>48</v>
      </c>
      <c r="R7685" s="36" t="s">
        <v>48</v>
      </c>
    </row>
    <row r="7686">
      <c r="H7686" s="50"/>
      <c r="I7686" s="50"/>
      <c r="O7686" s="36" t="s">
        <v>48</v>
      </c>
      <c r="R7686" s="36" t="s">
        <v>48</v>
      </c>
    </row>
    <row r="7687">
      <c r="H7687" s="50"/>
      <c r="I7687" s="50"/>
      <c r="O7687" s="36" t="s">
        <v>48</v>
      </c>
      <c r="R7687" s="36" t="s">
        <v>48</v>
      </c>
    </row>
    <row r="7688">
      <c r="H7688" s="50"/>
      <c r="I7688" s="50"/>
      <c r="O7688" s="36" t="s">
        <v>48</v>
      </c>
      <c r="R7688" s="36" t="s">
        <v>48</v>
      </c>
    </row>
    <row r="7689">
      <c r="H7689" s="50"/>
      <c r="I7689" s="50"/>
      <c r="O7689" s="36" t="s">
        <v>48</v>
      </c>
      <c r="R7689" s="36" t="s">
        <v>48</v>
      </c>
    </row>
    <row r="7690">
      <c r="H7690" s="50"/>
      <c r="I7690" s="50"/>
      <c r="O7690" s="36" t="s">
        <v>48</v>
      </c>
      <c r="R7690" s="36" t="s">
        <v>48</v>
      </c>
    </row>
    <row r="7691">
      <c r="H7691" s="50"/>
      <c r="I7691" s="50"/>
      <c r="O7691" s="36" t="s">
        <v>48</v>
      </c>
      <c r="R7691" s="36" t="s">
        <v>48</v>
      </c>
    </row>
    <row r="7692">
      <c r="H7692" s="50"/>
      <c r="I7692" s="50"/>
      <c r="O7692" s="36" t="s">
        <v>48</v>
      </c>
      <c r="R7692" s="36" t="s">
        <v>48</v>
      </c>
    </row>
    <row r="7693">
      <c r="H7693" s="50"/>
      <c r="I7693" s="50"/>
      <c r="O7693" s="36" t="s">
        <v>48</v>
      </c>
      <c r="R7693" s="36" t="s">
        <v>48</v>
      </c>
    </row>
    <row r="7694">
      <c r="H7694" s="50"/>
      <c r="I7694" s="50"/>
      <c r="O7694" s="36" t="s">
        <v>48</v>
      </c>
      <c r="R7694" s="36" t="s">
        <v>48</v>
      </c>
    </row>
    <row r="7695">
      <c r="H7695" s="50"/>
      <c r="I7695" s="50"/>
      <c r="O7695" s="36" t="s">
        <v>48</v>
      </c>
      <c r="R7695" s="36" t="s">
        <v>48</v>
      </c>
    </row>
    <row r="7696">
      <c r="H7696" s="50"/>
      <c r="I7696" s="50"/>
      <c r="O7696" s="36" t="s">
        <v>48</v>
      </c>
      <c r="R7696" s="36" t="s">
        <v>48</v>
      </c>
    </row>
    <row r="7697">
      <c r="H7697" s="50"/>
      <c r="I7697" s="50"/>
      <c r="O7697" s="36" t="s">
        <v>48</v>
      </c>
      <c r="R7697" s="36" t="s">
        <v>48</v>
      </c>
    </row>
    <row r="7698">
      <c r="H7698" s="50"/>
      <c r="I7698" s="50"/>
      <c r="O7698" s="36" t="s">
        <v>48</v>
      </c>
      <c r="R7698" s="36" t="s">
        <v>48</v>
      </c>
    </row>
    <row r="7699">
      <c r="H7699" s="50"/>
      <c r="I7699" s="50"/>
      <c r="O7699" s="36" t="s">
        <v>48</v>
      </c>
      <c r="R7699" s="36" t="s">
        <v>48</v>
      </c>
    </row>
    <row r="7700">
      <c r="H7700" s="50"/>
      <c r="I7700" s="50"/>
      <c r="O7700" s="36" t="s">
        <v>48</v>
      </c>
      <c r="R7700" s="36" t="s">
        <v>48</v>
      </c>
    </row>
    <row r="7701">
      <c r="H7701" s="50"/>
      <c r="I7701" s="50"/>
      <c r="O7701" s="36" t="s">
        <v>48</v>
      </c>
      <c r="R7701" s="36" t="s">
        <v>48</v>
      </c>
    </row>
    <row r="7702">
      <c r="H7702" s="50"/>
      <c r="I7702" s="50"/>
      <c r="O7702" s="36" t="s">
        <v>48</v>
      </c>
      <c r="R7702" s="36" t="s">
        <v>48</v>
      </c>
    </row>
    <row r="7703">
      <c r="H7703" s="50"/>
      <c r="I7703" s="50"/>
      <c r="O7703" s="36" t="s">
        <v>48</v>
      </c>
      <c r="R7703" s="36" t="s">
        <v>48</v>
      </c>
    </row>
    <row r="7704">
      <c r="H7704" s="50"/>
      <c r="I7704" s="50"/>
      <c r="O7704" s="36" t="s">
        <v>48</v>
      </c>
      <c r="R7704" s="36" t="s">
        <v>48</v>
      </c>
    </row>
    <row r="7705">
      <c r="H7705" s="50"/>
      <c r="I7705" s="50"/>
      <c r="O7705" s="36" t="s">
        <v>48</v>
      </c>
      <c r="R7705" s="36" t="s">
        <v>48</v>
      </c>
    </row>
    <row r="7706">
      <c r="H7706" s="50"/>
      <c r="I7706" s="50"/>
      <c r="O7706" s="36" t="s">
        <v>48</v>
      </c>
      <c r="R7706" s="36" t="s">
        <v>48</v>
      </c>
    </row>
    <row r="7707">
      <c r="H7707" s="50"/>
      <c r="I7707" s="50"/>
      <c r="O7707" s="36" t="s">
        <v>48</v>
      </c>
      <c r="R7707" s="36" t="s">
        <v>48</v>
      </c>
    </row>
    <row r="7708">
      <c r="H7708" s="50"/>
      <c r="I7708" s="50"/>
      <c r="O7708" s="36" t="s">
        <v>48</v>
      </c>
      <c r="R7708" s="36" t="s">
        <v>48</v>
      </c>
    </row>
    <row r="7709">
      <c r="H7709" s="50"/>
      <c r="I7709" s="50"/>
      <c r="O7709" s="36" t="s">
        <v>48</v>
      </c>
      <c r="R7709" s="36" t="s">
        <v>48</v>
      </c>
    </row>
    <row r="7710">
      <c r="H7710" s="50"/>
      <c r="I7710" s="50"/>
      <c r="O7710" s="36" t="s">
        <v>48</v>
      </c>
      <c r="R7710" s="36" t="s">
        <v>48</v>
      </c>
    </row>
    <row r="7711">
      <c r="H7711" s="50"/>
      <c r="I7711" s="50"/>
      <c r="O7711" s="36" t="s">
        <v>48</v>
      </c>
      <c r="R7711" s="36" t="s">
        <v>48</v>
      </c>
    </row>
    <row r="7712">
      <c r="H7712" s="50"/>
      <c r="I7712" s="50"/>
      <c r="O7712" s="36" t="s">
        <v>48</v>
      </c>
      <c r="R7712" s="36" t="s">
        <v>48</v>
      </c>
    </row>
    <row r="7713">
      <c r="H7713" s="50"/>
      <c r="I7713" s="50"/>
      <c r="O7713" s="36" t="s">
        <v>48</v>
      </c>
      <c r="R7713" s="36" t="s">
        <v>48</v>
      </c>
    </row>
    <row r="7714">
      <c r="H7714" s="50"/>
      <c r="I7714" s="50"/>
      <c r="O7714" s="36" t="s">
        <v>48</v>
      </c>
      <c r="R7714" s="36" t="s">
        <v>48</v>
      </c>
    </row>
    <row r="7715">
      <c r="H7715" s="50"/>
      <c r="I7715" s="50"/>
      <c r="O7715" s="36" t="s">
        <v>48</v>
      </c>
      <c r="R7715" s="36" t="s">
        <v>48</v>
      </c>
    </row>
    <row r="7716">
      <c r="H7716" s="50"/>
      <c r="I7716" s="50"/>
      <c r="O7716" s="36" t="s">
        <v>48</v>
      </c>
      <c r="R7716" s="36" t="s">
        <v>48</v>
      </c>
    </row>
    <row r="7717">
      <c r="H7717" s="50"/>
      <c r="I7717" s="50"/>
      <c r="O7717" s="36" t="s">
        <v>48</v>
      </c>
      <c r="R7717" s="36" t="s">
        <v>48</v>
      </c>
    </row>
    <row r="7718">
      <c r="H7718" s="50"/>
      <c r="I7718" s="50"/>
      <c r="O7718" s="36" t="s">
        <v>48</v>
      </c>
      <c r="R7718" s="36" t="s">
        <v>48</v>
      </c>
    </row>
    <row r="7719">
      <c r="H7719" s="50"/>
      <c r="I7719" s="50"/>
      <c r="O7719" s="36" t="s">
        <v>48</v>
      </c>
      <c r="R7719" s="36" t="s">
        <v>48</v>
      </c>
    </row>
    <row r="7720">
      <c r="H7720" s="50"/>
      <c r="I7720" s="50"/>
      <c r="O7720" s="36" t="s">
        <v>48</v>
      </c>
      <c r="R7720" s="36" t="s">
        <v>48</v>
      </c>
    </row>
    <row r="7721">
      <c r="H7721" s="50"/>
      <c r="I7721" s="50"/>
      <c r="O7721" s="36" t="s">
        <v>48</v>
      </c>
      <c r="R7721" s="36" t="s">
        <v>48</v>
      </c>
    </row>
    <row r="7722">
      <c r="H7722" s="50"/>
      <c r="I7722" s="50"/>
      <c r="O7722" s="36" t="s">
        <v>48</v>
      </c>
      <c r="R7722" s="36" t="s">
        <v>48</v>
      </c>
    </row>
    <row r="7723">
      <c r="H7723" s="50"/>
      <c r="I7723" s="50"/>
      <c r="O7723" s="36" t="s">
        <v>48</v>
      </c>
      <c r="R7723" s="36" t="s">
        <v>48</v>
      </c>
    </row>
    <row r="7724">
      <c r="H7724" s="50"/>
      <c r="I7724" s="50"/>
      <c r="O7724" s="36" t="s">
        <v>48</v>
      </c>
      <c r="R7724" s="36" t="s">
        <v>48</v>
      </c>
    </row>
    <row r="7725">
      <c r="H7725" s="50"/>
      <c r="I7725" s="50"/>
      <c r="O7725" s="36" t="s">
        <v>48</v>
      </c>
      <c r="R7725" s="36" t="s">
        <v>48</v>
      </c>
    </row>
    <row r="7726">
      <c r="H7726" s="50"/>
      <c r="I7726" s="50"/>
      <c r="O7726" s="36" t="s">
        <v>48</v>
      </c>
      <c r="R7726" s="36" t="s">
        <v>48</v>
      </c>
    </row>
    <row r="7727">
      <c r="H7727" s="50"/>
      <c r="I7727" s="50"/>
      <c r="O7727" s="36" t="s">
        <v>48</v>
      </c>
      <c r="R7727" s="36" t="s">
        <v>48</v>
      </c>
    </row>
    <row r="7728">
      <c r="H7728" s="50"/>
      <c r="I7728" s="50"/>
      <c r="O7728" s="36" t="s">
        <v>48</v>
      </c>
      <c r="R7728" s="36" t="s">
        <v>48</v>
      </c>
    </row>
    <row r="7729">
      <c r="H7729" s="50"/>
      <c r="I7729" s="50"/>
      <c r="O7729" s="36" t="s">
        <v>48</v>
      </c>
      <c r="R7729" s="36" t="s">
        <v>48</v>
      </c>
    </row>
    <row r="7730">
      <c r="H7730" s="50"/>
      <c r="I7730" s="50"/>
      <c r="O7730" s="36" t="s">
        <v>48</v>
      </c>
      <c r="R7730" s="36" t="s">
        <v>48</v>
      </c>
    </row>
    <row r="7731">
      <c r="H7731" s="50"/>
      <c r="I7731" s="50"/>
      <c r="O7731" s="36" t="s">
        <v>48</v>
      </c>
      <c r="R7731" s="36" t="s">
        <v>48</v>
      </c>
    </row>
    <row r="7732">
      <c r="H7732" s="50"/>
      <c r="I7732" s="50"/>
      <c r="O7732" s="36" t="s">
        <v>48</v>
      </c>
      <c r="R7732" s="36" t="s">
        <v>48</v>
      </c>
    </row>
    <row r="7733">
      <c r="H7733" s="50"/>
      <c r="I7733" s="50"/>
      <c r="O7733" s="36" t="s">
        <v>48</v>
      </c>
      <c r="R7733" s="36" t="s">
        <v>48</v>
      </c>
    </row>
    <row r="7734">
      <c r="H7734" s="50"/>
      <c r="I7734" s="50"/>
      <c r="O7734" s="36" t="s">
        <v>48</v>
      </c>
      <c r="R7734" s="36" t="s">
        <v>48</v>
      </c>
    </row>
    <row r="7735">
      <c r="H7735" s="50"/>
      <c r="I7735" s="50"/>
      <c r="O7735" s="36" t="s">
        <v>48</v>
      </c>
      <c r="R7735" s="36" t="s">
        <v>48</v>
      </c>
    </row>
    <row r="7736">
      <c r="H7736" s="50"/>
      <c r="I7736" s="50"/>
      <c r="O7736" s="36" t="s">
        <v>48</v>
      </c>
      <c r="R7736" s="36" t="s">
        <v>48</v>
      </c>
    </row>
    <row r="7737">
      <c r="H7737" s="50"/>
      <c r="I7737" s="50"/>
      <c r="O7737" s="36" t="s">
        <v>48</v>
      </c>
      <c r="R7737" s="36" t="s">
        <v>48</v>
      </c>
    </row>
    <row r="7738">
      <c r="H7738" s="50"/>
      <c r="I7738" s="50"/>
      <c r="O7738" s="36" t="s">
        <v>48</v>
      </c>
      <c r="R7738" s="36" t="s">
        <v>48</v>
      </c>
    </row>
    <row r="7739">
      <c r="H7739" s="50"/>
      <c r="I7739" s="50"/>
      <c r="O7739" s="36" t="s">
        <v>48</v>
      </c>
      <c r="R7739" s="36" t="s">
        <v>48</v>
      </c>
    </row>
    <row r="7740">
      <c r="H7740" s="50"/>
      <c r="I7740" s="50"/>
      <c r="O7740" s="36" t="s">
        <v>48</v>
      </c>
      <c r="R7740" s="36" t="s">
        <v>48</v>
      </c>
    </row>
    <row r="7741">
      <c r="H7741" s="50"/>
      <c r="I7741" s="50"/>
      <c r="O7741" s="36" t="s">
        <v>48</v>
      </c>
      <c r="R7741" s="36" t="s">
        <v>48</v>
      </c>
    </row>
    <row r="7742">
      <c r="H7742" s="50"/>
      <c r="I7742" s="50"/>
      <c r="O7742" s="36" t="s">
        <v>48</v>
      </c>
      <c r="R7742" s="36" t="s">
        <v>48</v>
      </c>
    </row>
    <row r="7743">
      <c r="H7743" s="50"/>
      <c r="I7743" s="50"/>
      <c r="O7743" s="36" t="s">
        <v>48</v>
      </c>
      <c r="R7743" s="36" t="s">
        <v>48</v>
      </c>
    </row>
    <row r="7744">
      <c r="H7744" s="50"/>
      <c r="I7744" s="50"/>
      <c r="O7744" s="36" t="s">
        <v>48</v>
      </c>
      <c r="R7744" s="36" t="s">
        <v>48</v>
      </c>
    </row>
    <row r="7745">
      <c r="H7745" s="50"/>
      <c r="I7745" s="50"/>
      <c r="O7745" s="36" t="s">
        <v>48</v>
      </c>
      <c r="R7745" s="36" t="s">
        <v>48</v>
      </c>
    </row>
    <row r="7746">
      <c r="H7746" s="50"/>
      <c r="I7746" s="50"/>
      <c r="O7746" s="36" t="s">
        <v>48</v>
      </c>
      <c r="R7746" s="36" t="s">
        <v>48</v>
      </c>
    </row>
    <row r="7747">
      <c r="H7747" s="50"/>
      <c r="I7747" s="50"/>
      <c r="O7747" s="36" t="s">
        <v>48</v>
      </c>
      <c r="R7747" s="36" t="s">
        <v>48</v>
      </c>
    </row>
    <row r="7748">
      <c r="H7748" s="50"/>
      <c r="I7748" s="50"/>
      <c r="O7748" s="36" t="s">
        <v>48</v>
      </c>
      <c r="R7748" s="36" t="s">
        <v>48</v>
      </c>
    </row>
    <row r="7749">
      <c r="H7749" s="50"/>
      <c r="I7749" s="50"/>
      <c r="O7749" s="36" t="s">
        <v>48</v>
      </c>
      <c r="R7749" s="36" t="s">
        <v>48</v>
      </c>
    </row>
    <row r="7750">
      <c r="H7750" s="50"/>
      <c r="I7750" s="50"/>
      <c r="O7750" s="36" t="s">
        <v>48</v>
      </c>
      <c r="R7750" s="36" t="s">
        <v>48</v>
      </c>
    </row>
    <row r="7751">
      <c r="H7751" s="50"/>
      <c r="I7751" s="50"/>
      <c r="O7751" s="36" t="s">
        <v>48</v>
      </c>
      <c r="R7751" s="36" t="s">
        <v>48</v>
      </c>
    </row>
    <row r="7752">
      <c r="H7752" s="50"/>
      <c r="I7752" s="50"/>
      <c r="O7752" s="36" t="s">
        <v>48</v>
      </c>
      <c r="R7752" s="36" t="s">
        <v>48</v>
      </c>
    </row>
    <row r="7753">
      <c r="H7753" s="50"/>
      <c r="I7753" s="50"/>
      <c r="O7753" s="36" t="s">
        <v>48</v>
      </c>
      <c r="R7753" s="36" t="s">
        <v>48</v>
      </c>
    </row>
    <row r="7754">
      <c r="H7754" s="50"/>
      <c r="I7754" s="50"/>
      <c r="O7754" s="36" t="s">
        <v>48</v>
      </c>
      <c r="R7754" s="36" t="s">
        <v>48</v>
      </c>
    </row>
    <row r="7755">
      <c r="H7755" s="50"/>
      <c r="I7755" s="50"/>
      <c r="O7755" s="36" t="s">
        <v>48</v>
      </c>
      <c r="R7755" s="36" t="s">
        <v>48</v>
      </c>
    </row>
    <row r="7756">
      <c r="H7756" s="50"/>
      <c r="I7756" s="50"/>
      <c r="O7756" s="36" t="s">
        <v>48</v>
      </c>
      <c r="R7756" s="36" t="s">
        <v>48</v>
      </c>
    </row>
    <row r="7757">
      <c r="H7757" s="50"/>
      <c r="I7757" s="50"/>
      <c r="O7757" s="36" t="s">
        <v>48</v>
      </c>
      <c r="R7757" s="36" t="s">
        <v>48</v>
      </c>
    </row>
    <row r="7758">
      <c r="H7758" s="50"/>
      <c r="I7758" s="50"/>
      <c r="O7758" s="36" t="s">
        <v>48</v>
      </c>
      <c r="R7758" s="36" t="s">
        <v>48</v>
      </c>
    </row>
    <row r="7759">
      <c r="H7759" s="50"/>
      <c r="I7759" s="50"/>
      <c r="O7759" s="36" t="s">
        <v>48</v>
      </c>
      <c r="R7759" s="36" t="s">
        <v>48</v>
      </c>
    </row>
    <row r="7760">
      <c r="H7760" s="50"/>
      <c r="I7760" s="50"/>
      <c r="O7760" s="36" t="s">
        <v>48</v>
      </c>
      <c r="R7760" s="36" t="s">
        <v>48</v>
      </c>
    </row>
    <row r="7761">
      <c r="H7761" s="50"/>
      <c r="I7761" s="50"/>
      <c r="O7761" s="36" t="s">
        <v>48</v>
      </c>
      <c r="R7761" s="36" t="s">
        <v>48</v>
      </c>
    </row>
    <row r="7762">
      <c r="H7762" s="50"/>
      <c r="I7762" s="50"/>
      <c r="O7762" s="36" t="s">
        <v>48</v>
      </c>
      <c r="R7762" s="36" t="s">
        <v>48</v>
      </c>
    </row>
    <row r="7763">
      <c r="H7763" s="50"/>
      <c r="I7763" s="50"/>
      <c r="O7763" s="36" t="s">
        <v>48</v>
      </c>
      <c r="R7763" s="36" t="s">
        <v>48</v>
      </c>
    </row>
    <row r="7764">
      <c r="H7764" s="50"/>
      <c r="I7764" s="50"/>
      <c r="O7764" s="36" t="s">
        <v>48</v>
      </c>
      <c r="R7764" s="36" t="s">
        <v>48</v>
      </c>
    </row>
    <row r="7765">
      <c r="H7765" s="50"/>
      <c r="I7765" s="50"/>
      <c r="O7765" s="36" t="s">
        <v>48</v>
      </c>
      <c r="R7765" s="36" t="s">
        <v>48</v>
      </c>
    </row>
    <row r="7766">
      <c r="H7766" s="50"/>
      <c r="I7766" s="50"/>
      <c r="O7766" s="36" t="s">
        <v>48</v>
      </c>
      <c r="R7766" s="36" t="s">
        <v>48</v>
      </c>
    </row>
    <row r="7767">
      <c r="H7767" s="50"/>
      <c r="I7767" s="50"/>
      <c r="O7767" s="36" t="s">
        <v>48</v>
      </c>
      <c r="R7767" s="36" t="s">
        <v>48</v>
      </c>
    </row>
    <row r="7768">
      <c r="H7768" s="50"/>
      <c r="I7768" s="50"/>
      <c r="O7768" s="36" t="s">
        <v>48</v>
      </c>
      <c r="R7768" s="36" t="s">
        <v>48</v>
      </c>
    </row>
    <row r="7769">
      <c r="H7769" s="50"/>
      <c r="I7769" s="50"/>
      <c r="O7769" s="36" t="s">
        <v>48</v>
      </c>
      <c r="R7769" s="36" t="s">
        <v>48</v>
      </c>
    </row>
    <row r="7770">
      <c r="H7770" s="50"/>
      <c r="I7770" s="50"/>
      <c r="O7770" s="36" t="s">
        <v>48</v>
      </c>
      <c r="R7770" s="36" t="s">
        <v>48</v>
      </c>
    </row>
    <row r="7771">
      <c r="H7771" s="50"/>
      <c r="I7771" s="50"/>
      <c r="O7771" s="36" t="s">
        <v>48</v>
      </c>
      <c r="R7771" s="36" t="s">
        <v>48</v>
      </c>
    </row>
    <row r="7772">
      <c r="H7772" s="50"/>
      <c r="I7772" s="50"/>
      <c r="O7772" s="36" t="s">
        <v>48</v>
      </c>
      <c r="R7772" s="36" t="s">
        <v>48</v>
      </c>
    </row>
    <row r="7773">
      <c r="H7773" s="50"/>
      <c r="I7773" s="50"/>
      <c r="O7773" s="36" t="s">
        <v>48</v>
      </c>
      <c r="R7773" s="36" t="s">
        <v>48</v>
      </c>
    </row>
    <row r="7774">
      <c r="H7774" s="50"/>
      <c r="I7774" s="50"/>
      <c r="O7774" s="36" t="s">
        <v>48</v>
      </c>
      <c r="R7774" s="36" t="s">
        <v>48</v>
      </c>
    </row>
    <row r="7775">
      <c r="H7775" s="50"/>
      <c r="I7775" s="50"/>
      <c r="O7775" s="36" t="s">
        <v>48</v>
      </c>
      <c r="R7775" s="36" t="s">
        <v>48</v>
      </c>
    </row>
    <row r="7776">
      <c r="H7776" s="50"/>
      <c r="I7776" s="50"/>
      <c r="O7776" s="36" t="s">
        <v>48</v>
      </c>
      <c r="R7776" s="36" t="s">
        <v>48</v>
      </c>
    </row>
    <row r="7777">
      <c r="H7777" s="50"/>
      <c r="I7777" s="50"/>
      <c r="O7777" s="36" t="s">
        <v>48</v>
      </c>
      <c r="R7777" s="36" t="s">
        <v>48</v>
      </c>
    </row>
    <row r="7778">
      <c r="H7778" s="50"/>
      <c r="I7778" s="50"/>
      <c r="O7778" s="36" t="s">
        <v>48</v>
      </c>
      <c r="R7778" s="36" t="s">
        <v>48</v>
      </c>
    </row>
    <row r="7779">
      <c r="H7779" s="50"/>
      <c r="I7779" s="50"/>
      <c r="O7779" s="36" t="s">
        <v>48</v>
      </c>
      <c r="R7779" s="36" t="s">
        <v>48</v>
      </c>
    </row>
    <row r="7780">
      <c r="H7780" s="50"/>
      <c r="I7780" s="50"/>
      <c r="O7780" s="36" t="s">
        <v>48</v>
      </c>
      <c r="R7780" s="36" t="s">
        <v>48</v>
      </c>
    </row>
    <row r="7781">
      <c r="H7781" s="50"/>
      <c r="I7781" s="50"/>
      <c r="O7781" s="36" t="s">
        <v>48</v>
      </c>
      <c r="R7781" s="36" t="s">
        <v>48</v>
      </c>
    </row>
    <row r="7782">
      <c r="H7782" s="50"/>
      <c r="I7782" s="50"/>
      <c r="O7782" s="36" t="s">
        <v>48</v>
      </c>
      <c r="R7782" s="36" t="s">
        <v>48</v>
      </c>
    </row>
    <row r="7783">
      <c r="H7783" s="50"/>
      <c r="I7783" s="50"/>
      <c r="O7783" s="36" t="s">
        <v>48</v>
      </c>
      <c r="R7783" s="36" t="s">
        <v>48</v>
      </c>
    </row>
    <row r="7784">
      <c r="H7784" s="50"/>
      <c r="I7784" s="50"/>
      <c r="O7784" s="36" t="s">
        <v>48</v>
      </c>
      <c r="R7784" s="36" t="s">
        <v>48</v>
      </c>
    </row>
    <row r="7785">
      <c r="H7785" s="50"/>
      <c r="I7785" s="50"/>
      <c r="O7785" s="36" t="s">
        <v>48</v>
      </c>
      <c r="R7785" s="36" t="s">
        <v>48</v>
      </c>
    </row>
    <row r="7786">
      <c r="H7786" s="50"/>
      <c r="I7786" s="50"/>
      <c r="O7786" s="36" t="s">
        <v>48</v>
      </c>
      <c r="R7786" s="36" t="s">
        <v>48</v>
      </c>
    </row>
    <row r="7787">
      <c r="H7787" s="50"/>
      <c r="I7787" s="50"/>
      <c r="O7787" s="36" t="s">
        <v>48</v>
      </c>
      <c r="R7787" s="36" t="s">
        <v>48</v>
      </c>
    </row>
    <row r="7788">
      <c r="H7788" s="50"/>
      <c r="I7788" s="50"/>
      <c r="O7788" s="36" t="s">
        <v>48</v>
      </c>
      <c r="R7788" s="36" t="s">
        <v>48</v>
      </c>
    </row>
    <row r="7789">
      <c r="H7789" s="50"/>
      <c r="I7789" s="50"/>
      <c r="O7789" s="36" t="s">
        <v>48</v>
      </c>
      <c r="R7789" s="36" t="s">
        <v>48</v>
      </c>
    </row>
    <row r="7790">
      <c r="H7790" s="50"/>
      <c r="I7790" s="50"/>
      <c r="O7790" s="36" t="s">
        <v>48</v>
      </c>
      <c r="R7790" s="36" t="s">
        <v>48</v>
      </c>
    </row>
    <row r="7791">
      <c r="H7791" s="50"/>
      <c r="I7791" s="50"/>
      <c r="O7791" s="36" t="s">
        <v>48</v>
      </c>
      <c r="R7791" s="36" t="s">
        <v>48</v>
      </c>
    </row>
    <row r="7792">
      <c r="H7792" s="50"/>
      <c r="I7792" s="50"/>
      <c r="O7792" s="36" t="s">
        <v>48</v>
      </c>
      <c r="R7792" s="36" t="s">
        <v>48</v>
      </c>
    </row>
    <row r="7793">
      <c r="H7793" s="50"/>
      <c r="I7793" s="50"/>
      <c r="O7793" s="36" t="s">
        <v>48</v>
      </c>
      <c r="R7793" s="36" t="s">
        <v>48</v>
      </c>
    </row>
    <row r="7794">
      <c r="H7794" s="50"/>
      <c r="I7794" s="50"/>
      <c r="O7794" s="36" t="s">
        <v>48</v>
      </c>
      <c r="R7794" s="36" t="s">
        <v>48</v>
      </c>
    </row>
    <row r="7795">
      <c r="H7795" s="50"/>
      <c r="I7795" s="50"/>
      <c r="O7795" s="36" t="s">
        <v>48</v>
      </c>
      <c r="R7795" s="36" t="s">
        <v>48</v>
      </c>
    </row>
    <row r="7796">
      <c r="H7796" s="50"/>
      <c r="I7796" s="50"/>
      <c r="O7796" s="36" t="s">
        <v>48</v>
      </c>
      <c r="R7796" s="36" t="s">
        <v>48</v>
      </c>
    </row>
    <row r="7797">
      <c r="H7797" s="50"/>
      <c r="I7797" s="50"/>
      <c r="O7797" s="36" t="s">
        <v>48</v>
      </c>
      <c r="R7797" s="36" t="s">
        <v>48</v>
      </c>
    </row>
    <row r="7798">
      <c r="H7798" s="50"/>
      <c r="I7798" s="50"/>
      <c r="O7798" s="36" t="s">
        <v>48</v>
      </c>
      <c r="R7798" s="36" t="s">
        <v>48</v>
      </c>
    </row>
    <row r="7799">
      <c r="H7799" s="50"/>
      <c r="I7799" s="50"/>
      <c r="O7799" s="36" t="s">
        <v>48</v>
      </c>
      <c r="R7799" s="36" t="s">
        <v>48</v>
      </c>
    </row>
    <row r="7800">
      <c r="H7800" s="50"/>
      <c r="I7800" s="50"/>
      <c r="O7800" s="36" t="s">
        <v>48</v>
      </c>
      <c r="R7800" s="36" t="s">
        <v>48</v>
      </c>
    </row>
    <row r="7801">
      <c r="H7801" s="50"/>
      <c r="I7801" s="50"/>
      <c r="O7801" s="36" t="s">
        <v>48</v>
      </c>
      <c r="R7801" s="36" t="s">
        <v>48</v>
      </c>
    </row>
    <row r="7802">
      <c r="H7802" s="50"/>
      <c r="I7802" s="50"/>
      <c r="O7802" s="36" t="s">
        <v>48</v>
      </c>
      <c r="R7802" s="36" t="s">
        <v>48</v>
      </c>
    </row>
    <row r="7803">
      <c r="H7803" s="50"/>
      <c r="I7803" s="50"/>
      <c r="O7803" s="36" t="s">
        <v>48</v>
      </c>
      <c r="R7803" s="36" t="s">
        <v>48</v>
      </c>
    </row>
    <row r="7804">
      <c r="H7804" s="50"/>
      <c r="I7804" s="50"/>
      <c r="O7804" s="36" t="s">
        <v>48</v>
      </c>
      <c r="R7804" s="36" t="s">
        <v>48</v>
      </c>
    </row>
    <row r="7805">
      <c r="H7805" s="50"/>
      <c r="I7805" s="50"/>
      <c r="O7805" s="36" t="s">
        <v>48</v>
      </c>
      <c r="R7805" s="36" t="s">
        <v>48</v>
      </c>
    </row>
    <row r="7806">
      <c r="H7806" s="50"/>
      <c r="I7806" s="50"/>
      <c r="O7806" s="36" t="s">
        <v>48</v>
      </c>
      <c r="R7806" s="36" t="s">
        <v>48</v>
      </c>
    </row>
    <row r="7807">
      <c r="H7807" s="50"/>
      <c r="I7807" s="50"/>
      <c r="O7807" s="36" t="s">
        <v>48</v>
      </c>
      <c r="R7807" s="36" t="s">
        <v>48</v>
      </c>
    </row>
    <row r="7808">
      <c r="H7808" s="50"/>
      <c r="I7808" s="50"/>
      <c r="O7808" s="36" t="s">
        <v>48</v>
      </c>
      <c r="R7808" s="36" t="s">
        <v>48</v>
      </c>
    </row>
    <row r="7809">
      <c r="H7809" s="50"/>
      <c r="I7809" s="50"/>
      <c r="O7809" s="36" t="s">
        <v>48</v>
      </c>
      <c r="R7809" s="36" t="s">
        <v>48</v>
      </c>
    </row>
    <row r="7810">
      <c r="H7810" s="50"/>
      <c r="I7810" s="50"/>
      <c r="O7810" s="36" t="s">
        <v>48</v>
      </c>
      <c r="R7810" s="36" t="s">
        <v>48</v>
      </c>
    </row>
    <row r="7811">
      <c r="H7811" s="50"/>
      <c r="I7811" s="50"/>
      <c r="O7811" s="36" t="s">
        <v>48</v>
      </c>
      <c r="R7811" s="36" t="s">
        <v>48</v>
      </c>
    </row>
    <row r="7812">
      <c r="H7812" s="50"/>
      <c r="I7812" s="50"/>
      <c r="O7812" s="36" t="s">
        <v>48</v>
      </c>
      <c r="R7812" s="36" t="s">
        <v>48</v>
      </c>
    </row>
    <row r="7813">
      <c r="H7813" s="50"/>
      <c r="I7813" s="50"/>
      <c r="O7813" s="36" t="s">
        <v>48</v>
      </c>
      <c r="R7813" s="36" t="s">
        <v>48</v>
      </c>
    </row>
    <row r="7814">
      <c r="H7814" s="50"/>
      <c r="I7814" s="50"/>
      <c r="O7814" s="36" t="s">
        <v>48</v>
      </c>
      <c r="R7814" s="36" t="s">
        <v>48</v>
      </c>
    </row>
    <row r="7815">
      <c r="H7815" s="50"/>
      <c r="I7815" s="50"/>
      <c r="O7815" s="36" t="s">
        <v>48</v>
      </c>
      <c r="R7815" s="36" t="s">
        <v>48</v>
      </c>
    </row>
    <row r="7816">
      <c r="H7816" s="50"/>
      <c r="I7816" s="50"/>
      <c r="O7816" s="36" t="s">
        <v>48</v>
      </c>
      <c r="R7816" s="36" t="s">
        <v>48</v>
      </c>
    </row>
    <row r="7817">
      <c r="H7817" s="50"/>
      <c r="I7817" s="50"/>
      <c r="O7817" s="36" t="s">
        <v>48</v>
      </c>
      <c r="R7817" s="36" t="s">
        <v>48</v>
      </c>
    </row>
    <row r="7818">
      <c r="H7818" s="50"/>
      <c r="I7818" s="50"/>
      <c r="O7818" s="36" t="s">
        <v>48</v>
      </c>
      <c r="R7818" s="36" t="s">
        <v>48</v>
      </c>
    </row>
    <row r="7819">
      <c r="H7819" s="50"/>
      <c r="I7819" s="50"/>
      <c r="O7819" s="36" t="s">
        <v>48</v>
      </c>
      <c r="R7819" s="36" t="s">
        <v>48</v>
      </c>
    </row>
    <row r="7820">
      <c r="H7820" s="50"/>
      <c r="I7820" s="50"/>
      <c r="O7820" s="36" t="s">
        <v>48</v>
      </c>
      <c r="R7820" s="36" t="s">
        <v>48</v>
      </c>
    </row>
    <row r="7821">
      <c r="H7821" s="50"/>
      <c r="I7821" s="50"/>
      <c r="O7821" s="36" t="s">
        <v>48</v>
      </c>
      <c r="R7821" s="36" t="s">
        <v>48</v>
      </c>
    </row>
    <row r="7822">
      <c r="H7822" s="50"/>
      <c r="I7822" s="50"/>
      <c r="O7822" s="36" t="s">
        <v>48</v>
      </c>
      <c r="R7822" s="36" t="s">
        <v>48</v>
      </c>
    </row>
    <row r="7823">
      <c r="H7823" s="50"/>
      <c r="I7823" s="50"/>
      <c r="O7823" s="36" t="s">
        <v>48</v>
      </c>
      <c r="R7823" s="36" t="s">
        <v>48</v>
      </c>
    </row>
    <row r="7824">
      <c r="H7824" s="50"/>
      <c r="I7824" s="50"/>
      <c r="O7824" s="36" t="s">
        <v>48</v>
      </c>
      <c r="R7824" s="36" t="s">
        <v>48</v>
      </c>
    </row>
    <row r="7825">
      <c r="H7825" s="50"/>
      <c r="I7825" s="50"/>
      <c r="O7825" s="36" t="s">
        <v>48</v>
      </c>
      <c r="R7825" s="36" t="s">
        <v>48</v>
      </c>
    </row>
    <row r="7826">
      <c r="H7826" s="50"/>
      <c r="I7826" s="50"/>
      <c r="O7826" s="36" t="s">
        <v>48</v>
      </c>
      <c r="R7826" s="36" t="s">
        <v>48</v>
      </c>
    </row>
    <row r="7827">
      <c r="H7827" s="50"/>
      <c r="I7827" s="50"/>
      <c r="O7827" s="36" t="s">
        <v>48</v>
      </c>
      <c r="R7827" s="36" t="s">
        <v>48</v>
      </c>
    </row>
    <row r="7828">
      <c r="H7828" s="50"/>
      <c r="I7828" s="50"/>
      <c r="O7828" s="36" t="s">
        <v>48</v>
      </c>
      <c r="R7828" s="36" t="s">
        <v>48</v>
      </c>
    </row>
    <row r="7829">
      <c r="H7829" s="50"/>
      <c r="I7829" s="50"/>
      <c r="O7829" s="36" t="s">
        <v>48</v>
      </c>
      <c r="R7829" s="36" t="s">
        <v>48</v>
      </c>
    </row>
    <row r="7830">
      <c r="H7830" s="50"/>
      <c r="I7830" s="50"/>
      <c r="O7830" s="36" t="s">
        <v>48</v>
      </c>
      <c r="R7830" s="36" t="s">
        <v>48</v>
      </c>
    </row>
    <row r="7831">
      <c r="H7831" s="50"/>
      <c r="I7831" s="50"/>
      <c r="O7831" s="36" t="s">
        <v>48</v>
      </c>
      <c r="R7831" s="36" t="s">
        <v>48</v>
      </c>
    </row>
    <row r="7832">
      <c r="H7832" s="50"/>
      <c r="I7832" s="50"/>
      <c r="O7832" s="36" t="s">
        <v>48</v>
      </c>
      <c r="R7832" s="36" t="s">
        <v>48</v>
      </c>
    </row>
    <row r="7833">
      <c r="H7833" s="50"/>
      <c r="I7833" s="50"/>
      <c r="O7833" s="36" t="s">
        <v>48</v>
      </c>
      <c r="R7833" s="36" t="s">
        <v>48</v>
      </c>
    </row>
    <row r="7834">
      <c r="H7834" s="50"/>
      <c r="I7834" s="50"/>
      <c r="O7834" s="36" t="s">
        <v>48</v>
      </c>
      <c r="R7834" s="36" t="s">
        <v>48</v>
      </c>
    </row>
    <row r="7835">
      <c r="H7835" s="50"/>
      <c r="I7835" s="50"/>
      <c r="O7835" s="36" t="s">
        <v>48</v>
      </c>
      <c r="R7835" s="36" t="s">
        <v>48</v>
      </c>
    </row>
    <row r="7836">
      <c r="H7836" s="50"/>
      <c r="I7836" s="50"/>
      <c r="O7836" s="36" t="s">
        <v>48</v>
      </c>
      <c r="R7836" s="36" t="s">
        <v>48</v>
      </c>
    </row>
    <row r="7837">
      <c r="H7837" s="50"/>
      <c r="I7837" s="50"/>
      <c r="O7837" s="36" t="s">
        <v>48</v>
      </c>
      <c r="R7837" s="36" t="s">
        <v>48</v>
      </c>
    </row>
    <row r="7838">
      <c r="H7838" s="50"/>
      <c r="I7838" s="50"/>
      <c r="O7838" s="36" t="s">
        <v>48</v>
      </c>
      <c r="R7838" s="36" t="s">
        <v>48</v>
      </c>
    </row>
    <row r="7839">
      <c r="H7839" s="50"/>
      <c r="I7839" s="50"/>
      <c r="O7839" s="36" t="s">
        <v>48</v>
      </c>
      <c r="R7839" s="36" t="s">
        <v>48</v>
      </c>
    </row>
    <row r="7840">
      <c r="H7840" s="50"/>
      <c r="I7840" s="50"/>
      <c r="O7840" s="36" t="s">
        <v>48</v>
      </c>
      <c r="R7840" s="36" t="s">
        <v>48</v>
      </c>
    </row>
    <row r="7841">
      <c r="H7841" s="50"/>
      <c r="I7841" s="50"/>
      <c r="O7841" s="36" t="s">
        <v>48</v>
      </c>
      <c r="R7841" s="36" t="s">
        <v>48</v>
      </c>
    </row>
    <row r="7842">
      <c r="H7842" s="50"/>
      <c r="I7842" s="50"/>
      <c r="O7842" s="36" t="s">
        <v>48</v>
      </c>
      <c r="R7842" s="36" t="s">
        <v>48</v>
      </c>
    </row>
    <row r="7843">
      <c r="H7843" s="50"/>
      <c r="I7843" s="50"/>
      <c r="O7843" s="36" t="s">
        <v>48</v>
      </c>
      <c r="R7843" s="36" t="s">
        <v>48</v>
      </c>
    </row>
    <row r="7844">
      <c r="H7844" s="50"/>
      <c r="I7844" s="50"/>
      <c r="O7844" s="36" t="s">
        <v>48</v>
      </c>
      <c r="R7844" s="36" t="s">
        <v>48</v>
      </c>
    </row>
    <row r="7845">
      <c r="H7845" s="50"/>
      <c r="I7845" s="50"/>
      <c r="O7845" s="36" t="s">
        <v>48</v>
      </c>
      <c r="R7845" s="36" t="s">
        <v>48</v>
      </c>
    </row>
    <row r="7846">
      <c r="H7846" s="50"/>
      <c r="I7846" s="50"/>
      <c r="O7846" s="36" t="s">
        <v>48</v>
      </c>
      <c r="R7846" s="36" t="s">
        <v>48</v>
      </c>
    </row>
    <row r="7847">
      <c r="H7847" s="50"/>
      <c r="I7847" s="50"/>
      <c r="O7847" s="36" t="s">
        <v>48</v>
      </c>
      <c r="R7847" s="36" t="s">
        <v>48</v>
      </c>
    </row>
    <row r="7848">
      <c r="H7848" s="50"/>
      <c r="I7848" s="50"/>
      <c r="O7848" s="36" t="s">
        <v>48</v>
      </c>
      <c r="R7848" s="36" t="s">
        <v>48</v>
      </c>
    </row>
    <row r="7849">
      <c r="H7849" s="50"/>
      <c r="I7849" s="50"/>
      <c r="O7849" s="36" t="s">
        <v>48</v>
      </c>
      <c r="R7849" s="36" t="s">
        <v>48</v>
      </c>
    </row>
    <row r="7850">
      <c r="H7850" s="50"/>
      <c r="I7850" s="50"/>
      <c r="O7850" s="36" t="s">
        <v>48</v>
      </c>
      <c r="R7850" s="36" t="s">
        <v>48</v>
      </c>
    </row>
    <row r="7851">
      <c r="H7851" s="50"/>
      <c r="I7851" s="50"/>
      <c r="O7851" s="36" t="s">
        <v>48</v>
      </c>
      <c r="R7851" s="36" t="s">
        <v>48</v>
      </c>
    </row>
    <row r="7852">
      <c r="H7852" s="50"/>
      <c r="I7852" s="50"/>
      <c r="O7852" s="36" t="s">
        <v>48</v>
      </c>
      <c r="R7852" s="36" t="s">
        <v>48</v>
      </c>
    </row>
    <row r="7853">
      <c r="H7853" s="50"/>
      <c r="I7853" s="50"/>
      <c r="O7853" s="36" t="s">
        <v>48</v>
      </c>
      <c r="R7853" s="36" t="s">
        <v>48</v>
      </c>
    </row>
    <row r="7854">
      <c r="H7854" s="50"/>
      <c r="I7854" s="50"/>
      <c r="O7854" s="36" t="s">
        <v>48</v>
      </c>
      <c r="R7854" s="36" t="s">
        <v>48</v>
      </c>
    </row>
    <row r="7855">
      <c r="H7855" s="50"/>
      <c r="I7855" s="50"/>
      <c r="O7855" s="36" t="s">
        <v>48</v>
      </c>
      <c r="R7855" s="36" t="s">
        <v>48</v>
      </c>
    </row>
    <row r="7856">
      <c r="H7856" s="50"/>
      <c r="I7856" s="50"/>
      <c r="O7856" s="36" t="s">
        <v>48</v>
      </c>
      <c r="R7856" s="36" t="s">
        <v>48</v>
      </c>
    </row>
    <row r="7857">
      <c r="H7857" s="50"/>
      <c r="I7857" s="50"/>
      <c r="O7857" s="36" t="s">
        <v>48</v>
      </c>
      <c r="R7857" s="36" t="s">
        <v>48</v>
      </c>
    </row>
    <row r="7858">
      <c r="H7858" s="50"/>
      <c r="I7858" s="50"/>
      <c r="O7858" s="36" t="s">
        <v>48</v>
      </c>
      <c r="R7858" s="36" t="s">
        <v>48</v>
      </c>
    </row>
    <row r="7859">
      <c r="H7859" s="50"/>
      <c r="I7859" s="50"/>
      <c r="O7859" s="36" t="s">
        <v>48</v>
      </c>
      <c r="R7859" s="36" t="s">
        <v>48</v>
      </c>
    </row>
    <row r="7860">
      <c r="H7860" s="50"/>
      <c r="I7860" s="50"/>
      <c r="O7860" s="36" t="s">
        <v>48</v>
      </c>
      <c r="R7860" s="36" t="s">
        <v>48</v>
      </c>
    </row>
    <row r="7861">
      <c r="H7861" s="50"/>
      <c r="I7861" s="50"/>
      <c r="O7861" s="36" t="s">
        <v>48</v>
      </c>
      <c r="R7861" s="36" t="s">
        <v>48</v>
      </c>
    </row>
    <row r="7862">
      <c r="H7862" s="50"/>
      <c r="I7862" s="50"/>
      <c r="O7862" s="36" t="s">
        <v>48</v>
      </c>
      <c r="R7862" s="36" t="s">
        <v>48</v>
      </c>
    </row>
    <row r="7863">
      <c r="H7863" s="50"/>
      <c r="I7863" s="50"/>
      <c r="O7863" s="36" t="s">
        <v>48</v>
      </c>
      <c r="R7863" s="36" t="s">
        <v>48</v>
      </c>
    </row>
    <row r="7864">
      <c r="H7864" s="50"/>
      <c r="I7864" s="50"/>
      <c r="O7864" s="36" t="s">
        <v>48</v>
      </c>
      <c r="R7864" s="36" t="s">
        <v>48</v>
      </c>
    </row>
    <row r="7865">
      <c r="H7865" s="50"/>
      <c r="I7865" s="50"/>
      <c r="O7865" s="36" t="s">
        <v>48</v>
      </c>
      <c r="R7865" s="36" t="s">
        <v>48</v>
      </c>
    </row>
    <row r="7866">
      <c r="H7866" s="50"/>
      <c r="I7866" s="50"/>
      <c r="O7866" s="36" t="s">
        <v>48</v>
      </c>
      <c r="R7866" s="36" t="s">
        <v>48</v>
      </c>
    </row>
    <row r="7867">
      <c r="H7867" s="50"/>
      <c r="I7867" s="50"/>
      <c r="O7867" s="36" t="s">
        <v>48</v>
      </c>
      <c r="R7867" s="36" t="s">
        <v>48</v>
      </c>
    </row>
    <row r="7868">
      <c r="H7868" s="50"/>
      <c r="I7868" s="50"/>
      <c r="O7868" s="36" t="s">
        <v>48</v>
      </c>
      <c r="R7868" s="36" t="s">
        <v>48</v>
      </c>
    </row>
    <row r="7869">
      <c r="H7869" s="50"/>
      <c r="I7869" s="50"/>
      <c r="O7869" s="36" t="s">
        <v>48</v>
      </c>
      <c r="R7869" s="36" t="s">
        <v>48</v>
      </c>
    </row>
    <row r="7870">
      <c r="H7870" s="50"/>
      <c r="I7870" s="50"/>
      <c r="O7870" s="36" t="s">
        <v>48</v>
      </c>
      <c r="R7870" s="36" t="s">
        <v>48</v>
      </c>
    </row>
    <row r="7871">
      <c r="H7871" s="50"/>
      <c r="I7871" s="50"/>
      <c r="O7871" s="36" t="s">
        <v>48</v>
      </c>
      <c r="R7871" s="36" t="s">
        <v>48</v>
      </c>
    </row>
    <row r="7872">
      <c r="H7872" s="50"/>
      <c r="I7872" s="50"/>
      <c r="O7872" s="36" t="s">
        <v>48</v>
      </c>
      <c r="R7872" s="36" t="s">
        <v>48</v>
      </c>
    </row>
    <row r="7873">
      <c r="H7873" s="50"/>
      <c r="I7873" s="50"/>
      <c r="O7873" s="36" t="s">
        <v>48</v>
      </c>
      <c r="R7873" s="36" t="s">
        <v>48</v>
      </c>
    </row>
    <row r="7874">
      <c r="H7874" s="50"/>
      <c r="I7874" s="50"/>
      <c r="O7874" s="36" t="s">
        <v>48</v>
      </c>
      <c r="R7874" s="36" t="s">
        <v>48</v>
      </c>
    </row>
    <row r="7875">
      <c r="H7875" s="50"/>
      <c r="I7875" s="50"/>
      <c r="O7875" s="36" t="s">
        <v>48</v>
      </c>
      <c r="R7875" s="36" t="s">
        <v>48</v>
      </c>
    </row>
    <row r="7876">
      <c r="H7876" s="50"/>
      <c r="I7876" s="50"/>
      <c r="O7876" s="36" t="s">
        <v>48</v>
      </c>
      <c r="R7876" s="36" t="s">
        <v>48</v>
      </c>
    </row>
    <row r="7877">
      <c r="H7877" s="50"/>
      <c r="I7877" s="50"/>
      <c r="O7877" s="36" t="s">
        <v>48</v>
      </c>
      <c r="R7877" s="36" t="s">
        <v>48</v>
      </c>
    </row>
    <row r="7878">
      <c r="H7878" s="50"/>
      <c r="I7878" s="50"/>
      <c r="O7878" s="36" t="s">
        <v>48</v>
      </c>
      <c r="R7878" s="36" t="s">
        <v>48</v>
      </c>
    </row>
    <row r="7879">
      <c r="H7879" s="50"/>
      <c r="I7879" s="50"/>
      <c r="O7879" s="36" t="s">
        <v>48</v>
      </c>
      <c r="R7879" s="36" t="s">
        <v>48</v>
      </c>
    </row>
    <row r="7880">
      <c r="H7880" s="50"/>
      <c r="I7880" s="50"/>
      <c r="O7880" s="36" t="s">
        <v>48</v>
      </c>
      <c r="R7880" s="36" t="s">
        <v>48</v>
      </c>
    </row>
    <row r="7881">
      <c r="H7881" s="50"/>
      <c r="I7881" s="50"/>
      <c r="O7881" s="36" t="s">
        <v>48</v>
      </c>
      <c r="R7881" s="36" t="s">
        <v>48</v>
      </c>
    </row>
    <row r="7882">
      <c r="H7882" s="50"/>
      <c r="I7882" s="50"/>
      <c r="O7882" s="36" t="s">
        <v>48</v>
      </c>
      <c r="R7882" s="36" t="s">
        <v>48</v>
      </c>
    </row>
    <row r="7883">
      <c r="H7883" s="50"/>
      <c r="I7883" s="50"/>
      <c r="O7883" s="36" t="s">
        <v>48</v>
      </c>
      <c r="R7883" s="36" t="s">
        <v>48</v>
      </c>
    </row>
    <row r="7884">
      <c r="H7884" s="50"/>
      <c r="I7884" s="50"/>
      <c r="O7884" s="36" t="s">
        <v>48</v>
      </c>
      <c r="R7884" s="36" t="s">
        <v>48</v>
      </c>
    </row>
    <row r="7885">
      <c r="H7885" s="50"/>
      <c r="I7885" s="50"/>
      <c r="O7885" s="36" t="s">
        <v>48</v>
      </c>
      <c r="R7885" s="36" t="s">
        <v>48</v>
      </c>
    </row>
    <row r="7886">
      <c r="H7886" s="50"/>
      <c r="I7886" s="50"/>
      <c r="O7886" s="36" t="s">
        <v>48</v>
      </c>
      <c r="R7886" s="36" t="s">
        <v>48</v>
      </c>
    </row>
    <row r="7887">
      <c r="H7887" s="50"/>
      <c r="I7887" s="50"/>
      <c r="O7887" s="36" t="s">
        <v>48</v>
      </c>
      <c r="R7887" s="36" t="s">
        <v>48</v>
      </c>
    </row>
    <row r="7888">
      <c r="H7888" s="50"/>
      <c r="I7888" s="50"/>
      <c r="O7888" s="36" t="s">
        <v>48</v>
      </c>
      <c r="R7888" s="36" t="s">
        <v>48</v>
      </c>
    </row>
    <row r="7889">
      <c r="H7889" s="50"/>
      <c r="I7889" s="50"/>
      <c r="O7889" s="36" t="s">
        <v>48</v>
      </c>
      <c r="R7889" s="36" t="s">
        <v>48</v>
      </c>
    </row>
    <row r="7890">
      <c r="H7890" s="50"/>
      <c r="I7890" s="50"/>
      <c r="O7890" s="36" t="s">
        <v>48</v>
      </c>
      <c r="R7890" s="36" t="s">
        <v>48</v>
      </c>
    </row>
    <row r="7891">
      <c r="H7891" s="50"/>
      <c r="I7891" s="50"/>
      <c r="O7891" s="36" t="s">
        <v>48</v>
      </c>
      <c r="R7891" s="36" t="s">
        <v>48</v>
      </c>
    </row>
    <row r="7892">
      <c r="H7892" s="50"/>
      <c r="I7892" s="50"/>
      <c r="O7892" s="36" t="s">
        <v>48</v>
      </c>
      <c r="R7892" s="36" t="s">
        <v>48</v>
      </c>
    </row>
    <row r="7893">
      <c r="H7893" s="50"/>
      <c r="I7893" s="50"/>
      <c r="O7893" s="36" t="s">
        <v>48</v>
      </c>
      <c r="R7893" s="36" t="s">
        <v>48</v>
      </c>
    </row>
    <row r="7894">
      <c r="H7894" s="50"/>
      <c r="I7894" s="50"/>
      <c r="O7894" s="36" t="s">
        <v>48</v>
      </c>
      <c r="R7894" s="36" t="s">
        <v>48</v>
      </c>
    </row>
    <row r="7895">
      <c r="H7895" s="50"/>
      <c r="I7895" s="50"/>
      <c r="O7895" s="36" t="s">
        <v>48</v>
      </c>
      <c r="R7895" s="36" t="s">
        <v>48</v>
      </c>
    </row>
    <row r="7896">
      <c r="H7896" s="50"/>
      <c r="I7896" s="50"/>
      <c r="O7896" s="36" t="s">
        <v>48</v>
      </c>
      <c r="R7896" s="36" t="s">
        <v>48</v>
      </c>
    </row>
    <row r="7897">
      <c r="H7897" s="50"/>
      <c r="I7897" s="50"/>
      <c r="O7897" s="36" t="s">
        <v>48</v>
      </c>
      <c r="R7897" s="36" t="s">
        <v>48</v>
      </c>
    </row>
    <row r="7898">
      <c r="H7898" s="50"/>
      <c r="I7898" s="50"/>
      <c r="O7898" s="36" t="s">
        <v>48</v>
      </c>
      <c r="R7898" s="36" t="s">
        <v>48</v>
      </c>
    </row>
    <row r="7899">
      <c r="H7899" s="50"/>
      <c r="I7899" s="50"/>
      <c r="O7899" s="36" t="s">
        <v>48</v>
      </c>
      <c r="R7899" s="36" t="s">
        <v>48</v>
      </c>
    </row>
    <row r="7900">
      <c r="H7900" s="50"/>
      <c r="I7900" s="50"/>
      <c r="O7900" s="36" t="s">
        <v>48</v>
      </c>
      <c r="R7900" s="36" t="s">
        <v>48</v>
      </c>
    </row>
    <row r="7901">
      <c r="H7901" s="50"/>
      <c r="I7901" s="50"/>
      <c r="O7901" s="36" t="s">
        <v>48</v>
      </c>
      <c r="R7901" s="36" t="s">
        <v>48</v>
      </c>
    </row>
    <row r="7902">
      <c r="H7902" s="50"/>
      <c r="I7902" s="50"/>
      <c r="O7902" s="36" t="s">
        <v>48</v>
      </c>
      <c r="R7902" s="36" t="s">
        <v>48</v>
      </c>
    </row>
    <row r="7903">
      <c r="H7903" s="50"/>
      <c r="I7903" s="50"/>
      <c r="O7903" s="36" t="s">
        <v>48</v>
      </c>
      <c r="R7903" s="36" t="s">
        <v>48</v>
      </c>
    </row>
    <row r="7904">
      <c r="H7904" s="50"/>
      <c r="I7904" s="50"/>
      <c r="O7904" s="36" t="s">
        <v>48</v>
      </c>
      <c r="R7904" s="36" t="s">
        <v>48</v>
      </c>
    </row>
    <row r="7905">
      <c r="H7905" s="50"/>
      <c r="I7905" s="50"/>
      <c r="O7905" s="36" t="s">
        <v>48</v>
      </c>
      <c r="R7905" s="36" t="s">
        <v>48</v>
      </c>
    </row>
    <row r="7906">
      <c r="H7906" s="50"/>
      <c r="I7906" s="50"/>
      <c r="O7906" s="36" t="s">
        <v>48</v>
      </c>
      <c r="R7906" s="36" t="s">
        <v>48</v>
      </c>
    </row>
    <row r="7907">
      <c r="H7907" s="50"/>
      <c r="I7907" s="50"/>
      <c r="O7907" s="36" t="s">
        <v>48</v>
      </c>
      <c r="R7907" s="36" t="s">
        <v>48</v>
      </c>
    </row>
    <row r="7908">
      <c r="H7908" s="50"/>
      <c r="I7908" s="50"/>
      <c r="O7908" s="36" t="s">
        <v>48</v>
      </c>
      <c r="R7908" s="36" t="s">
        <v>48</v>
      </c>
    </row>
    <row r="7909">
      <c r="H7909" s="50"/>
      <c r="I7909" s="50"/>
      <c r="O7909" s="36" t="s">
        <v>48</v>
      </c>
      <c r="R7909" s="36" t="s">
        <v>48</v>
      </c>
    </row>
    <row r="7910">
      <c r="H7910" s="50"/>
      <c r="I7910" s="50"/>
      <c r="O7910" s="36" t="s">
        <v>48</v>
      </c>
      <c r="R7910" s="36" t="s">
        <v>48</v>
      </c>
    </row>
    <row r="7911">
      <c r="H7911" s="50"/>
      <c r="I7911" s="50"/>
      <c r="O7911" s="36" t="s">
        <v>48</v>
      </c>
      <c r="R7911" s="36" t="s">
        <v>48</v>
      </c>
    </row>
    <row r="7912">
      <c r="H7912" s="50"/>
      <c r="I7912" s="50"/>
      <c r="O7912" s="36" t="s">
        <v>48</v>
      </c>
      <c r="R7912" s="36" t="s">
        <v>48</v>
      </c>
    </row>
    <row r="7913">
      <c r="H7913" s="50"/>
      <c r="I7913" s="50"/>
      <c r="O7913" s="36" t="s">
        <v>48</v>
      </c>
      <c r="R7913" s="36" t="s">
        <v>48</v>
      </c>
    </row>
    <row r="7914">
      <c r="H7914" s="50"/>
      <c r="I7914" s="50"/>
      <c r="O7914" s="36" t="s">
        <v>48</v>
      </c>
      <c r="R7914" s="36" t="s">
        <v>48</v>
      </c>
    </row>
    <row r="7915">
      <c r="H7915" s="50"/>
      <c r="I7915" s="50"/>
      <c r="O7915" s="36" t="s">
        <v>48</v>
      </c>
      <c r="R7915" s="36" t="s">
        <v>48</v>
      </c>
    </row>
    <row r="7916">
      <c r="H7916" s="50"/>
      <c r="I7916" s="50"/>
      <c r="O7916" s="36" t="s">
        <v>48</v>
      </c>
      <c r="R7916" s="36" t="s">
        <v>48</v>
      </c>
    </row>
    <row r="7917">
      <c r="H7917" s="50"/>
      <c r="I7917" s="50"/>
      <c r="O7917" s="36" t="s">
        <v>48</v>
      </c>
      <c r="R7917" s="36" t="s">
        <v>48</v>
      </c>
    </row>
    <row r="7918">
      <c r="H7918" s="50"/>
      <c r="I7918" s="50"/>
      <c r="O7918" s="36" t="s">
        <v>48</v>
      </c>
      <c r="R7918" s="36" t="s">
        <v>48</v>
      </c>
    </row>
    <row r="7919">
      <c r="H7919" s="50"/>
      <c r="I7919" s="50"/>
      <c r="O7919" s="36" t="s">
        <v>48</v>
      </c>
      <c r="R7919" s="36" t="s">
        <v>48</v>
      </c>
    </row>
    <row r="7920">
      <c r="H7920" s="50"/>
      <c r="I7920" s="50"/>
      <c r="O7920" s="36" t="s">
        <v>48</v>
      </c>
      <c r="R7920" s="36" t="s">
        <v>48</v>
      </c>
    </row>
    <row r="7921">
      <c r="H7921" s="50"/>
      <c r="I7921" s="50"/>
      <c r="O7921" s="36" t="s">
        <v>48</v>
      </c>
      <c r="R7921" s="36" t="s">
        <v>48</v>
      </c>
    </row>
    <row r="7922">
      <c r="H7922" s="50"/>
      <c r="I7922" s="50"/>
      <c r="O7922" s="36" t="s">
        <v>48</v>
      </c>
      <c r="R7922" s="36" t="s">
        <v>48</v>
      </c>
    </row>
    <row r="7923">
      <c r="H7923" s="50"/>
      <c r="I7923" s="50"/>
      <c r="O7923" s="36" t="s">
        <v>48</v>
      </c>
      <c r="R7923" s="36" t="s">
        <v>48</v>
      </c>
    </row>
    <row r="7924">
      <c r="H7924" s="50"/>
      <c r="I7924" s="50"/>
      <c r="O7924" s="36" t="s">
        <v>48</v>
      </c>
      <c r="R7924" s="36" t="s">
        <v>48</v>
      </c>
    </row>
    <row r="7925">
      <c r="H7925" s="50"/>
      <c r="I7925" s="50"/>
      <c r="O7925" s="36" t="s">
        <v>48</v>
      </c>
      <c r="R7925" s="36" t="s">
        <v>48</v>
      </c>
    </row>
    <row r="7926">
      <c r="H7926" s="50"/>
      <c r="I7926" s="50"/>
      <c r="O7926" s="36" t="s">
        <v>48</v>
      </c>
      <c r="R7926" s="36" t="s">
        <v>48</v>
      </c>
    </row>
    <row r="7927">
      <c r="H7927" s="50"/>
      <c r="I7927" s="50"/>
      <c r="O7927" s="36" t="s">
        <v>48</v>
      </c>
      <c r="R7927" s="36" t="s">
        <v>48</v>
      </c>
    </row>
    <row r="7928">
      <c r="H7928" s="50"/>
      <c r="I7928" s="50"/>
      <c r="O7928" s="36" t="s">
        <v>48</v>
      </c>
      <c r="R7928" s="36" t="s">
        <v>48</v>
      </c>
    </row>
    <row r="7929">
      <c r="H7929" s="50"/>
      <c r="I7929" s="50"/>
      <c r="O7929" s="36" t="s">
        <v>48</v>
      </c>
      <c r="R7929" s="36" t="s">
        <v>48</v>
      </c>
    </row>
    <row r="7930">
      <c r="H7930" s="50"/>
      <c r="I7930" s="50"/>
      <c r="O7930" s="36" t="s">
        <v>48</v>
      </c>
      <c r="R7930" s="36" t="s">
        <v>48</v>
      </c>
    </row>
    <row r="7931">
      <c r="H7931" s="50"/>
      <c r="I7931" s="50"/>
      <c r="O7931" s="36" t="s">
        <v>48</v>
      </c>
      <c r="R7931" s="36" t="s">
        <v>48</v>
      </c>
    </row>
    <row r="7932">
      <c r="H7932" s="50"/>
      <c r="I7932" s="50"/>
      <c r="O7932" s="36" t="s">
        <v>48</v>
      </c>
      <c r="R7932" s="36" t="s">
        <v>48</v>
      </c>
    </row>
    <row r="7933">
      <c r="H7933" s="50"/>
      <c r="I7933" s="50"/>
      <c r="O7933" s="36" t="s">
        <v>48</v>
      </c>
      <c r="R7933" s="36" t="s">
        <v>48</v>
      </c>
    </row>
    <row r="7934">
      <c r="H7934" s="50"/>
      <c r="I7934" s="50"/>
      <c r="O7934" s="36" t="s">
        <v>48</v>
      </c>
      <c r="R7934" s="36" t="s">
        <v>48</v>
      </c>
    </row>
    <row r="7935">
      <c r="H7935" s="50"/>
      <c r="I7935" s="50"/>
      <c r="O7935" s="36" t="s">
        <v>48</v>
      </c>
      <c r="R7935" s="36" t="s">
        <v>48</v>
      </c>
    </row>
    <row r="7936">
      <c r="H7936" s="50"/>
      <c r="I7936" s="50"/>
      <c r="O7936" s="36" t="s">
        <v>48</v>
      </c>
      <c r="R7936" s="36" t="s">
        <v>48</v>
      </c>
    </row>
    <row r="7937">
      <c r="H7937" s="50"/>
      <c r="I7937" s="50"/>
      <c r="O7937" s="36" t="s">
        <v>48</v>
      </c>
      <c r="R7937" s="36" t="s">
        <v>48</v>
      </c>
    </row>
    <row r="7938">
      <c r="H7938" s="50"/>
      <c r="I7938" s="50"/>
      <c r="O7938" s="36" t="s">
        <v>48</v>
      </c>
      <c r="R7938" s="36" t="s">
        <v>48</v>
      </c>
    </row>
    <row r="7939">
      <c r="H7939" s="50"/>
      <c r="I7939" s="50"/>
      <c r="O7939" s="36" t="s">
        <v>48</v>
      </c>
      <c r="R7939" s="36" t="s">
        <v>48</v>
      </c>
    </row>
    <row r="7940">
      <c r="H7940" s="50"/>
      <c r="I7940" s="50"/>
      <c r="O7940" s="36" t="s">
        <v>48</v>
      </c>
      <c r="R7940" s="36" t="s">
        <v>48</v>
      </c>
    </row>
    <row r="7941">
      <c r="H7941" s="50"/>
      <c r="I7941" s="50"/>
      <c r="O7941" s="36" t="s">
        <v>48</v>
      </c>
      <c r="R7941" s="36" t="s">
        <v>48</v>
      </c>
    </row>
    <row r="7942">
      <c r="H7942" s="50"/>
      <c r="I7942" s="50"/>
      <c r="O7942" s="36" t="s">
        <v>48</v>
      </c>
      <c r="R7942" s="36" t="s">
        <v>48</v>
      </c>
    </row>
    <row r="7943">
      <c r="H7943" s="50"/>
      <c r="I7943" s="50"/>
      <c r="O7943" s="36" t="s">
        <v>48</v>
      </c>
      <c r="R7943" s="36" t="s">
        <v>48</v>
      </c>
    </row>
    <row r="7944">
      <c r="H7944" s="50"/>
      <c r="I7944" s="50"/>
      <c r="O7944" s="36" t="s">
        <v>48</v>
      </c>
      <c r="R7944" s="36" t="s">
        <v>48</v>
      </c>
    </row>
    <row r="7945">
      <c r="H7945" s="50"/>
      <c r="I7945" s="50"/>
      <c r="O7945" s="36" t="s">
        <v>48</v>
      </c>
      <c r="R7945" s="36" t="s">
        <v>48</v>
      </c>
    </row>
    <row r="7946">
      <c r="H7946" s="50"/>
      <c r="I7946" s="50"/>
      <c r="O7946" s="36" t="s">
        <v>48</v>
      </c>
      <c r="R7946" s="36" t="s">
        <v>48</v>
      </c>
    </row>
    <row r="7947">
      <c r="H7947" s="50"/>
      <c r="I7947" s="50"/>
      <c r="O7947" s="36" t="s">
        <v>48</v>
      </c>
      <c r="R7947" s="36" t="s">
        <v>48</v>
      </c>
    </row>
    <row r="7948">
      <c r="H7948" s="50"/>
      <c r="I7948" s="50"/>
      <c r="O7948" s="36" t="s">
        <v>48</v>
      </c>
      <c r="R7948" s="36" t="s">
        <v>48</v>
      </c>
    </row>
    <row r="7949">
      <c r="H7949" s="50"/>
      <c r="I7949" s="50"/>
      <c r="O7949" s="36" t="s">
        <v>48</v>
      </c>
      <c r="R7949" s="36" t="s">
        <v>48</v>
      </c>
    </row>
    <row r="7950">
      <c r="H7950" s="50"/>
      <c r="I7950" s="50"/>
      <c r="O7950" s="36" t="s">
        <v>48</v>
      </c>
      <c r="R7950" s="36" t="s">
        <v>48</v>
      </c>
    </row>
    <row r="7951">
      <c r="H7951" s="50"/>
      <c r="I7951" s="50"/>
      <c r="O7951" s="36" t="s">
        <v>48</v>
      </c>
      <c r="R7951" s="36" t="s">
        <v>48</v>
      </c>
    </row>
    <row r="7952">
      <c r="H7952" s="50"/>
      <c r="I7952" s="50"/>
      <c r="O7952" s="36" t="s">
        <v>48</v>
      </c>
      <c r="R7952" s="36" t="s">
        <v>48</v>
      </c>
    </row>
    <row r="7953">
      <c r="H7953" s="50"/>
      <c r="I7953" s="50"/>
      <c r="O7953" s="36" t="s">
        <v>48</v>
      </c>
      <c r="R7953" s="36" t="s">
        <v>48</v>
      </c>
    </row>
    <row r="7954">
      <c r="H7954" s="50"/>
      <c r="I7954" s="50"/>
      <c r="O7954" s="36" t="s">
        <v>48</v>
      </c>
      <c r="R7954" s="36" t="s">
        <v>48</v>
      </c>
    </row>
    <row r="7955">
      <c r="H7955" s="50"/>
      <c r="I7955" s="50"/>
      <c r="O7955" s="36" t="s">
        <v>48</v>
      </c>
      <c r="R7955" s="36" t="s">
        <v>48</v>
      </c>
    </row>
    <row r="7956">
      <c r="H7956" s="50"/>
      <c r="I7956" s="50"/>
      <c r="O7956" s="36" t="s">
        <v>48</v>
      </c>
      <c r="R7956" s="36" t="s">
        <v>48</v>
      </c>
    </row>
    <row r="7957">
      <c r="H7957" s="50"/>
      <c r="I7957" s="50"/>
      <c r="O7957" s="36" t="s">
        <v>48</v>
      </c>
      <c r="R7957" s="36" t="s">
        <v>48</v>
      </c>
    </row>
    <row r="7958">
      <c r="H7958" s="50"/>
      <c r="I7958" s="50"/>
      <c r="O7958" s="36" t="s">
        <v>48</v>
      </c>
      <c r="R7958" s="36" t="s">
        <v>48</v>
      </c>
    </row>
    <row r="7959">
      <c r="H7959" s="50"/>
      <c r="I7959" s="50"/>
      <c r="O7959" s="36" t="s">
        <v>48</v>
      </c>
      <c r="R7959" s="36" t="s">
        <v>48</v>
      </c>
    </row>
    <row r="7960">
      <c r="H7960" s="50"/>
      <c r="I7960" s="50"/>
      <c r="O7960" s="36" t="s">
        <v>48</v>
      </c>
      <c r="R7960" s="36" t="s">
        <v>48</v>
      </c>
    </row>
    <row r="7961">
      <c r="H7961" s="50"/>
      <c r="I7961" s="50"/>
      <c r="O7961" s="36" t="s">
        <v>48</v>
      </c>
      <c r="R7961" s="36" t="s">
        <v>48</v>
      </c>
    </row>
    <row r="7962">
      <c r="H7962" s="50"/>
      <c r="I7962" s="50"/>
      <c r="O7962" s="36" t="s">
        <v>48</v>
      </c>
      <c r="R7962" s="36" t="s">
        <v>48</v>
      </c>
    </row>
    <row r="7963">
      <c r="H7963" s="50"/>
      <c r="I7963" s="50"/>
      <c r="O7963" s="36" t="s">
        <v>48</v>
      </c>
      <c r="R7963" s="36" t="s">
        <v>48</v>
      </c>
    </row>
    <row r="7964">
      <c r="H7964" s="50"/>
      <c r="I7964" s="50"/>
      <c r="O7964" s="36" t="s">
        <v>48</v>
      </c>
      <c r="R7964" s="36" t="s">
        <v>48</v>
      </c>
    </row>
    <row r="7965">
      <c r="H7965" s="50"/>
      <c r="I7965" s="50"/>
      <c r="O7965" s="36" t="s">
        <v>48</v>
      </c>
      <c r="R7965" s="36" t="s">
        <v>48</v>
      </c>
    </row>
    <row r="7966">
      <c r="H7966" s="50"/>
      <c r="I7966" s="50"/>
      <c r="O7966" s="36" t="s">
        <v>48</v>
      </c>
      <c r="R7966" s="36" t="s">
        <v>48</v>
      </c>
    </row>
    <row r="7967">
      <c r="H7967" s="50"/>
      <c r="I7967" s="50"/>
      <c r="O7967" s="36" t="s">
        <v>48</v>
      </c>
      <c r="R7967" s="36" t="s">
        <v>48</v>
      </c>
    </row>
    <row r="7968">
      <c r="H7968" s="50"/>
      <c r="I7968" s="50"/>
      <c r="O7968" s="36" t="s">
        <v>48</v>
      </c>
      <c r="R7968" s="36" t="s">
        <v>48</v>
      </c>
    </row>
    <row r="7969">
      <c r="H7969" s="50"/>
      <c r="I7969" s="50"/>
      <c r="O7969" s="36" t="s">
        <v>48</v>
      </c>
      <c r="R7969" s="36" t="s">
        <v>48</v>
      </c>
    </row>
    <row r="7970">
      <c r="H7970" s="50"/>
      <c r="I7970" s="50"/>
      <c r="O7970" s="36" t="s">
        <v>48</v>
      </c>
      <c r="R7970" s="36" t="s">
        <v>48</v>
      </c>
    </row>
    <row r="7971">
      <c r="H7971" s="50"/>
      <c r="I7971" s="50"/>
      <c r="O7971" s="36" t="s">
        <v>48</v>
      </c>
      <c r="R7971" s="36" t="s">
        <v>48</v>
      </c>
    </row>
    <row r="7972">
      <c r="H7972" s="50"/>
      <c r="I7972" s="50"/>
      <c r="O7972" s="36" t="s">
        <v>48</v>
      </c>
      <c r="R7972" s="36" t="s">
        <v>48</v>
      </c>
    </row>
    <row r="7973">
      <c r="H7973" s="50"/>
      <c r="I7973" s="50"/>
      <c r="O7973" s="36" t="s">
        <v>48</v>
      </c>
      <c r="R7973" s="36" t="s">
        <v>48</v>
      </c>
    </row>
    <row r="7974">
      <c r="H7974" s="50"/>
      <c r="I7974" s="50"/>
      <c r="O7974" s="36" t="s">
        <v>48</v>
      </c>
      <c r="R7974" s="36" t="s">
        <v>48</v>
      </c>
    </row>
    <row r="7975">
      <c r="H7975" s="50"/>
      <c r="I7975" s="50"/>
      <c r="O7975" s="36" t="s">
        <v>48</v>
      </c>
      <c r="R7975" s="36" t="s">
        <v>48</v>
      </c>
    </row>
    <row r="7976">
      <c r="H7976" s="50"/>
      <c r="I7976" s="50"/>
      <c r="O7976" s="36" t="s">
        <v>48</v>
      </c>
      <c r="R7976" s="36" t="s">
        <v>48</v>
      </c>
    </row>
    <row r="7977">
      <c r="H7977" s="50"/>
      <c r="I7977" s="50"/>
      <c r="O7977" s="36" t="s">
        <v>48</v>
      </c>
      <c r="R7977" s="36" t="s">
        <v>48</v>
      </c>
    </row>
    <row r="7978">
      <c r="H7978" s="50"/>
      <c r="I7978" s="50"/>
      <c r="O7978" s="36" t="s">
        <v>48</v>
      </c>
      <c r="R7978" s="36" t="s">
        <v>48</v>
      </c>
    </row>
    <row r="7979">
      <c r="H7979" s="50"/>
      <c r="I7979" s="50"/>
      <c r="O7979" s="36" t="s">
        <v>48</v>
      </c>
      <c r="R7979" s="36" t="s">
        <v>48</v>
      </c>
    </row>
    <row r="7980">
      <c r="H7980" s="50"/>
      <c r="I7980" s="50"/>
      <c r="O7980" s="36" t="s">
        <v>48</v>
      </c>
      <c r="R7980" s="36" t="s">
        <v>48</v>
      </c>
    </row>
    <row r="7981">
      <c r="H7981" s="50"/>
      <c r="I7981" s="50"/>
      <c r="O7981" s="36" t="s">
        <v>48</v>
      </c>
      <c r="R7981" s="36" t="s">
        <v>48</v>
      </c>
    </row>
    <row r="7982">
      <c r="H7982" s="50"/>
      <c r="I7982" s="50"/>
      <c r="O7982" s="36" t="s">
        <v>48</v>
      </c>
      <c r="R7982" s="36" t="s">
        <v>48</v>
      </c>
    </row>
    <row r="7983">
      <c r="H7983" s="50"/>
      <c r="I7983" s="50"/>
      <c r="O7983" s="36" t="s">
        <v>48</v>
      </c>
      <c r="R7983" s="36" t="s">
        <v>48</v>
      </c>
    </row>
    <row r="7984">
      <c r="H7984" s="50"/>
      <c r="I7984" s="50"/>
      <c r="O7984" s="36" t="s">
        <v>48</v>
      </c>
      <c r="R7984" s="36" t="s">
        <v>48</v>
      </c>
    </row>
    <row r="7985">
      <c r="H7985" s="50"/>
      <c r="I7985" s="50"/>
      <c r="O7985" s="36" t="s">
        <v>48</v>
      </c>
      <c r="R7985" s="36" t="s">
        <v>48</v>
      </c>
    </row>
    <row r="7986">
      <c r="H7986" s="50"/>
      <c r="I7986" s="50"/>
      <c r="O7986" s="36" t="s">
        <v>48</v>
      </c>
      <c r="R7986" s="36" t="s">
        <v>48</v>
      </c>
    </row>
    <row r="7987">
      <c r="H7987" s="50"/>
      <c r="I7987" s="50"/>
      <c r="O7987" s="36" t="s">
        <v>48</v>
      </c>
      <c r="R7987" s="36" t="s">
        <v>48</v>
      </c>
    </row>
    <row r="7988">
      <c r="H7988" s="50"/>
      <c r="I7988" s="50"/>
      <c r="O7988" s="36" t="s">
        <v>48</v>
      </c>
      <c r="R7988" s="36" t="s">
        <v>48</v>
      </c>
    </row>
    <row r="7989">
      <c r="H7989" s="50"/>
      <c r="I7989" s="50"/>
      <c r="O7989" s="36" t="s">
        <v>48</v>
      </c>
      <c r="R7989" s="36" t="s">
        <v>48</v>
      </c>
    </row>
    <row r="7990">
      <c r="H7990" s="50"/>
      <c r="I7990" s="50"/>
      <c r="O7990" s="36" t="s">
        <v>48</v>
      </c>
      <c r="R7990" s="36" t="s">
        <v>48</v>
      </c>
    </row>
    <row r="7991">
      <c r="H7991" s="50"/>
      <c r="I7991" s="50"/>
      <c r="O7991" s="36" t="s">
        <v>48</v>
      </c>
      <c r="R7991" s="36" t="s">
        <v>48</v>
      </c>
    </row>
    <row r="7992">
      <c r="H7992" s="50"/>
      <c r="I7992" s="50"/>
      <c r="O7992" s="36" t="s">
        <v>48</v>
      </c>
      <c r="R7992" s="36" t="s">
        <v>48</v>
      </c>
    </row>
    <row r="7993">
      <c r="H7993" s="50"/>
      <c r="I7993" s="50"/>
      <c r="O7993" s="36" t="s">
        <v>48</v>
      </c>
      <c r="R7993" s="36" t="s">
        <v>48</v>
      </c>
    </row>
    <row r="7994">
      <c r="H7994" s="50"/>
      <c r="I7994" s="50"/>
      <c r="O7994" s="36" t="s">
        <v>48</v>
      </c>
      <c r="R7994" s="36" t="s">
        <v>48</v>
      </c>
    </row>
    <row r="7995">
      <c r="H7995" s="50"/>
      <c r="I7995" s="50"/>
      <c r="O7995" s="36" t="s">
        <v>48</v>
      </c>
      <c r="R7995" s="36" t="s">
        <v>48</v>
      </c>
    </row>
    <row r="7996">
      <c r="H7996" s="50"/>
      <c r="I7996" s="50"/>
      <c r="O7996" s="36" t="s">
        <v>48</v>
      </c>
      <c r="R7996" s="36" t="s">
        <v>48</v>
      </c>
    </row>
    <row r="7997">
      <c r="H7997" s="50"/>
      <c r="I7997" s="50"/>
      <c r="O7997" s="36" t="s">
        <v>48</v>
      </c>
      <c r="R7997" s="36" t="s">
        <v>48</v>
      </c>
    </row>
    <row r="7998">
      <c r="H7998" s="50"/>
      <c r="I7998" s="50"/>
      <c r="O7998" s="36" t="s">
        <v>48</v>
      </c>
      <c r="R7998" s="36" t="s">
        <v>48</v>
      </c>
    </row>
    <row r="7999">
      <c r="H7999" s="50"/>
      <c r="I7999" s="50"/>
      <c r="O7999" s="36" t="s">
        <v>48</v>
      </c>
      <c r="R7999" s="36" t="s">
        <v>48</v>
      </c>
    </row>
    <row r="8000">
      <c r="H8000" s="50"/>
      <c r="I8000" s="50"/>
      <c r="O8000" s="36" t="s">
        <v>48</v>
      </c>
      <c r="R8000" s="36" t="s">
        <v>48</v>
      </c>
    </row>
    <row r="8001">
      <c r="H8001" s="50"/>
      <c r="I8001" s="50"/>
      <c r="O8001" s="36" t="s">
        <v>48</v>
      </c>
      <c r="R8001" s="36" t="s">
        <v>48</v>
      </c>
    </row>
    <row r="8002">
      <c r="H8002" s="50"/>
      <c r="I8002" s="50"/>
      <c r="O8002" s="36" t="s">
        <v>48</v>
      </c>
      <c r="R8002" s="36" t="s">
        <v>48</v>
      </c>
    </row>
    <row r="8003">
      <c r="H8003" s="50"/>
      <c r="I8003" s="50"/>
      <c r="O8003" s="36" t="s">
        <v>48</v>
      </c>
      <c r="R8003" s="36" t="s">
        <v>48</v>
      </c>
    </row>
    <row r="8004">
      <c r="H8004" s="50"/>
      <c r="I8004" s="50"/>
      <c r="O8004" s="36" t="s">
        <v>48</v>
      </c>
      <c r="R8004" s="36" t="s">
        <v>48</v>
      </c>
    </row>
    <row r="8005">
      <c r="H8005" s="50"/>
      <c r="I8005" s="50"/>
      <c r="O8005" s="36" t="s">
        <v>48</v>
      </c>
      <c r="R8005" s="36" t="s">
        <v>48</v>
      </c>
    </row>
    <row r="8006">
      <c r="H8006" s="50"/>
      <c r="I8006" s="50"/>
      <c r="O8006" s="36" t="s">
        <v>48</v>
      </c>
      <c r="R8006" s="36" t="s">
        <v>48</v>
      </c>
    </row>
    <row r="8007">
      <c r="H8007" s="50"/>
      <c r="I8007" s="50"/>
      <c r="O8007" s="36" t="s">
        <v>48</v>
      </c>
      <c r="R8007" s="36" t="s">
        <v>48</v>
      </c>
    </row>
    <row r="8008">
      <c r="H8008" s="50"/>
      <c r="I8008" s="50"/>
      <c r="O8008" s="36" t="s">
        <v>48</v>
      </c>
      <c r="R8008" s="36" t="s">
        <v>48</v>
      </c>
    </row>
    <row r="8009">
      <c r="H8009" s="50"/>
      <c r="I8009" s="50"/>
      <c r="O8009" s="36" t="s">
        <v>48</v>
      </c>
      <c r="R8009" s="36" t="s">
        <v>48</v>
      </c>
    </row>
    <row r="8010">
      <c r="H8010" s="50"/>
      <c r="I8010" s="50"/>
      <c r="O8010" s="36" t="s">
        <v>48</v>
      </c>
      <c r="R8010" s="36" t="s">
        <v>48</v>
      </c>
    </row>
    <row r="8011">
      <c r="H8011" s="50"/>
      <c r="I8011" s="50"/>
      <c r="O8011" s="36" t="s">
        <v>48</v>
      </c>
      <c r="R8011" s="36" t="s">
        <v>48</v>
      </c>
    </row>
    <row r="8012">
      <c r="H8012" s="50"/>
      <c r="I8012" s="50"/>
      <c r="O8012" s="36" t="s">
        <v>48</v>
      </c>
      <c r="R8012" s="36" t="s">
        <v>48</v>
      </c>
    </row>
    <row r="8013">
      <c r="H8013" s="50"/>
      <c r="I8013" s="50"/>
      <c r="O8013" s="36" t="s">
        <v>48</v>
      </c>
      <c r="R8013" s="36" t="s">
        <v>48</v>
      </c>
    </row>
    <row r="8014">
      <c r="H8014" s="50"/>
      <c r="I8014" s="50"/>
      <c r="O8014" s="36" t="s">
        <v>48</v>
      </c>
      <c r="R8014" s="36" t="s">
        <v>48</v>
      </c>
    </row>
    <row r="8015">
      <c r="H8015" s="50"/>
      <c r="I8015" s="50"/>
      <c r="O8015" s="36" t="s">
        <v>48</v>
      </c>
      <c r="R8015" s="36" t="s">
        <v>48</v>
      </c>
    </row>
    <row r="8016">
      <c r="H8016" s="50"/>
      <c r="I8016" s="50"/>
      <c r="O8016" s="36" t="s">
        <v>48</v>
      </c>
      <c r="R8016" s="36" t="s">
        <v>48</v>
      </c>
    </row>
    <row r="8017">
      <c r="H8017" s="50"/>
      <c r="I8017" s="50"/>
      <c r="O8017" s="36" t="s">
        <v>48</v>
      </c>
      <c r="R8017" s="36" t="s">
        <v>48</v>
      </c>
    </row>
    <row r="8018">
      <c r="H8018" s="50"/>
      <c r="I8018" s="50"/>
      <c r="O8018" s="36" t="s">
        <v>48</v>
      </c>
      <c r="R8018" s="36" t="s">
        <v>48</v>
      </c>
    </row>
    <row r="8019">
      <c r="H8019" s="50"/>
      <c r="I8019" s="50"/>
      <c r="O8019" s="36" t="s">
        <v>48</v>
      </c>
      <c r="R8019" s="36" t="s">
        <v>48</v>
      </c>
    </row>
    <row r="8020">
      <c r="H8020" s="50"/>
      <c r="I8020" s="50"/>
      <c r="O8020" s="36" t="s">
        <v>48</v>
      </c>
      <c r="R8020" s="36" t="s">
        <v>48</v>
      </c>
    </row>
    <row r="8021">
      <c r="H8021" s="50"/>
      <c r="I8021" s="50"/>
      <c r="O8021" s="36" t="s">
        <v>48</v>
      </c>
      <c r="R8021" s="36" t="s">
        <v>48</v>
      </c>
    </row>
    <row r="8022">
      <c r="H8022" s="50"/>
      <c r="I8022" s="50"/>
      <c r="O8022" s="36" t="s">
        <v>48</v>
      </c>
      <c r="R8022" s="36" t="s">
        <v>48</v>
      </c>
    </row>
    <row r="8023">
      <c r="H8023" s="50"/>
      <c r="I8023" s="50"/>
      <c r="O8023" s="36" t="s">
        <v>48</v>
      </c>
      <c r="R8023" s="36" t="s">
        <v>48</v>
      </c>
    </row>
    <row r="8024">
      <c r="H8024" s="50"/>
      <c r="I8024" s="50"/>
      <c r="O8024" s="36" t="s">
        <v>48</v>
      </c>
      <c r="R8024" s="36" t="s">
        <v>48</v>
      </c>
    </row>
    <row r="8025">
      <c r="H8025" s="50"/>
      <c r="I8025" s="50"/>
      <c r="O8025" s="36" t="s">
        <v>48</v>
      </c>
      <c r="R8025" s="36" t="s">
        <v>48</v>
      </c>
    </row>
    <row r="8026">
      <c r="H8026" s="50"/>
      <c r="I8026" s="50"/>
      <c r="O8026" s="36" t="s">
        <v>48</v>
      </c>
      <c r="R8026" s="36" t="s">
        <v>48</v>
      </c>
    </row>
    <row r="8027">
      <c r="H8027" s="50"/>
      <c r="I8027" s="50"/>
      <c r="O8027" s="36" t="s">
        <v>48</v>
      </c>
      <c r="R8027" s="36" t="s">
        <v>48</v>
      </c>
    </row>
    <row r="8028">
      <c r="H8028" s="50"/>
      <c r="I8028" s="50"/>
      <c r="O8028" s="36" t="s">
        <v>48</v>
      </c>
      <c r="R8028" s="36" t="s">
        <v>48</v>
      </c>
    </row>
    <row r="8029">
      <c r="H8029" s="50"/>
      <c r="I8029" s="50"/>
      <c r="O8029" s="36" t="s">
        <v>48</v>
      </c>
      <c r="R8029" s="36" t="s">
        <v>48</v>
      </c>
    </row>
    <row r="8030">
      <c r="H8030" s="50"/>
      <c r="I8030" s="50"/>
      <c r="O8030" s="36" t="s">
        <v>48</v>
      </c>
      <c r="R8030" s="36" t="s">
        <v>48</v>
      </c>
    </row>
    <row r="8031">
      <c r="H8031" s="50"/>
      <c r="I8031" s="50"/>
      <c r="O8031" s="36" t="s">
        <v>48</v>
      </c>
      <c r="R8031" s="36" t="s">
        <v>48</v>
      </c>
    </row>
    <row r="8032">
      <c r="H8032" s="50"/>
      <c r="I8032" s="50"/>
      <c r="O8032" s="36" t="s">
        <v>48</v>
      </c>
      <c r="R8032" s="36" t="s">
        <v>48</v>
      </c>
    </row>
    <row r="8033">
      <c r="H8033" s="50"/>
      <c r="I8033" s="50"/>
      <c r="O8033" s="36" t="s">
        <v>48</v>
      </c>
      <c r="R8033" s="36" t="s">
        <v>48</v>
      </c>
    </row>
    <row r="8034">
      <c r="H8034" s="50"/>
      <c r="I8034" s="50"/>
      <c r="O8034" s="36" t="s">
        <v>48</v>
      </c>
      <c r="R8034" s="36" t="s">
        <v>48</v>
      </c>
    </row>
    <row r="8035">
      <c r="H8035" s="50"/>
      <c r="I8035" s="50"/>
      <c r="O8035" s="36" t="s">
        <v>48</v>
      </c>
      <c r="R8035" s="36" t="s">
        <v>48</v>
      </c>
    </row>
    <row r="8036">
      <c r="H8036" s="50"/>
      <c r="I8036" s="50"/>
      <c r="O8036" s="36" t="s">
        <v>48</v>
      </c>
      <c r="R8036" s="36" t="s">
        <v>48</v>
      </c>
    </row>
    <row r="8037">
      <c r="H8037" s="50"/>
      <c r="I8037" s="50"/>
      <c r="O8037" s="36" t="s">
        <v>48</v>
      </c>
      <c r="R8037" s="36" t="s">
        <v>48</v>
      </c>
    </row>
    <row r="8038">
      <c r="H8038" s="50"/>
      <c r="I8038" s="50"/>
      <c r="O8038" s="36" t="s">
        <v>48</v>
      </c>
      <c r="R8038" s="36" t="s">
        <v>48</v>
      </c>
    </row>
    <row r="8039">
      <c r="H8039" s="50"/>
      <c r="I8039" s="50"/>
      <c r="O8039" s="36" t="s">
        <v>48</v>
      </c>
      <c r="R8039" s="36" t="s">
        <v>48</v>
      </c>
    </row>
    <row r="8040">
      <c r="H8040" s="50"/>
      <c r="I8040" s="50"/>
      <c r="O8040" s="36" t="s">
        <v>48</v>
      </c>
      <c r="R8040" s="36" t="s">
        <v>48</v>
      </c>
    </row>
    <row r="8041">
      <c r="H8041" s="50"/>
      <c r="I8041" s="50"/>
      <c r="O8041" s="36" t="s">
        <v>48</v>
      </c>
      <c r="R8041" s="36" t="s">
        <v>48</v>
      </c>
    </row>
    <row r="8042">
      <c r="H8042" s="50"/>
      <c r="I8042" s="50"/>
      <c r="O8042" s="36" t="s">
        <v>48</v>
      </c>
      <c r="R8042" s="36" t="s">
        <v>48</v>
      </c>
    </row>
    <row r="8043">
      <c r="H8043" s="50"/>
      <c r="I8043" s="50"/>
      <c r="O8043" s="36" t="s">
        <v>48</v>
      </c>
      <c r="R8043" s="36" t="s">
        <v>48</v>
      </c>
    </row>
    <row r="8044">
      <c r="H8044" s="50"/>
      <c r="I8044" s="50"/>
      <c r="O8044" s="36" t="s">
        <v>48</v>
      </c>
      <c r="R8044" s="36" t="s">
        <v>48</v>
      </c>
    </row>
    <row r="8045">
      <c r="H8045" s="50"/>
      <c r="I8045" s="50"/>
      <c r="O8045" s="36" t="s">
        <v>48</v>
      </c>
      <c r="R8045" s="36" t="s">
        <v>48</v>
      </c>
    </row>
    <row r="8046">
      <c r="H8046" s="50"/>
      <c r="I8046" s="50"/>
      <c r="O8046" s="36" t="s">
        <v>48</v>
      </c>
      <c r="R8046" s="36" t="s">
        <v>48</v>
      </c>
    </row>
    <row r="8047">
      <c r="H8047" s="50"/>
      <c r="I8047" s="50"/>
      <c r="O8047" s="36" t="s">
        <v>48</v>
      </c>
      <c r="R8047" s="36" t="s">
        <v>48</v>
      </c>
    </row>
    <row r="8048">
      <c r="H8048" s="50"/>
      <c r="I8048" s="50"/>
      <c r="O8048" s="36" t="s">
        <v>48</v>
      </c>
      <c r="R8048" s="36" t="s">
        <v>48</v>
      </c>
    </row>
    <row r="8049">
      <c r="H8049" s="50"/>
      <c r="I8049" s="50"/>
      <c r="O8049" s="36" t="s">
        <v>48</v>
      </c>
      <c r="R8049" s="36" t="s">
        <v>48</v>
      </c>
    </row>
    <row r="8050">
      <c r="H8050" s="50"/>
      <c r="I8050" s="50"/>
      <c r="O8050" s="36" t="s">
        <v>48</v>
      </c>
      <c r="R8050" s="36" t="s">
        <v>48</v>
      </c>
    </row>
    <row r="8051">
      <c r="H8051" s="50"/>
      <c r="I8051" s="50"/>
      <c r="O8051" s="36" t="s">
        <v>48</v>
      </c>
      <c r="R8051" s="36" t="s">
        <v>48</v>
      </c>
    </row>
    <row r="8052">
      <c r="H8052" s="50"/>
      <c r="I8052" s="50"/>
      <c r="O8052" s="36" t="s">
        <v>48</v>
      </c>
      <c r="R8052" s="36" t="s">
        <v>48</v>
      </c>
    </row>
    <row r="8053">
      <c r="H8053" s="50"/>
      <c r="I8053" s="50"/>
      <c r="O8053" s="36" t="s">
        <v>48</v>
      </c>
      <c r="R8053" s="36" t="s">
        <v>48</v>
      </c>
    </row>
    <row r="8054">
      <c r="H8054" s="50"/>
      <c r="I8054" s="50"/>
      <c r="O8054" s="36" t="s">
        <v>48</v>
      </c>
      <c r="R8054" s="36" t="s">
        <v>48</v>
      </c>
    </row>
    <row r="8055">
      <c r="H8055" s="50"/>
      <c r="I8055" s="50"/>
      <c r="O8055" s="36" t="s">
        <v>48</v>
      </c>
      <c r="R8055" s="36" t="s">
        <v>48</v>
      </c>
    </row>
    <row r="8056">
      <c r="H8056" s="50"/>
      <c r="I8056" s="50"/>
      <c r="O8056" s="36" t="s">
        <v>48</v>
      </c>
      <c r="R8056" s="36" t="s">
        <v>48</v>
      </c>
    </row>
    <row r="8057">
      <c r="H8057" s="50"/>
      <c r="I8057" s="50"/>
      <c r="O8057" s="36" t="s">
        <v>48</v>
      </c>
      <c r="R8057" s="36" t="s">
        <v>48</v>
      </c>
    </row>
    <row r="8058">
      <c r="H8058" s="50"/>
      <c r="I8058" s="50"/>
      <c r="O8058" s="36" t="s">
        <v>48</v>
      </c>
      <c r="R8058" s="36" t="s">
        <v>48</v>
      </c>
    </row>
    <row r="8059">
      <c r="H8059" s="50"/>
      <c r="I8059" s="50"/>
      <c r="O8059" s="36" t="s">
        <v>48</v>
      </c>
      <c r="R8059" s="36" t="s">
        <v>48</v>
      </c>
    </row>
    <row r="8060">
      <c r="H8060" s="50"/>
      <c r="I8060" s="50"/>
      <c r="O8060" s="36" t="s">
        <v>48</v>
      </c>
      <c r="R8060" s="36" t="s">
        <v>48</v>
      </c>
    </row>
    <row r="8061">
      <c r="H8061" s="50"/>
      <c r="I8061" s="50"/>
      <c r="O8061" s="36" t="s">
        <v>48</v>
      </c>
      <c r="R8061" s="36" t="s">
        <v>48</v>
      </c>
    </row>
    <row r="8062">
      <c r="H8062" s="50"/>
      <c r="I8062" s="50"/>
      <c r="O8062" s="36" t="s">
        <v>48</v>
      </c>
      <c r="R8062" s="36" t="s">
        <v>48</v>
      </c>
    </row>
    <row r="8063">
      <c r="H8063" s="50"/>
      <c r="I8063" s="50"/>
      <c r="O8063" s="36" t="s">
        <v>48</v>
      </c>
      <c r="R8063" s="36" t="s">
        <v>48</v>
      </c>
    </row>
    <row r="8064">
      <c r="H8064" s="50"/>
      <c r="I8064" s="50"/>
      <c r="O8064" s="36" t="s">
        <v>48</v>
      </c>
      <c r="R8064" s="36" t="s">
        <v>48</v>
      </c>
    </row>
    <row r="8065">
      <c r="H8065" s="50"/>
      <c r="I8065" s="50"/>
      <c r="O8065" s="36" t="s">
        <v>48</v>
      </c>
      <c r="R8065" s="36" t="s">
        <v>48</v>
      </c>
    </row>
    <row r="8066">
      <c r="H8066" s="50"/>
      <c r="I8066" s="50"/>
      <c r="O8066" s="36" t="s">
        <v>48</v>
      </c>
      <c r="R8066" s="36" t="s">
        <v>48</v>
      </c>
    </row>
    <row r="8067">
      <c r="H8067" s="50"/>
      <c r="I8067" s="50"/>
      <c r="O8067" s="36" t="s">
        <v>48</v>
      </c>
      <c r="R8067" s="36" t="s">
        <v>48</v>
      </c>
    </row>
    <row r="8068">
      <c r="H8068" s="50"/>
      <c r="I8068" s="50"/>
      <c r="O8068" s="36" t="s">
        <v>48</v>
      </c>
      <c r="R8068" s="36" t="s">
        <v>48</v>
      </c>
    </row>
    <row r="8069">
      <c r="H8069" s="50"/>
      <c r="I8069" s="50"/>
      <c r="O8069" s="36" t="s">
        <v>48</v>
      </c>
      <c r="R8069" s="36" t="s">
        <v>48</v>
      </c>
    </row>
    <row r="8070">
      <c r="H8070" s="50"/>
      <c r="I8070" s="50"/>
      <c r="O8070" s="36" t="s">
        <v>48</v>
      </c>
      <c r="R8070" s="36" t="s">
        <v>48</v>
      </c>
    </row>
    <row r="8071">
      <c r="H8071" s="50"/>
      <c r="I8071" s="50"/>
      <c r="O8071" s="36" t="s">
        <v>48</v>
      </c>
      <c r="R8071" s="36" t="s">
        <v>48</v>
      </c>
    </row>
    <row r="8072">
      <c r="H8072" s="50"/>
      <c r="I8072" s="50"/>
      <c r="O8072" s="36" t="s">
        <v>48</v>
      </c>
      <c r="R8072" s="36" t="s">
        <v>48</v>
      </c>
    </row>
    <row r="8073">
      <c r="H8073" s="50"/>
      <c r="I8073" s="50"/>
      <c r="O8073" s="36" t="s">
        <v>48</v>
      </c>
      <c r="R8073" s="36" t="s">
        <v>48</v>
      </c>
    </row>
    <row r="8074">
      <c r="H8074" s="50"/>
      <c r="I8074" s="50"/>
      <c r="O8074" s="36" t="s">
        <v>48</v>
      </c>
      <c r="R8074" s="36" t="s">
        <v>48</v>
      </c>
    </row>
    <row r="8075">
      <c r="H8075" s="50"/>
      <c r="I8075" s="50"/>
      <c r="O8075" s="36" t="s">
        <v>48</v>
      </c>
      <c r="R8075" s="36" t="s">
        <v>48</v>
      </c>
    </row>
    <row r="8076">
      <c r="H8076" s="50"/>
      <c r="I8076" s="50"/>
      <c r="O8076" s="36" t="s">
        <v>48</v>
      </c>
      <c r="R8076" s="36" t="s">
        <v>48</v>
      </c>
    </row>
    <row r="8077">
      <c r="H8077" s="50"/>
      <c r="I8077" s="50"/>
      <c r="O8077" s="36" t="s">
        <v>48</v>
      </c>
      <c r="R8077" s="36" t="s">
        <v>48</v>
      </c>
    </row>
    <row r="8078">
      <c r="H8078" s="50"/>
      <c r="I8078" s="50"/>
      <c r="O8078" s="36" t="s">
        <v>48</v>
      </c>
      <c r="R8078" s="36" t="s">
        <v>48</v>
      </c>
    </row>
    <row r="8079">
      <c r="H8079" s="50"/>
      <c r="I8079" s="50"/>
      <c r="O8079" s="36" t="s">
        <v>48</v>
      </c>
      <c r="R8079" s="36" t="s">
        <v>48</v>
      </c>
    </row>
    <row r="8080">
      <c r="H8080" s="50"/>
      <c r="I8080" s="50"/>
      <c r="O8080" s="36" t="s">
        <v>48</v>
      </c>
      <c r="R8080" s="36" t="s">
        <v>48</v>
      </c>
    </row>
    <row r="8081">
      <c r="H8081" s="50"/>
      <c r="I8081" s="50"/>
      <c r="O8081" s="36" t="s">
        <v>48</v>
      </c>
      <c r="R8081" s="36" t="s">
        <v>48</v>
      </c>
    </row>
    <row r="8082">
      <c r="H8082" s="50"/>
      <c r="I8082" s="50"/>
      <c r="O8082" s="36" t="s">
        <v>48</v>
      </c>
      <c r="R8082" s="36" t="s">
        <v>48</v>
      </c>
    </row>
    <row r="8083">
      <c r="H8083" s="50"/>
      <c r="I8083" s="50"/>
      <c r="O8083" s="36" t="s">
        <v>48</v>
      </c>
      <c r="R8083" s="36" t="s">
        <v>48</v>
      </c>
    </row>
    <row r="8084">
      <c r="H8084" s="50"/>
      <c r="I8084" s="50"/>
      <c r="O8084" s="36" t="s">
        <v>48</v>
      </c>
      <c r="R8084" s="36" t="s">
        <v>48</v>
      </c>
    </row>
    <row r="8085">
      <c r="H8085" s="50"/>
      <c r="I8085" s="50"/>
      <c r="O8085" s="36" t="s">
        <v>48</v>
      </c>
      <c r="R8085" s="36" t="s">
        <v>48</v>
      </c>
    </row>
    <row r="8086">
      <c r="H8086" s="50"/>
      <c r="I8086" s="50"/>
      <c r="O8086" s="36" t="s">
        <v>48</v>
      </c>
      <c r="R8086" s="36" t="s">
        <v>48</v>
      </c>
    </row>
    <row r="8087">
      <c r="H8087" s="50"/>
      <c r="I8087" s="50"/>
      <c r="O8087" s="36" t="s">
        <v>48</v>
      </c>
      <c r="R8087" s="36" t="s">
        <v>48</v>
      </c>
    </row>
    <row r="8088">
      <c r="H8088" s="50"/>
      <c r="I8088" s="50"/>
      <c r="O8088" s="36" t="s">
        <v>48</v>
      </c>
      <c r="R8088" s="36" t="s">
        <v>48</v>
      </c>
    </row>
    <row r="8089">
      <c r="H8089" s="50"/>
      <c r="I8089" s="50"/>
      <c r="O8089" s="36" t="s">
        <v>48</v>
      </c>
      <c r="R8089" s="36" t="s">
        <v>48</v>
      </c>
    </row>
    <row r="8090">
      <c r="H8090" s="50"/>
      <c r="I8090" s="50"/>
      <c r="O8090" s="36" t="s">
        <v>48</v>
      </c>
      <c r="R8090" s="36" t="s">
        <v>48</v>
      </c>
    </row>
    <row r="8091">
      <c r="H8091" s="50"/>
      <c r="I8091" s="50"/>
      <c r="O8091" s="36" t="s">
        <v>48</v>
      </c>
      <c r="R8091" s="36" t="s">
        <v>48</v>
      </c>
    </row>
    <row r="8092">
      <c r="H8092" s="50"/>
      <c r="I8092" s="50"/>
      <c r="O8092" s="36" t="s">
        <v>48</v>
      </c>
      <c r="R8092" s="36" t="s">
        <v>48</v>
      </c>
    </row>
    <row r="8093">
      <c r="H8093" s="50"/>
      <c r="I8093" s="50"/>
      <c r="O8093" s="36" t="s">
        <v>48</v>
      </c>
      <c r="R8093" s="36" t="s">
        <v>48</v>
      </c>
    </row>
    <row r="8094">
      <c r="H8094" s="50"/>
      <c r="I8094" s="50"/>
      <c r="O8094" s="36" t="s">
        <v>48</v>
      </c>
      <c r="R8094" s="36" t="s">
        <v>48</v>
      </c>
    </row>
    <row r="8095">
      <c r="H8095" s="50"/>
      <c r="I8095" s="50"/>
      <c r="O8095" s="36" t="s">
        <v>48</v>
      </c>
      <c r="R8095" s="36" t="s">
        <v>48</v>
      </c>
    </row>
    <row r="8096">
      <c r="H8096" s="50"/>
      <c r="I8096" s="50"/>
      <c r="O8096" s="36" t="s">
        <v>48</v>
      </c>
      <c r="R8096" s="36" t="s">
        <v>48</v>
      </c>
    </row>
    <row r="8097">
      <c r="H8097" s="50"/>
      <c r="I8097" s="50"/>
      <c r="O8097" s="36" t="s">
        <v>48</v>
      </c>
      <c r="R8097" s="36" t="s">
        <v>48</v>
      </c>
    </row>
    <row r="8098">
      <c r="H8098" s="50"/>
      <c r="I8098" s="50"/>
      <c r="O8098" s="36" t="s">
        <v>48</v>
      </c>
      <c r="R8098" s="36" t="s">
        <v>48</v>
      </c>
    </row>
    <row r="8099">
      <c r="H8099" s="50"/>
      <c r="I8099" s="50"/>
      <c r="O8099" s="36" t="s">
        <v>48</v>
      </c>
      <c r="R8099" s="36" t="s">
        <v>48</v>
      </c>
    </row>
    <row r="8100">
      <c r="H8100" s="50"/>
      <c r="I8100" s="50"/>
      <c r="O8100" s="36" t="s">
        <v>48</v>
      </c>
      <c r="R8100" s="36" t="s">
        <v>48</v>
      </c>
    </row>
    <row r="8101">
      <c r="H8101" s="50"/>
      <c r="I8101" s="50"/>
      <c r="O8101" s="36" t="s">
        <v>48</v>
      </c>
      <c r="R8101" s="36" t="s">
        <v>48</v>
      </c>
    </row>
    <row r="8102">
      <c r="H8102" s="50"/>
      <c r="I8102" s="50"/>
      <c r="O8102" s="36" t="s">
        <v>48</v>
      </c>
      <c r="R8102" s="36" t="s">
        <v>48</v>
      </c>
    </row>
    <row r="8103">
      <c r="H8103" s="50"/>
      <c r="I8103" s="50"/>
      <c r="O8103" s="36" t="s">
        <v>48</v>
      </c>
      <c r="R8103" s="36" t="s">
        <v>48</v>
      </c>
    </row>
    <row r="8104">
      <c r="H8104" s="50"/>
      <c r="I8104" s="50"/>
      <c r="O8104" s="36" t="s">
        <v>48</v>
      </c>
      <c r="R8104" s="36" t="s">
        <v>48</v>
      </c>
    </row>
    <row r="8105">
      <c r="H8105" s="50"/>
      <c r="I8105" s="50"/>
      <c r="O8105" s="36" t="s">
        <v>48</v>
      </c>
      <c r="R8105" s="36" t="s">
        <v>48</v>
      </c>
    </row>
    <row r="8106">
      <c r="H8106" s="50"/>
      <c r="I8106" s="50"/>
      <c r="O8106" s="36" t="s">
        <v>48</v>
      </c>
      <c r="R8106" s="36" t="s">
        <v>48</v>
      </c>
    </row>
    <row r="8107">
      <c r="H8107" s="50"/>
      <c r="I8107" s="50"/>
      <c r="O8107" s="36" t="s">
        <v>48</v>
      </c>
      <c r="R8107" s="36" t="s">
        <v>48</v>
      </c>
    </row>
    <row r="8108">
      <c r="H8108" s="50"/>
      <c r="I8108" s="50"/>
      <c r="O8108" s="36" t="s">
        <v>48</v>
      </c>
      <c r="R8108" s="36" t="s">
        <v>48</v>
      </c>
    </row>
    <row r="8109">
      <c r="H8109" s="50"/>
      <c r="I8109" s="50"/>
      <c r="O8109" s="36" t="s">
        <v>48</v>
      </c>
      <c r="R8109" s="36" t="s">
        <v>48</v>
      </c>
    </row>
    <row r="8110">
      <c r="H8110" s="50"/>
      <c r="I8110" s="50"/>
      <c r="O8110" s="36" t="s">
        <v>48</v>
      </c>
      <c r="R8110" s="36" t="s">
        <v>48</v>
      </c>
    </row>
    <row r="8111">
      <c r="H8111" s="50"/>
      <c r="I8111" s="50"/>
      <c r="O8111" s="36" t="s">
        <v>48</v>
      </c>
      <c r="R8111" s="36" t="s">
        <v>48</v>
      </c>
    </row>
    <row r="8112">
      <c r="H8112" s="50"/>
      <c r="I8112" s="50"/>
      <c r="O8112" s="36" t="s">
        <v>48</v>
      </c>
      <c r="R8112" s="36" t="s">
        <v>48</v>
      </c>
    </row>
    <row r="8113">
      <c r="H8113" s="50"/>
      <c r="I8113" s="50"/>
      <c r="O8113" s="36" t="s">
        <v>48</v>
      </c>
      <c r="R8113" s="36" t="s">
        <v>48</v>
      </c>
    </row>
    <row r="8114">
      <c r="H8114" s="50"/>
      <c r="I8114" s="50"/>
      <c r="O8114" s="36" t="s">
        <v>48</v>
      </c>
      <c r="R8114" s="36" t="s">
        <v>48</v>
      </c>
    </row>
    <row r="8115">
      <c r="H8115" s="50"/>
      <c r="I8115" s="50"/>
      <c r="O8115" s="36" t="s">
        <v>48</v>
      </c>
      <c r="R8115" s="36" t="s">
        <v>48</v>
      </c>
    </row>
    <row r="8116">
      <c r="H8116" s="50"/>
      <c r="I8116" s="50"/>
      <c r="O8116" s="36" t="s">
        <v>48</v>
      </c>
      <c r="R8116" s="36" t="s">
        <v>48</v>
      </c>
    </row>
    <row r="8117">
      <c r="H8117" s="50"/>
      <c r="I8117" s="50"/>
      <c r="O8117" s="36" t="s">
        <v>48</v>
      </c>
      <c r="R8117" s="36" t="s">
        <v>48</v>
      </c>
    </row>
    <row r="8118">
      <c r="H8118" s="50"/>
      <c r="I8118" s="50"/>
      <c r="O8118" s="36" t="s">
        <v>48</v>
      </c>
      <c r="R8118" s="36" t="s">
        <v>48</v>
      </c>
    </row>
    <row r="8119">
      <c r="H8119" s="50"/>
      <c r="I8119" s="50"/>
      <c r="O8119" s="36" t="s">
        <v>48</v>
      </c>
      <c r="R8119" s="36" t="s">
        <v>48</v>
      </c>
    </row>
    <row r="8120">
      <c r="H8120" s="50"/>
      <c r="I8120" s="50"/>
      <c r="O8120" s="36" t="s">
        <v>48</v>
      </c>
      <c r="R8120" s="36" t="s">
        <v>48</v>
      </c>
    </row>
    <row r="8121">
      <c r="H8121" s="50"/>
      <c r="I8121" s="50"/>
      <c r="O8121" s="36" t="s">
        <v>48</v>
      </c>
      <c r="R8121" s="36" t="s">
        <v>48</v>
      </c>
    </row>
    <row r="8122">
      <c r="H8122" s="50"/>
      <c r="I8122" s="50"/>
      <c r="O8122" s="36" t="s">
        <v>48</v>
      </c>
      <c r="R8122" s="36" t="s">
        <v>48</v>
      </c>
    </row>
    <row r="8123">
      <c r="H8123" s="50"/>
      <c r="I8123" s="50"/>
      <c r="O8123" s="36" t="s">
        <v>48</v>
      </c>
      <c r="R8123" s="36" t="s">
        <v>48</v>
      </c>
    </row>
    <row r="8124">
      <c r="H8124" s="50"/>
      <c r="I8124" s="50"/>
      <c r="O8124" s="36" t="s">
        <v>48</v>
      </c>
      <c r="R8124" s="36" t="s">
        <v>48</v>
      </c>
    </row>
    <row r="8125">
      <c r="H8125" s="50"/>
      <c r="I8125" s="50"/>
      <c r="O8125" s="36" t="s">
        <v>48</v>
      </c>
      <c r="R8125" s="36" t="s">
        <v>48</v>
      </c>
    </row>
    <row r="8126">
      <c r="H8126" s="50"/>
      <c r="I8126" s="50"/>
      <c r="O8126" s="36" t="s">
        <v>48</v>
      </c>
      <c r="R8126" s="36" t="s">
        <v>48</v>
      </c>
    </row>
    <row r="8127">
      <c r="H8127" s="50"/>
      <c r="I8127" s="50"/>
      <c r="O8127" s="36" t="s">
        <v>48</v>
      </c>
      <c r="R8127" s="36" t="s">
        <v>48</v>
      </c>
    </row>
    <row r="8128">
      <c r="H8128" s="50"/>
      <c r="I8128" s="50"/>
      <c r="O8128" s="36" t="s">
        <v>48</v>
      </c>
      <c r="R8128" s="36" t="s">
        <v>48</v>
      </c>
    </row>
    <row r="8129">
      <c r="H8129" s="50"/>
      <c r="I8129" s="50"/>
      <c r="O8129" s="36" t="s">
        <v>48</v>
      </c>
      <c r="R8129" s="36" t="s">
        <v>48</v>
      </c>
    </row>
    <row r="8130">
      <c r="H8130" s="50"/>
      <c r="I8130" s="50"/>
      <c r="O8130" s="36" t="s">
        <v>48</v>
      </c>
      <c r="R8130" s="36" t="s">
        <v>48</v>
      </c>
    </row>
    <row r="8131">
      <c r="H8131" s="50"/>
      <c r="I8131" s="50"/>
      <c r="O8131" s="36" t="s">
        <v>48</v>
      </c>
      <c r="R8131" s="36" t="s">
        <v>48</v>
      </c>
    </row>
    <row r="8132">
      <c r="H8132" s="50"/>
      <c r="I8132" s="50"/>
      <c r="O8132" s="36" t="s">
        <v>48</v>
      </c>
      <c r="R8132" s="36" t="s">
        <v>48</v>
      </c>
    </row>
    <row r="8133">
      <c r="H8133" s="50"/>
      <c r="I8133" s="50"/>
      <c r="O8133" s="36" t="s">
        <v>48</v>
      </c>
      <c r="R8133" s="36" t="s">
        <v>48</v>
      </c>
    </row>
    <row r="8134">
      <c r="H8134" s="50"/>
      <c r="I8134" s="50"/>
      <c r="O8134" s="36" t="s">
        <v>48</v>
      </c>
      <c r="R8134" s="36" t="s">
        <v>48</v>
      </c>
    </row>
    <row r="8135">
      <c r="H8135" s="50"/>
      <c r="I8135" s="50"/>
      <c r="O8135" s="36" t="s">
        <v>48</v>
      </c>
      <c r="R8135" s="36" t="s">
        <v>48</v>
      </c>
    </row>
    <row r="8136">
      <c r="H8136" s="50"/>
      <c r="I8136" s="50"/>
      <c r="O8136" s="36" t="s">
        <v>48</v>
      </c>
      <c r="R8136" s="36" t="s">
        <v>48</v>
      </c>
    </row>
    <row r="8137">
      <c r="H8137" s="50"/>
      <c r="I8137" s="50"/>
      <c r="O8137" s="36" t="s">
        <v>48</v>
      </c>
      <c r="R8137" s="36" t="s">
        <v>48</v>
      </c>
    </row>
    <row r="8138">
      <c r="H8138" s="50"/>
      <c r="I8138" s="50"/>
      <c r="O8138" s="36" t="s">
        <v>48</v>
      </c>
      <c r="R8138" s="36" t="s">
        <v>48</v>
      </c>
    </row>
    <row r="8139">
      <c r="H8139" s="50"/>
      <c r="I8139" s="50"/>
      <c r="O8139" s="36" t="s">
        <v>48</v>
      </c>
      <c r="R8139" s="36" t="s">
        <v>48</v>
      </c>
    </row>
    <row r="8140">
      <c r="H8140" s="50"/>
      <c r="I8140" s="50"/>
      <c r="O8140" s="36" t="s">
        <v>48</v>
      </c>
      <c r="R8140" s="36" t="s">
        <v>48</v>
      </c>
    </row>
    <row r="8141">
      <c r="H8141" s="50"/>
      <c r="I8141" s="50"/>
      <c r="O8141" s="36" t="s">
        <v>48</v>
      </c>
      <c r="R8141" s="36" t="s">
        <v>48</v>
      </c>
    </row>
    <row r="8142">
      <c r="H8142" s="50"/>
      <c r="I8142" s="50"/>
      <c r="O8142" s="36" t="s">
        <v>48</v>
      </c>
      <c r="R8142" s="36" t="s">
        <v>48</v>
      </c>
    </row>
    <row r="8143">
      <c r="H8143" s="50"/>
      <c r="I8143" s="50"/>
      <c r="O8143" s="36" t="s">
        <v>48</v>
      </c>
      <c r="R8143" s="36" t="s">
        <v>48</v>
      </c>
    </row>
    <row r="8144">
      <c r="H8144" s="50"/>
      <c r="I8144" s="50"/>
      <c r="O8144" s="36" t="s">
        <v>48</v>
      </c>
      <c r="R8144" s="36" t="s">
        <v>48</v>
      </c>
    </row>
    <row r="8145">
      <c r="H8145" s="50"/>
      <c r="I8145" s="50"/>
      <c r="O8145" s="36" t="s">
        <v>48</v>
      </c>
      <c r="R8145" s="36" t="s">
        <v>48</v>
      </c>
    </row>
    <row r="8146">
      <c r="H8146" s="50"/>
      <c r="I8146" s="50"/>
      <c r="O8146" s="36" t="s">
        <v>48</v>
      </c>
      <c r="R8146" s="36" t="s">
        <v>48</v>
      </c>
    </row>
    <row r="8147">
      <c r="H8147" s="50"/>
      <c r="I8147" s="50"/>
      <c r="O8147" s="36" t="s">
        <v>48</v>
      </c>
      <c r="R8147" s="36" t="s">
        <v>48</v>
      </c>
    </row>
    <row r="8148">
      <c r="H8148" s="50"/>
      <c r="I8148" s="50"/>
      <c r="O8148" s="36" t="s">
        <v>48</v>
      </c>
      <c r="R8148" s="36" t="s">
        <v>48</v>
      </c>
    </row>
    <row r="8149">
      <c r="H8149" s="50"/>
      <c r="I8149" s="50"/>
      <c r="O8149" s="36" t="s">
        <v>48</v>
      </c>
      <c r="R8149" s="36" t="s">
        <v>48</v>
      </c>
    </row>
    <row r="8150">
      <c r="H8150" s="50"/>
      <c r="I8150" s="50"/>
      <c r="O8150" s="36" t="s">
        <v>48</v>
      </c>
      <c r="R8150" s="36" t="s">
        <v>48</v>
      </c>
    </row>
    <row r="8151">
      <c r="H8151" s="50"/>
      <c r="I8151" s="50"/>
      <c r="O8151" s="36" t="s">
        <v>48</v>
      </c>
      <c r="R8151" s="36" t="s">
        <v>48</v>
      </c>
    </row>
    <row r="8152">
      <c r="H8152" s="50"/>
      <c r="I8152" s="50"/>
      <c r="O8152" s="36" t="s">
        <v>48</v>
      </c>
      <c r="R8152" s="36" t="s">
        <v>48</v>
      </c>
    </row>
    <row r="8153">
      <c r="H8153" s="50"/>
      <c r="I8153" s="50"/>
      <c r="O8153" s="36" t="s">
        <v>48</v>
      </c>
      <c r="R8153" s="36" t="s">
        <v>48</v>
      </c>
    </row>
    <row r="8154">
      <c r="H8154" s="50"/>
      <c r="I8154" s="50"/>
      <c r="O8154" s="36" t="s">
        <v>48</v>
      </c>
      <c r="R8154" s="36" t="s">
        <v>48</v>
      </c>
    </row>
    <row r="8155">
      <c r="H8155" s="50"/>
      <c r="I8155" s="50"/>
      <c r="O8155" s="36" t="s">
        <v>48</v>
      </c>
      <c r="R8155" s="36" t="s">
        <v>48</v>
      </c>
    </row>
    <row r="8156">
      <c r="H8156" s="50"/>
      <c r="I8156" s="50"/>
      <c r="O8156" s="36" t="s">
        <v>48</v>
      </c>
      <c r="R8156" s="36" t="s">
        <v>48</v>
      </c>
    </row>
    <row r="8157">
      <c r="H8157" s="50"/>
      <c r="I8157" s="50"/>
      <c r="O8157" s="36" t="s">
        <v>48</v>
      </c>
      <c r="R8157" s="36" t="s">
        <v>48</v>
      </c>
    </row>
    <row r="8158">
      <c r="H8158" s="50"/>
      <c r="I8158" s="50"/>
      <c r="O8158" s="36" t="s">
        <v>48</v>
      </c>
      <c r="R8158" s="36" t="s">
        <v>48</v>
      </c>
    </row>
    <row r="8159">
      <c r="H8159" s="50"/>
      <c r="I8159" s="50"/>
      <c r="O8159" s="36" t="s">
        <v>48</v>
      </c>
      <c r="R8159" s="36" t="s">
        <v>48</v>
      </c>
    </row>
    <row r="8160">
      <c r="H8160" s="50"/>
      <c r="I8160" s="50"/>
      <c r="O8160" s="36" t="s">
        <v>48</v>
      </c>
      <c r="R8160" s="36" t="s">
        <v>48</v>
      </c>
    </row>
    <row r="8161">
      <c r="H8161" s="50"/>
      <c r="I8161" s="50"/>
      <c r="O8161" s="36" t="s">
        <v>48</v>
      </c>
      <c r="R8161" s="36" t="s">
        <v>48</v>
      </c>
    </row>
    <row r="8162">
      <c r="H8162" s="50"/>
      <c r="I8162" s="50"/>
      <c r="O8162" s="36" t="s">
        <v>48</v>
      </c>
      <c r="R8162" s="36" t="s">
        <v>48</v>
      </c>
    </row>
    <row r="8163">
      <c r="H8163" s="50"/>
      <c r="I8163" s="50"/>
      <c r="O8163" s="36" t="s">
        <v>48</v>
      </c>
      <c r="R8163" s="36" t="s">
        <v>48</v>
      </c>
    </row>
    <row r="8164">
      <c r="H8164" s="50"/>
      <c r="I8164" s="50"/>
      <c r="O8164" s="36" t="s">
        <v>48</v>
      </c>
      <c r="R8164" s="36" t="s">
        <v>48</v>
      </c>
    </row>
    <row r="8165">
      <c r="H8165" s="50"/>
      <c r="I8165" s="50"/>
      <c r="O8165" s="36" t="s">
        <v>48</v>
      </c>
      <c r="R8165" s="36" t="s">
        <v>48</v>
      </c>
    </row>
    <row r="8166">
      <c r="H8166" s="50"/>
      <c r="I8166" s="50"/>
      <c r="O8166" s="36" t="s">
        <v>48</v>
      </c>
      <c r="R8166" s="36" t="s">
        <v>48</v>
      </c>
    </row>
    <row r="8167">
      <c r="H8167" s="50"/>
      <c r="I8167" s="50"/>
      <c r="O8167" s="36" t="s">
        <v>48</v>
      </c>
      <c r="R8167" s="36" t="s">
        <v>48</v>
      </c>
    </row>
    <row r="8168">
      <c r="H8168" s="50"/>
      <c r="I8168" s="50"/>
      <c r="O8168" s="36" t="s">
        <v>48</v>
      </c>
      <c r="R8168" s="36" t="s">
        <v>48</v>
      </c>
    </row>
    <row r="8169">
      <c r="H8169" s="50"/>
      <c r="I8169" s="50"/>
      <c r="O8169" s="36" t="s">
        <v>48</v>
      </c>
      <c r="R8169" s="36" t="s">
        <v>48</v>
      </c>
    </row>
    <row r="8170">
      <c r="H8170" s="50"/>
      <c r="I8170" s="50"/>
      <c r="O8170" s="36" t="s">
        <v>48</v>
      </c>
      <c r="R8170" s="36" t="s">
        <v>48</v>
      </c>
    </row>
    <row r="8171">
      <c r="H8171" s="50"/>
      <c r="I8171" s="50"/>
      <c r="O8171" s="36" t="s">
        <v>48</v>
      </c>
      <c r="R8171" s="36" t="s">
        <v>48</v>
      </c>
    </row>
    <row r="8172">
      <c r="H8172" s="50"/>
      <c r="I8172" s="50"/>
      <c r="O8172" s="36" t="s">
        <v>48</v>
      </c>
      <c r="R8172" s="36" t="s">
        <v>48</v>
      </c>
    </row>
    <row r="8173">
      <c r="H8173" s="50"/>
      <c r="I8173" s="50"/>
      <c r="O8173" s="36" t="s">
        <v>48</v>
      </c>
      <c r="R8173" s="36" t="s">
        <v>48</v>
      </c>
    </row>
    <row r="8174">
      <c r="H8174" s="50"/>
      <c r="I8174" s="50"/>
      <c r="O8174" s="36" t="s">
        <v>48</v>
      </c>
      <c r="R8174" s="36" t="s">
        <v>48</v>
      </c>
    </row>
    <row r="8175">
      <c r="H8175" s="50"/>
      <c r="I8175" s="50"/>
      <c r="O8175" s="36" t="s">
        <v>48</v>
      </c>
      <c r="R8175" s="36" t="s">
        <v>48</v>
      </c>
    </row>
    <row r="8176">
      <c r="H8176" s="50"/>
      <c r="I8176" s="50"/>
      <c r="O8176" s="36" t="s">
        <v>48</v>
      </c>
      <c r="R8176" s="36" t="s">
        <v>48</v>
      </c>
    </row>
    <row r="8177">
      <c r="H8177" s="50"/>
      <c r="I8177" s="50"/>
      <c r="O8177" s="36" t="s">
        <v>48</v>
      </c>
      <c r="R8177" s="36" t="s">
        <v>48</v>
      </c>
    </row>
    <row r="8178">
      <c r="H8178" s="50"/>
      <c r="I8178" s="50"/>
      <c r="O8178" s="36" t="s">
        <v>48</v>
      </c>
      <c r="R8178" s="36" t="s">
        <v>48</v>
      </c>
    </row>
    <row r="8179">
      <c r="H8179" s="50"/>
      <c r="I8179" s="50"/>
      <c r="O8179" s="36" t="s">
        <v>48</v>
      </c>
      <c r="R8179" s="36" t="s">
        <v>48</v>
      </c>
    </row>
    <row r="8180">
      <c r="H8180" s="50"/>
      <c r="I8180" s="50"/>
      <c r="O8180" s="36" t="s">
        <v>48</v>
      </c>
      <c r="R8180" s="36" t="s">
        <v>48</v>
      </c>
    </row>
    <row r="8181">
      <c r="H8181" s="50"/>
      <c r="I8181" s="50"/>
      <c r="O8181" s="36" t="s">
        <v>48</v>
      </c>
      <c r="R8181" s="36" t="s">
        <v>48</v>
      </c>
    </row>
    <row r="8182">
      <c r="H8182" s="50"/>
      <c r="I8182" s="50"/>
      <c r="O8182" s="36" t="s">
        <v>48</v>
      </c>
      <c r="R8182" s="36" t="s">
        <v>48</v>
      </c>
    </row>
    <row r="8183">
      <c r="H8183" s="50"/>
      <c r="I8183" s="50"/>
      <c r="O8183" s="36" t="s">
        <v>48</v>
      </c>
      <c r="R8183" s="36" t="s">
        <v>48</v>
      </c>
    </row>
    <row r="8184">
      <c r="H8184" s="50"/>
      <c r="I8184" s="50"/>
      <c r="O8184" s="36" t="s">
        <v>48</v>
      </c>
      <c r="R8184" s="36" t="s">
        <v>48</v>
      </c>
    </row>
    <row r="8185">
      <c r="H8185" s="50"/>
      <c r="I8185" s="50"/>
      <c r="O8185" s="36" t="s">
        <v>48</v>
      </c>
      <c r="R8185" s="36" t="s">
        <v>48</v>
      </c>
    </row>
    <row r="8186">
      <c r="H8186" s="50"/>
      <c r="I8186" s="50"/>
      <c r="O8186" s="36" t="s">
        <v>48</v>
      </c>
      <c r="R8186" s="36" t="s">
        <v>48</v>
      </c>
    </row>
    <row r="8187">
      <c r="H8187" s="50"/>
      <c r="I8187" s="50"/>
      <c r="O8187" s="36" t="s">
        <v>48</v>
      </c>
      <c r="R8187" s="36" t="s">
        <v>48</v>
      </c>
    </row>
    <row r="8188">
      <c r="H8188" s="50"/>
      <c r="I8188" s="50"/>
      <c r="O8188" s="36" t="s">
        <v>48</v>
      </c>
      <c r="R8188" s="36" t="s">
        <v>48</v>
      </c>
    </row>
    <row r="8189">
      <c r="H8189" s="50"/>
      <c r="I8189" s="50"/>
      <c r="O8189" s="36" t="s">
        <v>48</v>
      </c>
      <c r="R8189" s="36" t="s">
        <v>48</v>
      </c>
    </row>
    <row r="8190">
      <c r="H8190" s="50"/>
      <c r="I8190" s="50"/>
      <c r="O8190" s="36" t="s">
        <v>48</v>
      </c>
      <c r="R8190" s="36" t="s">
        <v>48</v>
      </c>
    </row>
    <row r="8191">
      <c r="H8191" s="50"/>
      <c r="I8191" s="50"/>
      <c r="O8191" s="36" t="s">
        <v>48</v>
      </c>
      <c r="R8191" s="36" t="s">
        <v>48</v>
      </c>
    </row>
    <row r="8192">
      <c r="H8192" s="50"/>
      <c r="I8192" s="50"/>
      <c r="O8192" s="36" t="s">
        <v>48</v>
      </c>
      <c r="R8192" s="36" t="s">
        <v>48</v>
      </c>
    </row>
    <row r="8193">
      <c r="H8193" s="50"/>
      <c r="I8193" s="50"/>
      <c r="O8193" s="36" t="s">
        <v>48</v>
      </c>
      <c r="R8193" s="36" t="s">
        <v>48</v>
      </c>
    </row>
    <row r="8194">
      <c r="H8194" s="50"/>
      <c r="I8194" s="50"/>
      <c r="O8194" s="36" t="s">
        <v>48</v>
      </c>
      <c r="R8194" s="36" t="s">
        <v>48</v>
      </c>
    </row>
    <row r="8195">
      <c r="H8195" s="50"/>
      <c r="I8195" s="50"/>
      <c r="O8195" s="36" t="s">
        <v>48</v>
      </c>
      <c r="R8195" s="36" t="s">
        <v>48</v>
      </c>
    </row>
    <row r="8196">
      <c r="H8196" s="50"/>
      <c r="I8196" s="50"/>
      <c r="O8196" s="36" t="s">
        <v>48</v>
      </c>
      <c r="R8196" s="36" t="s">
        <v>48</v>
      </c>
    </row>
    <row r="8197">
      <c r="H8197" s="50"/>
      <c r="I8197" s="50"/>
      <c r="O8197" s="36" t="s">
        <v>48</v>
      </c>
      <c r="R8197" s="36" t="s">
        <v>48</v>
      </c>
    </row>
    <row r="8198">
      <c r="H8198" s="50"/>
      <c r="I8198" s="50"/>
      <c r="O8198" s="36" t="s">
        <v>48</v>
      </c>
      <c r="R8198" s="36" t="s">
        <v>48</v>
      </c>
    </row>
    <row r="8199">
      <c r="H8199" s="50"/>
      <c r="I8199" s="50"/>
      <c r="O8199" s="36" t="s">
        <v>48</v>
      </c>
      <c r="R8199" s="36" t="s">
        <v>48</v>
      </c>
    </row>
    <row r="8200">
      <c r="H8200" s="50"/>
      <c r="I8200" s="50"/>
      <c r="O8200" s="36" t="s">
        <v>48</v>
      </c>
      <c r="R8200" s="36" t="s">
        <v>48</v>
      </c>
    </row>
    <row r="8201">
      <c r="H8201" s="50"/>
      <c r="I8201" s="50"/>
      <c r="O8201" s="36" t="s">
        <v>48</v>
      </c>
      <c r="R8201" s="36" t="s">
        <v>48</v>
      </c>
    </row>
    <row r="8202">
      <c r="H8202" s="50"/>
      <c r="I8202" s="50"/>
      <c r="O8202" s="36" t="s">
        <v>48</v>
      </c>
      <c r="R8202" s="36" t="s">
        <v>48</v>
      </c>
    </row>
    <row r="8203">
      <c r="H8203" s="50"/>
      <c r="I8203" s="50"/>
      <c r="O8203" s="36" t="s">
        <v>48</v>
      </c>
      <c r="R8203" s="36" t="s">
        <v>48</v>
      </c>
    </row>
    <row r="8204">
      <c r="H8204" s="50"/>
      <c r="I8204" s="50"/>
      <c r="O8204" s="36" t="s">
        <v>48</v>
      </c>
      <c r="R8204" s="36" t="s">
        <v>48</v>
      </c>
    </row>
    <row r="8205">
      <c r="H8205" s="50"/>
      <c r="I8205" s="50"/>
      <c r="O8205" s="36" t="s">
        <v>48</v>
      </c>
      <c r="R8205" s="36" t="s">
        <v>48</v>
      </c>
    </row>
    <row r="8206">
      <c r="H8206" s="50"/>
      <c r="I8206" s="50"/>
      <c r="O8206" s="36" t="s">
        <v>48</v>
      </c>
      <c r="R8206" s="36" t="s">
        <v>48</v>
      </c>
    </row>
    <row r="8207">
      <c r="H8207" s="50"/>
      <c r="I8207" s="50"/>
      <c r="O8207" s="36" t="s">
        <v>48</v>
      </c>
      <c r="R8207" s="36" t="s">
        <v>48</v>
      </c>
    </row>
    <row r="8208">
      <c r="H8208" s="50"/>
      <c r="I8208" s="50"/>
      <c r="O8208" s="36" t="s">
        <v>48</v>
      </c>
      <c r="R8208" s="36" t="s">
        <v>48</v>
      </c>
    </row>
    <row r="8209">
      <c r="H8209" s="50"/>
      <c r="I8209" s="50"/>
      <c r="O8209" s="36" t="s">
        <v>48</v>
      </c>
      <c r="R8209" s="36" t="s">
        <v>48</v>
      </c>
    </row>
    <row r="8210">
      <c r="H8210" s="50"/>
      <c r="I8210" s="50"/>
      <c r="O8210" s="36" t="s">
        <v>48</v>
      </c>
      <c r="R8210" s="36" t="s">
        <v>48</v>
      </c>
    </row>
    <row r="8211">
      <c r="H8211" s="50"/>
      <c r="I8211" s="50"/>
      <c r="O8211" s="36" t="s">
        <v>48</v>
      </c>
      <c r="R8211" s="36" t="s">
        <v>48</v>
      </c>
    </row>
    <row r="8212">
      <c r="H8212" s="50"/>
      <c r="I8212" s="50"/>
      <c r="O8212" s="36" t="s">
        <v>48</v>
      </c>
      <c r="R8212" s="36" t="s">
        <v>48</v>
      </c>
    </row>
    <row r="8213">
      <c r="H8213" s="50"/>
      <c r="I8213" s="50"/>
      <c r="O8213" s="36" t="s">
        <v>48</v>
      </c>
      <c r="R8213" s="36" t="s">
        <v>48</v>
      </c>
    </row>
    <row r="8214">
      <c r="H8214" s="50"/>
      <c r="I8214" s="50"/>
      <c r="O8214" s="36" t="s">
        <v>48</v>
      </c>
      <c r="R8214" s="36" t="s">
        <v>48</v>
      </c>
    </row>
    <row r="8215">
      <c r="H8215" s="50"/>
      <c r="I8215" s="50"/>
      <c r="O8215" s="36" t="s">
        <v>48</v>
      </c>
      <c r="R8215" s="36" t="s">
        <v>48</v>
      </c>
    </row>
    <row r="8216">
      <c r="H8216" s="50"/>
      <c r="I8216" s="50"/>
      <c r="O8216" s="36" t="s">
        <v>48</v>
      </c>
      <c r="R8216" s="36" t="s">
        <v>48</v>
      </c>
    </row>
    <row r="8217">
      <c r="H8217" s="50"/>
      <c r="I8217" s="50"/>
      <c r="O8217" s="36" t="s">
        <v>48</v>
      </c>
      <c r="R8217" s="36" t="s">
        <v>48</v>
      </c>
    </row>
    <row r="8218">
      <c r="H8218" s="50"/>
      <c r="I8218" s="50"/>
      <c r="O8218" s="36" t="s">
        <v>48</v>
      </c>
      <c r="R8218" s="36" t="s">
        <v>48</v>
      </c>
    </row>
    <row r="8219">
      <c r="H8219" s="50"/>
      <c r="I8219" s="50"/>
      <c r="O8219" s="36" t="s">
        <v>48</v>
      </c>
      <c r="R8219" s="36" t="s">
        <v>48</v>
      </c>
    </row>
    <row r="8220">
      <c r="H8220" s="50"/>
      <c r="I8220" s="50"/>
      <c r="O8220" s="36" t="s">
        <v>48</v>
      </c>
      <c r="R8220" s="36" t="s">
        <v>48</v>
      </c>
    </row>
    <row r="8221">
      <c r="H8221" s="50"/>
      <c r="I8221" s="50"/>
      <c r="O8221" s="36" t="s">
        <v>48</v>
      </c>
      <c r="R8221" s="36" t="s">
        <v>48</v>
      </c>
    </row>
    <row r="8222">
      <c r="H8222" s="50"/>
      <c r="I8222" s="50"/>
      <c r="O8222" s="36" t="s">
        <v>48</v>
      </c>
      <c r="R8222" s="36" t="s">
        <v>48</v>
      </c>
    </row>
    <row r="8223">
      <c r="H8223" s="50"/>
      <c r="I8223" s="50"/>
      <c r="O8223" s="36" t="s">
        <v>48</v>
      </c>
      <c r="R8223" s="36" t="s">
        <v>48</v>
      </c>
    </row>
    <row r="8224">
      <c r="H8224" s="50"/>
      <c r="I8224" s="50"/>
      <c r="O8224" s="36" t="s">
        <v>48</v>
      </c>
      <c r="R8224" s="36" t="s">
        <v>48</v>
      </c>
    </row>
    <row r="8225">
      <c r="H8225" s="50"/>
      <c r="I8225" s="50"/>
      <c r="O8225" s="36" t="s">
        <v>48</v>
      </c>
      <c r="R8225" s="36" t="s">
        <v>48</v>
      </c>
    </row>
    <row r="8226">
      <c r="H8226" s="50"/>
      <c r="I8226" s="50"/>
      <c r="O8226" s="36" t="s">
        <v>48</v>
      </c>
      <c r="R8226" s="36" t="s">
        <v>48</v>
      </c>
    </row>
    <row r="8227">
      <c r="H8227" s="50"/>
      <c r="I8227" s="50"/>
      <c r="O8227" s="36" t="s">
        <v>48</v>
      </c>
      <c r="R8227" s="36" t="s">
        <v>48</v>
      </c>
    </row>
    <row r="8228">
      <c r="H8228" s="50"/>
      <c r="I8228" s="50"/>
      <c r="O8228" s="36" t="s">
        <v>48</v>
      </c>
      <c r="R8228" s="36" t="s">
        <v>48</v>
      </c>
    </row>
    <row r="8229">
      <c r="H8229" s="50"/>
      <c r="I8229" s="50"/>
      <c r="O8229" s="36" t="s">
        <v>48</v>
      </c>
      <c r="R8229" s="36" t="s">
        <v>48</v>
      </c>
    </row>
    <row r="8230">
      <c r="H8230" s="50"/>
      <c r="I8230" s="50"/>
      <c r="O8230" s="36" t="s">
        <v>48</v>
      </c>
      <c r="R8230" s="36" t="s">
        <v>48</v>
      </c>
    </row>
    <row r="8231">
      <c r="H8231" s="50"/>
      <c r="I8231" s="50"/>
      <c r="O8231" s="36" t="s">
        <v>48</v>
      </c>
      <c r="R8231" s="36" t="s">
        <v>48</v>
      </c>
    </row>
    <row r="8232">
      <c r="H8232" s="50"/>
      <c r="I8232" s="50"/>
      <c r="O8232" s="36" t="s">
        <v>48</v>
      </c>
      <c r="R8232" s="36" t="s">
        <v>48</v>
      </c>
    </row>
    <row r="8233">
      <c r="H8233" s="50"/>
      <c r="I8233" s="50"/>
      <c r="O8233" s="36" t="s">
        <v>48</v>
      </c>
      <c r="R8233" s="36" t="s">
        <v>48</v>
      </c>
    </row>
    <row r="8234">
      <c r="H8234" s="50"/>
      <c r="I8234" s="50"/>
      <c r="O8234" s="36" t="s">
        <v>48</v>
      </c>
      <c r="R8234" s="36" t="s">
        <v>48</v>
      </c>
    </row>
    <row r="8235">
      <c r="H8235" s="50"/>
      <c r="I8235" s="50"/>
      <c r="O8235" s="36" t="s">
        <v>48</v>
      </c>
      <c r="R8235" s="36" t="s">
        <v>48</v>
      </c>
    </row>
    <row r="8236">
      <c r="H8236" s="50"/>
      <c r="I8236" s="50"/>
      <c r="O8236" s="36" t="s">
        <v>48</v>
      </c>
      <c r="R8236" s="36" t="s">
        <v>48</v>
      </c>
    </row>
    <row r="8237">
      <c r="H8237" s="50"/>
      <c r="I8237" s="50"/>
      <c r="O8237" s="36" t="s">
        <v>48</v>
      </c>
      <c r="R8237" s="36" t="s">
        <v>48</v>
      </c>
    </row>
    <row r="8238">
      <c r="H8238" s="50"/>
      <c r="I8238" s="50"/>
      <c r="O8238" s="36" t="s">
        <v>48</v>
      </c>
      <c r="R8238" s="36" t="s">
        <v>48</v>
      </c>
    </row>
    <row r="8239">
      <c r="H8239" s="50"/>
      <c r="I8239" s="50"/>
      <c r="O8239" s="36" t="s">
        <v>48</v>
      </c>
      <c r="R8239" s="36" t="s">
        <v>48</v>
      </c>
    </row>
    <row r="8240">
      <c r="H8240" s="50"/>
      <c r="I8240" s="50"/>
      <c r="O8240" s="36" t="s">
        <v>48</v>
      </c>
      <c r="R8240" s="36" t="s">
        <v>48</v>
      </c>
    </row>
    <row r="8241">
      <c r="H8241" s="50"/>
      <c r="I8241" s="50"/>
      <c r="O8241" s="36" t="s">
        <v>48</v>
      </c>
      <c r="R8241" s="36" t="s">
        <v>48</v>
      </c>
    </row>
    <row r="8242">
      <c r="H8242" s="50"/>
      <c r="I8242" s="50"/>
      <c r="O8242" s="36" t="s">
        <v>48</v>
      </c>
      <c r="R8242" s="36" t="s">
        <v>48</v>
      </c>
    </row>
    <row r="8243">
      <c r="H8243" s="50"/>
      <c r="I8243" s="50"/>
      <c r="O8243" s="36" t="s">
        <v>48</v>
      </c>
      <c r="R8243" s="36" t="s">
        <v>48</v>
      </c>
    </row>
    <row r="8244">
      <c r="H8244" s="50"/>
      <c r="I8244" s="50"/>
      <c r="O8244" s="36" t="s">
        <v>48</v>
      </c>
      <c r="R8244" s="36" t="s">
        <v>48</v>
      </c>
    </row>
    <row r="8245">
      <c r="H8245" s="50"/>
      <c r="I8245" s="50"/>
      <c r="O8245" s="36" t="s">
        <v>48</v>
      </c>
      <c r="R8245" s="36" t="s">
        <v>48</v>
      </c>
    </row>
    <row r="8246">
      <c r="H8246" s="50"/>
      <c r="I8246" s="50"/>
      <c r="O8246" s="36" t="s">
        <v>48</v>
      </c>
      <c r="R8246" s="36" t="s">
        <v>48</v>
      </c>
    </row>
    <row r="8247">
      <c r="H8247" s="50"/>
      <c r="I8247" s="50"/>
      <c r="O8247" s="36" t="s">
        <v>48</v>
      </c>
      <c r="R8247" s="36" t="s">
        <v>48</v>
      </c>
    </row>
    <row r="8248">
      <c r="H8248" s="50"/>
      <c r="I8248" s="50"/>
      <c r="O8248" s="36" t="s">
        <v>48</v>
      </c>
      <c r="R8248" s="36" t="s">
        <v>48</v>
      </c>
    </row>
    <row r="8249">
      <c r="H8249" s="50"/>
      <c r="I8249" s="50"/>
      <c r="O8249" s="36" t="s">
        <v>48</v>
      </c>
      <c r="R8249" s="36" t="s">
        <v>48</v>
      </c>
    </row>
    <row r="8250">
      <c r="H8250" s="50"/>
      <c r="I8250" s="50"/>
      <c r="O8250" s="36" t="s">
        <v>48</v>
      </c>
      <c r="R8250" s="36" t="s">
        <v>48</v>
      </c>
    </row>
    <row r="8251">
      <c r="H8251" s="50"/>
      <c r="I8251" s="50"/>
      <c r="O8251" s="36" t="s">
        <v>48</v>
      </c>
      <c r="R8251" s="36" t="s">
        <v>48</v>
      </c>
    </row>
    <row r="8252">
      <c r="H8252" s="50"/>
      <c r="I8252" s="50"/>
      <c r="O8252" s="36" t="s">
        <v>48</v>
      </c>
      <c r="R8252" s="36" t="s">
        <v>48</v>
      </c>
    </row>
    <row r="8253">
      <c r="H8253" s="50"/>
      <c r="I8253" s="50"/>
      <c r="O8253" s="36" t="s">
        <v>48</v>
      </c>
      <c r="R8253" s="36" t="s">
        <v>48</v>
      </c>
    </row>
    <row r="8254">
      <c r="H8254" s="50"/>
      <c r="I8254" s="50"/>
      <c r="O8254" s="36" t="s">
        <v>48</v>
      </c>
      <c r="R8254" s="36" t="s">
        <v>48</v>
      </c>
    </row>
    <row r="8255">
      <c r="H8255" s="50"/>
      <c r="I8255" s="50"/>
      <c r="O8255" s="36" t="s">
        <v>48</v>
      </c>
      <c r="R8255" s="36" t="s">
        <v>48</v>
      </c>
    </row>
    <row r="8256">
      <c r="H8256" s="50"/>
      <c r="I8256" s="50"/>
      <c r="O8256" s="36" t="s">
        <v>48</v>
      </c>
      <c r="R8256" s="36" t="s">
        <v>48</v>
      </c>
    </row>
    <row r="8257">
      <c r="H8257" s="50"/>
      <c r="I8257" s="50"/>
      <c r="O8257" s="36" t="s">
        <v>48</v>
      </c>
      <c r="R8257" s="36" t="s">
        <v>48</v>
      </c>
    </row>
    <row r="8258">
      <c r="H8258" s="50"/>
      <c r="I8258" s="50"/>
      <c r="O8258" s="36" t="s">
        <v>48</v>
      </c>
      <c r="R8258" s="36" t="s">
        <v>48</v>
      </c>
    </row>
    <row r="8259">
      <c r="H8259" s="50"/>
      <c r="I8259" s="50"/>
      <c r="O8259" s="36" t="s">
        <v>48</v>
      </c>
      <c r="R8259" s="36" t="s">
        <v>48</v>
      </c>
    </row>
    <row r="8260">
      <c r="H8260" s="50"/>
      <c r="I8260" s="50"/>
      <c r="O8260" s="36" t="s">
        <v>48</v>
      </c>
      <c r="R8260" s="36" t="s">
        <v>48</v>
      </c>
    </row>
    <row r="8261">
      <c r="H8261" s="50"/>
      <c r="I8261" s="50"/>
      <c r="O8261" s="36" t="s">
        <v>48</v>
      </c>
      <c r="R8261" s="36" t="s">
        <v>48</v>
      </c>
    </row>
    <row r="8262">
      <c r="H8262" s="50"/>
      <c r="I8262" s="50"/>
      <c r="O8262" s="36" t="s">
        <v>48</v>
      </c>
      <c r="R8262" s="36" t="s">
        <v>48</v>
      </c>
    </row>
    <row r="8263">
      <c r="H8263" s="50"/>
      <c r="I8263" s="50"/>
      <c r="O8263" s="36" t="s">
        <v>48</v>
      </c>
      <c r="R8263" s="36" t="s">
        <v>48</v>
      </c>
    </row>
    <row r="8264">
      <c r="H8264" s="50"/>
      <c r="I8264" s="50"/>
      <c r="O8264" s="36" t="s">
        <v>48</v>
      </c>
      <c r="R8264" s="36" t="s">
        <v>48</v>
      </c>
    </row>
    <row r="8265">
      <c r="H8265" s="50"/>
      <c r="I8265" s="50"/>
      <c r="O8265" s="36" t="s">
        <v>48</v>
      </c>
      <c r="R8265" s="36" t="s">
        <v>48</v>
      </c>
    </row>
    <row r="8266">
      <c r="H8266" s="50"/>
      <c r="I8266" s="50"/>
      <c r="O8266" s="36" t="s">
        <v>48</v>
      </c>
      <c r="R8266" s="36" t="s">
        <v>48</v>
      </c>
    </row>
    <row r="8267">
      <c r="H8267" s="50"/>
      <c r="I8267" s="50"/>
      <c r="O8267" s="36" t="s">
        <v>48</v>
      </c>
      <c r="R8267" s="36" t="s">
        <v>48</v>
      </c>
    </row>
    <row r="8268">
      <c r="H8268" s="50"/>
      <c r="I8268" s="50"/>
      <c r="O8268" s="36" t="s">
        <v>48</v>
      </c>
      <c r="R8268" s="36" t="s">
        <v>48</v>
      </c>
    </row>
    <row r="8269">
      <c r="H8269" s="50"/>
      <c r="I8269" s="50"/>
      <c r="O8269" s="36" t="s">
        <v>48</v>
      </c>
      <c r="R8269" s="36" t="s">
        <v>48</v>
      </c>
    </row>
    <row r="8270">
      <c r="H8270" s="50"/>
      <c r="I8270" s="50"/>
      <c r="O8270" s="36" t="s">
        <v>48</v>
      </c>
      <c r="R8270" s="36" t="s">
        <v>48</v>
      </c>
    </row>
    <row r="8271">
      <c r="H8271" s="50"/>
      <c r="I8271" s="50"/>
      <c r="O8271" s="36" t="s">
        <v>48</v>
      </c>
      <c r="R8271" s="36" t="s">
        <v>48</v>
      </c>
    </row>
    <row r="8272">
      <c r="H8272" s="50"/>
      <c r="I8272" s="50"/>
      <c r="O8272" s="36" t="s">
        <v>48</v>
      </c>
      <c r="R8272" s="36" t="s">
        <v>48</v>
      </c>
    </row>
    <row r="8273">
      <c r="H8273" s="50"/>
      <c r="I8273" s="50"/>
      <c r="O8273" s="36" t="s">
        <v>48</v>
      </c>
      <c r="R8273" s="36" t="s">
        <v>48</v>
      </c>
    </row>
    <row r="8274">
      <c r="H8274" s="50"/>
      <c r="I8274" s="50"/>
      <c r="O8274" s="36" t="s">
        <v>48</v>
      </c>
      <c r="R8274" s="36" t="s">
        <v>48</v>
      </c>
    </row>
    <row r="8275">
      <c r="H8275" s="50"/>
      <c r="I8275" s="50"/>
      <c r="O8275" s="36" t="s">
        <v>48</v>
      </c>
      <c r="R8275" s="36" t="s">
        <v>48</v>
      </c>
    </row>
    <row r="8276">
      <c r="H8276" s="50"/>
      <c r="I8276" s="50"/>
      <c r="O8276" s="36" t="s">
        <v>48</v>
      </c>
      <c r="R8276" s="36" t="s">
        <v>48</v>
      </c>
    </row>
    <row r="8277">
      <c r="H8277" s="50"/>
      <c r="I8277" s="50"/>
      <c r="O8277" s="36" t="s">
        <v>48</v>
      </c>
      <c r="R8277" s="36" t="s">
        <v>48</v>
      </c>
    </row>
    <row r="8278">
      <c r="H8278" s="50"/>
      <c r="I8278" s="50"/>
      <c r="O8278" s="36" t="s">
        <v>48</v>
      </c>
      <c r="R8278" s="36" t="s">
        <v>48</v>
      </c>
    </row>
    <row r="8279">
      <c r="H8279" s="50"/>
      <c r="I8279" s="50"/>
      <c r="O8279" s="36" t="s">
        <v>48</v>
      </c>
      <c r="R8279" s="36" t="s">
        <v>48</v>
      </c>
    </row>
    <row r="8280">
      <c r="H8280" s="50"/>
      <c r="I8280" s="50"/>
      <c r="O8280" s="36" t="s">
        <v>48</v>
      </c>
      <c r="R8280" s="36" t="s">
        <v>48</v>
      </c>
    </row>
    <row r="8281">
      <c r="H8281" s="50"/>
      <c r="I8281" s="50"/>
      <c r="O8281" s="36" t="s">
        <v>48</v>
      </c>
      <c r="R8281" s="36" t="s">
        <v>48</v>
      </c>
    </row>
    <row r="8282">
      <c r="H8282" s="50"/>
      <c r="I8282" s="50"/>
      <c r="O8282" s="36" t="s">
        <v>48</v>
      </c>
      <c r="R8282" s="36" t="s">
        <v>48</v>
      </c>
    </row>
    <row r="8283">
      <c r="H8283" s="50"/>
      <c r="I8283" s="50"/>
      <c r="O8283" s="36" t="s">
        <v>48</v>
      </c>
      <c r="R8283" s="36" t="s">
        <v>48</v>
      </c>
    </row>
    <row r="8284">
      <c r="H8284" s="50"/>
      <c r="I8284" s="50"/>
      <c r="O8284" s="36" t="s">
        <v>48</v>
      </c>
      <c r="R8284" s="36" t="s">
        <v>48</v>
      </c>
    </row>
    <row r="8285">
      <c r="H8285" s="50"/>
      <c r="I8285" s="50"/>
      <c r="O8285" s="36" t="s">
        <v>48</v>
      </c>
      <c r="R8285" s="36" t="s">
        <v>48</v>
      </c>
    </row>
    <row r="8286">
      <c r="H8286" s="50"/>
      <c r="I8286" s="50"/>
      <c r="O8286" s="36" t="s">
        <v>48</v>
      </c>
      <c r="R8286" s="36" t="s">
        <v>48</v>
      </c>
    </row>
    <row r="8287">
      <c r="H8287" s="50"/>
      <c r="I8287" s="50"/>
      <c r="O8287" s="36" t="s">
        <v>48</v>
      </c>
      <c r="R8287" s="36" t="s">
        <v>48</v>
      </c>
    </row>
    <row r="8288">
      <c r="H8288" s="50"/>
      <c r="I8288" s="50"/>
      <c r="O8288" s="36" t="s">
        <v>48</v>
      </c>
      <c r="R8288" s="36" t="s">
        <v>48</v>
      </c>
    </row>
    <row r="8289">
      <c r="H8289" s="50"/>
      <c r="I8289" s="50"/>
      <c r="O8289" s="36" t="s">
        <v>48</v>
      </c>
      <c r="R8289" s="36" t="s">
        <v>48</v>
      </c>
    </row>
    <row r="8290">
      <c r="H8290" s="50"/>
      <c r="I8290" s="50"/>
      <c r="O8290" s="36" t="s">
        <v>48</v>
      </c>
      <c r="R8290" s="36" t="s">
        <v>48</v>
      </c>
    </row>
    <row r="8291">
      <c r="H8291" s="50"/>
      <c r="I8291" s="50"/>
      <c r="O8291" s="36" t="s">
        <v>48</v>
      </c>
      <c r="R8291" s="36" t="s">
        <v>48</v>
      </c>
    </row>
    <row r="8292">
      <c r="H8292" s="50"/>
      <c r="I8292" s="50"/>
      <c r="O8292" s="36" t="s">
        <v>48</v>
      </c>
      <c r="R8292" s="36" t="s">
        <v>48</v>
      </c>
    </row>
    <row r="8293">
      <c r="H8293" s="50"/>
      <c r="I8293" s="50"/>
      <c r="O8293" s="36" t="s">
        <v>48</v>
      </c>
      <c r="R8293" s="36" t="s">
        <v>48</v>
      </c>
    </row>
    <row r="8294">
      <c r="H8294" s="50"/>
      <c r="I8294" s="50"/>
      <c r="O8294" s="36" t="s">
        <v>48</v>
      </c>
      <c r="R8294" s="36" t="s">
        <v>48</v>
      </c>
    </row>
    <row r="8295">
      <c r="H8295" s="50"/>
      <c r="I8295" s="50"/>
      <c r="O8295" s="36" t="s">
        <v>48</v>
      </c>
      <c r="R8295" s="36" t="s">
        <v>48</v>
      </c>
    </row>
    <row r="8296">
      <c r="H8296" s="50"/>
      <c r="I8296" s="50"/>
      <c r="O8296" s="36" t="s">
        <v>48</v>
      </c>
      <c r="R8296" s="36" t="s">
        <v>48</v>
      </c>
    </row>
    <row r="8297">
      <c r="H8297" s="50"/>
      <c r="I8297" s="50"/>
      <c r="O8297" s="36" t="s">
        <v>48</v>
      </c>
      <c r="R8297" s="36" t="s">
        <v>48</v>
      </c>
    </row>
    <row r="8298">
      <c r="H8298" s="50"/>
      <c r="I8298" s="50"/>
      <c r="O8298" s="36" t="s">
        <v>48</v>
      </c>
      <c r="R8298" s="36" t="s">
        <v>48</v>
      </c>
    </row>
    <row r="8299">
      <c r="H8299" s="50"/>
      <c r="I8299" s="50"/>
      <c r="O8299" s="36" t="s">
        <v>48</v>
      </c>
      <c r="R8299" s="36" t="s">
        <v>48</v>
      </c>
    </row>
    <row r="8300">
      <c r="H8300" s="50"/>
      <c r="I8300" s="50"/>
      <c r="O8300" s="36" t="s">
        <v>48</v>
      </c>
      <c r="R8300" s="36" t="s">
        <v>48</v>
      </c>
    </row>
    <row r="8301">
      <c r="H8301" s="50"/>
      <c r="I8301" s="50"/>
      <c r="O8301" s="36" t="s">
        <v>48</v>
      </c>
      <c r="R8301" s="36" t="s">
        <v>48</v>
      </c>
    </row>
    <row r="8302">
      <c r="H8302" s="50"/>
      <c r="I8302" s="50"/>
      <c r="O8302" s="36" t="s">
        <v>48</v>
      </c>
      <c r="R8302" s="36" t="s">
        <v>48</v>
      </c>
    </row>
    <row r="8303">
      <c r="H8303" s="50"/>
      <c r="I8303" s="50"/>
      <c r="O8303" s="36" t="s">
        <v>48</v>
      </c>
      <c r="R8303" s="36" t="s">
        <v>48</v>
      </c>
    </row>
    <row r="8304">
      <c r="H8304" s="50"/>
      <c r="I8304" s="50"/>
      <c r="O8304" s="36" t="s">
        <v>48</v>
      </c>
      <c r="R8304" s="36" t="s">
        <v>48</v>
      </c>
    </row>
    <row r="8305">
      <c r="H8305" s="50"/>
      <c r="I8305" s="50"/>
      <c r="O8305" s="36" t="s">
        <v>48</v>
      </c>
      <c r="R8305" s="36" t="s">
        <v>48</v>
      </c>
    </row>
    <row r="8306">
      <c r="H8306" s="50"/>
      <c r="I8306" s="50"/>
      <c r="O8306" s="36" t="s">
        <v>48</v>
      </c>
      <c r="R8306" s="36" t="s">
        <v>48</v>
      </c>
    </row>
    <row r="8307">
      <c r="H8307" s="50"/>
      <c r="I8307" s="50"/>
      <c r="O8307" s="36" t="s">
        <v>48</v>
      </c>
      <c r="R8307" s="36" t="s">
        <v>48</v>
      </c>
    </row>
    <row r="8308">
      <c r="H8308" s="50"/>
      <c r="I8308" s="50"/>
      <c r="O8308" s="36" t="s">
        <v>48</v>
      </c>
      <c r="R8308" s="36" t="s">
        <v>48</v>
      </c>
    </row>
    <row r="8309">
      <c r="H8309" s="50"/>
      <c r="I8309" s="50"/>
      <c r="O8309" s="36" t="s">
        <v>48</v>
      </c>
      <c r="R8309" s="36" t="s">
        <v>48</v>
      </c>
    </row>
    <row r="8310">
      <c r="H8310" s="50"/>
      <c r="I8310" s="50"/>
      <c r="O8310" s="36" t="s">
        <v>48</v>
      </c>
      <c r="R8310" s="36" t="s">
        <v>48</v>
      </c>
    </row>
    <row r="8311">
      <c r="H8311" s="50"/>
      <c r="I8311" s="50"/>
      <c r="O8311" s="36" t="s">
        <v>48</v>
      </c>
      <c r="R8311" s="36" t="s">
        <v>48</v>
      </c>
    </row>
    <row r="8312">
      <c r="H8312" s="50"/>
      <c r="I8312" s="50"/>
      <c r="O8312" s="36" t="s">
        <v>48</v>
      </c>
      <c r="R8312" s="36" t="s">
        <v>48</v>
      </c>
    </row>
    <row r="8313">
      <c r="H8313" s="50"/>
      <c r="I8313" s="50"/>
      <c r="O8313" s="36" t="s">
        <v>48</v>
      </c>
      <c r="R8313" s="36" t="s">
        <v>48</v>
      </c>
    </row>
    <row r="8314">
      <c r="H8314" s="50"/>
      <c r="I8314" s="50"/>
      <c r="O8314" s="36" t="s">
        <v>48</v>
      </c>
      <c r="R8314" s="36" t="s">
        <v>48</v>
      </c>
    </row>
    <row r="8315">
      <c r="H8315" s="50"/>
      <c r="I8315" s="50"/>
      <c r="O8315" s="36" t="s">
        <v>48</v>
      </c>
      <c r="R8315" s="36" t="s">
        <v>48</v>
      </c>
    </row>
    <row r="8316">
      <c r="H8316" s="50"/>
      <c r="I8316" s="50"/>
      <c r="O8316" s="36" t="s">
        <v>48</v>
      </c>
      <c r="R8316" s="36" t="s">
        <v>48</v>
      </c>
    </row>
    <row r="8317">
      <c r="H8317" s="50"/>
      <c r="I8317" s="50"/>
      <c r="O8317" s="36" t="s">
        <v>48</v>
      </c>
      <c r="R8317" s="36" t="s">
        <v>48</v>
      </c>
    </row>
    <row r="8318">
      <c r="H8318" s="50"/>
      <c r="I8318" s="50"/>
      <c r="O8318" s="36" t="s">
        <v>48</v>
      </c>
      <c r="R8318" s="36" t="s">
        <v>48</v>
      </c>
    </row>
    <row r="8319">
      <c r="H8319" s="50"/>
      <c r="I8319" s="50"/>
      <c r="O8319" s="36" t="s">
        <v>48</v>
      </c>
      <c r="R8319" s="36" t="s">
        <v>48</v>
      </c>
    </row>
    <row r="8320">
      <c r="H8320" s="50"/>
      <c r="I8320" s="50"/>
      <c r="O8320" s="36" t="s">
        <v>48</v>
      </c>
      <c r="R8320" s="36" t="s">
        <v>48</v>
      </c>
    </row>
    <row r="8321">
      <c r="H8321" s="50"/>
      <c r="I8321" s="50"/>
      <c r="O8321" s="36" t="s">
        <v>48</v>
      </c>
      <c r="R8321" s="36" t="s">
        <v>48</v>
      </c>
    </row>
    <row r="8322">
      <c r="H8322" s="50"/>
      <c r="I8322" s="50"/>
      <c r="O8322" s="36" t="s">
        <v>48</v>
      </c>
      <c r="R8322" s="36" t="s">
        <v>48</v>
      </c>
    </row>
    <row r="8323">
      <c r="H8323" s="50"/>
      <c r="I8323" s="50"/>
      <c r="O8323" s="36" t="s">
        <v>48</v>
      </c>
      <c r="R8323" s="36" t="s">
        <v>48</v>
      </c>
    </row>
    <row r="8324">
      <c r="H8324" s="50"/>
      <c r="I8324" s="50"/>
      <c r="O8324" s="36" t="s">
        <v>48</v>
      </c>
      <c r="R8324" s="36" t="s">
        <v>48</v>
      </c>
    </row>
    <row r="8325">
      <c r="H8325" s="50"/>
      <c r="I8325" s="50"/>
      <c r="O8325" s="36" t="s">
        <v>48</v>
      </c>
      <c r="R8325" s="36" t="s">
        <v>48</v>
      </c>
    </row>
    <row r="8326">
      <c r="H8326" s="50"/>
      <c r="I8326" s="50"/>
      <c r="O8326" s="36" t="s">
        <v>48</v>
      </c>
      <c r="R8326" s="36" t="s">
        <v>48</v>
      </c>
    </row>
    <row r="8327">
      <c r="H8327" s="50"/>
      <c r="I8327" s="50"/>
      <c r="O8327" s="36" t="s">
        <v>48</v>
      </c>
      <c r="R8327" s="36" t="s">
        <v>48</v>
      </c>
    </row>
    <row r="8328">
      <c r="H8328" s="50"/>
      <c r="I8328" s="50"/>
      <c r="O8328" s="36" t="s">
        <v>48</v>
      </c>
      <c r="R8328" s="36" t="s">
        <v>48</v>
      </c>
    </row>
    <row r="8329">
      <c r="H8329" s="50"/>
      <c r="I8329" s="50"/>
      <c r="O8329" s="36" t="s">
        <v>48</v>
      </c>
      <c r="R8329" s="36" t="s">
        <v>48</v>
      </c>
    </row>
    <row r="8330">
      <c r="H8330" s="50"/>
      <c r="I8330" s="50"/>
      <c r="O8330" s="36" t="s">
        <v>48</v>
      </c>
      <c r="R8330" s="36" t="s">
        <v>48</v>
      </c>
    </row>
    <row r="8331">
      <c r="H8331" s="50"/>
      <c r="I8331" s="50"/>
      <c r="O8331" s="36" t="s">
        <v>48</v>
      </c>
      <c r="R8331" s="36" t="s">
        <v>48</v>
      </c>
    </row>
    <row r="8332">
      <c r="H8332" s="50"/>
      <c r="I8332" s="50"/>
      <c r="O8332" s="36" t="s">
        <v>48</v>
      </c>
      <c r="R8332" s="36" t="s">
        <v>48</v>
      </c>
    </row>
    <row r="8333">
      <c r="H8333" s="50"/>
      <c r="I8333" s="50"/>
      <c r="O8333" s="36" t="s">
        <v>48</v>
      </c>
      <c r="R8333" s="36" t="s">
        <v>48</v>
      </c>
    </row>
    <row r="8334">
      <c r="H8334" s="50"/>
      <c r="I8334" s="50"/>
      <c r="O8334" s="36" t="s">
        <v>48</v>
      </c>
      <c r="R8334" s="36" t="s">
        <v>48</v>
      </c>
    </row>
    <row r="8335">
      <c r="H8335" s="50"/>
      <c r="I8335" s="50"/>
      <c r="O8335" s="36" t="s">
        <v>48</v>
      </c>
      <c r="R8335" s="36" t="s">
        <v>48</v>
      </c>
    </row>
    <row r="8336">
      <c r="H8336" s="50"/>
      <c r="I8336" s="50"/>
      <c r="O8336" s="36" t="s">
        <v>48</v>
      </c>
      <c r="R8336" s="36" t="s">
        <v>48</v>
      </c>
    </row>
    <row r="8337">
      <c r="H8337" s="50"/>
      <c r="I8337" s="50"/>
      <c r="O8337" s="36" t="s">
        <v>48</v>
      </c>
      <c r="R8337" s="36" t="s">
        <v>48</v>
      </c>
    </row>
    <row r="8338">
      <c r="H8338" s="50"/>
      <c r="I8338" s="50"/>
      <c r="O8338" s="36" t="s">
        <v>48</v>
      </c>
      <c r="R8338" s="36" t="s">
        <v>48</v>
      </c>
    </row>
    <row r="8339">
      <c r="H8339" s="50"/>
      <c r="I8339" s="50"/>
      <c r="O8339" s="36" t="s">
        <v>48</v>
      </c>
      <c r="R8339" s="36" t="s">
        <v>48</v>
      </c>
    </row>
    <row r="8340">
      <c r="H8340" s="50"/>
      <c r="I8340" s="50"/>
      <c r="O8340" s="36" t="s">
        <v>48</v>
      </c>
      <c r="R8340" s="36" t="s">
        <v>48</v>
      </c>
    </row>
    <row r="8341">
      <c r="H8341" s="50"/>
      <c r="I8341" s="50"/>
      <c r="O8341" s="36" t="s">
        <v>48</v>
      </c>
      <c r="R8341" s="36" t="s">
        <v>48</v>
      </c>
    </row>
    <row r="8342">
      <c r="H8342" s="50"/>
      <c r="I8342" s="50"/>
      <c r="O8342" s="36" t="s">
        <v>48</v>
      </c>
      <c r="R8342" s="36" t="s">
        <v>48</v>
      </c>
    </row>
    <row r="8343">
      <c r="H8343" s="50"/>
      <c r="I8343" s="50"/>
      <c r="O8343" s="36" t="s">
        <v>48</v>
      </c>
      <c r="R8343" s="36" t="s">
        <v>48</v>
      </c>
    </row>
    <row r="8344">
      <c r="H8344" s="50"/>
      <c r="I8344" s="50"/>
      <c r="O8344" s="36" t="s">
        <v>48</v>
      </c>
      <c r="R8344" s="36" t="s">
        <v>48</v>
      </c>
    </row>
    <row r="8345">
      <c r="H8345" s="50"/>
      <c r="I8345" s="50"/>
      <c r="O8345" s="36" t="s">
        <v>48</v>
      </c>
      <c r="R8345" s="36" t="s">
        <v>48</v>
      </c>
    </row>
    <row r="8346">
      <c r="H8346" s="50"/>
      <c r="I8346" s="50"/>
      <c r="O8346" s="36" t="s">
        <v>48</v>
      </c>
      <c r="R8346" s="36" t="s">
        <v>48</v>
      </c>
    </row>
    <row r="8347">
      <c r="H8347" s="50"/>
      <c r="I8347" s="50"/>
      <c r="O8347" s="36" t="s">
        <v>48</v>
      </c>
      <c r="R8347" s="36" t="s">
        <v>48</v>
      </c>
    </row>
    <row r="8348">
      <c r="H8348" s="50"/>
      <c r="I8348" s="50"/>
      <c r="O8348" s="36" t="s">
        <v>48</v>
      </c>
      <c r="R8348" s="36" t="s">
        <v>48</v>
      </c>
    </row>
    <row r="8349">
      <c r="H8349" s="50"/>
      <c r="I8349" s="50"/>
      <c r="O8349" s="36" t="s">
        <v>48</v>
      </c>
      <c r="R8349" s="36" t="s">
        <v>48</v>
      </c>
    </row>
    <row r="8350">
      <c r="H8350" s="50"/>
      <c r="I8350" s="50"/>
      <c r="O8350" s="36" t="s">
        <v>48</v>
      </c>
      <c r="R8350" s="36" t="s">
        <v>48</v>
      </c>
    </row>
    <row r="8351">
      <c r="H8351" s="50"/>
      <c r="I8351" s="50"/>
      <c r="O8351" s="36" t="s">
        <v>48</v>
      </c>
      <c r="R8351" s="36" t="s">
        <v>48</v>
      </c>
    </row>
    <row r="8352">
      <c r="H8352" s="50"/>
      <c r="I8352" s="50"/>
      <c r="O8352" s="36" t="s">
        <v>48</v>
      </c>
      <c r="R8352" s="36" t="s">
        <v>48</v>
      </c>
    </row>
    <row r="8353">
      <c r="H8353" s="50"/>
      <c r="I8353" s="50"/>
      <c r="O8353" s="36" t="s">
        <v>48</v>
      </c>
      <c r="R8353" s="36" t="s">
        <v>48</v>
      </c>
    </row>
    <row r="8354">
      <c r="H8354" s="50"/>
      <c r="I8354" s="50"/>
      <c r="O8354" s="36" t="s">
        <v>48</v>
      </c>
      <c r="R8354" s="36" t="s">
        <v>48</v>
      </c>
    </row>
    <row r="8355">
      <c r="H8355" s="50"/>
      <c r="I8355" s="50"/>
      <c r="O8355" s="36" t="s">
        <v>48</v>
      </c>
      <c r="R8355" s="36" t="s">
        <v>48</v>
      </c>
    </row>
    <row r="8356">
      <c r="H8356" s="50"/>
      <c r="I8356" s="50"/>
      <c r="O8356" s="36" t="s">
        <v>48</v>
      </c>
      <c r="R8356" s="36" t="s">
        <v>48</v>
      </c>
    </row>
    <row r="8357">
      <c r="H8357" s="50"/>
      <c r="I8357" s="50"/>
      <c r="O8357" s="36" t="s">
        <v>48</v>
      </c>
      <c r="R8357" s="36" t="s">
        <v>48</v>
      </c>
    </row>
    <row r="8358">
      <c r="H8358" s="50"/>
      <c r="I8358" s="50"/>
      <c r="O8358" s="36" t="s">
        <v>48</v>
      </c>
      <c r="R8358" s="36" t="s">
        <v>48</v>
      </c>
    </row>
    <row r="8359">
      <c r="H8359" s="50"/>
      <c r="I8359" s="50"/>
      <c r="O8359" s="36" t="s">
        <v>48</v>
      </c>
      <c r="R8359" s="36" t="s">
        <v>48</v>
      </c>
    </row>
    <row r="8360">
      <c r="H8360" s="50"/>
      <c r="I8360" s="50"/>
      <c r="O8360" s="36" t="s">
        <v>48</v>
      </c>
      <c r="R8360" s="36" t="s">
        <v>48</v>
      </c>
    </row>
    <row r="8361">
      <c r="H8361" s="50"/>
      <c r="I8361" s="50"/>
      <c r="O8361" s="36" t="s">
        <v>48</v>
      </c>
      <c r="R8361" s="36" t="s">
        <v>48</v>
      </c>
    </row>
    <row r="8362">
      <c r="H8362" s="50"/>
      <c r="I8362" s="50"/>
      <c r="O8362" s="36" t="s">
        <v>48</v>
      </c>
      <c r="R8362" s="36" t="s">
        <v>48</v>
      </c>
    </row>
    <row r="8363">
      <c r="H8363" s="50"/>
      <c r="I8363" s="50"/>
      <c r="O8363" s="36" t="s">
        <v>48</v>
      </c>
      <c r="R8363" s="36" t="s">
        <v>48</v>
      </c>
    </row>
    <row r="8364">
      <c r="H8364" s="50"/>
      <c r="I8364" s="50"/>
      <c r="O8364" s="36" t="s">
        <v>48</v>
      </c>
      <c r="R8364" s="36" t="s">
        <v>48</v>
      </c>
    </row>
    <row r="8365">
      <c r="H8365" s="50"/>
      <c r="I8365" s="50"/>
      <c r="O8365" s="36" t="s">
        <v>48</v>
      </c>
      <c r="R8365" s="36" t="s">
        <v>48</v>
      </c>
    </row>
    <row r="8366">
      <c r="H8366" s="50"/>
      <c r="I8366" s="50"/>
      <c r="O8366" s="36" t="s">
        <v>48</v>
      </c>
      <c r="R8366" s="36" t="s">
        <v>48</v>
      </c>
    </row>
    <row r="8367">
      <c r="H8367" s="50"/>
      <c r="I8367" s="50"/>
      <c r="O8367" s="36" t="s">
        <v>48</v>
      </c>
      <c r="R8367" s="36" t="s">
        <v>48</v>
      </c>
    </row>
    <row r="8368">
      <c r="H8368" s="50"/>
      <c r="I8368" s="50"/>
      <c r="O8368" s="36" t="s">
        <v>48</v>
      </c>
      <c r="R8368" s="36" t="s">
        <v>48</v>
      </c>
    </row>
    <row r="8369">
      <c r="H8369" s="50"/>
      <c r="I8369" s="50"/>
      <c r="O8369" s="36" t="s">
        <v>48</v>
      </c>
      <c r="R8369" s="36" t="s">
        <v>48</v>
      </c>
    </row>
    <row r="8370">
      <c r="H8370" s="50"/>
      <c r="I8370" s="50"/>
      <c r="O8370" s="36" t="s">
        <v>48</v>
      </c>
      <c r="R8370" s="36" t="s">
        <v>48</v>
      </c>
    </row>
    <row r="8371">
      <c r="H8371" s="50"/>
      <c r="I8371" s="50"/>
      <c r="O8371" s="36" t="s">
        <v>48</v>
      </c>
      <c r="R8371" s="36" t="s">
        <v>48</v>
      </c>
    </row>
    <row r="8372">
      <c r="H8372" s="50"/>
      <c r="I8372" s="50"/>
      <c r="O8372" s="36" t="s">
        <v>48</v>
      </c>
      <c r="R8372" s="36" t="s">
        <v>48</v>
      </c>
    </row>
    <row r="8373">
      <c r="H8373" s="50"/>
      <c r="I8373" s="50"/>
      <c r="O8373" s="36" t="s">
        <v>48</v>
      </c>
      <c r="R8373" s="36" t="s">
        <v>48</v>
      </c>
    </row>
    <row r="8374">
      <c r="H8374" s="50"/>
      <c r="I8374" s="50"/>
      <c r="O8374" s="36" t="s">
        <v>48</v>
      </c>
      <c r="R8374" s="36" t="s">
        <v>48</v>
      </c>
    </row>
    <row r="8375">
      <c r="H8375" s="50"/>
      <c r="I8375" s="50"/>
      <c r="O8375" s="36" t="s">
        <v>48</v>
      </c>
      <c r="R8375" s="36" t="s">
        <v>48</v>
      </c>
    </row>
    <row r="8376">
      <c r="H8376" s="50"/>
      <c r="I8376" s="50"/>
      <c r="O8376" s="36" t="s">
        <v>48</v>
      </c>
      <c r="R8376" s="36" t="s">
        <v>48</v>
      </c>
    </row>
    <row r="8377">
      <c r="H8377" s="50"/>
      <c r="I8377" s="50"/>
      <c r="O8377" s="36" t="s">
        <v>48</v>
      </c>
      <c r="R8377" s="36" t="s">
        <v>48</v>
      </c>
    </row>
    <row r="8378">
      <c r="H8378" s="50"/>
      <c r="I8378" s="50"/>
      <c r="O8378" s="36" t="s">
        <v>48</v>
      </c>
      <c r="R8378" s="36" t="s">
        <v>48</v>
      </c>
    </row>
    <row r="8379">
      <c r="H8379" s="50"/>
      <c r="I8379" s="50"/>
      <c r="O8379" s="36" t="s">
        <v>48</v>
      </c>
      <c r="R8379" s="36" t="s">
        <v>48</v>
      </c>
    </row>
    <row r="8380">
      <c r="H8380" s="50"/>
      <c r="I8380" s="50"/>
      <c r="O8380" s="36" t="s">
        <v>48</v>
      </c>
      <c r="R8380" s="36" t="s">
        <v>48</v>
      </c>
    </row>
    <row r="8381">
      <c r="H8381" s="50"/>
      <c r="I8381" s="50"/>
      <c r="O8381" s="36" t="s">
        <v>48</v>
      </c>
      <c r="R8381" s="36" t="s">
        <v>48</v>
      </c>
    </row>
    <row r="8382">
      <c r="H8382" s="50"/>
      <c r="I8382" s="50"/>
      <c r="O8382" s="36" t="s">
        <v>48</v>
      </c>
      <c r="R8382" s="36" t="s">
        <v>48</v>
      </c>
    </row>
    <row r="8383">
      <c r="H8383" s="50"/>
      <c r="I8383" s="50"/>
      <c r="O8383" s="36" t="s">
        <v>48</v>
      </c>
      <c r="R8383" s="36" t="s">
        <v>48</v>
      </c>
    </row>
    <row r="8384">
      <c r="H8384" s="50"/>
      <c r="I8384" s="50"/>
      <c r="O8384" s="36" t="s">
        <v>48</v>
      </c>
      <c r="R8384" s="36" t="s">
        <v>48</v>
      </c>
    </row>
    <row r="8385">
      <c r="H8385" s="50"/>
      <c r="I8385" s="50"/>
      <c r="O8385" s="36" t="s">
        <v>48</v>
      </c>
      <c r="R8385" s="36" t="s">
        <v>48</v>
      </c>
    </row>
    <row r="8386">
      <c r="H8386" s="50"/>
      <c r="I8386" s="50"/>
      <c r="O8386" s="36" t="s">
        <v>48</v>
      </c>
      <c r="R8386" s="36" t="s">
        <v>48</v>
      </c>
    </row>
    <row r="8387">
      <c r="H8387" s="50"/>
      <c r="I8387" s="50"/>
      <c r="O8387" s="36" t="s">
        <v>48</v>
      </c>
      <c r="R8387" s="36" t="s">
        <v>48</v>
      </c>
    </row>
    <row r="8388">
      <c r="H8388" s="50"/>
      <c r="I8388" s="50"/>
      <c r="O8388" s="36" t="s">
        <v>48</v>
      </c>
      <c r="R8388" s="36" t="s">
        <v>48</v>
      </c>
    </row>
    <row r="8389">
      <c r="H8389" s="50"/>
      <c r="I8389" s="50"/>
      <c r="O8389" s="36" t="s">
        <v>48</v>
      </c>
      <c r="R8389" s="36" t="s">
        <v>48</v>
      </c>
    </row>
    <row r="8390">
      <c r="H8390" s="50"/>
      <c r="I8390" s="50"/>
      <c r="O8390" s="36" t="s">
        <v>48</v>
      </c>
      <c r="R8390" s="36" t="s">
        <v>48</v>
      </c>
    </row>
    <row r="8391">
      <c r="H8391" s="50"/>
      <c r="I8391" s="50"/>
      <c r="O8391" s="36" t="s">
        <v>48</v>
      </c>
      <c r="R8391" s="36" t="s">
        <v>48</v>
      </c>
    </row>
    <row r="8392">
      <c r="H8392" s="50"/>
      <c r="I8392" s="50"/>
      <c r="O8392" s="36" t="s">
        <v>48</v>
      </c>
      <c r="R8392" s="36" t="s">
        <v>48</v>
      </c>
    </row>
    <row r="8393">
      <c r="H8393" s="50"/>
      <c r="I8393" s="50"/>
      <c r="O8393" s="36" t="s">
        <v>48</v>
      </c>
      <c r="R8393" s="36" t="s">
        <v>48</v>
      </c>
    </row>
    <row r="8394">
      <c r="H8394" s="50"/>
      <c r="I8394" s="50"/>
      <c r="O8394" s="36" t="s">
        <v>48</v>
      </c>
      <c r="R8394" s="36" t="s">
        <v>48</v>
      </c>
    </row>
    <row r="8395">
      <c r="H8395" s="50"/>
      <c r="I8395" s="50"/>
      <c r="O8395" s="36" t="s">
        <v>48</v>
      </c>
      <c r="R8395" s="36" t="s">
        <v>48</v>
      </c>
    </row>
    <row r="8396">
      <c r="H8396" s="50"/>
      <c r="I8396" s="50"/>
      <c r="O8396" s="36" t="s">
        <v>48</v>
      </c>
      <c r="R8396" s="36" t="s">
        <v>48</v>
      </c>
    </row>
    <row r="8397">
      <c r="H8397" s="50"/>
      <c r="I8397" s="50"/>
      <c r="O8397" s="36" t="s">
        <v>48</v>
      </c>
      <c r="R8397" s="36" t="s">
        <v>48</v>
      </c>
    </row>
    <row r="8398">
      <c r="H8398" s="50"/>
      <c r="I8398" s="50"/>
      <c r="O8398" s="36" t="s">
        <v>48</v>
      </c>
      <c r="R8398" s="36" t="s">
        <v>48</v>
      </c>
    </row>
    <row r="8399">
      <c r="H8399" s="50"/>
      <c r="I8399" s="50"/>
      <c r="O8399" s="36" t="s">
        <v>48</v>
      </c>
      <c r="R8399" s="36" t="s">
        <v>48</v>
      </c>
    </row>
    <row r="8400">
      <c r="H8400" s="50"/>
      <c r="I8400" s="50"/>
      <c r="O8400" s="36" t="s">
        <v>48</v>
      </c>
      <c r="R8400" s="36" t="s">
        <v>48</v>
      </c>
    </row>
    <row r="8401">
      <c r="H8401" s="50"/>
      <c r="I8401" s="50"/>
      <c r="O8401" s="36" t="s">
        <v>48</v>
      </c>
      <c r="R8401" s="36" t="s">
        <v>48</v>
      </c>
    </row>
    <row r="8402">
      <c r="H8402" s="50"/>
      <c r="I8402" s="50"/>
      <c r="O8402" s="36" t="s">
        <v>48</v>
      </c>
      <c r="R8402" s="36" t="s">
        <v>48</v>
      </c>
    </row>
    <row r="8403">
      <c r="H8403" s="50"/>
      <c r="I8403" s="50"/>
      <c r="O8403" s="36" t="s">
        <v>48</v>
      </c>
      <c r="R8403" s="36" t="s">
        <v>48</v>
      </c>
    </row>
    <row r="8404">
      <c r="H8404" s="50"/>
      <c r="I8404" s="50"/>
      <c r="O8404" s="36" t="s">
        <v>48</v>
      </c>
      <c r="R8404" s="36" t="s">
        <v>48</v>
      </c>
    </row>
    <row r="8405">
      <c r="H8405" s="50"/>
      <c r="I8405" s="50"/>
      <c r="O8405" s="36" t="s">
        <v>48</v>
      </c>
      <c r="R8405" s="36" t="s">
        <v>48</v>
      </c>
    </row>
    <row r="8406">
      <c r="H8406" s="50"/>
      <c r="I8406" s="50"/>
      <c r="O8406" s="36" t="s">
        <v>48</v>
      </c>
      <c r="R8406" s="36" t="s">
        <v>48</v>
      </c>
    </row>
    <row r="8407">
      <c r="H8407" s="50"/>
      <c r="I8407" s="50"/>
      <c r="O8407" s="36" t="s">
        <v>48</v>
      </c>
      <c r="R8407" s="36" t="s">
        <v>48</v>
      </c>
    </row>
    <row r="8408">
      <c r="H8408" s="50"/>
      <c r="I8408" s="50"/>
      <c r="O8408" s="36" t="s">
        <v>48</v>
      </c>
      <c r="R8408" s="36" t="s">
        <v>48</v>
      </c>
    </row>
    <row r="8409">
      <c r="H8409" s="50"/>
      <c r="I8409" s="50"/>
      <c r="O8409" s="36" t="s">
        <v>48</v>
      </c>
      <c r="R8409" s="36" t="s">
        <v>48</v>
      </c>
    </row>
    <row r="8410">
      <c r="H8410" s="50"/>
      <c r="I8410" s="50"/>
      <c r="O8410" s="36" t="s">
        <v>48</v>
      </c>
      <c r="R8410" s="36" t="s">
        <v>48</v>
      </c>
    </row>
    <row r="8411">
      <c r="H8411" s="50"/>
      <c r="I8411" s="50"/>
      <c r="O8411" s="36" t="s">
        <v>48</v>
      </c>
      <c r="R8411" s="36" t="s">
        <v>48</v>
      </c>
    </row>
    <row r="8412">
      <c r="H8412" s="50"/>
      <c r="I8412" s="50"/>
      <c r="O8412" s="36" t="s">
        <v>48</v>
      </c>
      <c r="R8412" s="36" t="s">
        <v>48</v>
      </c>
    </row>
    <row r="8413">
      <c r="H8413" s="50"/>
      <c r="I8413" s="50"/>
      <c r="O8413" s="36" t="s">
        <v>48</v>
      </c>
      <c r="R8413" s="36" t="s">
        <v>48</v>
      </c>
    </row>
    <row r="8414">
      <c r="H8414" s="50"/>
      <c r="I8414" s="50"/>
      <c r="O8414" s="36" t="s">
        <v>48</v>
      </c>
      <c r="R8414" s="36" t="s">
        <v>48</v>
      </c>
    </row>
    <row r="8415">
      <c r="H8415" s="50"/>
      <c r="I8415" s="50"/>
      <c r="O8415" s="36" t="s">
        <v>48</v>
      </c>
      <c r="R8415" s="36" t="s">
        <v>48</v>
      </c>
    </row>
    <row r="8416">
      <c r="H8416" s="50"/>
      <c r="I8416" s="50"/>
      <c r="O8416" s="36" t="s">
        <v>48</v>
      </c>
      <c r="R8416" s="36" t="s">
        <v>48</v>
      </c>
    </row>
    <row r="8417">
      <c r="H8417" s="50"/>
      <c r="I8417" s="50"/>
      <c r="O8417" s="36" t="s">
        <v>48</v>
      </c>
      <c r="R8417" s="36" t="s">
        <v>48</v>
      </c>
    </row>
    <row r="8418">
      <c r="H8418" s="50"/>
      <c r="I8418" s="50"/>
      <c r="O8418" s="36" t="s">
        <v>48</v>
      </c>
      <c r="R8418" s="36" t="s">
        <v>48</v>
      </c>
    </row>
    <row r="8419">
      <c r="H8419" s="50"/>
      <c r="I8419" s="50"/>
      <c r="O8419" s="36" t="s">
        <v>48</v>
      </c>
      <c r="R8419" s="36" t="s">
        <v>48</v>
      </c>
    </row>
    <row r="8420">
      <c r="H8420" s="50"/>
      <c r="I8420" s="50"/>
      <c r="O8420" s="36" t="s">
        <v>48</v>
      </c>
      <c r="R8420" s="36" t="s">
        <v>48</v>
      </c>
    </row>
    <row r="8421">
      <c r="H8421" s="50"/>
      <c r="I8421" s="50"/>
      <c r="O8421" s="36" t="s">
        <v>48</v>
      </c>
      <c r="R8421" s="36" t="s">
        <v>48</v>
      </c>
    </row>
    <row r="8422">
      <c r="H8422" s="50"/>
      <c r="I8422" s="50"/>
      <c r="O8422" s="36" t="s">
        <v>48</v>
      </c>
      <c r="R8422" s="36" t="s">
        <v>48</v>
      </c>
    </row>
    <row r="8423">
      <c r="H8423" s="50"/>
      <c r="I8423" s="50"/>
      <c r="O8423" s="36" t="s">
        <v>48</v>
      </c>
      <c r="R8423" s="36" t="s">
        <v>48</v>
      </c>
    </row>
    <row r="8424">
      <c r="H8424" s="50"/>
      <c r="I8424" s="50"/>
      <c r="O8424" s="36" t="s">
        <v>48</v>
      </c>
      <c r="R8424" s="36" t="s">
        <v>48</v>
      </c>
    </row>
    <row r="8425">
      <c r="H8425" s="50"/>
      <c r="I8425" s="50"/>
      <c r="O8425" s="36" t="s">
        <v>48</v>
      </c>
      <c r="R8425" s="36" t="s">
        <v>48</v>
      </c>
    </row>
    <row r="8426">
      <c r="H8426" s="50"/>
      <c r="I8426" s="50"/>
      <c r="O8426" s="36" t="s">
        <v>48</v>
      </c>
      <c r="R8426" s="36" t="s">
        <v>48</v>
      </c>
    </row>
    <row r="8427">
      <c r="H8427" s="50"/>
      <c r="I8427" s="50"/>
      <c r="O8427" s="36" t="s">
        <v>48</v>
      </c>
      <c r="R8427" s="36" t="s">
        <v>48</v>
      </c>
    </row>
    <row r="8428">
      <c r="H8428" s="50"/>
      <c r="I8428" s="50"/>
      <c r="O8428" s="36" t="s">
        <v>48</v>
      </c>
      <c r="R8428" s="36" t="s">
        <v>48</v>
      </c>
    </row>
    <row r="8429">
      <c r="H8429" s="50"/>
      <c r="I8429" s="50"/>
      <c r="O8429" s="36" t="s">
        <v>48</v>
      </c>
      <c r="R8429" s="36" t="s">
        <v>48</v>
      </c>
    </row>
    <row r="8430">
      <c r="H8430" s="50"/>
      <c r="I8430" s="50"/>
      <c r="O8430" s="36" t="s">
        <v>48</v>
      </c>
      <c r="R8430" s="36" t="s">
        <v>48</v>
      </c>
    </row>
    <row r="8431">
      <c r="H8431" s="50"/>
      <c r="I8431" s="50"/>
      <c r="O8431" s="36" t="s">
        <v>48</v>
      </c>
      <c r="R8431" s="36" t="s">
        <v>48</v>
      </c>
    </row>
    <row r="8432">
      <c r="H8432" s="50"/>
      <c r="I8432" s="50"/>
      <c r="O8432" s="36" t="s">
        <v>48</v>
      </c>
      <c r="R8432" s="36" t="s">
        <v>48</v>
      </c>
    </row>
    <row r="8433">
      <c r="H8433" s="50"/>
      <c r="I8433" s="50"/>
      <c r="O8433" s="36" t="s">
        <v>48</v>
      </c>
      <c r="R8433" s="36" t="s">
        <v>48</v>
      </c>
    </row>
    <row r="8434">
      <c r="H8434" s="50"/>
      <c r="I8434" s="50"/>
      <c r="O8434" s="36" t="s">
        <v>48</v>
      </c>
      <c r="R8434" s="36" t="s">
        <v>48</v>
      </c>
    </row>
    <row r="8435">
      <c r="H8435" s="50"/>
      <c r="I8435" s="50"/>
      <c r="O8435" s="36" t="s">
        <v>48</v>
      </c>
      <c r="R8435" s="36" t="s">
        <v>48</v>
      </c>
    </row>
    <row r="8436">
      <c r="H8436" s="50"/>
      <c r="I8436" s="50"/>
      <c r="O8436" s="36" t="s">
        <v>48</v>
      </c>
      <c r="R8436" s="36" t="s">
        <v>48</v>
      </c>
    </row>
    <row r="8437">
      <c r="H8437" s="50"/>
      <c r="I8437" s="50"/>
      <c r="O8437" s="36" t="s">
        <v>48</v>
      </c>
      <c r="R8437" s="36" t="s">
        <v>48</v>
      </c>
    </row>
    <row r="8438">
      <c r="H8438" s="50"/>
      <c r="I8438" s="50"/>
      <c r="O8438" s="36" t="s">
        <v>48</v>
      </c>
      <c r="R8438" s="36" t="s">
        <v>48</v>
      </c>
    </row>
    <row r="8439">
      <c r="H8439" s="50"/>
      <c r="I8439" s="50"/>
      <c r="O8439" s="36" t="s">
        <v>48</v>
      </c>
      <c r="R8439" s="36" t="s">
        <v>48</v>
      </c>
    </row>
    <row r="8440">
      <c r="H8440" s="50"/>
      <c r="I8440" s="50"/>
      <c r="O8440" s="36" t="s">
        <v>48</v>
      </c>
      <c r="R8440" s="36" t="s">
        <v>48</v>
      </c>
    </row>
    <row r="8441">
      <c r="H8441" s="50"/>
      <c r="I8441" s="50"/>
      <c r="O8441" s="36" t="s">
        <v>48</v>
      </c>
      <c r="R8441" s="36" t="s">
        <v>48</v>
      </c>
    </row>
    <row r="8442">
      <c r="H8442" s="50"/>
      <c r="I8442" s="50"/>
      <c r="O8442" s="36" t="s">
        <v>48</v>
      </c>
      <c r="R8442" s="36" t="s">
        <v>48</v>
      </c>
    </row>
    <row r="8443">
      <c r="H8443" s="50"/>
      <c r="I8443" s="50"/>
      <c r="O8443" s="36" t="s">
        <v>48</v>
      </c>
      <c r="R8443" s="36" t="s">
        <v>48</v>
      </c>
    </row>
    <row r="8444">
      <c r="H8444" s="50"/>
      <c r="I8444" s="50"/>
      <c r="O8444" s="36" t="s">
        <v>48</v>
      </c>
      <c r="R8444" s="36" t="s">
        <v>48</v>
      </c>
    </row>
    <row r="8445">
      <c r="H8445" s="50"/>
      <c r="I8445" s="50"/>
      <c r="O8445" s="36" t="s">
        <v>48</v>
      </c>
      <c r="R8445" s="36" t="s">
        <v>48</v>
      </c>
    </row>
    <row r="8446">
      <c r="H8446" s="50"/>
      <c r="I8446" s="50"/>
      <c r="O8446" s="36" t="s">
        <v>48</v>
      </c>
      <c r="R8446" s="36" t="s">
        <v>48</v>
      </c>
    </row>
    <row r="8447">
      <c r="H8447" s="50"/>
      <c r="I8447" s="50"/>
      <c r="O8447" s="36" t="s">
        <v>48</v>
      </c>
      <c r="R8447" s="36" t="s">
        <v>48</v>
      </c>
    </row>
    <row r="8448">
      <c r="H8448" s="50"/>
      <c r="I8448" s="50"/>
      <c r="O8448" s="36" t="s">
        <v>48</v>
      </c>
      <c r="R8448" s="36" t="s">
        <v>48</v>
      </c>
    </row>
    <row r="8449">
      <c r="H8449" s="50"/>
      <c r="I8449" s="50"/>
      <c r="O8449" s="36" t="s">
        <v>48</v>
      </c>
      <c r="R8449" s="36" t="s">
        <v>48</v>
      </c>
    </row>
    <row r="8450">
      <c r="H8450" s="50"/>
      <c r="I8450" s="50"/>
      <c r="O8450" s="36" t="s">
        <v>48</v>
      </c>
      <c r="R8450" s="36" t="s">
        <v>48</v>
      </c>
    </row>
    <row r="8451">
      <c r="H8451" s="50"/>
      <c r="I8451" s="50"/>
      <c r="O8451" s="36" t="s">
        <v>48</v>
      </c>
      <c r="R8451" s="36" t="s">
        <v>48</v>
      </c>
    </row>
    <row r="8452">
      <c r="H8452" s="50"/>
      <c r="I8452" s="50"/>
      <c r="O8452" s="36" t="s">
        <v>48</v>
      </c>
      <c r="R8452" s="36" t="s">
        <v>48</v>
      </c>
    </row>
    <row r="8453">
      <c r="H8453" s="50"/>
      <c r="I8453" s="50"/>
      <c r="O8453" s="36" t="s">
        <v>48</v>
      </c>
      <c r="R8453" s="36" t="s">
        <v>48</v>
      </c>
    </row>
    <row r="8454">
      <c r="H8454" s="50"/>
      <c r="I8454" s="50"/>
      <c r="O8454" s="36" t="s">
        <v>48</v>
      </c>
      <c r="R8454" s="36" t="s">
        <v>48</v>
      </c>
    </row>
    <row r="8455">
      <c r="H8455" s="50"/>
      <c r="I8455" s="50"/>
      <c r="O8455" s="36" t="s">
        <v>48</v>
      </c>
      <c r="R8455" s="36" t="s">
        <v>48</v>
      </c>
    </row>
    <row r="8456">
      <c r="H8456" s="50"/>
      <c r="I8456" s="50"/>
      <c r="O8456" s="36" t="s">
        <v>48</v>
      </c>
      <c r="R8456" s="36" t="s">
        <v>48</v>
      </c>
    </row>
    <row r="8457">
      <c r="H8457" s="50"/>
      <c r="I8457" s="50"/>
      <c r="O8457" s="36" t="s">
        <v>48</v>
      </c>
      <c r="R8457" s="36" t="s">
        <v>48</v>
      </c>
    </row>
    <row r="8458">
      <c r="H8458" s="50"/>
      <c r="I8458" s="50"/>
      <c r="O8458" s="36" t="s">
        <v>48</v>
      </c>
      <c r="R8458" s="36" t="s">
        <v>48</v>
      </c>
    </row>
    <row r="8459">
      <c r="H8459" s="50"/>
      <c r="I8459" s="50"/>
      <c r="O8459" s="36" t="s">
        <v>48</v>
      </c>
      <c r="R8459" s="36" t="s">
        <v>48</v>
      </c>
    </row>
    <row r="8460">
      <c r="H8460" s="50"/>
      <c r="I8460" s="50"/>
      <c r="O8460" s="36" t="s">
        <v>48</v>
      </c>
      <c r="R8460" s="36" t="s">
        <v>48</v>
      </c>
    </row>
    <row r="8461">
      <c r="H8461" s="50"/>
      <c r="I8461" s="50"/>
      <c r="O8461" s="36" t="s">
        <v>48</v>
      </c>
      <c r="R8461" s="36" t="s">
        <v>48</v>
      </c>
    </row>
    <row r="8462">
      <c r="H8462" s="50"/>
      <c r="I8462" s="50"/>
      <c r="O8462" s="36" t="s">
        <v>48</v>
      </c>
      <c r="R8462" s="36" t="s">
        <v>48</v>
      </c>
    </row>
    <row r="8463">
      <c r="H8463" s="50"/>
      <c r="I8463" s="50"/>
      <c r="O8463" s="36" t="s">
        <v>48</v>
      </c>
      <c r="R8463" s="36" t="s">
        <v>48</v>
      </c>
    </row>
    <row r="8464">
      <c r="H8464" s="50"/>
      <c r="I8464" s="50"/>
      <c r="O8464" s="36" t="s">
        <v>48</v>
      </c>
      <c r="R8464" s="36" t="s">
        <v>48</v>
      </c>
    </row>
    <row r="8465">
      <c r="H8465" s="50"/>
      <c r="I8465" s="50"/>
      <c r="O8465" s="36" t="s">
        <v>48</v>
      </c>
      <c r="R8465" s="36" t="s">
        <v>48</v>
      </c>
    </row>
    <row r="8466">
      <c r="H8466" s="50"/>
      <c r="I8466" s="50"/>
      <c r="O8466" s="36" t="s">
        <v>48</v>
      </c>
      <c r="R8466" s="36" t="s">
        <v>48</v>
      </c>
    </row>
    <row r="8467">
      <c r="H8467" s="50"/>
      <c r="I8467" s="50"/>
      <c r="O8467" s="36" t="s">
        <v>48</v>
      </c>
      <c r="R8467" s="36" t="s">
        <v>48</v>
      </c>
    </row>
    <row r="8468">
      <c r="H8468" s="50"/>
      <c r="I8468" s="50"/>
      <c r="O8468" s="36" t="s">
        <v>48</v>
      </c>
      <c r="R8468" s="36" t="s">
        <v>48</v>
      </c>
    </row>
    <row r="8469">
      <c r="H8469" s="50"/>
      <c r="I8469" s="50"/>
      <c r="O8469" s="36" t="s">
        <v>48</v>
      </c>
      <c r="R8469" s="36" t="s">
        <v>48</v>
      </c>
    </row>
    <row r="8470">
      <c r="H8470" s="50"/>
      <c r="I8470" s="50"/>
      <c r="O8470" s="36" t="s">
        <v>48</v>
      </c>
      <c r="R8470" s="36" t="s">
        <v>48</v>
      </c>
    </row>
    <row r="8471">
      <c r="H8471" s="50"/>
      <c r="I8471" s="50"/>
      <c r="O8471" s="36" t="s">
        <v>48</v>
      </c>
      <c r="R8471" s="36" t="s">
        <v>48</v>
      </c>
    </row>
    <row r="8472">
      <c r="H8472" s="50"/>
      <c r="I8472" s="50"/>
      <c r="O8472" s="36" t="s">
        <v>48</v>
      </c>
      <c r="R8472" s="36" t="s">
        <v>48</v>
      </c>
    </row>
    <row r="8473">
      <c r="H8473" s="50"/>
      <c r="I8473" s="50"/>
      <c r="O8473" s="36" t="s">
        <v>48</v>
      </c>
      <c r="R8473" s="36" t="s">
        <v>48</v>
      </c>
    </row>
    <row r="8474">
      <c r="H8474" s="50"/>
      <c r="I8474" s="50"/>
      <c r="O8474" s="36" t="s">
        <v>48</v>
      </c>
      <c r="R8474" s="36" t="s">
        <v>48</v>
      </c>
    </row>
    <row r="8475">
      <c r="H8475" s="50"/>
      <c r="I8475" s="50"/>
      <c r="O8475" s="36" t="s">
        <v>48</v>
      </c>
      <c r="R8475" s="36" t="s">
        <v>48</v>
      </c>
    </row>
    <row r="8476">
      <c r="H8476" s="50"/>
      <c r="I8476" s="50"/>
      <c r="O8476" s="36" t="s">
        <v>48</v>
      </c>
      <c r="R8476" s="36" t="s">
        <v>48</v>
      </c>
    </row>
    <row r="8477">
      <c r="H8477" s="50"/>
      <c r="I8477" s="50"/>
      <c r="O8477" s="36" t="s">
        <v>48</v>
      </c>
      <c r="R8477" s="36" t="s">
        <v>48</v>
      </c>
    </row>
    <row r="8478">
      <c r="H8478" s="50"/>
      <c r="I8478" s="50"/>
      <c r="O8478" s="36" t="s">
        <v>48</v>
      </c>
      <c r="R8478" s="36" t="s">
        <v>48</v>
      </c>
    </row>
    <row r="8479">
      <c r="H8479" s="50"/>
      <c r="I8479" s="50"/>
      <c r="O8479" s="36" t="s">
        <v>48</v>
      </c>
      <c r="R8479" s="36" t="s">
        <v>48</v>
      </c>
    </row>
    <row r="8480">
      <c r="H8480" s="50"/>
      <c r="I8480" s="50"/>
      <c r="O8480" s="36" t="s">
        <v>48</v>
      </c>
      <c r="R8480" s="36" t="s">
        <v>48</v>
      </c>
    </row>
    <row r="8481">
      <c r="H8481" s="50"/>
      <c r="I8481" s="50"/>
      <c r="O8481" s="36" t="s">
        <v>48</v>
      </c>
      <c r="R8481" s="36" t="s">
        <v>48</v>
      </c>
    </row>
    <row r="8482">
      <c r="H8482" s="50"/>
      <c r="I8482" s="50"/>
      <c r="O8482" s="36" t="s">
        <v>48</v>
      </c>
      <c r="R8482" s="36" t="s">
        <v>48</v>
      </c>
    </row>
    <row r="8483">
      <c r="H8483" s="50"/>
      <c r="I8483" s="50"/>
      <c r="O8483" s="36" t="s">
        <v>48</v>
      </c>
      <c r="R8483" s="36" t="s">
        <v>48</v>
      </c>
    </row>
    <row r="8484">
      <c r="H8484" s="50"/>
      <c r="I8484" s="50"/>
      <c r="O8484" s="36" t="s">
        <v>48</v>
      </c>
      <c r="R8484" s="36" t="s">
        <v>48</v>
      </c>
    </row>
    <row r="8485">
      <c r="H8485" s="50"/>
      <c r="I8485" s="50"/>
      <c r="O8485" s="36" t="s">
        <v>48</v>
      </c>
      <c r="R8485" s="36" t="s">
        <v>48</v>
      </c>
    </row>
    <row r="8486">
      <c r="H8486" s="50"/>
      <c r="I8486" s="50"/>
      <c r="O8486" s="36" t="s">
        <v>48</v>
      </c>
      <c r="R8486" s="36" t="s">
        <v>48</v>
      </c>
    </row>
    <row r="8487">
      <c r="H8487" s="50"/>
      <c r="I8487" s="50"/>
      <c r="O8487" s="36" t="s">
        <v>48</v>
      </c>
      <c r="R8487" s="36" t="s">
        <v>48</v>
      </c>
    </row>
    <row r="8488">
      <c r="H8488" s="50"/>
      <c r="I8488" s="50"/>
      <c r="O8488" s="36" t="s">
        <v>48</v>
      </c>
      <c r="R8488" s="36" t="s">
        <v>48</v>
      </c>
    </row>
    <row r="8489">
      <c r="H8489" s="50"/>
      <c r="I8489" s="50"/>
      <c r="O8489" s="36" t="s">
        <v>48</v>
      </c>
      <c r="R8489" s="36" t="s">
        <v>48</v>
      </c>
    </row>
    <row r="8490">
      <c r="H8490" s="50"/>
      <c r="I8490" s="50"/>
      <c r="O8490" s="36" t="s">
        <v>48</v>
      </c>
      <c r="R8490" s="36" t="s">
        <v>48</v>
      </c>
    </row>
    <row r="8491">
      <c r="H8491" s="50"/>
      <c r="I8491" s="50"/>
      <c r="O8491" s="36" t="s">
        <v>48</v>
      </c>
      <c r="R8491" s="36" t="s">
        <v>48</v>
      </c>
    </row>
    <row r="8492">
      <c r="H8492" s="50"/>
      <c r="I8492" s="50"/>
      <c r="O8492" s="36" t="s">
        <v>48</v>
      </c>
      <c r="R8492" s="36" t="s">
        <v>48</v>
      </c>
    </row>
    <row r="8493">
      <c r="H8493" s="50"/>
      <c r="I8493" s="50"/>
      <c r="O8493" s="36" t="s">
        <v>48</v>
      </c>
      <c r="R8493" s="36" t="s">
        <v>48</v>
      </c>
    </row>
    <row r="8494">
      <c r="H8494" s="50"/>
      <c r="I8494" s="50"/>
      <c r="O8494" s="36" t="s">
        <v>48</v>
      </c>
      <c r="R8494" s="36" t="s">
        <v>48</v>
      </c>
    </row>
    <row r="8495">
      <c r="H8495" s="50"/>
      <c r="I8495" s="50"/>
      <c r="O8495" s="36" t="s">
        <v>48</v>
      </c>
      <c r="R8495" s="36" t="s">
        <v>48</v>
      </c>
    </row>
    <row r="8496">
      <c r="H8496" s="50"/>
      <c r="I8496" s="50"/>
      <c r="O8496" s="36" t="s">
        <v>48</v>
      </c>
      <c r="R8496" s="36" t="s">
        <v>48</v>
      </c>
    </row>
    <row r="8497">
      <c r="H8497" s="50"/>
      <c r="I8497" s="50"/>
      <c r="O8497" s="36" t="s">
        <v>48</v>
      </c>
      <c r="R8497" s="36" t="s">
        <v>48</v>
      </c>
    </row>
    <row r="8498">
      <c r="H8498" s="50"/>
      <c r="I8498" s="50"/>
      <c r="O8498" s="36" t="s">
        <v>48</v>
      </c>
      <c r="R8498" s="36" t="s">
        <v>48</v>
      </c>
    </row>
    <row r="8499">
      <c r="H8499" s="50"/>
      <c r="I8499" s="50"/>
      <c r="O8499" s="36" t="s">
        <v>48</v>
      </c>
      <c r="R8499" s="36" t="s">
        <v>48</v>
      </c>
    </row>
    <row r="8500">
      <c r="H8500" s="50"/>
      <c r="I8500" s="50"/>
      <c r="O8500" s="36" t="s">
        <v>48</v>
      </c>
      <c r="R8500" s="36" t="s">
        <v>48</v>
      </c>
    </row>
    <row r="8501">
      <c r="H8501" s="50"/>
      <c r="I8501" s="50"/>
      <c r="O8501" s="36" t="s">
        <v>48</v>
      </c>
      <c r="R8501" s="36" t="s">
        <v>48</v>
      </c>
    </row>
    <row r="8502">
      <c r="H8502" s="50"/>
      <c r="I8502" s="50"/>
      <c r="O8502" s="36" t="s">
        <v>48</v>
      </c>
      <c r="R8502" s="36" t="s">
        <v>48</v>
      </c>
    </row>
    <row r="8503">
      <c r="H8503" s="50"/>
      <c r="I8503" s="50"/>
      <c r="O8503" s="36" t="s">
        <v>48</v>
      </c>
      <c r="R8503" s="36" t="s">
        <v>48</v>
      </c>
    </row>
    <row r="8504">
      <c r="H8504" s="50"/>
      <c r="I8504" s="50"/>
      <c r="O8504" s="36" t="s">
        <v>48</v>
      </c>
      <c r="R8504" s="36" t="s">
        <v>48</v>
      </c>
    </row>
    <row r="8505">
      <c r="H8505" s="50"/>
      <c r="I8505" s="50"/>
      <c r="O8505" s="36" t="s">
        <v>48</v>
      </c>
      <c r="R8505" s="36" t="s">
        <v>48</v>
      </c>
    </row>
    <row r="8506">
      <c r="H8506" s="50"/>
      <c r="I8506" s="50"/>
      <c r="O8506" s="36" t="s">
        <v>48</v>
      </c>
      <c r="R8506" s="36" t="s">
        <v>48</v>
      </c>
    </row>
    <row r="8507">
      <c r="H8507" s="50"/>
      <c r="I8507" s="50"/>
      <c r="O8507" s="36" t="s">
        <v>48</v>
      </c>
      <c r="R8507" s="36" t="s">
        <v>48</v>
      </c>
    </row>
    <row r="8508">
      <c r="H8508" s="50"/>
      <c r="I8508" s="50"/>
      <c r="O8508" s="36" t="s">
        <v>48</v>
      </c>
      <c r="R8508" s="36" t="s">
        <v>48</v>
      </c>
    </row>
    <row r="8509">
      <c r="H8509" s="50"/>
      <c r="I8509" s="50"/>
      <c r="O8509" s="36" t="s">
        <v>48</v>
      </c>
      <c r="R8509" s="36" t="s">
        <v>48</v>
      </c>
    </row>
    <row r="8510">
      <c r="H8510" s="50"/>
      <c r="I8510" s="50"/>
      <c r="O8510" s="36" t="s">
        <v>48</v>
      </c>
      <c r="R8510" s="36" t="s">
        <v>48</v>
      </c>
    </row>
    <row r="8511">
      <c r="H8511" s="50"/>
      <c r="I8511" s="50"/>
      <c r="O8511" s="36" t="s">
        <v>48</v>
      </c>
      <c r="R8511" s="36" t="s">
        <v>48</v>
      </c>
    </row>
    <row r="8512">
      <c r="H8512" s="50"/>
      <c r="I8512" s="50"/>
      <c r="O8512" s="36" t="s">
        <v>48</v>
      </c>
      <c r="R8512" s="36" t="s">
        <v>48</v>
      </c>
    </row>
    <row r="8513">
      <c r="H8513" s="50"/>
      <c r="I8513" s="50"/>
      <c r="O8513" s="36" t="s">
        <v>48</v>
      </c>
      <c r="R8513" s="36" t="s">
        <v>48</v>
      </c>
    </row>
    <row r="8514">
      <c r="H8514" s="50"/>
      <c r="I8514" s="50"/>
      <c r="O8514" s="36" t="s">
        <v>48</v>
      </c>
      <c r="R8514" s="36" t="s">
        <v>48</v>
      </c>
    </row>
    <row r="8515">
      <c r="H8515" s="50"/>
      <c r="I8515" s="50"/>
      <c r="O8515" s="36" t="s">
        <v>48</v>
      </c>
      <c r="R8515" s="36" t="s">
        <v>48</v>
      </c>
    </row>
    <row r="8516">
      <c r="H8516" s="50"/>
      <c r="I8516" s="50"/>
      <c r="O8516" s="36" t="s">
        <v>48</v>
      </c>
      <c r="R8516" s="36" t="s">
        <v>48</v>
      </c>
    </row>
    <row r="8517">
      <c r="H8517" s="50"/>
      <c r="I8517" s="50"/>
      <c r="O8517" s="36" t="s">
        <v>48</v>
      </c>
      <c r="R8517" s="36" t="s">
        <v>48</v>
      </c>
    </row>
    <row r="8518">
      <c r="H8518" s="50"/>
      <c r="I8518" s="50"/>
      <c r="O8518" s="36" t="s">
        <v>48</v>
      </c>
      <c r="R8518" s="36" t="s">
        <v>48</v>
      </c>
    </row>
    <row r="8519">
      <c r="H8519" s="50"/>
      <c r="I8519" s="50"/>
      <c r="O8519" s="36" t="s">
        <v>48</v>
      </c>
      <c r="R8519" s="36" t="s">
        <v>48</v>
      </c>
    </row>
    <row r="8520">
      <c r="H8520" s="50"/>
      <c r="I8520" s="50"/>
      <c r="O8520" s="36" t="s">
        <v>48</v>
      </c>
      <c r="R8520" s="36" t="s">
        <v>48</v>
      </c>
    </row>
    <row r="8521">
      <c r="H8521" s="50"/>
      <c r="I8521" s="50"/>
      <c r="O8521" s="36" t="s">
        <v>48</v>
      </c>
      <c r="R8521" s="36" t="s">
        <v>48</v>
      </c>
    </row>
    <row r="8522">
      <c r="H8522" s="50"/>
      <c r="I8522" s="50"/>
      <c r="O8522" s="36" t="s">
        <v>48</v>
      </c>
      <c r="R8522" s="36" t="s">
        <v>48</v>
      </c>
    </row>
    <row r="8523">
      <c r="H8523" s="50"/>
      <c r="I8523" s="50"/>
      <c r="O8523" s="36" t="s">
        <v>48</v>
      </c>
      <c r="R8523" s="36" t="s">
        <v>48</v>
      </c>
    </row>
    <row r="8524">
      <c r="H8524" s="50"/>
      <c r="I8524" s="50"/>
      <c r="O8524" s="36" t="s">
        <v>48</v>
      </c>
      <c r="R8524" s="36" t="s">
        <v>48</v>
      </c>
    </row>
    <row r="8525">
      <c r="H8525" s="50"/>
      <c r="I8525" s="50"/>
      <c r="O8525" s="36" t="s">
        <v>48</v>
      </c>
      <c r="R8525" s="36" t="s">
        <v>48</v>
      </c>
    </row>
    <row r="8526">
      <c r="H8526" s="50"/>
      <c r="I8526" s="50"/>
      <c r="O8526" s="36" t="s">
        <v>48</v>
      </c>
      <c r="R8526" s="36" t="s">
        <v>48</v>
      </c>
    </row>
    <row r="8527">
      <c r="H8527" s="50"/>
      <c r="I8527" s="50"/>
      <c r="O8527" s="36" t="s">
        <v>48</v>
      </c>
      <c r="R8527" s="36" t="s">
        <v>48</v>
      </c>
    </row>
    <row r="8528">
      <c r="H8528" s="50"/>
      <c r="I8528" s="50"/>
      <c r="O8528" s="36" t="s">
        <v>48</v>
      </c>
      <c r="R8528" s="36" t="s">
        <v>48</v>
      </c>
    </row>
    <row r="8529">
      <c r="H8529" s="50"/>
      <c r="I8529" s="50"/>
      <c r="O8529" s="36" t="s">
        <v>48</v>
      </c>
      <c r="R8529" s="36" t="s">
        <v>48</v>
      </c>
    </row>
    <row r="8530">
      <c r="H8530" s="50"/>
      <c r="I8530" s="50"/>
      <c r="O8530" s="36" t="s">
        <v>48</v>
      </c>
      <c r="R8530" s="36" t="s">
        <v>48</v>
      </c>
    </row>
    <row r="8531">
      <c r="H8531" s="50"/>
      <c r="I8531" s="50"/>
      <c r="O8531" s="36" t="s">
        <v>48</v>
      </c>
      <c r="R8531" s="36" t="s">
        <v>48</v>
      </c>
    </row>
    <row r="8532">
      <c r="H8532" s="50"/>
      <c r="I8532" s="50"/>
      <c r="O8532" s="36" t="s">
        <v>48</v>
      </c>
      <c r="R8532" s="36" t="s">
        <v>48</v>
      </c>
    </row>
    <row r="8533">
      <c r="H8533" s="50"/>
      <c r="I8533" s="50"/>
      <c r="O8533" s="36" t="s">
        <v>48</v>
      </c>
      <c r="R8533" s="36" t="s">
        <v>48</v>
      </c>
    </row>
    <row r="8534">
      <c r="H8534" s="50"/>
      <c r="I8534" s="50"/>
      <c r="O8534" s="36" t="s">
        <v>48</v>
      </c>
      <c r="R8534" s="36" t="s">
        <v>48</v>
      </c>
    </row>
    <row r="8535">
      <c r="H8535" s="50"/>
      <c r="I8535" s="50"/>
      <c r="O8535" s="36" t="s">
        <v>48</v>
      </c>
      <c r="R8535" s="36" t="s">
        <v>48</v>
      </c>
    </row>
    <row r="8536">
      <c r="H8536" s="50"/>
      <c r="I8536" s="50"/>
      <c r="O8536" s="36" t="s">
        <v>48</v>
      </c>
      <c r="R8536" s="36" t="s">
        <v>48</v>
      </c>
    </row>
    <row r="8537">
      <c r="H8537" s="50"/>
      <c r="I8537" s="50"/>
      <c r="O8537" s="36" t="s">
        <v>48</v>
      </c>
      <c r="R8537" s="36" t="s">
        <v>48</v>
      </c>
    </row>
    <row r="8538">
      <c r="H8538" s="50"/>
      <c r="I8538" s="50"/>
      <c r="O8538" s="36" t="s">
        <v>48</v>
      </c>
      <c r="R8538" s="36" t="s">
        <v>48</v>
      </c>
    </row>
    <row r="8539">
      <c r="H8539" s="50"/>
      <c r="I8539" s="50"/>
      <c r="O8539" s="36" t="s">
        <v>48</v>
      </c>
      <c r="R8539" s="36" t="s">
        <v>48</v>
      </c>
    </row>
    <row r="8540">
      <c r="H8540" s="50"/>
      <c r="I8540" s="50"/>
      <c r="O8540" s="36" t="s">
        <v>48</v>
      </c>
      <c r="R8540" s="36" t="s">
        <v>48</v>
      </c>
    </row>
    <row r="8541">
      <c r="H8541" s="50"/>
      <c r="I8541" s="50"/>
      <c r="O8541" s="36" t="s">
        <v>48</v>
      </c>
      <c r="R8541" s="36" t="s">
        <v>48</v>
      </c>
    </row>
    <row r="8542">
      <c r="H8542" s="50"/>
      <c r="I8542" s="50"/>
      <c r="O8542" s="36" t="s">
        <v>48</v>
      </c>
      <c r="R8542" s="36" t="s">
        <v>48</v>
      </c>
    </row>
    <row r="8543">
      <c r="H8543" s="50"/>
      <c r="I8543" s="50"/>
      <c r="O8543" s="36" t="s">
        <v>48</v>
      </c>
      <c r="R8543" s="36" t="s">
        <v>48</v>
      </c>
    </row>
    <row r="8544">
      <c r="H8544" s="50"/>
      <c r="I8544" s="50"/>
      <c r="O8544" s="36" t="s">
        <v>48</v>
      </c>
      <c r="R8544" s="36" t="s">
        <v>48</v>
      </c>
    </row>
    <row r="8545">
      <c r="H8545" s="50"/>
      <c r="I8545" s="50"/>
      <c r="O8545" s="36" t="s">
        <v>48</v>
      </c>
      <c r="R8545" s="36" t="s">
        <v>48</v>
      </c>
    </row>
    <row r="8546">
      <c r="H8546" s="50"/>
      <c r="I8546" s="50"/>
      <c r="O8546" s="36" t="s">
        <v>48</v>
      </c>
      <c r="R8546" s="36" t="s">
        <v>48</v>
      </c>
    </row>
    <row r="8547">
      <c r="H8547" s="50"/>
      <c r="I8547" s="50"/>
      <c r="O8547" s="36" t="s">
        <v>48</v>
      </c>
      <c r="R8547" s="36" t="s">
        <v>48</v>
      </c>
    </row>
    <row r="8548">
      <c r="H8548" s="50"/>
      <c r="I8548" s="50"/>
      <c r="O8548" s="36" t="s">
        <v>48</v>
      </c>
      <c r="R8548" s="36" t="s">
        <v>48</v>
      </c>
    </row>
    <row r="8549">
      <c r="H8549" s="50"/>
      <c r="I8549" s="50"/>
      <c r="O8549" s="36" t="s">
        <v>48</v>
      </c>
      <c r="R8549" s="36" t="s">
        <v>48</v>
      </c>
    </row>
    <row r="8550">
      <c r="H8550" s="50"/>
      <c r="I8550" s="50"/>
      <c r="O8550" s="36" t="s">
        <v>48</v>
      </c>
      <c r="R8550" s="36" t="s">
        <v>48</v>
      </c>
    </row>
    <row r="8551">
      <c r="H8551" s="50"/>
      <c r="I8551" s="50"/>
      <c r="O8551" s="36" t="s">
        <v>48</v>
      </c>
      <c r="R8551" s="36" t="s">
        <v>48</v>
      </c>
    </row>
    <row r="8552">
      <c r="H8552" s="50"/>
      <c r="I8552" s="50"/>
      <c r="O8552" s="36" t="s">
        <v>48</v>
      </c>
      <c r="R8552" s="36" t="s">
        <v>48</v>
      </c>
    </row>
    <row r="8553">
      <c r="H8553" s="50"/>
      <c r="I8553" s="50"/>
      <c r="O8553" s="36" t="s">
        <v>48</v>
      </c>
      <c r="R8553" s="36" t="s">
        <v>48</v>
      </c>
    </row>
    <row r="8554">
      <c r="H8554" s="50"/>
      <c r="I8554" s="50"/>
      <c r="O8554" s="36" t="s">
        <v>48</v>
      </c>
      <c r="R8554" s="36" t="s">
        <v>48</v>
      </c>
    </row>
    <row r="8555">
      <c r="H8555" s="50"/>
      <c r="I8555" s="50"/>
      <c r="O8555" s="36" t="s">
        <v>48</v>
      </c>
      <c r="R8555" s="36" t="s">
        <v>48</v>
      </c>
    </row>
    <row r="8556">
      <c r="H8556" s="50"/>
      <c r="I8556" s="50"/>
      <c r="O8556" s="36" t="s">
        <v>48</v>
      </c>
      <c r="R8556" s="36" t="s">
        <v>48</v>
      </c>
    </row>
    <row r="8557">
      <c r="H8557" s="50"/>
      <c r="I8557" s="50"/>
      <c r="O8557" s="36" t="s">
        <v>48</v>
      </c>
      <c r="R8557" s="36" t="s">
        <v>48</v>
      </c>
    </row>
    <row r="8558">
      <c r="H8558" s="50"/>
      <c r="I8558" s="50"/>
      <c r="O8558" s="36" t="s">
        <v>48</v>
      </c>
      <c r="R8558" s="36" t="s">
        <v>48</v>
      </c>
    </row>
    <row r="8559">
      <c r="H8559" s="50"/>
      <c r="I8559" s="50"/>
      <c r="O8559" s="36" t="s">
        <v>48</v>
      </c>
      <c r="R8559" s="36" t="s">
        <v>48</v>
      </c>
    </row>
    <row r="8560">
      <c r="H8560" s="50"/>
      <c r="I8560" s="50"/>
      <c r="O8560" s="36" t="s">
        <v>48</v>
      </c>
      <c r="R8560" s="36" t="s">
        <v>48</v>
      </c>
    </row>
    <row r="8561">
      <c r="H8561" s="50"/>
      <c r="I8561" s="50"/>
      <c r="O8561" s="36" t="s">
        <v>48</v>
      </c>
      <c r="R8561" s="36" t="s">
        <v>48</v>
      </c>
    </row>
    <row r="8562">
      <c r="H8562" s="50"/>
      <c r="I8562" s="50"/>
      <c r="O8562" s="36" t="s">
        <v>48</v>
      </c>
      <c r="R8562" s="36" t="s">
        <v>48</v>
      </c>
    </row>
    <row r="8563">
      <c r="H8563" s="50"/>
      <c r="I8563" s="50"/>
      <c r="O8563" s="36" t="s">
        <v>48</v>
      </c>
      <c r="R8563" s="36" t="s">
        <v>48</v>
      </c>
    </row>
    <row r="8564">
      <c r="H8564" s="50"/>
      <c r="I8564" s="50"/>
      <c r="O8564" s="36" t="s">
        <v>48</v>
      </c>
      <c r="R8564" s="36" t="s">
        <v>48</v>
      </c>
    </row>
    <row r="8565">
      <c r="H8565" s="50"/>
      <c r="I8565" s="50"/>
      <c r="O8565" s="36" t="s">
        <v>48</v>
      </c>
      <c r="R8565" s="36" t="s">
        <v>48</v>
      </c>
    </row>
    <row r="8566">
      <c r="H8566" s="50"/>
      <c r="I8566" s="50"/>
      <c r="O8566" s="36" t="s">
        <v>48</v>
      </c>
      <c r="R8566" s="36" t="s">
        <v>48</v>
      </c>
    </row>
    <row r="8567">
      <c r="H8567" s="50"/>
      <c r="I8567" s="50"/>
      <c r="O8567" s="36" t="s">
        <v>48</v>
      </c>
      <c r="R8567" s="36" t="s">
        <v>48</v>
      </c>
    </row>
    <row r="8568">
      <c r="H8568" s="50"/>
      <c r="I8568" s="50"/>
      <c r="O8568" s="36" t="s">
        <v>48</v>
      </c>
      <c r="R8568" s="36" t="s">
        <v>48</v>
      </c>
    </row>
    <row r="8569">
      <c r="H8569" s="50"/>
      <c r="I8569" s="50"/>
      <c r="O8569" s="36" t="s">
        <v>48</v>
      </c>
      <c r="R8569" s="36" t="s">
        <v>48</v>
      </c>
    </row>
    <row r="8570">
      <c r="H8570" s="50"/>
      <c r="I8570" s="50"/>
      <c r="O8570" s="36" t="s">
        <v>48</v>
      </c>
      <c r="R8570" s="36" t="s">
        <v>48</v>
      </c>
    </row>
    <row r="8571">
      <c r="H8571" s="50"/>
      <c r="I8571" s="50"/>
      <c r="O8571" s="36" t="s">
        <v>48</v>
      </c>
      <c r="R8571" s="36" t="s">
        <v>48</v>
      </c>
    </row>
    <row r="8572">
      <c r="H8572" s="50"/>
      <c r="I8572" s="50"/>
      <c r="O8572" s="36" t="s">
        <v>48</v>
      </c>
      <c r="R8572" s="36" t="s">
        <v>48</v>
      </c>
    </row>
    <row r="8573">
      <c r="H8573" s="50"/>
      <c r="I8573" s="50"/>
      <c r="O8573" s="36" t="s">
        <v>48</v>
      </c>
      <c r="R8573" s="36" t="s">
        <v>48</v>
      </c>
    </row>
    <row r="8574">
      <c r="H8574" s="50"/>
      <c r="I8574" s="50"/>
      <c r="O8574" s="36" t="s">
        <v>48</v>
      </c>
      <c r="R8574" s="36" t="s">
        <v>48</v>
      </c>
    </row>
    <row r="8575">
      <c r="H8575" s="50"/>
      <c r="I8575" s="50"/>
      <c r="O8575" s="36" t="s">
        <v>48</v>
      </c>
      <c r="R8575" s="36" t="s">
        <v>48</v>
      </c>
    </row>
    <row r="8576">
      <c r="H8576" s="50"/>
      <c r="I8576" s="50"/>
      <c r="O8576" s="36" t="s">
        <v>48</v>
      </c>
      <c r="R8576" s="36" t="s">
        <v>48</v>
      </c>
    </row>
    <row r="8577">
      <c r="H8577" s="50"/>
      <c r="I8577" s="50"/>
      <c r="O8577" s="36" t="s">
        <v>48</v>
      </c>
      <c r="R8577" s="36" t="s">
        <v>48</v>
      </c>
    </row>
    <row r="8578">
      <c r="H8578" s="50"/>
      <c r="I8578" s="50"/>
      <c r="O8578" s="36" t="s">
        <v>48</v>
      </c>
      <c r="R8578" s="36" t="s">
        <v>48</v>
      </c>
    </row>
    <row r="8579">
      <c r="H8579" s="50"/>
      <c r="I8579" s="50"/>
      <c r="O8579" s="36" t="s">
        <v>48</v>
      </c>
      <c r="R8579" s="36" t="s">
        <v>48</v>
      </c>
    </row>
    <row r="8580">
      <c r="H8580" s="50"/>
      <c r="I8580" s="50"/>
      <c r="O8580" s="36" t="s">
        <v>48</v>
      </c>
      <c r="R8580" s="36" t="s">
        <v>48</v>
      </c>
    </row>
    <row r="8581">
      <c r="H8581" s="50"/>
      <c r="I8581" s="50"/>
      <c r="O8581" s="36" t="s">
        <v>48</v>
      </c>
      <c r="R8581" s="36" t="s">
        <v>48</v>
      </c>
    </row>
    <row r="8582">
      <c r="H8582" s="50"/>
      <c r="I8582" s="50"/>
      <c r="O8582" s="36" t="s">
        <v>48</v>
      </c>
      <c r="R8582" s="36" t="s">
        <v>48</v>
      </c>
    </row>
    <row r="8583">
      <c r="H8583" s="50"/>
      <c r="I8583" s="50"/>
      <c r="O8583" s="36" t="s">
        <v>48</v>
      </c>
      <c r="R8583" s="36" t="s">
        <v>48</v>
      </c>
    </row>
    <row r="8584">
      <c r="H8584" s="50"/>
      <c r="I8584" s="50"/>
      <c r="O8584" s="36" t="s">
        <v>48</v>
      </c>
      <c r="R8584" s="36" t="s">
        <v>48</v>
      </c>
    </row>
    <row r="8585">
      <c r="H8585" s="50"/>
      <c r="I8585" s="50"/>
      <c r="O8585" s="36" t="s">
        <v>48</v>
      </c>
      <c r="R8585" s="36" t="s">
        <v>48</v>
      </c>
    </row>
    <row r="8586">
      <c r="H8586" s="50"/>
      <c r="I8586" s="50"/>
      <c r="O8586" s="36" t="s">
        <v>48</v>
      </c>
      <c r="R8586" s="36" t="s">
        <v>48</v>
      </c>
    </row>
    <row r="8587">
      <c r="H8587" s="50"/>
      <c r="I8587" s="50"/>
      <c r="O8587" s="36" t="s">
        <v>48</v>
      </c>
      <c r="R8587" s="36" t="s">
        <v>48</v>
      </c>
    </row>
    <row r="8588">
      <c r="H8588" s="50"/>
      <c r="I8588" s="50"/>
      <c r="O8588" s="36" t="s">
        <v>48</v>
      </c>
      <c r="R8588" s="36" t="s">
        <v>48</v>
      </c>
    </row>
    <row r="8589">
      <c r="H8589" s="50"/>
      <c r="I8589" s="50"/>
      <c r="O8589" s="36" t="s">
        <v>48</v>
      </c>
      <c r="R8589" s="36" t="s">
        <v>48</v>
      </c>
    </row>
    <row r="8590">
      <c r="H8590" s="50"/>
      <c r="I8590" s="50"/>
      <c r="O8590" s="36" t="s">
        <v>48</v>
      </c>
      <c r="R8590" s="36" t="s">
        <v>48</v>
      </c>
    </row>
    <row r="8591">
      <c r="H8591" s="50"/>
      <c r="I8591" s="50"/>
      <c r="O8591" s="36" t="s">
        <v>48</v>
      </c>
      <c r="R8591" s="36" t="s">
        <v>48</v>
      </c>
    </row>
    <row r="8592">
      <c r="H8592" s="50"/>
      <c r="I8592" s="50"/>
      <c r="O8592" s="36" t="s">
        <v>48</v>
      </c>
      <c r="R8592" s="36" t="s">
        <v>48</v>
      </c>
    </row>
    <row r="8593">
      <c r="H8593" s="50"/>
      <c r="I8593" s="50"/>
      <c r="O8593" s="36" t="s">
        <v>48</v>
      </c>
      <c r="R8593" s="36" t="s">
        <v>48</v>
      </c>
    </row>
    <row r="8594">
      <c r="H8594" s="50"/>
      <c r="I8594" s="50"/>
      <c r="O8594" s="36" t="s">
        <v>48</v>
      </c>
      <c r="R8594" s="36" t="s">
        <v>48</v>
      </c>
    </row>
    <row r="8595">
      <c r="H8595" s="50"/>
      <c r="I8595" s="50"/>
      <c r="O8595" s="36" t="s">
        <v>48</v>
      </c>
      <c r="R8595" s="36" t="s">
        <v>48</v>
      </c>
    </row>
    <row r="8596">
      <c r="H8596" s="50"/>
      <c r="I8596" s="50"/>
      <c r="O8596" s="36" t="s">
        <v>48</v>
      </c>
      <c r="R8596" s="36" t="s">
        <v>48</v>
      </c>
    </row>
    <row r="8597">
      <c r="H8597" s="50"/>
      <c r="I8597" s="50"/>
      <c r="O8597" s="36" t="s">
        <v>48</v>
      </c>
      <c r="R8597" s="36" t="s">
        <v>48</v>
      </c>
    </row>
    <row r="8598">
      <c r="H8598" s="50"/>
      <c r="I8598" s="50"/>
      <c r="O8598" s="36" t="s">
        <v>48</v>
      </c>
      <c r="R8598" s="36" t="s">
        <v>48</v>
      </c>
    </row>
    <row r="8599">
      <c r="H8599" s="50"/>
      <c r="I8599" s="50"/>
      <c r="O8599" s="36" t="s">
        <v>48</v>
      </c>
      <c r="R8599" s="36" t="s">
        <v>48</v>
      </c>
    </row>
    <row r="8600">
      <c r="H8600" s="50"/>
      <c r="I8600" s="50"/>
      <c r="O8600" s="36" t="s">
        <v>48</v>
      </c>
      <c r="R8600" s="36" t="s">
        <v>48</v>
      </c>
    </row>
    <row r="8601">
      <c r="H8601" s="50"/>
      <c r="I8601" s="50"/>
      <c r="O8601" s="36" t="s">
        <v>48</v>
      </c>
      <c r="R8601" s="36" t="s">
        <v>48</v>
      </c>
    </row>
    <row r="8602">
      <c r="H8602" s="50"/>
      <c r="I8602" s="50"/>
      <c r="O8602" s="36" t="s">
        <v>48</v>
      </c>
      <c r="R8602" s="36" t="s">
        <v>48</v>
      </c>
    </row>
    <row r="8603">
      <c r="H8603" s="50"/>
      <c r="I8603" s="50"/>
      <c r="O8603" s="36" t="s">
        <v>48</v>
      </c>
      <c r="R8603" s="36" t="s">
        <v>48</v>
      </c>
    </row>
    <row r="8604">
      <c r="H8604" s="50"/>
      <c r="I8604" s="50"/>
      <c r="O8604" s="36" t="s">
        <v>48</v>
      </c>
      <c r="R8604" s="36" t="s">
        <v>48</v>
      </c>
    </row>
    <row r="8605">
      <c r="H8605" s="50"/>
      <c r="I8605" s="50"/>
      <c r="O8605" s="36" t="s">
        <v>48</v>
      </c>
      <c r="R8605" s="36" t="s">
        <v>48</v>
      </c>
    </row>
    <row r="8606">
      <c r="H8606" s="50"/>
      <c r="I8606" s="50"/>
      <c r="O8606" s="36" t="s">
        <v>48</v>
      </c>
      <c r="R8606" s="36" t="s">
        <v>48</v>
      </c>
    </row>
    <row r="8607">
      <c r="H8607" s="50"/>
      <c r="I8607" s="50"/>
      <c r="O8607" s="36" t="s">
        <v>48</v>
      </c>
      <c r="R8607" s="36" t="s">
        <v>48</v>
      </c>
    </row>
    <row r="8608">
      <c r="H8608" s="50"/>
      <c r="I8608" s="50"/>
      <c r="O8608" s="36" t="s">
        <v>48</v>
      </c>
      <c r="R8608" s="36" t="s">
        <v>48</v>
      </c>
    </row>
    <row r="8609">
      <c r="H8609" s="50"/>
      <c r="I8609" s="50"/>
      <c r="O8609" s="36" t="s">
        <v>48</v>
      </c>
      <c r="R8609" s="36" t="s">
        <v>48</v>
      </c>
    </row>
    <row r="8610">
      <c r="H8610" s="50"/>
      <c r="I8610" s="50"/>
      <c r="O8610" s="36" t="s">
        <v>48</v>
      </c>
      <c r="R8610" s="36" t="s">
        <v>48</v>
      </c>
    </row>
    <row r="8611">
      <c r="H8611" s="50"/>
      <c r="I8611" s="50"/>
      <c r="O8611" s="36" t="s">
        <v>48</v>
      </c>
      <c r="R8611" s="36" t="s">
        <v>48</v>
      </c>
    </row>
    <row r="8612">
      <c r="H8612" s="50"/>
      <c r="I8612" s="50"/>
      <c r="O8612" s="36" t="s">
        <v>48</v>
      </c>
      <c r="R8612" s="36" t="s">
        <v>48</v>
      </c>
    </row>
    <row r="8613">
      <c r="H8613" s="50"/>
      <c r="I8613" s="50"/>
      <c r="O8613" s="36" t="s">
        <v>48</v>
      </c>
      <c r="R8613" s="36" t="s">
        <v>48</v>
      </c>
    </row>
    <row r="8614">
      <c r="H8614" s="50"/>
      <c r="I8614" s="50"/>
      <c r="O8614" s="36" t="s">
        <v>48</v>
      </c>
      <c r="R8614" s="36" t="s">
        <v>48</v>
      </c>
    </row>
    <row r="8615">
      <c r="H8615" s="50"/>
      <c r="I8615" s="50"/>
      <c r="O8615" s="36" t="s">
        <v>48</v>
      </c>
      <c r="R8615" s="36" t="s">
        <v>48</v>
      </c>
    </row>
    <row r="8616">
      <c r="H8616" s="50"/>
      <c r="I8616" s="50"/>
      <c r="O8616" s="36" t="s">
        <v>48</v>
      </c>
      <c r="R8616" s="36" t="s">
        <v>48</v>
      </c>
    </row>
    <row r="8617">
      <c r="H8617" s="50"/>
      <c r="I8617" s="50"/>
      <c r="O8617" s="36" t="s">
        <v>48</v>
      </c>
      <c r="R8617" s="36" t="s">
        <v>48</v>
      </c>
    </row>
    <row r="8618">
      <c r="H8618" s="50"/>
      <c r="I8618" s="50"/>
      <c r="O8618" s="36" t="s">
        <v>48</v>
      </c>
      <c r="R8618" s="36" t="s">
        <v>48</v>
      </c>
    </row>
    <row r="8619">
      <c r="H8619" s="50"/>
      <c r="I8619" s="50"/>
      <c r="O8619" s="36" t="s">
        <v>48</v>
      </c>
      <c r="R8619" s="36" t="s">
        <v>48</v>
      </c>
    </row>
    <row r="8620">
      <c r="H8620" s="50"/>
      <c r="I8620" s="50"/>
      <c r="O8620" s="36" t="s">
        <v>48</v>
      </c>
      <c r="R8620" s="36" t="s">
        <v>48</v>
      </c>
    </row>
    <row r="8621">
      <c r="H8621" s="50"/>
      <c r="I8621" s="50"/>
      <c r="O8621" s="36" t="s">
        <v>48</v>
      </c>
      <c r="R8621" s="36" t="s">
        <v>48</v>
      </c>
    </row>
    <row r="8622">
      <c r="H8622" s="50"/>
      <c r="I8622" s="50"/>
      <c r="O8622" s="36" t="s">
        <v>48</v>
      </c>
      <c r="R8622" s="36" t="s">
        <v>48</v>
      </c>
    </row>
    <row r="8623">
      <c r="H8623" s="50"/>
      <c r="I8623" s="50"/>
      <c r="O8623" s="36" t="s">
        <v>48</v>
      </c>
      <c r="R8623" s="36" t="s">
        <v>48</v>
      </c>
    </row>
    <row r="8624">
      <c r="H8624" s="50"/>
      <c r="I8624" s="50"/>
      <c r="O8624" s="36" t="s">
        <v>48</v>
      </c>
      <c r="R8624" s="36" t="s">
        <v>48</v>
      </c>
    </row>
    <row r="8625">
      <c r="H8625" s="50"/>
      <c r="I8625" s="50"/>
      <c r="O8625" s="36" t="s">
        <v>48</v>
      </c>
      <c r="R8625" s="36" t="s">
        <v>48</v>
      </c>
    </row>
    <row r="8626">
      <c r="H8626" s="50"/>
      <c r="I8626" s="50"/>
      <c r="O8626" s="36" t="s">
        <v>48</v>
      </c>
      <c r="R8626" s="36" t="s">
        <v>48</v>
      </c>
    </row>
    <row r="8627">
      <c r="H8627" s="50"/>
      <c r="I8627" s="50"/>
      <c r="O8627" s="36" t="s">
        <v>48</v>
      </c>
      <c r="R8627" s="36" t="s">
        <v>48</v>
      </c>
    </row>
    <row r="8628">
      <c r="H8628" s="50"/>
      <c r="I8628" s="50"/>
      <c r="O8628" s="36" t="s">
        <v>48</v>
      </c>
      <c r="R8628" s="36" t="s">
        <v>48</v>
      </c>
    </row>
    <row r="8629">
      <c r="H8629" s="50"/>
      <c r="I8629" s="50"/>
      <c r="O8629" s="36" t="s">
        <v>48</v>
      </c>
      <c r="R8629" s="36" t="s">
        <v>48</v>
      </c>
    </row>
    <row r="8630">
      <c r="H8630" s="50"/>
      <c r="I8630" s="50"/>
      <c r="O8630" s="36" t="s">
        <v>48</v>
      </c>
      <c r="R8630" s="36" t="s">
        <v>48</v>
      </c>
    </row>
    <row r="8631">
      <c r="H8631" s="50"/>
      <c r="I8631" s="50"/>
      <c r="O8631" s="36" t="s">
        <v>48</v>
      </c>
      <c r="R8631" s="36" t="s">
        <v>48</v>
      </c>
    </row>
    <row r="8632">
      <c r="H8632" s="50"/>
      <c r="I8632" s="50"/>
      <c r="O8632" s="36" t="s">
        <v>48</v>
      </c>
      <c r="R8632" s="36" t="s">
        <v>48</v>
      </c>
    </row>
    <row r="8633">
      <c r="H8633" s="50"/>
      <c r="I8633" s="50"/>
      <c r="O8633" s="36" t="s">
        <v>48</v>
      </c>
      <c r="R8633" s="36" t="s">
        <v>48</v>
      </c>
    </row>
    <row r="8634">
      <c r="H8634" s="50"/>
      <c r="I8634" s="50"/>
      <c r="O8634" s="36" t="s">
        <v>48</v>
      </c>
      <c r="R8634" s="36" t="s">
        <v>48</v>
      </c>
    </row>
    <row r="8635">
      <c r="H8635" s="50"/>
      <c r="I8635" s="50"/>
      <c r="O8635" s="36" t="s">
        <v>48</v>
      </c>
      <c r="R8635" s="36" t="s">
        <v>48</v>
      </c>
    </row>
    <row r="8636">
      <c r="H8636" s="50"/>
      <c r="I8636" s="50"/>
      <c r="O8636" s="36" t="s">
        <v>48</v>
      </c>
      <c r="R8636" s="36" t="s">
        <v>48</v>
      </c>
    </row>
    <row r="8637">
      <c r="H8637" s="50"/>
      <c r="I8637" s="50"/>
      <c r="O8637" s="36" t="s">
        <v>48</v>
      </c>
      <c r="R8637" s="36" t="s">
        <v>48</v>
      </c>
    </row>
    <row r="8638">
      <c r="H8638" s="50"/>
      <c r="I8638" s="50"/>
      <c r="O8638" s="36" t="s">
        <v>48</v>
      </c>
      <c r="R8638" s="36" t="s">
        <v>48</v>
      </c>
    </row>
    <row r="8639">
      <c r="H8639" s="50"/>
      <c r="I8639" s="50"/>
      <c r="O8639" s="36" t="s">
        <v>48</v>
      </c>
      <c r="R8639" s="36" t="s">
        <v>48</v>
      </c>
    </row>
    <row r="8640">
      <c r="H8640" s="50"/>
      <c r="I8640" s="50"/>
      <c r="O8640" s="36" t="s">
        <v>48</v>
      </c>
      <c r="R8640" s="36" t="s">
        <v>48</v>
      </c>
    </row>
    <row r="8641">
      <c r="H8641" s="50"/>
      <c r="I8641" s="50"/>
      <c r="O8641" s="36" t="s">
        <v>48</v>
      </c>
      <c r="R8641" s="36" t="s">
        <v>48</v>
      </c>
    </row>
    <row r="8642">
      <c r="H8642" s="50"/>
      <c r="I8642" s="50"/>
      <c r="O8642" s="36" t="s">
        <v>48</v>
      </c>
      <c r="R8642" s="36" t="s">
        <v>48</v>
      </c>
    </row>
    <row r="8643">
      <c r="H8643" s="50"/>
      <c r="I8643" s="50"/>
      <c r="O8643" s="36" t="s">
        <v>48</v>
      </c>
      <c r="R8643" s="36" t="s">
        <v>48</v>
      </c>
    </row>
    <row r="8644">
      <c r="H8644" s="50"/>
      <c r="I8644" s="50"/>
      <c r="O8644" s="36" t="s">
        <v>48</v>
      </c>
      <c r="R8644" s="36" t="s">
        <v>48</v>
      </c>
    </row>
    <row r="8645">
      <c r="H8645" s="50"/>
      <c r="I8645" s="50"/>
      <c r="O8645" s="36" t="s">
        <v>48</v>
      </c>
      <c r="R8645" s="36" t="s">
        <v>48</v>
      </c>
    </row>
    <row r="8646">
      <c r="H8646" s="50"/>
      <c r="I8646" s="50"/>
      <c r="O8646" s="36" t="s">
        <v>48</v>
      </c>
      <c r="R8646" s="36" t="s">
        <v>48</v>
      </c>
    </row>
    <row r="8647">
      <c r="H8647" s="50"/>
      <c r="I8647" s="50"/>
      <c r="O8647" s="36" t="s">
        <v>48</v>
      </c>
      <c r="R8647" s="36" t="s">
        <v>48</v>
      </c>
    </row>
    <row r="8648">
      <c r="H8648" s="50"/>
      <c r="I8648" s="50"/>
      <c r="O8648" s="36" t="s">
        <v>48</v>
      </c>
      <c r="R8648" s="36" t="s">
        <v>48</v>
      </c>
    </row>
    <row r="8649">
      <c r="H8649" s="50"/>
      <c r="I8649" s="50"/>
      <c r="O8649" s="36" t="s">
        <v>48</v>
      </c>
      <c r="R8649" s="36" t="s">
        <v>48</v>
      </c>
    </row>
    <row r="8650">
      <c r="H8650" s="50"/>
      <c r="I8650" s="50"/>
      <c r="O8650" s="36" t="s">
        <v>48</v>
      </c>
      <c r="R8650" s="36" t="s">
        <v>48</v>
      </c>
    </row>
    <row r="8651">
      <c r="H8651" s="50"/>
      <c r="I8651" s="50"/>
      <c r="O8651" s="36" t="s">
        <v>48</v>
      </c>
      <c r="R8651" s="36" t="s">
        <v>48</v>
      </c>
    </row>
    <row r="8652">
      <c r="H8652" s="50"/>
      <c r="I8652" s="50"/>
      <c r="O8652" s="36" t="s">
        <v>48</v>
      </c>
      <c r="R8652" s="36" t="s">
        <v>48</v>
      </c>
    </row>
    <row r="8653">
      <c r="H8653" s="50"/>
      <c r="I8653" s="50"/>
      <c r="O8653" s="36" t="s">
        <v>48</v>
      </c>
      <c r="R8653" s="36" t="s">
        <v>48</v>
      </c>
    </row>
    <row r="8654">
      <c r="H8654" s="50"/>
      <c r="I8654" s="50"/>
      <c r="O8654" s="36" t="s">
        <v>48</v>
      </c>
      <c r="R8654" s="36" t="s">
        <v>48</v>
      </c>
    </row>
    <row r="8655">
      <c r="H8655" s="50"/>
      <c r="I8655" s="50"/>
      <c r="O8655" s="36" t="s">
        <v>48</v>
      </c>
      <c r="R8655" s="36" t="s">
        <v>48</v>
      </c>
    </row>
    <row r="8656">
      <c r="H8656" s="50"/>
      <c r="I8656" s="50"/>
      <c r="O8656" s="36" t="s">
        <v>48</v>
      </c>
      <c r="R8656" s="36" t="s">
        <v>48</v>
      </c>
    </row>
    <row r="8657">
      <c r="H8657" s="50"/>
      <c r="I8657" s="50"/>
      <c r="O8657" s="36" t="s">
        <v>48</v>
      </c>
      <c r="R8657" s="36" t="s">
        <v>48</v>
      </c>
    </row>
    <row r="8658">
      <c r="H8658" s="50"/>
      <c r="I8658" s="50"/>
      <c r="O8658" s="36" t="s">
        <v>48</v>
      </c>
      <c r="R8658" s="36" t="s">
        <v>48</v>
      </c>
    </row>
    <row r="8659">
      <c r="H8659" s="50"/>
      <c r="I8659" s="50"/>
      <c r="O8659" s="36" t="s">
        <v>48</v>
      </c>
      <c r="R8659" s="36" t="s">
        <v>48</v>
      </c>
    </row>
    <row r="8660">
      <c r="H8660" s="50"/>
      <c r="I8660" s="50"/>
      <c r="O8660" s="36" t="s">
        <v>48</v>
      </c>
      <c r="R8660" s="36" t="s">
        <v>48</v>
      </c>
    </row>
    <row r="8661">
      <c r="H8661" s="50"/>
      <c r="I8661" s="50"/>
      <c r="O8661" s="36" t="s">
        <v>48</v>
      </c>
      <c r="R8661" s="36" t="s">
        <v>48</v>
      </c>
    </row>
    <row r="8662">
      <c r="H8662" s="50"/>
      <c r="I8662" s="50"/>
      <c r="O8662" s="36" t="s">
        <v>48</v>
      </c>
      <c r="R8662" s="36" t="s">
        <v>48</v>
      </c>
    </row>
    <row r="8663">
      <c r="H8663" s="50"/>
      <c r="I8663" s="50"/>
      <c r="O8663" s="36" t="s">
        <v>48</v>
      </c>
      <c r="R8663" s="36" t="s">
        <v>48</v>
      </c>
    </row>
    <row r="8664">
      <c r="H8664" s="50"/>
      <c r="I8664" s="50"/>
      <c r="O8664" s="36" t="s">
        <v>48</v>
      </c>
      <c r="R8664" s="36" t="s">
        <v>48</v>
      </c>
    </row>
    <row r="8665">
      <c r="H8665" s="50"/>
      <c r="I8665" s="50"/>
      <c r="O8665" s="36" t="s">
        <v>48</v>
      </c>
      <c r="R8665" s="36" t="s">
        <v>48</v>
      </c>
    </row>
    <row r="8666">
      <c r="H8666" s="50"/>
      <c r="I8666" s="50"/>
      <c r="O8666" s="36" t="s">
        <v>48</v>
      </c>
      <c r="R8666" s="36" t="s">
        <v>48</v>
      </c>
    </row>
    <row r="8667">
      <c r="H8667" s="50"/>
      <c r="I8667" s="50"/>
      <c r="O8667" s="36" t="s">
        <v>48</v>
      </c>
      <c r="R8667" s="36" t="s">
        <v>48</v>
      </c>
    </row>
    <row r="8668">
      <c r="H8668" s="50"/>
      <c r="I8668" s="50"/>
      <c r="O8668" s="36" t="s">
        <v>48</v>
      </c>
      <c r="R8668" s="36" t="s">
        <v>48</v>
      </c>
    </row>
    <row r="8669">
      <c r="H8669" s="50"/>
      <c r="I8669" s="50"/>
      <c r="O8669" s="36" t="s">
        <v>48</v>
      </c>
      <c r="R8669" s="36" t="s">
        <v>48</v>
      </c>
    </row>
    <row r="8670">
      <c r="H8670" s="50"/>
      <c r="I8670" s="50"/>
      <c r="O8670" s="36" t="s">
        <v>48</v>
      </c>
      <c r="R8670" s="36" t="s">
        <v>48</v>
      </c>
    </row>
    <row r="8671">
      <c r="H8671" s="50"/>
      <c r="I8671" s="50"/>
      <c r="O8671" s="36" t="s">
        <v>48</v>
      </c>
      <c r="R8671" s="36" t="s">
        <v>48</v>
      </c>
    </row>
    <row r="8672">
      <c r="H8672" s="50"/>
      <c r="I8672" s="50"/>
      <c r="O8672" s="36" t="s">
        <v>48</v>
      </c>
      <c r="R8672" s="36" t="s">
        <v>48</v>
      </c>
    </row>
    <row r="8673">
      <c r="H8673" s="50"/>
      <c r="I8673" s="50"/>
      <c r="O8673" s="36" t="s">
        <v>48</v>
      </c>
      <c r="R8673" s="36" t="s">
        <v>48</v>
      </c>
    </row>
    <row r="8674">
      <c r="H8674" s="50"/>
      <c r="I8674" s="50"/>
      <c r="O8674" s="36" t="s">
        <v>48</v>
      </c>
      <c r="R8674" s="36" t="s">
        <v>48</v>
      </c>
    </row>
    <row r="8675">
      <c r="H8675" s="50"/>
      <c r="I8675" s="50"/>
      <c r="O8675" s="36" t="s">
        <v>48</v>
      </c>
      <c r="R8675" s="36" t="s">
        <v>48</v>
      </c>
    </row>
    <row r="8676">
      <c r="H8676" s="50"/>
      <c r="I8676" s="50"/>
      <c r="O8676" s="36" t="s">
        <v>48</v>
      </c>
      <c r="R8676" s="36" t="s">
        <v>48</v>
      </c>
    </row>
    <row r="8677">
      <c r="H8677" s="50"/>
      <c r="I8677" s="50"/>
      <c r="O8677" s="36" t="s">
        <v>48</v>
      </c>
      <c r="R8677" s="36" t="s">
        <v>48</v>
      </c>
    </row>
    <row r="8678">
      <c r="H8678" s="50"/>
      <c r="I8678" s="50"/>
      <c r="O8678" s="36" t="s">
        <v>48</v>
      </c>
      <c r="R8678" s="36" t="s">
        <v>48</v>
      </c>
    </row>
    <row r="8679">
      <c r="H8679" s="50"/>
      <c r="I8679" s="50"/>
      <c r="O8679" s="36" t="s">
        <v>48</v>
      </c>
      <c r="R8679" s="36" t="s">
        <v>48</v>
      </c>
    </row>
    <row r="8680">
      <c r="H8680" s="50"/>
      <c r="I8680" s="50"/>
      <c r="O8680" s="36" t="s">
        <v>48</v>
      </c>
      <c r="R8680" s="36" t="s">
        <v>48</v>
      </c>
    </row>
    <row r="8681">
      <c r="H8681" s="50"/>
      <c r="I8681" s="50"/>
      <c r="O8681" s="36" t="s">
        <v>48</v>
      </c>
      <c r="R8681" s="36" t="s">
        <v>48</v>
      </c>
    </row>
    <row r="8682">
      <c r="H8682" s="50"/>
      <c r="I8682" s="50"/>
      <c r="O8682" s="36" t="s">
        <v>48</v>
      </c>
      <c r="R8682" s="36" t="s">
        <v>48</v>
      </c>
    </row>
    <row r="8683">
      <c r="H8683" s="50"/>
      <c r="I8683" s="50"/>
      <c r="O8683" s="36" t="s">
        <v>48</v>
      </c>
      <c r="R8683" s="36" t="s">
        <v>48</v>
      </c>
    </row>
    <row r="8684">
      <c r="H8684" s="50"/>
      <c r="I8684" s="50"/>
      <c r="O8684" s="36" t="s">
        <v>48</v>
      </c>
      <c r="R8684" s="36" t="s">
        <v>48</v>
      </c>
    </row>
    <row r="8685">
      <c r="H8685" s="50"/>
      <c r="I8685" s="50"/>
      <c r="O8685" s="36" t="s">
        <v>48</v>
      </c>
      <c r="R8685" s="36" t="s">
        <v>48</v>
      </c>
    </row>
    <row r="8686">
      <c r="H8686" s="50"/>
      <c r="I8686" s="50"/>
      <c r="O8686" s="36" t="s">
        <v>48</v>
      </c>
      <c r="R8686" s="36" t="s">
        <v>48</v>
      </c>
    </row>
    <row r="8687">
      <c r="H8687" s="50"/>
      <c r="I8687" s="50"/>
      <c r="O8687" s="36" t="s">
        <v>48</v>
      </c>
      <c r="R8687" s="36" t="s">
        <v>48</v>
      </c>
    </row>
    <row r="8688">
      <c r="H8688" s="50"/>
      <c r="I8688" s="50"/>
      <c r="O8688" s="36" t="s">
        <v>48</v>
      </c>
      <c r="R8688" s="36" t="s">
        <v>48</v>
      </c>
    </row>
    <row r="8689">
      <c r="H8689" s="50"/>
      <c r="I8689" s="50"/>
      <c r="O8689" s="36" t="s">
        <v>48</v>
      </c>
      <c r="R8689" s="36" t="s">
        <v>48</v>
      </c>
    </row>
    <row r="8690">
      <c r="H8690" s="50"/>
      <c r="I8690" s="50"/>
      <c r="O8690" s="36" t="s">
        <v>48</v>
      </c>
      <c r="R8690" s="36" t="s">
        <v>48</v>
      </c>
    </row>
    <row r="8691">
      <c r="H8691" s="50"/>
      <c r="I8691" s="50"/>
      <c r="O8691" s="36" t="s">
        <v>48</v>
      </c>
      <c r="R8691" s="36" t="s">
        <v>48</v>
      </c>
    </row>
    <row r="8692">
      <c r="H8692" s="50"/>
      <c r="I8692" s="50"/>
      <c r="O8692" s="36" t="s">
        <v>48</v>
      </c>
      <c r="R8692" s="36" t="s">
        <v>48</v>
      </c>
    </row>
    <row r="8693">
      <c r="H8693" s="50"/>
      <c r="I8693" s="50"/>
      <c r="O8693" s="36" t="s">
        <v>48</v>
      </c>
      <c r="R8693" s="36" t="s">
        <v>48</v>
      </c>
    </row>
    <row r="8694">
      <c r="H8694" s="50"/>
      <c r="I8694" s="50"/>
      <c r="O8694" s="36" t="s">
        <v>48</v>
      </c>
      <c r="R8694" s="36" t="s">
        <v>48</v>
      </c>
    </row>
    <row r="8695">
      <c r="H8695" s="50"/>
      <c r="I8695" s="50"/>
      <c r="O8695" s="36" t="s">
        <v>48</v>
      </c>
      <c r="R8695" s="36" t="s">
        <v>48</v>
      </c>
    </row>
    <row r="8696">
      <c r="H8696" s="50"/>
      <c r="I8696" s="50"/>
      <c r="O8696" s="36" t="s">
        <v>48</v>
      </c>
      <c r="R8696" s="36" t="s">
        <v>48</v>
      </c>
    </row>
    <row r="8697">
      <c r="H8697" s="50"/>
      <c r="I8697" s="50"/>
      <c r="O8697" s="36" t="s">
        <v>48</v>
      </c>
      <c r="R8697" s="36" t="s">
        <v>48</v>
      </c>
    </row>
    <row r="8698">
      <c r="H8698" s="50"/>
      <c r="I8698" s="50"/>
      <c r="O8698" s="36" t="s">
        <v>48</v>
      </c>
      <c r="R8698" s="36" t="s">
        <v>48</v>
      </c>
    </row>
    <row r="8699">
      <c r="H8699" s="50"/>
      <c r="I8699" s="50"/>
      <c r="O8699" s="36" t="s">
        <v>48</v>
      </c>
      <c r="R8699" s="36" t="s">
        <v>48</v>
      </c>
    </row>
    <row r="8700">
      <c r="H8700" s="50"/>
      <c r="I8700" s="50"/>
      <c r="O8700" s="36" t="s">
        <v>48</v>
      </c>
      <c r="R8700" s="36" t="s">
        <v>48</v>
      </c>
    </row>
    <row r="8701">
      <c r="H8701" s="50"/>
      <c r="I8701" s="50"/>
      <c r="O8701" s="36" t="s">
        <v>48</v>
      </c>
      <c r="R8701" s="36" t="s">
        <v>48</v>
      </c>
    </row>
    <row r="8702">
      <c r="H8702" s="50"/>
      <c r="I8702" s="50"/>
      <c r="O8702" s="36" t="s">
        <v>48</v>
      </c>
      <c r="R8702" s="36" t="s">
        <v>48</v>
      </c>
    </row>
    <row r="8703">
      <c r="H8703" s="50"/>
      <c r="I8703" s="50"/>
      <c r="O8703" s="36" t="s">
        <v>48</v>
      </c>
      <c r="R8703" s="36" t="s">
        <v>48</v>
      </c>
    </row>
    <row r="8704">
      <c r="H8704" s="50"/>
      <c r="I8704" s="50"/>
      <c r="O8704" s="36" t="s">
        <v>48</v>
      </c>
      <c r="R8704" s="36" t="s">
        <v>48</v>
      </c>
    </row>
    <row r="8705">
      <c r="H8705" s="50"/>
      <c r="I8705" s="50"/>
      <c r="O8705" s="36" t="s">
        <v>48</v>
      </c>
      <c r="R8705" s="36" t="s">
        <v>48</v>
      </c>
    </row>
    <row r="8706">
      <c r="H8706" s="50"/>
      <c r="I8706" s="50"/>
      <c r="O8706" s="36" t="s">
        <v>48</v>
      </c>
      <c r="R8706" s="36" t="s">
        <v>48</v>
      </c>
    </row>
    <row r="8707">
      <c r="H8707" s="50"/>
      <c r="I8707" s="50"/>
      <c r="O8707" s="36" t="s">
        <v>48</v>
      </c>
      <c r="R8707" s="36" t="s">
        <v>48</v>
      </c>
    </row>
    <row r="8708">
      <c r="H8708" s="50"/>
      <c r="I8708" s="50"/>
      <c r="O8708" s="36" t="s">
        <v>48</v>
      </c>
      <c r="R8708" s="36" t="s">
        <v>48</v>
      </c>
    </row>
    <row r="8709">
      <c r="H8709" s="50"/>
      <c r="I8709" s="50"/>
      <c r="O8709" s="36" t="s">
        <v>48</v>
      </c>
      <c r="R8709" s="36" t="s">
        <v>48</v>
      </c>
    </row>
    <row r="8710">
      <c r="H8710" s="50"/>
      <c r="I8710" s="50"/>
      <c r="O8710" s="36" t="s">
        <v>48</v>
      </c>
      <c r="R8710" s="36" t="s">
        <v>48</v>
      </c>
    </row>
    <row r="8711">
      <c r="H8711" s="50"/>
      <c r="I8711" s="50"/>
      <c r="O8711" s="36" t="s">
        <v>48</v>
      </c>
      <c r="R8711" s="36" t="s">
        <v>48</v>
      </c>
    </row>
    <row r="8712">
      <c r="H8712" s="50"/>
      <c r="I8712" s="50"/>
      <c r="O8712" s="36" t="s">
        <v>48</v>
      </c>
      <c r="R8712" s="36" t="s">
        <v>48</v>
      </c>
    </row>
    <row r="8713">
      <c r="H8713" s="50"/>
      <c r="I8713" s="50"/>
      <c r="O8713" s="36" t="s">
        <v>48</v>
      </c>
      <c r="R8713" s="36" t="s">
        <v>48</v>
      </c>
    </row>
    <row r="8714">
      <c r="H8714" s="50"/>
      <c r="I8714" s="50"/>
      <c r="O8714" s="36" t="s">
        <v>48</v>
      </c>
      <c r="R8714" s="36" t="s">
        <v>48</v>
      </c>
    </row>
    <row r="8715">
      <c r="H8715" s="50"/>
      <c r="I8715" s="50"/>
      <c r="O8715" s="36" t="s">
        <v>48</v>
      </c>
      <c r="R8715" s="36" t="s">
        <v>48</v>
      </c>
    </row>
    <row r="8716">
      <c r="H8716" s="50"/>
      <c r="I8716" s="50"/>
      <c r="O8716" s="36" t="s">
        <v>48</v>
      </c>
      <c r="R8716" s="36" t="s">
        <v>48</v>
      </c>
    </row>
    <row r="8717">
      <c r="H8717" s="50"/>
      <c r="I8717" s="50"/>
      <c r="O8717" s="36" t="s">
        <v>48</v>
      </c>
      <c r="R8717" s="36" t="s">
        <v>48</v>
      </c>
    </row>
    <row r="8718">
      <c r="H8718" s="50"/>
      <c r="I8718" s="50"/>
      <c r="O8718" s="36" t="s">
        <v>48</v>
      </c>
      <c r="R8718" s="36" t="s">
        <v>48</v>
      </c>
    </row>
    <row r="8719">
      <c r="H8719" s="50"/>
      <c r="I8719" s="50"/>
      <c r="O8719" s="36" t="s">
        <v>48</v>
      </c>
      <c r="R8719" s="36" t="s">
        <v>48</v>
      </c>
    </row>
    <row r="8720">
      <c r="H8720" s="50"/>
      <c r="I8720" s="50"/>
      <c r="O8720" s="36" t="s">
        <v>48</v>
      </c>
      <c r="R8720" s="36" t="s">
        <v>48</v>
      </c>
    </row>
    <row r="8721">
      <c r="H8721" s="50"/>
      <c r="I8721" s="50"/>
      <c r="O8721" s="36" t="s">
        <v>48</v>
      </c>
      <c r="R8721" s="36" t="s">
        <v>48</v>
      </c>
    </row>
    <row r="8722">
      <c r="H8722" s="50"/>
      <c r="I8722" s="50"/>
      <c r="O8722" s="36" t="s">
        <v>48</v>
      </c>
      <c r="R8722" s="36" t="s">
        <v>48</v>
      </c>
    </row>
    <row r="8723">
      <c r="H8723" s="50"/>
      <c r="I8723" s="50"/>
      <c r="O8723" s="36" t="s">
        <v>48</v>
      </c>
      <c r="R8723" s="36" t="s">
        <v>48</v>
      </c>
    </row>
    <row r="8724">
      <c r="H8724" s="50"/>
      <c r="I8724" s="50"/>
      <c r="O8724" s="36" t="s">
        <v>48</v>
      </c>
      <c r="R8724" s="36" t="s">
        <v>48</v>
      </c>
    </row>
    <row r="8725">
      <c r="H8725" s="50"/>
      <c r="I8725" s="50"/>
      <c r="O8725" s="36" t="s">
        <v>48</v>
      </c>
      <c r="R8725" s="36" t="s">
        <v>48</v>
      </c>
    </row>
    <row r="8726">
      <c r="H8726" s="50"/>
      <c r="I8726" s="50"/>
      <c r="O8726" s="36" t="s">
        <v>48</v>
      </c>
      <c r="R8726" s="36" t="s">
        <v>48</v>
      </c>
    </row>
    <row r="8727">
      <c r="H8727" s="50"/>
      <c r="I8727" s="50"/>
      <c r="O8727" s="36" t="s">
        <v>48</v>
      </c>
      <c r="R8727" s="36" t="s">
        <v>48</v>
      </c>
    </row>
    <row r="8728">
      <c r="H8728" s="50"/>
      <c r="I8728" s="50"/>
      <c r="O8728" s="36" t="s">
        <v>48</v>
      </c>
      <c r="R8728" s="36" t="s">
        <v>48</v>
      </c>
    </row>
    <row r="8729">
      <c r="H8729" s="50"/>
      <c r="I8729" s="50"/>
      <c r="O8729" s="36" t="s">
        <v>48</v>
      </c>
      <c r="R8729" s="36" t="s">
        <v>48</v>
      </c>
    </row>
    <row r="8730">
      <c r="H8730" s="50"/>
      <c r="I8730" s="50"/>
      <c r="O8730" s="36" t="s">
        <v>48</v>
      </c>
      <c r="R8730" s="36" t="s">
        <v>48</v>
      </c>
    </row>
    <row r="8731">
      <c r="H8731" s="50"/>
      <c r="I8731" s="50"/>
      <c r="O8731" s="36" t="s">
        <v>48</v>
      </c>
      <c r="R8731" s="36" t="s">
        <v>48</v>
      </c>
    </row>
    <row r="8732">
      <c r="H8732" s="50"/>
      <c r="I8732" s="50"/>
      <c r="O8732" s="36" t="s">
        <v>48</v>
      </c>
      <c r="R8732" s="36" t="s">
        <v>48</v>
      </c>
    </row>
    <row r="8733">
      <c r="H8733" s="50"/>
      <c r="I8733" s="50"/>
      <c r="O8733" s="36" t="s">
        <v>48</v>
      </c>
      <c r="R8733" s="36" t="s">
        <v>48</v>
      </c>
    </row>
    <row r="8734">
      <c r="H8734" s="50"/>
      <c r="I8734" s="50"/>
      <c r="O8734" s="36" t="s">
        <v>48</v>
      </c>
      <c r="R8734" s="36" t="s">
        <v>48</v>
      </c>
    </row>
    <row r="8735">
      <c r="H8735" s="50"/>
      <c r="I8735" s="50"/>
      <c r="O8735" s="36" t="s">
        <v>48</v>
      </c>
      <c r="R8735" s="36" t="s">
        <v>48</v>
      </c>
    </row>
    <row r="8736">
      <c r="H8736" s="50"/>
      <c r="I8736" s="50"/>
      <c r="O8736" s="36" t="s">
        <v>48</v>
      </c>
      <c r="R8736" s="36" t="s">
        <v>48</v>
      </c>
    </row>
    <row r="8737">
      <c r="H8737" s="50"/>
      <c r="I8737" s="50"/>
      <c r="O8737" s="36" t="s">
        <v>48</v>
      </c>
      <c r="R8737" s="36" t="s">
        <v>48</v>
      </c>
    </row>
    <row r="8738">
      <c r="H8738" s="50"/>
      <c r="I8738" s="50"/>
      <c r="O8738" s="36" t="s">
        <v>48</v>
      </c>
      <c r="R8738" s="36" t="s">
        <v>48</v>
      </c>
    </row>
    <row r="8739">
      <c r="H8739" s="50"/>
      <c r="I8739" s="50"/>
      <c r="O8739" s="36" t="s">
        <v>48</v>
      </c>
      <c r="R8739" s="36" t="s">
        <v>48</v>
      </c>
    </row>
    <row r="8740">
      <c r="H8740" s="50"/>
      <c r="I8740" s="50"/>
      <c r="O8740" s="36" t="s">
        <v>48</v>
      </c>
      <c r="R8740" s="36" t="s">
        <v>48</v>
      </c>
    </row>
    <row r="8741">
      <c r="H8741" s="50"/>
      <c r="I8741" s="50"/>
      <c r="O8741" s="36" t="s">
        <v>48</v>
      </c>
      <c r="R8741" s="36" t="s">
        <v>48</v>
      </c>
    </row>
    <row r="8742">
      <c r="H8742" s="50"/>
      <c r="I8742" s="50"/>
      <c r="O8742" s="36" t="s">
        <v>48</v>
      </c>
      <c r="R8742" s="36" t="s">
        <v>48</v>
      </c>
    </row>
    <row r="8743">
      <c r="H8743" s="50"/>
      <c r="I8743" s="50"/>
      <c r="O8743" s="36" t="s">
        <v>48</v>
      </c>
      <c r="R8743" s="36" t="s">
        <v>48</v>
      </c>
    </row>
    <row r="8744">
      <c r="H8744" s="50"/>
      <c r="I8744" s="50"/>
      <c r="O8744" s="36" t="s">
        <v>48</v>
      </c>
      <c r="R8744" s="36" t="s">
        <v>48</v>
      </c>
    </row>
    <row r="8745">
      <c r="H8745" s="50"/>
      <c r="I8745" s="50"/>
      <c r="O8745" s="36" t="s">
        <v>48</v>
      </c>
      <c r="R8745" s="36" t="s">
        <v>48</v>
      </c>
    </row>
    <row r="8746">
      <c r="H8746" s="50"/>
      <c r="I8746" s="50"/>
      <c r="O8746" s="36" t="s">
        <v>48</v>
      </c>
      <c r="R8746" s="36" t="s">
        <v>48</v>
      </c>
    </row>
    <row r="8747">
      <c r="H8747" s="50"/>
      <c r="I8747" s="50"/>
      <c r="O8747" s="36" t="s">
        <v>48</v>
      </c>
      <c r="R8747" s="36" t="s">
        <v>48</v>
      </c>
    </row>
    <row r="8748">
      <c r="H8748" s="50"/>
      <c r="I8748" s="50"/>
      <c r="O8748" s="36" t="s">
        <v>48</v>
      </c>
      <c r="R8748" s="36" t="s">
        <v>48</v>
      </c>
    </row>
    <row r="8749">
      <c r="H8749" s="50"/>
      <c r="I8749" s="50"/>
      <c r="O8749" s="36" t="s">
        <v>48</v>
      </c>
      <c r="R8749" s="36" t="s">
        <v>48</v>
      </c>
    </row>
    <row r="8750">
      <c r="H8750" s="50"/>
      <c r="I8750" s="50"/>
      <c r="O8750" s="36" t="s">
        <v>48</v>
      </c>
      <c r="R8750" s="36" t="s">
        <v>48</v>
      </c>
    </row>
    <row r="8751">
      <c r="H8751" s="50"/>
      <c r="I8751" s="50"/>
      <c r="O8751" s="36" t="s">
        <v>48</v>
      </c>
      <c r="R8751" s="36" t="s">
        <v>48</v>
      </c>
    </row>
    <row r="8752">
      <c r="H8752" s="50"/>
      <c r="I8752" s="50"/>
      <c r="O8752" s="36" t="s">
        <v>48</v>
      </c>
      <c r="R8752" s="36" t="s">
        <v>48</v>
      </c>
    </row>
    <row r="8753">
      <c r="H8753" s="50"/>
      <c r="I8753" s="50"/>
      <c r="O8753" s="36" t="s">
        <v>48</v>
      </c>
      <c r="R8753" s="36" t="s">
        <v>48</v>
      </c>
    </row>
    <row r="8754">
      <c r="H8754" s="50"/>
      <c r="I8754" s="50"/>
      <c r="O8754" s="36" t="s">
        <v>48</v>
      </c>
      <c r="R8754" s="36" t="s">
        <v>48</v>
      </c>
    </row>
    <row r="8755">
      <c r="H8755" s="50"/>
      <c r="I8755" s="50"/>
      <c r="O8755" s="36" t="s">
        <v>48</v>
      </c>
      <c r="R8755" s="36" t="s">
        <v>48</v>
      </c>
    </row>
    <row r="8756">
      <c r="H8756" s="50"/>
      <c r="I8756" s="50"/>
      <c r="O8756" s="36" t="s">
        <v>48</v>
      </c>
      <c r="R8756" s="36" t="s">
        <v>48</v>
      </c>
    </row>
    <row r="8757">
      <c r="H8757" s="50"/>
      <c r="I8757" s="50"/>
      <c r="O8757" s="36" t="s">
        <v>48</v>
      </c>
      <c r="R8757" s="36" t="s">
        <v>48</v>
      </c>
    </row>
    <row r="8758">
      <c r="H8758" s="50"/>
      <c r="I8758" s="50"/>
      <c r="O8758" s="36" t="s">
        <v>48</v>
      </c>
      <c r="R8758" s="36" t="s">
        <v>48</v>
      </c>
    </row>
    <row r="8759">
      <c r="H8759" s="50"/>
      <c r="I8759" s="50"/>
      <c r="O8759" s="36" t="s">
        <v>48</v>
      </c>
      <c r="R8759" s="36" t="s">
        <v>48</v>
      </c>
    </row>
    <row r="8760">
      <c r="H8760" s="50"/>
      <c r="I8760" s="50"/>
      <c r="O8760" s="36" t="s">
        <v>48</v>
      </c>
      <c r="R8760" s="36" t="s">
        <v>48</v>
      </c>
    </row>
    <row r="8761">
      <c r="H8761" s="50"/>
      <c r="I8761" s="50"/>
      <c r="O8761" s="36" t="s">
        <v>48</v>
      </c>
      <c r="R8761" s="36" t="s">
        <v>48</v>
      </c>
    </row>
    <row r="8762">
      <c r="H8762" s="50"/>
      <c r="I8762" s="50"/>
      <c r="O8762" s="36" t="s">
        <v>48</v>
      </c>
      <c r="R8762" s="36" t="s">
        <v>48</v>
      </c>
    </row>
    <row r="8763">
      <c r="H8763" s="50"/>
      <c r="I8763" s="50"/>
      <c r="O8763" s="36" t="s">
        <v>48</v>
      </c>
      <c r="R8763" s="36" t="s">
        <v>48</v>
      </c>
    </row>
    <row r="8764">
      <c r="H8764" s="50"/>
      <c r="I8764" s="50"/>
      <c r="O8764" s="36" t="s">
        <v>48</v>
      </c>
      <c r="R8764" s="36" t="s">
        <v>48</v>
      </c>
    </row>
    <row r="8765">
      <c r="H8765" s="50"/>
      <c r="I8765" s="50"/>
      <c r="O8765" s="36" t="s">
        <v>48</v>
      </c>
      <c r="R8765" s="36" t="s">
        <v>48</v>
      </c>
    </row>
    <row r="8766">
      <c r="H8766" s="50"/>
      <c r="I8766" s="50"/>
      <c r="O8766" s="36" t="s">
        <v>48</v>
      </c>
      <c r="R8766" s="36" t="s">
        <v>48</v>
      </c>
    </row>
    <row r="8767">
      <c r="H8767" s="50"/>
      <c r="I8767" s="50"/>
      <c r="O8767" s="36" t="s">
        <v>48</v>
      </c>
      <c r="R8767" s="36" t="s">
        <v>48</v>
      </c>
    </row>
    <row r="8768">
      <c r="H8768" s="50"/>
      <c r="I8768" s="50"/>
      <c r="O8768" s="36" t="s">
        <v>48</v>
      </c>
      <c r="R8768" s="36" t="s">
        <v>48</v>
      </c>
    </row>
    <row r="8769">
      <c r="H8769" s="50"/>
      <c r="I8769" s="50"/>
      <c r="O8769" s="36" t="s">
        <v>48</v>
      </c>
      <c r="R8769" s="36" t="s">
        <v>48</v>
      </c>
    </row>
    <row r="8770">
      <c r="H8770" s="50"/>
      <c r="I8770" s="50"/>
      <c r="O8770" s="36" t="s">
        <v>48</v>
      </c>
      <c r="R8770" s="36" t="s">
        <v>48</v>
      </c>
    </row>
    <row r="8771">
      <c r="H8771" s="50"/>
      <c r="I8771" s="50"/>
      <c r="O8771" s="36" t="s">
        <v>48</v>
      </c>
      <c r="R8771" s="36" t="s">
        <v>48</v>
      </c>
    </row>
    <row r="8772">
      <c r="H8772" s="50"/>
      <c r="I8772" s="50"/>
      <c r="O8772" s="36" t="s">
        <v>48</v>
      </c>
      <c r="R8772" s="36" t="s">
        <v>48</v>
      </c>
    </row>
    <row r="8773">
      <c r="H8773" s="50"/>
      <c r="I8773" s="50"/>
      <c r="O8773" s="36" t="s">
        <v>48</v>
      </c>
      <c r="R8773" s="36" t="s">
        <v>48</v>
      </c>
    </row>
    <row r="8774">
      <c r="H8774" s="50"/>
      <c r="I8774" s="50"/>
      <c r="O8774" s="36" t="s">
        <v>48</v>
      </c>
      <c r="R8774" s="36" t="s">
        <v>48</v>
      </c>
    </row>
    <row r="8775">
      <c r="H8775" s="50"/>
      <c r="I8775" s="50"/>
      <c r="O8775" s="36" t="s">
        <v>48</v>
      </c>
      <c r="R8775" s="36" t="s">
        <v>48</v>
      </c>
    </row>
    <row r="8776">
      <c r="H8776" s="50"/>
      <c r="I8776" s="50"/>
      <c r="O8776" s="36" t="s">
        <v>48</v>
      </c>
      <c r="R8776" s="36" t="s">
        <v>48</v>
      </c>
    </row>
    <row r="8777">
      <c r="H8777" s="50"/>
      <c r="I8777" s="50"/>
      <c r="O8777" s="36" t="s">
        <v>48</v>
      </c>
      <c r="R8777" s="36" t="s">
        <v>48</v>
      </c>
    </row>
    <row r="8778">
      <c r="H8778" s="50"/>
      <c r="I8778" s="50"/>
      <c r="O8778" s="36" t="s">
        <v>48</v>
      </c>
      <c r="R8778" s="36" t="s">
        <v>48</v>
      </c>
    </row>
    <row r="8779">
      <c r="H8779" s="50"/>
      <c r="I8779" s="50"/>
      <c r="O8779" s="36" t="s">
        <v>48</v>
      </c>
      <c r="R8779" s="36" t="s">
        <v>48</v>
      </c>
    </row>
    <row r="8780">
      <c r="H8780" s="50"/>
      <c r="I8780" s="50"/>
      <c r="O8780" s="36" t="s">
        <v>48</v>
      </c>
      <c r="R8780" s="36" t="s">
        <v>48</v>
      </c>
    </row>
    <row r="8781">
      <c r="H8781" s="50"/>
      <c r="I8781" s="50"/>
      <c r="O8781" s="36" t="s">
        <v>48</v>
      </c>
      <c r="R8781" s="36" t="s">
        <v>48</v>
      </c>
    </row>
    <row r="8782">
      <c r="H8782" s="50"/>
      <c r="I8782" s="50"/>
      <c r="O8782" s="36" t="s">
        <v>48</v>
      </c>
      <c r="R8782" s="36" t="s">
        <v>48</v>
      </c>
    </row>
    <row r="8783">
      <c r="H8783" s="50"/>
      <c r="I8783" s="50"/>
      <c r="O8783" s="36" t="s">
        <v>48</v>
      </c>
      <c r="R8783" s="36" t="s">
        <v>48</v>
      </c>
    </row>
    <row r="8784">
      <c r="H8784" s="50"/>
      <c r="I8784" s="50"/>
      <c r="O8784" s="36" t="s">
        <v>48</v>
      </c>
      <c r="R8784" s="36" t="s">
        <v>48</v>
      </c>
    </row>
    <row r="8785">
      <c r="H8785" s="50"/>
      <c r="I8785" s="50"/>
      <c r="O8785" s="36" t="s">
        <v>48</v>
      </c>
      <c r="R8785" s="36" t="s">
        <v>48</v>
      </c>
    </row>
    <row r="8786">
      <c r="H8786" s="50"/>
      <c r="I8786" s="50"/>
      <c r="O8786" s="36" t="s">
        <v>48</v>
      </c>
      <c r="R8786" s="36" t="s">
        <v>48</v>
      </c>
    </row>
    <row r="8787">
      <c r="H8787" s="50"/>
      <c r="I8787" s="50"/>
      <c r="O8787" s="36" t="s">
        <v>48</v>
      </c>
      <c r="R8787" s="36" t="s">
        <v>48</v>
      </c>
    </row>
    <row r="8788">
      <c r="H8788" s="50"/>
      <c r="I8788" s="50"/>
      <c r="O8788" s="36" t="s">
        <v>48</v>
      </c>
      <c r="R8788" s="36" t="s">
        <v>48</v>
      </c>
    </row>
    <row r="8789">
      <c r="H8789" s="50"/>
      <c r="I8789" s="50"/>
      <c r="O8789" s="36" t="s">
        <v>48</v>
      </c>
      <c r="R8789" s="36" t="s">
        <v>48</v>
      </c>
    </row>
    <row r="8790">
      <c r="H8790" s="50"/>
      <c r="I8790" s="50"/>
      <c r="O8790" s="36" t="s">
        <v>48</v>
      </c>
      <c r="R8790" s="36" t="s">
        <v>48</v>
      </c>
    </row>
    <row r="8791">
      <c r="H8791" s="50"/>
      <c r="I8791" s="50"/>
      <c r="O8791" s="36" t="s">
        <v>48</v>
      </c>
      <c r="R8791" s="36" t="s">
        <v>48</v>
      </c>
    </row>
    <row r="8792">
      <c r="H8792" s="50"/>
      <c r="I8792" s="50"/>
      <c r="O8792" s="36" t="s">
        <v>48</v>
      </c>
      <c r="R8792" s="36" t="s">
        <v>48</v>
      </c>
    </row>
    <row r="8793">
      <c r="H8793" s="50"/>
      <c r="I8793" s="50"/>
      <c r="O8793" s="36" t="s">
        <v>48</v>
      </c>
      <c r="R8793" s="36" t="s">
        <v>48</v>
      </c>
    </row>
    <row r="8794">
      <c r="H8794" s="50"/>
      <c r="I8794" s="50"/>
      <c r="O8794" s="36" t="s">
        <v>48</v>
      </c>
      <c r="R8794" s="36" t="s">
        <v>48</v>
      </c>
    </row>
    <row r="8795">
      <c r="H8795" s="50"/>
      <c r="I8795" s="50"/>
      <c r="O8795" s="36" t="s">
        <v>48</v>
      </c>
      <c r="R8795" s="36" t="s">
        <v>48</v>
      </c>
    </row>
    <row r="8796">
      <c r="H8796" s="50"/>
      <c r="I8796" s="50"/>
      <c r="O8796" s="36" t="s">
        <v>48</v>
      </c>
      <c r="R8796" s="36" t="s">
        <v>48</v>
      </c>
    </row>
    <row r="8797">
      <c r="H8797" s="50"/>
      <c r="I8797" s="50"/>
      <c r="O8797" s="36" t="s">
        <v>48</v>
      </c>
      <c r="R8797" s="36" t="s">
        <v>48</v>
      </c>
    </row>
    <row r="8798">
      <c r="H8798" s="50"/>
      <c r="I8798" s="50"/>
      <c r="O8798" s="36" t="s">
        <v>48</v>
      </c>
      <c r="R8798" s="36" t="s">
        <v>48</v>
      </c>
    </row>
    <row r="8799">
      <c r="H8799" s="50"/>
      <c r="I8799" s="50"/>
      <c r="O8799" s="36" t="s">
        <v>48</v>
      </c>
      <c r="R8799" s="36" t="s">
        <v>48</v>
      </c>
    </row>
    <row r="8800">
      <c r="H8800" s="50"/>
      <c r="I8800" s="50"/>
      <c r="O8800" s="36" t="s">
        <v>48</v>
      </c>
      <c r="R8800" s="36" t="s">
        <v>48</v>
      </c>
    </row>
    <row r="8801">
      <c r="H8801" s="50"/>
      <c r="I8801" s="50"/>
      <c r="O8801" s="36" t="s">
        <v>48</v>
      </c>
      <c r="R8801" s="36" t="s">
        <v>48</v>
      </c>
    </row>
    <row r="8802">
      <c r="H8802" s="50"/>
      <c r="I8802" s="50"/>
      <c r="O8802" s="36" t="s">
        <v>48</v>
      </c>
      <c r="R8802" s="36" t="s">
        <v>48</v>
      </c>
    </row>
    <row r="8803">
      <c r="H8803" s="50"/>
      <c r="I8803" s="50"/>
      <c r="O8803" s="36" t="s">
        <v>48</v>
      </c>
      <c r="R8803" s="36" t="s">
        <v>48</v>
      </c>
    </row>
    <row r="8804">
      <c r="H8804" s="50"/>
      <c r="I8804" s="50"/>
      <c r="O8804" s="36" t="s">
        <v>48</v>
      </c>
      <c r="R8804" s="36" t="s">
        <v>48</v>
      </c>
    </row>
    <row r="8805">
      <c r="H8805" s="50"/>
      <c r="I8805" s="50"/>
      <c r="O8805" s="36" t="s">
        <v>48</v>
      </c>
      <c r="R8805" s="36" t="s">
        <v>48</v>
      </c>
    </row>
    <row r="8806">
      <c r="H8806" s="50"/>
      <c r="I8806" s="50"/>
      <c r="O8806" s="36" t="s">
        <v>48</v>
      </c>
      <c r="R8806" s="36" t="s">
        <v>48</v>
      </c>
    </row>
    <row r="8807">
      <c r="H8807" s="50"/>
      <c r="I8807" s="50"/>
      <c r="O8807" s="36" t="s">
        <v>48</v>
      </c>
      <c r="R8807" s="36" t="s">
        <v>48</v>
      </c>
    </row>
    <row r="8808">
      <c r="H8808" s="50"/>
      <c r="I8808" s="50"/>
      <c r="O8808" s="36" t="s">
        <v>48</v>
      </c>
      <c r="R8808" s="36" t="s">
        <v>48</v>
      </c>
    </row>
    <row r="8809">
      <c r="H8809" s="50"/>
      <c r="I8809" s="50"/>
      <c r="O8809" s="36" t="s">
        <v>48</v>
      </c>
      <c r="R8809" s="36" t="s">
        <v>48</v>
      </c>
    </row>
    <row r="8810">
      <c r="H8810" s="50"/>
      <c r="I8810" s="50"/>
      <c r="O8810" s="36" t="s">
        <v>48</v>
      </c>
      <c r="R8810" s="36" t="s">
        <v>48</v>
      </c>
    </row>
    <row r="8811">
      <c r="H8811" s="50"/>
      <c r="I8811" s="50"/>
      <c r="O8811" s="36" t="s">
        <v>48</v>
      </c>
      <c r="R8811" s="36" t="s">
        <v>48</v>
      </c>
    </row>
    <row r="8812">
      <c r="H8812" s="50"/>
      <c r="I8812" s="50"/>
      <c r="O8812" s="36" t="s">
        <v>48</v>
      </c>
      <c r="R8812" s="36" t="s">
        <v>48</v>
      </c>
    </row>
    <row r="8813">
      <c r="H8813" s="50"/>
      <c r="I8813" s="50"/>
      <c r="O8813" s="36" t="s">
        <v>48</v>
      </c>
      <c r="R8813" s="36" t="s">
        <v>48</v>
      </c>
    </row>
    <row r="8814">
      <c r="H8814" s="50"/>
      <c r="I8814" s="50"/>
      <c r="O8814" s="36" t="s">
        <v>48</v>
      </c>
      <c r="R8814" s="36" t="s">
        <v>48</v>
      </c>
    </row>
    <row r="8815">
      <c r="H8815" s="50"/>
      <c r="I8815" s="50"/>
      <c r="O8815" s="36" t="s">
        <v>48</v>
      </c>
      <c r="R8815" s="36" t="s">
        <v>48</v>
      </c>
    </row>
    <row r="8816">
      <c r="H8816" s="50"/>
      <c r="I8816" s="50"/>
      <c r="O8816" s="36" t="s">
        <v>48</v>
      </c>
      <c r="R8816" s="36" t="s">
        <v>48</v>
      </c>
    </row>
    <row r="8817">
      <c r="H8817" s="50"/>
      <c r="I8817" s="50"/>
      <c r="O8817" s="36" t="s">
        <v>48</v>
      </c>
      <c r="R8817" s="36" t="s">
        <v>48</v>
      </c>
    </row>
    <row r="8818">
      <c r="H8818" s="50"/>
      <c r="I8818" s="50"/>
      <c r="O8818" s="36" t="s">
        <v>48</v>
      </c>
      <c r="R8818" s="36" t="s">
        <v>48</v>
      </c>
    </row>
    <row r="8819">
      <c r="H8819" s="50"/>
      <c r="I8819" s="50"/>
      <c r="O8819" s="36" t="s">
        <v>48</v>
      </c>
      <c r="R8819" s="36" t="s">
        <v>48</v>
      </c>
    </row>
    <row r="8820">
      <c r="H8820" s="50"/>
      <c r="I8820" s="50"/>
      <c r="O8820" s="36" t="s">
        <v>48</v>
      </c>
      <c r="R8820" s="36" t="s">
        <v>48</v>
      </c>
    </row>
    <row r="8821">
      <c r="H8821" s="50"/>
      <c r="I8821" s="50"/>
      <c r="O8821" s="36" t="s">
        <v>48</v>
      </c>
      <c r="R8821" s="36" t="s">
        <v>48</v>
      </c>
    </row>
    <row r="8822">
      <c r="H8822" s="50"/>
      <c r="I8822" s="50"/>
      <c r="O8822" s="36" t="s">
        <v>48</v>
      </c>
      <c r="R8822" s="36" t="s">
        <v>48</v>
      </c>
    </row>
    <row r="8823">
      <c r="H8823" s="50"/>
      <c r="I8823" s="50"/>
      <c r="O8823" s="36" t="s">
        <v>48</v>
      </c>
      <c r="R8823" s="36" t="s">
        <v>48</v>
      </c>
    </row>
    <row r="8824">
      <c r="H8824" s="50"/>
      <c r="I8824" s="50"/>
      <c r="O8824" s="36" t="s">
        <v>48</v>
      </c>
      <c r="R8824" s="36" t="s">
        <v>48</v>
      </c>
    </row>
    <row r="8825">
      <c r="H8825" s="50"/>
      <c r="I8825" s="50"/>
      <c r="O8825" s="36" t="s">
        <v>48</v>
      </c>
      <c r="R8825" s="36" t="s">
        <v>48</v>
      </c>
    </row>
    <row r="8826">
      <c r="H8826" s="50"/>
      <c r="I8826" s="50"/>
      <c r="O8826" s="36" t="s">
        <v>48</v>
      </c>
      <c r="R8826" s="36" t="s">
        <v>48</v>
      </c>
    </row>
    <row r="8827">
      <c r="H8827" s="50"/>
      <c r="I8827" s="50"/>
      <c r="O8827" s="36" t="s">
        <v>48</v>
      </c>
      <c r="R8827" s="36" t="s">
        <v>48</v>
      </c>
    </row>
    <row r="8828">
      <c r="H8828" s="50"/>
      <c r="I8828" s="50"/>
      <c r="O8828" s="36" t="s">
        <v>48</v>
      </c>
      <c r="R8828" s="36" t="s">
        <v>48</v>
      </c>
    </row>
    <row r="8829">
      <c r="H8829" s="50"/>
      <c r="I8829" s="50"/>
      <c r="O8829" s="36" t="s">
        <v>48</v>
      </c>
      <c r="R8829" s="36" t="s">
        <v>48</v>
      </c>
    </row>
    <row r="8830">
      <c r="H8830" s="50"/>
      <c r="I8830" s="50"/>
      <c r="O8830" s="36" t="s">
        <v>48</v>
      </c>
      <c r="R8830" s="36" t="s">
        <v>48</v>
      </c>
    </row>
    <row r="8831">
      <c r="H8831" s="50"/>
      <c r="I8831" s="50"/>
      <c r="O8831" s="36" t="s">
        <v>48</v>
      </c>
      <c r="R8831" s="36" t="s">
        <v>48</v>
      </c>
    </row>
    <row r="8832">
      <c r="H8832" s="50"/>
      <c r="I8832" s="50"/>
      <c r="O8832" s="36" t="s">
        <v>48</v>
      </c>
      <c r="R8832" s="36" t="s">
        <v>48</v>
      </c>
    </row>
    <row r="8833">
      <c r="H8833" s="50"/>
      <c r="I8833" s="50"/>
      <c r="O8833" s="36" t="s">
        <v>48</v>
      </c>
      <c r="R8833" s="36" t="s">
        <v>48</v>
      </c>
    </row>
    <row r="8834">
      <c r="H8834" s="50"/>
      <c r="I8834" s="50"/>
      <c r="O8834" s="36" t="s">
        <v>48</v>
      </c>
      <c r="R8834" s="36" t="s">
        <v>48</v>
      </c>
    </row>
    <row r="8835">
      <c r="H8835" s="50"/>
      <c r="I8835" s="50"/>
      <c r="O8835" s="36" t="s">
        <v>48</v>
      </c>
      <c r="R8835" s="36" t="s">
        <v>48</v>
      </c>
    </row>
    <row r="8836">
      <c r="H8836" s="50"/>
      <c r="I8836" s="50"/>
      <c r="O8836" s="36" t="s">
        <v>48</v>
      </c>
      <c r="R8836" s="36" t="s">
        <v>48</v>
      </c>
    </row>
    <row r="8837">
      <c r="H8837" s="50"/>
      <c r="I8837" s="50"/>
      <c r="O8837" s="36" t="s">
        <v>48</v>
      </c>
      <c r="R8837" s="36" t="s">
        <v>48</v>
      </c>
    </row>
    <row r="8838">
      <c r="H8838" s="50"/>
      <c r="I8838" s="50"/>
      <c r="O8838" s="36" t="s">
        <v>48</v>
      </c>
      <c r="R8838" s="36" t="s">
        <v>48</v>
      </c>
    </row>
    <row r="8839">
      <c r="H8839" s="50"/>
      <c r="I8839" s="50"/>
      <c r="O8839" s="36" t="s">
        <v>48</v>
      </c>
      <c r="R8839" s="36" t="s">
        <v>48</v>
      </c>
    </row>
    <row r="8840">
      <c r="H8840" s="50"/>
      <c r="I8840" s="50"/>
      <c r="O8840" s="36" t="s">
        <v>48</v>
      </c>
      <c r="R8840" s="36" t="s">
        <v>48</v>
      </c>
    </row>
    <row r="8841">
      <c r="H8841" s="50"/>
      <c r="I8841" s="50"/>
      <c r="O8841" s="36" t="s">
        <v>48</v>
      </c>
      <c r="R8841" s="36" t="s">
        <v>48</v>
      </c>
    </row>
    <row r="8842">
      <c r="H8842" s="50"/>
      <c r="I8842" s="50"/>
      <c r="O8842" s="36" t="s">
        <v>48</v>
      </c>
      <c r="R8842" s="36" t="s">
        <v>48</v>
      </c>
    </row>
    <row r="8843">
      <c r="H8843" s="50"/>
      <c r="I8843" s="50"/>
      <c r="O8843" s="36" t="s">
        <v>48</v>
      </c>
      <c r="R8843" s="36" t="s">
        <v>48</v>
      </c>
    </row>
    <row r="8844">
      <c r="H8844" s="50"/>
      <c r="I8844" s="50"/>
      <c r="O8844" s="36" t="s">
        <v>48</v>
      </c>
      <c r="R8844" s="36" t="s">
        <v>48</v>
      </c>
    </row>
    <row r="8845">
      <c r="H8845" s="50"/>
      <c r="I8845" s="50"/>
      <c r="O8845" s="36" t="s">
        <v>48</v>
      </c>
      <c r="R8845" s="36" t="s">
        <v>48</v>
      </c>
    </row>
    <row r="8846">
      <c r="H8846" s="50"/>
      <c r="I8846" s="50"/>
      <c r="O8846" s="36" t="s">
        <v>48</v>
      </c>
      <c r="R8846" s="36" t="s">
        <v>48</v>
      </c>
    </row>
    <row r="8847">
      <c r="H8847" s="50"/>
      <c r="I8847" s="50"/>
      <c r="O8847" s="36" t="s">
        <v>48</v>
      </c>
      <c r="R8847" s="36" t="s">
        <v>48</v>
      </c>
    </row>
    <row r="8848">
      <c r="H8848" s="50"/>
      <c r="I8848" s="50"/>
      <c r="O8848" s="36" t="s">
        <v>48</v>
      </c>
      <c r="R8848" s="36" t="s">
        <v>48</v>
      </c>
    </row>
    <row r="8849">
      <c r="H8849" s="50"/>
      <c r="I8849" s="50"/>
      <c r="O8849" s="36" t="s">
        <v>48</v>
      </c>
      <c r="R8849" s="36" t="s">
        <v>48</v>
      </c>
    </row>
    <row r="8850">
      <c r="H8850" s="50"/>
      <c r="I8850" s="50"/>
      <c r="O8850" s="36" t="s">
        <v>48</v>
      </c>
      <c r="R8850" s="36" t="s">
        <v>48</v>
      </c>
    </row>
    <row r="8851">
      <c r="H8851" s="50"/>
      <c r="I8851" s="50"/>
      <c r="O8851" s="36" t="s">
        <v>48</v>
      </c>
      <c r="R8851" s="36" t="s">
        <v>48</v>
      </c>
    </row>
    <row r="8852">
      <c r="H8852" s="50"/>
      <c r="I8852" s="50"/>
      <c r="O8852" s="36" t="s">
        <v>48</v>
      </c>
      <c r="R8852" s="36" t="s">
        <v>48</v>
      </c>
    </row>
    <row r="8853">
      <c r="H8853" s="50"/>
      <c r="I8853" s="50"/>
      <c r="O8853" s="36" t="s">
        <v>48</v>
      </c>
      <c r="R8853" s="36" t="s">
        <v>48</v>
      </c>
    </row>
    <row r="8854">
      <c r="H8854" s="50"/>
      <c r="I8854" s="50"/>
      <c r="O8854" s="36" t="s">
        <v>48</v>
      </c>
      <c r="R8854" s="36" t="s">
        <v>48</v>
      </c>
    </row>
    <row r="8855">
      <c r="H8855" s="50"/>
      <c r="I8855" s="50"/>
      <c r="O8855" s="36" t="s">
        <v>48</v>
      </c>
      <c r="R8855" s="36" t="s">
        <v>48</v>
      </c>
    </row>
    <row r="8856">
      <c r="H8856" s="50"/>
      <c r="I8856" s="50"/>
      <c r="O8856" s="36" t="s">
        <v>48</v>
      </c>
      <c r="R8856" s="36" t="s">
        <v>48</v>
      </c>
    </row>
    <row r="8857">
      <c r="H8857" s="50"/>
      <c r="I8857" s="50"/>
      <c r="O8857" s="36" t="s">
        <v>48</v>
      </c>
      <c r="R8857" s="36" t="s">
        <v>48</v>
      </c>
    </row>
    <row r="8858">
      <c r="H8858" s="50"/>
      <c r="I8858" s="50"/>
      <c r="O8858" s="36" t="s">
        <v>48</v>
      </c>
      <c r="R8858" s="36" t="s">
        <v>48</v>
      </c>
    </row>
    <row r="8859">
      <c r="H8859" s="50"/>
      <c r="I8859" s="50"/>
      <c r="O8859" s="36" t="s">
        <v>48</v>
      </c>
      <c r="R8859" s="36" t="s">
        <v>48</v>
      </c>
    </row>
    <row r="8860">
      <c r="H8860" s="50"/>
      <c r="I8860" s="50"/>
      <c r="O8860" s="36" t="s">
        <v>48</v>
      </c>
      <c r="R8860" s="36" t="s">
        <v>48</v>
      </c>
    </row>
    <row r="8861">
      <c r="H8861" s="50"/>
      <c r="I8861" s="50"/>
      <c r="O8861" s="36" t="s">
        <v>48</v>
      </c>
      <c r="R8861" s="36" t="s">
        <v>48</v>
      </c>
    </row>
    <row r="8862">
      <c r="H8862" s="50"/>
      <c r="I8862" s="50"/>
      <c r="O8862" s="36" t="s">
        <v>48</v>
      </c>
      <c r="R8862" s="36" t="s">
        <v>48</v>
      </c>
    </row>
    <row r="8863">
      <c r="H8863" s="50"/>
      <c r="I8863" s="50"/>
      <c r="O8863" s="36" t="s">
        <v>48</v>
      </c>
      <c r="R8863" s="36" t="s">
        <v>48</v>
      </c>
    </row>
    <row r="8864">
      <c r="H8864" s="50"/>
      <c r="I8864" s="50"/>
      <c r="O8864" s="36" t="s">
        <v>48</v>
      </c>
      <c r="R8864" s="36" t="s">
        <v>48</v>
      </c>
    </row>
    <row r="8865">
      <c r="H8865" s="50"/>
      <c r="I8865" s="50"/>
      <c r="O8865" s="36" t="s">
        <v>48</v>
      </c>
      <c r="R8865" s="36" t="s">
        <v>48</v>
      </c>
    </row>
    <row r="8866">
      <c r="H8866" s="50"/>
      <c r="I8866" s="50"/>
      <c r="O8866" s="36" t="s">
        <v>48</v>
      </c>
      <c r="R8866" s="36" t="s">
        <v>48</v>
      </c>
    </row>
    <row r="8867">
      <c r="H8867" s="50"/>
      <c r="I8867" s="50"/>
      <c r="O8867" s="36" t="s">
        <v>48</v>
      </c>
      <c r="R8867" s="36" t="s">
        <v>48</v>
      </c>
    </row>
    <row r="8868">
      <c r="H8868" s="50"/>
      <c r="I8868" s="50"/>
      <c r="O8868" s="36" t="s">
        <v>48</v>
      </c>
      <c r="R8868" s="36" t="s">
        <v>48</v>
      </c>
    </row>
    <row r="8869">
      <c r="H8869" s="50"/>
      <c r="I8869" s="50"/>
      <c r="O8869" s="36" t="s">
        <v>48</v>
      </c>
      <c r="R8869" s="36" t="s">
        <v>48</v>
      </c>
    </row>
    <row r="8870">
      <c r="H8870" s="50"/>
      <c r="I8870" s="50"/>
      <c r="O8870" s="36" t="s">
        <v>48</v>
      </c>
      <c r="R8870" s="36" t="s">
        <v>48</v>
      </c>
    </row>
    <row r="8871">
      <c r="H8871" s="50"/>
      <c r="I8871" s="50"/>
      <c r="O8871" s="36" t="s">
        <v>48</v>
      </c>
      <c r="R8871" s="36" t="s">
        <v>48</v>
      </c>
    </row>
    <row r="8872">
      <c r="H8872" s="50"/>
      <c r="I8872" s="50"/>
      <c r="O8872" s="36" t="s">
        <v>48</v>
      </c>
      <c r="R8872" s="36" t="s">
        <v>48</v>
      </c>
    </row>
    <row r="8873">
      <c r="H8873" s="50"/>
      <c r="I8873" s="50"/>
      <c r="O8873" s="36" t="s">
        <v>48</v>
      </c>
      <c r="R8873" s="36" t="s">
        <v>48</v>
      </c>
    </row>
    <row r="8874">
      <c r="H8874" s="50"/>
      <c r="I8874" s="50"/>
      <c r="O8874" s="36" t="s">
        <v>48</v>
      </c>
      <c r="R8874" s="36" t="s">
        <v>48</v>
      </c>
    </row>
    <row r="8875">
      <c r="H8875" s="50"/>
      <c r="I8875" s="50"/>
      <c r="O8875" s="36" t="s">
        <v>48</v>
      </c>
      <c r="R8875" s="36" t="s">
        <v>48</v>
      </c>
    </row>
    <row r="8876">
      <c r="H8876" s="50"/>
      <c r="I8876" s="50"/>
      <c r="O8876" s="36" t="s">
        <v>48</v>
      </c>
      <c r="R8876" s="36" t="s">
        <v>48</v>
      </c>
    </row>
    <row r="8877">
      <c r="H8877" s="50"/>
      <c r="I8877" s="50"/>
      <c r="O8877" s="36" t="s">
        <v>48</v>
      </c>
      <c r="R8877" s="36" t="s">
        <v>48</v>
      </c>
    </row>
    <row r="8878">
      <c r="H8878" s="50"/>
      <c r="I8878" s="50"/>
      <c r="O8878" s="36" t="s">
        <v>48</v>
      </c>
      <c r="R8878" s="36" t="s">
        <v>48</v>
      </c>
    </row>
    <row r="8879">
      <c r="H8879" s="50"/>
      <c r="I8879" s="50"/>
      <c r="O8879" s="36" t="s">
        <v>48</v>
      </c>
      <c r="R8879" s="36" t="s">
        <v>48</v>
      </c>
    </row>
    <row r="8880">
      <c r="H8880" s="50"/>
      <c r="I8880" s="50"/>
      <c r="O8880" s="36" t="s">
        <v>48</v>
      </c>
      <c r="R8880" s="36" t="s">
        <v>48</v>
      </c>
    </row>
    <row r="8881">
      <c r="H8881" s="50"/>
      <c r="I8881" s="50"/>
      <c r="O8881" s="36" t="s">
        <v>48</v>
      </c>
      <c r="R8881" s="36" t="s">
        <v>48</v>
      </c>
    </row>
    <row r="8882">
      <c r="H8882" s="50"/>
      <c r="I8882" s="50"/>
      <c r="O8882" s="36" t="s">
        <v>48</v>
      </c>
      <c r="R8882" s="36" t="s">
        <v>48</v>
      </c>
    </row>
    <row r="8883">
      <c r="H8883" s="50"/>
      <c r="I8883" s="50"/>
      <c r="O8883" s="36" t="s">
        <v>48</v>
      </c>
      <c r="R8883" s="36" t="s">
        <v>48</v>
      </c>
    </row>
    <row r="8884">
      <c r="H8884" s="50"/>
      <c r="I8884" s="50"/>
      <c r="O8884" s="36" t="s">
        <v>48</v>
      </c>
      <c r="R8884" s="36" t="s">
        <v>48</v>
      </c>
    </row>
    <row r="8885">
      <c r="H8885" s="50"/>
      <c r="I8885" s="50"/>
      <c r="O8885" s="36" t="s">
        <v>48</v>
      </c>
      <c r="R8885" s="36" t="s">
        <v>48</v>
      </c>
    </row>
    <row r="8886">
      <c r="H8886" s="50"/>
      <c r="I8886" s="50"/>
      <c r="O8886" s="36" t="s">
        <v>48</v>
      </c>
      <c r="R8886" s="36" t="s">
        <v>48</v>
      </c>
    </row>
    <row r="8887">
      <c r="H8887" s="50"/>
      <c r="I8887" s="50"/>
      <c r="O8887" s="36" t="s">
        <v>48</v>
      </c>
      <c r="R8887" s="36" t="s">
        <v>48</v>
      </c>
    </row>
    <row r="8888">
      <c r="H8888" s="50"/>
      <c r="I8888" s="50"/>
      <c r="O8888" s="36" t="s">
        <v>48</v>
      </c>
      <c r="R8888" s="36" t="s">
        <v>48</v>
      </c>
    </row>
    <row r="8889">
      <c r="H8889" s="50"/>
      <c r="I8889" s="50"/>
      <c r="O8889" s="36" t="s">
        <v>48</v>
      </c>
      <c r="R8889" s="36" t="s">
        <v>48</v>
      </c>
    </row>
    <row r="8890">
      <c r="H8890" s="50"/>
      <c r="I8890" s="50"/>
      <c r="O8890" s="36" t="s">
        <v>48</v>
      </c>
      <c r="R8890" s="36" t="s">
        <v>48</v>
      </c>
    </row>
    <row r="8891">
      <c r="H8891" s="50"/>
      <c r="I8891" s="50"/>
      <c r="O8891" s="36" t="s">
        <v>48</v>
      </c>
      <c r="R8891" s="36" t="s">
        <v>48</v>
      </c>
    </row>
    <row r="8892">
      <c r="H8892" s="50"/>
      <c r="I8892" s="50"/>
      <c r="O8892" s="36" t="s">
        <v>48</v>
      </c>
      <c r="R8892" s="36" t="s">
        <v>48</v>
      </c>
    </row>
    <row r="8893">
      <c r="H8893" s="50"/>
      <c r="I8893" s="50"/>
      <c r="O8893" s="36" t="s">
        <v>48</v>
      </c>
      <c r="R8893" s="36" t="s">
        <v>48</v>
      </c>
    </row>
    <row r="8894">
      <c r="H8894" s="50"/>
      <c r="I8894" s="50"/>
      <c r="O8894" s="36" t="s">
        <v>48</v>
      </c>
      <c r="R8894" s="36" t="s">
        <v>48</v>
      </c>
    </row>
    <row r="8895">
      <c r="H8895" s="50"/>
      <c r="I8895" s="50"/>
      <c r="O8895" s="36" t="s">
        <v>48</v>
      </c>
      <c r="R8895" s="36" t="s">
        <v>48</v>
      </c>
    </row>
    <row r="8896">
      <c r="H8896" s="50"/>
      <c r="I8896" s="50"/>
      <c r="O8896" s="36" t="s">
        <v>48</v>
      </c>
      <c r="R8896" s="36" t="s">
        <v>48</v>
      </c>
    </row>
    <row r="8897">
      <c r="H8897" s="50"/>
      <c r="I8897" s="50"/>
      <c r="O8897" s="36" t="s">
        <v>48</v>
      </c>
      <c r="R8897" s="36" t="s">
        <v>48</v>
      </c>
    </row>
    <row r="8898">
      <c r="H8898" s="50"/>
      <c r="I8898" s="50"/>
      <c r="O8898" s="36" t="s">
        <v>48</v>
      </c>
      <c r="R8898" s="36" t="s">
        <v>48</v>
      </c>
    </row>
    <row r="8899">
      <c r="H8899" s="50"/>
      <c r="I8899" s="50"/>
      <c r="O8899" s="36" t="s">
        <v>48</v>
      </c>
      <c r="R8899" s="36" t="s">
        <v>48</v>
      </c>
    </row>
    <row r="8900">
      <c r="H8900" s="50"/>
      <c r="I8900" s="50"/>
      <c r="O8900" s="36" t="s">
        <v>48</v>
      </c>
      <c r="R8900" s="36" t="s">
        <v>48</v>
      </c>
    </row>
    <row r="8901">
      <c r="H8901" s="50"/>
      <c r="I8901" s="50"/>
      <c r="O8901" s="36" t="s">
        <v>48</v>
      </c>
      <c r="R8901" s="36" t="s">
        <v>48</v>
      </c>
    </row>
    <row r="8902">
      <c r="H8902" s="50"/>
      <c r="I8902" s="50"/>
      <c r="O8902" s="36" t="s">
        <v>48</v>
      </c>
      <c r="R8902" s="36" t="s">
        <v>48</v>
      </c>
    </row>
    <row r="8903">
      <c r="H8903" s="50"/>
      <c r="I8903" s="50"/>
      <c r="O8903" s="36" t="s">
        <v>48</v>
      </c>
      <c r="R8903" s="36" t="s">
        <v>48</v>
      </c>
    </row>
    <row r="8904">
      <c r="H8904" s="50"/>
      <c r="I8904" s="50"/>
      <c r="O8904" s="36" t="s">
        <v>48</v>
      </c>
      <c r="R8904" s="36" t="s">
        <v>48</v>
      </c>
    </row>
    <row r="8905">
      <c r="H8905" s="50"/>
      <c r="I8905" s="50"/>
      <c r="O8905" s="36" t="s">
        <v>48</v>
      </c>
      <c r="R8905" s="36" t="s">
        <v>48</v>
      </c>
    </row>
    <row r="8906">
      <c r="H8906" s="50"/>
      <c r="I8906" s="50"/>
      <c r="O8906" s="36" t="s">
        <v>48</v>
      </c>
      <c r="R8906" s="36" t="s">
        <v>48</v>
      </c>
    </row>
    <row r="8907">
      <c r="H8907" s="50"/>
      <c r="I8907" s="50"/>
      <c r="O8907" s="36" t="s">
        <v>48</v>
      </c>
      <c r="R8907" s="36" t="s">
        <v>48</v>
      </c>
    </row>
    <row r="8908">
      <c r="H8908" s="50"/>
      <c r="I8908" s="50"/>
      <c r="O8908" s="36" t="s">
        <v>48</v>
      </c>
      <c r="R8908" s="36" t="s">
        <v>48</v>
      </c>
    </row>
    <row r="8909">
      <c r="H8909" s="50"/>
      <c r="I8909" s="50"/>
      <c r="O8909" s="36" t="s">
        <v>48</v>
      </c>
      <c r="R8909" s="36" t="s">
        <v>48</v>
      </c>
    </row>
    <row r="8910">
      <c r="H8910" s="50"/>
      <c r="I8910" s="50"/>
      <c r="O8910" s="36" t="s">
        <v>48</v>
      </c>
      <c r="R8910" s="36" t="s">
        <v>48</v>
      </c>
    </row>
    <row r="8911">
      <c r="H8911" s="50"/>
      <c r="I8911" s="50"/>
      <c r="O8911" s="36" t="s">
        <v>48</v>
      </c>
      <c r="R8911" s="36" t="s">
        <v>48</v>
      </c>
    </row>
    <row r="8912">
      <c r="H8912" s="50"/>
      <c r="I8912" s="50"/>
      <c r="O8912" s="36" t="s">
        <v>48</v>
      </c>
      <c r="R8912" s="36" t="s">
        <v>48</v>
      </c>
    </row>
    <row r="8913">
      <c r="H8913" s="50"/>
      <c r="I8913" s="50"/>
      <c r="O8913" s="36" t="s">
        <v>48</v>
      </c>
      <c r="R8913" s="36" t="s">
        <v>48</v>
      </c>
    </row>
    <row r="8914">
      <c r="H8914" s="50"/>
      <c r="I8914" s="50"/>
      <c r="O8914" s="36" t="s">
        <v>48</v>
      </c>
      <c r="R8914" s="36" t="s">
        <v>48</v>
      </c>
    </row>
    <row r="8915">
      <c r="H8915" s="50"/>
      <c r="I8915" s="50"/>
      <c r="O8915" s="36" t="s">
        <v>48</v>
      </c>
      <c r="R8915" s="36" t="s">
        <v>48</v>
      </c>
    </row>
    <row r="8916">
      <c r="H8916" s="50"/>
      <c r="I8916" s="50"/>
      <c r="O8916" s="36" t="s">
        <v>48</v>
      </c>
      <c r="R8916" s="36" t="s">
        <v>48</v>
      </c>
    </row>
    <row r="8917">
      <c r="H8917" s="50"/>
      <c r="I8917" s="50"/>
      <c r="O8917" s="36" t="s">
        <v>48</v>
      </c>
      <c r="R8917" s="36" t="s">
        <v>48</v>
      </c>
    </row>
    <row r="8918">
      <c r="H8918" s="50"/>
      <c r="I8918" s="50"/>
      <c r="O8918" s="36" t="s">
        <v>48</v>
      </c>
      <c r="R8918" s="36" t="s">
        <v>48</v>
      </c>
    </row>
    <row r="8919">
      <c r="H8919" s="50"/>
      <c r="I8919" s="50"/>
      <c r="O8919" s="36" t="s">
        <v>48</v>
      </c>
      <c r="R8919" s="36" t="s">
        <v>48</v>
      </c>
    </row>
    <row r="8920">
      <c r="H8920" s="50"/>
      <c r="I8920" s="50"/>
      <c r="O8920" s="36" t="s">
        <v>48</v>
      </c>
      <c r="R8920" s="36" t="s">
        <v>48</v>
      </c>
    </row>
    <row r="8921">
      <c r="H8921" s="50"/>
      <c r="I8921" s="50"/>
      <c r="O8921" s="36" t="s">
        <v>48</v>
      </c>
      <c r="R8921" s="36" t="s">
        <v>48</v>
      </c>
    </row>
    <row r="8922">
      <c r="H8922" s="50"/>
      <c r="I8922" s="50"/>
      <c r="O8922" s="36" t="s">
        <v>48</v>
      </c>
      <c r="R8922" s="36" t="s">
        <v>48</v>
      </c>
    </row>
    <row r="8923">
      <c r="H8923" s="50"/>
      <c r="I8923" s="50"/>
      <c r="O8923" s="36" t="s">
        <v>48</v>
      </c>
      <c r="R8923" s="36" t="s">
        <v>48</v>
      </c>
    </row>
    <row r="8924">
      <c r="H8924" s="50"/>
      <c r="I8924" s="50"/>
      <c r="O8924" s="36" t="s">
        <v>48</v>
      </c>
      <c r="R8924" s="36" t="s">
        <v>48</v>
      </c>
    </row>
    <row r="8925">
      <c r="H8925" s="50"/>
      <c r="I8925" s="50"/>
      <c r="O8925" s="36" t="s">
        <v>48</v>
      </c>
      <c r="R8925" s="36" t="s">
        <v>48</v>
      </c>
    </row>
    <row r="8926">
      <c r="H8926" s="50"/>
      <c r="I8926" s="50"/>
      <c r="O8926" s="36" t="s">
        <v>48</v>
      </c>
      <c r="R8926" s="36" t="s">
        <v>48</v>
      </c>
    </row>
    <row r="8927">
      <c r="H8927" s="50"/>
      <c r="I8927" s="50"/>
      <c r="O8927" s="36" t="s">
        <v>48</v>
      </c>
      <c r="R8927" s="36" t="s">
        <v>48</v>
      </c>
    </row>
    <row r="8928">
      <c r="H8928" s="50"/>
      <c r="I8928" s="50"/>
      <c r="O8928" s="36" t="s">
        <v>48</v>
      </c>
      <c r="R8928" s="36" t="s">
        <v>48</v>
      </c>
    </row>
    <row r="8929">
      <c r="H8929" s="50"/>
      <c r="I8929" s="50"/>
      <c r="O8929" s="36" t="s">
        <v>48</v>
      </c>
      <c r="R8929" s="36" t="s">
        <v>48</v>
      </c>
    </row>
    <row r="8930">
      <c r="H8930" s="50"/>
      <c r="I8930" s="50"/>
      <c r="O8930" s="36" t="s">
        <v>48</v>
      </c>
      <c r="R8930" s="36" t="s">
        <v>48</v>
      </c>
    </row>
    <row r="8931">
      <c r="H8931" s="50"/>
      <c r="I8931" s="50"/>
      <c r="O8931" s="36" t="s">
        <v>48</v>
      </c>
      <c r="R8931" s="36" t="s">
        <v>48</v>
      </c>
    </row>
    <row r="8932">
      <c r="H8932" s="50"/>
      <c r="I8932" s="50"/>
      <c r="O8932" s="36" t="s">
        <v>48</v>
      </c>
      <c r="R8932" s="36" t="s">
        <v>48</v>
      </c>
    </row>
    <row r="8933">
      <c r="H8933" s="50"/>
      <c r="I8933" s="50"/>
      <c r="O8933" s="36" t="s">
        <v>48</v>
      </c>
      <c r="R8933" s="36" t="s">
        <v>48</v>
      </c>
    </row>
    <row r="8934">
      <c r="H8934" s="50"/>
      <c r="I8934" s="50"/>
      <c r="O8934" s="36" t="s">
        <v>48</v>
      </c>
      <c r="R8934" s="36" t="s">
        <v>48</v>
      </c>
    </row>
    <row r="8935">
      <c r="H8935" s="50"/>
      <c r="I8935" s="50"/>
      <c r="O8935" s="36" t="s">
        <v>48</v>
      </c>
      <c r="R8935" s="36" t="s">
        <v>48</v>
      </c>
    </row>
    <row r="8936">
      <c r="H8936" s="50"/>
      <c r="I8936" s="50"/>
      <c r="O8936" s="36" t="s">
        <v>48</v>
      </c>
      <c r="R8936" s="36" t="s">
        <v>48</v>
      </c>
    </row>
    <row r="8937">
      <c r="H8937" s="50"/>
      <c r="I8937" s="50"/>
      <c r="O8937" s="36" t="s">
        <v>48</v>
      </c>
      <c r="R8937" s="36" t="s">
        <v>48</v>
      </c>
    </row>
    <row r="8938">
      <c r="H8938" s="50"/>
      <c r="I8938" s="50"/>
      <c r="O8938" s="36" t="s">
        <v>48</v>
      </c>
      <c r="R8938" s="36" t="s">
        <v>48</v>
      </c>
    </row>
    <row r="8939">
      <c r="H8939" s="50"/>
      <c r="I8939" s="50"/>
      <c r="O8939" s="36" t="s">
        <v>48</v>
      </c>
      <c r="R8939" s="36" t="s">
        <v>48</v>
      </c>
    </row>
    <row r="8940">
      <c r="H8940" s="50"/>
      <c r="I8940" s="50"/>
      <c r="O8940" s="36" t="s">
        <v>48</v>
      </c>
      <c r="R8940" s="36" t="s">
        <v>48</v>
      </c>
    </row>
    <row r="8941">
      <c r="H8941" s="50"/>
      <c r="I8941" s="50"/>
      <c r="O8941" s="36" t="s">
        <v>48</v>
      </c>
      <c r="R8941" s="36" t="s">
        <v>48</v>
      </c>
    </row>
    <row r="8942">
      <c r="H8942" s="50"/>
      <c r="I8942" s="50"/>
      <c r="O8942" s="36" t="s">
        <v>48</v>
      </c>
      <c r="R8942" s="36" t="s">
        <v>48</v>
      </c>
    </row>
    <row r="8943">
      <c r="H8943" s="50"/>
      <c r="I8943" s="50"/>
      <c r="O8943" s="36" t="s">
        <v>48</v>
      </c>
      <c r="R8943" s="36" t="s">
        <v>48</v>
      </c>
    </row>
    <row r="8944">
      <c r="H8944" s="50"/>
      <c r="I8944" s="50"/>
      <c r="O8944" s="36" t="s">
        <v>48</v>
      </c>
      <c r="R8944" s="36" t="s">
        <v>48</v>
      </c>
    </row>
    <row r="8945">
      <c r="H8945" s="50"/>
      <c r="I8945" s="50"/>
      <c r="O8945" s="36" t="s">
        <v>48</v>
      </c>
      <c r="R8945" s="36" t="s">
        <v>48</v>
      </c>
    </row>
    <row r="8946">
      <c r="H8946" s="50"/>
      <c r="I8946" s="50"/>
      <c r="O8946" s="36" t="s">
        <v>48</v>
      </c>
      <c r="R8946" s="36" t="s">
        <v>48</v>
      </c>
    </row>
    <row r="8947">
      <c r="H8947" s="50"/>
      <c r="I8947" s="50"/>
      <c r="O8947" s="36" t="s">
        <v>48</v>
      </c>
      <c r="R8947" s="36" t="s">
        <v>48</v>
      </c>
    </row>
    <row r="8948">
      <c r="H8948" s="50"/>
      <c r="I8948" s="50"/>
      <c r="O8948" s="36" t="s">
        <v>48</v>
      </c>
      <c r="R8948" s="36" t="s">
        <v>48</v>
      </c>
    </row>
    <row r="8949">
      <c r="H8949" s="50"/>
      <c r="I8949" s="50"/>
      <c r="O8949" s="36" t="s">
        <v>48</v>
      </c>
      <c r="R8949" s="36" t="s">
        <v>48</v>
      </c>
    </row>
    <row r="8950">
      <c r="H8950" s="50"/>
      <c r="I8950" s="50"/>
      <c r="O8950" s="36" t="s">
        <v>48</v>
      </c>
      <c r="R8950" s="36" t="s">
        <v>48</v>
      </c>
    </row>
    <row r="8951">
      <c r="H8951" s="50"/>
      <c r="I8951" s="50"/>
      <c r="O8951" s="36" t="s">
        <v>48</v>
      </c>
      <c r="R8951" s="36" t="s">
        <v>48</v>
      </c>
    </row>
    <row r="8952">
      <c r="H8952" s="50"/>
      <c r="I8952" s="50"/>
      <c r="O8952" s="36" t="s">
        <v>48</v>
      </c>
      <c r="R8952" s="36" t="s">
        <v>48</v>
      </c>
    </row>
    <row r="8953">
      <c r="H8953" s="50"/>
      <c r="I8953" s="50"/>
      <c r="O8953" s="36" t="s">
        <v>48</v>
      </c>
      <c r="R8953" s="36" t="s">
        <v>48</v>
      </c>
    </row>
    <row r="8954">
      <c r="H8954" s="50"/>
      <c r="I8954" s="50"/>
      <c r="O8954" s="36" t="s">
        <v>48</v>
      </c>
      <c r="R8954" s="36" t="s">
        <v>48</v>
      </c>
    </row>
    <row r="8955">
      <c r="H8955" s="50"/>
      <c r="I8955" s="50"/>
      <c r="O8955" s="36" t="s">
        <v>48</v>
      </c>
      <c r="R8955" s="36" t="s">
        <v>48</v>
      </c>
    </row>
    <row r="8956">
      <c r="H8956" s="50"/>
      <c r="I8956" s="50"/>
      <c r="O8956" s="36" t="s">
        <v>48</v>
      </c>
      <c r="R8956" s="36" t="s">
        <v>48</v>
      </c>
    </row>
    <row r="8957">
      <c r="H8957" s="50"/>
      <c r="I8957" s="50"/>
      <c r="O8957" s="36" t="s">
        <v>48</v>
      </c>
      <c r="R8957" s="36" t="s">
        <v>48</v>
      </c>
    </row>
    <row r="8958">
      <c r="H8958" s="50"/>
      <c r="I8958" s="50"/>
      <c r="O8958" s="36" t="s">
        <v>48</v>
      </c>
      <c r="R8958" s="36" t="s">
        <v>48</v>
      </c>
    </row>
    <row r="8959">
      <c r="H8959" s="50"/>
      <c r="I8959" s="50"/>
      <c r="O8959" s="36" t="s">
        <v>48</v>
      </c>
      <c r="R8959" s="36" t="s">
        <v>48</v>
      </c>
    </row>
    <row r="8960">
      <c r="H8960" s="50"/>
      <c r="I8960" s="50"/>
      <c r="O8960" s="36" t="s">
        <v>48</v>
      </c>
      <c r="R8960" s="36" t="s">
        <v>48</v>
      </c>
    </row>
    <row r="8961">
      <c r="H8961" s="50"/>
      <c r="I8961" s="50"/>
      <c r="O8961" s="36" t="s">
        <v>48</v>
      </c>
      <c r="R8961" s="36" t="s">
        <v>48</v>
      </c>
    </row>
    <row r="8962">
      <c r="H8962" s="50"/>
      <c r="I8962" s="50"/>
      <c r="O8962" s="36" t="s">
        <v>48</v>
      </c>
      <c r="R8962" s="36" t="s">
        <v>48</v>
      </c>
    </row>
    <row r="8963">
      <c r="H8963" s="50"/>
      <c r="I8963" s="50"/>
      <c r="O8963" s="36" t="s">
        <v>48</v>
      </c>
      <c r="R8963" s="36" t="s">
        <v>48</v>
      </c>
    </row>
    <row r="8964">
      <c r="H8964" s="50"/>
      <c r="I8964" s="50"/>
      <c r="O8964" s="36" t="s">
        <v>48</v>
      </c>
      <c r="R8964" s="36" t="s">
        <v>48</v>
      </c>
    </row>
    <row r="8965">
      <c r="H8965" s="50"/>
      <c r="I8965" s="50"/>
      <c r="O8965" s="36" t="s">
        <v>48</v>
      </c>
      <c r="R8965" s="36" t="s">
        <v>48</v>
      </c>
    </row>
    <row r="8966">
      <c r="H8966" s="50"/>
      <c r="I8966" s="50"/>
      <c r="O8966" s="36" t="s">
        <v>48</v>
      </c>
      <c r="R8966" s="36" t="s">
        <v>48</v>
      </c>
    </row>
    <row r="8967">
      <c r="H8967" s="50"/>
      <c r="I8967" s="50"/>
      <c r="O8967" s="36" t="s">
        <v>48</v>
      </c>
      <c r="R8967" s="36" t="s">
        <v>48</v>
      </c>
    </row>
    <row r="8968">
      <c r="H8968" s="50"/>
      <c r="I8968" s="50"/>
      <c r="O8968" s="36" t="s">
        <v>48</v>
      </c>
      <c r="R8968" s="36" t="s">
        <v>48</v>
      </c>
    </row>
    <row r="8969">
      <c r="H8969" s="50"/>
      <c r="I8969" s="50"/>
      <c r="O8969" s="36" t="s">
        <v>48</v>
      </c>
      <c r="R8969" s="36" t="s">
        <v>48</v>
      </c>
    </row>
    <row r="8970">
      <c r="H8970" s="50"/>
      <c r="I8970" s="50"/>
      <c r="O8970" s="36" t="s">
        <v>48</v>
      </c>
      <c r="R8970" s="36" t="s">
        <v>48</v>
      </c>
    </row>
    <row r="8971">
      <c r="H8971" s="50"/>
      <c r="I8971" s="50"/>
      <c r="O8971" s="36" t="s">
        <v>48</v>
      </c>
      <c r="R8971" s="36" t="s">
        <v>48</v>
      </c>
    </row>
    <row r="8972">
      <c r="H8972" s="50"/>
      <c r="I8972" s="50"/>
      <c r="O8972" s="36" t="s">
        <v>48</v>
      </c>
      <c r="R8972" s="36" t="s">
        <v>48</v>
      </c>
    </row>
    <row r="8973">
      <c r="H8973" s="50"/>
      <c r="I8973" s="50"/>
      <c r="O8973" s="36" t="s">
        <v>48</v>
      </c>
      <c r="R8973" s="36" t="s">
        <v>48</v>
      </c>
    </row>
    <row r="8974">
      <c r="H8974" s="50"/>
      <c r="I8974" s="50"/>
      <c r="O8974" s="36" t="s">
        <v>48</v>
      </c>
      <c r="R8974" s="36" t="s">
        <v>48</v>
      </c>
    </row>
    <row r="8975">
      <c r="H8975" s="50"/>
      <c r="I8975" s="50"/>
      <c r="O8975" s="36" t="s">
        <v>48</v>
      </c>
      <c r="R8975" s="36" t="s">
        <v>48</v>
      </c>
    </row>
    <row r="8976">
      <c r="H8976" s="50"/>
      <c r="I8976" s="50"/>
      <c r="O8976" s="36" t="s">
        <v>48</v>
      </c>
      <c r="R8976" s="36" t="s">
        <v>48</v>
      </c>
    </row>
    <row r="8977">
      <c r="H8977" s="50"/>
      <c r="I8977" s="50"/>
      <c r="O8977" s="36" t="s">
        <v>48</v>
      </c>
      <c r="R8977" s="36" t="s">
        <v>48</v>
      </c>
    </row>
    <row r="8978">
      <c r="H8978" s="50"/>
      <c r="I8978" s="50"/>
      <c r="O8978" s="36" t="s">
        <v>48</v>
      </c>
      <c r="R8978" s="36" t="s">
        <v>48</v>
      </c>
    </row>
    <row r="8979">
      <c r="H8979" s="50"/>
      <c r="I8979" s="50"/>
      <c r="O8979" s="36" t="s">
        <v>48</v>
      </c>
      <c r="R8979" s="36" t="s">
        <v>48</v>
      </c>
    </row>
    <row r="8980">
      <c r="H8980" s="50"/>
      <c r="I8980" s="50"/>
      <c r="O8980" s="36" t="s">
        <v>48</v>
      </c>
      <c r="R8980" s="36" t="s">
        <v>48</v>
      </c>
    </row>
    <row r="8981">
      <c r="H8981" s="50"/>
      <c r="I8981" s="50"/>
      <c r="O8981" s="36" t="s">
        <v>48</v>
      </c>
      <c r="R8981" s="36" t="s">
        <v>48</v>
      </c>
    </row>
    <row r="8982">
      <c r="H8982" s="50"/>
      <c r="I8982" s="50"/>
      <c r="O8982" s="36" t="s">
        <v>48</v>
      </c>
      <c r="R8982" s="36" t="s">
        <v>48</v>
      </c>
    </row>
    <row r="8983">
      <c r="H8983" s="50"/>
      <c r="I8983" s="50"/>
      <c r="O8983" s="36" t="s">
        <v>48</v>
      </c>
      <c r="R8983" s="36" t="s">
        <v>48</v>
      </c>
    </row>
    <row r="8984">
      <c r="H8984" s="50"/>
      <c r="I8984" s="50"/>
      <c r="O8984" s="36" t="s">
        <v>48</v>
      </c>
      <c r="R8984" s="36" t="s">
        <v>48</v>
      </c>
    </row>
    <row r="8985">
      <c r="H8985" s="50"/>
      <c r="I8985" s="50"/>
      <c r="O8985" s="36" t="s">
        <v>48</v>
      </c>
      <c r="R8985" s="36" t="s">
        <v>48</v>
      </c>
    </row>
    <row r="8986">
      <c r="H8986" s="50"/>
      <c r="I8986" s="50"/>
      <c r="O8986" s="36" t="s">
        <v>48</v>
      </c>
      <c r="R8986" s="36" t="s">
        <v>48</v>
      </c>
    </row>
    <row r="8987">
      <c r="H8987" s="50"/>
      <c r="I8987" s="50"/>
      <c r="O8987" s="36" t="s">
        <v>48</v>
      </c>
      <c r="R8987" s="36" t="s">
        <v>48</v>
      </c>
    </row>
    <row r="8988">
      <c r="H8988" s="50"/>
      <c r="I8988" s="50"/>
      <c r="O8988" s="36" t="s">
        <v>48</v>
      </c>
      <c r="R8988" s="36" t="s">
        <v>48</v>
      </c>
    </row>
    <row r="8989">
      <c r="H8989" s="50"/>
      <c r="I8989" s="50"/>
      <c r="O8989" s="36" t="s">
        <v>48</v>
      </c>
      <c r="R8989" s="36" t="s">
        <v>48</v>
      </c>
    </row>
    <row r="8990">
      <c r="H8990" s="50"/>
      <c r="I8990" s="50"/>
      <c r="O8990" s="36" t="s">
        <v>48</v>
      </c>
      <c r="R8990" s="36" t="s">
        <v>48</v>
      </c>
    </row>
    <row r="8991">
      <c r="H8991" s="50"/>
      <c r="I8991" s="50"/>
      <c r="O8991" s="36" t="s">
        <v>48</v>
      </c>
      <c r="R8991" s="36" t="s">
        <v>48</v>
      </c>
    </row>
    <row r="8992">
      <c r="H8992" s="50"/>
      <c r="I8992" s="50"/>
      <c r="O8992" s="36" t="s">
        <v>48</v>
      </c>
      <c r="R8992" s="36" t="s">
        <v>48</v>
      </c>
    </row>
    <row r="8993">
      <c r="H8993" s="50"/>
      <c r="I8993" s="50"/>
      <c r="O8993" s="36" t="s">
        <v>48</v>
      </c>
      <c r="R8993" s="36" t="s">
        <v>48</v>
      </c>
    </row>
    <row r="8994">
      <c r="H8994" s="50"/>
      <c r="I8994" s="50"/>
      <c r="O8994" s="36" t="s">
        <v>48</v>
      </c>
      <c r="R8994" s="36" t="s">
        <v>48</v>
      </c>
    </row>
    <row r="8995">
      <c r="H8995" s="50"/>
      <c r="I8995" s="50"/>
      <c r="O8995" s="36" t="s">
        <v>48</v>
      </c>
      <c r="R8995" s="36" t="s">
        <v>48</v>
      </c>
    </row>
    <row r="8996">
      <c r="H8996" s="50"/>
      <c r="I8996" s="50"/>
      <c r="O8996" s="36" t="s">
        <v>48</v>
      </c>
      <c r="R8996" s="36" t="s">
        <v>48</v>
      </c>
    </row>
    <row r="8997">
      <c r="H8997" s="50"/>
      <c r="I8997" s="50"/>
      <c r="O8997" s="36" t="s">
        <v>48</v>
      </c>
      <c r="R8997" s="36" t="s">
        <v>48</v>
      </c>
    </row>
    <row r="8998">
      <c r="H8998" s="50"/>
      <c r="I8998" s="50"/>
      <c r="O8998" s="36" t="s">
        <v>48</v>
      </c>
      <c r="R8998" s="36" t="s">
        <v>48</v>
      </c>
    </row>
    <row r="8999">
      <c r="H8999" s="50"/>
      <c r="I8999" s="50"/>
      <c r="O8999" s="36" t="s">
        <v>48</v>
      </c>
      <c r="R8999" s="36" t="s">
        <v>48</v>
      </c>
    </row>
    <row r="9000">
      <c r="H9000" s="50"/>
      <c r="I9000" s="50"/>
      <c r="O9000" s="36" t="s">
        <v>48</v>
      </c>
      <c r="R9000" s="36" t="s">
        <v>48</v>
      </c>
    </row>
    <row r="9001">
      <c r="H9001" s="50"/>
      <c r="I9001" s="50"/>
      <c r="O9001" s="36" t="s">
        <v>48</v>
      </c>
      <c r="R9001" s="36" t="s">
        <v>48</v>
      </c>
    </row>
    <row r="9002">
      <c r="H9002" s="50"/>
      <c r="I9002" s="50"/>
      <c r="O9002" s="36" t="s">
        <v>48</v>
      </c>
      <c r="R9002" s="36" t="s">
        <v>48</v>
      </c>
    </row>
    <row r="9003">
      <c r="H9003" s="50"/>
      <c r="I9003" s="50"/>
      <c r="O9003" s="36" t="s">
        <v>48</v>
      </c>
      <c r="R9003" s="36" t="s">
        <v>48</v>
      </c>
    </row>
    <row r="9004">
      <c r="H9004" s="50"/>
      <c r="I9004" s="50"/>
      <c r="O9004" s="36" t="s">
        <v>48</v>
      </c>
      <c r="R9004" s="36" t="s">
        <v>48</v>
      </c>
    </row>
    <row r="9005">
      <c r="H9005" s="50"/>
      <c r="I9005" s="50"/>
      <c r="O9005" s="36" t="s">
        <v>48</v>
      </c>
      <c r="R9005" s="36" t="s">
        <v>48</v>
      </c>
    </row>
    <row r="9006">
      <c r="H9006" s="50"/>
      <c r="I9006" s="50"/>
      <c r="O9006" s="36" t="s">
        <v>48</v>
      </c>
      <c r="R9006" s="36" t="s">
        <v>48</v>
      </c>
    </row>
    <row r="9007">
      <c r="H9007" s="50"/>
      <c r="I9007" s="50"/>
      <c r="O9007" s="36" t="s">
        <v>48</v>
      </c>
      <c r="R9007" s="36" t="s">
        <v>48</v>
      </c>
    </row>
    <row r="9008">
      <c r="H9008" s="50"/>
      <c r="I9008" s="50"/>
      <c r="O9008" s="36" t="s">
        <v>48</v>
      </c>
      <c r="R9008" s="36" t="s">
        <v>48</v>
      </c>
    </row>
    <row r="9009">
      <c r="H9009" s="50"/>
      <c r="I9009" s="50"/>
      <c r="O9009" s="36" t="s">
        <v>48</v>
      </c>
      <c r="R9009" s="36" t="s">
        <v>48</v>
      </c>
    </row>
    <row r="9010">
      <c r="H9010" s="50"/>
      <c r="I9010" s="50"/>
      <c r="O9010" s="36" t="s">
        <v>48</v>
      </c>
      <c r="R9010" s="36" t="s">
        <v>48</v>
      </c>
    </row>
    <row r="9011">
      <c r="H9011" s="50"/>
      <c r="I9011" s="50"/>
      <c r="O9011" s="36" t="s">
        <v>48</v>
      </c>
      <c r="R9011" s="36" t="s">
        <v>48</v>
      </c>
    </row>
    <row r="9012">
      <c r="H9012" s="50"/>
      <c r="I9012" s="50"/>
      <c r="O9012" s="36" t="s">
        <v>48</v>
      </c>
      <c r="R9012" s="36" t="s">
        <v>48</v>
      </c>
    </row>
    <row r="9013">
      <c r="H9013" s="50"/>
      <c r="I9013" s="50"/>
      <c r="O9013" s="36" t="s">
        <v>48</v>
      </c>
      <c r="R9013" s="36" t="s">
        <v>48</v>
      </c>
    </row>
    <row r="9014">
      <c r="H9014" s="50"/>
      <c r="I9014" s="50"/>
      <c r="O9014" s="36" t="s">
        <v>48</v>
      </c>
      <c r="R9014" s="36" t="s">
        <v>48</v>
      </c>
    </row>
    <row r="9015">
      <c r="H9015" s="50"/>
      <c r="I9015" s="50"/>
      <c r="O9015" s="36" t="s">
        <v>48</v>
      </c>
      <c r="R9015" s="36" t="s">
        <v>48</v>
      </c>
    </row>
    <row r="9016">
      <c r="H9016" s="50"/>
      <c r="I9016" s="50"/>
      <c r="O9016" s="36" t="s">
        <v>48</v>
      </c>
      <c r="R9016" s="36" t="s">
        <v>48</v>
      </c>
    </row>
    <row r="9017">
      <c r="H9017" s="50"/>
      <c r="I9017" s="50"/>
      <c r="O9017" s="36" t="s">
        <v>48</v>
      </c>
      <c r="R9017" s="36" t="s">
        <v>48</v>
      </c>
    </row>
    <row r="9018">
      <c r="H9018" s="50"/>
      <c r="I9018" s="50"/>
      <c r="O9018" s="36" t="s">
        <v>48</v>
      </c>
      <c r="R9018" s="36" t="s">
        <v>48</v>
      </c>
    </row>
    <row r="9019">
      <c r="H9019" s="50"/>
      <c r="I9019" s="50"/>
      <c r="O9019" s="36" t="s">
        <v>48</v>
      </c>
      <c r="R9019" s="36" t="s">
        <v>48</v>
      </c>
    </row>
    <row r="9020">
      <c r="H9020" s="50"/>
      <c r="I9020" s="50"/>
      <c r="O9020" s="36" t="s">
        <v>48</v>
      </c>
      <c r="R9020" s="36" t="s">
        <v>48</v>
      </c>
    </row>
    <row r="9021">
      <c r="H9021" s="50"/>
      <c r="I9021" s="50"/>
      <c r="O9021" s="36" t="s">
        <v>48</v>
      </c>
      <c r="R9021" s="36" t="s">
        <v>48</v>
      </c>
    </row>
    <row r="9022">
      <c r="H9022" s="50"/>
      <c r="I9022" s="50"/>
      <c r="O9022" s="36" t="s">
        <v>48</v>
      </c>
      <c r="R9022" s="36" t="s">
        <v>48</v>
      </c>
    </row>
    <row r="9023">
      <c r="H9023" s="50"/>
      <c r="I9023" s="50"/>
      <c r="O9023" s="36" t="s">
        <v>48</v>
      </c>
      <c r="R9023" s="36" t="s">
        <v>48</v>
      </c>
    </row>
    <row r="9024">
      <c r="H9024" s="50"/>
      <c r="I9024" s="50"/>
      <c r="O9024" s="36" t="s">
        <v>48</v>
      </c>
      <c r="R9024" s="36" t="s">
        <v>48</v>
      </c>
    </row>
    <row r="9025">
      <c r="H9025" s="50"/>
      <c r="I9025" s="50"/>
      <c r="O9025" s="36" t="s">
        <v>48</v>
      </c>
      <c r="R9025" s="36" t="s">
        <v>48</v>
      </c>
    </row>
    <row r="9026">
      <c r="H9026" s="50"/>
      <c r="I9026" s="50"/>
      <c r="O9026" s="36" t="s">
        <v>48</v>
      </c>
      <c r="R9026" s="36" t="s">
        <v>48</v>
      </c>
    </row>
    <row r="9027">
      <c r="H9027" s="50"/>
      <c r="I9027" s="50"/>
      <c r="O9027" s="36" t="s">
        <v>48</v>
      </c>
      <c r="R9027" s="36" t="s">
        <v>48</v>
      </c>
    </row>
    <row r="9028">
      <c r="H9028" s="50"/>
      <c r="I9028" s="50"/>
      <c r="O9028" s="36" t="s">
        <v>48</v>
      </c>
      <c r="R9028" s="36" t="s">
        <v>48</v>
      </c>
    </row>
    <row r="9029">
      <c r="H9029" s="50"/>
      <c r="I9029" s="50"/>
      <c r="O9029" s="36" t="s">
        <v>48</v>
      </c>
      <c r="R9029" s="36" t="s">
        <v>48</v>
      </c>
    </row>
    <row r="9030">
      <c r="H9030" s="50"/>
      <c r="I9030" s="50"/>
      <c r="O9030" s="36" t="s">
        <v>48</v>
      </c>
      <c r="R9030" s="36" t="s">
        <v>48</v>
      </c>
    </row>
    <row r="9031">
      <c r="H9031" s="50"/>
      <c r="I9031" s="50"/>
      <c r="O9031" s="36" t="s">
        <v>48</v>
      </c>
      <c r="R9031" s="36" t="s">
        <v>48</v>
      </c>
    </row>
    <row r="9032">
      <c r="H9032" s="50"/>
      <c r="I9032" s="50"/>
      <c r="O9032" s="36" t="s">
        <v>48</v>
      </c>
      <c r="R9032" s="36" t="s">
        <v>48</v>
      </c>
    </row>
    <row r="9033">
      <c r="H9033" s="50"/>
      <c r="I9033" s="50"/>
      <c r="O9033" s="36" t="s">
        <v>48</v>
      </c>
      <c r="R9033" s="36" t="s">
        <v>48</v>
      </c>
    </row>
    <row r="9034">
      <c r="H9034" s="50"/>
      <c r="I9034" s="50"/>
      <c r="O9034" s="36" t="s">
        <v>48</v>
      </c>
      <c r="R9034" s="36" t="s">
        <v>48</v>
      </c>
    </row>
    <row r="9035">
      <c r="H9035" s="50"/>
      <c r="I9035" s="50"/>
      <c r="O9035" s="36" t="s">
        <v>48</v>
      </c>
      <c r="R9035" s="36" t="s">
        <v>48</v>
      </c>
    </row>
    <row r="9036">
      <c r="H9036" s="50"/>
      <c r="I9036" s="50"/>
      <c r="O9036" s="36" t="s">
        <v>48</v>
      </c>
      <c r="R9036" s="36" t="s">
        <v>48</v>
      </c>
    </row>
    <row r="9037">
      <c r="H9037" s="50"/>
      <c r="I9037" s="50"/>
      <c r="O9037" s="36" t="s">
        <v>48</v>
      </c>
      <c r="R9037" s="36" t="s">
        <v>48</v>
      </c>
    </row>
    <row r="9038">
      <c r="H9038" s="50"/>
      <c r="I9038" s="50"/>
      <c r="O9038" s="36" t="s">
        <v>48</v>
      </c>
      <c r="R9038" s="36" t="s">
        <v>48</v>
      </c>
    </row>
    <row r="9039">
      <c r="H9039" s="50"/>
      <c r="I9039" s="50"/>
      <c r="O9039" s="36" t="s">
        <v>48</v>
      </c>
      <c r="R9039" s="36" t="s">
        <v>48</v>
      </c>
    </row>
    <row r="9040">
      <c r="H9040" s="50"/>
      <c r="I9040" s="50"/>
      <c r="O9040" s="36" t="s">
        <v>48</v>
      </c>
      <c r="R9040" s="36" t="s">
        <v>48</v>
      </c>
    </row>
    <row r="9041">
      <c r="H9041" s="50"/>
      <c r="I9041" s="50"/>
      <c r="O9041" s="36" t="s">
        <v>48</v>
      </c>
      <c r="R9041" s="36" t="s">
        <v>48</v>
      </c>
    </row>
    <row r="9042">
      <c r="H9042" s="50"/>
      <c r="I9042" s="50"/>
      <c r="O9042" s="36" t="s">
        <v>48</v>
      </c>
      <c r="R9042" s="36" t="s">
        <v>48</v>
      </c>
    </row>
    <row r="9043">
      <c r="H9043" s="50"/>
      <c r="I9043" s="50"/>
      <c r="O9043" s="36" t="s">
        <v>48</v>
      </c>
      <c r="R9043" s="36" t="s">
        <v>48</v>
      </c>
    </row>
    <row r="9044">
      <c r="H9044" s="50"/>
      <c r="I9044" s="50"/>
      <c r="O9044" s="36" t="s">
        <v>48</v>
      </c>
      <c r="R9044" s="36" t="s">
        <v>48</v>
      </c>
    </row>
    <row r="9045">
      <c r="H9045" s="50"/>
      <c r="I9045" s="50"/>
      <c r="O9045" s="36" t="s">
        <v>48</v>
      </c>
      <c r="R9045" s="36" t="s">
        <v>48</v>
      </c>
    </row>
    <row r="9046">
      <c r="H9046" s="50"/>
      <c r="I9046" s="50"/>
      <c r="O9046" s="36" t="s">
        <v>48</v>
      </c>
      <c r="R9046" s="36" t="s">
        <v>48</v>
      </c>
    </row>
    <row r="9047">
      <c r="H9047" s="50"/>
      <c r="I9047" s="50"/>
      <c r="O9047" s="36" t="s">
        <v>48</v>
      </c>
      <c r="R9047" s="36" t="s">
        <v>48</v>
      </c>
    </row>
    <row r="9048">
      <c r="H9048" s="50"/>
      <c r="I9048" s="50"/>
      <c r="O9048" s="36" t="s">
        <v>48</v>
      </c>
      <c r="R9048" s="36" t="s">
        <v>48</v>
      </c>
    </row>
    <row r="9049">
      <c r="H9049" s="50"/>
      <c r="I9049" s="50"/>
      <c r="O9049" s="36" t="s">
        <v>48</v>
      </c>
      <c r="R9049" s="36" t="s">
        <v>48</v>
      </c>
    </row>
    <row r="9050">
      <c r="H9050" s="50"/>
      <c r="I9050" s="50"/>
      <c r="O9050" s="36" t="s">
        <v>48</v>
      </c>
      <c r="R9050" s="36" t="s">
        <v>48</v>
      </c>
    </row>
    <row r="9051">
      <c r="H9051" s="50"/>
      <c r="I9051" s="50"/>
      <c r="O9051" s="36" t="s">
        <v>48</v>
      </c>
      <c r="R9051" s="36" t="s">
        <v>48</v>
      </c>
    </row>
    <row r="9052">
      <c r="H9052" s="50"/>
      <c r="I9052" s="50"/>
      <c r="O9052" s="36" t="s">
        <v>48</v>
      </c>
      <c r="R9052" s="36" t="s">
        <v>48</v>
      </c>
    </row>
    <row r="9053">
      <c r="H9053" s="50"/>
      <c r="I9053" s="50"/>
      <c r="O9053" s="36" t="s">
        <v>48</v>
      </c>
      <c r="R9053" s="36" t="s">
        <v>48</v>
      </c>
    </row>
    <row r="9054">
      <c r="H9054" s="50"/>
      <c r="I9054" s="50"/>
      <c r="O9054" s="36" t="s">
        <v>48</v>
      </c>
      <c r="R9054" s="36" t="s">
        <v>48</v>
      </c>
    </row>
    <row r="9055">
      <c r="H9055" s="50"/>
      <c r="I9055" s="50"/>
      <c r="O9055" s="36" t="s">
        <v>48</v>
      </c>
      <c r="R9055" s="36" t="s">
        <v>48</v>
      </c>
    </row>
    <row r="9056">
      <c r="H9056" s="50"/>
      <c r="I9056" s="50"/>
      <c r="O9056" s="36" t="s">
        <v>48</v>
      </c>
      <c r="R9056" s="36" t="s">
        <v>48</v>
      </c>
    </row>
    <row r="9057">
      <c r="H9057" s="50"/>
      <c r="I9057" s="50"/>
      <c r="O9057" s="36" t="s">
        <v>48</v>
      </c>
      <c r="R9057" s="36" t="s">
        <v>48</v>
      </c>
    </row>
    <row r="9058">
      <c r="H9058" s="50"/>
      <c r="I9058" s="50"/>
      <c r="O9058" s="36" t="s">
        <v>48</v>
      </c>
      <c r="R9058" s="36" t="s">
        <v>48</v>
      </c>
    </row>
    <row r="9059">
      <c r="H9059" s="50"/>
      <c r="I9059" s="50"/>
      <c r="O9059" s="36" t="s">
        <v>48</v>
      </c>
      <c r="R9059" s="36" t="s">
        <v>48</v>
      </c>
    </row>
    <row r="9060">
      <c r="H9060" s="50"/>
      <c r="I9060" s="50"/>
      <c r="O9060" s="36" t="s">
        <v>48</v>
      </c>
      <c r="R9060" s="36" t="s">
        <v>48</v>
      </c>
    </row>
    <row r="9061">
      <c r="H9061" s="50"/>
      <c r="I9061" s="50"/>
      <c r="O9061" s="36" t="s">
        <v>48</v>
      </c>
      <c r="R9061" s="36" t="s">
        <v>48</v>
      </c>
    </row>
    <row r="9062">
      <c r="H9062" s="50"/>
      <c r="I9062" s="50"/>
      <c r="O9062" s="36" t="s">
        <v>48</v>
      </c>
      <c r="R9062" s="36" t="s">
        <v>48</v>
      </c>
    </row>
    <row r="9063">
      <c r="H9063" s="50"/>
      <c r="I9063" s="50"/>
      <c r="O9063" s="36" t="s">
        <v>48</v>
      </c>
      <c r="R9063" s="36" t="s">
        <v>48</v>
      </c>
    </row>
    <row r="9064">
      <c r="H9064" s="50"/>
      <c r="I9064" s="50"/>
      <c r="O9064" s="36" t="s">
        <v>48</v>
      </c>
      <c r="R9064" s="36" t="s">
        <v>48</v>
      </c>
    </row>
    <row r="9065">
      <c r="H9065" s="50"/>
      <c r="I9065" s="50"/>
      <c r="O9065" s="36" t="s">
        <v>48</v>
      </c>
      <c r="R9065" s="36" t="s">
        <v>48</v>
      </c>
    </row>
    <row r="9066">
      <c r="H9066" s="50"/>
      <c r="I9066" s="50"/>
      <c r="O9066" s="36" t="s">
        <v>48</v>
      </c>
      <c r="R9066" s="36" t="s">
        <v>48</v>
      </c>
    </row>
    <row r="9067">
      <c r="H9067" s="50"/>
      <c r="I9067" s="50"/>
      <c r="O9067" s="36" t="s">
        <v>48</v>
      </c>
      <c r="R9067" s="36" t="s">
        <v>48</v>
      </c>
    </row>
    <row r="9068">
      <c r="H9068" s="50"/>
      <c r="I9068" s="50"/>
      <c r="O9068" s="36" t="s">
        <v>48</v>
      </c>
      <c r="R9068" s="36" t="s">
        <v>48</v>
      </c>
    </row>
    <row r="9069">
      <c r="H9069" s="50"/>
      <c r="I9069" s="50"/>
      <c r="O9069" s="36" t="s">
        <v>48</v>
      </c>
      <c r="R9069" s="36" t="s">
        <v>48</v>
      </c>
    </row>
    <row r="9070">
      <c r="H9070" s="50"/>
      <c r="I9070" s="50"/>
      <c r="O9070" s="36" t="s">
        <v>48</v>
      </c>
      <c r="R9070" s="36" t="s">
        <v>48</v>
      </c>
    </row>
    <row r="9071">
      <c r="H9071" s="50"/>
      <c r="I9071" s="50"/>
      <c r="O9071" s="36" t="s">
        <v>48</v>
      </c>
      <c r="R9071" s="36" t="s">
        <v>48</v>
      </c>
    </row>
    <row r="9072">
      <c r="H9072" s="50"/>
      <c r="I9072" s="50"/>
      <c r="O9072" s="36" t="s">
        <v>48</v>
      </c>
      <c r="R9072" s="36" t="s">
        <v>48</v>
      </c>
    </row>
    <row r="9073">
      <c r="H9073" s="50"/>
      <c r="I9073" s="50"/>
      <c r="O9073" s="36" t="s">
        <v>48</v>
      </c>
      <c r="R9073" s="36" t="s">
        <v>48</v>
      </c>
    </row>
    <row r="9074">
      <c r="H9074" s="50"/>
      <c r="I9074" s="50"/>
      <c r="O9074" s="36" t="s">
        <v>48</v>
      </c>
      <c r="R9074" s="36" t="s">
        <v>48</v>
      </c>
    </row>
    <row r="9075">
      <c r="H9075" s="50"/>
      <c r="I9075" s="50"/>
      <c r="O9075" s="36" t="s">
        <v>48</v>
      </c>
      <c r="R9075" s="36" t="s">
        <v>48</v>
      </c>
    </row>
    <row r="9076">
      <c r="H9076" s="50"/>
      <c r="I9076" s="50"/>
      <c r="O9076" s="36" t="s">
        <v>48</v>
      </c>
      <c r="R9076" s="36" t="s">
        <v>48</v>
      </c>
    </row>
    <row r="9077">
      <c r="H9077" s="50"/>
      <c r="I9077" s="50"/>
      <c r="O9077" s="36" t="s">
        <v>48</v>
      </c>
      <c r="R9077" s="36" t="s">
        <v>48</v>
      </c>
    </row>
    <row r="9078">
      <c r="H9078" s="50"/>
      <c r="I9078" s="50"/>
      <c r="O9078" s="36" t="s">
        <v>48</v>
      </c>
      <c r="R9078" s="36" t="s">
        <v>48</v>
      </c>
    </row>
    <row r="9079">
      <c r="H9079" s="50"/>
      <c r="I9079" s="50"/>
      <c r="O9079" s="36" t="s">
        <v>48</v>
      </c>
      <c r="R9079" s="36" t="s">
        <v>48</v>
      </c>
    </row>
    <row r="9080">
      <c r="H9080" s="50"/>
      <c r="I9080" s="50"/>
      <c r="O9080" s="36" t="s">
        <v>48</v>
      </c>
      <c r="R9080" s="36" t="s">
        <v>48</v>
      </c>
    </row>
    <row r="9081">
      <c r="H9081" s="50"/>
      <c r="I9081" s="50"/>
      <c r="O9081" s="36" t="s">
        <v>48</v>
      </c>
      <c r="R9081" s="36" t="s">
        <v>48</v>
      </c>
    </row>
    <row r="9082">
      <c r="H9082" s="50"/>
      <c r="I9082" s="50"/>
      <c r="O9082" s="36" t="s">
        <v>48</v>
      </c>
      <c r="R9082" s="36" t="s">
        <v>48</v>
      </c>
    </row>
    <row r="9083">
      <c r="H9083" s="50"/>
      <c r="I9083" s="50"/>
      <c r="O9083" s="36" t="s">
        <v>48</v>
      </c>
      <c r="R9083" s="36" t="s">
        <v>48</v>
      </c>
    </row>
    <row r="9084">
      <c r="H9084" s="50"/>
      <c r="I9084" s="50"/>
      <c r="O9084" s="36" t="s">
        <v>48</v>
      </c>
      <c r="R9084" s="36" t="s">
        <v>48</v>
      </c>
    </row>
    <row r="9085">
      <c r="H9085" s="50"/>
      <c r="I9085" s="50"/>
      <c r="O9085" s="36" t="s">
        <v>48</v>
      </c>
      <c r="R9085" s="36" t="s">
        <v>48</v>
      </c>
    </row>
    <row r="9086">
      <c r="H9086" s="50"/>
      <c r="I9086" s="50"/>
      <c r="O9086" s="36" t="s">
        <v>48</v>
      </c>
      <c r="R9086" s="36" t="s">
        <v>48</v>
      </c>
    </row>
    <row r="9087">
      <c r="H9087" s="50"/>
      <c r="I9087" s="50"/>
      <c r="O9087" s="36" t="s">
        <v>48</v>
      </c>
      <c r="R9087" s="36" t="s">
        <v>48</v>
      </c>
    </row>
    <row r="9088">
      <c r="H9088" s="50"/>
      <c r="I9088" s="50"/>
      <c r="O9088" s="36" t="s">
        <v>48</v>
      </c>
      <c r="R9088" s="36" t="s">
        <v>48</v>
      </c>
    </row>
    <row r="9089">
      <c r="H9089" s="50"/>
      <c r="I9089" s="50"/>
      <c r="O9089" s="36" t="s">
        <v>48</v>
      </c>
      <c r="R9089" s="36" t="s">
        <v>48</v>
      </c>
    </row>
    <row r="9090">
      <c r="H9090" s="50"/>
      <c r="I9090" s="50"/>
      <c r="O9090" s="36" t="s">
        <v>48</v>
      </c>
      <c r="R9090" s="36" t="s">
        <v>48</v>
      </c>
    </row>
    <row r="9091">
      <c r="H9091" s="50"/>
      <c r="I9091" s="50"/>
      <c r="O9091" s="36" t="s">
        <v>48</v>
      </c>
      <c r="R9091" s="36" t="s">
        <v>48</v>
      </c>
    </row>
    <row r="9092">
      <c r="H9092" s="50"/>
      <c r="I9092" s="50"/>
      <c r="O9092" s="36" t="s">
        <v>48</v>
      </c>
      <c r="R9092" s="36" t="s">
        <v>48</v>
      </c>
    </row>
    <row r="9093">
      <c r="H9093" s="50"/>
      <c r="I9093" s="50"/>
      <c r="O9093" s="36" t="s">
        <v>48</v>
      </c>
      <c r="R9093" s="36" t="s">
        <v>48</v>
      </c>
    </row>
    <row r="9094">
      <c r="H9094" s="50"/>
      <c r="I9094" s="50"/>
      <c r="O9094" s="36" t="s">
        <v>48</v>
      </c>
      <c r="R9094" s="36" t="s">
        <v>48</v>
      </c>
    </row>
    <row r="9095">
      <c r="H9095" s="50"/>
      <c r="I9095" s="50"/>
      <c r="O9095" s="36" t="s">
        <v>48</v>
      </c>
      <c r="R9095" s="36" t="s">
        <v>48</v>
      </c>
    </row>
    <row r="9096">
      <c r="H9096" s="50"/>
      <c r="I9096" s="50"/>
      <c r="O9096" s="36" t="s">
        <v>48</v>
      </c>
      <c r="R9096" s="36" t="s">
        <v>48</v>
      </c>
    </row>
    <row r="9097">
      <c r="H9097" s="50"/>
      <c r="I9097" s="50"/>
      <c r="O9097" s="36" t="s">
        <v>48</v>
      </c>
      <c r="R9097" s="36" t="s">
        <v>48</v>
      </c>
    </row>
    <row r="9098">
      <c r="H9098" s="50"/>
      <c r="I9098" s="50"/>
      <c r="O9098" s="36" t="s">
        <v>48</v>
      </c>
      <c r="R9098" s="36" t="s">
        <v>48</v>
      </c>
    </row>
    <row r="9099">
      <c r="H9099" s="50"/>
      <c r="I9099" s="50"/>
      <c r="O9099" s="36" t="s">
        <v>48</v>
      </c>
      <c r="R9099" s="36" t="s">
        <v>48</v>
      </c>
    </row>
    <row r="9100">
      <c r="H9100" s="50"/>
      <c r="I9100" s="50"/>
      <c r="O9100" s="36" t="s">
        <v>48</v>
      </c>
      <c r="R9100" s="36" t="s">
        <v>48</v>
      </c>
    </row>
    <row r="9101">
      <c r="H9101" s="50"/>
      <c r="I9101" s="50"/>
      <c r="O9101" s="36" t="s">
        <v>48</v>
      </c>
      <c r="R9101" s="36" t="s">
        <v>48</v>
      </c>
    </row>
    <row r="9102">
      <c r="H9102" s="50"/>
      <c r="I9102" s="50"/>
      <c r="O9102" s="36" t="s">
        <v>48</v>
      </c>
      <c r="R9102" s="36" t="s">
        <v>48</v>
      </c>
    </row>
    <row r="9103">
      <c r="H9103" s="50"/>
      <c r="I9103" s="50"/>
      <c r="O9103" s="36" t="s">
        <v>48</v>
      </c>
      <c r="R9103" s="36" t="s">
        <v>48</v>
      </c>
    </row>
    <row r="9104">
      <c r="H9104" s="50"/>
      <c r="I9104" s="50"/>
      <c r="O9104" s="36" t="s">
        <v>48</v>
      </c>
      <c r="R9104" s="36" t="s">
        <v>48</v>
      </c>
    </row>
    <row r="9105">
      <c r="H9105" s="50"/>
      <c r="I9105" s="50"/>
      <c r="O9105" s="36" t="s">
        <v>48</v>
      </c>
      <c r="R9105" s="36" t="s">
        <v>48</v>
      </c>
    </row>
    <row r="9106">
      <c r="H9106" s="50"/>
      <c r="I9106" s="50"/>
      <c r="O9106" s="36" t="s">
        <v>48</v>
      </c>
      <c r="R9106" s="36" t="s">
        <v>48</v>
      </c>
    </row>
    <row r="9107">
      <c r="H9107" s="50"/>
      <c r="I9107" s="50"/>
      <c r="O9107" s="36" t="s">
        <v>48</v>
      </c>
      <c r="R9107" s="36" t="s">
        <v>48</v>
      </c>
    </row>
    <row r="9108">
      <c r="H9108" s="50"/>
      <c r="I9108" s="50"/>
      <c r="O9108" s="36" t="s">
        <v>48</v>
      </c>
      <c r="R9108" s="36" t="s">
        <v>48</v>
      </c>
    </row>
    <row r="9109">
      <c r="H9109" s="50"/>
      <c r="I9109" s="50"/>
      <c r="O9109" s="36" t="s">
        <v>48</v>
      </c>
      <c r="R9109" s="36" t="s">
        <v>48</v>
      </c>
    </row>
    <row r="9110">
      <c r="H9110" s="50"/>
      <c r="I9110" s="50"/>
      <c r="O9110" s="36" t="s">
        <v>48</v>
      </c>
      <c r="R9110" s="36" t="s">
        <v>48</v>
      </c>
    </row>
    <row r="9111">
      <c r="H9111" s="50"/>
      <c r="I9111" s="50"/>
      <c r="O9111" s="36" t="s">
        <v>48</v>
      </c>
      <c r="R9111" s="36" t="s">
        <v>48</v>
      </c>
    </row>
    <row r="9112">
      <c r="H9112" s="50"/>
      <c r="I9112" s="50"/>
      <c r="O9112" s="36" t="s">
        <v>48</v>
      </c>
      <c r="R9112" s="36" t="s">
        <v>48</v>
      </c>
    </row>
    <row r="9113">
      <c r="H9113" s="50"/>
      <c r="I9113" s="50"/>
      <c r="O9113" s="36" t="s">
        <v>48</v>
      </c>
      <c r="R9113" s="36" t="s">
        <v>48</v>
      </c>
    </row>
    <row r="9114">
      <c r="H9114" s="50"/>
      <c r="I9114" s="50"/>
      <c r="O9114" s="36" t="s">
        <v>48</v>
      </c>
      <c r="R9114" s="36" t="s">
        <v>48</v>
      </c>
    </row>
    <row r="9115">
      <c r="H9115" s="50"/>
      <c r="I9115" s="50"/>
      <c r="O9115" s="36" t="s">
        <v>48</v>
      </c>
      <c r="R9115" s="36" t="s">
        <v>48</v>
      </c>
    </row>
    <row r="9116">
      <c r="H9116" s="50"/>
      <c r="I9116" s="50"/>
      <c r="O9116" s="36" t="s">
        <v>48</v>
      </c>
      <c r="R9116" s="36" t="s">
        <v>48</v>
      </c>
    </row>
    <row r="9117">
      <c r="H9117" s="50"/>
      <c r="I9117" s="50"/>
      <c r="O9117" s="36" t="s">
        <v>48</v>
      </c>
      <c r="R9117" s="36" t="s">
        <v>48</v>
      </c>
    </row>
    <row r="9118">
      <c r="H9118" s="50"/>
      <c r="I9118" s="50"/>
      <c r="O9118" s="36" t="s">
        <v>48</v>
      </c>
      <c r="R9118" s="36" t="s">
        <v>48</v>
      </c>
    </row>
    <row r="9119">
      <c r="H9119" s="50"/>
      <c r="I9119" s="50"/>
      <c r="O9119" s="36" t="s">
        <v>48</v>
      </c>
      <c r="R9119" s="36" t="s">
        <v>48</v>
      </c>
    </row>
    <row r="9120">
      <c r="H9120" s="50"/>
      <c r="I9120" s="50"/>
      <c r="O9120" s="36" t="s">
        <v>48</v>
      </c>
      <c r="R9120" s="36" t="s">
        <v>48</v>
      </c>
    </row>
    <row r="9121">
      <c r="H9121" s="50"/>
      <c r="I9121" s="50"/>
      <c r="O9121" s="36" t="s">
        <v>48</v>
      </c>
      <c r="R9121" s="36" t="s">
        <v>48</v>
      </c>
    </row>
    <row r="9122">
      <c r="H9122" s="50"/>
      <c r="I9122" s="50"/>
      <c r="O9122" s="36" t="s">
        <v>48</v>
      </c>
      <c r="R9122" s="36" t="s">
        <v>48</v>
      </c>
    </row>
    <row r="9123">
      <c r="H9123" s="50"/>
      <c r="I9123" s="50"/>
      <c r="O9123" s="36" t="s">
        <v>48</v>
      </c>
      <c r="R9123" s="36" t="s">
        <v>48</v>
      </c>
    </row>
    <row r="9124">
      <c r="H9124" s="50"/>
      <c r="I9124" s="50"/>
      <c r="O9124" s="36" t="s">
        <v>48</v>
      </c>
      <c r="R9124" s="36" t="s">
        <v>48</v>
      </c>
    </row>
    <row r="9125">
      <c r="H9125" s="50"/>
      <c r="I9125" s="50"/>
      <c r="O9125" s="36" t="s">
        <v>48</v>
      </c>
      <c r="R9125" s="36" t="s">
        <v>48</v>
      </c>
    </row>
    <row r="9126">
      <c r="H9126" s="50"/>
      <c r="I9126" s="50"/>
      <c r="O9126" s="36" t="s">
        <v>48</v>
      </c>
      <c r="R9126" s="36" t="s">
        <v>48</v>
      </c>
    </row>
    <row r="9127">
      <c r="H9127" s="50"/>
      <c r="I9127" s="50"/>
      <c r="O9127" s="36" t="s">
        <v>48</v>
      </c>
      <c r="R9127" s="36" t="s">
        <v>48</v>
      </c>
    </row>
    <row r="9128">
      <c r="H9128" s="50"/>
      <c r="I9128" s="50"/>
      <c r="O9128" s="36" t="s">
        <v>48</v>
      </c>
      <c r="R9128" s="36" t="s">
        <v>48</v>
      </c>
    </row>
    <row r="9129">
      <c r="H9129" s="50"/>
      <c r="I9129" s="50"/>
      <c r="O9129" s="36" t="s">
        <v>48</v>
      </c>
      <c r="R9129" s="36" t="s">
        <v>48</v>
      </c>
    </row>
    <row r="9130">
      <c r="H9130" s="50"/>
      <c r="I9130" s="50"/>
      <c r="O9130" s="36" t="s">
        <v>48</v>
      </c>
      <c r="R9130" s="36" t="s">
        <v>48</v>
      </c>
    </row>
    <row r="9131">
      <c r="H9131" s="50"/>
      <c r="I9131" s="50"/>
      <c r="O9131" s="36" t="s">
        <v>48</v>
      </c>
      <c r="R9131" s="36" t="s">
        <v>48</v>
      </c>
    </row>
    <row r="9132">
      <c r="H9132" s="50"/>
      <c r="I9132" s="50"/>
      <c r="O9132" s="36" t="s">
        <v>48</v>
      </c>
      <c r="R9132" s="36" t="s">
        <v>48</v>
      </c>
    </row>
    <row r="9133">
      <c r="H9133" s="50"/>
      <c r="I9133" s="50"/>
      <c r="O9133" s="36" t="s">
        <v>48</v>
      </c>
      <c r="R9133" s="36" t="s">
        <v>48</v>
      </c>
    </row>
    <row r="9134">
      <c r="H9134" s="50"/>
      <c r="I9134" s="50"/>
      <c r="O9134" s="36" t="s">
        <v>48</v>
      </c>
      <c r="R9134" s="36" t="s">
        <v>48</v>
      </c>
    </row>
    <row r="9135">
      <c r="H9135" s="50"/>
      <c r="I9135" s="50"/>
      <c r="O9135" s="36" t="s">
        <v>48</v>
      </c>
      <c r="R9135" s="36" t="s">
        <v>48</v>
      </c>
    </row>
    <row r="9136">
      <c r="H9136" s="50"/>
      <c r="I9136" s="50"/>
      <c r="O9136" s="36" t="s">
        <v>48</v>
      </c>
      <c r="R9136" s="36" t="s">
        <v>48</v>
      </c>
    </row>
    <row r="9137">
      <c r="H9137" s="50"/>
      <c r="I9137" s="50"/>
      <c r="O9137" s="36" t="s">
        <v>48</v>
      </c>
      <c r="R9137" s="36" t="s">
        <v>48</v>
      </c>
    </row>
    <row r="9138">
      <c r="H9138" s="50"/>
      <c r="I9138" s="50"/>
      <c r="O9138" s="36" t="s">
        <v>48</v>
      </c>
      <c r="R9138" s="36" t="s">
        <v>48</v>
      </c>
    </row>
    <row r="9139">
      <c r="H9139" s="50"/>
      <c r="I9139" s="50"/>
      <c r="O9139" s="36" t="s">
        <v>48</v>
      </c>
      <c r="R9139" s="36" t="s">
        <v>48</v>
      </c>
    </row>
    <row r="9140">
      <c r="H9140" s="50"/>
      <c r="I9140" s="50"/>
      <c r="O9140" s="36" t="s">
        <v>48</v>
      </c>
      <c r="R9140" s="36" t="s">
        <v>48</v>
      </c>
    </row>
    <row r="9141">
      <c r="H9141" s="50"/>
      <c r="I9141" s="50"/>
      <c r="O9141" s="36" t="s">
        <v>48</v>
      </c>
      <c r="R9141" s="36" t="s">
        <v>48</v>
      </c>
    </row>
    <row r="9142">
      <c r="H9142" s="50"/>
      <c r="I9142" s="50"/>
      <c r="O9142" s="36" t="s">
        <v>48</v>
      </c>
      <c r="R9142" s="36" t="s">
        <v>48</v>
      </c>
    </row>
    <row r="9143">
      <c r="H9143" s="50"/>
      <c r="I9143" s="50"/>
      <c r="O9143" s="36" t="s">
        <v>48</v>
      </c>
      <c r="R9143" s="36" t="s">
        <v>48</v>
      </c>
    </row>
    <row r="9144">
      <c r="H9144" s="50"/>
      <c r="I9144" s="50"/>
      <c r="O9144" s="36" t="s">
        <v>48</v>
      </c>
      <c r="R9144" s="36" t="s">
        <v>48</v>
      </c>
    </row>
    <row r="9145">
      <c r="H9145" s="50"/>
      <c r="I9145" s="50"/>
      <c r="O9145" s="36" t="s">
        <v>48</v>
      </c>
      <c r="R9145" s="36" t="s">
        <v>48</v>
      </c>
    </row>
    <row r="9146">
      <c r="H9146" s="50"/>
      <c r="I9146" s="50"/>
      <c r="O9146" s="36" t="s">
        <v>48</v>
      </c>
      <c r="R9146" s="36" t="s">
        <v>48</v>
      </c>
    </row>
    <row r="9147">
      <c r="H9147" s="50"/>
      <c r="I9147" s="50"/>
      <c r="O9147" s="36" t="s">
        <v>48</v>
      </c>
      <c r="R9147" s="36" t="s">
        <v>48</v>
      </c>
    </row>
    <row r="9148">
      <c r="H9148" s="50"/>
      <c r="I9148" s="50"/>
      <c r="O9148" s="36" t="s">
        <v>48</v>
      </c>
      <c r="R9148" s="36" t="s">
        <v>48</v>
      </c>
    </row>
    <row r="9149">
      <c r="H9149" s="50"/>
      <c r="I9149" s="50"/>
      <c r="O9149" s="36" t="s">
        <v>48</v>
      </c>
      <c r="R9149" s="36" t="s">
        <v>48</v>
      </c>
    </row>
    <row r="9150">
      <c r="H9150" s="50"/>
      <c r="I9150" s="50"/>
      <c r="O9150" s="36" t="s">
        <v>48</v>
      </c>
      <c r="R9150" s="36" t="s">
        <v>48</v>
      </c>
    </row>
    <row r="9151">
      <c r="H9151" s="50"/>
      <c r="I9151" s="50"/>
      <c r="O9151" s="36" t="s">
        <v>48</v>
      </c>
      <c r="R9151" s="36" t="s">
        <v>48</v>
      </c>
    </row>
    <row r="9152">
      <c r="H9152" s="50"/>
      <c r="I9152" s="50"/>
      <c r="O9152" s="36" t="s">
        <v>48</v>
      </c>
      <c r="R9152" s="36" t="s">
        <v>48</v>
      </c>
    </row>
    <row r="9153">
      <c r="H9153" s="50"/>
      <c r="I9153" s="50"/>
      <c r="O9153" s="36" t="s">
        <v>48</v>
      </c>
      <c r="R9153" s="36" t="s">
        <v>48</v>
      </c>
    </row>
    <row r="9154">
      <c r="H9154" s="50"/>
      <c r="I9154" s="50"/>
      <c r="O9154" s="36" t="s">
        <v>48</v>
      </c>
      <c r="R9154" s="36" t="s">
        <v>48</v>
      </c>
    </row>
    <row r="9155">
      <c r="H9155" s="50"/>
      <c r="I9155" s="50"/>
      <c r="O9155" s="36" t="s">
        <v>48</v>
      </c>
      <c r="R9155" s="36" t="s">
        <v>48</v>
      </c>
    </row>
    <row r="9156">
      <c r="H9156" s="50"/>
      <c r="I9156" s="50"/>
      <c r="O9156" s="36" t="s">
        <v>48</v>
      </c>
      <c r="R9156" s="36" t="s">
        <v>48</v>
      </c>
    </row>
    <row r="9157">
      <c r="H9157" s="50"/>
      <c r="I9157" s="50"/>
      <c r="O9157" s="36" t="s">
        <v>48</v>
      </c>
      <c r="R9157" s="36" t="s">
        <v>48</v>
      </c>
    </row>
    <row r="9158">
      <c r="H9158" s="50"/>
      <c r="I9158" s="50"/>
      <c r="O9158" s="36" t="s">
        <v>48</v>
      </c>
      <c r="R9158" s="36" t="s">
        <v>48</v>
      </c>
    </row>
    <row r="9159">
      <c r="H9159" s="50"/>
      <c r="I9159" s="50"/>
      <c r="O9159" s="36" t="s">
        <v>48</v>
      </c>
      <c r="R9159" s="36" t="s">
        <v>48</v>
      </c>
    </row>
    <row r="9160">
      <c r="H9160" s="50"/>
      <c r="I9160" s="50"/>
      <c r="O9160" s="36" t="s">
        <v>48</v>
      </c>
      <c r="R9160" s="36" t="s">
        <v>48</v>
      </c>
    </row>
    <row r="9161">
      <c r="H9161" s="50"/>
      <c r="I9161" s="50"/>
      <c r="O9161" s="36" t="s">
        <v>48</v>
      </c>
      <c r="R9161" s="36" t="s">
        <v>48</v>
      </c>
    </row>
    <row r="9162">
      <c r="H9162" s="50"/>
      <c r="I9162" s="50"/>
      <c r="O9162" s="36" t="s">
        <v>48</v>
      </c>
      <c r="R9162" s="36" t="s">
        <v>48</v>
      </c>
    </row>
    <row r="9163">
      <c r="H9163" s="50"/>
      <c r="I9163" s="50"/>
      <c r="O9163" s="36" t="s">
        <v>48</v>
      </c>
      <c r="R9163" s="36" t="s">
        <v>48</v>
      </c>
    </row>
    <row r="9164">
      <c r="H9164" s="50"/>
      <c r="I9164" s="50"/>
      <c r="O9164" s="36" t="s">
        <v>48</v>
      </c>
      <c r="R9164" s="36" t="s">
        <v>48</v>
      </c>
    </row>
    <row r="9165">
      <c r="H9165" s="50"/>
      <c r="I9165" s="50"/>
      <c r="O9165" s="36" t="s">
        <v>48</v>
      </c>
      <c r="R9165" s="36" t="s">
        <v>48</v>
      </c>
    </row>
    <row r="9166">
      <c r="H9166" s="50"/>
      <c r="I9166" s="50"/>
      <c r="O9166" s="36" t="s">
        <v>48</v>
      </c>
      <c r="R9166" s="36" t="s">
        <v>48</v>
      </c>
    </row>
    <row r="9167">
      <c r="H9167" s="50"/>
      <c r="I9167" s="50"/>
      <c r="O9167" s="36" t="s">
        <v>48</v>
      </c>
      <c r="R9167" s="36" t="s">
        <v>48</v>
      </c>
    </row>
    <row r="9168">
      <c r="H9168" s="50"/>
      <c r="I9168" s="50"/>
      <c r="O9168" s="36" t="s">
        <v>48</v>
      </c>
      <c r="R9168" s="36" t="s">
        <v>48</v>
      </c>
    </row>
    <row r="9169">
      <c r="H9169" s="50"/>
      <c r="I9169" s="50"/>
      <c r="O9169" s="36" t="s">
        <v>48</v>
      </c>
      <c r="R9169" s="36" t="s">
        <v>48</v>
      </c>
    </row>
    <row r="9170">
      <c r="H9170" s="50"/>
      <c r="I9170" s="50"/>
      <c r="O9170" s="36" t="s">
        <v>48</v>
      </c>
      <c r="R9170" s="36" t="s">
        <v>48</v>
      </c>
    </row>
    <row r="9171">
      <c r="H9171" s="50"/>
      <c r="I9171" s="50"/>
      <c r="O9171" s="36" t="s">
        <v>48</v>
      </c>
      <c r="R9171" s="36" t="s">
        <v>48</v>
      </c>
    </row>
    <row r="9172">
      <c r="H9172" s="50"/>
      <c r="I9172" s="50"/>
      <c r="O9172" s="36" t="s">
        <v>48</v>
      </c>
      <c r="R9172" s="36" t="s">
        <v>48</v>
      </c>
    </row>
    <row r="9173">
      <c r="H9173" s="50"/>
      <c r="I9173" s="50"/>
      <c r="O9173" s="36" t="s">
        <v>48</v>
      </c>
      <c r="R9173" s="36" t="s">
        <v>48</v>
      </c>
    </row>
    <row r="9174">
      <c r="H9174" s="50"/>
      <c r="I9174" s="50"/>
      <c r="O9174" s="36" t="s">
        <v>48</v>
      </c>
      <c r="R9174" s="36" t="s">
        <v>48</v>
      </c>
    </row>
    <row r="9175">
      <c r="H9175" s="50"/>
      <c r="I9175" s="50"/>
      <c r="O9175" s="36" t="s">
        <v>48</v>
      </c>
      <c r="R9175" s="36" t="s">
        <v>48</v>
      </c>
    </row>
    <row r="9176">
      <c r="H9176" s="50"/>
      <c r="I9176" s="50"/>
      <c r="O9176" s="36" t="s">
        <v>48</v>
      </c>
      <c r="R9176" s="36" t="s">
        <v>48</v>
      </c>
    </row>
    <row r="9177">
      <c r="H9177" s="50"/>
      <c r="I9177" s="50"/>
      <c r="O9177" s="36" t="s">
        <v>48</v>
      </c>
      <c r="R9177" s="36" t="s">
        <v>48</v>
      </c>
    </row>
    <row r="9178">
      <c r="H9178" s="50"/>
      <c r="I9178" s="50"/>
      <c r="O9178" s="36" t="s">
        <v>48</v>
      </c>
      <c r="R9178" s="36" t="s">
        <v>48</v>
      </c>
    </row>
    <row r="9179">
      <c r="H9179" s="50"/>
      <c r="I9179" s="50"/>
      <c r="O9179" s="36" t="s">
        <v>48</v>
      </c>
      <c r="R9179" s="36" t="s">
        <v>48</v>
      </c>
    </row>
    <row r="9180">
      <c r="H9180" s="50"/>
      <c r="I9180" s="50"/>
      <c r="O9180" s="36" t="s">
        <v>48</v>
      </c>
      <c r="R9180" s="36" t="s">
        <v>48</v>
      </c>
    </row>
    <row r="9181">
      <c r="H9181" s="50"/>
      <c r="I9181" s="50"/>
      <c r="O9181" s="36" t="s">
        <v>48</v>
      </c>
      <c r="R9181" s="36" t="s">
        <v>48</v>
      </c>
    </row>
    <row r="9182">
      <c r="H9182" s="50"/>
      <c r="I9182" s="50"/>
      <c r="O9182" s="36" t="s">
        <v>48</v>
      </c>
      <c r="R9182" s="36" t="s">
        <v>48</v>
      </c>
    </row>
    <row r="9183">
      <c r="H9183" s="50"/>
      <c r="I9183" s="50"/>
      <c r="O9183" s="36" t="s">
        <v>48</v>
      </c>
      <c r="R9183" s="36" t="s">
        <v>48</v>
      </c>
    </row>
    <row r="9184">
      <c r="H9184" s="50"/>
      <c r="I9184" s="50"/>
      <c r="O9184" s="36" t="s">
        <v>48</v>
      </c>
      <c r="R9184" s="36" t="s">
        <v>48</v>
      </c>
    </row>
    <row r="9185">
      <c r="H9185" s="50"/>
      <c r="I9185" s="50"/>
      <c r="O9185" s="36" t="s">
        <v>48</v>
      </c>
      <c r="R9185" s="36" t="s">
        <v>48</v>
      </c>
    </row>
    <row r="9186">
      <c r="H9186" s="50"/>
      <c r="I9186" s="50"/>
      <c r="O9186" s="36" t="s">
        <v>48</v>
      </c>
      <c r="R9186" s="36" t="s">
        <v>48</v>
      </c>
    </row>
    <row r="9187">
      <c r="H9187" s="50"/>
      <c r="I9187" s="50"/>
      <c r="O9187" s="36" t="s">
        <v>48</v>
      </c>
      <c r="R9187" s="36" t="s">
        <v>48</v>
      </c>
    </row>
    <row r="9188">
      <c r="H9188" s="50"/>
      <c r="I9188" s="50"/>
      <c r="O9188" s="36" t="s">
        <v>48</v>
      </c>
      <c r="R9188" s="36" t="s">
        <v>48</v>
      </c>
    </row>
    <row r="9189">
      <c r="H9189" s="50"/>
      <c r="I9189" s="50"/>
      <c r="O9189" s="36" t="s">
        <v>48</v>
      </c>
      <c r="R9189" s="36" t="s">
        <v>48</v>
      </c>
    </row>
    <row r="9190">
      <c r="H9190" s="50"/>
      <c r="I9190" s="50"/>
      <c r="O9190" s="36" t="s">
        <v>48</v>
      </c>
      <c r="R9190" s="36" t="s">
        <v>48</v>
      </c>
    </row>
    <row r="9191">
      <c r="H9191" s="50"/>
      <c r="I9191" s="50"/>
      <c r="O9191" s="36" t="s">
        <v>48</v>
      </c>
      <c r="R9191" s="36" t="s">
        <v>48</v>
      </c>
    </row>
    <row r="9192">
      <c r="H9192" s="50"/>
      <c r="I9192" s="50"/>
      <c r="O9192" s="36" t="s">
        <v>48</v>
      </c>
      <c r="R9192" s="36" t="s">
        <v>48</v>
      </c>
    </row>
    <row r="9193">
      <c r="H9193" s="50"/>
      <c r="I9193" s="50"/>
      <c r="O9193" s="36" t="s">
        <v>48</v>
      </c>
      <c r="R9193" s="36" t="s">
        <v>48</v>
      </c>
    </row>
    <row r="9194">
      <c r="H9194" s="50"/>
      <c r="I9194" s="50"/>
      <c r="O9194" s="36" t="s">
        <v>48</v>
      </c>
      <c r="R9194" s="36" t="s">
        <v>48</v>
      </c>
    </row>
    <row r="9195">
      <c r="H9195" s="50"/>
      <c r="I9195" s="50"/>
      <c r="O9195" s="36" t="s">
        <v>48</v>
      </c>
      <c r="R9195" s="36" t="s">
        <v>48</v>
      </c>
    </row>
    <row r="9196">
      <c r="H9196" s="50"/>
      <c r="I9196" s="50"/>
      <c r="O9196" s="36" t="s">
        <v>48</v>
      </c>
      <c r="R9196" s="36" t="s">
        <v>48</v>
      </c>
    </row>
    <row r="9197">
      <c r="H9197" s="50"/>
      <c r="I9197" s="50"/>
      <c r="O9197" s="36" t="s">
        <v>48</v>
      </c>
      <c r="R9197" s="36" t="s">
        <v>48</v>
      </c>
    </row>
    <row r="9198">
      <c r="H9198" s="50"/>
      <c r="I9198" s="50"/>
      <c r="O9198" s="36" t="s">
        <v>48</v>
      </c>
      <c r="R9198" s="36" t="s">
        <v>48</v>
      </c>
    </row>
    <row r="9199">
      <c r="H9199" s="50"/>
      <c r="I9199" s="50"/>
      <c r="O9199" s="36" t="s">
        <v>48</v>
      </c>
      <c r="R9199" s="36" t="s">
        <v>48</v>
      </c>
    </row>
    <row r="9200">
      <c r="H9200" s="50"/>
      <c r="I9200" s="50"/>
      <c r="O9200" s="36" t="s">
        <v>48</v>
      </c>
      <c r="R9200" s="36" t="s">
        <v>48</v>
      </c>
    </row>
    <row r="9201">
      <c r="H9201" s="50"/>
      <c r="I9201" s="50"/>
      <c r="O9201" s="36" t="s">
        <v>48</v>
      </c>
      <c r="R9201" s="36" t="s">
        <v>48</v>
      </c>
    </row>
    <row r="9202">
      <c r="H9202" s="50"/>
      <c r="I9202" s="50"/>
      <c r="O9202" s="36" t="s">
        <v>48</v>
      </c>
      <c r="R9202" s="36" t="s">
        <v>48</v>
      </c>
    </row>
    <row r="9203">
      <c r="H9203" s="50"/>
      <c r="I9203" s="50"/>
      <c r="O9203" s="36" t="s">
        <v>48</v>
      </c>
      <c r="R9203" s="36" t="s">
        <v>48</v>
      </c>
    </row>
    <row r="9204">
      <c r="H9204" s="50"/>
      <c r="I9204" s="50"/>
      <c r="O9204" s="36" t="s">
        <v>48</v>
      </c>
      <c r="R9204" s="36" t="s">
        <v>48</v>
      </c>
    </row>
    <row r="9205">
      <c r="H9205" s="50"/>
      <c r="I9205" s="50"/>
      <c r="O9205" s="36" t="s">
        <v>48</v>
      </c>
      <c r="R9205" s="36" t="s">
        <v>48</v>
      </c>
    </row>
    <row r="9206">
      <c r="H9206" s="50"/>
      <c r="I9206" s="50"/>
      <c r="O9206" s="36" t="s">
        <v>48</v>
      </c>
      <c r="R9206" s="36" t="s">
        <v>48</v>
      </c>
    </row>
    <row r="9207">
      <c r="H9207" s="50"/>
      <c r="I9207" s="50"/>
      <c r="O9207" s="36" t="s">
        <v>48</v>
      </c>
      <c r="R9207" s="36" t="s">
        <v>48</v>
      </c>
    </row>
    <row r="9208">
      <c r="H9208" s="50"/>
      <c r="I9208" s="50"/>
      <c r="O9208" s="36" t="s">
        <v>48</v>
      </c>
      <c r="R9208" s="36" t="s">
        <v>48</v>
      </c>
    </row>
    <row r="9209">
      <c r="H9209" s="50"/>
      <c r="I9209" s="50"/>
      <c r="O9209" s="36" t="s">
        <v>48</v>
      </c>
      <c r="R9209" s="36" t="s">
        <v>48</v>
      </c>
    </row>
    <row r="9210">
      <c r="H9210" s="50"/>
      <c r="I9210" s="50"/>
      <c r="O9210" s="36" t="s">
        <v>48</v>
      </c>
      <c r="R9210" s="36" t="s">
        <v>48</v>
      </c>
    </row>
    <row r="9211">
      <c r="H9211" s="50"/>
      <c r="I9211" s="50"/>
      <c r="O9211" s="36" t="s">
        <v>48</v>
      </c>
      <c r="R9211" s="36" t="s">
        <v>48</v>
      </c>
    </row>
    <row r="9212">
      <c r="H9212" s="50"/>
      <c r="I9212" s="50"/>
      <c r="O9212" s="36" t="s">
        <v>48</v>
      </c>
      <c r="R9212" s="36" t="s">
        <v>48</v>
      </c>
    </row>
    <row r="9213">
      <c r="H9213" s="50"/>
      <c r="I9213" s="50"/>
      <c r="O9213" s="36" t="s">
        <v>48</v>
      </c>
      <c r="R9213" s="36" t="s">
        <v>48</v>
      </c>
    </row>
    <row r="9214">
      <c r="H9214" s="50"/>
      <c r="I9214" s="50"/>
      <c r="O9214" s="36" t="s">
        <v>48</v>
      </c>
      <c r="R9214" s="36" t="s">
        <v>48</v>
      </c>
    </row>
    <row r="9215">
      <c r="H9215" s="50"/>
      <c r="I9215" s="50"/>
      <c r="O9215" s="36" t="s">
        <v>48</v>
      </c>
      <c r="R9215" s="36" t="s">
        <v>48</v>
      </c>
    </row>
    <row r="9216">
      <c r="H9216" s="50"/>
      <c r="I9216" s="50"/>
      <c r="O9216" s="36" t="s">
        <v>48</v>
      </c>
      <c r="R9216" s="36" t="s">
        <v>48</v>
      </c>
    </row>
    <row r="9217">
      <c r="H9217" s="50"/>
      <c r="I9217" s="50"/>
      <c r="O9217" s="36" t="s">
        <v>48</v>
      </c>
      <c r="R9217" s="36" t="s">
        <v>48</v>
      </c>
    </row>
    <row r="9218">
      <c r="H9218" s="50"/>
      <c r="I9218" s="50"/>
      <c r="O9218" s="36" t="s">
        <v>48</v>
      </c>
      <c r="R9218" s="36" t="s">
        <v>48</v>
      </c>
    </row>
    <row r="9219">
      <c r="H9219" s="50"/>
      <c r="I9219" s="50"/>
      <c r="O9219" s="36" t="s">
        <v>48</v>
      </c>
      <c r="R9219" s="36" t="s">
        <v>48</v>
      </c>
    </row>
    <row r="9220">
      <c r="H9220" s="50"/>
      <c r="I9220" s="50"/>
      <c r="O9220" s="36" t="s">
        <v>48</v>
      </c>
      <c r="R9220" s="36" t="s">
        <v>48</v>
      </c>
    </row>
    <row r="9221">
      <c r="H9221" s="50"/>
      <c r="I9221" s="50"/>
      <c r="O9221" s="36" t="s">
        <v>48</v>
      </c>
      <c r="R9221" s="36" t="s">
        <v>48</v>
      </c>
    </row>
    <row r="9222">
      <c r="H9222" s="50"/>
      <c r="I9222" s="50"/>
      <c r="O9222" s="36" t="s">
        <v>48</v>
      </c>
      <c r="R9222" s="36" t="s">
        <v>48</v>
      </c>
    </row>
    <row r="9223">
      <c r="H9223" s="50"/>
      <c r="I9223" s="50"/>
      <c r="O9223" s="36" t="s">
        <v>48</v>
      </c>
      <c r="R9223" s="36" t="s">
        <v>48</v>
      </c>
    </row>
    <row r="9224">
      <c r="H9224" s="50"/>
      <c r="I9224" s="50"/>
      <c r="O9224" s="36" t="s">
        <v>48</v>
      </c>
      <c r="R9224" s="36" t="s">
        <v>48</v>
      </c>
    </row>
    <row r="9225">
      <c r="H9225" s="50"/>
      <c r="I9225" s="50"/>
      <c r="O9225" s="36" t="s">
        <v>48</v>
      </c>
      <c r="R9225" s="36" t="s">
        <v>48</v>
      </c>
    </row>
    <row r="9226">
      <c r="H9226" s="50"/>
      <c r="I9226" s="50"/>
      <c r="O9226" s="36" t="s">
        <v>48</v>
      </c>
      <c r="R9226" s="36" t="s">
        <v>48</v>
      </c>
    </row>
    <row r="9227">
      <c r="H9227" s="50"/>
      <c r="I9227" s="50"/>
      <c r="O9227" s="36" t="s">
        <v>48</v>
      </c>
      <c r="R9227" s="36" t="s">
        <v>48</v>
      </c>
    </row>
    <row r="9228">
      <c r="H9228" s="50"/>
      <c r="I9228" s="50"/>
      <c r="O9228" s="36" t="s">
        <v>48</v>
      </c>
      <c r="R9228" s="36" t="s">
        <v>48</v>
      </c>
    </row>
    <row r="9229">
      <c r="H9229" s="50"/>
      <c r="I9229" s="50"/>
      <c r="O9229" s="36" t="s">
        <v>48</v>
      </c>
      <c r="R9229" s="36" t="s">
        <v>48</v>
      </c>
    </row>
    <row r="9230">
      <c r="H9230" s="50"/>
      <c r="I9230" s="50"/>
      <c r="O9230" s="36" t="s">
        <v>48</v>
      </c>
      <c r="R9230" s="36" t="s">
        <v>48</v>
      </c>
    </row>
    <row r="9231">
      <c r="H9231" s="50"/>
      <c r="I9231" s="50"/>
      <c r="O9231" s="36" t="s">
        <v>48</v>
      </c>
      <c r="R9231" s="36" t="s">
        <v>48</v>
      </c>
    </row>
    <row r="9232">
      <c r="H9232" s="50"/>
      <c r="I9232" s="50"/>
      <c r="O9232" s="36" t="s">
        <v>48</v>
      </c>
      <c r="R9232" s="36" t="s">
        <v>48</v>
      </c>
    </row>
    <row r="9233">
      <c r="H9233" s="50"/>
      <c r="I9233" s="50"/>
      <c r="O9233" s="36" t="s">
        <v>48</v>
      </c>
      <c r="R9233" s="36" t="s">
        <v>48</v>
      </c>
    </row>
    <row r="9234">
      <c r="H9234" s="50"/>
      <c r="I9234" s="50"/>
      <c r="O9234" s="36" t="s">
        <v>48</v>
      </c>
      <c r="R9234" s="36" t="s">
        <v>48</v>
      </c>
    </row>
    <row r="9235">
      <c r="H9235" s="50"/>
      <c r="I9235" s="50"/>
      <c r="O9235" s="36" t="s">
        <v>48</v>
      </c>
      <c r="R9235" s="36" t="s">
        <v>48</v>
      </c>
    </row>
    <row r="9236">
      <c r="H9236" s="50"/>
      <c r="I9236" s="50"/>
      <c r="O9236" s="36" t="s">
        <v>48</v>
      </c>
      <c r="R9236" s="36" t="s">
        <v>48</v>
      </c>
    </row>
    <row r="9237">
      <c r="H9237" s="50"/>
      <c r="I9237" s="50"/>
      <c r="O9237" s="36" t="s">
        <v>48</v>
      </c>
      <c r="R9237" s="36" t="s">
        <v>48</v>
      </c>
    </row>
    <row r="9238">
      <c r="H9238" s="50"/>
      <c r="I9238" s="50"/>
      <c r="O9238" s="36" t="s">
        <v>48</v>
      </c>
      <c r="R9238" s="36" t="s">
        <v>48</v>
      </c>
    </row>
    <row r="9239">
      <c r="H9239" s="50"/>
      <c r="I9239" s="50"/>
      <c r="O9239" s="36" t="s">
        <v>48</v>
      </c>
      <c r="R9239" s="36" t="s">
        <v>48</v>
      </c>
    </row>
    <row r="9240">
      <c r="H9240" s="50"/>
      <c r="I9240" s="50"/>
      <c r="O9240" s="36" t="s">
        <v>48</v>
      </c>
      <c r="R9240" s="36" t="s">
        <v>48</v>
      </c>
    </row>
    <row r="9241">
      <c r="H9241" s="50"/>
      <c r="I9241" s="50"/>
      <c r="O9241" s="36" t="s">
        <v>48</v>
      </c>
      <c r="R9241" s="36" t="s">
        <v>48</v>
      </c>
    </row>
    <row r="9242">
      <c r="H9242" s="50"/>
      <c r="I9242" s="50"/>
      <c r="O9242" s="36" t="s">
        <v>48</v>
      </c>
      <c r="R9242" s="36" t="s">
        <v>48</v>
      </c>
    </row>
    <row r="9243">
      <c r="H9243" s="50"/>
      <c r="I9243" s="50"/>
      <c r="O9243" s="36" t="s">
        <v>48</v>
      </c>
      <c r="R9243" s="36" t="s">
        <v>48</v>
      </c>
    </row>
    <row r="9244">
      <c r="H9244" s="50"/>
      <c r="I9244" s="50"/>
      <c r="O9244" s="36" t="s">
        <v>48</v>
      </c>
      <c r="R9244" s="36" t="s">
        <v>48</v>
      </c>
    </row>
    <row r="9245">
      <c r="H9245" s="50"/>
      <c r="I9245" s="50"/>
      <c r="O9245" s="36" t="s">
        <v>48</v>
      </c>
      <c r="R9245" s="36" t="s">
        <v>48</v>
      </c>
    </row>
    <row r="9246">
      <c r="H9246" s="50"/>
      <c r="I9246" s="50"/>
      <c r="O9246" s="36" t="s">
        <v>48</v>
      </c>
      <c r="R9246" s="36" t="s">
        <v>48</v>
      </c>
    </row>
    <row r="9247">
      <c r="H9247" s="50"/>
      <c r="I9247" s="50"/>
      <c r="O9247" s="36" t="s">
        <v>48</v>
      </c>
      <c r="R9247" s="36" t="s">
        <v>48</v>
      </c>
    </row>
    <row r="9248">
      <c r="H9248" s="50"/>
      <c r="I9248" s="50"/>
      <c r="O9248" s="36" t="s">
        <v>48</v>
      </c>
      <c r="R9248" s="36" t="s">
        <v>48</v>
      </c>
    </row>
    <row r="9249">
      <c r="H9249" s="50"/>
      <c r="I9249" s="50"/>
      <c r="O9249" s="36" t="s">
        <v>48</v>
      </c>
      <c r="R9249" s="36" t="s">
        <v>48</v>
      </c>
    </row>
    <row r="9250">
      <c r="H9250" s="50"/>
      <c r="I9250" s="50"/>
      <c r="O9250" s="36" t="s">
        <v>48</v>
      </c>
      <c r="R9250" s="36" t="s">
        <v>48</v>
      </c>
    </row>
    <row r="9251">
      <c r="H9251" s="50"/>
      <c r="I9251" s="50"/>
      <c r="O9251" s="36" t="s">
        <v>48</v>
      </c>
      <c r="R9251" s="36" t="s">
        <v>48</v>
      </c>
    </row>
    <row r="9252">
      <c r="H9252" s="50"/>
      <c r="I9252" s="50"/>
      <c r="O9252" s="36" t="s">
        <v>48</v>
      </c>
      <c r="R9252" s="36" t="s">
        <v>48</v>
      </c>
    </row>
    <row r="9253">
      <c r="H9253" s="50"/>
      <c r="I9253" s="50"/>
      <c r="O9253" s="36" t="s">
        <v>48</v>
      </c>
      <c r="R9253" s="36" t="s">
        <v>48</v>
      </c>
    </row>
    <row r="9254">
      <c r="H9254" s="50"/>
      <c r="I9254" s="50"/>
      <c r="O9254" s="36" t="s">
        <v>48</v>
      </c>
      <c r="R9254" s="36" t="s">
        <v>48</v>
      </c>
    </row>
    <row r="9255">
      <c r="H9255" s="50"/>
      <c r="I9255" s="50"/>
      <c r="O9255" s="36" t="s">
        <v>48</v>
      </c>
      <c r="R9255" s="36" t="s">
        <v>48</v>
      </c>
    </row>
    <row r="9256">
      <c r="H9256" s="50"/>
      <c r="I9256" s="50"/>
      <c r="O9256" s="36" t="s">
        <v>48</v>
      </c>
      <c r="R9256" s="36" t="s">
        <v>48</v>
      </c>
    </row>
    <row r="9257">
      <c r="H9257" s="50"/>
      <c r="I9257" s="50"/>
      <c r="O9257" s="36" t="s">
        <v>48</v>
      </c>
      <c r="R9257" s="36" t="s">
        <v>48</v>
      </c>
    </row>
    <row r="9258">
      <c r="H9258" s="50"/>
      <c r="I9258" s="50"/>
      <c r="O9258" s="36" t="s">
        <v>48</v>
      </c>
      <c r="R9258" s="36" t="s">
        <v>48</v>
      </c>
    </row>
    <row r="9259">
      <c r="H9259" s="50"/>
      <c r="I9259" s="50"/>
      <c r="O9259" s="36" t="s">
        <v>48</v>
      </c>
      <c r="R9259" s="36" t="s">
        <v>48</v>
      </c>
    </row>
    <row r="9260">
      <c r="H9260" s="50"/>
      <c r="I9260" s="50"/>
      <c r="O9260" s="36" t="s">
        <v>48</v>
      </c>
      <c r="R9260" s="36" t="s">
        <v>48</v>
      </c>
    </row>
    <row r="9261">
      <c r="H9261" s="50"/>
      <c r="I9261" s="50"/>
      <c r="O9261" s="36" t="s">
        <v>48</v>
      </c>
      <c r="R9261" s="36" t="s">
        <v>48</v>
      </c>
    </row>
    <row r="9262">
      <c r="H9262" s="50"/>
      <c r="I9262" s="50"/>
      <c r="O9262" s="36" t="s">
        <v>48</v>
      </c>
      <c r="R9262" s="36" t="s">
        <v>48</v>
      </c>
    </row>
    <row r="9263">
      <c r="H9263" s="50"/>
      <c r="I9263" s="50"/>
      <c r="O9263" s="36" t="s">
        <v>48</v>
      </c>
      <c r="R9263" s="36" t="s">
        <v>48</v>
      </c>
    </row>
    <row r="9264">
      <c r="H9264" s="50"/>
      <c r="I9264" s="50"/>
      <c r="O9264" s="36" t="s">
        <v>48</v>
      </c>
      <c r="R9264" s="36" t="s">
        <v>48</v>
      </c>
    </row>
    <row r="9265">
      <c r="H9265" s="50"/>
      <c r="I9265" s="50"/>
      <c r="O9265" s="36" t="s">
        <v>48</v>
      </c>
      <c r="R9265" s="36" t="s">
        <v>48</v>
      </c>
    </row>
    <row r="9266">
      <c r="H9266" s="50"/>
      <c r="I9266" s="50"/>
      <c r="O9266" s="36" t="s">
        <v>48</v>
      </c>
      <c r="R9266" s="36" t="s">
        <v>48</v>
      </c>
    </row>
    <row r="9267">
      <c r="H9267" s="50"/>
      <c r="I9267" s="50"/>
      <c r="O9267" s="36" t="s">
        <v>48</v>
      </c>
      <c r="R9267" s="36" t="s">
        <v>48</v>
      </c>
    </row>
    <row r="9268">
      <c r="H9268" s="50"/>
      <c r="I9268" s="50"/>
      <c r="O9268" s="36" t="s">
        <v>48</v>
      </c>
      <c r="R9268" s="36" t="s">
        <v>48</v>
      </c>
    </row>
    <row r="9269">
      <c r="H9269" s="50"/>
      <c r="I9269" s="50"/>
      <c r="O9269" s="36" t="s">
        <v>48</v>
      </c>
      <c r="R9269" s="36" t="s">
        <v>48</v>
      </c>
    </row>
    <row r="9270">
      <c r="H9270" s="50"/>
      <c r="I9270" s="50"/>
      <c r="O9270" s="36" t="s">
        <v>48</v>
      </c>
      <c r="R9270" s="36" t="s">
        <v>48</v>
      </c>
    </row>
    <row r="9271">
      <c r="H9271" s="50"/>
      <c r="I9271" s="50"/>
      <c r="O9271" s="36" t="s">
        <v>48</v>
      </c>
      <c r="R9271" s="36" t="s">
        <v>48</v>
      </c>
    </row>
    <row r="9272">
      <c r="H9272" s="50"/>
      <c r="I9272" s="50"/>
      <c r="O9272" s="36" t="s">
        <v>48</v>
      </c>
      <c r="R9272" s="36" t="s">
        <v>48</v>
      </c>
    </row>
    <row r="9273">
      <c r="H9273" s="50"/>
      <c r="I9273" s="50"/>
      <c r="O9273" s="36" t="s">
        <v>48</v>
      </c>
      <c r="R9273" s="36" t="s">
        <v>48</v>
      </c>
    </row>
    <row r="9274">
      <c r="H9274" s="50"/>
      <c r="I9274" s="50"/>
      <c r="O9274" s="36" t="s">
        <v>48</v>
      </c>
      <c r="R9274" s="36" t="s">
        <v>48</v>
      </c>
    </row>
    <row r="9275">
      <c r="H9275" s="50"/>
      <c r="I9275" s="50"/>
      <c r="O9275" s="36" t="s">
        <v>48</v>
      </c>
      <c r="R9275" s="36" t="s">
        <v>48</v>
      </c>
    </row>
    <row r="9276">
      <c r="H9276" s="50"/>
      <c r="I9276" s="50"/>
      <c r="O9276" s="36" t="s">
        <v>48</v>
      </c>
      <c r="R9276" s="36" t="s">
        <v>48</v>
      </c>
    </row>
    <row r="9277">
      <c r="H9277" s="50"/>
      <c r="I9277" s="50"/>
      <c r="O9277" s="36" t="s">
        <v>48</v>
      </c>
      <c r="R9277" s="36" t="s">
        <v>48</v>
      </c>
    </row>
    <row r="9278">
      <c r="H9278" s="50"/>
      <c r="I9278" s="50"/>
      <c r="O9278" s="36" t="s">
        <v>48</v>
      </c>
      <c r="R9278" s="36" t="s">
        <v>48</v>
      </c>
    </row>
    <row r="9279">
      <c r="H9279" s="50"/>
      <c r="I9279" s="50"/>
      <c r="O9279" s="36" t="s">
        <v>48</v>
      </c>
      <c r="R9279" s="36" t="s">
        <v>48</v>
      </c>
    </row>
    <row r="9280">
      <c r="H9280" s="50"/>
      <c r="I9280" s="50"/>
      <c r="O9280" s="36" t="s">
        <v>48</v>
      </c>
      <c r="R9280" s="36" t="s">
        <v>48</v>
      </c>
    </row>
    <row r="9281">
      <c r="H9281" s="50"/>
      <c r="I9281" s="50"/>
      <c r="O9281" s="36" t="s">
        <v>48</v>
      </c>
      <c r="R9281" s="36" t="s">
        <v>48</v>
      </c>
    </row>
    <row r="9282">
      <c r="H9282" s="50"/>
      <c r="I9282" s="50"/>
      <c r="O9282" s="36" t="s">
        <v>48</v>
      </c>
      <c r="R9282" s="36" t="s">
        <v>48</v>
      </c>
    </row>
    <row r="9283">
      <c r="H9283" s="50"/>
      <c r="I9283" s="50"/>
      <c r="O9283" s="36" t="s">
        <v>48</v>
      </c>
      <c r="R9283" s="36" t="s">
        <v>48</v>
      </c>
    </row>
    <row r="9284">
      <c r="H9284" s="50"/>
      <c r="I9284" s="50"/>
      <c r="O9284" s="36" t="s">
        <v>48</v>
      </c>
      <c r="R9284" s="36" t="s">
        <v>48</v>
      </c>
    </row>
    <row r="9285">
      <c r="H9285" s="50"/>
      <c r="I9285" s="50"/>
      <c r="O9285" s="36" t="s">
        <v>48</v>
      </c>
      <c r="R9285" s="36" t="s">
        <v>48</v>
      </c>
    </row>
    <row r="9286">
      <c r="H9286" s="50"/>
      <c r="I9286" s="50"/>
      <c r="O9286" s="36" t="s">
        <v>48</v>
      </c>
      <c r="R9286" s="36" t="s">
        <v>48</v>
      </c>
    </row>
    <row r="9287">
      <c r="H9287" s="50"/>
      <c r="I9287" s="50"/>
      <c r="O9287" s="36" t="s">
        <v>48</v>
      </c>
      <c r="R9287" s="36" t="s">
        <v>48</v>
      </c>
    </row>
    <row r="9288">
      <c r="H9288" s="50"/>
      <c r="I9288" s="50"/>
      <c r="O9288" s="36" t="s">
        <v>48</v>
      </c>
      <c r="R9288" s="36" t="s">
        <v>48</v>
      </c>
    </row>
    <row r="9289">
      <c r="H9289" s="50"/>
      <c r="I9289" s="50"/>
      <c r="O9289" s="36" t="s">
        <v>48</v>
      </c>
      <c r="R9289" s="36" t="s">
        <v>48</v>
      </c>
    </row>
    <row r="9290">
      <c r="H9290" s="50"/>
      <c r="I9290" s="50"/>
      <c r="O9290" s="36" t="s">
        <v>48</v>
      </c>
      <c r="R9290" s="36" t="s">
        <v>48</v>
      </c>
    </row>
    <row r="9291">
      <c r="H9291" s="50"/>
      <c r="I9291" s="50"/>
      <c r="O9291" s="36" t="s">
        <v>48</v>
      </c>
      <c r="R9291" s="36" t="s">
        <v>48</v>
      </c>
    </row>
    <row r="9292">
      <c r="H9292" s="50"/>
      <c r="I9292" s="50"/>
      <c r="O9292" s="36" t="s">
        <v>48</v>
      </c>
      <c r="R9292" s="36" t="s">
        <v>48</v>
      </c>
    </row>
    <row r="9293">
      <c r="H9293" s="50"/>
      <c r="I9293" s="50"/>
      <c r="O9293" s="36" t="s">
        <v>48</v>
      </c>
      <c r="R9293" s="36" t="s">
        <v>48</v>
      </c>
    </row>
    <row r="9294">
      <c r="H9294" s="50"/>
      <c r="I9294" s="50"/>
      <c r="O9294" s="36" t="s">
        <v>48</v>
      </c>
      <c r="R9294" s="36" t="s">
        <v>48</v>
      </c>
    </row>
    <row r="9295">
      <c r="H9295" s="50"/>
      <c r="I9295" s="50"/>
      <c r="O9295" s="36" t="s">
        <v>48</v>
      </c>
      <c r="R9295" s="36" t="s">
        <v>48</v>
      </c>
    </row>
    <row r="9296">
      <c r="H9296" s="50"/>
      <c r="I9296" s="50"/>
      <c r="O9296" s="36" t="s">
        <v>48</v>
      </c>
      <c r="R9296" s="36" t="s">
        <v>48</v>
      </c>
    </row>
    <row r="9297">
      <c r="H9297" s="50"/>
      <c r="I9297" s="50"/>
      <c r="O9297" s="36" t="s">
        <v>48</v>
      </c>
      <c r="R9297" s="36" t="s">
        <v>48</v>
      </c>
    </row>
    <row r="9298">
      <c r="H9298" s="50"/>
      <c r="I9298" s="50"/>
      <c r="O9298" s="36" t="s">
        <v>48</v>
      </c>
      <c r="R9298" s="36" t="s">
        <v>48</v>
      </c>
    </row>
    <row r="9299">
      <c r="H9299" s="50"/>
      <c r="I9299" s="50"/>
      <c r="O9299" s="36" t="s">
        <v>48</v>
      </c>
      <c r="R9299" s="36" t="s">
        <v>48</v>
      </c>
    </row>
    <row r="9300">
      <c r="H9300" s="50"/>
      <c r="I9300" s="50"/>
      <c r="O9300" s="36" t="s">
        <v>48</v>
      </c>
      <c r="R9300" s="36" t="s">
        <v>48</v>
      </c>
    </row>
    <row r="9301">
      <c r="H9301" s="50"/>
      <c r="I9301" s="50"/>
      <c r="O9301" s="36" t="s">
        <v>48</v>
      </c>
      <c r="R9301" s="36" t="s">
        <v>48</v>
      </c>
    </row>
    <row r="9302">
      <c r="H9302" s="50"/>
      <c r="I9302" s="50"/>
      <c r="O9302" s="36" t="s">
        <v>48</v>
      </c>
      <c r="R9302" s="36" t="s">
        <v>48</v>
      </c>
    </row>
    <row r="9303">
      <c r="H9303" s="50"/>
      <c r="I9303" s="50"/>
      <c r="O9303" s="36" t="s">
        <v>48</v>
      </c>
      <c r="R9303" s="36" t="s">
        <v>48</v>
      </c>
    </row>
    <row r="9304">
      <c r="H9304" s="50"/>
      <c r="I9304" s="50"/>
      <c r="O9304" s="36" t="s">
        <v>48</v>
      </c>
      <c r="R9304" s="36" t="s">
        <v>48</v>
      </c>
    </row>
    <row r="9305">
      <c r="H9305" s="50"/>
      <c r="I9305" s="50"/>
      <c r="O9305" s="36" t="s">
        <v>48</v>
      </c>
      <c r="R9305" s="36" t="s">
        <v>48</v>
      </c>
    </row>
    <row r="9306">
      <c r="H9306" s="50"/>
      <c r="I9306" s="50"/>
      <c r="O9306" s="36" t="s">
        <v>48</v>
      </c>
      <c r="R9306" s="36" t="s">
        <v>48</v>
      </c>
    </row>
    <row r="9307">
      <c r="H9307" s="50"/>
      <c r="I9307" s="50"/>
      <c r="O9307" s="36" t="s">
        <v>48</v>
      </c>
      <c r="R9307" s="36" t="s">
        <v>48</v>
      </c>
    </row>
    <row r="9308">
      <c r="H9308" s="50"/>
      <c r="I9308" s="50"/>
      <c r="O9308" s="36" t="s">
        <v>48</v>
      </c>
      <c r="R9308" s="36" t="s">
        <v>48</v>
      </c>
    </row>
    <row r="9309">
      <c r="H9309" s="50"/>
      <c r="I9309" s="50"/>
      <c r="O9309" s="36" t="s">
        <v>48</v>
      </c>
      <c r="R9309" s="36" t="s">
        <v>48</v>
      </c>
    </row>
    <row r="9310">
      <c r="H9310" s="50"/>
      <c r="I9310" s="50"/>
      <c r="O9310" s="36" t="s">
        <v>48</v>
      </c>
      <c r="R9310" s="36" t="s">
        <v>48</v>
      </c>
    </row>
    <row r="9311">
      <c r="H9311" s="50"/>
      <c r="I9311" s="50"/>
      <c r="O9311" s="36" t="s">
        <v>48</v>
      </c>
      <c r="R9311" s="36" t="s">
        <v>48</v>
      </c>
    </row>
    <row r="9312">
      <c r="H9312" s="50"/>
      <c r="I9312" s="50"/>
      <c r="O9312" s="36" t="s">
        <v>48</v>
      </c>
      <c r="R9312" s="36" t="s">
        <v>48</v>
      </c>
    </row>
    <row r="9313">
      <c r="H9313" s="50"/>
      <c r="I9313" s="50"/>
      <c r="O9313" s="36" t="s">
        <v>48</v>
      </c>
      <c r="R9313" s="36" t="s">
        <v>48</v>
      </c>
    </row>
    <row r="9314">
      <c r="H9314" s="50"/>
      <c r="I9314" s="50"/>
      <c r="O9314" s="36" t="s">
        <v>48</v>
      </c>
      <c r="R9314" s="36" t="s">
        <v>48</v>
      </c>
    </row>
    <row r="9315">
      <c r="H9315" s="50"/>
      <c r="I9315" s="50"/>
      <c r="O9315" s="36" t="s">
        <v>48</v>
      </c>
      <c r="R9315" s="36" t="s">
        <v>48</v>
      </c>
    </row>
    <row r="9316">
      <c r="H9316" s="50"/>
      <c r="I9316" s="50"/>
      <c r="O9316" s="36" t="s">
        <v>48</v>
      </c>
      <c r="R9316" s="36" t="s">
        <v>48</v>
      </c>
    </row>
    <row r="9317">
      <c r="H9317" s="50"/>
      <c r="I9317" s="50"/>
      <c r="O9317" s="36" t="s">
        <v>48</v>
      </c>
      <c r="R9317" s="36" t="s">
        <v>48</v>
      </c>
    </row>
    <row r="9318">
      <c r="H9318" s="50"/>
      <c r="I9318" s="50"/>
      <c r="O9318" s="36" t="s">
        <v>48</v>
      </c>
      <c r="R9318" s="36" t="s">
        <v>48</v>
      </c>
    </row>
    <row r="9319">
      <c r="H9319" s="50"/>
      <c r="I9319" s="50"/>
      <c r="O9319" s="36" t="s">
        <v>48</v>
      </c>
      <c r="R9319" s="36" t="s">
        <v>48</v>
      </c>
    </row>
    <row r="9320">
      <c r="H9320" s="50"/>
      <c r="I9320" s="50"/>
      <c r="O9320" s="36" t="s">
        <v>48</v>
      </c>
      <c r="R9320" s="36" t="s">
        <v>48</v>
      </c>
    </row>
    <row r="9321">
      <c r="H9321" s="50"/>
      <c r="I9321" s="50"/>
      <c r="O9321" s="36" t="s">
        <v>48</v>
      </c>
      <c r="R9321" s="36" t="s">
        <v>48</v>
      </c>
    </row>
    <row r="9322">
      <c r="H9322" s="50"/>
      <c r="I9322" s="50"/>
      <c r="O9322" s="36" t="s">
        <v>48</v>
      </c>
      <c r="R9322" s="36" t="s">
        <v>48</v>
      </c>
    </row>
    <row r="9323">
      <c r="H9323" s="50"/>
      <c r="I9323" s="50"/>
      <c r="O9323" s="36" t="s">
        <v>48</v>
      </c>
      <c r="R9323" s="36" t="s">
        <v>48</v>
      </c>
    </row>
    <row r="9324">
      <c r="H9324" s="50"/>
      <c r="I9324" s="50"/>
      <c r="O9324" s="36" t="s">
        <v>48</v>
      </c>
      <c r="R9324" s="36" t="s">
        <v>48</v>
      </c>
    </row>
    <row r="9325">
      <c r="H9325" s="50"/>
      <c r="I9325" s="50"/>
      <c r="O9325" s="36" t="s">
        <v>48</v>
      </c>
      <c r="R9325" s="36" t="s">
        <v>48</v>
      </c>
    </row>
    <row r="9326">
      <c r="H9326" s="50"/>
      <c r="I9326" s="50"/>
      <c r="O9326" s="36" t="s">
        <v>48</v>
      </c>
      <c r="R9326" s="36" t="s">
        <v>48</v>
      </c>
    </row>
    <row r="9327">
      <c r="H9327" s="50"/>
      <c r="I9327" s="50"/>
      <c r="O9327" s="36" t="s">
        <v>48</v>
      </c>
      <c r="R9327" s="36" t="s">
        <v>48</v>
      </c>
    </row>
    <row r="9328">
      <c r="H9328" s="50"/>
      <c r="I9328" s="50"/>
      <c r="O9328" s="36" t="s">
        <v>48</v>
      </c>
      <c r="R9328" s="36" t="s">
        <v>48</v>
      </c>
    </row>
    <row r="9329">
      <c r="H9329" s="50"/>
      <c r="I9329" s="50"/>
      <c r="O9329" s="36" t="s">
        <v>48</v>
      </c>
      <c r="R9329" s="36" t="s">
        <v>48</v>
      </c>
    </row>
    <row r="9330">
      <c r="H9330" s="50"/>
      <c r="I9330" s="50"/>
      <c r="O9330" s="36" t="s">
        <v>48</v>
      </c>
      <c r="R9330" s="36" t="s">
        <v>48</v>
      </c>
    </row>
    <row r="9331">
      <c r="H9331" s="50"/>
      <c r="I9331" s="50"/>
      <c r="O9331" s="36" t="s">
        <v>48</v>
      </c>
      <c r="R9331" s="36" t="s">
        <v>48</v>
      </c>
    </row>
    <row r="9332">
      <c r="H9332" s="50"/>
      <c r="I9332" s="50"/>
      <c r="O9332" s="36" t="s">
        <v>48</v>
      </c>
      <c r="R9332" s="36" t="s">
        <v>48</v>
      </c>
    </row>
    <row r="9333">
      <c r="H9333" s="50"/>
      <c r="I9333" s="50"/>
      <c r="O9333" s="36" t="s">
        <v>48</v>
      </c>
      <c r="R9333" s="36" t="s">
        <v>48</v>
      </c>
    </row>
    <row r="9334">
      <c r="H9334" s="50"/>
      <c r="I9334" s="50"/>
      <c r="O9334" s="36" t="s">
        <v>48</v>
      </c>
      <c r="R9334" s="36" t="s">
        <v>48</v>
      </c>
    </row>
    <row r="9335">
      <c r="H9335" s="50"/>
      <c r="I9335" s="50"/>
      <c r="O9335" s="36" t="s">
        <v>48</v>
      </c>
      <c r="R9335" s="36" t="s">
        <v>48</v>
      </c>
    </row>
    <row r="9336">
      <c r="H9336" s="50"/>
      <c r="I9336" s="50"/>
      <c r="O9336" s="36" t="s">
        <v>48</v>
      </c>
      <c r="R9336" s="36" t="s">
        <v>48</v>
      </c>
    </row>
    <row r="9337">
      <c r="H9337" s="50"/>
      <c r="I9337" s="50"/>
      <c r="O9337" s="36" t="s">
        <v>48</v>
      </c>
      <c r="R9337" s="36" t="s">
        <v>48</v>
      </c>
    </row>
    <row r="9338">
      <c r="H9338" s="50"/>
      <c r="I9338" s="50"/>
      <c r="O9338" s="36" t="s">
        <v>48</v>
      </c>
      <c r="R9338" s="36" t="s">
        <v>48</v>
      </c>
    </row>
    <row r="9339">
      <c r="H9339" s="50"/>
      <c r="I9339" s="50"/>
      <c r="O9339" s="36" t="s">
        <v>48</v>
      </c>
      <c r="R9339" s="36" t="s">
        <v>48</v>
      </c>
    </row>
    <row r="9340">
      <c r="H9340" s="50"/>
      <c r="I9340" s="50"/>
      <c r="O9340" s="36" t="s">
        <v>48</v>
      </c>
      <c r="R9340" s="36" t="s">
        <v>48</v>
      </c>
    </row>
    <row r="9341">
      <c r="H9341" s="50"/>
      <c r="I9341" s="50"/>
      <c r="O9341" s="36" t="s">
        <v>48</v>
      </c>
      <c r="R9341" s="36" t="s">
        <v>48</v>
      </c>
    </row>
    <row r="9342">
      <c r="H9342" s="50"/>
      <c r="I9342" s="50"/>
      <c r="O9342" s="36" t="s">
        <v>48</v>
      </c>
      <c r="R9342" s="36" t="s">
        <v>48</v>
      </c>
    </row>
    <row r="9343">
      <c r="H9343" s="50"/>
      <c r="I9343" s="50"/>
      <c r="O9343" s="36" t="s">
        <v>48</v>
      </c>
      <c r="R9343" s="36" t="s">
        <v>48</v>
      </c>
    </row>
    <row r="9344">
      <c r="H9344" s="50"/>
      <c r="I9344" s="50"/>
      <c r="O9344" s="36" t="s">
        <v>48</v>
      </c>
      <c r="R9344" s="36" t="s">
        <v>48</v>
      </c>
    </row>
    <row r="9345">
      <c r="H9345" s="50"/>
      <c r="I9345" s="50"/>
      <c r="O9345" s="36" t="s">
        <v>48</v>
      </c>
      <c r="R9345" s="36" t="s">
        <v>48</v>
      </c>
    </row>
    <row r="9346">
      <c r="H9346" s="50"/>
      <c r="I9346" s="50"/>
      <c r="O9346" s="36" t="s">
        <v>48</v>
      </c>
      <c r="R9346" s="36" t="s">
        <v>48</v>
      </c>
    </row>
    <row r="9347">
      <c r="H9347" s="50"/>
      <c r="I9347" s="50"/>
      <c r="O9347" s="36" t="s">
        <v>48</v>
      </c>
      <c r="R9347" s="36" t="s">
        <v>48</v>
      </c>
    </row>
    <row r="9348">
      <c r="H9348" s="50"/>
      <c r="I9348" s="50"/>
      <c r="O9348" s="36" t="s">
        <v>48</v>
      </c>
      <c r="R9348" s="36" t="s">
        <v>48</v>
      </c>
    </row>
    <row r="9349">
      <c r="H9349" s="50"/>
      <c r="I9349" s="50"/>
      <c r="O9349" s="36" t="s">
        <v>48</v>
      </c>
      <c r="R9349" s="36" t="s">
        <v>48</v>
      </c>
    </row>
    <row r="9350">
      <c r="H9350" s="50"/>
      <c r="I9350" s="50"/>
      <c r="O9350" s="36" t="s">
        <v>48</v>
      </c>
      <c r="R9350" s="36" t="s">
        <v>48</v>
      </c>
    </row>
    <row r="9351">
      <c r="H9351" s="50"/>
      <c r="I9351" s="50"/>
      <c r="O9351" s="36" t="s">
        <v>48</v>
      </c>
      <c r="R9351" s="36" t="s">
        <v>48</v>
      </c>
    </row>
    <row r="9352">
      <c r="H9352" s="50"/>
      <c r="I9352" s="50"/>
      <c r="O9352" s="36" t="s">
        <v>48</v>
      </c>
      <c r="R9352" s="36" t="s">
        <v>48</v>
      </c>
    </row>
    <row r="9353">
      <c r="H9353" s="50"/>
      <c r="I9353" s="50"/>
      <c r="O9353" s="36" t="s">
        <v>48</v>
      </c>
      <c r="R9353" s="36" t="s">
        <v>48</v>
      </c>
    </row>
    <row r="9354">
      <c r="H9354" s="50"/>
      <c r="I9354" s="50"/>
      <c r="O9354" s="36" t="s">
        <v>48</v>
      </c>
      <c r="R9354" s="36" t="s">
        <v>48</v>
      </c>
    </row>
    <row r="9355">
      <c r="H9355" s="50"/>
      <c r="I9355" s="50"/>
      <c r="O9355" s="36" t="s">
        <v>48</v>
      </c>
      <c r="R9355" s="36" t="s">
        <v>48</v>
      </c>
    </row>
    <row r="9356">
      <c r="H9356" s="50"/>
      <c r="I9356" s="50"/>
      <c r="O9356" s="36" t="s">
        <v>48</v>
      </c>
      <c r="R9356" s="36" t="s">
        <v>48</v>
      </c>
    </row>
    <row r="9357">
      <c r="H9357" s="50"/>
      <c r="I9357" s="50"/>
      <c r="O9357" s="36" t="s">
        <v>48</v>
      </c>
      <c r="R9357" s="36" t="s">
        <v>48</v>
      </c>
    </row>
    <row r="9358">
      <c r="H9358" s="50"/>
      <c r="I9358" s="50"/>
      <c r="O9358" s="36" t="s">
        <v>48</v>
      </c>
      <c r="R9358" s="36" t="s">
        <v>48</v>
      </c>
    </row>
    <row r="9359">
      <c r="H9359" s="50"/>
      <c r="I9359" s="50"/>
      <c r="O9359" s="36" t="s">
        <v>48</v>
      </c>
      <c r="R9359" s="36" t="s">
        <v>48</v>
      </c>
    </row>
    <row r="9360">
      <c r="H9360" s="50"/>
      <c r="I9360" s="50"/>
      <c r="O9360" s="36" t="s">
        <v>48</v>
      </c>
      <c r="R9360" s="36" t="s">
        <v>48</v>
      </c>
    </row>
    <row r="9361">
      <c r="H9361" s="50"/>
      <c r="I9361" s="50"/>
      <c r="O9361" s="36" t="s">
        <v>48</v>
      </c>
      <c r="R9361" s="36" t="s">
        <v>48</v>
      </c>
    </row>
    <row r="9362">
      <c r="H9362" s="50"/>
      <c r="I9362" s="50"/>
      <c r="O9362" s="36" t="s">
        <v>48</v>
      </c>
      <c r="R9362" s="36" t="s">
        <v>48</v>
      </c>
    </row>
    <row r="9363">
      <c r="H9363" s="50"/>
      <c r="I9363" s="50"/>
      <c r="O9363" s="36" t="s">
        <v>48</v>
      </c>
      <c r="R9363" s="36" t="s">
        <v>48</v>
      </c>
    </row>
    <row r="9364">
      <c r="H9364" s="50"/>
      <c r="I9364" s="50"/>
      <c r="O9364" s="36" t="s">
        <v>48</v>
      </c>
      <c r="R9364" s="36" t="s">
        <v>48</v>
      </c>
    </row>
    <row r="9365">
      <c r="H9365" s="50"/>
      <c r="I9365" s="50"/>
      <c r="O9365" s="36" t="s">
        <v>48</v>
      </c>
      <c r="R9365" s="36" t="s">
        <v>48</v>
      </c>
    </row>
    <row r="9366">
      <c r="H9366" s="50"/>
      <c r="I9366" s="50"/>
      <c r="O9366" s="36" t="s">
        <v>48</v>
      </c>
      <c r="R9366" s="36" t="s">
        <v>48</v>
      </c>
    </row>
    <row r="9367">
      <c r="H9367" s="50"/>
      <c r="I9367" s="50"/>
      <c r="O9367" s="36" t="s">
        <v>48</v>
      </c>
      <c r="R9367" s="36" t="s">
        <v>48</v>
      </c>
    </row>
    <row r="9368">
      <c r="H9368" s="50"/>
      <c r="I9368" s="50"/>
      <c r="O9368" s="36" t="s">
        <v>48</v>
      </c>
      <c r="R9368" s="36" t="s">
        <v>48</v>
      </c>
    </row>
    <row r="9369">
      <c r="H9369" s="50"/>
      <c r="I9369" s="50"/>
      <c r="O9369" s="36" t="s">
        <v>48</v>
      </c>
      <c r="R9369" s="36" t="s">
        <v>48</v>
      </c>
    </row>
    <row r="9370">
      <c r="H9370" s="50"/>
      <c r="I9370" s="50"/>
      <c r="O9370" s="36" t="s">
        <v>48</v>
      </c>
      <c r="R9370" s="36" t="s">
        <v>48</v>
      </c>
    </row>
    <row r="9371">
      <c r="H9371" s="50"/>
      <c r="I9371" s="50"/>
      <c r="O9371" s="36" t="s">
        <v>48</v>
      </c>
      <c r="R9371" s="36" t="s">
        <v>48</v>
      </c>
    </row>
    <row r="9372">
      <c r="H9372" s="50"/>
      <c r="I9372" s="50"/>
      <c r="O9372" s="36" t="s">
        <v>48</v>
      </c>
      <c r="R9372" s="36" t="s">
        <v>48</v>
      </c>
    </row>
    <row r="9373">
      <c r="H9373" s="50"/>
      <c r="I9373" s="50"/>
      <c r="O9373" s="36" t="s">
        <v>48</v>
      </c>
      <c r="R9373" s="36" t="s">
        <v>48</v>
      </c>
    </row>
    <row r="9374">
      <c r="H9374" s="50"/>
      <c r="I9374" s="50"/>
      <c r="O9374" s="36" t="s">
        <v>48</v>
      </c>
      <c r="R9374" s="36" t="s">
        <v>48</v>
      </c>
    </row>
    <row r="9375">
      <c r="H9375" s="50"/>
      <c r="I9375" s="50"/>
      <c r="O9375" s="36" t="s">
        <v>48</v>
      </c>
      <c r="R9375" s="36" t="s">
        <v>48</v>
      </c>
    </row>
    <row r="9376">
      <c r="H9376" s="50"/>
      <c r="I9376" s="50"/>
      <c r="O9376" s="36" t="s">
        <v>48</v>
      </c>
      <c r="R9376" s="36" t="s">
        <v>48</v>
      </c>
    </row>
    <row r="9377">
      <c r="H9377" s="50"/>
      <c r="I9377" s="50"/>
      <c r="O9377" s="36" t="s">
        <v>48</v>
      </c>
      <c r="R9377" s="36" t="s">
        <v>48</v>
      </c>
    </row>
    <row r="9378">
      <c r="H9378" s="50"/>
      <c r="I9378" s="50"/>
      <c r="O9378" s="36" t="s">
        <v>48</v>
      </c>
      <c r="R9378" s="36" t="s">
        <v>48</v>
      </c>
    </row>
    <row r="9379">
      <c r="H9379" s="50"/>
      <c r="I9379" s="50"/>
      <c r="O9379" s="36" t="s">
        <v>48</v>
      </c>
      <c r="R9379" s="36" t="s">
        <v>48</v>
      </c>
    </row>
    <row r="9380">
      <c r="H9380" s="50"/>
      <c r="I9380" s="50"/>
      <c r="O9380" s="36" t="s">
        <v>48</v>
      </c>
      <c r="R9380" s="36" t="s">
        <v>48</v>
      </c>
    </row>
    <row r="9381">
      <c r="H9381" s="50"/>
      <c r="I9381" s="50"/>
      <c r="O9381" s="36" t="s">
        <v>48</v>
      </c>
      <c r="R9381" s="36" t="s">
        <v>48</v>
      </c>
    </row>
    <row r="9382">
      <c r="H9382" s="50"/>
      <c r="I9382" s="50"/>
      <c r="O9382" s="36" t="s">
        <v>48</v>
      </c>
      <c r="R9382" s="36" t="s">
        <v>48</v>
      </c>
    </row>
    <row r="9383">
      <c r="H9383" s="50"/>
      <c r="I9383" s="50"/>
      <c r="O9383" s="36" t="s">
        <v>48</v>
      </c>
      <c r="R9383" s="36" t="s">
        <v>48</v>
      </c>
    </row>
    <row r="9384">
      <c r="H9384" s="50"/>
      <c r="I9384" s="50"/>
      <c r="O9384" s="36" t="s">
        <v>48</v>
      </c>
      <c r="R9384" s="36" t="s">
        <v>48</v>
      </c>
    </row>
    <row r="9385">
      <c r="H9385" s="50"/>
      <c r="I9385" s="50"/>
      <c r="O9385" s="36" t="s">
        <v>48</v>
      </c>
      <c r="R9385" s="36" t="s">
        <v>48</v>
      </c>
    </row>
    <row r="9386">
      <c r="H9386" s="50"/>
      <c r="I9386" s="50"/>
      <c r="O9386" s="36" t="s">
        <v>48</v>
      </c>
      <c r="R9386" s="36" t="s">
        <v>48</v>
      </c>
    </row>
    <row r="9387">
      <c r="H9387" s="50"/>
      <c r="I9387" s="50"/>
      <c r="O9387" s="36" t="s">
        <v>48</v>
      </c>
      <c r="R9387" s="36" t="s">
        <v>48</v>
      </c>
    </row>
    <row r="9388">
      <c r="H9388" s="50"/>
      <c r="I9388" s="50"/>
      <c r="O9388" s="36" t="s">
        <v>48</v>
      </c>
      <c r="R9388" s="36" t="s">
        <v>48</v>
      </c>
    </row>
    <row r="9389">
      <c r="H9389" s="50"/>
      <c r="I9389" s="50"/>
      <c r="O9389" s="36" t="s">
        <v>48</v>
      </c>
      <c r="R9389" s="36" t="s">
        <v>48</v>
      </c>
    </row>
    <row r="9390">
      <c r="H9390" s="50"/>
      <c r="I9390" s="50"/>
      <c r="O9390" s="36" t="s">
        <v>48</v>
      </c>
      <c r="R9390" s="36" t="s">
        <v>48</v>
      </c>
    </row>
    <row r="9391">
      <c r="H9391" s="50"/>
      <c r="I9391" s="50"/>
      <c r="O9391" s="36" t="s">
        <v>48</v>
      </c>
      <c r="R9391" s="36" t="s">
        <v>48</v>
      </c>
    </row>
    <row r="9392">
      <c r="H9392" s="50"/>
      <c r="I9392" s="50"/>
      <c r="O9392" s="36" t="s">
        <v>48</v>
      </c>
      <c r="R9392" s="36" t="s">
        <v>48</v>
      </c>
    </row>
    <row r="9393">
      <c r="H9393" s="50"/>
      <c r="I9393" s="50"/>
      <c r="O9393" s="36" t="s">
        <v>48</v>
      </c>
      <c r="R9393" s="36" t="s">
        <v>48</v>
      </c>
    </row>
    <row r="9394">
      <c r="H9394" s="50"/>
      <c r="I9394" s="50"/>
      <c r="O9394" s="36" t="s">
        <v>48</v>
      </c>
      <c r="R9394" s="36" t="s">
        <v>48</v>
      </c>
    </row>
    <row r="9395">
      <c r="H9395" s="50"/>
      <c r="I9395" s="50"/>
      <c r="O9395" s="36" t="s">
        <v>48</v>
      </c>
      <c r="R9395" s="36" t="s">
        <v>48</v>
      </c>
    </row>
    <row r="9396">
      <c r="H9396" s="50"/>
      <c r="I9396" s="50"/>
      <c r="O9396" s="36" t="s">
        <v>48</v>
      </c>
      <c r="R9396" s="36" t="s">
        <v>48</v>
      </c>
    </row>
    <row r="9397">
      <c r="H9397" s="50"/>
      <c r="I9397" s="50"/>
      <c r="O9397" s="36" t="s">
        <v>48</v>
      </c>
      <c r="R9397" s="36" t="s">
        <v>48</v>
      </c>
    </row>
    <row r="9398">
      <c r="H9398" s="50"/>
      <c r="I9398" s="50"/>
      <c r="O9398" s="36" t="s">
        <v>48</v>
      </c>
      <c r="R9398" s="36" t="s">
        <v>48</v>
      </c>
    </row>
    <row r="9399">
      <c r="H9399" s="50"/>
      <c r="I9399" s="50"/>
      <c r="O9399" s="36" t="s">
        <v>48</v>
      </c>
      <c r="R9399" s="36" t="s">
        <v>48</v>
      </c>
    </row>
    <row r="9400">
      <c r="H9400" s="50"/>
      <c r="I9400" s="50"/>
      <c r="O9400" s="36" t="s">
        <v>48</v>
      </c>
      <c r="R9400" s="36" t="s">
        <v>48</v>
      </c>
    </row>
    <row r="9401">
      <c r="H9401" s="50"/>
      <c r="I9401" s="50"/>
      <c r="O9401" s="36" t="s">
        <v>48</v>
      </c>
      <c r="R9401" s="36" t="s">
        <v>48</v>
      </c>
    </row>
    <row r="9402">
      <c r="H9402" s="50"/>
      <c r="I9402" s="50"/>
      <c r="O9402" s="36" t="s">
        <v>48</v>
      </c>
      <c r="R9402" s="36" t="s">
        <v>48</v>
      </c>
    </row>
    <row r="9403">
      <c r="H9403" s="50"/>
      <c r="I9403" s="50"/>
      <c r="O9403" s="36" t="s">
        <v>48</v>
      </c>
      <c r="R9403" s="36" t="s">
        <v>48</v>
      </c>
    </row>
    <row r="9404">
      <c r="H9404" s="50"/>
      <c r="I9404" s="50"/>
      <c r="O9404" s="36" t="s">
        <v>48</v>
      </c>
      <c r="R9404" s="36" t="s">
        <v>48</v>
      </c>
    </row>
    <row r="9405">
      <c r="H9405" s="50"/>
      <c r="I9405" s="50"/>
      <c r="O9405" s="36" t="s">
        <v>48</v>
      </c>
      <c r="R9405" s="36" t="s">
        <v>48</v>
      </c>
    </row>
    <row r="9406">
      <c r="H9406" s="50"/>
      <c r="I9406" s="50"/>
      <c r="O9406" s="36" t="s">
        <v>48</v>
      </c>
      <c r="R9406" s="36" t="s">
        <v>48</v>
      </c>
    </row>
    <row r="9407">
      <c r="H9407" s="50"/>
      <c r="I9407" s="50"/>
      <c r="O9407" s="36" t="s">
        <v>48</v>
      </c>
      <c r="R9407" s="36" t="s">
        <v>48</v>
      </c>
    </row>
    <row r="9408">
      <c r="H9408" s="50"/>
      <c r="I9408" s="50"/>
      <c r="O9408" s="36" t="s">
        <v>48</v>
      </c>
      <c r="R9408" s="36" t="s">
        <v>48</v>
      </c>
    </row>
    <row r="9409">
      <c r="H9409" s="50"/>
      <c r="I9409" s="50"/>
      <c r="O9409" s="36" t="s">
        <v>48</v>
      </c>
      <c r="R9409" s="36" t="s">
        <v>48</v>
      </c>
    </row>
    <row r="9410">
      <c r="H9410" s="50"/>
      <c r="I9410" s="50"/>
      <c r="O9410" s="36" t="s">
        <v>48</v>
      </c>
      <c r="R9410" s="36" t="s">
        <v>48</v>
      </c>
    </row>
    <row r="9411">
      <c r="H9411" s="50"/>
      <c r="I9411" s="50"/>
      <c r="O9411" s="36" t="s">
        <v>48</v>
      </c>
      <c r="R9411" s="36" t="s">
        <v>48</v>
      </c>
    </row>
    <row r="9412">
      <c r="H9412" s="50"/>
      <c r="I9412" s="50"/>
      <c r="O9412" s="36" t="s">
        <v>48</v>
      </c>
      <c r="R9412" s="36" t="s">
        <v>48</v>
      </c>
    </row>
    <row r="9413">
      <c r="H9413" s="50"/>
      <c r="I9413" s="50"/>
      <c r="O9413" s="36" t="s">
        <v>48</v>
      </c>
      <c r="R9413" s="36" t="s">
        <v>48</v>
      </c>
    </row>
    <row r="9414">
      <c r="H9414" s="50"/>
      <c r="I9414" s="50"/>
      <c r="O9414" s="36" t="s">
        <v>48</v>
      </c>
      <c r="R9414" s="36" t="s">
        <v>48</v>
      </c>
    </row>
    <row r="9415">
      <c r="H9415" s="50"/>
      <c r="I9415" s="50"/>
      <c r="O9415" s="36" t="s">
        <v>48</v>
      </c>
      <c r="R9415" s="36" t="s">
        <v>48</v>
      </c>
    </row>
    <row r="9416">
      <c r="H9416" s="50"/>
      <c r="I9416" s="50"/>
      <c r="O9416" s="36" t="s">
        <v>48</v>
      </c>
      <c r="R9416" s="36" t="s">
        <v>48</v>
      </c>
    </row>
    <row r="9417">
      <c r="H9417" s="50"/>
      <c r="I9417" s="50"/>
      <c r="O9417" s="36" t="s">
        <v>48</v>
      </c>
      <c r="R9417" s="36" t="s">
        <v>48</v>
      </c>
    </row>
    <row r="9418">
      <c r="H9418" s="50"/>
      <c r="I9418" s="50"/>
      <c r="O9418" s="36" t="s">
        <v>48</v>
      </c>
      <c r="R9418" s="36" t="s">
        <v>48</v>
      </c>
    </row>
    <row r="9419">
      <c r="H9419" s="50"/>
      <c r="I9419" s="50"/>
      <c r="O9419" s="36" t="s">
        <v>48</v>
      </c>
      <c r="R9419" s="36" t="s">
        <v>48</v>
      </c>
    </row>
    <row r="9420">
      <c r="H9420" s="50"/>
      <c r="I9420" s="50"/>
      <c r="O9420" s="36" t="s">
        <v>48</v>
      </c>
      <c r="R9420" s="36" t="s">
        <v>48</v>
      </c>
    </row>
    <row r="9421">
      <c r="H9421" s="50"/>
      <c r="I9421" s="50"/>
      <c r="O9421" s="36" t="s">
        <v>48</v>
      </c>
      <c r="R9421" s="36" t="s">
        <v>48</v>
      </c>
    </row>
    <row r="9422">
      <c r="H9422" s="50"/>
      <c r="I9422" s="50"/>
      <c r="O9422" s="36" t="s">
        <v>48</v>
      </c>
      <c r="R9422" s="36" t="s">
        <v>48</v>
      </c>
    </row>
    <row r="9423">
      <c r="H9423" s="50"/>
      <c r="I9423" s="50"/>
      <c r="O9423" s="36" t="s">
        <v>48</v>
      </c>
      <c r="R9423" s="36" t="s">
        <v>48</v>
      </c>
    </row>
    <row r="9424">
      <c r="H9424" s="50"/>
      <c r="I9424" s="50"/>
      <c r="O9424" s="36" t="s">
        <v>48</v>
      </c>
      <c r="R9424" s="36" t="s">
        <v>48</v>
      </c>
    </row>
    <row r="9425">
      <c r="H9425" s="50"/>
      <c r="I9425" s="50"/>
      <c r="O9425" s="36" t="s">
        <v>48</v>
      </c>
      <c r="R9425" s="36" t="s">
        <v>48</v>
      </c>
    </row>
    <row r="9426">
      <c r="H9426" s="50"/>
      <c r="I9426" s="50"/>
      <c r="O9426" s="36" t="s">
        <v>48</v>
      </c>
      <c r="R9426" s="36" t="s">
        <v>48</v>
      </c>
    </row>
    <row r="9427">
      <c r="H9427" s="50"/>
      <c r="I9427" s="50"/>
      <c r="O9427" s="36" t="s">
        <v>48</v>
      </c>
      <c r="R9427" s="36" t="s">
        <v>48</v>
      </c>
    </row>
    <row r="9428">
      <c r="H9428" s="50"/>
      <c r="I9428" s="50"/>
      <c r="O9428" s="36" t="s">
        <v>48</v>
      </c>
      <c r="R9428" s="36" t="s">
        <v>48</v>
      </c>
    </row>
    <row r="9429">
      <c r="H9429" s="50"/>
      <c r="I9429" s="50"/>
      <c r="O9429" s="36" t="s">
        <v>48</v>
      </c>
      <c r="R9429" s="36" t="s">
        <v>48</v>
      </c>
    </row>
    <row r="9430">
      <c r="H9430" s="50"/>
      <c r="I9430" s="50"/>
      <c r="O9430" s="36" t="s">
        <v>48</v>
      </c>
      <c r="R9430" s="36" t="s">
        <v>48</v>
      </c>
    </row>
    <row r="9431">
      <c r="H9431" s="50"/>
      <c r="I9431" s="50"/>
      <c r="O9431" s="36" t="s">
        <v>48</v>
      </c>
      <c r="R9431" s="36" t="s">
        <v>48</v>
      </c>
    </row>
    <row r="9432">
      <c r="H9432" s="50"/>
      <c r="I9432" s="50"/>
      <c r="O9432" s="36" t="s">
        <v>48</v>
      </c>
      <c r="R9432" s="36" t="s">
        <v>48</v>
      </c>
    </row>
    <row r="9433">
      <c r="H9433" s="50"/>
      <c r="I9433" s="50"/>
      <c r="O9433" s="36" t="s">
        <v>48</v>
      </c>
      <c r="R9433" s="36" t="s">
        <v>48</v>
      </c>
    </row>
    <row r="9434">
      <c r="H9434" s="50"/>
      <c r="I9434" s="50"/>
      <c r="O9434" s="36" t="s">
        <v>48</v>
      </c>
      <c r="R9434" s="36" t="s">
        <v>48</v>
      </c>
    </row>
    <row r="9435">
      <c r="H9435" s="50"/>
      <c r="I9435" s="50"/>
      <c r="O9435" s="36" t="s">
        <v>48</v>
      </c>
      <c r="R9435" s="36" t="s">
        <v>48</v>
      </c>
    </row>
    <row r="9436">
      <c r="H9436" s="50"/>
      <c r="I9436" s="50"/>
      <c r="O9436" s="36" t="s">
        <v>48</v>
      </c>
      <c r="R9436" s="36" t="s">
        <v>48</v>
      </c>
    </row>
    <row r="9437">
      <c r="H9437" s="50"/>
      <c r="I9437" s="50"/>
      <c r="O9437" s="36" t="s">
        <v>48</v>
      </c>
      <c r="R9437" s="36" t="s">
        <v>48</v>
      </c>
    </row>
    <row r="9438">
      <c r="H9438" s="50"/>
      <c r="I9438" s="50"/>
      <c r="O9438" s="36" t="s">
        <v>48</v>
      </c>
      <c r="R9438" s="36" t="s">
        <v>48</v>
      </c>
    </row>
    <row r="9439">
      <c r="H9439" s="50"/>
      <c r="I9439" s="50"/>
      <c r="O9439" s="36" t="s">
        <v>48</v>
      </c>
      <c r="R9439" s="36" t="s">
        <v>48</v>
      </c>
    </row>
    <row r="9440">
      <c r="H9440" s="50"/>
      <c r="I9440" s="50"/>
      <c r="O9440" s="36" t="s">
        <v>48</v>
      </c>
      <c r="R9440" s="36" t="s">
        <v>48</v>
      </c>
    </row>
    <row r="9441">
      <c r="H9441" s="50"/>
      <c r="I9441" s="50"/>
      <c r="O9441" s="36" t="s">
        <v>48</v>
      </c>
      <c r="R9441" s="36" t="s">
        <v>48</v>
      </c>
    </row>
    <row r="9442">
      <c r="H9442" s="50"/>
      <c r="I9442" s="50"/>
      <c r="O9442" s="36" t="s">
        <v>48</v>
      </c>
      <c r="R9442" s="36" t="s">
        <v>48</v>
      </c>
    </row>
    <row r="9443">
      <c r="H9443" s="50"/>
      <c r="I9443" s="50"/>
      <c r="O9443" s="36" t="s">
        <v>48</v>
      </c>
      <c r="R9443" s="36" t="s">
        <v>48</v>
      </c>
    </row>
    <row r="9444">
      <c r="H9444" s="50"/>
      <c r="I9444" s="50"/>
      <c r="O9444" s="36" t="s">
        <v>48</v>
      </c>
      <c r="R9444" s="36" t="s">
        <v>48</v>
      </c>
    </row>
    <row r="9445">
      <c r="H9445" s="50"/>
      <c r="I9445" s="50"/>
      <c r="O9445" s="36" t="s">
        <v>48</v>
      </c>
      <c r="R9445" s="36" t="s">
        <v>48</v>
      </c>
    </row>
    <row r="9446">
      <c r="H9446" s="50"/>
      <c r="I9446" s="50"/>
      <c r="O9446" s="36" t="s">
        <v>48</v>
      </c>
      <c r="R9446" s="36" t="s">
        <v>48</v>
      </c>
    </row>
    <row r="9447">
      <c r="H9447" s="50"/>
      <c r="I9447" s="50"/>
      <c r="O9447" s="36" t="s">
        <v>48</v>
      </c>
      <c r="R9447" s="36" t="s">
        <v>48</v>
      </c>
    </row>
    <row r="9448">
      <c r="H9448" s="50"/>
      <c r="I9448" s="50"/>
      <c r="O9448" s="36" t="s">
        <v>48</v>
      </c>
      <c r="R9448" s="36" t="s">
        <v>48</v>
      </c>
    </row>
    <row r="9449">
      <c r="H9449" s="50"/>
      <c r="I9449" s="50"/>
      <c r="O9449" s="36" t="s">
        <v>48</v>
      </c>
      <c r="R9449" s="36" t="s">
        <v>48</v>
      </c>
    </row>
    <row r="9450">
      <c r="H9450" s="50"/>
      <c r="I9450" s="50"/>
      <c r="O9450" s="36" t="s">
        <v>48</v>
      </c>
      <c r="R9450" s="36" t="s">
        <v>48</v>
      </c>
    </row>
    <row r="9451">
      <c r="H9451" s="50"/>
      <c r="I9451" s="50"/>
      <c r="O9451" s="36" t="s">
        <v>48</v>
      </c>
      <c r="R9451" s="36" t="s">
        <v>48</v>
      </c>
    </row>
    <row r="9452">
      <c r="H9452" s="50"/>
      <c r="I9452" s="50"/>
      <c r="O9452" s="36" t="s">
        <v>48</v>
      </c>
      <c r="R9452" s="36" t="s">
        <v>48</v>
      </c>
    </row>
    <row r="9453">
      <c r="H9453" s="50"/>
      <c r="I9453" s="50"/>
      <c r="O9453" s="36" t="s">
        <v>48</v>
      </c>
      <c r="R9453" s="36" t="s">
        <v>48</v>
      </c>
    </row>
    <row r="9454">
      <c r="H9454" s="50"/>
      <c r="I9454" s="50"/>
      <c r="O9454" s="36" t="s">
        <v>48</v>
      </c>
      <c r="R9454" s="36" t="s">
        <v>48</v>
      </c>
    </row>
    <row r="9455">
      <c r="H9455" s="50"/>
      <c r="I9455" s="50"/>
      <c r="O9455" s="36" t="s">
        <v>48</v>
      </c>
      <c r="R9455" s="36" t="s">
        <v>48</v>
      </c>
    </row>
    <row r="9456">
      <c r="H9456" s="50"/>
      <c r="I9456" s="50"/>
      <c r="O9456" s="36" t="s">
        <v>48</v>
      </c>
      <c r="R9456" s="36" t="s">
        <v>48</v>
      </c>
    </row>
    <row r="9457">
      <c r="H9457" s="50"/>
      <c r="I9457" s="50"/>
      <c r="O9457" s="36" t="s">
        <v>48</v>
      </c>
      <c r="R9457" s="36" t="s">
        <v>48</v>
      </c>
    </row>
    <row r="9458">
      <c r="H9458" s="50"/>
      <c r="I9458" s="50"/>
      <c r="O9458" s="36" t="s">
        <v>48</v>
      </c>
      <c r="R9458" s="36" t="s">
        <v>48</v>
      </c>
    </row>
    <row r="9459">
      <c r="H9459" s="50"/>
      <c r="I9459" s="50"/>
      <c r="O9459" s="36" t="s">
        <v>48</v>
      </c>
      <c r="R9459" s="36" t="s">
        <v>48</v>
      </c>
    </row>
    <row r="9460">
      <c r="H9460" s="50"/>
      <c r="I9460" s="50"/>
      <c r="O9460" s="36" t="s">
        <v>48</v>
      </c>
      <c r="R9460" s="36" t="s">
        <v>48</v>
      </c>
    </row>
    <row r="9461">
      <c r="H9461" s="50"/>
      <c r="I9461" s="50"/>
      <c r="O9461" s="36" t="s">
        <v>48</v>
      </c>
      <c r="R9461" s="36" t="s">
        <v>48</v>
      </c>
    </row>
    <row r="9462">
      <c r="H9462" s="50"/>
      <c r="I9462" s="50"/>
      <c r="O9462" s="36" t="s">
        <v>48</v>
      </c>
      <c r="R9462" s="36" t="s">
        <v>48</v>
      </c>
    </row>
    <row r="9463">
      <c r="H9463" s="50"/>
      <c r="I9463" s="50"/>
      <c r="O9463" s="36" t="s">
        <v>48</v>
      </c>
      <c r="R9463" s="36" t="s">
        <v>48</v>
      </c>
    </row>
    <row r="9464">
      <c r="H9464" s="50"/>
      <c r="I9464" s="50"/>
      <c r="O9464" s="36" t="s">
        <v>48</v>
      </c>
      <c r="R9464" s="36" t="s">
        <v>48</v>
      </c>
    </row>
    <row r="9465">
      <c r="H9465" s="50"/>
      <c r="I9465" s="50"/>
      <c r="O9465" s="36" t="s">
        <v>48</v>
      </c>
      <c r="R9465" s="36" t="s">
        <v>48</v>
      </c>
    </row>
    <row r="9466">
      <c r="H9466" s="50"/>
      <c r="I9466" s="50"/>
      <c r="O9466" s="36" t="s">
        <v>48</v>
      </c>
      <c r="R9466" s="36" t="s">
        <v>48</v>
      </c>
    </row>
    <row r="9467">
      <c r="H9467" s="50"/>
      <c r="I9467" s="50"/>
      <c r="O9467" s="36" t="s">
        <v>48</v>
      </c>
      <c r="R9467" s="36" t="s">
        <v>48</v>
      </c>
    </row>
    <row r="9468">
      <c r="H9468" s="50"/>
      <c r="I9468" s="50"/>
      <c r="O9468" s="36" t="s">
        <v>48</v>
      </c>
      <c r="R9468" s="36" t="s">
        <v>48</v>
      </c>
    </row>
    <row r="9469">
      <c r="H9469" s="50"/>
      <c r="I9469" s="50"/>
      <c r="O9469" s="36" t="s">
        <v>48</v>
      </c>
      <c r="R9469" s="36" t="s">
        <v>48</v>
      </c>
    </row>
    <row r="9470">
      <c r="H9470" s="50"/>
      <c r="I9470" s="50"/>
      <c r="O9470" s="36" t="s">
        <v>48</v>
      </c>
      <c r="R9470" s="36" t="s">
        <v>48</v>
      </c>
    </row>
    <row r="9471">
      <c r="H9471" s="50"/>
      <c r="I9471" s="50"/>
      <c r="O9471" s="36" t="s">
        <v>48</v>
      </c>
      <c r="R9471" s="36" t="s">
        <v>48</v>
      </c>
    </row>
    <row r="9472">
      <c r="H9472" s="50"/>
      <c r="I9472" s="50"/>
      <c r="O9472" s="36" t="s">
        <v>48</v>
      </c>
      <c r="R9472" s="36" t="s">
        <v>48</v>
      </c>
    </row>
    <row r="9473">
      <c r="H9473" s="50"/>
      <c r="I9473" s="50"/>
      <c r="O9473" s="36" t="s">
        <v>48</v>
      </c>
      <c r="R9473" s="36" t="s">
        <v>48</v>
      </c>
    </row>
    <row r="9474">
      <c r="H9474" s="50"/>
      <c r="I9474" s="50"/>
      <c r="O9474" s="36" t="s">
        <v>48</v>
      </c>
      <c r="R9474" s="36" t="s">
        <v>48</v>
      </c>
    </row>
    <row r="9475">
      <c r="H9475" s="50"/>
      <c r="I9475" s="50"/>
      <c r="O9475" s="36" t="s">
        <v>48</v>
      </c>
      <c r="R9475" s="36" t="s">
        <v>48</v>
      </c>
    </row>
    <row r="9476">
      <c r="H9476" s="50"/>
      <c r="I9476" s="50"/>
      <c r="O9476" s="36" t="s">
        <v>48</v>
      </c>
      <c r="R9476" s="36" t="s">
        <v>48</v>
      </c>
    </row>
    <row r="9477">
      <c r="H9477" s="50"/>
      <c r="I9477" s="50"/>
      <c r="O9477" s="36" t="s">
        <v>48</v>
      </c>
      <c r="R9477" s="36" t="s">
        <v>48</v>
      </c>
    </row>
    <row r="9478">
      <c r="H9478" s="50"/>
      <c r="I9478" s="50"/>
      <c r="O9478" s="36" t="s">
        <v>48</v>
      </c>
      <c r="R9478" s="36" t="s">
        <v>48</v>
      </c>
    </row>
    <row r="9479">
      <c r="H9479" s="50"/>
      <c r="I9479" s="50"/>
      <c r="O9479" s="36" t="s">
        <v>48</v>
      </c>
      <c r="R9479" s="36" t="s">
        <v>48</v>
      </c>
    </row>
    <row r="9480">
      <c r="H9480" s="50"/>
      <c r="I9480" s="50"/>
      <c r="O9480" s="36" t="s">
        <v>48</v>
      </c>
      <c r="R9480" s="36" t="s">
        <v>48</v>
      </c>
    </row>
    <row r="9481">
      <c r="H9481" s="50"/>
      <c r="I9481" s="50"/>
      <c r="O9481" s="36" t="s">
        <v>48</v>
      </c>
      <c r="R9481" s="36" t="s">
        <v>48</v>
      </c>
    </row>
    <row r="9482">
      <c r="H9482" s="50"/>
      <c r="I9482" s="50"/>
      <c r="O9482" s="36" t="s">
        <v>48</v>
      </c>
      <c r="R9482" s="36" t="s">
        <v>48</v>
      </c>
    </row>
    <row r="9483">
      <c r="H9483" s="50"/>
      <c r="I9483" s="50"/>
      <c r="O9483" s="36" t="s">
        <v>48</v>
      </c>
      <c r="R9483" s="36" t="s">
        <v>48</v>
      </c>
    </row>
    <row r="9484">
      <c r="H9484" s="50"/>
      <c r="I9484" s="50"/>
      <c r="O9484" s="36" t="s">
        <v>48</v>
      </c>
      <c r="R9484" s="36" t="s">
        <v>48</v>
      </c>
    </row>
    <row r="9485">
      <c r="H9485" s="50"/>
      <c r="I9485" s="50"/>
      <c r="O9485" s="36" t="s">
        <v>48</v>
      </c>
      <c r="R9485" s="36" t="s">
        <v>48</v>
      </c>
    </row>
    <row r="9486">
      <c r="H9486" s="50"/>
      <c r="I9486" s="50"/>
      <c r="O9486" s="36" t="s">
        <v>48</v>
      </c>
      <c r="R9486" s="36" t="s">
        <v>48</v>
      </c>
    </row>
    <row r="9487">
      <c r="H9487" s="50"/>
      <c r="I9487" s="50"/>
      <c r="O9487" s="36" t="s">
        <v>48</v>
      </c>
      <c r="R9487" s="36" t="s">
        <v>48</v>
      </c>
    </row>
    <row r="9488">
      <c r="H9488" s="50"/>
      <c r="I9488" s="50"/>
      <c r="O9488" s="36" t="s">
        <v>48</v>
      </c>
      <c r="R9488" s="36" t="s">
        <v>48</v>
      </c>
    </row>
    <row r="9489">
      <c r="H9489" s="50"/>
      <c r="I9489" s="50"/>
      <c r="O9489" s="36" t="s">
        <v>48</v>
      </c>
      <c r="R9489" s="36" t="s">
        <v>48</v>
      </c>
    </row>
    <row r="9490">
      <c r="H9490" s="50"/>
      <c r="I9490" s="50"/>
      <c r="O9490" s="36" t="s">
        <v>48</v>
      </c>
      <c r="R9490" s="36" t="s">
        <v>48</v>
      </c>
    </row>
    <row r="9491">
      <c r="H9491" s="50"/>
      <c r="I9491" s="50"/>
      <c r="O9491" s="36" t="s">
        <v>48</v>
      </c>
      <c r="R9491" s="36" t="s">
        <v>48</v>
      </c>
    </row>
    <row r="9492">
      <c r="H9492" s="50"/>
      <c r="I9492" s="50"/>
      <c r="O9492" s="36" t="s">
        <v>48</v>
      </c>
      <c r="R9492" s="36" t="s">
        <v>48</v>
      </c>
    </row>
    <row r="9493">
      <c r="H9493" s="50"/>
      <c r="I9493" s="50"/>
      <c r="O9493" s="36" t="s">
        <v>48</v>
      </c>
      <c r="R9493" s="36" t="s">
        <v>48</v>
      </c>
    </row>
    <row r="9494">
      <c r="H9494" s="50"/>
      <c r="I9494" s="50"/>
      <c r="O9494" s="36" t="s">
        <v>48</v>
      </c>
      <c r="R9494" s="36" t="s">
        <v>48</v>
      </c>
    </row>
    <row r="9495">
      <c r="H9495" s="50"/>
      <c r="I9495" s="50"/>
      <c r="O9495" s="36" t="s">
        <v>48</v>
      </c>
      <c r="R9495" s="36" t="s">
        <v>48</v>
      </c>
    </row>
    <row r="9496">
      <c r="H9496" s="50"/>
      <c r="I9496" s="50"/>
      <c r="O9496" s="36" t="s">
        <v>48</v>
      </c>
      <c r="R9496" s="36" t="s">
        <v>48</v>
      </c>
    </row>
    <row r="9497">
      <c r="H9497" s="50"/>
      <c r="I9497" s="50"/>
      <c r="O9497" s="36" t="s">
        <v>48</v>
      </c>
      <c r="R9497" s="36" t="s">
        <v>48</v>
      </c>
    </row>
    <row r="9498">
      <c r="H9498" s="50"/>
      <c r="I9498" s="50"/>
      <c r="O9498" s="36" t="s">
        <v>48</v>
      </c>
      <c r="R9498" s="36" t="s">
        <v>48</v>
      </c>
    </row>
    <row r="9499">
      <c r="H9499" s="50"/>
      <c r="I9499" s="50"/>
      <c r="O9499" s="36" t="s">
        <v>48</v>
      </c>
      <c r="R9499" s="36" t="s">
        <v>48</v>
      </c>
    </row>
    <row r="9500">
      <c r="H9500" s="50"/>
      <c r="I9500" s="50"/>
      <c r="O9500" s="36" t="s">
        <v>48</v>
      </c>
      <c r="R9500" s="36" t="s">
        <v>48</v>
      </c>
    </row>
    <row r="9501">
      <c r="H9501" s="50"/>
      <c r="I9501" s="50"/>
      <c r="O9501" s="36" t="s">
        <v>48</v>
      </c>
      <c r="R9501" s="36" t="s">
        <v>48</v>
      </c>
    </row>
    <row r="9502">
      <c r="H9502" s="50"/>
      <c r="I9502" s="50"/>
      <c r="O9502" s="36" t="s">
        <v>48</v>
      </c>
      <c r="R9502" s="36" t="s">
        <v>48</v>
      </c>
    </row>
    <row r="9503">
      <c r="H9503" s="50"/>
      <c r="I9503" s="50"/>
      <c r="O9503" s="36" t="s">
        <v>48</v>
      </c>
      <c r="R9503" s="36" t="s">
        <v>48</v>
      </c>
    </row>
    <row r="9504">
      <c r="H9504" s="50"/>
      <c r="I9504" s="50"/>
      <c r="O9504" s="36" t="s">
        <v>48</v>
      </c>
      <c r="R9504" s="36" t="s">
        <v>48</v>
      </c>
    </row>
    <row r="9505">
      <c r="H9505" s="50"/>
      <c r="I9505" s="50"/>
      <c r="O9505" s="36" t="s">
        <v>48</v>
      </c>
      <c r="R9505" s="36" t="s">
        <v>48</v>
      </c>
    </row>
    <row r="9506">
      <c r="H9506" s="50"/>
      <c r="I9506" s="50"/>
      <c r="O9506" s="36" t="s">
        <v>48</v>
      </c>
      <c r="R9506" s="36" t="s">
        <v>48</v>
      </c>
    </row>
    <row r="9507">
      <c r="H9507" s="50"/>
      <c r="I9507" s="50"/>
      <c r="O9507" s="36" t="s">
        <v>48</v>
      </c>
      <c r="R9507" s="36" t="s">
        <v>48</v>
      </c>
    </row>
    <row r="9508">
      <c r="H9508" s="50"/>
      <c r="I9508" s="50"/>
      <c r="O9508" s="36" t="s">
        <v>48</v>
      </c>
      <c r="R9508" s="36" t="s">
        <v>48</v>
      </c>
    </row>
    <row r="9509">
      <c r="H9509" s="50"/>
      <c r="I9509" s="50"/>
      <c r="O9509" s="36" t="s">
        <v>48</v>
      </c>
      <c r="R9509" s="36" t="s">
        <v>48</v>
      </c>
    </row>
    <row r="9510">
      <c r="H9510" s="50"/>
      <c r="I9510" s="50"/>
      <c r="O9510" s="36" t="s">
        <v>48</v>
      </c>
      <c r="R9510" s="36" t="s">
        <v>48</v>
      </c>
    </row>
    <row r="9511">
      <c r="H9511" s="50"/>
      <c r="I9511" s="50"/>
      <c r="O9511" s="36" t="s">
        <v>48</v>
      </c>
      <c r="R9511" s="36" t="s">
        <v>48</v>
      </c>
    </row>
    <row r="9512">
      <c r="H9512" s="50"/>
      <c r="I9512" s="50"/>
      <c r="O9512" s="36" t="s">
        <v>48</v>
      </c>
      <c r="R9512" s="36" t="s">
        <v>48</v>
      </c>
    </row>
    <row r="9513">
      <c r="H9513" s="50"/>
      <c r="I9513" s="50"/>
      <c r="O9513" s="36" t="s">
        <v>48</v>
      </c>
      <c r="R9513" s="36" t="s">
        <v>48</v>
      </c>
    </row>
    <row r="9514">
      <c r="H9514" s="50"/>
      <c r="I9514" s="50"/>
      <c r="O9514" s="36" t="s">
        <v>48</v>
      </c>
      <c r="R9514" s="36" t="s">
        <v>48</v>
      </c>
    </row>
    <row r="9515">
      <c r="H9515" s="50"/>
      <c r="I9515" s="50"/>
      <c r="O9515" s="36" t="s">
        <v>48</v>
      </c>
      <c r="R9515" s="36" t="s">
        <v>48</v>
      </c>
    </row>
    <row r="9516">
      <c r="H9516" s="50"/>
      <c r="I9516" s="50"/>
      <c r="O9516" s="36" t="s">
        <v>48</v>
      </c>
      <c r="R9516" s="36" t="s">
        <v>48</v>
      </c>
    </row>
    <row r="9517">
      <c r="H9517" s="50"/>
      <c r="I9517" s="50"/>
      <c r="O9517" s="36" t="s">
        <v>48</v>
      </c>
      <c r="R9517" s="36" t="s">
        <v>48</v>
      </c>
    </row>
    <row r="9518">
      <c r="H9518" s="50"/>
      <c r="I9518" s="50"/>
      <c r="O9518" s="36" t="s">
        <v>48</v>
      </c>
      <c r="R9518" s="36" t="s">
        <v>48</v>
      </c>
    </row>
    <row r="9519">
      <c r="H9519" s="50"/>
      <c r="I9519" s="50"/>
      <c r="O9519" s="36" t="s">
        <v>48</v>
      </c>
      <c r="R9519" s="36" t="s">
        <v>48</v>
      </c>
    </row>
    <row r="9520">
      <c r="H9520" s="50"/>
      <c r="I9520" s="50"/>
      <c r="O9520" s="36" t="s">
        <v>48</v>
      </c>
      <c r="R9520" s="36" t="s">
        <v>48</v>
      </c>
    </row>
    <row r="9521">
      <c r="H9521" s="50"/>
      <c r="I9521" s="50"/>
      <c r="O9521" s="36" t="s">
        <v>48</v>
      </c>
      <c r="R9521" s="36" t="s">
        <v>48</v>
      </c>
    </row>
    <row r="9522">
      <c r="H9522" s="50"/>
      <c r="I9522" s="50"/>
      <c r="O9522" s="36" t="s">
        <v>48</v>
      </c>
      <c r="R9522" s="36" t="s">
        <v>48</v>
      </c>
    </row>
    <row r="9523">
      <c r="H9523" s="50"/>
      <c r="I9523" s="50"/>
      <c r="O9523" s="36" t="s">
        <v>48</v>
      </c>
      <c r="R9523" s="36" t="s">
        <v>48</v>
      </c>
    </row>
    <row r="9524">
      <c r="H9524" s="50"/>
      <c r="I9524" s="50"/>
      <c r="O9524" s="36" t="s">
        <v>48</v>
      </c>
      <c r="R9524" s="36" t="s">
        <v>48</v>
      </c>
    </row>
    <row r="9525">
      <c r="H9525" s="50"/>
      <c r="I9525" s="50"/>
      <c r="O9525" s="36" t="s">
        <v>48</v>
      </c>
      <c r="R9525" s="36" t="s">
        <v>48</v>
      </c>
    </row>
    <row r="9526">
      <c r="H9526" s="50"/>
      <c r="I9526" s="50"/>
      <c r="O9526" s="36" t="s">
        <v>48</v>
      </c>
      <c r="R9526" s="36" t="s">
        <v>48</v>
      </c>
    </row>
    <row r="9527">
      <c r="H9527" s="50"/>
      <c r="I9527" s="50"/>
      <c r="O9527" s="36" t="s">
        <v>48</v>
      </c>
      <c r="R9527" s="36" t="s">
        <v>48</v>
      </c>
    </row>
    <row r="9528">
      <c r="H9528" s="50"/>
      <c r="I9528" s="50"/>
      <c r="O9528" s="36" t="s">
        <v>48</v>
      </c>
      <c r="R9528" s="36" t="s">
        <v>48</v>
      </c>
    </row>
    <row r="9529">
      <c r="H9529" s="50"/>
      <c r="I9529" s="50"/>
      <c r="O9529" s="36" t="s">
        <v>48</v>
      </c>
      <c r="R9529" s="36" t="s">
        <v>48</v>
      </c>
    </row>
    <row r="9530">
      <c r="H9530" s="50"/>
      <c r="I9530" s="50"/>
      <c r="O9530" s="36" t="s">
        <v>48</v>
      </c>
      <c r="R9530" s="36" t="s">
        <v>48</v>
      </c>
    </row>
    <row r="9531">
      <c r="H9531" s="50"/>
      <c r="I9531" s="50"/>
      <c r="O9531" s="36" t="s">
        <v>48</v>
      </c>
      <c r="R9531" s="36" t="s">
        <v>48</v>
      </c>
    </row>
    <row r="9532">
      <c r="H9532" s="50"/>
      <c r="I9532" s="50"/>
      <c r="O9532" s="36" t="s">
        <v>48</v>
      </c>
      <c r="R9532" s="36" t="s">
        <v>48</v>
      </c>
    </row>
    <row r="9533">
      <c r="H9533" s="50"/>
      <c r="I9533" s="50"/>
      <c r="O9533" s="36" t="s">
        <v>48</v>
      </c>
      <c r="R9533" s="36" t="s">
        <v>48</v>
      </c>
    </row>
    <row r="9534">
      <c r="H9534" s="50"/>
      <c r="I9534" s="50"/>
      <c r="O9534" s="36" t="s">
        <v>48</v>
      </c>
      <c r="R9534" s="36" t="s">
        <v>48</v>
      </c>
    </row>
    <row r="9535">
      <c r="H9535" s="50"/>
      <c r="I9535" s="50"/>
      <c r="O9535" s="36" t="s">
        <v>48</v>
      </c>
      <c r="R9535" s="36" t="s">
        <v>48</v>
      </c>
    </row>
    <row r="9536">
      <c r="H9536" s="50"/>
      <c r="I9536" s="50"/>
      <c r="O9536" s="36" t="s">
        <v>48</v>
      </c>
      <c r="R9536" s="36" t="s">
        <v>48</v>
      </c>
    </row>
    <row r="9537">
      <c r="H9537" s="50"/>
      <c r="I9537" s="50"/>
      <c r="O9537" s="36" t="s">
        <v>48</v>
      </c>
      <c r="R9537" s="36" t="s">
        <v>48</v>
      </c>
    </row>
    <row r="9538">
      <c r="H9538" s="50"/>
      <c r="I9538" s="50"/>
      <c r="O9538" s="36" t="s">
        <v>48</v>
      </c>
      <c r="R9538" s="36" t="s">
        <v>48</v>
      </c>
    </row>
    <row r="9539">
      <c r="H9539" s="50"/>
      <c r="I9539" s="50"/>
      <c r="O9539" s="36" t="s">
        <v>48</v>
      </c>
      <c r="R9539" s="36" t="s">
        <v>48</v>
      </c>
    </row>
    <row r="9540">
      <c r="H9540" s="50"/>
      <c r="I9540" s="50"/>
      <c r="O9540" s="36" t="s">
        <v>48</v>
      </c>
      <c r="R9540" s="36" t="s">
        <v>48</v>
      </c>
    </row>
    <row r="9541">
      <c r="H9541" s="50"/>
      <c r="I9541" s="50"/>
      <c r="O9541" s="36" t="s">
        <v>48</v>
      </c>
      <c r="R9541" s="36" t="s">
        <v>48</v>
      </c>
    </row>
    <row r="9542">
      <c r="H9542" s="50"/>
      <c r="I9542" s="50"/>
      <c r="O9542" s="36" t="s">
        <v>48</v>
      </c>
      <c r="R9542" s="36" t="s">
        <v>48</v>
      </c>
    </row>
    <row r="9543">
      <c r="H9543" s="50"/>
      <c r="I9543" s="50"/>
      <c r="O9543" s="36" t="s">
        <v>48</v>
      </c>
      <c r="R9543" s="36" t="s">
        <v>48</v>
      </c>
    </row>
    <row r="9544">
      <c r="H9544" s="50"/>
      <c r="I9544" s="50"/>
      <c r="O9544" s="36" t="s">
        <v>48</v>
      </c>
      <c r="R9544" s="36" t="s">
        <v>48</v>
      </c>
    </row>
    <row r="9545">
      <c r="H9545" s="50"/>
      <c r="I9545" s="50"/>
      <c r="O9545" s="36" t="s">
        <v>48</v>
      </c>
      <c r="R9545" s="36" t="s">
        <v>48</v>
      </c>
    </row>
    <row r="9546">
      <c r="H9546" s="50"/>
      <c r="I9546" s="50"/>
      <c r="O9546" s="36" t="s">
        <v>48</v>
      </c>
      <c r="R9546" s="36" t="s">
        <v>48</v>
      </c>
    </row>
    <row r="9547">
      <c r="H9547" s="50"/>
      <c r="I9547" s="50"/>
      <c r="O9547" s="36" t="s">
        <v>48</v>
      </c>
      <c r="R9547" s="36" t="s">
        <v>48</v>
      </c>
    </row>
    <row r="9548">
      <c r="H9548" s="50"/>
      <c r="I9548" s="50"/>
      <c r="O9548" s="36" t="s">
        <v>48</v>
      </c>
      <c r="R9548" s="36" t="s">
        <v>48</v>
      </c>
    </row>
    <row r="9549">
      <c r="H9549" s="50"/>
      <c r="I9549" s="50"/>
      <c r="O9549" s="36" t="s">
        <v>48</v>
      </c>
      <c r="R9549" s="36" t="s">
        <v>48</v>
      </c>
    </row>
    <row r="9550">
      <c r="H9550" s="50"/>
      <c r="I9550" s="50"/>
      <c r="O9550" s="36" t="s">
        <v>48</v>
      </c>
      <c r="R9550" s="36" t="s">
        <v>48</v>
      </c>
    </row>
    <row r="9551">
      <c r="H9551" s="50"/>
      <c r="I9551" s="50"/>
      <c r="O9551" s="36" t="s">
        <v>48</v>
      </c>
      <c r="R9551" s="36" t="s">
        <v>48</v>
      </c>
    </row>
    <row r="9552">
      <c r="H9552" s="50"/>
      <c r="I9552" s="50"/>
      <c r="O9552" s="36" t="s">
        <v>48</v>
      </c>
      <c r="R9552" s="36" t="s">
        <v>48</v>
      </c>
    </row>
    <row r="9553">
      <c r="H9553" s="50"/>
      <c r="I9553" s="50"/>
      <c r="O9553" s="36" t="s">
        <v>48</v>
      </c>
      <c r="R9553" s="36" t="s">
        <v>48</v>
      </c>
    </row>
    <row r="9554">
      <c r="H9554" s="50"/>
      <c r="I9554" s="50"/>
      <c r="O9554" s="36" t="s">
        <v>48</v>
      </c>
      <c r="R9554" s="36" t="s">
        <v>48</v>
      </c>
    </row>
    <row r="9555">
      <c r="H9555" s="50"/>
      <c r="I9555" s="50"/>
      <c r="O9555" s="36" t="s">
        <v>48</v>
      </c>
      <c r="R9555" s="36" t="s">
        <v>48</v>
      </c>
    </row>
    <row r="9556">
      <c r="H9556" s="50"/>
      <c r="I9556" s="50"/>
      <c r="O9556" s="36" t="s">
        <v>48</v>
      </c>
      <c r="R9556" s="36" t="s">
        <v>48</v>
      </c>
    </row>
    <row r="9557">
      <c r="H9557" s="50"/>
      <c r="I9557" s="50"/>
      <c r="O9557" s="36" t="s">
        <v>48</v>
      </c>
      <c r="R9557" s="36" t="s">
        <v>48</v>
      </c>
    </row>
    <row r="9558">
      <c r="H9558" s="50"/>
      <c r="I9558" s="50"/>
      <c r="O9558" s="36" t="s">
        <v>48</v>
      </c>
      <c r="R9558" s="36" t="s">
        <v>48</v>
      </c>
    </row>
    <row r="9559">
      <c r="H9559" s="50"/>
      <c r="I9559" s="50"/>
      <c r="O9559" s="36" t="s">
        <v>48</v>
      </c>
      <c r="R9559" s="36" t="s">
        <v>48</v>
      </c>
    </row>
    <row r="9560">
      <c r="H9560" s="50"/>
      <c r="I9560" s="50"/>
      <c r="O9560" s="36" t="s">
        <v>48</v>
      </c>
      <c r="R9560" s="36" t="s">
        <v>48</v>
      </c>
    </row>
    <row r="9561">
      <c r="H9561" s="50"/>
      <c r="I9561" s="50"/>
      <c r="O9561" s="36" t="s">
        <v>48</v>
      </c>
      <c r="R9561" s="36" t="s">
        <v>48</v>
      </c>
    </row>
    <row r="9562">
      <c r="H9562" s="50"/>
      <c r="I9562" s="50"/>
      <c r="O9562" s="36" t="s">
        <v>48</v>
      </c>
      <c r="R9562" s="36" t="s">
        <v>48</v>
      </c>
    </row>
    <row r="9563">
      <c r="H9563" s="50"/>
      <c r="I9563" s="50"/>
      <c r="O9563" s="36" t="s">
        <v>48</v>
      </c>
      <c r="R9563" s="36" t="s">
        <v>48</v>
      </c>
    </row>
    <row r="9564">
      <c r="H9564" s="50"/>
      <c r="I9564" s="50"/>
      <c r="O9564" s="36" t="s">
        <v>48</v>
      </c>
      <c r="R9564" s="36" t="s">
        <v>48</v>
      </c>
    </row>
    <row r="9565">
      <c r="H9565" s="50"/>
      <c r="I9565" s="50"/>
      <c r="O9565" s="36" t="s">
        <v>48</v>
      </c>
      <c r="R9565" s="36" t="s">
        <v>48</v>
      </c>
    </row>
    <row r="9566">
      <c r="H9566" s="50"/>
      <c r="I9566" s="50"/>
      <c r="O9566" s="36" t="s">
        <v>48</v>
      </c>
      <c r="R9566" s="36" t="s">
        <v>48</v>
      </c>
    </row>
    <row r="9567">
      <c r="H9567" s="50"/>
      <c r="I9567" s="50"/>
      <c r="O9567" s="36" t="s">
        <v>48</v>
      </c>
      <c r="R9567" s="36" t="s">
        <v>48</v>
      </c>
    </row>
    <row r="9568">
      <c r="H9568" s="50"/>
      <c r="I9568" s="50"/>
      <c r="O9568" s="36" t="s">
        <v>48</v>
      </c>
      <c r="R9568" s="36" t="s">
        <v>48</v>
      </c>
    </row>
    <row r="9569">
      <c r="H9569" s="50"/>
      <c r="I9569" s="50"/>
      <c r="O9569" s="36" t="s">
        <v>48</v>
      </c>
      <c r="R9569" s="36" t="s">
        <v>48</v>
      </c>
    </row>
    <row r="9570">
      <c r="H9570" s="50"/>
      <c r="I9570" s="50"/>
      <c r="O9570" s="36" t="s">
        <v>48</v>
      </c>
      <c r="R9570" s="36" t="s">
        <v>48</v>
      </c>
    </row>
    <row r="9571">
      <c r="H9571" s="50"/>
      <c r="I9571" s="50"/>
      <c r="O9571" s="36" t="s">
        <v>48</v>
      </c>
      <c r="R9571" s="36" t="s">
        <v>48</v>
      </c>
    </row>
    <row r="9572">
      <c r="H9572" s="50"/>
      <c r="I9572" s="50"/>
      <c r="O9572" s="36" t="s">
        <v>48</v>
      </c>
      <c r="R9572" s="36" t="s">
        <v>48</v>
      </c>
    </row>
    <row r="9573">
      <c r="H9573" s="50"/>
      <c r="I9573" s="50"/>
      <c r="O9573" s="36" t="s">
        <v>48</v>
      </c>
      <c r="R9573" s="36" t="s">
        <v>48</v>
      </c>
    </row>
    <row r="9574">
      <c r="H9574" s="50"/>
      <c r="I9574" s="50"/>
      <c r="O9574" s="36" t="s">
        <v>48</v>
      </c>
      <c r="R9574" s="36" t="s">
        <v>48</v>
      </c>
    </row>
    <row r="9575">
      <c r="H9575" s="50"/>
      <c r="I9575" s="50"/>
      <c r="O9575" s="36" t="s">
        <v>48</v>
      </c>
      <c r="R9575" s="36" t="s">
        <v>48</v>
      </c>
    </row>
    <row r="9576">
      <c r="H9576" s="50"/>
      <c r="I9576" s="50"/>
      <c r="O9576" s="36" t="s">
        <v>48</v>
      </c>
      <c r="R9576" s="36" t="s">
        <v>48</v>
      </c>
    </row>
    <row r="9577">
      <c r="H9577" s="50"/>
      <c r="I9577" s="50"/>
      <c r="O9577" s="36" t="s">
        <v>48</v>
      </c>
      <c r="R9577" s="36" t="s">
        <v>48</v>
      </c>
    </row>
    <row r="9578">
      <c r="H9578" s="50"/>
      <c r="I9578" s="50"/>
      <c r="O9578" s="36" t="s">
        <v>48</v>
      </c>
      <c r="R9578" s="36" t="s">
        <v>48</v>
      </c>
    </row>
    <row r="9579">
      <c r="H9579" s="50"/>
      <c r="I9579" s="50"/>
      <c r="O9579" s="36" t="s">
        <v>48</v>
      </c>
      <c r="R9579" s="36" t="s">
        <v>48</v>
      </c>
    </row>
    <row r="9580">
      <c r="H9580" s="50"/>
      <c r="I9580" s="50"/>
      <c r="O9580" s="36" t="s">
        <v>48</v>
      </c>
      <c r="R9580" s="36" t="s">
        <v>48</v>
      </c>
    </row>
    <row r="9581">
      <c r="H9581" s="50"/>
      <c r="I9581" s="50"/>
      <c r="O9581" s="36" t="s">
        <v>48</v>
      </c>
      <c r="R9581" s="36" t="s">
        <v>48</v>
      </c>
    </row>
    <row r="9582">
      <c r="H9582" s="50"/>
      <c r="I9582" s="50"/>
      <c r="O9582" s="36" t="s">
        <v>48</v>
      </c>
      <c r="R9582" s="36" t="s">
        <v>48</v>
      </c>
    </row>
    <row r="9583">
      <c r="H9583" s="50"/>
      <c r="I9583" s="50"/>
      <c r="O9583" s="36" t="s">
        <v>48</v>
      </c>
      <c r="R9583" s="36" t="s">
        <v>48</v>
      </c>
    </row>
    <row r="9584">
      <c r="H9584" s="50"/>
      <c r="I9584" s="50"/>
      <c r="O9584" s="36" t="s">
        <v>48</v>
      </c>
      <c r="R9584" s="36" t="s">
        <v>48</v>
      </c>
    </row>
    <row r="9585">
      <c r="H9585" s="50"/>
      <c r="I9585" s="50"/>
      <c r="O9585" s="36" t="s">
        <v>48</v>
      </c>
      <c r="R9585" s="36" t="s">
        <v>48</v>
      </c>
    </row>
    <row r="9586">
      <c r="H9586" s="50"/>
      <c r="I9586" s="50"/>
      <c r="O9586" s="36" t="s">
        <v>48</v>
      </c>
      <c r="R9586" s="36" t="s">
        <v>48</v>
      </c>
    </row>
    <row r="9587">
      <c r="H9587" s="50"/>
      <c r="I9587" s="50"/>
      <c r="O9587" s="36" t="s">
        <v>48</v>
      </c>
      <c r="R9587" s="36" t="s">
        <v>48</v>
      </c>
    </row>
    <row r="9588">
      <c r="H9588" s="50"/>
      <c r="I9588" s="50"/>
      <c r="O9588" s="36" t="s">
        <v>48</v>
      </c>
      <c r="R9588" s="36" t="s">
        <v>48</v>
      </c>
    </row>
    <row r="9589">
      <c r="H9589" s="50"/>
      <c r="I9589" s="50"/>
      <c r="O9589" s="36" t="s">
        <v>48</v>
      </c>
      <c r="R9589" s="36" t="s">
        <v>48</v>
      </c>
    </row>
    <row r="9590">
      <c r="H9590" s="50"/>
      <c r="I9590" s="50"/>
      <c r="O9590" s="36" t="s">
        <v>48</v>
      </c>
      <c r="R9590" s="36" t="s">
        <v>48</v>
      </c>
    </row>
    <row r="9591">
      <c r="H9591" s="50"/>
      <c r="I9591" s="50"/>
      <c r="O9591" s="36" t="s">
        <v>48</v>
      </c>
      <c r="R9591" s="36" t="s">
        <v>48</v>
      </c>
    </row>
    <row r="9592">
      <c r="H9592" s="50"/>
      <c r="I9592" s="50"/>
      <c r="O9592" s="36" t="s">
        <v>48</v>
      </c>
      <c r="R9592" s="36" t="s">
        <v>48</v>
      </c>
    </row>
    <row r="9593">
      <c r="H9593" s="50"/>
      <c r="I9593" s="50"/>
      <c r="O9593" s="36" t="s">
        <v>48</v>
      </c>
      <c r="R9593" s="36" t="s">
        <v>48</v>
      </c>
    </row>
    <row r="9594">
      <c r="H9594" s="50"/>
      <c r="I9594" s="50"/>
      <c r="O9594" s="36" t="s">
        <v>48</v>
      </c>
      <c r="R9594" s="36" t="s">
        <v>48</v>
      </c>
    </row>
    <row r="9595">
      <c r="H9595" s="50"/>
      <c r="I9595" s="50"/>
      <c r="O9595" s="36" t="s">
        <v>48</v>
      </c>
      <c r="R9595" s="36" t="s">
        <v>48</v>
      </c>
    </row>
    <row r="9596">
      <c r="H9596" s="50"/>
      <c r="I9596" s="50"/>
      <c r="O9596" s="36" t="s">
        <v>48</v>
      </c>
      <c r="R9596" s="36" t="s">
        <v>48</v>
      </c>
    </row>
    <row r="9597">
      <c r="H9597" s="50"/>
      <c r="I9597" s="50"/>
      <c r="O9597" s="36" t="s">
        <v>48</v>
      </c>
      <c r="R9597" s="36" t="s">
        <v>48</v>
      </c>
    </row>
    <row r="9598">
      <c r="H9598" s="50"/>
      <c r="I9598" s="50"/>
      <c r="O9598" s="36" t="s">
        <v>48</v>
      </c>
      <c r="R9598" s="36" t="s">
        <v>48</v>
      </c>
    </row>
    <row r="9599">
      <c r="H9599" s="50"/>
      <c r="I9599" s="50"/>
      <c r="O9599" s="36" t="s">
        <v>48</v>
      </c>
      <c r="R9599" s="36" t="s">
        <v>48</v>
      </c>
    </row>
    <row r="9600">
      <c r="H9600" s="50"/>
      <c r="I9600" s="50"/>
      <c r="O9600" s="36" t="s">
        <v>48</v>
      </c>
      <c r="R9600" s="36" t="s">
        <v>48</v>
      </c>
    </row>
    <row r="9601">
      <c r="H9601" s="50"/>
      <c r="I9601" s="50"/>
      <c r="O9601" s="36" t="s">
        <v>48</v>
      </c>
      <c r="R9601" s="36" t="s">
        <v>48</v>
      </c>
    </row>
    <row r="9602">
      <c r="H9602" s="50"/>
      <c r="I9602" s="50"/>
      <c r="O9602" s="36" t="s">
        <v>48</v>
      </c>
      <c r="R9602" s="36" t="s">
        <v>48</v>
      </c>
    </row>
    <row r="9603">
      <c r="H9603" s="50"/>
      <c r="I9603" s="50"/>
      <c r="O9603" s="36" t="s">
        <v>48</v>
      </c>
      <c r="R9603" s="36" t="s">
        <v>48</v>
      </c>
    </row>
    <row r="9604">
      <c r="H9604" s="50"/>
      <c r="I9604" s="50"/>
      <c r="O9604" s="36" t="s">
        <v>48</v>
      </c>
      <c r="R9604" s="36" t="s">
        <v>48</v>
      </c>
    </row>
    <row r="9605">
      <c r="H9605" s="50"/>
      <c r="I9605" s="50"/>
      <c r="O9605" s="36" t="s">
        <v>48</v>
      </c>
      <c r="R9605" s="36" t="s">
        <v>48</v>
      </c>
    </row>
    <row r="9606">
      <c r="H9606" s="50"/>
      <c r="I9606" s="50"/>
      <c r="O9606" s="36" t="s">
        <v>48</v>
      </c>
      <c r="R9606" s="36" t="s">
        <v>48</v>
      </c>
    </row>
    <row r="9607">
      <c r="H9607" s="50"/>
      <c r="I9607" s="50"/>
      <c r="O9607" s="36" t="s">
        <v>48</v>
      </c>
      <c r="R9607" s="36" t="s">
        <v>48</v>
      </c>
    </row>
    <row r="9608">
      <c r="H9608" s="50"/>
      <c r="I9608" s="50"/>
      <c r="O9608" s="36" t="s">
        <v>48</v>
      </c>
      <c r="R9608" s="36" t="s">
        <v>48</v>
      </c>
    </row>
    <row r="9609">
      <c r="H9609" s="50"/>
      <c r="I9609" s="50"/>
      <c r="O9609" s="36" t="s">
        <v>48</v>
      </c>
      <c r="R9609" s="36" t="s">
        <v>48</v>
      </c>
    </row>
    <row r="9610">
      <c r="H9610" s="50"/>
      <c r="I9610" s="50"/>
      <c r="O9610" s="36" t="s">
        <v>48</v>
      </c>
      <c r="R9610" s="36" t="s">
        <v>48</v>
      </c>
    </row>
    <row r="9611">
      <c r="H9611" s="50"/>
      <c r="I9611" s="50"/>
      <c r="O9611" s="36" t="s">
        <v>48</v>
      </c>
      <c r="R9611" s="36" t="s">
        <v>48</v>
      </c>
    </row>
    <row r="9612">
      <c r="H9612" s="50"/>
      <c r="I9612" s="50"/>
      <c r="O9612" s="36" t="s">
        <v>48</v>
      </c>
      <c r="R9612" s="36" t="s">
        <v>48</v>
      </c>
    </row>
    <row r="9613">
      <c r="H9613" s="50"/>
      <c r="I9613" s="50"/>
      <c r="O9613" s="36" t="s">
        <v>48</v>
      </c>
      <c r="R9613" s="36" t="s">
        <v>48</v>
      </c>
    </row>
    <row r="9614">
      <c r="H9614" s="50"/>
      <c r="I9614" s="50"/>
      <c r="O9614" s="36" t="s">
        <v>48</v>
      </c>
      <c r="R9614" s="36" t="s">
        <v>48</v>
      </c>
    </row>
    <row r="9615">
      <c r="H9615" s="50"/>
      <c r="I9615" s="50"/>
      <c r="O9615" s="36" t="s">
        <v>48</v>
      </c>
      <c r="R9615" s="36" t="s">
        <v>48</v>
      </c>
    </row>
    <row r="9616">
      <c r="H9616" s="50"/>
      <c r="I9616" s="50"/>
      <c r="O9616" s="36" t="s">
        <v>48</v>
      </c>
      <c r="R9616" s="36" t="s">
        <v>48</v>
      </c>
    </row>
    <row r="9617">
      <c r="H9617" s="50"/>
      <c r="I9617" s="50"/>
      <c r="O9617" s="36" t="s">
        <v>48</v>
      </c>
      <c r="R9617" s="36" t="s">
        <v>48</v>
      </c>
    </row>
    <row r="9618">
      <c r="H9618" s="50"/>
      <c r="I9618" s="50"/>
      <c r="O9618" s="36" t="s">
        <v>48</v>
      </c>
      <c r="R9618" s="36" t="s">
        <v>48</v>
      </c>
    </row>
    <row r="9619">
      <c r="H9619" s="50"/>
      <c r="I9619" s="50"/>
      <c r="O9619" s="36" t="s">
        <v>48</v>
      </c>
      <c r="R9619" s="36" t="s">
        <v>48</v>
      </c>
    </row>
    <row r="9620">
      <c r="H9620" s="50"/>
      <c r="I9620" s="50"/>
      <c r="O9620" s="36" t="s">
        <v>48</v>
      </c>
      <c r="R9620" s="36" t="s">
        <v>48</v>
      </c>
    </row>
    <row r="9621">
      <c r="H9621" s="50"/>
      <c r="I9621" s="50"/>
      <c r="O9621" s="36" t="s">
        <v>48</v>
      </c>
      <c r="R9621" s="36" t="s">
        <v>48</v>
      </c>
    </row>
    <row r="9622">
      <c r="H9622" s="50"/>
      <c r="I9622" s="50"/>
      <c r="O9622" s="36" t="s">
        <v>48</v>
      </c>
      <c r="R9622" s="36" t="s">
        <v>48</v>
      </c>
    </row>
    <row r="9623">
      <c r="H9623" s="50"/>
      <c r="I9623" s="50"/>
      <c r="O9623" s="36" t="s">
        <v>48</v>
      </c>
      <c r="R9623" s="36" t="s">
        <v>48</v>
      </c>
    </row>
    <row r="9624">
      <c r="H9624" s="50"/>
      <c r="I9624" s="50"/>
      <c r="O9624" s="36" t="s">
        <v>48</v>
      </c>
      <c r="R9624" s="36" t="s">
        <v>48</v>
      </c>
    </row>
    <row r="9625">
      <c r="H9625" s="50"/>
      <c r="I9625" s="50"/>
      <c r="O9625" s="36" t="s">
        <v>48</v>
      </c>
      <c r="R9625" s="36" t="s">
        <v>48</v>
      </c>
    </row>
    <row r="9626">
      <c r="H9626" s="50"/>
      <c r="I9626" s="50"/>
      <c r="O9626" s="36" t="s">
        <v>48</v>
      </c>
      <c r="R9626" s="36" t="s">
        <v>48</v>
      </c>
    </row>
    <row r="9627">
      <c r="H9627" s="50"/>
      <c r="I9627" s="50"/>
      <c r="O9627" s="36" t="s">
        <v>48</v>
      </c>
      <c r="R9627" s="36" t="s">
        <v>48</v>
      </c>
    </row>
    <row r="9628">
      <c r="H9628" s="50"/>
      <c r="I9628" s="50"/>
      <c r="O9628" s="36" t="s">
        <v>48</v>
      </c>
      <c r="R9628" s="36" t="s">
        <v>48</v>
      </c>
    </row>
    <row r="9629">
      <c r="H9629" s="50"/>
      <c r="I9629" s="50"/>
      <c r="O9629" s="36" t="s">
        <v>48</v>
      </c>
      <c r="R9629" s="36" t="s">
        <v>48</v>
      </c>
    </row>
    <row r="9630">
      <c r="H9630" s="50"/>
      <c r="I9630" s="50"/>
      <c r="O9630" s="36" t="s">
        <v>48</v>
      </c>
      <c r="R9630" s="36" t="s">
        <v>48</v>
      </c>
    </row>
    <row r="9631">
      <c r="H9631" s="50"/>
      <c r="I9631" s="50"/>
      <c r="O9631" s="36" t="s">
        <v>48</v>
      </c>
      <c r="R9631" s="36" t="s">
        <v>48</v>
      </c>
    </row>
    <row r="9632">
      <c r="H9632" s="50"/>
      <c r="I9632" s="50"/>
      <c r="O9632" s="36" t="s">
        <v>48</v>
      </c>
      <c r="R9632" s="36" t="s">
        <v>48</v>
      </c>
    </row>
    <row r="9633">
      <c r="H9633" s="50"/>
      <c r="I9633" s="50"/>
      <c r="O9633" s="36" t="s">
        <v>48</v>
      </c>
      <c r="R9633" s="36" t="s">
        <v>48</v>
      </c>
    </row>
    <row r="9634">
      <c r="H9634" s="50"/>
      <c r="I9634" s="50"/>
      <c r="O9634" s="36" t="s">
        <v>48</v>
      </c>
      <c r="R9634" s="36" t="s">
        <v>48</v>
      </c>
    </row>
    <row r="9635">
      <c r="H9635" s="50"/>
      <c r="I9635" s="50"/>
      <c r="O9635" s="36" t="s">
        <v>48</v>
      </c>
      <c r="R9635" s="36" t="s">
        <v>48</v>
      </c>
    </row>
    <row r="9636">
      <c r="H9636" s="50"/>
      <c r="I9636" s="50"/>
      <c r="O9636" s="36" t="s">
        <v>48</v>
      </c>
      <c r="R9636" s="36" t="s">
        <v>48</v>
      </c>
    </row>
    <row r="9637">
      <c r="H9637" s="50"/>
      <c r="I9637" s="50"/>
      <c r="O9637" s="36" t="s">
        <v>48</v>
      </c>
      <c r="R9637" s="36" t="s">
        <v>48</v>
      </c>
    </row>
    <row r="9638">
      <c r="H9638" s="50"/>
      <c r="I9638" s="50"/>
      <c r="O9638" s="36" t="s">
        <v>48</v>
      </c>
      <c r="R9638" s="36" t="s">
        <v>48</v>
      </c>
    </row>
    <row r="9639">
      <c r="H9639" s="50"/>
      <c r="I9639" s="50"/>
      <c r="O9639" s="36" t="s">
        <v>48</v>
      </c>
      <c r="R9639" s="36" t="s">
        <v>48</v>
      </c>
    </row>
    <row r="9640">
      <c r="H9640" s="50"/>
      <c r="I9640" s="50"/>
      <c r="O9640" s="36" t="s">
        <v>48</v>
      </c>
      <c r="R9640" s="36" t="s">
        <v>48</v>
      </c>
    </row>
    <row r="9641">
      <c r="H9641" s="50"/>
      <c r="I9641" s="50"/>
      <c r="O9641" s="36" t="s">
        <v>48</v>
      </c>
      <c r="R9641" s="36" t="s">
        <v>48</v>
      </c>
    </row>
    <row r="9642">
      <c r="H9642" s="50"/>
      <c r="I9642" s="50"/>
      <c r="O9642" s="36" t="s">
        <v>48</v>
      </c>
      <c r="R9642" s="36" t="s">
        <v>48</v>
      </c>
    </row>
    <row r="9643">
      <c r="H9643" s="50"/>
      <c r="I9643" s="50"/>
      <c r="O9643" s="36" t="s">
        <v>48</v>
      </c>
      <c r="R9643" s="36" t="s">
        <v>48</v>
      </c>
    </row>
    <row r="9644">
      <c r="H9644" s="50"/>
      <c r="I9644" s="50"/>
      <c r="O9644" s="36" t="s">
        <v>48</v>
      </c>
      <c r="R9644" s="36" t="s">
        <v>48</v>
      </c>
    </row>
    <row r="9645">
      <c r="H9645" s="50"/>
      <c r="I9645" s="50"/>
      <c r="O9645" s="36" t="s">
        <v>48</v>
      </c>
      <c r="R9645" s="36" t="s">
        <v>48</v>
      </c>
    </row>
    <row r="9646">
      <c r="H9646" s="50"/>
      <c r="I9646" s="50"/>
      <c r="O9646" s="36" t="s">
        <v>48</v>
      </c>
      <c r="R9646" s="36" t="s">
        <v>48</v>
      </c>
    </row>
    <row r="9647">
      <c r="H9647" s="50"/>
      <c r="I9647" s="50"/>
      <c r="O9647" s="36" t="s">
        <v>48</v>
      </c>
      <c r="R9647" s="36" t="s">
        <v>48</v>
      </c>
    </row>
    <row r="9648">
      <c r="H9648" s="50"/>
      <c r="I9648" s="50"/>
      <c r="O9648" s="36" t="s">
        <v>48</v>
      </c>
      <c r="R9648" s="36" t="s">
        <v>48</v>
      </c>
    </row>
    <row r="9649">
      <c r="H9649" s="50"/>
      <c r="I9649" s="50"/>
      <c r="O9649" s="36" t="s">
        <v>48</v>
      </c>
      <c r="R9649" s="36" t="s">
        <v>48</v>
      </c>
    </row>
    <row r="9650">
      <c r="H9650" s="50"/>
      <c r="I9650" s="50"/>
      <c r="O9650" s="36" t="s">
        <v>48</v>
      </c>
      <c r="R9650" s="36" t="s">
        <v>48</v>
      </c>
    </row>
    <row r="9651">
      <c r="H9651" s="50"/>
      <c r="I9651" s="50"/>
      <c r="O9651" s="36" t="s">
        <v>48</v>
      </c>
      <c r="R9651" s="36" t="s">
        <v>48</v>
      </c>
    </row>
    <row r="9652">
      <c r="H9652" s="50"/>
      <c r="I9652" s="50"/>
      <c r="O9652" s="36" t="s">
        <v>48</v>
      </c>
      <c r="R9652" s="36" t="s">
        <v>48</v>
      </c>
    </row>
    <row r="9653">
      <c r="H9653" s="50"/>
      <c r="I9653" s="50"/>
      <c r="O9653" s="36" t="s">
        <v>48</v>
      </c>
      <c r="R9653" s="36" t="s">
        <v>48</v>
      </c>
    </row>
    <row r="9654">
      <c r="H9654" s="50"/>
      <c r="I9654" s="50"/>
      <c r="O9654" s="36" t="s">
        <v>48</v>
      </c>
      <c r="R9654" s="36" t="s">
        <v>48</v>
      </c>
    </row>
    <row r="9655">
      <c r="H9655" s="50"/>
      <c r="I9655" s="50"/>
      <c r="O9655" s="36" t="s">
        <v>48</v>
      </c>
      <c r="R9655" s="36" t="s">
        <v>48</v>
      </c>
    </row>
    <row r="9656">
      <c r="H9656" s="50"/>
      <c r="I9656" s="50"/>
      <c r="O9656" s="36" t="s">
        <v>48</v>
      </c>
      <c r="R9656" s="36" t="s">
        <v>48</v>
      </c>
    </row>
    <row r="9657">
      <c r="H9657" s="50"/>
      <c r="I9657" s="50"/>
      <c r="O9657" s="36" t="s">
        <v>48</v>
      </c>
      <c r="R9657" s="36" t="s">
        <v>48</v>
      </c>
    </row>
    <row r="9658">
      <c r="H9658" s="50"/>
      <c r="I9658" s="50"/>
      <c r="O9658" s="36" t="s">
        <v>48</v>
      </c>
      <c r="R9658" s="36" t="s">
        <v>48</v>
      </c>
    </row>
    <row r="9659">
      <c r="H9659" s="50"/>
      <c r="I9659" s="50"/>
      <c r="O9659" s="36" t="s">
        <v>48</v>
      </c>
      <c r="R9659" s="36" t="s">
        <v>48</v>
      </c>
    </row>
    <row r="9660">
      <c r="H9660" s="50"/>
      <c r="I9660" s="50"/>
      <c r="O9660" s="36" t="s">
        <v>48</v>
      </c>
      <c r="R9660" s="36" t="s">
        <v>48</v>
      </c>
    </row>
    <row r="9661">
      <c r="H9661" s="50"/>
      <c r="I9661" s="50"/>
      <c r="O9661" s="36" t="s">
        <v>48</v>
      </c>
      <c r="R9661" s="36" t="s">
        <v>48</v>
      </c>
    </row>
    <row r="9662">
      <c r="H9662" s="50"/>
      <c r="I9662" s="50"/>
      <c r="O9662" s="36" t="s">
        <v>48</v>
      </c>
      <c r="R9662" s="36" t="s">
        <v>48</v>
      </c>
    </row>
    <row r="9663">
      <c r="H9663" s="50"/>
      <c r="I9663" s="50"/>
      <c r="O9663" s="36" t="s">
        <v>48</v>
      </c>
      <c r="R9663" s="36" t="s">
        <v>48</v>
      </c>
    </row>
    <row r="9664">
      <c r="H9664" s="50"/>
      <c r="I9664" s="50"/>
      <c r="O9664" s="36" t="s">
        <v>48</v>
      </c>
      <c r="R9664" s="36" t="s">
        <v>48</v>
      </c>
    </row>
    <row r="9665">
      <c r="H9665" s="50"/>
      <c r="I9665" s="50"/>
      <c r="O9665" s="36" t="s">
        <v>48</v>
      </c>
      <c r="R9665" s="36" t="s">
        <v>48</v>
      </c>
    </row>
    <row r="9666">
      <c r="H9666" s="50"/>
      <c r="I9666" s="50"/>
      <c r="O9666" s="36" t="s">
        <v>48</v>
      </c>
      <c r="R9666" s="36" t="s">
        <v>48</v>
      </c>
    </row>
    <row r="9667">
      <c r="H9667" s="50"/>
      <c r="I9667" s="50"/>
      <c r="O9667" s="36" t="s">
        <v>48</v>
      </c>
      <c r="R9667" s="36" t="s">
        <v>48</v>
      </c>
    </row>
    <row r="9668">
      <c r="H9668" s="50"/>
      <c r="I9668" s="50"/>
      <c r="O9668" s="36" t="s">
        <v>48</v>
      </c>
      <c r="R9668" s="36" t="s">
        <v>48</v>
      </c>
    </row>
    <row r="9669">
      <c r="H9669" s="50"/>
      <c r="I9669" s="50"/>
      <c r="O9669" s="36" t="s">
        <v>48</v>
      </c>
      <c r="R9669" s="36" t="s">
        <v>48</v>
      </c>
    </row>
    <row r="9670">
      <c r="H9670" s="50"/>
      <c r="I9670" s="50"/>
      <c r="O9670" s="36" t="s">
        <v>48</v>
      </c>
      <c r="R9670" s="36" t="s">
        <v>48</v>
      </c>
    </row>
    <row r="9671">
      <c r="H9671" s="50"/>
      <c r="I9671" s="50"/>
      <c r="O9671" s="36" t="s">
        <v>48</v>
      </c>
      <c r="R9671" s="36" t="s">
        <v>48</v>
      </c>
    </row>
    <row r="9672">
      <c r="H9672" s="50"/>
      <c r="I9672" s="50"/>
      <c r="O9672" s="36" t="s">
        <v>48</v>
      </c>
      <c r="R9672" s="36" t="s">
        <v>48</v>
      </c>
    </row>
    <row r="9673">
      <c r="H9673" s="50"/>
      <c r="I9673" s="50"/>
      <c r="O9673" s="36" t="s">
        <v>48</v>
      </c>
      <c r="R9673" s="36" t="s">
        <v>48</v>
      </c>
    </row>
    <row r="9674">
      <c r="H9674" s="50"/>
      <c r="I9674" s="50"/>
      <c r="O9674" s="36" t="s">
        <v>48</v>
      </c>
      <c r="R9674" s="36" t="s">
        <v>48</v>
      </c>
    </row>
    <row r="9675">
      <c r="H9675" s="50"/>
      <c r="I9675" s="50"/>
      <c r="O9675" s="36" t="s">
        <v>48</v>
      </c>
      <c r="R9675" s="36" t="s">
        <v>48</v>
      </c>
    </row>
    <row r="9676">
      <c r="H9676" s="50"/>
      <c r="I9676" s="50"/>
      <c r="O9676" s="36" t="s">
        <v>48</v>
      </c>
      <c r="R9676" s="36" t="s">
        <v>48</v>
      </c>
    </row>
    <row r="9677">
      <c r="H9677" s="50"/>
      <c r="I9677" s="50"/>
      <c r="O9677" s="36" t="s">
        <v>48</v>
      </c>
      <c r="R9677" s="36" t="s">
        <v>48</v>
      </c>
    </row>
    <row r="9678">
      <c r="H9678" s="50"/>
      <c r="I9678" s="50"/>
      <c r="O9678" s="36" t="s">
        <v>48</v>
      </c>
      <c r="R9678" s="36" t="s">
        <v>48</v>
      </c>
    </row>
    <row r="9679">
      <c r="H9679" s="50"/>
      <c r="I9679" s="50"/>
      <c r="O9679" s="36" t="s">
        <v>48</v>
      </c>
      <c r="R9679" s="36" t="s">
        <v>48</v>
      </c>
    </row>
    <row r="9680">
      <c r="H9680" s="50"/>
      <c r="I9680" s="50"/>
      <c r="O9680" s="36" t="s">
        <v>48</v>
      </c>
      <c r="R9680" s="36" t="s">
        <v>48</v>
      </c>
    </row>
    <row r="9681">
      <c r="H9681" s="50"/>
      <c r="I9681" s="50"/>
      <c r="O9681" s="36" t="s">
        <v>48</v>
      </c>
      <c r="R9681" s="36" t="s">
        <v>48</v>
      </c>
    </row>
    <row r="9682">
      <c r="H9682" s="50"/>
      <c r="I9682" s="50"/>
      <c r="O9682" s="36" t="s">
        <v>48</v>
      </c>
      <c r="R9682" s="36" t="s">
        <v>48</v>
      </c>
    </row>
    <row r="9683">
      <c r="H9683" s="50"/>
      <c r="I9683" s="50"/>
      <c r="O9683" s="36" t="s">
        <v>48</v>
      </c>
      <c r="R9683" s="36" t="s">
        <v>48</v>
      </c>
    </row>
    <row r="9684">
      <c r="H9684" s="50"/>
      <c r="I9684" s="50"/>
      <c r="O9684" s="36" t="s">
        <v>48</v>
      </c>
      <c r="R9684" s="36" t="s">
        <v>48</v>
      </c>
    </row>
    <row r="9685">
      <c r="H9685" s="50"/>
      <c r="I9685" s="50"/>
      <c r="O9685" s="36" t="s">
        <v>48</v>
      </c>
      <c r="R9685" s="36" t="s">
        <v>48</v>
      </c>
    </row>
    <row r="9686">
      <c r="H9686" s="50"/>
      <c r="I9686" s="50"/>
      <c r="O9686" s="36" t="s">
        <v>48</v>
      </c>
      <c r="R9686" s="36" t="s">
        <v>48</v>
      </c>
    </row>
    <row r="9687">
      <c r="H9687" s="50"/>
      <c r="I9687" s="50"/>
      <c r="O9687" s="36" t="s">
        <v>48</v>
      </c>
      <c r="R9687" s="36" t="s">
        <v>48</v>
      </c>
    </row>
    <row r="9688">
      <c r="H9688" s="50"/>
      <c r="I9688" s="50"/>
      <c r="O9688" s="36" t="s">
        <v>48</v>
      </c>
      <c r="R9688" s="36" t="s">
        <v>48</v>
      </c>
    </row>
    <row r="9689">
      <c r="H9689" s="50"/>
      <c r="I9689" s="50"/>
      <c r="O9689" s="36" t="s">
        <v>48</v>
      </c>
      <c r="R9689" s="36" t="s">
        <v>48</v>
      </c>
    </row>
    <row r="9690">
      <c r="H9690" s="50"/>
      <c r="I9690" s="50"/>
      <c r="O9690" s="36" t="s">
        <v>48</v>
      </c>
      <c r="R9690" s="36" t="s">
        <v>48</v>
      </c>
    </row>
    <row r="9691">
      <c r="H9691" s="50"/>
      <c r="I9691" s="50"/>
      <c r="O9691" s="36" t="s">
        <v>48</v>
      </c>
      <c r="R9691" s="36" t="s">
        <v>48</v>
      </c>
    </row>
    <row r="9692">
      <c r="H9692" s="50"/>
      <c r="I9692" s="50"/>
      <c r="O9692" s="36" t="s">
        <v>48</v>
      </c>
      <c r="R9692" s="36" t="s">
        <v>48</v>
      </c>
    </row>
    <row r="9693">
      <c r="H9693" s="50"/>
      <c r="I9693" s="50"/>
      <c r="O9693" s="36" t="s">
        <v>48</v>
      </c>
      <c r="R9693" s="36" t="s">
        <v>48</v>
      </c>
    </row>
    <row r="9694">
      <c r="H9694" s="50"/>
      <c r="I9694" s="50"/>
      <c r="O9694" s="36" t="s">
        <v>48</v>
      </c>
      <c r="R9694" s="36" t="s">
        <v>48</v>
      </c>
    </row>
    <row r="9695">
      <c r="H9695" s="50"/>
      <c r="I9695" s="50"/>
      <c r="O9695" s="36" t="s">
        <v>48</v>
      </c>
      <c r="R9695" s="36" t="s">
        <v>48</v>
      </c>
    </row>
    <row r="9696">
      <c r="H9696" s="50"/>
      <c r="I9696" s="50"/>
      <c r="O9696" s="36" t="s">
        <v>48</v>
      </c>
      <c r="R9696" s="36" t="s">
        <v>48</v>
      </c>
    </row>
    <row r="9697">
      <c r="H9697" s="50"/>
      <c r="I9697" s="50"/>
      <c r="O9697" s="36" t="s">
        <v>48</v>
      </c>
      <c r="R9697" s="36" t="s">
        <v>48</v>
      </c>
    </row>
    <row r="9698">
      <c r="H9698" s="50"/>
      <c r="I9698" s="50"/>
      <c r="O9698" s="36" t="s">
        <v>48</v>
      </c>
      <c r="R9698" s="36" t="s">
        <v>48</v>
      </c>
    </row>
    <row r="9699">
      <c r="H9699" s="50"/>
      <c r="I9699" s="50"/>
      <c r="O9699" s="36" t="s">
        <v>48</v>
      </c>
      <c r="R9699" s="36" t="s">
        <v>48</v>
      </c>
    </row>
    <row r="9700">
      <c r="H9700" s="50"/>
      <c r="I9700" s="50"/>
      <c r="O9700" s="36" t="s">
        <v>48</v>
      </c>
      <c r="R9700" s="36" t="s">
        <v>48</v>
      </c>
    </row>
    <row r="9701">
      <c r="H9701" s="50"/>
      <c r="I9701" s="50"/>
      <c r="O9701" s="36" t="s">
        <v>48</v>
      </c>
      <c r="R9701" s="36" t="s">
        <v>48</v>
      </c>
    </row>
    <row r="9702">
      <c r="H9702" s="50"/>
      <c r="I9702" s="50"/>
      <c r="O9702" s="36" t="s">
        <v>48</v>
      </c>
      <c r="R9702" s="36" t="s">
        <v>48</v>
      </c>
    </row>
    <row r="9703">
      <c r="H9703" s="50"/>
      <c r="I9703" s="50"/>
      <c r="O9703" s="36" t="s">
        <v>48</v>
      </c>
      <c r="R9703" s="36" t="s">
        <v>48</v>
      </c>
    </row>
    <row r="9704">
      <c r="H9704" s="50"/>
      <c r="I9704" s="50"/>
      <c r="O9704" s="36" t="s">
        <v>48</v>
      </c>
      <c r="R9704" s="36" t="s">
        <v>48</v>
      </c>
    </row>
    <row r="9705">
      <c r="H9705" s="50"/>
      <c r="I9705" s="50"/>
      <c r="O9705" s="36" t="s">
        <v>48</v>
      </c>
      <c r="R9705" s="36" t="s">
        <v>48</v>
      </c>
    </row>
    <row r="9706">
      <c r="H9706" s="50"/>
      <c r="I9706" s="50"/>
      <c r="O9706" s="36" t="s">
        <v>48</v>
      </c>
      <c r="R9706" s="36" t="s">
        <v>48</v>
      </c>
    </row>
    <row r="9707">
      <c r="H9707" s="50"/>
      <c r="I9707" s="50"/>
      <c r="O9707" s="36" t="s">
        <v>48</v>
      </c>
      <c r="R9707" s="36" t="s">
        <v>48</v>
      </c>
    </row>
    <row r="9708">
      <c r="H9708" s="50"/>
      <c r="I9708" s="50"/>
      <c r="O9708" s="36" t="s">
        <v>48</v>
      </c>
      <c r="R9708" s="36" t="s">
        <v>48</v>
      </c>
    </row>
    <row r="9709">
      <c r="H9709" s="50"/>
      <c r="I9709" s="50"/>
      <c r="O9709" s="36" t="s">
        <v>48</v>
      </c>
      <c r="R9709" s="36" t="s">
        <v>48</v>
      </c>
    </row>
    <row r="9710">
      <c r="H9710" s="50"/>
      <c r="I9710" s="50"/>
      <c r="O9710" s="36" t="s">
        <v>48</v>
      </c>
      <c r="R9710" s="36" t="s">
        <v>48</v>
      </c>
    </row>
    <row r="9711">
      <c r="H9711" s="50"/>
      <c r="I9711" s="50"/>
      <c r="O9711" s="36" t="s">
        <v>48</v>
      </c>
      <c r="R9711" s="36" t="s">
        <v>48</v>
      </c>
    </row>
    <row r="9712">
      <c r="H9712" s="50"/>
      <c r="I9712" s="50"/>
      <c r="O9712" s="36" t="s">
        <v>48</v>
      </c>
      <c r="R9712" s="36" t="s">
        <v>48</v>
      </c>
    </row>
    <row r="9713">
      <c r="H9713" s="50"/>
      <c r="I9713" s="50"/>
      <c r="O9713" s="36" t="s">
        <v>48</v>
      </c>
      <c r="R9713" s="36" t="s">
        <v>48</v>
      </c>
    </row>
    <row r="9714">
      <c r="H9714" s="50"/>
      <c r="I9714" s="50"/>
      <c r="O9714" s="36" t="s">
        <v>48</v>
      </c>
      <c r="R9714" s="36" t="s">
        <v>48</v>
      </c>
    </row>
    <row r="9715">
      <c r="H9715" s="50"/>
      <c r="I9715" s="50"/>
      <c r="O9715" s="36" t="s">
        <v>48</v>
      </c>
      <c r="R9715" s="36" t="s">
        <v>48</v>
      </c>
    </row>
    <row r="9716">
      <c r="H9716" s="50"/>
      <c r="I9716" s="50"/>
      <c r="O9716" s="36" t="s">
        <v>48</v>
      </c>
      <c r="R9716" s="36" t="s">
        <v>48</v>
      </c>
    </row>
    <row r="9717">
      <c r="H9717" s="50"/>
      <c r="I9717" s="50"/>
      <c r="O9717" s="36" t="s">
        <v>48</v>
      </c>
      <c r="R9717" s="36" t="s">
        <v>48</v>
      </c>
    </row>
    <row r="9718">
      <c r="H9718" s="50"/>
      <c r="I9718" s="50"/>
      <c r="O9718" s="36" t="s">
        <v>48</v>
      </c>
      <c r="R9718" s="36" t="s">
        <v>48</v>
      </c>
    </row>
    <row r="9719">
      <c r="H9719" s="50"/>
      <c r="I9719" s="50"/>
      <c r="O9719" s="36" t="s">
        <v>48</v>
      </c>
      <c r="R9719" s="36" t="s">
        <v>48</v>
      </c>
    </row>
    <row r="9720">
      <c r="H9720" s="50"/>
      <c r="I9720" s="50"/>
      <c r="O9720" s="36" t="s">
        <v>48</v>
      </c>
      <c r="R9720" s="36" t="s">
        <v>48</v>
      </c>
    </row>
    <row r="9721">
      <c r="H9721" s="50"/>
      <c r="I9721" s="50"/>
      <c r="O9721" s="36" t="s">
        <v>48</v>
      </c>
      <c r="R9721" s="36" t="s">
        <v>48</v>
      </c>
    </row>
    <row r="9722">
      <c r="H9722" s="50"/>
      <c r="I9722" s="50"/>
      <c r="O9722" s="36" t="s">
        <v>48</v>
      </c>
      <c r="R9722" s="36" t="s">
        <v>48</v>
      </c>
    </row>
    <row r="9723">
      <c r="H9723" s="50"/>
      <c r="I9723" s="50"/>
      <c r="O9723" s="36" t="s">
        <v>48</v>
      </c>
      <c r="R9723" s="36" t="s">
        <v>48</v>
      </c>
    </row>
    <row r="9724">
      <c r="H9724" s="50"/>
      <c r="I9724" s="50"/>
      <c r="O9724" s="36" t="s">
        <v>48</v>
      </c>
      <c r="R9724" s="36" t="s">
        <v>48</v>
      </c>
    </row>
    <row r="9725">
      <c r="H9725" s="50"/>
      <c r="I9725" s="50"/>
      <c r="O9725" s="36" t="s">
        <v>48</v>
      </c>
      <c r="R9725" s="36" t="s">
        <v>48</v>
      </c>
    </row>
    <row r="9726">
      <c r="H9726" s="50"/>
      <c r="I9726" s="50"/>
      <c r="O9726" s="36" t="s">
        <v>48</v>
      </c>
      <c r="R9726" s="36" t="s">
        <v>48</v>
      </c>
    </row>
    <row r="9727">
      <c r="H9727" s="50"/>
      <c r="I9727" s="50"/>
      <c r="O9727" s="36" t="s">
        <v>48</v>
      </c>
      <c r="R9727" s="36" t="s">
        <v>48</v>
      </c>
    </row>
    <row r="9728">
      <c r="H9728" s="50"/>
      <c r="I9728" s="50"/>
      <c r="O9728" s="36" t="s">
        <v>48</v>
      </c>
      <c r="R9728" s="36" t="s">
        <v>48</v>
      </c>
    </row>
    <row r="9729">
      <c r="H9729" s="50"/>
      <c r="I9729" s="50"/>
      <c r="O9729" s="36" t="s">
        <v>48</v>
      </c>
      <c r="R9729" s="36" t="s">
        <v>48</v>
      </c>
    </row>
    <row r="9730">
      <c r="H9730" s="50"/>
      <c r="I9730" s="50"/>
      <c r="O9730" s="36" t="s">
        <v>48</v>
      </c>
      <c r="R9730" s="36" t="s">
        <v>48</v>
      </c>
    </row>
    <row r="9731">
      <c r="H9731" s="50"/>
      <c r="I9731" s="50"/>
      <c r="O9731" s="36" t="s">
        <v>48</v>
      </c>
      <c r="R9731" s="36" t="s">
        <v>48</v>
      </c>
    </row>
    <row r="9732">
      <c r="H9732" s="50"/>
      <c r="I9732" s="50"/>
      <c r="O9732" s="36" t="s">
        <v>48</v>
      </c>
      <c r="R9732" s="36" t="s">
        <v>48</v>
      </c>
    </row>
    <row r="9733">
      <c r="H9733" s="50"/>
      <c r="I9733" s="50"/>
      <c r="O9733" s="36" t="s">
        <v>48</v>
      </c>
      <c r="R9733" s="36" t="s">
        <v>48</v>
      </c>
    </row>
    <row r="9734">
      <c r="H9734" s="50"/>
      <c r="I9734" s="50"/>
      <c r="O9734" s="36" t="s">
        <v>48</v>
      </c>
      <c r="R9734" s="36" t="s">
        <v>48</v>
      </c>
    </row>
    <row r="9735">
      <c r="H9735" s="50"/>
      <c r="I9735" s="50"/>
      <c r="O9735" s="36" t="s">
        <v>48</v>
      </c>
      <c r="R9735" s="36" t="s">
        <v>48</v>
      </c>
    </row>
    <row r="9736">
      <c r="H9736" s="50"/>
      <c r="I9736" s="50"/>
      <c r="O9736" s="36" t="s">
        <v>48</v>
      </c>
      <c r="R9736" s="36" t="s">
        <v>48</v>
      </c>
    </row>
    <row r="9737">
      <c r="H9737" s="50"/>
      <c r="I9737" s="50"/>
      <c r="O9737" s="36" t="s">
        <v>48</v>
      </c>
      <c r="R9737" s="36" t="s">
        <v>48</v>
      </c>
    </row>
    <row r="9738">
      <c r="H9738" s="50"/>
      <c r="I9738" s="50"/>
      <c r="O9738" s="36" t="s">
        <v>48</v>
      </c>
      <c r="R9738" s="36" t="s">
        <v>48</v>
      </c>
    </row>
    <row r="9739">
      <c r="H9739" s="50"/>
      <c r="I9739" s="50"/>
      <c r="O9739" s="36" t="s">
        <v>48</v>
      </c>
      <c r="R9739" s="36" t="s">
        <v>48</v>
      </c>
    </row>
    <row r="9740">
      <c r="H9740" s="50"/>
      <c r="I9740" s="50"/>
      <c r="O9740" s="36" t="s">
        <v>48</v>
      </c>
      <c r="R9740" s="36" t="s">
        <v>48</v>
      </c>
    </row>
    <row r="9741">
      <c r="H9741" s="50"/>
      <c r="I9741" s="50"/>
      <c r="O9741" s="36" t="s">
        <v>48</v>
      </c>
      <c r="R9741" s="36" t="s">
        <v>48</v>
      </c>
    </row>
    <row r="9742">
      <c r="H9742" s="50"/>
      <c r="I9742" s="50"/>
      <c r="O9742" s="36" t="s">
        <v>48</v>
      </c>
      <c r="R9742" s="36" t="s">
        <v>48</v>
      </c>
    </row>
    <row r="9743">
      <c r="H9743" s="50"/>
      <c r="I9743" s="50"/>
      <c r="O9743" s="36" t="s">
        <v>48</v>
      </c>
      <c r="R9743" s="36" t="s">
        <v>48</v>
      </c>
    </row>
    <row r="9744">
      <c r="H9744" s="50"/>
      <c r="I9744" s="50"/>
      <c r="O9744" s="36" t="s">
        <v>48</v>
      </c>
      <c r="R9744" s="36" t="s">
        <v>48</v>
      </c>
    </row>
    <row r="9745">
      <c r="H9745" s="50"/>
      <c r="I9745" s="50"/>
      <c r="O9745" s="36" t="s">
        <v>48</v>
      </c>
      <c r="R9745" s="36" t="s">
        <v>48</v>
      </c>
    </row>
    <row r="9746">
      <c r="H9746" s="50"/>
      <c r="I9746" s="50"/>
      <c r="O9746" s="36" t="s">
        <v>48</v>
      </c>
      <c r="R9746" s="36" t="s">
        <v>48</v>
      </c>
    </row>
    <row r="9747">
      <c r="H9747" s="50"/>
      <c r="I9747" s="50"/>
      <c r="O9747" s="36" t="s">
        <v>48</v>
      </c>
      <c r="R9747" s="36" t="s">
        <v>48</v>
      </c>
    </row>
    <row r="9748">
      <c r="H9748" s="50"/>
      <c r="I9748" s="50"/>
      <c r="O9748" s="36" t="s">
        <v>48</v>
      </c>
      <c r="R9748" s="36" t="s">
        <v>48</v>
      </c>
    </row>
    <row r="9749">
      <c r="H9749" s="50"/>
      <c r="I9749" s="50"/>
      <c r="O9749" s="36" t="s">
        <v>48</v>
      </c>
      <c r="R9749" s="36" t="s">
        <v>48</v>
      </c>
    </row>
    <row r="9750">
      <c r="H9750" s="50"/>
      <c r="I9750" s="50"/>
      <c r="O9750" s="36" t="s">
        <v>48</v>
      </c>
      <c r="R9750" s="36" t="s">
        <v>48</v>
      </c>
    </row>
    <row r="9751">
      <c r="H9751" s="50"/>
      <c r="I9751" s="50"/>
      <c r="O9751" s="36" t="s">
        <v>48</v>
      </c>
      <c r="R9751" s="36" t="s">
        <v>48</v>
      </c>
    </row>
    <row r="9752">
      <c r="H9752" s="50"/>
      <c r="I9752" s="50"/>
      <c r="O9752" s="36" t="s">
        <v>48</v>
      </c>
      <c r="R9752" s="36" t="s">
        <v>48</v>
      </c>
    </row>
    <row r="9753">
      <c r="H9753" s="50"/>
      <c r="I9753" s="50"/>
      <c r="O9753" s="36" t="s">
        <v>48</v>
      </c>
      <c r="R9753" s="36" t="s">
        <v>48</v>
      </c>
    </row>
    <row r="9754">
      <c r="H9754" s="50"/>
      <c r="I9754" s="50"/>
      <c r="O9754" s="36" t="s">
        <v>48</v>
      </c>
      <c r="R9754" s="36" t="s">
        <v>48</v>
      </c>
    </row>
    <row r="9755">
      <c r="H9755" s="50"/>
      <c r="I9755" s="50"/>
      <c r="O9755" s="36" t="s">
        <v>48</v>
      </c>
      <c r="R9755" s="36" t="s">
        <v>48</v>
      </c>
    </row>
    <row r="9756">
      <c r="H9756" s="50"/>
      <c r="I9756" s="50"/>
      <c r="O9756" s="36" t="s">
        <v>48</v>
      </c>
      <c r="R9756" s="36" t="s">
        <v>48</v>
      </c>
    </row>
    <row r="9757">
      <c r="H9757" s="50"/>
      <c r="I9757" s="50"/>
      <c r="O9757" s="36" t="s">
        <v>48</v>
      </c>
      <c r="R9757" s="36" t="s">
        <v>48</v>
      </c>
    </row>
    <row r="9758">
      <c r="H9758" s="50"/>
      <c r="I9758" s="50"/>
      <c r="O9758" s="36" t="s">
        <v>48</v>
      </c>
      <c r="R9758" s="36" t="s">
        <v>48</v>
      </c>
    </row>
    <row r="9759">
      <c r="H9759" s="50"/>
      <c r="I9759" s="50"/>
      <c r="O9759" s="36" t="s">
        <v>48</v>
      </c>
      <c r="R9759" s="36" t="s">
        <v>48</v>
      </c>
    </row>
    <row r="9760">
      <c r="H9760" s="50"/>
      <c r="I9760" s="50"/>
      <c r="O9760" s="36" t="s">
        <v>48</v>
      </c>
      <c r="R9760" s="36" t="s">
        <v>48</v>
      </c>
    </row>
    <row r="9761">
      <c r="H9761" s="50"/>
      <c r="I9761" s="50"/>
      <c r="O9761" s="36" t="s">
        <v>48</v>
      </c>
      <c r="R9761" s="36" t="s">
        <v>48</v>
      </c>
    </row>
    <row r="9762">
      <c r="H9762" s="50"/>
      <c r="I9762" s="50"/>
      <c r="O9762" s="36" t="s">
        <v>48</v>
      </c>
      <c r="R9762" s="36" t="s">
        <v>48</v>
      </c>
    </row>
    <row r="9763">
      <c r="H9763" s="50"/>
      <c r="I9763" s="50"/>
      <c r="O9763" s="36" t="s">
        <v>48</v>
      </c>
      <c r="R9763" s="36" t="s">
        <v>48</v>
      </c>
    </row>
    <row r="9764">
      <c r="H9764" s="50"/>
      <c r="I9764" s="50"/>
      <c r="O9764" s="36" t="s">
        <v>48</v>
      </c>
      <c r="R9764" s="36" t="s">
        <v>48</v>
      </c>
    </row>
    <row r="9765">
      <c r="H9765" s="50"/>
      <c r="I9765" s="50"/>
      <c r="O9765" s="36" t="s">
        <v>48</v>
      </c>
      <c r="R9765" s="36" t="s">
        <v>48</v>
      </c>
    </row>
    <row r="9766">
      <c r="H9766" s="50"/>
      <c r="I9766" s="50"/>
      <c r="O9766" s="36" t="s">
        <v>48</v>
      </c>
      <c r="R9766" s="36" t="s">
        <v>48</v>
      </c>
    </row>
    <row r="9767">
      <c r="H9767" s="50"/>
      <c r="I9767" s="50"/>
      <c r="O9767" s="36" t="s">
        <v>48</v>
      </c>
      <c r="R9767" s="36" t="s">
        <v>48</v>
      </c>
    </row>
    <row r="9768">
      <c r="H9768" s="50"/>
      <c r="I9768" s="50"/>
      <c r="O9768" s="36" t="s">
        <v>48</v>
      </c>
      <c r="R9768" s="36" t="s">
        <v>48</v>
      </c>
    </row>
    <row r="9769">
      <c r="H9769" s="50"/>
      <c r="I9769" s="50"/>
      <c r="O9769" s="36" t="s">
        <v>48</v>
      </c>
      <c r="R9769" s="36" t="s">
        <v>48</v>
      </c>
    </row>
    <row r="9770">
      <c r="H9770" s="50"/>
      <c r="I9770" s="50"/>
      <c r="O9770" s="36" t="s">
        <v>48</v>
      </c>
      <c r="R9770" s="36" t="s">
        <v>48</v>
      </c>
    </row>
    <row r="9771">
      <c r="H9771" s="50"/>
      <c r="I9771" s="50"/>
      <c r="O9771" s="36" t="s">
        <v>48</v>
      </c>
      <c r="R9771" s="36" t="s">
        <v>48</v>
      </c>
    </row>
    <row r="9772">
      <c r="H9772" s="50"/>
      <c r="I9772" s="50"/>
      <c r="O9772" s="36" t="s">
        <v>48</v>
      </c>
      <c r="R9772" s="36" t="s">
        <v>48</v>
      </c>
    </row>
    <row r="9773">
      <c r="H9773" s="50"/>
      <c r="I9773" s="50"/>
      <c r="O9773" s="36" t="s">
        <v>48</v>
      </c>
      <c r="R9773" s="36" t="s">
        <v>48</v>
      </c>
    </row>
    <row r="9774">
      <c r="H9774" s="50"/>
      <c r="I9774" s="50"/>
      <c r="O9774" s="36" t="s">
        <v>48</v>
      </c>
      <c r="R9774" s="36" t="s">
        <v>48</v>
      </c>
    </row>
    <row r="9775">
      <c r="H9775" s="50"/>
      <c r="I9775" s="50"/>
      <c r="O9775" s="36" t="s">
        <v>48</v>
      </c>
      <c r="R9775" s="36" t="s">
        <v>48</v>
      </c>
    </row>
    <row r="9776">
      <c r="H9776" s="50"/>
      <c r="I9776" s="50"/>
      <c r="O9776" s="36" t="s">
        <v>48</v>
      </c>
      <c r="R9776" s="36" t="s">
        <v>48</v>
      </c>
    </row>
    <row r="9777">
      <c r="H9777" s="50"/>
      <c r="I9777" s="50"/>
      <c r="O9777" s="36" t="s">
        <v>48</v>
      </c>
      <c r="R9777" s="36" t="s">
        <v>48</v>
      </c>
    </row>
    <row r="9778">
      <c r="H9778" s="50"/>
      <c r="I9778" s="50"/>
      <c r="O9778" s="36" t="s">
        <v>48</v>
      </c>
      <c r="R9778" s="36" t="s">
        <v>48</v>
      </c>
    </row>
    <row r="9779">
      <c r="H9779" s="50"/>
      <c r="I9779" s="50"/>
      <c r="O9779" s="36" t="s">
        <v>48</v>
      </c>
      <c r="R9779" s="36" t="s">
        <v>48</v>
      </c>
    </row>
    <row r="9780">
      <c r="H9780" s="50"/>
      <c r="I9780" s="50"/>
      <c r="O9780" s="36" t="s">
        <v>48</v>
      </c>
      <c r="R9780" s="36" t="s">
        <v>48</v>
      </c>
    </row>
    <row r="9781">
      <c r="H9781" s="50"/>
      <c r="I9781" s="50"/>
      <c r="O9781" s="36" t="s">
        <v>48</v>
      </c>
      <c r="R9781" s="36" t="s">
        <v>48</v>
      </c>
    </row>
    <row r="9782">
      <c r="H9782" s="50"/>
      <c r="I9782" s="50"/>
      <c r="O9782" s="36" t="s">
        <v>48</v>
      </c>
      <c r="R9782" s="36" t="s">
        <v>48</v>
      </c>
    </row>
    <row r="9783">
      <c r="H9783" s="50"/>
      <c r="I9783" s="50"/>
      <c r="O9783" s="36" t="s">
        <v>48</v>
      </c>
      <c r="R9783" s="36" t="s">
        <v>48</v>
      </c>
    </row>
    <row r="9784">
      <c r="H9784" s="50"/>
      <c r="I9784" s="50"/>
      <c r="O9784" s="36" t="s">
        <v>48</v>
      </c>
      <c r="R9784" s="36" t="s">
        <v>48</v>
      </c>
    </row>
    <row r="9785">
      <c r="H9785" s="50"/>
      <c r="I9785" s="50"/>
      <c r="O9785" s="36" t="s">
        <v>48</v>
      </c>
      <c r="R9785" s="36" t="s">
        <v>48</v>
      </c>
    </row>
    <row r="9786">
      <c r="H9786" s="50"/>
      <c r="I9786" s="50"/>
      <c r="O9786" s="36" t="s">
        <v>48</v>
      </c>
      <c r="R9786" s="36" t="s">
        <v>48</v>
      </c>
    </row>
    <row r="9787">
      <c r="H9787" s="50"/>
      <c r="I9787" s="50"/>
      <c r="O9787" s="36" t="s">
        <v>48</v>
      </c>
      <c r="R9787" s="36" t="s">
        <v>48</v>
      </c>
    </row>
    <row r="9788">
      <c r="H9788" s="50"/>
      <c r="I9788" s="50"/>
      <c r="O9788" s="36" t="s">
        <v>48</v>
      </c>
      <c r="R9788" s="36" t="s">
        <v>48</v>
      </c>
    </row>
    <row r="9789">
      <c r="H9789" s="50"/>
      <c r="I9789" s="50"/>
      <c r="O9789" s="36" t="s">
        <v>48</v>
      </c>
      <c r="R9789" s="36" t="s">
        <v>48</v>
      </c>
    </row>
    <row r="9790">
      <c r="H9790" s="50"/>
      <c r="I9790" s="50"/>
      <c r="O9790" s="36" t="s">
        <v>48</v>
      </c>
      <c r="R9790" s="36" t="s">
        <v>48</v>
      </c>
    </row>
    <row r="9791">
      <c r="H9791" s="50"/>
      <c r="I9791" s="50"/>
      <c r="O9791" s="36" t="s">
        <v>48</v>
      </c>
      <c r="R9791" s="36" t="s">
        <v>48</v>
      </c>
    </row>
    <row r="9792">
      <c r="H9792" s="50"/>
      <c r="I9792" s="50"/>
      <c r="O9792" s="36" t="s">
        <v>48</v>
      </c>
      <c r="R9792" s="36" t="s">
        <v>48</v>
      </c>
    </row>
    <row r="9793">
      <c r="H9793" s="50"/>
      <c r="I9793" s="50"/>
      <c r="O9793" s="36" t="s">
        <v>48</v>
      </c>
      <c r="R9793" s="36" t="s">
        <v>48</v>
      </c>
    </row>
    <row r="9794">
      <c r="H9794" s="50"/>
      <c r="I9794" s="50"/>
      <c r="O9794" s="36" t="s">
        <v>48</v>
      </c>
      <c r="R9794" s="36" t="s">
        <v>48</v>
      </c>
    </row>
    <row r="9795">
      <c r="H9795" s="50"/>
      <c r="I9795" s="50"/>
      <c r="O9795" s="36" t="s">
        <v>48</v>
      </c>
      <c r="R9795" s="36" t="s">
        <v>48</v>
      </c>
    </row>
    <row r="9796">
      <c r="H9796" s="50"/>
      <c r="I9796" s="50"/>
      <c r="O9796" s="36" t="s">
        <v>48</v>
      </c>
      <c r="R9796" s="36" t="s">
        <v>48</v>
      </c>
    </row>
    <row r="9797">
      <c r="H9797" s="50"/>
      <c r="I9797" s="50"/>
      <c r="O9797" s="36" t="s">
        <v>48</v>
      </c>
      <c r="R9797" s="36" t="s">
        <v>48</v>
      </c>
    </row>
    <row r="9798">
      <c r="H9798" s="50"/>
      <c r="I9798" s="50"/>
      <c r="O9798" s="36" t="s">
        <v>48</v>
      </c>
      <c r="R9798" s="36" t="s">
        <v>48</v>
      </c>
    </row>
    <row r="9799">
      <c r="H9799" s="50"/>
      <c r="I9799" s="50"/>
      <c r="O9799" s="36" t="s">
        <v>48</v>
      </c>
      <c r="R9799" s="36" t="s">
        <v>48</v>
      </c>
    </row>
    <row r="9800">
      <c r="H9800" s="50"/>
      <c r="I9800" s="50"/>
      <c r="O9800" s="36" t="s">
        <v>48</v>
      </c>
      <c r="R9800" s="36" t="s">
        <v>48</v>
      </c>
    </row>
    <row r="9801">
      <c r="H9801" s="50"/>
      <c r="I9801" s="50"/>
      <c r="O9801" s="36" t="s">
        <v>48</v>
      </c>
      <c r="R9801" s="36" t="s">
        <v>48</v>
      </c>
    </row>
    <row r="9802">
      <c r="H9802" s="50"/>
      <c r="I9802" s="50"/>
      <c r="O9802" s="36" t="s">
        <v>48</v>
      </c>
      <c r="R9802" s="36" t="s">
        <v>48</v>
      </c>
    </row>
    <row r="9803">
      <c r="H9803" s="50"/>
      <c r="I9803" s="50"/>
      <c r="O9803" s="36" t="s">
        <v>48</v>
      </c>
      <c r="R9803" s="36" t="s">
        <v>48</v>
      </c>
    </row>
    <row r="9804">
      <c r="H9804" s="50"/>
      <c r="I9804" s="50"/>
      <c r="O9804" s="36" t="s">
        <v>48</v>
      </c>
      <c r="R9804" s="36" t="s">
        <v>48</v>
      </c>
    </row>
    <row r="9805">
      <c r="H9805" s="50"/>
      <c r="I9805" s="50"/>
      <c r="O9805" s="36" t="s">
        <v>48</v>
      </c>
      <c r="R9805" s="36" t="s">
        <v>48</v>
      </c>
    </row>
    <row r="9806">
      <c r="H9806" s="50"/>
      <c r="I9806" s="50"/>
      <c r="O9806" s="36" t="s">
        <v>48</v>
      </c>
      <c r="R9806" s="36" t="s">
        <v>48</v>
      </c>
    </row>
    <row r="9807">
      <c r="H9807" s="50"/>
      <c r="I9807" s="50"/>
      <c r="O9807" s="36" t="s">
        <v>48</v>
      </c>
      <c r="R9807" s="36" t="s">
        <v>48</v>
      </c>
    </row>
    <row r="9808">
      <c r="H9808" s="50"/>
      <c r="I9808" s="50"/>
      <c r="O9808" s="36" t="s">
        <v>48</v>
      </c>
      <c r="R9808" s="36" t="s">
        <v>48</v>
      </c>
    </row>
    <row r="9809">
      <c r="H9809" s="50"/>
      <c r="I9809" s="50"/>
      <c r="O9809" s="36" t="s">
        <v>48</v>
      </c>
      <c r="R9809" s="36" t="s">
        <v>48</v>
      </c>
    </row>
    <row r="9810">
      <c r="H9810" s="50"/>
      <c r="I9810" s="50"/>
      <c r="O9810" s="36" t="s">
        <v>48</v>
      </c>
      <c r="R9810" s="36" t="s">
        <v>48</v>
      </c>
    </row>
    <row r="9811">
      <c r="H9811" s="50"/>
      <c r="I9811" s="50"/>
      <c r="O9811" s="36" t="s">
        <v>48</v>
      </c>
      <c r="R9811" s="36" t="s">
        <v>48</v>
      </c>
    </row>
    <row r="9812">
      <c r="H9812" s="50"/>
      <c r="I9812" s="50"/>
      <c r="O9812" s="36" t="s">
        <v>48</v>
      </c>
      <c r="R9812" s="36" t="s">
        <v>48</v>
      </c>
    </row>
    <row r="9813">
      <c r="H9813" s="50"/>
      <c r="I9813" s="50"/>
      <c r="O9813" s="36" t="s">
        <v>48</v>
      </c>
      <c r="R9813" s="36" t="s">
        <v>48</v>
      </c>
    </row>
    <row r="9814">
      <c r="H9814" s="50"/>
      <c r="I9814" s="50"/>
      <c r="O9814" s="36" t="s">
        <v>48</v>
      </c>
      <c r="R9814" s="36" t="s">
        <v>48</v>
      </c>
    </row>
    <row r="9815">
      <c r="H9815" s="50"/>
      <c r="I9815" s="50"/>
      <c r="O9815" s="36" t="s">
        <v>48</v>
      </c>
      <c r="R9815" s="36" t="s">
        <v>48</v>
      </c>
    </row>
    <row r="9816">
      <c r="H9816" s="50"/>
      <c r="I9816" s="50"/>
      <c r="O9816" s="36" t="s">
        <v>48</v>
      </c>
      <c r="R9816" s="36" t="s">
        <v>48</v>
      </c>
    </row>
    <row r="9817">
      <c r="H9817" s="50"/>
      <c r="I9817" s="50"/>
      <c r="O9817" s="36" t="s">
        <v>48</v>
      </c>
      <c r="R9817" s="36" t="s">
        <v>48</v>
      </c>
    </row>
    <row r="9818">
      <c r="H9818" s="50"/>
      <c r="I9818" s="50"/>
      <c r="O9818" s="36" t="s">
        <v>48</v>
      </c>
      <c r="R9818" s="36" t="s">
        <v>48</v>
      </c>
    </row>
    <row r="9819">
      <c r="H9819" s="50"/>
      <c r="I9819" s="50"/>
      <c r="O9819" s="36" t="s">
        <v>48</v>
      </c>
      <c r="R9819" s="36" t="s">
        <v>48</v>
      </c>
    </row>
    <row r="9820">
      <c r="H9820" s="50"/>
      <c r="I9820" s="50"/>
      <c r="O9820" s="36" t="s">
        <v>48</v>
      </c>
      <c r="R9820" s="36" t="s">
        <v>48</v>
      </c>
    </row>
    <row r="9821">
      <c r="H9821" s="50"/>
      <c r="I9821" s="50"/>
      <c r="O9821" s="36" t="s">
        <v>48</v>
      </c>
      <c r="R9821" s="36" t="s">
        <v>48</v>
      </c>
    </row>
    <row r="9822">
      <c r="H9822" s="50"/>
      <c r="I9822" s="50"/>
      <c r="O9822" s="36" t="s">
        <v>48</v>
      </c>
      <c r="R9822" s="36" t="s">
        <v>48</v>
      </c>
    </row>
    <row r="9823">
      <c r="H9823" s="50"/>
      <c r="I9823" s="50"/>
      <c r="O9823" s="36" t="s">
        <v>48</v>
      </c>
      <c r="R9823" s="36" t="s">
        <v>48</v>
      </c>
    </row>
    <row r="9824">
      <c r="H9824" s="50"/>
      <c r="I9824" s="50"/>
      <c r="O9824" s="36" t="s">
        <v>48</v>
      </c>
      <c r="R9824" s="36" t="s">
        <v>48</v>
      </c>
    </row>
    <row r="9825">
      <c r="H9825" s="50"/>
      <c r="I9825" s="50"/>
      <c r="O9825" s="36" t="s">
        <v>48</v>
      </c>
      <c r="R9825" s="36" t="s">
        <v>48</v>
      </c>
    </row>
    <row r="9826">
      <c r="H9826" s="50"/>
      <c r="I9826" s="50"/>
      <c r="O9826" s="36" t="s">
        <v>48</v>
      </c>
      <c r="R9826" s="36" t="s">
        <v>48</v>
      </c>
    </row>
    <row r="9827">
      <c r="H9827" s="50"/>
      <c r="I9827" s="50"/>
      <c r="O9827" s="36" t="s">
        <v>48</v>
      </c>
      <c r="R9827" s="36" t="s">
        <v>48</v>
      </c>
    </row>
    <row r="9828">
      <c r="H9828" s="50"/>
      <c r="I9828" s="50"/>
      <c r="O9828" s="36" t="s">
        <v>48</v>
      </c>
      <c r="R9828" s="36" t="s">
        <v>48</v>
      </c>
    </row>
    <row r="9829">
      <c r="H9829" s="50"/>
      <c r="I9829" s="50"/>
      <c r="O9829" s="36" t="s">
        <v>48</v>
      </c>
      <c r="R9829" s="36" t="s">
        <v>48</v>
      </c>
    </row>
    <row r="9830">
      <c r="H9830" s="50"/>
      <c r="I9830" s="50"/>
      <c r="O9830" s="36" t="s">
        <v>48</v>
      </c>
      <c r="R9830" s="36" t="s">
        <v>48</v>
      </c>
    </row>
    <row r="9831">
      <c r="H9831" s="50"/>
      <c r="I9831" s="50"/>
      <c r="O9831" s="36" t="s">
        <v>48</v>
      </c>
      <c r="R9831" s="36" t="s">
        <v>48</v>
      </c>
    </row>
    <row r="9832">
      <c r="H9832" s="50"/>
      <c r="I9832" s="50"/>
      <c r="O9832" s="36" t="s">
        <v>48</v>
      </c>
      <c r="R9832" s="36" t="s">
        <v>48</v>
      </c>
    </row>
    <row r="9833">
      <c r="H9833" s="50"/>
      <c r="I9833" s="50"/>
      <c r="O9833" s="36" t="s">
        <v>48</v>
      </c>
      <c r="R9833" s="36" t="s">
        <v>48</v>
      </c>
    </row>
    <row r="9834">
      <c r="H9834" s="50"/>
      <c r="I9834" s="50"/>
      <c r="O9834" s="36" t="s">
        <v>48</v>
      </c>
      <c r="R9834" s="36" t="s">
        <v>48</v>
      </c>
    </row>
    <row r="9835">
      <c r="H9835" s="50"/>
      <c r="I9835" s="50"/>
      <c r="O9835" s="36" t="s">
        <v>48</v>
      </c>
      <c r="R9835" s="36" t="s">
        <v>48</v>
      </c>
    </row>
    <row r="9836">
      <c r="H9836" s="50"/>
      <c r="I9836" s="50"/>
      <c r="O9836" s="36" t="s">
        <v>48</v>
      </c>
      <c r="R9836" s="36" t="s">
        <v>48</v>
      </c>
    </row>
    <row r="9837">
      <c r="H9837" s="50"/>
      <c r="I9837" s="50"/>
      <c r="O9837" s="36" t="s">
        <v>48</v>
      </c>
      <c r="R9837" s="36" t="s">
        <v>48</v>
      </c>
    </row>
    <row r="9838">
      <c r="H9838" s="50"/>
      <c r="I9838" s="50"/>
      <c r="O9838" s="36" t="s">
        <v>48</v>
      </c>
      <c r="R9838" s="36" t="s">
        <v>48</v>
      </c>
    </row>
    <row r="9839">
      <c r="H9839" s="50"/>
      <c r="I9839" s="50"/>
      <c r="O9839" s="36" t="s">
        <v>48</v>
      </c>
      <c r="R9839" s="36" t="s">
        <v>48</v>
      </c>
    </row>
    <row r="9840">
      <c r="H9840" s="50"/>
      <c r="I9840" s="50"/>
      <c r="O9840" s="36" t="s">
        <v>48</v>
      </c>
      <c r="R9840" s="36" t="s">
        <v>48</v>
      </c>
    </row>
    <row r="9841">
      <c r="H9841" s="50"/>
      <c r="I9841" s="50"/>
      <c r="O9841" s="36" t="s">
        <v>48</v>
      </c>
      <c r="R9841" s="36" t="s">
        <v>48</v>
      </c>
    </row>
    <row r="9842">
      <c r="H9842" s="50"/>
      <c r="I9842" s="50"/>
      <c r="O9842" s="36" t="s">
        <v>48</v>
      </c>
      <c r="R9842" s="36" t="s">
        <v>48</v>
      </c>
    </row>
    <row r="9843">
      <c r="H9843" s="50"/>
      <c r="I9843" s="50"/>
      <c r="O9843" s="36" t="s">
        <v>48</v>
      </c>
      <c r="R9843" s="36" t="s">
        <v>48</v>
      </c>
    </row>
    <row r="9844">
      <c r="H9844" s="50"/>
      <c r="I9844" s="50"/>
      <c r="O9844" s="36" t="s">
        <v>48</v>
      </c>
      <c r="R9844" s="36" t="s">
        <v>48</v>
      </c>
    </row>
    <row r="9845">
      <c r="H9845" s="50"/>
      <c r="I9845" s="50"/>
      <c r="O9845" s="36" t="s">
        <v>48</v>
      </c>
      <c r="R9845" s="36" t="s">
        <v>48</v>
      </c>
    </row>
    <row r="9846">
      <c r="H9846" s="50"/>
      <c r="I9846" s="50"/>
      <c r="O9846" s="36" t="s">
        <v>48</v>
      </c>
      <c r="R9846" s="36" t="s">
        <v>48</v>
      </c>
    </row>
    <row r="9847">
      <c r="H9847" s="50"/>
      <c r="I9847" s="50"/>
      <c r="O9847" s="36" t="s">
        <v>48</v>
      </c>
      <c r="R9847" s="36" t="s">
        <v>48</v>
      </c>
    </row>
    <row r="9848">
      <c r="H9848" s="50"/>
      <c r="I9848" s="50"/>
      <c r="O9848" s="36" t="s">
        <v>48</v>
      </c>
      <c r="R9848" s="36" t="s">
        <v>48</v>
      </c>
    </row>
    <row r="9849">
      <c r="H9849" s="50"/>
      <c r="I9849" s="50"/>
      <c r="O9849" s="36" t="s">
        <v>48</v>
      </c>
      <c r="R9849" s="36" t="s">
        <v>48</v>
      </c>
    </row>
    <row r="9850">
      <c r="H9850" s="50"/>
      <c r="I9850" s="50"/>
      <c r="O9850" s="36" t="s">
        <v>48</v>
      </c>
      <c r="R9850" s="36" t="s">
        <v>48</v>
      </c>
    </row>
    <row r="9851">
      <c r="H9851" s="50"/>
      <c r="I9851" s="50"/>
      <c r="O9851" s="36" t="s">
        <v>48</v>
      </c>
      <c r="R9851" s="36" t="s">
        <v>48</v>
      </c>
    </row>
    <row r="9852">
      <c r="H9852" s="50"/>
      <c r="I9852" s="50"/>
      <c r="O9852" s="36" t="s">
        <v>48</v>
      </c>
      <c r="R9852" s="36" t="s">
        <v>48</v>
      </c>
    </row>
    <row r="9853">
      <c r="H9853" s="50"/>
      <c r="I9853" s="50"/>
      <c r="O9853" s="36" t="s">
        <v>48</v>
      </c>
      <c r="R9853" s="36" t="s">
        <v>48</v>
      </c>
    </row>
    <row r="9854">
      <c r="H9854" s="50"/>
      <c r="I9854" s="50"/>
      <c r="O9854" s="36" t="s">
        <v>48</v>
      </c>
      <c r="R9854" s="36" t="s">
        <v>48</v>
      </c>
    </row>
    <row r="9855">
      <c r="H9855" s="50"/>
      <c r="I9855" s="50"/>
      <c r="O9855" s="36" t="s">
        <v>48</v>
      </c>
      <c r="R9855" s="36" t="s">
        <v>48</v>
      </c>
    </row>
    <row r="9856">
      <c r="H9856" s="50"/>
      <c r="I9856" s="50"/>
      <c r="O9856" s="36" t="s">
        <v>48</v>
      </c>
      <c r="R9856" s="36" t="s">
        <v>48</v>
      </c>
    </row>
    <row r="9857">
      <c r="H9857" s="50"/>
      <c r="I9857" s="50"/>
      <c r="O9857" s="36" t="s">
        <v>48</v>
      </c>
      <c r="R9857" s="36" t="s">
        <v>48</v>
      </c>
    </row>
    <row r="9858">
      <c r="H9858" s="50"/>
      <c r="I9858" s="50"/>
      <c r="O9858" s="36" t="s">
        <v>48</v>
      </c>
      <c r="R9858" s="36" t="s">
        <v>48</v>
      </c>
    </row>
    <row r="9859">
      <c r="H9859" s="50"/>
      <c r="I9859" s="50"/>
      <c r="O9859" s="36" t="s">
        <v>48</v>
      </c>
      <c r="R9859" s="36" t="s">
        <v>48</v>
      </c>
    </row>
    <row r="9860">
      <c r="H9860" s="50"/>
      <c r="I9860" s="50"/>
      <c r="O9860" s="36" t="s">
        <v>48</v>
      </c>
      <c r="R9860" s="36" t="s">
        <v>48</v>
      </c>
    </row>
    <row r="9861">
      <c r="H9861" s="50"/>
      <c r="I9861" s="50"/>
      <c r="O9861" s="36" t="s">
        <v>48</v>
      </c>
      <c r="R9861" s="36" t="s">
        <v>48</v>
      </c>
    </row>
    <row r="9862">
      <c r="H9862" s="50"/>
      <c r="I9862" s="50"/>
      <c r="O9862" s="36" t="s">
        <v>48</v>
      </c>
      <c r="R9862" s="36" t="s">
        <v>48</v>
      </c>
    </row>
    <row r="9863">
      <c r="H9863" s="50"/>
      <c r="I9863" s="50"/>
      <c r="O9863" s="36" t="s">
        <v>48</v>
      </c>
      <c r="R9863" s="36" t="s">
        <v>48</v>
      </c>
    </row>
    <row r="9864">
      <c r="H9864" s="50"/>
      <c r="I9864" s="50"/>
      <c r="O9864" s="36" t="s">
        <v>48</v>
      </c>
      <c r="R9864" s="36" t="s">
        <v>48</v>
      </c>
    </row>
    <row r="9865">
      <c r="H9865" s="50"/>
      <c r="I9865" s="50"/>
      <c r="O9865" s="36" t="s">
        <v>48</v>
      </c>
      <c r="R9865" s="36" t="s">
        <v>48</v>
      </c>
    </row>
    <row r="9866">
      <c r="H9866" s="50"/>
      <c r="I9866" s="50"/>
      <c r="O9866" s="36" t="s">
        <v>48</v>
      </c>
      <c r="R9866" s="36" t="s">
        <v>48</v>
      </c>
    </row>
    <row r="9867">
      <c r="H9867" s="50"/>
      <c r="I9867" s="50"/>
      <c r="O9867" s="36" t="s">
        <v>48</v>
      </c>
      <c r="R9867" s="36" t="s">
        <v>48</v>
      </c>
    </row>
    <row r="9868">
      <c r="H9868" s="50"/>
      <c r="I9868" s="50"/>
      <c r="O9868" s="36" t="s">
        <v>48</v>
      </c>
      <c r="R9868" s="36" t="s">
        <v>48</v>
      </c>
    </row>
    <row r="9869">
      <c r="H9869" s="50"/>
      <c r="I9869" s="50"/>
      <c r="O9869" s="36" t="s">
        <v>48</v>
      </c>
      <c r="R9869" s="36" t="s">
        <v>48</v>
      </c>
    </row>
    <row r="9870">
      <c r="H9870" s="50"/>
      <c r="I9870" s="50"/>
      <c r="O9870" s="36" t="s">
        <v>48</v>
      </c>
      <c r="R9870" s="36" t="s">
        <v>48</v>
      </c>
    </row>
    <row r="9871">
      <c r="H9871" s="50"/>
      <c r="I9871" s="50"/>
      <c r="O9871" s="36" t="s">
        <v>48</v>
      </c>
      <c r="R9871" s="36" t="s">
        <v>48</v>
      </c>
    </row>
    <row r="9872">
      <c r="H9872" s="50"/>
      <c r="I9872" s="50"/>
      <c r="O9872" s="36" t="s">
        <v>48</v>
      </c>
      <c r="R9872" s="36" t="s">
        <v>48</v>
      </c>
    </row>
    <row r="9873">
      <c r="H9873" s="50"/>
      <c r="I9873" s="50"/>
      <c r="O9873" s="36" t="s">
        <v>48</v>
      </c>
      <c r="R9873" s="36" t="s">
        <v>48</v>
      </c>
    </row>
    <row r="9874">
      <c r="H9874" s="50"/>
      <c r="I9874" s="50"/>
      <c r="O9874" s="36" t="s">
        <v>48</v>
      </c>
      <c r="R9874" s="36" t="s">
        <v>48</v>
      </c>
    </row>
    <row r="9875">
      <c r="H9875" s="50"/>
      <c r="I9875" s="50"/>
      <c r="O9875" s="36" t="s">
        <v>48</v>
      </c>
      <c r="R9875" s="36" t="s">
        <v>48</v>
      </c>
    </row>
    <row r="9876">
      <c r="H9876" s="50"/>
      <c r="I9876" s="50"/>
      <c r="O9876" s="36" t="s">
        <v>48</v>
      </c>
      <c r="R9876" s="36" t="s">
        <v>48</v>
      </c>
    </row>
    <row r="9877">
      <c r="H9877" s="50"/>
      <c r="I9877" s="50"/>
      <c r="O9877" s="36" t="s">
        <v>48</v>
      </c>
      <c r="R9877" s="36" t="s">
        <v>48</v>
      </c>
    </row>
    <row r="9878">
      <c r="H9878" s="50"/>
      <c r="I9878" s="50"/>
      <c r="O9878" s="36" t="s">
        <v>48</v>
      </c>
      <c r="R9878" s="36" t="s">
        <v>48</v>
      </c>
    </row>
    <row r="9879">
      <c r="H9879" s="50"/>
      <c r="I9879" s="50"/>
      <c r="O9879" s="36" t="s">
        <v>48</v>
      </c>
      <c r="R9879" s="36" t="s">
        <v>48</v>
      </c>
    </row>
    <row r="9880">
      <c r="H9880" s="50"/>
      <c r="I9880" s="50"/>
      <c r="O9880" s="36" t="s">
        <v>48</v>
      </c>
      <c r="R9880" s="36" t="s">
        <v>48</v>
      </c>
    </row>
    <row r="9881">
      <c r="H9881" s="50"/>
      <c r="I9881" s="50"/>
      <c r="O9881" s="36" t="s">
        <v>48</v>
      </c>
      <c r="R9881" s="36" t="s">
        <v>48</v>
      </c>
    </row>
    <row r="9882">
      <c r="H9882" s="50"/>
      <c r="I9882" s="50"/>
      <c r="O9882" s="36" t="s">
        <v>48</v>
      </c>
      <c r="R9882" s="36" t="s">
        <v>48</v>
      </c>
    </row>
    <row r="9883">
      <c r="H9883" s="50"/>
      <c r="I9883" s="50"/>
      <c r="O9883" s="36" t="s">
        <v>48</v>
      </c>
      <c r="R9883" s="36" t="s">
        <v>48</v>
      </c>
    </row>
    <row r="9884">
      <c r="H9884" s="50"/>
      <c r="I9884" s="50"/>
      <c r="O9884" s="36" t="s">
        <v>48</v>
      </c>
      <c r="R9884" s="36" t="s">
        <v>48</v>
      </c>
    </row>
    <row r="9885">
      <c r="H9885" s="50"/>
      <c r="I9885" s="50"/>
      <c r="O9885" s="36" t="s">
        <v>48</v>
      </c>
      <c r="R9885" s="36" t="s">
        <v>48</v>
      </c>
    </row>
    <row r="9886">
      <c r="H9886" s="50"/>
      <c r="I9886" s="50"/>
      <c r="O9886" s="36" t="s">
        <v>48</v>
      </c>
      <c r="R9886" s="36" t="s">
        <v>48</v>
      </c>
    </row>
    <row r="9887">
      <c r="H9887" s="50"/>
      <c r="I9887" s="50"/>
      <c r="O9887" s="36" t="s">
        <v>48</v>
      </c>
      <c r="R9887" s="36" t="s">
        <v>48</v>
      </c>
    </row>
    <row r="9888">
      <c r="H9888" s="50"/>
      <c r="I9888" s="50"/>
      <c r="O9888" s="36" t="s">
        <v>48</v>
      </c>
      <c r="R9888" s="36" t="s">
        <v>48</v>
      </c>
    </row>
    <row r="9889">
      <c r="H9889" s="50"/>
      <c r="I9889" s="50"/>
      <c r="O9889" s="36" t="s">
        <v>48</v>
      </c>
      <c r="R9889" s="36" t="s">
        <v>48</v>
      </c>
    </row>
    <row r="9890">
      <c r="H9890" s="50"/>
      <c r="I9890" s="50"/>
      <c r="O9890" s="36" t="s">
        <v>48</v>
      </c>
      <c r="R9890" s="36" t="s">
        <v>48</v>
      </c>
    </row>
    <row r="9891">
      <c r="H9891" s="50"/>
      <c r="I9891" s="50"/>
      <c r="O9891" s="36" t="s">
        <v>48</v>
      </c>
      <c r="R9891" s="36" t="s">
        <v>48</v>
      </c>
    </row>
    <row r="9892">
      <c r="H9892" s="50"/>
      <c r="I9892" s="50"/>
      <c r="O9892" s="36" t="s">
        <v>48</v>
      </c>
      <c r="R9892" s="36" t="s">
        <v>48</v>
      </c>
    </row>
    <row r="9893">
      <c r="H9893" s="50"/>
      <c r="I9893" s="50"/>
      <c r="O9893" s="36" t="s">
        <v>48</v>
      </c>
      <c r="R9893" s="36" t="s">
        <v>48</v>
      </c>
    </row>
    <row r="9894">
      <c r="H9894" s="50"/>
      <c r="I9894" s="50"/>
      <c r="O9894" s="36" t="s">
        <v>48</v>
      </c>
      <c r="R9894" s="36" t="s">
        <v>48</v>
      </c>
    </row>
    <row r="9895">
      <c r="H9895" s="50"/>
      <c r="I9895" s="50"/>
      <c r="O9895" s="36" t="s">
        <v>48</v>
      </c>
      <c r="R9895" s="36" t="s">
        <v>48</v>
      </c>
    </row>
    <row r="9896">
      <c r="H9896" s="50"/>
      <c r="I9896" s="50"/>
      <c r="O9896" s="36" t="s">
        <v>48</v>
      </c>
      <c r="R9896" s="36" t="s">
        <v>48</v>
      </c>
    </row>
    <row r="9897">
      <c r="H9897" s="50"/>
      <c r="I9897" s="50"/>
      <c r="O9897" s="36" t="s">
        <v>48</v>
      </c>
      <c r="R9897" s="36" t="s">
        <v>48</v>
      </c>
    </row>
    <row r="9898">
      <c r="H9898" s="50"/>
      <c r="I9898" s="50"/>
      <c r="O9898" s="36" t="s">
        <v>48</v>
      </c>
      <c r="R9898" s="36" t="s">
        <v>48</v>
      </c>
    </row>
    <row r="9899">
      <c r="H9899" s="50"/>
      <c r="I9899" s="50"/>
      <c r="O9899" s="36" t="s">
        <v>48</v>
      </c>
      <c r="R9899" s="36" t="s">
        <v>48</v>
      </c>
    </row>
    <row r="9900">
      <c r="H9900" s="50"/>
      <c r="I9900" s="50"/>
      <c r="O9900" s="36" t="s">
        <v>48</v>
      </c>
      <c r="R9900" s="36" t="s">
        <v>48</v>
      </c>
    </row>
    <row r="9901">
      <c r="H9901" s="50"/>
      <c r="I9901" s="50"/>
      <c r="O9901" s="36" t="s">
        <v>48</v>
      </c>
      <c r="R9901" s="36" t="s">
        <v>48</v>
      </c>
    </row>
    <row r="9902">
      <c r="H9902" s="50"/>
      <c r="I9902" s="50"/>
      <c r="O9902" s="36" t="s">
        <v>48</v>
      </c>
      <c r="R9902" s="36" t="s">
        <v>48</v>
      </c>
    </row>
    <row r="9903">
      <c r="H9903" s="50"/>
      <c r="I9903" s="50"/>
      <c r="O9903" s="36" t="s">
        <v>48</v>
      </c>
      <c r="R9903" s="36" t="s">
        <v>48</v>
      </c>
    </row>
    <row r="9904">
      <c r="H9904" s="50"/>
      <c r="I9904" s="50"/>
      <c r="O9904" s="36" t="s">
        <v>48</v>
      </c>
      <c r="R9904" s="36" t="s">
        <v>48</v>
      </c>
    </row>
    <row r="9905">
      <c r="H9905" s="50"/>
      <c r="I9905" s="50"/>
      <c r="O9905" s="36" t="s">
        <v>48</v>
      </c>
      <c r="R9905" s="36" t="s">
        <v>48</v>
      </c>
    </row>
    <row r="9906">
      <c r="H9906" s="50"/>
      <c r="I9906" s="50"/>
      <c r="O9906" s="36" t="s">
        <v>48</v>
      </c>
      <c r="R9906" s="36" t="s">
        <v>48</v>
      </c>
    </row>
    <row r="9907">
      <c r="H9907" s="50"/>
      <c r="I9907" s="50"/>
      <c r="O9907" s="36" t="s">
        <v>48</v>
      </c>
      <c r="R9907" s="36" t="s">
        <v>48</v>
      </c>
    </row>
    <row r="9908">
      <c r="H9908" s="50"/>
      <c r="I9908" s="50"/>
      <c r="O9908" s="36" t="s">
        <v>48</v>
      </c>
      <c r="R9908" s="36" t="s">
        <v>48</v>
      </c>
    </row>
    <row r="9909">
      <c r="H9909" s="50"/>
      <c r="I9909" s="50"/>
      <c r="O9909" s="36" t="s">
        <v>48</v>
      </c>
      <c r="R9909" s="36" t="s">
        <v>48</v>
      </c>
    </row>
    <row r="9910">
      <c r="H9910" s="50"/>
      <c r="I9910" s="50"/>
      <c r="O9910" s="36" t="s">
        <v>48</v>
      </c>
      <c r="R9910" s="36" t="s">
        <v>48</v>
      </c>
    </row>
    <row r="9911">
      <c r="H9911" s="50"/>
      <c r="I9911" s="50"/>
      <c r="O9911" s="36" t="s">
        <v>48</v>
      </c>
      <c r="R9911" s="36" t="s">
        <v>48</v>
      </c>
    </row>
    <row r="9912">
      <c r="H9912" s="50"/>
      <c r="I9912" s="50"/>
      <c r="O9912" s="36" t="s">
        <v>48</v>
      </c>
      <c r="R9912" s="36" t="s">
        <v>48</v>
      </c>
    </row>
    <row r="9913">
      <c r="H9913" s="50"/>
      <c r="I9913" s="50"/>
      <c r="O9913" s="36" t="s">
        <v>48</v>
      </c>
      <c r="R9913" s="36" t="s">
        <v>48</v>
      </c>
    </row>
    <row r="9914">
      <c r="H9914" s="50"/>
      <c r="I9914" s="50"/>
      <c r="O9914" s="36" t="s">
        <v>48</v>
      </c>
      <c r="R9914" s="36" t="s">
        <v>48</v>
      </c>
    </row>
    <row r="9915">
      <c r="H9915" s="50"/>
      <c r="I9915" s="50"/>
      <c r="O9915" s="36" t="s">
        <v>48</v>
      </c>
      <c r="R9915" s="36" t="s">
        <v>48</v>
      </c>
    </row>
    <row r="9916">
      <c r="H9916" s="50"/>
      <c r="I9916" s="50"/>
      <c r="O9916" s="36" t="s">
        <v>48</v>
      </c>
      <c r="R9916" s="36" t="s">
        <v>48</v>
      </c>
    </row>
    <row r="9917">
      <c r="H9917" s="50"/>
      <c r="I9917" s="50"/>
      <c r="O9917" s="36" t="s">
        <v>48</v>
      </c>
      <c r="R9917" s="36" t="s">
        <v>48</v>
      </c>
    </row>
    <row r="9918">
      <c r="H9918" s="50"/>
      <c r="I9918" s="50"/>
      <c r="O9918" s="36" t="s">
        <v>48</v>
      </c>
      <c r="R9918" s="36" t="s">
        <v>48</v>
      </c>
    </row>
    <row r="9919">
      <c r="H9919" s="50"/>
      <c r="I9919" s="50"/>
      <c r="O9919" s="36" t="s">
        <v>48</v>
      </c>
      <c r="R9919" s="36" t="s">
        <v>48</v>
      </c>
    </row>
    <row r="9920">
      <c r="H9920" s="50"/>
      <c r="I9920" s="50"/>
      <c r="O9920" s="36" t="s">
        <v>48</v>
      </c>
      <c r="R9920" s="36" t="s">
        <v>48</v>
      </c>
    </row>
    <row r="9921">
      <c r="H9921" s="50"/>
      <c r="I9921" s="50"/>
      <c r="O9921" s="36" t="s">
        <v>48</v>
      </c>
      <c r="R9921" s="36" t="s">
        <v>48</v>
      </c>
    </row>
    <row r="9922">
      <c r="H9922" s="50"/>
      <c r="I9922" s="50"/>
      <c r="O9922" s="36" t="s">
        <v>48</v>
      </c>
      <c r="R9922" s="36" t="s">
        <v>48</v>
      </c>
    </row>
    <row r="9923">
      <c r="H9923" s="50"/>
      <c r="I9923" s="50"/>
      <c r="O9923" s="36" t="s">
        <v>48</v>
      </c>
      <c r="R9923" s="36" t="s">
        <v>48</v>
      </c>
    </row>
    <row r="9924">
      <c r="H9924" s="50"/>
      <c r="I9924" s="50"/>
      <c r="O9924" s="36" t="s">
        <v>48</v>
      </c>
      <c r="R9924" s="36" t="s">
        <v>48</v>
      </c>
    </row>
    <row r="9925">
      <c r="H9925" s="50"/>
      <c r="I9925" s="50"/>
      <c r="O9925" s="36" t="s">
        <v>48</v>
      </c>
      <c r="R9925" s="36" t="s">
        <v>48</v>
      </c>
    </row>
    <row r="9926">
      <c r="H9926" s="50"/>
      <c r="I9926" s="50"/>
      <c r="O9926" s="36" t="s">
        <v>48</v>
      </c>
      <c r="R9926" s="36" t="s">
        <v>48</v>
      </c>
    </row>
    <row r="9927">
      <c r="H9927" s="50"/>
      <c r="I9927" s="50"/>
      <c r="O9927" s="36" t="s">
        <v>48</v>
      </c>
      <c r="R9927" s="36" t="s">
        <v>48</v>
      </c>
    </row>
    <row r="9928">
      <c r="H9928" s="50"/>
      <c r="I9928" s="50"/>
      <c r="O9928" s="36" t="s">
        <v>48</v>
      </c>
      <c r="R9928" s="36" t="s">
        <v>48</v>
      </c>
    </row>
    <row r="9929">
      <c r="H9929" s="50"/>
      <c r="I9929" s="50"/>
      <c r="O9929" s="36" t="s">
        <v>48</v>
      </c>
      <c r="R9929" s="36" t="s">
        <v>48</v>
      </c>
    </row>
    <row r="9930">
      <c r="H9930" s="50"/>
      <c r="I9930" s="50"/>
      <c r="O9930" s="36" t="s">
        <v>48</v>
      </c>
      <c r="R9930" s="36" t="s">
        <v>48</v>
      </c>
    </row>
    <row r="9931">
      <c r="H9931" s="50"/>
      <c r="I9931" s="50"/>
      <c r="O9931" s="36" t="s">
        <v>48</v>
      </c>
      <c r="R9931" s="36" t="s">
        <v>48</v>
      </c>
    </row>
    <row r="9932">
      <c r="H9932" s="50"/>
      <c r="I9932" s="50"/>
      <c r="O9932" s="36" t="s">
        <v>48</v>
      </c>
      <c r="R9932" s="36" t="s">
        <v>48</v>
      </c>
    </row>
    <row r="9933">
      <c r="H9933" s="50"/>
      <c r="I9933" s="50"/>
      <c r="O9933" s="36" t="s">
        <v>48</v>
      </c>
      <c r="R9933" s="36" t="s">
        <v>48</v>
      </c>
    </row>
    <row r="9934">
      <c r="H9934" s="50"/>
      <c r="I9934" s="50"/>
      <c r="O9934" s="36" t="s">
        <v>48</v>
      </c>
      <c r="R9934" s="36" t="s">
        <v>48</v>
      </c>
    </row>
    <row r="9935">
      <c r="H9935" s="50"/>
      <c r="I9935" s="50"/>
      <c r="O9935" s="36" t="s">
        <v>48</v>
      </c>
      <c r="R9935" s="36" t="s">
        <v>48</v>
      </c>
    </row>
    <row r="9936">
      <c r="H9936" s="50"/>
      <c r="I9936" s="50"/>
      <c r="O9936" s="36" t="s">
        <v>48</v>
      </c>
      <c r="R9936" s="36" t="s">
        <v>48</v>
      </c>
    </row>
    <row r="9937">
      <c r="H9937" s="50"/>
      <c r="I9937" s="50"/>
      <c r="O9937" s="36" t="s">
        <v>48</v>
      </c>
      <c r="R9937" s="36" t="s">
        <v>48</v>
      </c>
    </row>
    <row r="9938">
      <c r="H9938" s="50"/>
      <c r="I9938" s="50"/>
      <c r="O9938" s="36" t="s">
        <v>48</v>
      </c>
      <c r="R9938" s="36" t="s">
        <v>48</v>
      </c>
    </row>
    <row r="9939">
      <c r="H9939" s="50"/>
      <c r="I9939" s="50"/>
      <c r="O9939" s="36" t="s">
        <v>48</v>
      </c>
      <c r="R9939" s="36" t="s">
        <v>48</v>
      </c>
    </row>
    <row r="9940">
      <c r="H9940" s="50"/>
      <c r="I9940" s="50"/>
      <c r="O9940" s="36" t="s">
        <v>48</v>
      </c>
      <c r="R9940" s="36" t="s">
        <v>48</v>
      </c>
    </row>
    <row r="9941">
      <c r="H9941" s="50"/>
      <c r="I9941" s="50"/>
      <c r="O9941" s="36" t="s">
        <v>48</v>
      </c>
      <c r="R9941" s="36" t="s">
        <v>48</v>
      </c>
    </row>
    <row r="9942">
      <c r="H9942" s="50"/>
      <c r="I9942" s="50"/>
      <c r="O9942" s="36" t="s">
        <v>48</v>
      </c>
      <c r="R9942" s="36" t="s">
        <v>48</v>
      </c>
    </row>
    <row r="9943">
      <c r="H9943" s="50"/>
      <c r="I9943" s="50"/>
      <c r="O9943" s="36" t="s">
        <v>48</v>
      </c>
      <c r="R9943" s="36" t="s">
        <v>48</v>
      </c>
    </row>
    <row r="9944">
      <c r="H9944" s="50"/>
      <c r="I9944" s="50"/>
      <c r="O9944" s="36" t="s">
        <v>48</v>
      </c>
      <c r="R9944" s="36" t="s">
        <v>48</v>
      </c>
    </row>
    <row r="9945">
      <c r="H9945" s="50"/>
      <c r="I9945" s="50"/>
      <c r="O9945" s="36" t="s">
        <v>48</v>
      </c>
      <c r="R9945" s="36" t="s">
        <v>48</v>
      </c>
    </row>
    <row r="9946">
      <c r="H9946" s="50"/>
      <c r="I9946" s="50"/>
      <c r="O9946" s="36" t="s">
        <v>48</v>
      </c>
      <c r="R9946" s="36" t="s">
        <v>48</v>
      </c>
    </row>
    <row r="9947">
      <c r="H9947" s="50"/>
      <c r="I9947" s="50"/>
      <c r="O9947" s="36" t="s">
        <v>48</v>
      </c>
      <c r="R9947" s="36" t="s">
        <v>48</v>
      </c>
    </row>
    <row r="9948">
      <c r="H9948" s="50"/>
      <c r="I9948" s="50"/>
      <c r="O9948" s="36" t="s">
        <v>48</v>
      </c>
      <c r="R9948" s="36" t="s">
        <v>48</v>
      </c>
    </row>
    <row r="9949">
      <c r="H9949" s="50"/>
      <c r="I9949" s="50"/>
      <c r="O9949" s="36" t="s">
        <v>48</v>
      </c>
      <c r="R9949" s="36" t="s">
        <v>48</v>
      </c>
    </row>
    <row r="9950">
      <c r="H9950" s="50"/>
      <c r="I9950" s="50"/>
      <c r="O9950" s="36" t="s">
        <v>48</v>
      </c>
      <c r="R9950" s="36" t="s">
        <v>48</v>
      </c>
    </row>
    <row r="9951">
      <c r="H9951" s="50"/>
      <c r="I9951" s="50"/>
      <c r="O9951" s="36" t="s">
        <v>48</v>
      </c>
      <c r="R9951" s="36" t="s">
        <v>48</v>
      </c>
    </row>
    <row r="9952">
      <c r="H9952" s="50"/>
      <c r="I9952" s="50"/>
      <c r="O9952" s="36" t="s">
        <v>48</v>
      </c>
      <c r="R9952" s="36" t="s">
        <v>48</v>
      </c>
    </row>
    <row r="9953">
      <c r="H9953" s="50"/>
      <c r="I9953" s="50"/>
      <c r="O9953" s="36" t="s">
        <v>48</v>
      </c>
      <c r="R9953" s="36" t="s">
        <v>48</v>
      </c>
    </row>
    <row r="9954">
      <c r="H9954" s="50"/>
      <c r="I9954" s="50"/>
      <c r="O9954" s="36" t="s">
        <v>48</v>
      </c>
      <c r="R9954" s="36" t="s">
        <v>48</v>
      </c>
    </row>
    <row r="9955">
      <c r="H9955" s="50"/>
      <c r="I9955" s="50"/>
      <c r="O9955" s="36" t="s">
        <v>48</v>
      </c>
      <c r="R9955" s="36" t="s">
        <v>48</v>
      </c>
    </row>
    <row r="9956">
      <c r="H9956" s="50"/>
      <c r="I9956" s="50"/>
      <c r="O9956" s="36" t="s">
        <v>48</v>
      </c>
      <c r="R9956" s="36" t="s">
        <v>48</v>
      </c>
    </row>
    <row r="9957">
      <c r="H9957" s="50"/>
      <c r="I9957" s="50"/>
      <c r="O9957" s="36" t="s">
        <v>48</v>
      </c>
      <c r="R9957" s="36" t="s">
        <v>48</v>
      </c>
    </row>
    <row r="9958">
      <c r="H9958" s="50"/>
      <c r="I9958" s="50"/>
      <c r="O9958" s="36" t="s">
        <v>48</v>
      </c>
      <c r="R9958" s="36" t="s">
        <v>48</v>
      </c>
    </row>
    <row r="9959">
      <c r="H9959" s="50"/>
      <c r="I9959" s="50"/>
      <c r="O9959" s="36" t="s">
        <v>48</v>
      </c>
      <c r="R9959" s="36" t="s">
        <v>48</v>
      </c>
    </row>
    <row r="9960">
      <c r="H9960" s="50"/>
      <c r="I9960" s="50"/>
      <c r="O9960" s="36" t="s">
        <v>48</v>
      </c>
      <c r="R9960" s="36" t="s">
        <v>48</v>
      </c>
    </row>
    <row r="9961">
      <c r="H9961" s="50"/>
      <c r="I9961" s="50"/>
      <c r="O9961" s="36" t="s">
        <v>48</v>
      </c>
      <c r="R9961" s="36" t="s">
        <v>48</v>
      </c>
    </row>
    <row r="9962">
      <c r="H9962" s="50"/>
      <c r="I9962" s="50"/>
      <c r="O9962" s="36" t="s">
        <v>48</v>
      </c>
      <c r="R9962" s="36" t="s">
        <v>48</v>
      </c>
    </row>
    <row r="9963">
      <c r="H9963" s="50"/>
      <c r="I9963" s="50"/>
      <c r="O9963" s="36" t="s">
        <v>48</v>
      </c>
      <c r="R9963" s="36" t="s">
        <v>48</v>
      </c>
    </row>
    <row r="9964">
      <c r="H9964" s="50"/>
      <c r="I9964" s="50"/>
      <c r="O9964" s="36" t="s">
        <v>48</v>
      </c>
      <c r="R9964" s="36" t="s">
        <v>48</v>
      </c>
    </row>
    <row r="9965">
      <c r="H9965" s="50"/>
      <c r="I9965" s="50"/>
      <c r="O9965" s="36" t="s">
        <v>48</v>
      </c>
      <c r="R9965" s="36" t="s">
        <v>48</v>
      </c>
    </row>
    <row r="9966">
      <c r="H9966" s="50"/>
      <c r="I9966" s="50"/>
      <c r="O9966" s="36" t="s">
        <v>48</v>
      </c>
      <c r="R9966" s="36" t="s">
        <v>48</v>
      </c>
    </row>
    <row r="9967">
      <c r="H9967" s="50"/>
      <c r="I9967" s="50"/>
      <c r="O9967" s="36" t="s">
        <v>48</v>
      </c>
      <c r="R9967" s="36" t="s">
        <v>48</v>
      </c>
    </row>
    <row r="9968">
      <c r="H9968" s="50"/>
      <c r="I9968" s="50"/>
      <c r="O9968" s="36" t="s">
        <v>48</v>
      </c>
      <c r="R9968" s="36" t="s">
        <v>48</v>
      </c>
    </row>
    <row r="9969">
      <c r="H9969" s="50"/>
      <c r="I9969" s="50"/>
      <c r="O9969" s="36" t="s">
        <v>48</v>
      </c>
      <c r="R9969" s="36" t="s">
        <v>48</v>
      </c>
    </row>
    <row r="9970">
      <c r="H9970" s="50"/>
      <c r="I9970" s="50"/>
      <c r="O9970" s="36" t="s">
        <v>48</v>
      </c>
      <c r="R9970" s="36" t="s">
        <v>48</v>
      </c>
    </row>
    <row r="9971">
      <c r="H9971" s="50"/>
      <c r="I9971" s="50"/>
      <c r="O9971" s="36" t="s">
        <v>48</v>
      </c>
      <c r="R9971" s="36" t="s">
        <v>48</v>
      </c>
    </row>
    <row r="9972">
      <c r="H9972" s="50"/>
      <c r="I9972" s="50"/>
      <c r="O9972" s="36" t="s">
        <v>48</v>
      </c>
      <c r="R9972" s="36" t="s">
        <v>48</v>
      </c>
    </row>
    <row r="9973">
      <c r="H9973" s="50"/>
      <c r="I9973" s="50"/>
      <c r="O9973" s="36" t="s">
        <v>48</v>
      </c>
      <c r="R9973" s="36" t="s">
        <v>48</v>
      </c>
    </row>
    <row r="9974">
      <c r="H9974" s="50"/>
      <c r="I9974" s="50"/>
      <c r="O9974" s="36" t="s">
        <v>48</v>
      </c>
      <c r="R9974" s="36" t="s">
        <v>48</v>
      </c>
    </row>
    <row r="9975">
      <c r="H9975" s="50"/>
      <c r="I9975" s="50"/>
      <c r="O9975" s="36" t="s">
        <v>48</v>
      </c>
      <c r="R9975" s="36" t="s">
        <v>48</v>
      </c>
    </row>
    <row r="9976">
      <c r="H9976" s="50"/>
      <c r="I9976" s="50"/>
      <c r="O9976" s="36" t="s">
        <v>48</v>
      </c>
      <c r="R9976" s="36" t="s">
        <v>48</v>
      </c>
    </row>
    <row r="9977">
      <c r="H9977" s="50"/>
      <c r="I9977" s="50"/>
      <c r="O9977" s="36" t="s">
        <v>48</v>
      </c>
      <c r="R9977" s="36" t="s">
        <v>48</v>
      </c>
    </row>
    <row r="9978">
      <c r="H9978" s="50"/>
      <c r="I9978" s="50"/>
      <c r="O9978" s="36" t="s">
        <v>48</v>
      </c>
      <c r="R9978" s="36" t="s">
        <v>48</v>
      </c>
    </row>
    <row r="9979">
      <c r="H9979" s="50"/>
      <c r="I9979" s="50"/>
      <c r="O9979" s="36" t="s">
        <v>48</v>
      </c>
      <c r="R9979" s="36" t="s">
        <v>48</v>
      </c>
    </row>
    <row r="9980">
      <c r="H9980" s="50"/>
      <c r="I9980" s="50"/>
      <c r="O9980" s="36" t="s">
        <v>48</v>
      </c>
      <c r="R9980" s="36" t="s">
        <v>48</v>
      </c>
    </row>
    <row r="9981">
      <c r="H9981" s="50"/>
      <c r="I9981" s="50"/>
      <c r="O9981" s="36" t="s">
        <v>48</v>
      </c>
      <c r="R9981" s="36" t="s">
        <v>48</v>
      </c>
    </row>
    <row r="9982">
      <c r="H9982" s="50"/>
      <c r="I9982" s="50"/>
      <c r="O9982" s="36" t="s">
        <v>48</v>
      </c>
      <c r="R9982" s="36" t="s">
        <v>48</v>
      </c>
    </row>
    <row r="9983">
      <c r="H9983" s="50"/>
      <c r="I9983" s="50"/>
      <c r="O9983" s="36" t="s">
        <v>48</v>
      </c>
      <c r="R9983" s="36" t="s">
        <v>48</v>
      </c>
    </row>
    <row r="9984">
      <c r="H9984" s="50"/>
      <c r="I9984" s="50"/>
      <c r="O9984" s="36" t="s">
        <v>48</v>
      </c>
      <c r="R9984" s="36" t="s">
        <v>48</v>
      </c>
    </row>
    <row r="9985">
      <c r="H9985" s="50"/>
      <c r="I9985" s="50"/>
      <c r="O9985" s="36" t="s">
        <v>48</v>
      </c>
      <c r="R9985" s="36" t="s">
        <v>48</v>
      </c>
    </row>
    <row r="9986">
      <c r="H9986" s="50"/>
      <c r="I9986" s="50"/>
      <c r="O9986" s="36" t="s">
        <v>48</v>
      </c>
      <c r="R9986" s="36" t="s">
        <v>48</v>
      </c>
    </row>
    <row r="9987">
      <c r="H9987" s="50"/>
      <c r="I9987" s="50"/>
      <c r="O9987" s="36" t="s">
        <v>48</v>
      </c>
      <c r="R9987" s="36" t="s">
        <v>48</v>
      </c>
    </row>
    <row r="9988">
      <c r="H9988" s="50"/>
      <c r="I9988" s="50"/>
      <c r="O9988" s="36" t="s">
        <v>48</v>
      </c>
      <c r="R9988" s="36" t="s">
        <v>48</v>
      </c>
    </row>
    <row r="9989">
      <c r="H9989" s="50"/>
      <c r="I9989" s="50"/>
      <c r="O9989" s="36" t="s">
        <v>48</v>
      </c>
      <c r="R9989" s="36" t="s">
        <v>48</v>
      </c>
    </row>
    <row r="9990">
      <c r="H9990" s="50"/>
      <c r="I9990" s="50"/>
      <c r="O9990" s="36" t="s">
        <v>48</v>
      </c>
      <c r="R9990" s="36" t="s">
        <v>48</v>
      </c>
    </row>
    <row r="9991">
      <c r="H9991" s="50"/>
      <c r="I9991" s="50"/>
      <c r="O9991" s="36" t="s">
        <v>48</v>
      </c>
      <c r="R9991" s="36" t="s">
        <v>48</v>
      </c>
    </row>
    <row r="9992">
      <c r="H9992" s="50"/>
      <c r="I9992" s="50"/>
      <c r="O9992" s="36" t="s">
        <v>48</v>
      </c>
      <c r="R9992" s="36" t="s">
        <v>48</v>
      </c>
    </row>
    <row r="9993">
      <c r="H9993" s="50"/>
      <c r="I9993" s="50"/>
      <c r="O9993" s="36" t="s">
        <v>48</v>
      </c>
      <c r="R9993" s="36" t="s">
        <v>48</v>
      </c>
    </row>
    <row r="9994">
      <c r="H9994" s="50"/>
      <c r="I9994" s="50"/>
      <c r="O9994" s="36" t="s">
        <v>48</v>
      </c>
      <c r="R9994" s="36" t="s">
        <v>48</v>
      </c>
    </row>
    <row r="9995">
      <c r="H9995" s="50"/>
      <c r="I9995" s="50"/>
      <c r="O9995" s="36" t="s">
        <v>48</v>
      </c>
      <c r="R9995" s="36" t="s">
        <v>48</v>
      </c>
    </row>
    <row r="9996">
      <c r="H9996" s="50"/>
      <c r="I9996" s="50"/>
      <c r="O9996" s="36" t="s">
        <v>48</v>
      </c>
      <c r="R9996" s="36" t="s">
        <v>48</v>
      </c>
    </row>
    <row r="9997">
      <c r="H9997" s="50"/>
      <c r="I9997" s="50"/>
      <c r="O9997" s="36" t="s">
        <v>48</v>
      </c>
      <c r="R9997" s="36" t="s">
        <v>48</v>
      </c>
    </row>
    <row r="9998">
      <c r="H9998" s="50"/>
      <c r="I9998" s="50"/>
      <c r="O9998" s="36" t="s">
        <v>48</v>
      </c>
      <c r="R9998" s="36" t="s">
        <v>48</v>
      </c>
    </row>
    <row r="9999">
      <c r="H9999" s="50"/>
      <c r="I9999" s="50"/>
      <c r="O9999" s="36" t="s">
        <v>48</v>
      </c>
      <c r="R9999" s="36" t="s">
        <v>48</v>
      </c>
    </row>
    <row r="10000">
      <c r="H10000" s="50"/>
      <c r="I10000" s="50"/>
      <c r="O10000" s="36" t="s">
        <v>48</v>
      </c>
      <c r="R10000" s="36" t="s">
        <v>48</v>
      </c>
    </row>
    <row r="10001">
      <c r="H10001" s="50"/>
      <c r="I10001" s="50"/>
      <c r="O10001" s="36" t="s">
        <v>48</v>
      </c>
      <c r="R10001" s="36" t="s">
        <v>48</v>
      </c>
    </row>
    <row r="10002">
      <c r="H10002" s="50"/>
      <c r="I10002" s="50"/>
      <c r="O10002" s="36" t="s">
        <v>48</v>
      </c>
      <c r="R10002" s="36" t="s">
        <v>48</v>
      </c>
    </row>
    <row r="10003">
      <c r="H10003" s="50"/>
      <c r="I10003" s="50"/>
      <c r="O10003" s="36" t="s">
        <v>48</v>
      </c>
      <c r="R10003" s="36" t="s">
        <v>48</v>
      </c>
    </row>
    <row r="10004">
      <c r="H10004" s="50"/>
      <c r="I10004" s="50"/>
      <c r="O10004" s="36" t="s">
        <v>48</v>
      </c>
      <c r="R10004" s="36" t="s">
        <v>48</v>
      </c>
    </row>
    <row r="10005">
      <c r="H10005" s="50"/>
      <c r="I10005" s="50"/>
      <c r="O10005" s="36" t="s">
        <v>48</v>
      </c>
      <c r="R10005" s="36" t="s">
        <v>48</v>
      </c>
    </row>
    <row r="10006">
      <c r="H10006" s="50"/>
      <c r="I10006" s="50"/>
      <c r="O10006" s="36" t="s">
        <v>48</v>
      </c>
      <c r="R10006" s="36" t="s">
        <v>48</v>
      </c>
    </row>
    <row r="10007">
      <c r="H10007" s="50"/>
      <c r="I10007" s="50"/>
      <c r="O10007" s="36" t="s">
        <v>48</v>
      </c>
      <c r="R10007" s="36" t="s">
        <v>48</v>
      </c>
    </row>
    <row r="10008">
      <c r="H10008" s="50"/>
      <c r="I10008" s="50"/>
      <c r="O10008" s="36" t="s">
        <v>48</v>
      </c>
      <c r="R10008" s="36" t="s">
        <v>48</v>
      </c>
    </row>
    <row r="10009">
      <c r="H10009" s="50"/>
      <c r="I10009" s="50"/>
      <c r="O10009" s="36" t="s">
        <v>48</v>
      </c>
      <c r="R10009" s="36" t="s">
        <v>48</v>
      </c>
    </row>
    <row r="10010">
      <c r="H10010" s="50"/>
      <c r="I10010" s="50"/>
      <c r="O10010" s="36" t="s">
        <v>48</v>
      </c>
      <c r="R10010" s="36" t="s">
        <v>48</v>
      </c>
    </row>
    <row r="10011">
      <c r="H10011" s="50"/>
      <c r="I10011" s="50"/>
      <c r="O10011" s="36" t="s">
        <v>48</v>
      </c>
      <c r="R10011" s="36" t="s">
        <v>48</v>
      </c>
    </row>
    <row r="10012">
      <c r="H10012" s="50"/>
      <c r="I10012" s="50"/>
      <c r="O10012" s="36" t="s">
        <v>48</v>
      </c>
      <c r="R10012" s="36" t="s">
        <v>48</v>
      </c>
    </row>
    <row r="10013">
      <c r="H10013" s="50"/>
      <c r="I10013" s="50"/>
      <c r="O10013" s="36" t="s">
        <v>48</v>
      </c>
      <c r="R10013" s="36" t="s">
        <v>48</v>
      </c>
    </row>
    <row r="10014">
      <c r="H10014" s="50"/>
      <c r="I10014" s="50"/>
      <c r="O10014" s="36" t="s">
        <v>48</v>
      </c>
      <c r="R10014" s="36" t="s">
        <v>48</v>
      </c>
    </row>
    <row r="10015">
      <c r="H10015" s="50"/>
      <c r="I10015" s="50"/>
      <c r="O10015" s="36" t="s">
        <v>48</v>
      </c>
      <c r="R10015" s="36" t="s">
        <v>48</v>
      </c>
    </row>
    <row r="10016">
      <c r="H10016" s="50"/>
      <c r="I10016" s="50"/>
      <c r="O10016" s="36" t="s">
        <v>48</v>
      </c>
      <c r="R10016" s="36" t="s">
        <v>48</v>
      </c>
    </row>
    <row r="10017">
      <c r="H10017" s="50"/>
      <c r="I10017" s="50"/>
      <c r="O10017" s="36" t="s">
        <v>48</v>
      </c>
      <c r="R10017" s="36" t="s">
        <v>48</v>
      </c>
    </row>
    <row r="10018">
      <c r="H10018" s="50"/>
      <c r="I10018" s="50"/>
      <c r="O10018" s="36" t="s">
        <v>48</v>
      </c>
      <c r="R10018" s="36" t="s">
        <v>48</v>
      </c>
    </row>
    <row r="10019">
      <c r="H10019" s="50"/>
      <c r="I10019" s="50"/>
      <c r="O10019" s="36" t="s">
        <v>48</v>
      </c>
      <c r="R10019" s="36" t="s">
        <v>48</v>
      </c>
    </row>
    <row r="10020">
      <c r="H10020" s="50"/>
      <c r="I10020" s="50"/>
      <c r="O10020" s="36" t="s">
        <v>48</v>
      </c>
      <c r="R10020" s="36" t="s">
        <v>48</v>
      </c>
    </row>
    <row r="10021">
      <c r="H10021" s="50"/>
      <c r="I10021" s="50"/>
      <c r="O10021" s="36" t="s">
        <v>48</v>
      </c>
      <c r="R10021" s="36" t="s">
        <v>48</v>
      </c>
    </row>
    <row r="10022">
      <c r="H10022" s="50"/>
      <c r="I10022" s="50"/>
      <c r="O10022" s="36" t="s">
        <v>48</v>
      </c>
      <c r="R10022" s="36" t="s">
        <v>48</v>
      </c>
    </row>
    <row r="10023">
      <c r="H10023" s="50"/>
      <c r="I10023" s="50"/>
      <c r="O10023" s="36" t="s">
        <v>48</v>
      </c>
      <c r="R10023" s="36" t="s">
        <v>48</v>
      </c>
    </row>
    <row r="10024">
      <c r="H10024" s="50"/>
      <c r="I10024" s="50"/>
      <c r="O10024" s="36" t="s">
        <v>48</v>
      </c>
      <c r="R10024" s="36" t="s">
        <v>48</v>
      </c>
    </row>
    <row r="10025">
      <c r="H10025" s="50"/>
      <c r="I10025" s="50"/>
      <c r="O10025" s="36" t="s">
        <v>48</v>
      </c>
      <c r="R10025" s="36" t="s">
        <v>48</v>
      </c>
    </row>
    <row r="10026">
      <c r="H10026" s="50"/>
      <c r="I10026" s="50"/>
      <c r="O10026" s="36" t="s">
        <v>48</v>
      </c>
      <c r="R10026" s="36" t="s">
        <v>48</v>
      </c>
    </row>
    <row r="10027">
      <c r="H10027" s="50"/>
      <c r="I10027" s="50"/>
      <c r="O10027" s="36" t="s">
        <v>48</v>
      </c>
      <c r="R10027" s="36" t="s">
        <v>48</v>
      </c>
    </row>
    <row r="10028">
      <c r="H10028" s="50"/>
      <c r="I10028" s="50"/>
      <c r="O10028" s="36" t="s">
        <v>48</v>
      </c>
      <c r="R10028" s="36" t="s">
        <v>48</v>
      </c>
    </row>
    <row r="10029">
      <c r="H10029" s="50"/>
      <c r="I10029" s="50"/>
      <c r="O10029" s="36" t="s">
        <v>48</v>
      </c>
      <c r="R10029" s="36" t="s">
        <v>48</v>
      </c>
    </row>
    <row r="10030">
      <c r="H10030" s="50"/>
      <c r="I10030" s="50"/>
      <c r="O10030" s="36" t="s">
        <v>48</v>
      </c>
      <c r="R10030" s="36" t="s">
        <v>48</v>
      </c>
    </row>
    <row r="10031">
      <c r="H10031" s="50"/>
      <c r="I10031" s="50"/>
      <c r="O10031" s="36" t="s">
        <v>48</v>
      </c>
      <c r="R10031" s="36" t="s">
        <v>48</v>
      </c>
    </row>
    <row r="10032">
      <c r="H10032" s="50"/>
      <c r="I10032" s="50"/>
      <c r="O10032" s="36" t="s">
        <v>48</v>
      </c>
      <c r="R10032" s="36" t="s">
        <v>48</v>
      </c>
    </row>
    <row r="10033">
      <c r="H10033" s="50"/>
      <c r="I10033" s="50"/>
      <c r="O10033" s="36" t="s">
        <v>48</v>
      </c>
      <c r="R10033" s="36" t="s">
        <v>48</v>
      </c>
    </row>
    <row r="10034">
      <c r="H10034" s="50"/>
      <c r="I10034" s="50"/>
      <c r="O10034" s="36" t="s">
        <v>48</v>
      </c>
      <c r="R10034" s="36" t="s">
        <v>48</v>
      </c>
    </row>
    <row r="10035">
      <c r="H10035" s="50"/>
      <c r="I10035" s="50"/>
      <c r="O10035" s="36" t="s">
        <v>48</v>
      </c>
      <c r="R10035" s="36" t="s">
        <v>48</v>
      </c>
    </row>
    <row r="10036">
      <c r="H10036" s="50"/>
      <c r="I10036" s="50"/>
      <c r="O10036" s="36" t="s">
        <v>48</v>
      </c>
      <c r="R10036" s="36" t="s">
        <v>48</v>
      </c>
    </row>
    <row r="10037">
      <c r="H10037" s="50"/>
      <c r="I10037" s="50"/>
      <c r="O10037" s="36" t="s">
        <v>48</v>
      </c>
      <c r="R10037" s="36" t="s">
        <v>48</v>
      </c>
    </row>
    <row r="10038">
      <c r="H10038" s="50"/>
      <c r="I10038" s="50"/>
      <c r="O10038" s="36" t="s">
        <v>48</v>
      </c>
      <c r="R10038" s="36" t="s">
        <v>48</v>
      </c>
    </row>
    <row r="10039">
      <c r="H10039" s="50"/>
      <c r="I10039" s="50"/>
      <c r="O10039" s="36" t="s">
        <v>48</v>
      </c>
      <c r="R10039" s="36" t="s">
        <v>48</v>
      </c>
    </row>
    <row r="10040">
      <c r="H10040" s="50"/>
      <c r="I10040" s="50"/>
      <c r="O10040" s="36" t="s">
        <v>48</v>
      </c>
      <c r="R10040" s="36" t="s">
        <v>48</v>
      </c>
    </row>
    <row r="10041">
      <c r="H10041" s="50"/>
      <c r="I10041" s="50"/>
      <c r="O10041" s="36" t="s">
        <v>48</v>
      </c>
      <c r="R10041" s="36" t="s">
        <v>48</v>
      </c>
    </row>
    <row r="10042">
      <c r="H10042" s="50"/>
      <c r="I10042" s="50"/>
      <c r="O10042" s="36" t="s">
        <v>48</v>
      </c>
      <c r="R10042" s="36" t="s">
        <v>48</v>
      </c>
    </row>
    <row r="10043">
      <c r="H10043" s="50"/>
      <c r="I10043" s="50"/>
      <c r="O10043" s="36" t="s">
        <v>48</v>
      </c>
      <c r="R10043" s="36" t="s">
        <v>48</v>
      </c>
    </row>
    <row r="10044">
      <c r="H10044" s="50"/>
      <c r="I10044" s="50"/>
      <c r="O10044" s="36" t="s">
        <v>48</v>
      </c>
      <c r="R10044" s="36" t="s">
        <v>48</v>
      </c>
    </row>
    <row r="10045">
      <c r="H10045" s="50"/>
      <c r="I10045" s="50"/>
      <c r="O10045" s="36" t="s">
        <v>48</v>
      </c>
      <c r="R10045" s="36" t="s">
        <v>48</v>
      </c>
    </row>
    <row r="10046">
      <c r="H10046" s="50"/>
      <c r="I10046" s="50"/>
      <c r="O10046" s="36" t="s">
        <v>48</v>
      </c>
      <c r="R10046" s="36" t="s">
        <v>48</v>
      </c>
    </row>
    <row r="10047">
      <c r="H10047" s="50"/>
      <c r="I10047" s="50"/>
      <c r="O10047" s="36" t="s">
        <v>48</v>
      </c>
      <c r="R10047" s="36" t="s">
        <v>48</v>
      </c>
    </row>
    <row r="10048">
      <c r="H10048" s="50"/>
      <c r="I10048" s="50"/>
      <c r="O10048" s="36" t="s">
        <v>48</v>
      </c>
      <c r="R10048" s="36" t="s">
        <v>48</v>
      </c>
    </row>
    <row r="10049">
      <c r="H10049" s="50"/>
      <c r="I10049" s="50"/>
      <c r="O10049" s="36" t="s">
        <v>48</v>
      </c>
      <c r="R10049" s="36" t="s">
        <v>48</v>
      </c>
    </row>
    <row r="10050">
      <c r="H10050" s="50"/>
      <c r="I10050" s="50"/>
      <c r="O10050" s="36" t="s">
        <v>48</v>
      </c>
      <c r="R10050" s="36" t="s">
        <v>48</v>
      </c>
    </row>
    <row r="10051">
      <c r="H10051" s="50"/>
      <c r="I10051" s="50"/>
      <c r="O10051" s="36" t="s">
        <v>48</v>
      </c>
      <c r="R10051" s="36" t="s">
        <v>48</v>
      </c>
    </row>
    <row r="10052">
      <c r="H10052" s="50"/>
      <c r="I10052" s="50"/>
      <c r="O10052" s="36" t="s">
        <v>48</v>
      </c>
      <c r="R10052" s="36" t="s">
        <v>48</v>
      </c>
    </row>
    <row r="10053">
      <c r="H10053" s="50"/>
      <c r="I10053" s="50"/>
      <c r="O10053" s="36" t="s">
        <v>48</v>
      </c>
      <c r="R10053" s="36" t="s">
        <v>48</v>
      </c>
    </row>
    <row r="10054">
      <c r="H10054" s="50"/>
      <c r="I10054" s="50"/>
      <c r="O10054" s="36" t="s">
        <v>48</v>
      </c>
      <c r="R10054" s="36" t="s">
        <v>48</v>
      </c>
    </row>
    <row r="10055">
      <c r="H10055" s="50"/>
      <c r="I10055" s="50"/>
      <c r="O10055" s="36" t="s">
        <v>48</v>
      </c>
      <c r="R10055" s="36" t="s">
        <v>48</v>
      </c>
    </row>
    <row r="10056">
      <c r="H10056" s="50"/>
      <c r="I10056" s="50"/>
      <c r="O10056" s="36" t="s">
        <v>48</v>
      </c>
      <c r="R10056" s="36" t="s">
        <v>48</v>
      </c>
    </row>
    <row r="10057">
      <c r="H10057" s="50"/>
      <c r="I10057" s="50"/>
      <c r="O10057" s="36" t="s">
        <v>48</v>
      </c>
      <c r="R10057" s="36" t="s">
        <v>48</v>
      </c>
    </row>
    <row r="10058">
      <c r="H10058" s="50"/>
      <c r="I10058" s="50"/>
      <c r="O10058" s="36" t="s">
        <v>48</v>
      </c>
      <c r="R10058" s="36" t="s">
        <v>48</v>
      </c>
    </row>
    <row r="10059">
      <c r="H10059" s="50"/>
      <c r="I10059" s="50"/>
      <c r="O10059" s="36" t="s">
        <v>48</v>
      </c>
      <c r="R10059" s="36" t="s">
        <v>48</v>
      </c>
    </row>
    <row r="10060">
      <c r="H10060" s="50"/>
      <c r="I10060" s="50"/>
      <c r="O10060" s="36" t="s">
        <v>48</v>
      </c>
      <c r="R10060" s="36" t="s">
        <v>48</v>
      </c>
    </row>
    <row r="10061">
      <c r="H10061" s="50"/>
      <c r="I10061" s="50"/>
      <c r="O10061" s="36" t="s">
        <v>48</v>
      </c>
      <c r="R10061" s="36" t="s">
        <v>48</v>
      </c>
    </row>
    <row r="10062">
      <c r="H10062" s="50"/>
      <c r="I10062" s="50"/>
      <c r="O10062" s="36" t="s">
        <v>48</v>
      </c>
      <c r="R10062" s="36" t="s">
        <v>48</v>
      </c>
    </row>
    <row r="10063">
      <c r="H10063" s="50"/>
      <c r="I10063" s="50"/>
      <c r="O10063" s="36" t="s">
        <v>48</v>
      </c>
      <c r="R10063" s="36" t="s">
        <v>48</v>
      </c>
    </row>
    <row r="10064">
      <c r="H10064" s="50"/>
      <c r="I10064" s="50"/>
      <c r="O10064" s="36" t="s">
        <v>48</v>
      </c>
      <c r="R10064" s="36" t="s">
        <v>48</v>
      </c>
    </row>
    <row r="10065">
      <c r="H10065" s="50"/>
      <c r="I10065" s="50"/>
      <c r="O10065" s="36" t="s">
        <v>48</v>
      </c>
      <c r="R10065" s="36" t="s">
        <v>48</v>
      </c>
    </row>
    <row r="10066">
      <c r="H10066" s="50"/>
      <c r="I10066" s="50"/>
      <c r="O10066" s="36" t="s">
        <v>48</v>
      </c>
      <c r="R10066" s="36" t="s">
        <v>48</v>
      </c>
    </row>
    <row r="10067">
      <c r="H10067" s="50"/>
      <c r="I10067" s="50"/>
      <c r="O10067" s="36" t="s">
        <v>48</v>
      </c>
      <c r="R10067" s="36" t="s">
        <v>48</v>
      </c>
    </row>
    <row r="10068">
      <c r="H10068" s="50"/>
      <c r="I10068" s="50"/>
      <c r="O10068" s="36" t="s">
        <v>48</v>
      </c>
      <c r="R10068" s="36" t="s">
        <v>48</v>
      </c>
    </row>
    <row r="10069">
      <c r="H10069" s="50"/>
      <c r="I10069" s="50"/>
      <c r="O10069" s="36" t="s">
        <v>48</v>
      </c>
      <c r="R10069" s="36" t="s">
        <v>48</v>
      </c>
    </row>
    <row r="10070">
      <c r="H10070" s="50"/>
      <c r="I10070" s="50"/>
      <c r="O10070" s="36" t="s">
        <v>48</v>
      </c>
      <c r="R10070" s="36" t="s">
        <v>48</v>
      </c>
    </row>
    <row r="10071">
      <c r="H10071" s="50"/>
      <c r="I10071" s="50"/>
      <c r="O10071" s="36" t="s">
        <v>48</v>
      </c>
      <c r="R10071" s="36" t="s">
        <v>48</v>
      </c>
    </row>
    <row r="10072">
      <c r="H10072" s="50"/>
      <c r="I10072" s="50"/>
      <c r="O10072" s="36" t="s">
        <v>48</v>
      </c>
      <c r="R10072" s="36" t="s">
        <v>48</v>
      </c>
    </row>
    <row r="10073">
      <c r="H10073" s="50"/>
      <c r="I10073" s="50"/>
      <c r="O10073" s="36" t="s">
        <v>48</v>
      </c>
      <c r="R10073" s="36" t="s">
        <v>48</v>
      </c>
    </row>
    <row r="10074">
      <c r="H10074" s="50"/>
      <c r="I10074" s="50"/>
      <c r="O10074" s="36" t="s">
        <v>48</v>
      </c>
      <c r="R10074" s="36" t="s">
        <v>48</v>
      </c>
    </row>
    <row r="10075">
      <c r="H10075" s="50"/>
      <c r="I10075" s="50"/>
      <c r="O10075" s="36" t="s">
        <v>48</v>
      </c>
      <c r="R10075" s="36" t="s">
        <v>48</v>
      </c>
    </row>
    <row r="10076">
      <c r="H10076" s="50"/>
      <c r="I10076" s="50"/>
      <c r="O10076" s="36" t="s">
        <v>48</v>
      </c>
      <c r="R10076" s="36" t="s">
        <v>48</v>
      </c>
    </row>
    <row r="10077">
      <c r="H10077" s="50"/>
      <c r="I10077" s="50"/>
      <c r="O10077" s="36" t="s">
        <v>48</v>
      </c>
      <c r="R10077" s="36" t="s">
        <v>48</v>
      </c>
    </row>
    <row r="10078">
      <c r="H10078" s="50"/>
      <c r="I10078" s="50"/>
      <c r="O10078" s="36" t="s">
        <v>48</v>
      </c>
      <c r="R10078" s="36" t="s">
        <v>48</v>
      </c>
    </row>
    <row r="10079">
      <c r="H10079" s="50"/>
      <c r="I10079" s="50"/>
      <c r="O10079" s="36" t="s">
        <v>48</v>
      </c>
      <c r="R10079" s="36" t="s">
        <v>48</v>
      </c>
    </row>
    <row r="10080">
      <c r="H10080" s="50"/>
      <c r="I10080" s="50"/>
      <c r="O10080" s="36" t="s">
        <v>48</v>
      </c>
      <c r="R10080" s="36" t="s">
        <v>48</v>
      </c>
    </row>
    <row r="10081">
      <c r="H10081" s="50"/>
      <c r="I10081" s="50"/>
      <c r="O10081" s="36" t="s">
        <v>48</v>
      </c>
      <c r="R10081" s="36" t="s">
        <v>48</v>
      </c>
    </row>
    <row r="10082">
      <c r="H10082" s="50"/>
      <c r="I10082" s="50"/>
      <c r="O10082" s="36" t="s">
        <v>48</v>
      </c>
      <c r="R10082" s="36" t="s">
        <v>48</v>
      </c>
    </row>
    <row r="10083">
      <c r="H10083" s="50"/>
      <c r="I10083" s="50"/>
      <c r="O10083" s="36" t="s">
        <v>48</v>
      </c>
      <c r="R10083" s="36" t="s">
        <v>48</v>
      </c>
    </row>
    <row r="10084">
      <c r="H10084" s="50"/>
      <c r="I10084" s="50"/>
      <c r="O10084" s="36" t="s">
        <v>48</v>
      </c>
      <c r="R10084" s="36" t="s">
        <v>48</v>
      </c>
    </row>
    <row r="10085">
      <c r="H10085" s="50"/>
      <c r="I10085" s="50"/>
      <c r="O10085" s="36" t="s">
        <v>48</v>
      </c>
      <c r="R10085" s="36" t="s">
        <v>48</v>
      </c>
    </row>
    <row r="10086">
      <c r="H10086" s="50"/>
      <c r="I10086" s="50"/>
      <c r="O10086" s="36" t="s">
        <v>48</v>
      </c>
      <c r="R10086" s="36" t="s">
        <v>48</v>
      </c>
    </row>
    <row r="10087">
      <c r="H10087" s="50"/>
      <c r="I10087" s="50"/>
      <c r="O10087" s="36" t="s">
        <v>48</v>
      </c>
      <c r="R10087" s="36" t="s">
        <v>48</v>
      </c>
    </row>
    <row r="10088">
      <c r="H10088" s="50"/>
      <c r="I10088" s="50"/>
      <c r="O10088" s="36" t="s">
        <v>48</v>
      </c>
      <c r="R10088" s="36" t="s">
        <v>48</v>
      </c>
    </row>
    <row r="10089">
      <c r="H10089" s="50"/>
      <c r="I10089" s="50"/>
      <c r="O10089" s="36" t="s">
        <v>48</v>
      </c>
      <c r="R10089" s="36" t="s">
        <v>48</v>
      </c>
    </row>
    <row r="10090">
      <c r="H10090" s="50"/>
      <c r="I10090" s="50"/>
      <c r="O10090" s="36" t="s">
        <v>48</v>
      </c>
      <c r="R10090" s="36" t="s">
        <v>48</v>
      </c>
    </row>
    <row r="10091">
      <c r="H10091" s="50"/>
      <c r="I10091" s="50"/>
      <c r="O10091" s="36" t="s">
        <v>48</v>
      </c>
      <c r="R10091" s="36" t="s">
        <v>48</v>
      </c>
    </row>
    <row r="10092">
      <c r="H10092" s="50"/>
      <c r="I10092" s="50"/>
      <c r="O10092" s="36" t="s">
        <v>48</v>
      </c>
      <c r="R10092" s="36" t="s">
        <v>48</v>
      </c>
    </row>
    <row r="10093">
      <c r="H10093" s="50"/>
      <c r="I10093" s="50"/>
      <c r="O10093" s="36" t="s">
        <v>48</v>
      </c>
      <c r="R10093" s="36" t="s">
        <v>48</v>
      </c>
    </row>
    <row r="10094">
      <c r="H10094" s="50"/>
      <c r="I10094" s="50"/>
      <c r="O10094" s="36" t="s">
        <v>48</v>
      </c>
      <c r="R10094" s="36" t="s">
        <v>48</v>
      </c>
    </row>
    <row r="10095">
      <c r="H10095" s="50"/>
      <c r="I10095" s="50"/>
      <c r="O10095" s="36" t="s">
        <v>48</v>
      </c>
      <c r="R10095" s="36" t="s">
        <v>48</v>
      </c>
    </row>
    <row r="10096">
      <c r="H10096" s="50"/>
      <c r="I10096" s="50"/>
      <c r="O10096" s="36" t="s">
        <v>48</v>
      </c>
      <c r="R10096" s="36" t="s">
        <v>48</v>
      </c>
    </row>
    <row r="10097">
      <c r="H10097" s="50"/>
      <c r="I10097" s="50"/>
      <c r="O10097" s="36" t="s">
        <v>48</v>
      </c>
      <c r="R10097" s="36" t="s">
        <v>48</v>
      </c>
    </row>
    <row r="10098">
      <c r="H10098" s="50"/>
      <c r="I10098" s="50"/>
      <c r="O10098" s="36" t="s">
        <v>48</v>
      </c>
      <c r="R10098" s="36" t="s">
        <v>48</v>
      </c>
    </row>
    <row r="10099">
      <c r="H10099" s="50"/>
      <c r="I10099" s="50"/>
      <c r="O10099" s="36" t="s">
        <v>48</v>
      </c>
      <c r="R10099" s="36" t="s">
        <v>48</v>
      </c>
    </row>
    <row r="10100">
      <c r="H10100" s="50"/>
      <c r="I10100" s="50"/>
      <c r="O10100" s="36" t="s">
        <v>48</v>
      </c>
      <c r="R10100" s="36" t="s">
        <v>48</v>
      </c>
    </row>
    <row r="10101">
      <c r="H10101" s="50"/>
      <c r="I10101" s="50"/>
      <c r="O10101" s="36" t="s">
        <v>48</v>
      </c>
      <c r="R10101" s="36" t="s">
        <v>48</v>
      </c>
    </row>
    <row r="10102">
      <c r="H10102" s="50"/>
      <c r="I10102" s="50"/>
      <c r="O10102" s="36" t="s">
        <v>48</v>
      </c>
      <c r="R10102" s="36" t="s">
        <v>48</v>
      </c>
    </row>
    <row r="10103">
      <c r="H10103" s="50"/>
      <c r="I10103" s="50"/>
      <c r="O10103" s="36" t="s">
        <v>48</v>
      </c>
      <c r="R10103" s="36" t="s">
        <v>48</v>
      </c>
    </row>
    <row r="10104">
      <c r="H10104" s="50"/>
      <c r="I10104" s="50"/>
      <c r="O10104" s="36" t="s">
        <v>48</v>
      </c>
      <c r="R10104" s="36" t="s">
        <v>48</v>
      </c>
    </row>
    <row r="10105">
      <c r="H10105" s="50"/>
      <c r="I10105" s="50"/>
      <c r="O10105" s="36" t="s">
        <v>48</v>
      </c>
      <c r="R10105" s="36" t="s">
        <v>48</v>
      </c>
    </row>
    <row r="10106">
      <c r="H10106" s="50"/>
      <c r="I10106" s="50"/>
      <c r="O10106" s="36" t="s">
        <v>48</v>
      </c>
      <c r="R10106" s="36" t="s">
        <v>48</v>
      </c>
    </row>
    <row r="10107">
      <c r="H10107" s="50"/>
      <c r="I10107" s="50"/>
      <c r="O10107" s="36" t="s">
        <v>48</v>
      </c>
      <c r="R10107" s="36" t="s">
        <v>48</v>
      </c>
    </row>
    <row r="10108">
      <c r="H10108" s="50"/>
      <c r="I10108" s="50"/>
      <c r="O10108" s="36" t="s">
        <v>48</v>
      </c>
      <c r="R10108" s="36" t="s">
        <v>48</v>
      </c>
    </row>
    <row r="10109">
      <c r="H10109" s="50"/>
      <c r="I10109" s="50"/>
      <c r="O10109" s="36" t="s">
        <v>48</v>
      </c>
      <c r="R10109" s="36" t="s">
        <v>48</v>
      </c>
    </row>
    <row r="10110">
      <c r="H10110" s="50"/>
      <c r="I10110" s="50"/>
      <c r="O10110" s="36" t="s">
        <v>48</v>
      </c>
      <c r="R10110" s="36" t="s">
        <v>48</v>
      </c>
    </row>
    <row r="10111">
      <c r="H10111" s="50"/>
      <c r="I10111" s="50"/>
      <c r="O10111" s="36" t="s">
        <v>48</v>
      </c>
      <c r="R10111" s="36" t="s">
        <v>48</v>
      </c>
    </row>
    <row r="10112">
      <c r="H10112" s="50"/>
      <c r="I10112" s="50"/>
      <c r="O10112" s="36" t="s">
        <v>48</v>
      </c>
      <c r="R10112" s="36" t="s">
        <v>48</v>
      </c>
    </row>
    <row r="10113">
      <c r="H10113" s="50"/>
      <c r="I10113" s="50"/>
      <c r="O10113" s="36" t="s">
        <v>48</v>
      </c>
      <c r="R10113" s="36" t="s">
        <v>48</v>
      </c>
    </row>
    <row r="10114">
      <c r="H10114" s="50"/>
      <c r="I10114" s="50"/>
      <c r="O10114" s="36" t="s">
        <v>48</v>
      </c>
      <c r="R10114" s="36" t="s">
        <v>48</v>
      </c>
    </row>
    <row r="10115">
      <c r="H10115" s="50"/>
      <c r="I10115" s="50"/>
      <c r="O10115" s="36" t="s">
        <v>48</v>
      </c>
      <c r="R10115" s="36" t="s">
        <v>48</v>
      </c>
    </row>
    <row r="10116">
      <c r="H10116" s="50"/>
      <c r="I10116" s="50"/>
      <c r="O10116" s="36" t="s">
        <v>48</v>
      </c>
      <c r="R10116" s="36" t="s">
        <v>48</v>
      </c>
    </row>
    <row r="10117">
      <c r="H10117" s="50"/>
      <c r="I10117" s="50"/>
      <c r="O10117" s="36" t="s">
        <v>48</v>
      </c>
      <c r="R10117" s="36" t="s">
        <v>48</v>
      </c>
    </row>
    <row r="10118">
      <c r="H10118" s="50"/>
      <c r="I10118" s="50"/>
      <c r="O10118" s="36" t="s">
        <v>48</v>
      </c>
      <c r="R10118" s="36" t="s">
        <v>48</v>
      </c>
    </row>
    <row r="10119">
      <c r="H10119" s="50"/>
      <c r="I10119" s="50"/>
      <c r="O10119" s="36" t="s">
        <v>48</v>
      </c>
      <c r="R10119" s="36" t="s">
        <v>48</v>
      </c>
    </row>
    <row r="10120">
      <c r="H10120" s="50"/>
      <c r="I10120" s="50"/>
      <c r="O10120" s="36" t="s">
        <v>48</v>
      </c>
      <c r="R10120" s="36" t="s">
        <v>48</v>
      </c>
    </row>
    <row r="10121">
      <c r="H10121" s="50"/>
      <c r="I10121" s="50"/>
      <c r="O10121" s="36" t="s">
        <v>48</v>
      </c>
      <c r="R10121" s="36" t="s">
        <v>48</v>
      </c>
    </row>
    <row r="10122">
      <c r="H10122" s="50"/>
      <c r="I10122" s="50"/>
      <c r="O10122" s="36" t="s">
        <v>48</v>
      </c>
      <c r="R10122" s="36" t="s">
        <v>48</v>
      </c>
    </row>
    <row r="10123">
      <c r="H10123" s="50"/>
      <c r="I10123" s="50"/>
      <c r="O10123" s="36" t="s">
        <v>48</v>
      </c>
      <c r="R10123" s="36" t="s">
        <v>48</v>
      </c>
    </row>
    <row r="10124">
      <c r="H10124" s="50"/>
      <c r="I10124" s="50"/>
      <c r="O10124" s="36" t="s">
        <v>48</v>
      </c>
      <c r="R10124" s="36" t="s">
        <v>48</v>
      </c>
    </row>
    <row r="10125">
      <c r="H10125" s="50"/>
      <c r="I10125" s="50"/>
      <c r="O10125" s="36" t="s">
        <v>48</v>
      </c>
      <c r="R10125" s="36" t="s">
        <v>48</v>
      </c>
    </row>
    <row r="10126">
      <c r="H10126" s="50"/>
      <c r="I10126" s="50"/>
      <c r="O10126" s="36" t="s">
        <v>48</v>
      </c>
      <c r="R10126" s="36" t="s">
        <v>48</v>
      </c>
    </row>
    <row r="10127">
      <c r="H10127" s="50"/>
      <c r="I10127" s="50"/>
      <c r="O10127" s="36" t="s">
        <v>48</v>
      </c>
      <c r="R10127" s="36" t="s">
        <v>48</v>
      </c>
    </row>
    <row r="10128">
      <c r="H10128" s="50"/>
      <c r="I10128" s="50"/>
      <c r="O10128" s="36" t="s">
        <v>48</v>
      </c>
      <c r="R10128" s="36" t="s">
        <v>48</v>
      </c>
    </row>
    <row r="10129">
      <c r="H10129" s="50"/>
      <c r="I10129" s="50"/>
      <c r="O10129" s="36" t="s">
        <v>48</v>
      </c>
      <c r="R10129" s="36" t="s">
        <v>48</v>
      </c>
    </row>
    <row r="10130">
      <c r="H10130" s="50"/>
      <c r="I10130" s="50"/>
      <c r="O10130" s="36" t="s">
        <v>48</v>
      </c>
      <c r="R10130" s="36" t="s">
        <v>48</v>
      </c>
    </row>
    <row r="10131">
      <c r="H10131" s="50"/>
      <c r="I10131" s="50"/>
      <c r="O10131" s="36" t="s">
        <v>48</v>
      </c>
      <c r="R10131" s="36" t="s">
        <v>48</v>
      </c>
    </row>
    <row r="10132">
      <c r="H10132" s="50"/>
      <c r="I10132" s="50"/>
      <c r="O10132" s="36" t="s">
        <v>48</v>
      </c>
      <c r="R10132" s="36" t="s">
        <v>48</v>
      </c>
    </row>
    <row r="10133">
      <c r="H10133" s="50"/>
      <c r="I10133" s="50"/>
      <c r="O10133" s="36" t="s">
        <v>48</v>
      </c>
      <c r="R10133" s="36" t="s">
        <v>48</v>
      </c>
    </row>
    <row r="10134">
      <c r="H10134" s="50"/>
      <c r="I10134" s="50"/>
      <c r="O10134" s="36" t="s">
        <v>48</v>
      </c>
      <c r="R10134" s="36" t="s">
        <v>48</v>
      </c>
    </row>
    <row r="10135">
      <c r="H10135" s="50"/>
      <c r="I10135" s="50"/>
      <c r="O10135" s="36" t="s">
        <v>48</v>
      </c>
      <c r="R10135" s="36" t="s">
        <v>48</v>
      </c>
    </row>
    <row r="10136">
      <c r="H10136" s="50"/>
      <c r="I10136" s="50"/>
      <c r="O10136" s="36" t="s">
        <v>48</v>
      </c>
      <c r="R10136" s="36" t="s">
        <v>48</v>
      </c>
    </row>
    <row r="10137">
      <c r="H10137" s="50"/>
      <c r="I10137" s="50"/>
      <c r="O10137" s="36" t="s">
        <v>48</v>
      </c>
      <c r="R10137" s="36" t="s">
        <v>48</v>
      </c>
    </row>
    <row r="10138">
      <c r="H10138" s="50"/>
      <c r="I10138" s="50"/>
      <c r="O10138" s="36" t="s">
        <v>48</v>
      </c>
      <c r="R10138" s="36" t="s">
        <v>48</v>
      </c>
    </row>
    <row r="10139">
      <c r="H10139" s="50"/>
      <c r="I10139" s="50"/>
      <c r="O10139" s="36" t="s">
        <v>48</v>
      </c>
      <c r="R10139" s="36" t="s">
        <v>48</v>
      </c>
    </row>
    <row r="10140">
      <c r="H10140" s="50"/>
      <c r="I10140" s="50"/>
      <c r="O10140" s="36" t="s">
        <v>48</v>
      </c>
      <c r="R10140" s="36" t="s">
        <v>48</v>
      </c>
    </row>
    <row r="10141">
      <c r="H10141" s="50"/>
      <c r="I10141" s="50"/>
      <c r="O10141" s="36" t="s">
        <v>48</v>
      </c>
      <c r="R10141" s="36" t="s">
        <v>48</v>
      </c>
    </row>
    <row r="10142">
      <c r="H10142" s="50"/>
      <c r="I10142" s="50"/>
      <c r="O10142" s="36" t="s">
        <v>48</v>
      </c>
      <c r="R10142" s="36" t="s">
        <v>48</v>
      </c>
    </row>
    <row r="10143">
      <c r="H10143" s="50"/>
      <c r="I10143" s="50"/>
      <c r="O10143" s="36" t="s">
        <v>48</v>
      </c>
      <c r="R10143" s="36" t="s">
        <v>48</v>
      </c>
    </row>
    <row r="10144">
      <c r="H10144" s="50"/>
      <c r="I10144" s="50"/>
      <c r="O10144" s="36" t="s">
        <v>48</v>
      </c>
      <c r="R10144" s="36" t="s">
        <v>48</v>
      </c>
    </row>
    <row r="10145">
      <c r="H10145" s="50"/>
      <c r="I10145" s="50"/>
      <c r="O10145" s="36" t="s">
        <v>48</v>
      </c>
      <c r="R10145" s="36" t="s">
        <v>48</v>
      </c>
    </row>
    <row r="10146">
      <c r="H10146" s="50"/>
      <c r="I10146" s="50"/>
      <c r="O10146" s="36" t="s">
        <v>48</v>
      </c>
      <c r="R10146" s="36" t="s">
        <v>48</v>
      </c>
    </row>
    <row r="10147">
      <c r="H10147" s="50"/>
      <c r="I10147" s="50"/>
      <c r="O10147" s="36" t="s">
        <v>48</v>
      </c>
      <c r="R10147" s="36" t="s">
        <v>48</v>
      </c>
    </row>
    <row r="10148">
      <c r="H10148" s="50"/>
      <c r="I10148" s="50"/>
      <c r="O10148" s="36" t="s">
        <v>48</v>
      </c>
      <c r="R10148" s="36" t="s">
        <v>48</v>
      </c>
    </row>
    <row r="10149">
      <c r="H10149" s="50"/>
      <c r="I10149" s="50"/>
      <c r="O10149" s="36" t="s">
        <v>48</v>
      </c>
      <c r="R10149" s="36" t="s">
        <v>48</v>
      </c>
    </row>
    <row r="10150">
      <c r="H10150" s="50"/>
      <c r="I10150" s="50"/>
      <c r="O10150" s="36" t="s">
        <v>48</v>
      </c>
      <c r="R10150" s="36" t="s">
        <v>48</v>
      </c>
    </row>
    <row r="10151">
      <c r="H10151" s="50"/>
      <c r="I10151" s="50"/>
      <c r="O10151" s="36" t="s">
        <v>48</v>
      </c>
      <c r="R10151" s="36" t="s">
        <v>48</v>
      </c>
    </row>
    <row r="10152">
      <c r="H10152" s="50"/>
      <c r="I10152" s="50"/>
      <c r="O10152" s="36" t="s">
        <v>48</v>
      </c>
      <c r="R10152" s="36" t="s">
        <v>48</v>
      </c>
    </row>
    <row r="10153">
      <c r="H10153" s="50"/>
      <c r="I10153" s="50"/>
      <c r="O10153" s="36" t="s">
        <v>48</v>
      </c>
      <c r="R10153" s="36" t="s">
        <v>48</v>
      </c>
    </row>
    <row r="10154">
      <c r="H10154" s="50"/>
      <c r="I10154" s="50"/>
      <c r="O10154" s="36" t="s">
        <v>48</v>
      </c>
      <c r="R10154" s="36" t="s">
        <v>48</v>
      </c>
    </row>
    <row r="10155">
      <c r="H10155" s="50"/>
      <c r="I10155" s="50"/>
      <c r="O10155" s="36" t="s">
        <v>48</v>
      </c>
      <c r="R10155" s="36" t="s">
        <v>48</v>
      </c>
    </row>
    <row r="10156">
      <c r="H10156" s="50"/>
      <c r="I10156" s="50"/>
      <c r="O10156" s="36" t="s">
        <v>48</v>
      </c>
      <c r="R10156" s="36" t="s">
        <v>48</v>
      </c>
    </row>
    <row r="10157">
      <c r="H10157" s="50"/>
      <c r="I10157" s="50"/>
      <c r="O10157" s="36" t="s">
        <v>48</v>
      </c>
      <c r="R10157" s="36" t="s">
        <v>48</v>
      </c>
    </row>
    <row r="10158">
      <c r="H10158" s="50"/>
      <c r="I10158" s="50"/>
      <c r="O10158" s="36" t="s">
        <v>48</v>
      </c>
      <c r="R10158" s="36" t="s">
        <v>48</v>
      </c>
    </row>
    <row r="10159">
      <c r="H10159" s="50"/>
      <c r="I10159" s="50"/>
      <c r="O10159" s="36" t="s">
        <v>48</v>
      </c>
      <c r="R10159" s="36" t="s">
        <v>48</v>
      </c>
    </row>
    <row r="10160">
      <c r="H10160" s="50"/>
      <c r="I10160" s="50"/>
      <c r="O10160" s="36" t="s">
        <v>48</v>
      </c>
      <c r="R10160" s="36" t="s">
        <v>48</v>
      </c>
    </row>
    <row r="10161">
      <c r="H10161" s="50"/>
      <c r="I10161" s="50"/>
      <c r="O10161" s="36" t="s">
        <v>48</v>
      </c>
      <c r="R10161" s="36" t="s">
        <v>48</v>
      </c>
    </row>
    <row r="10162">
      <c r="H10162" s="50"/>
      <c r="I10162" s="50"/>
      <c r="O10162" s="36" t="s">
        <v>48</v>
      </c>
      <c r="R10162" s="36" t="s">
        <v>48</v>
      </c>
    </row>
    <row r="10163">
      <c r="H10163" s="50"/>
      <c r="I10163" s="50"/>
      <c r="O10163" s="36" t="s">
        <v>48</v>
      </c>
      <c r="R10163" s="36" t="s">
        <v>48</v>
      </c>
    </row>
    <row r="10164">
      <c r="H10164" s="50"/>
      <c r="I10164" s="50"/>
      <c r="O10164" s="36" t="s">
        <v>48</v>
      </c>
      <c r="R10164" s="36" t="s">
        <v>48</v>
      </c>
    </row>
    <row r="10165">
      <c r="H10165" s="50"/>
      <c r="I10165" s="50"/>
      <c r="O10165" s="36" t="s">
        <v>48</v>
      </c>
      <c r="R10165" s="36" t="s">
        <v>48</v>
      </c>
    </row>
    <row r="10166">
      <c r="H10166" s="50"/>
      <c r="I10166" s="50"/>
      <c r="O10166" s="36" t="s">
        <v>48</v>
      </c>
      <c r="R10166" s="36" t="s">
        <v>48</v>
      </c>
    </row>
    <row r="10167">
      <c r="H10167" s="50"/>
      <c r="I10167" s="50"/>
      <c r="O10167" s="36" t="s">
        <v>48</v>
      </c>
      <c r="R10167" s="36" t="s">
        <v>48</v>
      </c>
    </row>
    <row r="10168">
      <c r="H10168" s="50"/>
      <c r="I10168" s="50"/>
      <c r="O10168" s="36" t="s">
        <v>48</v>
      </c>
      <c r="R10168" s="36" t="s">
        <v>48</v>
      </c>
    </row>
    <row r="10169">
      <c r="H10169" s="50"/>
      <c r="I10169" s="50"/>
      <c r="O10169" s="36" t="s">
        <v>48</v>
      </c>
      <c r="R10169" s="36" t="s">
        <v>48</v>
      </c>
    </row>
    <row r="10170">
      <c r="H10170" s="50"/>
      <c r="I10170" s="50"/>
      <c r="O10170" s="36" t="s">
        <v>48</v>
      </c>
      <c r="R10170" s="36" t="s">
        <v>48</v>
      </c>
    </row>
    <row r="10171">
      <c r="H10171" s="50"/>
      <c r="I10171" s="50"/>
      <c r="O10171" s="36" t="s">
        <v>48</v>
      </c>
      <c r="R10171" s="36" t="s">
        <v>48</v>
      </c>
    </row>
    <row r="10172">
      <c r="H10172" s="50"/>
      <c r="I10172" s="50"/>
      <c r="O10172" s="36" t="s">
        <v>48</v>
      </c>
      <c r="R10172" s="36" t="s">
        <v>48</v>
      </c>
    </row>
    <row r="10173">
      <c r="H10173" s="50"/>
      <c r="I10173" s="50"/>
      <c r="O10173" s="36" t="s">
        <v>48</v>
      </c>
      <c r="R10173" s="36" t="s">
        <v>48</v>
      </c>
    </row>
    <row r="10174">
      <c r="H10174" s="50"/>
      <c r="I10174" s="50"/>
      <c r="O10174" s="36" t="s">
        <v>48</v>
      </c>
      <c r="R10174" s="36" t="s">
        <v>48</v>
      </c>
    </row>
    <row r="10175">
      <c r="H10175" s="50"/>
      <c r="I10175" s="50"/>
      <c r="O10175" s="36" t="s">
        <v>48</v>
      </c>
      <c r="R10175" s="36" t="s">
        <v>48</v>
      </c>
    </row>
    <row r="10176">
      <c r="H10176" s="50"/>
      <c r="I10176" s="50"/>
      <c r="O10176" s="36" t="s">
        <v>48</v>
      </c>
      <c r="R10176" s="36" t="s">
        <v>48</v>
      </c>
    </row>
    <row r="10177">
      <c r="H10177" s="50"/>
      <c r="I10177" s="50"/>
      <c r="O10177" s="36" t="s">
        <v>48</v>
      </c>
      <c r="R10177" s="36" t="s">
        <v>48</v>
      </c>
    </row>
    <row r="10178">
      <c r="H10178" s="50"/>
      <c r="I10178" s="50"/>
      <c r="O10178" s="36" t="s">
        <v>48</v>
      </c>
      <c r="R10178" s="36" t="s">
        <v>48</v>
      </c>
    </row>
    <row r="10179">
      <c r="H10179" s="50"/>
      <c r="I10179" s="50"/>
      <c r="O10179" s="36" t="s">
        <v>48</v>
      </c>
      <c r="R10179" s="36" t="s">
        <v>48</v>
      </c>
    </row>
    <row r="10180">
      <c r="H10180" s="50"/>
      <c r="I10180" s="50"/>
      <c r="O10180" s="36" t="s">
        <v>48</v>
      </c>
      <c r="R10180" s="36" t="s">
        <v>48</v>
      </c>
    </row>
    <row r="10181">
      <c r="H10181" s="50"/>
      <c r="I10181" s="50"/>
      <c r="O10181" s="36" t="s">
        <v>48</v>
      </c>
      <c r="R10181" s="36" t="s">
        <v>48</v>
      </c>
    </row>
    <row r="10182">
      <c r="H10182" s="50"/>
      <c r="I10182" s="50"/>
      <c r="O10182" s="36" t="s">
        <v>48</v>
      </c>
      <c r="R10182" s="36" t="s">
        <v>48</v>
      </c>
    </row>
    <row r="10183">
      <c r="H10183" s="50"/>
      <c r="I10183" s="50"/>
      <c r="O10183" s="36" t="s">
        <v>48</v>
      </c>
      <c r="R10183" s="36" t="s">
        <v>48</v>
      </c>
    </row>
    <row r="10184">
      <c r="H10184" s="50"/>
      <c r="I10184" s="50"/>
      <c r="O10184" s="36" t="s">
        <v>48</v>
      </c>
      <c r="R10184" s="36" t="s">
        <v>48</v>
      </c>
    </row>
    <row r="10185">
      <c r="H10185" s="50"/>
      <c r="I10185" s="50"/>
      <c r="O10185" s="36" t="s">
        <v>48</v>
      </c>
      <c r="R10185" s="36" t="s">
        <v>48</v>
      </c>
    </row>
    <row r="10186">
      <c r="H10186" s="50"/>
      <c r="I10186" s="50"/>
      <c r="O10186" s="36" t="s">
        <v>48</v>
      </c>
      <c r="R10186" s="36" t="s">
        <v>48</v>
      </c>
    </row>
    <row r="10187">
      <c r="H10187" s="50"/>
      <c r="I10187" s="50"/>
      <c r="O10187" s="36" t="s">
        <v>48</v>
      </c>
      <c r="R10187" s="36" t="s">
        <v>48</v>
      </c>
    </row>
    <row r="10188">
      <c r="H10188" s="50"/>
      <c r="I10188" s="50"/>
      <c r="O10188" s="36" t="s">
        <v>48</v>
      </c>
      <c r="R10188" s="36" t="s">
        <v>48</v>
      </c>
    </row>
    <row r="10189">
      <c r="H10189" s="50"/>
      <c r="I10189" s="50"/>
      <c r="O10189" s="36" t="s">
        <v>48</v>
      </c>
      <c r="R10189" s="36" t="s">
        <v>48</v>
      </c>
    </row>
    <row r="10190">
      <c r="H10190" s="50"/>
      <c r="I10190" s="50"/>
      <c r="O10190" s="36" t="s">
        <v>48</v>
      </c>
      <c r="R10190" s="36" t="s">
        <v>48</v>
      </c>
    </row>
    <row r="10191">
      <c r="H10191" s="50"/>
      <c r="I10191" s="50"/>
      <c r="O10191" s="36" t="s">
        <v>48</v>
      </c>
      <c r="R10191" s="36" t="s">
        <v>48</v>
      </c>
    </row>
    <row r="10192">
      <c r="H10192" s="50"/>
      <c r="I10192" s="50"/>
      <c r="O10192" s="36" t="s">
        <v>48</v>
      </c>
      <c r="R10192" s="36" t="s">
        <v>48</v>
      </c>
    </row>
    <row r="10193">
      <c r="H10193" s="50"/>
      <c r="I10193" s="50"/>
      <c r="O10193" s="36" t="s">
        <v>48</v>
      </c>
      <c r="R10193" s="36" t="s">
        <v>48</v>
      </c>
    </row>
    <row r="10194">
      <c r="H10194" s="50"/>
      <c r="I10194" s="50"/>
      <c r="O10194" s="36" t="s">
        <v>48</v>
      </c>
      <c r="R10194" s="36" t="s">
        <v>48</v>
      </c>
    </row>
    <row r="10195">
      <c r="H10195" s="50"/>
      <c r="I10195" s="50"/>
      <c r="O10195" s="36" t="s">
        <v>48</v>
      </c>
      <c r="R10195" s="36" t="s">
        <v>48</v>
      </c>
    </row>
    <row r="10196">
      <c r="H10196" s="50"/>
      <c r="I10196" s="50"/>
      <c r="O10196" s="36" t="s">
        <v>48</v>
      </c>
      <c r="R10196" s="36" t="s">
        <v>48</v>
      </c>
    </row>
    <row r="10197">
      <c r="H10197" s="50"/>
      <c r="I10197" s="50"/>
      <c r="O10197" s="36" t="s">
        <v>48</v>
      </c>
      <c r="R10197" s="36" t="s">
        <v>48</v>
      </c>
    </row>
    <row r="10198">
      <c r="H10198" s="50"/>
      <c r="I10198" s="50"/>
      <c r="O10198" s="36" t="s">
        <v>48</v>
      </c>
      <c r="R10198" s="36" t="s">
        <v>48</v>
      </c>
    </row>
    <row r="10199">
      <c r="H10199" s="50"/>
      <c r="I10199" s="50"/>
      <c r="O10199" s="36" t="s">
        <v>48</v>
      </c>
      <c r="R10199" s="36" t="s">
        <v>48</v>
      </c>
    </row>
    <row r="10200">
      <c r="H10200" s="50"/>
      <c r="I10200" s="50"/>
      <c r="O10200" s="36" t="s">
        <v>48</v>
      </c>
      <c r="R10200" s="36" t="s">
        <v>48</v>
      </c>
    </row>
    <row r="10201">
      <c r="H10201" s="50"/>
      <c r="I10201" s="50"/>
      <c r="O10201" s="36" t="s">
        <v>48</v>
      </c>
      <c r="R10201" s="36" t="s">
        <v>48</v>
      </c>
    </row>
    <row r="10202">
      <c r="H10202" s="50"/>
      <c r="I10202" s="50"/>
      <c r="O10202" s="36" t="s">
        <v>48</v>
      </c>
      <c r="R10202" s="36" t="s">
        <v>48</v>
      </c>
    </row>
    <row r="10203">
      <c r="H10203" s="50"/>
      <c r="I10203" s="50"/>
      <c r="O10203" s="36" t="s">
        <v>48</v>
      </c>
      <c r="R10203" s="36" t="s">
        <v>48</v>
      </c>
    </row>
    <row r="10204">
      <c r="H10204" s="50"/>
      <c r="I10204" s="50"/>
      <c r="O10204" s="36" t="s">
        <v>48</v>
      </c>
      <c r="R10204" s="36" t="s">
        <v>48</v>
      </c>
    </row>
    <row r="10205">
      <c r="H10205" s="50"/>
      <c r="I10205" s="50"/>
      <c r="O10205" s="36" t="s">
        <v>48</v>
      </c>
      <c r="R10205" s="36" t="s">
        <v>48</v>
      </c>
    </row>
    <row r="10206">
      <c r="H10206" s="50"/>
      <c r="I10206" s="50"/>
      <c r="O10206" s="36" t="s">
        <v>48</v>
      </c>
      <c r="R10206" s="36" t="s">
        <v>48</v>
      </c>
    </row>
    <row r="10207">
      <c r="H10207" s="50"/>
      <c r="I10207" s="50"/>
      <c r="O10207" s="36" t="s">
        <v>48</v>
      </c>
      <c r="R10207" s="36" t="s">
        <v>48</v>
      </c>
    </row>
    <row r="10208">
      <c r="H10208" s="50"/>
      <c r="I10208" s="50"/>
      <c r="O10208" s="36" t="s">
        <v>48</v>
      </c>
      <c r="R10208" s="36" t="s">
        <v>48</v>
      </c>
    </row>
    <row r="10209">
      <c r="H10209" s="50"/>
      <c r="I10209" s="50"/>
      <c r="O10209" s="36" t="s">
        <v>48</v>
      </c>
      <c r="R10209" s="36" t="s">
        <v>48</v>
      </c>
    </row>
    <row r="10210">
      <c r="H10210" s="50"/>
      <c r="I10210" s="50"/>
      <c r="O10210" s="36" t="s">
        <v>48</v>
      </c>
      <c r="R10210" s="36" t="s">
        <v>48</v>
      </c>
    </row>
    <row r="10211">
      <c r="H10211" s="50"/>
      <c r="I10211" s="50"/>
      <c r="O10211" s="36" t="s">
        <v>48</v>
      </c>
      <c r="R10211" s="36" t="s">
        <v>48</v>
      </c>
    </row>
    <row r="10212">
      <c r="H10212" s="50"/>
      <c r="I10212" s="50"/>
      <c r="O10212" s="36" t="s">
        <v>48</v>
      </c>
      <c r="R10212" s="36" t="s">
        <v>48</v>
      </c>
    </row>
    <row r="10213">
      <c r="H10213" s="50"/>
      <c r="I10213" s="50"/>
      <c r="O10213" s="36" t="s">
        <v>48</v>
      </c>
      <c r="R10213" s="36" t="s">
        <v>48</v>
      </c>
    </row>
    <row r="10214">
      <c r="H10214" s="50"/>
      <c r="I10214" s="50"/>
      <c r="O10214" s="36" t="s">
        <v>48</v>
      </c>
      <c r="R10214" s="36" t="s">
        <v>48</v>
      </c>
    </row>
    <row r="10215">
      <c r="H10215" s="50"/>
      <c r="I10215" s="50"/>
      <c r="O10215" s="36" t="s">
        <v>48</v>
      </c>
      <c r="R10215" s="36" t="s">
        <v>48</v>
      </c>
    </row>
    <row r="10216">
      <c r="H10216" s="50"/>
      <c r="I10216" s="50"/>
      <c r="O10216" s="36" t="s">
        <v>48</v>
      </c>
      <c r="R10216" s="36" t="s">
        <v>48</v>
      </c>
    </row>
    <row r="10217">
      <c r="H10217" s="50"/>
      <c r="I10217" s="50"/>
      <c r="O10217" s="36" t="s">
        <v>48</v>
      </c>
      <c r="R10217" s="36" t="s">
        <v>48</v>
      </c>
    </row>
    <row r="10218">
      <c r="H10218" s="50"/>
      <c r="I10218" s="50"/>
      <c r="O10218" s="36" t="s">
        <v>48</v>
      </c>
      <c r="R10218" s="36" t="s">
        <v>48</v>
      </c>
    </row>
    <row r="10219">
      <c r="H10219" s="50"/>
      <c r="I10219" s="50"/>
      <c r="O10219" s="36" t="s">
        <v>48</v>
      </c>
      <c r="R10219" s="36" t="s">
        <v>48</v>
      </c>
    </row>
    <row r="10220">
      <c r="H10220" s="50"/>
      <c r="I10220" s="50"/>
      <c r="O10220" s="36" t="s">
        <v>48</v>
      </c>
      <c r="R10220" s="36" t="s">
        <v>48</v>
      </c>
    </row>
    <row r="10221">
      <c r="H10221" s="50"/>
      <c r="I10221" s="50"/>
      <c r="O10221" s="36" t="s">
        <v>48</v>
      </c>
      <c r="R10221" s="36" t="s">
        <v>48</v>
      </c>
    </row>
    <row r="10222">
      <c r="H10222" s="50"/>
      <c r="I10222" s="50"/>
      <c r="O10222" s="36" t="s">
        <v>48</v>
      </c>
      <c r="R10222" s="36" t="s">
        <v>48</v>
      </c>
    </row>
    <row r="10223">
      <c r="H10223" s="50"/>
      <c r="I10223" s="50"/>
      <c r="O10223" s="36" t="s">
        <v>48</v>
      </c>
      <c r="R10223" s="36" t="s">
        <v>48</v>
      </c>
    </row>
    <row r="10224">
      <c r="H10224" s="50"/>
      <c r="I10224" s="50"/>
      <c r="O10224" s="36" t="s">
        <v>48</v>
      </c>
      <c r="R10224" s="36" t="s">
        <v>48</v>
      </c>
    </row>
    <row r="10225">
      <c r="H10225" s="50"/>
      <c r="I10225" s="50"/>
      <c r="O10225" s="36" t="s">
        <v>48</v>
      </c>
      <c r="R10225" s="36" t="s">
        <v>48</v>
      </c>
    </row>
    <row r="10226">
      <c r="H10226" s="50"/>
      <c r="I10226" s="50"/>
      <c r="O10226" s="36" t="s">
        <v>48</v>
      </c>
      <c r="R10226" s="36" t="s">
        <v>48</v>
      </c>
    </row>
    <row r="10227">
      <c r="H10227" s="50"/>
      <c r="I10227" s="50"/>
      <c r="O10227" s="36" t="s">
        <v>48</v>
      </c>
      <c r="R10227" s="36" t="s">
        <v>48</v>
      </c>
    </row>
    <row r="10228">
      <c r="H10228" s="50"/>
      <c r="I10228" s="50"/>
      <c r="O10228" s="36" t="s">
        <v>48</v>
      </c>
      <c r="R10228" s="36" t="s">
        <v>48</v>
      </c>
    </row>
    <row r="10229">
      <c r="H10229" s="50"/>
      <c r="I10229" s="50"/>
      <c r="O10229" s="36" t="s">
        <v>48</v>
      </c>
      <c r="R10229" s="36" t="s">
        <v>48</v>
      </c>
    </row>
    <row r="10230">
      <c r="H10230" s="50"/>
      <c r="I10230" s="50"/>
      <c r="O10230" s="36" t="s">
        <v>48</v>
      </c>
      <c r="R10230" s="36" t="s">
        <v>48</v>
      </c>
    </row>
    <row r="10231">
      <c r="H10231" s="50"/>
      <c r="I10231" s="50"/>
      <c r="O10231" s="36" t="s">
        <v>48</v>
      </c>
      <c r="R10231" s="36" t="s">
        <v>48</v>
      </c>
    </row>
    <row r="10232">
      <c r="H10232" s="50"/>
      <c r="I10232" s="50"/>
      <c r="O10232" s="36" t="s">
        <v>48</v>
      </c>
      <c r="R10232" s="36" t="s">
        <v>48</v>
      </c>
    </row>
    <row r="10233">
      <c r="H10233" s="50"/>
      <c r="I10233" s="50"/>
      <c r="O10233" s="36" t="s">
        <v>48</v>
      </c>
      <c r="R10233" s="36" t="s">
        <v>48</v>
      </c>
    </row>
    <row r="10234">
      <c r="H10234" s="50"/>
      <c r="I10234" s="50"/>
      <c r="O10234" s="36" t="s">
        <v>48</v>
      </c>
      <c r="R10234" s="36" t="s">
        <v>48</v>
      </c>
    </row>
    <row r="10235">
      <c r="H10235" s="50"/>
      <c r="I10235" s="50"/>
      <c r="O10235" s="36" t="s">
        <v>48</v>
      </c>
      <c r="R10235" s="36" t="s">
        <v>48</v>
      </c>
    </row>
    <row r="10236">
      <c r="H10236" s="50"/>
      <c r="I10236" s="50"/>
      <c r="O10236" s="36" t="s">
        <v>48</v>
      </c>
      <c r="R10236" s="36" t="s">
        <v>48</v>
      </c>
    </row>
    <row r="10237">
      <c r="H10237" s="50"/>
      <c r="I10237" s="50"/>
      <c r="O10237" s="36" t="s">
        <v>48</v>
      </c>
      <c r="R10237" s="36" t="s">
        <v>48</v>
      </c>
    </row>
    <row r="10238">
      <c r="H10238" s="50"/>
      <c r="I10238" s="50"/>
      <c r="O10238" s="36" t="s">
        <v>48</v>
      </c>
      <c r="R10238" s="36" t="s">
        <v>48</v>
      </c>
    </row>
    <row r="10239">
      <c r="H10239" s="50"/>
      <c r="I10239" s="50"/>
      <c r="O10239" s="36" t="s">
        <v>48</v>
      </c>
      <c r="R10239" s="36" t="s">
        <v>48</v>
      </c>
    </row>
    <row r="10240">
      <c r="H10240" s="50"/>
      <c r="I10240" s="50"/>
      <c r="O10240" s="36" t="s">
        <v>48</v>
      </c>
      <c r="R10240" s="36" t="s">
        <v>48</v>
      </c>
    </row>
    <row r="10241">
      <c r="H10241" s="50"/>
      <c r="I10241" s="50"/>
      <c r="O10241" s="36" t="s">
        <v>48</v>
      </c>
      <c r="R10241" s="36" t="s">
        <v>48</v>
      </c>
    </row>
    <row r="10242">
      <c r="H10242" s="50"/>
      <c r="I10242" s="50"/>
      <c r="O10242" s="36" t="s">
        <v>48</v>
      </c>
      <c r="R10242" s="36" t="s">
        <v>48</v>
      </c>
    </row>
    <row r="10243">
      <c r="H10243" s="50"/>
      <c r="I10243" s="50"/>
      <c r="O10243" s="36" t="s">
        <v>48</v>
      </c>
      <c r="R10243" s="36" t="s">
        <v>48</v>
      </c>
    </row>
    <row r="10244">
      <c r="H10244" s="50"/>
      <c r="I10244" s="50"/>
      <c r="O10244" s="36" t="s">
        <v>48</v>
      </c>
      <c r="R10244" s="36" t="s">
        <v>48</v>
      </c>
    </row>
    <row r="10245">
      <c r="H10245" s="50"/>
      <c r="I10245" s="50"/>
      <c r="O10245" s="36" t="s">
        <v>48</v>
      </c>
      <c r="R10245" s="36" t="s">
        <v>48</v>
      </c>
    </row>
    <row r="10246">
      <c r="H10246" s="50"/>
      <c r="I10246" s="50"/>
      <c r="O10246" s="36" t="s">
        <v>48</v>
      </c>
      <c r="R10246" s="36" t="s">
        <v>48</v>
      </c>
    </row>
    <row r="10247">
      <c r="H10247" s="50"/>
      <c r="I10247" s="50"/>
      <c r="O10247" s="36" t="s">
        <v>48</v>
      </c>
      <c r="R10247" s="36" t="s">
        <v>48</v>
      </c>
    </row>
    <row r="10248">
      <c r="H10248" s="50"/>
      <c r="I10248" s="50"/>
      <c r="O10248" s="36" t="s">
        <v>48</v>
      </c>
      <c r="R10248" s="36" t="s">
        <v>48</v>
      </c>
    </row>
    <row r="10249">
      <c r="H10249" s="50"/>
      <c r="I10249" s="50"/>
      <c r="O10249" s="36" t="s">
        <v>48</v>
      </c>
      <c r="R10249" s="36" t="s">
        <v>48</v>
      </c>
    </row>
    <row r="10250">
      <c r="H10250" s="50"/>
      <c r="I10250" s="50"/>
      <c r="O10250" s="36" t="s">
        <v>48</v>
      </c>
      <c r="R10250" s="36" t="s">
        <v>48</v>
      </c>
    </row>
    <row r="10251">
      <c r="H10251" s="50"/>
      <c r="I10251" s="50"/>
      <c r="O10251" s="36" t="s">
        <v>48</v>
      </c>
      <c r="R10251" s="36" t="s">
        <v>48</v>
      </c>
    </row>
    <row r="10252">
      <c r="H10252" s="50"/>
      <c r="I10252" s="50"/>
      <c r="O10252" s="36" t="s">
        <v>48</v>
      </c>
      <c r="R10252" s="36" t="s">
        <v>48</v>
      </c>
    </row>
    <row r="10253">
      <c r="H10253" s="50"/>
      <c r="I10253" s="50"/>
      <c r="O10253" s="36" t="s">
        <v>48</v>
      </c>
      <c r="R10253" s="36" t="s">
        <v>48</v>
      </c>
    </row>
    <row r="10254">
      <c r="H10254" s="50"/>
      <c r="I10254" s="50"/>
      <c r="O10254" s="36" t="s">
        <v>48</v>
      </c>
      <c r="R10254" s="36" t="s">
        <v>48</v>
      </c>
    </row>
    <row r="10255">
      <c r="H10255" s="50"/>
      <c r="I10255" s="50"/>
      <c r="O10255" s="36" t="s">
        <v>48</v>
      </c>
      <c r="R10255" s="36" t="s">
        <v>48</v>
      </c>
    </row>
    <row r="10256">
      <c r="H10256" s="50"/>
      <c r="I10256" s="50"/>
      <c r="O10256" s="36" t="s">
        <v>48</v>
      </c>
      <c r="R10256" s="36" t="s">
        <v>48</v>
      </c>
    </row>
    <row r="10257">
      <c r="H10257" s="50"/>
      <c r="I10257" s="50"/>
      <c r="O10257" s="36" t="s">
        <v>48</v>
      </c>
      <c r="R10257" s="36" t="s">
        <v>48</v>
      </c>
    </row>
    <row r="10258">
      <c r="H10258" s="50"/>
      <c r="I10258" s="50"/>
      <c r="O10258" s="36" t="s">
        <v>48</v>
      </c>
      <c r="R10258" s="36" t="s">
        <v>48</v>
      </c>
    </row>
    <row r="10259">
      <c r="H10259" s="50"/>
      <c r="I10259" s="50"/>
      <c r="O10259" s="36" t="s">
        <v>48</v>
      </c>
      <c r="R10259" s="36" t="s">
        <v>48</v>
      </c>
    </row>
    <row r="10260">
      <c r="H10260" s="50"/>
      <c r="I10260" s="50"/>
      <c r="O10260" s="36" t="s">
        <v>48</v>
      </c>
      <c r="R10260" s="36" t="s">
        <v>48</v>
      </c>
    </row>
    <row r="10261">
      <c r="H10261" s="50"/>
      <c r="I10261" s="50"/>
      <c r="O10261" s="36" t="s">
        <v>48</v>
      </c>
      <c r="R10261" s="36" t="s">
        <v>48</v>
      </c>
    </row>
    <row r="10262">
      <c r="H10262" s="50"/>
      <c r="I10262" s="50"/>
      <c r="O10262" s="36" t="s">
        <v>48</v>
      </c>
      <c r="R10262" s="36" t="s">
        <v>48</v>
      </c>
    </row>
    <row r="10263">
      <c r="H10263" s="50"/>
      <c r="I10263" s="50"/>
      <c r="O10263" s="36" t="s">
        <v>48</v>
      </c>
      <c r="R10263" s="36" t="s">
        <v>48</v>
      </c>
    </row>
    <row r="10264">
      <c r="H10264" s="50"/>
      <c r="I10264" s="50"/>
      <c r="O10264" s="36" t="s">
        <v>48</v>
      </c>
      <c r="R10264" s="36" t="s">
        <v>48</v>
      </c>
    </row>
    <row r="10265">
      <c r="H10265" s="50"/>
      <c r="I10265" s="50"/>
      <c r="O10265" s="36" t="s">
        <v>48</v>
      </c>
      <c r="R10265" s="36" t="s">
        <v>48</v>
      </c>
    </row>
    <row r="10266">
      <c r="H10266" s="50"/>
      <c r="I10266" s="50"/>
      <c r="O10266" s="36" t="s">
        <v>48</v>
      </c>
      <c r="R10266" s="36" t="s">
        <v>48</v>
      </c>
    </row>
    <row r="10267">
      <c r="H10267" s="50"/>
      <c r="I10267" s="50"/>
      <c r="O10267" s="36" t="s">
        <v>48</v>
      </c>
      <c r="R10267" s="36" t="s">
        <v>48</v>
      </c>
    </row>
    <row r="10268">
      <c r="H10268" s="50"/>
      <c r="I10268" s="50"/>
      <c r="O10268" s="36" t="s">
        <v>48</v>
      </c>
      <c r="R10268" s="36" t="s">
        <v>48</v>
      </c>
    </row>
    <row r="10269">
      <c r="H10269" s="50"/>
      <c r="I10269" s="50"/>
      <c r="O10269" s="36" t="s">
        <v>48</v>
      </c>
      <c r="R10269" s="36" t="s">
        <v>48</v>
      </c>
    </row>
    <row r="10270">
      <c r="H10270" s="50"/>
      <c r="I10270" s="50"/>
      <c r="O10270" s="36" t="s">
        <v>48</v>
      </c>
      <c r="R10270" s="36" t="s">
        <v>48</v>
      </c>
    </row>
    <row r="10271">
      <c r="H10271" s="50"/>
      <c r="I10271" s="50"/>
      <c r="O10271" s="36" t="s">
        <v>48</v>
      </c>
      <c r="R10271" s="36" t="s">
        <v>48</v>
      </c>
    </row>
    <row r="10272">
      <c r="H10272" s="50"/>
      <c r="I10272" s="50"/>
      <c r="O10272" s="36" t="s">
        <v>48</v>
      </c>
      <c r="R10272" s="36" t="s">
        <v>48</v>
      </c>
    </row>
    <row r="10273">
      <c r="H10273" s="50"/>
      <c r="I10273" s="50"/>
      <c r="O10273" s="36" t="s">
        <v>48</v>
      </c>
      <c r="R10273" s="36" t="s">
        <v>48</v>
      </c>
    </row>
    <row r="10274">
      <c r="H10274" s="50"/>
      <c r="I10274" s="50"/>
      <c r="O10274" s="36" t="s">
        <v>48</v>
      </c>
      <c r="R10274" s="36" t="s">
        <v>48</v>
      </c>
    </row>
    <row r="10275">
      <c r="H10275" s="50"/>
      <c r="I10275" s="50"/>
      <c r="O10275" s="36" t="s">
        <v>48</v>
      </c>
      <c r="R10275" s="36" t="s">
        <v>48</v>
      </c>
    </row>
    <row r="10276">
      <c r="H10276" s="50"/>
      <c r="I10276" s="50"/>
      <c r="O10276" s="36" t="s">
        <v>48</v>
      </c>
      <c r="R10276" s="36" t="s">
        <v>48</v>
      </c>
    </row>
    <row r="10277">
      <c r="H10277" s="50"/>
      <c r="I10277" s="50"/>
      <c r="O10277" s="36" t="s">
        <v>48</v>
      </c>
      <c r="R10277" s="36" t="s">
        <v>48</v>
      </c>
    </row>
    <row r="10278">
      <c r="H10278" s="50"/>
      <c r="I10278" s="50"/>
      <c r="O10278" s="36" t="s">
        <v>48</v>
      </c>
      <c r="R10278" s="36" t="s">
        <v>48</v>
      </c>
    </row>
    <row r="10279">
      <c r="H10279" s="50"/>
      <c r="I10279" s="50"/>
      <c r="O10279" s="36" t="s">
        <v>48</v>
      </c>
      <c r="R10279" s="36" t="s">
        <v>48</v>
      </c>
    </row>
    <row r="10280">
      <c r="H10280" s="50"/>
      <c r="I10280" s="50"/>
      <c r="O10280" s="36" t="s">
        <v>48</v>
      </c>
      <c r="R10280" s="36" t="s">
        <v>48</v>
      </c>
    </row>
    <row r="10281">
      <c r="H10281" s="50"/>
      <c r="I10281" s="50"/>
      <c r="O10281" s="36" t="s">
        <v>48</v>
      </c>
      <c r="R10281" s="36" t="s">
        <v>48</v>
      </c>
    </row>
    <row r="10282">
      <c r="H10282" s="50"/>
      <c r="I10282" s="50"/>
      <c r="O10282" s="36" t="s">
        <v>48</v>
      </c>
      <c r="R10282" s="36" t="s">
        <v>48</v>
      </c>
    </row>
    <row r="10283">
      <c r="H10283" s="50"/>
      <c r="I10283" s="50"/>
      <c r="O10283" s="36" t="s">
        <v>48</v>
      </c>
      <c r="R10283" s="36" t="s">
        <v>48</v>
      </c>
    </row>
    <row r="10284">
      <c r="H10284" s="50"/>
      <c r="I10284" s="50"/>
      <c r="O10284" s="36" t="s">
        <v>48</v>
      </c>
      <c r="R10284" s="36" t="s">
        <v>48</v>
      </c>
    </row>
    <row r="10285">
      <c r="H10285" s="50"/>
      <c r="I10285" s="50"/>
      <c r="O10285" s="36" t="s">
        <v>48</v>
      </c>
      <c r="R10285" s="36" t="s">
        <v>48</v>
      </c>
    </row>
    <row r="10286">
      <c r="H10286" s="50"/>
      <c r="I10286" s="50"/>
      <c r="O10286" s="36" t="s">
        <v>48</v>
      </c>
      <c r="R10286" s="36" t="s">
        <v>48</v>
      </c>
    </row>
    <row r="10287">
      <c r="H10287" s="50"/>
      <c r="I10287" s="50"/>
      <c r="O10287" s="36" t="s">
        <v>48</v>
      </c>
      <c r="R10287" s="36" t="s">
        <v>48</v>
      </c>
    </row>
    <row r="10288">
      <c r="H10288" s="50"/>
      <c r="I10288" s="50"/>
      <c r="O10288" s="36" t="s">
        <v>48</v>
      </c>
      <c r="R10288" s="36" t="s">
        <v>48</v>
      </c>
    </row>
    <row r="10289">
      <c r="H10289" s="50"/>
      <c r="I10289" s="50"/>
      <c r="O10289" s="36" t="s">
        <v>48</v>
      </c>
      <c r="R10289" s="36" t="s">
        <v>48</v>
      </c>
    </row>
    <row r="10290">
      <c r="H10290" s="50"/>
      <c r="I10290" s="50"/>
      <c r="O10290" s="36" t="s">
        <v>48</v>
      </c>
      <c r="R10290" s="36" t="s">
        <v>48</v>
      </c>
    </row>
    <row r="10291">
      <c r="H10291" s="50"/>
      <c r="I10291" s="50"/>
      <c r="O10291" s="36" t="s">
        <v>48</v>
      </c>
      <c r="R10291" s="36" t="s">
        <v>48</v>
      </c>
    </row>
    <row r="10292">
      <c r="H10292" s="50"/>
      <c r="I10292" s="50"/>
      <c r="O10292" s="36" t="s">
        <v>48</v>
      </c>
      <c r="R10292" s="36" t="s">
        <v>48</v>
      </c>
    </row>
    <row r="10293">
      <c r="H10293" s="50"/>
      <c r="I10293" s="50"/>
      <c r="O10293" s="36" t="s">
        <v>48</v>
      </c>
      <c r="R10293" s="36" t="s">
        <v>48</v>
      </c>
    </row>
    <row r="10294">
      <c r="H10294" s="50"/>
      <c r="I10294" s="50"/>
      <c r="O10294" s="36" t="s">
        <v>48</v>
      </c>
      <c r="R10294" s="36" t="s">
        <v>48</v>
      </c>
    </row>
    <row r="10295">
      <c r="H10295" s="50"/>
      <c r="I10295" s="50"/>
      <c r="O10295" s="36" t="s">
        <v>48</v>
      </c>
      <c r="R10295" s="36" t="s">
        <v>48</v>
      </c>
    </row>
    <row r="10296">
      <c r="H10296" s="50"/>
      <c r="I10296" s="50"/>
      <c r="O10296" s="36" t="s">
        <v>48</v>
      </c>
      <c r="R10296" s="36" t="s">
        <v>48</v>
      </c>
    </row>
    <row r="10297">
      <c r="H10297" s="50"/>
      <c r="I10297" s="50"/>
      <c r="O10297" s="36" t="s">
        <v>48</v>
      </c>
      <c r="R10297" s="36" t="s">
        <v>48</v>
      </c>
    </row>
    <row r="10298">
      <c r="H10298" s="50"/>
      <c r="I10298" s="50"/>
      <c r="O10298" s="36" t="s">
        <v>48</v>
      </c>
      <c r="R10298" s="36" t="s">
        <v>48</v>
      </c>
    </row>
    <row r="10299">
      <c r="H10299" s="50"/>
      <c r="I10299" s="50"/>
      <c r="O10299" s="36" t="s">
        <v>48</v>
      </c>
      <c r="R10299" s="36" t="s">
        <v>48</v>
      </c>
    </row>
    <row r="10300">
      <c r="H10300" s="50"/>
      <c r="I10300" s="50"/>
      <c r="O10300" s="36" t="s">
        <v>48</v>
      </c>
      <c r="R10300" s="36" t="s">
        <v>48</v>
      </c>
    </row>
    <row r="10301">
      <c r="H10301" s="50"/>
      <c r="I10301" s="50"/>
      <c r="O10301" s="36" t="s">
        <v>48</v>
      </c>
      <c r="R10301" s="36" t="s">
        <v>48</v>
      </c>
    </row>
    <row r="10302">
      <c r="H10302" s="50"/>
      <c r="I10302" s="50"/>
      <c r="O10302" s="36" t="s">
        <v>48</v>
      </c>
      <c r="R10302" s="36" t="s">
        <v>48</v>
      </c>
    </row>
    <row r="10303">
      <c r="H10303" s="50"/>
      <c r="I10303" s="50"/>
      <c r="O10303" s="36" t="s">
        <v>48</v>
      </c>
      <c r="R10303" s="36" t="s">
        <v>48</v>
      </c>
    </row>
    <row r="10304">
      <c r="H10304" s="50"/>
      <c r="I10304" s="50"/>
      <c r="O10304" s="36" t="s">
        <v>48</v>
      </c>
      <c r="R10304" s="36" t="s">
        <v>48</v>
      </c>
    </row>
    <row r="10305">
      <c r="H10305" s="50"/>
      <c r="I10305" s="50"/>
      <c r="O10305" s="36" t="s">
        <v>48</v>
      </c>
      <c r="R10305" s="36" t="s">
        <v>48</v>
      </c>
    </row>
    <row r="10306">
      <c r="H10306" s="50"/>
      <c r="I10306" s="50"/>
      <c r="O10306" s="36" t="s">
        <v>48</v>
      </c>
      <c r="R10306" s="36" t="s">
        <v>48</v>
      </c>
    </row>
    <row r="10307">
      <c r="H10307" s="50"/>
      <c r="I10307" s="50"/>
      <c r="O10307" s="36" t="s">
        <v>48</v>
      </c>
      <c r="R10307" s="36" t="s">
        <v>48</v>
      </c>
    </row>
    <row r="10308">
      <c r="H10308" s="50"/>
      <c r="I10308" s="50"/>
      <c r="O10308" s="36" t="s">
        <v>48</v>
      </c>
      <c r="R10308" s="36" t="s">
        <v>48</v>
      </c>
    </row>
    <row r="10309">
      <c r="H10309" s="50"/>
      <c r="I10309" s="50"/>
      <c r="O10309" s="36" t="s">
        <v>48</v>
      </c>
      <c r="R10309" s="36" t="s">
        <v>48</v>
      </c>
    </row>
    <row r="10310">
      <c r="H10310" s="50"/>
      <c r="I10310" s="50"/>
      <c r="O10310" s="36" t="s">
        <v>48</v>
      </c>
      <c r="R10310" s="36" t="s">
        <v>48</v>
      </c>
    </row>
    <row r="10311">
      <c r="H10311" s="50"/>
      <c r="I10311" s="50"/>
      <c r="O10311" s="36" t="s">
        <v>48</v>
      </c>
      <c r="R10311" s="36" t="s">
        <v>48</v>
      </c>
    </row>
    <row r="10312">
      <c r="H10312" s="50"/>
      <c r="I10312" s="50"/>
      <c r="O10312" s="36" t="s">
        <v>48</v>
      </c>
      <c r="R10312" s="36" t="s">
        <v>48</v>
      </c>
    </row>
    <row r="10313">
      <c r="H10313" s="50"/>
      <c r="I10313" s="50"/>
      <c r="O10313" s="36" t="s">
        <v>48</v>
      </c>
      <c r="R10313" s="36" t="s">
        <v>48</v>
      </c>
    </row>
    <row r="10314">
      <c r="H10314" s="50"/>
      <c r="I10314" s="50"/>
      <c r="O10314" s="36" t="s">
        <v>48</v>
      </c>
      <c r="R10314" s="36" t="s">
        <v>48</v>
      </c>
    </row>
    <row r="10315">
      <c r="H10315" s="50"/>
      <c r="I10315" s="50"/>
      <c r="O10315" s="36" t="s">
        <v>48</v>
      </c>
      <c r="R10315" s="36" t="s">
        <v>48</v>
      </c>
    </row>
    <row r="10316">
      <c r="H10316" s="50"/>
      <c r="I10316" s="50"/>
      <c r="O10316" s="36" t="s">
        <v>48</v>
      </c>
      <c r="R10316" s="36" t="s">
        <v>48</v>
      </c>
    </row>
    <row r="10317">
      <c r="H10317" s="50"/>
      <c r="I10317" s="50"/>
      <c r="O10317" s="36" t="s">
        <v>48</v>
      </c>
      <c r="R10317" s="36" t="s">
        <v>48</v>
      </c>
    </row>
    <row r="10318">
      <c r="H10318" s="50"/>
      <c r="I10318" s="50"/>
      <c r="O10318" s="36" t="s">
        <v>48</v>
      </c>
      <c r="R10318" s="36" t="s">
        <v>48</v>
      </c>
    </row>
    <row r="10319">
      <c r="H10319" s="50"/>
      <c r="I10319" s="50"/>
      <c r="O10319" s="36" t="s">
        <v>48</v>
      </c>
      <c r="R10319" s="36" t="s">
        <v>48</v>
      </c>
    </row>
    <row r="10320">
      <c r="H10320" s="50"/>
      <c r="I10320" s="50"/>
      <c r="O10320" s="36" t="s">
        <v>48</v>
      </c>
      <c r="R10320" s="36" t="s">
        <v>48</v>
      </c>
    </row>
    <row r="10321">
      <c r="H10321" s="50"/>
      <c r="I10321" s="50"/>
      <c r="O10321" s="36" t="s">
        <v>48</v>
      </c>
      <c r="R10321" s="36" t="s">
        <v>48</v>
      </c>
    </row>
    <row r="10322">
      <c r="H10322" s="50"/>
      <c r="I10322" s="50"/>
      <c r="O10322" s="36" t="s">
        <v>48</v>
      </c>
      <c r="R10322" s="36" t="s">
        <v>48</v>
      </c>
    </row>
    <row r="10323">
      <c r="H10323" s="50"/>
      <c r="I10323" s="50"/>
      <c r="O10323" s="36" t="s">
        <v>48</v>
      </c>
      <c r="R10323" s="36" t="s">
        <v>48</v>
      </c>
    </row>
    <row r="10324">
      <c r="H10324" s="50"/>
      <c r="I10324" s="50"/>
      <c r="O10324" s="36" t="s">
        <v>48</v>
      </c>
      <c r="R10324" s="36" t="s">
        <v>48</v>
      </c>
    </row>
    <row r="10325">
      <c r="H10325" s="50"/>
      <c r="I10325" s="50"/>
      <c r="O10325" s="36" t="s">
        <v>48</v>
      </c>
      <c r="R10325" s="36" t="s">
        <v>48</v>
      </c>
    </row>
    <row r="10326">
      <c r="H10326" s="50"/>
      <c r="I10326" s="50"/>
      <c r="O10326" s="36" t="s">
        <v>48</v>
      </c>
      <c r="R10326" s="36" t="s">
        <v>48</v>
      </c>
    </row>
    <row r="10327">
      <c r="H10327" s="50"/>
      <c r="I10327" s="50"/>
      <c r="O10327" s="36" t="s">
        <v>48</v>
      </c>
      <c r="R10327" s="36" t="s">
        <v>48</v>
      </c>
    </row>
    <row r="10328">
      <c r="H10328" s="50"/>
      <c r="I10328" s="50"/>
      <c r="O10328" s="36" t="s">
        <v>48</v>
      </c>
      <c r="R10328" s="36" t="s">
        <v>48</v>
      </c>
    </row>
    <row r="10329">
      <c r="H10329" s="50"/>
      <c r="I10329" s="50"/>
      <c r="O10329" s="36" t="s">
        <v>48</v>
      </c>
      <c r="R10329" s="36" t="s">
        <v>48</v>
      </c>
    </row>
    <row r="10330">
      <c r="H10330" s="50"/>
      <c r="I10330" s="50"/>
      <c r="O10330" s="36" t="s">
        <v>48</v>
      </c>
      <c r="R10330" s="36" t="s">
        <v>48</v>
      </c>
    </row>
    <row r="10331">
      <c r="H10331" s="50"/>
      <c r="I10331" s="50"/>
      <c r="O10331" s="36" t="s">
        <v>48</v>
      </c>
      <c r="R10331" s="36" t="s">
        <v>48</v>
      </c>
    </row>
    <row r="10332">
      <c r="H10332" s="50"/>
      <c r="I10332" s="50"/>
      <c r="O10332" s="36" t="s">
        <v>48</v>
      </c>
      <c r="R10332" s="36" t="s">
        <v>48</v>
      </c>
    </row>
    <row r="10333">
      <c r="H10333" s="50"/>
      <c r="I10333" s="50"/>
      <c r="O10333" s="36" t="s">
        <v>48</v>
      </c>
      <c r="R10333" s="36" t="s">
        <v>48</v>
      </c>
    </row>
    <row r="10334">
      <c r="H10334" s="50"/>
      <c r="I10334" s="50"/>
      <c r="O10334" s="36" t="s">
        <v>48</v>
      </c>
      <c r="R10334" s="36" t="s">
        <v>48</v>
      </c>
    </row>
    <row r="10335">
      <c r="H10335" s="50"/>
      <c r="I10335" s="50"/>
      <c r="O10335" s="36" t="s">
        <v>48</v>
      </c>
      <c r="R10335" s="36" t="s">
        <v>48</v>
      </c>
    </row>
    <row r="10336">
      <c r="H10336" s="50"/>
      <c r="I10336" s="50"/>
      <c r="O10336" s="36" t="s">
        <v>48</v>
      </c>
      <c r="R10336" s="36" t="s">
        <v>48</v>
      </c>
    </row>
    <row r="10337">
      <c r="H10337" s="50"/>
      <c r="I10337" s="50"/>
      <c r="O10337" s="36" t="s">
        <v>48</v>
      </c>
      <c r="R10337" s="36" t="s">
        <v>48</v>
      </c>
    </row>
    <row r="10338">
      <c r="H10338" s="50"/>
      <c r="I10338" s="50"/>
      <c r="O10338" s="36" t="s">
        <v>48</v>
      </c>
      <c r="R10338" s="36" t="s">
        <v>48</v>
      </c>
    </row>
    <row r="10339">
      <c r="H10339" s="50"/>
      <c r="I10339" s="50"/>
      <c r="O10339" s="36" t="s">
        <v>48</v>
      </c>
      <c r="R10339" s="36" t="s">
        <v>48</v>
      </c>
    </row>
    <row r="10340">
      <c r="H10340" s="50"/>
      <c r="I10340" s="50"/>
      <c r="O10340" s="36" t="s">
        <v>48</v>
      </c>
      <c r="R10340" s="36" t="s">
        <v>48</v>
      </c>
    </row>
    <row r="10341">
      <c r="H10341" s="50"/>
      <c r="I10341" s="50"/>
      <c r="O10341" s="36" t="s">
        <v>48</v>
      </c>
      <c r="R10341" s="36" t="s">
        <v>48</v>
      </c>
    </row>
    <row r="10342">
      <c r="H10342" s="50"/>
      <c r="I10342" s="50"/>
      <c r="O10342" s="36" t="s">
        <v>48</v>
      </c>
      <c r="R10342" s="36" t="s">
        <v>48</v>
      </c>
    </row>
    <row r="10343">
      <c r="H10343" s="50"/>
      <c r="I10343" s="50"/>
      <c r="O10343" s="36" t="s">
        <v>48</v>
      </c>
      <c r="R10343" s="36" t="s">
        <v>48</v>
      </c>
    </row>
    <row r="10344">
      <c r="H10344" s="50"/>
      <c r="I10344" s="50"/>
      <c r="O10344" s="36" t="s">
        <v>48</v>
      </c>
      <c r="R10344" s="36" t="s">
        <v>48</v>
      </c>
    </row>
    <row r="10345">
      <c r="H10345" s="50"/>
      <c r="I10345" s="50"/>
      <c r="O10345" s="36" t="s">
        <v>48</v>
      </c>
      <c r="R10345" s="36" t="s">
        <v>48</v>
      </c>
    </row>
    <row r="10346">
      <c r="H10346" s="50"/>
      <c r="I10346" s="50"/>
      <c r="O10346" s="36" t="s">
        <v>48</v>
      </c>
      <c r="R10346" s="36" t="s">
        <v>48</v>
      </c>
    </row>
    <row r="10347">
      <c r="H10347" s="50"/>
      <c r="I10347" s="50"/>
      <c r="O10347" s="36" t="s">
        <v>48</v>
      </c>
      <c r="R10347" s="36" t="s">
        <v>48</v>
      </c>
    </row>
    <row r="10348">
      <c r="H10348" s="50"/>
      <c r="I10348" s="50"/>
      <c r="O10348" s="36" t="s">
        <v>48</v>
      </c>
      <c r="R10348" s="36" t="s">
        <v>48</v>
      </c>
    </row>
    <row r="10349">
      <c r="H10349" s="50"/>
      <c r="I10349" s="50"/>
      <c r="O10349" s="36" t="s">
        <v>48</v>
      </c>
      <c r="R10349" s="36" t="s">
        <v>48</v>
      </c>
    </row>
    <row r="10350">
      <c r="H10350" s="50"/>
      <c r="I10350" s="50"/>
      <c r="O10350" s="36" t="s">
        <v>48</v>
      </c>
      <c r="R10350" s="36" t="s">
        <v>48</v>
      </c>
    </row>
    <row r="10351">
      <c r="H10351" s="50"/>
      <c r="I10351" s="50"/>
      <c r="O10351" s="36" t="s">
        <v>48</v>
      </c>
      <c r="R10351" s="36" t="s">
        <v>48</v>
      </c>
    </row>
    <row r="10352">
      <c r="H10352" s="50"/>
      <c r="I10352" s="50"/>
      <c r="O10352" s="36" t="s">
        <v>48</v>
      </c>
      <c r="R10352" s="36" t="s">
        <v>48</v>
      </c>
    </row>
    <row r="10353">
      <c r="H10353" s="50"/>
      <c r="I10353" s="50"/>
      <c r="O10353" s="36" t="s">
        <v>48</v>
      </c>
      <c r="R10353" s="36" t="s">
        <v>48</v>
      </c>
    </row>
    <row r="10354">
      <c r="H10354" s="50"/>
      <c r="I10354" s="50"/>
      <c r="O10354" s="36" t="s">
        <v>48</v>
      </c>
      <c r="R10354" s="36" t="s">
        <v>48</v>
      </c>
    </row>
    <row r="10355">
      <c r="H10355" s="50"/>
      <c r="I10355" s="50"/>
      <c r="O10355" s="36" t="s">
        <v>48</v>
      </c>
      <c r="R10355" s="36" t="s">
        <v>48</v>
      </c>
    </row>
    <row r="10356">
      <c r="H10356" s="50"/>
      <c r="I10356" s="50"/>
      <c r="O10356" s="36" t="s">
        <v>48</v>
      </c>
      <c r="R10356" s="36" t="s">
        <v>48</v>
      </c>
    </row>
    <row r="10357">
      <c r="H10357" s="50"/>
      <c r="I10357" s="50"/>
      <c r="O10357" s="36" t="s">
        <v>48</v>
      </c>
      <c r="R10357" s="36" t="s">
        <v>48</v>
      </c>
    </row>
    <row r="10358">
      <c r="H10358" s="50"/>
      <c r="I10358" s="50"/>
      <c r="O10358" s="36" t="s">
        <v>48</v>
      </c>
      <c r="R10358" s="36" t="s">
        <v>48</v>
      </c>
    </row>
    <row r="10359">
      <c r="H10359" s="50"/>
      <c r="I10359" s="50"/>
      <c r="O10359" s="36" t="s">
        <v>48</v>
      </c>
      <c r="R10359" s="36" t="s">
        <v>48</v>
      </c>
    </row>
    <row r="10360">
      <c r="H10360" s="50"/>
      <c r="I10360" s="50"/>
      <c r="O10360" s="36" t="s">
        <v>48</v>
      </c>
      <c r="R10360" s="36" t="s">
        <v>48</v>
      </c>
    </row>
    <row r="10361">
      <c r="H10361" s="50"/>
      <c r="I10361" s="50"/>
      <c r="O10361" s="36" t="s">
        <v>48</v>
      </c>
      <c r="R10361" s="36" t="s">
        <v>48</v>
      </c>
    </row>
    <row r="10362">
      <c r="H10362" s="50"/>
      <c r="I10362" s="50"/>
      <c r="O10362" s="36" t="s">
        <v>48</v>
      </c>
      <c r="R10362" s="36" t="s">
        <v>48</v>
      </c>
    </row>
    <row r="10363">
      <c r="H10363" s="50"/>
      <c r="I10363" s="50"/>
      <c r="O10363" s="36" t="s">
        <v>48</v>
      </c>
      <c r="R10363" s="36" t="s">
        <v>48</v>
      </c>
    </row>
    <row r="10364">
      <c r="H10364" s="50"/>
      <c r="I10364" s="50"/>
      <c r="O10364" s="36" t="s">
        <v>48</v>
      </c>
      <c r="R10364" s="36" t="s">
        <v>48</v>
      </c>
    </row>
    <row r="10365">
      <c r="H10365" s="50"/>
      <c r="I10365" s="50"/>
      <c r="O10365" s="36" t="s">
        <v>48</v>
      </c>
      <c r="R10365" s="36" t="s">
        <v>48</v>
      </c>
    </row>
    <row r="10366">
      <c r="H10366" s="50"/>
      <c r="I10366" s="50"/>
      <c r="O10366" s="36" t="s">
        <v>48</v>
      </c>
      <c r="R10366" s="36" t="s">
        <v>48</v>
      </c>
    </row>
    <row r="10367">
      <c r="H10367" s="50"/>
      <c r="I10367" s="50"/>
      <c r="O10367" s="36" t="s">
        <v>48</v>
      </c>
      <c r="R10367" s="36" t="s">
        <v>48</v>
      </c>
    </row>
    <row r="10368">
      <c r="H10368" s="50"/>
      <c r="I10368" s="50"/>
      <c r="O10368" s="36" t="s">
        <v>48</v>
      </c>
      <c r="R10368" s="36" t="s">
        <v>48</v>
      </c>
    </row>
    <row r="10369">
      <c r="H10369" s="50"/>
      <c r="I10369" s="50"/>
      <c r="O10369" s="36" t="s">
        <v>48</v>
      </c>
      <c r="R10369" s="36" t="s">
        <v>48</v>
      </c>
    </row>
    <row r="10370">
      <c r="H10370" s="50"/>
      <c r="I10370" s="50"/>
      <c r="O10370" s="36" t="s">
        <v>48</v>
      </c>
      <c r="R10370" s="36" t="s">
        <v>48</v>
      </c>
    </row>
    <row r="10371">
      <c r="H10371" s="50"/>
      <c r="I10371" s="50"/>
      <c r="O10371" s="36" t="s">
        <v>48</v>
      </c>
      <c r="R10371" s="36" t="s">
        <v>48</v>
      </c>
    </row>
    <row r="10372">
      <c r="H10372" s="50"/>
      <c r="I10372" s="50"/>
      <c r="O10372" s="36" t="s">
        <v>48</v>
      </c>
      <c r="R10372" s="36" t="s">
        <v>48</v>
      </c>
    </row>
    <row r="10373">
      <c r="H10373" s="50"/>
      <c r="I10373" s="50"/>
      <c r="O10373" s="36" t="s">
        <v>48</v>
      </c>
      <c r="R10373" s="36" t="s">
        <v>48</v>
      </c>
    </row>
    <row r="10374">
      <c r="H10374" s="50"/>
      <c r="I10374" s="50"/>
      <c r="O10374" s="36" t="s">
        <v>48</v>
      </c>
      <c r="R10374" s="36" t="s">
        <v>48</v>
      </c>
    </row>
    <row r="10375">
      <c r="H10375" s="50"/>
      <c r="I10375" s="50"/>
      <c r="O10375" s="36" t="s">
        <v>48</v>
      </c>
      <c r="R10375" s="36" t="s">
        <v>48</v>
      </c>
    </row>
    <row r="10376">
      <c r="H10376" s="50"/>
      <c r="I10376" s="50"/>
      <c r="O10376" s="36" t="s">
        <v>48</v>
      </c>
      <c r="R10376" s="36" t="s">
        <v>48</v>
      </c>
    </row>
    <row r="10377">
      <c r="H10377" s="50"/>
      <c r="I10377" s="50"/>
      <c r="O10377" s="36" t="s">
        <v>48</v>
      </c>
      <c r="R10377" s="36" t="s">
        <v>48</v>
      </c>
    </row>
    <row r="10378">
      <c r="H10378" s="50"/>
      <c r="I10378" s="50"/>
      <c r="O10378" s="36" t="s">
        <v>48</v>
      </c>
      <c r="R10378" s="36" t="s">
        <v>48</v>
      </c>
    </row>
    <row r="10379">
      <c r="H10379" s="50"/>
      <c r="I10379" s="50"/>
      <c r="O10379" s="36" t="s">
        <v>48</v>
      </c>
      <c r="R10379" s="36" t="s">
        <v>48</v>
      </c>
    </row>
    <row r="10380">
      <c r="H10380" s="50"/>
      <c r="I10380" s="50"/>
      <c r="O10380" s="36" t="s">
        <v>48</v>
      </c>
      <c r="R10380" s="36" t="s">
        <v>48</v>
      </c>
    </row>
    <row r="10381">
      <c r="H10381" s="50"/>
      <c r="I10381" s="50"/>
      <c r="O10381" s="36" t="s">
        <v>48</v>
      </c>
      <c r="R10381" s="36" t="s">
        <v>48</v>
      </c>
    </row>
    <row r="10382">
      <c r="H10382" s="50"/>
      <c r="I10382" s="50"/>
      <c r="O10382" s="36" t="s">
        <v>48</v>
      </c>
      <c r="R10382" s="36" t="s">
        <v>48</v>
      </c>
    </row>
    <row r="10383">
      <c r="H10383" s="50"/>
      <c r="I10383" s="50"/>
      <c r="O10383" s="36" t="s">
        <v>48</v>
      </c>
      <c r="R10383" s="36" t="s">
        <v>48</v>
      </c>
    </row>
    <row r="10384">
      <c r="H10384" s="50"/>
      <c r="I10384" s="50"/>
      <c r="O10384" s="36" t="s">
        <v>48</v>
      </c>
      <c r="R10384" s="36" t="s">
        <v>48</v>
      </c>
    </row>
    <row r="10385">
      <c r="H10385" s="50"/>
      <c r="I10385" s="50"/>
      <c r="O10385" s="36" t="s">
        <v>48</v>
      </c>
      <c r="R10385" s="36" t="s">
        <v>48</v>
      </c>
    </row>
    <row r="10386">
      <c r="H10386" s="50"/>
      <c r="I10386" s="50"/>
      <c r="O10386" s="36" t="s">
        <v>48</v>
      </c>
      <c r="R10386" s="36" t="s">
        <v>48</v>
      </c>
    </row>
    <row r="10387">
      <c r="H10387" s="50"/>
      <c r="I10387" s="50"/>
      <c r="O10387" s="36" t="s">
        <v>48</v>
      </c>
      <c r="R10387" s="36" t="s">
        <v>48</v>
      </c>
    </row>
    <row r="10388">
      <c r="H10388" s="50"/>
      <c r="I10388" s="50"/>
      <c r="O10388" s="36" t="s">
        <v>48</v>
      </c>
      <c r="R10388" s="36" t="s">
        <v>48</v>
      </c>
    </row>
    <row r="10389">
      <c r="H10389" s="50"/>
      <c r="I10389" s="50"/>
      <c r="O10389" s="36" t="s">
        <v>48</v>
      </c>
      <c r="R10389" s="36" t="s">
        <v>48</v>
      </c>
    </row>
    <row r="10390">
      <c r="H10390" s="50"/>
      <c r="I10390" s="50"/>
      <c r="O10390" s="36" t="s">
        <v>48</v>
      </c>
      <c r="R10390" s="36" t="s">
        <v>48</v>
      </c>
    </row>
    <row r="10391">
      <c r="H10391" s="50"/>
      <c r="I10391" s="50"/>
      <c r="O10391" s="36" t="s">
        <v>48</v>
      </c>
      <c r="R10391" s="36" t="s">
        <v>48</v>
      </c>
    </row>
    <row r="10392">
      <c r="H10392" s="50"/>
      <c r="I10392" s="50"/>
      <c r="O10392" s="36" t="s">
        <v>48</v>
      </c>
      <c r="R10392" s="36" t="s">
        <v>48</v>
      </c>
    </row>
    <row r="10393">
      <c r="H10393" s="50"/>
      <c r="I10393" s="50"/>
      <c r="O10393" s="36" t="s">
        <v>48</v>
      </c>
      <c r="R10393" s="36" t="s">
        <v>48</v>
      </c>
    </row>
    <row r="10394">
      <c r="H10394" s="50"/>
      <c r="I10394" s="50"/>
      <c r="O10394" s="36" t="s">
        <v>48</v>
      </c>
      <c r="R10394" s="36" t="s">
        <v>48</v>
      </c>
    </row>
    <row r="10395">
      <c r="H10395" s="50"/>
      <c r="I10395" s="50"/>
      <c r="O10395" s="36" t="s">
        <v>48</v>
      </c>
      <c r="R10395" s="36" t="s">
        <v>48</v>
      </c>
    </row>
    <row r="10396">
      <c r="H10396" s="50"/>
      <c r="I10396" s="50"/>
      <c r="O10396" s="36" t="s">
        <v>48</v>
      </c>
      <c r="R10396" s="36" t="s">
        <v>48</v>
      </c>
    </row>
    <row r="10397">
      <c r="H10397" s="50"/>
      <c r="I10397" s="50"/>
      <c r="O10397" s="36" t="s">
        <v>48</v>
      </c>
      <c r="R10397" s="36" t="s">
        <v>48</v>
      </c>
    </row>
    <row r="10398">
      <c r="H10398" s="50"/>
      <c r="I10398" s="50"/>
      <c r="O10398" s="36" t="s">
        <v>48</v>
      </c>
      <c r="R10398" s="36" t="s">
        <v>48</v>
      </c>
    </row>
    <row r="10399">
      <c r="H10399" s="50"/>
      <c r="I10399" s="50"/>
      <c r="O10399" s="36" t="s">
        <v>48</v>
      </c>
      <c r="R10399" s="36" t="s">
        <v>48</v>
      </c>
    </row>
    <row r="10400">
      <c r="H10400" s="50"/>
      <c r="I10400" s="50"/>
      <c r="O10400" s="36" t="s">
        <v>48</v>
      </c>
      <c r="R10400" s="36" t="s">
        <v>48</v>
      </c>
    </row>
    <row r="10401">
      <c r="H10401" s="50"/>
      <c r="I10401" s="50"/>
      <c r="O10401" s="36" t="s">
        <v>48</v>
      </c>
      <c r="R10401" s="36" t="s">
        <v>48</v>
      </c>
    </row>
    <row r="10402">
      <c r="H10402" s="50"/>
      <c r="I10402" s="50"/>
      <c r="O10402" s="36" t="s">
        <v>48</v>
      </c>
      <c r="R10402" s="36" t="s">
        <v>48</v>
      </c>
    </row>
    <row r="10403">
      <c r="H10403" s="50"/>
      <c r="I10403" s="50"/>
      <c r="O10403" s="36" t="s">
        <v>48</v>
      </c>
      <c r="R10403" s="36" t="s">
        <v>48</v>
      </c>
    </row>
    <row r="10404">
      <c r="H10404" s="50"/>
      <c r="I10404" s="50"/>
      <c r="O10404" s="36" t="s">
        <v>48</v>
      </c>
      <c r="R10404" s="36" t="s">
        <v>48</v>
      </c>
    </row>
    <row r="10405">
      <c r="H10405" s="50"/>
      <c r="I10405" s="50"/>
      <c r="O10405" s="36" t="s">
        <v>48</v>
      </c>
      <c r="R10405" s="36" t="s">
        <v>48</v>
      </c>
    </row>
    <row r="10406">
      <c r="H10406" s="50"/>
      <c r="I10406" s="50"/>
      <c r="O10406" s="36" t="s">
        <v>48</v>
      </c>
      <c r="R10406" s="36" t="s">
        <v>48</v>
      </c>
    </row>
    <row r="10407">
      <c r="H10407" s="50"/>
      <c r="I10407" s="50"/>
      <c r="O10407" s="36" t="s">
        <v>48</v>
      </c>
      <c r="R10407" s="36" t="s">
        <v>48</v>
      </c>
    </row>
    <row r="10408">
      <c r="H10408" s="50"/>
      <c r="I10408" s="50"/>
      <c r="O10408" s="36" t="s">
        <v>48</v>
      </c>
      <c r="R10408" s="36" t="s">
        <v>48</v>
      </c>
    </row>
    <row r="10409">
      <c r="H10409" s="50"/>
      <c r="I10409" s="50"/>
      <c r="O10409" s="36" t="s">
        <v>48</v>
      </c>
      <c r="R10409" s="36" t="s">
        <v>48</v>
      </c>
    </row>
    <row r="10410">
      <c r="H10410" s="50"/>
      <c r="I10410" s="50"/>
      <c r="O10410" s="36" t="s">
        <v>48</v>
      </c>
      <c r="R10410" s="36" t="s">
        <v>48</v>
      </c>
    </row>
    <row r="10411">
      <c r="H10411" s="50"/>
      <c r="I10411" s="50"/>
      <c r="O10411" s="36" t="s">
        <v>48</v>
      </c>
      <c r="R10411" s="36" t="s">
        <v>48</v>
      </c>
    </row>
    <row r="10412">
      <c r="H10412" s="50"/>
      <c r="I10412" s="50"/>
      <c r="O10412" s="36" t="s">
        <v>48</v>
      </c>
      <c r="R10412" s="36" t="s">
        <v>48</v>
      </c>
    </row>
    <row r="10413">
      <c r="H10413" s="50"/>
      <c r="I10413" s="50"/>
      <c r="O10413" s="36" t="s">
        <v>48</v>
      </c>
      <c r="R10413" s="36" t="s">
        <v>48</v>
      </c>
    </row>
    <row r="10414">
      <c r="H10414" s="50"/>
      <c r="I10414" s="50"/>
      <c r="O10414" s="36" t="s">
        <v>48</v>
      </c>
      <c r="R10414" s="36" t="s">
        <v>48</v>
      </c>
    </row>
    <row r="10415">
      <c r="H10415" s="50"/>
      <c r="I10415" s="50"/>
      <c r="O10415" s="36" t="s">
        <v>48</v>
      </c>
      <c r="R10415" s="36" t="s">
        <v>48</v>
      </c>
    </row>
    <row r="10416">
      <c r="H10416" s="50"/>
      <c r="I10416" s="50"/>
      <c r="O10416" s="36" t="s">
        <v>48</v>
      </c>
      <c r="R10416" s="36" t="s">
        <v>48</v>
      </c>
    </row>
    <row r="10417">
      <c r="H10417" s="50"/>
      <c r="I10417" s="50"/>
      <c r="O10417" s="36" t="s">
        <v>48</v>
      </c>
      <c r="R10417" s="36" t="s">
        <v>48</v>
      </c>
    </row>
    <row r="10418">
      <c r="H10418" s="50"/>
      <c r="I10418" s="50"/>
      <c r="O10418" s="36" t="s">
        <v>48</v>
      </c>
      <c r="R10418" s="36" t="s">
        <v>48</v>
      </c>
    </row>
    <row r="10419">
      <c r="H10419" s="50"/>
      <c r="I10419" s="50"/>
      <c r="O10419" s="36" t="s">
        <v>48</v>
      </c>
      <c r="R10419" s="36" t="s">
        <v>48</v>
      </c>
    </row>
    <row r="10420">
      <c r="H10420" s="50"/>
      <c r="I10420" s="50"/>
      <c r="O10420" s="36" t="s">
        <v>48</v>
      </c>
      <c r="R10420" s="36" t="s">
        <v>48</v>
      </c>
    </row>
    <row r="10421">
      <c r="H10421" s="50"/>
      <c r="I10421" s="50"/>
      <c r="O10421" s="36" t="s">
        <v>48</v>
      </c>
      <c r="R10421" s="36" t="s">
        <v>48</v>
      </c>
    </row>
    <row r="10422">
      <c r="H10422" s="50"/>
      <c r="I10422" s="50"/>
      <c r="O10422" s="36" t="s">
        <v>48</v>
      </c>
      <c r="R10422" s="36" t="s">
        <v>48</v>
      </c>
    </row>
    <row r="10423">
      <c r="H10423" s="50"/>
      <c r="I10423" s="50"/>
      <c r="O10423" s="36" t="s">
        <v>48</v>
      </c>
      <c r="R10423" s="36" t="s">
        <v>48</v>
      </c>
    </row>
    <row r="10424">
      <c r="H10424" s="50"/>
      <c r="I10424" s="50"/>
      <c r="O10424" s="36" t="s">
        <v>48</v>
      </c>
      <c r="R10424" s="36" t="s">
        <v>48</v>
      </c>
    </row>
    <row r="10425">
      <c r="H10425" s="50"/>
      <c r="I10425" s="50"/>
      <c r="O10425" s="36" t="s">
        <v>48</v>
      </c>
      <c r="R10425" s="36" t="s">
        <v>48</v>
      </c>
    </row>
    <row r="10426">
      <c r="H10426" s="50"/>
      <c r="I10426" s="50"/>
      <c r="O10426" s="36" t="s">
        <v>48</v>
      </c>
      <c r="R10426" s="36" t="s">
        <v>48</v>
      </c>
    </row>
    <row r="10427">
      <c r="H10427" s="50"/>
      <c r="I10427" s="50"/>
      <c r="O10427" s="36" t="s">
        <v>48</v>
      </c>
      <c r="R10427" s="36" t="s">
        <v>48</v>
      </c>
    </row>
    <row r="10428">
      <c r="H10428" s="50"/>
      <c r="I10428" s="50"/>
      <c r="O10428" s="36" t="s">
        <v>48</v>
      </c>
      <c r="R10428" s="36" t="s">
        <v>48</v>
      </c>
    </row>
    <row r="10429">
      <c r="H10429" s="50"/>
      <c r="I10429" s="50"/>
      <c r="O10429" s="36" t="s">
        <v>48</v>
      </c>
      <c r="R10429" s="36" t="s">
        <v>48</v>
      </c>
    </row>
    <row r="10430">
      <c r="H10430" s="50"/>
      <c r="I10430" s="50"/>
      <c r="O10430" s="36" t="s">
        <v>48</v>
      </c>
      <c r="R10430" s="36" t="s">
        <v>48</v>
      </c>
    </row>
    <row r="10431">
      <c r="H10431" s="50"/>
      <c r="I10431" s="50"/>
      <c r="O10431" s="36" t="s">
        <v>48</v>
      </c>
      <c r="R10431" s="36" t="s">
        <v>48</v>
      </c>
    </row>
    <row r="10432">
      <c r="H10432" s="50"/>
      <c r="I10432" s="50"/>
      <c r="O10432" s="36" t="s">
        <v>48</v>
      </c>
      <c r="R10432" s="36" t="s">
        <v>48</v>
      </c>
    </row>
    <row r="10433">
      <c r="H10433" s="50"/>
      <c r="I10433" s="50"/>
      <c r="O10433" s="36" t="s">
        <v>48</v>
      </c>
      <c r="R10433" s="36" t="s">
        <v>48</v>
      </c>
    </row>
    <row r="10434">
      <c r="H10434" s="50"/>
      <c r="I10434" s="50"/>
      <c r="O10434" s="36" t="s">
        <v>48</v>
      </c>
      <c r="R10434" s="36" t="s">
        <v>48</v>
      </c>
    </row>
    <row r="10435">
      <c r="H10435" s="50"/>
      <c r="I10435" s="50"/>
      <c r="O10435" s="36" t="s">
        <v>48</v>
      </c>
      <c r="R10435" s="36" t="s">
        <v>48</v>
      </c>
    </row>
    <row r="10436">
      <c r="H10436" s="50"/>
      <c r="I10436" s="50"/>
      <c r="O10436" s="36" t="s">
        <v>48</v>
      </c>
      <c r="R10436" s="36" t="s">
        <v>48</v>
      </c>
    </row>
    <row r="10437">
      <c r="H10437" s="50"/>
      <c r="I10437" s="50"/>
      <c r="O10437" s="36" t="s">
        <v>48</v>
      </c>
      <c r="R10437" s="36" t="s">
        <v>48</v>
      </c>
    </row>
    <row r="10438">
      <c r="H10438" s="50"/>
      <c r="I10438" s="50"/>
      <c r="O10438" s="36" t="s">
        <v>48</v>
      </c>
      <c r="R10438" s="36" t="s">
        <v>48</v>
      </c>
    </row>
    <row r="10439">
      <c r="H10439" s="50"/>
      <c r="I10439" s="50"/>
      <c r="O10439" s="36" t="s">
        <v>48</v>
      </c>
      <c r="R10439" s="36" t="s">
        <v>48</v>
      </c>
    </row>
    <row r="10440">
      <c r="H10440" s="50"/>
      <c r="I10440" s="50"/>
      <c r="O10440" s="36" t="s">
        <v>48</v>
      </c>
      <c r="R10440" s="36" t="s">
        <v>48</v>
      </c>
    </row>
    <row r="10441">
      <c r="H10441" s="50"/>
      <c r="I10441" s="50"/>
      <c r="O10441" s="36" t="s">
        <v>48</v>
      </c>
      <c r="R10441" s="36" t="s">
        <v>48</v>
      </c>
    </row>
    <row r="10442">
      <c r="H10442" s="50"/>
      <c r="I10442" s="50"/>
      <c r="O10442" s="36" t="s">
        <v>48</v>
      </c>
      <c r="R10442" s="36" t="s">
        <v>48</v>
      </c>
    </row>
    <row r="10443">
      <c r="H10443" s="50"/>
      <c r="I10443" s="50"/>
      <c r="O10443" s="36" t="s">
        <v>48</v>
      </c>
      <c r="R10443" s="36" t="s">
        <v>48</v>
      </c>
    </row>
    <row r="10444">
      <c r="H10444" s="50"/>
      <c r="I10444" s="50"/>
      <c r="O10444" s="36" t="s">
        <v>48</v>
      </c>
      <c r="R10444" s="36" t="s">
        <v>48</v>
      </c>
    </row>
    <row r="10445">
      <c r="H10445" s="50"/>
      <c r="I10445" s="50"/>
      <c r="O10445" s="36" t="s">
        <v>48</v>
      </c>
      <c r="R10445" s="36" t="s">
        <v>48</v>
      </c>
    </row>
    <row r="10446">
      <c r="H10446" s="50"/>
      <c r="I10446" s="50"/>
      <c r="O10446" s="36" t="s">
        <v>48</v>
      </c>
      <c r="R10446" s="36" t="s">
        <v>48</v>
      </c>
    </row>
    <row r="10447">
      <c r="H10447" s="50"/>
      <c r="I10447" s="50"/>
      <c r="O10447" s="36" t="s">
        <v>48</v>
      </c>
      <c r="R10447" s="36" t="s">
        <v>48</v>
      </c>
    </row>
    <row r="10448">
      <c r="H10448" s="50"/>
      <c r="I10448" s="50"/>
      <c r="O10448" s="36" t="s">
        <v>48</v>
      </c>
      <c r="R10448" s="36" t="s">
        <v>48</v>
      </c>
    </row>
    <row r="10449">
      <c r="H10449" s="50"/>
      <c r="I10449" s="50"/>
      <c r="O10449" s="36" t="s">
        <v>48</v>
      </c>
      <c r="R10449" s="36" t="s">
        <v>48</v>
      </c>
    </row>
    <row r="10450">
      <c r="H10450" s="50"/>
      <c r="I10450" s="50"/>
      <c r="O10450" s="36" t="s">
        <v>48</v>
      </c>
      <c r="R10450" s="36" t="s">
        <v>48</v>
      </c>
    </row>
    <row r="10451">
      <c r="H10451" s="50"/>
      <c r="I10451" s="50"/>
      <c r="O10451" s="36" t="s">
        <v>48</v>
      </c>
      <c r="R10451" s="36" t="s">
        <v>48</v>
      </c>
    </row>
    <row r="10452">
      <c r="H10452" s="50"/>
      <c r="I10452" s="50"/>
      <c r="O10452" s="36" t="s">
        <v>48</v>
      </c>
      <c r="R10452" s="36" t="s">
        <v>48</v>
      </c>
    </row>
    <row r="10453">
      <c r="H10453" s="50"/>
      <c r="I10453" s="50"/>
      <c r="O10453" s="36" t="s">
        <v>48</v>
      </c>
      <c r="R10453" s="36" t="s">
        <v>48</v>
      </c>
    </row>
    <row r="10454">
      <c r="H10454" s="50"/>
      <c r="I10454" s="50"/>
      <c r="O10454" s="36" t="s">
        <v>48</v>
      </c>
      <c r="R10454" s="36" t="s">
        <v>48</v>
      </c>
    </row>
    <row r="10455">
      <c r="H10455" s="50"/>
      <c r="I10455" s="50"/>
      <c r="O10455" s="36" t="s">
        <v>48</v>
      </c>
      <c r="R10455" s="36" t="s">
        <v>48</v>
      </c>
    </row>
    <row r="10456">
      <c r="H10456" s="50"/>
      <c r="I10456" s="50"/>
      <c r="O10456" s="36" t="s">
        <v>48</v>
      </c>
      <c r="R10456" s="36" t="s">
        <v>48</v>
      </c>
    </row>
    <row r="10457">
      <c r="H10457" s="50"/>
      <c r="I10457" s="50"/>
      <c r="O10457" s="36" t="s">
        <v>48</v>
      </c>
      <c r="R10457" s="36" t="s">
        <v>48</v>
      </c>
    </row>
    <row r="10458">
      <c r="H10458" s="50"/>
      <c r="I10458" s="50"/>
      <c r="O10458" s="36" t="s">
        <v>48</v>
      </c>
      <c r="R10458" s="36" t="s">
        <v>48</v>
      </c>
    </row>
    <row r="10459">
      <c r="H10459" s="50"/>
      <c r="I10459" s="50"/>
      <c r="O10459" s="36" t="s">
        <v>48</v>
      </c>
      <c r="R10459" s="36" t="s">
        <v>48</v>
      </c>
    </row>
    <row r="10460">
      <c r="H10460" s="50"/>
      <c r="I10460" s="50"/>
      <c r="O10460" s="36" t="s">
        <v>48</v>
      </c>
      <c r="R10460" s="36" t="s">
        <v>48</v>
      </c>
    </row>
    <row r="10461">
      <c r="H10461" s="50"/>
      <c r="I10461" s="50"/>
      <c r="O10461" s="36" t="s">
        <v>48</v>
      </c>
      <c r="R10461" s="36" t="s">
        <v>48</v>
      </c>
    </row>
    <row r="10462">
      <c r="H10462" s="50"/>
      <c r="I10462" s="50"/>
      <c r="O10462" s="36" t="s">
        <v>48</v>
      </c>
      <c r="R10462" s="36" t="s">
        <v>48</v>
      </c>
    </row>
    <row r="10463">
      <c r="H10463" s="50"/>
      <c r="I10463" s="50"/>
      <c r="O10463" s="36" t="s">
        <v>48</v>
      </c>
      <c r="R10463" s="36" t="s">
        <v>48</v>
      </c>
    </row>
    <row r="10464">
      <c r="H10464" s="50"/>
      <c r="I10464" s="50"/>
      <c r="O10464" s="36" t="s">
        <v>48</v>
      </c>
      <c r="R10464" s="36" t="s">
        <v>48</v>
      </c>
    </row>
    <row r="10465">
      <c r="H10465" s="50"/>
      <c r="I10465" s="50"/>
      <c r="O10465" s="36" t="s">
        <v>48</v>
      </c>
      <c r="R10465" s="36" t="s">
        <v>48</v>
      </c>
    </row>
    <row r="10466">
      <c r="H10466" s="50"/>
      <c r="I10466" s="50"/>
      <c r="O10466" s="36" t="s">
        <v>48</v>
      </c>
      <c r="R10466" s="36" t="s">
        <v>48</v>
      </c>
    </row>
    <row r="10467">
      <c r="H10467" s="50"/>
      <c r="I10467" s="50"/>
      <c r="O10467" s="36" t="s">
        <v>48</v>
      </c>
      <c r="R10467" s="36" t="s">
        <v>48</v>
      </c>
    </row>
    <row r="10468">
      <c r="H10468" s="50"/>
      <c r="I10468" s="50"/>
      <c r="O10468" s="36" t="s">
        <v>48</v>
      </c>
      <c r="R10468" s="36" t="s">
        <v>48</v>
      </c>
    </row>
    <row r="10469">
      <c r="H10469" s="50"/>
      <c r="I10469" s="50"/>
      <c r="O10469" s="36" t="s">
        <v>48</v>
      </c>
      <c r="R10469" s="36" t="s">
        <v>48</v>
      </c>
    </row>
    <row r="10470">
      <c r="H10470" s="50"/>
      <c r="I10470" s="50"/>
      <c r="O10470" s="36" t="s">
        <v>48</v>
      </c>
      <c r="R10470" s="36" t="s">
        <v>48</v>
      </c>
    </row>
    <row r="10471">
      <c r="H10471" s="50"/>
      <c r="I10471" s="50"/>
      <c r="O10471" s="36" t="s">
        <v>48</v>
      </c>
      <c r="R10471" s="36" t="s">
        <v>48</v>
      </c>
    </row>
    <row r="10472">
      <c r="H10472" s="50"/>
      <c r="I10472" s="50"/>
      <c r="O10472" s="36" t="s">
        <v>48</v>
      </c>
      <c r="R10472" s="36" t="s">
        <v>48</v>
      </c>
    </row>
    <row r="10473">
      <c r="H10473" s="50"/>
      <c r="I10473" s="50"/>
      <c r="O10473" s="36" t="s">
        <v>48</v>
      </c>
      <c r="R10473" s="36" t="s">
        <v>48</v>
      </c>
    </row>
    <row r="10474">
      <c r="H10474" s="50"/>
      <c r="I10474" s="50"/>
      <c r="O10474" s="36" t="s">
        <v>48</v>
      </c>
      <c r="R10474" s="36" t="s">
        <v>48</v>
      </c>
    </row>
    <row r="10475">
      <c r="H10475" s="50"/>
      <c r="I10475" s="50"/>
      <c r="O10475" s="36" t="s">
        <v>48</v>
      </c>
      <c r="R10475" s="36" t="s">
        <v>48</v>
      </c>
    </row>
    <row r="10476">
      <c r="H10476" s="50"/>
      <c r="I10476" s="50"/>
      <c r="O10476" s="36" t="s">
        <v>48</v>
      </c>
      <c r="R10476" s="36" t="s">
        <v>48</v>
      </c>
    </row>
    <row r="10477">
      <c r="H10477" s="50"/>
      <c r="I10477" s="50"/>
      <c r="O10477" s="36" t="s">
        <v>48</v>
      </c>
      <c r="R10477" s="36" t="s">
        <v>48</v>
      </c>
    </row>
    <row r="10478">
      <c r="H10478" s="50"/>
      <c r="I10478" s="50"/>
      <c r="O10478" s="36" t="s">
        <v>48</v>
      </c>
      <c r="R10478" s="36" t="s">
        <v>48</v>
      </c>
    </row>
    <row r="10479">
      <c r="H10479" s="50"/>
      <c r="I10479" s="50"/>
      <c r="O10479" s="36" t="s">
        <v>48</v>
      </c>
      <c r="R10479" s="36" t="s">
        <v>48</v>
      </c>
    </row>
    <row r="10480">
      <c r="H10480" s="50"/>
      <c r="I10480" s="50"/>
      <c r="O10480" s="36" t="s">
        <v>48</v>
      </c>
      <c r="R10480" s="36" t="s">
        <v>48</v>
      </c>
    </row>
    <row r="10481">
      <c r="H10481" s="50"/>
      <c r="I10481" s="50"/>
      <c r="O10481" s="36" t="s">
        <v>48</v>
      </c>
      <c r="R10481" s="36" t="s">
        <v>48</v>
      </c>
    </row>
    <row r="10482">
      <c r="H10482" s="50"/>
      <c r="I10482" s="50"/>
      <c r="O10482" s="36" t="s">
        <v>48</v>
      </c>
      <c r="R10482" s="36" t="s">
        <v>48</v>
      </c>
    </row>
    <row r="10483">
      <c r="H10483" s="50"/>
      <c r="I10483" s="50"/>
      <c r="O10483" s="36" t="s">
        <v>48</v>
      </c>
      <c r="R10483" s="36" t="s">
        <v>48</v>
      </c>
    </row>
    <row r="10484">
      <c r="H10484" s="50"/>
      <c r="I10484" s="50"/>
      <c r="O10484" s="36" t="s">
        <v>48</v>
      </c>
      <c r="R10484" s="36" t="s">
        <v>48</v>
      </c>
    </row>
    <row r="10485">
      <c r="H10485" s="50"/>
      <c r="I10485" s="50"/>
      <c r="O10485" s="36" t="s">
        <v>48</v>
      </c>
      <c r="R10485" s="36" t="s">
        <v>48</v>
      </c>
    </row>
    <row r="10486">
      <c r="H10486" s="50"/>
      <c r="I10486" s="50"/>
      <c r="O10486" s="36" t="s">
        <v>48</v>
      </c>
      <c r="R10486" s="36" t="s">
        <v>48</v>
      </c>
    </row>
    <row r="10487">
      <c r="H10487" s="50"/>
      <c r="I10487" s="50"/>
      <c r="O10487" s="36" t="s">
        <v>48</v>
      </c>
      <c r="R10487" s="36" t="s">
        <v>48</v>
      </c>
    </row>
    <row r="10488">
      <c r="H10488" s="50"/>
      <c r="I10488" s="50"/>
      <c r="O10488" s="36" t="s">
        <v>48</v>
      </c>
      <c r="R10488" s="36" t="s">
        <v>48</v>
      </c>
    </row>
    <row r="10489">
      <c r="H10489" s="50"/>
      <c r="I10489" s="50"/>
      <c r="O10489" s="36" t="s">
        <v>48</v>
      </c>
      <c r="R10489" s="36" t="s">
        <v>48</v>
      </c>
    </row>
    <row r="10490">
      <c r="H10490" s="50"/>
      <c r="I10490" s="50"/>
      <c r="O10490" s="36" t="s">
        <v>48</v>
      </c>
      <c r="R10490" s="36" t="s">
        <v>48</v>
      </c>
    </row>
    <row r="10491">
      <c r="H10491" s="50"/>
      <c r="I10491" s="50"/>
      <c r="O10491" s="36" t="s">
        <v>48</v>
      </c>
      <c r="R10491" s="36" t="s">
        <v>48</v>
      </c>
    </row>
    <row r="10492">
      <c r="H10492" s="50"/>
      <c r="I10492" s="50"/>
      <c r="O10492" s="36" t="s">
        <v>48</v>
      </c>
      <c r="R10492" s="36" t="s">
        <v>48</v>
      </c>
    </row>
    <row r="10493">
      <c r="H10493" s="50"/>
      <c r="I10493" s="50"/>
      <c r="O10493" s="36" t="s">
        <v>48</v>
      </c>
      <c r="R10493" s="36" t="s">
        <v>48</v>
      </c>
    </row>
    <row r="10494">
      <c r="H10494" s="50"/>
      <c r="I10494" s="50"/>
      <c r="O10494" s="36" t="s">
        <v>48</v>
      </c>
      <c r="R10494" s="36" t="s">
        <v>48</v>
      </c>
    </row>
    <row r="10495">
      <c r="H10495" s="50"/>
      <c r="I10495" s="50"/>
      <c r="O10495" s="36" t="s">
        <v>48</v>
      </c>
      <c r="R10495" s="36" t="s">
        <v>48</v>
      </c>
    </row>
    <row r="10496">
      <c r="H10496" s="50"/>
      <c r="I10496" s="50"/>
      <c r="O10496" s="36" t="s">
        <v>48</v>
      </c>
      <c r="R10496" s="36" t="s">
        <v>48</v>
      </c>
    </row>
    <row r="10497">
      <c r="H10497" s="50"/>
      <c r="I10497" s="50"/>
      <c r="O10497" s="36" t="s">
        <v>48</v>
      </c>
      <c r="R10497" s="36" t="s">
        <v>48</v>
      </c>
    </row>
    <row r="10498">
      <c r="H10498" s="50"/>
      <c r="I10498" s="50"/>
      <c r="O10498" s="36" t="s">
        <v>48</v>
      </c>
      <c r="R10498" s="36" t="s">
        <v>48</v>
      </c>
    </row>
    <row r="10499">
      <c r="H10499" s="50"/>
      <c r="I10499" s="50"/>
      <c r="O10499" s="36" t="s">
        <v>48</v>
      </c>
      <c r="R10499" s="36" t="s">
        <v>48</v>
      </c>
    </row>
    <row r="10500">
      <c r="H10500" s="50"/>
      <c r="I10500" s="50"/>
      <c r="O10500" s="36" t="s">
        <v>48</v>
      </c>
      <c r="R10500" s="36" t="s">
        <v>48</v>
      </c>
    </row>
    <row r="10501">
      <c r="H10501" s="50"/>
      <c r="I10501" s="50"/>
      <c r="O10501" s="36" t="s">
        <v>48</v>
      </c>
      <c r="R10501" s="36" t="s">
        <v>48</v>
      </c>
    </row>
    <row r="10502">
      <c r="H10502" s="50"/>
      <c r="I10502" s="50"/>
      <c r="O10502" s="36" t="s">
        <v>48</v>
      </c>
      <c r="R10502" s="36" t="s">
        <v>48</v>
      </c>
    </row>
    <row r="10503">
      <c r="H10503" s="50"/>
      <c r="I10503" s="50"/>
      <c r="O10503" s="36" t="s">
        <v>48</v>
      </c>
      <c r="R10503" s="36" t="s">
        <v>48</v>
      </c>
    </row>
    <row r="10504">
      <c r="H10504" s="50"/>
      <c r="I10504" s="50"/>
      <c r="O10504" s="36" t="s">
        <v>48</v>
      </c>
      <c r="R10504" s="36" t="s">
        <v>48</v>
      </c>
    </row>
    <row r="10505">
      <c r="H10505" s="50"/>
      <c r="I10505" s="50"/>
      <c r="O10505" s="36" t="s">
        <v>48</v>
      </c>
      <c r="R10505" s="36" t="s">
        <v>48</v>
      </c>
    </row>
    <row r="10506">
      <c r="H10506" s="50"/>
      <c r="I10506" s="50"/>
      <c r="O10506" s="36" t="s">
        <v>48</v>
      </c>
      <c r="R10506" s="36" t="s">
        <v>48</v>
      </c>
    </row>
    <row r="10507">
      <c r="H10507" s="50"/>
      <c r="I10507" s="50"/>
      <c r="O10507" s="36" t="s">
        <v>48</v>
      </c>
      <c r="R10507" s="36" t="s">
        <v>48</v>
      </c>
    </row>
    <row r="10508">
      <c r="H10508" s="50"/>
      <c r="I10508" s="50"/>
      <c r="O10508" s="36" t="s">
        <v>48</v>
      </c>
      <c r="R10508" s="36" t="s">
        <v>48</v>
      </c>
    </row>
    <row r="10509">
      <c r="H10509" s="50"/>
      <c r="I10509" s="50"/>
      <c r="O10509" s="36" t="s">
        <v>48</v>
      </c>
      <c r="R10509" s="36" t="s">
        <v>48</v>
      </c>
    </row>
    <row r="10510">
      <c r="H10510" s="50"/>
      <c r="I10510" s="50"/>
      <c r="O10510" s="36" t="s">
        <v>48</v>
      </c>
      <c r="R10510" s="36" t="s">
        <v>48</v>
      </c>
    </row>
    <row r="10511">
      <c r="H10511" s="50"/>
      <c r="I10511" s="50"/>
      <c r="O10511" s="36" t="s">
        <v>48</v>
      </c>
      <c r="R10511" s="36" t="s">
        <v>48</v>
      </c>
    </row>
    <row r="10512">
      <c r="H10512" s="50"/>
      <c r="I10512" s="50"/>
      <c r="O10512" s="36" t="s">
        <v>48</v>
      </c>
      <c r="R10512" s="36" t="s">
        <v>48</v>
      </c>
    </row>
    <row r="10513">
      <c r="H10513" s="50"/>
      <c r="I10513" s="50"/>
      <c r="O10513" s="36" t="s">
        <v>48</v>
      </c>
      <c r="R10513" s="36" t="s">
        <v>48</v>
      </c>
    </row>
    <row r="10514">
      <c r="H10514" s="50"/>
      <c r="I10514" s="50"/>
      <c r="O10514" s="36" t="s">
        <v>48</v>
      </c>
      <c r="R10514" s="36" t="s">
        <v>48</v>
      </c>
    </row>
    <row r="10515">
      <c r="H10515" s="50"/>
      <c r="I10515" s="50"/>
      <c r="O10515" s="36" t="s">
        <v>48</v>
      </c>
      <c r="R10515" s="36" t="s">
        <v>48</v>
      </c>
    </row>
    <row r="10516">
      <c r="H10516" s="50"/>
      <c r="I10516" s="50"/>
      <c r="O10516" s="36" t="s">
        <v>48</v>
      </c>
      <c r="R10516" s="36" t="s">
        <v>48</v>
      </c>
    </row>
    <row r="10517">
      <c r="H10517" s="50"/>
      <c r="I10517" s="50"/>
      <c r="O10517" s="36" t="s">
        <v>48</v>
      </c>
      <c r="R10517" s="36" t="s">
        <v>48</v>
      </c>
    </row>
    <row r="10518">
      <c r="H10518" s="50"/>
      <c r="I10518" s="50"/>
      <c r="O10518" s="36" t="s">
        <v>48</v>
      </c>
      <c r="R10518" s="36" t="s">
        <v>48</v>
      </c>
    </row>
    <row r="10519">
      <c r="H10519" s="50"/>
      <c r="I10519" s="50"/>
      <c r="O10519" s="36" t="s">
        <v>48</v>
      </c>
      <c r="R10519" s="36" t="s">
        <v>48</v>
      </c>
    </row>
    <row r="10520">
      <c r="H10520" s="50"/>
      <c r="I10520" s="50"/>
      <c r="O10520" s="36" t="s">
        <v>48</v>
      </c>
      <c r="R10520" s="36" t="s">
        <v>48</v>
      </c>
    </row>
    <row r="10521">
      <c r="H10521" s="50"/>
      <c r="I10521" s="50"/>
      <c r="O10521" s="36" t="s">
        <v>48</v>
      </c>
      <c r="R10521" s="36" t="s">
        <v>48</v>
      </c>
    </row>
    <row r="10522">
      <c r="H10522" s="50"/>
      <c r="I10522" s="50"/>
      <c r="O10522" s="36" t="s">
        <v>48</v>
      </c>
      <c r="R10522" s="36" t="s">
        <v>48</v>
      </c>
    </row>
    <row r="10523">
      <c r="H10523" s="50"/>
      <c r="I10523" s="50"/>
      <c r="O10523" s="36" t="s">
        <v>48</v>
      </c>
      <c r="R10523" s="36" t="s">
        <v>48</v>
      </c>
    </row>
    <row r="10524">
      <c r="H10524" s="50"/>
      <c r="I10524" s="50"/>
      <c r="O10524" s="36" t="s">
        <v>48</v>
      </c>
      <c r="R10524" s="36" t="s">
        <v>48</v>
      </c>
    </row>
    <row r="10525">
      <c r="H10525" s="50"/>
      <c r="I10525" s="50"/>
      <c r="O10525" s="36" t="s">
        <v>48</v>
      </c>
      <c r="R10525" s="36" t="s">
        <v>48</v>
      </c>
    </row>
    <row r="10526">
      <c r="H10526" s="50"/>
      <c r="I10526" s="50"/>
      <c r="O10526" s="36" t="s">
        <v>48</v>
      </c>
      <c r="R10526" s="36" t="s">
        <v>48</v>
      </c>
    </row>
    <row r="10527">
      <c r="H10527" s="50"/>
      <c r="I10527" s="50"/>
      <c r="O10527" s="36" t="s">
        <v>48</v>
      </c>
      <c r="R10527" s="36" t="s">
        <v>48</v>
      </c>
    </row>
    <row r="10528">
      <c r="H10528" s="50"/>
      <c r="I10528" s="50"/>
      <c r="O10528" s="36" t="s">
        <v>48</v>
      </c>
      <c r="R10528" s="36" t="s">
        <v>48</v>
      </c>
    </row>
    <row r="10529">
      <c r="H10529" s="50"/>
      <c r="I10529" s="50"/>
      <c r="O10529" s="36" t="s">
        <v>48</v>
      </c>
      <c r="R10529" s="36" t="s">
        <v>48</v>
      </c>
    </row>
    <row r="10530">
      <c r="H10530" s="50"/>
      <c r="I10530" s="50"/>
      <c r="O10530" s="36" t="s">
        <v>48</v>
      </c>
      <c r="R10530" s="36" t="s">
        <v>48</v>
      </c>
    </row>
    <row r="10531">
      <c r="H10531" s="50"/>
      <c r="I10531" s="50"/>
      <c r="O10531" s="36" t="s">
        <v>48</v>
      </c>
      <c r="R10531" s="36" t="s">
        <v>48</v>
      </c>
    </row>
    <row r="10532">
      <c r="H10532" s="50"/>
      <c r="I10532" s="50"/>
      <c r="O10532" s="36" t="s">
        <v>48</v>
      </c>
      <c r="R10532" s="36" t="s">
        <v>48</v>
      </c>
    </row>
    <row r="10533">
      <c r="H10533" s="50"/>
      <c r="I10533" s="50"/>
      <c r="O10533" s="36" t="s">
        <v>48</v>
      </c>
      <c r="R10533" s="36" t="s">
        <v>48</v>
      </c>
    </row>
    <row r="10534">
      <c r="H10534" s="50"/>
      <c r="I10534" s="50"/>
      <c r="O10534" s="36" t="s">
        <v>48</v>
      </c>
      <c r="R10534" s="36" t="s">
        <v>48</v>
      </c>
    </row>
    <row r="10535">
      <c r="H10535" s="50"/>
      <c r="I10535" s="50"/>
      <c r="O10535" s="36" t="s">
        <v>48</v>
      </c>
      <c r="R10535" s="36" t="s">
        <v>48</v>
      </c>
    </row>
    <row r="10536">
      <c r="H10536" s="50"/>
      <c r="I10536" s="50"/>
      <c r="O10536" s="36" t="s">
        <v>48</v>
      </c>
      <c r="R10536" s="36" t="s">
        <v>48</v>
      </c>
    </row>
    <row r="10537">
      <c r="H10537" s="50"/>
      <c r="I10537" s="50"/>
      <c r="O10537" s="36" t="s">
        <v>48</v>
      </c>
      <c r="R10537" s="36" t="s">
        <v>48</v>
      </c>
    </row>
    <row r="10538">
      <c r="H10538" s="50"/>
      <c r="I10538" s="50"/>
      <c r="O10538" s="36" t="s">
        <v>48</v>
      </c>
      <c r="R10538" s="36" t="s">
        <v>48</v>
      </c>
    </row>
    <row r="10539">
      <c r="H10539" s="50"/>
      <c r="I10539" s="50"/>
      <c r="O10539" s="36" t="s">
        <v>48</v>
      </c>
      <c r="R10539" s="36" t="s">
        <v>48</v>
      </c>
    </row>
    <row r="10540">
      <c r="H10540" s="50"/>
      <c r="I10540" s="50"/>
      <c r="O10540" s="36" t="s">
        <v>48</v>
      </c>
      <c r="R10540" s="36" t="s">
        <v>48</v>
      </c>
    </row>
    <row r="10541">
      <c r="H10541" s="50"/>
      <c r="I10541" s="50"/>
      <c r="O10541" s="36" t="s">
        <v>48</v>
      </c>
      <c r="R10541" s="36" t="s">
        <v>48</v>
      </c>
    </row>
    <row r="10542">
      <c r="H10542" s="50"/>
      <c r="I10542" s="50"/>
      <c r="O10542" s="36" t="s">
        <v>48</v>
      </c>
      <c r="R10542" s="36" t="s">
        <v>48</v>
      </c>
    </row>
    <row r="10543">
      <c r="H10543" s="50"/>
      <c r="I10543" s="50"/>
      <c r="O10543" s="36" t="s">
        <v>48</v>
      </c>
      <c r="R10543" s="36" t="s">
        <v>48</v>
      </c>
    </row>
    <row r="10544">
      <c r="H10544" s="50"/>
      <c r="I10544" s="50"/>
      <c r="O10544" s="36" t="s">
        <v>48</v>
      </c>
      <c r="R10544" s="36" t="s">
        <v>48</v>
      </c>
    </row>
    <row r="10545">
      <c r="H10545" s="50"/>
      <c r="I10545" s="50"/>
      <c r="O10545" s="36" t="s">
        <v>48</v>
      </c>
      <c r="R10545" s="36" t="s">
        <v>48</v>
      </c>
    </row>
    <row r="10546">
      <c r="H10546" s="50"/>
      <c r="I10546" s="50"/>
      <c r="O10546" s="36" t="s">
        <v>48</v>
      </c>
      <c r="R10546" s="36" t="s">
        <v>48</v>
      </c>
    </row>
    <row r="10547">
      <c r="H10547" s="50"/>
      <c r="I10547" s="50"/>
      <c r="O10547" s="36" t="s">
        <v>48</v>
      </c>
      <c r="R10547" s="36" t="s">
        <v>48</v>
      </c>
    </row>
    <row r="10548">
      <c r="H10548" s="50"/>
      <c r="I10548" s="50"/>
      <c r="O10548" s="36" t="s">
        <v>48</v>
      </c>
      <c r="R10548" s="36" t="s">
        <v>48</v>
      </c>
    </row>
    <row r="10549">
      <c r="H10549" s="50"/>
      <c r="I10549" s="50"/>
      <c r="O10549" s="36" t="s">
        <v>48</v>
      </c>
      <c r="R10549" s="36" t="s">
        <v>48</v>
      </c>
    </row>
    <row r="10550">
      <c r="H10550" s="50"/>
      <c r="I10550" s="50"/>
      <c r="O10550" s="36" t="s">
        <v>48</v>
      </c>
      <c r="R10550" s="36" t="s">
        <v>48</v>
      </c>
    </row>
    <row r="10551">
      <c r="H10551" s="50"/>
      <c r="I10551" s="50"/>
      <c r="O10551" s="36" t="s">
        <v>48</v>
      </c>
      <c r="R10551" s="36" t="s">
        <v>48</v>
      </c>
    </row>
    <row r="10552">
      <c r="H10552" s="50"/>
      <c r="I10552" s="50"/>
      <c r="O10552" s="36" t="s">
        <v>48</v>
      </c>
      <c r="R10552" s="36" t="s">
        <v>48</v>
      </c>
    </row>
    <row r="10553">
      <c r="H10553" s="50"/>
      <c r="I10553" s="50"/>
      <c r="O10553" s="36" t="s">
        <v>48</v>
      </c>
      <c r="R10553" s="36" t="s">
        <v>48</v>
      </c>
    </row>
    <row r="10554">
      <c r="H10554" s="50"/>
      <c r="I10554" s="50"/>
      <c r="O10554" s="36" t="s">
        <v>48</v>
      </c>
      <c r="R10554" s="36" t="s">
        <v>48</v>
      </c>
    </row>
    <row r="10555">
      <c r="H10555" s="50"/>
      <c r="I10555" s="50"/>
      <c r="O10555" s="36" t="s">
        <v>48</v>
      </c>
      <c r="R10555" s="36" t="s">
        <v>48</v>
      </c>
    </row>
    <row r="10556">
      <c r="H10556" s="50"/>
      <c r="I10556" s="50"/>
      <c r="O10556" s="36" t="s">
        <v>48</v>
      </c>
      <c r="R10556" s="36" t="s">
        <v>48</v>
      </c>
    </row>
    <row r="10557">
      <c r="H10557" s="50"/>
      <c r="I10557" s="50"/>
      <c r="O10557" s="36" t="s">
        <v>48</v>
      </c>
      <c r="R10557" s="36" t="s">
        <v>48</v>
      </c>
    </row>
    <row r="10558">
      <c r="H10558" s="50"/>
      <c r="I10558" s="50"/>
      <c r="O10558" s="36" t="s">
        <v>48</v>
      </c>
      <c r="R10558" s="36" t="s">
        <v>48</v>
      </c>
    </row>
    <row r="10559">
      <c r="H10559" s="50"/>
      <c r="I10559" s="50"/>
      <c r="O10559" s="36" t="s">
        <v>48</v>
      </c>
      <c r="R10559" s="36" t="s">
        <v>48</v>
      </c>
    </row>
    <row r="10560">
      <c r="H10560" s="50"/>
      <c r="I10560" s="50"/>
      <c r="O10560" s="36" t="s">
        <v>48</v>
      </c>
      <c r="R10560" s="36" t="s">
        <v>48</v>
      </c>
    </row>
    <row r="10561">
      <c r="H10561" s="50"/>
      <c r="I10561" s="50"/>
      <c r="O10561" s="36" t="s">
        <v>48</v>
      </c>
      <c r="R10561" s="36" t="s">
        <v>48</v>
      </c>
    </row>
    <row r="10562">
      <c r="H10562" s="50"/>
      <c r="I10562" s="50"/>
      <c r="O10562" s="36" t="s">
        <v>48</v>
      </c>
      <c r="R10562" s="36" t="s">
        <v>48</v>
      </c>
    </row>
    <row r="10563">
      <c r="H10563" s="50"/>
      <c r="I10563" s="50"/>
      <c r="O10563" s="36" t="s">
        <v>48</v>
      </c>
      <c r="R10563" s="36" t="s">
        <v>48</v>
      </c>
    </row>
    <row r="10564">
      <c r="H10564" s="50"/>
      <c r="I10564" s="50"/>
      <c r="O10564" s="36" t="s">
        <v>48</v>
      </c>
      <c r="R10564" s="36" t="s">
        <v>48</v>
      </c>
    </row>
    <row r="10565">
      <c r="H10565" s="50"/>
      <c r="I10565" s="50"/>
      <c r="O10565" s="36" t="s">
        <v>48</v>
      </c>
      <c r="R10565" s="36" t="s">
        <v>48</v>
      </c>
    </row>
    <row r="10566">
      <c r="H10566" s="50"/>
      <c r="I10566" s="50"/>
      <c r="O10566" s="36" t="s">
        <v>48</v>
      </c>
      <c r="R10566" s="36" t="s">
        <v>48</v>
      </c>
    </row>
    <row r="10567">
      <c r="H10567" s="50"/>
      <c r="I10567" s="50"/>
      <c r="O10567" s="36" t="s">
        <v>48</v>
      </c>
      <c r="R10567" s="36" t="s">
        <v>48</v>
      </c>
    </row>
    <row r="10568">
      <c r="H10568" s="50"/>
      <c r="I10568" s="50"/>
      <c r="O10568" s="36" t="s">
        <v>48</v>
      </c>
      <c r="R10568" s="36" t="s">
        <v>48</v>
      </c>
    </row>
    <row r="10569">
      <c r="H10569" s="50"/>
      <c r="I10569" s="50"/>
      <c r="O10569" s="36" t="s">
        <v>48</v>
      </c>
      <c r="R10569" s="36" t="s">
        <v>48</v>
      </c>
    </row>
    <row r="10570">
      <c r="H10570" s="50"/>
      <c r="I10570" s="50"/>
      <c r="O10570" s="36" t="s">
        <v>48</v>
      </c>
      <c r="R10570" s="36" t="s">
        <v>48</v>
      </c>
    </row>
    <row r="10571">
      <c r="H10571" s="50"/>
      <c r="I10571" s="50"/>
      <c r="O10571" s="36" t="s">
        <v>48</v>
      </c>
      <c r="R10571" s="36" t="s">
        <v>48</v>
      </c>
    </row>
    <row r="10572">
      <c r="H10572" s="50"/>
      <c r="I10572" s="50"/>
      <c r="O10572" s="36" t="s">
        <v>48</v>
      </c>
      <c r="R10572" s="36" t="s">
        <v>48</v>
      </c>
    </row>
    <row r="10573">
      <c r="H10573" s="50"/>
      <c r="I10573" s="50"/>
      <c r="O10573" s="36" t="s">
        <v>48</v>
      </c>
      <c r="R10573" s="36" t="s">
        <v>48</v>
      </c>
    </row>
    <row r="10574">
      <c r="H10574" s="50"/>
      <c r="I10574" s="50"/>
      <c r="O10574" s="36" t="s">
        <v>48</v>
      </c>
      <c r="R10574" s="36" t="s">
        <v>48</v>
      </c>
    </row>
    <row r="10575">
      <c r="H10575" s="50"/>
      <c r="I10575" s="50"/>
      <c r="O10575" s="36" t="s">
        <v>48</v>
      </c>
      <c r="R10575" s="36" t="s">
        <v>48</v>
      </c>
    </row>
    <row r="10576">
      <c r="H10576" s="50"/>
      <c r="I10576" s="50"/>
      <c r="O10576" s="36" t="s">
        <v>48</v>
      </c>
      <c r="R10576" s="36" t="s">
        <v>48</v>
      </c>
    </row>
    <row r="10577">
      <c r="H10577" s="50"/>
      <c r="I10577" s="50"/>
      <c r="O10577" s="36" t="s">
        <v>48</v>
      </c>
      <c r="R10577" s="36" t="s">
        <v>48</v>
      </c>
    </row>
    <row r="10578">
      <c r="H10578" s="50"/>
      <c r="I10578" s="50"/>
      <c r="O10578" s="36" t="s">
        <v>48</v>
      </c>
      <c r="R10578" s="36" t="s">
        <v>48</v>
      </c>
    </row>
    <row r="10579">
      <c r="H10579" s="50"/>
      <c r="I10579" s="50"/>
      <c r="O10579" s="36" t="s">
        <v>48</v>
      </c>
      <c r="R10579" s="36" t="s">
        <v>48</v>
      </c>
    </row>
    <row r="10580">
      <c r="H10580" s="50"/>
      <c r="I10580" s="50"/>
      <c r="O10580" s="36" t="s">
        <v>48</v>
      </c>
      <c r="R10580" s="36" t="s">
        <v>48</v>
      </c>
    </row>
    <row r="10581">
      <c r="H10581" s="50"/>
      <c r="I10581" s="50"/>
      <c r="O10581" s="36" t="s">
        <v>48</v>
      </c>
      <c r="R10581" s="36" t="s">
        <v>48</v>
      </c>
    </row>
    <row r="10582">
      <c r="H10582" s="50"/>
      <c r="I10582" s="50"/>
      <c r="O10582" s="36" t="s">
        <v>48</v>
      </c>
      <c r="R10582" s="36" t="s">
        <v>48</v>
      </c>
    </row>
    <row r="10583">
      <c r="H10583" s="50"/>
      <c r="I10583" s="50"/>
      <c r="O10583" s="36" t="s">
        <v>48</v>
      </c>
      <c r="R10583" s="36" t="s">
        <v>48</v>
      </c>
    </row>
    <row r="10584">
      <c r="H10584" s="50"/>
      <c r="I10584" s="50"/>
      <c r="O10584" s="36" t="s">
        <v>48</v>
      </c>
      <c r="R10584" s="36" t="s">
        <v>48</v>
      </c>
    </row>
    <row r="10585">
      <c r="H10585" s="50"/>
      <c r="I10585" s="50"/>
      <c r="O10585" s="36" t="s">
        <v>48</v>
      </c>
      <c r="R10585" s="36" t="s">
        <v>48</v>
      </c>
    </row>
    <row r="10586">
      <c r="H10586" s="50"/>
      <c r="I10586" s="50"/>
      <c r="O10586" s="36" t="s">
        <v>48</v>
      </c>
      <c r="R10586" s="36" t="s">
        <v>48</v>
      </c>
    </row>
    <row r="10587">
      <c r="H10587" s="50"/>
      <c r="I10587" s="50"/>
      <c r="O10587" s="36" t="s">
        <v>48</v>
      </c>
      <c r="R10587" s="36" t="s">
        <v>48</v>
      </c>
    </row>
    <row r="10588">
      <c r="H10588" s="50"/>
      <c r="I10588" s="50"/>
      <c r="O10588" s="36" t="s">
        <v>48</v>
      </c>
      <c r="R10588" s="36" t="s">
        <v>48</v>
      </c>
    </row>
    <row r="10589">
      <c r="H10589" s="50"/>
      <c r="I10589" s="50"/>
      <c r="O10589" s="36" t="s">
        <v>48</v>
      </c>
      <c r="R10589" s="36" t="s">
        <v>48</v>
      </c>
    </row>
    <row r="10590">
      <c r="H10590" s="50"/>
      <c r="I10590" s="50"/>
      <c r="O10590" s="36" t="s">
        <v>48</v>
      </c>
      <c r="R10590" s="36" t="s">
        <v>48</v>
      </c>
    </row>
    <row r="10591">
      <c r="H10591" s="50"/>
      <c r="I10591" s="50"/>
      <c r="O10591" s="36" t="s">
        <v>48</v>
      </c>
      <c r="R10591" s="36" t="s">
        <v>48</v>
      </c>
    </row>
    <row r="10592">
      <c r="H10592" s="50"/>
      <c r="I10592" s="50"/>
      <c r="O10592" s="36" t="s">
        <v>48</v>
      </c>
      <c r="R10592" s="36" t="s">
        <v>48</v>
      </c>
    </row>
    <row r="10593">
      <c r="H10593" s="50"/>
      <c r="I10593" s="50"/>
      <c r="O10593" s="36" t="s">
        <v>48</v>
      </c>
      <c r="R10593" s="36" t="s">
        <v>48</v>
      </c>
    </row>
    <row r="10594">
      <c r="H10594" s="50"/>
      <c r="I10594" s="50"/>
      <c r="O10594" s="36" t="s">
        <v>48</v>
      </c>
      <c r="R10594" s="36" t="s">
        <v>48</v>
      </c>
    </row>
    <row r="10595">
      <c r="H10595" s="50"/>
      <c r="I10595" s="50"/>
      <c r="O10595" s="36" t="s">
        <v>48</v>
      </c>
      <c r="R10595" s="36" t="s">
        <v>48</v>
      </c>
    </row>
    <row r="10596">
      <c r="H10596" s="50"/>
      <c r="I10596" s="50"/>
      <c r="O10596" s="36" t="s">
        <v>48</v>
      </c>
      <c r="R10596" s="36" t="s">
        <v>48</v>
      </c>
    </row>
    <row r="10597">
      <c r="H10597" s="50"/>
      <c r="I10597" s="50"/>
      <c r="O10597" s="36" t="s">
        <v>48</v>
      </c>
      <c r="R10597" s="36" t="s">
        <v>48</v>
      </c>
    </row>
    <row r="10598">
      <c r="H10598" s="50"/>
      <c r="I10598" s="50"/>
      <c r="O10598" s="36" t="s">
        <v>48</v>
      </c>
      <c r="R10598" s="36" t="s">
        <v>48</v>
      </c>
    </row>
    <row r="10599">
      <c r="H10599" s="50"/>
      <c r="I10599" s="50"/>
      <c r="O10599" s="36" t="s">
        <v>48</v>
      </c>
      <c r="R10599" s="36" t="s">
        <v>48</v>
      </c>
    </row>
    <row r="10600">
      <c r="H10600" s="50"/>
      <c r="I10600" s="50"/>
      <c r="O10600" s="36" t="s">
        <v>48</v>
      </c>
      <c r="R10600" s="36" t="s">
        <v>48</v>
      </c>
    </row>
    <row r="10601">
      <c r="H10601" s="50"/>
      <c r="I10601" s="50"/>
      <c r="O10601" s="36" t="s">
        <v>48</v>
      </c>
      <c r="R10601" s="36" t="s">
        <v>48</v>
      </c>
    </row>
    <row r="10602">
      <c r="H10602" s="50"/>
      <c r="I10602" s="50"/>
      <c r="O10602" s="36" t="s">
        <v>48</v>
      </c>
      <c r="R10602" s="36" t="s">
        <v>48</v>
      </c>
    </row>
    <row r="10603">
      <c r="H10603" s="50"/>
      <c r="I10603" s="50"/>
      <c r="O10603" s="36" t="s">
        <v>48</v>
      </c>
      <c r="R10603" s="36" t="s">
        <v>48</v>
      </c>
    </row>
    <row r="10604">
      <c r="H10604" s="50"/>
      <c r="I10604" s="50"/>
      <c r="O10604" s="36" t="s">
        <v>48</v>
      </c>
      <c r="R10604" s="36" t="s">
        <v>48</v>
      </c>
    </row>
    <row r="10605">
      <c r="H10605" s="50"/>
      <c r="I10605" s="50"/>
      <c r="O10605" s="36" t="s">
        <v>48</v>
      </c>
      <c r="R10605" s="36" t="s">
        <v>48</v>
      </c>
    </row>
    <row r="10606">
      <c r="H10606" s="50"/>
      <c r="I10606" s="50"/>
      <c r="O10606" s="36" t="s">
        <v>48</v>
      </c>
      <c r="R10606" s="36" t="s">
        <v>48</v>
      </c>
    </row>
    <row r="10607">
      <c r="H10607" s="50"/>
      <c r="I10607" s="50"/>
      <c r="O10607" s="36" t="s">
        <v>48</v>
      </c>
      <c r="R10607" s="36" t="s">
        <v>48</v>
      </c>
    </row>
    <row r="10608">
      <c r="H10608" s="50"/>
      <c r="I10608" s="50"/>
      <c r="O10608" s="36" t="s">
        <v>48</v>
      </c>
      <c r="R10608" s="36" t="s">
        <v>48</v>
      </c>
    </row>
    <row r="10609">
      <c r="H10609" s="50"/>
      <c r="I10609" s="50"/>
      <c r="O10609" s="36" t="s">
        <v>48</v>
      </c>
      <c r="R10609" s="36" t="s">
        <v>48</v>
      </c>
    </row>
    <row r="10610">
      <c r="H10610" s="50"/>
      <c r="I10610" s="50"/>
      <c r="O10610" s="36" t="s">
        <v>48</v>
      </c>
      <c r="R10610" s="36" t="s">
        <v>48</v>
      </c>
    </row>
    <row r="10611">
      <c r="H10611" s="50"/>
      <c r="I10611" s="50"/>
      <c r="O10611" s="36" t="s">
        <v>48</v>
      </c>
      <c r="R10611" s="36" t="s">
        <v>48</v>
      </c>
    </row>
    <row r="10612">
      <c r="H10612" s="50"/>
      <c r="I10612" s="50"/>
      <c r="O10612" s="36" t="s">
        <v>48</v>
      </c>
      <c r="R10612" s="36" t="s">
        <v>48</v>
      </c>
    </row>
    <row r="10613">
      <c r="H10613" s="50"/>
      <c r="I10613" s="50"/>
      <c r="O10613" s="36" t="s">
        <v>48</v>
      </c>
      <c r="R10613" s="36" t="s">
        <v>48</v>
      </c>
    </row>
    <row r="10614">
      <c r="H10614" s="50"/>
      <c r="I10614" s="50"/>
      <c r="O10614" s="36" t="s">
        <v>48</v>
      </c>
      <c r="R10614" s="36" t="s">
        <v>48</v>
      </c>
    </row>
    <row r="10615">
      <c r="H10615" s="50"/>
      <c r="I10615" s="50"/>
      <c r="O10615" s="36" t="s">
        <v>48</v>
      </c>
      <c r="R10615" s="36" t="s">
        <v>48</v>
      </c>
    </row>
    <row r="10616">
      <c r="H10616" s="50"/>
      <c r="I10616" s="50"/>
      <c r="O10616" s="36" t="s">
        <v>48</v>
      </c>
      <c r="R10616" s="36" t="s">
        <v>48</v>
      </c>
    </row>
    <row r="10617">
      <c r="H10617" s="50"/>
      <c r="I10617" s="50"/>
      <c r="O10617" s="36" t="s">
        <v>48</v>
      </c>
      <c r="R10617" s="36" t="s">
        <v>48</v>
      </c>
    </row>
    <row r="10618">
      <c r="H10618" s="50"/>
      <c r="I10618" s="50"/>
      <c r="O10618" s="36" t="s">
        <v>48</v>
      </c>
      <c r="R10618" s="36" t="s">
        <v>48</v>
      </c>
    </row>
    <row r="10619">
      <c r="H10619" s="50"/>
      <c r="I10619" s="50"/>
      <c r="O10619" s="36" t="s">
        <v>48</v>
      </c>
      <c r="R10619" s="36" t="s">
        <v>48</v>
      </c>
    </row>
    <row r="10620">
      <c r="H10620" s="50"/>
      <c r="I10620" s="50"/>
      <c r="O10620" s="36" t="s">
        <v>48</v>
      </c>
      <c r="R10620" s="36" t="s">
        <v>48</v>
      </c>
    </row>
    <row r="10621">
      <c r="H10621" s="50"/>
      <c r="I10621" s="50"/>
      <c r="O10621" s="36" t="s">
        <v>48</v>
      </c>
      <c r="R10621" s="36" t="s">
        <v>48</v>
      </c>
    </row>
    <row r="10622">
      <c r="H10622" s="50"/>
      <c r="I10622" s="50"/>
      <c r="O10622" s="36" t="s">
        <v>48</v>
      </c>
      <c r="R10622" s="36" t="s">
        <v>48</v>
      </c>
    </row>
    <row r="10623">
      <c r="H10623" s="50"/>
      <c r="I10623" s="50"/>
      <c r="O10623" s="36" t="s">
        <v>48</v>
      </c>
      <c r="R10623" s="36" t="s">
        <v>48</v>
      </c>
    </row>
    <row r="10624">
      <c r="H10624" s="50"/>
      <c r="I10624" s="50"/>
      <c r="O10624" s="36" t="s">
        <v>48</v>
      </c>
      <c r="R10624" s="36" t="s">
        <v>48</v>
      </c>
    </row>
    <row r="10625">
      <c r="H10625" s="50"/>
      <c r="I10625" s="50"/>
      <c r="O10625" s="36" t="s">
        <v>48</v>
      </c>
      <c r="R10625" s="36" t="s">
        <v>48</v>
      </c>
    </row>
    <row r="10626">
      <c r="H10626" s="50"/>
      <c r="I10626" s="50"/>
      <c r="O10626" s="36" t="s">
        <v>48</v>
      </c>
      <c r="R10626" s="36" t="s">
        <v>48</v>
      </c>
    </row>
    <row r="10627">
      <c r="H10627" s="50"/>
      <c r="I10627" s="50"/>
      <c r="O10627" s="36" t="s">
        <v>48</v>
      </c>
      <c r="R10627" s="36" t="s">
        <v>48</v>
      </c>
    </row>
    <row r="10628">
      <c r="H10628" s="50"/>
      <c r="I10628" s="50"/>
      <c r="O10628" s="36" t="s">
        <v>48</v>
      </c>
      <c r="R10628" s="36" t="s">
        <v>48</v>
      </c>
    </row>
    <row r="10629">
      <c r="H10629" s="50"/>
      <c r="I10629" s="50"/>
      <c r="O10629" s="36" t="s">
        <v>48</v>
      </c>
      <c r="R10629" s="36" t="s">
        <v>48</v>
      </c>
    </row>
    <row r="10630">
      <c r="H10630" s="50"/>
      <c r="I10630" s="50"/>
      <c r="O10630" s="36" t="s">
        <v>48</v>
      </c>
      <c r="R10630" s="36" t="s">
        <v>48</v>
      </c>
    </row>
    <row r="10631">
      <c r="H10631" s="50"/>
      <c r="I10631" s="50"/>
      <c r="O10631" s="36" t="s">
        <v>48</v>
      </c>
      <c r="R10631" s="36" t="s">
        <v>48</v>
      </c>
    </row>
    <row r="10632">
      <c r="H10632" s="50"/>
      <c r="I10632" s="50"/>
      <c r="O10632" s="36" t="s">
        <v>48</v>
      </c>
      <c r="R10632" s="36" t="s">
        <v>48</v>
      </c>
    </row>
    <row r="10633">
      <c r="H10633" s="50"/>
      <c r="I10633" s="50"/>
      <c r="O10633" s="36" t="s">
        <v>48</v>
      </c>
      <c r="R10633" s="36" t="s">
        <v>48</v>
      </c>
    </row>
    <row r="10634">
      <c r="H10634" s="50"/>
      <c r="I10634" s="50"/>
      <c r="O10634" s="36" t="s">
        <v>48</v>
      </c>
      <c r="R10634" s="36" t="s">
        <v>48</v>
      </c>
    </row>
    <row r="10635">
      <c r="H10635" s="50"/>
      <c r="I10635" s="50"/>
      <c r="O10635" s="36" t="s">
        <v>48</v>
      </c>
      <c r="R10635" s="36" t="s">
        <v>48</v>
      </c>
    </row>
    <row r="10636">
      <c r="H10636" s="50"/>
      <c r="I10636" s="50"/>
      <c r="O10636" s="36" t="s">
        <v>48</v>
      </c>
      <c r="R10636" s="36" t="s">
        <v>48</v>
      </c>
    </row>
    <row r="10637">
      <c r="H10637" s="50"/>
      <c r="I10637" s="50"/>
      <c r="O10637" s="36" t="s">
        <v>48</v>
      </c>
      <c r="R10637" s="36" t="s">
        <v>48</v>
      </c>
    </row>
    <row r="10638">
      <c r="H10638" s="50"/>
      <c r="I10638" s="50"/>
      <c r="O10638" s="36" t="s">
        <v>48</v>
      </c>
      <c r="R10638" s="36" t="s">
        <v>48</v>
      </c>
    </row>
    <row r="10639">
      <c r="H10639" s="50"/>
      <c r="I10639" s="50"/>
      <c r="O10639" s="36" t="s">
        <v>48</v>
      </c>
      <c r="R10639" s="36" t="s">
        <v>48</v>
      </c>
    </row>
    <row r="10640">
      <c r="H10640" s="50"/>
      <c r="I10640" s="50"/>
      <c r="O10640" s="36" t="s">
        <v>48</v>
      </c>
      <c r="R10640" s="36" t="s">
        <v>48</v>
      </c>
    </row>
    <row r="10641">
      <c r="H10641" s="50"/>
      <c r="I10641" s="50"/>
      <c r="O10641" s="36" t="s">
        <v>48</v>
      </c>
      <c r="R10641" s="36" t="s">
        <v>48</v>
      </c>
    </row>
    <row r="10642">
      <c r="H10642" s="50"/>
      <c r="I10642" s="50"/>
      <c r="O10642" s="36" t="s">
        <v>48</v>
      </c>
      <c r="R10642" s="36" t="s">
        <v>48</v>
      </c>
    </row>
    <row r="10643">
      <c r="H10643" s="50"/>
      <c r="I10643" s="50"/>
      <c r="O10643" s="36" t="s">
        <v>48</v>
      </c>
      <c r="R10643" s="36" t="s">
        <v>48</v>
      </c>
    </row>
    <row r="10644">
      <c r="H10644" s="50"/>
      <c r="I10644" s="50"/>
      <c r="O10644" s="36" t="s">
        <v>48</v>
      </c>
      <c r="R10644" s="36" t="s">
        <v>48</v>
      </c>
    </row>
    <row r="10645">
      <c r="H10645" s="50"/>
      <c r="I10645" s="50"/>
      <c r="O10645" s="36" t="s">
        <v>48</v>
      </c>
      <c r="R10645" s="36" t="s">
        <v>48</v>
      </c>
    </row>
    <row r="10646">
      <c r="H10646" s="50"/>
      <c r="I10646" s="50"/>
      <c r="O10646" s="36" t="s">
        <v>48</v>
      </c>
      <c r="R10646" s="36" t="s">
        <v>48</v>
      </c>
    </row>
    <row r="10647">
      <c r="H10647" s="50"/>
      <c r="I10647" s="50"/>
      <c r="O10647" s="36" t="s">
        <v>48</v>
      </c>
      <c r="R10647" s="36" t="s">
        <v>48</v>
      </c>
    </row>
    <row r="10648">
      <c r="H10648" s="50"/>
      <c r="I10648" s="50"/>
      <c r="O10648" s="36" t="s">
        <v>48</v>
      </c>
      <c r="R10648" s="36" t="s">
        <v>48</v>
      </c>
    </row>
    <row r="10649">
      <c r="H10649" s="50"/>
      <c r="I10649" s="50"/>
      <c r="O10649" s="36" t="s">
        <v>48</v>
      </c>
      <c r="R10649" s="36" t="s">
        <v>48</v>
      </c>
    </row>
    <row r="10650">
      <c r="H10650" s="50"/>
      <c r="I10650" s="50"/>
      <c r="O10650" s="36" t="s">
        <v>48</v>
      </c>
      <c r="R10650" s="36" t="s">
        <v>48</v>
      </c>
    </row>
    <row r="10651">
      <c r="H10651" s="50"/>
      <c r="I10651" s="50"/>
      <c r="O10651" s="36" t="s">
        <v>48</v>
      </c>
      <c r="R10651" s="36" t="s">
        <v>48</v>
      </c>
    </row>
    <row r="10652">
      <c r="H10652" s="50"/>
      <c r="I10652" s="50"/>
      <c r="O10652" s="36" t="s">
        <v>48</v>
      </c>
      <c r="R10652" s="36" t="s">
        <v>48</v>
      </c>
    </row>
    <row r="10653">
      <c r="H10653" s="50"/>
      <c r="I10653" s="50"/>
      <c r="O10653" s="36" t="s">
        <v>48</v>
      </c>
      <c r="R10653" s="36" t="s">
        <v>48</v>
      </c>
    </row>
    <row r="10654">
      <c r="H10654" s="50"/>
      <c r="I10654" s="50"/>
      <c r="O10654" s="36" t="s">
        <v>48</v>
      </c>
      <c r="R10654" s="36" t="s">
        <v>48</v>
      </c>
    </row>
    <row r="10655">
      <c r="H10655" s="50"/>
      <c r="I10655" s="50"/>
      <c r="O10655" s="36" t="s">
        <v>48</v>
      </c>
      <c r="R10655" s="36" t="s">
        <v>48</v>
      </c>
    </row>
    <row r="10656">
      <c r="H10656" s="50"/>
      <c r="I10656" s="50"/>
      <c r="O10656" s="36" t="s">
        <v>48</v>
      </c>
      <c r="R10656" s="36" t="s">
        <v>48</v>
      </c>
    </row>
    <row r="10657">
      <c r="H10657" s="50"/>
      <c r="I10657" s="50"/>
      <c r="O10657" s="36" t="s">
        <v>48</v>
      </c>
      <c r="R10657" s="36" t="s">
        <v>48</v>
      </c>
    </row>
    <row r="10658">
      <c r="H10658" s="50"/>
      <c r="I10658" s="50"/>
      <c r="O10658" s="36" t="s">
        <v>48</v>
      </c>
      <c r="R10658" s="36" t="s">
        <v>48</v>
      </c>
    </row>
    <row r="10659">
      <c r="H10659" s="50"/>
      <c r="I10659" s="50"/>
      <c r="O10659" s="36" t="s">
        <v>48</v>
      </c>
      <c r="R10659" s="36" t="s">
        <v>48</v>
      </c>
    </row>
    <row r="10660">
      <c r="H10660" s="50"/>
      <c r="I10660" s="50"/>
      <c r="O10660" s="36" t="s">
        <v>48</v>
      </c>
      <c r="R10660" s="36" t="s">
        <v>48</v>
      </c>
    </row>
    <row r="10661">
      <c r="H10661" s="50"/>
      <c r="I10661" s="50"/>
      <c r="O10661" s="36" t="s">
        <v>48</v>
      </c>
      <c r="R10661" s="36" t="s">
        <v>48</v>
      </c>
    </row>
    <row r="10662">
      <c r="H10662" s="50"/>
      <c r="I10662" s="50"/>
      <c r="O10662" s="36" t="s">
        <v>48</v>
      </c>
      <c r="R10662" s="36" t="s">
        <v>48</v>
      </c>
    </row>
    <row r="10663">
      <c r="H10663" s="50"/>
      <c r="I10663" s="50"/>
      <c r="O10663" s="36" t="s">
        <v>48</v>
      </c>
      <c r="R10663" s="36" t="s">
        <v>48</v>
      </c>
    </row>
    <row r="10664">
      <c r="H10664" s="50"/>
      <c r="I10664" s="50"/>
      <c r="O10664" s="36" t="s">
        <v>48</v>
      </c>
      <c r="R10664" s="36" t="s">
        <v>48</v>
      </c>
    </row>
    <row r="10665">
      <c r="H10665" s="50"/>
      <c r="I10665" s="50"/>
      <c r="O10665" s="36" t="s">
        <v>48</v>
      </c>
      <c r="R10665" s="36" t="s">
        <v>48</v>
      </c>
    </row>
    <row r="10666">
      <c r="H10666" s="50"/>
      <c r="I10666" s="50"/>
      <c r="O10666" s="36" t="s">
        <v>48</v>
      </c>
      <c r="R10666" s="36" t="s">
        <v>48</v>
      </c>
    </row>
    <row r="10667">
      <c r="H10667" s="50"/>
      <c r="I10667" s="50"/>
      <c r="O10667" s="36" t="s">
        <v>48</v>
      </c>
      <c r="R10667" s="36" t="s">
        <v>48</v>
      </c>
    </row>
    <row r="10668">
      <c r="H10668" s="50"/>
      <c r="I10668" s="50"/>
      <c r="O10668" s="36" t="s">
        <v>48</v>
      </c>
      <c r="R10668" s="36" t="s">
        <v>48</v>
      </c>
    </row>
    <row r="10669">
      <c r="H10669" s="50"/>
      <c r="I10669" s="50"/>
      <c r="O10669" s="36" t="s">
        <v>48</v>
      </c>
      <c r="R10669" s="36" t="s">
        <v>48</v>
      </c>
    </row>
    <row r="10670">
      <c r="H10670" s="50"/>
      <c r="I10670" s="50"/>
      <c r="O10670" s="36" t="s">
        <v>48</v>
      </c>
      <c r="R10670" s="36" t="s">
        <v>48</v>
      </c>
    </row>
    <row r="10671">
      <c r="H10671" s="50"/>
      <c r="I10671" s="50"/>
      <c r="O10671" s="36" t="s">
        <v>48</v>
      </c>
      <c r="R10671" s="36" t="s">
        <v>48</v>
      </c>
    </row>
    <row r="10672">
      <c r="H10672" s="50"/>
      <c r="I10672" s="50"/>
      <c r="O10672" s="36" t="s">
        <v>48</v>
      </c>
      <c r="R10672" s="36" t="s">
        <v>48</v>
      </c>
    </row>
    <row r="10673">
      <c r="H10673" s="50"/>
      <c r="I10673" s="50"/>
      <c r="O10673" s="36" t="s">
        <v>48</v>
      </c>
      <c r="R10673" s="36" t="s">
        <v>48</v>
      </c>
    </row>
    <row r="10674">
      <c r="H10674" s="50"/>
      <c r="I10674" s="50"/>
      <c r="O10674" s="36" t="s">
        <v>48</v>
      </c>
      <c r="R10674" s="36" t="s">
        <v>48</v>
      </c>
    </row>
    <row r="10675">
      <c r="H10675" s="50"/>
      <c r="I10675" s="50"/>
      <c r="O10675" s="36" t="s">
        <v>48</v>
      </c>
      <c r="R10675" s="36" t="s">
        <v>48</v>
      </c>
    </row>
    <row r="10676">
      <c r="H10676" s="50"/>
      <c r="I10676" s="50"/>
      <c r="O10676" s="36" t="s">
        <v>48</v>
      </c>
      <c r="R10676" s="36" t="s">
        <v>48</v>
      </c>
    </row>
    <row r="10677">
      <c r="H10677" s="50"/>
      <c r="I10677" s="50"/>
      <c r="O10677" s="36" t="s">
        <v>48</v>
      </c>
      <c r="R10677" s="36" t="s">
        <v>48</v>
      </c>
    </row>
    <row r="10678">
      <c r="H10678" s="50"/>
      <c r="I10678" s="50"/>
      <c r="O10678" s="36" t="s">
        <v>48</v>
      </c>
      <c r="R10678" s="36" t="s">
        <v>48</v>
      </c>
    </row>
    <row r="10679">
      <c r="H10679" s="50"/>
      <c r="I10679" s="50"/>
      <c r="O10679" s="36" t="s">
        <v>48</v>
      </c>
      <c r="R10679" s="36" t="s">
        <v>48</v>
      </c>
    </row>
    <row r="10680">
      <c r="H10680" s="50"/>
      <c r="I10680" s="50"/>
      <c r="O10680" s="36" t="s">
        <v>48</v>
      </c>
      <c r="R10680" s="36" t="s">
        <v>48</v>
      </c>
    </row>
    <row r="10681">
      <c r="H10681" s="50"/>
      <c r="I10681" s="50"/>
      <c r="O10681" s="36" t="s">
        <v>48</v>
      </c>
      <c r="R10681" s="36" t="s">
        <v>48</v>
      </c>
    </row>
    <row r="10682">
      <c r="H10682" s="50"/>
      <c r="I10682" s="50"/>
      <c r="O10682" s="36" t="s">
        <v>48</v>
      </c>
      <c r="R10682" s="36" t="s">
        <v>48</v>
      </c>
    </row>
    <row r="10683">
      <c r="H10683" s="50"/>
      <c r="I10683" s="50"/>
      <c r="O10683" s="36" t="s">
        <v>48</v>
      </c>
      <c r="R10683" s="36" t="s">
        <v>48</v>
      </c>
    </row>
    <row r="10684">
      <c r="H10684" s="50"/>
      <c r="I10684" s="50"/>
      <c r="O10684" s="36" t="s">
        <v>48</v>
      </c>
      <c r="R10684" s="36" t="s">
        <v>48</v>
      </c>
    </row>
    <row r="10685">
      <c r="H10685" s="50"/>
      <c r="I10685" s="50"/>
      <c r="O10685" s="36" t="s">
        <v>48</v>
      </c>
      <c r="R10685" s="36" t="s">
        <v>48</v>
      </c>
    </row>
    <row r="10686">
      <c r="H10686" s="50"/>
      <c r="I10686" s="50"/>
      <c r="O10686" s="36" t="s">
        <v>48</v>
      </c>
      <c r="R10686" s="36" t="s">
        <v>48</v>
      </c>
    </row>
    <row r="10687">
      <c r="H10687" s="50"/>
      <c r="I10687" s="50"/>
      <c r="O10687" s="36" t="s">
        <v>48</v>
      </c>
      <c r="R10687" s="36" t="s">
        <v>48</v>
      </c>
    </row>
    <row r="10688">
      <c r="H10688" s="50"/>
      <c r="I10688" s="50"/>
      <c r="O10688" s="36" t="s">
        <v>48</v>
      </c>
      <c r="R10688" s="36" t="s">
        <v>48</v>
      </c>
    </row>
    <row r="10689">
      <c r="H10689" s="50"/>
      <c r="I10689" s="50"/>
      <c r="O10689" s="36" t="s">
        <v>48</v>
      </c>
      <c r="R10689" s="36" t="s">
        <v>48</v>
      </c>
    </row>
    <row r="10690">
      <c r="H10690" s="50"/>
      <c r="I10690" s="50"/>
      <c r="O10690" s="36" t="s">
        <v>48</v>
      </c>
      <c r="R10690" s="36" t="s">
        <v>48</v>
      </c>
    </row>
    <row r="10691">
      <c r="H10691" s="50"/>
      <c r="I10691" s="50"/>
      <c r="O10691" s="36" t="s">
        <v>48</v>
      </c>
      <c r="R10691" s="36" t="s">
        <v>48</v>
      </c>
    </row>
    <row r="10692">
      <c r="H10692" s="50"/>
      <c r="I10692" s="50"/>
      <c r="O10692" s="36" t="s">
        <v>48</v>
      </c>
      <c r="R10692" s="36" t="s">
        <v>48</v>
      </c>
    </row>
    <row r="10693">
      <c r="H10693" s="50"/>
      <c r="I10693" s="50"/>
      <c r="O10693" s="36" t="s">
        <v>48</v>
      </c>
      <c r="R10693" s="36" t="s">
        <v>48</v>
      </c>
    </row>
    <row r="10694">
      <c r="H10694" s="50"/>
      <c r="I10694" s="50"/>
      <c r="O10694" s="36" t="s">
        <v>48</v>
      </c>
      <c r="R10694" s="36" t="s">
        <v>48</v>
      </c>
    </row>
    <row r="10695">
      <c r="H10695" s="50"/>
      <c r="I10695" s="50"/>
      <c r="O10695" s="36" t="s">
        <v>48</v>
      </c>
      <c r="R10695" s="36" t="s">
        <v>48</v>
      </c>
    </row>
    <row r="10696">
      <c r="H10696" s="50"/>
      <c r="I10696" s="50"/>
      <c r="O10696" s="36" t="s">
        <v>48</v>
      </c>
      <c r="R10696" s="36" t="s">
        <v>48</v>
      </c>
    </row>
    <row r="10697">
      <c r="H10697" s="50"/>
      <c r="I10697" s="50"/>
      <c r="O10697" s="36" t="s">
        <v>48</v>
      </c>
      <c r="R10697" s="36" t="s">
        <v>48</v>
      </c>
    </row>
    <row r="10698">
      <c r="H10698" s="50"/>
      <c r="I10698" s="50"/>
      <c r="O10698" s="36" t="s">
        <v>48</v>
      </c>
      <c r="R10698" s="36" t="s">
        <v>48</v>
      </c>
    </row>
    <row r="10699">
      <c r="H10699" s="50"/>
      <c r="I10699" s="50"/>
      <c r="O10699" s="36" t="s">
        <v>48</v>
      </c>
      <c r="R10699" s="36" t="s">
        <v>48</v>
      </c>
    </row>
    <row r="10700">
      <c r="H10700" s="50"/>
      <c r="I10700" s="50"/>
      <c r="O10700" s="36" t="s">
        <v>48</v>
      </c>
      <c r="R10700" s="36" t="s">
        <v>48</v>
      </c>
    </row>
    <row r="10701">
      <c r="H10701" s="50"/>
      <c r="I10701" s="50"/>
      <c r="O10701" s="36" t="s">
        <v>48</v>
      </c>
      <c r="R10701" s="36" t="s">
        <v>48</v>
      </c>
    </row>
    <row r="10702">
      <c r="H10702" s="50"/>
      <c r="I10702" s="50"/>
      <c r="O10702" s="36" t="s">
        <v>48</v>
      </c>
      <c r="R10702" s="36" t="s">
        <v>48</v>
      </c>
    </row>
    <row r="10703">
      <c r="H10703" s="50"/>
      <c r="I10703" s="50"/>
      <c r="O10703" s="36" t="s">
        <v>48</v>
      </c>
      <c r="R10703" s="36" t="s">
        <v>48</v>
      </c>
    </row>
    <row r="10704">
      <c r="H10704" s="50"/>
      <c r="I10704" s="50"/>
      <c r="O10704" s="36" t="s">
        <v>48</v>
      </c>
      <c r="R10704" s="36" t="s">
        <v>48</v>
      </c>
    </row>
    <row r="10705">
      <c r="H10705" s="50"/>
      <c r="I10705" s="50"/>
      <c r="O10705" s="36" t="s">
        <v>48</v>
      </c>
      <c r="R10705" s="36" t="s">
        <v>48</v>
      </c>
    </row>
    <row r="10706">
      <c r="H10706" s="50"/>
      <c r="I10706" s="50"/>
      <c r="O10706" s="36" t="s">
        <v>48</v>
      </c>
      <c r="R10706" s="36" t="s">
        <v>48</v>
      </c>
    </row>
    <row r="10707">
      <c r="H10707" s="50"/>
      <c r="I10707" s="50"/>
      <c r="O10707" s="36" t="s">
        <v>48</v>
      </c>
      <c r="R10707" s="36" t="s">
        <v>48</v>
      </c>
    </row>
    <row r="10708">
      <c r="H10708" s="50"/>
      <c r="I10708" s="50"/>
      <c r="O10708" s="36" t="s">
        <v>48</v>
      </c>
      <c r="R10708" s="36" t="s">
        <v>48</v>
      </c>
    </row>
    <row r="10709">
      <c r="H10709" s="50"/>
      <c r="I10709" s="50"/>
      <c r="O10709" s="36" t="s">
        <v>48</v>
      </c>
      <c r="R10709" s="36" t="s">
        <v>48</v>
      </c>
    </row>
    <row r="10710">
      <c r="H10710" s="50"/>
      <c r="I10710" s="50"/>
      <c r="O10710" s="36" t="s">
        <v>48</v>
      </c>
      <c r="R10710" s="36" t="s">
        <v>48</v>
      </c>
    </row>
    <row r="10711">
      <c r="H10711" s="50"/>
      <c r="I10711" s="50"/>
      <c r="O10711" s="36" t="s">
        <v>48</v>
      </c>
      <c r="R10711" s="36" t="s">
        <v>48</v>
      </c>
    </row>
    <row r="10712">
      <c r="H10712" s="50"/>
      <c r="I10712" s="50"/>
      <c r="O10712" s="36" t="s">
        <v>48</v>
      </c>
      <c r="R10712" s="36" t="s">
        <v>48</v>
      </c>
    </row>
    <row r="10713">
      <c r="H10713" s="50"/>
      <c r="I10713" s="50"/>
      <c r="O10713" s="36" t="s">
        <v>48</v>
      </c>
      <c r="R10713" s="36" t="s">
        <v>48</v>
      </c>
    </row>
    <row r="10714">
      <c r="H10714" s="50"/>
      <c r="I10714" s="50"/>
      <c r="O10714" s="36" t="s">
        <v>48</v>
      </c>
      <c r="R10714" s="36" t="s">
        <v>48</v>
      </c>
    </row>
    <row r="10715">
      <c r="H10715" s="50"/>
      <c r="I10715" s="50"/>
      <c r="O10715" s="36" t="s">
        <v>48</v>
      </c>
      <c r="R10715" s="36" t="s">
        <v>48</v>
      </c>
    </row>
    <row r="10716">
      <c r="H10716" s="50"/>
      <c r="I10716" s="50"/>
      <c r="O10716" s="36" t="s">
        <v>48</v>
      </c>
      <c r="R10716" s="36" t="s">
        <v>48</v>
      </c>
    </row>
    <row r="10717">
      <c r="H10717" s="50"/>
      <c r="I10717" s="50"/>
      <c r="O10717" s="36" t="s">
        <v>48</v>
      </c>
      <c r="R10717" s="36" t="s">
        <v>48</v>
      </c>
    </row>
    <row r="10718">
      <c r="H10718" s="50"/>
      <c r="I10718" s="50"/>
      <c r="O10718" s="36" t="s">
        <v>48</v>
      </c>
      <c r="R10718" s="36" t="s">
        <v>48</v>
      </c>
    </row>
    <row r="10719">
      <c r="H10719" s="50"/>
      <c r="I10719" s="50"/>
      <c r="O10719" s="36" t="s">
        <v>48</v>
      </c>
      <c r="R10719" s="36" t="s">
        <v>48</v>
      </c>
    </row>
    <row r="10720">
      <c r="H10720" s="50"/>
      <c r="I10720" s="50"/>
      <c r="O10720" s="36" t="s">
        <v>48</v>
      </c>
      <c r="R10720" s="36" t="s">
        <v>48</v>
      </c>
    </row>
    <row r="10721">
      <c r="H10721" s="50"/>
      <c r="I10721" s="50"/>
      <c r="O10721" s="36" t="s">
        <v>48</v>
      </c>
      <c r="R10721" s="36" t="s">
        <v>48</v>
      </c>
    </row>
    <row r="10722">
      <c r="H10722" s="50"/>
      <c r="I10722" s="50"/>
      <c r="O10722" s="36" t="s">
        <v>48</v>
      </c>
      <c r="R10722" s="36" t="s">
        <v>48</v>
      </c>
    </row>
    <row r="10723">
      <c r="H10723" s="50"/>
      <c r="I10723" s="50"/>
      <c r="O10723" s="36" t="s">
        <v>48</v>
      </c>
      <c r="R10723" s="36" t="s">
        <v>48</v>
      </c>
    </row>
    <row r="10724">
      <c r="H10724" s="50"/>
      <c r="I10724" s="50"/>
      <c r="O10724" s="36" t="s">
        <v>48</v>
      </c>
      <c r="R10724" s="36" t="s">
        <v>48</v>
      </c>
    </row>
    <row r="10725">
      <c r="H10725" s="50"/>
      <c r="I10725" s="50"/>
      <c r="O10725" s="36" t="s">
        <v>48</v>
      </c>
      <c r="R10725" s="36" t="s">
        <v>48</v>
      </c>
    </row>
    <row r="10726">
      <c r="H10726" s="50"/>
      <c r="I10726" s="50"/>
      <c r="O10726" s="36" t="s">
        <v>48</v>
      </c>
      <c r="R10726" s="36" t="s">
        <v>48</v>
      </c>
    </row>
    <row r="10727">
      <c r="H10727" s="50"/>
      <c r="I10727" s="50"/>
      <c r="O10727" s="36" t="s">
        <v>48</v>
      </c>
      <c r="R10727" s="36" t="s">
        <v>48</v>
      </c>
    </row>
    <row r="10728">
      <c r="H10728" s="50"/>
      <c r="I10728" s="50"/>
      <c r="O10728" s="36" t="s">
        <v>48</v>
      </c>
      <c r="R10728" s="36" t="s">
        <v>48</v>
      </c>
    </row>
    <row r="10729">
      <c r="H10729" s="50"/>
      <c r="I10729" s="50"/>
      <c r="O10729" s="36" t="s">
        <v>48</v>
      </c>
      <c r="R10729" s="36" t="s">
        <v>48</v>
      </c>
    </row>
    <row r="10730">
      <c r="H10730" s="50"/>
      <c r="I10730" s="50"/>
      <c r="O10730" s="36" t="s">
        <v>48</v>
      </c>
      <c r="R10730" s="36" t="s">
        <v>48</v>
      </c>
    </row>
    <row r="10731">
      <c r="H10731" s="50"/>
      <c r="I10731" s="50"/>
      <c r="O10731" s="36" t="s">
        <v>48</v>
      </c>
      <c r="R10731" s="36" t="s">
        <v>48</v>
      </c>
    </row>
    <row r="10732">
      <c r="H10732" s="50"/>
      <c r="I10732" s="50"/>
      <c r="O10732" s="36" t="s">
        <v>48</v>
      </c>
      <c r="R10732" s="36" t="s">
        <v>48</v>
      </c>
    </row>
    <row r="10733">
      <c r="H10733" s="50"/>
      <c r="I10733" s="50"/>
      <c r="O10733" s="36" t="s">
        <v>48</v>
      </c>
      <c r="R10733" s="36" t="s">
        <v>48</v>
      </c>
    </row>
    <row r="10734">
      <c r="H10734" s="50"/>
      <c r="I10734" s="50"/>
      <c r="O10734" s="36" t="s">
        <v>48</v>
      </c>
      <c r="R10734" s="36" t="s">
        <v>48</v>
      </c>
    </row>
    <row r="10735">
      <c r="H10735" s="50"/>
      <c r="I10735" s="50"/>
      <c r="O10735" s="36" t="s">
        <v>48</v>
      </c>
      <c r="R10735" s="36" t="s">
        <v>48</v>
      </c>
    </row>
    <row r="10736">
      <c r="H10736" s="50"/>
      <c r="I10736" s="50"/>
      <c r="O10736" s="36" t="s">
        <v>48</v>
      </c>
      <c r="R10736" s="36" t="s">
        <v>48</v>
      </c>
    </row>
    <row r="10737">
      <c r="H10737" s="50"/>
      <c r="I10737" s="50"/>
      <c r="O10737" s="36" t="s">
        <v>48</v>
      </c>
      <c r="R10737" s="36" t="s">
        <v>48</v>
      </c>
    </row>
    <row r="10738">
      <c r="H10738" s="50"/>
      <c r="I10738" s="50"/>
      <c r="O10738" s="36" t="s">
        <v>48</v>
      </c>
      <c r="R10738" s="36" t="s">
        <v>48</v>
      </c>
    </row>
    <row r="10739">
      <c r="H10739" s="50"/>
      <c r="I10739" s="50"/>
      <c r="O10739" s="36" t="s">
        <v>48</v>
      </c>
      <c r="R10739" s="36" t="s">
        <v>48</v>
      </c>
    </row>
    <row r="10740">
      <c r="H10740" s="50"/>
      <c r="I10740" s="50"/>
      <c r="O10740" s="36" t="s">
        <v>48</v>
      </c>
      <c r="R10740" s="36" t="s">
        <v>48</v>
      </c>
    </row>
    <row r="10741">
      <c r="H10741" s="50"/>
      <c r="I10741" s="50"/>
      <c r="O10741" s="36" t="s">
        <v>48</v>
      </c>
      <c r="R10741" s="36" t="s">
        <v>48</v>
      </c>
    </row>
    <row r="10742">
      <c r="H10742" s="50"/>
      <c r="I10742" s="50"/>
      <c r="O10742" s="36" t="s">
        <v>48</v>
      </c>
      <c r="R10742" s="36" t="s">
        <v>48</v>
      </c>
    </row>
    <row r="10743">
      <c r="H10743" s="50"/>
      <c r="I10743" s="50"/>
      <c r="O10743" s="36" t="s">
        <v>48</v>
      </c>
      <c r="R10743" s="36" t="s">
        <v>48</v>
      </c>
    </row>
    <row r="10744">
      <c r="H10744" s="50"/>
      <c r="I10744" s="50"/>
      <c r="O10744" s="36" t="s">
        <v>48</v>
      </c>
      <c r="R10744" s="36" t="s">
        <v>48</v>
      </c>
    </row>
    <row r="10745">
      <c r="H10745" s="50"/>
      <c r="I10745" s="50"/>
      <c r="O10745" s="36" t="s">
        <v>48</v>
      </c>
      <c r="R10745" s="36" t="s">
        <v>48</v>
      </c>
    </row>
    <row r="10746">
      <c r="H10746" s="50"/>
      <c r="I10746" s="50"/>
      <c r="O10746" s="36" t="s">
        <v>48</v>
      </c>
      <c r="R10746" s="36" t="s">
        <v>48</v>
      </c>
    </row>
    <row r="10747">
      <c r="H10747" s="50"/>
      <c r="I10747" s="50"/>
      <c r="O10747" s="36" t="s">
        <v>48</v>
      </c>
      <c r="R10747" s="36" t="s">
        <v>48</v>
      </c>
    </row>
    <row r="10748">
      <c r="H10748" s="50"/>
      <c r="I10748" s="50"/>
      <c r="O10748" s="36" t="s">
        <v>48</v>
      </c>
      <c r="R10748" s="36" t="s">
        <v>48</v>
      </c>
    </row>
    <row r="10749">
      <c r="H10749" s="50"/>
      <c r="I10749" s="50"/>
      <c r="O10749" s="36" t="s">
        <v>48</v>
      </c>
      <c r="R10749" s="36" t="s">
        <v>48</v>
      </c>
    </row>
    <row r="10750">
      <c r="H10750" s="50"/>
      <c r="I10750" s="50"/>
      <c r="O10750" s="36" t="s">
        <v>48</v>
      </c>
      <c r="R10750" s="36" t="s">
        <v>48</v>
      </c>
    </row>
    <row r="10751">
      <c r="H10751" s="50"/>
      <c r="I10751" s="50"/>
      <c r="O10751" s="36" t="s">
        <v>48</v>
      </c>
      <c r="R10751" s="36" t="s">
        <v>48</v>
      </c>
    </row>
    <row r="10752">
      <c r="H10752" s="50"/>
      <c r="I10752" s="50"/>
      <c r="O10752" s="36" t="s">
        <v>48</v>
      </c>
      <c r="R10752" s="36" t="s">
        <v>48</v>
      </c>
    </row>
    <row r="10753">
      <c r="H10753" s="50"/>
      <c r="I10753" s="50"/>
      <c r="O10753" s="36" t="s">
        <v>48</v>
      </c>
      <c r="R10753" s="36" t="s">
        <v>48</v>
      </c>
    </row>
    <row r="10754">
      <c r="H10754" s="50"/>
      <c r="I10754" s="50"/>
      <c r="O10754" s="36" t="s">
        <v>48</v>
      </c>
      <c r="R10754" s="36" t="s">
        <v>48</v>
      </c>
    </row>
    <row r="10755">
      <c r="H10755" s="50"/>
      <c r="I10755" s="50"/>
      <c r="O10755" s="36" t="s">
        <v>48</v>
      </c>
      <c r="R10755" s="36" t="s">
        <v>48</v>
      </c>
    </row>
    <row r="10756">
      <c r="H10756" s="50"/>
      <c r="I10756" s="50"/>
      <c r="O10756" s="36" t="s">
        <v>48</v>
      </c>
      <c r="R10756" s="36" t="s">
        <v>48</v>
      </c>
    </row>
    <row r="10757">
      <c r="H10757" s="50"/>
      <c r="I10757" s="50"/>
      <c r="O10757" s="36" t="s">
        <v>48</v>
      </c>
      <c r="R10757" s="36" t="s">
        <v>48</v>
      </c>
    </row>
    <row r="10758">
      <c r="H10758" s="50"/>
      <c r="I10758" s="50"/>
      <c r="O10758" s="36" t="s">
        <v>48</v>
      </c>
      <c r="R10758" s="36" t="s">
        <v>48</v>
      </c>
    </row>
    <row r="10759">
      <c r="H10759" s="50"/>
      <c r="I10759" s="50"/>
      <c r="O10759" s="36" t="s">
        <v>48</v>
      </c>
      <c r="R10759" s="36" t="s">
        <v>48</v>
      </c>
    </row>
    <row r="10760">
      <c r="H10760" s="50"/>
      <c r="I10760" s="50"/>
      <c r="O10760" s="36" t="s">
        <v>48</v>
      </c>
      <c r="R10760" s="36" t="s">
        <v>48</v>
      </c>
    </row>
    <row r="10761">
      <c r="H10761" s="50"/>
      <c r="I10761" s="50"/>
      <c r="O10761" s="36" t="s">
        <v>48</v>
      </c>
      <c r="R10761" s="36" t="s">
        <v>48</v>
      </c>
    </row>
    <row r="10762">
      <c r="H10762" s="50"/>
      <c r="I10762" s="50"/>
      <c r="O10762" s="36" t="s">
        <v>48</v>
      </c>
      <c r="R10762" s="36" t="s">
        <v>48</v>
      </c>
    </row>
    <row r="10763">
      <c r="H10763" s="50"/>
      <c r="I10763" s="50"/>
      <c r="O10763" s="36" t="s">
        <v>48</v>
      </c>
      <c r="R10763" s="36" t="s">
        <v>48</v>
      </c>
    </row>
    <row r="10764">
      <c r="H10764" s="50"/>
      <c r="I10764" s="50"/>
      <c r="O10764" s="36" t="s">
        <v>48</v>
      </c>
      <c r="R10764" s="36" t="s">
        <v>48</v>
      </c>
    </row>
    <row r="10765">
      <c r="H10765" s="50"/>
      <c r="I10765" s="50"/>
      <c r="O10765" s="36" t="s">
        <v>48</v>
      </c>
      <c r="R10765" s="36" t="s">
        <v>48</v>
      </c>
    </row>
    <row r="10766">
      <c r="H10766" s="50"/>
      <c r="I10766" s="50"/>
      <c r="O10766" s="36" t="s">
        <v>48</v>
      </c>
      <c r="R10766" s="36" t="s">
        <v>48</v>
      </c>
    </row>
    <row r="10767">
      <c r="H10767" s="50"/>
      <c r="I10767" s="50"/>
      <c r="O10767" s="36" t="s">
        <v>48</v>
      </c>
      <c r="R10767" s="36" t="s">
        <v>48</v>
      </c>
    </row>
    <row r="10768">
      <c r="H10768" s="50"/>
      <c r="I10768" s="50"/>
      <c r="O10768" s="36" t="s">
        <v>48</v>
      </c>
      <c r="R10768" s="36" t="s">
        <v>48</v>
      </c>
    </row>
    <row r="10769">
      <c r="H10769" s="50"/>
      <c r="I10769" s="50"/>
      <c r="O10769" s="36" t="s">
        <v>48</v>
      </c>
      <c r="R10769" s="36" t="s">
        <v>48</v>
      </c>
    </row>
    <row r="10770">
      <c r="H10770" s="50"/>
      <c r="I10770" s="50"/>
      <c r="O10770" s="36" t="s">
        <v>48</v>
      </c>
      <c r="R10770" s="36" t="s">
        <v>48</v>
      </c>
    </row>
    <row r="10771">
      <c r="H10771" s="50"/>
      <c r="I10771" s="50"/>
      <c r="O10771" s="36" t="s">
        <v>48</v>
      </c>
      <c r="R10771" s="36" t="s">
        <v>48</v>
      </c>
    </row>
    <row r="10772">
      <c r="H10772" s="50"/>
      <c r="I10772" s="50"/>
      <c r="O10772" s="36" t="s">
        <v>48</v>
      </c>
      <c r="R10772" s="36" t="s">
        <v>48</v>
      </c>
    </row>
    <row r="10773">
      <c r="H10773" s="50"/>
      <c r="I10773" s="50"/>
      <c r="O10773" s="36" t="s">
        <v>48</v>
      </c>
      <c r="R10773" s="36" t="s">
        <v>48</v>
      </c>
    </row>
    <row r="10774">
      <c r="H10774" s="50"/>
      <c r="I10774" s="50"/>
      <c r="O10774" s="36" t="s">
        <v>48</v>
      </c>
      <c r="R10774" s="36" t="s">
        <v>48</v>
      </c>
    </row>
    <row r="10775">
      <c r="H10775" s="50"/>
      <c r="I10775" s="50"/>
      <c r="O10775" s="36" t="s">
        <v>48</v>
      </c>
      <c r="R10775" s="36" t="s">
        <v>48</v>
      </c>
    </row>
    <row r="10776">
      <c r="H10776" s="50"/>
      <c r="I10776" s="50"/>
      <c r="O10776" s="36" t="s">
        <v>48</v>
      </c>
      <c r="R10776" s="36" t="s">
        <v>48</v>
      </c>
    </row>
    <row r="10777">
      <c r="H10777" s="50"/>
      <c r="I10777" s="50"/>
      <c r="O10777" s="36" t="s">
        <v>48</v>
      </c>
      <c r="R10777" s="36" t="s">
        <v>48</v>
      </c>
    </row>
    <row r="10778">
      <c r="H10778" s="50"/>
      <c r="I10778" s="50"/>
      <c r="O10778" s="36" t="s">
        <v>48</v>
      </c>
      <c r="R10778" s="36" t="s">
        <v>48</v>
      </c>
    </row>
    <row r="10779">
      <c r="H10779" s="50"/>
      <c r="I10779" s="50"/>
      <c r="O10779" s="36" t="s">
        <v>48</v>
      </c>
      <c r="R10779" s="36" t="s">
        <v>48</v>
      </c>
    </row>
    <row r="10780">
      <c r="H10780" s="50"/>
      <c r="I10780" s="50"/>
      <c r="O10780" s="36" t="s">
        <v>48</v>
      </c>
      <c r="R10780" s="36" t="s">
        <v>48</v>
      </c>
    </row>
    <row r="10781">
      <c r="H10781" s="50"/>
      <c r="I10781" s="50"/>
      <c r="O10781" s="36" t="s">
        <v>48</v>
      </c>
      <c r="R10781" s="36" t="s">
        <v>48</v>
      </c>
    </row>
    <row r="10782">
      <c r="H10782" s="50"/>
      <c r="I10782" s="50"/>
      <c r="O10782" s="36" t="s">
        <v>48</v>
      </c>
      <c r="R10782" s="36" t="s">
        <v>48</v>
      </c>
    </row>
    <row r="10783">
      <c r="H10783" s="50"/>
      <c r="I10783" s="50"/>
      <c r="O10783" s="36" t="s">
        <v>48</v>
      </c>
      <c r="R10783" s="36" t="s">
        <v>48</v>
      </c>
    </row>
    <row r="10784">
      <c r="H10784" s="50"/>
      <c r="I10784" s="50"/>
      <c r="O10784" s="36" t="s">
        <v>48</v>
      </c>
      <c r="R10784" s="36" t="s">
        <v>48</v>
      </c>
    </row>
    <row r="10785">
      <c r="H10785" s="50"/>
      <c r="I10785" s="50"/>
      <c r="O10785" s="36" t="s">
        <v>48</v>
      </c>
      <c r="R10785" s="36" t="s">
        <v>48</v>
      </c>
    </row>
    <row r="10786">
      <c r="H10786" s="50"/>
      <c r="I10786" s="50"/>
      <c r="O10786" s="36" t="s">
        <v>48</v>
      </c>
      <c r="R10786" s="36" t="s">
        <v>48</v>
      </c>
    </row>
    <row r="10787">
      <c r="H10787" s="50"/>
      <c r="I10787" s="50"/>
      <c r="O10787" s="36" t="s">
        <v>48</v>
      </c>
      <c r="R10787" s="36" t="s">
        <v>48</v>
      </c>
    </row>
    <row r="10788">
      <c r="H10788" s="50"/>
      <c r="I10788" s="50"/>
      <c r="O10788" s="36" t="s">
        <v>48</v>
      </c>
      <c r="R10788" s="36" t="s">
        <v>48</v>
      </c>
    </row>
    <row r="10789">
      <c r="H10789" s="50"/>
      <c r="I10789" s="50"/>
      <c r="O10789" s="36" t="s">
        <v>48</v>
      </c>
      <c r="R10789" s="36" t="s">
        <v>48</v>
      </c>
    </row>
    <row r="10790">
      <c r="H10790" s="50"/>
      <c r="I10790" s="50"/>
      <c r="O10790" s="36" t="s">
        <v>48</v>
      </c>
      <c r="R10790" s="36" t="s">
        <v>48</v>
      </c>
    </row>
    <row r="10791">
      <c r="H10791" s="50"/>
      <c r="I10791" s="50"/>
      <c r="O10791" s="36" t="s">
        <v>48</v>
      </c>
      <c r="R10791" s="36" t="s">
        <v>48</v>
      </c>
    </row>
    <row r="10792">
      <c r="H10792" s="50"/>
      <c r="I10792" s="50"/>
      <c r="O10792" s="36" t="s">
        <v>48</v>
      </c>
      <c r="R10792" s="36" t="s">
        <v>48</v>
      </c>
    </row>
    <row r="10793">
      <c r="H10793" s="50"/>
      <c r="I10793" s="50"/>
      <c r="O10793" s="36" t="s">
        <v>48</v>
      </c>
      <c r="R10793" s="36" t="s">
        <v>48</v>
      </c>
    </row>
    <row r="10794">
      <c r="H10794" s="50"/>
      <c r="I10794" s="50"/>
      <c r="O10794" s="36" t="s">
        <v>48</v>
      </c>
      <c r="R10794" s="36" t="s">
        <v>48</v>
      </c>
    </row>
    <row r="10795">
      <c r="H10795" s="50"/>
      <c r="I10795" s="50"/>
      <c r="O10795" s="36" t="s">
        <v>48</v>
      </c>
      <c r="R10795" s="36" t="s">
        <v>48</v>
      </c>
    </row>
    <row r="10796">
      <c r="H10796" s="50"/>
      <c r="I10796" s="50"/>
      <c r="O10796" s="36" t="s">
        <v>48</v>
      </c>
      <c r="R10796" s="36" t="s">
        <v>48</v>
      </c>
    </row>
    <row r="10797">
      <c r="H10797" s="50"/>
      <c r="I10797" s="50"/>
      <c r="O10797" s="36" t="s">
        <v>48</v>
      </c>
      <c r="R10797" s="36" t="s">
        <v>48</v>
      </c>
    </row>
    <row r="10798">
      <c r="H10798" s="50"/>
      <c r="I10798" s="50"/>
      <c r="O10798" s="36" t="s">
        <v>48</v>
      </c>
      <c r="R10798" s="36" t="s">
        <v>48</v>
      </c>
    </row>
    <row r="10799">
      <c r="H10799" s="50"/>
      <c r="I10799" s="50"/>
      <c r="O10799" s="36" t="s">
        <v>48</v>
      </c>
      <c r="R10799" s="36" t="s">
        <v>48</v>
      </c>
    </row>
    <row r="10800">
      <c r="H10800" s="50"/>
      <c r="I10800" s="50"/>
      <c r="O10800" s="36" t="s">
        <v>48</v>
      </c>
      <c r="R10800" s="36" t="s">
        <v>48</v>
      </c>
    </row>
    <row r="10801">
      <c r="H10801" s="50"/>
      <c r="I10801" s="50"/>
      <c r="O10801" s="36" t="s">
        <v>48</v>
      </c>
      <c r="R10801" s="36" t="s">
        <v>48</v>
      </c>
    </row>
    <row r="10802">
      <c r="H10802" s="50"/>
      <c r="I10802" s="50"/>
      <c r="O10802" s="36" t="s">
        <v>48</v>
      </c>
      <c r="R10802" s="36" t="s">
        <v>48</v>
      </c>
    </row>
    <row r="10803">
      <c r="H10803" s="50"/>
      <c r="I10803" s="50"/>
      <c r="O10803" s="36" t="s">
        <v>48</v>
      </c>
      <c r="R10803" s="36" t="s">
        <v>48</v>
      </c>
    </row>
    <row r="10804">
      <c r="H10804" s="50"/>
      <c r="I10804" s="50"/>
      <c r="O10804" s="36" t="s">
        <v>48</v>
      </c>
      <c r="R10804" s="36" t="s">
        <v>48</v>
      </c>
    </row>
    <row r="10805">
      <c r="H10805" s="50"/>
      <c r="I10805" s="50"/>
      <c r="O10805" s="36" t="s">
        <v>48</v>
      </c>
      <c r="R10805" s="36" t="s">
        <v>48</v>
      </c>
    </row>
    <row r="10806">
      <c r="H10806" s="50"/>
      <c r="I10806" s="50"/>
      <c r="O10806" s="36" t="s">
        <v>48</v>
      </c>
      <c r="R10806" s="36" t="s">
        <v>48</v>
      </c>
    </row>
    <row r="10807">
      <c r="H10807" s="50"/>
      <c r="I10807" s="50"/>
      <c r="O10807" s="36" t="s">
        <v>48</v>
      </c>
      <c r="R10807" s="36" t="s">
        <v>48</v>
      </c>
    </row>
    <row r="10808">
      <c r="H10808" s="50"/>
      <c r="I10808" s="50"/>
      <c r="O10808" s="36" t="s">
        <v>48</v>
      </c>
      <c r="R10808" s="36" t="s">
        <v>48</v>
      </c>
    </row>
    <row r="10809">
      <c r="H10809" s="50"/>
      <c r="I10809" s="50"/>
      <c r="O10809" s="36" t="s">
        <v>48</v>
      </c>
      <c r="R10809" s="36" t="s">
        <v>48</v>
      </c>
    </row>
    <row r="10810">
      <c r="H10810" s="50"/>
      <c r="I10810" s="50"/>
      <c r="O10810" s="36" t="s">
        <v>48</v>
      </c>
      <c r="R10810" s="36" t="s">
        <v>48</v>
      </c>
    </row>
    <row r="10811">
      <c r="H10811" s="50"/>
      <c r="I10811" s="50"/>
      <c r="O10811" s="36" t="s">
        <v>48</v>
      </c>
      <c r="R10811" s="36" t="s">
        <v>48</v>
      </c>
    </row>
    <row r="10812">
      <c r="H10812" s="50"/>
      <c r="I10812" s="50"/>
      <c r="O10812" s="36" t="s">
        <v>48</v>
      </c>
      <c r="R10812" s="36" t="s">
        <v>48</v>
      </c>
    </row>
    <row r="10813">
      <c r="H10813" s="50"/>
      <c r="I10813" s="50"/>
      <c r="O10813" s="36" t="s">
        <v>48</v>
      </c>
      <c r="R10813" s="36" t="s">
        <v>48</v>
      </c>
    </row>
    <row r="10814">
      <c r="H10814" s="50"/>
      <c r="I10814" s="50"/>
      <c r="O10814" s="36" t="s">
        <v>48</v>
      </c>
      <c r="R10814" s="36" t="s">
        <v>48</v>
      </c>
    </row>
    <row r="10815">
      <c r="H10815" s="50"/>
      <c r="I10815" s="50"/>
      <c r="O10815" s="36" t="s">
        <v>48</v>
      </c>
      <c r="R10815" s="36" t="s">
        <v>48</v>
      </c>
    </row>
    <row r="10816">
      <c r="H10816" s="50"/>
      <c r="I10816" s="50"/>
      <c r="O10816" s="36" t="s">
        <v>48</v>
      </c>
      <c r="R10816" s="36" t="s">
        <v>48</v>
      </c>
    </row>
    <row r="10817">
      <c r="H10817" s="50"/>
      <c r="I10817" s="50"/>
      <c r="O10817" s="36" t="s">
        <v>48</v>
      </c>
      <c r="R10817" s="36" t="s">
        <v>48</v>
      </c>
    </row>
    <row r="10818">
      <c r="H10818" s="50"/>
      <c r="I10818" s="50"/>
      <c r="O10818" s="36" t="s">
        <v>48</v>
      </c>
      <c r="R10818" s="36" t="s">
        <v>48</v>
      </c>
    </row>
    <row r="10819">
      <c r="H10819" s="50"/>
      <c r="I10819" s="50"/>
      <c r="O10819" s="36" t="s">
        <v>48</v>
      </c>
      <c r="R10819" s="36" t="s">
        <v>48</v>
      </c>
    </row>
    <row r="10820">
      <c r="H10820" s="50"/>
      <c r="I10820" s="50"/>
      <c r="O10820" s="36" t="s">
        <v>48</v>
      </c>
      <c r="R10820" s="36" t="s">
        <v>48</v>
      </c>
    </row>
    <row r="10821">
      <c r="H10821" s="50"/>
      <c r="I10821" s="50"/>
      <c r="O10821" s="36" t="s">
        <v>48</v>
      </c>
      <c r="R10821" s="36" t="s">
        <v>48</v>
      </c>
    </row>
    <row r="10822">
      <c r="H10822" s="50"/>
      <c r="I10822" s="50"/>
      <c r="O10822" s="36" t="s">
        <v>48</v>
      </c>
      <c r="R10822" s="36" t="s">
        <v>48</v>
      </c>
    </row>
    <row r="10823">
      <c r="H10823" s="50"/>
      <c r="I10823" s="50"/>
      <c r="O10823" s="36" t="s">
        <v>48</v>
      </c>
      <c r="R10823" s="36" t="s">
        <v>48</v>
      </c>
    </row>
    <row r="10824">
      <c r="H10824" s="50"/>
      <c r="I10824" s="50"/>
      <c r="O10824" s="36" t="s">
        <v>48</v>
      </c>
      <c r="R10824" s="36" t="s">
        <v>48</v>
      </c>
    </row>
    <row r="10825">
      <c r="H10825" s="50"/>
      <c r="I10825" s="50"/>
      <c r="O10825" s="36" t="s">
        <v>48</v>
      </c>
      <c r="R10825" s="36" t="s">
        <v>48</v>
      </c>
    </row>
    <row r="10826">
      <c r="H10826" s="50"/>
      <c r="I10826" s="50"/>
      <c r="O10826" s="36" t="s">
        <v>48</v>
      </c>
      <c r="R10826" s="36" t="s">
        <v>48</v>
      </c>
    </row>
    <row r="10827">
      <c r="H10827" s="50"/>
      <c r="I10827" s="50"/>
      <c r="O10827" s="36" t="s">
        <v>48</v>
      </c>
      <c r="R10827" s="36" t="s">
        <v>48</v>
      </c>
    </row>
    <row r="10828">
      <c r="H10828" s="50"/>
      <c r="I10828" s="50"/>
      <c r="O10828" s="36" t="s">
        <v>48</v>
      </c>
      <c r="R10828" s="36" t="s">
        <v>48</v>
      </c>
    </row>
    <row r="10829">
      <c r="H10829" s="50"/>
      <c r="I10829" s="50"/>
      <c r="O10829" s="36" t="s">
        <v>48</v>
      </c>
      <c r="R10829" s="36" t="s">
        <v>48</v>
      </c>
    </row>
    <row r="10830">
      <c r="H10830" s="50"/>
      <c r="I10830" s="50"/>
      <c r="O10830" s="36" t="s">
        <v>48</v>
      </c>
      <c r="R10830" s="36" t="s">
        <v>48</v>
      </c>
    </row>
    <row r="10831">
      <c r="H10831" s="50"/>
      <c r="I10831" s="50"/>
      <c r="O10831" s="36" t="s">
        <v>48</v>
      </c>
      <c r="R10831" s="36" t="s">
        <v>48</v>
      </c>
    </row>
    <row r="10832">
      <c r="H10832" s="50"/>
      <c r="I10832" s="50"/>
      <c r="O10832" s="36" t="s">
        <v>48</v>
      </c>
      <c r="R10832" s="36" t="s">
        <v>48</v>
      </c>
    </row>
    <row r="10833">
      <c r="H10833" s="50"/>
      <c r="I10833" s="50"/>
      <c r="O10833" s="36" t="s">
        <v>48</v>
      </c>
      <c r="R10833" s="36" t="s">
        <v>48</v>
      </c>
    </row>
    <row r="10834">
      <c r="H10834" s="50"/>
      <c r="I10834" s="50"/>
      <c r="O10834" s="36" t="s">
        <v>48</v>
      </c>
      <c r="R10834" s="36" t="s">
        <v>48</v>
      </c>
    </row>
    <row r="10835">
      <c r="H10835" s="50"/>
      <c r="I10835" s="50"/>
      <c r="O10835" s="36" t="s">
        <v>48</v>
      </c>
      <c r="R10835" s="36" t="s">
        <v>48</v>
      </c>
    </row>
    <row r="10836">
      <c r="H10836" s="50"/>
      <c r="I10836" s="50"/>
      <c r="O10836" s="36" t="s">
        <v>48</v>
      </c>
      <c r="R10836" s="36" t="s">
        <v>48</v>
      </c>
    </row>
    <row r="10837">
      <c r="H10837" s="50"/>
      <c r="I10837" s="50"/>
      <c r="O10837" s="36" t="s">
        <v>48</v>
      </c>
      <c r="R10837" s="36" t="s">
        <v>48</v>
      </c>
    </row>
    <row r="10838">
      <c r="H10838" s="50"/>
      <c r="I10838" s="50"/>
      <c r="O10838" s="36" t="s">
        <v>48</v>
      </c>
      <c r="R10838" s="36" t="s">
        <v>48</v>
      </c>
    </row>
    <row r="10839">
      <c r="H10839" s="50"/>
      <c r="I10839" s="50"/>
      <c r="O10839" s="36" t="s">
        <v>48</v>
      </c>
      <c r="R10839" s="36" t="s">
        <v>48</v>
      </c>
    </row>
    <row r="10840">
      <c r="H10840" s="50"/>
      <c r="I10840" s="50"/>
      <c r="O10840" s="36" t="s">
        <v>48</v>
      </c>
      <c r="R10840" s="36" t="s">
        <v>48</v>
      </c>
    </row>
    <row r="10841">
      <c r="H10841" s="50"/>
      <c r="I10841" s="50"/>
      <c r="O10841" s="36" t="s">
        <v>48</v>
      </c>
      <c r="R10841" s="36" t="s">
        <v>48</v>
      </c>
    </row>
    <row r="10842">
      <c r="H10842" s="50"/>
      <c r="I10842" s="50"/>
      <c r="O10842" s="36" t="s">
        <v>48</v>
      </c>
      <c r="R10842" s="36" t="s">
        <v>48</v>
      </c>
    </row>
    <row r="10843">
      <c r="H10843" s="50"/>
      <c r="I10843" s="50"/>
      <c r="O10843" s="36" t="s">
        <v>48</v>
      </c>
      <c r="R10843" s="36" t="s">
        <v>48</v>
      </c>
    </row>
    <row r="10844">
      <c r="H10844" s="50"/>
      <c r="I10844" s="50"/>
      <c r="O10844" s="36" t="s">
        <v>48</v>
      </c>
      <c r="R10844" s="36" t="s">
        <v>48</v>
      </c>
    </row>
    <row r="10845">
      <c r="H10845" s="50"/>
      <c r="I10845" s="50"/>
      <c r="O10845" s="36" t="s">
        <v>48</v>
      </c>
      <c r="R10845" s="36" t="s">
        <v>48</v>
      </c>
    </row>
    <row r="10846">
      <c r="H10846" s="50"/>
      <c r="I10846" s="50"/>
      <c r="O10846" s="36" t="s">
        <v>48</v>
      </c>
      <c r="R10846" s="36" t="s">
        <v>48</v>
      </c>
    </row>
    <row r="10847">
      <c r="H10847" s="50"/>
      <c r="I10847" s="50"/>
      <c r="O10847" s="36" t="s">
        <v>48</v>
      </c>
      <c r="R10847" s="36" t="s">
        <v>48</v>
      </c>
    </row>
    <row r="10848">
      <c r="H10848" s="50"/>
      <c r="I10848" s="50"/>
      <c r="O10848" s="36" t="s">
        <v>48</v>
      </c>
      <c r="R10848" s="36" t="s">
        <v>48</v>
      </c>
    </row>
    <row r="10849">
      <c r="H10849" s="50"/>
      <c r="I10849" s="50"/>
      <c r="O10849" s="36" t="s">
        <v>48</v>
      </c>
      <c r="R10849" s="36" t="s">
        <v>48</v>
      </c>
    </row>
    <row r="10850">
      <c r="H10850" s="50"/>
      <c r="I10850" s="50"/>
      <c r="O10850" s="36" t="s">
        <v>48</v>
      </c>
      <c r="R10850" s="36" t="s">
        <v>48</v>
      </c>
    </row>
    <row r="10851">
      <c r="H10851" s="50"/>
      <c r="I10851" s="50"/>
      <c r="O10851" s="36" t="s">
        <v>48</v>
      </c>
      <c r="R10851" s="36" t="s">
        <v>48</v>
      </c>
    </row>
    <row r="10852">
      <c r="H10852" s="50"/>
      <c r="I10852" s="50"/>
      <c r="O10852" s="36" t="s">
        <v>48</v>
      </c>
      <c r="R10852" s="36" t="s">
        <v>48</v>
      </c>
    </row>
    <row r="10853">
      <c r="H10853" s="50"/>
      <c r="I10853" s="50"/>
      <c r="O10853" s="36" t="s">
        <v>48</v>
      </c>
      <c r="R10853" s="36" t="s">
        <v>48</v>
      </c>
    </row>
    <row r="10854">
      <c r="H10854" s="50"/>
      <c r="I10854" s="50"/>
      <c r="O10854" s="36" t="s">
        <v>48</v>
      </c>
      <c r="R10854" s="36" t="s">
        <v>48</v>
      </c>
    </row>
    <row r="10855">
      <c r="H10855" s="50"/>
      <c r="I10855" s="50"/>
      <c r="O10855" s="36" t="s">
        <v>48</v>
      </c>
      <c r="R10855" s="36" t="s">
        <v>48</v>
      </c>
    </row>
    <row r="10856">
      <c r="H10856" s="50"/>
      <c r="I10856" s="50"/>
      <c r="O10856" s="36" t="s">
        <v>48</v>
      </c>
      <c r="R10856" s="36" t="s">
        <v>48</v>
      </c>
    </row>
    <row r="10857">
      <c r="H10857" s="50"/>
      <c r="I10857" s="50"/>
      <c r="O10857" s="36" t="s">
        <v>48</v>
      </c>
      <c r="R10857" s="36" t="s">
        <v>48</v>
      </c>
    </row>
    <row r="10858">
      <c r="H10858" s="50"/>
      <c r="I10858" s="50"/>
      <c r="O10858" s="36" t="s">
        <v>48</v>
      </c>
      <c r="R10858" s="36" t="s">
        <v>48</v>
      </c>
    </row>
    <row r="10859">
      <c r="H10859" s="50"/>
      <c r="I10859" s="50"/>
      <c r="O10859" s="36" t="s">
        <v>48</v>
      </c>
      <c r="R10859" s="36" t="s">
        <v>48</v>
      </c>
    </row>
    <row r="10860">
      <c r="H10860" s="50"/>
      <c r="I10860" s="50"/>
      <c r="O10860" s="36" t="s">
        <v>48</v>
      </c>
      <c r="R10860" s="36" t="s">
        <v>48</v>
      </c>
    </row>
    <row r="10861">
      <c r="H10861" s="50"/>
      <c r="I10861" s="50"/>
      <c r="O10861" s="36" t="s">
        <v>48</v>
      </c>
      <c r="R10861" s="36" t="s">
        <v>48</v>
      </c>
    </row>
    <row r="10862">
      <c r="H10862" s="50"/>
      <c r="I10862" s="50"/>
      <c r="O10862" s="36" t="s">
        <v>48</v>
      </c>
      <c r="R10862" s="36" t="s">
        <v>48</v>
      </c>
    </row>
    <row r="10863">
      <c r="H10863" s="50"/>
      <c r="I10863" s="50"/>
      <c r="O10863" s="36" t="s">
        <v>48</v>
      </c>
      <c r="R10863" s="36" t="s">
        <v>48</v>
      </c>
    </row>
    <row r="10864">
      <c r="H10864" s="50"/>
      <c r="I10864" s="50"/>
      <c r="O10864" s="36" t="s">
        <v>48</v>
      </c>
      <c r="R10864" s="36" t="s">
        <v>48</v>
      </c>
    </row>
    <row r="10865">
      <c r="H10865" s="50"/>
      <c r="I10865" s="50"/>
      <c r="O10865" s="36" t="s">
        <v>48</v>
      </c>
      <c r="R10865" s="36" t="s">
        <v>48</v>
      </c>
    </row>
    <row r="10866">
      <c r="H10866" s="50"/>
      <c r="I10866" s="50"/>
      <c r="O10866" s="36" t="s">
        <v>48</v>
      </c>
      <c r="R10866" s="36" t="s">
        <v>48</v>
      </c>
    </row>
    <row r="10867">
      <c r="H10867" s="50"/>
      <c r="I10867" s="50"/>
      <c r="O10867" s="36" t="s">
        <v>48</v>
      </c>
      <c r="R10867" s="36" t="s">
        <v>48</v>
      </c>
    </row>
    <row r="10868">
      <c r="H10868" s="50"/>
      <c r="I10868" s="50"/>
      <c r="O10868" s="36" t="s">
        <v>48</v>
      </c>
      <c r="R10868" s="36" t="s">
        <v>48</v>
      </c>
    </row>
    <row r="10869">
      <c r="H10869" s="50"/>
      <c r="I10869" s="50"/>
      <c r="O10869" s="36" t="s">
        <v>48</v>
      </c>
      <c r="R10869" s="36" t="s">
        <v>48</v>
      </c>
    </row>
    <row r="10870">
      <c r="H10870" s="50"/>
      <c r="I10870" s="50"/>
      <c r="O10870" s="36" t="s">
        <v>48</v>
      </c>
      <c r="R10870" s="36" t="s">
        <v>48</v>
      </c>
    </row>
    <row r="10871">
      <c r="H10871" s="50"/>
      <c r="I10871" s="50"/>
      <c r="O10871" s="36" t="s">
        <v>48</v>
      </c>
      <c r="R10871" s="36" t="s">
        <v>48</v>
      </c>
    </row>
    <row r="10872">
      <c r="H10872" s="50"/>
      <c r="I10872" s="50"/>
      <c r="O10872" s="36" t="s">
        <v>48</v>
      </c>
      <c r="R10872" s="36" t="s">
        <v>48</v>
      </c>
    </row>
    <row r="10873">
      <c r="H10873" s="50"/>
      <c r="I10873" s="50"/>
      <c r="O10873" s="36" t="s">
        <v>48</v>
      </c>
      <c r="R10873" s="36" t="s">
        <v>48</v>
      </c>
    </row>
    <row r="10874">
      <c r="H10874" s="50"/>
      <c r="I10874" s="50"/>
      <c r="O10874" s="36" t="s">
        <v>48</v>
      </c>
      <c r="R10874" s="36" t="s">
        <v>48</v>
      </c>
    </row>
    <row r="10875">
      <c r="H10875" s="50"/>
      <c r="I10875" s="50"/>
      <c r="O10875" s="36" t="s">
        <v>48</v>
      </c>
      <c r="R10875" s="36" t="s">
        <v>48</v>
      </c>
    </row>
    <row r="10876">
      <c r="H10876" s="50"/>
      <c r="I10876" s="50"/>
      <c r="O10876" s="36" t="s">
        <v>48</v>
      </c>
      <c r="R10876" s="36" t="s">
        <v>48</v>
      </c>
    </row>
    <row r="10877">
      <c r="H10877" s="50"/>
      <c r="I10877" s="50"/>
      <c r="O10877" s="36" t="s">
        <v>48</v>
      </c>
      <c r="R10877" s="36" t="s">
        <v>48</v>
      </c>
    </row>
    <row r="10878">
      <c r="H10878" s="50"/>
      <c r="I10878" s="50"/>
      <c r="O10878" s="36" t="s">
        <v>48</v>
      </c>
      <c r="R10878" s="36" t="s">
        <v>48</v>
      </c>
    </row>
    <row r="10879">
      <c r="H10879" s="50"/>
      <c r="I10879" s="50"/>
      <c r="O10879" s="36" t="s">
        <v>48</v>
      </c>
      <c r="R10879" s="36" t="s">
        <v>48</v>
      </c>
    </row>
    <row r="10880">
      <c r="H10880" s="50"/>
      <c r="I10880" s="50"/>
      <c r="O10880" s="36" t="s">
        <v>48</v>
      </c>
      <c r="R10880" s="36" t="s">
        <v>48</v>
      </c>
    </row>
    <row r="10881">
      <c r="H10881" s="50"/>
      <c r="I10881" s="50"/>
      <c r="O10881" s="36" t="s">
        <v>48</v>
      </c>
      <c r="R10881" s="36" t="s">
        <v>48</v>
      </c>
    </row>
    <row r="10882">
      <c r="H10882" s="50"/>
      <c r="I10882" s="50"/>
      <c r="O10882" s="36" t="s">
        <v>48</v>
      </c>
      <c r="R10882" s="36" t="s">
        <v>48</v>
      </c>
    </row>
    <row r="10883">
      <c r="H10883" s="50"/>
      <c r="I10883" s="50"/>
      <c r="O10883" s="36" t="s">
        <v>48</v>
      </c>
      <c r="R10883" s="36" t="s">
        <v>48</v>
      </c>
    </row>
    <row r="10884">
      <c r="H10884" s="50"/>
      <c r="I10884" s="50"/>
      <c r="O10884" s="36" t="s">
        <v>48</v>
      </c>
      <c r="R10884" s="36" t="s">
        <v>48</v>
      </c>
    </row>
    <row r="10885">
      <c r="H10885" s="50"/>
      <c r="I10885" s="50"/>
      <c r="O10885" s="36" t="s">
        <v>48</v>
      </c>
      <c r="R10885" s="36" t="s">
        <v>48</v>
      </c>
    </row>
    <row r="10886">
      <c r="H10886" s="50"/>
      <c r="I10886" s="50"/>
      <c r="O10886" s="36" t="s">
        <v>48</v>
      </c>
      <c r="R10886" s="36" t="s">
        <v>48</v>
      </c>
    </row>
    <row r="10887">
      <c r="H10887" s="50"/>
      <c r="I10887" s="50"/>
      <c r="O10887" s="36" t="s">
        <v>48</v>
      </c>
      <c r="R10887" s="36" t="s">
        <v>48</v>
      </c>
    </row>
    <row r="10888">
      <c r="H10888" s="50"/>
      <c r="I10888" s="50"/>
      <c r="O10888" s="36" t="s">
        <v>48</v>
      </c>
      <c r="R10888" s="36" t="s">
        <v>48</v>
      </c>
    </row>
    <row r="10889">
      <c r="H10889" s="50"/>
      <c r="I10889" s="50"/>
      <c r="O10889" s="36" t="s">
        <v>48</v>
      </c>
      <c r="R10889" s="36" t="s">
        <v>48</v>
      </c>
    </row>
    <row r="10890">
      <c r="H10890" s="50"/>
      <c r="I10890" s="50"/>
      <c r="O10890" s="36" t="s">
        <v>48</v>
      </c>
      <c r="R10890" s="36" t="s">
        <v>48</v>
      </c>
    </row>
    <row r="10891">
      <c r="H10891" s="50"/>
      <c r="I10891" s="50"/>
      <c r="O10891" s="36" t="s">
        <v>48</v>
      </c>
      <c r="R10891" s="36" t="s">
        <v>48</v>
      </c>
    </row>
    <row r="10892">
      <c r="H10892" s="50"/>
      <c r="I10892" s="50"/>
      <c r="O10892" s="36" t="s">
        <v>48</v>
      </c>
      <c r="R10892" s="36" t="s">
        <v>48</v>
      </c>
    </row>
    <row r="10893">
      <c r="H10893" s="50"/>
      <c r="I10893" s="50"/>
      <c r="O10893" s="36" t="s">
        <v>48</v>
      </c>
      <c r="R10893" s="36" t="s">
        <v>48</v>
      </c>
    </row>
    <row r="10894">
      <c r="H10894" s="50"/>
      <c r="I10894" s="50"/>
      <c r="O10894" s="36" t="s">
        <v>48</v>
      </c>
      <c r="R10894" s="36" t="s">
        <v>48</v>
      </c>
    </row>
    <row r="10895">
      <c r="H10895" s="50"/>
      <c r="I10895" s="50"/>
      <c r="O10895" s="36" t="s">
        <v>48</v>
      </c>
      <c r="R10895" s="36" t="s">
        <v>48</v>
      </c>
    </row>
    <row r="10896">
      <c r="H10896" s="50"/>
      <c r="I10896" s="50"/>
      <c r="O10896" s="36" t="s">
        <v>48</v>
      </c>
      <c r="R10896" s="36" t="s">
        <v>48</v>
      </c>
    </row>
    <row r="10897">
      <c r="H10897" s="50"/>
      <c r="I10897" s="50"/>
      <c r="O10897" s="36" t="s">
        <v>48</v>
      </c>
      <c r="R10897" s="36" t="s">
        <v>48</v>
      </c>
    </row>
    <row r="10898">
      <c r="H10898" s="50"/>
      <c r="I10898" s="50"/>
      <c r="O10898" s="36" t="s">
        <v>48</v>
      </c>
      <c r="R10898" s="36" t="s">
        <v>48</v>
      </c>
    </row>
    <row r="10899">
      <c r="H10899" s="50"/>
      <c r="I10899" s="50"/>
      <c r="O10899" s="36" t="s">
        <v>48</v>
      </c>
      <c r="R10899" s="36" t="s">
        <v>48</v>
      </c>
    </row>
    <row r="10900">
      <c r="H10900" s="50"/>
      <c r="I10900" s="50"/>
      <c r="O10900" s="36" t="s">
        <v>48</v>
      </c>
      <c r="R10900" s="36" t="s">
        <v>48</v>
      </c>
    </row>
    <row r="10901">
      <c r="H10901" s="50"/>
      <c r="I10901" s="50"/>
      <c r="O10901" s="36" t="s">
        <v>48</v>
      </c>
      <c r="R10901" s="36" t="s">
        <v>48</v>
      </c>
    </row>
    <row r="10902">
      <c r="H10902" s="50"/>
      <c r="I10902" s="50"/>
      <c r="O10902" s="36" t="s">
        <v>48</v>
      </c>
      <c r="R10902" s="36" t="s">
        <v>48</v>
      </c>
    </row>
    <row r="10903">
      <c r="H10903" s="50"/>
      <c r="I10903" s="50"/>
      <c r="O10903" s="36" t="s">
        <v>48</v>
      </c>
      <c r="R10903" s="36" t="s">
        <v>48</v>
      </c>
    </row>
    <row r="10904">
      <c r="H10904" s="50"/>
      <c r="I10904" s="50"/>
      <c r="O10904" s="36" t="s">
        <v>48</v>
      </c>
      <c r="R10904" s="36" t="s">
        <v>48</v>
      </c>
    </row>
    <row r="10905">
      <c r="H10905" s="50"/>
      <c r="I10905" s="50"/>
      <c r="O10905" s="36" t="s">
        <v>48</v>
      </c>
      <c r="R10905" s="36" t="s">
        <v>48</v>
      </c>
    </row>
    <row r="10906">
      <c r="H10906" s="50"/>
      <c r="I10906" s="50"/>
      <c r="O10906" s="36" t="s">
        <v>48</v>
      </c>
      <c r="R10906" s="36" t="s">
        <v>48</v>
      </c>
    </row>
    <row r="10907">
      <c r="H10907" s="50"/>
      <c r="I10907" s="50"/>
      <c r="O10907" s="36" t="s">
        <v>48</v>
      </c>
      <c r="R10907" s="36" t="s">
        <v>48</v>
      </c>
    </row>
    <row r="10908">
      <c r="H10908" s="50"/>
      <c r="I10908" s="50"/>
      <c r="O10908" s="36" t="s">
        <v>48</v>
      </c>
      <c r="R10908" s="36" t="s">
        <v>48</v>
      </c>
    </row>
    <row r="10909">
      <c r="H10909" s="50"/>
      <c r="I10909" s="50"/>
      <c r="O10909" s="36" t="s">
        <v>48</v>
      </c>
      <c r="R10909" s="36" t="s">
        <v>48</v>
      </c>
    </row>
    <row r="10910">
      <c r="H10910" s="50"/>
      <c r="I10910" s="50"/>
      <c r="O10910" s="36" t="s">
        <v>48</v>
      </c>
      <c r="R10910" s="36" t="s">
        <v>48</v>
      </c>
    </row>
    <row r="10911">
      <c r="H10911" s="50"/>
      <c r="I10911" s="50"/>
      <c r="O10911" s="36" t="s">
        <v>48</v>
      </c>
      <c r="R10911" s="36" t="s">
        <v>48</v>
      </c>
    </row>
    <row r="10912">
      <c r="H10912" s="50"/>
      <c r="I10912" s="50"/>
      <c r="O10912" s="36" t="s">
        <v>48</v>
      </c>
      <c r="R10912" s="36" t="s">
        <v>48</v>
      </c>
    </row>
    <row r="10913">
      <c r="H10913" s="50"/>
      <c r="I10913" s="50"/>
      <c r="O10913" s="36" t="s">
        <v>48</v>
      </c>
      <c r="R10913" s="36" t="s">
        <v>48</v>
      </c>
    </row>
    <row r="10914">
      <c r="H10914" s="50"/>
      <c r="I10914" s="50"/>
      <c r="O10914" s="36" t="s">
        <v>48</v>
      </c>
      <c r="R10914" s="36" t="s">
        <v>48</v>
      </c>
    </row>
    <row r="10915">
      <c r="H10915" s="50"/>
      <c r="I10915" s="50"/>
      <c r="O10915" s="36" t="s">
        <v>48</v>
      </c>
      <c r="R10915" s="36" t="s">
        <v>48</v>
      </c>
    </row>
    <row r="10916">
      <c r="H10916" s="50"/>
      <c r="I10916" s="50"/>
      <c r="O10916" s="36" t="s">
        <v>48</v>
      </c>
      <c r="R10916" s="36" t="s">
        <v>48</v>
      </c>
    </row>
    <row r="10917">
      <c r="H10917" s="50"/>
      <c r="I10917" s="50"/>
      <c r="O10917" s="36" t="s">
        <v>48</v>
      </c>
      <c r="R10917" s="36" t="s">
        <v>48</v>
      </c>
    </row>
    <row r="10918">
      <c r="H10918" s="50"/>
      <c r="I10918" s="50"/>
      <c r="O10918" s="36" t="s">
        <v>48</v>
      </c>
      <c r="R10918" s="36" t="s">
        <v>48</v>
      </c>
    </row>
    <row r="10919">
      <c r="H10919" s="50"/>
      <c r="I10919" s="50"/>
      <c r="O10919" s="36" t="s">
        <v>48</v>
      </c>
      <c r="R10919" s="36" t="s">
        <v>48</v>
      </c>
    </row>
    <row r="10920">
      <c r="H10920" s="50"/>
      <c r="I10920" s="50"/>
      <c r="O10920" s="36" t="s">
        <v>48</v>
      </c>
      <c r="R10920" s="36" t="s">
        <v>48</v>
      </c>
    </row>
    <row r="10921">
      <c r="H10921" s="50"/>
      <c r="I10921" s="50"/>
      <c r="O10921" s="36" t="s">
        <v>48</v>
      </c>
      <c r="R10921" s="36" t="s">
        <v>48</v>
      </c>
    </row>
    <row r="10922">
      <c r="H10922" s="50"/>
      <c r="I10922" s="50"/>
      <c r="O10922" s="36" t="s">
        <v>48</v>
      </c>
      <c r="R10922" s="36" t="s">
        <v>48</v>
      </c>
    </row>
    <row r="10923">
      <c r="H10923" s="50"/>
      <c r="I10923" s="50"/>
      <c r="O10923" s="36" t="s">
        <v>48</v>
      </c>
      <c r="R10923" s="36" t="s">
        <v>48</v>
      </c>
    </row>
    <row r="10924">
      <c r="H10924" s="50"/>
      <c r="I10924" s="50"/>
      <c r="O10924" s="36" t="s">
        <v>48</v>
      </c>
      <c r="R10924" s="36" t="s">
        <v>48</v>
      </c>
    </row>
    <row r="10925">
      <c r="H10925" s="50"/>
      <c r="I10925" s="50"/>
      <c r="O10925" s="36" t="s">
        <v>48</v>
      </c>
      <c r="R10925" s="36" t="s">
        <v>48</v>
      </c>
    </row>
    <row r="10926">
      <c r="H10926" s="50"/>
      <c r="I10926" s="50"/>
      <c r="O10926" s="36" t="s">
        <v>48</v>
      </c>
      <c r="R10926" s="36" t="s">
        <v>48</v>
      </c>
    </row>
    <row r="10927">
      <c r="H10927" s="50"/>
      <c r="I10927" s="50"/>
      <c r="O10927" s="36" t="s">
        <v>48</v>
      </c>
      <c r="R10927" s="36" t="s">
        <v>48</v>
      </c>
    </row>
    <row r="10928">
      <c r="H10928" s="50"/>
      <c r="I10928" s="50"/>
      <c r="O10928" s="36" t="s">
        <v>48</v>
      </c>
      <c r="R10928" s="36" t="s">
        <v>48</v>
      </c>
    </row>
    <row r="10929">
      <c r="H10929" s="50"/>
      <c r="I10929" s="50"/>
      <c r="O10929" s="36" t="s">
        <v>48</v>
      </c>
      <c r="R10929" s="36" t="s">
        <v>48</v>
      </c>
    </row>
    <row r="10930">
      <c r="H10930" s="50"/>
      <c r="I10930" s="50"/>
      <c r="O10930" s="36" t="s">
        <v>48</v>
      </c>
      <c r="R10930" s="36" t="s">
        <v>48</v>
      </c>
    </row>
    <row r="10931">
      <c r="H10931" s="50"/>
      <c r="I10931" s="50"/>
      <c r="O10931" s="36" t="s">
        <v>48</v>
      </c>
      <c r="R10931" s="36" t="s">
        <v>48</v>
      </c>
    </row>
    <row r="10932">
      <c r="H10932" s="50"/>
      <c r="I10932" s="50"/>
      <c r="O10932" s="36" t="s">
        <v>48</v>
      </c>
      <c r="R10932" s="36" t="s">
        <v>48</v>
      </c>
    </row>
    <row r="10933">
      <c r="H10933" s="50"/>
      <c r="I10933" s="50"/>
      <c r="O10933" s="36" t="s">
        <v>48</v>
      </c>
      <c r="R10933" s="36" t="s">
        <v>48</v>
      </c>
    </row>
    <row r="10934">
      <c r="H10934" s="50"/>
      <c r="I10934" s="50"/>
      <c r="O10934" s="36" t="s">
        <v>48</v>
      </c>
      <c r="R10934" s="36" t="s">
        <v>48</v>
      </c>
    </row>
    <row r="10935">
      <c r="H10935" s="50"/>
      <c r="I10935" s="50"/>
      <c r="O10935" s="36" t="s">
        <v>48</v>
      </c>
      <c r="R10935" s="36" t="s">
        <v>48</v>
      </c>
    </row>
    <row r="10936">
      <c r="H10936" s="50"/>
      <c r="I10936" s="50"/>
      <c r="O10936" s="36" t="s">
        <v>48</v>
      </c>
      <c r="R10936" s="36" t="s">
        <v>48</v>
      </c>
    </row>
    <row r="10937">
      <c r="H10937" s="50"/>
      <c r="I10937" s="50"/>
      <c r="O10937" s="36" t="s">
        <v>48</v>
      </c>
      <c r="R10937" s="36" t="s">
        <v>48</v>
      </c>
    </row>
    <row r="10938">
      <c r="H10938" s="50"/>
      <c r="I10938" s="50"/>
      <c r="O10938" s="36" t="s">
        <v>48</v>
      </c>
      <c r="R10938" s="36" t="s">
        <v>48</v>
      </c>
    </row>
    <row r="10939">
      <c r="H10939" s="50"/>
      <c r="I10939" s="50"/>
      <c r="O10939" s="36" t="s">
        <v>48</v>
      </c>
      <c r="R10939" s="36" t="s">
        <v>48</v>
      </c>
    </row>
    <row r="10940">
      <c r="H10940" s="50"/>
      <c r="I10940" s="50"/>
      <c r="O10940" s="36" t="s">
        <v>48</v>
      </c>
      <c r="R10940" s="36" t="s">
        <v>48</v>
      </c>
    </row>
    <row r="10941">
      <c r="H10941" s="50"/>
      <c r="I10941" s="50"/>
      <c r="O10941" s="36" t="s">
        <v>48</v>
      </c>
      <c r="R10941" s="36" t="s">
        <v>48</v>
      </c>
    </row>
    <row r="10942">
      <c r="H10942" s="50"/>
      <c r="I10942" s="50"/>
      <c r="O10942" s="36" t="s">
        <v>48</v>
      </c>
      <c r="R10942" s="36" t="s">
        <v>48</v>
      </c>
    </row>
    <row r="10943">
      <c r="H10943" s="50"/>
      <c r="I10943" s="50"/>
      <c r="O10943" s="36" t="s">
        <v>48</v>
      </c>
      <c r="R10943" s="36" t="s">
        <v>48</v>
      </c>
    </row>
    <row r="10944">
      <c r="H10944" s="50"/>
      <c r="I10944" s="50"/>
      <c r="O10944" s="36" t="s">
        <v>48</v>
      </c>
      <c r="R10944" s="36" t="s">
        <v>48</v>
      </c>
    </row>
    <row r="10945">
      <c r="H10945" s="50"/>
      <c r="I10945" s="50"/>
      <c r="O10945" s="36" t="s">
        <v>48</v>
      </c>
      <c r="R10945" s="36" t="s">
        <v>48</v>
      </c>
    </row>
    <row r="10946">
      <c r="H10946" s="50"/>
      <c r="I10946" s="50"/>
      <c r="O10946" s="36" t="s">
        <v>48</v>
      </c>
      <c r="R10946" s="36" t="s">
        <v>48</v>
      </c>
    </row>
    <row r="10947">
      <c r="H10947" s="50"/>
      <c r="I10947" s="50"/>
      <c r="O10947" s="36" t="s">
        <v>48</v>
      </c>
      <c r="R10947" s="36" t="s">
        <v>48</v>
      </c>
    </row>
    <row r="10948">
      <c r="H10948" s="50"/>
      <c r="I10948" s="50"/>
      <c r="O10948" s="36" t="s">
        <v>48</v>
      </c>
      <c r="R10948" s="36" t="s">
        <v>48</v>
      </c>
    </row>
    <row r="10949">
      <c r="H10949" s="50"/>
      <c r="I10949" s="50"/>
      <c r="O10949" s="36" t="s">
        <v>48</v>
      </c>
      <c r="R10949" s="36" t="s">
        <v>48</v>
      </c>
    </row>
    <row r="10950">
      <c r="H10950" s="50"/>
      <c r="I10950" s="50"/>
      <c r="O10950" s="36" t="s">
        <v>48</v>
      </c>
      <c r="R10950" s="36" t="s">
        <v>48</v>
      </c>
    </row>
    <row r="10951">
      <c r="H10951" s="50"/>
      <c r="I10951" s="50"/>
      <c r="O10951" s="36" t="s">
        <v>48</v>
      </c>
      <c r="R10951" s="36" t="s">
        <v>48</v>
      </c>
    </row>
    <row r="10952">
      <c r="H10952" s="50"/>
      <c r="I10952" s="50"/>
      <c r="O10952" s="36" t="s">
        <v>48</v>
      </c>
      <c r="R10952" s="36" t="s">
        <v>48</v>
      </c>
    </row>
    <row r="10953">
      <c r="H10953" s="50"/>
      <c r="I10953" s="50"/>
      <c r="O10953" s="36" t="s">
        <v>48</v>
      </c>
      <c r="R10953" s="36" t="s">
        <v>48</v>
      </c>
    </row>
    <row r="10954">
      <c r="H10954" s="50"/>
      <c r="I10954" s="50"/>
      <c r="O10954" s="36" t="s">
        <v>48</v>
      </c>
      <c r="R10954" s="36" t="s">
        <v>48</v>
      </c>
    </row>
    <row r="10955">
      <c r="H10955" s="50"/>
      <c r="I10955" s="50"/>
      <c r="O10955" s="36" t="s">
        <v>48</v>
      </c>
      <c r="R10955" s="36" t="s">
        <v>48</v>
      </c>
    </row>
    <row r="10956">
      <c r="H10956" s="50"/>
      <c r="I10956" s="50"/>
      <c r="O10956" s="36" t="s">
        <v>48</v>
      </c>
      <c r="R10956" s="36" t="s">
        <v>48</v>
      </c>
    </row>
    <row r="10957">
      <c r="H10957" s="50"/>
      <c r="I10957" s="50"/>
      <c r="O10957" s="36" t="s">
        <v>48</v>
      </c>
      <c r="R10957" s="36" t="s">
        <v>48</v>
      </c>
    </row>
    <row r="10958">
      <c r="H10958" s="50"/>
      <c r="I10958" s="50"/>
      <c r="O10958" s="36" t="s">
        <v>48</v>
      </c>
      <c r="R10958" s="36" t="s">
        <v>48</v>
      </c>
    </row>
    <row r="10959">
      <c r="H10959" s="50"/>
      <c r="I10959" s="50"/>
      <c r="O10959" s="36" t="s">
        <v>48</v>
      </c>
      <c r="R10959" s="36" t="s">
        <v>48</v>
      </c>
    </row>
    <row r="10960">
      <c r="H10960" s="50"/>
      <c r="I10960" s="50"/>
      <c r="O10960" s="36" t="s">
        <v>48</v>
      </c>
      <c r="R10960" s="36" t="s">
        <v>48</v>
      </c>
    </row>
    <row r="10961">
      <c r="H10961" s="50"/>
      <c r="I10961" s="50"/>
      <c r="O10961" s="36" t="s">
        <v>48</v>
      </c>
      <c r="R10961" s="36" t="s">
        <v>48</v>
      </c>
    </row>
    <row r="10962">
      <c r="H10962" s="50"/>
      <c r="I10962" s="50"/>
      <c r="O10962" s="36" t="s">
        <v>48</v>
      </c>
      <c r="R10962" s="36" t="s">
        <v>48</v>
      </c>
    </row>
    <row r="10963">
      <c r="H10963" s="50"/>
      <c r="I10963" s="50"/>
      <c r="O10963" s="36" t="s">
        <v>48</v>
      </c>
      <c r="R10963" s="36" t="s">
        <v>48</v>
      </c>
    </row>
    <row r="10964">
      <c r="H10964" s="50"/>
      <c r="I10964" s="50"/>
      <c r="O10964" s="36" t="s">
        <v>48</v>
      </c>
      <c r="R10964" s="36" t="s">
        <v>48</v>
      </c>
    </row>
    <row r="10965">
      <c r="H10965" s="50"/>
      <c r="I10965" s="50"/>
      <c r="O10965" s="36" t="s">
        <v>48</v>
      </c>
      <c r="R10965" s="36" t="s">
        <v>48</v>
      </c>
    </row>
    <row r="10966">
      <c r="H10966" s="50"/>
      <c r="I10966" s="50"/>
      <c r="O10966" s="36" t="s">
        <v>48</v>
      </c>
      <c r="R10966" s="36" t="s">
        <v>48</v>
      </c>
    </row>
    <row r="10967">
      <c r="H10967" s="50"/>
      <c r="I10967" s="50"/>
      <c r="O10967" s="36" t="s">
        <v>48</v>
      </c>
      <c r="R10967" s="36" t="s">
        <v>48</v>
      </c>
    </row>
    <row r="10968">
      <c r="H10968" s="50"/>
      <c r="I10968" s="50"/>
      <c r="O10968" s="36" t="s">
        <v>48</v>
      </c>
      <c r="R10968" s="36" t="s">
        <v>48</v>
      </c>
    </row>
    <row r="10969">
      <c r="H10969" s="50"/>
      <c r="I10969" s="50"/>
      <c r="O10969" s="36" t="s">
        <v>48</v>
      </c>
      <c r="R10969" s="36" t="s">
        <v>48</v>
      </c>
    </row>
    <row r="10970">
      <c r="H10970" s="50"/>
      <c r="I10970" s="50"/>
      <c r="O10970" s="36" t="s">
        <v>48</v>
      </c>
      <c r="R10970" s="36" t="s">
        <v>48</v>
      </c>
    </row>
    <row r="10971">
      <c r="H10971" s="50"/>
      <c r="I10971" s="50"/>
      <c r="O10971" s="36" t="s">
        <v>48</v>
      </c>
      <c r="R10971" s="36" t="s">
        <v>48</v>
      </c>
    </row>
    <row r="10972">
      <c r="H10972" s="50"/>
      <c r="I10972" s="50"/>
      <c r="O10972" s="36" t="s">
        <v>48</v>
      </c>
      <c r="R10972" s="36" t="s">
        <v>48</v>
      </c>
    </row>
    <row r="10973">
      <c r="H10973" s="50"/>
      <c r="I10973" s="50"/>
      <c r="O10973" s="36" t="s">
        <v>48</v>
      </c>
      <c r="R10973" s="36" t="s">
        <v>48</v>
      </c>
    </row>
    <row r="10974">
      <c r="H10974" s="50"/>
      <c r="I10974" s="50"/>
      <c r="O10974" s="36" t="s">
        <v>48</v>
      </c>
      <c r="R10974" s="36" t="s">
        <v>48</v>
      </c>
    </row>
    <row r="10975">
      <c r="H10975" s="50"/>
      <c r="I10975" s="50"/>
      <c r="O10975" s="36" t="s">
        <v>48</v>
      </c>
      <c r="R10975" s="36" t="s">
        <v>48</v>
      </c>
    </row>
    <row r="10976">
      <c r="H10976" s="50"/>
      <c r="I10976" s="50"/>
      <c r="O10976" s="36" t="s">
        <v>48</v>
      </c>
      <c r="R10976" s="36" t="s">
        <v>48</v>
      </c>
    </row>
    <row r="10977">
      <c r="H10977" s="50"/>
      <c r="I10977" s="50"/>
      <c r="O10977" s="36" t="s">
        <v>48</v>
      </c>
      <c r="R10977" s="36" t="s">
        <v>48</v>
      </c>
    </row>
    <row r="10978">
      <c r="H10978" s="50"/>
      <c r="I10978" s="50"/>
      <c r="O10978" s="36" t="s">
        <v>48</v>
      </c>
      <c r="R10978" s="36" t="s">
        <v>48</v>
      </c>
    </row>
    <row r="10979">
      <c r="H10979" s="50"/>
      <c r="I10979" s="50"/>
      <c r="O10979" s="36" t="s">
        <v>48</v>
      </c>
      <c r="R10979" s="36" t="s">
        <v>48</v>
      </c>
    </row>
    <row r="10980">
      <c r="H10980" s="50"/>
      <c r="I10980" s="50"/>
      <c r="O10980" s="36" t="s">
        <v>48</v>
      </c>
      <c r="R10980" s="36" t="s">
        <v>48</v>
      </c>
    </row>
    <row r="10981">
      <c r="H10981" s="50"/>
      <c r="I10981" s="50"/>
      <c r="O10981" s="36" t="s">
        <v>48</v>
      </c>
      <c r="R10981" s="36" t="s">
        <v>48</v>
      </c>
    </row>
    <row r="10982">
      <c r="H10982" s="50"/>
      <c r="I10982" s="50"/>
      <c r="O10982" s="36" t="s">
        <v>48</v>
      </c>
      <c r="R10982" s="36" t="s">
        <v>48</v>
      </c>
    </row>
    <row r="10983">
      <c r="H10983" s="50"/>
      <c r="I10983" s="50"/>
      <c r="O10983" s="36" t="s">
        <v>48</v>
      </c>
      <c r="R10983" s="36" t="s">
        <v>48</v>
      </c>
    </row>
    <row r="10984">
      <c r="H10984" s="50"/>
      <c r="I10984" s="50"/>
      <c r="O10984" s="36" t="s">
        <v>48</v>
      </c>
      <c r="R10984" s="36" t="s">
        <v>48</v>
      </c>
    </row>
    <row r="10985">
      <c r="H10985" s="50"/>
      <c r="I10985" s="50"/>
      <c r="O10985" s="36" t="s">
        <v>48</v>
      </c>
      <c r="R10985" s="36" t="s">
        <v>48</v>
      </c>
    </row>
    <row r="10986">
      <c r="H10986" s="50"/>
      <c r="I10986" s="50"/>
      <c r="O10986" s="36" t="s">
        <v>48</v>
      </c>
      <c r="R10986" s="36" t="s">
        <v>48</v>
      </c>
    </row>
    <row r="10987">
      <c r="H10987" s="50"/>
      <c r="I10987" s="50"/>
      <c r="O10987" s="36" t="s">
        <v>48</v>
      </c>
      <c r="R10987" s="36" t="s">
        <v>48</v>
      </c>
    </row>
    <row r="10988">
      <c r="H10988" s="50"/>
      <c r="I10988" s="50"/>
      <c r="O10988" s="36" t="s">
        <v>48</v>
      </c>
      <c r="R10988" s="36" t="s">
        <v>48</v>
      </c>
    </row>
    <row r="10989">
      <c r="H10989" s="50"/>
      <c r="I10989" s="50"/>
      <c r="O10989" s="36" t="s">
        <v>48</v>
      </c>
      <c r="R10989" s="36" t="s">
        <v>48</v>
      </c>
    </row>
    <row r="10990">
      <c r="H10990" s="50"/>
      <c r="I10990" s="50"/>
      <c r="O10990" s="36" t="s">
        <v>48</v>
      </c>
      <c r="R10990" s="36" t="s">
        <v>48</v>
      </c>
    </row>
    <row r="10991">
      <c r="H10991" s="50"/>
      <c r="I10991" s="50"/>
      <c r="O10991" s="36" t="s">
        <v>48</v>
      </c>
      <c r="R10991" s="36" t="s">
        <v>48</v>
      </c>
    </row>
    <row r="10992">
      <c r="H10992" s="50"/>
      <c r="I10992" s="50"/>
      <c r="O10992" s="36" t="s">
        <v>48</v>
      </c>
      <c r="R10992" s="36" t="s">
        <v>48</v>
      </c>
    </row>
    <row r="10993">
      <c r="H10993" s="50"/>
      <c r="I10993" s="50"/>
      <c r="O10993" s="36" t="s">
        <v>48</v>
      </c>
      <c r="R10993" s="36" t="s">
        <v>48</v>
      </c>
    </row>
    <row r="10994">
      <c r="H10994" s="50"/>
      <c r="I10994" s="50"/>
      <c r="O10994" s="36" t="s">
        <v>48</v>
      </c>
      <c r="R10994" s="36" t="s">
        <v>48</v>
      </c>
    </row>
    <row r="10995">
      <c r="H10995" s="50"/>
      <c r="I10995" s="50"/>
      <c r="O10995" s="36" t="s">
        <v>48</v>
      </c>
      <c r="R10995" s="36" t="s">
        <v>48</v>
      </c>
    </row>
    <row r="10996">
      <c r="H10996" s="50"/>
      <c r="I10996" s="50"/>
      <c r="O10996" s="36" t="s">
        <v>48</v>
      </c>
      <c r="R10996" s="36" t="s">
        <v>48</v>
      </c>
    </row>
    <row r="10997">
      <c r="H10997" s="50"/>
      <c r="I10997" s="50"/>
      <c r="O10997" s="36" t="s">
        <v>48</v>
      </c>
      <c r="R10997" s="36" t="s">
        <v>48</v>
      </c>
    </row>
    <row r="10998">
      <c r="H10998" s="50"/>
      <c r="I10998" s="50"/>
      <c r="O10998" s="36" t="s">
        <v>48</v>
      </c>
      <c r="R10998" s="36" t="s">
        <v>48</v>
      </c>
    </row>
    <row r="10999">
      <c r="H10999" s="50"/>
      <c r="I10999" s="50"/>
      <c r="O10999" s="36" t="s">
        <v>48</v>
      </c>
      <c r="R10999" s="36" t="s">
        <v>48</v>
      </c>
    </row>
    <row r="11000">
      <c r="H11000" s="50"/>
      <c r="I11000" s="50"/>
      <c r="O11000" s="36" t="s">
        <v>48</v>
      </c>
      <c r="R11000" s="36" t="s">
        <v>48</v>
      </c>
    </row>
    <row r="11001">
      <c r="H11001" s="50"/>
      <c r="I11001" s="50"/>
      <c r="O11001" s="36" t="s">
        <v>48</v>
      </c>
      <c r="R11001" s="36" t="s">
        <v>48</v>
      </c>
    </row>
    <row r="11002">
      <c r="H11002" s="50"/>
      <c r="I11002" s="50"/>
      <c r="O11002" s="36" t="s">
        <v>48</v>
      </c>
      <c r="R11002" s="36" t="s">
        <v>48</v>
      </c>
    </row>
    <row r="11003">
      <c r="H11003" s="50"/>
      <c r="I11003" s="50"/>
      <c r="O11003" s="36" t="s">
        <v>48</v>
      </c>
      <c r="R11003" s="36" t="s">
        <v>48</v>
      </c>
    </row>
    <row r="11004">
      <c r="H11004" s="50"/>
      <c r="I11004" s="50"/>
      <c r="O11004" s="36" t="s">
        <v>48</v>
      </c>
      <c r="R11004" s="36" t="s">
        <v>48</v>
      </c>
    </row>
    <row r="11005">
      <c r="H11005" s="50"/>
      <c r="I11005" s="50"/>
      <c r="O11005" s="36" t="s">
        <v>48</v>
      </c>
      <c r="R11005" s="36" t="s">
        <v>48</v>
      </c>
    </row>
    <row r="11006">
      <c r="H11006" s="50"/>
      <c r="I11006" s="50"/>
      <c r="O11006" s="36" t="s">
        <v>48</v>
      </c>
      <c r="R11006" s="36" t="s">
        <v>48</v>
      </c>
    </row>
    <row r="11007">
      <c r="H11007" s="50"/>
      <c r="I11007" s="50"/>
      <c r="O11007" s="36" t="s">
        <v>48</v>
      </c>
      <c r="R11007" s="36" t="s">
        <v>48</v>
      </c>
    </row>
    <row r="11008">
      <c r="H11008" s="50"/>
      <c r="I11008" s="50"/>
      <c r="O11008" s="36" t="s">
        <v>48</v>
      </c>
      <c r="R11008" s="36" t="s">
        <v>48</v>
      </c>
    </row>
    <row r="11009">
      <c r="H11009" s="50"/>
      <c r="I11009" s="50"/>
      <c r="O11009" s="36" t="s">
        <v>48</v>
      </c>
      <c r="R11009" s="36" t="s">
        <v>48</v>
      </c>
    </row>
    <row r="11010">
      <c r="H11010" s="50"/>
      <c r="I11010" s="50"/>
      <c r="O11010" s="36" t="s">
        <v>48</v>
      </c>
      <c r="R11010" s="36" t="s">
        <v>48</v>
      </c>
    </row>
    <row r="11011">
      <c r="H11011" s="50"/>
      <c r="I11011" s="50"/>
      <c r="O11011" s="36" t="s">
        <v>48</v>
      </c>
      <c r="R11011" s="36" t="s">
        <v>48</v>
      </c>
    </row>
    <row r="11012">
      <c r="H11012" s="50"/>
      <c r="I11012" s="50"/>
      <c r="O11012" s="36" t="s">
        <v>48</v>
      </c>
      <c r="R11012" s="36" t="s">
        <v>48</v>
      </c>
    </row>
    <row r="11013">
      <c r="H11013" s="50"/>
      <c r="I11013" s="50"/>
      <c r="O11013" s="36" t="s">
        <v>48</v>
      </c>
      <c r="R11013" s="36" t="s">
        <v>48</v>
      </c>
    </row>
    <row r="11014">
      <c r="H11014" s="50"/>
      <c r="I11014" s="50"/>
      <c r="O11014" s="36" t="s">
        <v>48</v>
      </c>
      <c r="R11014" s="36" t="s">
        <v>48</v>
      </c>
    </row>
    <row r="11015">
      <c r="H11015" s="50"/>
      <c r="I11015" s="50"/>
      <c r="O11015" s="36" t="s">
        <v>48</v>
      </c>
      <c r="R11015" s="36" t="s">
        <v>48</v>
      </c>
    </row>
    <row r="11016">
      <c r="H11016" s="50"/>
      <c r="I11016" s="50"/>
      <c r="O11016" s="36" t="s">
        <v>48</v>
      </c>
      <c r="R11016" s="36" t="s">
        <v>48</v>
      </c>
    </row>
    <row r="11017">
      <c r="H11017" s="50"/>
      <c r="I11017" s="50"/>
      <c r="O11017" s="36" t="s">
        <v>48</v>
      </c>
      <c r="R11017" s="36" t="s">
        <v>48</v>
      </c>
    </row>
    <row r="11018">
      <c r="H11018" s="50"/>
      <c r="I11018" s="50"/>
      <c r="O11018" s="36" t="s">
        <v>48</v>
      </c>
      <c r="R11018" s="36" t="s">
        <v>48</v>
      </c>
    </row>
    <row r="11019">
      <c r="H11019" s="50"/>
      <c r="I11019" s="50"/>
      <c r="O11019" s="36" t="s">
        <v>48</v>
      </c>
      <c r="R11019" s="36" t="s">
        <v>48</v>
      </c>
    </row>
    <row r="11020">
      <c r="H11020" s="50"/>
      <c r="I11020" s="50"/>
      <c r="O11020" s="36" t="s">
        <v>48</v>
      </c>
      <c r="R11020" s="36" t="s">
        <v>48</v>
      </c>
    </row>
    <row r="11021">
      <c r="H11021" s="50"/>
      <c r="I11021" s="50"/>
      <c r="O11021" s="36" t="s">
        <v>48</v>
      </c>
      <c r="R11021" s="36" t="s">
        <v>48</v>
      </c>
    </row>
    <row r="11022">
      <c r="H11022" s="50"/>
      <c r="I11022" s="50"/>
      <c r="O11022" s="36" t="s">
        <v>48</v>
      </c>
      <c r="R11022" s="36" t="s">
        <v>48</v>
      </c>
    </row>
    <row r="11023">
      <c r="H11023" s="50"/>
      <c r="I11023" s="50"/>
      <c r="O11023" s="36" t="s">
        <v>48</v>
      </c>
      <c r="R11023" s="36" t="s">
        <v>48</v>
      </c>
    </row>
    <row r="11024">
      <c r="H11024" s="50"/>
      <c r="I11024" s="50"/>
      <c r="O11024" s="36" t="s">
        <v>48</v>
      </c>
      <c r="R11024" s="36" t="s">
        <v>48</v>
      </c>
    </row>
    <row r="11025">
      <c r="H11025" s="50"/>
      <c r="I11025" s="50"/>
      <c r="O11025" s="36" t="s">
        <v>48</v>
      </c>
      <c r="R11025" s="36" t="s">
        <v>48</v>
      </c>
    </row>
    <row r="11026">
      <c r="H11026" s="50"/>
      <c r="I11026" s="50"/>
      <c r="O11026" s="36" t="s">
        <v>48</v>
      </c>
      <c r="R11026" s="36" t="s">
        <v>48</v>
      </c>
    </row>
    <row r="11027">
      <c r="H11027" s="50"/>
      <c r="I11027" s="50"/>
      <c r="O11027" s="36" t="s">
        <v>48</v>
      </c>
      <c r="R11027" s="36" t="s">
        <v>48</v>
      </c>
    </row>
    <row r="11028">
      <c r="H11028" s="50"/>
      <c r="I11028" s="50"/>
      <c r="O11028" s="36" t="s">
        <v>48</v>
      </c>
      <c r="R11028" s="36" t="s">
        <v>48</v>
      </c>
    </row>
    <row r="11029">
      <c r="H11029" s="50"/>
      <c r="I11029" s="50"/>
      <c r="O11029" s="36" t="s">
        <v>48</v>
      </c>
      <c r="R11029" s="36" t="s">
        <v>48</v>
      </c>
    </row>
    <row r="11030">
      <c r="H11030" s="50"/>
      <c r="I11030" s="50"/>
      <c r="O11030" s="36" t="s">
        <v>48</v>
      </c>
      <c r="R11030" s="36" t="s">
        <v>48</v>
      </c>
    </row>
    <row r="11031">
      <c r="H11031" s="50"/>
      <c r="I11031" s="50"/>
      <c r="O11031" s="36" t="s">
        <v>48</v>
      </c>
      <c r="R11031" s="36" t="s">
        <v>48</v>
      </c>
    </row>
    <row r="11032">
      <c r="H11032" s="50"/>
      <c r="I11032" s="50"/>
      <c r="O11032" s="36" t="s">
        <v>48</v>
      </c>
      <c r="R11032" s="36" t="s">
        <v>48</v>
      </c>
    </row>
    <row r="11033">
      <c r="H11033" s="50"/>
      <c r="I11033" s="50"/>
      <c r="O11033" s="36" t="s">
        <v>48</v>
      </c>
      <c r="R11033" s="36" t="s">
        <v>48</v>
      </c>
    </row>
    <row r="11034">
      <c r="H11034" s="50"/>
      <c r="I11034" s="50"/>
      <c r="O11034" s="36" t="s">
        <v>48</v>
      </c>
      <c r="R11034" s="36" t="s">
        <v>48</v>
      </c>
    </row>
    <row r="11035">
      <c r="H11035" s="50"/>
      <c r="I11035" s="50"/>
      <c r="O11035" s="36" t="s">
        <v>48</v>
      </c>
      <c r="R11035" s="36" t="s">
        <v>48</v>
      </c>
    </row>
    <row r="11036">
      <c r="H11036" s="50"/>
      <c r="I11036" s="50"/>
      <c r="O11036" s="36" t="s">
        <v>48</v>
      </c>
      <c r="R11036" s="36" t="s">
        <v>48</v>
      </c>
    </row>
    <row r="11037">
      <c r="H11037" s="50"/>
      <c r="I11037" s="50"/>
      <c r="O11037" s="36" t="s">
        <v>48</v>
      </c>
      <c r="R11037" s="36" t="s">
        <v>48</v>
      </c>
    </row>
    <row r="11038">
      <c r="H11038" s="50"/>
      <c r="I11038" s="50"/>
      <c r="O11038" s="36" t="s">
        <v>48</v>
      </c>
      <c r="R11038" s="36" t="s">
        <v>48</v>
      </c>
    </row>
    <row r="11039">
      <c r="H11039" s="50"/>
      <c r="I11039" s="50"/>
      <c r="O11039" s="36" t="s">
        <v>48</v>
      </c>
      <c r="R11039" s="36" t="s">
        <v>48</v>
      </c>
    </row>
    <row r="11040">
      <c r="H11040" s="50"/>
      <c r="I11040" s="50"/>
      <c r="O11040" s="36" t="s">
        <v>48</v>
      </c>
      <c r="R11040" s="36" t="s">
        <v>48</v>
      </c>
    </row>
    <row r="11041">
      <c r="H11041" s="50"/>
      <c r="I11041" s="50"/>
      <c r="O11041" s="36" t="s">
        <v>48</v>
      </c>
      <c r="R11041" s="36" t="s">
        <v>48</v>
      </c>
    </row>
    <row r="11042">
      <c r="H11042" s="50"/>
      <c r="I11042" s="50"/>
      <c r="O11042" s="36" t="s">
        <v>48</v>
      </c>
      <c r="R11042" s="36" t="s">
        <v>48</v>
      </c>
    </row>
    <row r="11043">
      <c r="H11043" s="50"/>
      <c r="I11043" s="50"/>
      <c r="O11043" s="36" t="s">
        <v>48</v>
      </c>
      <c r="R11043" s="36" t="s">
        <v>48</v>
      </c>
    </row>
    <row r="11044">
      <c r="H11044" s="50"/>
      <c r="I11044" s="50"/>
      <c r="O11044" s="36" t="s">
        <v>48</v>
      </c>
      <c r="R11044" s="36" t="s">
        <v>48</v>
      </c>
    </row>
    <row r="11045">
      <c r="H11045" s="50"/>
      <c r="I11045" s="50"/>
      <c r="O11045" s="36" t="s">
        <v>48</v>
      </c>
      <c r="R11045" s="36" t="s">
        <v>48</v>
      </c>
    </row>
    <row r="11046">
      <c r="H11046" s="50"/>
      <c r="I11046" s="50"/>
      <c r="O11046" s="36" t="s">
        <v>48</v>
      </c>
      <c r="R11046" s="36" t="s">
        <v>48</v>
      </c>
    </row>
    <row r="11047">
      <c r="H11047" s="50"/>
      <c r="I11047" s="50"/>
      <c r="O11047" s="36" t="s">
        <v>48</v>
      </c>
      <c r="R11047" s="36" t="s">
        <v>48</v>
      </c>
    </row>
    <row r="11048">
      <c r="H11048" s="50"/>
      <c r="I11048" s="50"/>
      <c r="O11048" s="36" t="s">
        <v>48</v>
      </c>
      <c r="R11048" s="36" t="s">
        <v>48</v>
      </c>
    </row>
    <row r="11049">
      <c r="H11049" s="50"/>
      <c r="I11049" s="50"/>
      <c r="O11049" s="36" t="s">
        <v>48</v>
      </c>
      <c r="R11049" s="36" t="s">
        <v>48</v>
      </c>
    </row>
    <row r="11050">
      <c r="H11050" s="50"/>
      <c r="I11050" s="50"/>
      <c r="O11050" s="36" t="s">
        <v>48</v>
      </c>
      <c r="R11050" s="36" t="s">
        <v>48</v>
      </c>
    </row>
    <row r="11051">
      <c r="H11051" s="50"/>
      <c r="I11051" s="50"/>
      <c r="O11051" s="36" t="s">
        <v>48</v>
      </c>
      <c r="R11051" s="36" t="s">
        <v>48</v>
      </c>
    </row>
    <row r="11052">
      <c r="H11052" s="50"/>
      <c r="I11052" s="50"/>
      <c r="O11052" s="36" t="s">
        <v>48</v>
      </c>
      <c r="R11052" s="36" t="s">
        <v>48</v>
      </c>
    </row>
    <row r="11053">
      <c r="H11053" s="50"/>
      <c r="I11053" s="50"/>
      <c r="O11053" s="36" t="s">
        <v>48</v>
      </c>
      <c r="R11053" s="36" t="s">
        <v>48</v>
      </c>
    </row>
    <row r="11054">
      <c r="H11054" s="50"/>
      <c r="I11054" s="50"/>
      <c r="O11054" s="36" t="s">
        <v>48</v>
      </c>
      <c r="R11054" s="36" t="s">
        <v>48</v>
      </c>
    </row>
    <row r="11055">
      <c r="H11055" s="50"/>
      <c r="I11055" s="50"/>
      <c r="O11055" s="36" t="s">
        <v>48</v>
      </c>
      <c r="R11055" s="36" t="s">
        <v>48</v>
      </c>
    </row>
    <row r="11056">
      <c r="H11056" s="50"/>
      <c r="I11056" s="50"/>
      <c r="O11056" s="36" t="s">
        <v>48</v>
      </c>
      <c r="R11056" s="36" t="s">
        <v>48</v>
      </c>
    </row>
    <row r="11057">
      <c r="H11057" s="50"/>
      <c r="I11057" s="50"/>
      <c r="O11057" s="36" t="s">
        <v>48</v>
      </c>
      <c r="R11057" s="36" t="s">
        <v>48</v>
      </c>
    </row>
    <row r="11058">
      <c r="H11058" s="50"/>
      <c r="I11058" s="50"/>
      <c r="O11058" s="36" t="s">
        <v>48</v>
      </c>
      <c r="R11058" s="36" t="s">
        <v>48</v>
      </c>
    </row>
    <row r="11059">
      <c r="H11059" s="50"/>
      <c r="I11059" s="50"/>
      <c r="O11059" s="36" t="s">
        <v>48</v>
      </c>
      <c r="R11059" s="36" t="s">
        <v>48</v>
      </c>
    </row>
    <row r="11060">
      <c r="H11060" s="50"/>
      <c r="I11060" s="50"/>
      <c r="O11060" s="36" t="s">
        <v>48</v>
      </c>
      <c r="R11060" s="36" t="s">
        <v>48</v>
      </c>
    </row>
    <row r="11061">
      <c r="H11061" s="50"/>
      <c r="I11061" s="50"/>
      <c r="O11061" s="36" t="s">
        <v>48</v>
      </c>
      <c r="R11061" s="36" t="s">
        <v>48</v>
      </c>
    </row>
    <row r="11062">
      <c r="H11062" s="50"/>
      <c r="I11062" s="50"/>
      <c r="O11062" s="36" t="s">
        <v>48</v>
      </c>
      <c r="R11062" s="36" t="s">
        <v>48</v>
      </c>
    </row>
    <row r="11063">
      <c r="H11063" s="50"/>
      <c r="I11063" s="50"/>
      <c r="O11063" s="36" t="s">
        <v>48</v>
      </c>
      <c r="R11063" s="36" t="s">
        <v>48</v>
      </c>
    </row>
    <row r="11064">
      <c r="H11064" s="50"/>
      <c r="I11064" s="50"/>
      <c r="O11064" s="36" t="s">
        <v>48</v>
      </c>
      <c r="R11064" s="36" t="s">
        <v>48</v>
      </c>
    </row>
    <row r="11065">
      <c r="H11065" s="50"/>
      <c r="I11065" s="50"/>
      <c r="O11065" s="36" t="s">
        <v>48</v>
      </c>
      <c r="R11065" s="36" t="s">
        <v>48</v>
      </c>
    </row>
    <row r="11066">
      <c r="H11066" s="50"/>
      <c r="I11066" s="50"/>
      <c r="O11066" s="36" t="s">
        <v>48</v>
      </c>
      <c r="R11066" s="36" t="s">
        <v>48</v>
      </c>
    </row>
    <row r="11067">
      <c r="H11067" s="50"/>
      <c r="I11067" s="50"/>
      <c r="O11067" s="36" t="s">
        <v>48</v>
      </c>
      <c r="R11067" s="36" t="s">
        <v>48</v>
      </c>
    </row>
    <row r="11068">
      <c r="H11068" s="50"/>
      <c r="I11068" s="50"/>
      <c r="O11068" s="36" t="s">
        <v>48</v>
      </c>
      <c r="R11068" s="36" t="s">
        <v>48</v>
      </c>
    </row>
    <row r="11069">
      <c r="H11069" s="50"/>
      <c r="I11069" s="50"/>
      <c r="O11069" s="36" t="s">
        <v>48</v>
      </c>
      <c r="R11069" s="36" t="s">
        <v>48</v>
      </c>
    </row>
    <row r="11070">
      <c r="H11070" s="50"/>
      <c r="I11070" s="50"/>
      <c r="O11070" s="36" t="s">
        <v>48</v>
      </c>
      <c r="R11070" s="36" t="s">
        <v>48</v>
      </c>
    </row>
    <row r="11071">
      <c r="H11071" s="50"/>
      <c r="I11071" s="50"/>
      <c r="O11071" s="36" t="s">
        <v>48</v>
      </c>
      <c r="R11071" s="36" t="s">
        <v>48</v>
      </c>
    </row>
    <row r="11072">
      <c r="H11072" s="50"/>
      <c r="I11072" s="50"/>
      <c r="O11072" s="36" t="s">
        <v>48</v>
      </c>
      <c r="R11072" s="36" t="s">
        <v>48</v>
      </c>
    </row>
    <row r="11073">
      <c r="H11073" s="50"/>
      <c r="I11073" s="50"/>
      <c r="O11073" s="36" t="s">
        <v>48</v>
      </c>
      <c r="R11073" s="36" t="s">
        <v>48</v>
      </c>
    </row>
    <row r="11074">
      <c r="H11074" s="50"/>
      <c r="I11074" s="50"/>
      <c r="O11074" s="36" t="s">
        <v>48</v>
      </c>
      <c r="R11074" s="36" t="s">
        <v>48</v>
      </c>
    </row>
    <row r="11075">
      <c r="H11075" s="50"/>
      <c r="I11075" s="50"/>
      <c r="O11075" s="36" t="s">
        <v>48</v>
      </c>
      <c r="R11075" s="36" t="s">
        <v>48</v>
      </c>
    </row>
    <row r="11076">
      <c r="H11076" s="50"/>
      <c r="I11076" s="50"/>
      <c r="O11076" s="36" t="s">
        <v>48</v>
      </c>
      <c r="R11076" s="36" t="s">
        <v>48</v>
      </c>
    </row>
    <row r="11077">
      <c r="H11077" s="50"/>
      <c r="I11077" s="50"/>
      <c r="O11077" s="36" t="s">
        <v>48</v>
      </c>
      <c r="R11077" s="36" t="s">
        <v>48</v>
      </c>
    </row>
    <row r="11078">
      <c r="H11078" s="50"/>
      <c r="I11078" s="50"/>
      <c r="O11078" s="36" t="s">
        <v>48</v>
      </c>
      <c r="R11078" s="36" t="s">
        <v>48</v>
      </c>
    </row>
    <row r="11079">
      <c r="H11079" s="50"/>
      <c r="I11079" s="50"/>
      <c r="O11079" s="36" t="s">
        <v>48</v>
      </c>
      <c r="R11079" s="36" t="s">
        <v>48</v>
      </c>
    </row>
    <row r="11080">
      <c r="H11080" s="50"/>
      <c r="I11080" s="50"/>
      <c r="O11080" s="36" t="s">
        <v>48</v>
      </c>
      <c r="R11080" s="36" t="s">
        <v>48</v>
      </c>
    </row>
    <row r="11081">
      <c r="H11081" s="50"/>
      <c r="I11081" s="50"/>
      <c r="O11081" s="36" t="s">
        <v>48</v>
      </c>
      <c r="R11081" s="36" t="s">
        <v>48</v>
      </c>
    </row>
    <row r="11082">
      <c r="H11082" s="50"/>
      <c r="I11082" s="50"/>
      <c r="O11082" s="36" t="s">
        <v>48</v>
      </c>
      <c r="R11082" s="36" t="s">
        <v>48</v>
      </c>
    </row>
    <row r="11083">
      <c r="H11083" s="50"/>
      <c r="I11083" s="50"/>
      <c r="O11083" s="36" t="s">
        <v>48</v>
      </c>
      <c r="R11083" s="36" t="s">
        <v>48</v>
      </c>
    </row>
    <row r="11084">
      <c r="H11084" s="50"/>
      <c r="I11084" s="50"/>
      <c r="O11084" s="36" t="s">
        <v>48</v>
      </c>
      <c r="R11084" s="36" t="s">
        <v>48</v>
      </c>
    </row>
    <row r="11085">
      <c r="H11085" s="50"/>
      <c r="I11085" s="50"/>
      <c r="O11085" s="36" t="s">
        <v>48</v>
      </c>
      <c r="R11085" s="36" t="s">
        <v>48</v>
      </c>
    </row>
    <row r="11086">
      <c r="H11086" s="50"/>
      <c r="I11086" s="50"/>
      <c r="O11086" s="36" t="s">
        <v>48</v>
      </c>
      <c r="R11086" s="36" t="s">
        <v>48</v>
      </c>
    </row>
    <row r="11087">
      <c r="H11087" s="50"/>
      <c r="I11087" s="50"/>
      <c r="O11087" s="36" t="s">
        <v>48</v>
      </c>
      <c r="R11087" s="36" t="s">
        <v>48</v>
      </c>
    </row>
    <row r="11088">
      <c r="H11088" s="50"/>
      <c r="I11088" s="50"/>
      <c r="O11088" s="36" t="s">
        <v>48</v>
      </c>
      <c r="R11088" s="36" t="s">
        <v>48</v>
      </c>
    </row>
    <row r="11089">
      <c r="H11089" s="50"/>
      <c r="I11089" s="50"/>
      <c r="O11089" s="36" t="s">
        <v>48</v>
      </c>
      <c r="R11089" s="36" t="s">
        <v>48</v>
      </c>
    </row>
    <row r="11090">
      <c r="H11090" s="50"/>
      <c r="I11090" s="50"/>
      <c r="O11090" s="36" t="s">
        <v>48</v>
      </c>
      <c r="R11090" s="36" t="s">
        <v>48</v>
      </c>
    </row>
    <row r="11091">
      <c r="H11091" s="50"/>
      <c r="I11091" s="50"/>
      <c r="O11091" s="36" t="s">
        <v>48</v>
      </c>
      <c r="R11091" s="36" t="s">
        <v>48</v>
      </c>
    </row>
    <row r="11092">
      <c r="H11092" s="50"/>
      <c r="I11092" s="50"/>
      <c r="O11092" s="36" t="s">
        <v>48</v>
      </c>
      <c r="R11092" s="36" t="s">
        <v>48</v>
      </c>
    </row>
    <row r="11093">
      <c r="H11093" s="50"/>
      <c r="I11093" s="50"/>
      <c r="O11093" s="36" t="s">
        <v>48</v>
      </c>
      <c r="R11093" s="36" t="s">
        <v>48</v>
      </c>
    </row>
    <row r="11094">
      <c r="H11094" s="50"/>
      <c r="I11094" s="50"/>
      <c r="O11094" s="36" t="s">
        <v>48</v>
      </c>
      <c r="R11094" s="36" t="s">
        <v>48</v>
      </c>
    </row>
    <row r="11095">
      <c r="H11095" s="50"/>
      <c r="I11095" s="50"/>
      <c r="O11095" s="36" t="s">
        <v>48</v>
      </c>
      <c r="R11095" s="36" t="s">
        <v>48</v>
      </c>
    </row>
    <row r="11096">
      <c r="H11096" s="50"/>
      <c r="I11096" s="50"/>
      <c r="O11096" s="36" t="s">
        <v>48</v>
      </c>
      <c r="R11096" s="36" t="s">
        <v>48</v>
      </c>
    </row>
    <row r="11097">
      <c r="H11097" s="50"/>
      <c r="I11097" s="50"/>
      <c r="O11097" s="36" t="s">
        <v>48</v>
      </c>
      <c r="R11097" s="36" t="s">
        <v>48</v>
      </c>
    </row>
    <row r="11098">
      <c r="H11098" s="50"/>
      <c r="I11098" s="50"/>
      <c r="O11098" s="36" t="s">
        <v>48</v>
      </c>
      <c r="R11098" s="36" t="s">
        <v>48</v>
      </c>
    </row>
    <row r="11099">
      <c r="H11099" s="50"/>
      <c r="I11099" s="50"/>
      <c r="O11099" s="36" t="s">
        <v>48</v>
      </c>
      <c r="R11099" s="36" t="s">
        <v>48</v>
      </c>
    </row>
    <row r="11100">
      <c r="H11100" s="50"/>
      <c r="I11100" s="50"/>
      <c r="O11100" s="36" t="s">
        <v>48</v>
      </c>
      <c r="R11100" s="36" t="s">
        <v>48</v>
      </c>
    </row>
    <row r="11101">
      <c r="H11101" s="50"/>
      <c r="I11101" s="50"/>
      <c r="O11101" s="36" t="s">
        <v>48</v>
      </c>
      <c r="R11101" s="36" t="s">
        <v>48</v>
      </c>
    </row>
    <row r="11102">
      <c r="H11102" s="50"/>
      <c r="I11102" s="50"/>
      <c r="O11102" s="36" t="s">
        <v>48</v>
      </c>
      <c r="R11102" s="36" t="s">
        <v>48</v>
      </c>
    </row>
    <row r="11103">
      <c r="H11103" s="50"/>
      <c r="I11103" s="50"/>
      <c r="O11103" s="36" t="s">
        <v>48</v>
      </c>
      <c r="R11103" s="36" t="s">
        <v>48</v>
      </c>
    </row>
    <row r="11104">
      <c r="H11104" s="50"/>
      <c r="I11104" s="50"/>
      <c r="O11104" s="36" t="s">
        <v>48</v>
      </c>
      <c r="R11104" s="36" t="s">
        <v>48</v>
      </c>
    </row>
    <row r="11105">
      <c r="H11105" s="50"/>
      <c r="I11105" s="50"/>
      <c r="O11105" s="36" t="s">
        <v>48</v>
      </c>
      <c r="R11105" s="36" t="s">
        <v>48</v>
      </c>
    </row>
    <row r="11106">
      <c r="H11106" s="50"/>
      <c r="I11106" s="50"/>
      <c r="O11106" s="36" t="s">
        <v>48</v>
      </c>
      <c r="R11106" s="36" t="s">
        <v>48</v>
      </c>
    </row>
    <row r="11107">
      <c r="H11107" s="50"/>
      <c r="I11107" s="50"/>
      <c r="O11107" s="36" t="s">
        <v>48</v>
      </c>
      <c r="R11107" s="36" t="s">
        <v>48</v>
      </c>
    </row>
    <row r="11108">
      <c r="H11108" s="50"/>
      <c r="I11108" s="50"/>
      <c r="O11108" s="36" t="s">
        <v>48</v>
      </c>
      <c r="R11108" s="36" t="s">
        <v>48</v>
      </c>
    </row>
    <row r="11109">
      <c r="H11109" s="50"/>
      <c r="I11109" s="50"/>
      <c r="O11109" s="36" t="s">
        <v>48</v>
      </c>
      <c r="R11109" s="36" t="s">
        <v>48</v>
      </c>
    </row>
    <row r="11110">
      <c r="H11110" s="50"/>
      <c r="I11110" s="50"/>
      <c r="O11110" s="36" t="s">
        <v>48</v>
      </c>
      <c r="R11110" s="36" t="s">
        <v>48</v>
      </c>
    </row>
    <row r="11111">
      <c r="H11111" s="50"/>
      <c r="I11111" s="50"/>
      <c r="O11111" s="36" t="s">
        <v>48</v>
      </c>
      <c r="R11111" s="36" t="s">
        <v>48</v>
      </c>
    </row>
    <row r="11112">
      <c r="H11112" s="50"/>
      <c r="I11112" s="50"/>
      <c r="O11112" s="36" t="s">
        <v>48</v>
      </c>
      <c r="R11112" s="36" t="s">
        <v>48</v>
      </c>
    </row>
    <row r="11113">
      <c r="H11113" s="50"/>
      <c r="I11113" s="50"/>
      <c r="O11113" s="36" t="s">
        <v>48</v>
      </c>
      <c r="R11113" s="36" t="s">
        <v>48</v>
      </c>
    </row>
    <row r="11114">
      <c r="H11114" s="50"/>
      <c r="I11114" s="50"/>
      <c r="O11114" s="36" t="s">
        <v>48</v>
      </c>
      <c r="R11114" s="36" t="s">
        <v>48</v>
      </c>
    </row>
    <row r="11115">
      <c r="H11115" s="50"/>
      <c r="I11115" s="50"/>
      <c r="O11115" s="36" t="s">
        <v>48</v>
      </c>
      <c r="R11115" s="36" t="s">
        <v>48</v>
      </c>
    </row>
    <row r="11116">
      <c r="H11116" s="50"/>
      <c r="I11116" s="50"/>
      <c r="O11116" s="36" t="s">
        <v>48</v>
      </c>
      <c r="R11116" s="36" t="s">
        <v>48</v>
      </c>
    </row>
    <row r="11117">
      <c r="H11117" s="50"/>
      <c r="I11117" s="50"/>
      <c r="O11117" s="36" t="s">
        <v>48</v>
      </c>
      <c r="R11117" s="36" t="s">
        <v>48</v>
      </c>
    </row>
    <row r="11118">
      <c r="H11118" s="50"/>
      <c r="I11118" s="50"/>
      <c r="O11118" s="36" t="s">
        <v>48</v>
      </c>
      <c r="R11118" s="36" t="s">
        <v>48</v>
      </c>
    </row>
    <row r="11119">
      <c r="H11119" s="50"/>
      <c r="I11119" s="50"/>
      <c r="O11119" s="36" t="s">
        <v>48</v>
      </c>
      <c r="R11119" s="36" t="s">
        <v>48</v>
      </c>
    </row>
    <row r="11120">
      <c r="H11120" s="50"/>
      <c r="I11120" s="50"/>
      <c r="O11120" s="36" t="s">
        <v>48</v>
      </c>
      <c r="R11120" s="36" t="s">
        <v>48</v>
      </c>
    </row>
    <row r="11121">
      <c r="H11121" s="50"/>
      <c r="I11121" s="50"/>
      <c r="O11121" s="36" t="s">
        <v>48</v>
      </c>
      <c r="R11121" s="36" t="s">
        <v>48</v>
      </c>
    </row>
    <row r="11122">
      <c r="H11122" s="50"/>
      <c r="I11122" s="50"/>
      <c r="O11122" s="36" t="s">
        <v>48</v>
      </c>
      <c r="R11122" s="36" t="s">
        <v>48</v>
      </c>
    </row>
    <row r="11123">
      <c r="H11123" s="50"/>
      <c r="I11123" s="50"/>
      <c r="O11123" s="36" t="s">
        <v>48</v>
      </c>
      <c r="R11123" s="36" t="s">
        <v>48</v>
      </c>
    </row>
    <row r="11124">
      <c r="H11124" s="50"/>
      <c r="I11124" s="50"/>
      <c r="O11124" s="36" t="s">
        <v>48</v>
      </c>
      <c r="R11124" s="36" t="s">
        <v>48</v>
      </c>
    </row>
    <row r="11125">
      <c r="H11125" s="50"/>
      <c r="I11125" s="50"/>
      <c r="O11125" s="36" t="s">
        <v>48</v>
      </c>
      <c r="R11125" s="36" t="s">
        <v>48</v>
      </c>
    </row>
    <row r="11126">
      <c r="H11126" s="50"/>
      <c r="I11126" s="50"/>
      <c r="O11126" s="36" t="s">
        <v>48</v>
      </c>
      <c r="R11126" s="36" t="s">
        <v>48</v>
      </c>
    </row>
    <row r="11127">
      <c r="H11127" s="50"/>
      <c r="I11127" s="50"/>
      <c r="O11127" s="36" t="s">
        <v>48</v>
      </c>
      <c r="R11127" s="36" t="s">
        <v>48</v>
      </c>
    </row>
    <row r="11128">
      <c r="H11128" s="50"/>
      <c r="I11128" s="50"/>
      <c r="O11128" s="36" t="s">
        <v>48</v>
      </c>
      <c r="R11128" s="36" t="s">
        <v>48</v>
      </c>
    </row>
    <row r="11129">
      <c r="H11129" s="50"/>
      <c r="I11129" s="50"/>
      <c r="O11129" s="36" t="s">
        <v>48</v>
      </c>
      <c r="R11129" s="36" t="s">
        <v>48</v>
      </c>
    </row>
    <row r="11130">
      <c r="H11130" s="50"/>
      <c r="I11130" s="50"/>
      <c r="O11130" s="36" t="s">
        <v>48</v>
      </c>
      <c r="R11130" s="36" t="s">
        <v>48</v>
      </c>
    </row>
    <row r="11131">
      <c r="H11131" s="50"/>
      <c r="I11131" s="50"/>
      <c r="O11131" s="36" t="s">
        <v>48</v>
      </c>
      <c r="R11131" s="36" t="s">
        <v>48</v>
      </c>
    </row>
    <row r="11132">
      <c r="H11132" s="50"/>
      <c r="I11132" s="50"/>
      <c r="O11132" s="36" t="s">
        <v>48</v>
      </c>
      <c r="R11132" s="36" t="s">
        <v>48</v>
      </c>
    </row>
    <row r="11133">
      <c r="H11133" s="50"/>
      <c r="I11133" s="50"/>
      <c r="O11133" s="36" t="s">
        <v>48</v>
      </c>
      <c r="R11133" s="36" t="s">
        <v>48</v>
      </c>
    </row>
    <row r="11134">
      <c r="H11134" s="50"/>
      <c r="I11134" s="50"/>
      <c r="O11134" s="36" t="s">
        <v>48</v>
      </c>
      <c r="R11134" s="36" t="s">
        <v>48</v>
      </c>
    </row>
    <row r="11135">
      <c r="H11135" s="50"/>
      <c r="I11135" s="50"/>
      <c r="O11135" s="36" t="s">
        <v>48</v>
      </c>
      <c r="R11135" s="36" t="s">
        <v>48</v>
      </c>
    </row>
    <row r="11136">
      <c r="H11136" s="50"/>
      <c r="I11136" s="50"/>
      <c r="O11136" s="36" t="s">
        <v>48</v>
      </c>
      <c r="R11136" s="36" t="s">
        <v>48</v>
      </c>
    </row>
    <row r="11137">
      <c r="H11137" s="50"/>
      <c r="I11137" s="50"/>
      <c r="O11137" s="36" t="s">
        <v>48</v>
      </c>
      <c r="R11137" s="36" t="s">
        <v>48</v>
      </c>
    </row>
    <row r="11138">
      <c r="H11138" s="50"/>
      <c r="I11138" s="50"/>
      <c r="O11138" s="36" t="s">
        <v>48</v>
      </c>
      <c r="R11138" s="36" t="s">
        <v>48</v>
      </c>
    </row>
    <row r="11139">
      <c r="H11139" s="50"/>
      <c r="I11139" s="50"/>
      <c r="O11139" s="36" t="s">
        <v>48</v>
      </c>
      <c r="R11139" s="36" t="s">
        <v>48</v>
      </c>
    </row>
    <row r="11140">
      <c r="H11140" s="50"/>
      <c r="I11140" s="50"/>
      <c r="O11140" s="36" t="s">
        <v>48</v>
      </c>
      <c r="R11140" s="36" t="s">
        <v>48</v>
      </c>
    </row>
    <row r="11141">
      <c r="H11141" s="50"/>
      <c r="I11141" s="50"/>
      <c r="O11141" s="36" t="s">
        <v>48</v>
      </c>
      <c r="R11141" s="36" t="s">
        <v>48</v>
      </c>
    </row>
    <row r="11142">
      <c r="H11142" s="50"/>
      <c r="I11142" s="50"/>
      <c r="O11142" s="36" t="s">
        <v>48</v>
      </c>
      <c r="R11142" s="36" t="s">
        <v>48</v>
      </c>
    </row>
    <row r="11143">
      <c r="H11143" s="50"/>
      <c r="I11143" s="50"/>
      <c r="O11143" s="36" t="s">
        <v>48</v>
      </c>
      <c r="R11143" s="36" t="s">
        <v>48</v>
      </c>
    </row>
    <row r="11144">
      <c r="H11144" s="50"/>
      <c r="I11144" s="50"/>
      <c r="O11144" s="36" t="s">
        <v>48</v>
      </c>
      <c r="R11144" s="36" t="s">
        <v>48</v>
      </c>
    </row>
    <row r="11145">
      <c r="H11145" s="50"/>
      <c r="I11145" s="50"/>
      <c r="O11145" s="36" t="s">
        <v>48</v>
      </c>
      <c r="R11145" s="36" t="s">
        <v>48</v>
      </c>
    </row>
    <row r="11146">
      <c r="H11146" s="50"/>
      <c r="I11146" s="50"/>
      <c r="O11146" s="36" t="s">
        <v>48</v>
      </c>
      <c r="R11146" s="36" t="s">
        <v>48</v>
      </c>
    </row>
    <row r="11147">
      <c r="H11147" s="50"/>
      <c r="I11147" s="50"/>
      <c r="O11147" s="36" t="s">
        <v>48</v>
      </c>
      <c r="R11147" s="36" t="s">
        <v>48</v>
      </c>
    </row>
    <row r="11148">
      <c r="H11148" s="50"/>
      <c r="I11148" s="50"/>
      <c r="O11148" s="36" t="s">
        <v>48</v>
      </c>
      <c r="R11148" s="36" t="s">
        <v>48</v>
      </c>
    </row>
    <row r="11149">
      <c r="H11149" s="50"/>
      <c r="I11149" s="50"/>
      <c r="O11149" s="36" t="s">
        <v>48</v>
      </c>
      <c r="R11149" s="36" t="s">
        <v>48</v>
      </c>
    </row>
    <row r="11150">
      <c r="H11150" s="50"/>
      <c r="I11150" s="50"/>
      <c r="O11150" s="36" t="s">
        <v>48</v>
      </c>
      <c r="R11150" s="36" t="s">
        <v>48</v>
      </c>
    </row>
    <row r="11151">
      <c r="H11151" s="50"/>
      <c r="I11151" s="50"/>
      <c r="O11151" s="36" t="s">
        <v>48</v>
      </c>
      <c r="R11151" s="36" t="s">
        <v>48</v>
      </c>
    </row>
    <row r="11152">
      <c r="H11152" s="50"/>
      <c r="I11152" s="50"/>
      <c r="O11152" s="36" t="s">
        <v>48</v>
      </c>
      <c r="R11152" s="36" t="s">
        <v>48</v>
      </c>
    </row>
    <row r="11153">
      <c r="H11153" s="50"/>
      <c r="I11153" s="50"/>
      <c r="O11153" s="36" t="s">
        <v>48</v>
      </c>
      <c r="R11153" s="36" t="s">
        <v>48</v>
      </c>
    </row>
    <row r="11154">
      <c r="H11154" s="50"/>
      <c r="I11154" s="50"/>
      <c r="O11154" s="36" t="s">
        <v>48</v>
      </c>
      <c r="R11154" s="36" t="s">
        <v>48</v>
      </c>
    </row>
    <row r="11155">
      <c r="H11155" s="50"/>
      <c r="I11155" s="50"/>
      <c r="O11155" s="36" t="s">
        <v>48</v>
      </c>
      <c r="R11155" s="36" t="s">
        <v>48</v>
      </c>
    </row>
    <row r="11156">
      <c r="H11156" s="50"/>
      <c r="I11156" s="50"/>
      <c r="O11156" s="36" t="s">
        <v>48</v>
      </c>
      <c r="R11156" s="36" t="s">
        <v>48</v>
      </c>
    </row>
    <row r="11157">
      <c r="H11157" s="50"/>
      <c r="I11157" s="50"/>
      <c r="O11157" s="36" t="s">
        <v>48</v>
      </c>
      <c r="R11157" s="36" t="s">
        <v>48</v>
      </c>
    </row>
    <row r="11158">
      <c r="H11158" s="50"/>
      <c r="I11158" s="50"/>
      <c r="O11158" s="36" t="s">
        <v>48</v>
      </c>
      <c r="R11158" s="36" t="s">
        <v>48</v>
      </c>
    </row>
    <row r="11159">
      <c r="H11159" s="50"/>
      <c r="I11159" s="50"/>
      <c r="O11159" s="36" t="s">
        <v>48</v>
      </c>
      <c r="R11159" s="36" t="s">
        <v>48</v>
      </c>
    </row>
    <row r="11160">
      <c r="H11160" s="50"/>
      <c r="I11160" s="50"/>
      <c r="O11160" s="36" t="s">
        <v>48</v>
      </c>
      <c r="R11160" s="36" t="s">
        <v>48</v>
      </c>
    </row>
    <row r="11161">
      <c r="H11161" s="50"/>
      <c r="I11161" s="50"/>
      <c r="O11161" s="36" t="s">
        <v>48</v>
      </c>
      <c r="R11161" s="36" t="s">
        <v>48</v>
      </c>
    </row>
    <row r="11162">
      <c r="H11162" s="50"/>
      <c r="I11162" s="50"/>
      <c r="O11162" s="36" t="s">
        <v>48</v>
      </c>
      <c r="R11162" s="36" t="s">
        <v>48</v>
      </c>
    </row>
    <row r="11163">
      <c r="H11163" s="50"/>
      <c r="I11163" s="50"/>
      <c r="O11163" s="36" t="s">
        <v>48</v>
      </c>
      <c r="R11163" s="36" t="s">
        <v>48</v>
      </c>
    </row>
    <row r="11164">
      <c r="H11164" s="50"/>
      <c r="I11164" s="50"/>
      <c r="O11164" s="36" t="s">
        <v>48</v>
      </c>
      <c r="R11164" s="36" t="s">
        <v>48</v>
      </c>
    </row>
    <row r="11165">
      <c r="H11165" s="50"/>
      <c r="I11165" s="50"/>
      <c r="O11165" s="36" t="s">
        <v>48</v>
      </c>
      <c r="R11165" s="36" t="s">
        <v>48</v>
      </c>
    </row>
    <row r="11166">
      <c r="H11166" s="50"/>
      <c r="I11166" s="50"/>
      <c r="O11166" s="36" t="s">
        <v>48</v>
      </c>
      <c r="R11166" s="36" t="s">
        <v>48</v>
      </c>
    </row>
    <row r="11167">
      <c r="H11167" s="50"/>
      <c r="I11167" s="50"/>
      <c r="O11167" s="36" t="s">
        <v>48</v>
      </c>
      <c r="R11167" s="36" t="s">
        <v>48</v>
      </c>
    </row>
    <row r="11168">
      <c r="H11168" s="50"/>
      <c r="I11168" s="50"/>
      <c r="O11168" s="36" t="s">
        <v>48</v>
      </c>
      <c r="R11168" s="36" t="s">
        <v>48</v>
      </c>
    </row>
    <row r="11169">
      <c r="H11169" s="50"/>
      <c r="I11169" s="50"/>
      <c r="O11169" s="36" t="s">
        <v>48</v>
      </c>
      <c r="R11169" s="36" t="s">
        <v>48</v>
      </c>
    </row>
    <row r="11170">
      <c r="H11170" s="50"/>
      <c r="I11170" s="50"/>
      <c r="O11170" s="36" t="s">
        <v>48</v>
      </c>
      <c r="R11170" s="36" t="s">
        <v>48</v>
      </c>
    </row>
    <row r="11171">
      <c r="H11171" s="50"/>
      <c r="I11171" s="50"/>
      <c r="O11171" s="36" t="s">
        <v>48</v>
      </c>
      <c r="R11171" s="36" t="s">
        <v>48</v>
      </c>
    </row>
    <row r="11172">
      <c r="H11172" s="50"/>
      <c r="I11172" s="50"/>
      <c r="O11172" s="36" t="s">
        <v>48</v>
      </c>
      <c r="R11172" s="36" t="s">
        <v>48</v>
      </c>
    </row>
    <row r="11173">
      <c r="H11173" s="50"/>
      <c r="I11173" s="50"/>
      <c r="O11173" s="36" t="s">
        <v>48</v>
      </c>
      <c r="R11173" s="36" t="s">
        <v>48</v>
      </c>
    </row>
    <row r="11174">
      <c r="H11174" s="50"/>
      <c r="I11174" s="50"/>
      <c r="O11174" s="36" t="s">
        <v>48</v>
      </c>
      <c r="R11174" s="36" t="s">
        <v>48</v>
      </c>
    </row>
    <row r="11175">
      <c r="H11175" s="50"/>
      <c r="I11175" s="50"/>
      <c r="O11175" s="36" t="s">
        <v>48</v>
      </c>
      <c r="R11175" s="36" t="s">
        <v>48</v>
      </c>
    </row>
    <row r="11176">
      <c r="H11176" s="50"/>
      <c r="I11176" s="50"/>
      <c r="O11176" s="36" t="s">
        <v>48</v>
      </c>
      <c r="R11176" s="36" t="s">
        <v>48</v>
      </c>
    </row>
    <row r="11177">
      <c r="H11177" s="50"/>
      <c r="I11177" s="50"/>
      <c r="O11177" s="36" t="s">
        <v>48</v>
      </c>
      <c r="R11177" s="36" t="s">
        <v>48</v>
      </c>
    </row>
    <row r="11178">
      <c r="H11178" s="50"/>
      <c r="I11178" s="50"/>
      <c r="O11178" s="36" t="s">
        <v>48</v>
      </c>
      <c r="R11178" s="36" t="s">
        <v>48</v>
      </c>
    </row>
    <row r="11179">
      <c r="H11179" s="50"/>
      <c r="I11179" s="50"/>
      <c r="O11179" s="36" t="s">
        <v>48</v>
      </c>
      <c r="R11179" s="36" t="s">
        <v>48</v>
      </c>
    </row>
    <row r="11180">
      <c r="H11180" s="50"/>
      <c r="I11180" s="50"/>
      <c r="O11180" s="36" t="s">
        <v>48</v>
      </c>
      <c r="R11180" s="36" t="s">
        <v>48</v>
      </c>
    </row>
    <row r="11181">
      <c r="H11181" s="50"/>
      <c r="I11181" s="50"/>
      <c r="O11181" s="36" t="s">
        <v>48</v>
      </c>
      <c r="R11181" s="36" t="s">
        <v>48</v>
      </c>
    </row>
    <row r="11182">
      <c r="H11182" s="50"/>
      <c r="I11182" s="50"/>
      <c r="O11182" s="36" t="s">
        <v>48</v>
      </c>
      <c r="R11182" s="36" t="s">
        <v>48</v>
      </c>
    </row>
    <row r="11183">
      <c r="H11183" s="50"/>
      <c r="I11183" s="50"/>
      <c r="O11183" s="36" t="s">
        <v>48</v>
      </c>
      <c r="R11183" s="36" t="s">
        <v>48</v>
      </c>
    </row>
    <row r="11184">
      <c r="H11184" s="50"/>
      <c r="I11184" s="50"/>
      <c r="O11184" s="36" t="s">
        <v>48</v>
      </c>
      <c r="R11184" s="36" t="s">
        <v>48</v>
      </c>
    </row>
    <row r="11185">
      <c r="H11185" s="50"/>
      <c r="I11185" s="50"/>
      <c r="O11185" s="36" t="s">
        <v>48</v>
      </c>
      <c r="R11185" s="36" t="s">
        <v>48</v>
      </c>
    </row>
    <row r="11186">
      <c r="H11186" s="50"/>
      <c r="I11186" s="50"/>
      <c r="O11186" s="36" t="s">
        <v>48</v>
      </c>
      <c r="R11186" s="36" t="s">
        <v>48</v>
      </c>
    </row>
    <row r="11187">
      <c r="H11187" s="50"/>
      <c r="I11187" s="50"/>
      <c r="O11187" s="36" t="s">
        <v>48</v>
      </c>
      <c r="R11187" s="36" t="s">
        <v>48</v>
      </c>
    </row>
    <row r="11188">
      <c r="H11188" s="50"/>
      <c r="I11188" s="50"/>
      <c r="O11188" s="36" t="s">
        <v>48</v>
      </c>
      <c r="R11188" s="36" t="s">
        <v>48</v>
      </c>
    </row>
    <row r="11189">
      <c r="H11189" s="50"/>
      <c r="I11189" s="50"/>
      <c r="O11189" s="36" t="s">
        <v>48</v>
      </c>
      <c r="R11189" s="36" t="s">
        <v>48</v>
      </c>
    </row>
    <row r="11190">
      <c r="H11190" s="50"/>
      <c r="I11190" s="50"/>
      <c r="O11190" s="36" t="s">
        <v>48</v>
      </c>
      <c r="R11190" s="36" t="s">
        <v>48</v>
      </c>
    </row>
    <row r="11191">
      <c r="H11191" s="50"/>
      <c r="I11191" s="50"/>
      <c r="O11191" s="36" t="s">
        <v>48</v>
      </c>
      <c r="R11191" s="36" t="s">
        <v>48</v>
      </c>
    </row>
    <row r="11192">
      <c r="H11192" s="50"/>
      <c r="I11192" s="50"/>
      <c r="O11192" s="36" t="s">
        <v>48</v>
      </c>
      <c r="R11192" s="36" t="s">
        <v>48</v>
      </c>
    </row>
    <row r="11193">
      <c r="H11193" s="50"/>
      <c r="I11193" s="50"/>
      <c r="O11193" s="36" t="s">
        <v>48</v>
      </c>
      <c r="R11193" s="36" t="s">
        <v>48</v>
      </c>
    </row>
    <row r="11194">
      <c r="H11194" s="50"/>
      <c r="I11194" s="50"/>
      <c r="O11194" s="36" t="s">
        <v>48</v>
      </c>
      <c r="R11194" s="36" t="s">
        <v>48</v>
      </c>
    </row>
    <row r="11195">
      <c r="H11195" s="50"/>
      <c r="I11195" s="50"/>
      <c r="O11195" s="36" t="s">
        <v>48</v>
      </c>
      <c r="R11195" s="36" t="s">
        <v>48</v>
      </c>
    </row>
    <row r="11196">
      <c r="H11196" s="50"/>
      <c r="I11196" s="50"/>
      <c r="O11196" s="36" t="s">
        <v>48</v>
      </c>
      <c r="R11196" s="36" t="s">
        <v>48</v>
      </c>
    </row>
    <row r="11197">
      <c r="H11197" s="50"/>
      <c r="I11197" s="50"/>
      <c r="O11197" s="36" t="s">
        <v>48</v>
      </c>
      <c r="R11197" s="36" t="s">
        <v>48</v>
      </c>
    </row>
    <row r="11198">
      <c r="H11198" s="50"/>
      <c r="I11198" s="50"/>
      <c r="O11198" s="36" t="s">
        <v>48</v>
      </c>
      <c r="R11198" s="36" t="s">
        <v>48</v>
      </c>
    </row>
    <row r="11199">
      <c r="H11199" s="50"/>
      <c r="I11199" s="50"/>
      <c r="O11199" s="36" t="s">
        <v>48</v>
      </c>
      <c r="R11199" s="36" t="s">
        <v>48</v>
      </c>
    </row>
    <row r="11200">
      <c r="H11200" s="50"/>
      <c r="I11200" s="50"/>
      <c r="O11200" s="36" t="s">
        <v>48</v>
      </c>
      <c r="R11200" s="36" t="s">
        <v>48</v>
      </c>
    </row>
    <row r="11201">
      <c r="H11201" s="50"/>
      <c r="I11201" s="50"/>
      <c r="O11201" s="36" t="s">
        <v>48</v>
      </c>
      <c r="R11201" s="36" t="s">
        <v>48</v>
      </c>
    </row>
    <row r="11202">
      <c r="H11202" s="50"/>
      <c r="I11202" s="50"/>
      <c r="O11202" s="36" t="s">
        <v>48</v>
      </c>
      <c r="R11202" s="36" t="s">
        <v>48</v>
      </c>
    </row>
    <row r="11203">
      <c r="H11203" s="50"/>
      <c r="I11203" s="50"/>
      <c r="O11203" s="36" t="s">
        <v>48</v>
      </c>
      <c r="R11203" s="36" t="s">
        <v>48</v>
      </c>
    </row>
    <row r="11204">
      <c r="H11204" s="50"/>
      <c r="I11204" s="50"/>
      <c r="O11204" s="36" t="s">
        <v>48</v>
      </c>
      <c r="R11204" s="36" t="s">
        <v>48</v>
      </c>
    </row>
    <row r="11205">
      <c r="H11205" s="50"/>
      <c r="I11205" s="50"/>
      <c r="O11205" s="36" t="s">
        <v>48</v>
      </c>
      <c r="R11205" s="36" t="s">
        <v>48</v>
      </c>
    </row>
    <row r="11206">
      <c r="H11206" s="50"/>
      <c r="I11206" s="50"/>
      <c r="O11206" s="36" t="s">
        <v>48</v>
      </c>
      <c r="R11206" s="36" t="s">
        <v>48</v>
      </c>
    </row>
    <row r="11207">
      <c r="H11207" s="50"/>
      <c r="I11207" s="50"/>
      <c r="O11207" s="36" t="s">
        <v>48</v>
      </c>
      <c r="R11207" s="36" t="s">
        <v>48</v>
      </c>
    </row>
    <row r="11208">
      <c r="H11208" s="50"/>
      <c r="I11208" s="50"/>
      <c r="O11208" s="36" t="s">
        <v>48</v>
      </c>
      <c r="R11208" s="36" t="s">
        <v>48</v>
      </c>
    </row>
    <row r="11209">
      <c r="H11209" s="50"/>
      <c r="I11209" s="50"/>
      <c r="O11209" s="36" t="s">
        <v>48</v>
      </c>
      <c r="R11209" s="36" t="s">
        <v>48</v>
      </c>
    </row>
    <row r="11210">
      <c r="H11210" s="50"/>
      <c r="I11210" s="50"/>
      <c r="O11210" s="36" t="s">
        <v>48</v>
      </c>
      <c r="R11210" s="36" t="s">
        <v>48</v>
      </c>
    </row>
    <row r="11211">
      <c r="H11211" s="50"/>
      <c r="I11211" s="50"/>
      <c r="O11211" s="36" t="s">
        <v>48</v>
      </c>
      <c r="R11211" s="36" t="s">
        <v>48</v>
      </c>
    </row>
    <row r="11212">
      <c r="H11212" s="50"/>
      <c r="I11212" s="50"/>
      <c r="O11212" s="36" t="s">
        <v>48</v>
      </c>
      <c r="R11212" s="36" t="s">
        <v>48</v>
      </c>
    </row>
    <row r="11213">
      <c r="H11213" s="50"/>
      <c r="I11213" s="50"/>
      <c r="O11213" s="36" t="s">
        <v>48</v>
      </c>
      <c r="R11213" s="36" t="s">
        <v>48</v>
      </c>
    </row>
    <row r="11214">
      <c r="H11214" s="50"/>
      <c r="I11214" s="50"/>
      <c r="O11214" s="36" t="s">
        <v>48</v>
      </c>
      <c r="R11214" s="36" t="s">
        <v>48</v>
      </c>
    </row>
    <row r="11215">
      <c r="H11215" s="50"/>
      <c r="I11215" s="50"/>
      <c r="O11215" s="36" t="s">
        <v>48</v>
      </c>
      <c r="R11215" s="36" t="s">
        <v>48</v>
      </c>
    </row>
    <row r="11216">
      <c r="H11216" s="50"/>
      <c r="I11216" s="50"/>
      <c r="O11216" s="36" t="s">
        <v>48</v>
      </c>
      <c r="R11216" s="36" t="s">
        <v>48</v>
      </c>
    </row>
    <row r="11217">
      <c r="H11217" s="50"/>
      <c r="I11217" s="50"/>
      <c r="O11217" s="36" t="s">
        <v>48</v>
      </c>
      <c r="R11217" s="36" t="s">
        <v>48</v>
      </c>
    </row>
    <row r="11218">
      <c r="H11218" s="50"/>
      <c r="I11218" s="50"/>
      <c r="O11218" s="36" t="s">
        <v>48</v>
      </c>
      <c r="R11218" s="36" t="s">
        <v>48</v>
      </c>
    </row>
    <row r="11219">
      <c r="H11219" s="50"/>
      <c r="I11219" s="50"/>
      <c r="O11219" s="36" t="s">
        <v>48</v>
      </c>
      <c r="R11219" s="36" t="s">
        <v>48</v>
      </c>
    </row>
    <row r="11220">
      <c r="H11220" s="50"/>
      <c r="I11220" s="50"/>
      <c r="O11220" s="36" t="s">
        <v>48</v>
      </c>
      <c r="R11220" s="36" t="s">
        <v>48</v>
      </c>
    </row>
    <row r="11221">
      <c r="H11221" s="50"/>
      <c r="I11221" s="50"/>
      <c r="O11221" s="36" t="s">
        <v>48</v>
      </c>
      <c r="R11221" s="36" t="s">
        <v>48</v>
      </c>
    </row>
    <row r="11222">
      <c r="H11222" s="50"/>
      <c r="I11222" s="50"/>
      <c r="O11222" s="36" t="s">
        <v>48</v>
      </c>
      <c r="R11222" s="36" t="s">
        <v>48</v>
      </c>
    </row>
    <row r="11223">
      <c r="H11223" s="50"/>
      <c r="I11223" s="50"/>
      <c r="O11223" s="36" t="s">
        <v>48</v>
      </c>
      <c r="R11223" s="36" t="s">
        <v>48</v>
      </c>
    </row>
    <row r="11224">
      <c r="H11224" s="50"/>
      <c r="I11224" s="50"/>
      <c r="O11224" s="36" t="s">
        <v>48</v>
      </c>
      <c r="R11224" s="36" t="s">
        <v>48</v>
      </c>
    </row>
    <row r="11225">
      <c r="H11225" s="50"/>
      <c r="I11225" s="50"/>
      <c r="O11225" s="36" t="s">
        <v>48</v>
      </c>
      <c r="R11225" s="36" t="s">
        <v>48</v>
      </c>
    </row>
    <row r="11226">
      <c r="H11226" s="50"/>
      <c r="I11226" s="50"/>
      <c r="O11226" s="36" t="s">
        <v>48</v>
      </c>
      <c r="R11226" s="36" t="s">
        <v>48</v>
      </c>
    </row>
    <row r="11227">
      <c r="H11227" s="50"/>
      <c r="I11227" s="50"/>
      <c r="O11227" s="36" t="s">
        <v>48</v>
      </c>
      <c r="R11227" s="36" t="s">
        <v>48</v>
      </c>
    </row>
    <row r="11228">
      <c r="H11228" s="50"/>
      <c r="I11228" s="50"/>
      <c r="O11228" s="36" t="s">
        <v>48</v>
      </c>
      <c r="R11228" s="36" t="s">
        <v>48</v>
      </c>
    </row>
    <row r="11229">
      <c r="H11229" s="50"/>
      <c r="I11229" s="50"/>
      <c r="O11229" s="36" t="s">
        <v>48</v>
      </c>
      <c r="R11229" s="36" t="s">
        <v>48</v>
      </c>
    </row>
    <row r="11230">
      <c r="H11230" s="50"/>
      <c r="I11230" s="50"/>
      <c r="O11230" s="36" t="s">
        <v>48</v>
      </c>
      <c r="R11230" s="36" t="s">
        <v>48</v>
      </c>
    </row>
    <row r="11231">
      <c r="H11231" s="50"/>
      <c r="I11231" s="50"/>
      <c r="O11231" s="36" t="s">
        <v>48</v>
      </c>
      <c r="R11231" s="36" t="s">
        <v>48</v>
      </c>
    </row>
    <row r="11232">
      <c r="H11232" s="50"/>
      <c r="I11232" s="50"/>
      <c r="O11232" s="36" t="s">
        <v>48</v>
      </c>
      <c r="R11232" s="36" t="s">
        <v>48</v>
      </c>
    </row>
    <row r="11233">
      <c r="H11233" s="50"/>
      <c r="I11233" s="50"/>
      <c r="O11233" s="36" t="s">
        <v>48</v>
      </c>
      <c r="R11233" s="36" t="s">
        <v>48</v>
      </c>
    </row>
    <row r="11234">
      <c r="H11234" s="50"/>
      <c r="I11234" s="50"/>
      <c r="O11234" s="36" t="s">
        <v>48</v>
      </c>
      <c r="R11234" s="36" t="s">
        <v>48</v>
      </c>
    </row>
    <row r="11235">
      <c r="H11235" s="50"/>
      <c r="I11235" s="50"/>
      <c r="O11235" s="36" t="s">
        <v>48</v>
      </c>
      <c r="R11235" s="36" t="s">
        <v>48</v>
      </c>
    </row>
    <row r="11236">
      <c r="H11236" s="50"/>
      <c r="I11236" s="50"/>
      <c r="O11236" s="36" t="s">
        <v>48</v>
      </c>
      <c r="R11236" s="36" t="s">
        <v>48</v>
      </c>
    </row>
    <row r="11237">
      <c r="H11237" s="50"/>
      <c r="I11237" s="50"/>
      <c r="O11237" s="36" t="s">
        <v>48</v>
      </c>
      <c r="R11237" s="36" t="s">
        <v>48</v>
      </c>
    </row>
    <row r="11238">
      <c r="H11238" s="50"/>
      <c r="I11238" s="50"/>
      <c r="O11238" s="36" t="s">
        <v>48</v>
      </c>
      <c r="R11238" s="36" t="s">
        <v>48</v>
      </c>
    </row>
    <row r="11239">
      <c r="H11239" s="50"/>
      <c r="I11239" s="50"/>
      <c r="O11239" s="36" t="s">
        <v>48</v>
      </c>
      <c r="R11239" s="36" t="s">
        <v>48</v>
      </c>
    </row>
    <row r="11240">
      <c r="H11240" s="50"/>
      <c r="I11240" s="50"/>
      <c r="O11240" s="36" t="s">
        <v>48</v>
      </c>
      <c r="R11240" s="36" t="s">
        <v>48</v>
      </c>
    </row>
    <row r="11241">
      <c r="H11241" s="50"/>
      <c r="I11241" s="50"/>
      <c r="O11241" s="36" t="s">
        <v>48</v>
      </c>
      <c r="R11241" s="36" t="s">
        <v>48</v>
      </c>
    </row>
    <row r="11242">
      <c r="H11242" s="50"/>
      <c r="I11242" s="50"/>
      <c r="O11242" s="36" t="s">
        <v>48</v>
      </c>
      <c r="R11242" s="36" t="s">
        <v>48</v>
      </c>
    </row>
    <row r="11243">
      <c r="H11243" s="50"/>
      <c r="I11243" s="50"/>
      <c r="O11243" s="36" t="s">
        <v>48</v>
      </c>
      <c r="R11243" s="36" t="s">
        <v>48</v>
      </c>
    </row>
    <row r="11244">
      <c r="H11244" s="50"/>
      <c r="I11244" s="50"/>
      <c r="O11244" s="36" t="s">
        <v>48</v>
      </c>
      <c r="R11244" s="36" t="s">
        <v>48</v>
      </c>
    </row>
    <row r="11245">
      <c r="H11245" s="50"/>
      <c r="I11245" s="50"/>
      <c r="O11245" s="36" t="s">
        <v>48</v>
      </c>
      <c r="R11245" s="36" t="s">
        <v>48</v>
      </c>
    </row>
    <row r="11246">
      <c r="H11246" s="50"/>
      <c r="I11246" s="50"/>
      <c r="O11246" s="36" t="s">
        <v>48</v>
      </c>
      <c r="R11246" s="36" t="s">
        <v>48</v>
      </c>
    </row>
    <row r="11247">
      <c r="H11247" s="50"/>
      <c r="I11247" s="50"/>
      <c r="O11247" s="36" t="s">
        <v>48</v>
      </c>
      <c r="R11247" s="36" t="s">
        <v>48</v>
      </c>
    </row>
    <row r="11248">
      <c r="H11248" s="50"/>
      <c r="I11248" s="50"/>
      <c r="O11248" s="36" t="s">
        <v>48</v>
      </c>
      <c r="R11248" s="36" t="s">
        <v>48</v>
      </c>
    </row>
    <row r="11249">
      <c r="H11249" s="50"/>
      <c r="I11249" s="50"/>
      <c r="O11249" s="36" t="s">
        <v>48</v>
      </c>
      <c r="R11249" s="36" t="s">
        <v>48</v>
      </c>
    </row>
    <row r="11250">
      <c r="H11250" s="50"/>
      <c r="I11250" s="50"/>
      <c r="O11250" s="36" t="s">
        <v>48</v>
      </c>
      <c r="R11250" s="36" t="s">
        <v>48</v>
      </c>
    </row>
    <row r="11251">
      <c r="H11251" s="50"/>
      <c r="I11251" s="50"/>
      <c r="O11251" s="36" t="s">
        <v>48</v>
      </c>
      <c r="R11251" s="36" t="s">
        <v>48</v>
      </c>
    </row>
    <row r="11252">
      <c r="H11252" s="50"/>
      <c r="I11252" s="50"/>
      <c r="O11252" s="36" t="s">
        <v>48</v>
      </c>
      <c r="R11252" s="36" t="s">
        <v>48</v>
      </c>
    </row>
    <row r="11253">
      <c r="H11253" s="50"/>
      <c r="I11253" s="50"/>
      <c r="O11253" s="36" t="s">
        <v>48</v>
      </c>
      <c r="R11253" s="36" t="s">
        <v>48</v>
      </c>
    </row>
    <row r="11254">
      <c r="H11254" s="50"/>
      <c r="I11254" s="50"/>
      <c r="O11254" s="36" t="s">
        <v>48</v>
      </c>
      <c r="R11254" s="36" t="s">
        <v>48</v>
      </c>
    </row>
    <row r="11255">
      <c r="H11255" s="50"/>
      <c r="I11255" s="50"/>
      <c r="O11255" s="36" t="s">
        <v>48</v>
      </c>
      <c r="R11255" s="36" t="s">
        <v>48</v>
      </c>
    </row>
    <row r="11256">
      <c r="H11256" s="50"/>
      <c r="I11256" s="50"/>
      <c r="O11256" s="36" t="s">
        <v>48</v>
      </c>
      <c r="R11256" s="36" t="s">
        <v>48</v>
      </c>
    </row>
    <row r="11257">
      <c r="H11257" s="50"/>
      <c r="I11257" s="50"/>
      <c r="O11257" s="36" t="s">
        <v>48</v>
      </c>
      <c r="R11257" s="36" t="s">
        <v>48</v>
      </c>
    </row>
    <row r="11258">
      <c r="H11258" s="50"/>
      <c r="I11258" s="50"/>
      <c r="O11258" s="36" t="s">
        <v>48</v>
      </c>
      <c r="R11258" s="36" t="s">
        <v>48</v>
      </c>
    </row>
    <row r="11259">
      <c r="H11259" s="50"/>
      <c r="I11259" s="50"/>
      <c r="O11259" s="36" t="s">
        <v>48</v>
      </c>
      <c r="R11259" s="36" t="s">
        <v>48</v>
      </c>
    </row>
    <row r="11260">
      <c r="H11260" s="50"/>
      <c r="I11260" s="50"/>
      <c r="O11260" s="36" t="s">
        <v>48</v>
      </c>
      <c r="R11260" s="36" t="s">
        <v>48</v>
      </c>
    </row>
    <row r="11261">
      <c r="H11261" s="50"/>
      <c r="I11261" s="50"/>
      <c r="O11261" s="36" t="s">
        <v>48</v>
      </c>
      <c r="R11261" s="36" t="s">
        <v>48</v>
      </c>
    </row>
    <row r="11262">
      <c r="H11262" s="50"/>
      <c r="I11262" s="50"/>
      <c r="O11262" s="36" t="s">
        <v>48</v>
      </c>
      <c r="R11262" s="36" t="s">
        <v>48</v>
      </c>
    </row>
    <row r="11263">
      <c r="H11263" s="50"/>
      <c r="I11263" s="50"/>
      <c r="O11263" s="36" t="s">
        <v>48</v>
      </c>
      <c r="R11263" s="36" t="s">
        <v>48</v>
      </c>
    </row>
    <row r="11264">
      <c r="H11264" s="50"/>
      <c r="I11264" s="50"/>
      <c r="O11264" s="36" t="s">
        <v>48</v>
      </c>
      <c r="R11264" s="36" t="s">
        <v>48</v>
      </c>
    </row>
    <row r="11265">
      <c r="H11265" s="50"/>
      <c r="I11265" s="50"/>
      <c r="O11265" s="36" t="s">
        <v>48</v>
      </c>
      <c r="R11265" s="36" t="s">
        <v>48</v>
      </c>
    </row>
    <row r="11266">
      <c r="H11266" s="50"/>
      <c r="I11266" s="50"/>
      <c r="O11266" s="36" t="s">
        <v>48</v>
      </c>
      <c r="R11266" s="36" t="s">
        <v>48</v>
      </c>
    </row>
    <row r="11267">
      <c r="H11267" s="50"/>
      <c r="I11267" s="50"/>
      <c r="O11267" s="36" t="s">
        <v>48</v>
      </c>
      <c r="R11267" s="36" t="s">
        <v>48</v>
      </c>
    </row>
    <row r="11268">
      <c r="H11268" s="50"/>
      <c r="I11268" s="50"/>
      <c r="O11268" s="36" t="s">
        <v>48</v>
      </c>
      <c r="R11268" s="36" t="s">
        <v>48</v>
      </c>
    </row>
    <row r="11269">
      <c r="H11269" s="50"/>
      <c r="I11269" s="50"/>
      <c r="O11269" s="36" t="s">
        <v>48</v>
      </c>
      <c r="R11269" s="36" t="s">
        <v>48</v>
      </c>
    </row>
    <row r="11270">
      <c r="H11270" s="50"/>
      <c r="I11270" s="50"/>
      <c r="O11270" s="36" t="s">
        <v>48</v>
      </c>
      <c r="R11270" s="36" t="s">
        <v>48</v>
      </c>
    </row>
    <row r="11271">
      <c r="H11271" s="50"/>
      <c r="I11271" s="50"/>
      <c r="O11271" s="36" t="s">
        <v>48</v>
      </c>
      <c r="R11271" s="36" t="s">
        <v>48</v>
      </c>
    </row>
    <row r="11272">
      <c r="H11272" s="50"/>
      <c r="I11272" s="50"/>
      <c r="O11272" s="36" t="s">
        <v>48</v>
      </c>
      <c r="R11272" s="36" t="s">
        <v>48</v>
      </c>
    </row>
    <row r="11273">
      <c r="H11273" s="50"/>
      <c r="I11273" s="50"/>
      <c r="O11273" s="36" t="s">
        <v>48</v>
      </c>
      <c r="R11273" s="36" t="s">
        <v>48</v>
      </c>
    </row>
    <row r="11274">
      <c r="H11274" s="50"/>
      <c r="I11274" s="50"/>
      <c r="O11274" s="36" t="s">
        <v>48</v>
      </c>
      <c r="R11274" s="36" t="s">
        <v>48</v>
      </c>
    </row>
    <row r="11275">
      <c r="H11275" s="50"/>
      <c r="I11275" s="50"/>
      <c r="O11275" s="36" t="s">
        <v>48</v>
      </c>
      <c r="R11275" s="36" t="s">
        <v>48</v>
      </c>
    </row>
    <row r="11276">
      <c r="H11276" s="50"/>
      <c r="I11276" s="50"/>
      <c r="O11276" s="36" t="s">
        <v>48</v>
      </c>
      <c r="R11276" s="36" t="s">
        <v>48</v>
      </c>
    </row>
    <row r="11277">
      <c r="H11277" s="50"/>
      <c r="I11277" s="50"/>
      <c r="O11277" s="36" t="s">
        <v>48</v>
      </c>
      <c r="R11277" s="36" t="s">
        <v>48</v>
      </c>
    </row>
    <row r="11278">
      <c r="H11278" s="50"/>
      <c r="I11278" s="50"/>
      <c r="O11278" s="36" t="s">
        <v>48</v>
      </c>
      <c r="R11278" s="36" t="s">
        <v>48</v>
      </c>
    </row>
    <row r="11279">
      <c r="H11279" s="50"/>
      <c r="I11279" s="50"/>
      <c r="O11279" s="36" t="s">
        <v>48</v>
      </c>
      <c r="R11279" s="36" t="s">
        <v>48</v>
      </c>
    </row>
    <row r="11280">
      <c r="H11280" s="50"/>
      <c r="I11280" s="50"/>
      <c r="O11280" s="36" t="s">
        <v>48</v>
      </c>
      <c r="R11280" s="36" t="s">
        <v>48</v>
      </c>
    </row>
    <row r="11281">
      <c r="H11281" s="50"/>
      <c r="I11281" s="50"/>
      <c r="O11281" s="36" t="s">
        <v>48</v>
      </c>
      <c r="R11281" s="36" t="s">
        <v>48</v>
      </c>
    </row>
    <row r="11282">
      <c r="H11282" s="50"/>
      <c r="I11282" s="50"/>
      <c r="O11282" s="36" t="s">
        <v>48</v>
      </c>
      <c r="R11282" s="36" t="s">
        <v>48</v>
      </c>
    </row>
    <row r="11283">
      <c r="H11283" s="50"/>
      <c r="I11283" s="50"/>
      <c r="O11283" s="36" t="s">
        <v>48</v>
      </c>
      <c r="R11283" s="36" t="s">
        <v>48</v>
      </c>
    </row>
    <row r="11284">
      <c r="H11284" s="50"/>
      <c r="I11284" s="50"/>
      <c r="O11284" s="36" t="s">
        <v>48</v>
      </c>
      <c r="R11284" s="36" t="s">
        <v>48</v>
      </c>
    </row>
    <row r="11285">
      <c r="H11285" s="50"/>
      <c r="I11285" s="50"/>
      <c r="O11285" s="36" t="s">
        <v>48</v>
      </c>
      <c r="R11285" s="36" t="s">
        <v>48</v>
      </c>
    </row>
    <row r="11286">
      <c r="H11286" s="50"/>
      <c r="I11286" s="50"/>
      <c r="O11286" s="36" t="s">
        <v>48</v>
      </c>
      <c r="R11286" s="36" t="s">
        <v>48</v>
      </c>
    </row>
    <row r="11287">
      <c r="H11287" s="50"/>
      <c r="I11287" s="50"/>
      <c r="O11287" s="36" t="s">
        <v>48</v>
      </c>
      <c r="R11287" s="36" t="s">
        <v>48</v>
      </c>
    </row>
    <row r="11288">
      <c r="H11288" s="50"/>
      <c r="I11288" s="50"/>
      <c r="O11288" s="36" t="s">
        <v>48</v>
      </c>
      <c r="R11288" s="36" t="s">
        <v>48</v>
      </c>
    </row>
    <row r="11289">
      <c r="H11289" s="50"/>
      <c r="I11289" s="50"/>
      <c r="O11289" s="36" t="s">
        <v>48</v>
      </c>
      <c r="R11289" s="36" t="s">
        <v>48</v>
      </c>
    </row>
    <row r="11290">
      <c r="H11290" s="50"/>
      <c r="I11290" s="50"/>
      <c r="O11290" s="36" t="s">
        <v>48</v>
      </c>
      <c r="R11290" s="36" t="s">
        <v>48</v>
      </c>
    </row>
    <row r="11291">
      <c r="H11291" s="50"/>
      <c r="I11291" s="50"/>
      <c r="O11291" s="36" t="s">
        <v>48</v>
      </c>
      <c r="R11291" s="36" t="s">
        <v>48</v>
      </c>
    </row>
    <row r="11292">
      <c r="H11292" s="50"/>
      <c r="I11292" s="50"/>
      <c r="O11292" s="36" t="s">
        <v>48</v>
      </c>
      <c r="R11292" s="36" t="s">
        <v>48</v>
      </c>
    </row>
    <row r="11293">
      <c r="H11293" s="50"/>
      <c r="I11293" s="50"/>
      <c r="O11293" s="36" t="s">
        <v>48</v>
      </c>
      <c r="R11293" s="36" t="s">
        <v>48</v>
      </c>
    </row>
    <row r="11294">
      <c r="H11294" s="50"/>
      <c r="I11294" s="50"/>
      <c r="O11294" s="36" t="s">
        <v>48</v>
      </c>
      <c r="R11294" s="36" t="s">
        <v>48</v>
      </c>
    </row>
    <row r="11295">
      <c r="H11295" s="50"/>
      <c r="I11295" s="50"/>
      <c r="O11295" s="36" t="s">
        <v>48</v>
      </c>
      <c r="R11295" s="36" t="s">
        <v>48</v>
      </c>
    </row>
    <row r="11296">
      <c r="H11296" s="50"/>
      <c r="I11296" s="50"/>
      <c r="O11296" s="36" t="s">
        <v>48</v>
      </c>
      <c r="R11296" s="36" t="s">
        <v>48</v>
      </c>
    </row>
    <row r="11297">
      <c r="H11297" s="50"/>
      <c r="I11297" s="50"/>
      <c r="O11297" s="36" t="s">
        <v>48</v>
      </c>
      <c r="R11297" s="36" t="s">
        <v>48</v>
      </c>
    </row>
    <row r="11298">
      <c r="H11298" s="50"/>
      <c r="I11298" s="50"/>
      <c r="O11298" s="36" t="s">
        <v>48</v>
      </c>
      <c r="R11298" s="36" t="s">
        <v>48</v>
      </c>
    </row>
    <row r="11299">
      <c r="H11299" s="50"/>
      <c r="I11299" s="50"/>
      <c r="O11299" s="36" t="s">
        <v>48</v>
      </c>
      <c r="R11299" s="36" t="s">
        <v>48</v>
      </c>
    </row>
    <row r="11300">
      <c r="H11300" s="50"/>
      <c r="I11300" s="50"/>
      <c r="O11300" s="36" t="s">
        <v>48</v>
      </c>
      <c r="R11300" s="36" t="s">
        <v>48</v>
      </c>
    </row>
    <row r="11301">
      <c r="H11301" s="50"/>
      <c r="I11301" s="50"/>
      <c r="O11301" s="36" t="s">
        <v>48</v>
      </c>
      <c r="R11301" s="36" t="s">
        <v>48</v>
      </c>
    </row>
    <row r="11302">
      <c r="H11302" s="50"/>
      <c r="I11302" s="50"/>
      <c r="O11302" s="36" t="s">
        <v>48</v>
      </c>
      <c r="R11302" s="36" t="s">
        <v>48</v>
      </c>
    </row>
    <row r="11303">
      <c r="H11303" s="50"/>
      <c r="I11303" s="50"/>
      <c r="O11303" s="36" t="s">
        <v>48</v>
      </c>
      <c r="R11303" s="36" t="s">
        <v>48</v>
      </c>
    </row>
    <row r="11304">
      <c r="H11304" s="50"/>
      <c r="I11304" s="50"/>
      <c r="O11304" s="36" t="s">
        <v>48</v>
      </c>
      <c r="R11304" s="36" t="s">
        <v>48</v>
      </c>
    </row>
    <row r="11305">
      <c r="H11305" s="50"/>
      <c r="I11305" s="50"/>
      <c r="O11305" s="36" t="s">
        <v>48</v>
      </c>
      <c r="R11305" s="36" t="s">
        <v>48</v>
      </c>
    </row>
    <row r="11306">
      <c r="H11306" s="50"/>
      <c r="I11306" s="50"/>
      <c r="O11306" s="36" t="s">
        <v>48</v>
      </c>
      <c r="R11306" s="36" t="s">
        <v>48</v>
      </c>
    </row>
    <row r="11307">
      <c r="H11307" s="50"/>
      <c r="I11307" s="50"/>
      <c r="O11307" s="36" t="s">
        <v>48</v>
      </c>
      <c r="R11307" s="36" t="s">
        <v>48</v>
      </c>
    </row>
    <row r="11308">
      <c r="H11308" s="50"/>
      <c r="I11308" s="50"/>
      <c r="O11308" s="36" t="s">
        <v>48</v>
      </c>
      <c r="R11308" s="36" t="s">
        <v>48</v>
      </c>
    </row>
    <row r="11309">
      <c r="H11309" s="50"/>
      <c r="I11309" s="50"/>
      <c r="O11309" s="36" t="s">
        <v>48</v>
      </c>
      <c r="R11309" s="36" t="s">
        <v>48</v>
      </c>
    </row>
    <row r="11310">
      <c r="H11310" s="50"/>
      <c r="I11310" s="50"/>
      <c r="O11310" s="36" t="s">
        <v>48</v>
      </c>
      <c r="R11310" s="36" t="s">
        <v>48</v>
      </c>
    </row>
    <row r="11311">
      <c r="H11311" s="50"/>
      <c r="I11311" s="50"/>
      <c r="O11311" s="36" t="s">
        <v>48</v>
      </c>
      <c r="R11311" s="36" t="s">
        <v>48</v>
      </c>
    </row>
    <row r="11312">
      <c r="H11312" s="50"/>
      <c r="I11312" s="50"/>
      <c r="O11312" s="36" t="s">
        <v>48</v>
      </c>
      <c r="R11312" s="36" t="s">
        <v>48</v>
      </c>
    </row>
    <row r="11313">
      <c r="H11313" s="50"/>
      <c r="I11313" s="50"/>
      <c r="O11313" s="36" t="s">
        <v>48</v>
      </c>
      <c r="R11313" s="36" t="s">
        <v>48</v>
      </c>
    </row>
    <row r="11314">
      <c r="H11314" s="50"/>
      <c r="I11314" s="50"/>
      <c r="O11314" s="36" t="s">
        <v>48</v>
      </c>
      <c r="R11314" s="36" t="s">
        <v>48</v>
      </c>
    </row>
    <row r="11315">
      <c r="H11315" s="50"/>
      <c r="I11315" s="50"/>
      <c r="O11315" s="36" t="s">
        <v>48</v>
      </c>
      <c r="R11315" s="36" t="s">
        <v>48</v>
      </c>
    </row>
    <row r="11316">
      <c r="H11316" s="50"/>
      <c r="I11316" s="50"/>
      <c r="O11316" s="36" t="s">
        <v>48</v>
      </c>
      <c r="R11316" s="36" t="s">
        <v>48</v>
      </c>
    </row>
    <row r="11317">
      <c r="H11317" s="50"/>
      <c r="I11317" s="50"/>
      <c r="O11317" s="36" t="s">
        <v>48</v>
      </c>
      <c r="R11317" s="36" t="s">
        <v>48</v>
      </c>
    </row>
    <row r="11318">
      <c r="H11318" s="50"/>
      <c r="I11318" s="50"/>
      <c r="O11318" s="36" t="s">
        <v>48</v>
      </c>
      <c r="R11318" s="36" t="s">
        <v>48</v>
      </c>
    </row>
    <row r="11319">
      <c r="H11319" s="50"/>
      <c r="I11319" s="50"/>
      <c r="O11319" s="36" t="s">
        <v>48</v>
      </c>
      <c r="R11319" s="36" t="s">
        <v>48</v>
      </c>
    </row>
    <row r="11320">
      <c r="H11320" s="50"/>
      <c r="I11320" s="50"/>
      <c r="O11320" s="36" t="s">
        <v>48</v>
      </c>
      <c r="R11320" s="36" t="s">
        <v>48</v>
      </c>
    </row>
    <row r="11321">
      <c r="H11321" s="50"/>
      <c r="I11321" s="50"/>
      <c r="O11321" s="36" t="s">
        <v>48</v>
      </c>
      <c r="R11321" s="36" t="s">
        <v>48</v>
      </c>
    </row>
    <row r="11322">
      <c r="H11322" s="50"/>
      <c r="I11322" s="50"/>
      <c r="O11322" s="36" t="s">
        <v>48</v>
      </c>
      <c r="R11322" s="36" t="s">
        <v>48</v>
      </c>
    </row>
    <row r="11323">
      <c r="H11323" s="50"/>
      <c r="I11323" s="50"/>
      <c r="O11323" s="36" t="s">
        <v>48</v>
      </c>
      <c r="R11323" s="36" t="s">
        <v>48</v>
      </c>
    </row>
    <row r="11324">
      <c r="H11324" s="50"/>
      <c r="I11324" s="50"/>
      <c r="O11324" s="36" t="s">
        <v>48</v>
      </c>
      <c r="R11324" s="36" t="s">
        <v>48</v>
      </c>
    </row>
    <row r="11325">
      <c r="H11325" s="50"/>
      <c r="I11325" s="50"/>
      <c r="O11325" s="36" t="s">
        <v>48</v>
      </c>
      <c r="R11325" s="36" t="s">
        <v>48</v>
      </c>
    </row>
    <row r="11326">
      <c r="H11326" s="50"/>
      <c r="I11326" s="50"/>
      <c r="O11326" s="36" t="s">
        <v>48</v>
      </c>
      <c r="R11326" s="36" t="s">
        <v>48</v>
      </c>
    </row>
    <row r="11327">
      <c r="H11327" s="50"/>
      <c r="I11327" s="50"/>
      <c r="O11327" s="36" t="s">
        <v>48</v>
      </c>
      <c r="R11327" s="36" t="s">
        <v>48</v>
      </c>
    </row>
    <row r="11328">
      <c r="H11328" s="50"/>
      <c r="I11328" s="50"/>
      <c r="O11328" s="36" t="s">
        <v>48</v>
      </c>
      <c r="R11328" s="36" t="s">
        <v>48</v>
      </c>
    </row>
    <row r="11329">
      <c r="H11329" s="50"/>
      <c r="I11329" s="50"/>
      <c r="O11329" s="36" t="s">
        <v>48</v>
      </c>
      <c r="R11329" s="36" t="s">
        <v>48</v>
      </c>
    </row>
    <row r="11330">
      <c r="H11330" s="50"/>
      <c r="I11330" s="50"/>
      <c r="O11330" s="36" t="s">
        <v>48</v>
      </c>
      <c r="R11330" s="36" t="s">
        <v>48</v>
      </c>
    </row>
    <row r="11331">
      <c r="H11331" s="50"/>
      <c r="I11331" s="50"/>
      <c r="O11331" s="36" t="s">
        <v>48</v>
      </c>
      <c r="R11331" s="36" t="s">
        <v>48</v>
      </c>
    </row>
    <row r="11332">
      <c r="H11332" s="50"/>
      <c r="I11332" s="50"/>
      <c r="O11332" s="36" t="s">
        <v>48</v>
      </c>
      <c r="R11332" s="36" t="s">
        <v>48</v>
      </c>
    </row>
    <row r="11333">
      <c r="H11333" s="50"/>
      <c r="I11333" s="50"/>
      <c r="O11333" s="36" t="s">
        <v>48</v>
      </c>
      <c r="R11333" s="36" t="s">
        <v>48</v>
      </c>
    </row>
    <row r="11334">
      <c r="H11334" s="50"/>
      <c r="I11334" s="50"/>
      <c r="O11334" s="36" t="s">
        <v>48</v>
      </c>
      <c r="R11334" s="36" t="s">
        <v>48</v>
      </c>
    </row>
    <row r="11335">
      <c r="H11335" s="50"/>
      <c r="I11335" s="50"/>
      <c r="O11335" s="36" t="s">
        <v>48</v>
      </c>
      <c r="R11335" s="36" t="s">
        <v>48</v>
      </c>
    </row>
    <row r="11336">
      <c r="H11336" s="50"/>
      <c r="I11336" s="50"/>
      <c r="O11336" s="36" t="s">
        <v>48</v>
      </c>
      <c r="R11336" s="36" t="s">
        <v>48</v>
      </c>
    </row>
    <row r="11337">
      <c r="H11337" s="50"/>
      <c r="I11337" s="50"/>
      <c r="O11337" s="36" t="s">
        <v>48</v>
      </c>
      <c r="R11337" s="36" t="s">
        <v>48</v>
      </c>
    </row>
    <row r="11338">
      <c r="H11338" s="50"/>
      <c r="I11338" s="50"/>
      <c r="O11338" s="36" t="s">
        <v>48</v>
      </c>
      <c r="R11338" s="36" t="s">
        <v>48</v>
      </c>
    </row>
    <row r="11339">
      <c r="H11339" s="50"/>
      <c r="I11339" s="50"/>
      <c r="O11339" s="36" t="s">
        <v>48</v>
      </c>
      <c r="R11339" s="36" t="s">
        <v>48</v>
      </c>
    </row>
    <row r="11340">
      <c r="H11340" s="50"/>
      <c r="I11340" s="50"/>
      <c r="O11340" s="36" t="s">
        <v>48</v>
      </c>
      <c r="R11340" s="36" t="s">
        <v>48</v>
      </c>
    </row>
    <row r="11341">
      <c r="H11341" s="50"/>
      <c r="I11341" s="50"/>
      <c r="O11341" s="36" t="s">
        <v>48</v>
      </c>
      <c r="R11341" s="36" t="s">
        <v>48</v>
      </c>
    </row>
    <row r="11342">
      <c r="H11342" s="50"/>
      <c r="I11342" s="50"/>
      <c r="O11342" s="36" t="s">
        <v>48</v>
      </c>
      <c r="R11342" s="36" t="s">
        <v>48</v>
      </c>
    </row>
    <row r="11343">
      <c r="H11343" s="50"/>
      <c r="I11343" s="50"/>
      <c r="O11343" s="36" t="s">
        <v>48</v>
      </c>
      <c r="R11343" s="36" t="s">
        <v>48</v>
      </c>
    </row>
    <row r="11344">
      <c r="H11344" s="50"/>
      <c r="I11344" s="50"/>
      <c r="O11344" s="36" t="s">
        <v>48</v>
      </c>
      <c r="R11344" s="36" t="s">
        <v>48</v>
      </c>
    </row>
    <row r="11345">
      <c r="H11345" s="50"/>
      <c r="I11345" s="50"/>
      <c r="O11345" s="36" t="s">
        <v>48</v>
      </c>
      <c r="R11345" s="36" t="s">
        <v>48</v>
      </c>
    </row>
    <row r="11346">
      <c r="H11346" s="50"/>
      <c r="I11346" s="50"/>
      <c r="O11346" s="36" t="s">
        <v>48</v>
      </c>
      <c r="R11346" s="36" t="s">
        <v>48</v>
      </c>
    </row>
    <row r="11347">
      <c r="H11347" s="50"/>
      <c r="I11347" s="50"/>
      <c r="O11347" s="36" t="s">
        <v>48</v>
      </c>
      <c r="R11347" s="36" t="s">
        <v>48</v>
      </c>
    </row>
    <row r="11348">
      <c r="H11348" s="50"/>
      <c r="I11348" s="50"/>
      <c r="O11348" s="36" t="s">
        <v>48</v>
      </c>
      <c r="R11348" s="36" t="s">
        <v>48</v>
      </c>
    </row>
    <row r="11349">
      <c r="H11349" s="50"/>
      <c r="I11349" s="50"/>
      <c r="O11349" s="36" t="s">
        <v>48</v>
      </c>
      <c r="R11349" s="36" t="s">
        <v>48</v>
      </c>
    </row>
    <row r="11350">
      <c r="H11350" s="50"/>
      <c r="I11350" s="50"/>
      <c r="O11350" s="36" t="s">
        <v>48</v>
      </c>
      <c r="R11350" s="36" t="s">
        <v>48</v>
      </c>
    </row>
    <row r="11351">
      <c r="H11351" s="50"/>
      <c r="I11351" s="50"/>
      <c r="O11351" s="36" t="s">
        <v>48</v>
      </c>
      <c r="R11351" s="36" t="s">
        <v>48</v>
      </c>
    </row>
    <row r="11352">
      <c r="H11352" s="50"/>
      <c r="I11352" s="50"/>
      <c r="O11352" s="36" t="s">
        <v>48</v>
      </c>
      <c r="R11352" s="36" t="s">
        <v>48</v>
      </c>
    </row>
    <row r="11353">
      <c r="H11353" s="50"/>
      <c r="I11353" s="50"/>
      <c r="O11353" s="36" t="s">
        <v>48</v>
      </c>
      <c r="R11353" s="36" t="s">
        <v>48</v>
      </c>
    </row>
    <row r="11354">
      <c r="H11354" s="50"/>
      <c r="I11354" s="50"/>
      <c r="O11354" s="36" t="s">
        <v>48</v>
      </c>
      <c r="R11354" s="36" t="s">
        <v>48</v>
      </c>
    </row>
    <row r="11355">
      <c r="H11355" s="50"/>
      <c r="I11355" s="50"/>
      <c r="O11355" s="36" t="s">
        <v>48</v>
      </c>
      <c r="R11355" s="36" t="s">
        <v>48</v>
      </c>
    </row>
    <row r="11356">
      <c r="H11356" s="50"/>
      <c r="I11356" s="50"/>
      <c r="O11356" s="36" t="s">
        <v>48</v>
      </c>
      <c r="R11356" s="36" t="s">
        <v>48</v>
      </c>
    </row>
    <row r="11357">
      <c r="H11357" s="50"/>
      <c r="I11357" s="50"/>
      <c r="O11357" s="36" t="s">
        <v>48</v>
      </c>
      <c r="R11357" s="36" t="s">
        <v>48</v>
      </c>
    </row>
    <row r="11358">
      <c r="H11358" s="50"/>
      <c r="I11358" s="50"/>
      <c r="O11358" s="36" t="s">
        <v>48</v>
      </c>
      <c r="R11358" s="36" t="s">
        <v>48</v>
      </c>
    </row>
    <row r="11359">
      <c r="H11359" s="50"/>
      <c r="I11359" s="50"/>
      <c r="O11359" s="36" t="s">
        <v>48</v>
      </c>
      <c r="R11359" s="36" t="s">
        <v>48</v>
      </c>
    </row>
    <row r="11360">
      <c r="H11360" s="50"/>
      <c r="I11360" s="50"/>
      <c r="O11360" s="36" t="s">
        <v>48</v>
      </c>
      <c r="R11360" s="36" t="s">
        <v>48</v>
      </c>
    </row>
    <row r="11361">
      <c r="H11361" s="50"/>
      <c r="I11361" s="50"/>
      <c r="O11361" s="36" t="s">
        <v>48</v>
      </c>
      <c r="R11361" s="36" t="s">
        <v>48</v>
      </c>
    </row>
    <row r="11362">
      <c r="H11362" s="50"/>
      <c r="I11362" s="50"/>
      <c r="O11362" s="36" t="s">
        <v>48</v>
      </c>
      <c r="R11362" s="36" t="s">
        <v>48</v>
      </c>
    </row>
    <row r="11363">
      <c r="H11363" s="50"/>
      <c r="I11363" s="50"/>
      <c r="O11363" s="36" t="s">
        <v>48</v>
      </c>
      <c r="R11363" s="36" t="s">
        <v>48</v>
      </c>
    </row>
    <row r="11364">
      <c r="H11364" s="50"/>
      <c r="I11364" s="50"/>
      <c r="O11364" s="36" t="s">
        <v>48</v>
      </c>
      <c r="R11364" s="36" t="s">
        <v>48</v>
      </c>
    </row>
    <row r="11365">
      <c r="H11365" s="50"/>
      <c r="I11365" s="50"/>
      <c r="O11365" s="36" t="s">
        <v>48</v>
      </c>
      <c r="R11365" s="36" t="s">
        <v>48</v>
      </c>
    </row>
    <row r="11366">
      <c r="H11366" s="50"/>
      <c r="I11366" s="50"/>
      <c r="O11366" s="36" t="s">
        <v>48</v>
      </c>
      <c r="R11366" s="36" t="s">
        <v>48</v>
      </c>
    </row>
    <row r="11367">
      <c r="H11367" s="50"/>
      <c r="I11367" s="50"/>
      <c r="O11367" s="36" t="s">
        <v>48</v>
      </c>
      <c r="R11367" s="36" t="s">
        <v>48</v>
      </c>
    </row>
    <row r="11368">
      <c r="H11368" s="50"/>
      <c r="I11368" s="50"/>
      <c r="O11368" s="36" t="s">
        <v>48</v>
      </c>
      <c r="R11368" s="36" t="s">
        <v>48</v>
      </c>
    </row>
    <row r="11369">
      <c r="H11369" s="50"/>
      <c r="I11369" s="50"/>
      <c r="O11369" s="36" t="s">
        <v>48</v>
      </c>
      <c r="R11369" s="36" t="s">
        <v>48</v>
      </c>
    </row>
    <row r="11370">
      <c r="H11370" s="50"/>
      <c r="I11370" s="50"/>
      <c r="O11370" s="36" t="s">
        <v>48</v>
      </c>
      <c r="R11370" s="36" t="s">
        <v>48</v>
      </c>
    </row>
    <row r="11371">
      <c r="H11371" s="50"/>
      <c r="I11371" s="50"/>
      <c r="O11371" s="36" t="s">
        <v>48</v>
      </c>
      <c r="R11371" s="36" t="s">
        <v>48</v>
      </c>
    </row>
    <row r="11372">
      <c r="H11372" s="50"/>
      <c r="I11372" s="50"/>
      <c r="O11372" s="36" t="s">
        <v>48</v>
      </c>
      <c r="R11372" s="36" t="s">
        <v>48</v>
      </c>
    </row>
    <row r="11373">
      <c r="H11373" s="50"/>
      <c r="I11373" s="50"/>
      <c r="O11373" s="36" t="s">
        <v>48</v>
      </c>
      <c r="R11373" s="36" t="s">
        <v>48</v>
      </c>
    </row>
    <row r="11374">
      <c r="H11374" s="50"/>
      <c r="I11374" s="50"/>
      <c r="O11374" s="36" t="s">
        <v>48</v>
      </c>
      <c r="R11374" s="36" t="s">
        <v>48</v>
      </c>
    </row>
    <row r="11375">
      <c r="H11375" s="50"/>
      <c r="I11375" s="50"/>
      <c r="O11375" s="36" t="s">
        <v>48</v>
      </c>
      <c r="R11375" s="36" t="s">
        <v>48</v>
      </c>
    </row>
    <row r="11376">
      <c r="H11376" s="50"/>
      <c r="I11376" s="50"/>
      <c r="O11376" s="36" t="s">
        <v>48</v>
      </c>
      <c r="R11376" s="36" t="s">
        <v>48</v>
      </c>
    </row>
    <row r="11377">
      <c r="H11377" s="50"/>
      <c r="I11377" s="50"/>
      <c r="O11377" s="36" t="s">
        <v>48</v>
      </c>
      <c r="R11377" s="36" t="s">
        <v>48</v>
      </c>
    </row>
    <row r="11378">
      <c r="H11378" s="50"/>
      <c r="I11378" s="50"/>
      <c r="O11378" s="36" t="s">
        <v>48</v>
      </c>
      <c r="R11378" s="36" t="s">
        <v>48</v>
      </c>
    </row>
    <row r="11379">
      <c r="H11379" s="50"/>
      <c r="I11379" s="50"/>
      <c r="O11379" s="36" t="s">
        <v>48</v>
      </c>
      <c r="R11379" s="36" t="s">
        <v>48</v>
      </c>
    </row>
    <row r="11380">
      <c r="H11380" s="50"/>
      <c r="I11380" s="50"/>
      <c r="O11380" s="36" t="s">
        <v>48</v>
      </c>
      <c r="R11380" s="36" t="s">
        <v>48</v>
      </c>
    </row>
    <row r="11381">
      <c r="H11381" s="50"/>
      <c r="I11381" s="50"/>
      <c r="O11381" s="36" t="s">
        <v>48</v>
      </c>
      <c r="R11381" s="36" t="s">
        <v>48</v>
      </c>
    </row>
    <row r="11382">
      <c r="H11382" s="50"/>
      <c r="I11382" s="50"/>
      <c r="O11382" s="36" t="s">
        <v>48</v>
      </c>
      <c r="R11382" s="36" t="s">
        <v>48</v>
      </c>
    </row>
    <row r="11383">
      <c r="H11383" s="50"/>
      <c r="I11383" s="50"/>
      <c r="O11383" s="36" t="s">
        <v>48</v>
      </c>
      <c r="R11383" s="36" t="s">
        <v>48</v>
      </c>
    </row>
    <row r="11384">
      <c r="H11384" s="50"/>
      <c r="I11384" s="50"/>
      <c r="O11384" s="36" t="s">
        <v>48</v>
      </c>
      <c r="R11384" s="36" t="s">
        <v>48</v>
      </c>
    </row>
    <row r="11385">
      <c r="H11385" s="50"/>
      <c r="I11385" s="50"/>
      <c r="O11385" s="36" t="s">
        <v>48</v>
      </c>
      <c r="R11385" s="36" t="s">
        <v>48</v>
      </c>
    </row>
    <row r="11386">
      <c r="H11386" s="50"/>
      <c r="I11386" s="50"/>
      <c r="O11386" s="36" t="s">
        <v>48</v>
      </c>
      <c r="R11386" s="36" t="s">
        <v>48</v>
      </c>
    </row>
    <row r="11387">
      <c r="H11387" s="50"/>
      <c r="I11387" s="50"/>
      <c r="O11387" s="36" t="s">
        <v>48</v>
      </c>
      <c r="R11387" s="36" t="s">
        <v>48</v>
      </c>
    </row>
    <row r="11388">
      <c r="H11388" s="50"/>
      <c r="I11388" s="50"/>
      <c r="O11388" s="36" t="s">
        <v>48</v>
      </c>
      <c r="R11388" s="36" t="s">
        <v>48</v>
      </c>
    </row>
    <row r="11389">
      <c r="H11389" s="50"/>
      <c r="I11389" s="50"/>
      <c r="O11389" s="36" t="s">
        <v>48</v>
      </c>
      <c r="R11389" s="36" t="s">
        <v>48</v>
      </c>
    </row>
    <row r="11390">
      <c r="H11390" s="50"/>
      <c r="I11390" s="50"/>
      <c r="O11390" s="36" t="s">
        <v>48</v>
      </c>
      <c r="R11390" s="36" t="s">
        <v>48</v>
      </c>
    </row>
    <row r="11391">
      <c r="H11391" s="50"/>
      <c r="I11391" s="50"/>
      <c r="O11391" s="36" t="s">
        <v>48</v>
      </c>
      <c r="R11391" s="36" t="s">
        <v>48</v>
      </c>
    </row>
    <row r="11392">
      <c r="H11392" s="50"/>
      <c r="I11392" s="50"/>
      <c r="O11392" s="36" t="s">
        <v>48</v>
      </c>
      <c r="R11392" s="36" t="s">
        <v>48</v>
      </c>
    </row>
    <row r="11393">
      <c r="H11393" s="50"/>
      <c r="I11393" s="50"/>
      <c r="O11393" s="36" t="s">
        <v>48</v>
      </c>
      <c r="R11393" s="36" t="s">
        <v>48</v>
      </c>
    </row>
    <row r="11394">
      <c r="H11394" s="50"/>
      <c r="I11394" s="50"/>
      <c r="O11394" s="36" t="s">
        <v>48</v>
      </c>
      <c r="R11394" s="36" t="s">
        <v>48</v>
      </c>
    </row>
    <row r="11395">
      <c r="H11395" s="50"/>
      <c r="I11395" s="50"/>
      <c r="O11395" s="36" t="s">
        <v>48</v>
      </c>
      <c r="R11395" s="36" t="s">
        <v>48</v>
      </c>
    </row>
    <row r="11396">
      <c r="H11396" s="50"/>
      <c r="I11396" s="50"/>
      <c r="O11396" s="36" t="s">
        <v>48</v>
      </c>
      <c r="R11396" s="36" t="s">
        <v>48</v>
      </c>
    </row>
    <row r="11397">
      <c r="H11397" s="50"/>
      <c r="I11397" s="50"/>
      <c r="O11397" s="36" t="s">
        <v>48</v>
      </c>
      <c r="R11397" s="36" t="s">
        <v>48</v>
      </c>
    </row>
    <row r="11398">
      <c r="H11398" s="50"/>
      <c r="I11398" s="50"/>
      <c r="O11398" s="36" t="s">
        <v>48</v>
      </c>
      <c r="R11398" s="36" t="s">
        <v>48</v>
      </c>
    </row>
    <row r="11399">
      <c r="H11399" s="50"/>
      <c r="I11399" s="50"/>
      <c r="O11399" s="36" t="s">
        <v>48</v>
      </c>
      <c r="R11399" s="36" t="s">
        <v>48</v>
      </c>
    </row>
    <row r="11400">
      <c r="H11400" s="50"/>
      <c r="I11400" s="50"/>
      <c r="O11400" s="36" t="s">
        <v>48</v>
      </c>
      <c r="R11400" s="36" t="s">
        <v>48</v>
      </c>
    </row>
    <row r="11401">
      <c r="H11401" s="50"/>
      <c r="I11401" s="50"/>
      <c r="O11401" s="36" t="s">
        <v>48</v>
      </c>
      <c r="R11401" s="36" t="s">
        <v>48</v>
      </c>
    </row>
    <row r="11402">
      <c r="H11402" s="50"/>
      <c r="I11402" s="50"/>
      <c r="O11402" s="36" t="s">
        <v>48</v>
      </c>
      <c r="R11402" s="36" t="s">
        <v>48</v>
      </c>
    </row>
    <row r="11403">
      <c r="H11403" s="50"/>
      <c r="I11403" s="50"/>
      <c r="O11403" s="36" t="s">
        <v>48</v>
      </c>
      <c r="R11403" s="36" t="s">
        <v>48</v>
      </c>
    </row>
    <row r="11404">
      <c r="H11404" s="50"/>
      <c r="I11404" s="50"/>
      <c r="O11404" s="36" t="s">
        <v>48</v>
      </c>
      <c r="R11404" s="36" t="s">
        <v>48</v>
      </c>
    </row>
    <row r="11405">
      <c r="H11405" s="50"/>
      <c r="I11405" s="50"/>
      <c r="O11405" s="36" t="s">
        <v>48</v>
      </c>
      <c r="R11405" s="36" t="s">
        <v>48</v>
      </c>
    </row>
    <row r="11406">
      <c r="H11406" s="50"/>
      <c r="I11406" s="50"/>
      <c r="O11406" s="36" t="s">
        <v>48</v>
      </c>
      <c r="R11406" s="36" t="s">
        <v>48</v>
      </c>
    </row>
    <row r="11407">
      <c r="H11407" s="50"/>
      <c r="I11407" s="50"/>
      <c r="O11407" s="36" t="s">
        <v>48</v>
      </c>
      <c r="R11407" s="36" t="s">
        <v>48</v>
      </c>
    </row>
    <row r="11408">
      <c r="H11408" s="50"/>
      <c r="I11408" s="50"/>
      <c r="O11408" s="36" t="s">
        <v>48</v>
      </c>
      <c r="R11408" s="36" t="s">
        <v>48</v>
      </c>
    </row>
    <row r="11409">
      <c r="H11409" s="50"/>
      <c r="I11409" s="50"/>
      <c r="O11409" s="36" t="s">
        <v>48</v>
      </c>
      <c r="R11409" s="36" t="s">
        <v>48</v>
      </c>
    </row>
    <row r="11410">
      <c r="H11410" s="50"/>
      <c r="I11410" s="50"/>
      <c r="O11410" s="36" t="s">
        <v>48</v>
      </c>
      <c r="R11410" s="36" t="s">
        <v>48</v>
      </c>
    </row>
    <row r="11411">
      <c r="H11411" s="50"/>
      <c r="I11411" s="50"/>
      <c r="O11411" s="36" t="s">
        <v>48</v>
      </c>
      <c r="R11411" s="36" t="s">
        <v>48</v>
      </c>
    </row>
    <row r="11412">
      <c r="H11412" s="50"/>
      <c r="I11412" s="50"/>
      <c r="O11412" s="36" t="s">
        <v>48</v>
      </c>
      <c r="R11412" s="36" t="s">
        <v>48</v>
      </c>
    </row>
    <row r="11413">
      <c r="H11413" s="50"/>
      <c r="I11413" s="50"/>
      <c r="O11413" s="36" t="s">
        <v>48</v>
      </c>
      <c r="R11413" s="36" t="s">
        <v>48</v>
      </c>
    </row>
    <row r="11414">
      <c r="H11414" s="50"/>
      <c r="I11414" s="50"/>
      <c r="O11414" s="36" t="s">
        <v>48</v>
      </c>
      <c r="R11414" s="36" t="s">
        <v>48</v>
      </c>
    </row>
    <row r="11415">
      <c r="H11415" s="50"/>
      <c r="I11415" s="50"/>
      <c r="O11415" s="36" t="s">
        <v>48</v>
      </c>
      <c r="R11415" s="36" t="s">
        <v>48</v>
      </c>
    </row>
    <row r="11416">
      <c r="H11416" s="50"/>
      <c r="I11416" s="50"/>
      <c r="O11416" s="36" t="s">
        <v>48</v>
      </c>
      <c r="R11416" s="36" t="s">
        <v>48</v>
      </c>
    </row>
    <row r="11417">
      <c r="H11417" s="50"/>
      <c r="I11417" s="50"/>
      <c r="O11417" s="36" t="s">
        <v>48</v>
      </c>
      <c r="R11417" s="36" t="s">
        <v>48</v>
      </c>
    </row>
    <row r="11418">
      <c r="H11418" s="50"/>
      <c r="I11418" s="50"/>
      <c r="O11418" s="36" t="s">
        <v>48</v>
      </c>
      <c r="R11418" s="36" t="s">
        <v>48</v>
      </c>
    </row>
    <row r="11419">
      <c r="H11419" s="50"/>
      <c r="I11419" s="50"/>
      <c r="O11419" s="36" t="s">
        <v>48</v>
      </c>
      <c r="R11419" s="36" t="s">
        <v>48</v>
      </c>
    </row>
    <row r="11420">
      <c r="H11420" s="50"/>
      <c r="I11420" s="50"/>
      <c r="O11420" s="36" t="s">
        <v>48</v>
      </c>
      <c r="R11420" s="36" t="s">
        <v>48</v>
      </c>
    </row>
    <row r="11421">
      <c r="H11421" s="50"/>
      <c r="I11421" s="50"/>
      <c r="O11421" s="36" t="s">
        <v>48</v>
      </c>
      <c r="R11421" s="36" t="s">
        <v>48</v>
      </c>
    </row>
    <row r="11422">
      <c r="H11422" s="50"/>
      <c r="I11422" s="50"/>
      <c r="O11422" s="36" t="s">
        <v>48</v>
      </c>
      <c r="R11422" s="36" t="s">
        <v>48</v>
      </c>
    </row>
    <row r="11423">
      <c r="H11423" s="50"/>
      <c r="I11423" s="50"/>
      <c r="O11423" s="36" t="s">
        <v>48</v>
      </c>
      <c r="R11423" s="36" t="s">
        <v>48</v>
      </c>
    </row>
    <row r="11424">
      <c r="H11424" s="50"/>
      <c r="I11424" s="50"/>
      <c r="O11424" s="36" t="s">
        <v>48</v>
      </c>
      <c r="R11424" s="36" t="s">
        <v>48</v>
      </c>
    </row>
    <row r="11425">
      <c r="H11425" s="50"/>
      <c r="I11425" s="50"/>
      <c r="O11425" s="36" t="s">
        <v>48</v>
      </c>
      <c r="R11425" s="36" t="s">
        <v>48</v>
      </c>
    </row>
    <row r="11426">
      <c r="H11426" s="50"/>
      <c r="I11426" s="50"/>
      <c r="O11426" s="36" t="s">
        <v>48</v>
      </c>
      <c r="R11426" s="36" t="s">
        <v>48</v>
      </c>
    </row>
    <row r="11427">
      <c r="H11427" s="50"/>
      <c r="I11427" s="50"/>
      <c r="O11427" s="36" t="s">
        <v>48</v>
      </c>
      <c r="R11427" s="36" t="s">
        <v>48</v>
      </c>
    </row>
    <row r="11428">
      <c r="H11428" s="50"/>
      <c r="I11428" s="50"/>
      <c r="O11428" s="36" t="s">
        <v>48</v>
      </c>
      <c r="R11428" s="36" t="s">
        <v>48</v>
      </c>
    </row>
    <row r="11429">
      <c r="H11429" s="50"/>
      <c r="I11429" s="50"/>
      <c r="O11429" s="36" t="s">
        <v>48</v>
      </c>
      <c r="R11429" s="36" t="s">
        <v>48</v>
      </c>
    </row>
    <row r="11430">
      <c r="H11430" s="50"/>
      <c r="I11430" s="50"/>
      <c r="O11430" s="36" t="s">
        <v>48</v>
      </c>
      <c r="R11430" s="36" t="s">
        <v>48</v>
      </c>
    </row>
    <row r="11431">
      <c r="H11431" s="50"/>
      <c r="I11431" s="50"/>
      <c r="O11431" s="36" t="s">
        <v>48</v>
      </c>
      <c r="R11431" s="36" t="s">
        <v>48</v>
      </c>
    </row>
    <row r="11432">
      <c r="H11432" s="50"/>
      <c r="I11432" s="50"/>
      <c r="O11432" s="36" t="s">
        <v>48</v>
      </c>
      <c r="R11432" s="36" t="s">
        <v>48</v>
      </c>
    </row>
    <row r="11433">
      <c r="H11433" s="50"/>
      <c r="I11433" s="50"/>
      <c r="O11433" s="36" t="s">
        <v>48</v>
      </c>
      <c r="R11433" s="36" t="s">
        <v>48</v>
      </c>
    </row>
    <row r="11434">
      <c r="H11434" s="50"/>
      <c r="I11434" s="50"/>
      <c r="O11434" s="36" t="s">
        <v>48</v>
      </c>
      <c r="R11434" s="36" t="s">
        <v>48</v>
      </c>
    </row>
    <row r="11435">
      <c r="H11435" s="50"/>
      <c r="I11435" s="50"/>
      <c r="O11435" s="36" t="s">
        <v>48</v>
      </c>
      <c r="R11435" s="36" t="s">
        <v>48</v>
      </c>
    </row>
    <row r="11436">
      <c r="H11436" s="50"/>
      <c r="I11436" s="50"/>
      <c r="O11436" s="36" t="s">
        <v>48</v>
      </c>
      <c r="R11436" s="36" t="s">
        <v>48</v>
      </c>
    </row>
    <row r="11437">
      <c r="H11437" s="50"/>
      <c r="I11437" s="50"/>
      <c r="O11437" s="36" t="s">
        <v>48</v>
      </c>
      <c r="R11437" s="36" t="s">
        <v>48</v>
      </c>
    </row>
    <row r="11438">
      <c r="H11438" s="50"/>
      <c r="I11438" s="50"/>
      <c r="O11438" s="36" t="s">
        <v>48</v>
      </c>
      <c r="R11438" s="36" t="s">
        <v>48</v>
      </c>
    </row>
    <row r="11439">
      <c r="H11439" s="50"/>
      <c r="I11439" s="50"/>
      <c r="O11439" s="36" t="s">
        <v>48</v>
      </c>
      <c r="R11439" s="36" t="s">
        <v>48</v>
      </c>
    </row>
    <row r="11440">
      <c r="H11440" s="50"/>
      <c r="I11440" s="50"/>
      <c r="O11440" s="36" t="s">
        <v>48</v>
      </c>
      <c r="R11440" s="36" t="s">
        <v>48</v>
      </c>
    </row>
    <row r="11441">
      <c r="H11441" s="50"/>
      <c r="I11441" s="50"/>
      <c r="O11441" s="36" t="s">
        <v>48</v>
      </c>
      <c r="R11441" s="36" t="s">
        <v>48</v>
      </c>
    </row>
    <row r="11442">
      <c r="H11442" s="50"/>
      <c r="I11442" s="50"/>
      <c r="O11442" s="36" t="s">
        <v>48</v>
      </c>
      <c r="R11442" s="36" t="s">
        <v>48</v>
      </c>
    </row>
    <row r="11443">
      <c r="H11443" s="50"/>
      <c r="I11443" s="50"/>
      <c r="O11443" s="36" t="s">
        <v>48</v>
      </c>
      <c r="R11443" s="36" t="s">
        <v>48</v>
      </c>
    </row>
    <row r="11444">
      <c r="H11444" s="50"/>
      <c r="I11444" s="50"/>
      <c r="O11444" s="36" t="s">
        <v>48</v>
      </c>
      <c r="R11444" s="36" t="s">
        <v>48</v>
      </c>
    </row>
    <row r="11445">
      <c r="H11445" s="50"/>
      <c r="I11445" s="50"/>
      <c r="O11445" s="36" t="s">
        <v>48</v>
      </c>
      <c r="R11445" s="36" t="s">
        <v>48</v>
      </c>
    </row>
    <row r="11446">
      <c r="H11446" s="50"/>
      <c r="I11446" s="50"/>
      <c r="O11446" s="36" t="s">
        <v>48</v>
      </c>
      <c r="R11446" s="36" t="s">
        <v>48</v>
      </c>
    </row>
    <row r="11447">
      <c r="H11447" s="50"/>
      <c r="I11447" s="50"/>
      <c r="O11447" s="36" t="s">
        <v>48</v>
      </c>
      <c r="R11447" s="36" t="s">
        <v>48</v>
      </c>
    </row>
    <row r="11448">
      <c r="H11448" s="50"/>
      <c r="I11448" s="50"/>
      <c r="O11448" s="36" t="s">
        <v>48</v>
      </c>
      <c r="R11448" s="36" t="s">
        <v>48</v>
      </c>
    </row>
    <row r="11449">
      <c r="H11449" s="50"/>
      <c r="I11449" s="50"/>
      <c r="O11449" s="36" t="s">
        <v>48</v>
      </c>
      <c r="R11449" s="36" t="s">
        <v>48</v>
      </c>
    </row>
    <row r="11450">
      <c r="H11450" s="50"/>
      <c r="I11450" s="50"/>
      <c r="O11450" s="36" t="s">
        <v>48</v>
      </c>
      <c r="R11450" s="36" t="s">
        <v>48</v>
      </c>
    </row>
    <row r="11451">
      <c r="H11451" s="50"/>
      <c r="I11451" s="50"/>
      <c r="O11451" s="36" t="s">
        <v>48</v>
      </c>
      <c r="R11451" s="36" t="s">
        <v>48</v>
      </c>
    </row>
    <row r="11452">
      <c r="H11452" s="50"/>
      <c r="I11452" s="50"/>
      <c r="O11452" s="36" t="s">
        <v>48</v>
      </c>
      <c r="R11452" s="36" t="s">
        <v>48</v>
      </c>
    </row>
    <row r="11453">
      <c r="H11453" s="50"/>
      <c r="I11453" s="50"/>
      <c r="O11453" s="36" t="s">
        <v>48</v>
      </c>
      <c r="R11453" s="36" t="s">
        <v>48</v>
      </c>
    </row>
    <row r="11454">
      <c r="H11454" s="50"/>
      <c r="I11454" s="50"/>
      <c r="O11454" s="36" t="s">
        <v>48</v>
      </c>
      <c r="R11454" s="36" t="s">
        <v>48</v>
      </c>
    </row>
    <row r="11455">
      <c r="H11455" s="50"/>
      <c r="I11455" s="50"/>
      <c r="O11455" s="36" t="s">
        <v>48</v>
      </c>
      <c r="R11455" s="36" t="s">
        <v>48</v>
      </c>
    </row>
    <row r="11456">
      <c r="H11456" s="50"/>
      <c r="I11456" s="50"/>
      <c r="O11456" s="36" t="s">
        <v>48</v>
      </c>
      <c r="R11456" s="36" t="s">
        <v>48</v>
      </c>
    </row>
    <row r="11457">
      <c r="H11457" s="50"/>
      <c r="I11457" s="50"/>
      <c r="O11457" s="36" t="s">
        <v>48</v>
      </c>
      <c r="R11457" s="36" t="s">
        <v>48</v>
      </c>
    </row>
    <row r="11458">
      <c r="H11458" s="50"/>
      <c r="I11458" s="50"/>
      <c r="O11458" s="36" t="s">
        <v>48</v>
      </c>
      <c r="R11458" s="36" t="s">
        <v>48</v>
      </c>
    </row>
    <row r="11459">
      <c r="H11459" s="50"/>
      <c r="I11459" s="50"/>
      <c r="O11459" s="36" t="s">
        <v>48</v>
      </c>
      <c r="R11459" s="36" t="s">
        <v>48</v>
      </c>
    </row>
    <row r="11460">
      <c r="H11460" s="50"/>
      <c r="I11460" s="50"/>
      <c r="O11460" s="36" t="s">
        <v>48</v>
      </c>
      <c r="R11460" s="36" t="s">
        <v>48</v>
      </c>
    </row>
    <row r="11461">
      <c r="H11461" s="50"/>
      <c r="I11461" s="50"/>
      <c r="O11461" s="36" t="s">
        <v>48</v>
      </c>
      <c r="R11461" s="36" t="s">
        <v>48</v>
      </c>
    </row>
    <row r="11462">
      <c r="H11462" s="50"/>
      <c r="I11462" s="50"/>
      <c r="O11462" s="36" t="s">
        <v>48</v>
      </c>
      <c r="R11462" s="36" t="s">
        <v>48</v>
      </c>
    </row>
    <row r="11463">
      <c r="H11463" s="50"/>
      <c r="I11463" s="50"/>
      <c r="O11463" s="36" t="s">
        <v>48</v>
      </c>
      <c r="R11463" s="36" t="s">
        <v>48</v>
      </c>
    </row>
    <row r="11464">
      <c r="H11464" s="50"/>
      <c r="I11464" s="50"/>
      <c r="O11464" s="36" t="s">
        <v>48</v>
      </c>
      <c r="R11464" s="36" t="s">
        <v>48</v>
      </c>
    </row>
    <row r="11465">
      <c r="H11465" s="50"/>
      <c r="I11465" s="50"/>
      <c r="O11465" s="36" t="s">
        <v>48</v>
      </c>
      <c r="R11465" s="36" t="s">
        <v>48</v>
      </c>
    </row>
    <row r="11466">
      <c r="H11466" s="50"/>
      <c r="I11466" s="50"/>
      <c r="O11466" s="36" t="s">
        <v>48</v>
      </c>
      <c r="R11466" s="36" t="s">
        <v>48</v>
      </c>
    </row>
    <row r="11467">
      <c r="H11467" s="50"/>
      <c r="I11467" s="50"/>
      <c r="O11467" s="36" t="s">
        <v>48</v>
      </c>
      <c r="R11467" s="36" t="s">
        <v>48</v>
      </c>
    </row>
    <row r="11468">
      <c r="H11468" s="50"/>
      <c r="I11468" s="50"/>
      <c r="O11468" s="36" t="s">
        <v>48</v>
      </c>
      <c r="R11468" s="36" t="s">
        <v>48</v>
      </c>
    </row>
    <row r="11469">
      <c r="H11469" s="50"/>
      <c r="I11469" s="50"/>
      <c r="O11469" s="36" t="s">
        <v>48</v>
      </c>
      <c r="R11469" s="36" t="s">
        <v>48</v>
      </c>
    </row>
    <row r="11470">
      <c r="H11470" s="50"/>
      <c r="I11470" s="50"/>
      <c r="O11470" s="36" t="s">
        <v>48</v>
      </c>
      <c r="R11470" s="36" t="s">
        <v>48</v>
      </c>
    </row>
    <row r="11471">
      <c r="H11471" s="50"/>
      <c r="I11471" s="50"/>
      <c r="O11471" s="36" t="s">
        <v>48</v>
      </c>
      <c r="R11471" s="36" t="s">
        <v>48</v>
      </c>
    </row>
    <row r="11472">
      <c r="H11472" s="50"/>
      <c r="I11472" s="50"/>
      <c r="O11472" s="36" t="s">
        <v>48</v>
      </c>
      <c r="R11472" s="36" t="s">
        <v>48</v>
      </c>
    </row>
    <row r="11473">
      <c r="H11473" s="50"/>
      <c r="I11473" s="50"/>
      <c r="O11473" s="36" t="s">
        <v>48</v>
      </c>
      <c r="R11473" s="36" t="s">
        <v>48</v>
      </c>
    </row>
    <row r="11474">
      <c r="H11474" s="50"/>
      <c r="I11474" s="50"/>
      <c r="O11474" s="36" t="s">
        <v>48</v>
      </c>
      <c r="R11474" s="36" t="s">
        <v>48</v>
      </c>
    </row>
    <row r="11475">
      <c r="H11475" s="50"/>
      <c r="I11475" s="50"/>
      <c r="O11475" s="36" t="s">
        <v>48</v>
      </c>
      <c r="R11475" s="36" t="s">
        <v>48</v>
      </c>
    </row>
    <row r="11476">
      <c r="H11476" s="50"/>
      <c r="I11476" s="50"/>
      <c r="O11476" s="36" t="s">
        <v>48</v>
      </c>
      <c r="R11476" s="36" t="s">
        <v>48</v>
      </c>
    </row>
    <row r="11477">
      <c r="H11477" s="50"/>
      <c r="I11477" s="50"/>
      <c r="O11477" s="36" t="s">
        <v>48</v>
      </c>
      <c r="R11477" s="36" t="s">
        <v>48</v>
      </c>
    </row>
    <row r="11478">
      <c r="H11478" s="50"/>
      <c r="I11478" s="50"/>
      <c r="O11478" s="36" t="s">
        <v>48</v>
      </c>
      <c r="R11478" s="36" t="s">
        <v>48</v>
      </c>
    </row>
    <row r="11479">
      <c r="H11479" s="50"/>
      <c r="I11479" s="50"/>
      <c r="O11479" s="36" t="s">
        <v>48</v>
      </c>
      <c r="R11479" s="36" t="s">
        <v>48</v>
      </c>
    </row>
    <row r="11480">
      <c r="H11480" s="50"/>
      <c r="I11480" s="50"/>
      <c r="O11480" s="36" t="s">
        <v>48</v>
      </c>
      <c r="R11480" s="36" t="s">
        <v>48</v>
      </c>
    </row>
    <row r="11481">
      <c r="H11481" s="50"/>
      <c r="I11481" s="50"/>
      <c r="O11481" s="36" t="s">
        <v>48</v>
      </c>
      <c r="R11481" s="36" t="s">
        <v>48</v>
      </c>
    </row>
    <row r="11482">
      <c r="H11482" s="50"/>
      <c r="I11482" s="50"/>
      <c r="O11482" s="36" t="s">
        <v>48</v>
      </c>
      <c r="R11482" s="36" t="s">
        <v>48</v>
      </c>
    </row>
    <row r="11483">
      <c r="H11483" s="50"/>
      <c r="I11483" s="50"/>
      <c r="O11483" s="36" t="s">
        <v>48</v>
      </c>
      <c r="R11483" s="36" t="s">
        <v>48</v>
      </c>
    </row>
    <row r="11484">
      <c r="H11484" s="50"/>
      <c r="I11484" s="50"/>
      <c r="O11484" s="36" t="s">
        <v>48</v>
      </c>
      <c r="R11484" s="36" t="s">
        <v>48</v>
      </c>
    </row>
    <row r="11485">
      <c r="H11485" s="50"/>
      <c r="I11485" s="50"/>
      <c r="O11485" s="36" t="s">
        <v>48</v>
      </c>
      <c r="R11485" s="36" t="s">
        <v>48</v>
      </c>
    </row>
    <row r="11486">
      <c r="H11486" s="50"/>
      <c r="I11486" s="50"/>
      <c r="O11486" s="36" t="s">
        <v>48</v>
      </c>
      <c r="R11486" s="36" t="s">
        <v>48</v>
      </c>
    </row>
    <row r="11487">
      <c r="H11487" s="50"/>
      <c r="I11487" s="50"/>
      <c r="O11487" s="36" t="s">
        <v>48</v>
      </c>
      <c r="R11487" s="36" t="s">
        <v>48</v>
      </c>
    </row>
    <row r="11488">
      <c r="H11488" s="50"/>
      <c r="I11488" s="50"/>
      <c r="O11488" s="36" t="s">
        <v>48</v>
      </c>
      <c r="R11488" s="36" t="s">
        <v>48</v>
      </c>
    </row>
    <row r="11489">
      <c r="H11489" s="50"/>
      <c r="I11489" s="50"/>
      <c r="O11489" s="36" t="s">
        <v>48</v>
      </c>
      <c r="R11489" s="36" t="s">
        <v>48</v>
      </c>
    </row>
    <row r="11490">
      <c r="H11490" s="50"/>
      <c r="I11490" s="50"/>
      <c r="O11490" s="36" t="s">
        <v>48</v>
      </c>
      <c r="R11490" s="36" t="s">
        <v>48</v>
      </c>
    </row>
    <row r="11491">
      <c r="H11491" s="50"/>
      <c r="I11491" s="50"/>
      <c r="O11491" s="36" t="s">
        <v>48</v>
      </c>
      <c r="R11491" s="36" t="s">
        <v>48</v>
      </c>
    </row>
    <row r="11492">
      <c r="H11492" s="50"/>
      <c r="I11492" s="50"/>
      <c r="O11492" s="36" t="s">
        <v>48</v>
      </c>
      <c r="R11492" s="36" t="s">
        <v>48</v>
      </c>
    </row>
    <row r="11493">
      <c r="H11493" s="50"/>
      <c r="I11493" s="50"/>
      <c r="O11493" s="36" t="s">
        <v>48</v>
      </c>
      <c r="R11493" s="36" t="s">
        <v>48</v>
      </c>
    </row>
    <row r="11494">
      <c r="H11494" s="50"/>
      <c r="I11494" s="50"/>
      <c r="O11494" s="36" t="s">
        <v>48</v>
      </c>
      <c r="R11494" s="36" t="s">
        <v>48</v>
      </c>
    </row>
    <row r="11495">
      <c r="H11495" s="50"/>
      <c r="I11495" s="50"/>
      <c r="O11495" s="36" t="s">
        <v>48</v>
      </c>
      <c r="R11495" s="36" t="s">
        <v>48</v>
      </c>
    </row>
    <row r="11496">
      <c r="H11496" s="50"/>
      <c r="I11496" s="50"/>
      <c r="O11496" s="36" t="s">
        <v>48</v>
      </c>
      <c r="R11496" s="36" t="s">
        <v>48</v>
      </c>
    </row>
    <row r="11497">
      <c r="H11497" s="50"/>
      <c r="I11497" s="50"/>
      <c r="O11497" s="36" t="s">
        <v>48</v>
      </c>
      <c r="R11497" s="36" t="s">
        <v>48</v>
      </c>
    </row>
    <row r="11498">
      <c r="H11498" s="50"/>
      <c r="I11498" s="50"/>
      <c r="O11498" s="36" t="s">
        <v>48</v>
      </c>
      <c r="R11498" s="36" t="s">
        <v>48</v>
      </c>
    </row>
    <row r="11499">
      <c r="H11499" s="50"/>
      <c r="I11499" s="50"/>
      <c r="O11499" s="36" t="s">
        <v>48</v>
      </c>
      <c r="R11499" s="36" t="s">
        <v>48</v>
      </c>
    </row>
    <row r="11500">
      <c r="H11500" s="50"/>
      <c r="I11500" s="50"/>
      <c r="O11500" s="36" t="s">
        <v>48</v>
      </c>
      <c r="R11500" s="36" t="s">
        <v>48</v>
      </c>
    </row>
    <row r="11501">
      <c r="H11501" s="50"/>
      <c r="I11501" s="50"/>
      <c r="O11501" s="36" t="s">
        <v>48</v>
      </c>
      <c r="R11501" s="36" t="s">
        <v>48</v>
      </c>
    </row>
    <row r="11502">
      <c r="H11502" s="50"/>
      <c r="I11502" s="50"/>
      <c r="O11502" s="36" t="s">
        <v>48</v>
      </c>
      <c r="R11502" s="36" t="s">
        <v>48</v>
      </c>
    </row>
    <row r="11503">
      <c r="H11503" s="50"/>
      <c r="I11503" s="50"/>
      <c r="O11503" s="36" t="s">
        <v>48</v>
      </c>
      <c r="R11503" s="36" t="s">
        <v>48</v>
      </c>
    </row>
    <row r="11504">
      <c r="H11504" s="50"/>
      <c r="I11504" s="50"/>
      <c r="O11504" s="36" t="s">
        <v>48</v>
      </c>
      <c r="R11504" s="36" t="s">
        <v>48</v>
      </c>
    </row>
    <row r="11505">
      <c r="H11505" s="50"/>
      <c r="I11505" s="50"/>
      <c r="O11505" s="36" t="s">
        <v>48</v>
      </c>
      <c r="R11505" s="36" t="s">
        <v>48</v>
      </c>
    </row>
    <row r="11506">
      <c r="H11506" s="50"/>
      <c r="I11506" s="50"/>
      <c r="O11506" s="36" t="s">
        <v>48</v>
      </c>
      <c r="R11506" s="36" t="s">
        <v>48</v>
      </c>
    </row>
    <row r="11507">
      <c r="H11507" s="50"/>
      <c r="I11507" s="50"/>
      <c r="O11507" s="36" t="s">
        <v>48</v>
      </c>
      <c r="R11507" s="36" t="s">
        <v>48</v>
      </c>
    </row>
    <row r="11508">
      <c r="H11508" s="50"/>
      <c r="I11508" s="50"/>
      <c r="O11508" s="36" t="s">
        <v>48</v>
      </c>
      <c r="R11508" s="36" t="s">
        <v>48</v>
      </c>
    </row>
    <row r="11509">
      <c r="H11509" s="50"/>
      <c r="I11509" s="50"/>
      <c r="O11509" s="36" t="s">
        <v>48</v>
      </c>
      <c r="R11509" s="36" t="s">
        <v>48</v>
      </c>
    </row>
    <row r="11510">
      <c r="H11510" s="50"/>
      <c r="I11510" s="50"/>
      <c r="O11510" s="36" t="s">
        <v>48</v>
      </c>
      <c r="R11510" s="36" t="s">
        <v>48</v>
      </c>
    </row>
    <row r="11511">
      <c r="H11511" s="50"/>
      <c r="I11511" s="50"/>
      <c r="O11511" s="36" t="s">
        <v>48</v>
      </c>
      <c r="R11511" s="36" t="s">
        <v>48</v>
      </c>
    </row>
    <row r="11512">
      <c r="H11512" s="50"/>
      <c r="I11512" s="50"/>
      <c r="O11512" s="36" t="s">
        <v>48</v>
      </c>
      <c r="R11512" s="36" t="s">
        <v>48</v>
      </c>
    </row>
    <row r="11513">
      <c r="H11513" s="50"/>
      <c r="I11513" s="50"/>
      <c r="O11513" s="36" t="s">
        <v>48</v>
      </c>
      <c r="R11513" s="36" t="s">
        <v>48</v>
      </c>
    </row>
    <row r="11514">
      <c r="H11514" s="50"/>
      <c r="I11514" s="50"/>
      <c r="O11514" s="36" t="s">
        <v>48</v>
      </c>
      <c r="R11514" s="36" t="s">
        <v>48</v>
      </c>
    </row>
    <row r="11515">
      <c r="H11515" s="50"/>
      <c r="I11515" s="50"/>
      <c r="O11515" s="36" t="s">
        <v>48</v>
      </c>
      <c r="R11515" s="36" t="s">
        <v>48</v>
      </c>
    </row>
    <row r="11516">
      <c r="H11516" s="50"/>
      <c r="I11516" s="50"/>
      <c r="O11516" s="36" t="s">
        <v>48</v>
      </c>
      <c r="R11516" s="36" t="s">
        <v>48</v>
      </c>
    </row>
    <row r="11517">
      <c r="H11517" s="50"/>
      <c r="I11517" s="50"/>
      <c r="O11517" s="36" t="s">
        <v>48</v>
      </c>
      <c r="R11517" s="36" t="s">
        <v>48</v>
      </c>
    </row>
    <row r="11518">
      <c r="H11518" s="50"/>
      <c r="I11518" s="50"/>
      <c r="O11518" s="36" t="s">
        <v>48</v>
      </c>
      <c r="R11518" s="36" t="s">
        <v>48</v>
      </c>
    </row>
    <row r="11519">
      <c r="H11519" s="50"/>
      <c r="I11519" s="50"/>
      <c r="O11519" s="36" t="s">
        <v>48</v>
      </c>
      <c r="R11519" s="36" t="s">
        <v>48</v>
      </c>
    </row>
    <row r="11520">
      <c r="H11520" s="50"/>
      <c r="I11520" s="50"/>
      <c r="O11520" s="36" t="s">
        <v>48</v>
      </c>
      <c r="R11520" s="36" t="s">
        <v>48</v>
      </c>
    </row>
    <row r="11521">
      <c r="H11521" s="50"/>
      <c r="I11521" s="50"/>
      <c r="O11521" s="36" t="s">
        <v>48</v>
      </c>
      <c r="R11521" s="36" t="s">
        <v>48</v>
      </c>
    </row>
    <row r="11522">
      <c r="H11522" s="50"/>
      <c r="I11522" s="50"/>
      <c r="O11522" s="36" t="s">
        <v>48</v>
      </c>
      <c r="R11522" s="36" t="s">
        <v>48</v>
      </c>
    </row>
    <row r="11523">
      <c r="H11523" s="50"/>
      <c r="I11523" s="50"/>
      <c r="O11523" s="36" t="s">
        <v>48</v>
      </c>
      <c r="R11523" s="36" t="s">
        <v>48</v>
      </c>
    </row>
    <row r="11524">
      <c r="H11524" s="50"/>
      <c r="I11524" s="50"/>
      <c r="O11524" s="36" t="s">
        <v>48</v>
      </c>
      <c r="R11524" s="36" t="s">
        <v>48</v>
      </c>
    </row>
    <row r="11525">
      <c r="H11525" s="50"/>
      <c r="I11525" s="50"/>
      <c r="O11525" s="36" t="s">
        <v>48</v>
      </c>
      <c r="R11525" s="36" t="s">
        <v>48</v>
      </c>
    </row>
    <row r="11526">
      <c r="H11526" s="50"/>
      <c r="I11526" s="50"/>
      <c r="O11526" s="36" t="s">
        <v>48</v>
      </c>
      <c r="R11526" s="36" t="s">
        <v>48</v>
      </c>
    </row>
    <row r="11527">
      <c r="H11527" s="50"/>
      <c r="I11527" s="50"/>
      <c r="O11527" s="36" t="s">
        <v>48</v>
      </c>
      <c r="R11527" s="36" t="s">
        <v>48</v>
      </c>
    </row>
    <row r="11528">
      <c r="H11528" s="50"/>
      <c r="I11528" s="50"/>
      <c r="O11528" s="36" t="s">
        <v>48</v>
      </c>
      <c r="R11528" s="36" t="s">
        <v>48</v>
      </c>
    </row>
    <row r="11529">
      <c r="H11529" s="50"/>
      <c r="I11529" s="50"/>
      <c r="O11529" s="36" t="s">
        <v>48</v>
      </c>
      <c r="R11529" s="36" t="s">
        <v>48</v>
      </c>
    </row>
    <row r="11530">
      <c r="H11530" s="50"/>
      <c r="I11530" s="50"/>
      <c r="O11530" s="36" t="s">
        <v>48</v>
      </c>
      <c r="R11530" s="36" t="s">
        <v>48</v>
      </c>
    </row>
    <row r="11531">
      <c r="H11531" s="50"/>
      <c r="I11531" s="50"/>
      <c r="O11531" s="36" t="s">
        <v>48</v>
      </c>
      <c r="R11531" s="36" t="s">
        <v>48</v>
      </c>
    </row>
    <row r="11532">
      <c r="H11532" s="50"/>
      <c r="I11532" s="50"/>
      <c r="O11532" s="36" t="s">
        <v>48</v>
      </c>
      <c r="R11532" s="36" t="s">
        <v>48</v>
      </c>
    </row>
    <row r="11533">
      <c r="H11533" s="50"/>
      <c r="I11533" s="50"/>
      <c r="O11533" s="36" t="s">
        <v>48</v>
      </c>
      <c r="R11533" s="36" t="s">
        <v>48</v>
      </c>
    </row>
    <row r="11534">
      <c r="H11534" s="50"/>
      <c r="I11534" s="50"/>
      <c r="O11534" s="36" t="s">
        <v>48</v>
      </c>
      <c r="R11534" s="36" t="s">
        <v>48</v>
      </c>
    </row>
    <row r="11535">
      <c r="H11535" s="50"/>
      <c r="I11535" s="50"/>
      <c r="O11535" s="36" t="s">
        <v>48</v>
      </c>
      <c r="R11535" s="36" t="s">
        <v>48</v>
      </c>
    </row>
    <row r="11536">
      <c r="H11536" s="50"/>
      <c r="I11536" s="50"/>
      <c r="O11536" s="36" t="s">
        <v>48</v>
      </c>
      <c r="R11536" s="36" t="s">
        <v>48</v>
      </c>
    </row>
    <row r="11537">
      <c r="H11537" s="50"/>
      <c r="I11537" s="50"/>
      <c r="O11537" s="36" t="s">
        <v>48</v>
      </c>
      <c r="R11537" s="36" t="s">
        <v>48</v>
      </c>
    </row>
    <row r="11538">
      <c r="H11538" s="50"/>
      <c r="I11538" s="50"/>
      <c r="O11538" s="36" t="s">
        <v>48</v>
      </c>
      <c r="R11538" s="36" t="s">
        <v>48</v>
      </c>
    </row>
    <row r="11539">
      <c r="H11539" s="50"/>
      <c r="I11539" s="50"/>
      <c r="O11539" s="36" t="s">
        <v>48</v>
      </c>
      <c r="R11539" s="36" t="s">
        <v>48</v>
      </c>
    </row>
    <row r="11540">
      <c r="H11540" s="50"/>
      <c r="I11540" s="50"/>
      <c r="O11540" s="36" t="s">
        <v>48</v>
      </c>
      <c r="R11540" s="36" t="s">
        <v>48</v>
      </c>
    </row>
    <row r="11541">
      <c r="H11541" s="50"/>
      <c r="I11541" s="50"/>
      <c r="O11541" s="36" t="s">
        <v>48</v>
      </c>
      <c r="R11541" s="36" t="s">
        <v>48</v>
      </c>
    </row>
    <row r="11542">
      <c r="H11542" s="50"/>
      <c r="I11542" s="50"/>
      <c r="O11542" s="36" t="s">
        <v>48</v>
      </c>
      <c r="R11542" s="36" t="s">
        <v>48</v>
      </c>
    </row>
    <row r="11543">
      <c r="H11543" s="50"/>
      <c r="I11543" s="50"/>
      <c r="O11543" s="36" t="s">
        <v>48</v>
      </c>
      <c r="R11543" s="36" t="s">
        <v>48</v>
      </c>
    </row>
    <row r="11544">
      <c r="H11544" s="50"/>
      <c r="I11544" s="50"/>
      <c r="O11544" s="36" t="s">
        <v>48</v>
      </c>
      <c r="R11544" s="36" t="s">
        <v>48</v>
      </c>
    </row>
    <row r="11545">
      <c r="H11545" s="50"/>
      <c r="I11545" s="50"/>
      <c r="O11545" s="36" t="s">
        <v>48</v>
      </c>
      <c r="R11545" s="36" t="s">
        <v>48</v>
      </c>
    </row>
    <row r="11546">
      <c r="H11546" s="50"/>
      <c r="I11546" s="50"/>
      <c r="O11546" s="36" t="s">
        <v>48</v>
      </c>
      <c r="R11546" s="36" t="s">
        <v>48</v>
      </c>
    </row>
    <row r="11547">
      <c r="H11547" s="50"/>
      <c r="I11547" s="50"/>
      <c r="O11547" s="36" t="s">
        <v>48</v>
      </c>
      <c r="R11547" s="36" t="s">
        <v>48</v>
      </c>
    </row>
    <row r="11548">
      <c r="H11548" s="50"/>
      <c r="I11548" s="50"/>
      <c r="O11548" s="36" t="s">
        <v>48</v>
      </c>
      <c r="R11548" s="36" t="s">
        <v>48</v>
      </c>
    </row>
    <row r="11549">
      <c r="H11549" s="50"/>
      <c r="I11549" s="50"/>
      <c r="O11549" s="36" t="s">
        <v>48</v>
      </c>
      <c r="R11549" s="36" t="s">
        <v>48</v>
      </c>
    </row>
    <row r="11550">
      <c r="H11550" s="50"/>
      <c r="I11550" s="50"/>
      <c r="O11550" s="36" t="s">
        <v>48</v>
      </c>
      <c r="R11550" s="36" t="s">
        <v>48</v>
      </c>
    </row>
    <row r="11551">
      <c r="H11551" s="50"/>
      <c r="I11551" s="50"/>
      <c r="O11551" s="36" t="s">
        <v>48</v>
      </c>
      <c r="R11551" s="36" t="s">
        <v>48</v>
      </c>
    </row>
    <row r="11552">
      <c r="H11552" s="50"/>
      <c r="I11552" s="50"/>
      <c r="O11552" s="36" t="s">
        <v>48</v>
      </c>
      <c r="R11552" s="36" t="s">
        <v>48</v>
      </c>
    </row>
    <row r="11553">
      <c r="H11553" s="50"/>
      <c r="I11553" s="50"/>
      <c r="O11553" s="36" t="s">
        <v>48</v>
      </c>
      <c r="R11553" s="36" t="s">
        <v>48</v>
      </c>
    </row>
    <row r="11554">
      <c r="H11554" s="50"/>
      <c r="I11554" s="50"/>
      <c r="O11554" s="36" t="s">
        <v>48</v>
      </c>
      <c r="R11554" s="36" t="s">
        <v>48</v>
      </c>
    </row>
    <row r="11555">
      <c r="H11555" s="50"/>
      <c r="I11555" s="50"/>
      <c r="O11555" s="36" t="s">
        <v>48</v>
      </c>
      <c r="R11555" s="36" t="s">
        <v>48</v>
      </c>
    </row>
    <row r="11556">
      <c r="H11556" s="50"/>
      <c r="I11556" s="50"/>
      <c r="O11556" s="36" t="s">
        <v>48</v>
      </c>
      <c r="R11556" s="36" t="s">
        <v>48</v>
      </c>
    </row>
    <row r="11557">
      <c r="H11557" s="50"/>
      <c r="I11557" s="50"/>
      <c r="O11557" s="36" t="s">
        <v>48</v>
      </c>
      <c r="R11557" s="36" t="s">
        <v>48</v>
      </c>
    </row>
    <row r="11558">
      <c r="H11558" s="50"/>
      <c r="I11558" s="50"/>
      <c r="O11558" s="36" t="s">
        <v>48</v>
      </c>
      <c r="R11558" s="36" t="s">
        <v>48</v>
      </c>
    </row>
    <row r="11559">
      <c r="H11559" s="50"/>
      <c r="I11559" s="50"/>
      <c r="O11559" s="36" t="s">
        <v>48</v>
      </c>
      <c r="R11559" s="36" t="s">
        <v>48</v>
      </c>
    </row>
    <row r="11560">
      <c r="H11560" s="50"/>
      <c r="I11560" s="50"/>
      <c r="O11560" s="36" t="s">
        <v>48</v>
      </c>
      <c r="R11560" s="36" t="s">
        <v>48</v>
      </c>
    </row>
    <row r="11561">
      <c r="H11561" s="50"/>
      <c r="I11561" s="50"/>
      <c r="O11561" s="36" t="s">
        <v>48</v>
      </c>
      <c r="R11561" s="36" t="s">
        <v>48</v>
      </c>
    </row>
    <row r="11562">
      <c r="H11562" s="50"/>
      <c r="I11562" s="50"/>
      <c r="O11562" s="36" t="s">
        <v>48</v>
      </c>
      <c r="R11562" s="36" t="s">
        <v>48</v>
      </c>
    </row>
    <row r="11563">
      <c r="H11563" s="50"/>
      <c r="I11563" s="50"/>
      <c r="O11563" s="36" t="s">
        <v>48</v>
      </c>
      <c r="R11563" s="36" t="s">
        <v>48</v>
      </c>
    </row>
    <row r="11564">
      <c r="H11564" s="50"/>
      <c r="I11564" s="50"/>
      <c r="O11564" s="36" t="s">
        <v>48</v>
      </c>
      <c r="R11564" s="36" t="s">
        <v>48</v>
      </c>
    </row>
    <row r="11565">
      <c r="H11565" s="50"/>
      <c r="I11565" s="50"/>
      <c r="O11565" s="36" t="s">
        <v>48</v>
      </c>
      <c r="R11565" s="36" t="s">
        <v>48</v>
      </c>
    </row>
    <row r="11566">
      <c r="H11566" s="50"/>
      <c r="I11566" s="50"/>
      <c r="O11566" s="36" t="s">
        <v>48</v>
      </c>
      <c r="R11566" s="36" t="s">
        <v>48</v>
      </c>
    </row>
    <row r="11567">
      <c r="H11567" s="50"/>
      <c r="I11567" s="50"/>
      <c r="O11567" s="36" t="s">
        <v>48</v>
      </c>
      <c r="R11567" s="36" t="s">
        <v>48</v>
      </c>
    </row>
    <row r="11568">
      <c r="H11568" s="50"/>
      <c r="I11568" s="50"/>
      <c r="O11568" s="36" t="s">
        <v>48</v>
      </c>
      <c r="R11568" s="36" t="s">
        <v>48</v>
      </c>
    </row>
    <row r="11569">
      <c r="H11569" s="50"/>
      <c r="I11569" s="50"/>
      <c r="O11569" s="36" t="s">
        <v>48</v>
      </c>
      <c r="R11569" s="36" t="s">
        <v>48</v>
      </c>
    </row>
    <row r="11570">
      <c r="H11570" s="50"/>
      <c r="I11570" s="50"/>
      <c r="O11570" s="36" t="s">
        <v>48</v>
      </c>
      <c r="R11570" s="36" t="s">
        <v>48</v>
      </c>
    </row>
    <row r="11571">
      <c r="H11571" s="50"/>
      <c r="I11571" s="50"/>
      <c r="O11571" s="36" t="s">
        <v>48</v>
      </c>
      <c r="R11571" s="36" t="s">
        <v>48</v>
      </c>
    </row>
    <row r="11572">
      <c r="H11572" s="50"/>
      <c r="I11572" s="50"/>
      <c r="O11572" s="36" t="s">
        <v>48</v>
      </c>
      <c r="R11572" s="36" t="s">
        <v>48</v>
      </c>
    </row>
    <row r="11573">
      <c r="H11573" s="50"/>
      <c r="I11573" s="50"/>
      <c r="O11573" s="36" t="s">
        <v>48</v>
      </c>
      <c r="R11573" s="36" t="s">
        <v>48</v>
      </c>
    </row>
    <row r="11574">
      <c r="H11574" s="50"/>
      <c r="I11574" s="50"/>
      <c r="O11574" s="36" t="s">
        <v>48</v>
      </c>
      <c r="R11574" s="36" t="s">
        <v>48</v>
      </c>
    </row>
    <row r="11575">
      <c r="H11575" s="50"/>
      <c r="I11575" s="50"/>
      <c r="O11575" s="36" t="s">
        <v>48</v>
      </c>
      <c r="R11575" s="36" t="s">
        <v>48</v>
      </c>
    </row>
    <row r="11576">
      <c r="H11576" s="50"/>
      <c r="I11576" s="50"/>
      <c r="O11576" s="36" t="s">
        <v>48</v>
      </c>
      <c r="R11576" s="36" t="s">
        <v>48</v>
      </c>
    </row>
    <row r="11577">
      <c r="H11577" s="50"/>
      <c r="I11577" s="50"/>
      <c r="O11577" s="36" t="s">
        <v>48</v>
      </c>
      <c r="R11577" s="36" t="s">
        <v>48</v>
      </c>
    </row>
    <row r="11578">
      <c r="H11578" s="50"/>
      <c r="I11578" s="50"/>
      <c r="O11578" s="36" t="s">
        <v>48</v>
      </c>
      <c r="R11578" s="36" t="s">
        <v>48</v>
      </c>
    </row>
    <row r="11579">
      <c r="H11579" s="50"/>
      <c r="I11579" s="50"/>
      <c r="O11579" s="36" t="s">
        <v>48</v>
      </c>
      <c r="R11579" s="36" t="s">
        <v>48</v>
      </c>
    </row>
    <row r="11580">
      <c r="H11580" s="50"/>
      <c r="I11580" s="50"/>
      <c r="O11580" s="36" t="s">
        <v>48</v>
      </c>
      <c r="R11580" s="36" t="s">
        <v>48</v>
      </c>
    </row>
    <row r="11581">
      <c r="H11581" s="50"/>
      <c r="I11581" s="50"/>
      <c r="O11581" s="36" t="s">
        <v>48</v>
      </c>
      <c r="R11581" s="36" t="s">
        <v>48</v>
      </c>
    </row>
    <row r="11582">
      <c r="H11582" s="50"/>
      <c r="I11582" s="50"/>
      <c r="O11582" s="36" t="s">
        <v>48</v>
      </c>
      <c r="R11582" s="36" t="s">
        <v>48</v>
      </c>
    </row>
    <row r="11583">
      <c r="H11583" s="50"/>
      <c r="I11583" s="50"/>
      <c r="O11583" s="36" t="s">
        <v>48</v>
      </c>
      <c r="R11583" s="36" t="s">
        <v>48</v>
      </c>
    </row>
    <row r="11584">
      <c r="H11584" s="50"/>
      <c r="I11584" s="50"/>
      <c r="O11584" s="36" t="s">
        <v>48</v>
      </c>
      <c r="R11584" s="36" t="s">
        <v>48</v>
      </c>
    </row>
    <row r="11585">
      <c r="H11585" s="50"/>
      <c r="I11585" s="50"/>
      <c r="O11585" s="36" t="s">
        <v>48</v>
      </c>
      <c r="R11585" s="36" t="s">
        <v>48</v>
      </c>
    </row>
    <row r="11586">
      <c r="H11586" s="50"/>
      <c r="I11586" s="50"/>
      <c r="O11586" s="36" t="s">
        <v>48</v>
      </c>
      <c r="R11586" s="36" t="s">
        <v>48</v>
      </c>
    </row>
    <row r="11587">
      <c r="H11587" s="50"/>
      <c r="I11587" s="50"/>
      <c r="O11587" s="36" t="s">
        <v>48</v>
      </c>
      <c r="R11587" s="36" t="s">
        <v>48</v>
      </c>
    </row>
    <row r="11588">
      <c r="H11588" s="50"/>
      <c r="I11588" s="50"/>
      <c r="O11588" s="36" t="s">
        <v>48</v>
      </c>
      <c r="R11588" s="36" t="s">
        <v>48</v>
      </c>
    </row>
    <row r="11589">
      <c r="H11589" s="50"/>
      <c r="I11589" s="50"/>
      <c r="O11589" s="36" t="s">
        <v>48</v>
      </c>
      <c r="R11589" s="36" t="s">
        <v>48</v>
      </c>
    </row>
    <row r="11590">
      <c r="H11590" s="50"/>
      <c r="I11590" s="50"/>
      <c r="O11590" s="36" t="s">
        <v>48</v>
      </c>
      <c r="R11590" s="36" t="s">
        <v>48</v>
      </c>
    </row>
    <row r="11591">
      <c r="H11591" s="50"/>
      <c r="I11591" s="50"/>
      <c r="O11591" s="36" t="s">
        <v>48</v>
      </c>
      <c r="R11591" s="36" t="s">
        <v>48</v>
      </c>
    </row>
    <row r="11592">
      <c r="H11592" s="50"/>
      <c r="I11592" s="50"/>
      <c r="O11592" s="36" t="s">
        <v>48</v>
      </c>
      <c r="R11592" s="36" t="s">
        <v>48</v>
      </c>
    </row>
    <row r="11593">
      <c r="H11593" s="50"/>
      <c r="I11593" s="50"/>
      <c r="O11593" s="36" t="s">
        <v>48</v>
      </c>
      <c r="R11593" s="36" t="s">
        <v>48</v>
      </c>
    </row>
    <row r="11594">
      <c r="H11594" s="50"/>
      <c r="I11594" s="50"/>
      <c r="O11594" s="36" t="s">
        <v>48</v>
      </c>
      <c r="R11594" s="36" t="s">
        <v>48</v>
      </c>
    </row>
    <row r="11595">
      <c r="H11595" s="50"/>
      <c r="I11595" s="50"/>
      <c r="O11595" s="36" t="s">
        <v>48</v>
      </c>
      <c r="R11595" s="36" t="s">
        <v>48</v>
      </c>
    </row>
    <row r="11596">
      <c r="H11596" s="50"/>
      <c r="I11596" s="50"/>
      <c r="O11596" s="36" t="s">
        <v>48</v>
      </c>
      <c r="R11596" s="36" t="s">
        <v>48</v>
      </c>
    </row>
    <row r="11597">
      <c r="H11597" s="50"/>
      <c r="I11597" s="50"/>
      <c r="O11597" s="36" t="s">
        <v>48</v>
      </c>
      <c r="R11597" s="36" t="s">
        <v>48</v>
      </c>
    </row>
    <row r="11598">
      <c r="H11598" s="50"/>
      <c r="I11598" s="50"/>
      <c r="O11598" s="36" t="s">
        <v>48</v>
      </c>
      <c r="R11598" s="36" t="s">
        <v>48</v>
      </c>
    </row>
    <row r="11599">
      <c r="H11599" s="50"/>
      <c r="I11599" s="50"/>
      <c r="O11599" s="36" t="s">
        <v>48</v>
      </c>
      <c r="R11599" s="36" t="s">
        <v>48</v>
      </c>
    </row>
    <row r="11600">
      <c r="H11600" s="50"/>
      <c r="I11600" s="50"/>
      <c r="O11600" s="36" t="s">
        <v>48</v>
      </c>
      <c r="R11600" s="36" t="s">
        <v>48</v>
      </c>
    </row>
    <row r="11601">
      <c r="H11601" s="50"/>
      <c r="I11601" s="50"/>
      <c r="O11601" s="36" t="s">
        <v>48</v>
      </c>
      <c r="R11601" s="36" t="s">
        <v>48</v>
      </c>
    </row>
    <row r="11602">
      <c r="H11602" s="50"/>
      <c r="I11602" s="50"/>
      <c r="O11602" s="36" t="s">
        <v>48</v>
      </c>
      <c r="R11602" s="36" t="s">
        <v>48</v>
      </c>
    </row>
    <row r="11603">
      <c r="H11603" s="50"/>
      <c r="I11603" s="50"/>
      <c r="O11603" s="36" t="s">
        <v>48</v>
      </c>
      <c r="R11603" s="36" t="s">
        <v>48</v>
      </c>
    </row>
    <row r="11604">
      <c r="H11604" s="50"/>
      <c r="I11604" s="50"/>
      <c r="O11604" s="36" t="s">
        <v>48</v>
      </c>
      <c r="R11604" s="36" t="s">
        <v>48</v>
      </c>
    </row>
    <row r="11605">
      <c r="H11605" s="50"/>
      <c r="I11605" s="50"/>
      <c r="O11605" s="36" t="s">
        <v>48</v>
      </c>
      <c r="R11605" s="36" t="s">
        <v>48</v>
      </c>
    </row>
    <row r="11606">
      <c r="H11606" s="50"/>
      <c r="I11606" s="50"/>
      <c r="O11606" s="36" t="s">
        <v>48</v>
      </c>
      <c r="R11606" s="36" t="s">
        <v>48</v>
      </c>
    </row>
    <row r="11607">
      <c r="H11607" s="50"/>
      <c r="I11607" s="50"/>
      <c r="O11607" s="36" t="s">
        <v>48</v>
      </c>
      <c r="R11607" s="36" t="s">
        <v>48</v>
      </c>
    </row>
    <row r="11608">
      <c r="H11608" s="50"/>
      <c r="I11608" s="50"/>
      <c r="O11608" s="36" t="s">
        <v>48</v>
      </c>
      <c r="R11608" s="36" t="s">
        <v>48</v>
      </c>
    </row>
    <row r="11609">
      <c r="H11609" s="50"/>
      <c r="I11609" s="50"/>
      <c r="O11609" s="36" t="s">
        <v>48</v>
      </c>
      <c r="R11609" s="36" t="s">
        <v>48</v>
      </c>
    </row>
    <row r="11610">
      <c r="H11610" s="50"/>
      <c r="I11610" s="50"/>
      <c r="O11610" s="36" t="s">
        <v>48</v>
      </c>
      <c r="R11610" s="36" t="s">
        <v>48</v>
      </c>
    </row>
    <row r="11611">
      <c r="H11611" s="50"/>
      <c r="I11611" s="50"/>
      <c r="O11611" s="36" t="s">
        <v>48</v>
      </c>
      <c r="R11611" s="36" t="s">
        <v>48</v>
      </c>
    </row>
    <row r="11612">
      <c r="H11612" s="50"/>
      <c r="I11612" s="50"/>
      <c r="O11612" s="36" t="s">
        <v>48</v>
      </c>
      <c r="R11612" s="36" t="s">
        <v>48</v>
      </c>
    </row>
    <row r="11613">
      <c r="H11613" s="50"/>
      <c r="I11613" s="50"/>
      <c r="O11613" s="36" t="s">
        <v>48</v>
      </c>
      <c r="R11613" s="36" t="s">
        <v>48</v>
      </c>
    </row>
    <row r="11614">
      <c r="H11614" s="50"/>
      <c r="I11614" s="50"/>
      <c r="O11614" s="36" t="s">
        <v>48</v>
      </c>
      <c r="R11614" s="36" t="s">
        <v>48</v>
      </c>
    </row>
    <row r="11615">
      <c r="H11615" s="50"/>
      <c r="I11615" s="50"/>
      <c r="O11615" s="36" t="s">
        <v>48</v>
      </c>
      <c r="R11615" s="36" t="s">
        <v>48</v>
      </c>
    </row>
    <row r="11616">
      <c r="H11616" s="50"/>
      <c r="I11616" s="50"/>
      <c r="O11616" s="36" t="s">
        <v>48</v>
      </c>
      <c r="R11616" s="36" t="s">
        <v>48</v>
      </c>
    </row>
    <row r="11617">
      <c r="H11617" s="50"/>
      <c r="I11617" s="50"/>
      <c r="O11617" s="36" t="s">
        <v>48</v>
      </c>
      <c r="R11617" s="36" t="s">
        <v>48</v>
      </c>
    </row>
    <row r="11618">
      <c r="H11618" s="50"/>
      <c r="I11618" s="50"/>
      <c r="O11618" s="36" t="s">
        <v>48</v>
      </c>
      <c r="R11618" s="36" t="s">
        <v>48</v>
      </c>
    </row>
    <row r="11619">
      <c r="H11619" s="50"/>
      <c r="I11619" s="50"/>
      <c r="O11619" s="36" t="s">
        <v>48</v>
      </c>
      <c r="R11619" s="36" t="s">
        <v>48</v>
      </c>
    </row>
    <row r="11620">
      <c r="H11620" s="50"/>
      <c r="I11620" s="50"/>
      <c r="O11620" s="36" t="s">
        <v>48</v>
      </c>
      <c r="R11620" s="36" t="s">
        <v>48</v>
      </c>
    </row>
    <row r="11621">
      <c r="H11621" s="50"/>
      <c r="I11621" s="50"/>
      <c r="O11621" s="36" t="s">
        <v>48</v>
      </c>
      <c r="R11621" s="36" t="s">
        <v>48</v>
      </c>
    </row>
    <row r="11622">
      <c r="H11622" s="50"/>
      <c r="I11622" s="50"/>
      <c r="O11622" s="36" t="s">
        <v>48</v>
      </c>
      <c r="R11622" s="36" t="s">
        <v>48</v>
      </c>
    </row>
    <row r="11623">
      <c r="H11623" s="50"/>
      <c r="I11623" s="50"/>
      <c r="O11623" s="36" t="s">
        <v>48</v>
      </c>
      <c r="R11623" s="36" t="s">
        <v>48</v>
      </c>
    </row>
    <row r="11624">
      <c r="H11624" s="50"/>
      <c r="I11624" s="50"/>
      <c r="O11624" s="36" t="s">
        <v>48</v>
      </c>
      <c r="R11624" s="36" t="s">
        <v>48</v>
      </c>
    </row>
    <row r="11625">
      <c r="H11625" s="50"/>
      <c r="I11625" s="50"/>
      <c r="O11625" s="36" t="s">
        <v>48</v>
      </c>
      <c r="R11625" s="36" t="s">
        <v>48</v>
      </c>
    </row>
    <row r="11626">
      <c r="H11626" s="50"/>
      <c r="I11626" s="50"/>
      <c r="O11626" s="36" t="s">
        <v>48</v>
      </c>
      <c r="R11626" s="36" t="s">
        <v>48</v>
      </c>
    </row>
    <row r="11627">
      <c r="H11627" s="50"/>
      <c r="I11627" s="50"/>
      <c r="O11627" s="36" t="s">
        <v>48</v>
      </c>
      <c r="R11627" s="36" t="s">
        <v>48</v>
      </c>
    </row>
    <row r="11628">
      <c r="H11628" s="50"/>
      <c r="I11628" s="50"/>
      <c r="O11628" s="36" t="s">
        <v>48</v>
      </c>
      <c r="R11628" s="36" t="s">
        <v>48</v>
      </c>
    </row>
    <row r="11629">
      <c r="H11629" s="50"/>
      <c r="I11629" s="50"/>
      <c r="O11629" s="36" t="s">
        <v>48</v>
      </c>
      <c r="R11629" s="36" t="s">
        <v>48</v>
      </c>
    </row>
    <row r="11630">
      <c r="H11630" s="50"/>
      <c r="I11630" s="50"/>
      <c r="O11630" s="36" t="s">
        <v>48</v>
      </c>
      <c r="R11630" s="36" t="s">
        <v>48</v>
      </c>
    </row>
    <row r="11631">
      <c r="H11631" s="50"/>
      <c r="I11631" s="50"/>
      <c r="O11631" s="36" t="s">
        <v>48</v>
      </c>
      <c r="R11631" s="36" t="s">
        <v>48</v>
      </c>
    </row>
    <row r="11632">
      <c r="H11632" s="50"/>
      <c r="I11632" s="50"/>
      <c r="O11632" s="36" t="s">
        <v>48</v>
      </c>
      <c r="R11632" s="36" t="s">
        <v>48</v>
      </c>
    </row>
    <row r="11633">
      <c r="H11633" s="50"/>
      <c r="I11633" s="50"/>
      <c r="O11633" s="36" t="s">
        <v>48</v>
      </c>
      <c r="R11633" s="36" t="s">
        <v>48</v>
      </c>
    </row>
    <row r="11634">
      <c r="H11634" s="50"/>
      <c r="I11634" s="50"/>
      <c r="O11634" s="36" t="s">
        <v>48</v>
      </c>
      <c r="R11634" s="36" t="s">
        <v>48</v>
      </c>
    </row>
    <row r="11635">
      <c r="H11635" s="50"/>
      <c r="I11635" s="50"/>
      <c r="O11635" s="36" t="s">
        <v>48</v>
      </c>
      <c r="R11635" s="36" t="s">
        <v>48</v>
      </c>
    </row>
    <row r="11636">
      <c r="H11636" s="50"/>
      <c r="I11636" s="50"/>
      <c r="O11636" s="36" t="s">
        <v>48</v>
      </c>
      <c r="R11636" s="36" t="s">
        <v>48</v>
      </c>
    </row>
    <row r="11637">
      <c r="H11637" s="50"/>
      <c r="I11637" s="50"/>
      <c r="O11637" s="36" t="s">
        <v>48</v>
      </c>
      <c r="R11637" s="36" t="s">
        <v>48</v>
      </c>
    </row>
    <row r="11638">
      <c r="H11638" s="50"/>
      <c r="I11638" s="50"/>
      <c r="O11638" s="36" t="s">
        <v>48</v>
      </c>
      <c r="R11638" s="36" t="s">
        <v>48</v>
      </c>
    </row>
    <row r="11639">
      <c r="H11639" s="50"/>
      <c r="I11639" s="50"/>
      <c r="O11639" s="36" t="s">
        <v>48</v>
      </c>
      <c r="R11639" s="36" t="s">
        <v>48</v>
      </c>
    </row>
    <row r="11640">
      <c r="H11640" s="50"/>
      <c r="I11640" s="50"/>
      <c r="O11640" s="36" t="s">
        <v>48</v>
      </c>
      <c r="R11640" s="36" t="s">
        <v>48</v>
      </c>
    </row>
    <row r="11641">
      <c r="H11641" s="50"/>
      <c r="I11641" s="50"/>
      <c r="O11641" s="36" t="s">
        <v>48</v>
      </c>
      <c r="R11641" s="36" t="s">
        <v>48</v>
      </c>
    </row>
    <row r="11642">
      <c r="H11642" s="50"/>
      <c r="I11642" s="50"/>
      <c r="O11642" s="36" t="s">
        <v>48</v>
      </c>
      <c r="R11642" s="36" t="s">
        <v>48</v>
      </c>
    </row>
    <row r="11643">
      <c r="H11643" s="50"/>
      <c r="I11643" s="50"/>
      <c r="O11643" s="36" t="s">
        <v>48</v>
      </c>
      <c r="R11643" s="36" t="s">
        <v>48</v>
      </c>
    </row>
    <row r="11644">
      <c r="H11644" s="50"/>
      <c r="I11644" s="50"/>
      <c r="O11644" s="36" t="s">
        <v>48</v>
      </c>
      <c r="R11644" s="36" t="s">
        <v>48</v>
      </c>
    </row>
    <row r="11645">
      <c r="H11645" s="50"/>
      <c r="I11645" s="50"/>
      <c r="O11645" s="36" t="s">
        <v>48</v>
      </c>
      <c r="R11645" s="36" t="s">
        <v>48</v>
      </c>
    </row>
    <row r="11646">
      <c r="H11646" s="50"/>
      <c r="I11646" s="50"/>
      <c r="O11646" s="36" t="s">
        <v>48</v>
      </c>
      <c r="R11646" s="36" t="s">
        <v>48</v>
      </c>
    </row>
    <row r="11647">
      <c r="H11647" s="50"/>
      <c r="I11647" s="50"/>
      <c r="O11647" s="36" t="s">
        <v>48</v>
      </c>
      <c r="R11647" s="36" t="s">
        <v>48</v>
      </c>
    </row>
    <row r="11648">
      <c r="H11648" s="50"/>
      <c r="I11648" s="50"/>
      <c r="O11648" s="36" t="s">
        <v>48</v>
      </c>
      <c r="R11648" s="36" t="s">
        <v>48</v>
      </c>
    </row>
    <row r="11649">
      <c r="H11649" s="50"/>
      <c r="I11649" s="50"/>
      <c r="O11649" s="36" t="s">
        <v>48</v>
      </c>
      <c r="R11649" s="36" t="s">
        <v>48</v>
      </c>
    </row>
    <row r="11650">
      <c r="H11650" s="50"/>
      <c r="I11650" s="50"/>
      <c r="O11650" s="36" t="s">
        <v>48</v>
      </c>
      <c r="R11650" s="36" t="s">
        <v>48</v>
      </c>
    </row>
    <row r="11651">
      <c r="H11651" s="50"/>
      <c r="I11651" s="50"/>
      <c r="O11651" s="36" t="s">
        <v>48</v>
      </c>
      <c r="R11651" s="36" t="s">
        <v>48</v>
      </c>
    </row>
    <row r="11652">
      <c r="H11652" s="50"/>
      <c r="I11652" s="50"/>
      <c r="O11652" s="36" t="s">
        <v>48</v>
      </c>
      <c r="R11652" s="36" t="s">
        <v>48</v>
      </c>
    </row>
    <row r="11653">
      <c r="H11653" s="50"/>
      <c r="I11653" s="50"/>
      <c r="O11653" s="36" t="s">
        <v>48</v>
      </c>
      <c r="R11653" s="36" t="s">
        <v>48</v>
      </c>
    </row>
    <row r="11654">
      <c r="H11654" s="50"/>
      <c r="I11654" s="50"/>
      <c r="O11654" s="36" t="s">
        <v>48</v>
      </c>
      <c r="R11654" s="36" t="s">
        <v>48</v>
      </c>
    </row>
    <row r="11655">
      <c r="H11655" s="50"/>
      <c r="I11655" s="50"/>
      <c r="O11655" s="36" t="s">
        <v>48</v>
      </c>
      <c r="R11655" s="36" t="s">
        <v>48</v>
      </c>
    </row>
    <row r="11656">
      <c r="H11656" s="50"/>
      <c r="I11656" s="50"/>
      <c r="O11656" s="36" t="s">
        <v>48</v>
      </c>
      <c r="R11656" s="36" t="s">
        <v>48</v>
      </c>
    </row>
    <row r="11657">
      <c r="H11657" s="50"/>
      <c r="I11657" s="50"/>
      <c r="O11657" s="36" t="s">
        <v>48</v>
      </c>
      <c r="R11657" s="36" t="s">
        <v>48</v>
      </c>
    </row>
    <row r="11658">
      <c r="H11658" s="50"/>
      <c r="I11658" s="50"/>
      <c r="O11658" s="36" t="s">
        <v>48</v>
      </c>
      <c r="R11658" s="36" t="s">
        <v>48</v>
      </c>
    </row>
    <row r="11659">
      <c r="H11659" s="50"/>
      <c r="I11659" s="50"/>
      <c r="O11659" s="36" t="s">
        <v>48</v>
      </c>
      <c r="R11659" s="36" t="s">
        <v>48</v>
      </c>
    </row>
    <row r="11660">
      <c r="H11660" s="50"/>
      <c r="I11660" s="50"/>
      <c r="O11660" s="36" t="s">
        <v>48</v>
      </c>
      <c r="R11660" s="36" t="s">
        <v>48</v>
      </c>
    </row>
    <row r="11661">
      <c r="H11661" s="50"/>
      <c r="I11661" s="50"/>
      <c r="O11661" s="36" t="s">
        <v>48</v>
      </c>
      <c r="R11661" s="36" t="s">
        <v>48</v>
      </c>
    </row>
    <row r="11662">
      <c r="H11662" s="50"/>
      <c r="I11662" s="50"/>
      <c r="O11662" s="36" t="s">
        <v>48</v>
      </c>
      <c r="R11662" s="36" t="s">
        <v>48</v>
      </c>
    </row>
    <row r="11663">
      <c r="H11663" s="50"/>
      <c r="I11663" s="50"/>
      <c r="O11663" s="36" t="s">
        <v>48</v>
      </c>
      <c r="R11663" s="36" t="s">
        <v>48</v>
      </c>
    </row>
    <row r="11664">
      <c r="H11664" s="50"/>
      <c r="I11664" s="50"/>
      <c r="O11664" s="36" t="s">
        <v>48</v>
      </c>
      <c r="R11664" s="36" t="s">
        <v>48</v>
      </c>
    </row>
    <row r="11665">
      <c r="H11665" s="50"/>
      <c r="I11665" s="50"/>
      <c r="O11665" s="36" t="s">
        <v>48</v>
      </c>
      <c r="R11665" s="36" t="s">
        <v>48</v>
      </c>
    </row>
    <row r="11666">
      <c r="H11666" s="50"/>
      <c r="I11666" s="50"/>
      <c r="O11666" s="36" t="s">
        <v>48</v>
      </c>
      <c r="R11666" s="36" t="s">
        <v>48</v>
      </c>
    </row>
    <row r="11667">
      <c r="H11667" s="50"/>
      <c r="I11667" s="50"/>
      <c r="O11667" s="36" t="s">
        <v>48</v>
      </c>
      <c r="R11667" s="36" t="s">
        <v>48</v>
      </c>
    </row>
    <row r="11668">
      <c r="H11668" s="50"/>
      <c r="I11668" s="50"/>
      <c r="O11668" s="36" t="s">
        <v>48</v>
      </c>
      <c r="R11668" s="36" t="s">
        <v>48</v>
      </c>
    </row>
    <row r="11669">
      <c r="H11669" s="50"/>
      <c r="I11669" s="50"/>
      <c r="O11669" s="36" t="s">
        <v>48</v>
      </c>
      <c r="R11669" s="36" t="s">
        <v>48</v>
      </c>
    </row>
    <row r="11670">
      <c r="H11670" s="50"/>
      <c r="I11670" s="50"/>
      <c r="O11670" s="36" t="s">
        <v>48</v>
      </c>
      <c r="R11670" s="36" t="s">
        <v>48</v>
      </c>
    </row>
    <row r="11671">
      <c r="H11671" s="50"/>
      <c r="I11671" s="50"/>
      <c r="O11671" s="36" t="s">
        <v>48</v>
      </c>
      <c r="R11671" s="36" t="s">
        <v>48</v>
      </c>
    </row>
    <row r="11672">
      <c r="H11672" s="50"/>
      <c r="I11672" s="50"/>
      <c r="O11672" s="36" t="s">
        <v>48</v>
      </c>
      <c r="R11672" s="36" t="s">
        <v>48</v>
      </c>
    </row>
    <row r="11673">
      <c r="H11673" s="50"/>
      <c r="I11673" s="50"/>
      <c r="O11673" s="36" t="s">
        <v>48</v>
      </c>
      <c r="R11673" s="36" t="s">
        <v>48</v>
      </c>
    </row>
    <row r="11674">
      <c r="H11674" s="50"/>
      <c r="I11674" s="50"/>
      <c r="O11674" s="36" t="s">
        <v>48</v>
      </c>
      <c r="R11674" s="36" t="s">
        <v>48</v>
      </c>
    </row>
    <row r="11675">
      <c r="H11675" s="50"/>
      <c r="I11675" s="50"/>
      <c r="O11675" s="36" t="s">
        <v>48</v>
      </c>
      <c r="R11675" s="36" t="s">
        <v>48</v>
      </c>
    </row>
    <row r="11676">
      <c r="H11676" s="50"/>
      <c r="I11676" s="50"/>
      <c r="O11676" s="36" t="s">
        <v>48</v>
      </c>
      <c r="R11676" s="36" t="s">
        <v>48</v>
      </c>
    </row>
    <row r="11677">
      <c r="H11677" s="50"/>
      <c r="I11677" s="50"/>
      <c r="O11677" s="36" t="s">
        <v>48</v>
      </c>
      <c r="R11677" s="36" t="s">
        <v>48</v>
      </c>
    </row>
    <row r="11678">
      <c r="H11678" s="50"/>
      <c r="I11678" s="50"/>
      <c r="O11678" s="36" t="s">
        <v>48</v>
      </c>
      <c r="R11678" s="36" t="s">
        <v>48</v>
      </c>
    </row>
    <row r="11679">
      <c r="H11679" s="50"/>
      <c r="I11679" s="50"/>
      <c r="O11679" s="36" t="s">
        <v>48</v>
      </c>
      <c r="R11679" s="36" t="s">
        <v>48</v>
      </c>
    </row>
    <row r="11680">
      <c r="H11680" s="50"/>
      <c r="I11680" s="50"/>
      <c r="O11680" s="36" t="s">
        <v>48</v>
      </c>
      <c r="R11680" s="36" t="s">
        <v>48</v>
      </c>
    </row>
    <row r="11681">
      <c r="H11681" s="50"/>
      <c r="I11681" s="50"/>
      <c r="O11681" s="36" t="s">
        <v>48</v>
      </c>
      <c r="R11681" s="36" t="s">
        <v>48</v>
      </c>
    </row>
    <row r="11682">
      <c r="H11682" s="50"/>
      <c r="I11682" s="50"/>
      <c r="O11682" s="36" t="s">
        <v>48</v>
      </c>
      <c r="R11682" s="36" t="s">
        <v>48</v>
      </c>
    </row>
    <row r="11683">
      <c r="H11683" s="50"/>
      <c r="I11683" s="50"/>
      <c r="O11683" s="36" t="s">
        <v>48</v>
      </c>
      <c r="R11683" s="36" t="s">
        <v>48</v>
      </c>
    </row>
    <row r="11684">
      <c r="H11684" s="50"/>
      <c r="I11684" s="50"/>
      <c r="O11684" s="36" t="s">
        <v>48</v>
      </c>
      <c r="R11684" s="36" t="s">
        <v>48</v>
      </c>
    </row>
    <row r="11685">
      <c r="H11685" s="50"/>
      <c r="I11685" s="50"/>
      <c r="O11685" s="36" t="s">
        <v>48</v>
      </c>
      <c r="R11685" s="36" t="s">
        <v>48</v>
      </c>
    </row>
    <row r="11686">
      <c r="H11686" s="50"/>
      <c r="I11686" s="50"/>
      <c r="O11686" s="36" t="s">
        <v>48</v>
      </c>
      <c r="R11686" s="36" t="s">
        <v>48</v>
      </c>
    </row>
    <row r="11687">
      <c r="H11687" s="50"/>
      <c r="I11687" s="50"/>
      <c r="O11687" s="36" t="s">
        <v>48</v>
      </c>
      <c r="R11687" s="36" t="s">
        <v>48</v>
      </c>
    </row>
    <row r="11688">
      <c r="H11688" s="50"/>
      <c r="I11688" s="50"/>
      <c r="O11688" s="36" t="s">
        <v>48</v>
      </c>
      <c r="R11688" s="36" t="s">
        <v>48</v>
      </c>
    </row>
    <row r="11689">
      <c r="H11689" s="50"/>
      <c r="I11689" s="50"/>
      <c r="O11689" s="36" t="s">
        <v>48</v>
      </c>
      <c r="R11689" s="36" t="s">
        <v>48</v>
      </c>
    </row>
    <row r="11690">
      <c r="H11690" s="50"/>
      <c r="I11690" s="50"/>
      <c r="O11690" s="36" t="s">
        <v>48</v>
      </c>
      <c r="R11690" s="36" t="s">
        <v>48</v>
      </c>
    </row>
    <row r="11691">
      <c r="H11691" s="50"/>
      <c r="I11691" s="50"/>
      <c r="O11691" s="36" t="s">
        <v>48</v>
      </c>
      <c r="R11691" s="36" t="s">
        <v>48</v>
      </c>
    </row>
    <row r="11692">
      <c r="H11692" s="50"/>
      <c r="I11692" s="50"/>
      <c r="O11692" s="36" t="s">
        <v>48</v>
      </c>
      <c r="R11692" s="36" t="s">
        <v>48</v>
      </c>
    </row>
    <row r="11693">
      <c r="H11693" s="50"/>
      <c r="I11693" s="50"/>
      <c r="O11693" s="36" t="s">
        <v>48</v>
      </c>
      <c r="R11693" s="36" t="s">
        <v>48</v>
      </c>
    </row>
    <row r="11694">
      <c r="H11694" s="50"/>
      <c r="I11694" s="50"/>
      <c r="O11694" s="36" t="s">
        <v>48</v>
      </c>
      <c r="R11694" s="36" t="s">
        <v>48</v>
      </c>
    </row>
    <row r="11695">
      <c r="H11695" s="50"/>
      <c r="I11695" s="50"/>
      <c r="O11695" s="36" t="s">
        <v>48</v>
      </c>
      <c r="R11695" s="36" t="s">
        <v>48</v>
      </c>
    </row>
    <row r="11696">
      <c r="H11696" s="50"/>
      <c r="I11696" s="50"/>
      <c r="O11696" s="36" t="s">
        <v>48</v>
      </c>
      <c r="R11696" s="36" t="s">
        <v>48</v>
      </c>
    </row>
    <row r="11697">
      <c r="H11697" s="50"/>
      <c r="I11697" s="50"/>
      <c r="O11697" s="36" t="s">
        <v>48</v>
      </c>
      <c r="R11697" s="36" t="s">
        <v>48</v>
      </c>
    </row>
    <row r="11698">
      <c r="H11698" s="50"/>
      <c r="I11698" s="50"/>
      <c r="O11698" s="36" t="s">
        <v>48</v>
      </c>
      <c r="R11698" s="36" t="s">
        <v>48</v>
      </c>
    </row>
    <row r="11699">
      <c r="H11699" s="50"/>
      <c r="I11699" s="50"/>
      <c r="O11699" s="36" t="s">
        <v>48</v>
      </c>
      <c r="R11699" s="36" t="s">
        <v>48</v>
      </c>
    </row>
    <row r="11700">
      <c r="H11700" s="50"/>
      <c r="I11700" s="50"/>
      <c r="O11700" s="36" t="s">
        <v>48</v>
      </c>
      <c r="R11700" s="36" t="s">
        <v>48</v>
      </c>
    </row>
    <row r="11701">
      <c r="H11701" s="50"/>
      <c r="I11701" s="50"/>
      <c r="O11701" s="36" t="s">
        <v>48</v>
      </c>
      <c r="R11701" s="36" t="s">
        <v>48</v>
      </c>
    </row>
    <row r="11702">
      <c r="H11702" s="50"/>
      <c r="I11702" s="50"/>
      <c r="O11702" s="36" t="s">
        <v>48</v>
      </c>
      <c r="R11702" s="36" t="s">
        <v>48</v>
      </c>
    </row>
    <row r="11703">
      <c r="H11703" s="50"/>
      <c r="I11703" s="50"/>
      <c r="O11703" s="36" t="s">
        <v>48</v>
      </c>
      <c r="R11703" s="36" t="s">
        <v>48</v>
      </c>
    </row>
    <row r="11704">
      <c r="H11704" s="50"/>
      <c r="I11704" s="50"/>
      <c r="O11704" s="36" t="s">
        <v>48</v>
      </c>
      <c r="R11704" s="36" t="s">
        <v>48</v>
      </c>
    </row>
    <row r="11705">
      <c r="H11705" s="50"/>
      <c r="I11705" s="50"/>
      <c r="O11705" s="36" t="s">
        <v>48</v>
      </c>
      <c r="R11705" s="36" t="s">
        <v>48</v>
      </c>
    </row>
    <row r="11706">
      <c r="H11706" s="50"/>
      <c r="I11706" s="50"/>
      <c r="O11706" s="36" t="s">
        <v>48</v>
      </c>
      <c r="R11706" s="36" t="s">
        <v>48</v>
      </c>
    </row>
    <row r="11707">
      <c r="H11707" s="50"/>
      <c r="I11707" s="50"/>
      <c r="O11707" s="36" t="s">
        <v>48</v>
      </c>
      <c r="R11707" s="36" t="s">
        <v>48</v>
      </c>
    </row>
    <row r="11708">
      <c r="H11708" s="50"/>
      <c r="I11708" s="50"/>
      <c r="O11708" s="36" t="s">
        <v>48</v>
      </c>
      <c r="R11708" s="36" t="s">
        <v>48</v>
      </c>
    </row>
    <row r="11709">
      <c r="H11709" s="50"/>
      <c r="I11709" s="50"/>
      <c r="O11709" s="36" t="s">
        <v>48</v>
      </c>
      <c r="R11709" s="36" t="s">
        <v>48</v>
      </c>
    </row>
    <row r="11710">
      <c r="H11710" s="50"/>
      <c r="I11710" s="50"/>
      <c r="O11710" s="36" t="s">
        <v>48</v>
      </c>
      <c r="R11710" s="36" t="s">
        <v>48</v>
      </c>
    </row>
    <row r="11711">
      <c r="H11711" s="50"/>
      <c r="I11711" s="50"/>
      <c r="O11711" s="36" t="s">
        <v>48</v>
      </c>
      <c r="R11711" s="36" t="s">
        <v>48</v>
      </c>
    </row>
    <row r="11712">
      <c r="H11712" s="50"/>
      <c r="I11712" s="50"/>
      <c r="O11712" s="36" t="s">
        <v>48</v>
      </c>
      <c r="R11712" s="36" t="s">
        <v>48</v>
      </c>
    </row>
    <row r="11713">
      <c r="H11713" s="50"/>
      <c r="I11713" s="50"/>
      <c r="O11713" s="36" t="s">
        <v>48</v>
      </c>
      <c r="R11713" s="36" t="s">
        <v>48</v>
      </c>
    </row>
    <row r="11714">
      <c r="H11714" s="50"/>
      <c r="I11714" s="50"/>
      <c r="O11714" s="36" t="s">
        <v>48</v>
      </c>
      <c r="R11714" s="36" t="s">
        <v>48</v>
      </c>
    </row>
    <row r="11715">
      <c r="H11715" s="50"/>
      <c r="I11715" s="50"/>
      <c r="O11715" s="36" t="s">
        <v>48</v>
      </c>
      <c r="R11715" s="36" t="s">
        <v>48</v>
      </c>
    </row>
    <row r="11716">
      <c r="H11716" s="50"/>
      <c r="I11716" s="50"/>
      <c r="O11716" s="36" t="s">
        <v>48</v>
      </c>
      <c r="R11716" s="36" t="s">
        <v>48</v>
      </c>
    </row>
    <row r="11717">
      <c r="H11717" s="50"/>
      <c r="I11717" s="50"/>
      <c r="O11717" s="36" t="s">
        <v>48</v>
      </c>
      <c r="R11717" s="36" t="s">
        <v>48</v>
      </c>
    </row>
    <row r="11718">
      <c r="H11718" s="50"/>
      <c r="I11718" s="50"/>
      <c r="O11718" s="36" t="s">
        <v>48</v>
      </c>
      <c r="R11718" s="36" t="s">
        <v>48</v>
      </c>
    </row>
    <row r="11719">
      <c r="H11719" s="50"/>
      <c r="I11719" s="50"/>
      <c r="O11719" s="36" t="s">
        <v>48</v>
      </c>
      <c r="R11719" s="36" t="s">
        <v>48</v>
      </c>
    </row>
    <row r="11720">
      <c r="H11720" s="50"/>
      <c r="I11720" s="50"/>
      <c r="O11720" s="36" t="s">
        <v>48</v>
      </c>
      <c r="R11720" s="36" t="s">
        <v>48</v>
      </c>
    </row>
    <row r="11721">
      <c r="H11721" s="50"/>
      <c r="I11721" s="50"/>
      <c r="O11721" s="36" t="s">
        <v>48</v>
      </c>
      <c r="R11721" s="36" t="s">
        <v>48</v>
      </c>
    </row>
    <row r="11722">
      <c r="H11722" s="50"/>
      <c r="I11722" s="50"/>
      <c r="O11722" s="36" t="s">
        <v>48</v>
      </c>
      <c r="R11722" s="36" t="s">
        <v>48</v>
      </c>
    </row>
    <row r="11723">
      <c r="H11723" s="50"/>
      <c r="I11723" s="50"/>
      <c r="O11723" s="36" t="s">
        <v>48</v>
      </c>
      <c r="R11723" s="36" t="s">
        <v>48</v>
      </c>
    </row>
    <row r="11724">
      <c r="H11724" s="50"/>
      <c r="I11724" s="50"/>
      <c r="O11724" s="36" t="s">
        <v>48</v>
      </c>
      <c r="R11724" s="36" t="s">
        <v>48</v>
      </c>
    </row>
    <row r="11725">
      <c r="H11725" s="50"/>
      <c r="I11725" s="50"/>
      <c r="O11725" s="36" t="s">
        <v>48</v>
      </c>
      <c r="R11725" s="36" t="s">
        <v>48</v>
      </c>
    </row>
    <row r="11726">
      <c r="H11726" s="50"/>
      <c r="I11726" s="50"/>
      <c r="O11726" s="36" t="s">
        <v>48</v>
      </c>
      <c r="R11726" s="36" t="s">
        <v>48</v>
      </c>
    </row>
    <row r="11727">
      <c r="H11727" s="50"/>
      <c r="I11727" s="50"/>
      <c r="O11727" s="36" t="s">
        <v>48</v>
      </c>
      <c r="R11727" s="36" t="s">
        <v>48</v>
      </c>
    </row>
    <row r="11728">
      <c r="H11728" s="50"/>
      <c r="I11728" s="50"/>
      <c r="O11728" s="36" t="s">
        <v>48</v>
      </c>
      <c r="R11728" s="36" t="s">
        <v>48</v>
      </c>
    </row>
    <row r="11729">
      <c r="H11729" s="50"/>
      <c r="I11729" s="50"/>
      <c r="O11729" s="36" t="s">
        <v>48</v>
      </c>
      <c r="R11729" s="36" t="s">
        <v>48</v>
      </c>
    </row>
    <row r="11730">
      <c r="H11730" s="50"/>
      <c r="I11730" s="50"/>
      <c r="O11730" s="36" t="s">
        <v>48</v>
      </c>
      <c r="R11730" s="36" t="s">
        <v>48</v>
      </c>
    </row>
    <row r="11731">
      <c r="H11731" s="50"/>
      <c r="I11731" s="50"/>
      <c r="O11731" s="36" t="s">
        <v>48</v>
      </c>
      <c r="R11731" s="36" t="s">
        <v>48</v>
      </c>
    </row>
    <row r="11732">
      <c r="H11732" s="50"/>
      <c r="I11732" s="50"/>
      <c r="O11732" s="36" t="s">
        <v>48</v>
      </c>
      <c r="R11732" s="36" t="s">
        <v>48</v>
      </c>
    </row>
    <row r="11733">
      <c r="H11733" s="50"/>
      <c r="I11733" s="50"/>
      <c r="O11733" s="36" t="s">
        <v>48</v>
      </c>
      <c r="R11733" s="36" t="s">
        <v>48</v>
      </c>
    </row>
    <row r="11734">
      <c r="H11734" s="50"/>
      <c r="I11734" s="50"/>
      <c r="O11734" s="36" t="s">
        <v>48</v>
      </c>
      <c r="R11734" s="36" t="s">
        <v>48</v>
      </c>
    </row>
    <row r="11735">
      <c r="H11735" s="50"/>
      <c r="I11735" s="50"/>
      <c r="O11735" s="36" t="s">
        <v>48</v>
      </c>
      <c r="R11735" s="36" t="s">
        <v>48</v>
      </c>
    </row>
    <row r="11736">
      <c r="H11736" s="50"/>
      <c r="I11736" s="50"/>
      <c r="O11736" s="36" t="s">
        <v>48</v>
      </c>
      <c r="R11736" s="36" t="s">
        <v>48</v>
      </c>
    </row>
    <row r="11737">
      <c r="H11737" s="50"/>
      <c r="I11737" s="50"/>
      <c r="O11737" s="36" t="s">
        <v>48</v>
      </c>
      <c r="R11737" s="36" t="s">
        <v>48</v>
      </c>
    </row>
    <row r="11738">
      <c r="H11738" s="50"/>
      <c r="I11738" s="50"/>
      <c r="O11738" s="36" t="s">
        <v>48</v>
      </c>
      <c r="R11738" s="36" t="s">
        <v>48</v>
      </c>
    </row>
    <row r="11739">
      <c r="H11739" s="50"/>
      <c r="I11739" s="50"/>
      <c r="O11739" s="36" t="s">
        <v>48</v>
      </c>
      <c r="R11739" s="36" t="s">
        <v>48</v>
      </c>
    </row>
    <row r="11740">
      <c r="H11740" s="50"/>
      <c r="I11740" s="50"/>
      <c r="O11740" s="36" t="s">
        <v>48</v>
      </c>
      <c r="R11740" s="36" t="s">
        <v>48</v>
      </c>
    </row>
    <row r="11741">
      <c r="H11741" s="50"/>
      <c r="I11741" s="50"/>
      <c r="O11741" s="36" t="s">
        <v>48</v>
      </c>
      <c r="R11741" s="36" t="s">
        <v>48</v>
      </c>
    </row>
    <row r="11742">
      <c r="H11742" s="50"/>
      <c r="I11742" s="50"/>
      <c r="O11742" s="36" t="s">
        <v>48</v>
      </c>
      <c r="R11742" s="36" t="s">
        <v>48</v>
      </c>
    </row>
    <row r="11743">
      <c r="H11743" s="50"/>
      <c r="I11743" s="50"/>
      <c r="O11743" s="36" t="s">
        <v>48</v>
      </c>
      <c r="R11743" s="36" t="s">
        <v>48</v>
      </c>
    </row>
    <row r="11744">
      <c r="H11744" s="50"/>
      <c r="I11744" s="50"/>
      <c r="O11744" s="36" t="s">
        <v>48</v>
      </c>
      <c r="R11744" s="36" t="s">
        <v>48</v>
      </c>
    </row>
    <row r="11745">
      <c r="H11745" s="50"/>
      <c r="I11745" s="50"/>
      <c r="O11745" s="36" t="s">
        <v>48</v>
      </c>
      <c r="R11745" s="36" t="s">
        <v>48</v>
      </c>
    </row>
    <row r="11746">
      <c r="H11746" s="50"/>
      <c r="I11746" s="50"/>
      <c r="O11746" s="36" t="s">
        <v>48</v>
      </c>
      <c r="R11746" s="36" t="s">
        <v>48</v>
      </c>
    </row>
    <row r="11747">
      <c r="H11747" s="50"/>
      <c r="I11747" s="50"/>
      <c r="O11747" s="36" t="s">
        <v>48</v>
      </c>
      <c r="R11747" s="36" t="s">
        <v>48</v>
      </c>
    </row>
    <row r="11748">
      <c r="H11748" s="50"/>
      <c r="I11748" s="50"/>
      <c r="O11748" s="36" t="s">
        <v>48</v>
      </c>
      <c r="R11748" s="36" t="s">
        <v>48</v>
      </c>
    </row>
    <row r="11749">
      <c r="H11749" s="50"/>
      <c r="I11749" s="50"/>
      <c r="O11749" s="36" t="s">
        <v>48</v>
      </c>
      <c r="R11749" s="36" t="s">
        <v>48</v>
      </c>
    </row>
    <row r="11750">
      <c r="H11750" s="50"/>
      <c r="I11750" s="50"/>
      <c r="O11750" s="36" t="s">
        <v>48</v>
      </c>
      <c r="R11750" s="36" t="s">
        <v>48</v>
      </c>
    </row>
    <row r="11751">
      <c r="H11751" s="50"/>
      <c r="I11751" s="50"/>
      <c r="O11751" s="36" t="s">
        <v>48</v>
      </c>
      <c r="R11751" s="36" t="s">
        <v>48</v>
      </c>
    </row>
    <row r="11752">
      <c r="H11752" s="50"/>
      <c r="I11752" s="50"/>
      <c r="O11752" s="36" t="s">
        <v>48</v>
      </c>
      <c r="R11752" s="36" t="s">
        <v>48</v>
      </c>
    </row>
    <row r="11753">
      <c r="H11753" s="50"/>
      <c r="I11753" s="50"/>
      <c r="O11753" s="36" t="s">
        <v>48</v>
      </c>
      <c r="R11753" s="36" t="s">
        <v>48</v>
      </c>
    </row>
    <row r="11754">
      <c r="H11754" s="50"/>
      <c r="I11754" s="50"/>
      <c r="O11754" s="36" t="s">
        <v>48</v>
      </c>
      <c r="R11754" s="36" t="s">
        <v>48</v>
      </c>
    </row>
    <row r="11755">
      <c r="H11755" s="50"/>
      <c r="I11755" s="50"/>
      <c r="O11755" s="36" t="s">
        <v>48</v>
      </c>
      <c r="R11755" s="36" t="s">
        <v>48</v>
      </c>
    </row>
    <row r="11756">
      <c r="H11756" s="50"/>
      <c r="I11756" s="50"/>
      <c r="O11756" s="36" t="s">
        <v>48</v>
      </c>
      <c r="R11756" s="36" t="s">
        <v>48</v>
      </c>
    </row>
    <row r="11757">
      <c r="H11757" s="50"/>
      <c r="I11757" s="50"/>
      <c r="O11757" s="36" t="s">
        <v>48</v>
      </c>
      <c r="R11757" s="36" t="s">
        <v>48</v>
      </c>
    </row>
    <row r="11758">
      <c r="H11758" s="50"/>
      <c r="I11758" s="50"/>
      <c r="O11758" s="36" t="s">
        <v>48</v>
      </c>
      <c r="R11758" s="36" t="s">
        <v>48</v>
      </c>
    </row>
    <row r="11759">
      <c r="H11759" s="50"/>
      <c r="I11759" s="50"/>
      <c r="O11759" s="36" t="s">
        <v>48</v>
      </c>
      <c r="R11759" s="36" t="s">
        <v>48</v>
      </c>
    </row>
    <row r="11760">
      <c r="H11760" s="50"/>
      <c r="I11760" s="50"/>
      <c r="O11760" s="36" t="s">
        <v>48</v>
      </c>
      <c r="R11760" s="36" t="s">
        <v>48</v>
      </c>
    </row>
    <row r="11761">
      <c r="H11761" s="50"/>
      <c r="I11761" s="50"/>
      <c r="O11761" s="36" t="s">
        <v>48</v>
      </c>
      <c r="R11761" s="36" t="s">
        <v>48</v>
      </c>
    </row>
    <row r="11762">
      <c r="H11762" s="50"/>
      <c r="I11762" s="50"/>
      <c r="O11762" s="36" t="s">
        <v>48</v>
      </c>
      <c r="R11762" s="36" t="s">
        <v>48</v>
      </c>
    </row>
    <row r="11763">
      <c r="H11763" s="50"/>
      <c r="I11763" s="50"/>
      <c r="O11763" s="36" t="s">
        <v>48</v>
      </c>
      <c r="R11763" s="36" t="s">
        <v>48</v>
      </c>
    </row>
    <row r="11764">
      <c r="H11764" s="50"/>
      <c r="I11764" s="50"/>
      <c r="O11764" s="36" t="s">
        <v>48</v>
      </c>
      <c r="R11764" s="36" t="s">
        <v>48</v>
      </c>
    </row>
    <row r="11765">
      <c r="H11765" s="50"/>
      <c r="I11765" s="50"/>
      <c r="O11765" s="36" t="s">
        <v>48</v>
      </c>
      <c r="R11765" s="36" t="s">
        <v>48</v>
      </c>
    </row>
    <row r="11766">
      <c r="H11766" s="50"/>
      <c r="I11766" s="50"/>
      <c r="O11766" s="36" t="s">
        <v>48</v>
      </c>
      <c r="R11766" s="36" t="s">
        <v>48</v>
      </c>
    </row>
    <row r="11767">
      <c r="H11767" s="50"/>
      <c r="I11767" s="50"/>
      <c r="O11767" s="36" t="s">
        <v>48</v>
      </c>
      <c r="R11767" s="36" t="s">
        <v>48</v>
      </c>
    </row>
    <row r="11768">
      <c r="H11768" s="50"/>
      <c r="I11768" s="50"/>
      <c r="O11768" s="36" t="s">
        <v>48</v>
      </c>
      <c r="R11768" s="36" t="s">
        <v>48</v>
      </c>
    </row>
    <row r="11769">
      <c r="H11769" s="50"/>
      <c r="I11769" s="50"/>
      <c r="O11769" s="36" t="s">
        <v>48</v>
      </c>
      <c r="R11769" s="36" t="s">
        <v>48</v>
      </c>
    </row>
    <row r="11770">
      <c r="H11770" s="50"/>
      <c r="I11770" s="50"/>
      <c r="O11770" s="36" t="s">
        <v>48</v>
      </c>
      <c r="R11770" s="36" t="s">
        <v>48</v>
      </c>
    </row>
    <row r="11771">
      <c r="H11771" s="50"/>
      <c r="I11771" s="50"/>
      <c r="O11771" s="36" t="s">
        <v>48</v>
      </c>
      <c r="R11771" s="36" t="s">
        <v>48</v>
      </c>
    </row>
    <row r="11772">
      <c r="H11772" s="50"/>
      <c r="I11772" s="50"/>
      <c r="O11772" s="36" t="s">
        <v>48</v>
      </c>
      <c r="R11772" s="36" t="s">
        <v>48</v>
      </c>
    </row>
    <row r="11773">
      <c r="H11773" s="50"/>
      <c r="I11773" s="50"/>
      <c r="O11773" s="36" t="s">
        <v>48</v>
      </c>
      <c r="R11773" s="36" t="s">
        <v>48</v>
      </c>
    </row>
    <row r="11774">
      <c r="H11774" s="50"/>
      <c r="I11774" s="50"/>
      <c r="O11774" s="36" t="s">
        <v>48</v>
      </c>
      <c r="R11774" s="36" t="s">
        <v>48</v>
      </c>
    </row>
    <row r="11775">
      <c r="H11775" s="50"/>
      <c r="I11775" s="50"/>
      <c r="O11775" s="36" t="s">
        <v>48</v>
      </c>
      <c r="R11775" s="36" t="s">
        <v>48</v>
      </c>
    </row>
    <row r="11776">
      <c r="H11776" s="50"/>
      <c r="I11776" s="50"/>
      <c r="O11776" s="36" t="s">
        <v>48</v>
      </c>
      <c r="R11776" s="36" t="s">
        <v>48</v>
      </c>
    </row>
    <row r="11777">
      <c r="H11777" s="50"/>
      <c r="I11777" s="50"/>
      <c r="O11777" s="36" t="s">
        <v>48</v>
      </c>
      <c r="R11777" s="36" t="s">
        <v>48</v>
      </c>
    </row>
    <row r="11778">
      <c r="H11778" s="50"/>
      <c r="I11778" s="50"/>
      <c r="O11778" s="36" t="s">
        <v>48</v>
      </c>
      <c r="R11778" s="36" t="s">
        <v>48</v>
      </c>
    </row>
    <row r="11779">
      <c r="H11779" s="50"/>
      <c r="I11779" s="50"/>
      <c r="O11779" s="36" t="s">
        <v>48</v>
      </c>
      <c r="R11779" s="36" t="s">
        <v>48</v>
      </c>
    </row>
    <row r="11780">
      <c r="H11780" s="50"/>
      <c r="I11780" s="50"/>
      <c r="O11780" s="36" t="s">
        <v>48</v>
      </c>
      <c r="R11780" s="36" t="s">
        <v>48</v>
      </c>
    </row>
    <row r="11781">
      <c r="H11781" s="50"/>
      <c r="I11781" s="50"/>
      <c r="O11781" s="36" t="s">
        <v>48</v>
      </c>
      <c r="R11781" s="36" t="s">
        <v>48</v>
      </c>
    </row>
    <row r="11782">
      <c r="H11782" s="50"/>
      <c r="I11782" s="50"/>
      <c r="O11782" s="36" t="s">
        <v>48</v>
      </c>
      <c r="R11782" s="36" t="s">
        <v>48</v>
      </c>
    </row>
    <row r="11783">
      <c r="H11783" s="50"/>
      <c r="I11783" s="50"/>
      <c r="O11783" s="36" t="s">
        <v>48</v>
      </c>
      <c r="R11783" s="36" t="s">
        <v>48</v>
      </c>
    </row>
    <row r="11784">
      <c r="H11784" s="50"/>
      <c r="I11784" s="50"/>
      <c r="O11784" s="36" t="s">
        <v>48</v>
      </c>
      <c r="R11784" s="36" t="s">
        <v>48</v>
      </c>
    </row>
    <row r="11785">
      <c r="H11785" s="50"/>
      <c r="I11785" s="50"/>
      <c r="O11785" s="36" t="s">
        <v>48</v>
      </c>
      <c r="R11785" s="36" t="s">
        <v>48</v>
      </c>
    </row>
    <row r="11786">
      <c r="H11786" s="50"/>
      <c r="I11786" s="50"/>
      <c r="O11786" s="36" t="s">
        <v>48</v>
      </c>
      <c r="R11786" s="36" t="s">
        <v>48</v>
      </c>
    </row>
    <row r="11787">
      <c r="H11787" s="50"/>
      <c r="I11787" s="50"/>
      <c r="O11787" s="36" t="s">
        <v>48</v>
      </c>
      <c r="R11787" s="36" t="s">
        <v>48</v>
      </c>
    </row>
    <row r="11788">
      <c r="H11788" s="50"/>
      <c r="I11788" s="50"/>
      <c r="O11788" s="36" t="s">
        <v>48</v>
      </c>
      <c r="R11788" s="36" t="s">
        <v>48</v>
      </c>
    </row>
    <row r="11789">
      <c r="H11789" s="50"/>
      <c r="I11789" s="50"/>
      <c r="O11789" s="36" t="s">
        <v>48</v>
      </c>
      <c r="R11789" s="36" t="s">
        <v>48</v>
      </c>
    </row>
    <row r="11790">
      <c r="H11790" s="50"/>
      <c r="I11790" s="50"/>
      <c r="O11790" s="36" t="s">
        <v>48</v>
      </c>
      <c r="R11790" s="36" t="s">
        <v>48</v>
      </c>
    </row>
    <row r="11791">
      <c r="H11791" s="50"/>
      <c r="I11791" s="50"/>
      <c r="O11791" s="36" t="s">
        <v>48</v>
      </c>
      <c r="R11791" s="36" t="s">
        <v>48</v>
      </c>
    </row>
    <row r="11792">
      <c r="H11792" s="50"/>
      <c r="I11792" s="50"/>
      <c r="O11792" s="36" t="s">
        <v>48</v>
      </c>
      <c r="R11792" s="36" t="s">
        <v>48</v>
      </c>
    </row>
    <row r="11793">
      <c r="H11793" s="50"/>
      <c r="I11793" s="50"/>
      <c r="O11793" s="36" t="s">
        <v>48</v>
      </c>
      <c r="R11793" s="36" t="s">
        <v>48</v>
      </c>
    </row>
    <row r="11794">
      <c r="H11794" s="50"/>
      <c r="I11794" s="50"/>
      <c r="O11794" s="36" t="s">
        <v>48</v>
      </c>
      <c r="R11794" s="36" t="s">
        <v>48</v>
      </c>
    </row>
    <row r="11795">
      <c r="H11795" s="50"/>
      <c r="I11795" s="50"/>
      <c r="O11795" s="36" t="s">
        <v>48</v>
      </c>
      <c r="R11795" s="36" t="s">
        <v>48</v>
      </c>
    </row>
    <row r="11796">
      <c r="H11796" s="50"/>
      <c r="I11796" s="50"/>
      <c r="O11796" s="36" t="s">
        <v>48</v>
      </c>
      <c r="R11796" s="36" t="s">
        <v>48</v>
      </c>
    </row>
    <row r="11797">
      <c r="H11797" s="50"/>
      <c r="I11797" s="50"/>
      <c r="O11797" s="36" t="s">
        <v>48</v>
      </c>
      <c r="R11797" s="36" t="s">
        <v>48</v>
      </c>
    </row>
    <row r="11798">
      <c r="H11798" s="50"/>
      <c r="I11798" s="50"/>
      <c r="O11798" s="36" t="s">
        <v>48</v>
      </c>
      <c r="R11798" s="36" t="s">
        <v>48</v>
      </c>
    </row>
    <row r="11799">
      <c r="H11799" s="50"/>
      <c r="I11799" s="50"/>
      <c r="O11799" s="36" t="s">
        <v>48</v>
      </c>
      <c r="R11799" s="36" t="s">
        <v>48</v>
      </c>
    </row>
    <row r="11800">
      <c r="H11800" s="50"/>
      <c r="I11800" s="50"/>
      <c r="O11800" s="36" t="s">
        <v>48</v>
      </c>
      <c r="R11800" s="36" t="s">
        <v>48</v>
      </c>
    </row>
    <row r="11801">
      <c r="H11801" s="50"/>
      <c r="I11801" s="50"/>
      <c r="O11801" s="36" t="s">
        <v>48</v>
      </c>
      <c r="R11801" s="36" t="s">
        <v>48</v>
      </c>
    </row>
    <row r="11802">
      <c r="H11802" s="50"/>
      <c r="I11802" s="50"/>
      <c r="O11802" s="36" t="s">
        <v>48</v>
      </c>
      <c r="R11802" s="36" t="s">
        <v>48</v>
      </c>
    </row>
    <row r="11803">
      <c r="H11803" s="50"/>
      <c r="I11803" s="50"/>
      <c r="O11803" s="36" t="s">
        <v>48</v>
      </c>
      <c r="R11803" s="36" t="s">
        <v>48</v>
      </c>
    </row>
    <row r="11804">
      <c r="H11804" s="50"/>
      <c r="I11804" s="50"/>
      <c r="O11804" s="36" t="s">
        <v>48</v>
      </c>
      <c r="R11804" s="36" t="s">
        <v>48</v>
      </c>
    </row>
    <row r="11805">
      <c r="H11805" s="50"/>
      <c r="I11805" s="50"/>
      <c r="O11805" s="36" t="s">
        <v>48</v>
      </c>
      <c r="R11805" s="36" t="s">
        <v>48</v>
      </c>
    </row>
    <row r="11806">
      <c r="H11806" s="50"/>
      <c r="I11806" s="50"/>
      <c r="O11806" s="36" t="s">
        <v>48</v>
      </c>
      <c r="R11806" s="36" t="s">
        <v>48</v>
      </c>
    </row>
    <row r="11807">
      <c r="H11807" s="50"/>
      <c r="I11807" s="50"/>
      <c r="O11807" s="36" t="s">
        <v>48</v>
      </c>
      <c r="R11807" s="36" t="s">
        <v>48</v>
      </c>
    </row>
    <row r="11808">
      <c r="H11808" s="50"/>
      <c r="I11808" s="50"/>
      <c r="O11808" s="36" t="s">
        <v>48</v>
      </c>
      <c r="R11808" s="36" t="s">
        <v>48</v>
      </c>
    </row>
    <row r="11809">
      <c r="H11809" s="50"/>
      <c r="I11809" s="50"/>
      <c r="O11809" s="36" t="s">
        <v>48</v>
      </c>
      <c r="R11809" s="36" t="s">
        <v>48</v>
      </c>
    </row>
    <row r="11810">
      <c r="H11810" s="50"/>
      <c r="I11810" s="50"/>
      <c r="O11810" s="36" t="s">
        <v>48</v>
      </c>
      <c r="R11810" s="36" t="s">
        <v>48</v>
      </c>
    </row>
    <row r="11811">
      <c r="H11811" s="50"/>
      <c r="I11811" s="50"/>
      <c r="O11811" s="36" t="s">
        <v>48</v>
      </c>
      <c r="R11811" s="36" t="s">
        <v>48</v>
      </c>
    </row>
    <row r="11812">
      <c r="H11812" s="50"/>
      <c r="I11812" s="50"/>
      <c r="O11812" s="36" t="s">
        <v>48</v>
      </c>
      <c r="R11812" s="36" t="s">
        <v>48</v>
      </c>
    </row>
    <row r="11813">
      <c r="H11813" s="50"/>
      <c r="I11813" s="50"/>
      <c r="O11813" s="36" t="s">
        <v>48</v>
      </c>
      <c r="R11813" s="36" t="s">
        <v>48</v>
      </c>
    </row>
    <row r="11814">
      <c r="H11814" s="50"/>
      <c r="I11814" s="50"/>
      <c r="O11814" s="36" t="s">
        <v>48</v>
      </c>
      <c r="R11814" s="36" t="s">
        <v>48</v>
      </c>
    </row>
    <row r="11815">
      <c r="H11815" s="50"/>
      <c r="I11815" s="50"/>
      <c r="O11815" s="36" t="s">
        <v>48</v>
      </c>
      <c r="R11815" s="36" t="s">
        <v>48</v>
      </c>
    </row>
    <row r="11816">
      <c r="H11816" s="50"/>
      <c r="I11816" s="50"/>
      <c r="O11816" s="36" t="s">
        <v>48</v>
      </c>
      <c r="R11816" s="36" t="s">
        <v>48</v>
      </c>
    </row>
    <row r="11817">
      <c r="H11817" s="50"/>
      <c r="I11817" s="50"/>
      <c r="O11817" s="36" t="s">
        <v>48</v>
      </c>
      <c r="R11817" s="36" t="s">
        <v>48</v>
      </c>
    </row>
    <row r="11818">
      <c r="H11818" s="50"/>
      <c r="I11818" s="50"/>
      <c r="O11818" s="36" t="s">
        <v>48</v>
      </c>
      <c r="R11818" s="36" t="s">
        <v>48</v>
      </c>
    </row>
    <row r="11819">
      <c r="H11819" s="50"/>
      <c r="I11819" s="50"/>
      <c r="O11819" s="36" t="s">
        <v>48</v>
      </c>
      <c r="R11819" s="36" t="s">
        <v>48</v>
      </c>
    </row>
    <row r="11820">
      <c r="H11820" s="50"/>
      <c r="I11820" s="50"/>
      <c r="O11820" s="36" t="s">
        <v>48</v>
      </c>
      <c r="R11820" s="36" t="s">
        <v>48</v>
      </c>
    </row>
    <row r="11821">
      <c r="H11821" s="50"/>
      <c r="I11821" s="50"/>
      <c r="O11821" s="36" t="s">
        <v>48</v>
      </c>
      <c r="R11821" s="36" t="s">
        <v>48</v>
      </c>
    </row>
    <row r="11822">
      <c r="H11822" s="50"/>
      <c r="I11822" s="50"/>
      <c r="O11822" s="36" t="s">
        <v>48</v>
      </c>
      <c r="R11822" s="36" t="s">
        <v>48</v>
      </c>
    </row>
    <row r="11823">
      <c r="H11823" s="50"/>
      <c r="I11823" s="50"/>
      <c r="O11823" s="36" t="s">
        <v>48</v>
      </c>
      <c r="R11823" s="36" t="s">
        <v>48</v>
      </c>
    </row>
    <row r="11824">
      <c r="H11824" s="50"/>
      <c r="I11824" s="50"/>
      <c r="O11824" s="36" t="s">
        <v>48</v>
      </c>
      <c r="R11824" s="36" t="s">
        <v>48</v>
      </c>
    </row>
    <row r="11825">
      <c r="H11825" s="50"/>
      <c r="I11825" s="50"/>
      <c r="O11825" s="36" t="s">
        <v>48</v>
      </c>
      <c r="R11825" s="36" t="s">
        <v>48</v>
      </c>
    </row>
    <row r="11826">
      <c r="H11826" s="50"/>
      <c r="I11826" s="50"/>
      <c r="O11826" s="36" t="s">
        <v>48</v>
      </c>
      <c r="R11826" s="36" t="s">
        <v>48</v>
      </c>
    </row>
    <row r="11827">
      <c r="H11827" s="50"/>
      <c r="I11827" s="50"/>
      <c r="O11827" s="36" t="s">
        <v>48</v>
      </c>
      <c r="R11827" s="36" t="s">
        <v>48</v>
      </c>
    </row>
    <row r="11828">
      <c r="H11828" s="50"/>
      <c r="I11828" s="50"/>
      <c r="O11828" s="36" t="s">
        <v>48</v>
      </c>
      <c r="R11828" s="36" t="s">
        <v>48</v>
      </c>
    </row>
    <row r="11829">
      <c r="H11829" s="50"/>
      <c r="I11829" s="50"/>
      <c r="O11829" s="36" t="s">
        <v>48</v>
      </c>
      <c r="R11829" s="36" t="s">
        <v>48</v>
      </c>
    </row>
    <row r="11830">
      <c r="H11830" s="50"/>
      <c r="I11830" s="50"/>
      <c r="O11830" s="36" t="s">
        <v>48</v>
      </c>
      <c r="R11830" s="36" t="s">
        <v>48</v>
      </c>
    </row>
    <row r="11831">
      <c r="H11831" s="50"/>
      <c r="I11831" s="50"/>
      <c r="O11831" s="36" t="s">
        <v>48</v>
      </c>
      <c r="R11831" s="36" t="s">
        <v>48</v>
      </c>
    </row>
    <row r="11832">
      <c r="H11832" s="50"/>
      <c r="I11832" s="50"/>
      <c r="O11832" s="36" t="s">
        <v>48</v>
      </c>
      <c r="R11832" s="36" t="s">
        <v>48</v>
      </c>
    </row>
    <row r="11833">
      <c r="H11833" s="50"/>
      <c r="I11833" s="50"/>
      <c r="O11833" s="36" t="s">
        <v>48</v>
      </c>
      <c r="R11833" s="36" t="s">
        <v>48</v>
      </c>
    </row>
    <row r="11834">
      <c r="H11834" s="50"/>
      <c r="I11834" s="50"/>
      <c r="O11834" s="36" t="s">
        <v>48</v>
      </c>
      <c r="R11834" s="36" t="s">
        <v>48</v>
      </c>
    </row>
    <row r="11835">
      <c r="H11835" s="50"/>
      <c r="I11835" s="50"/>
      <c r="O11835" s="36" t="s">
        <v>48</v>
      </c>
      <c r="R11835" s="36" t="s">
        <v>48</v>
      </c>
    </row>
    <row r="11836">
      <c r="H11836" s="50"/>
      <c r="I11836" s="50"/>
      <c r="O11836" s="36" t="s">
        <v>48</v>
      </c>
      <c r="R11836" s="36" t="s">
        <v>48</v>
      </c>
    </row>
    <row r="11837">
      <c r="H11837" s="50"/>
      <c r="I11837" s="50"/>
      <c r="O11837" s="36" t="s">
        <v>48</v>
      </c>
      <c r="R11837" s="36" t="s">
        <v>48</v>
      </c>
    </row>
    <row r="11838">
      <c r="H11838" s="50"/>
      <c r="I11838" s="50"/>
      <c r="O11838" s="36" t="s">
        <v>48</v>
      </c>
      <c r="R11838" s="36" t="s">
        <v>48</v>
      </c>
    </row>
    <row r="11839">
      <c r="H11839" s="50"/>
      <c r="I11839" s="50"/>
      <c r="O11839" s="36" t="s">
        <v>48</v>
      </c>
      <c r="R11839" s="36" t="s">
        <v>48</v>
      </c>
    </row>
    <row r="11840">
      <c r="H11840" s="50"/>
      <c r="I11840" s="50"/>
      <c r="O11840" s="36" t="s">
        <v>48</v>
      </c>
      <c r="R11840" s="36" t="s">
        <v>48</v>
      </c>
    </row>
    <row r="11841">
      <c r="H11841" s="50"/>
      <c r="I11841" s="50"/>
      <c r="O11841" s="36" t="s">
        <v>48</v>
      </c>
      <c r="R11841" s="36" t="s">
        <v>48</v>
      </c>
    </row>
    <row r="11842">
      <c r="H11842" s="50"/>
      <c r="I11842" s="50"/>
      <c r="O11842" s="36" t="s">
        <v>48</v>
      </c>
      <c r="R11842" s="36" t="s">
        <v>48</v>
      </c>
    </row>
    <row r="11843">
      <c r="H11843" s="50"/>
      <c r="I11843" s="50"/>
      <c r="O11843" s="36" t="s">
        <v>48</v>
      </c>
      <c r="R11843" s="36" t="s">
        <v>48</v>
      </c>
    </row>
    <row r="11844">
      <c r="H11844" s="50"/>
      <c r="I11844" s="50"/>
      <c r="O11844" s="36" t="s">
        <v>48</v>
      </c>
      <c r="R11844" s="36" t="s">
        <v>48</v>
      </c>
    </row>
    <row r="11845">
      <c r="H11845" s="50"/>
      <c r="I11845" s="50"/>
      <c r="O11845" s="36" t="s">
        <v>48</v>
      </c>
      <c r="R11845" s="36" t="s">
        <v>48</v>
      </c>
    </row>
    <row r="11846">
      <c r="H11846" s="50"/>
      <c r="I11846" s="50"/>
      <c r="O11846" s="36" t="s">
        <v>48</v>
      </c>
      <c r="R11846" s="36" t="s">
        <v>48</v>
      </c>
    </row>
    <row r="11847">
      <c r="H11847" s="50"/>
      <c r="I11847" s="50"/>
      <c r="O11847" s="36" t="s">
        <v>48</v>
      </c>
      <c r="R11847" s="36" t="s">
        <v>48</v>
      </c>
    </row>
    <row r="11848">
      <c r="H11848" s="50"/>
      <c r="I11848" s="50"/>
      <c r="O11848" s="36" t="s">
        <v>48</v>
      </c>
      <c r="R11848" s="36" t="s">
        <v>48</v>
      </c>
    </row>
    <row r="11849">
      <c r="H11849" s="50"/>
      <c r="I11849" s="50"/>
      <c r="O11849" s="36" t="s">
        <v>48</v>
      </c>
      <c r="R11849" s="36" t="s">
        <v>48</v>
      </c>
    </row>
    <row r="11850">
      <c r="H11850" s="50"/>
      <c r="I11850" s="50"/>
      <c r="O11850" s="36" t="s">
        <v>48</v>
      </c>
      <c r="R11850" s="36" t="s">
        <v>48</v>
      </c>
    </row>
    <row r="11851">
      <c r="H11851" s="50"/>
      <c r="I11851" s="50"/>
      <c r="O11851" s="36" t="s">
        <v>48</v>
      </c>
      <c r="R11851" s="36" t="s">
        <v>48</v>
      </c>
    </row>
    <row r="11852">
      <c r="H11852" s="50"/>
      <c r="I11852" s="50"/>
      <c r="O11852" s="36" t="s">
        <v>48</v>
      </c>
      <c r="R11852" s="36" t="s">
        <v>48</v>
      </c>
    </row>
    <row r="11853">
      <c r="H11853" s="50"/>
      <c r="I11853" s="50"/>
      <c r="O11853" s="36" t="s">
        <v>48</v>
      </c>
      <c r="R11853" s="36" t="s">
        <v>48</v>
      </c>
    </row>
    <row r="11854">
      <c r="H11854" s="50"/>
      <c r="I11854" s="50"/>
      <c r="O11854" s="36" t="s">
        <v>48</v>
      </c>
      <c r="R11854" s="36" t="s">
        <v>48</v>
      </c>
    </row>
    <row r="11855">
      <c r="H11855" s="50"/>
      <c r="I11855" s="50"/>
      <c r="O11855" s="36" t="s">
        <v>48</v>
      </c>
      <c r="R11855" s="36" t="s">
        <v>48</v>
      </c>
    </row>
    <row r="11856">
      <c r="H11856" s="50"/>
      <c r="I11856" s="50"/>
      <c r="O11856" s="36" t="s">
        <v>48</v>
      </c>
      <c r="R11856" s="36" t="s">
        <v>48</v>
      </c>
    </row>
    <row r="11857">
      <c r="H11857" s="50"/>
      <c r="I11857" s="50"/>
      <c r="O11857" s="36" t="s">
        <v>48</v>
      </c>
      <c r="R11857" s="36" t="s">
        <v>48</v>
      </c>
    </row>
    <row r="11858">
      <c r="H11858" s="50"/>
      <c r="I11858" s="50"/>
      <c r="O11858" s="36" t="s">
        <v>48</v>
      </c>
      <c r="R11858" s="36" t="s">
        <v>48</v>
      </c>
    </row>
    <row r="11859">
      <c r="H11859" s="50"/>
      <c r="I11859" s="50"/>
      <c r="O11859" s="36" t="s">
        <v>48</v>
      </c>
      <c r="R11859" s="36" t="s">
        <v>48</v>
      </c>
    </row>
    <row r="11860">
      <c r="H11860" s="50"/>
      <c r="I11860" s="50"/>
      <c r="O11860" s="36" t="s">
        <v>48</v>
      </c>
      <c r="R11860" s="36" t="s">
        <v>48</v>
      </c>
    </row>
    <row r="11861">
      <c r="H11861" s="50"/>
      <c r="I11861" s="50"/>
      <c r="O11861" s="36" t="s">
        <v>48</v>
      </c>
      <c r="R11861" s="36" t="s">
        <v>48</v>
      </c>
    </row>
    <row r="11862">
      <c r="H11862" s="50"/>
      <c r="I11862" s="50"/>
      <c r="O11862" s="36" t="s">
        <v>48</v>
      </c>
      <c r="R11862" s="36" t="s">
        <v>48</v>
      </c>
    </row>
    <row r="11863">
      <c r="H11863" s="50"/>
      <c r="I11863" s="50"/>
      <c r="O11863" s="36" t="s">
        <v>48</v>
      </c>
      <c r="R11863" s="36" t="s">
        <v>48</v>
      </c>
    </row>
    <row r="11864">
      <c r="H11864" s="50"/>
      <c r="I11864" s="50"/>
      <c r="O11864" s="36" t="s">
        <v>48</v>
      </c>
      <c r="R11864" s="36" t="s">
        <v>48</v>
      </c>
    </row>
    <row r="11865">
      <c r="H11865" s="50"/>
      <c r="I11865" s="50"/>
      <c r="O11865" s="36" t="s">
        <v>48</v>
      </c>
      <c r="R11865" s="36" t="s">
        <v>48</v>
      </c>
    </row>
    <row r="11866">
      <c r="H11866" s="50"/>
      <c r="I11866" s="50"/>
      <c r="O11866" s="36" t="s">
        <v>48</v>
      </c>
      <c r="R11866" s="36" t="s">
        <v>48</v>
      </c>
    </row>
    <row r="11867">
      <c r="H11867" s="50"/>
      <c r="I11867" s="50"/>
      <c r="O11867" s="36" t="s">
        <v>48</v>
      </c>
      <c r="R11867" s="36" t="s">
        <v>48</v>
      </c>
    </row>
    <row r="11868">
      <c r="H11868" s="50"/>
      <c r="I11868" s="50"/>
      <c r="O11868" s="36" t="s">
        <v>48</v>
      </c>
      <c r="R11868" s="36" t="s">
        <v>48</v>
      </c>
    </row>
    <row r="11869">
      <c r="H11869" s="50"/>
      <c r="I11869" s="50"/>
      <c r="O11869" s="36" t="s">
        <v>48</v>
      </c>
      <c r="R11869" s="36" t="s">
        <v>48</v>
      </c>
    </row>
    <row r="11870">
      <c r="H11870" s="50"/>
      <c r="I11870" s="50"/>
      <c r="O11870" s="36" t="s">
        <v>48</v>
      </c>
      <c r="R11870" s="36" t="s">
        <v>48</v>
      </c>
    </row>
    <row r="11871">
      <c r="H11871" s="50"/>
      <c r="I11871" s="50"/>
      <c r="O11871" s="36" t="s">
        <v>48</v>
      </c>
      <c r="R11871" s="36" t="s">
        <v>48</v>
      </c>
    </row>
    <row r="11872">
      <c r="H11872" s="50"/>
      <c r="I11872" s="50"/>
      <c r="O11872" s="36" t="s">
        <v>48</v>
      </c>
      <c r="R11872" s="36" t="s">
        <v>48</v>
      </c>
    </row>
    <row r="11873">
      <c r="H11873" s="50"/>
      <c r="I11873" s="50"/>
      <c r="O11873" s="36" t="s">
        <v>48</v>
      </c>
      <c r="R11873" s="36" t="s">
        <v>48</v>
      </c>
    </row>
    <row r="11874">
      <c r="H11874" s="50"/>
      <c r="I11874" s="50"/>
      <c r="O11874" s="36" t="s">
        <v>48</v>
      </c>
      <c r="R11874" s="36" t="s">
        <v>48</v>
      </c>
    </row>
    <row r="11875">
      <c r="H11875" s="50"/>
      <c r="I11875" s="50"/>
      <c r="O11875" s="36" t="s">
        <v>48</v>
      </c>
      <c r="R11875" s="36" t="s">
        <v>48</v>
      </c>
    </row>
    <row r="11876">
      <c r="H11876" s="50"/>
      <c r="I11876" s="50"/>
      <c r="O11876" s="36" t="s">
        <v>48</v>
      </c>
      <c r="R11876" s="36" t="s">
        <v>48</v>
      </c>
    </row>
    <row r="11877">
      <c r="H11877" s="50"/>
      <c r="I11877" s="50"/>
      <c r="O11877" s="36" t="s">
        <v>48</v>
      </c>
      <c r="R11877" s="36" t="s">
        <v>48</v>
      </c>
    </row>
    <row r="11878">
      <c r="H11878" s="50"/>
      <c r="I11878" s="50"/>
      <c r="O11878" s="36" t="s">
        <v>48</v>
      </c>
      <c r="R11878" s="36" t="s">
        <v>48</v>
      </c>
    </row>
    <row r="11879">
      <c r="H11879" s="50"/>
      <c r="I11879" s="50"/>
      <c r="O11879" s="36" t="s">
        <v>48</v>
      </c>
      <c r="R11879" s="36" t="s">
        <v>48</v>
      </c>
    </row>
    <row r="11880">
      <c r="H11880" s="50"/>
      <c r="I11880" s="50"/>
      <c r="O11880" s="36" t="s">
        <v>48</v>
      </c>
      <c r="R11880" s="36" t="s">
        <v>48</v>
      </c>
    </row>
    <row r="11881">
      <c r="H11881" s="50"/>
      <c r="I11881" s="50"/>
      <c r="O11881" s="36" t="s">
        <v>48</v>
      </c>
      <c r="R11881" s="36" t="s">
        <v>48</v>
      </c>
    </row>
    <row r="11882">
      <c r="H11882" s="50"/>
      <c r="I11882" s="50"/>
      <c r="O11882" s="36" t="s">
        <v>48</v>
      </c>
      <c r="R11882" s="36" t="s">
        <v>48</v>
      </c>
    </row>
    <row r="11883">
      <c r="H11883" s="50"/>
      <c r="I11883" s="50"/>
      <c r="O11883" s="36" t="s">
        <v>48</v>
      </c>
      <c r="R11883" s="36" t="s">
        <v>48</v>
      </c>
    </row>
    <row r="11884">
      <c r="H11884" s="50"/>
      <c r="I11884" s="50"/>
      <c r="O11884" s="36" t="s">
        <v>48</v>
      </c>
      <c r="R11884" s="36" t="s">
        <v>48</v>
      </c>
    </row>
    <row r="11885">
      <c r="H11885" s="50"/>
      <c r="I11885" s="50"/>
      <c r="O11885" s="36" t="s">
        <v>48</v>
      </c>
      <c r="R11885" s="36" t="s">
        <v>48</v>
      </c>
    </row>
    <row r="11886">
      <c r="H11886" s="50"/>
      <c r="I11886" s="50"/>
      <c r="O11886" s="36" t="s">
        <v>48</v>
      </c>
      <c r="R11886" s="36" t="s">
        <v>48</v>
      </c>
    </row>
    <row r="11887">
      <c r="H11887" s="50"/>
      <c r="I11887" s="50"/>
      <c r="O11887" s="36" t="s">
        <v>48</v>
      </c>
      <c r="R11887" s="36" t="s">
        <v>48</v>
      </c>
    </row>
    <row r="11888">
      <c r="H11888" s="50"/>
      <c r="I11888" s="50"/>
      <c r="O11888" s="36" t="s">
        <v>48</v>
      </c>
      <c r="R11888" s="36" t="s">
        <v>48</v>
      </c>
    </row>
    <row r="11889">
      <c r="H11889" s="50"/>
      <c r="I11889" s="50"/>
      <c r="O11889" s="36" t="s">
        <v>48</v>
      </c>
      <c r="R11889" s="36" t="s">
        <v>48</v>
      </c>
    </row>
    <row r="11890">
      <c r="H11890" s="50"/>
      <c r="I11890" s="50"/>
      <c r="O11890" s="36" t="s">
        <v>48</v>
      </c>
      <c r="R11890" s="36" t="s">
        <v>48</v>
      </c>
    </row>
    <row r="11891">
      <c r="H11891" s="50"/>
      <c r="I11891" s="50"/>
      <c r="O11891" s="36" t="s">
        <v>48</v>
      </c>
      <c r="R11891" s="36" t="s">
        <v>48</v>
      </c>
    </row>
    <row r="11892">
      <c r="H11892" s="50"/>
      <c r="I11892" s="50"/>
      <c r="O11892" s="36" t="s">
        <v>48</v>
      </c>
      <c r="R11892" s="36" t="s">
        <v>48</v>
      </c>
    </row>
    <row r="11893">
      <c r="H11893" s="50"/>
      <c r="I11893" s="50"/>
      <c r="O11893" s="36" t="s">
        <v>48</v>
      </c>
      <c r="R11893" s="36" t="s">
        <v>48</v>
      </c>
    </row>
    <row r="11894">
      <c r="H11894" s="50"/>
      <c r="I11894" s="50"/>
      <c r="O11894" s="36" t="s">
        <v>48</v>
      </c>
      <c r="R11894" s="36" t="s">
        <v>48</v>
      </c>
    </row>
    <row r="11895">
      <c r="H11895" s="50"/>
      <c r="I11895" s="50"/>
      <c r="O11895" s="36" t="s">
        <v>48</v>
      </c>
      <c r="R11895" s="36" t="s">
        <v>48</v>
      </c>
    </row>
    <row r="11896">
      <c r="H11896" s="50"/>
      <c r="I11896" s="50"/>
      <c r="O11896" s="36" t="s">
        <v>48</v>
      </c>
      <c r="R11896" s="36" t="s">
        <v>48</v>
      </c>
    </row>
    <row r="11897">
      <c r="H11897" s="50"/>
      <c r="I11897" s="50"/>
      <c r="O11897" s="36" t="s">
        <v>48</v>
      </c>
      <c r="R11897" s="36" t="s">
        <v>48</v>
      </c>
    </row>
    <row r="11898">
      <c r="H11898" s="50"/>
      <c r="I11898" s="50"/>
      <c r="O11898" s="36" t="s">
        <v>48</v>
      </c>
      <c r="R11898" s="36" t="s">
        <v>48</v>
      </c>
    </row>
    <row r="11899">
      <c r="H11899" s="50"/>
      <c r="I11899" s="50"/>
      <c r="O11899" s="36" t="s">
        <v>48</v>
      </c>
      <c r="R11899" s="36" t="s">
        <v>48</v>
      </c>
    </row>
    <row r="11900">
      <c r="H11900" s="50"/>
      <c r="I11900" s="50"/>
      <c r="O11900" s="36" t="s">
        <v>48</v>
      </c>
      <c r="R11900" s="36" t="s">
        <v>48</v>
      </c>
    </row>
    <row r="11901">
      <c r="H11901" s="50"/>
      <c r="I11901" s="50"/>
      <c r="O11901" s="36" t="s">
        <v>48</v>
      </c>
      <c r="R11901" s="36" t="s">
        <v>48</v>
      </c>
    </row>
    <row r="11902">
      <c r="H11902" s="50"/>
      <c r="I11902" s="50"/>
      <c r="O11902" s="36" t="s">
        <v>48</v>
      </c>
      <c r="R11902" s="36" t="s">
        <v>48</v>
      </c>
    </row>
    <row r="11903">
      <c r="H11903" s="50"/>
      <c r="I11903" s="50"/>
      <c r="O11903" s="36" t="s">
        <v>48</v>
      </c>
      <c r="R11903" s="36" t="s">
        <v>48</v>
      </c>
    </row>
    <row r="11904">
      <c r="H11904" s="50"/>
      <c r="I11904" s="50"/>
      <c r="O11904" s="36" t="s">
        <v>48</v>
      </c>
      <c r="R11904" s="36" t="s">
        <v>48</v>
      </c>
    </row>
    <row r="11905">
      <c r="H11905" s="50"/>
      <c r="I11905" s="50"/>
      <c r="O11905" s="36" t="s">
        <v>48</v>
      </c>
      <c r="R11905" s="36" t="s">
        <v>48</v>
      </c>
    </row>
    <row r="11906">
      <c r="H11906" s="50"/>
      <c r="I11906" s="50"/>
      <c r="O11906" s="36" t="s">
        <v>48</v>
      </c>
      <c r="R11906" s="36" t="s">
        <v>48</v>
      </c>
    </row>
    <row r="11907">
      <c r="H11907" s="50"/>
      <c r="I11907" s="50"/>
      <c r="O11907" s="36" t="s">
        <v>48</v>
      </c>
      <c r="R11907" s="36" t="s">
        <v>48</v>
      </c>
    </row>
    <row r="11908">
      <c r="H11908" s="50"/>
      <c r="I11908" s="50"/>
      <c r="O11908" s="36" t="s">
        <v>48</v>
      </c>
      <c r="R11908" s="36" t="s">
        <v>48</v>
      </c>
    </row>
    <row r="11909">
      <c r="H11909" s="50"/>
      <c r="I11909" s="50"/>
      <c r="O11909" s="36" t="s">
        <v>48</v>
      </c>
      <c r="R11909" s="36" t="s">
        <v>48</v>
      </c>
    </row>
    <row r="11910">
      <c r="H11910" s="50"/>
      <c r="I11910" s="50"/>
      <c r="O11910" s="36" t="s">
        <v>48</v>
      </c>
      <c r="R11910" s="36" t="s">
        <v>48</v>
      </c>
    </row>
    <row r="11911">
      <c r="H11911" s="50"/>
      <c r="I11911" s="50"/>
      <c r="O11911" s="36" t="s">
        <v>48</v>
      </c>
      <c r="R11911" s="36" t="s">
        <v>48</v>
      </c>
    </row>
    <row r="11912">
      <c r="H11912" s="50"/>
      <c r="I11912" s="50"/>
      <c r="O11912" s="36" t="s">
        <v>48</v>
      </c>
      <c r="R11912" s="36" t="s">
        <v>48</v>
      </c>
    </row>
    <row r="11913">
      <c r="H11913" s="50"/>
      <c r="I11913" s="50"/>
      <c r="O11913" s="36" t="s">
        <v>48</v>
      </c>
      <c r="R11913" s="36" t="s">
        <v>48</v>
      </c>
    </row>
    <row r="11914">
      <c r="H11914" s="50"/>
      <c r="I11914" s="50"/>
      <c r="O11914" s="36" t="s">
        <v>48</v>
      </c>
      <c r="R11914" s="36" t="s">
        <v>48</v>
      </c>
    </row>
    <row r="11915">
      <c r="H11915" s="50"/>
      <c r="I11915" s="50"/>
      <c r="O11915" s="36" t="s">
        <v>48</v>
      </c>
      <c r="R11915" s="36" t="s">
        <v>48</v>
      </c>
    </row>
    <row r="11916">
      <c r="H11916" s="50"/>
      <c r="I11916" s="50"/>
      <c r="O11916" s="36" t="s">
        <v>48</v>
      </c>
      <c r="R11916" s="36" t="s">
        <v>48</v>
      </c>
    </row>
    <row r="11917">
      <c r="H11917" s="50"/>
      <c r="I11917" s="50"/>
      <c r="O11917" s="36" t="s">
        <v>48</v>
      </c>
      <c r="R11917" s="36" t="s">
        <v>48</v>
      </c>
    </row>
    <row r="11918">
      <c r="H11918" s="50"/>
      <c r="I11918" s="50"/>
      <c r="O11918" s="36" t="s">
        <v>48</v>
      </c>
      <c r="R11918" s="36" t="s">
        <v>48</v>
      </c>
    </row>
    <row r="11919">
      <c r="H11919" s="50"/>
      <c r="I11919" s="50"/>
      <c r="O11919" s="36" t="s">
        <v>48</v>
      </c>
      <c r="R11919" s="36" t="s">
        <v>48</v>
      </c>
    </row>
    <row r="11920">
      <c r="H11920" s="50"/>
      <c r="I11920" s="50"/>
      <c r="O11920" s="36" t="s">
        <v>48</v>
      </c>
      <c r="R11920" s="36" t="s">
        <v>48</v>
      </c>
    </row>
    <row r="11921">
      <c r="H11921" s="50"/>
      <c r="I11921" s="50"/>
      <c r="O11921" s="36" t="s">
        <v>48</v>
      </c>
      <c r="R11921" s="36" t="s">
        <v>48</v>
      </c>
    </row>
    <row r="11922">
      <c r="H11922" s="50"/>
      <c r="I11922" s="50"/>
      <c r="O11922" s="36" t="s">
        <v>48</v>
      </c>
      <c r="R11922" s="36" t="s">
        <v>48</v>
      </c>
    </row>
    <row r="11923">
      <c r="H11923" s="50"/>
      <c r="I11923" s="50"/>
      <c r="O11923" s="36" t="s">
        <v>48</v>
      </c>
      <c r="R11923" s="36" t="s">
        <v>48</v>
      </c>
    </row>
    <row r="11924">
      <c r="H11924" s="50"/>
      <c r="I11924" s="50"/>
      <c r="O11924" s="36" t="s">
        <v>48</v>
      </c>
      <c r="R11924" s="36" t="s">
        <v>48</v>
      </c>
    </row>
    <row r="11925">
      <c r="H11925" s="50"/>
      <c r="I11925" s="50"/>
      <c r="O11925" s="36" t="s">
        <v>48</v>
      </c>
      <c r="R11925" s="36" t="s">
        <v>48</v>
      </c>
    </row>
    <row r="11926">
      <c r="H11926" s="50"/>
      <c r="I11926" s="50"/>
      <c r="O11926" s="36" t="s">
        <v>48</v>
      </c>
      <c r="R11926" s="36" t="s">
        <v>48</v>
      </c>
    </row>
    <row r="11927">
      <c r="H11927" s="50"/>
      <c r="I11927" s="50"/>
      <c r="O11927" s="36" t="s">
        <v>48</v>
      </c>
      <c r="R11927" s="36" t="s">
        <v>48</v>
      </c>
    </row>
    <row r="11928">
      <c r="H11928" s="50"/>
      <c r="I11928" s="50"/>
      <c r="O11928" s="36" t="s">
        <v>48</v>
      </c>
      <c r="R11928" s="36" t="s">
        <v>48</v>
      </c>
    </row>
    <row r="11929">
      <c r="H11929" s="50"/>
      <c r="I11929" s="50"/>
      <c r="O11929" s="36" t="s">
        <v>48</v>
      </c>
      <c r="R11929" s="36" t="s">
        <v>48</v>
      </c>
    </row>
    <row r="11930">
      <c r="H11930" s="50"/>
      <c r="I11930" s="50"/>
      <c r="O11930" s="36" t="s">
        <v>48</v>
      </c>
      <c r="R11930" s="36" t="s">
        <v>48</v>
      </c>
    </row>
    <row r="11931">
      <c r="H11931" s="50"/>
      <c r="I11931" s="50"/>
      <c r="O11931" s="36" t="s">
        <v>48</v>
      </c>
      <c r="R11931" s="36" t="s">
        <v>48</v>
      </c>
    </row>
    <row r="11932">
      <c r="H11932" s="50"/>
      <c r="I11932" s="50"/>
      <c r="O11932" s="36" t="s">
        <v>48</v>
      </c>
      <c r="R11932" s="36" t="s">
        <v>48</v>
      </c>
    </row>
    <row r="11933">
      <c r="H11933" s="50"/>
      <c r="I11933" s="50"/>
      <c r="O11933" s="36" t="s">
        <v>48</v>
      </c>
      <c r="R11933" s="36" t="s">
        <v>48</v>
      </c>
    </row>
    <row r="11934">
      <c r="H11934" s="50"/>
      <c r="I11934" s="50"/>
      <c r="O11934" s="36" t="s">
        <v>48</v>
      </c>
      <c r="R11934" s="36" t="s">
        <v>48</v>
      </c>
    </row>
    <row r="11935">
      <c r="H11935" s="50"/>
      <c r="I11935" s="50"/>
      <c r="O11935" s="36" t="s">
        <v>48</v>
      </c>
      <c r="R11935" s="36" t="s">
        <v>48</v>
      </c>
    </row>
    <row r="11936">
      <c r="H11936" s="50"/>
      <c r="I11936" s="50"/>
      <c r="O11936" s="36" t="s">
        <v>48</v>
      </c>
      <c r="R11936" s="36" t="s">
        <v>48</v>
      </c>
    </row>
    <row r="11937">
      <c r="H11937" s="50"/>
      <c r="I11937" s="50"/>
      <c r="O11937" s="36" t="s">
        <v>48</v>
      </c>
      <c r="R11937" s="36" t="s">
        <v>48</v>
      </c>
    </row>
    <row r="11938">
      <c r="H11938" s="50"/>
      <c r="I11938" s="50"/>
      <c r="O11938" s="36" t="s">
        <v>48</v>
      </c>
      <c r="R11938" s="36" t="s">
        <v>48</v>
      </c>
    </row>
    <row r="11939">
      <c r="H11939" s="50"/>
      <c r="I11939" s="50"/>
      <c r="O11939" s="36" t="s">
        <v>48</v>
      </c>
      <c r="R11939" s="36" t="s">
        <v>48</v>
      </c>
    </row>
    <row r="11940">
      <c r="H11940" s="50"/>
      <c r="I11940" s="50"/>
      <c r="O11940" s="36" t="s">
        <v>48</v>
      </c>
      <c r="R11940" s="36" t="s">
        <v>48</v>
      </c>
    </row>
    <row r="11941">
      <c r="H11941" s="50"/>
      <c r="I11941" s="50"/>
      <c r="O11941" s="36" t="s">
        <v>48</v>
      </c>
      <c r="R11941" s="36" t="s">
        <v>48</v>
      </c>
    </row>
    <row r="11942">
      <c r="H11942" s="50"/>
      <c r="I11942" s="50"/>
      <c r="O11942" s="36" t="s">
        <v>48</v>
      </c>
      <c r="R11942" s="36" t="s">
        <v>48</v>
      </c>
    </row>
    <row r="11943">
      <c r="H11943" s="50"/>
      <c r="I11943" s="50"/>
      <c r="O11943" s="36" t="s">
        <v>48</v>
      </c>
      <c r="R11943" s="36" t="s">
        <v>48</v>
      </c>
    </row>
    <row r="11944">
      <c r="H11944" s="50"/>
      <c r="I11944" s="50"/>
      <c r="O11944" s="36" t="s">
        <v>48</v>
      </c>
      <c r="R11944" s="36" t="s">
        <v>48</v>
      </c>
    </row>
    <row r="11945">
      <c r="H11945" s="50"/>
      <c r="I11945" s="50"/>
      <c r="O11945" s="36" t="s">
        <v>48</v>
      </c>
      <c r="R11945" s="36" t="s">
        <v>48</v>
      </c>
    </row>
    <row r="11946">
      <c r="H11946" s="50"/>
      <c r="I11946" s="50"/>
      <c r="O11946" s="36" t="s">
        <v>48</v>
      </c>
      <c r="R11946" s="36" t="s">
        <v>48</v>
      </c>
    </row>
    <row r="11947">
      <c r="H11947" s="50"/>
      <c r="I11947" s="50"/>
      <c r="O11947" s="36" t="s">
        <v>48</v>
      </c>
      <c r="R11947" s="36" t="s">
        <v>48</v>
      </c>
    </row>
    <row r="11948">
      <c r="H11948" s="50"/>
      <c r="I11948" s="50"/>
      <c r="O11948" s="36" t="s">
        <v>48</v>
      </c>
      <c r="R11948" s="36" t="s">
        <v>48</v>
      </c>
    </row>
    <row r="11949">
      <c r="H11949" s="50"/>
      <c r="I11949" s="50"/>
      <c r="O11949" s="36" t="s">
        <v>48</v>
      </c>
      <c r="R11949" s="36" t="s">
        <v>48</v>
      </c>
    </row>
    <row r="11950">
      <c r="H11950" s="50"/>
      <c r="I11950" s="50"/>
      <c r="O11950" s="36" t="s">
        <v>48</v>
      </c>
      <c r="R11950" s="36" t="s">
        <v>48</v>
      </c>
    </row>
    <row r="11951">
      <c r="H11951" s="50"/>
      <c r="I11951" s="50"/>
      <c r="O11951" s="36" t="s">
        <v>48</v>
      </c>
      <c r="R11951" s="36" t="s">
        <v>48</v>
      </c>
    </row>
    <row r="11952">
      <c r="H11952" s="50"/>
      <c r="I11952" s="50"/>
      <c r="O11952" s="36" t="s">
        <v>48</v>
      </c>
      <c r="R11952" s="36" t="s">
        <v>48</v>
      </c>
    </row>
    <row r="11953">
      <c r="H11953" s="50"/>
      <c r="I11953" s="50"/>
      <c r="O11953" s="36" t="s">
        <v>48</v>
      </c>
      <c r="R11953" s="36" t="s">
        <v>48</v>
      </c>
    </row>
    <row r="11954">
      <c r="H11954" s="50"/>
      <c r="I11954" s="50"/>
      <c r="O11954" s="36" t="s">
        <v>48</v>
      </c>
      <c r="R11954" s="36" t="s">
        <v>48</v>
      </c>
    </row>
    <row r="11955">
      <c r="H11955" s="50"/>
      <c r="I11955" s="50"/>
      <c r="O11955" s="36" t="s">
        <v>48</v>
      </c>
      <c r="R11955" s="36" t="s">
        <v>48</v>
      </c>
    </row>
    <row r="11956">
      <c r="H11956" s="50"/>
      <c r="I11956" s="50"/>
      <c r="O11956" s="36" t="s">
        <v>48</v>
      </c>
      <c r="R11956" s="36" t="s">
        <v>48</v>
      </c>
    </row>
    <row r="11957">
      <c r="H11957" s="50"/>
      <c r="I11957" s="50"/>
      <c r="O11957" s="36" t="s">
        <v>48</v>
      </c>
      <c r="R11957" s="36" t="s">
        <v>48</v>
      </c>
    </row>
    <row r="11958">
      <c r="H11958" s="50"/>
      <c r="I11958" s="50"/>
      <c r="O11958" s="36" t="s">
        <v>48</v>
      </c>
      <c r="R11958" s="36" t="s">
        <v>48</v>
      </c>
    </row>
    <row r="11959">
      <c r="H11959" s="50"/>
      <c r="I11959" s="50"/>
      <c r="O11959" s="36" t="s">
        <v>48</v>
      </c>
      <c r="R11959" s="36" t="s">
        <v>48</v>
      </c>
    </row>
    <row r="11960">
      <c r="H11960" s="50"/>
      <c r="I11960" s="50"/>
      <c r="O11960" s="36" t="s">
        <v>48</v>
      </c>
      <c r="R11960" s="36" t="s">
        <v>48</v>
      </c>
    </row>
    <row r="11961">
      <c r="H11961" s="50"/>
      <c r="I11961" s="50"/>
      <c r="O11961" s="36" t="s">
        <v>48</v>
      </c>
      <c r="R11961" s="36" t="s">
        <v>48</v>
      </c>
    </row>
    <row r="11962">
      <c r="H11962" s="50"/>
      <c r="I11962" s="50"/>
      <c r="O11962" s="36" t="s">
        <v>48</v>
      </c>
      <c r="R11962" s="36" t="s">
        <v>48</v>
      </c>
    </row>
    <row r="11963">
      <c r="H11963" s="50"/>
      <c r="I11963" s="50"/>
      <c r="O11963" s="36" t="s">
        <v>48</v>
      </c>
      <c r="R11963" s="36" t="s">
        <v>48</v>
      </c>
    </row>
    <row r="11964">
      <c r="H11964" s="50"/>
      <c r="I11964" s="50"/>
      <c r="O11964" s="36" t="s">
        <v>48</v>
      </c>
      <c r="R11964" s="36" t="s">
        <v>48</v>
      </c>
    </row>
    <row r="11965">
      <c r="H11965" s="50"/>
      <c r="I11965" s="50"/>
      <c r="O11965" s="36" t="s">
        <v>48</v>
      </c>
      <c r="R11965" s="36" t="s">
        <v>48</v>
      </c>
    </row>
    <row r="11966">
      <c r="H11966" s="50"/>
      <c r="I11966" s="50"/>
      <c r="O11966" s="36" t="s">
        <v>48</v>
      </c>
      <c r="R11966" s="36" t="s">
        <v>48</v>
      </c>
    </row>
    <row r="11967">
      <c r="H11967" s="50"/>
      <c r="I11967" s="50"/>
      <c r="O11967" s="36" t="s">
        <v>48</v>
      </c>
      <c r="R11967" s="36" t="s">
        <v>48</v>
      </c>
    </row>
    <row r="11968">
      <c r="H11968" s="50"/>
      <c r="I11968" s="50"/>
      <c r="O11968" s="36" t="s">
        <v>48</v>
      </c>
      <c r="R11968" s="36" t="s">
        <v>48</v>
      </c>
    </row>
    <row r="11969">
      <c r="H11969" s="50"/>
      <c r="I11969" s="50"/>
      <c r="O11969" s="36" t="s">
        <v>48</v>
      </c>
      <c r="R11969" s="36" t="s">
        <v>48</v>
      </c>
    </row>
    <row r="11970">
      <c r="H11970" s="50"/>
      <c r="I11970" s="50"/>
      <c r="O11970" s="36" t="s">
        <v>48</v>
      </c>
      <c r="R11970" s="36" t="s">
        <v>48</v>
      </c>
    </row>
    <row r="11971">
      <c r="H11971" s="50"/>
      <c r="I11971" s="50"/>
      <c r="O11971" s="36" t="s">
        <v>48</v>
      </c>
      <c r="R11971" s="36" t="s">
        <v>48</v>
      </c>
    </row>
    <row r="11972">
      <c r="H11972" s="50"/>
      <c r="I11972" s="50"/>
      <c r="O11972" s="36" t="s">
        <v>48</v>
      </c>
      <c r="R11972" s="36" t="s">
        <v>48</v>
      </c>
    </row>
    <row r="11973">
      <c r="H11973" s="50"/>
      <c r="I11973" s="50"/>
      <c r="O11973" s="36" t="s">
        <v>48</v>
      </c>
      <c r="R11973" s="36" t="s">
        <v>48</v>
      </c>
    </row>
    <row r="11974">
      <c r="H11974" s="50"/>
      <c r="I11974" s="50"/>
      <c r="O11974" s="36" t="s">
        <v>48</v>
      </c>
      <c r="R11974" s="36" t="s">
        <v>48</v>
      </c>
    </row>
    <row r="11975">
      <c r="H11975" s="50"/>
      <c r="I11975" s="50"/>
      <c r="O11975" s="36" t="s">
        <v>48</v>
      </c>
      <c r="R11975" s="36" t="s">
        <v>48</v>
      </c>
    </row>
    <row r="11976">
      <c r="H11976" s="50"/>
      <c r="I11976" s="50"/>
      <c r="O11976" s="36" t="s">
        <v>48</v>
      </c>
      <c r="R11976" s="36" t="s">
        <v>48</v>
      </c>
    </row>
    <row r="11977">
      <c r="H11977" s="50"/>
      <c r="I11977" s="50"/>
      <c r="O11977" s="36" t="s">
        <v>48</v>
      </c>
      <c r="R11977" s="36" t="s">
        <v>48</v>
      </c>
    </row>
    <row r="11978">
      <c r="H11978" s="50"/>
      <c r="I11978" s="50"/>
      <c r="O11978" s="36" t="s">
        <v>48</v>
      </c>
      <c r="R11978" s="36" t="s">
        <v>48</v>
      </c>
    </row>
    <row r="11979">
      <c r="H11979" s="50"/>
      <c r="I11979" s="50"/>
      <c r="O11979" s="36" t="s">
        <v>48</v>
      </c>
      <c r="R11979" s="36" t="s">
        <v>48</v>
      </c>
    </row>
    <row r="11980">
      <c r="H11980" s="50"/>
      <c r="I11980" s="50"/>
      <c r="O11980" s="36" t="s">
        <v>48</v>
      </c>
      <c r="R11980" s="36" t="s">
        <v>48</v>
      </c>
    </row>
    <row r="11981">
      <c r="H11981" s="50"/>
      <c r="I11981" s="50"/>
      <c r="O11981" s="36" t="s">
        <v>48</v>
      </c>
      <c r="R11981" s="36" t="s">
        <v>48</v>
      </c>
    </row>
    <row r="11982">
      <c r="H11982" s="50"/>
      <c r="I11982" s="50"/>
      <c r="O11982" s="36" t="s">
        <v>48</v>
      </c>
      <c r="R11982" s="36" t="s">
        <v>48</v>
      </c>
    </row>
    <row r="11983">
      <c r="H11983" s="50"/>
      <c r="I11983" s="50"/>
      <c r="O11983" s="36" t="s">
        <v>48</v>
      </c>
      <c r="R11983" s="36" t="s">
        <v>48</v>
      </c>
    </row>
    <row r="11984">
      <c r="H11984" s="50"/>
      <c r="I11984" s="50"/>
      <c r="O11984" s="36" t="s">
        <v>48</v>
      </c>
      <c r="R11984" s="36" t="s">
        <v>48</v>
      </c>
    </row>
    <row r="11985">
      <c r="H11985" s="50"/>
      <c r="I11985" s="50"/>
      <c r="O11985" s="36" t="s">
        <v>48</v>
      </c>
      <c r="R11985" s="36" t="s">
        <v>48</v>
      </c>
    </row>
    <row r="11986">
      <c r="H11986" s="50"/>
      <c r="I11986" s="50"/>
      <c r="O11986" s="36" t="s">
        <v>48</v>
      </c>
      <c r="R11986" s="36" t="s">
        <v>48</v>
      </c>
    </row>
    <row r="11987">
      <c r="H11987" s="50"/>
      <c r="I11987" s="50"/>
      <c r="O11987" s="36" t="s">
        <v>48</v>
      </c>
      <c r="R11987" s="36" t="s">
        <v>48</v>
      </c>
    </row>
    <row r="11988">
      <c r="H11988" s="50"/>
      <c r="I11988" s="50"/>
      <c r="O11988" s="36" t="s">
        <v>48</v>
      </c>
      <c r="R11988" s="36" t="s">
        <v>48</v>
      </c>
    </row>
    <row r="11989">
      <c r="H11989" s="50"/>
      <c r="I11989" s="50"/>
      <c r="O11989" s="36" t="s">
        <v>48</v>
      </c>
      <c r="R11989" s="36" t="s">
        <v>48</v>
      </c>
    </row>
    <row r="11990">
      <c r="H11990" s="50"/>
      <c r="I11990" s="50"/>
      <c r="O11990" s="36" t="s">
        <v>48</v>
      </c>
      <c r="R11990" s="36" t="s">
        <v>48</v>
      </c>
    </row>
    <row r="11991">
      <c r="H11991" s="50"/>
      <c r="I11991" s="50"/>
      <c r="O11991" s="36" t="s">
        <v>48</v>
      </c>
      <c r="R11991" s="36" t="s">
        <v>48</v>
      </c>
    </row>
    <row r="11992">
      <c r="H11992" s="50"/>
      <c r="I11992" s="50"/>
      <c r="O11992" s="36" t="s">
        <v>48</v>
      </c>
      <c r="R11992" s="36" t="s">
        <v>48</v>
      </c>
    </row>
    <row r="11993">
      <c r="H11993" s="50"/>
      <c r="I11993" s="50"/>
      <c r="O11993" s="36" t="s">
        <v>48</v>
      </c>
      <c r="R11993" s="36" t="s">
        <v>48</v>
      </c>
    </row>
    <row r="11994">
      <c r="H11994" s="50"/>
      <c r="I11994" s="50"/>
      <c r="O11994" s="36" t="s">
        <v>48</v>
      </c>
      <c r="R11994" s="36" t="s">
        <v>48</v>
      </c>
    </row>
    <row r="11995">
      <c r="H11995" s="50"/>
      <c r="I11995" s="50"/>
      <c r="O11995" s="36" t="s">
        <v>48</v>
      </c>
      <c r="R11995" s="36" t="s">
        <v>48</v>
      </c>
    </row>
    <row r="11996">
      <c r="H11996" s="50"/>
      <c r="I11996" s="50"/>
      <c r="O11996" s="36" t="s">
        <v>48</v>
      </c>
      <c r="R11996" s="36" t="s">
        <v>48</v>
      </c>
    </row>
    <row r="11997">
      <c r="H11997" s="50"/>
      <c r="I11997" s="50"/>
      <c r="O11997" s="36" t="s">
        <v>48</v>
      </c>
      <c r="R11997" s="36" t="s">
        <v>48</v>
      </c>
    </row>
    <row r="11998">
      <c r="H11998" s="50"/>
      <c r="I11998" s="50"/>
      <c r="O11998" s="36" t="s">
        <v>48</v>
      </c>
      <c r="R11998" s="36" t="s">
        <v>48</v>
      </c>
    </row>
    <row r="11999">
      <c r="H11999" s="50"/>
      <c r="I11999" s="50"/>
      <c r="O11999" s="36" t="s">
        <v>48</v>
      </c>
      <c r="R11999" s="36" t="s">
        <v>48</v>
      </c>
    </row>
    <row r="12000">
      <c r="H12000" s="50"/>
      <c r="I12000" s="50"/>
      <c r="O12000" s="36" t="s">
        <v>48</v>
      </c>
      <c r="R12000" s="36" t="s">
        <v>48</v>
      </c>
    </row>
    <row r="12001">
      <c r="H12001" s="50"/>
      <c r="I12001" s="50"/>
      <c r="O12001" s="36" t="s">
        <v>48</v>
      </c>
      <c r="R12001" s="36" t="s">
        <v>48</v>
      </c>
    </row>
    <row r="12002">
      <c r="H12002" s="50"/>
      <c r="I12002" s="50"/>
      <c r="O12002" s="36" t="s">
        <v>48</v>
      </c>
      <c r="R12002" s="36" t="s">
        <v>48</v>
      </c>
    </row>
    <row r="12003">
      <c r="H12003" s="50"/>
      <c r="I12003" s="50"/>
      <c r="O12003" s="36" t="s">
        <v>48</v>
      </c>
      <c r="R12003" s="36" t="s">
        <v>48</v>
      </c>
    </row>
    <row r="12004">
      <c r="H12004" s="50"/>
      <c r="I12004" s="50"/>
      <c r="O12004" s="36" t="s">
        <v>48</v>
      </c>
      <c r="R12004" s="36" t="s">
        <v>48</v>
      </c>
    </row>
    <row r="12005">
      <c r="H12005" s="50"/>
      <c r="I12005" s="50"/>
      <c r="O12005" s="36" t="s">
        <v>48</v>
      </c>
      <c r="R12005" s="36" t="s">
        <v>48</v>
      </c>
    </row>
    <row r="12006">
      <c r="H12006" s="50"/>
      <c r="I12006" s="50"/>
      <c r="O12006" s="36" t="s">
        <v>48</v>
      </c>
      <c r="R12006" s="36" t="s">
        <v>48</v>
      </c>
    </row>
    <row r="12007">
      <c r="H12007" s="50"/>
      <c r="I12007" s="50"/>
      <c r="O12007" s="36" t="s">
        <v>48</v>
      </c>
      <c r="R12007" s="36" t="s">
        <v>48</v>
      </c>
    </row>
    <row r="12008">
      <c r="H12008" s="50"/>
      <c r="I12008" s="50"/>
      <c r="O12008" s="36" t="s">
        <v>48</v>
      </c>
      <c r="R12008" s="36" t="s">
        <v>48</v>
      </c>
    </row>
    <row r="12009">
      <c r="H12009" s="50"/>
      <c r="I12009" s="50"/>
      <c r="O12009" s="36" t="s">
        <v>48</v>
      </c>
      <c r="R12009" s="36" t="s">
        <v>48</v>
      </c>
    </row>
    <row r="12010">
      <c r="H12010" s="50"/>
      <c r="I12010" s="50"/>
      <c r="O12010" s="36" t="s">
        <v>48</v>
      </c>
      <c r="R12010" s="36" t="s">
        <v>48</v>
      </c>
    </row>
    <row r="12011">
      <c r="H12011" s="50"/>
      <c r="I12011" s="50"/>
      <c r="O12011" s="36" t="s">
        <v>48</v>
      </c>
      <c r="R12011" s="36" t="s">
        <v>48</v>
      </c>
    </row>
    <row r="12012">
      <c r="H12012" s="50"/>
      <c r="I12012" s="50"/>
      <c r="O12012" s="36" t="s">
        <v>48</v>
      </c>
      <c r="R12012" s="36" t="s">
        <v>48</v>
      </c>
    </row>
    <row r="12013">
      <c r="H12013" s="50"/>
      <c r="I12013" s="50"/>
      <c r="O12013" s="36" t="s">
        <v>48</v>
      </c>
      <c r="R12013" s="36" t="s">
        <v>48</v>
      </c>
    </row>
    <row r="12014">
      <c r="H12014" s="50"/>
      <c r="I12014" s="50"/>
      <c r="O12014" s="36" t="s">
        <v>48</v>
      </c>
      <c r="R12014" s="36" t="s">
        <v>48</v>
      </c>
    </row>
    <row r="12015">
      <c r="H12015" s="50"/>
      <c r="I12015" s="50"/>
      <c r="O12015" s="36" t="s">
        <v>48</v>
      </c>
      <c r="R12015" s="36" t="s">
        <v>48</v>
      </c>
    </row>
    <row r="12016">
      <c r="H12016" s="50"/>
      <c r="I12016" s="50"/>
      <c r="O12016" s="36" t="s">
        <v>48</v>
      </c>
      <c r="R12016" s="36" t="s">
        <v>48</v>
      </c>
    </row>
    <row r="12017">
      <c r="H12017" s="50"/>
      <c r="I12017" s="50"/>
      <c r="O12017" s="36" t="s">
        <v>48</v>
      </c>
      <c r="R12017" s="36" t="s">
        <v>48</v>
      </c>
    </row>
    <row r="12018">
      <c r="H12018" s="50"/>
      <c r="I12018" s="50"/>
      <c r="O12018" s="36" t="s">
        <v>48</v>
      </c>
      <c r="R12018" s="36" t="s">
        <v>48</v>
      </c>
    </row>
    <row r="12019">
      <c r="H12019" s="50"/>
      <c r="I12019" s="50"/>
      <c r="O12019" s="36" t="s">
        <v>48</v>
      </c>
      <c r="R12019" s="36" t="s">
        <v>48</v>
      </c>
    </row>
    <row r="12020">
      <c r="H12020" s="50"/>
      <c r="I12020" s="50"/>
      <c r="O12020" s="36" t="s">
        <v>48</v>
      </c>
      <c r="R12020" s="36" t="s">
        <v>48</v>
      </c>
    </row>
    <row r="12021">
      <c r="H12021" s="50"/>
      <c r="I12021" s="50"/>
      <c r="O12021" s="36" t="s">
        <v>48</v>
      </c>
      <c r="R12021" s="36" t="s">
        <v>48</v>
      </c>
    </row>
    <row r="12022">
      <c r="H12022" s="50"/>
      <c r="I12022" s="50"/>
      <c r="O12022" s="36" t="s">
        <v>48</v>
      </c>
      <c r="R12022" s="36" t="s">
        <v>48</v>
      </c>
    </row>
    <row r="12023">
      <c r="H12023" s="50"/>
      <c r="I12023" s="50"/>
      <c r="O12023" s="36" t="s">
        <v>48</v>
      </c>
      <c r="R12023" s="36" t="s">
        <v>48</v>
      </c>
    </row>
    <row r="12024">
      <c r="H12024" s="50"/>
      <c r="I12024" s="50"/>
      <c r="O12024" s="36" t="s">
        <v>48</v>
      </c>
      <c r="R12024" s="36" t="s">
        <v>48</v>
      </c>
    </row>
    <row r="12025">
      <c r="H12025" s="50"/>
      <c r="I12025" s="50"/>
      <c r="O12025" s="36" t="s">
        <v>48</v>
      </c>
      <c r="R12025" s="36" t="s">
        <v>48</v>
      </c>
    </row>
    <row r="12026">
      <c r="H12026" s="50"/>
      <c r="I12026" s="50"/>
      <c r="O12026" s="36" t="s">
        <v>48</v>
      </c>
      <c r="R12026" s="36" t="s">
        <v>48</v>
      </c>
    </row>
    <row r="12027">
      <c r="H12027" s="50"/>
      <c r="I12027" s="50"/>
      <c r="O12027" s="36" t="s">
        <v>48</v>
      </c>
      <c r="R12027" s="36" t="s">
        <v>48</v>
      </c>
    </row>
    <row r="12028">
      <c r="H12028" s="50"/>
      <c r="I12028" s="50"/>
      <c r="O12028" s="36" t="s">
        <v>48</v>
      </c>
      <c r="R12028" s="36" t="s">
        <v>48</v>
      </c>
    </row>
    <row r="12029">
      <c r="H12029" s="50"/>
      <c r="I12029" s="50"/>
      <c r="O12029" s="36" t="s">
        <v>48</v>
      </c>
      <c r="R12029" s="36" t="s">
        <v>48</v>
      </c>
    </row>
    <row r="12030">
      <c r="H12030" s="50"/>
      <c r="I12030" s="50"/>
      <c r="O12030" s="36" t="s">
        <v>48</v>
      </c>
      <c r="R12030" s="36" t="s">
        <v>48</v>
      </c>
    </row>
    <row r="12031">
      <c r="H12031" s="50"/>
      <c r="I12031" s="50"/>
      <c r="O12031" s="36" t="s">
        <v>48</v>
      </c>
      <c r="R12031" s="36" t="s">
        <v>48</v>
      </c>
    </row>
    <row r="12032">
      <c r="H12032" s="50"/>
      <c r="I12032" s="50"/>
      <c r="O12032" s="36" t="s">
        <v>48</v>
      </c>
      <c r="R12032" s="36" t="s">
        <v>48</v>
      </c>
    </row>
    <row r="12033">
      <c r="H12033" s="50"/>
      <c r="I12033" s="50"/>
      <c r="O12033" s="36" t="s">
        <v>48</v>
      </c>
      <c r="R12033" s="36" t="s">
        <v>48</v>
      </c>
    </row>
    <row r="12034">
      <c r="H12034" s="50"/>
      <c r="I12034" s="50"/>
      <c r="O12034" s="36" t="s">
        <v>48</v>
      </c>
      <c r="R12034" s="36" t="s">
        <v>48</v>
      </c>
    </row>
    <row r="12035">
      <c r="H12035" s="50"/>
      <c r="I12035" s="50"/>
      <c r="O12035" s="36" t="s">
        <v>48</v>
      </c>
      <c r="R12035" s="36" t="s">
        <v>48</v>
      </c>
    </row>
    <row r="12036">
      <c r="H12036" s="50"/>
      <c r="I12036" s="50"/>
      <c r="O12036" s="36" t="s">
        <v>48</v>
      </c>
      <c r="R12036" s="36" t="s">
        <v>48</v>
      </c>
    </row>
    <row r="12037">
      <c r="H12037" s="50"/>
      <c r="I12037" s="50"/>
      <c r="O12037" s="36" t="s">
        <v>48</v>
      </c>
      <c r="R12037" s="36" t="s">
        <v>48</v>
      </c>
    </row>
    <row r="12038">
      <c r="H12038" s="50"/>
      <c r="I12038" s="50"/>
      <c r="O12038" s="36" t="s">
        <v>48</v>
      </c>
      <c r="R12038" s="36" t="s">
        <v>48</v>
      </c>
    </row>
    <row r="12039">
      <c r="H12039" s="50"/>
      <c r="I12039" s="50"/>
      <c r="O12039" s="36" t="s">
        <v>48</v>
      </c>
      <c r="R12039" s="36" t="s">
        <v>48</v>
      </c>
    </row>
    <row r="12040">
      <c r="H12040" s="50"/>
      <c r="I12040" s="50"/>
      <c r="O12040" s="36" t="s">
        <v>48</v>
      </c>
      <c r="R12040" s="36" t="s">
        <v>48</v>
      </c>
    </row>
    <row r="12041">
      <c r="H12041" s="50"/>
      <c r="I12041" s="50"/>
      <c r="O12041" s="36" t="s">
        <v>48</v>
      </c>
      <c r="R12041" s="36" t="s">
        <v>48</v>
      </c>
    </row>
    <row r="12042">
      <c r="H12042" s="50"/>
      <c r="I12042" s="50"/>
      <c r="O12042" s="36" t="s">
        <v>48</v>
      </c>
      <c r="R12042" s="36" t="s">
        <v>48</v>
      </c>
    </row>
    <row r="12043">
      <c r="H12043" s="50"/>
      <c r="I12043" s="50"/>
      <c r="O12043" s="36" t="s">
        <v>48</v>
      </c>
      <c r="R12043" s="36" t="s">
        <v>48</v>
      </c>
    </row>
    <row r="12044">
      <c r="H12044" s="50"/>
      <c r="I12044" s="50"/>
      <c r="O12044" s="36" t="s">
        <v>48</v>
      </c>
      <c r="R12044" s="36" t="s">
        <v>48</v>
      </c>
    </row>
    <row r="12045">
      <c r="H12045" s="50"/>
      <c r="I12045" s="50"/>
      <c r="O12045" s="36" t="s">
        <v>48</v>
      </c>
      <c r="R12045" s="36" t="s">
        <v>48</v>
      </c>
    </row>
    <row r="12046">
      <c r="H12046" s="50"/>
      <c r="I12046" s="50"/>
      <c r="O12046" s="36" t="s">
        <v>48</v>
      </c>
      <c r="R12046" s="36" t="s">
        <v>48</v>
      </c>
    </row>
    <row r="12047">
      <c r="H12047" s="50"/>
      <c r="I12047" s="50"/>
      <c r="O12047" s="36" t="s">
        <v>48</v>
      </c>
      <c r="R12047" s="36" t="s">
        <v>48</v>
      </c>
    </row>
    <row r="12048">
      <c r="H12048" s="50"/>
      <c r="I12048" s="50"/>
      <c r="O12048" s="36" t="s">
        <v>48</v>
      </c>
      <c r="R12048" s="36" t="s">
        <v>48</v>
      </c>
    </row>
    <row r="12049">
      <c r="H12049" s="50"/>
      <c r="I12049" s="50"/>
      <c r="O12049" s="36" t="s">
        <v>48</v>
      </c>
      <c r="R12049" s="36" t="s">
        <v>48</v>
      </c>
    </row>
    <row r="12050">
      <c r="H12050" s="50"/>
      <c r="I12050" s="50"/>
      <c r="O12050" s="36" t="s">
        <v>48</v>
      </c>
      <c r="R12050" s="36" t="s">
        <v>48</v>
      </c>
    </row>
    <row r="12051">
      <c r="H12051" s="50"/>
      <c r="I12051" s="50"/>
      <c r="O12051" s="36" t="s">
        <v>48</v>
      </c>
      <c r="R12051" s="36" t="s">
        <v>48</v>
      </c>
    </row>
    <row r="12052">
      <c r="H12052" s="50"/>
      <c r="I12052" s="50"/>
      <c r="O12052" s="36" t="s">
        <v>48</v>
      </c>
      <c r="R12052" s="36" t="s">
        <v>48</v>
      </c>
    </row>
    <row r="12053">
      <c r="H12053" s="50"/>
      <c r="I12053" s="50"/>
      <c r="O12053" s="36" t="s">
        <v>48</v>
      </c>
      <c r="R12053" s="36" t="s">
        <v>48</v>
      </c>
    </row>
    <row r="12054">
      <c r="H12054" s="50"/>
      <c r="I12054" s="50"/>
      <c r="O12054" s="36" t="s">
        <v>48</v>
      </c>
      <c r="R12054" s="36" t="s">
        <v>48</v>
      </c>
    </row>
    <row r="12055">
      <c r="H12055" s="50"/>
      <c r="I12055" s="50"/>
      <c r="O12055" s="36" t="s">
        <v>48</v>
      </c>
      <c r="R12055" s="36" t="s">
        <v>48</v>
      </c>
    </row>
    <row r="12056">
      <c r="H12056" s="50"/>
      <c r="I12056" s="50"/>
      <c r="O12056" s="36" t="s">
        <v>48</v>
      </c>
      <c r="R12056" s="36" t="s">
        <v>48</v>
      </c>
    </row>
    <row r="12057">
      <c r="H12057" s="50"/>
      <c r="I12057" s="50"/>
      <c r="O12057" s="36" t="s">
        <v>48</v>
      </c>
      <c r="R12057" s="36" t="s">
        <v>48</v>
      </c>
    </row>
    <row r="12058">
      <c r="H12058" s="50"/>
      <c r="I12058" s="50"/>
      <c r="O12058" s="36" t="s">
        <v>48</v>
      </c>
      <c r="R12058" s="36" t="s">
        <v>48</v>
      </c>
    </row>
    <row r="12059">
      <c r="H12059" s="50"/>
      <c r="I12059" s="50"/>
      <c r="O12059" s="36" t="s">
        <v>48</v>
      </c>
      <c r="R12059" s="36" t="s">
        <v>48</v>
      </c>
    </row>
    <row r="12060">
      <c r="H12060" s="50"/>
      <c r="I12060" s="50"/>
      <c r="O12060" s="36" t="s">
        <v>48</v>
      </c>
      <c r="R12060" s="36" t="s">
        <v>48</v>
      </c>
    </row>
    <row r="12061">
      <c r="H12061" s="50"/>
      <c r="I12061" s="50"/>
      <c r="O12061" s="36" t="s">
        <v>48</v>
      </c>
      <c r="R12061" s="36" t="s">
        <v>48</v>
      </c>
    </row>
    <row r="12062">
      <c r="H12062" s="50"/>
      <c r="I12062" s="50"/>
      <c r="O12062" s="36" t="s">
        <v>48</v>
      </c>
      <c r="R12062" s="36" t="s">
        <v>48</v>
      </c>
    </row>
    <row r="12063">
      <c r="H12063" s="50"/>
      <c r="I12063" s="50"/>
      <c r="O12063" s="36" t="s">
        <v>48</v>
      </c>
      <c r="R12063" s="36" t="s">
        <v>48</v>
      </c>
    </row>
    <row r="12064">
      <c r="H12064" s="50"/>
      <c r="I12064" s="50"/>
      <c r="O12064" s="36" t="s">
        <v>48</v>
      </c>
      <c r="R12064" s="36" t="s">
        <v>48</v>
      </c>
    </row>
    <row r="12065">
      <c r="H12065" s="50"/>
      <c r="I12065" s="50"/>
      <c r="O12065" s="36" t="s">
        <v>48</v>
      </c>
      <c r="R12065" s="36" t="s">
        <v>48</v>
      </c>
    </row>
    <row r="12066">
      <c r="H12066" s="50"/>
      <c r="I12066" s="50"/>
      <c r="O12066" s="36" t="s">
        <v>48</v>
      </c>
      <c r="R12066" s="36" t="s">
        <v>48</v>
      </c>
    </row>
    <row r="12067">
      <c r="H12067" s="50"/>
      <c r="I12067" s="50"/>
      <c r="O12067" s="36" t="s">
        <v>48</v>
      </c>
      <c r="R12067" s="36" t="s">
        <v>48</v>
      </c>
    </row>
    <row r="12068">
      <c r="H12068" s="50"/>
      <c r="I12068" s="50"/>
      <c r="O12068" s="36" t="s">
        <v>48</v>
      </c>
      <c r="R12068" s="36" t="s">
        <v>48</v>
      </c>
    </row>
    <row r="12069">
      <c r="H12069" s="50"/>
      <c r="I12069" s="50"/>
      <c r="O12069" s="36" t="s">
        <v>48</v>
      </c>
      <c r="R12069" s="36" t="s">
        <v>48</v>
      </c>
    </row>
    <row r="12070">
      <c r="H12070" s="50"/>
      <c r="I12070" s="50"/>
      <c r="O12070" s="36" t="s">
        <v>48</v>
      </c>
      <c r="R12070" s="36" t="s">
        <v>48</v>
      </c>
    </row>
    <row r="12071">
      <c r="H12071" s="50"/>
      <c r="I12071" s="50"/>
      <c r="O12071" s="36" t="s">
        <v>48</v>
      </c>
      <c r="R12071" s="36" t="s">
        <v>48</v>
      </c>
    </row>
    <row r="12072">
      <c r="H12072" s="50"/>
      <c r="I12072" s="50"/>
      <c r="O12072" s="36" t="s">
        <v>48</v>
      </c>
      <c r="R12072" s="36" t="s">
        <v>48</v>
      </c>
    </row>
    <row r="12073">
      <c r="H12073" s="50"/>
      <c r="I12073" s="50"/>
      <c r="O12073" s="36" t="s">
        <v>48</v>
      </c>
      <c r="R12073" s="36" t="s">
        <v>48</v>
      </c>
    </row>
    <row r="12074">
      <c r="H12074" s="50"/>
      <c r="I12074" s="50"/>
      <c r="O12074" s="36" t="s">
        <v>48</v>
      </c>
      <c r="R12074" s="36" t="s">
        <v>48</v>
      </c>
    </row>
    <row r="12075">
      <c r="H12075" s="50"/>
      <c r="I12075" s="50"/>
      <c r="O12075" s="36" t="s">
        <v>48</v>
      </c>
      <c r="R12075" s="36" t="s">
        <v>48</v>
      </c>
    </row>
    <row r="12076">
      <c r="H12076" s="50"/>
      <c r="I12076" s="50"/>
      <c r="O12076" s="36" t="s">
        <v>48</v>
      </c>
      <c r="R12076" s="36" t="s">
        <v>48</v>
      </c>
    </row>
    <row r="12077">
      <c r="H12077" s="50"/>
      <c r="I12077" s="50"/>
      <c r="O12077" s="36" t="s">
        <v>48</v>
      </c>
      <c r="R12077" s="36" t="s">
        <v>48</v>
      </c>
    </row>
    <row r="12078">
      <c r="H12078" s="50"/>
      <c r="I12078" s="50"/>
      <c r="O12078" s="36" t="s">
        <v>48</v>
      </c>
      <c r="R12078" s="36" t="s">
        <v>48</v>
      </c>
    </row>
    <row r="12079">
      <c r="H12079" s="50"/>
      <c r="I12079" s="50"/>
      <c r="O12079" s="36" t="s">
        <v>48</v>
      </c>
      <c r="R12079" s="36" t="s">
        <v>48</v>
      </c>
    </row>
    <row r="12080">
      <c r="H12080" s="50"/>
      <c r="I12080" s="50"/>
      <c r="O12080" s="36" t="s">
        <v>48</v>
      </c>
      <c r="R12080" s="36" t="s">
        <v>48</v>
      </c>
    </row>
    <row r="12081">
      <c r="H12081" s="50"/>
      <c r="I12081" s="50"/>
      <c r="O12081" s="36" t="s">
        <v>48</v>
      </c>
      <c r="R12081" s="36" t="s">
        <v>48</v>
      </c>
    </row>
    <row r="12082">
      <c r="H12082" s="50"/>
      <c r="I12082" s="50"/>
      <c r="O12082" s="36" t="s">
        <v>48</v>
      </c>
      <c r="R12082" s="36" t="s">
        <v>48</v>
      </c>
    </row>
    <row r="12083">
      <c r="H12083" s="50"/>
      <c r="I12083" s="50"/>
      <c r="O12083" s="36" t="s">
        <v>48</v>
      </c>
      <c r="R12083" s="36" t="s">
        <v>48</v>
      </c>
    </row>
    <row r="12084">
      <c r="H12084" s="50"/>
      <c r="I12084" s="50"/>
      <c r="O12084" s="36" t="s">
        <v>48</v>
      </c>
      <c r="R12084" s="36" t="s">
        <v>48</v>
      </c>
    </row>
    <row r="12085">
      <c r="H12085" s="50"/>
      <c r="I12085" s="50"/>
      <c r="O12085" s="36" t="s">
        <v>48</v>
      </c>
      <c r="R12085" s="36" t="s">
        <v>48</v>
      </c>
    </row>
    <row r="12086">
      <c r="H12086" s="50"/>
      <c r="I12086" s="50"/>
      <c r="O12086" s="36" t="s">
        <v>48</v>
      </c>
      <c r="R12086" s="36" t="s">
        <v>48</v>
      </c>
    </row>
    <row r="12087">
      <c r="H12087" s="50"/>
      <c r="I12087" s="50"/>
      <c r="O12087" s="36" t="s">
        <v>48</v>
      </c>
      <c r="R12087" s="36" t="s">
        <v>48</v>
      </c>
    </row>
    <row r="12088">
      <c r="H12088" s="50"/>
      <c r="I12088" s="50"/>
      <c r="O12088" s="36" t="s">
        <v>48</v>
      </c>
      <c r="R12088" s="36" t="s">
        <v>48</v>
      </c>
    </row>
    <row r="12089">
      <c r="H12089" s="50"/>
      <c r="I12089" s="50"/>
      <c r="O12089" s="36" t="s">
        <v>48</v>
      </c>
      <c r="R12089" s="36" t="s">
        <v>48</v>
      </c>
    </row>
    <row r="12090">
      <c r="H12090" s="50"/>
      <c r="I12090" s="50"/>
      <c r="O12090" s="36" t="s">
        <v>48</v>
      </c>
      <c r="R12090" s="36" t="s">
        <v>48</v>
      </c>
    </row>
    <row r="12091">
      <c r="H12091" s="50"/>
      <c r="I12091" s="50"/>
      <c r="O12091" s="36" t="s">
        <v>48</v>
      </c>
      <c r="R12091" s="36" t="s">
        <v>48</v>
      </c>
    </row>
    <row r="12092">
      <c r="H12092" s="50"/>
      <c r="I12092" s="50"/>
      <c r="O12092" s="36" t="s">
        <v>48</v>
      </c>
      <c r="R12092" s="36" t="s">
        <v>48</v>
      </c>
    </row>
    <row r="12093">
      <c r="H12093" s="50"/>
      <c r="I12093" s="50"/>
      <c r="O12093" s="36" t="s">
        <v>48</v>
      </c>
      <c r="R12093" s="36" t="s">
        <v>48</v>
      </c>
    </row>
    <row r="12094">
      <c r="H12094" s="50"/>
      <c r="I12094" s="50"/>
      <c r="O12094" s="36" t="s">
        <v>48</v>
      </c>
      <c r="R12094" s="36" t="s">
        <v>48</v>
      </c>
    </row>
    <row r="12095">
      <c r="H12095" s="50"/>
      <c r="I12095" s="50"/>
      <c r="O12095" s="36" t="s">
        <v>48</v>
      </c>
      <c r="R12095" s="36" t="s">
        <v>48</v>
      </c>
    </row>
    <row r="12096">
      <c r="H12096" s="50"/>
      <c r="I12096" s="50"/>
      <c r="O12096" s="36" t="s">
        <v>48</v>
      </c>
      <c r="R12096" s="36" t="s">
        <v>48</v>
      </c>
    </row>
    <row r="12097">
      <c r="H12097" s="50"/>
      <c r="I12097" s="50"/>
      <c r="O12097" s="36" t="s">
        <v>48</v>
      </c>
      <c r="R12097" s="36" t="s">
        <v>48</v>
      </c>
    </row>
    <row r="12098">
      <c r="H12098" s="50"/>
      <c r="I12098" s="50"/>
      <c r="O12098" s="36" t="s">
        <v>48</v>
      </c>
      <c r="R12098" s="36" t="s">
        <v>48</v>
      </c>
    </row>
    <row r="12099">
      <c r="H12099" s="50"/>
      <c r="I12099" s="50"/>
      <c r="O12099" s="36" t="s">
        <v>48</v>
      </c>
      <c r="R12099" s="36" t="s">
        <v>48</v>
      </c>
    </row>
    <row r="12100">
      <c r="H12100" s="50"/>
      <c r="I12100" s="50"/>
      <c r="O12100" s="36" t="s">
        <v>48</v>
      </c>
      <c r="R12100" s="36" t="s">
        <v>48</v>
      </c>
    </row>
    <row r="12101">
      <c r="H12101" s="50"/>
      <c r="I12101" s="50"/>
      <c r="O12101" s="36" t="s">
        <v>48</v>
      </c>
      <c r="R12101" s="36" t="s">
        <v>48</v>
      </c>
    </row>
    <row r="12102">
      <c r="H12102" s="50"/>
      <c r="I12102" s="50"/>
      <c r="O12102" s="36" t="s">
        <v>48</v>
      </c>
      <c r="R12102" s="36" t="s">
        <v>48</v>
      </c>
    </row>
    <row r="12103">
      <c r="H12103" s="50"/>
      <c r="I12103" s="50"/>
      <c r="O12103" s="36" t="s">
        <v>48</v>
      </c>
      <c r="R12103" s="36" t="s">
        <v>48</v>
      </c>
    </row>
    <row r="12104">
      <c r="H12104" s="50"/>
      <c r="I12104" s="50"/>
      <c r="O12104" s="36" t="s">
        <v>48</v>
      </c>
      <c r="R12104" s="36" t="s">
        <v>48</v>
      </c>
    </row>
    <row r="12105">
      <c r="H12105" s="50"/>
      <c r="I12105" s="50"/>
      <c r="O12105" s="36" t="s">
        <v>48</v>
      </c>
      <c r="R12105" s="36" t="s">
        <v>48</v>
      </c>
    </row>
    <row r="12106">
      <c r="H12106" s="50"/>
      <c r="I12106" s="50"/>
      <c r="O12106" s="36" t="s">
        <v>48</v>
      </c>
      <c r="R12106" s="36" t="s">
        <v>48</v>
      </c>
    </row>
    <row r="12107">
      <c r="H12107" s="50"/>
      <c r="I12107" s="50"/>
      <c r="O12107" s="36" t="s">
        <v>48</v>
      </c>
      <c r="R12107" s="36" t="s">
        <v>48</v>
      </c>
    </row>
    <row r="12108">
      <c r="H12108" s="50"/>
      <c r="I12108" s="50"/>
      <c r="O12108" s="36" t="s">
        <v>48</v>
      </c>
      <c r="R12108" s="36" t="s">
        <v>48</v>
      </c>
    </row>
    <row r="12109">
      <c r="H12109" s="50"/>
      <c r="I12109" s="50"/>
      <c r="O12109" s="36" t="s">
        <v>48</v>
      </c>
      <c r="R12109" s="36" t="s">
        <v>48</v>
      </c>
    </row>
    <row r="12110">
      <c r="H12110" s="50"/>
      <c r="I12110" s="50"/>
      <c r="O12110" s="36" t="s">
        <v>48</v>
      </c>
      <c r="R12110" s="36" t="s">
        <v>48</v>
      </c>
    </row>
    <row r="12111">
      <c r="H12111" s="50"/>
      <c r="I12111" s="50"/>
      <c r="O12111" s="36" t="s">
        <v>48</v>
      </c>
      <c r="R12111" s="36" t="s">
        <v>48</v>
      </c>
    </row>
    <row r="12112">
      <c r="H12112" s="50"/>
      <c r="I12112" s="50"/>
      <c r="O12112" s="36" t="s">
        <v>48</v>
      </c>
      <c r="R12112" s="36" t="s">
        <v>48</v>
      </c>
    </row>
    <row r="12113">
      <c r="H12113" s="50"/>
      <c r="I12113" s="50"/>
      <c r="O12113" s="36" t="s">
        <v>48</v>
      </c>
      <c r="R12113" s="36" t="s">
        <v>48</v>
      </c>
    </row>
    <row r="12114">
      <c r="H12114" s="50"/>
      <c r="I12114" s="50"/>
      <c r="O12114" s="36" t="s">
        <v>48</v>
      </c>
      <c r="R12114" s="36" t="s">
        <v>48</v>
      </c>
    </row>
    <row r="12115">
      <c r="H12115" s="50"/>
      <c r="I12115" s="50"/>
      <c r="O12115" s="36" t="s">
        <v>48</v>
      </c>
      <c r="R12115" s="36" t="s">
        <v>48</v>
      </c>
    </row>
    <row r="12116">
      <c r="H12116" s="50"/>
      <c r="I12116" s="50"/>
      <c r="O12116" s="36" t="s">
        <v>48</v>
      </c>
      <c r="R12116" s="36" t="s">
        <v>48</v>
      </c>
    </row>
    <row r="12117">
      <c r="H12117" s="50"/>
      <c r="I12117" s="50"/>
      <c r="O12117" s="36" t="s">
        <v>48</v>
      </c>
      <c r="R12117" s="36" t="s">
        <v>48</v>
      </c>
    </row>
    <row r="12118">
      <c r="H12118" s="50"/>
      <c r="I12118" s="50"/>
      <c r="O12118" s="36" t="s">
        <v>48</v>
      </c>
      <c r="R12118" s="36" t="s">
        <v>48</v>
      </c>
    </row>
    <row r="12119">
      <c r="H12119" s="50"/>
      <c r="I12119" s="50"/>
      <c r="O12119" s="36" t="s">
        <v>48</v>
      </c>
      <c r="R12119" s="36" t="s">
        <v>48</v>
      </c>
    </row>
    <row r="12120">
      <c r="H12120" s="50"/>
      <c r="I12120" s="50"/>
      <c r="O12120" s="36" t="s">
        <v>48</v>
      </c>
      <c r="R12120" s="36" t="s">
        <v>48</v>
      </c>
    </row>
    <row r="12121">
      <c r="H12121" s="50"/>
      <c r="I12121" s="50"/>
      <c r="O12121" s="36" t="s">
        <v>48</v>
      </c>
      <c r="R12121" s="36" t="s">
        <v>48</v>
      </c>
    </row>
    <row r="12122">
      <c r="H12122" s="50"/>
      <c r="I12122" s="50"/>
      <c r="O12122" s="36" t="s">
        <v>48</v>
      </c>
      <c r="R12122" s="36" t="s">
        <v>48</v>
      </c>
    </row>
    <row r="12123">
      <c r="H12123" s="50"/>
      <c r="I12123" s="50"/>
      <c r="O12123" s="36" t="s">
        <v>48</v>
      </c>
      <c r="R12123" s="36" t="s">
        <v>48</v>
      </c>
    </row>
    <row r="12124">
      <c r="H12124" s="50"/>
      <c r="I12124" s="50"/>
      <c r="O12124" s="36" t="s">
        <v>48</v>
      </c>
      <c r="R12124" s="36" t="s">
        <v>48</v>
      </c>
    </row>
    <row r="12125">
      <c r="H12125" s="50"/>
      <c r="I12125" s="50"/>
      <c r="O12125" s="36" t="s">
        <v>48</v>
      </c>
      <c r="R12125" s="36" t="s">
        <v>48</v>
      </c>
    </row>
    <row r="12126">
      <c r="H12126" s="50"/>
      <c r="I12126" s="50"/>
      <c r="O12126" s="36" t="s">
        <v>48</v>
      </c>
      <c r="R12126" s="36" t="s">
        <v>48</v>
      </c>
    </row>
    <row r="12127">
      <c r="H12127" s="50"/>
      <c r="I12127" s="50"/>
      <c r="O12127" s="36" t="s">
        <v>48</v>
      </c>
      <c r="R12127" s="36" t="s">
        <v>48</v>
      </c>
    </row>
    <row r="12128">
      <c r="H12128" s="50"/>
      <c r="I12128" s="50"/>
      <c r="O12128" s="36" t="s">
        <v>48</v>
      </c>
      <c r="R12128" s="36" t="s">
        <v>48</v>
      </c>
    </row>
    <row r="12129">
      <c r="H12129" s="50"/>
      <c r="I12129" s="50"/>
      <c r="O12129" s="36" t="s">
        <v>48</v>
      </c>
      <c r="R12129" s="36" t="s">
        <v>48</v>
      </c>
    </row>
    <row r="12130">
      <c r="H12130" s="50"/>
      <c r="I12130" s="50"/>
      <c r="O12130" s="36" t="s">
        <v>48</v>
      </c>
      <c r="R12130" s="36" t="s">
        <v>48</v>
      </c>
    </row>
    <row r="12131">
      <c r="H12131" s="50"/>
      <c r="I12131" s="50"/>
      <c r="O12131" s="36" t="s">
        <v>48</v>
      </c>
      <c r="R12131" s="36" t="s">
        <v>48</v>
      </c>
    </row>
    <row r="12132">
      <c r="H12132" s="50"/>
      <c r="I12132" s="50"/>
      <c r="O12132" s="36" t="s">
        <v>48</v>
      </c>
      <c r="R12132" s="36" t="s">
        <v>48</v>
      </c>
    </row>
    <row r="12133">
      <c r="H12133" s="50"/>
      <c r="I12133" s="50"/>
      <c r="O12133" s="36" t="s">
        <v>48</v>
      </c>
      <c r="R12133" s="36" t="s">
        <v>48</v>
      </c>
    </row>
    <row r="12134">
      <c r="H12134" s="50"/>
      <c r="I12134" s="50"/>
      <c r="O12134" s="36" t="s">
        <v>48</v>
      </c>
      <c r="R12134" s="36" t="s">
        <v>48</v>
      </c>
    </row>
    <row r="12135">
      <c r="H12135" s="50"/>
      <c r="I12135" s="50"/>
      <c r="O12135" s="36" t="s">
        <v>48</v>
      </c>
      <c r="R12135" s="36" t="s">
        <v>48</v>
      </c>
    </row>
    <row r="12136">
      <c r="H12136" s="50"/>
      <c r="I12136" s="50"/>
      <c r="O12136" s="36" t="s">
        <v>48</v>
      </c>
      <c r="R12136" s="36" t="s">
        <v>48</v>
      </c>
    </row>
    <row r="12137">
      <c r="H12137" s="50"/>
      <c r="I12137" s="50"/>
      <c r="O12137" s="36" t="s">
        <v>48</v>
      </c>
      <c r="R12137" s="36" t="s">
        <v>48</v>
      </c>
    </row>
    <row r="12138">
      <c r="H12138" s="50"/>
      <c r="I12138" s="50"/>
      <c r="O12138" s="36" t="s">
        <v>48</v>
      </c>
      <c r="R12138" s="36" t="s">
        <v>48</v>
      </c>
    </row>
    <row r="12139">
      <c r="H12139" s="50"/>
      <c r="I12139" s="50"/>
      <c r="O12139" s="36" t="s">
        <v>48</v>
      </c>
      <c r="R12139" s="36" t="s">
        <v>48</v>
      </c>
    </row>
    <row r="12140">
      <c r="H12140" s="50"/>
      <c r="I12140" s="50"/>
      <c r="O12140" s="36" t="s">
        <v>48</v>
      </c>
      <c r="R12140" s="36" t="s">
        <v>48</v>
      </c>
    </row>
    <row r="12141">
      <c r="H12141" s="50"/>
      <c r="I12141" s="50"/>
      <c r="O12141" s="36" t="s">
        <v>48</v>
      </c>
      <c r="R12141" s="36" t="s">
        <v>48</v>
      </c>
    </row>
    <row r="12142">
      <c r="H12142" s="50"/>
      <c r="I12142" s="50"/>
      <c r="O12142" s="36" t="s">
        <v>48</v>
      </c>
      <c r="R12142" s="36" t="s">
        <v>48</v>
      </c>
    </row>
    <row r="12143">
      <c r="H12143" s="50"/>
      <c r="I12143" s="50"/>
      <c r="O12143" s="36" t="s">
        <v>48</v>
      </c>
      <c r="R12143" s="36" t="s">
        <v>48</v>
      </c>
    </row>
    <row r="12144">
      <c r="H12144" s="50"/>
      <c r="I12144" s="50"/>
      <c r="O12144" s="36" t="s">
        <v>48</v>
      </c>
      <c r="R12144" s="36" t="s">
        <v>48</v>
      </c>
    </row>
    <row r="12145">
      <c r="H12145" s="50"/>
      <c r="I12145" s="50"/>
      <c r="O12145" s="36" t="s">
        <v>48</v>
      </c>
      <c r="R12145" s="36" t="s">
        <v>48</v>
      </c>
    </row>
    <row r="12146">
      <c r="H12146" s="50"/>
      <c r="I12146" s="50"/>
      <c r="O12146" s="36" t="s">
        <v>48</v>
      </c>
      <c r="R12146" s="36" t="s">
        <v>48</v>
      </c>
    </row>
    <row r="12147">
      <c r="H12147" s="50"/>
      <c r="I12147" s="50"/>
      <c r="O12147" s="36" t="s">
        <v>48</v>
      </c>
      <c r="R12147" s="36" t="s">
        <v>48</v>
      </c>
    </row>
    <row r="12148">
      <c r="H12148" s="50"/>
      <c r="I12148" s="50"/>
      <c r="O12148" s="36" t="s">
        <v>48</v>
      </c>
      <c r="R12148" s="36" t="s">
        <v>48</v>
      </c>
    </row>
    <row r="12149">
      <c r="H12149" s="50"/>
      <c r="I12149" s="50"/>
      <c r="O12149" s="36" t="s">
        <v>48</v>
      </c>
      <c r="R12149" s="36" t="s">
        <v>48</v>
      </c>
    </row>
    <row r="12150">
      <c r="H12150" s="50"/>
      <c r="I12150" s="50"/>
      <c r="O12150" s="36" t="s">
        <v>48</v>
      </c>
      <c r="R12150" s="36" t="s">
        <v>48</v>
      </c>
    </row>
    <row r="12151">
      <c r="H12151" s="50"/>
      <c r="I12151" s="50"/>
      <c r="O12151" s="36" t="s">
        <v>48</v>
      </c>
      <c r="R12151" s="36" t="s">
        <v>48</v>
      </c>
    </row>
    <row r="12152">
      <c r="H12152" s="50"/>
      <c r="I12152" s="50"/>
      <c r="O12152" s="36" t="s">
        <v>48</v>
      </c>
      <c r="R12152" s="36" t="s">
        <v>48</v>
      </c>
    </row>
    <row r="12153">
      <c r="H12153" s="50"/>
      <c r="I12153" s="50"/>
      <c r="O12153" s="36" t="s">
        <v>48</v>
      </c>
      <c r="R12153" s="36" t="s">
        <v>48</v>
      </c>
    </row>
    <row r="12154">
      <c r="H12154" s="50"/>
      <c r="I12154" s="50"/>
      <c r="O12154" s="36" t="s">
        <v>48</v>
      </c>
      <c r="R12154" s="36" t="s">
        <v>48</v>
      </c>
    </row>
    <row r="12155">
      <c r="H12155" s="50"/>
      <c r="I12155" s="50"/>
      <c r="O12155" s="36" t="s">
        <v>48</v>
      </c>
      <c r="R12155" s="36" t="s">
        <v>48</v>
      </c>
    </row>
    <row r="12156">
      <c r="H12156" s="50"/>
      <c r="I12156" s="50"/>
      <c r="O12156" s="36" t="s">
        <v>48</v>
      </c>
      <c r="R12156" s="36" t="s">
        <v>48</v>
      </c>
    </row>
    <row r="12157">
      <c r="H12157" s="50"/>
      <c r="I12157" s="50"/>
      <c r="O12157" s="36" t="s">
        <v>48</v>
      </c>
      <c r="R12157" s="36" t="s">
        <v>48</v>
      </c>
    </row>
    <row r="12158">
      <c r="H12158" s="50"/>
      <c r="I12158" s="50"/>
      <c r="O12158" s="36" t="s">
        <v>48</v>
      </c>
      <c r="R12158" s="36" t="s">
        <v>48</v>
      </c>
    </row>
    <row r="12159">
      <c r="H12159" s="50"/>
      <c r="I12159" s="50"/>
      <c r="O12159" s="36" t="s">
        <v>48</v>
      </c>
      <c r="R12159" s="36" t="s">
        <v>48</v>
      </c>
    </row>
    <row r="12160">
      <c r="H12160" s="50"/>
      <c r="I12160" s="50"/>
      <c r="O12160" s="36" t="s">
        <v>48</v>
      </c>
      <c r="R12160" s="36" t="s">
        <v>48</v>
      </c>
    </row>
    <row r="12161">
      <c r="H12161" s="50"/>
      <c r="I12161" s="50"/>
      <c r="O12161" s="36" t="s">
        <v>48</v>
      </c>
      <c r="R12161" s="36" t="s">
        <v>48</v>
      </c>
    </row>
    <row r="12162">
      <c r="H12162" s="50"/>
      <c r="I12162" s="50"/>
      <c r="O12162" s="36" t="s">
        <v>48</v>
      </c>
      <c r="R12162" s="36" t="s">
        <v>48</v>
      </c>
    </row>
    <row r="12163">
      <c r="H12163" s="50"/>
      <c r="I12163" s="50"/>
      <c r="O12163" s="36" t="s">
        <v>48</v>
      </c>
      <c r="R12163" s="36" t="s">
        <v>48</v>
      </c>
    </row>
    <row r="12164">
      <c r="H12164" s="50"/>
      <c r="I12164" s="50"/>
      <c r="O12164" s="36" t="s">
        <v>48</v>
      </c>
      <c r="R12164" s="36" t="s">
        <v>48</v>
      </c>
    </row>
    <row r="12165">
      <c r="H12165" s="50"/>
      <c r="I12165" s="50"/>
      <c r="O12165" s="36" t="s">
        <v>48</v>
      </c>
      <c r="R12165" s="36" t="s">
        <v>48</v>
      </c>
    </row>
    <row r="12166">
      <c r="H12166" s="50"/>
      <c r="I12166" s="50"/>
      <c r="O12166" s="36" t="s">
        <v>48</v>
      </c>
      <c r="R12166" s="36" t="s">
        <v>48</v>
      </c>
    </row>
    <row r="12167">
      <c r="H12167" s="50"/>
      <c r="I12167" s="50"/>
      <c r="O12167" s="36" t="s">
        <v>48</v>
      </c>
      <c r="R12167" s="36" t="s">
        <v>48</v>
      </c>
    </row>
    <row r="12168">
      <c r="H12168" s="50"/>
      <c r="I12168" s="50"/>
      <c r="O12168" s="36" t="s">
        <v>48</v>
      </c>
      <c r="R12168" s="36" t="s">
        <v>48</v>
      </c>
    </row>
    <row r="12169">
      <c r="H12169" s="50"/>
      <c r="I12169" s="50"/>
      <c r="O12169" s="36" t="s">
        <v>48</v>
      </c>
      <c r="R12169" s="36" t="s">
        <v>48</v>
      </c>
    </row>
    <row r="12170">
      <c r="H12170" s="50"/>
      <c r="I12170" s="50"/>
      <c r="O12170" s="36" t="s">
        <v>48</v>
      </c>
      <c r="R12170" s="36" t="s">
        <v>48</v>
      </c>
    </row>
    <row r="12171">
      <c r="H12171" s="50"/>
      <c r="I12171" s="50"/>
      <c r="O12171" s="36" t="s">
        <v>48</v>
      </c>
      <c r="R12171" s="36" t="s">
        <v>48</v>
      </c>
    </row>
    <row r="12172">
      <c r="H12172" s="50"/>
      <c r="I12172" s="50"/>
      <c r="O12172" s="36" t="s">
        <v>48</v>
      </c>
      <c r="R12172" s="36" t="s">
        <v>48</v>
      </c>
    </row>
    <row r="12173">
      <c r="H12173" s="50"/>
      <c r="I12173" s="50"/>
      <c r="O12173" s="36" t="s">
        <v>48</v>
      </c>
      <c r="R12173" s="36" t="s">
        <v>48</v>
      </c>
    </row>
    <row r="12174">
      <c r="H12174" s="50"/>
      <c r="I12174" s="50"/>
      <c r="O12174" s="36" t="s">
        <v>48</v>
      </c>
      <c r="R12174" s="36" t="s">
        <v>48</v>
      </c>
    </row>
    <row r="12175">
      <c r="H12175" s="50"/>
      <c r="I12175" s="50"/>
      <c r="O12175" s="36" t="s">
        <v>48</v>
      </c>
      <c r="R12175" s="36" t="s">
        <v>48</v>
      </c>
    </row>
    <row r="12176">
      <c r="H12176" s="50"/>
      <c r="I12176" s="50"/>
      <c r="O12176" s="36" t="s">
        <v>48</v>
      </c>
      <c r="R12176" s="36" t="s">
        <v>48</v>
      </c>
    </row>
    <row r="12177">
      <c r="H12177" s="50"/>
      <c r="I12177" s="50"/>
      <c r="O12177" s="36" t="s">
        <v>48</v>
      </c>
      <c r="R12177" s="36" t="s">
        <v>48</v>
      </c>
    </row>
    <row r="12178">
      <c r="H12178" s="50"/>
      <c r="I12178" s="50"/>
      <c r="O12178" s="36" t="s">
        <v>48</v>
      </c>
      <c r="R12178" s="36" t="s">
        <v>48</v>
      </c>
    </row>
    <row r="12179">
      <c r="H12179" s="50"/>
      <c r="I12179" s="50"/>
      <c r="O12179" s="36" t="s">
        <v>48</v>
      </c>
      <c r="R12179" s="36" t="s">
        <v>48</v>
      </c>
    </row>
    <row r="12180">
      <c r="H12180" s="50"/>
      <c r="I12180" s="50"/>
      <c r="O12180" s="36" t="s">
        <v>48</v>
      </c>
      <c r="R12180" s="36" t="s">
        <v>48</v>
      </c>
    </row>
    <row r="12181">
      <c r="H12181" s="50"/>
      <c r="I12181" s="50"/>
      <c r="O12181" s="36" t="s">
        <v>48</v>
      </c>
      <c r="R12181" s="36" t="s">
        <v>48</v>
      </c>
    </row>
    <row r="12182">
      <c r="H12182" s="50"/>
      <c r="I12182" s="50"/>
      <c r="O12182" s="36" t="s">
        <v>48</v>
      </c>
      <c r="R12182" s="36" t="s">
        <v>48</v>
      </c>
    </row>
    <row r="12183">
      <c r="H12183" s="50"/>
      <c r="I12183" s="50"/>
      <c r="O12183" s="36" t="s">
        <v>48</v>
      </c>
      <c r="R12183" s="36" t="s">
        <v>48</v>
      </c>
    </row>
    <row r="12184">
      <c r="H12184" s="50"/>
      <c r="I12184" s="50"/>
      <c r="O12184" s="36" t="s">
        <v>48</v>
      </c>
      <c r="R12184" s="36" t="s">
        <v>48</v>
      </c>
    </row>
    <row r="12185">
      <c r="H12185" s="50"/>
      <c r="I12185" s="50"/>
      <c r="O12185" s="36" t="s">
        <v>48</v>
      </c>
      <c r="R12185" s="36" t="s">
        <v>48</v>
      </c>
    </row>
    <row r="12186">
      <c r="H12186" s="50"/>
      <c r="I12186" s="50"/>
      <c r="O12186" s="36" t="s">
        <v>48</v>
      </c>
      <c r="R12186" s="36" t="s">
        <v>48</v>
      </c>
    </row>
    <row r="12187">
      <c r="H12187" s="50"/>
      <c r="I12187" s="50"/>
      <c r="O12187" s="36" t="s">
        <v>48</v>
      </c>
      <c r="R12187" s="36" t="s">
        <v>48</v>
      </c>
    </row>
    <row r="12188">
      <c r="H12188" s="50"/>
      <c r="I12188" s="50"/>
      <c r="O12188" s="36" t="s">
        <v>48</v>
      </c>
      <c r="R12188" s="36" t="s">
        <v>48</v>
      </c>
    </row>
    <row r="12189">
      <c r="H12189" s="50"/>
      <c r="I12189" s="50"/>
      <c r="O12189" s="36" t="s">
        <v>48</v>
      </c>
      <c r="R12189" s="36" t="s">
        <v>48</v>
      </c>
    </row>
    <row r="12190">
      <c r="H12190" s="50"/>
      <c r="I12190" s="50"/>
      <c r="O12190" s="36" t="s">
        <v>48</v>
      </c>
      <c r="R12190" s="36" t="s">
        <v>48</v>
      </c>
    </row>
    <row r="12191">
      <c r="H12191" s="50"/>
      <c r="I12191" s="50"/>
      <c r="O12191" s="36" t="s">
        <v>48</v>
      </c>
      <c r="R12191" s="36" t="s">
        <v>48</v>
      </c>
    </row>
    <row r="12192">
      <c r="H12192" s="50"/>
      <c r="I12192" s="50"/>
      <c r="O12192" s="36" t="s">
        <v>48</v>
      </c>
      <c r="R12192" s="36" t="s">
        <v>48</v>
      </c>
    </row>
    <row r="12193">
      <c r="H12193" s="50"/>
      <c r="I12193" s="50"/>
      <c r="O12193" s="36" t="s">
        <v>48</v>
      </c>
      <c r="R12193" s="36" t="s">
        <v>48</v>
      </c>
    </row>
    <row r="12194">
      <c r="H12194" s="50"/>
      <c r="I12194" s="50"/>
      <c r="O12194" s="36" t="s">
        <v>48</v>
      </c>
      <c r="R12194" s="36" t="s">
        <v>48</v>
      </c>
    </row>
    <row r="12195">
      <c r="H12195" s="50"/>
      <c r="I12195" s="50"/>
      <c r="O12195" s="36" t="s">
        <v>48</v>
      </c>
      <c r="R12195" s="36" t="s">
        <v>48</v>
      </c>
    </row>
    <row r="12196">
      <c r="H12196" s="50"/>
      <c r="I12196" s="50"/>
      <c r="O12196" s="36" t="s">
        <v>48</v>
      </c>
      <c r="R12196" s="36" t="s">
        <v>48</v>
      </c>
    </row>
    <row r="12197">
      <c r="H12197" s="50"/>
      <c r="I12197" s="50"/>
      <c r="O12197" s="36" t="s">
        <v>48</v>
      </c>
      <c r="R12197" s="36" t="s">
        <v>48</v>
      </c>
    </row>
    <row r="12198">
      <c r="H12198" s="50"/>
      <c r="I12198" s="50"/>
      <c r="O12198" s="36" t="s">
        <v>48</v>
      </c>
      <c r="R12198" s="36" t="s">
        <v>48</v>
      </c>
    </row>
    <row r="12199">
      <c r="H12199" s="50"/>
      <c r="I12199" s="50"/>
      <c r="O12199" s="36" t="s">
        <v>48</v>
      </c>
      <c r="R12199" s="36" t="s">
        <v>48</v>
      </c>
    </row>
    <row r="12200">
      <c r="H12200" s="50"/>
      <c r="I12200" s="50"/>
      <c r="O12200" s="36" t="s">
        <v>48</v>
      </c>
      <c r="R12200" s="36" t="s">
        <v>48</v>
      </c>
    </row>
    <row r="12201">
      <c r="H12201" s="50"/>
      <c r="I12201" s="50"/>
      <c r="O12201" s="36" t="s">
        <v>48</v>
      </c>
      <c r="R12201" s="36" t="s">
        <v>48</v>
      </c>
    </row>
    <row r="12202">
      <c r="H12202" s="50"/>
      <c r="I12202" s="50"/>
      <c r="O12202" s="36" t="s">
        <v>48</v>
      </c>
      <c r="R12202" s="36" t="s">
        <v>48</v>
      </c>
    </row>
    <row r="12203">
      <c r="H12203" s="50"/>
      <c r="I12203" s="50"/>
      <c r="O12203" s="36" t="s">
        <v>48</v>
      </c>
      <c r="R12203" s="36" t="s">
        <v>48</v>
      </c>
    </row>
    <row r="12204">
      <c r="H12204" s="50"/>
      <c r="I12204" s="50"/>
      <c r="O12204" s="36" t="s">
        <v>48</v>
      </c>
      <c r="R12204" s="36" t="s">
        <v>48</v>
      </c>
    </row>
    <row r="12205">
      <c r="H12205" s="50"/>
      <c r="I12205" s="50"/>
      <c r="O12205" s="36" t="s">
        <v>48</v>
      </c>
      <c r="R12205" s="36" t="s">
        <v>48</v>
      </c>
    </row>
    <row r="12206">
      <c r="H12206" s="50"/>
      <c r="I12206" s="50"/>
      <c r="O12206" s="36" t="s">
        <v>48</v>
      </c>
      <c r="R12206" s="36" t="s">
        <v>48</v>
      </c>
    </row>
    <row r="12207">
      <c r="H12207" s="50"/>
      <c r="I12207" s="50"/>
      <c r="O12207" s="36" t="s">
        <v>48</v>
      </c>
      <c r="R12207" s="36" t="s">
        <v>48</v>
      </c>
    </row>
    <row r="12208">
      <c r="H12208" s="50"/>
      <c r="I12208" s="50"/>
      <c r="O12208" s="36" t="s">
        <v>48</v>
      </c>
      <c r="R12208" s="36" t="s">
        <v>48</v>
      </c>
    </row>
    <row r="12209">
      <c r="H12209" s="50"/>
      <c r="I12209" s="50"/>
      <c r="O12209" s="36" t="s">
        <v>48</v>
      </c>
      <c r="R12209" s="36" t="s">
        <v>48</v>
      </c>
    </row>
    <row r="12210">
      <c r="H12210" s="50"/>
      <c r="I12210" s="50"/>
      <c r="O12210" s="36" t="s">
        <v>48</v>
      </c>
      <c r="R12210" s="36" t="s">
        <v>48</v>
      </c>
    </row>
    <row r="12211">
      <c r="H12211" s="50"/>
      <c r="I12211" s="50"/>
      <c r="O12211" s="36" t="s">
        <v>48</v>
      </c>
      <c r="R12211" s="36" t="s">
        <v>48</v>
      </c>
    </row>
    <row r="12212">
      <c r="H12212" s="50"/>
      <c r="I12212" s="50"/>
      <c r="O12212" s="36" t="s">
        <v>48</v>
      </c>
      <c r="R12212" s="36" t="s">
        <v>48</v>
      </c>
    </row>
    <row r="12213">
      <c r="H12213" s="50"/>
      <c r="I12213" s="50"/>
      <c r="O12213" s="36" t="s">
        <v>48</v>
      </c>
      <c r="R12213" s="36" t="s">
        <v>48</v>
      </c>
    </row>
    <row r="12214">
      <c r="H12214" s="50"/>
      <c r="I12214" s="50"/>
      <c r="O12214" s="36" t="s">
        <v>48</v>
      </c>
      <c r="R12214" s="36" t="s">
        <v>48</v>
      </c>
    </row>
    <row r="12215">
      <c r="H12215" s="50"/>
      <c r="I12215" s="50"/>
      <c r="O12215" s="36" t="s">
        <v>48</v>
      </c>
      <c r="R12215" s="36" t="s">
        <v>48</v>
      </c>
    </row>
    <row r="12216">
      <c r="H12216" s="50"/>
      <c r="I12216" s="50"/>
      <c r="O12216" s="36" t="s">
        <v>48</v>
      </c>
      <c r="R12216" s="36" t="s">
        <v>48</v>
      </c>
    </row>
    <row r="12217">
      <c r="H12217" s="50"/>
      <c r="I12217" s="50"/>
      <c r="O12217" s="36" t="s">
        <v>48</v>
      </c>
      <c r="R12217" s="36" t="s">
        <v>48</v>
      </c>
    </row>
    <row r="12218">
      <c r="H12218" s="50"/>
      <c r="I12218" s="50"/>
      <c r="O12218" s="36" t="s">
        <v>48</v>
      </c>
      <c r="R12218" s="36" t="s">
        <v>48</v>
      </c>
    </row>
    <row r="12219">
      <c r="H12219" s="50"/>
      <c r="I12219" s="50"/>
      <c r="O12219" s="36" t="s">
        <v>48</v>
      </c>
      <c r="R12219" s="36" t="s">
        <v>48</v>
      </c>
    </row>
    <row r="12220">
      <c r="H12220" s="50"/>
      <c r="I12220" s="50"/>
      <c r="O12220" s="36" t="s">
        <v>48</v>
      </c>
      <c r="R12220" s="36" t="s">
        <v>48</v>
      </c>
    </row>
    <row r="12221">
      <c r="H12221" s="50"/>
      <c r="I12221" s="50"/>
      <c r="O12221" s="36" t="s">
        <v>48</v>
      </c>
      <c r="R12221" s="36" t="s">
        <v>48</v>
      </c>
    </row>
    <row r="12222">
      <c r="H12222" s="50"/>
      <c r="I12222" s="50"/>
      <c r="O12222" s="36" t="s">
        <v>48</v>
      </c>
      <c r="R12222" s="36" t="s">
        <v>48</v>
      </c>
    </row>
    <row r="12223">
      <c r="H12223" s="50"/>
      <c r="I12223" s="50"/>
      <c r="O12223" s="36" t="s">
        <v>48</v>
      </c>
      <c r="R12223" s="36" t="s">
        <v>48</v>
      </c>
    </row>
    <row r="12224">
      <c r="H12224" s="50"/>
      <c r="I12224" s="50"/>
      <c r="O12224" s="36" t="s">
        <v>48</v>
      </c>
      <c r="R12224" s="36" t="s">
        <v>48</v>
      </c>
    </row>
    <row r="12225">
      <c r="H12225" s="50"/>
      <c r="I12225" s="50"/>
      <c r="O12225" s="36" t="s">
        <v>48</v>
      </c>
      <c r="R12225" s="36" t="s">
        <v>48</v>
      </c>
    </row>
    <row r="12226">
      <c r="H12226" s="50"/>
      <c r="I12226" s="50"/>
      <c r="O12226" s="36" t="s">
        <v>48</v>
      </c>
      <c r="R12226" s="36" t="s">
        <v>48</v>
      </c>
    </row>
    <row r="12227">
      <c r="H12227" s="50"/>
      <c r="I12227" s="50"/>
      <c r="O12227" s="36" t="s">
        <v>48</v>
      </c>
      <c r="R12227" s="36" t="s">
        <v>48</v>
      </c>
    </row>
    <row r="12228">
      <c r="H12228" s="50"/>
      <c r="I12228" s="50"/>
      <c r="O12228" s="36" t="s">
        <v>48</v>
      </c>
      <c r="R12228" s="36" t="s">
        <v>48</v>
      </c>
    </row>
    <row r="12229">
      <c r="H12229" s="50"/>
      <c r="I12229" s="50"/>
      <c r="O12229" s="36" t="s">
        <v>48</v>
      </c>
      <c r="R12229" s="36" t="s">
        <v>48</v>
      </c>
    </row>
    <row r="12230">
      <c r="H12230" s="50"/>
      <c r="I12230" s="50"/>
      <c r="O12230" s="36" t="s">
        <v>48</v>
      </c>
      <c r="R12230" s="36" t="s">
        <v>48</v>
      </c>
    </row>
    <row r="12231">
      <c r="H12231" s="50"/>
      <c r="I12231" s="50"/>
      <c r="O12231" s="36" t="s">
        <v>48</v>
      </c>
      <c r="R12231" s="36" t="s">
        <v>48</v>
      </c>
    </row>
    <row r="12232">
      <c r="H12232" s="50"/>
      <c r="I12232" s="50"/>
      <c r="O12232" s="36" t="s">
        <v>48</v>
      </c>
      <c r="R12232" s="36" t="s">
        <v>48</v>
      </c>
    </row>
    <row r="12233">
      <c r="H12233" s="50"/>
      <c r="I12233" s="50"/>
      <c r="O12233" s="36" t="s">
        <v>48</v>
      </c>
      <c r="R12233" s="36" t="s">
        <v>48</v>
      </c>
    </row>
    <row r="12234">
      <c r="H12234" s="50"/>
      <c r="I12234" s="50"/>
      <c r="O12234" s="36" t="s">
        <v>48</v>
      </c>
      <c r="R12234" s="36" t="s">
        <v>48</v>
      </c>
    </row>
    <row r="12235">
      <c r="H12235" s="50"/>
      <c r="I12235" s="50"/>
      <c r="O12235" s="36" t="s">
        <v>48</v>
      </c>
      <c r="R12235" s="36" t="s">
        <v>48</v>
      </c>
    </row>
    <row r="12236">
      <c r="H12236" s="50"/>
      <c r="I12236" s="50"/>
      <c r="O12236" s="36" t="s">
        <v>48</v>
      </c>
      <c r="R12236" s="36" t="s">
        <v>48</v>
      </c>
    </row>
    <row r="12237">
      <c r="H12237" s="50"/>
      <c r="I12237" s="50"/>
      <c r="O12237" s="36" t="s">
        <v>48</v>
      </c>
      <c r="R12237" s="36" t="s">
        <v>48</v>
      </c>
    </row>
    <row r="12238">
      <c r="H12238" s="50"/>
      <c r="I12238" s="50"/>
      <c r="O12238" s="36" t="s">
        <v>48</v>
      </c>
      <c r="R12238" s="36" t="s">
        <v>48</v>
      </c>
    </row>
    <row r="12239">
      <c r="H12239" s="50"/>
      <c r="I12239" s="50"/>
      <c r="O12239" s="36" t="s">
        <v>48</v>
      </c>
      <c r="R12239" s="36" t="s">
        <v>48</v>
      </c>
    </row>
    <row r="12240">
      <c r="H12240" s="50"/>
      <c r="I12240" s="50"/>
      <c r="O12240" s="36" t="s">
        <v>48</v>
      </c>
      <c r="R12240" s="36" t="s">
        <v>48</v>
      </c>
    </row>
    <row r="12241">
      <c r="H12241" s="50"/>
      <c r="I12241" s="50"/>
      <c r="O12241" s="36" t="s">
        <v>48</v>
      </c>
      <c r="R12241" s="36" t="s">
        <v>48</v>
      </c>
    </row>
    <row r="12242">
      <c r="H12242" s="50"/>
      <c r="I12242" s="50"/>
      <c r="O12242" s="36" t="s">
        <v>48</v>
      </c>
      <c r="R12242" s="36" t="s">
        <v>48</v>
      </c>
    </row>
    <row r="12243">
      <c r="H12243" s="50"/>
      <c r="I12243" s="50"/>
      <c r="O12243" s="36" t="s">
        <v>48</v>
      </c>
      <c r="R12243" s="36" t="s">
        <v>48</v>
      </c>
    </row>
    <row r="12244">
      <c r="H12244" s="50"/>
      <c r="I12244" s="50"/>
      <c r="O12244" s="36" t="s">
        <v>48</v>
      </c>
      <c r="R12244" s="36" t="s">
        <v>48</v>
      </c>
    </row>
    <row r="12245">
      <c r="H12245" s="50"/>
      <c r="I12245" s="50"/>
      <c r="O12245" s="36" t="s">
        <v>48</v>
      </c>
      <c r="R12245" s="36" t="s">
        <v>48</v>
      </c>
    </row>
    <row r="12246">
      <c r="H12246" s="50"/>
      <c r="I12246" s="50"/>
      <c r="O12246" s="36" t="s">
        <v>48</v>
      </c>
      <c r="R12246" s="36" t="s">
        <v>48</v>
      </c>
    </row>
    <row r="12247">
      <c r="H12247" s="50"/>
      <c r="I12247" s="50"/>
      <c r="O12247" s="36" t="s">
        <v>48</v>
      </c>
      <c r="R12247" s="36" t="s">
        <v>48</v>
      </c>
    </row>
    <row r="12248">
      <c r="H12248" s="50"/>
      <c r="I12248" s="50"/>
      <c r="O12248" s="36" t="s">
        <v>48</v>
      </c>
      <c r="R12248" s="36" t="s">
        <v>48</v>
      </c>
    </row>
    <row r="12249">
      <c r="H12249" s="50"/>
      <c r="I12249" s="50"/>
      <c r="O12249" s="36" t="s">
        <v>48</v>
      </c>
      <c r="R12249" s="36" t="s">
        <v>48</v>
      </c>
    </row>
    <row r="12250">
      <c r="H12250" s="50"/>
      <c r="I12250" s="50"/>
      <c r="O12250" s="36" t="s">
        <v>48</v>
      </c>
      <c r="R12250" s="36" t="s">
        <v>48</v>
      </c>
    </row>
    <row r="12251">
      <c r="H12251" s="50"/>
      <c r="I12251" s="50"/>
      <c r="O12251" s="36" t="s">
        <v>48</v>
      </c>
      <c r="R12251" s="36" t="s">
        <v>48</v>
      </c>
    </row>
    <row r="12252">
      <c r="H12252" s="50"/>
      <c r="I12252" s="50"/>
      <c r="O12252" s="36" t="s">
        <v>48</v>
      </c>
      <c r="R12252" s="36" t="s">
        <v>48</v>
      </c>
    </row>
    <row r="12253">
      <c r="H12253" s="50"/>
      <c r="I12253" s="50"/>
      <c r="O12253" s="36" t="s">
        <v>48</v>
      </c>
      <c r="R12253" s="36" t="s">
        <v>48</v>
      </c>
    </row>
    <row r="12254">
      <c r="H12254" s="50"/>
      <c r="I12254" s="50"/>
      <c r="O12254" s="36" t="s">
        <v>48</v>
      </c>
      <c r="R12254" s="36" t="s">
        <v>48</v>
      </c>
    </row>
    <row r="12255">
      <c r="H12255" s="50"/>
      <c r="I12255" s="50"/>
      <c r="O12255" s="36" t="s">
        <v>48</v>
      </c>
      <c r="R12255" s="36" t="s">
        <v>48</v>
      </c>
    </row>
    <row r="12256">
      <c r="H12256" s="50"/>
      <c r="I12256" s="50"/>
      <c r="O12256" s="36" t="s">
        <v>48</v>
      </c>
      <c r="R12256" s="36" t="s">
        <v>48</v>
      </c>
    </row>
    <row r="12257">
      <c r="H12257" s="50"/>
      <c r="I12257" s="50"/>
      <c r="O12257" s="36" t="s">
        <v>48</v>
      </c>
      <c r="R12257" s="36" t="s">
        <v>48</v>
      </c>
    </row>
    <row r="12258">
      <c r="H12258" s="50"/>
      <c r="I12258" s="50"/>
      <c r="O12258" s="36" t="s">
        <v>48</v>
      </c>
      <c r="R12258" s="36" t="s">
        <v>48</v>
      </c>
    </row>
    <row r="12259">
      <c r="H12259" s="50"/>
      <c r="I12259" s="50"/>
      <c r="O12259" s="36" t="s">
        <v>48</v>
      </c>
      <c r="R12259" s="36" t="s">
        <v>48</v>
      </c>
    </row>
    <row r="12260">
      <c r="H12260" s="50"/>
      <c r="I12260" s="50"/>
      <c r="O12260" s="36" t="s">
        <v>48</v>
      </c>
      <c r="R12260" s="36" t="s">
        <v>48</v>
      </c>
    </row>
    <row r="12261">
      <c r="H12261" s="50"/>
      <c r="I12261" s="50"/>
      <c r="O12261" s="36" t="s">
        <v>48</v>
      </c>
      <c r="R12261" s="36" t="s">
        <v>48</v>
      </c>
    </row>
    <row r="12262">
      <c r="H12262" s="50"/>
      <c r="I12262" s="50"/>
      <c r="O12262" s="36" t="s">
        <v>48</v>
      </c>
      <c r="R12262" s="36" t="s">
        <v>48</v>
      </c>
    </row>
    <row r="12263">
      <c r="H12263" s="50"/>
      <c r="I12263" s="50"/>
      <c r="O12263" s="36" t="s">
        <v>48</v>
      </c>
      <c r="R12263" s="36" t="s">
        <v>48</v>
      </c>
    </row>
    <row r="12264">
      <c r="H12264" s="50"/>
      <c r="I12264" s="50"/>
      <c r="O12264" s="36" t="s">
        <v>48</v>
      </c>
      <c r="R12264" s="36" t="s">
        <v>48</v>
      </c>
    </row>
    <row r="12265">
      <c r="H12265" s="50"/>
      <c r="I12265" s="50"/>
      <c r="O12265" s="36" t="s">
        <v>48</v>
      </c>
      <c r="R12265" s="36" t="s">
        <v>48</v>
      </c>
    </row>
    <row r="12266">
      <c r="H12266" s="50"/>
      <c r="I12266" s="50"/>
      <c r="O12266" s="36" t="s">
        <v>48</v>
      </c>
      <c r="R12266" s="36" t="s">
        <v>48</v>
      </c>
    </row>
    <row r="12267">
      <c r="H12267" s="50"/>
      <c r="I12267" s="50"/>
      <c r="O12267" s="36" t="s">
        <v>48</v>
      </c>
      <c r="R12267" s="36" t="s">
        <v>48</v>
      </c>
    </row>
    <row r="12268">
      <c r="H12268" s="50"/>
      <c r="I12268" s="50"/>
      <c r="O12268" s="36" t="s">
        <v>48</v>
      </c>
      <c r="R12268" s="36" t="s">
        <v>48</v>
      </c>
    </row>
    <row r="12269">
      <c r="H12269" s="50"/>
      <c r="I12269" s="50"/>
      <c r="O12269" s="36" t="s">
        <v>48</v>
      </c>
      <c r="R12269" s="36" t="s">
        <v>48</v>
      </c>
    </row>
    <row r="12270">
      <c r="H12270" s="50"/>
      <c r="I12270" s="50"/>
      <c r="O12270" s="36" t="s">
        <v>48</v>
      </c>
      <c r="R12270" s="36" t="s">
        <v>48</v>
      </c>
    </row>
    <row r="12271">
      <c r="H12271" s="50"/>
      <c r="I12271" s="50"/>
      <c r="O12271" s="36" t="s">
        <v>48</v>
      </c>
      <c r="R12271" s="36" t="s">
        <v>48</v>
      </c>
    </row>
    <row r="12272">
      <c r="H12272" s="50"/>
      <c r="I12272" s="50"/>
      <c r="O12272" s="36" t="s">
        <v>48</v>
      </c>
      <c r="R12272" s="36" t="s">
        <v>48</v>
      </c>
    </row>
    <row r="12273">
      <c r="H12273" s="50"/>
      <c r="I12273" s="50"/>
      <c r="O12273" s="36" t="s">
        <v>48</v>
      </c>
      <c r="R12273" s="36" t="s">
        <v>48</v>
      </c>
    </row>
    <row r="12274">
      <c r="H12274" s="50"/>
      <c r="I12274" s="50"/>
      <c r="O12274" s="36" t="s">
        <v>48</v>
      </c>
      <c r="R12274" s="36" t="s">
        <v>48</v>
      </c>
    </row>
    <row r="12275">
      <c r="H12275" s="50"/>
      <c r="I12275" s="50"/>
      <c r="O12275" s="36" t="s">
        <v>48</v>
      </c>
      <c r="R12275" s="36" t="s">
        <v>48</v>
      </c>
    </row>
    <row r="12276">
      <c r="H12276" s="50"/>
      <c r="I12276" s="50"/>
      <c r="O12276" s="36" t="s">
        <v>48</v>
      </c>
      <c r="R12276" s="36" t="s">
        <v>48</v>
      </c>
    </row>
    <row r="12277">
      <c r="H12277" s="50"/>
      <c r="I12277" s="50"/>
      <c r="O12277" s="36" t="s">
        <v>48</v>
      </c>
      <c r="R12277" s="36" t="s">
        <v>48</v>
      </c>
    </row>
    <row r="12278">
      <c r="H12278" s="50"/>
      <c r="I12278" s="50"/>
      <c r="O12278" s="36" t="s">
        <v>48</v>
      </c>
      <c r="R12278" s="36" t="s">
        <v>48</v>
      </c>
    </row>
    <row r="12279">
      <c r="H12279" s="50"/>
      <c r="I12279" s="50"/>
      <c r="O12279" s="36" t="s">
        <v>48</v>
      </c>
      <c r="R12279" s="36" t="s">
        <v>48</v>
      </c>
    </row>
    <row r="12280">
      <c r="H12280" s="50"/>
      <c r="I12280" s="50"/>
      <c r="O12280" s="36" t="s">
        <v>48</v>
      </c>
      <c r="R12280" s="36" t="s">
        <v>48</v>
      </c>
    </row>
    <row r="12281">
      <c r="H12281" s="50"/>
      <c r="I12281" s="50"/>
      <c r="O12281" s="36" t="s">
        <v>48</v>
      </c>
      <c r="R12281" s="36" t="s">
        <v>48</v>
      </c>
    </row>
    <row r="12282">
      <c r="H12282" s="50"/>
      <c r="I12282" s="50"/>
      <c r="O12282" s="36" t="s">
        <v>48</v>
      </c>
      <c r="R12282" s="36" t="s">
        <v>48</v>
      </c>
    </row>
    <row r="12283">
      <c r="H12283" s="50"/>
      <c r="I12283" s="50"/>
      <c r="O12283" s="36" t="s">
        <v>48</v>
      </c>
      <c r="R12283" s="36" t="s">
        <v>48</v>
      </c>
    </row>
    <row r="12284">
      <c r="H12284" s="50"/>
      <c r="I12284" s="50"/>
      <c r="O12284" s="36" t="s">
        <v>48</v>
      </c>
      <c r="R12284" s="36" t="s">
        <v>48</v>
      </c>
    </row>
    <row r="12285">
      <c r="H12285" s="50"/>
      <c r="I12285" s="50"/>
      <c r="O12285" s="36" t="s">
        <v>48</v>
      </c>
      <c r="R12285" s="36" t="s">
        <v>48</v>
      </c>
    </row>
    <row r="12286">
      <c r="H12286" s="50"/>
      <c r="I12286" s="50"/>
      <c r="O12286" s="36" t="s">
        <v>48</v>
      </c>
      <c r="R12286" s="36" t="s">
        <v>48</v>
      </c>
    </row>
    <row r="12287">
      <c r="H12287" s="50"/>
      <c r="I12287" s="50"/>
      <c r="O12287" s="36" t="s">
        <v>48</v>
      </c>
      <c r="R12287" s="36" t="s">
        <v>48</v>
      </c>
    </row>
    <row r="12288">
      <c r="H12288" s="50"/>
      <c r="I12288" s="50"/>
      <c r="O12288" s="36" t="s">
        <v>48</v>
      </c>
      <c r="R12288" s="36" t="s">
        <v>48</v>
      </c>
    </row>
    <row r="12289">
      <c r="H12289" s="50"/>
      <c r="I12289" s="50"/>
      <c r="O12289" s="36" t="s">
        <v>48</v>
      </c>
      <c r="R12289" s="36" t="s">
        <v>48</v>
      </c>
    </row>
    <row r="12290">
      <c r="H12290" s="50"/>
      <c r="I12290" s="50"/>
      <c r="O12290" s="36" t="s">
        <v>48</v>
      </c>
      <c r="R12290" s="36" t="s">
        <v>48</v>
      </c>
    </row>
    <row r="12291">
      <c r="H12291" s="50"/>
      <c r="I12291" s="50"/>
      <c r="O12291" s="36" t="s">
        <v>48</v>
      </c>
      <c r="R12291" s="36" t="s">
        <v>48</v>
      </c>
    </row>
    <row r="12292">
      <c r="H12292" s="50"/>
      <c r="I12292" s="50"/>
      <c r="O12292" s="36" t="s">
        <v>48</v>
      </c>
      <c r="R12292" s="36" t="s">
        <v>48</v>
      </c>
    </row>
    <row r="12293">
      <c r="H12293" s="50"/>
      <c r="I12293" s="50"/>
      <c r="O12293" s="36" t="s">
        <v>48</v>
      </c>
      <c r="R12293" s="36" t="s">
        <v>48</v>
      </c>
    </row>
    <row r="12294">
      <c r="H12294" s="50"/>
      <c r="I12294" s="50"/>
      <c r="O12294" s="36" t="s">
        <v>48</v>
      </c>
      <c r="R12294" s="36" t="s">
        <v>48</v>
      </c>
    </row>
    <row r="12295">
      <c r="H12295" s="50"/>
      <c r="I12295" s="50"/>
      <c r="O12295" s="36" t="s">
        <v>48</v>
      </c>
      <c r="R12295" s="36" t="s">
        <v>48</v>
      </c>
    </row>
    <row r="12296">
      <c r="H12296" s="50"/>
      <c r="I12296" s="50"/>
      <c r="O12296" s="36" t="s">
        <v>48</v>
      </c>
      <c r="R12296" s="36" t="s">
        <v>48</v>
      </c>
    </row>
    <row r="12297">
      <c r="H12297" s="50"/>
      <c r="I12297" s="50"/>
      <c r="O12297" s="36" t="s">
        <v>48</v>
      </c>
      <c r="R12297" s="36" t="s">
        <v>48</v>
      </c>
    </row>
    <row r="12298">
      <c r="H12298" s="50"/>
      <c r="I12298" s="50"/>
      <c r="O12298" s="36" t="s">
        <v>48</v>
      </c>
      <c r="R12298" s="36" t="s">
        <v>48</v>
      </c>
    </row>
    <row r="12299">
      <c r="H12299" s="50"/>
      <c r="I12299" s="50"/>
      <c r="O12299" s="36" t="s">
        <v>48</v>
      </c>
      <c r="R12299" s="36" t="s">
        <v>48</v>
      </c>
    </row>
    <row r="12300">
      <c r="H12300" s="50"/>
      <c r="I12300" s="50"/>
      <c r="O12300" s="36" t="s">
        <v>48</v>
      </c>
      <c r="R12300" s="36" t="s">
        <v>48</v>
      </c>
    </row>
    <row r="12301">
      <c r="H12301" s="50"/>
      <c r="I12301" s="50"/>
      <c r="O12301" s="36" t="s">
        <v>48</v>
      </c>
      <c r="R12301" s="36" t="s">
        <v>48</v>
      </c>
    </row>
    <row r="12302">
      <c r="H12302" s="50"/>
      <c r="I12302" s="50"/>
      <c r="O12302" s="36" t="s">
        <v>48</v>
      </c>
      <c r="R12302" s="36" t="s">
        <v>48</v>
      </c>
    </row>
    <row r="12303">
      <c r="H12303" s="50"/>
      <c r="I12303" s="50"/>
      <c r="O12303" s="36" t="s">
        <v>48</v>
      </c>
      <c r="R12303" s="36" t="s">
        <v>48</v>
      </c>
    </row>
    <row r="12304">
      <c r="H12304" s="50"/>
      <c r="I12304" s="50"/>
      <c r="O12304" s="36" t="s">
        <v>48</v>
      </c>
      <c r="R12304" s="36" t="s">
        <v>48</v>
      </c>
    </row>
    <row r="12305">
      <c r="H12305" s="50"/>
      <c r="I12305" s="50"/>
      <c r="O12305" s="36" t="s">
        <v>48</v>
      </c>
      <c r="R12305" s="36" t="s">
        <v>48</v>
      </c>
    </row>
    <row r="12306">
      <c r="H12306" s="50"/>
      <c r="I12306" s="50"/>
      <c r="O12306" s="36" t="s">
        <v>48</v>
      </c>
      <c r="R12306" s="36" t="s">
        <v>48</v>
      </c>
    </row>
    <row r="12307">
      <c r="H12307" s="50"/>
      <c r="I12307" s="50"/>
      <c r="O12307" s="36" t="s">
        <v>48</v>
      </c>
      <c r="R12307" s="36" t="s">
        <v>48</v>
      </c>
    </row>
    <row r="12308">
      <c r="H12308" s="50"/>
      <c r="I12308" s="50"/>
      <c r="O12308" s="36" t="s">
        <v>48</v>
      </c>
      <c r="R12308" s="36" t="s">
        <v>48</v>
      </c>
    </row>
    <row r="12309">
      <c r="H12309" s="50"/>
      <c r="I12309" s="50"/>
      <c r="O12309" s="36" t="s">
        <v>48</v>
      </c>
      <c r="R12309" s="36" t="s">
        <v>48</v>
      </c>
    </row>
    <row r="12310">
      <c r="H12310" s="50"/>
      <c r="I12310" s="50"/>
      <c r="O12310" s="36" t="s">
        <v>48</v>
      </c>
      <c r="R12310" s="36" t="s">
        <v>48</v>
      </c>
    </row>
    <row r="12311">
      <c r="H12311" s="50"/>
      <c r="I12311" s="50"/>
      <c r="O12311" s="36" t="s">
        <v>48</v>
      </c>
      <c r="R12311" s="36" t="s">
        <v>48</v>
      </c>
    </row>
    <row r="12312">
      <c r="H12312" s="50"/>
      <c r="I12312" s="50"/>
      <c r="O12312" s="36" t="s">
        <v>48</v>
      </c>
      <c r="R12312" s="36" t="s">
        <v>48</v>
      </c>
    </row>
    <row r="12313">
      <c r="H12313" s="50"/>
      <c r="I12313" s="50"/>
      <c r="O12313" s="36" t="s">
        <v>48</v>
      </c>
      <c r="R12313" s="36" t="s">
        <v>48</v>
      </c>
    </row>
    <row r="12314">
      <c r="H12314" s="50"/>
      <c r="I12314" s="50"/>
      <c r="O12314" s="36" t="s">
        <v>48</v>
      </c>
      <c r="R12314" s="36" t="s">
        <v>48</v>
      </c>
    </row>
    <row r="12315">
      <c r="H12315" s="50"/>
      <c r="I12315" s="50"/>
      <c r="O12315" s="36" t="s">
        <v>48</v>
      </c>
      <c r="R12315" s="36" t="s">
        <v>48</v>
      </c>
    </row>
    <row r="12316">
      <c r="H12316" s="50"/>
      <c r="I12316" s="50"/>
      <c r="O12316" s="36" t="s">
        <v>48</v>
      </c>
      <c r="R12316" s="36" t="s">
        <v>48</v>
      </c>
    </row>
    <row r="12317">
      <c r="H12317" s="50"/>
      <c r="I12317" s="50"/>
      <c r="O12317" s="36" t="s">
        <v>48</v>
      </c>
      <c r="R12317" s="36" t="s">
        <v>48</v>
      </c>
    </row>
    <row r="12318">
      <c r="H12318" s="50"/>
      <c r="I12318" s="50"/>
      <c r="O12318" s="36" t="s">
        <v>48</v>
      </c>
      <c r="R12318" s="36" t="s">
        <v>48</v>
      </c>
    </row>
    <row r="12319">
      <c r="H12319" s="50"/>
      <c r="I12319" s="50"/>
      <c r="O12319" s="36" t="s">
        <v>48</v>
      </c>
      <c r="R12319" s="36" t="s">
        <v>48</v>
      </c>
    </row>
    <row r="12320">
      <c r="H12320" s="50"/>
      <c r="I12320" s="50"/>
      <c r="O12320" s="36" t="s">
        <v>48</v>
      </c>
      <c r="R12320" s="36" t="s">
        <v>48</v>
      </c>
    </row>
    <row r="12321">
      <c r="H12321" s="50"/>
      <c r="I12321" s="50"/>
      <c r="O12321" s="36" t="s">
        <v>48</v>
      </c>
      <c r="R12321" s="36" t="s">
        <v>48</v>
      </c>
    </row>
    <row r="12322">
      <c r="H12322" s="50"/>
      <c r="I12322" s="50"/>
      <c r="O12322" s="36" t="s">
        <v>48</v>
      </c>
      <c r="R12322" s="36" t="s">
        <v>48</v>
      </c>
    </row>
    <row r="12323">
      <c r="H12323" s="50"/>
      <c r="I12323" s="50"/>
      <c r="O12323" s="36" t="s">
        <v>48</v>
      </c>
      <c r="R12323" s="36" t="s">
        <v>48</v>
      </c>
    </row>
    <row r="12324">
      <c r="H12324" s="50"/>
      <c r="I12324" s="50"/>
      <c r="O12324" s="36" t="s">
        <v>48</v>
      </c>
      <c r="R12324" s="36" t="s">
        <v>48</v>
      </c>
    </row>
    <row r="12325">
      <c r="H12325" s="50"/>
      <c r="I12325" s="50"/>
      <c r="O12325" s="36" t="s">
        <v>48</v>
      </c>
      <c r="R12325" s="36" t="s">
        <v>48</v>
      </c>
    </row>
    <row r="12326">
      <c r="H12326" s="50"/>
      <c r="I12326" s="50"/>
      <c r="O12326" s="36" t="s">
        <v>48</v>
      </c>
      <c r="R12326" s="36" t="s">
        <v>48</v>
      </c>
    </row>
    <row r="12327">
      <c r="H12327" s="50"/>
      <c r="I12327" s="50"/>
      <c r="O12327" s="36" t="s">
        <v>48</v>
      </c>
      <c r="R12327" s="36" t="s">
        <v>48</v>
      </c>
    </row>
    <row r="12328">
      <c r="H12328" s="50"/>
      <c r="I12328" s="50"/>
      <c r="O12328" s="36" t="s">
        <v>48</v>
      </c>
      <c r="R12328" s="36" t="s">
        <v>48</v>
      </c>
    </row>
    <row r="12329">
      <c r="H12329" s="50"/>
      <c r="I12329" s="50"/>
      <c r="O12329" s="36" t="s">
        <v>48</v>
      </c>
      <c r="R12329" s="36" t="s">
        <v>48</v>
      </c>
    </row>
    <row r="12330">
      <c r="H12330" s="50"/>
      <c r="I12330" s="50"/>
      <c r="O12330" s="36" t="s">
        <v>48</v>
      </c>
      <c r="R12330" s="36" t="s">
        <v>48</v>
      </c>
    </row>
    <row r="12331">
      <c r="H12331" s="50"/>
      <c r="I12331" s="50"/>
      <c r="O12331" s="36" t="s">
        <v>48</v>
      </c>
      <c r="R12331" s="36" t="s">
        <v>48</v>
      </c>
    </row>
    <row r="12332">
      <c r="H12332" s="50"/>
      <c r="I12332" s="50"/>
      <c r="O12332" s="36" t="s">
        <v>48</v>
      </c>
      <c r="R12332" s="36" t="s">
        <v>48</v>
      </c>
    </row>
    <row r="12333">
      <c r="H12333" s="50"/>
      <c r="I12333" s="50"/>
      <c r="O12333" s="36" t="s">
        <v>48</v>
      </c>
      <c r="R12333" s="36" t="s">
        <v>48</v>
      </c>
    </row>
    <row r="12334">
      <c r="H12334" s="50"/>
      <c r="I12334" s="50"/>
      <c r="O12334" s="36" t="s">
        <v>48</v>
      </c>
      <c r="R12334" s="36" t="s">
        <v>48</v>
      </c>
    </row>
    <row r="12335">
      <c r="H12335" s="50"/>
      <c r="I12335" s="50"/>
      <c r="O12335" s="36" t="s">
        <v>48</v>
      </c>
      <c r="R12335" s="36" t="s">
        <v>48</v>
      </c>
    </row>
    <row r="12336">
      <c r="H12336" s="50"/>
      <c r="I12336" s="50"/>
      <c r="O12336" s="36" t="s">
        <v>48</v>
      </c>
      <c r="R12336" s="36" t="s">
        <v>48</v>
      </c>
    </row>
    <row r="12337">
      <c r="H12337" s="50"/>
      <c r="I12337" s="50"/>
      <c r="O12337" s="36" t="s">
        <v>48</v>
      </c>
      <c r="R12337" s="36" t="s">
        <v>48</v>
      </c>
    </row>
    <row r="12338">
      <c r="H12338" s="50"/>
      <c r="I12338" s="50"/>
      <c r="O12338" s="36" t="s">
        <v>48</v>
      </c>
      <c r="R12338" s="36" t="s">
        <v>48</v>
      </c>
    </row>
    <row r="12339">
      <c r="H12339" s="50"/>
      <c r="I12339" s="50"/>
      <c r="O12339" s="36" t="s">
        <v>48</v>
      </c>
      <c r="R12339" s="36" t="s">
        <v>48</v>
      </c>
    </row>
    <row r="12340">
      <c r="H12340" s="50"/>
      <c r="I12340" s="50"/>
      <c r="O12340" s="36" t="s">
        <v>48</v>
      </c>
      <c r="R12340" s="36" t="s">
        <v>48</v>
      </c>
    </row>
    <row r="12341">
      <c r="H12341" s="50"/>
      <c r="I12341" s="50"/>
      <c r="O12341" s="36" t="s">
        <v>48</v>
      </c>
      <c r="R12341" s="36" t="s">
        <v>48</v>
      </c>
    </row>
    <row r="12342">
      <c r="H12342" s="50"/>
      <c r="I12342" s="50"/>
      <c r="O12342" s="36" t="s">
        <v>48</v>
      </c>
      <c r="R12342" s="36" t="s">
        <v>48</v>
      </c>
    </row>
    <row r="12343">
      <c r="H12343" s="50"/>
      <c r="I12343" s="50"/>
      <c r="O12343" s="36" t="s">
        <v>48</v>
      </c>
      <c r="R12343" s="36" t="s">
        <v>48</v>
      </c>
    </row>
    <row r="12344">
      <c r="H12344" s="50"/>
      <c r="I12344" s="50"/>
      <c r="O12344" s="36" t="s">
        <v>48</v>
      </c>
      <c r="R12344" s="36" t="s">
        <v>48</v>
      </c>
    </row>
    <row r="12345">
      <c r="H12345" s="50"/>
      <c r="I12345" s="50"/>
      <c r="O12345" s="36" t="s">
        <v>48</v>
      </c>
      <c r="R12345" s="36" t="s">
        <v>48</v>
      </c>
    </row>
    <row r="12346">
      <c r="H12346" s="50"/>
      <c r="I12346" s="50"/>
      <c r="O12346" s="36" t="s">
        <v>48</v>
      </c>
      <c r="R12346" s="36" t="s">
        <v>48</v>
      </c>
    </row>
    <row r="12347">
      <c r="H12347" s="50"/>
      <c r="I12347" s="50"/>
      <c r="O12347" s="36" t="s">
        <v>48</v>
      </c>
      <c r="R12347" s="36" t="s">
        <v>48</v>
      </c>
    </row>
    <row r="12348">
      <c r="H12348" s="50"/>
      <c r="I12348" s="50"/>
      <c r="O12348" s="36" t="s">
        <v>48</v>
      </c>
      <c r="R12348" s="36" t="s">
        <v>48</v>
      </c>
    </row>
    <row r="12349">
      <c r="H12349" s="50"/>
      <c r="I12349" s="50"/>
      <c r="O12349" s="36" t="s">
        <v>48</v>
      </c>
      <c r="R12349" s="36" t="s">
        <v>48</v>
      </c>
    </row>
    <row r="12350">
      <c r="H12350" s="50"/>
      <c r="I12350" s="50"/>
      <c r="O12350" s="36" t="s">
        <v>48</v>
      </c>
      <c r="R12350" s="36" t="s">
        <v>48</v>
      </c>
    </row>
    <row r="12351">
      <c r="H12351" s="50"/>
      <c r="I12351" s="50"/>
      <c r="O12351" s="36" t="s">
        <v>48</v>
      </c>
      <c r="R12351" s="36" t="s">
        <v>48</v>
      </c>
    </row>
    <row r="12352">
      <c r="H12352" s="50"/>
      <c r="I12352" s="50"/>
      <c r="O12352" s="36" t="s">
        <v>48</v>
      </c>
      <c r="R12352" s="36" t="s">
        <v>48</v>
      </c>
    </row>
    <row r="12353">
      <c r="H12353" s="50"/>
      <c r="I12353" s="50"/>
      <c r="O12353" s="36" t="s">
        <v>48</v>
      </c>
      <c r="R12353" s="36" t="s">
        <v>48</v>
      </c>
    </row>
    <row r="12354">
      <c r="H12354" s="50"/>
      <c r="I12354" s="50"/>
      <c r="O12354" s="36" t="s">
        <v>48</v>
      </c>
      <c r="R12354" s="36" t="s">
        <v>48</v>
      </c>
    </row>
    <row r="12355">
      <c r="H12355" s="50"/>
      <c r="I12355" s="50"/>
      <c r="O12355" s="36" t="s">
        <v>48</v>
      </c>
      <c r="R12355" s="36" t="s">
        <v>48</v>
      </c>
    </row>
    <row r="12356">
      <c r="H12356" s="50"/>
      <c r="I12356" s="50"/>
      <c r="O12356" s="36" t="s">
        <v>48</v>
      </c>
      <c r="R12356" s="36" t="s">
        <v>48</v>
      </c>
    </row>
    <row r="12357">
      <c r="H12357" s="50"/>
      <c r="I12357" s="50"/>
      <c r="O12357" s="36" t="s">
        <v>48</v>
      </c>
      <c r="R12357" s="36" t="s">
        <v>48</v>
      </c>
    </row>
    <row r="12358">
      <c r="H12358" s="50"/>
      <c r="I12358" s="50"/>
      <c r="O12358" s="36" t="s">
        <v>48</v>
      </c>
      <c r="R12358" s="36" t="s">
        <v>48</v>
      </c>
    </row>
    <row r="12359">
      <c r="H12359" s="50"/>
      <c r="I12359" s="50"/>
      <c r="O12359" s="36" t="s">
        <v>48</v>
      </c>
      <c r="R12359" s="36" t="s">
        <v>48</v>
      </c>
    </row>
    <row r="12360">
      <c r="H12360" s="50"/>
      <c r="I12360" s="50"/>
      <c r="O12360" s="36" t="s">
        <v>48</v>
      </c>
      <c r="R12360" s="36" t="s">
        <v>48</v>
      </c>
    </row>
    <row r="12361">
      <c r="H12361" s="50"/>
      <c r="I12361" s="50"/>
      <c r="O12361" s="36" t="s">
        <v>48</v>
      </c>
      <c r="R12361" s="36" t="s">
        <v>48</v>
      </c>
    </row>
    <row r="12362">
      <c r="H12362" s="50"/>
      <c r="I12362" s="50"/>
      <c r="O12362" s="36" t="s">
        <v>48</v>
      </c>
      <c r="R12362" s="36" t="s">
        <v>48</v>
      </c>
    </row>
    <row r="12363">
      <c r="H12363" s="50"/>
      <c r="I12363" s="50"/>
      <c r="O12363" s="36" t="s">
        <v>48</v>
      </c>
      <c r="R12363" s="36" t="s">
        <v>48</v>
      </c>
    </row>
    <row r="12364">
      <c r="H12364" s="50"/>
      <c r="I12364" s="50"/>
      <c r="O12364" s="36" t="s">
        <v>48</v>
      </c>
      <c r="R12364" s="36" t="s">
        <v>48</v>
      </c>
    </row>
    <row r="12365">
      <c r="H12365" s="50"/>
      <c r="I12365" s="50"/>
      <c r="O12365" s="36" t="s">
        <v>48</v>
      </c>
      <c r="R12365" s="36" t="s">
        <v>48</v>
      </c>
    </row>
    <row r="12366">
      <c r="H12366" s="50"/>
      <c r="I12366" s="50"/>
      <c r="O12366" s="36" t="s">
        <v>48</v>
      </c>
      <c r="R12366" s="36" t="s">
        <v>48</v>
      </c>
    </row>
    <row r="12367">
      <c r="H12367" s="50"/>
      <c r="I12367" s="50"/>
      <c r="O12367" s="36" t="s">
        <v>48</v>
      </c>
      <c r="R12367" s="36" t="s">
        <v>48</v>
      </c>
    </row>
    <row r="12368">
      <c r="H12368" s="50"/>
      <c r="I12368" s="50"/>
      <c r="O12368" s="36" t="s">
        <v>48</v>
      </c>
      <c r="R12368" s="36" t="s">
        <v>48</v>
      </c>
    </row>
    <row r="12369">
      <c r="H12369" s="50"/>
      <c r="I12369" s="50"/>
      <c r="O12369" s="36" t="s">
        <v>48</v>
      </c>
      <c r="R12369" s="36" t="s">
        <v>48</v>
      </c>
    </row>
    <row r="12370">
      <c r="H12370" s="50"/>
      <c r="I12370" s="50"/>
      <c r="O12370" s="36" t="s">
        <v>48</v>
      </c>
      <c r="R12370" s="36" t="s">
        <v>48</v>
      </c>
    </row>
    <row r="12371">
      <c r="H12371" s="50"/>
      <c r="I12371" s="50"/>
      <c r="O12371" s="36" t="s">
        <v>48</v>
      </c>
      <c r="R12371" s="36" t="s">
        <v>48</v>
      </c>
    </row>
    <row r="12372">
      <c r="H12372" s="50"/>
      <c r="I12372" s="50"/>
      <c r="O12372" s="36" t="s">
        <v>48</v>
      </c>
      <c r="R12372" s="36" t="s">
        <v>48</v>
      </c>
    </row>
    <row r="12373">
      <c r="H12373" s="50"/>
      <c r="I12373" s="50"/>
      <c r="O12373" s="36" t="s">
        <v>48</v>
      </c>
      <c r="R12373" s="36" t="s">
        <v>48</v>
      </c>
    </row>
    <row r="12374">
      <c r="H12374" s="50"/>
      <c r="I12374" s="50"/>
      <c r="O12374" s="36" t="s">
        <v>48</v>
      </c>
      <c r="R12374" s="36" t="s">
        <v>48</v>
      </c>
    </row>
    <row r="12375">
      <c r="H12375" s="50"/>
      <c r="I12375" s="50"/>
      <c r="O12375" s="36" t="s">
        <v>48</v>
      </c>
      <c r="R12375" s="36" t="s">
        <v>48</v>
      </c>
    </row>
    <row r="12376">
      <c r="H12376" s="50"/>
      <c r="I12376" s="50"/>
      <c r="O12376" s="36" t="s">
        <v>48</v>
      </c>
      <c r="R12376" s="36" t="s">
        <v>48</v>
      </c>
    </row>
    <row r="12377">
      <c r="H12377" s="50"/>
      <c r="I12377" s="50"/>
      <c r="O12377" s="36" t="s">
        <v>48</v>
      </c>
      <c r="R12377" s="36" t="s">
        <v>48</v>
      </c>
    </row>
    <row r="12378">
      <c r="H12378" s="50"/>
      <c r="I12378" s="50"/>
      <c r="O12378" s="36" t="s">
        <v>48</v>
      </c>
      <c r="R12378" s="36" t="s">
        <v>48</v>
      </c>
    </row>
    <row r="12379">
      <c r="H12379" s="50"/>
      <c r="I12379" s="50"/>
      <c r="O12379" s="36" t="s">
        <v>48</v>
      </c>
      <c r="R12379" s="36" t="s">
        <v>48</v>
      </c>
    </row>
    <row r="12380">
      <c r="H12380" s="50"/>
      <c r="I12380" s="50"/>
      <c r="O12380" s="36" t="s">
        <v>48</v>
      </c>
      <c r="R12380" s="36" t="s">
        <v>48</v>
      </c>
    </row>
    <row r="12381">
      <c r="H12381" s="50"/>
      <c r="I12381" s="50"/>
      <c r="O12381" s="36" t="s">
        <v>48</v>
      </c>
      <c r="R12381" s="36" t="s">
        <v>48</v>
      </c>
    </row>
    <row r="12382">
      <c r="H12382" s="50"/>
      <c r="I12382" s="50"/>
      <c r="O12382" s="36" t="s">
        <v>48</v>
      </c>
      <c r="R12382" s="36" t="s">
        <v>48</v>
      </c>
    </row>
    <row r="12383">
      <c r="H12383" s="50"/>
      <c r="I12383" s="50"/>
      <c r="O12383" s="36" t="s">
        <v>48</v>
      </c>
      <c r="R12383" s="36" t="s">
        <v>48</v>
      </c>
    </row>
    <row r="12384">
      <c r="H12384" s="50"/>
      <c r="I12384" s="50"/>
      <c r="O12384" s="36" t="s">
        <v>48</v>
      </c>
      <c r="R12384" s="36" t="s">
        <v>48</v>
      </c>
    </row>
    <row r="12385">
      <c r="H12385" s="50"/>
      <c r="I12385" s="50"/>
      <c r="O12385" s="36" t="s">
        <v>48</v>
      </c>
      <c r="R12385" s="36" t="s">
        <v>48</v>
      </c>
    </row>
    <row r="12386">
      <c r="H12386" s="50"/>
      <c r="I12386" s="50"/>
      <c r="O12386" s="36" t="s">
        <v>48</v>
      </c>
      <c r="R12386" s="36" t="s">
        <v>48</v>
      </c>
    </row>
    <row r="12387">
      <c r="H12387" s="50"/>
      <c r="I12387" s="50"/>
      <c r="O12387" s="36" t="s">
        <v>48</v>
      </c>
      <c r="R12387" s="36" t="s">
        <v>48</v>
      </c>
    </row>
    <row r="12388">
      <c r="H12388" s="50"/>
      <c r="I12388" s="50"/>
      <c r="O12388" s="36" t="s">
        <v>48</v>
      </c>
      <c r="R12388" s="36" t="s">
        <v>48</v>
      </c>
    </row>
    <row r="12389">
      <c r="H12389" s="50"/>
      <c r="I12389" s="50"/>
      <c r="O12389" s="36" t="s">
        <v>48</v>
      </c>
      <c r="R12389" s="36" t="s">
        <v>48</v>
      </c>
    </row>
    <row r="12390">
      <c r="H12390" s="50"/>
      <c r="I12390" s="50"/>
      <c r="O12390" s="36" t="s">
        <v>48</v>
      </c>
      <c r="R12390" s="36" t="s">
        <v>48</v>
      </c>
    </row>
    <row r="12391">
      <c r="H12391" s="50"/>
      <c r="I12391" s="50"/>
      <c r="O12391" s="36" t="s">
        <v>48</v>
      </c>
      <c r="R12391" s="36" t="s">
        <v>48</v>
      </c>
    </row>
    <row r="12392">
      <c r="H12392" s="50"/>
      <c r="I12392" s="50"/>
      <c r="O12392" s="36" t="s">
        <v>48</v>
      </c>
      <c r="R12392" s="36" t="s">
        <v>48</v>
      </c>
    </row>
    <row r="12393">
      <c r="H12393" s="50"/>
      <c r="I12393" s="50"/>
      <c r="O12393" s="36" t="s">
        <v>48</v>
      </c>
      <c r="R12393" s="36" t="s">
        <v>48</v>
      </c>
    </row>
    <row r="12394">
      <c r="H12394" s="50"/>
      <c r="I12394" s="50"/>
      <c r="O12394" s="36" t="s">
        <v>48</v>
      </c>
      <c r="R12394" s="36" t="s">
        <v>48</v>
      </c>
    </row>
    <row r="12395">
      <c r="H12395" s="50"/>
      <c r="I12395" s="50"/>
      <c r="O12395" s="36" t="s">
        <v>48</v>
      </c>
      <c r="R12395" s="36" t="s">
        <v>48</v>
      </c>
    </row>
    <row r="12396">
      <c r="H12396" s="50"/>
      <c r="I12396" s="50"/>
      <c r="O12396" s="36" t="s">
        <v>48</v>
      </c>
      <c r="R12396" s="36" t="s">
        <v>48</v>
      </c>
    </row>
    <row r="12397">
      <c r="H12397" s="50"/>
      <c r="I12397" s="50"/>
      <c r="O12397" s="36" t="s">
        <v>48</v>
      </c>
      <c r="R12397" s="36" t="s">
        <v>48</v>
      </c>
    </row>
    <row r="12398">
      <c r="H12398" s="50"/>
      <c r="I12398" s="50"/>
      <c r="O12398" s="36" t="s">
        <v>48</v>
      </c>
      <c r="R12398" s="36" t="s">
        <v>48</v>
      </c>
    </row>
    <row r="12399">
      <c r="H12399" s="50"/>
      <c r="I12399" s="50"/>
      <c r="O12399" s="36" t="s">
        <v>48</v>
      </c>
      <c r="R12399" s="36" t="s">
        <v>48</v>
      </c>
    </row>
    <row r="12400">
      <c r="H12400" s="50"/>
      <c r="I12400" s="50"/>
      <c r="O12400" s="36" t="s">
        <v>48</v>
      </c>
      <c r="R12400" s="36" t="s">
        <v>48</v>
      </c>
    </row>
    <row r="12401">
      <c r="H12401" s="50"/>
      <c r="I12401" s="50"/>
      <c r="O12401" s="36" t="s">
        <v>48</v>
      </c>
      <c r="R12401" s="36" t="s">
        <v>48</v>
      </c>
    </row>
    <row r="12402">
      <c r="H12402" s="50"/>
      <c r="I12402" s="50"/>
      <c r="O12402" s="36" t="s">
        <v>48</v>
      </c>
      <c r="R12402" s="36" t="s">
        <v>48</v>
      </c>
    </row>
    <row r="12403">
      <c r="H12403" s="50"/>
      <c r="I12403" s="50"/>
      <c r="O12403" s="36" t="s">
        <v>48</v>
      </c>
      <c r="R12403" s="36" t="s">
        <v>48</v>
      </c>
    </row>
    <row r="12404">
      <c r="H12404" s="50"/>
      <c r="I12404" s="50"/>
      <c r="O12404" s="36" t="s">
        <v>48</v>
      </c>
      <c r="R12404" s="36" t="s">
        <v>48</v>
      </c>
    </row>
    <row r="12405">
      <c r="H12405" s="50"/>
      <c r="I12405" s="50"/>
      <c r="O12405" s="36" t="s">
        <v>48</v>
      </c>
      <c r="R12405" s="36" t="s">
        <v>48</v>
      </c>
    </row>
    <row r="12406">
      <c r="H12406" s="50"/>
      <c r="I12406" s="50"/>
      <c r="O12406" s="36" t="s">
        <v>48</v>
      </c>
      <c r="R12406" s="36" t="s">
        <v>48</v>
      </c>
    </row>
    <row r="12407">
      <c r="H12407" s="50"/>
      <c r="I12407" s="50"/>
      <c r="O12407" s="36" t="s">
        <v>48</v>
      </c>
      <c r="R12407" s="36" t="s">
        <v>48</v>
      </c>
    </row>
    <row r="12408">
      <c r="H12408" s="50"/>
      <c r="I12408" s="50"/>
      <c r="O12408" s="36" t="s">
        <v>48</v>
      </c>
      <c r="R12408" s="36" t="s">
        <v>48</v>
      </c>
    </row>
    <row r="12409">
      <c r="H12409" s="50"/>
      <c r="I12409" s="50"/>
      <c r="O12409" s="36" t="s">
        <v>48</v>
      </c>
      <c r="R12409" s="36" t="s">
        <v>48</v>
      </c>
    </row>
    <row r="12410">
      <c r="H12410" s="50"/>
      <c r="I12410" s="50"/>
      <c r="O12410" s="36" t="s">
        <v>48</v>
      </c>
      <c r="R12410" s="36" t="s">
        <v>48</v>
      </c>
    </row>
    <row r="12411">
      <c r="H12411" s="50"/>
      <c r="I12411" s="50"/>
      <c r="O12411" s="36" t="s">
        <v>48</v>
      </c>
      <c r="R12411" s="36" t="s">
        <v>48</v>
      </c>
    </row>
    <row r="12412">
      <c r="H12412" s="50"/>
      <c r="I12412" s="50"/>
      <c r="O12412" s="36" t="s">
        <v>48</v>
      </c>
      <c r="R12412" s="36" t="s">
        <v>48</v>
      </c>
    </row>
    <row r="12413">
      <c r="H12413" s="50"/>
      <c r="I12413" s="50"/>
      <c r="O12413" s="36" t="s">
        <v>48</v>
      </c>
      <c r="R12413" s="36" t="s">
        <v>48</v>
      </c>
    </row>
    <row r="12414">
      <c r="H12414" s="50"/>
      <c r="I12414" s="50"/>
      <c r="O12414" s="36" t="s">
        <v>48</v>
      </c>
      <c r="R12414" s="36" t="s">
        <v>48</v>
      </c>
    </row>
    <row r="12415">
      <c r="H12415" s="50"/>
      <c r="I12415" s="50"/>
      <c r="O12415" s="36" t="s">
        <v>48</v>
      </c>
      <c r="R12415" s="36" t="s">
        <v>48</v>
      </c>
    </row>
    <row r="12416">
      <c r="H12416" s="50"/>
      <c r="I12416" s="50"/>
      <c r="O12416" s="36" t="s">
        <v>48</v>
      </c>
      <c r="R12416" s="36" t="s">
        <v>48</v>
      </c>
    </row>
    <row r="12417">
      <c r="H12417" s="50"/>
      <c r="I12417" s="50"/>
      <c r="O12417" s="36" t="s">
        <v>48</v>
      </c>
      <c r="R12417" s="36" t="s">
        <v>48</v>
      </c>
    </row>
    <row r="12418">
      <c r="H12418" s="50"/>
      <c r="I12418" s="50"/>
      <c r="O12418" s="36" t="s">
        <v>48</v>
      </c>
      <c r="R12418" s="36" t="s">
        <v>48</v>
      </c>
    </row>
    <row r="12419">
      <c r="H12419" s="50"/>
      <c r="I12419" s="50"/>
      <c r="O12419" s="36" t="s">
        <v>48</v>
      </c>
      <c r="R12419" s="36" t="s">
        <v>48</v>
      </c>
    </row>
    <row r="12420">
      <c r="H12420" s="50"/>
      <c r="I12420" s="50"/>
      <c r="O12420" s="36" t="s">
        <v>48</v>
      </c>
      <c r="R12420" s="36" t="s">
        <v>48</v>
      </c>
    </row>
    <row r="12421">
      <c r="H12421" s="50"/>
      <c r="I12421" s="50"/>
      <c r="O12421" s="36" t="s">
        <v>48</v>
      </c>
      <c r="R12421" s="36" t="s">
        <v>48</v>
      </c>
    </row>
    <row r="12422">
      <c r="H12422" s="50"/>
      <c r="I12422" s="50"/>
      <c r="O12422" s="36" t="s">
        <v>48</v>
      </c>
      <c r="R12422" s="36" t="s">
        <v>48</v>
      </c>
    </row>
    <row r="12423">
      <c r="H12423" s="50"/>
      <c r="I12423" s="50"/>
      <c r="O12423" s="36" t="s">
        <v>48</v>
      </c>
      <c r="R12423" s="36" t="s">
        <v>48</v>
      </c>
    </row>
    <row r="12424">
      <c r="H12424" s="50"/>
      <c r="I12424" s="50"/>
      <c r="O12424" s="36" t="s">
        <v>48</v>
      </c>
      <c r="R12424" s="36" t="s">
        <v>48</v>
      </c>
    </row>
    <row r="12425">
      <c r="H12425" s="50"/>
      <c r="I12425" s="50"/>
      <c r="O12425" s="36" t="s">
        <v>48</v>
      </c>
      <c r="R12425" s="36" t="s">
        <v>48</v>
      </c>
    </row>
    <row r="12426">
      <c r="H12426" s="50"/>
      <c r="I12426" s="50"/>
      <c r="O12426" s="36" t="s">
        <v>48</v>
      </c>
      <c r="R12426" s="36" t="s">
        <v>48</v>
      </c>
    </row>
    <row r="12427">
      <c r="H12427" s="50"/>
      <c r="I12427" s="50"/>
      <c r="O12427" s="36" t="s">
        <v>48</v>
      </c>
      <c r="R12427" s="36" t="s">
        <v>48</v>
      </c>
    </row>
    <row r="12428">
      <c r="H12428" s="50"/>
      <c r="I12428" s="50"/>
      <c r="O12428" s="36" t="s">
        <v>48</v>
      </c>
      <c r="R12428" s="36" t="s">
        <v>48</v>
      </c>
    </row>
    <row r="12429">
      <c r="H12429" s="50"/>
      <c r="I12429" s="50"/>
      <c r="O12429" s="36" t="s">
        <v>48</v>
      </c>
      <c r="R12429" s="36" t="s">
        <v>48</v>
      </c>
    </row>
    <row r="12430">
      <c r="H12430" s="50"/>
      <c r="I12430" s="50"/>
      <c r="O12430" s="36" t="s">
        <v>48</v>
      </c>
      <c r="R12430" s="36" t="s">
        <v>48</v>
      </c>
    </row>
    <row r="12431">
      <c r="H12431" s="50"/>
      <c r="I12431" s="50"/>
      <c r="O12431" s="36" t="s">
        <v>48</v>
      </c>
      <c r="R12431" s="36" t="s">
        <v>48</v>
      </c>
    </row>
    <row r="12432">
      <c r="H12432" s="50"/>
      <c r="I12432" s="50"/>
      <c r="O12432" s="36" t="s">
        <v>48</v>
      </c>
      <c r="R12432" s="36" t="s">
        <v>48</v>
      </c>
    </row>
    <row r="12433">
      <c r="H12433" s="50"/>
      <c r="I12433" s="50"/>
      <c r="O12433" s="36" t="s">
        <v>48</v>
      </c>
      <c r="R12433" s="36" t="s">
        <v>48</v>
      </c>
    </row>
    <row r="12434">
      <c r="H12434" s="50"/>
      <c r="I12434" s="50"/>
      <c r="O12434" s="36" t="s">
        <v>48</v>
      </c>
      <c r="R12434" s="36" t="s">
        <v>48</v>
      </c>
    </row>
    <row r="12435">
      <c r="H12435" s="50"/>
      <c r="I12435" s="50"/>
      <c r="O12435" s="36" t="s">
        <v>48</v>
      </c>
      <c r="R12435" s="36" t="s">
        <v>48</v>
      </c>
    </row>
    <row r="12436">
      <c r="H12436" s="50"/>
      <c r="I12436" s="50"/>
      <c r="O12436" s="36" t="s">
        <v>48</v>
      </c>
      <c r="R12436" s="36" t="s">
        <v>48</v>
      </c>
    </row>
    <row r="12437">
      <c r="H12437" s="50"/>
      <c r="I12437" s="50"/>
      <c r="O12437" s="36" t="s">
        <v>48</v>
      </c>
      <c r="R12437" s="36" t="s">
        <v>48</v>
      </c>
    </row>
    <row r="12438">
      <c r="H12438" s="50"/>
      <c r="I12438" s="50"/>
      <c r="O12438" s="36" t="s">
        <v>48</v>
      </c>
      <c r="R12438" s="36" t="s">
        <v>48</v>
      </c>
    </row>
    <row r="12439">
      <c r="H12439" s="50"/>
      <c r="I12439" s="50"/>
      <c r="O12439" s="36" t="s">
        <v>48</v>
      </c>
      <c r="R12439" s="36" t="s">
        <v>48</v>
      </c>
    </row>
    <row r="12440">
      <c r="H12440" s="50"/>
      <c r="I12440" s="50"/>
      <c r="O12440" s="36" t="s">
        <v>48</v>
      </c>
      <c r="R12440" s="36" t="s">
        <v>48</v>
      </c>
    </row>
    <row r="12441">
      <c r="H12441" s="50"/>
      <c r="I12441" s="50"/>
      <c r="O12441" s="36" t="s">
        <v>48</v>
      </c>
      <c r="R12441" s="36" t="s">
        <v>48</v>
      </c>
    </row>
    <row r="12442">
      <c r="H12442" s="50"/>
      <c r="I12442" s="50"/>
      <c r="O12442" s="36" t="s">
        <v>48</v>
      </c>
      <c r="R12442" s="36" t="s">
        <v>48</v>
      </c>
    </row>
    <row r="12443">
      <c r="H12443" s="50"/>
      <c r="I12443" s="50"/>
      <c r="O12443" s="36" t="s">
        <v>48</v>
      </c>
      <c r="R12443" s="36" t="s">
        <v>48</v>
      </c>
    </row>
    <row r="12444">
      <c r="H12444" s="50"/>
      <c r="I12444" s="50"/>
      <c r="O12444" s="36" t="s">
        <v>48</v>
      </c>
      <c r="R12444" s="36" t="s">
        <v>48</v>
      </c>
    </row>
    <row r="12445">
      <c r="H12445" s="50"/>
      <c r="I12445" s="50"/>
      <c r="O12445" s="36" t="s">
        <v>48</v>
      </c>
      <c r="R12445" s="36" t="s">
        <v>48</v>
      </c>
    </row>
    <row r="12446">
      <c r="H12446" s="50"/>
      <c r="I12446" s="50"/>
      <c r="O12446" s="36" t="s">
        <v>48</v>
      </c>
      <c r="R12446" s="36" t="s">
        <v>48</v>
      </c>
    </row>
    <row r="12447">
      <c r="H12447" s="50"/>
      <c r="I12447" s="50"/>
      <c r="O12447" s="36" t="s">
        <v>48</v>
      </c>
      <c r="R12447" s="36" t="s">
        <v>48</v>
      </c>
    </row>
    <row r="12448">
      <c r="H12448" s="50"/>
      <c r="I12448" s="50"/>
      <c r="O12448" s="36" t="s">
        <v>48</v>
      </c>
      <c r="R12448" s="36" t="s">
        <v>48</v>
      </c>
    </row>
    <row r="12449">
      <c r="H12449" s="50"/>
      <c r="I12449" s="50"/>
      <c r="O12449" s="36" t="s">
        <v>48</v>
      </c>
      <c r="R12449" s="36" t="s">
        <v>48</v>
      </c>
    </row>
    <row r="12450">
      <c r="H12450" s="50"/>
      <c r="I12450" s="50"/>
      <c r="O12450" s="36" t="s">
        <v>48</v>
      </c>
      <c r="R12450" s="36" t="s">
        <v>48</v>
      </c>
    </row>
    <row r="12451">
      <c r="H12451" s="50"/>
      <c r="I12451" s="50"/>
      <c r="O12451" s="36" t="s">
        <v>48</v>
      </c>
      <c r="R12451" s="36" t="s">
        <v>48</v>
      </c>
    </row>
    <row r="12452">
      <c r="H12452" s="50"/>
      <c r="I12452" s="50"/>
      <c r="O12452" s="36" t="s">
        <v>48</v>
      </c>
      <c r="R12452" s="36" t="s">
        <v>48</v>
      </c>
    </row>
    <row r="12453">
      <c r="H12453" s="50"/>
      <c r="I12453" s="50"/>
      <c r="O12453" s="36" t="s">
        <v>48</v>
      </c>
      <c r="R12453" s="36" t="s">
        <v>48</v>
      </c>
    </row>
    <row r="12454">
      <c r="H12454" s="50"/>
      <c r="I12454" s="50"/>
      <c r="O12454" s="36" t="s">
        <v>48</v>
      </c>
      <c r="R12454" s="36" t="s">
        <v>48</v>
      </c>
    </row>
    <row r="12455">
      <c r="H12455" s="50"/>
      <c r="I12455" s="50"/>
      <c r="O12455" s="36" t="s">
        <v>48</v>
      </c>
      <c r="R12455" s="36" t="s">
        <v>48</v>
      </c>
    </row>
    <row r="12456">
      <c r="H12456" s="50"/>
      <c r="I12456" s="50"/>
      <c r="O12456" s="36" t="s">
        <v>48</v>
      </c>
      <c r="R12456" s="36" t="s">
        <v>48</v>
      </c>
    </row>
    <row r="12457">
      <c r="H12457" s="50"/>
      <c r="I12457" s="50"/>
      <c r="O12457" s="36" t="s">
        <v>48</v>
      </c>
      <c r="R12457" s="36" t="s">
        <v>48</v>
      </c>
    </row>
    <row r="12458">
      <c r="H12458" s="50"/>
      <c r="I12458" s="50"/>
      <c r="O12458" s="36" t="s">
        <v>48</v>
      </c>
      <c r="R12458" s="36" t="s">
        <v>48</v>
      </c>
    </row>
    <row r="12459">
      <c r="H12459" s="50"/>
      <c r="I12459" s="50"/>
      <c r="O12459" s="36" t="s">
        <v>48</v>
      </c>
      <c r="R12459" s="36" t="s">
        <v>48</v>
      </c>
    </row>
    <row r="12460">
      <c r="H12460" s="50"/>
      <c r="I12460" s="50"/>
      <c r="O12460" s="36" t="s">
        <v>48</v>
      </c>
      <c r="R12460" s="36" t="s">
        <v>48</v>
      </c>
    </row>
    <row r="12461">
      <c r="H12461" s="50"/>
      <c r="I12461" s="50"/>
      <c r="O12461" s="36" t="s">
        <v>48</v>
      </c>
      <c r="R12461" s="36" t="s">
        <v>48</v>
      </c>
    </row>
    <row r="12462">
      <c r="H12462" s="50"/>
      <c r="I12462" s="50"/>
      <c r="O12462" s="36" t="s">
        <v>48</v>
      </c>
      <c r="R12462" s="36" t="s">
        <v>48</v>
      </c>
    </row>
    <row r="12463">
      <c r="H12463" s="50"/>
      <c r="I12463" s="50"/>
      <c r="O12463" s="36" t="s">
        <v>48</v>
      </c>
      <c r="R12463" s="36" t="s">
        <v>48</v>
      </c>
    </row>
    <row r="12464">
      <c r="H12464" s="50"/>
      <c r="I12464" s="50"/>
      <c r="O12464" s="36" t="s">
        <v>48</v>
      </c>
      <c r="R12464" s="36" t="s">
        <v>48</v>
      </c>
    </row>
    <row r="12465">
      <c r="H12465" s="50"/>
      <c r="I12465" s="50"/>
      <c r="O12465" s="36" t="s">
        <v>48</v>
      </c>
      <c r="R12465" s="36" t="s">
        <v>48</v>
      </c>
    </row>
    <row r="12466">
      <c r="H12466" s="50"/>
      <c r="I12466" s="50"/>
      <c r="O12466" s="36" t="s">
        <v>48</v>
      </c>
      <c r="R12466" s="36" t="s">
        <v>48</v>
      </c>
    </row>
    <row r="12467">
      <c r="H12467" s="50"/>
      <c r="I12467" s="50"/>
      <c r="O12467" s="36" t="s">
        <v>48</v>
      </c>
      <c r="R12467" s="36" t="s">
        <v>48</v>
      </c>
    </row>
    <row r="12468">
      <c r="H12468" s="50"/>
      <c r="I12468" s="50"/>
      <c r="O12468" s="36" t="s">
        <v>48</v>
      </c>
      <c r="R12468" s="36" t="s">
        <v>48</v>
      </c>
    </row>
    <row r="12469">
      <c r="H12469" s="50"/>
      <c r="I12469" s="50"/>
      <c r="O12469" s="36" t="s">
        <v>48</v>
      </c>
      <c r="R12469" s="36" t="s">
        <v>48</v>
      </c>
    </row>
    <row r="12470">
      <c r="H12470" s="50"/>
      <c r="I12470" s="50"/>
      <c r="O12470" s="36" t="s">
        <v>48</v>
      </c>
      <c r="R12470" s="36" t="s">
        <v>48</v>
      </c>
    </row>
    <row r="12471">
      <c r="H12471" s="50"/>
      <c r="I12471" s="50"/>
      <c r="O12471" s="36" t="s">
        <v>48</v>
      </c>
      <c r="R12471" s="36" t="s">
        <v>48</v>
      </c>
    </row>
    <row r="12472">
      <c r="H12472" s="50"/>
      <c r="I12472" s="50"/>
      <c r="O12472" s="36" t="s">
        <v>48</v>
      </c>
      <c r="R12472" s="36" t="s">
        <v>48</v>
      </c>
    </row>
    <row r="12473">
      <c r="H12473" s="50"/>
      <c r="I12473" s="50"/>
      <c r="O12473" s="36" t="s">
        <v>48</v>
      </c>
      <c r="R12473" s="36" t="s">
        <v>48</v>
      </c>
    </row>
    <row r="12474">
      <c r="H12474" s="50"/>
      <c r="I12474" s="50"/>
      <c r="O12474" s="36" t="s">
        <v>48</v>
      </c>
      <c r="R12474" s="36" t="s">
        <v>48</v>
      </c>
    </row>
    <row r="12475">
      <c r="H12475" s="50"/>
      <c r="I12475" s="50"/>
      <c r="O12475" s="36" t="s">
        <v>48</v>
      </c>
      <c r="R12475" s="36" t="s">
        <v>48</v>
      </c>
    </row>
    <row r="12476">
      <c r="H12476" s="50"/>
      <c r="I12476" s="50"/>
      <c r="O12476" s="36" t="s">
        <v>48</v>
      </c>
      <c r="R12476" s="36" t="s">
        <v>48</v>
      </c>
    </row>
    <row r="12477">
      <c r="H12477" s="50"/>
      <c r="I12477" s="50"/>
      <c r="O12477" s="36" t="s">
        <v>48</v>
      </c>
      <c r="R12477" s="36" t="s">
        <v>48</v>
      </c>
    </row>
    <row r="12478">
      <c r="H12478" s="50"/>
      <c r="I12478" s="50"/>
      <c r="O12478" s="36" t="s">
        <v>48</v>
      </c>
      <c r="R12478" s="36" t="s">
        <v>48</v>
      </c>
    </row>
    <row r="12479">
      <c r="H12479" s="50"/>
      <c r="I12479" s="50"/>
      <c r="O12479" s="36" t="s">
        <v>48</v>
      </c>
      <c r="R12479" s="36" t="s">
        <v>48</v>
      </c>
    </row>
    <row r="12480">
      <c r="H12480" s="50"/>
      <c r="I12480" s="50"/>
      <c r="O12480" s="36" t="s">
        <v>48</v>
      </c>
      <c r="R12480" s="36" t="s">
        <v>48</v>
      </c>
    </row>
    <row r="12481">
      <c r="H12481" s="50"/>
      <c r="I12481" s="50"/>
      <c r="O12481" s="36" t="s">
        <v>48</v>
      </c>
      <c r="R12481" s="36" t="s">
        <v>48</v>
      </c>
    </row>
    <row r="12482">
      <c r="H12482" s="50"/>
      <c r="I12482" s="50"/>
      <c r="O12482" s="36" t="s">
        <v>48</v>
      </c>
      <c r="R12482" s="36" t="s">
        <v>48</v>
      </c>
    </row>
    <row r="12483">
      <c r="H12483" s="50"/>
      <c r="I12483" s="50"/>
      <c r="O12483" s="36" t="s">
        <v>48</v>
      </c>
      <c r="R12483" s="36" t="s">
        <v>48</v>
      </c>
    </row>
    <row r="12484">
      <c r="H12484" s="50"/>
      <c r="I12484" s="50"/>
      <c r="O12484" s="36" t="s">
        <v>48</v>
      </c>
      <c r="R12484" s="36" t="s">
        <v>48</v>
      </c>
    </row>
    <row r="12485">
      <c r="H12485" s="50"/>
      <c r="I12485" s="50"/>
      <c r="O12485" s="36" t="s">
        <v>48</v>
      </c>
      <c r="R12485" s="36" t="s">
        <v>48</v>
      </c>
    </row>
    <row r="12486">
      <c r="H12486" s="50"/>
      <c r="I12486" s="50"/>
      <c r="O12486" s="36" t="s">
        <v>48</v>
      </c>
      <c r="R12486" s="36" t="s">
        <v>48</v>
      </c>
    </row>
    <row r="12487">
      <c r="H12487" s="50"/>
      <c r="I12487" s="50"/>
      <c r="O12487" s="36" t="s">
        <v>48</v>
      </c>
      <c r="R12487" s="36" t="s">
        <v>48</v>
      </c>
    </row>
    <row r="12488">
      <c r="H12488" s="50"/>
      <c r="I12488" s="50"/>
      <c r="O12488" s="36" t="s">
        <v>48</v>
      </c>
      <c r="R12488" s="36" t="s">
        <v>48</v>
      </c>
    </row>
    <row r="12489">
      <c r="H12489" s="50"/>
      <c r="I12489" s="50"/>
      <c r="O12489" s="36" t="s">
        <v>48</v>
      </c>
      <c r="R12489" s="36" t="s">
        <v>48</v>
      </c>
    </row>
    <row r="12490">
      <c r="H12490" s="50"/>
      <c r="I12490" s="50"/>
      <c r="O12490" s="36" t="s">
        <v>48</v>
      </c>
      <c r="R12490" s="36" t="s">
        <v>48</v>
      </c>
    </row>
    <row r="12491">
      <c r="H12491" s="50"/>
      <c r="I12491" s="50"/>
      <c r="O12491" s="36" t="s">
        <v>48</v>
      </c>
      <c r="R12491" s="36" t="s">
        <v>48</v>
      </c>
    </row>
    <row r="12492">
      <c r="H12492" s="50"/>
      <c r="I12492" s="50"/>
      <c r="O12492" s="36" t="s">
        <v>48</v>
      </c>
      <c r="R12492" s="36" t="s">
        <v>48</v>
      </c>
    </row>
    <row r="12493">
      <c r="H12493" s="50"/>
      <c r="I12493" s="50"/>
      <c r="O12493" s="36" t="s">
        <v>48</v>
      </c>
      <c r="R12493" s="36" t="s">
        <v>48</v>
      </c>
    </row>
    <row r="12494">
      <c r="H12494" s="50"/>
      <c r="I12494" s="50"/>
      <c r="O12494" s="36" t="s">
        <v>48</v>
      </c>
      <c r="R12494" s="36" t="s">
        <v>48</v>
      </c>
    </row>
    <row r="12495">
      <c r="H12495" s="50"/>
      <c r="I12495" s="50"/>
      <c r="O12495" s="36" t="s">
        <v>48</v>
      </c>
      <c r="R12495" s="36" t="s">
        <v>48</v>
      </c>
    </row>
    <row r="12496">
      <c r="H12496" s="50"/>
      <c r="I12496" s="50"/>
      <c r="O12496" s="36" t="s">
        <v>48</v>
      </c>
      <c r="R12496" s="36" t="s">
        <v>48</v>
      </c>
    </row>
    <row r="12497">
      <c r="H12497" s="50"/>
      <c r="I12497" s="50"/>
      <c r="O12497" s="36" t="s">
        <v>48</v>
      </c>
      <c r="R12497" s="36" t="s">
        <v>48</v>
      </c>
    </row>
    <row r="12498">
      <c r="H12498" s="50"/>
      <c r="I12498" s="50"/>
      <c r="O12498" s="36" t="s">
        <v>48</v>
      </c>
      <c r="R12498" s="36" t="s">
        <v>48</v>
      </c>
    </row>
    <row r="12499">
      <c r="H12499" s="50"/>
      <c r="I12499" s="50"/>
      <c r="O12499" s="36" t="s">
        <v>48</v>
      </c>
      <c r="R12499" s="36" t="s">
        <v>48</v>
      </c>
    </row>
    <row r="12500">
      <c r="H12500" s="50"/>
      <c r="I12500" s="50"/>
      <c r="O12500" s="36" t="s">
        <v>48</v>
      </c>
      <c r="R12500" s="36" t="s">
        <v>48</v>
      </c>
    </row>
    <row r="12501">
      <c r="H12501" s="50"/>
      <c r="I12501" s="50"/>
      <c r="O12501" s="36" t="s">
        <v>48</v>
      </c>
      <c r="R12501" s="36" t="s">
        <v>48</v>
      </c>
    </row>
    <row r="12502">
      <c r="H12502" s="50"/>
      <c r="I12502" s="50"/>
      <c r="O12502" s="36" t="s">
        <v>48</v>
      </c>
      <c r="R12502" s="36" t="s">
        <v>48</v>
      </c>
    </row>
    <row r="12503">
      <c r="H12503" s="50"/>
      <c r="I12503" s="50"/>
      <c r="O12503" s="36" t="s">
        <v>48</v>
      </c>
      <c r="R12503" s="36" t="s">
        <v>48</v>
      </c>
    </row>
    <row r="12504">
      <c r="H12504" s="50"/>
      <c r="I12504" s="50"/>
      <c r="O12504" s="36" t="s">
        <v>48</v>
      </c>
      <c r="R12504" s="36" t="s">
        <v>48</v>
      </c>
    </row>
    <row r="12505">
      <c r="H12505" s="50"/>
      <c r="I12505" s="50"/>
      <c r="O12505" s="36" t="s">
        <v>48</v>
      </c>
      <c r="R12505" s="36" t="s">
        <v>48</v>
      </c>
    </row>
    <row r="12506">
      <c r="H12506" s="50"/>
      <c r="I12506" s="50"/>
      <c r="O12506" s="36" t="s">
        <v>48</v>
      </c>
      <c r="R12506" s="36" t="s">
        <v>48</v>
      </c>
    </row>
    <row r="12507">
      <c r="H12507" s="50"/>
      <c r="I12507" s="50"/>
      <c r="O12507" s="36" t="s">
        <v>48</v>
      </c>
      <c r="R12507" s="36" t="s">
        <v>48</v>
      </c>
    </row>
    <row r="12508">
      <c r="H12508" s="50"/>
      <c r="I12508" s="50"/>
      <c r="O12508" s="36" t="s">
        <v>48</v>
      </c>
      <c r="R12508" s="36" t="s">
        <v>48</v>
      </c>
    </row>
    <row r="12509">
      <c r="H12509" s="50"/>
      <c r="I12509" s="50"/>
      <c r="O12509" s="36" t="s">
        <v>48</v>
      </c>
      <c r="R12509" s="36" t="s">
        <v>48</v>
      </c>
    </row>
    <row r="12510">
      <c r="H12510" s="50"/>
      <c r="I12510" s="50"/>
      <c r="O12510" s="36" t="s">
        <v>48</v>
      </c>
      <c r="R12510" s="36" t="s">
        <v>48</v>
      </c>
    </row>
    <row r="12511">
      <c r="H12511" s="50"/>
      <c r="I12511" s="50"/>
      <c r="O12511" s="36" t="s">
        <v>48</v>
      </c>
      <c r="R12511" s="36" t="s">
        <v>48</v>
      </c>
    </row>
    <row r="12512">
      <c r="H12512" s="50"/>
      <c r="I12512" s="50"/>
      <c r="O12512" s="36" t="s">
        <v>48</v>
      </c>
      <c r="R12512" s="36" t="s">
        <v>48</v>
      </c>
    </row>
    <row r="12513">
      <c r="H12513" s="50"/>
      <c r="I12513" s="50"/>
      <c r="O12513" s="36" t="s">
        <v>48</v>
      </c>
      <c r="R12513" s="36" t="s">
        <v>48</v>
      </c>
    </row>
    <row r="12514">
      <c r="H12514" s="50"/>
      <c r="I12514" s="50"/>
      <c r="O12514" s="36" t="s">
        <v>48</v>
      </c>
      <c r="R12514" s="36" t="s">
        <v>48</v>
      </c>
    </row>
    <row r="12515">
      <c r="H12515" s="50"/>
      <c r="I12515" s="50"/>
      <c r="O12515" s="36" t="s">
        <v>48</v>
      </c>
      <c r="R12515" s="36" t="s">
        <v>48</v>
      </c>
    </row>
    <row r="12516">
      <c r="H12516" s="50"/>
      <c r="I12516" s="50"/>
      <c r="O12516" s="36" t="s">
        <v>48</v>
      </c>
      <c r="R12516" s="36" t="s">
        <v>48</v>
      </c>
    </row>
    <row r="12517">
      <c r="H12517" s="50"/>
      <c r="I12517" s="50"/>
      <c r="O12517" s="36" t="s">
        <v>48</v>
      </c>
      <c r="R12517" s="36" t="s">
        <v>48</v>
      </c>
    </row>
    <row r="12518">
      <c r="H12518" s="50"/>
      <c r="I12518" s="50"/>
      <c r="O12518" s="36" t="s">
        <v>48</v>
      </c>
      <c r="R12518" s="36" t="s">
        <v>48</v>
      </c>
    </row>
    <row r="12519">
      <c r="H12519" s="50"/>
      <c r="I12519" s="50"/>
      <c r="O12519" s="36" t="s">
        <v>48</v>
      </c>
      <c r="R12519" s="36" t="s">
        <v>48</v>
      </c>
    </row>
    <row r="12520">
      <c r="H12520" s="50"/>
      <c r="I12520" s="50"/>
      <c r="O12520" s="36" t="s">
        <v>48</v>
      </c>
      <c r="R12520" s="36" t="s">
        <v>48</v>
      </c>
    </row>
    <row r="12521">
      <c r="H12521" s="50"/>
      <c r="I12521" s="50"/>
      <c r="O12521" s="36" t="s">
        <v>48</v>
      </c>
      <c r="R12521" s="36" t="s">
        <v>48</v>
      </c>
    </row>
    <row r="12522">
      <c r="H12522" s="50"/>
      <c r="I12522" s="50"/>
      <c r="O12522" s="36" t="s">
        <v>48</v>
      </c>
      <c r="R12522" s="36" t="s">
        <v>48</v>
      </c>
    </row>
    <row r="12523">
      <c r="H12523" s="50"/>
      <c r="I12523" s="50"/>
      <c r="O12523" s="36" t="s">
        <v>48</v>
      </c>
      <c r="R12523" s="36" t="s">
        <v>48</v>
      </c>
    </row>
    <row r="12524">
      <c r="H12524" s="50"/>
      <c r="I12524" s="50"/>
      <c r="O12524" s="36" t="s">
        <v>48</v>
      </c>
      <c r="R12524" s="36" t="s">
        <v>48</v>
      </c>
    </row>
    <row r="12525">
      <c r="H12525" s="50"/>
      <c r="I12525" s="50"/>
      <c r="O12525" s="36" t="s">
        <v>48</v>
      </c>
      <c r="R12525" s="36" t="s">
        <v>48</v>
      </c>
    </row>
    <row r="12526">
      <c r="H12526" s="50"/>
      <c r="I12526" s="50"/>
      <c r="O12526" s="36" t="s">
        <v>48</v>
      </c>
      <c r="R12526" s="36" t="s">
        <v>48</v>
      </c>
    </row>
    <row r="12527">
      <c r="H12527" s="50"/>
      <c r="I12527" s="50"/>
      <c r="O12527" s="36" t="s">
        <v>48</v>
      </c>
      <c r="R12527" s="36" t="s">
        <v>48</v>
      </c>
    </row>
    <row r="12528">
      <c r="H12528" s="50"/>
      <c r="I12528" s="50"/>
      <c r="O12528" s="36" t="s">
        <v>48</v>
      </c>
      <c r="R12528" s="36" t="s">
        <v>48</v>
      </c>
    </row>
    <row r="12529">
      <c r="H12529" s="50"/>
      <c r="I12529" s="50"/>
      <c r="O12529" s="36" t="s">
        <v>48</v>
      </c>
      <c r="R12529" s="36" t="s">
        <v>48</v>
      </c>
    </row>
    <row r="12530">
      <c r="H12530" s="50"/>
      <c r="I12530" s="50"/>
      <c r="O12530" s="36" t="s">
        <v>48</v>
      </c>
      <c r="R12530" s="36" t="s">
        <v>48</v>
      </c>
    </row>
    <row r="12531">
      <c r="H12531" s="50"/>
      <c r="I12531" s="50"/>
      <c r="O12531" s="36" t="s">
        <v>48</v>
      </c>
      <c r="R12531" s="36" t="s">
        <v>48</v>
      </c>
    </row>
    <row r="12532">
      <c r="H12532" s="50"/>
      <c r="I12532" s="50"/>
      <c r="O12532" s="36" t="s">
        <v>48</v>
      </c>
      <c r="R12532" s="36" t="s">
        <v>48</v>
      </c>
    </row>
    <row r="12533">
      <c r="H12533" s="50"/>
      <c r="I12533" s="50"/>
      <c r="O12533" s="36" t="s">
        <v>48</v>
      </c>
      <c r="R12533" s="36" t="s">
        <v>48</v>
      </c>
    </row>
    <row r="12534">
      <c r="H12534" s="50"/>
      <c r="I12534" s="50"/>
      <c r="O12534" s="36" t="s">
        <v>48</v>
      </c>
      <c r="R12534" s="36" t="s">
        <v>48</v>
      </c>
    </row>
    <row r="12535">
      <c r="H12535" s="50"/>
      <c r="I12535" s="50"/>
      <c r="O12535" s="36" t="s">
        <v>48</v>
      </c>
      <c r="R12535" s="36" t="s">
        <v>48</v>
      </c>
    </row>
    <row r="12536">
      <c r="H12536" s="50"/>
      <c r="I12536" s="50"/>
      <c r="O12536" s="36" t="s">
        <v>48</v>
      </c>
      <c r="R12536" s="36" t="s">
        <v>48</v>
      </c>
    </row>
    <row r="12537">
      <c r="H12537" s="50"/>
      <c r="I12537" s="50"/>
      <c r="O12537" s="36" t="s">
        <v>48</v>
      </c>
      <c r="R12537" s="36" t="s">
        <v>48</v>
      </c>
    </row>
    <row r="12538">
      <c r="H12538" s="50"/>
      <c r="I12538" s="50"/>
      <c r="O12538" s="36" t="s">
        <v>48</v>
      </c>
      <c r="R12538" s="36" t="s">
        <v>48</v>
      </c>
    </row>
    <row r="12539">
      <c r="H12539" s="50"/>
      <c r="I12539" s="50"/>
      <c r="O12539" s="36" t="s">
        <v>48</v>
      </c>
      <c r="R12539" s="36" t="s">
        <v>48</v>
      </c>
    </row>
    <row r="12540">
      <c r="H12540" s="50"/>
      <c r="I12540" s="50"/>
      <c r="O12540" s="36" t="s">
        <v>48</v>
      </c>
      <c r="R12540" s="36" t="s">
        <v>48</v>
      </c>
    </row>
    <row r="12541">
      <c r="H12541" s="50"/>
      <c r="I12541" s="50"/>
      <c r="O12541" s="36" t="s">
        <v>48</v>
      </c>
      <c r="R12541" s="36" t="s">
        <v>48</v>
      </c>
    </row>
    <row r="12542">
      <c r="H12542" s="50"/>
      <c r="I12542" s="50"/>
      <c r="O12542" s="36" t="s">
        <v>48</v>
      </c>
      <c r="R12542" s="36" t="s">
        <v>48</v>
      </c>
    </row>
    <row r="12543">
      <c r="H12543" s="50"/>
      <c r="I12543" s="50"/>
      <c r="O12543" s="36" t="s">
        <v>48</v>
      </c>
      <c r="R12543" s="36" t="s">
        <v>48</v>
      </c>
    </row>
    <row r="12544">
      <c r="H12544" s="50"/>
      <c r="I12544" s="50"/>
      <c r="O12544" s="36" t="s">
        <v>48</v>
      </c>
      <c r="R12544" s="36" t="s">
        <v>48</v>
      </c>
    </row>
    <row r="12545">
      <c r="H12545" s="50"/>
      <c r="I12545" s="50"/>
      <c r="O12545" s="36" t="s">
        <v>48</v>
      </c>
      <c r="R12545" s="36" t="s">
        <v>48</v>
      </c>
    </row>
    <row r="12546">
      <c r="H12546" s="50"/>
      <c r="I12546" s="50"/>
      <c r="O12546" s="36" t="s">
        <v>48</v>
      </c>
      <c r="R12546" s="36" t="s">
        <v>48</v>
      </c>
    </row>
    <row r="12547">
      <c r="H12547" s="50"/>
      <c r="I12547" s="50"/>
      <c r="O12547" s="36" t="s">
        <v>48</v>
      </c>
      <c r="R12547" s="36" t="s">
        <v>48</v>
      </c>
    </row>
    <row r="12548">
      <c r="H12548" s="50"/>
      <c r="I12548" s="50"/>
      <c r="O12548" s="36" t="s">
        <v>48</v>
      </c>
      <c r="R12548" s="36" t="s">
        <v>48</v>
      </c>
    </row>
    <row r="12549">
      <c r="H12549" s="50"/>
      <c r="I12549" s="50"/>
      <c r="O12549" s="36" t="s">
        <v>48</v>
      </c>
      <c r="R12549" s="36" t="s">
        <v>48</v>
      </c>
    </row>
    <row r="12550">
      <c r="H12550" s="50"/>
      <c r="I12550" s="50"/>
      <c r="O12550" s="36" t="s">
        <v>48</v>
      </c>
      <c r="R12550" s="36" t="s">
        <v>48</v>
      </c>
    </row>
    <row r="12551">
      <c r="H12551" s="50"/>
      <c r="I12551" s="50"/>
      <c r="O12551" s="36" t="s">
        <v>48</v>
      </c>
      <c r="R12551" s="36" t="s">
        <v>48</v>
      </c>
    </row>
    <row r="12552">
      <c r="H12552" s="50"/>
      <c r="I12552" s="50"/>
      <c r="O12552" s="36" t="s">
        <v>48</v>
      </c>
      <c r="R12552" s="36" t="s">
        <v>48</v>
      </c>
    </row>
    <row r="12553">
      <c r="H12553" s="50"/>
      <c r="I12553" s="50"/>
      <c r="O12553" s="36" t="s">
        <v>48</v>
      </c>
      <c r="R12553" s="36" t="s">
        <v>48</v>
      </c>
    </row>
    <row r="12554">
      <c r="H12554" s="50"/>
      <c r="I12554" s="50"/>
      <c r="O12554" s="36" t="s">
        <v>48</v>
      </c>
      <c r="R12554" s="36" t="s">
        <v>48</v>
      </c>
    </row>
    <row r="12555">
      <c r="H12555" s="50"/>
      <c r="I12555" s="50"/>
      <c r="O12555" s="36" t="s">
        <v>48</v>
      </c>
      <c r="R12555" s="36" t="s">
        <v>48</v>
      </c>
    </row>
    <row r="12556">
      <c r="H12556" s="50"/>
      <c r="I12556" s="50"/>
      <c r="O12556" s="36" t="s">
        <v>48</v>
      </c>
      <c r="R12556" s="36" t="s">
        <v>48</v>
      </c>
    </row>
    <row r="12557">
      <c r="H12557" s="50"/>
      <c r="I12557" s="50"/>
      <c r="O12557" s="36" t="s">
        <v>48</v>
      </c>
      <c r="R12557" s="36" t="s">
        <v>48</v>
      </c>
    </row>
    <row r="12558">
      <c r="H12558" s="50"/>
      <c r="I12558" s="50"/>
      <c r="O12558" s="36" t="s">
        <v>48</v>
      </c>
      <c r="R12558" s="36" t="s">
        <v>48</v>
      </c>
    </row>
    <row r="12559">
      <c r="H12559" s="50"/>
      <c r="I12559" s="50"/>
      <c r="O12559" s="36" t="s">
        <v>48</v>
      </c>
      <c r="R12559" s="36" t="s">
        <v>48</v>
      </c>
    </row>
    <row r="12560">
      <c r="H12560" s="50"/>
      <c r="I12560" s="50"/>
      <c r="O12560" s="36" t="s">
        <v>48</v>
      </c>
      <c r="R12560" s="36" t="s">
        <v>48</v>
      </c>
    </row>
    <row r="12561">
      <c r="H12561" s="50"/>
      <c r="I12561" s="50"/>
      <c r="O12561" s="36" t="s">
        <v>48</v>
      </c>
      <c r="R12561" s="36" t="s">
        <v>48</v>
      </c>
    </row>
    <row r="12562">
      <c r="H12562" s="50"/>
      <c r="I12562" s="50"/>
      <c r="O12562" s="36" t="s">
        <v>48</v>
      </c>
      <c r="R12562" s="36" t="s">
        <v>48</v>
      </c>
    </row>
    <row r="12563">
      <c r="H12563" s="50"/>
      <c r="I12563" s="50"/>
      <c r="O12563" s="36" t="s">
        <v>48</v>
      </c>
      <c r="R12563" s="36" t="s">
        <v>48</v>
      </c>
    </row>
    <row r="12564">
      <c r="H12564" s="50"/>
      <c r="I12564" s="50"/>
      <c r="O12564" s="36" t="s">
        <v>48</v>
      </c>
      <c r="R12564" s="36" t="s">
        <v>48</v>
      </c>
    </row>
    <row r="12565">
      <c r="H12565" s="50"/>
      <c r="I12565" s="50"/>
      <c r="O12565" s="36" t="s">
        <v>48</v>
      </c>
      <c r="R12565" s="36" t="s">
        <v>48</v>
      </c>
    </row>
    <row r="12566">
      <c r="H12566" s="50"/>
      <c r="I12566" s="50"/>
      <c r="O12566" s="36" t="s">
        <v>48</v>
      </c>
      <c r="R12566" s="36" t="s">
        <v>48</v>
      </c>
    </row>
    <row r="12567">
      <c r="H12567" s="50"/>
      <c r="I12567" s="50"/>
      <c r="O12567" s="36" t="s">
        <v>48</v>
      </c>
      <c r="R12567" s="36" t="s">
        <v>48</v>
      </c>
    </row>
    <row r="12568">
      <c r="H12568" s="50"/>
      <c r="I12568" s="50"/>
      <c r="O12568" s="36" t="s">
        <v>48</v>
      </c>
      <c r="R12568" s="36" t="s">
        <v>48</v>
      </c>
    </row>
    <row r="12569">
      <c r="H12569" s="50"/>
      <c r="I12569" s="50"/>
      <c r="O12569" s="36" t="s">
        <v>48</v>
      </c>
      <c r="R12569" s="36" t="s">
        <v>48</v>
      </c>
    </row>
    <row r="12570">
      <c r="H12570" s="50"/>
      <c r="I12570" s="50"/>
      <c r="O12570" s="36" t="s">
        <v>48</v>
      </c>
      <c r="R12570" s="36" t="s">
        <v>48</v>
      </c>
    </row>
    <row r="12571">
      <c r="H12571" s="50"/>
      <c r="I12571" s="50"/>
      <c r="O12571" s="36" t="s">
        <v>48</v>
      </c>
      <c r="R12571" s="36" t="s">
        <v>48</v>
      </c>
    </row>
    <row r="12572">
      <c r="H12572" s="50"/>
      <c r="I12572" s="50"/>
      <c r="O12572" s="36" t="s">
        <v>48</v>
      </c>
      <c r="R12572" s="36" t="s">
        <v>48</v>
      </c>
    </row>
    <row r="12573">
      <c r="H12573" s="50"/>
      <c r="I12573" s="50"/>
      <c r="O12573" s="36" t="s">
        <v>48</v>
      </c>
      <c r="R12573" s="36" t="s">
        <v>48</v>
      </c>
    </row>
    <row r="12574">
      <c r="H12574" s="50"/>
      <c r="I12574" s="50"/>
      <c r="O12574" s="36" t="s">
        <v>48</v>
      </c>
      <c r="R12574" s="36" t="s">
        <v>48</v>
      </c>
    </row>
    <row r="12575">
      <c r="H12575" s="50"/>
      <c r="I12575" s="50"/>
      <c r="O12575" s="36" t="s">
        <v>48</v>
      </c>
      <c r="R12575" s="36" t="s">
        <v>48</v>
      </c>
    </row>
    <row r="12576">
      <c r="H12576" s="50"/>
      <c r="I12576" s="50"/>
      <c r="O12576" s="36" t="s">
        <v>48</v>
      </c>
      <c r="R12576" s="36" t="s">
        <v>48</v>
      </c>
    </row>
    <row r="12577">
      <c r="H12577" s="50"/>
      <c r="I12577" s="50"/>
      <c r="O12577" s="36" t="s">
        <v>48</v>
      </c>
      <c r="R12577" s="36" t="s">
        <v>48</v>
      </c>
    </row>
    <row r="12578">
      <c r="H12578" s="50"/>
      <c r="I12578" s="50"/>
      <c r="O12578" s="36" t="s">
        <v>48</v>
      </c>
      <c r="R12578" s="36" t="s">
        <v>48</v>
      </c>
    </row>
    <row r="12579">
      <c r="H12579" s="50"/>
      <c r="I12579" s="50"/>
      <c r="O12579" s="36" t="s">
        <v>48</v>
      </c>
      <c r="R12579" s="36" t="s">
        <v>48</v>
      </c>
    </row>
    <row r="12580">
      <c r="H12580" s="50"/>
      <c r="I12580" s="50"/>
      <c r="O12580" s="36" t="s">
        <v>48</v>
      </c>
      <c r="R12580" s="36" t="s">
        <v>48</v>
      </c>
    </row>
    <row r="12581">
      <c r="H12581" s="50"/>
      <c r="I12581" s="50"/>
      <c r="O12581" s="36" t="s">
        <v>48</v>
      </c>
      <c r="R12581" s="36" t="s">
        <v>48</v>
      </c>
    </row>
    <row r="12582">
      <c r="H12582" s="50"/>
      <c r="I12582" s="50"/>
      <c r="O12582" s="36" t="s">
        <v>48</v>
      </c>
      <c r="R12582" s="36" t="s">
        <v>48</v>
      </c>
    </row>
    <row r="12583">
      <c r="H12583" s="50"/>
      <c r="I12583" s="50"/>
      <c r="O12583" s="36" t="s">
        <v>48</v>
      </c>
      <c r="R12583" s="36" t="s">
        <v>48</v>
      </c>
    </row>
    <row r="12584">
      <c r="H12584" s="50"/>
      <c r="I12584" s="50"/>
      <c r="O12584" s="36" t="s">
        <v>48</v>
      </c>
      <c r="R12584" s="36" t="s">
        <v>48</v>
      </c>
    </row>
    <row r="12585">
      <c r="H12585" s="50"/>
      <c r="I12585" s="50"/>
      <c r="O12585" s="36" t="s">
        <v>48</v>
      </c>
      <c r="R12585" s="36" t="s">
        <v>48</v>
      </c>
    </row>
    <row r="12586">
      <c r="H12586" s="50"/>
      <c r="I12586" s="50"/>
      <c r="O12586" s="36" t="s">
        <v>48</v>
      </c>
      <c r="R12586" s="36" t="s">
        <v>48</v>
      </c>
    </row>
    <row r="12587">
      <c r="H12587" s="50"/>
      <c r="I12587" s="50"/>
      <c r="O12587" s="36" t="s">
        <v>48</v>
      </c>
      <c r="R12587" s="36" t="s">
        <v>48</v>
      </c>
    </row>
    <row r="12588">
      <c r="H12588" s="50"/>
      <c r="I12588" s="50"/>
      <c r="O12588" s="36" t="s">
        <v>48</v>
      </c>
      <c r="R12588" s="36" t="s">
        <v>48</v>
      </c>
    </row>
    <row r="12589">
      <c r="H12589" s="50"/>
      <c r="I12589" s="50"/>
      <c r="O12589" s="36" t="s">
        <v>48</v>
      </c>
      <c r="R12589" s="36" t="s">
        <v>48</v>
      </c>
    </row>
    <row r="12590">
      <c r="H12590" s="50"/>
      <c r="I12590" s="50"/>
      <c r="O12590" s="36" t="s">
        <v>48</v>
      </c>
      <c r="R12590" s="36" t="s">
        <v>48</v>
      </c>
    </row>
    <row r="12591">
      <c r="H12591" s="50"/>
      <c r="I12591" s="50"/>
      <c r="O12591" s="36" t="s">
        <v>48</v>
      </c>
      <c r="R12591" s="36" t="s">
        <v>48</v>
      </c>
    </row>
    <row r="12592">
      <c r="H12592" s="50"/>
      <c r="I12592" s="50"/>
      <c r="O12592" s="36" t="s">
        <v>48</v>
      </c>
      <c r="R12592" s="36" t="s">
        <v>48</v>
      </c>
    </row>
    <row r="12593">
      <c r="H12593" s="50"/>
      <c r="I12593" s="50"/>
      <c r="O12593" s="36" t="s">
        <v>48</v>
      </c>
      <c r="R12593" s="36" t="s">
        <v>48</v>
      </c>
    </row>
    <row r="12594">
      <c r="H12594" s="50"/>
      <c r="I12594" s="50"/>
      <c r="O12594" s="36" t="s">
        <v>48</v>
      </c>
      <c r="R12594" s="36" t="s">
        <v>48</v>
      </c>
    </row>
    <row r="12595">
      <c r="H12595" s="50"/>
      <c r="I12595" s="50"/>
      <c r="O12595" s="36" t="s">
        <v>48</v>
      </c>
      <c r="R12595" s="36" t="s">
        <v>48</v>
      </c>
    </row>
    <row r="12596">
      <c r="H12596" s="50"/>
      <c r="I12596" s="50"/>
      <c r="O12596" s="36" t="s">
        <v>48</v>
      </c>
      <c r="R12596" s="36" t="s">
        <v>48</v>
      </c>
    </row>
    <row r="12597">
      <c r="H12597" s="50"/>
      <c r="I12597" s="50"/>
      <c r="O12597" s="36" t="s">
        <v>48</v>
      </c>
      <c r="R12597" s="36" t="s">
        <v>48</v>
      </c>
    </row>
    <row r="12598">
      <c r="H12598" s="50"/>
      <c r="I12598" s="50"/>
      <c r="O12598" s="36" t="s">
        <v>48</v>
      </c>
      <c r="R12598" s="36" t="s">
        <v>48</v>
      </c>
    </row>
    <row r="12599">
      <c r="H12599" s="50"/>
      <c r="I12599" s="50"/>
      <c r="O12599" s="36" t="s">
        <v>48</v>
      </c>
      <c r="R12599" s="36" t="s">
        <v>48</v>
      </c>
    </row>
    <row r="12600">
      <c r="H12600" s="50"/>
      <c r="I12600" s="50"/>
      <c r="O12600" s="36" t="s">
        <v>48</v>
      </c>
      <c r="R12600" s="36" t="s">
        <v>48</v>
      </c>
    </row>
    <row r="12601">
      <c r="H12601" s="50"/>
      <c r="I12601" s="50"/>
      <c r="O12601" s="36" t="s">
        <v>48</v>
      </c>
      <c r="R12601" s="36" t="s">
        <v>48</v>
      </c>
    </row>
    <row r="12602">
      <c r="H12602" s="50"/>
      <c r="I12602" s="50"/>
      <c r="O12602" s="36" t="s">
        <v>48</v>
      </c>
      <c r="R12602" s="36" t="s">
        <v>48</v>
      </c>
    </row>
    <row r="12603">
      <c r="H12603" s="50"/>
      <c r="I12603" s="50"/>
      <c r="O12603" s="36" t="s">
        <v>48</v>
      </c>
      <c r="R12603" s="36" t="s">
        <v>48</v>
      </c>
    </row>
    <row r="12604">
      <c r="H12604" s="50"/>
      <c r="I12604" s="50"/>
      <c r="O12604" s="36" t="s">
        <v>48</v>
      </c>
      <c r="R12604" s="36" t="s">
        <v>48</v>
      </c>
    </row>
    <row r="12605">
      <c r="H12605" s="50"/>
      <c r="I12605" s="50"/>
      <c r="O12605" s="36" t="s">
        <v>48</v>
      </c>
      <c r="R12605" s="36" t="s">
        <v>48</v>
      </c>
    </row>
    <row r="12606">
      <c r="H12606" s="50"/>
      <c r="I12606" s="50"/>
      <c r="O12606" s="36" t="s">
        <v>48</v>
      </c>
      <c r="R12606" s="36" t="s">
        <v>48</v>
      </c>
    </row>
    <row r="12607">
      <c r="H12607" s="50"/>
      <c r="I12607" s="50"/>
      <c r="O12607" s="36" t="s">
        <v>48</v>
      </c>
      <c r="R12607" s="36" t="s">
        <v>48</v>
      </c>
    </row>
    <row r="12608">
      <c r="H12608" s="50"/>
      <c r="I12608" s="50"/>
      <c r="O12608" s="36" t="s">
        <v>48</v>
      </c>
      <c r="R12608" s="36" t="s">
        <v>48</v>
      </c>
    </row>
    <row r="12609">
      <c r="H12609" s="50"/>
      <c r="I12609" s="50"/>
      <c r="O12609" s="36" t="s">
        <v>48</v>
      </c>
      <c r="R12609" s="36" t="s">
        <v>48</v>
      </c>
    </row>
    <row r="12610">
      <c r="H12610" s="50"/>
      <c r="I12610" s="50"/>
      <c r="O12610" s="36" t="s">
        <v>48</v>
      </c>
      <c r="R12610" s="36" t="s">
        <v>48</v>
      </c>
    </row>
    <row r="12611">
      <c r="H12611" s="50"/>
      <c r="I12611" s="50"/>
      <c r="O12611" s="36" t="s">
        <v>48</v>
      </c>
      <c r="R12611" s="36" t="s">
        <v>48</v>
      </c>
    </row>
    <row r="12612">
      <c r="H12612" s="50"/>
      <c r="I12612" s="50"/>
      <c r="O12612" s="36" t="s">
        <v>48</v>
      </c>
      <c r="R12612" s="36" t="s">
        <v>48</v>
      </c>
    </row>
    <row r="12613">
      <c r="H12613" s="50"/>
      <c r="I12613" s="50"/>
      <c r="O12613" s="36" t="s">
        <v>48</v>
      </c>
      <c r="R12613" s="36" t="s">
        <v>48</v>
      </c>
    </row>
    <row r="12614">
      <c r="H12614" s="50"/>
      <c r="I12614" s="50"/>
      <c r="O12614" s="36" t="s">
        <v>48</v>
      </c>
      <c r="R12614" s="36" t="s">
        <v>48</v>
      </c>
    </row>
    <row r="12615">
      <c r="H12615" s="50"/>
      <c r="I12615" s="50"/>
      <c r="O12615" s="36" t="s">
        <v>48</v>
      </c>
      <c r="R12615" s="36" t="s">
        <v>48</v>
      </c>
    </row>
    <row r="12616">
      <c r="H12616" s="50"/>
      <c r="I12616" s="50"/>
      <c r="O12616" s="36" t="s">
        <v>48</v>
      </c>
      <c r="R12616" s="36" t="s">
        <v>48</v>
      </c>
    </row>
    <row r="12617">
      <c r="H12617" s="50"/>
      <c r="I12617" s="50"/>
      <c r="O12617" s="36" t="s">
        <v>48</v>
      </c>
      <c r="R12617" s="36" t="s">
        <v>48</v>
      </c>
    </row>
    <row r="12618">
      <c r="H12618" s="50"/>
      <c r="I12618" s="50"/>
      <c r="O12618" s="36" t="s">
        <v>48</v>
      </c>
      <c r="R12618" s="36" t="s">
        <v>48</v>
      </c>
    </row>
    <row r="12619">
      <c r="H12619" s="50"/>
      <c r="I12619" s="50"/>
      <c r="O12619" s="36" t="s">
        <v>48</v>
      </c>
      <c r="R12619" s="36" t="s">
        <v>48</v>
      </c>
    </row>
    <row r="12620">
      <c r="H12620" s="50"/>
      <c r="I12620" s="50"/>
      <c r="O12620" s="36" t="s">
        <v>48</v>
      </c>
      <c r="R12620" s="36" t="s">
        <v>48</v>
      </c>
    </row>
    <row r="12621">
      <c r="H12621" s="50"/>
      <c r="I12621" s="50"/>
      <c r="O12621" s="36" t="s">
        <v>48</v>
      </c>
      <c r="R12621" s="36" t="s">
        <v>48</v>
      </c>
    </row>
    <row r="12622">
      <c r="H12622" s="50"/>
      <c r="I12622" s="50"/>
      <c r="O12622" s="36" t="s">
        <v>48</v>
      </c>
      <c r="R12622" s="36" t="s">
        <v>48</v>
      </c>
    </row>
    <row r="12623">
      <c r="H12623" s="50"/>
      <c r="I12623" s="50"/>
      <c r="O12623" s="36" t="s">
        <v>48</v>
      </c>
      <c r="R12623" s="36" t="s">
        <v>48</v>
      </c>
    </row>
    <row r="12624">
      <c r="H12624" s="50"/>
      <c r="I12624" s="50"/>
      <c r="O12624" s="36" t="s">
        <v>48</v>
      </c>
      <c r="R12624" s="36" t="s">
        <v>48</v>
      </c>
    </row>
    <row r="12625">
      <c r="H12625" s="50"/>
      <c r="I12625" s="50"/>
      <c r="O12625" s="36" t="s">
        <v>48</v>
      </c>
      <c r="R12625" s="36" t="s">
        <v>48</v>
      </c>
    </row>
    <row r="12626">
      <c r="H12626" s="50"/>
      <c r="I12626" s="50"/>
      <c r="O12626" s="36" t="s">
        <v>48</v>
      </c>
      <c r="R12626" s="36" t="s">
        <v>48</v>
      </c>
    </row>
    <row r="12627">
      <c r="H12627" s="50"/>
      <c r="I12627" s="50"/>
      <c r="O12627" s="36" t="s">
        <v>48</v>
      </c>
      <c r="R12627" s="36" t="s">
        <v>48</v>
      </c>
    </row>
    <row r="12628">
      <c r="H12628" s="50"/>
      <c r="I12628" s="50"/>
      <c r="O12628" s="36" t="s">
        <v>48</v>
      </c>
      <c r="R12628" s="36" t="s">
        <v>48</v>
      </c>
    </row>
    <row r="12629">
      <c r="H12629" s="50"/>
      <c r="I12629" s="50"/>
      <c r="O12629" s="36" t="s">
        <v>48</v>
      </c>
      <c r="R12629" s="36" t="s">
        <v>48</v>
      </c>
    </row>
    <row r="12630">
      <c r="H12630" s="50"/>
      <c r="I12630" s="50"/>
      <c r="O12630" s="36" t="s">
        <v>48</v>
      </c>
      <c r="R12630" s="36" t="s">
        <v>48</v>
      </c>
    </row>
    <row r="12631">
      <c r="H12631" s="50"/>
      <c r="I12631" s="50"/>
      <c r="O12631" s="36" t="s">
        <v>48</v>
      </c>
      <c r="R12631" s="36" t="s">
        <v>48</v>
      </c>
    </row>
    <row r="12632">
      <c r="H12632" s="50"/>
      <c r="I12632" s="50"/>
      <c r="O12632" s="36" t="s">
        <v>48</v>
      </c>
      <c r="R12632" s="36" t="s">
        <v>48</v>
      </c>
    </row>
    <row r="12633">
      <c r="H12633" s="50"/>
      <c r="I12633" s="50"/>
      <c r="O12633" s="36" t="s">
        <v>48</v>
      </c>
      <c r="R12633" s="36" t="s">
        <v>48</v>
      </c>
    </row>
    <row r="12634">
      <c r="H12634" s="50"/>
      <c r="I12634" s="50"/>
      <c r="O12634" s="36" t="s">
        <v>48</v>
      </c>
      <c r="R12634" s="36" t="s">
        <v>48</v>
      </c>
    </row>
    <row r="12635">
      <c r="H12635" s="50"/>
      <c r="I12635" s="50"/>
      <c r="O12635" s="36" t="s">
        <v>48</v>
      </c>
      <c r="R12635" s="36" t="s">
        <v>48</v>
      </c>
    </row>
    <row r="12636">
      <c r="H12636" s="50"/>
      <c r="I12636" s="50"/>
      <c r="O12636" s="36" t="s">
        <v>48</v>
      </c>
      <c r="R12636" s="36" t="s">
        <v>48</v>
      </c>
    </row>
    <row r="12637">
      <c r="H12637" s="50"/>
      <c r="I12637" s="50"/>
      <c r="O12637" s="36" t="s">
        <v>48</v>
      </c>
      <c r="R12637" s="36" t="s">
        <v>48</v>
      </c>
    </row>
    <row r="12638">
      <c r="H12638" s="50"/>
      <c r="I12638" s="50"/>
      <c r="O12638" s="36" t="s">
        <v>48</v>
      </c>
      <c r="R12638" s="36" t="s">
        <v>48</v>
      </c>
    </row>
    <row r="12639">
      <c r="H12639" s="50"/>
      <c r="I12639" s="50"/>
      <c r="O12639" s="36" t="s">
        <v>48</v>
      </c>
      <c r="R12639" s="36" t="s">
        <v>48</v>
      </c>
    </row>
    <row r="12640">
      <c r="H12640" s="50"/>
      <c r="I12640" s="50"/>
      <c r="O12640" s="36" t="s">
        <v>48</v>
      </c>
      <c r="R12640" s="36" t="s">
        <v>48</v>
      </c>
    </row>
    <row r="12641">
      <c r="H12641" s="50"/>
      <c r="I12641" s="50"/>
      <c r="O12641" s="36" t="s">
        <v>48</v>
      </c>
      <c r="R12641" s="36" t="s">
        <v>48</v>
      </c>
    </row>
    <row r="12642">
      <c r="H12642" s="50"/>
      <c r="I12642" s="50"/>
      <c r="O12642" s="36" t="s">
        <v>48</v>
      </c>
      <c r="R12642" s="36" t="s">
        <v>48</v>
      </c>
    </row>
    <row r="12643">
      <c r="H12643" s="50"/>
      <c r="I12643" s="50"/>
      <c r="O12643" s="36" t="s">
        <v>48</v>
      </c>
      <c r="R12643" s="36" t="s">
        <v>48</v>
      </c>
    </row>
    <row r="12644">
      <c r="H12644" s="50"/>
      <c r="I12644" s="50"/>
      <c r="O12644" s="36" t="s">
        <v>48</v>
      </c>
      <c r="R12644" s="36" t="s">
        <v>48</v>
      </c>
    </row>
    <row r="12645">
      <c r="H12645" s="50"/>
      <c r="I12645" s="50"/>
      <c r="O12645" s="36" t="s">
        <v>48</v>
      </c>
      <c r="R12645" s="36" t="s">
        <v>48</v>
      </c>
    </row>
    <row r="12646">
      <c r="H12646" s="50"/>
      <c r="I12646" s="50"/>
      <c r="O12646" s="36" t="s">
        <v>48</v>
      </c>
      <c r="R12646" s="36" t="s">
        <v>48</v>
      </c>
    </row>
    <row r="12647">
      <c r="H12647" s="50"/>
      <c r="I12647" s="50"/>
      <c r="O12647" s="36" t="s">
        <v>48</v>
      </c>
      <c r="R12647" s="36" t="s">
        <v>48</v>
      </c>
    </row>
    <row r="12648">
      <c r="H12648" s="50"/>
      <c r="I12648" s="50"/>
      <c r="O12648" s="36" t="s">
        <v>48</v>
      </c>
      <c r="R12648" s="36" t="s">
        <v>48</v>
      </c>
    </row>
    <row r="12649">
      <c r="H12649" s="50"/>
      <c r="I12649" s="50"/>
      <c r="O12649" s="36" t="s">
        <v>48</v>
      </c>
      <c r="R12649" s="36" t="s">
        <v>48</v>
      </c>
    </row>
    <row r="12650">
      <c r="H12650" s="50"/>
      <c r="I12650" s="50"/>
      <c r="O12650" s="36" t="s">
        <v>48</v>
      </c>
      <c r="R12650" s="36" t="s">
        <v>48</v>
      </c>
    </row>
    <row r="12651">
      <c r="H12651" s="50"/>
      <c r="I12651" s="50"/>
      <c r="O12651" s="36" t="s">
        <v>48</v>
      </c>
      <c r="R12651" s="36" t="s">
        <v>48</v>
      </c>
    </row>
    <row r="12652">
      <c r="H12652" s="50"/>
      <c r="I12652" s="50"/>
      <c r="O12652" s="36" t="s">
        <v>48</v>
      </c>
      <c r="R12652" s="36" t="s">
        <v>48</v>
      </c>
    </row>
    <row r="12653">
      <c r="H12653" s="50"/>
      <c r="I12653" s="50"/>
      <c r="O12653" s="36" t="s">
        <v>48</v>
      </c>
      <c r="R12653" s="36" t="s">
        <v>48</v>
      </c>
    </row>
    <row r="12654">
      <c r="H12654" s="50"/>
      <c r="I12654" s="50"/>
      <c r="O12654" s="36" t="s">
        <v>48</v>
      </c>
      <c r="R12654" s="36" t="s">
        <v>48</v>
      </c>
    </row>
    <row r="12655">
      <c r="H12655" s="50"/>
      <c r="I12655" s="50"/>
      <c r="O12655" s="36" t="s">
        <v>48</v>
      </c>
      <c r="R12655" s="36" t="s">
        <v>48</v>
      </c>
    </row>
    <row r="12656">
      <c r="H12656" s="50"/>
      <c r="I12656" s="50"/>
      <c r="O12656" s="36" t="s">
        <v>48</v>
      </c>
      <c r="R12656" s="36" t="s">
        <v>48</v>
      </c>
    </row>
    <row r="12657">
      <c r="H12657" s="50"/>
      <c r="I12657" s="50"/>
      <c r="O12657" s="36" t="s">
        <v>48</v>
      </c>
      <c r="R12657" s="36" t="s">
        <v>48</v>
      </c>
    </row>
    <row r="12658">
      <c r="H12658" s="50"/>
      <c r="I12658" s="50"/>
      <c r="O12658" s="36" t="s">
        <v>48</v>
      </c>
      <c r="R12658" s="36" t="s">
        <v>48</v>
      </c>
    </row>
    <row r="12659">
      <c r="H12659" s="50"/>
      <c r="I12659" s="50"/>
      <c r="O12659" s="36" t="s">
        <v>48</v>
      </c>
      <c r="R12659" s="36" t="s">
        <v>48</v>
      </c>
    </row>
    <row r="12660">
      <c r="H12660" s="50"/>
      <c r="I12660" s="50"/>
      <c r="O12660" s="36" t="s">
        <v>48</v>
      </c>
      <c r="R12660" s="36" t="s">
        <v>48</v>
      </c>
    </row>
    <row r="12661">
      <c r="H12661" s="50"/>
      <c r="I12661" s="50"/>
      <c r="O12661" s="36" t="s">
        <v>48</v>
      </c>
      <c r="R12661" s="36" t="s">
        <v>48</v>
      </c>
    </row>
    <row r="12662">
      <c r="H12662" s="50"/>
      <c r="I12662" s="50"/>
      <c r="O12662" s="36" t="s">
        <v>48</v>
      </c>
      <c r="R12662" s="36" t="s">
        <v>48</v>
      </c>
    </row>
    <row r="12663">
      <c r="H12663" s="50"/>
      <c r="I12663" s="50"/>
      <c r="O12663" s="36" t="s">
        <v>48</v>
      </c>
      <c r="R12663" s="36" t="s">
        <v>48</v>
      </c>
    </row>
    <row r="12664">
      <c r="H12664" s="50"/>
      <c r="I12664" s="50"/>
      <c r="O12664" s="36" t="s">
        <v>48</v>
      </c>
      <c r="R12664" s="36" t="s">
        <v>48</v>
      </c>
    </row>
    <row r="12665">
      <c r="H12665" s="50"/>
      <c r="I12665" s="50"/>
      <c r="O12665" s="36" t="s">
        <v>48</v>
      </c>
      <c r="R12665" s="36" t="s">
        <v>48</v>
      </c>
    </row>
    <row r="12666">
      <c r="H12666" s="50"/>
      <c r="I12666" s="50"/>
      <c r="O12666" s="36" t="s">
        <v>48</v>
      </c>
      <c r="R12666" s="36" t="s">
        <v>48</v>
      </c>
    </row>
    <row r="12667">
      <c r="H12667" s="50"/>
      <c r="I12667" s="50"/>
      <c r="O12667" s="36" t="s">
        <v>48</v>
      </c>
      <c r="R12667" s="36" t="s">
        <v>48</v>
      </c>
    </row>
    <row r="12668">
      <c r="H12668" s="50"/>
      <c r="I12668" s="50"/>
      <c r="O12668" s="36" t="s">
        <v>48</v>
      </c>
      <c r="R12668" s="36" t="s">
        <v>48</v>
      </c>
    </row>
    <row r="12669">
      <c r="H12669" s="50"/>
      <c r="I12669" s="50"/>
      <c r="O12669" s="36" t="s">
        <v>48</v>
      </c>
      <c r="R12669" s="36" t="s">
        <v>48</v>
      </c>
    </row>
    <row r="12670">
      <c r="H12670" s="50"/>
      <c r="I12670" s="50"/>
      <c r="O12670" s="36" t="s">
        <v>48</v>
      </c>
      <c r="R12670" s="36" t="s">
        <v>48</v>
      </c>
    </row>
    <row r="12671">
      <c r="H12671" s="50"/>
      <c r="I12671" s="50"/>
      <c r="O12671" s="36" t="s">
        <v>48</v>
      </c>
      <c r="R12671" s="36" t="s">
        <v>48</v>
      </c>
    </row>
    <row r="12672">
      <c r="H12672" s="50"/>
      <c r="I12672" s="50"/>
      <c r="O12672" s="36" t="s">
        <v>48</v>
      </c>
      <c r="R12672" s="36" t="s">
        <v>48</v>
      </c>
    </row>
    <row r="12673">
      <c r="H12673" s="50"/>
      <c r="I12673" s="50"/>
      <c r="O12673" s="36" t="s">
        <v>48</v>
      </c>
      <c r="R12673" s="36" t="s">
        <v>48</v>
      </c>
    </row>
    <row r="12674">
      <c r="H12674" s="50"/>
      <c r="I12674" s="50"/>
      <c r="O12674" s="36" t="s">
        <v>48</v>
      </c>
      <c r="R12674" s="36" t="s">
        <v>48</v>
      </c>
    </row>
    <row r="12675">
      <c r="H12675" s="50"/>
      <c r="I12675" s="50"/>
      <c r="O12675" s="36" t="s">
        <v>48</v>
      </c>
      <c r="R12675" s="36" t="s">
        <v>48</v>
      </c>
    </row>
    <row r="12676">
      <c r="H12676" s="50"/>
      <c r="I12676" s="50"/>
      <c r="O12676" s="36" t="s">
        <v>48</v>
      </c>
      <c r="R12676" s="36" t="s">
        <v>48</v>
      </c>
    </row>
    <row r="12677">
      <c r="H12677" s="50"/>
      <c r="I12677" s="50"/>
      <c r="O12677" s="36" t="s">
        <v>48</v>
      </c>
      <c r="R12677" s="36" t="s">
        <v>48</v>
      </c>
    </row>
    <row r="12678">
      <c r="H12678" s="50"/>
      <c r="I12678" s="50"/>
      <c r="O12678" s="36" t="s">
        <v>48</v>
      </c>
      <c r="R12678" s="36" t="s">
        <v>48</v>
      </c>
    </row>
    <row r="12679">
      <c r="H12679" s="50"/>
      <c r="I12679" s="50"/>
      <c r="O12679" s="36" t="s">
        <v>48</v>
      </c>
      <c r="R12679" s="36" t="s">
        <v>48</v>
      </c>
    </row>
    <row r="12680">
      <c r="H12680" s="50"/>
      <c r="I12680" s="50"/>
      <c r="O12680" s="36" t="s">
        <v>48</v>
      </c>
      <c r="R12680" s="36" t="s">
        <v>48</v>
      </c>
    </row>
    <row r="12681">
      <c r="H12681" s="50"/>
      <c r="I12681" s="50"/>
      <c r="O12681" s="36" t="s">
        <v>48</v>
      </c>
      <c r="R12681" s="36" t="s">
        <v>48</v>
      </c>
    </row>
    <row r="12682">
      <c r="H12682" s="50"/>
      <c r="I12682" s="50"/>
      <c r="O12682" s="36" t="s">
        <v>48</v>
      </c>
      <c r="R12682" s="36" t="s">
        <v>48</v>
      </c>
    </row>
    <row r="12683">
      <c r="H12683" s="50"/>
      <c r="I12683" s="50"/>
      <c r="O12683" s="36" t="s">
        <v>48</v>
      </c>
      <c r="R12683" s="36" t="s">
        <v>48</v>
      </c>
    </row>
    <row r="12684">
      <c r="H12684" s="50"/>
      <c r="I12684" s="50"/>
      <c r="O12684" s="36" t="s">
        <v>48</v>
      </c>
      <c r="R12684" s="36" t="s">
        <v>48</v>
      </c>
    </row>
    <row r="12685">
      <c r="H12685" s="50"/>
      <c r="I12685" s="50"/>
      <c r="O12685" s="36" t="s">
        <v>48</v>
      </c>
      <c r="R12685" s="36" t="s">
        <v>48</v>
      </c>
    </row>
    <row r="12686">
      <c r="H12686" s="50"/>
      <c r="I12686" s="50"/>
      <c r="O12686" s="36" t="s">
        <v>48</v>
      </c>
      <c r="R12686" s="36" t="s">
        <v>48</v>
      </c>
    </row>
    <row r="12687">
      <c r="H12687" s="50"/>
      <c r="I12687" s="50"/>
      <c r="O12687" s="36" t="s">
        <v>48</v>
      </c>
      <c r="R12687" s="36" t="s">
        <v>48</v>
      </c>
    </row>
    <row r="12688">
      <c r="H12688" s="50"/>
      <c r="I12688" s="50"/>
      <c r="O12688" s="36" t="s">
        <v>48</v>
      </c>
      <c r="R12688" s="36" t="s">
        <v>48</v>
      </c>
    </row>
    <row r="12689">
      <c r="H12689" s="50"/>
      <c r="I12689" s="50"/>
      <c r="O12689" s="36" t="s">
        <v>48</v>
      </c>
      <c r="R12689" s="36" t="s">
        <v>48</v>
      </c>
    </row>
    <row r="12690">
      <c r="H12690" s="50"/>
      <c r="I12690" s="50"/>
      <c r="O12690" s="36" t="s">
        <v>48</v>
      </c>
      <c r="R12690" s="36" t="s">
        <v>48</v>
      </c>
    </row>
    <row r="12691">
      <c r="H12691" s="50"/>
      <c r="I12691" s="50"/>
      <c r="O12691" s="36" t="s">
        <v>48</v>
      </c>
      <c r="R12691" s="36" t="s">
        <v>48</v>
      </c>
    </row>
    <row r="12692">
      <c r="H12692" s="50"/>
      <c r="I12692" s="50"/>
      <c r="O12692" s="36" t="s">
        <v>48</v>
      </c>
      <c r="R12692" s="36" t="s">
        <v>48</v>
      </c>
    </row>
    <row r="12693">
      <c r="H12693" s="50"/>
      <c r="I12693" s="50"/>
      <c r="O12693" s="36" t="s">
        <v>48</v>
      </c>
      <c r="R12693" s="36" t="s">
        <v>48</v>
      </c>
    </row>
    <row r="12694">
      <c r="H12694" s="50"/>
      <c r="I12694" s="50"/>
      <c r="O12694" s="36" t="s">
        <v>48</v>
      </c>
      <c r="R12694" s="36" t="s">
        <v>48</v>
      </c>
    </row>
    <row r="12695">
      <c r="H12695" s="50"/>
      <c r="I12695" s="50"/>
      <c r="O12695" s="36" t="s">
        <v>48</v>
      </c>
      <c r="R12695" s="36" t="s">
        <v>48</v>
      </c>
    </row>
    <row r="12696">
      <c r="H12696" s="50"/>
      <c r="I12696" s="50"/>
      <c r="O12696" s="36" t="s">
        <v>48</v>
      </c>
      <c r="R12696" s="36" t="s">
        <v>48</v>
      </c>
    </row>
    <row r="12697">
      <c r="H12697" s="50"/>
      <c r="I12697" s="50"/>
      <c r="O12697" s="36" t="s">
        <v>48</v>
      </c>
      <c r="R12697" s="36" t="s">
        <v>48</v>
      </c>
    </row>
    <row r="12698">
      <c r="H12698" s="50"/>
      <c r="I12698" s="50"/>
      <c r="O12698" s="36" t="s">
        <v>48</v>
      </c>
      <c r="R12698" s="36" t="s">
        <v>48</v>
      </c>
    </row>
    <row r="12699">
      <c r="H12699" s="50"/>
      <c r="I12699" s="50"/>
      <c r="O12699" s="36" t="s">
        <v>48</v>
      </c>
      <c r="R12699" s="36" t="s">
        <v>48</v>
      </c>
    </row>
    <row r="12700">
      <c r="H12700" s="50"/>
      <c r="I12700" s="50"/>
      <c r="O12700" s="36" t="s">
        <v>48</v>
      </c>
      <c r="R12700" s="36" t="s">
        <v>48</v>
      </c>
    </row>
    <row r="12701">
      <c r="H12701" s="50"/>
      <c r="I12701" s="50"/>
      <c r="O12701" s="36" t="s">
        <v>48</v>
      </c>
      <c r="R12701" s="36" t="s">
        <v>48</v>
      </c>
    </row>
    <row r="12702">
      <c r="H12702" s="50"/>
      <c r="I12702" s="50"/>
      <c r="O12702" s="36" t="s">
        <v>48</v>
      </c>
      <c r="R12702" s="36" t="s">
        <v>48</v>
      </c>
    </row>
    <row r="12703">
      <c r="H12703" s="50"/>
      <c r="I12703" s="50"/>
      <c r="O12703" s="36" t="s">
        <v>48</v>
      </c>
      <c r="R12703" s="36" t="s">
        <v>48</v>
      </c>
    </row>
    <row r="12704">
      <c r="H12704" s="50"/>
      <c r="I12704" s="50"/>
      <c r="O12704" s="36" t="s">
        <v>48</v>
      </c>
      <c r="R12704" s="36" t="s">
        <v>48</v>
      </c>
    </row>
    <row r="12705">
      <c r="H12705" s="50"/>
      <c r="I12705" s="50"/>
      <c r="O12705" s="36" t="s">
        <v>48</v>
      </c>
      <c r="R12705" s="36" t="s">
        <v>48</v>
      </c>
    </row>
    <row r="12706">
      <c r="H12706" s="50"/>
      <c r="I12706" s="50"/>
      <c r="O12706" s="36" t="s">
        <v>48</v>
      </c>
      <c r="R12706" s="36" t="s">
        <v>48</v>
      </c>
    </row>
    <row r="12707">
      <c r="H12707" s="50"/>
      <c r="I12707" s="50"/>
      <c r="O12707" s="36" t="s">
        <v>48</v>
      </c>
      <c r="R12707" s="36" t="s">
        <v>48</v>
      </c>
    </row>
    <row r="12708">
      <c r="H12708" s="50"/>
      <c r="I12708" s="50"/>
      <c r="O12708" s="36" t="s">
        <v>48</v>
      </c>
      <c r="R12708" s="36" t="s">
        <v>48</v>
      </c>
    </row>
    <row r="12709">
      <c r="H12709" s="50"/>
      <c r="I12709" s="50"/>
      <c r="O12709" s="36" t="s">
        <v>48</v>
      </c>
      <c r="R12709" s="36" t="s">
        <v>48</v>
      </c>
    </row>
    <row r="12710">
      <c r="H12710" s="50"/>
      <c r="I12710" s="50"/>
      <c r="O12710" s="36" t="s">
        <v>48</v>
      </c>
      <c r="R12710" s="36" t="s">
        <v>48</v>
      </c>
    </row>
    <row r="12711">
      <c r="H12711" s="50"/>
      <c r="I12711" s="50"/>
      <c r="O12711" s="36" t="s">
        <v>48</v>
      </c>
      <c r="R12711" s="36" t="s">
        <v>48</v>
      </c>
    </row>
    <row r="12712">
      <c r="H12712" s="50"/>
      <c r="I12712" s="50"/>
      <c r="O12712" s="36" t="s">
        <v>48</v>
      </c>
      <c r="R12712" s="36" t="s">
        <v>48</v>
      </c>
    </row>
    <row r="12713">
      <c r="H12713" s="50"/>
      <c r="I12713" s="50"/>
      <c r="O12713" s="36" t="s">
        <v>48</v>
      </c>
      <c r="R12713" s="36" t="s">
        <v>48</v>
      </c>
    </row>
    <row r="12714">
      <c r="H12714" s="50"/>
      <c r="I12714" s="50"/>
      <c r="O12714" s="36" t="s">
        <v>48</v>
      </c>
      <c r="R12714" s="36" t="s">
        <v>48</v>
      </c>
    </row>
    <row r="12715">
      <c r="H12715" s="50"/>
      <c r="I12715" s="50"/>
      <c r="O12715" s="36" t="s">
        <v>48</v>
      </c>
      <c r="R12715" s="36" t="s">
        <v>48</v>
      </c>
    </row>
    <row r="12716">
      <c r="H12716" s="50"/>
      <c r="I12716" s="50"/>
      <c r="O12716" s="36" t="s">
        <v>48</v>
      </c>
      <c r="R12716" s="36" t="s">
        <v>48</v>
      </c>
    </row>
    <row r="12717">
      <c r="H12717" s="50"/>
      <c r="I12717" s="50"/>
      <c r="O12717" s="36" t="s">
        <v>48</v>
      </c>
      <c r="R12717" s="36" t="s">
        <v>48</v>
      </c>
    </row>
    <row r="12718">
      <c r="H12718" s="50"/>
      <c r="I12718" s="50"/>
      <c r="O12718" s="36" t="s">
        <v>48</v>
      </c>
      <c r="R12718" s="36" t="s">
        <v>48</v>
      </c>
    </row>
    <row r="12719">
      <c r="H12719" s="50"/>
      <c r="I12719" s="50"/>
      <c r="O12719" s="36" t="s">
        <v>48</v>
      </c>
      <c r="R12719" s="36" t="s">
        <v>48</v>
      </c>
    </row>
    <row r="12720">
      <c r="H12720" s="50"/>
      <c r="I12720" s="50"/>
      <c r="O12720" s="36" t="s">
        <v>48</v>
      </c>
      <c r="R12720" s="36" t="s">
        <v>48</v>
      </c>
    </row>
    <row r="12721">
      <c r="H12721" s="50"/>
      <c r="I12721" s="50"/>
      <c r="O12721" s="36" t="s">
        <v>48</v>
      </c>
      <c r="R12721" s="36" t="s">
        <v>48</v>
      </c>
    </row>
    <row r="12722">
      <c r="H12722" s="50"/>
      <c r="I12722" s="50"/>
      <c r="O12722" s="36" t="s">
        <v>48</v>
      </c>
      <c r="R12722" s="36" t="s">
        <v>48</v>
      </c>
    </row>
    <row r="12723">
      <c r="H12723" s="50"/>
      <c r="I12723" s="50"/>
      <c r="O12723" s="36" t="s">
        <v>48</v>
      </c>
      <c r="R12723" s="36" t="s">
        <v>48</v>
      </c>
    </row>
    <row r="12724">
      <c r="H12724" s="50"/>
      <c r="I12724" s="50"/>
      <c r="O12724" s="36" t="s">
        <v>48</v>
      </c>
      <c r="R12724" s="36" t="s">
        <v>48</v>
      </c>
    </row>
    <row r="12725">
      <c r="H12725" s="50"/>
      <c r="I12725" s="50"/>
      <c r="O12725" s="36" t="s">
        <v>48</v>
      </c>
      <c r="R12725" s="36" t="s">
        <v>48</v>
      </c>
    </row>
    <row r="12726">
      <c r="H12726" s="50"/>
      <c r="I12726" s="50"/>
      <c r="O12726" s="36" t="s">
        <v>48</v>
      </c>
      <c r="R12726" s="36" t="s">
        <v>48</v>
      </c>
    </row>
    <row r="12727">
      <c r="H12727" s="50"/>
      <c r="I12727" s="50"/>
      <c r="O12727" s="36" t="s">
        <v>48</v>
      </c>
      <c r="R12727" s="36" t="s">
        <v>48</v>
      </c>
    </row>
    <row r="12728">
      <c r="H12728" s="50"/>
      <c r="I12728" s="50"/>
      <c r="O12728" s="36" t="s">
        <v>48</v>
      </c>
      <c r="R12728" s="36" t="s">
        <v>48</v>
      </c>
    </row>
    <row r="12729">
      <c r="H12729" s="50"/>
      <c r="I12729" s="50"/>
      <c r="O12729" s="36" t="s">
        <v>48</v>
      </c>
      <c r="R12729" s="36" t="s">
        <v>48</v>
      </c>
    </row>
    <row r="12730">
      <c r="H12730" s="50"/>
      <c r="I12730" s="50"/>
      <c r="O12730" s="36" t="s">
        <v>48</v>
      </c>
      <c r="R12730" s="36" t="s">
        <v>48</v>
      </c>
    </row>
    <row r="12731">
      <c r="H12731" s="50"/>
      <c r="I12731" s="50"/>
      <c r="O12731" s="36" t="s">
        <v>48</v>
      </c>
      <c r="R12731" s="36" t="s">
        <v>48</v>
      </c>
    </row>
    <row r="12732">
      <c r="H12732" s="50"/>
      <c r="I12732" s="50"/>
      <c r="O12732" s="36" t="s">
        <v>48</v>
      </c>
      <c r="R12732" s="36" t="s">
        <v>48</v>
      </c>
    </row>
    <row r="12733">
      <c r="H12733" s="50"/>
      <c r="I12733" s="50"/>
      <c r="O12733" s="36" t="s">
        <v>48</v>
      </c>
      <c r="R12733" s="36" t="s">
        <v>48</v>
      </c>
    </row>
    <row r="12734">
      <c r="H12734" s="50"/>
      <c r="I12734" s="50"/>
      <c r="O12734" s="36" t="s">
        <v>48</v>
      </c>
      <c r="R12734" s="36" t="s">
        <v>48</v>
      </c>
    </row>
    <row r="12735">
      <c r="H12735" s="50"/>
      <c r="I12735" s="50"/>
      <c r="O12735" s="36" t="s">
        <v>48</v>
      </c>
      <c r="R12735" s="36" t="s">
        <v>48</v>
      </c>
    </row>
    <row r="12736">
      <c r="H12736" s="50"/>
      <c r="I12736" s="50"/>
      <c r="O12736" s="36" t="s">
        <v>48</v>
      </c>
      <c r="R12736" s="36" t="s">
        <v>48</v>
      </c>
    </row>
    <row r="12737">
      <c r="H12737" s="50"/>
      <c r="I12737" s="50"/>
      <c r="O12737" s="36" t="s">
        <v>48</v>
      </c>
      <c r="R12737" s="36" t="s">
        <v>48</v>
      </c>
    </row>
    <row r="12738">
      <c r="H12738" s="50"/>
      <c r="I12738" s="50"/>
      <c r="O12738" s="36" t="s">
        <v>48</v>
      </c>
      <c r="R12738" s="36" t="s">
        <v>48</v>
      </c>
    </row>
    <row r="12739">
      <c r="H12739" s="50"/>
      <c r="I12739" s="50"/>
      <c r="O12739" s="36" t="s">
        <v>48</v>
      </c>
      <c r="R12739" s="36" t="s">
        <v>48</v>
      </c>
    </row>
    <row r="12740">
      <c r="H12740" s="50"/>
      <c r="I12740" s="50"/>
      <c r="O12740" s="36" t="s">
        <v>48</v>
      </c>
      <c r="R12740" s="36" t="s">
        <v>48</v>
      </c>
    </row>
    <row r="12741">
      <c r="H12741" s="50"/>
      <c r="I12741" s="50"/>
      <c r="O12741" s="36" t="s">
        <v>48</v>
      </c>
      <c r="R12741" s="36" t="s">
        <v>48</v>
      </c>
    </row>
    <row r="12742">
      <c r="H12742" s="50"/>
      <c r="I12742" s="50"/>
      <c r="O12742" s="36" t="s">
        <v>48</v>
      </c>
      <c r="R12742" s="36" t="s">
        <v>48</v>
      </c>
    </row>
    <row r="12743">
      <c r="H12743" s="50"/>
      <c r="I12743" s="50"/>
      <c r="O12743" s="36" t="s">
        <v>48</v>
      </c>
      <c r="R12743" s="36" t="s">
        <v>48</v>
      </c>
    </row>
    <row r="12744">
      <c r="H12744" s="50"/>
      <c r="I12744" s="50"/>
      <c r="O12744" s="36" t="s">
        <v>48</v>
      </c>
      <c r="R12744" s="36" t="s">
        <v>48</v>
      </c>
    </row>
    <row r="12745">
      <c r="H12745" s="50"/>
      <c r="I12745" s="50"/>
      <c r="O12745" s="36" t="s">
        <v>48</v>
      </c>
      <c r="R12745" s="36" t="s">
        <v>48</v>
      </c>
    </row>
    <row r="12746">
      <c r="H12746" s="50"/>
      <c r="I12746" s="50"/>
      <c r="O12746" s="36" t="s">
        <v>48</v>
      </c>
      <c r="R12746" s="36" t="s">
        <v>48</v>
      </c>
    </row>
    <row r="12747">
      <c r="H12747" s="50"/>
      <c r="I12747" s="50"/>
      <c r="O12747" s="36" t="s">
        <v>48</v>
      </c>
      <c r="R12747" s="36" t="s">
        <v>48</v>
      </c>
    </row>
    <row r="12748">
      <c r="H12748" s="50"/>
      <c r="I12748" s="50"/>
      <c r="O12748" s="36" t="s">
        <v>48</v>
      </c>
      <c r="R12748" s="36" t="s">
        <v>48</v>
      </c>
    </row>
    <row r="12749">
      <c r="H12749" s="50"/>
      <c r="I12749" s="50"/>
      <c r="O12749" s="36" t="s">
        <v>48</v>
      </c>
      <c r="R12749" s="36" t="s">
        <v>48</v>
      </c>
    </row>
    <row r="12750">
      <c r="H12750" s="50"/>
      <c r="I12750" s="50"/>
      <c r="O12750" s="36" t="s">
        <v>48</v>
      </c>
      <c r="R12750" s="36" t="s">
        <v>48</v>
      </c>
    </row>
    <row r="12751">
      <c r="H12751" s="50"/>
      <c r="I12751" s="50"/>
      <c r="O12751" s="36" t="s">
        <v>48</v>
      </c>
      <c r="R12751" s="36" t="s">
        <v>48</v>
      </c>
    </row>
    <row r="12752">
      <c r="H12752" s="50"/>
      <c r="I12752" s="50"/>
      <c r="O12752" s="36" t="s">
        <v>48</v>
      </c>
      <c r="R12752" s="36" t="s">
        <v>48</v>
      </c>
    </row>
    <row r="12753">
      <c r="H12753" s="50"/>
      <c r="I12753" s="50"/>
      <c r="O12753" s="36" t="s">
        <v>48</v>
      </c>
      <c r="R12753" s="36" t="s">
        <v>48</v>
      </c>
    </row>
    <row r="12754">
      <c r="H12754" s="50"/>
      <c r="I12754" s="50"/>
      <c r="O12754" s="36" t="s">
        <v>48</v>
      </c>
      <c r="R12754" s="36" t="s">
        <v>48</v>
      </c>
    </row>
    <row r="12755">
      <c r="H12755" s="50"/>
      <c r="I12755" s="50"/>
      <c r="O12755" s="36" t="s">
        <v>48</v>
      </c>
      <c r="R12755" s="36" t="s">
        <v>48</v>
      </c>
    </row>
    <row r="12756">
      <c r="H12756" s="50"/>
      <c r="I12756" s="50"/>
      <c r="O12756" s="36" t="s">
        <v>48</v>
      </c>
      <c r="R12756" s="36" t="s">
        <v>48</v>
      </c>
    </row>
    <row r="12757">
      <c r="H12757" s="50"/>
      <c r="I12757" s="50"/>
      <c r="O12757" s="36" t="s">
        <v>48</v>
      </c>
      <c r="R12757" s="36" t="s">
        <v>48</v>
      </c>
    </row>
    <row r="12758">
      <c r="H12758" s="50"/>
      <c r="I12758" s="50"/>
      <c r="O12758" s="36" t="s">
        <v>48</v>
      </c>
      <c r="R12758" s="36" t="s">
        <v>48</v>
      </c>
    </row>
    <row r="12759">
      <c r="H12759" s="50"/>
      <c r="I12759" s="50"/>
      <c r="O12759" s="36" t="s">
        <v>48</v>
      </c>
      <c r="R12759" s="36" t="s">
        <v>48</v>
      </c>
    </row>
    <row r="12760">
      <c r="H12760" s="50"/>
      <c r="I12760" s="50"/>
      <c r="O12760" s="36" t="s">
        <v>48</v>
      </c>
      <c r="R12760" s="36" t="s">
        <v>48</v>
      </c>
    </row>
    <row r="12761">
      <c r="H12761" s="50"/>
      <c r="I12761" s="50"/>
      <c r="O12761" s="36" t="s">
        <v>48</v>
      </c>
      <c r="R12761" s="36" t="s">
        <v>48</v>
      </c>
    </row>
    <row r="12762">
      <c r="H12762" s="50"/>
      <c r="I12762" s="50"/>
      <c r="O12762" s="36" t="s">
        <v>48</v>
      </c>
      <c r="R12762" s="36" t="s">
        <v>48</v>
      </c>
    </row>
    <row r="12763">
      <c r="H12763" s="50"/>
      <c r="I12763" s="50"/>
      <c r="O12763" s="36" t="s">
        <v>48</v>
      </c>
      <c r="R12763" s="36" t="s">
        <v>48</v>
      </c>
    </row>
    <row r="12764">
      <c r="H12764" s="50"/>
      <c r="I12764" s="50"/>
      <c r="O12764" s="36" t="s">
        <v>48</v>
      </c>
      <c r="R12764" s="36" t="s">
        <v>48</v>
      </c>
    </row>
    <row r="12765">
      <c r="H12765" s="50"/>
      <c r="I12765" s="50"/>
      <c r="O12765" s="36" t="s">
        <v>48</v>
      </c>
      <c r="R12765" s="36" t="s">
        <v>48</v>
      </c>
    </row>
    <row r="12766">
      <c r="H12766" s="50"/>
      <c r="I12766" s="50"/>
      <c r="O12766" s="36" t="s">
        <v>48</v>
      </c>
      <c r="R12766" s="36" t="s">
        <v>48</v>
      </c>
    </row>
    <row r="12767">
      <c r="H12767" s="50"/>
      <c r="I12767" s="50"/>
      <c r="O12767" s="36" t="s">
        <v>48</v>
      </c>
      <c r="R12767" s="36" t="s">
        <v>48</v>
      </c>
    </row>
    <row r="12768">
      <c r="H12768" s="50"/>
      <c r="I12768" s="50"/>
      <c r="O12768" s="36" t="s">
        <v>48</v>
      </c>
      <c r="R12768" s="36" t="s">
        <v>48</v>
      </c>
    </row>
    <row r="12769">
      <c r="H12769" s="50"/>
      <c r="I12769" s="50"/>
      <c r="O12769" s="36" t="s">
        <v>48</v>
      </c>
      <c r="R12769" s="36" t="s">
        <v>48</v>
      </c>
    </row>
    <row r="12770">
      <c r="H12770" s="50"/>
      <c r="I12770" s="50"/>
      <c r="O12770" s="36" t="s">
        <v>48</v>
      </c>
      <c r="R12770" s="36" t="s">
        <v>48</v>
      </c>
    </row>
    <row r="12771">
      <c r="H12771" s="50"/>
      <c r="I12771" s="50"/>
      <c r="O12771" s="36" t="s">
        <v>48</v>
      </c>
      <c r="R12771" s="36" t="s">
        <v>48</v>
      </c>
    </row>
    <row r="12772">
      <c r="H12772" s="50"/>
      <c r="I12772" s="50"/>
      <c r="O12772" s="36" t="s">
        <v>48</v>
      </c>
      <c r="R12772" s="36" t="s">
        <v>48</v>
      </c>
    </row>
    <row r="12773">
      <c r="H12773" s="50"/>
      <c r="I12773" s="50"/>
      <c r="O12773" s="36" t="s">
        <v>48</v>
      </c>
      <c r="R12773" s="36" t="s">
        <v>48</v>
      </c>
    </row>
    <row r="12774">
      <c r="H12774" s="50"/>
      <c r="I12774" s="50"/>
      <c r="O12774" s="36" t="s">
        <v>48</v>
      </c>
      <c r="R12774" s="36" t="s">
        <v>48</v>
      </c>
    </row>
    <row r="12775">
      <c r="H12775" s="50"/>
      <c r="I12775" s="50"/>
      <c r="O12775" s="36" t="s">
        <v>48</v>
      </c>
      <c r="R12775" s="36" t="s">
        <v>48</v>
      </c>
    </row>
    <row r="12776">
      <c r="H12776" s="50"/>
      <c r="I12776" s="50"/>
      <c r="O12776" s="36" t="s">
        <v>48</v>
      </c>
      <c r="R12776" s="36" t="s">
        <v>48</v>
      </c>
    </row>
    <row r="12777">
      <c r="H12777" s="50"/>
      <c r="I12777" s="50"/>
      <c r="O12777" s="36" t="s">
        <v>48</v>
      </c>
      <c r="R12777" s="36" t="s">
        <v>48</v>
      </c>
    </row>
    <row r="12778">
      <c r="H12778" s="50"/>
      <c r="I12778" s="50"/>
      <c r="O12778" s="36" t="s">
        <v>48</v>
      </c>
      <c r="R12778" s="36" t="s">
        <v>48</v>
      </c>
    </row>
    <row r="12779">
      <c r="H12779" s="50"/>
      <c r="I12779" s="50"/>
      <c r="O12779" s="36" t="s">
        <v>48</v>
      </c>
      <c r="R12779" s="36" t="s">
        <v>48</v>
      </c>
    </row>
    <row r="12780">
      <c r="H12780" s="50"/>
      <c r="I12780" s="50"/>
      <c r="O12780" s="36" t="s">
        <v>48</v>
      </c>
      <c r="R12780" s="36" t="s">
        <v>48</v>
      </c>
    </row>
    <row r="12781">
      <c r="H12781" s="50"/>
      <c r="I12781" s="50"/>
      <c r="O12781" s="36" t="s">
        <v>48</v>
      </c>
      <c r="R12781" s="36" t="s">
        <v>48</v>
      </c>
    </row>
    <row r="12782">
      <c r="H12782" s="50"/>
      <c r="I12782" s="50"/>
      <c r="O12782" s="36" t="s">
        <v>48</v>
      </c>
      <c r="R12782" s="36" t="s">
        <v>48</v>
      </c>
    </row>
    <row r="12783">
      <c r="H12783" s="50"/>
      <c r="I12783" s="50"/>
      <c r="O12783" s="36" t="s">
        <v>48</v>
      </c>
      <c r="R12783" s="36" t="s">
        <v>48</v>
      </c>
    </row>
    <row r="12784">
      <c r="H12784" s="50"/>
      <c r="I12784" s="50"/>
      <c r="O12784" s="36" t="s">
        <v>48</v>
      </c>
      <c r="R12784" s="36" t="s">
        <v>48</v>
      </c>
    </row>
    <row r="12785">
      <c r="H12785" s="50"/>
      <c r="I12785" s="50"/>
      <c r="O12785" s="36" t="s">
        <v>48</v>
      </c>
      <c r="R12785" s="36" t="s">
        <v>48</v>
      </c>
    </row>
    <row r="12786">
      <c r="H12786" s="50"/>
      <c r="I12786" s="50"/>
      <c r="O12786" s="36" t="s">
        <v>48</v>
      </c>
      <c r="R12786" s="36" t="s">
        <v>48</v>
      </c>
    </row>
    <row r="12787">
      <c r="H12787" s="50"/>
      <c r="I12787" s="50"/>
      <c r="O12787" s="36" t="s">
        <v>48</v>
      </c>
      <c r="R12787" s="36" t="s">
        <v>48</v>
      </c>
    </row>
    <row r="12788">
      <c r="H12788" s="50"/>
      <c r="I12788" s="50"/>
      <c r="O12788" s="36" t="s">
        <v>48</v>
      </c>
      <c r="R12788" s="36" t="s">
        <v>48</v>
      </c>
    </row>
    <row r="12789">
      <c r="H12789" s="50"/>
      <c r="I12789" s="50"/>
      <c r="O12789" s="36" t="s">
        <v>48</v>
      </c>
      <c r="R12789" s="36" t="s">
        <v>48</v>
      </c>
    </row>
    <row r="12790">
      <c r="H12790" s="50"/>
      <c r="I12790" s="50"/>
      <c r="O12790" s="36" t="s">
        <v>48</v>
      </c>
      <c r="R12790" s="36" t="s">
        <v>48</v>
      </c>
    </row>
    <row r="12791">
      <c r="H12791" s="50"/>
      <c r="I12791" s="50"/>
      <c r="O12791" s="36" t="s">
        <v>48</v>
      </c>
      <c r="R12791" s="36" t="s">
        <v>48</v>
      </c>
    </row>
    <row r="12792">
      <c r="H12792" s="50"/>
      <c r="I12792" s="50"/>
      <c r="O12792" s="36" t="s">
        <v>48</v>
      </c>
      <c r="R12792" s="36" t="s">
        <v>48</v>
      </c>
    </row>
    <row r="12793">
      <c r="H12793" s="50"/>
      <c r="I12793" s="50"/>
      <c r="O12793" s="36" t="s">
        <v>48</v>
      </c>
      <c r="R12793" s="36" t="s">
        <v>48</v>
      </c>
    </row>
    <row r="12794">
      <c r="H12794" s="50"/>
      <c r="I12794" s="50"/>
      <c r="O12794" s="36" t="s">
        <v>48</v>
      </c>
      <c r="R12794" s="36" t="s">
        <v>48</v>
      </c>
    </row>
    <row r="12795">
      <c r="H12795" s="50"/>
      <c r="I12795" s="50"/>
      <c r="O12795" s="36" t="s">
        <v>48</v>
      </c>
      <c r="R12795" s="36" t="s">
        <v>48</v>
      </c>
    </row>
    <row r="12796">
      <c r="H12796" s="50"/>
      <c r="I12796" s="50"/>
      <c r="O12796" s="36" t="s">
        <v>48</v>
      </c>
      <c r="R12796" s="36" t="s">
        <v>48</v>
      </c>
    </row>
    <row r="12797">
      <c r="H12797" s="50"/>
      <c r="I12797" s="50"/>
      <c r="O12797" s="36" t="s">
        <v>48</v>
      </c>
      <c r="R12797" s="36" t="s">
        <v>48</v>
      </c>
    </row>
    <row r="12798">
      <c r="H12798" s="50"/>
      <c r="I12798" s="50"/>
      <c r="O12798" s="36" t="s">
        <v>48</v>
      </c>
      <c r="R12798" s="36" t="s">
        <v>48</v>
      </c>
    </row>
    <row r="12799">
      <c r="H12799" s="50"/>
      <c r="I12799" s="50"/>
      <c r="O12799" s="36" t="s">
        <v>48</v>
      </c>
      <c r="R12799" s="36" t="s">
        <v>48</v>
      </c>
    </row>
    <row r="12800">
      <c r="H12800" s="50"/>
      <c r="I12800" s="50"/>
      <c r="O12800" s="36" t="s">
        <v>48</v>
      </c>
      <c r="R12800" s="36" t="s">
        <v>48</v>
      </c>
    </row>
    <row r="12801">
      <c r="H12801" s="50"/>
      <c r="I12801" s="50"/>
      <c r="O12801" s="36" t="s">
        <v>48</v>
      </c>
      <c r="R12801" s="36" t="s">
        <v>48</v>
      </c>
    </row>
    <row r="12802">
      <c r="H12802" s="50"/>
      <c r="I12802" s="50"/>
      <c r="O12802" s="36" t="s">
        <v>48</v>
      </c>
      <c r="R12802" s="36" t="s">
        <v>48</v>
      </c>
    </row>
    <row r="12803">
      <c r="H12803" s="50"/>
      <c r="I12803" s="50"/>
      <c r="O12803" s="36" t="s">
        <v>48</v>
      </c>
      <c r="R12803" s="36" t="s">
        <v>48</v>
      </c>
    </row>
    <row r="12804">
      <c r="H12804" s="50"/>
      <c r="I12804" s="50"/>
      <c r="O12804" s="36" t="s">
        <v>48</v>
      </c>
      <c r="R12804" s="36" t="s">
        <v>48</v>
      </c>
    </row>
    <row r="12805">
      <c r="H12805" s="50"/>
      <c r="I12805" s="50"/>
      <c r="O12805" s="36" t="s">
        <v>48</v>
      </c>
      <c r="R12805" s="36" t="s">
        <v>48</v>
      </c>
    </row>
    <row r="12806">
      <c r="H12806" s="50"/>
      <c r="I12806" s="50"/>
      <c r="O12806" s="36" t="s">
        <v>48</v>
      </c>
      <c r="R12806" s="36" t="s">
        <v>48</v>
      </c>
    </row>
    <row r="12807">
      <c r="H12807" s="50"/>
      <c r="I12807" s="50"/>
      <c r="O12807" s="36" t="s">
        <v>48</v>
      </c>
      <c r="R12807" s="36" t="s">
        <v>48</v>
      </c>
    </row>
    <row r="12808">
      <c r="H12808" s="50"/>
      <c r="I12808" s="50"/>
      <c r="O12808" s="36" t="s">
        <v>48</v>
      </c>
      <c r="R12808" s="36" t="s">
        <v>48</v>
      </c>
    </row>
    <row r="12809">
      <c r="H12809" s="50"/>
      <c r="I12809" s="50"/>
      <c r="O12809" s="36" t="s">
        <v>48</v>
      </c>
      <c r="R12809" s="36" t="s">
        <v>48</v>
      </c>
    </row>
    <row r="12810">
      <c r="H12810" s="50"/>
      <c r="I12810" s="50"/>
      <c r="O12810" s="36" t="s">
        <v>48</v>
      </c>
      <c r="R12810" s="36" t="s">
        <v>48</v>
      </c>
    </row>
    <row r="12811">
      <c r="H12811" s="50"/>
      <c r="I12811" s="50"/>
      <c r="O12811" s="36" t="s">
        <v>48</v>
      </c>
      <c r="R12811" s="36" t="s">
        <v>48</v>
      </c>
    </row>
    <row r="12812">
      <c r="H12812" s="50"/>
      <c r="I12812" s="50"/>
      <c r="O12812" s="36" t="s">
        <v>48</v>
      </c>
      <c r="R12812" s="36" t="s">
        <v>48</v>
      </c>
    </row>
    <row r="12813">
      <c r="H12813" s="50"/>
      <c r="I12813" s="50"/>
      <c r="O12813" s="36" t="s">
        <v>48</v>
      </c>
      <c r="R12813" s="36" t="s">
        <v>48</v>
      </c>
    </row>
    <row r="12814">
      <c r="H12814" s="50"/>
      <c r="I12814" s="50"/>
      <c r="O12814" s="36" t="s">
        <v>48</v>
      </c>
      <c r="R12814" s="36" t="s">
        <v>48</v>
      </c>
    </row>
    <row r="12815">
      <c r="H12815" s="50"/>
      <c r="I12815" s="50"/>
      <c r="O12815" s="36" t="s">
        <v>48</v>
      </c>
      <c r="R12815" s="36" t="s">
        <v>48</v>
      </c>
    </row>
    <row r="12816">
      <c r="H12816" s="50"/>
      <c r="I12816" s="50"/>
      <c r="O12816" s="36" t="s">
        <v>48</v>
      </c>
      <c r="R12816" s="36" t="s">
        <v>48</v>
      </c>
    </row>
    <row r="12817">
      <c r="H12817" s="50"/>
      <c r="I12817" s="50"/>
      <c r="O12817" s="36" t="s">
        <v>48</v>
      </c>
      <c r="R12817" s="36" t="s">
        <v>48</v>
      </c>
    </row>
    <row r="12818">
      <c r="H12818" s="50"/>
      <c r="I12818" s="50"/>
      <c r="O12818" s="36" t="s">
        <v>48</v>
      </c>
      <c r="R12818" s="36" t="s">
        <v>48</v>
      </c>
    </row>
    <row r="12819">
      <c r="H12819" s="50"/>
      <c r="I12819" s="50"/>
      <c r="O12819" s="36" t="s">
        <v>48</v>
      </c>
      <c r="R12819" s="36" t="s">
        <v>48</v>
      </c>
    </row>
    <row r="12820">
      <c r="H12820" s="50"/>
      <c r="I12820" s="50"/>
      <c r="O12820" s="36" t="s">
        <v>48</v>
      </c>
      <c r="R12820" s="36" t="s">
        <v>48</v>
      </c>
    </row>
    <row r="12821">
      <c r="H12821" s="50"/>
      <c r="I12821" s="50"/>
      <c r="O12821" s="36" t="s">
        <v>48</v>
      </c>
      <c r="R12821" s="36" t="s">
        <v>48</v>
      </c>
    </row>
    <row r="12822">
      <c r="H12822" s="50"/>
      <c r="I12822" s="50"/>
      <c r="O12822" s="36" t="s">
        <v>48</v>
      </c>
      <c r="R12822" s="36" t="s">
        <v>48</v>
      </c>
    </row>
    <row r="12823">
      <c r="H12823" s="50"/>
      <c r="I12823" s="50"/>
      <c r="O12823" s="36" t="s">
        <v>48</v>
      </c>
      <c r="R12823" s="36" t="s">
        <v>48</v>
      </c>
    </row>
    <row r="12824">
      <c r="H12824" s="50"/>
      <c r="I12824" s="50"/>
      <c r="O12824" s="36" t="s">
        <v>48</v>
      </c>
      <c r="R12824" s="36" t="s">
        <v>48</v>
      </c>
    </row>
    <row r="12825">
      <c r="H12825" s="50"/>
      <c r="I12825" s="50"/>
      <c r="O12825" s="36" t="s">
        <v>48</v>
      </c>
      <c r="R12825" s="36" t="s">
        <v>48</v>
      </c>
    </row>
    <row r="12826">
      <c r="H12826" s="50"/>
      <c r="I12826" s="50"/>
      <c r="O12826" s="36" t="s">
        <v>48</v>
      </c>
      <c r="R12826" s="36" t="s">
        <v>48</v>
      </c>
    </row>
    <row r="12827">
      <c r="H12827" s="50"/>
      <c r="I12827" s="50"/>
      <c r="O12827" s="36" t="s">
        <v>48</v>
      </c>
      <c r="R12827" s="36" t="s">
        <v>48</v>
      </c>
    </row>
    <row r="12828">
      <c r="H12828" s="50"/>
      <c r="I12828" s="50"/>
      <c r="O12828" s="36" t="s">
        <v>48</v>
      </c>
      <c r="R12828" s="36" t="s">
        <v>48</v>
      </c>
    </row>
    <row r="12829">
      <c r="H12829" s="50"/>
      <c r="I12829" s="50"/>
      <c r="O12829" s="36" t="s">
        <v>48</v>
      </c>
      <c r="R12829" s="36" t="s">
        <v>48</v>
      </c>
    </row>
    <row r="12830">
      <c r="H12830" s="50"/>
      <c r="I12830" s="50"/>
      <c r="O12830" s="36" t="s">
        <v>48</v>
      </c>
      <c r="R12830" s="36" t="s">
        <v>48</v>
      </c>
    </row>
    <row r="12831">
      <c r="H12831" s="50"/>
      <c r="I12831" s="50"/>
      <c r="O12831" s="36" t="s">
        <v>48</v>
      </c>
      <c r="R12831" s="36" t="s">
        <v>48</v>
      </c>
    </row>
    <row r="12832">
      <c r="H12832" s="50"/>
      <c r="I12832" s="50"/>
      <c r="O12832" s="36" t="s">
        <v>48</v>
      </c>
      <c r="R12832" s="36" t="s">
        <v>48</v>
      </c>
    </row>
    <row r="12833">
      <c r="H12833" s="50"/>
      <c r="I12833" s="50"/>
      <c r="O12833" s="36" t="s">
        <v>48</v>
      </c>
      <c r="R12833" s="36" t="s">
        <v>48</v>
      </c>
    </row>
    <row r="12834">
      <c r="H12834" s="50"/>
      <c r="I12834" s="50"/>
      <c r="O12834" s="36" t="s">
        <v>48</v>
      </c>
      <c r="R12834" s="36" t="s">
        <v>48</v>
      </c>
    </row>
    <row r="12835">
      <c r="H12835" s="50"/>
      <c r="I12835" s="50"/>
      <c r="O12835" s="36" t="s">
        <v>48</v>
      </c>
      <c r="R12835" s="36" t="s">
        <v>48</v>
      </c>
    </row>
    <row r="12836">
      <c r="H12836" s="50"/>
      <c r="I12836" s="50"/>
      <c r="O12836" s="36" t="s">
        <v>48</v>
      </c>
      <c r="R12836" s="36" t="s">
        <v>48</v>
      </c>
    </row>
    <row r="12837">
      <c r="H12837" s="50"/>
      <c r="I12837" s="50"/>
      <c r="O12837" s="36" t="s">
        <v>48</v>
      </c>
      <c r="R12837" s="36" t="s">
        <v>48</v>
      </c>
    </row>
    <row r="12838">
      <c r="H12838" s="50"/>
      <c r="I12838" s="50"/>
      <c r="O12838" s="36" t="s">
        <v>48</v>
      </c>
      <c r="R12838" s="36" t="s">
        <v>48</v>
      </c>
    </row>
    <row r="12839">
      <c r="H12839" s="50"/>
      <c r="I12839" s="50"/>
      <c r="O12839" s="36" t="s">
        <v>48</v>
      </c>
      <c r="R12839" s="36" t="s">
        <v>48</v>
      </c>
    </row>
    <row r="12840">
      <c r="H12840" s="50"/>
      <c r="I12840" s="50"/>
      <c r="O12840" s="36" t="s">
        <v>48</v>
      </c>
      <c r="R12840" s="36" t="s">
        <v>48</v>
      </c>
    </row>
    <row r="12841">
      <c r="H12841" s="50"/>
      <c r="I12841" s="50"/>
      <c r="O12841" s="36" t="s">
        <v>48</v>
      </c>
      <c r="R12841" s="36" t="s">
        <v>48</v>
      </c>
    </row>
    <row r="12842">
      <c r="H12842" s="50"/>
      <c r="I12842" s="50"/>
      <c r="O12842" s="36" t="s">
        <v>48</v>
      </c>
      <c r="R12842" s="36" t="s">
        <v>48</v>
      </c>
    </row>
    <row r="12843">
      <c r="H12843" s="50"/>
      <c r="I12843" s="50"/>
      <c r="O12843" s="36" t="s">
        <v>48</v>
      </c>
      <c r="R12843" s="36" t="s">
        <v>48</v>
      </c>
    </row>
    <row r="12844">
      <c r="H12844" s="50"/>
      <c r="I12844" s="50"/>
      <c r="O12844" s="36" t="s">
        <v>48</v>
      </c>
      <c r="R12844" s="36" t="s">
        <v>48</v>
      </c>
    </row>
    <row r="12845">
      <c r="H12845" s="50"/>
      <c r="I12845" s="50"/>
      <c r="O12845" s="36" t="s">
        <v>48</v>
      </c>
      <c r="R12845" s="36" t="s">
        <v>48</v>
      </c>
    </row>
    <row r="12846">
      <c r="H12846" s="50"/>
      <c r="I12846" s="50"/>
      <c r="O12846" s="36" t="s">
        <v>48</v>
      </c>
      <c r="R12846" s="36" t="s">
        <v>48</v>
      </c>
    </row>
    <row r="12847">
      <c r="H12847" s="50"/>
      <c r="I12847" s="50"/>
      <c r="O12847" s="36" t="s">
        <v>48</v>
      </c>
      <c r="R12847" s="36" t="s">
        <v>48</v>
      </c>
    </row>
    <row r="12848">
      <c r="H12848" s="50"/>
      <c r="I12848" s="50"/>
      <c r="O12848" s="36" t="s">
        <v>48</v>
      </c>
      <c r="R12848" s="36" t="s">
        <v>48</v>
      </c>
    </row>
    <row r="12849">
      <c r="H12849" s="50"/>
      <c r="I12849" s="50"/>
      <c r="O12849" s="36" t="s">
        <v>48</v>
      </c>
      <c r="R12849" s="36" t="s">
        <v>48</v>
      </c>
    </row>
    <row r="12850">
      <c r="H12850" s="50"/>
      <c r="I12850" s="50"/>
      <c r="O12850" s="36" t="s">
        <v>48</v>
      </c>
      <c r="R12850" s="36" t="s">
        <v>48</v>
      </c>
    </row>
    <row r="12851">
      <c r="H12851" s="50"/>
      <c r="I12851" s="50"/>
      <c r="O12851" s="36" t="s">
        <v>48</v>
      </c>
      <c r="R12851" s="36" t="s">
        <v>48</v>
      </c>
    </row>
    <row r="12852">
      <c r="H12852" s="50"/>
      <c r="I12852" s="50"/>
      <c r="O12852" s="36" t="s">
        <v>48</v>
      </c>
      <c r="R12852" s="36" t="s">
        <v>48</v>
      </c>
    </row>
    <row r="12853">
      <c r="H12853" s="50"/>
      <c r="I12853" s="50"/>
      <c r="O12853" s="36" t="s">
        <v>48</v>
      </c>
      <c r="R12853" s="36" t="s">
        <v>48</v>
      </c>
    </row>
    <row r="12854">
      <c r="H12854" s="50"/>
      <c r="I12854" s="50"/>
      <c r="O12854" s="36" t="s">
        <v>48</v>
      </c>
      <c r="R12854" s="36" t="s">
        <v>48</v>
      </c>
    </row>
    <row r="12855">
      <c r="H12855" s="50"/>
      <c r="I12855" s="50"/>
      <c r="O12855" s="36" t="s">
        <v>48</v>
      </c>
      <c r="R12855" s="36" t="s">
        <v>48</v>
      </c>
    </row>
    <row r="12856">
      <c r="H12856" s="50"/>
      <c r="I12856" s="50"/>
      <c r="O12856" s="36" t="s">
        <v>48</v>
      </c>
      <c r="R12856" s="36" t="s">
        <v>48</v>
      </c>
    </row>
    <row r="12857">
      <c r="H12857" s="50"/>
      <c r="I12857" s="50"/>
      <c r="O12857" s="36" t="s">
        <v>48</v>
      </c>
      <c r="R12857" s="36" t="s">
        <v>48</v>
      </c>
    </row>
    <row r="12858">
      <c r="H12858" s="50"/>
      <c r="I12858" s="50"/>
      <c r="O12858" s="36" t="s">
        <v>48</v>
      </c>
      <c r="R12858" s="36" t="s">
        <v>48</v>
      </c>
    </row>
    <row r="12859">
      <c r="H12859" s="50"/>
      <c r="I12859" s="50"/>
      <c r="O12859" s="36" t="s">
        <v>48</v>
      </c>
      <c r="R12859" s="36" t="s">
        <v>48</v>
      </c>
    </row>
    <row r="12860">
      <c r="H12860" s="50"/>
      <c r="I12860" s="50"/>
      <c r="O12860" s="36" t="s">
        <v>48</v>
      </c>
      <c r="R12860" s="36" t="s">
        <v>48</v>
      </c>
    </row>
    <row r="12861">
      <c r="H12861" s="50"/>
      <c r="I12861" s="50"/>
      <c r="O12861" s="36" t="s">
        <v>48</v>
      </c>
      <c r="R12861" s="36" t="s">
        <v>48</v>
      </c>
    </row>
    <row r="12862">
      <c r="H12862" s="50"/>
      <c r="I12862" s="50"/>
      <c r="O12862" s="36" t="s">
        <v>48</v>
      </c>
      <c r="R12862" s="36" t="s">
        <v>48</v>
      </c>
    </row>
    <row r="12863">
      <c r="H12863" s="50"/>
      <c r="I12863" s="50"/>
      <c r="O12863" s="36" t="s">
        <v>48</v>
      </c>
      <c r="R12863" s="36" t="s">
        <v>48</v>
      </c>
    </row>
    <row r="12864">
      <c r="H12864" s="50"/>
      <c r="I12864" s="50"/>
      <c r="O12864" s="36" t="s">
        <v>48</v>
      </c>
      <c r="R12864" s="36" t="s">
        <v>48</v>
      </c>
    </row>
    <row r="12865">
      <c r="H12865" s="50"/>
      <c r="I12865" s="50"/>
      <c r="O12865" s="36" t="s">
        <v>48</v>
      </c>
      <c r="R12865" s="36" t="s">
        <v>48</v>
      </c>
    </row>
    <row r="12866">
      <c r="H12866" s="50"/>
      <c r="I12866" s="50"/>
      <c r="O12866" s="36" t="s">
        <v>48</v>
      </c>
      <c r="R12866" s="36" t="s">
        <v>48</v>
      </c>
    </row>
    <row r="12867">
      <c r="H12867" s="50"/>
      <c r="I12867" s="50"/>
      <c r="O12867" s="36" t="s">
        <v>48</v>
      </c>
      <c r="R12867" s="36" t="s">
        <v>48</v>
      </c>
    </row>
    <row r="12868">
      <c r="H12868" s="50"/>
      <c r="I12868" s="50"/>
      <c r="O12868" s="36" t="s">
        <v>48</v>
      </c>
      <c r="R12868" s="36" t="s">
        <v>48</v>
      </c>
    </row>
    <row r="12869">
      <c r="H12869" s="50"/>
      <c r="I12869" s="50"/>
      <c r="O12869" s="36" t="s">
        <v>48</v>
      </c>
      <c r="R12869" s="36" t="s">
        <v>48</v>
      </c>
    </row>
    <row r="12870">
      <c r="H12870" s="50"/>
      <c r="I12870" s="50"/>
      <c r="O12870" s="36" t="s">
        <v>48</v>
      </c>
      <c r="R12870" s="36" t="s">
        <v>48</v>
      </c>
    </row>
    <row r="12871">
      <c r="H12871" s="50"/>
      <c r="I12871" s="50"/>
      <c r="O12871" s="36" t="s">
        <v>48</v>
      </c>
      <c r="R12871" s="36" t="s">
        <v>48</v>
      </c>
    </row>
    <row r="12872">
      <c r="H12872" s="50"/>
      <c r="I12872" s="50"/>
      <c r="O12872" s="36" t="s">
        <v>48</v>
      </c>
      <c r="R12872" s="36" t="s">
        <v>48</v>
      </c>
    </row>
    <row r="12873">
      <c r="H12873" s="50"/>
      <c r="I12873" s="50"/>
      <c r="O12873" s="36" t="s">
        <v>48</v>
      </c>
      <c r="R12873" s="36" t="s">
        <v>48</v>
      </c>
    </row>
    <row r="12874">
      <c r="H12874" s="50"/>
      <c r="I12874" s="50"/>
      <c r="O12874" s="36" t="s">
        <v>48</v>
      </c>
      <c r="R12874" s="36" t="s">
        <v>48</v>
      </c>
    </row>
    <row r="12875">
      <c r="H12875" s="50"/>
      <c r="I12875" s="50"/>
      <c r="O12875" s="36" t="s">
        <v>48</v>
      </c>
      <c r="R12875" s="36" t="s">
        <v>48</v>
      </c>
    </row>
    <row r="12876">
      <c r="H12876" s="50"/>
      <c r="I12876" s="50"/>
      <c r="O12876" s="36" t="s">
        <v>48</v>
      </c>
      <c r="R12876" s="36" t="s">
        <v>48</v>
      </c>
    </row>
    <row r="12877">
      <c r="H12877" s="50"/>
      <c r="I12877" s="50"/>
      <c r="O12877" s="36" t="s">
        <v>48</v>
      </c>
      <c r="R12877" s="36" t="s">
        <v>48</v>
      </c>
    </row>
    <row r="12878">
      <c r="H12878" s="50"/>
      <c r="I12878" s="50"/>
      <c r="O12878" s="36" t="s">
        <v>48</v>
      </c>
      <c r="R12878" s="36" t="s">
        <v>48</v>
      </c>
    </row>
    <row r="12879">
      <c r="H12879" s="50"/>
      <c r="I12879" s="50"/>
      <c r="O12879" s="36" t="s">
        <v>48</v>
      </c>
      <c r="R12879" s="36" t="s">
        <v>48</v>
      </c>
    </row>
    <row r="12880">
      <c r="H12880" s="50"/>
      <c r="I12880" s="50"/>
      <c r="O12880" s="36" t="s">
        <v>48</v>
      </c>
      <c r="R12880" s="36" t="s">
        <v>48</v>
      </c>
    </row>
    <row r="12881">
      <c r="H12881" s="50"/>
      <c r="I12881" s="50"/>
      <c r="O12881" s="36" t="s">
        <v>48</v>
      </c>
      <c r="R12881" s="36" t="s">
        <v>48</v>
      </c>
    </row>
    <row r="12882">
      <c r="H12882" s="50"/>
      <c r="I12882" s="50"/>
      <c r="O12882" s="36" t="s">
        <v>48</v>
      </c>
      <c r="R12882" s="36" t="s">
        <v>48</v>
      </c>
    </row>
    <row r="12883">
      <c r="H12883" s="50"/>
      <c r="I12883" s="50"/>
      <c r="O12883" s="36" t="s">
        <v>48</v>
      </c>
      <c r="R12883" s="36" t="s">
        <v>48</v>
      </c>
    </row>
    <row r="12884">
      <c r="H12884" s="50"/>
      <c r="I12884" s="50"/>
      <c r="O12884" s="36" t="s">
        <v>48</v>
      </c>
      <c r="R12884" s="36" t="s">
        <v>48</v>
      </c>
    </row>
    <row r="12885">
      <c r="H12885" s="50"/>
      <c r="I12885" s="50"/>
      <c r="O12885" s="36" t="s">
        <v>48</v>
      </c>
      <c r="R12885" s="36" t="s">
        <v>48</v>
      </c>
    </row>
    <row r="12886">
      <c r="H12886" s="50"/>
      <c r="I12886" s="50"/>
      <c r="O12886" s="36" t="s">
        <v>48</v>
      </c>
      <c r="R12886" s="36" t="s">
        <v>48</v>
      </c>
    </row>
    <row r="12887">
      <c r="H12887" s="50"/>
      <c r="I12887" s="50"/>
      <c r="O12887" s="36" t="s">
        <v>48</v>
      </c>
      <c r="R12887" s="36" t="s">
        <v>48</v>
      </c>
    </row>
    <row r="12888">
      <c r="H12888" s="50"/>
      <c r="I12888" s="50"/>
      <c r="O12888" s="36" t="s">
        <v>48</v>
      </c>
      <c r="R12888" s="36" t="s">
        <v>48</v>
      </c>
    </row>
    <row r="12889">
      <c r="H12889" s="50"/>
      <c r="I12889" s="50"/>
      <c r="O12889" s="36" t="s">
        <v>48</v>
      </c>
      <c r="R12889" s="36" t="s">
        <v>48</v>
      </c>
    </row>
    <row r="12890">
      <c r="H12890" s="50"/>
      <c r="I12890" s="50"/>
      <c r="O12890" s="36" t="s">
        <v>48</v>
      </c>
      <c r="R12890" s="36" t="s">
        <v>48</v>
      </c>
    </row>
    <row r="12891">
      <c r="H12891" s="50"/>
      <c r="I12891" s="50"/>
      <c r="O12891" s="36" t="s">
        <v>48</v>
      </c>
      <c r="R12891" s="36" t="s">
        <v>48</v>
      </c>
    </row>
    <row r="12892">
      <c r="H12892" s="50"/>
      <c r="I12892" s="50"/>
      <c r="O12892" s="36" t="s">
        <v>48</v>
      </c>
      <c r="R12892" s="36" t="s">
        <v>48</v>
      </c>
    </row>
    <row r="12893">
      <c r="H12893" s="50"/>
      <c r="I12893" s="50"/>
      <c r="O12893" s="36" t="s">
        <v>48</v>
      </c>
      <c r="R12893" s="36" t="s">
        <v>48</v>
      </c>
    </row>
    <row r="12894">
      <c r="H12894" s="50"/>
      <c r="I12894" s="50"/>
      <c r="O12894" s="36" t="s">
        <v>48</v>
      </c>
      <c r="R12894" s="36" t="s">
        <v>48</v>
      </c>
    </row>
    <row r="12895">
      <c r="H12895" s="50"/>
      <c r="I12895" s="50"/>
      <c r="O12895" s="36" t="s">
        <v>48</v>
      </c>
      <c r="R12895" s="36" t="s">
        <v>48</v>
      </c>
    </row>
    <row r="12896">
      <c r="H12896" s="50"/>
      <c r="I12896" s="50"/>
      <c r="O12896" s="36" t="s">
        <v>48</v>
      </c>
      <c r="R12896" s="36" t="s">
        <v>48</v>
      </c>
    </row>
    <row r="12897">
      <c r="H12897" s="50"/>
      <c r="I12897" s="50"/>
      <c r="O12897" s="36" t="s">
        <v>48</v>
      </c>
      <c r="R12897" s="36" t="s">
        <v>48</v>
      </c>
    </row>
    <row r="12898">
      <c r="H12898" s="50"/>
      <c r="I12898" s="50"/>
      <c r="O12898" s="36" t="s">
        <v>48</v>
      </c>
      <c r="R12898" s="36" t="s">
        <v>48</v>
      </c>
    </row>
    <row r="12899">
      <c r="H12899" s="50"/>
      <c r="I12899" s="50"/>
      <c r="O12899" s="36" t="s">
        <v>48</v>
      </c>
      <c r="R12899" s="36" t="s">
        <v>48</v>
      </c>
    </row>
    <row r="12900">
      <c r="H12900" s="50"/>
      <c r="I12900" s="50"/>
      <c r="O12900" s="36" t="s">
        <v>48</v>
      </c>
      <c r="R12900" s="36" t="s">
        <v>48</v>
      </c>
    </row>
    <row r="12901">
      <c r="H12901" s="50"/>
      <c r="I12901" s="50"/>
      <c r="O12901" s="36" t="s">
        <v>48</v>
      </c>
      <c r="R12901" s="36" t="s">
        <v>48</v>
      </c>
    </row>
    <row r="12902">
      <c r="H12902" s="50"/>
      <c r="I12902" s="50"/>
      <c r="O12902" s="36" t="s">
        <v>48</v>
      </c>
      <c r="R12902" s="36" t="s">
        <v>48</v>
      </c>
    </row>
    <row r="12903">
      <c r="H12903" s="50"/>
      <c r="I12903" s="50"/>
      <c r="O12903" s="36" t="s">
        <v>48</v>
      </c>
      <c r="R12903" s="36" t="s">
        <v>48</v>
      </c>
    </row>
    <row r="12904">
      <c r="H12904" s="50"/>
      <c r="I12904" s="50"/>
      <c r="O12904" s="36" t="s">
        <v>48</v>
      </c>
      <c r="R12904" s="36" t="s">
        <v>48</v>
      </c>
    </row>
    <row r="12905">
      <c r="H12905" s="50"/>
      <c r="I12905" s="50"/>
      <c r="O12905" s="36" t="s">
        <v>48</v>
      </c>
      <c r="R12905" s="36" t="s">
        <v>48</v>
      </c>
    </row>
    <row r="12906">
      <c r="H12906" s="50"/>
      <c r="I12906" s="50"/>
      <c r="O12906" s="36" t="s">
        <v>48</v>
      </c>
      <c r="R12906" s="36" t="s">
        <v>48</v>
      </c>
    </row>
    <row r="12907">
      <c r="H12907" s="50"/>
      <c r="I12907" s="50"/>
      <c r="O12907" s="36" t="s">
        <v>48</v>
      </c>
      <c r="R12907" s="36" t="s">
        <v>48</v>
      </c>
    </row>
    <row r="12908">
      <c r="H12908" s="50"/>
      <c r="I12908" s="50"/>
      <c r="O12908" s="36" t="s">
        <v>48</v>
      </c>
      <c r="R12908" s="36" t="s">
        <v>48</v>
      </c>
    </row>
    <row r="12909">
      <c r="H12909" s="50"/>
      <c r="I12909" s="50"/>
      <c r="O12909" s="36" t="s">
        <v>48</v>
      </c>
      <c r="R12909" s="36" t="s">
        <v>48</v>
      </c>
    </row>
    <row r="12910">
      <c r="H12910" s="50"/>
      <c r="I12910" s="50"/>
      <c r="O12910" s="36" t="s">
        <v>48</v>
      </c>
      <c r="R12910" s="36" t="s">
        <v>48</v>
      </c>
    </row>
    <row r="12911">
      <c r="H12911" s="50"/>
      <c r="I12911" s="50"/>
      <c r="O12911" s="36" t="s">
        <v>48</v>
      </c>
      <c r="R12911" s="36" t="s">
        <v>48</v>
      </c>
    </row>
    <row r="12912">
      <c r="H12912" s="50"/>
      <c r="I12912" s="50"/>
      <c r="O12912" s="36" t="s">
        <v>48</v>
      </c>
      <c r="R12912" s="36" t="s">
        <v>48</v>
      </c>
    </row>
    <row r="12913">
      <c r="H12913" s="50"/>
      <c r="I12913" s="50"/>
      <c r="O12913" s="36" t="s">
        <v>48</v>
      </c>
      <c r="R12913" s="36" t="s">
        <v>48</v>
      </c>
    </row>
    <row r="12914">
      <c r="H12914" s="50"/>
      <c r="I12914" s="50"/>
      <c r="O12914" s="36" t="s">
        <v>48</v>
      </c>
      <c r="R12914" s="36" t="s">
        <v>48</v>
      </c>
    </row>
    <row r="12915">
      <c r="H12915" s="50"/>
      <c r="I12915" s="50"/>
      <c r="O12915" s="36" t="s">
        <v>48</v>
      </c>
      <c r="R12915" s="36" t="s">
        <v>48</v>
      </c>
    </row>
    <row r="12916">
      <c r="H12916" s="50"/>
      <c r="I12916" s="50"/>
      <c r="O12916" s="36" t="s">
        <v>48</v>
      </c>
      <c r="R12916" s="36" t="s">
        <v>48</v>
      </c>
    </row>
    <row r="12917">
      <c r="H12917" s="50"/>
      <c r="I12917" s="50"/>
      <c r="O12917" s="36" t="s">
        <v>48</v>
      </c>
      <c r="R12917" s="36" t="s">
        <v>48</v>
      </c>
    </row>
    <row r="12918">
      <c r="H12918" s="50"/>
      <c r="I12918" s="50"/>
      <c r="O12918" s="36" t="s">
        <v>48</v>
      </c>
      <c r="R12918" s="36" t="s">
        <v>48</v>
      </c>
    </row>
    <row r="12919">
      <c r="H12919" s="50"/>
      <c r="I12919" s="50"/>
      <c r="O12919" s="36" t="s">
        <v>48</v>
      </c>
      <c r="R12919" s="36" t="s">
        <v>48</v>
      </c>
    </row>
    <row r="12920">
      <c r="H12920" s="50"/>
      <c r="I12920" s="50"/>
      <c r="O12920" s="36" t="s">
        <v>48</v>
      </c>
      <c r="R12920" s="36" t="s">
        <v>48</v>
      </c>
    </row>
    <row r="12921">
      <c r="H12921" s="50"/>
      <c r="I12921" s="50"/>
      <c r="O12921" s="36" t="s">
        <v>48</v>
      </c>
      <c r="R12921" s="36" t="s">
        <v>48</v>
      </c>
    </row>
    <row r="12922">
      <c r="H12922" s="50"/>
      <c r="I12922" s="50"/>
      <c r="O12922" s="36" t="s">
        <v>48</v>
      </c>
      <c r="R12922" s="36" t="s">
        <v>48</v>
      </c>
    </row>
    <row r="12923">
      <c r="H12923" s="50"/>
      <c r="I12923" s="50"/>
      <c r="O12923" s="36" t="s">
        <v>48</v>
      </c>
      <c r="R12923" s="36" t="s">
        <v>48</v>
      </c>
    </row>
    <row r="12924">
      <c r="H12924" s="50"/>
      <c r="I12924" s="50"/>
      <c r="O12924" s="36" t="s">
        <v>48</v>
      </c>
      <c r="R12924" s="36" t="s">
        <v>48</v>
      </c>
    </row>
    <row r="12925">
      <c r="H12925" s="50"/>
      <c r="I12925" s="50"/>
      <c r="O12925" s="36" t="s">
        <v>48</v>
      </c>
      <c r="R12925" s="36" t="s">
        <v>48</v>
      </c>
    </row>
    <row r="12926">
      <c r="H12926" s="50"/>
      <c r="I12926" s="50"/>
      <c r="O12926" s="36" t="s">
        <v>48</v>
      </c>
      <c r="R12926" s="36" t="s">
        <v>48</v>
      </c>
    </row>
    <row r="12927">
      <c r="H12927" s="50"/>
      <c r="I12927" s="50"/>
      <c r="O12927" s="36" t="s">
        <v>48</v>
      </c>
      <c r="R12927" s="36" t="s">
        <v>48</v>
      </c>
    </row>
    <row r="12928">
      <c r="H12928" s="50"/>
      <c r="I12928" s="50"/>
      <c r="O12928" s="36" t="s">
        <v>48</v>
      </c>
      <c r="R12928" s="36" t="s">
        <v>48</v>
      </c>
    </row>
    <row r="12929">
      <c r="H12929" s="50"/>
      <c r="I12929" s="50"/>
      <c r="O12929" s="36" t="s">
        <v>48</v>
      </c>
      <c r="R12929" s="36" t="s">
        <v>48</v>
      </c>
    </row>
    <row r="12930">
      <c r="H12930" s="50"/>
      <c r="I12930" s="50"/>
      <c r="O12930" s="36" t="s">
        <v>48</v>
      </c>
      <c r="R12930" s="36" t="s">
        <v>48</v>
      </c>
    </row>
    <row r="12931">
      <c r="H12931" s="50"/>
      <c r="I12931" s="50"/>
      <c r="O12931" s="36" t="s">
        <v>48</v>
      </c>
      <c r="R12931" s="36" t="s">
        <v>48</v>
      </c>
    </row>
    <row r="12932">
      <c r="H12932" s="50"/>
      <c r="I12932" s="50"/>
      <c r="O12932" s="36" t="s">
        <v>48</v>
      </c>
      <c r="R12932" s="36" t="s">
        <v>48</v>
      </c>
    </row>
    <row r="12933">
      <c r="H12933" s="50"/>
      <c r="I12933" s="50"/>
      <c r="O12933" s="36" t="s">
        <v>48</v>
      </c>
      <c r="R12933" s="36" t="s">
        <v>48</v>
      </c>
    </row>
    <row r="12934">
      <c r="H12934" s="50"/>
      <c r="I12934" s="50"/>
      <c r="O12934" s="36" t="s">
        <v>48</v>
      </c>
      <c r="R12934" s="36" t="s">
        <v>48</v>
      </c>
    </row>
    <row r="12935">
      <c r="H12935" s="50"/>
      <c r="I12935" s="50"/>
      <c r="O12935" s="36" t="s">
        <v>48</v>
      </c>
      <c r="R12935" s="36" t="s">
        <v>48</v>
      </c>
    </row>
    <row r="12936">
      <c r="H12936" s="50"/>
      <c r="I12936" s="50"/>
      <c r="O12936" s="36" t="s">
        <v>48</v>
      </c>
      <c r="R12936" s="36" t="s">
        <v>48</v>
      </c>
    </row>
    <row r="12937">
      <c r="H12937" s="50"/>
      <c r="I12937" s="50"/>
      <c r="O12937" s="36" t="s">
        <v>48</v>
      </c>
      <c r="R12937" s="36" t="s">
        <v>48</v>
      </c>
    </row>
    <row r="12938">
      <c r="H12938" s="50"/>
      <c r="I12938" s="50"/>
      <c r="O12938" s="36" t="s">
        <v>48</v>
      </c>
      <c r="R12938" s="36" t="s">
        <v>48</v>
      </c>
    </row>
    <row r="12939">
      <c r="H12939" s="50"/>
      <c r="I12939" s="50"/>
      <c r="O12939" s="36" t="s">
        <v>48</v>
      </c>
      <c r="R12939" s="36" t="s">
        <v>48</v>
      </c>
    </row>
    <row r="12940">
      <c r="H12940" s="50"/>
      <c r="I12940" s="50"/>
      <c r="O12940" s="36" t="s">
        <v>48</v>
      </c>
      <c r="R12940" s="36" t="s">
        <v>48</v>
      </c>
    </row>
    <row r="12941">
      <c r="H12941" s="50"/>
      <c r="I12941" s="50"/>
      <c r="O12941" s="36" t="s">
        <v>48</v>
      </c>
      <c r="R12941" s="36" t="s">
        <v>48</v>
      </c>
    </row>
    <row r="12942">
      <c r="H12942" s="50"/>
      <c r="I12942" s="50"/>
      <c r="O12942" s="36" t="s">
        <v>48</v>
      </c>
      <c r="R12942" s="36" t="s">
        <v>48</v>
      </c>
    </row>
    <row r="12943">
      <c r="H12943" s="50"/>
      <c r="I12943" s="50"/>
      <c r="O12943" s="36" t="s">
        <v>48</v>
      </c>
      <c r="R12943" s="36" t="s">
        <v>48</v>
      </c>
    </row>
    <row r="12944">
      <c r="H12944" s="50"/>
      <c r="I12944" s="50"/>
      <c r="O12944" s="36" t="s">
        <v>48</v>
      </c>
      <c r="R12944" s="36" t="s">
        <v>48</v>
      </c>
    </row>
    <row r="12945">
      <c r="H12945" s="50"/>
      <c r="I12945" s="50"/>
      <c r="O12945" s="36" t="s">
        <v>48</v>
      </c>
      <c r="R12945" s="36" t="s">
        <v>48</v>
      </c>
    </row>
    <row r="12946">
      <c r="H12946" s="50"/>
      <c r="I12946" s="50"/>
      <c r="O12946" s="36" t="s">
        <v>48</v>
      </c>
      <c r="R12946" s="36" t="s">
        <v>48</v>
      </c>
    </row>
    <row r="12947">
      <c r="H12947" s="50"/>
      <c r="I12947" s="50"/>
      <c r="O12947" s="36" t="s">
        <v>48</v>
      </c>
      <c r="R12947" s="36" t="s">
        <v>48</v>
      </c>
    </row>
    <row r="12948">
      <c r="H12948" s="50"/>
      <c r="I12948" s="50"/>
      <c r="O12948" s="36" t="s">
        <v>48</v>
      </c>
      <c r="R12948" s="36" t="s">
        <v>48</v>
      </c>
    </row>
    <row r="12949">
      <c r="H12949" s="50"/>
      <c r="I12949" s="50"/>
      <c r="O12949" s="36" t="s">
        <v>48</v>
      </c>
      <c r="R12949" s="36" t="s">
        <v>48</v>
      </c>
    </row>
    <row r="12950">
      <c r="H12950" s="50"/>
      <c r="I12950" s="50"/>
      <c r="O12950" s="36" t="s">
        <v>48</v>
      </c>
      <c r="R12950" s="36" t="s">
        <v>48</v>
      </c>
    </row>
    <row r="12951">
      <c r="H12951" s="50"/>
      <c r="I12951" s="50"/>
      <c r="O12951" s="36" t="s">
        <v>48</v>
      </c>
      <c r="R12951" s="36" t="s">
        <v>48</v>
      </c>
    </row>
    <row r="12952">
      <c r="H12952" s="50"/>
      <c r="I12952" s="50"/>
      <c r="O12952" s="36" t="s">
        <v>48</v>
      </c>
      <c r="R12952" s="36" t="s">
        <v>48</v>
      </c>
    </row>
    <row r="12953">
      <c r="H12953" s="50"/>
      <c r="I12953" s="50"/>
      <c r="O12953" s="36" t="s">
        <v>48</v>
      </c>
      <c r="R12953" s="36" t="s">
        <v>48</v>
      </c>
    </row>
    <row r="12954">
      <c r="H12954" s="50"/>
      <c r="I12954" s="50"/>
      <c r="O12954" s="36" t="s">
        <v>48</v>
      </c>
      <c r="R12954" s="36" t="s">
        <v>48</v>
      </c>
    </row>
    <row r="12955">
      <c r="H12955" s="50"/>
      <c r="I12955" s="50"/>
      <c r="O12955" s="36" t="s">
        <v>48</v>
      </c>
      <c r="R12955" s="36" t="s">
        <v>48</v>
      </c>
    </row>
    <row r="12956">
      <c r="H12956" s="50"/>
      <c r="I12956" s="50"/>
      <c r="O12956" s="36" t="s">
        <v>48</v>
      </c>
      <c r="R12956" s="36" t="s">
        <v>48</v>
      </c>
    </row>
    <row r="12957">
      <c r="H12957" s="50"/>
      <c r="I12957" s="50"/>
      <c r="O12957" s="36" t="s">
        <v>48</v>
      </c>
      <c r="R12957" s="36" t="s">
        <v>48</v>
      </c>
    </row>
    <row r="12958">
      <c r="H12958" s="50"/>
      <c r="I12958" s="50"/>
      <c r="O12958" s="36" t="s">
        <v>48</v>
      </c>
      <c r="R12958" s="36" t="s">
        <v>48</v>
      </c>
    </row>
    <row r="12959">
      <c r="H12959" s="50"/>
      <c r="I12959" s="50"/>
      <c r="O12959" s="36" t="s">
        <v>48</v>
      </c>
      <c r="R12959" s="36" t="s">
        <v>48</v>
      </c>
    </row>
    <row r="12960">
      <c r="H12960" s="50"/>
      <c r="I12960" s="50"/>
      <c r="O12960" s="36" t="s">
        <v>48</v>
      </c>
      <c r="R12960" s="36" t="s">
        <v>48</v>
      </c>
    </row>
    <row r="12961">
      <c r="H12961" s="50"/>
      <c r="I12961" s="50"/>
      <c r="O12961" s="36" t="s">
        <v>48</v>
      </c>
      <c r="R12961" s="36" t="s">
        <v>48</v>
      </c>
    </row>
    <row r="12962">
      <c r="H12962" s="50"/>
      <c r="I12962" s="50"/>
      <c r="O12962" s="36" t="s">
        <v>48</v>
      </c>
      <c r="R12962" s="36" t="s">
        <v>48</v>
      </c>
    </row>
    <row r="12963">
      <c r="H12963" s="50"/>
      <c r="I12963" s="50"/>
      <c r="O12963" s="36" t="s">
        <v>48</v>
      </c>
      <c r="R12963" s="36" t="s">
        <v>48</v>
      </c>
    </row>
    <row r="12964">
      <c r="H12964" s="50"/>
      <c r="I12964" s="50"/>
      <c r="O12964" s="36" t="s">
        <v>48</v>
      </c>
      <c r="R12964" s="36" t="s">
        <v>48</v>
      </c>
    </row>
    <row r="12965">
      <c r="H12965" s="50"/>
      <c r="I12965" s="50"/>
      <c r="O12965" s="36" t="s">
        <v>48</v>
      </c>
      <c r="R12965" s="36" t="s">
        <v>48</v>
      </c>
    </row>
    <row r="12966">
      <c r="H12966" s="50"/>
      <c r="I12966" s="50"/>
      <c r="O12966" s="36" t="s">
        <v>48</v>
      </c>
      <c r="R12966" s="36" t="s">
        <v>48</v>
      </c>
    </row>
    <row r="12967">
      <c r="H12967" s="50"/>
      <c r="I12967" s="50"/>
      <c r="O12967" s="36" t="s">
        <v>48</v>
      </c>
      <c r="R12967" s="36" t="s">
        <v>48</v>
      </c>
    </row>
    <row r="12968">
      <c r="H12968" s="50"/>
      <c r="I12968" s="50"/>
      <c r="O12968" s="36" t="s">
        <v>48</v>
      </c>
      <c r="R12968" s="36" t="s">
        <v>48</v>
      </c>
    </row>
    <row r="12969">
      <c r="H12969" s="50"/>
      <c r="I12969" s="50"/>
      <c r="O12969" s="36" t="s">
        <v>48</v>
      </c>
      <c r="R12969" s="36" t="s">
        <v>48</v>
      </c>
    </row>
    <row r="12970">
      <c r="H12970" s="50"/>
      <c r="I12970" s="50"/>
      <c r="O12970" s="36" t="s">
        <v>48</v>
      </c>
      <c r="R12970" s="36" t="s">
        <v>48</v>
      </c>
    </row>
    <row r="12971">
      <c r="H12971" s="50"/>
      <c r="I12971" s="50"/>
      <c r="O12971" s="36" t="s">
        <v>48</v>
      </c>
      <c r="R12971" s="36" t="s">
        <v>48</v>
      </c>
    </row>
    <row r="12972">
      <c r="H12972" s="50"/>
      <c r="I12972" s="50"/>
      <c r="O12972" s="36" t="s">
        <v>48</v>
      </c>
      <c r="R12972" s="36" t="s">
        <v>48</v>
      </c>
    </row>
    <row r="12973">
      <c r="H12973" s="50"/>
      <c r="I12973" s="50"/>
      <c r="O12973" s="36" t="s">
        <v>48</v>
      </c>
      <c r="R12973" s="36" t="s">
        <v>48</v>
      </c>
    </row>
    <row r="12974">
      <c r="H12974" s="50"/>
      <c r="I12974" s="50"/>
      <c r="O12974" s="36" t="s">
        <v>48</v>
      </c>
      <c r="R12974" s="36" t="s">
        <v>48</v>
      </c>
    </row>
    <row r="12975">
      <c r="H12975" s="50"/>
      <c r="I12975" s="50"/>
      <c r="O12975" s="36" t="s">
        <v>48</v>
      </c>
      <c r="R12975" s="36" t="s">
        <v>48</v>
      </c>
    </row>
    <row r="12976">
      <c r="H12976" s="50"/>
      <c r="I12976" s="50"/>
      <c r="O12976" s="36" t="s">
        <v>48</v>
      </c>
      <c r="R12976" s="36" t="s">
        <v>48</v>
      </c>
    </row>
    <row r="12977">
      <c r="H12977" s="50"/>
      <c r="I12977" s="50"/>
      <c r="O12977" s="36" t="s">
        <v>48</v>
      </c>
      <c r="R12977" s="36" t="s">
        <v>48</v>
      </c>
    </row>
    <row r="12978">
      <c r="H12978" s="50"/>
      <c r="I12978" s="50"/>
      <c r="O12978" s="36" t="s">
        <v>48</v>
      </c>
      <c r="R12978" s="36" t="s">
        <v>48</v>
      </c>
    </row>
    <row r="12979">
      <c r="H12979" s="50"/>
      <c r="I12979" s="50"/>
      <c r="O12979" s="36" t="s">
        <v>48</v>
      </c>
      <c r="R12979" s="36" t="s">
        <v>48</v>
      </c>
    </row>
    <row r="12980">
      <c r="H12980" s="50"/>
      <c r="I12980" s="50"/>
      <c r="O12980" s="36" t="s">
        <v>48</v>
      </c>
      <c r="R12980" s="36" t="s">
        <v>48</v>
      </c>
    </row>
    <row r="12981">
      <c r="H12981" s="50"/>
      <c r="I12981" s="50"/>
      <c r="O12981" s="36" t="s">
        <v>48</v>
      </c>
      <c r="R12981" s="36" t="s">
        <v>48</v>
      </c>
    </row>
    <row r="12982">
      <c r="H12982" s="50"/>
      <c r="I12982" s="50"/>
      <c r="O12982" s="36" t="s">
        <v>48</v>
      </c>
      <c r="R12982" s="36" t="s">
        <v>48</v>
      </c>
    </row>
    <row r="12983">
      <c r="H12983" s="50"/>
      <c r="I12983" s="50"/>
      <c r="O12983" s="36" t="s">
        <v>48</v>
      </c>
      <c r="R12983" s="36" t="s">
        <v>48</v>
      </c>
    </row>
    <row r="12984">
      <c r="H12984" s="50"/>
      <c r="I12984" s="50"/>
      <c r="O12984" s="36" t="s">
        <v>48</v>
      </c>
      <c r="R12984" s="36" t="s">
        <v>48</v>
      </c>
    </row>
    <row r="12985">
      <c r="H12985" s="50"/>
      <c r="I12985" s="50"/>
      <c r="O12985" s="36" t="s">
        <v>48</v>
      </c>
      <c r="R12985" s="36" t="s">
        <v>48</v>
      </c>
    </row>
    <row r="12986">
      <c r="H12986" s="50"/>
      <c r="I12986" s="50"/>
      <c r="O12986" s="36" t="s">
        <v>48</v>
      </c>
      <c r="R12986" s="36" t="s">
        <v>48</v>
      </c>
    </row>
    <row r="12987">
      <c r="H12987" s="50"/>
      <c r="I12987" s="50"/>
      <c r="O12987" s="36" t="s">
        <v>48</v>
      </c>
      <c r="R12987" s="36" t="s">
        <v>48</v>
      </c>
    </row>
    <row r="12988">
      <c r="H12988" s="50"/>
      <c r="I12988" s="50"/>
      <c r="O12988" s="36" t="s">
        <v>48</v>
      </c>
      <c r="R12988" s="36" t="s">
        <v>48</v>
      </c>
    </row>
    <row r="12989">
      <c r="H12989" s="50"/>
      <c r="I12989" s="50"/>
      <c r="O12989" s="36" t="s">
        <v>48</v>
      </c>
      <c r="R12989" s="36" t="s">
        <v>48</v>
      </c>
    </row>
    <row r="12990">
      <c r="H12990" s="50"/>
      <c r="I12990" s="50"/>
      <c r="O12990" s="36" t="s">
        <v>48</v>
      </c>
      <c r="R12990" s="36" t="s">
        <v>48</v>
      </c>
    </row>
    <row r="12991">
      <c r="H12991" s="50"/>
      <c r="I12991" s="50"/>
      <c r="O12991" s="36" t="s">
        <v>48</v>
      </c>
      <c r="R12991" s="36" t="s">
        <v>48</v>
      </c>
    </row>
    <row r="12992">
      <c r="H12992" s="50"/>
      <c r="I12992" s="50"/>
      <c r="O12992" s="36" t="s">
        <v>48</v>
      </c>
      <c r="R12992" s="36" t="s">
        <v>48</v>
      </c>
    </row>
    <row r="12993">
      <c r="H12993" s="50"/>
      <c r="I12993" s="50"/>
      <c r="O12993" s="36" t="s">
        <v>48</v>
      </c>
      <c r="R12993" s="36" t="s">
        <v>48</v>
      </c>
    </row>
    <row r="12994">
      <c r="H12994" s="50"/>
      <c r="I12994" s="50"/>
      <c r="O12994" s="36" t="s">
        <v>48</v>
      </c>
      <c r="R12994" s="36" t="s">
        <v>48</v>
      </c>
    </row>
    <row r="12995">
      <c r="H12995" s="50"/>
      <c r="I12995" s="50"/>
      <c r="O12995" s="36" t="s">
        <v>48</v>
      </c>
      <c r="R12995" s="36" t="s">
        <v>48</v>
      </c>
    </row>
    <row r="12996">
      <c r="H12996" s="50"/>
      <c r="I12996" s="50"/>
      <c r="O12996" s="36" t="s">
        <v>48</v>
      </c>
      <c r="R12996" s="36" t="s">
        <v>48</v>
      </c>
    </row>
    <row r="12997">
      <c r="H12997" s="50"/>
      <c r="I12997" s="50"/>
      <c r="O12997" s="36" t="s">
        <v>48</v>
      </c>
      <c r="R12997" s="36" t="s">
        <v>48</v>
      </c>
    </row>
    <row r="12998">
      <c r="H12998" s="50"/>
      <c r="I12998" s="50"/>
      <c r="O12998" s="36" t="s">
        <v>48</v>
      </c>
      <c r="R12998" s="36" t="s">
        <v>48</v>
      </c>
    </row>
    <row r="12999">
      <c r="H12999" s="50"/>
      <c r="I12999" s="50"/>
      <c r="O12999" s="36" t="s">
        <v>48</v>
      </c>
      <c r="R12999" s="36" t="s">
        <v>48</v>
      </c>
    </row>
    <row r="13000">
      <c r="H13000" s="50"/>
      <c r="I13000" s="50"/>
      <c r="O13000" s="36" t="s">
        <v>48</v>
      </c>
      <c r="R13000" s="36" t="s">
        <v>48</v>
      </c>
    </row>
    <row r="13001">
      <c r="H13001" s="50"/>
      <c r="I13001" s="50"/>
      <c r="O13001" s="36" t="s">
        <v>48</v>
      </c>
      <c r="R13001" s="36" t="s">
        <v>48</v>
      </c>
    </row>
    <row r="13002">
      <c r="H13002" s="50"/>
      <c r="I13002" s="50"/>
      <c r="O13002" s="36" t="s">
        <v>48</v>
      </c>
      <c r="R13002" s="36" t="s">
        <v>48</v>
      </c>
    </row>
    <row r="13003">
      <c r="H13003" s="50"/>
      <c r="I13003" s="50"/>
      <c r="O13003" s="36" t="s">
        <v>48</v>
      </c>
      <c r="R13003" s="36" t="s">
        <v>48</v>
      </c>
    </row>
    <row r="13004">
      <c r="H13004" s="50"/>
      <c r="I13004" s="50"/>
      <c r="O13004" s="36" t="s">
        <v>48</v>
      </c>
      <c r="R13004" s="36" t="s">
        <v>48</v>
      </c>
    </row>
    <row r="13005">
      <c r="H13005" s="50"/>
      <c r="I13005" s="50"/>
      <c r="O13005" s="36" t="s">
        <v>48</v>
      </c>
      <c r="R13005" s="36" t="s">
        <v>48</v>
      </c>
    </row>
    <row r="13006">
      <c r="H13006" s="50"/>
      <c r="I13006" s="50"/>
      <c r="O13006" s="36" t="s">
        <v>48</v>
      </c>
      <c r="R13006" s="36" t="s">
        <v>48</v>
      </c>
    </row>
    <row r="13007">
      <c r="H13007" s="50"/>
      <c r="I13007" s="50"/>
      <c r="O13007" s="36" t="s">
        <v>48</v>
      </c>
      <c r="R13007" s="36" t="s">
        <v>48</v>
      </c>
    </row>
    <row r="13008">
      <c r="H13008" s="50"/>
      <c r="I13008" s="50"/>
      <c r="O13008" s="36" t="s">
        <v>48</v>
      </c>
      <c r="R13008" s="36" t="s">
        <v>48</v>
      </c>
    </row>
    <row r="13009">
      <c r="H13009" s="50"/>
      <c r="I13009" s="50"/>
      <c r="O13009" s="36" t="s">
        <v>48</v>
      </c>
      <c r="R13009" s="36" t="s">
        <v>48</v>
      </c>
    </row>
    <row r="13010">
      <c r="H13010" s="50"/>
      <c r="I13010" s="50"/>
      <c r="O13010" s="36" t="s">
        <v>48</v>
      </c>
      <c r="R13010" s="36" t="s">
        <v>48</v>
      </c>
    </row>
    <row r="13011">
      <c r="H13011" s="50"/>
      <c r="I13011" s="50"/>
      <c r="O13011" s="36" t="s">
        <v>48</v>
      </c>
      <c r="R13011" s="36" t="s">
        <v>48</v>
      </c>
    </row>
    <row r="13012">
      <c r="H13012" s="50"/>
      <c r="I13012" s="50"/>
      <c r="O13012" s="36" t="s">
        <v>48</v>
      </c>
      <c r="R13012" s="36" t="s">
        <v>48</v>
      </c>
    </row>
    <row r="13013">
      <c r="H13013" s="50"/>
      <c r="I13013" s="50"/>
      <c r="O13013" s="36" t="s">
        <v>48</v>
      </c>
      <c r="R13013" s="36" t="s">
        <v>48</v>
      </c>
    </row>
    <row r="13014">
      <c r="H13014" s="50"/>
      <c r="I13014" s="50"/>
      <c r="O13014" s="36" t="s">
        <v>48</v>
      </c>
      <c r="R13014" s="36" t="s">
        <v>48</v>
      </c>
    </row>
    <row r="13015">
      <c r="H13015" s="50"/>
      <c r="I13015" s="50"/>
      <c r="O13015" s="36" t="s">
        <v>48</v>
      </c>
      <c r="R13015" s="36" t="s">
        <v>48</v>
      </c>
    </row>
    <row r="13016">
      <c r="H13016" s="50"/>
      <c r="I13016" s="50"/>
      <c r="O13016" s="36" t="s">
        <v>48</v>
      </c>
      <c r="R13016" s="36" t="s">
        <v>48</v>
      </c>
    </row>
    <row r="13017">
      <c r="H13017" s="50"/>
      <c r="I13017" s="50"/>
      <c r="O13017" s="36" t="s">
        <v>48</v>
      </c>
      <c r="R13017" s="36" t="s">
        <v>48</v>
      </c>
    </row>
    <row r="13018">
      <c r="H13018" s="50"/>
      <c r="I13018" s="50"/>
      <c r="O13018" s="36" t="s">
        <v>48</v>
      </c>
      <c r="R13018" s="36" t="s">
        <v>48</v>
      </c>
    </row>
    <row r="13019">
      <c r="H13019" s="50"/>
      <c r="I13019" s="50"/>
      <c r="O13019" s="36" t="s">
        <v>48</v>
      </c>
      <c r="R13019" s="36" t="s">
        <v>48</v>
      </c>
    </row>
    <row r="13020">
      <c r="H13020" s="50"/>
      <c r="I13020" s="50"/>
      <c r="O13020" s="36" t="s">
        <v>48</v>
      </c>
      <c r="R13020" s="36" t="s">
        <v>48</v>
      </c>
    </row>
    <row r="13021">
      <c r="H13021" s="50"/>
      <c r="I13021" s="50"/>
      <c r="O13021" s="36" t="s">
        <v>48</v>
      </c>
      <c r="R13021" s="36" t="s">
        <v>48</v>
      </c>
    </row>
    <row r="13022">
      <c r="H13022" s="50"/>
      <c r="I13022" s="50"/>
      <c r="O13022" s="36" t="s">
        <v>48</v>
      </c>
      <c r="R13022" s="36" t="s">
        <v>48</v>
      </c>
    </row>
    <row r="13023">
      <c r="H13023" s="50"/>
      <c r="I13023" s="50"/>
      <c r="O13023" s="36" t="s">
        <v>48</v>
      </c>
      <c r="R13023" s="36" t="s">
        <v>48</v>
      </c>
    </row>
    <row r="13024">
      <c r="H13024" s="50"/>
      <c r="I13024" s="50"/>
      <c r="O13024" s="36" t="s">
        <v>48</v>
      </c>
      <c r="R13024" s="36" t="s">
        <v>48</v>
      </c>
    </row>
    <row r="13025">
      <c r="H13025" s="50"/>
      <c r="I13025" s="50"/>
      <c r="O13025" s="36" t="s">
        <v>48</v>
      </c>
      <c r="R13025" s="36" t="s">
        <v>48</v>
      </c>
    </row>
    <row r="13026">
      <c r="H13026" s="50"/>
      <c r="I13026" s="50"/>
      <c r="O13026" s="36" t="s">
        <v>48</v>
      </c>
      <c r="R13026" s="36" t="s">
        <v>48</v>
      </c>
    </row>
    <row r="13027">
      <c r="H13027" s="50"/>
      <c r="I13027" s="50"/>
      <c r="O13027" s="36" t="s">
        <v>48</v>
      </c>
      <c r="R13027" s="36" t="s">
        <v>48</v>
      </c>
    </row>
    <row r="13028">
      <c r="H13028" s="50"/>
      <c r="I13028" s="50"/>
      <c r="O13028" s="36" t="s">
        <v>48</v>
      </c>
      <c r="R13028" s="36" t="s">
        <v>48</v>
      </c>
    </row>
    <row r="13029">
      <c r="H13029" s="50"/>
      <c r="I13029" s="50"/>
      <c r="O13029" s="36" t="s">
        <v>48</v>
      </c>
      <c r="R13029" s="36" t="s">
        <v>48</v>
      </c>
    </row>
    <row r="13030">
      <c r="H13030" s="50"/>
      <c r="I13030" s="50"/>
      <c r="O13030" s="36" t="s">
        <v>48</v>
      </c>
      <c r="R13030" s="36" t="s">
        <v>48</v>
      </c>
    </row>
    <row r="13031">
      <c r="H13031" s="50"/>
      <c r="I13031" s="50"/>
      <c r="O13031" s="36" t="s">
        <v>48</v>
      </c>
      <c r="R13031" s="36" t="s">
        <v>48</v>
      </c>
    </row>
    <row r="13032">
      <c r="H13032" s="50"/>
      <c r="I13032" s="50"/>
      <c r="O13032" s="36" t="s">
        <v>48</v>
      </c>
      <c r="R13032" s="36" t="s">
        <v>48</v>
      </c>
    </row>
    <row r="13033">
      <c r="H13033" s="50"/>
      <c r="I13033" s="50"/>
      <c r="O13033" s="36" t="s">
        <v>48</v>
      </c>
      <c r="R13033" s="36" t="s">
        <v>48</v>
      </c>
    </row>
    <row r="13034">
      <c r="H13034" s="50"/>
      <c r="I13034" s="50"/>
      <c r="O13034" s="36" t="s">
        <v>48</v>
      </c>
      <c r="R13034" s="36" t="s">
        <v>48</v>
      </c>
    </row>
    <row r="13035">
      <c r="H13035" s="50"/>
      <c r="I13035" s="50"/>
      <c r="O13035" s="36" t="s">
        <v>48</v>
      </c>
      <c r="R13035" s="36" t="s">
        <v>48</v>
      </c>
    </row>
    <row r="13036">
      <c r="H13036" s="50"/>
      <c r="I13036" s="50"/>
      <c r="O13036" s="36" t="s">
        <v>48</v>
      </c>
      <c r="R13036" s="36" t="s">
        <v>48</v>
      </c>
    </row>
    <row r="13037">
      <c r="H13037" s="50"/>
      <c r="I13037" s="50"/>
      <c r="O13037" s="36" t="s">
        <v>48</v>
      </c>
      <c r="R13037" s="36" t="s">
        <v>48</v>
      </c>
    </row>
    <row r="13038">
      <c r="H13038" s="50"/>
      <c r="I13038" s="50"/>
      <c r="O13038" s="36" t="s">
        <v>48</v>
      </c>
      <c r="R13038" s="36" t="s">
        <v>48</v>
      </c>
    </row>
    <row r="13039">
      <c r="H13039" s="50"/>
      <c r="I13039" s="50"/>
      <c r="O13039" s="36" t="s">
        <v>48</v>
      </c>
      <c r="R13039" s="36" t="s">
        <v>48</v>
      </c>
    </row>
    <row r="13040">
      <c r="H13040" s="50"/>
      <c r="I13040" s="50"/>
      <c r="O13040" s="36" t="s">
        <v>48</v>
      </c>
      <c r="R13040" s="36" t="s">
        <v>48</v>
      </c>
    </row>
    <row r="13041">
      <c r="H13041" s="50"/>
      <c r="I13041" s="50"/>
      <c r="O13041" s="36" t="s">
        <v>48</v>
      </c>
      <c r="R13041" s="36" t="s">
        <v>48</v>
      </c>
    </row>
    <row r="13042">
      <c r="H13042" s="50"/>
      <c r="I13042" s="50"/>
      <c r="O13042" s="36" t="s">
        <v>48</v>
      </c>
      <c r="R13042" s="36" t="s">
        <v>48</v>
      </c>
    </row>
    <row r="13043">
      <c r="H13043" s="50"/>
      <c r="I13043" s="50"/>
      <c r="O13043" s="36" t="s">
        <v>48</v>
      </c>
      <c r="R13043" s="36" t="s">
        <v>48</v>
      </c>
    </row>
    <row r="13044">
      <c r="H13044" s="50"/>
      <c r="I13044" s="50"/>
      <c r="O13044" s="36" t="s">
        <v>48</v>
      </c>
      <c r="R13044" s="36" t="s">
        <v>48</v>
      </c>
    </row>
    <row r="13045">
      <c r="H13045" s="50"/>
      <c r="I13045" s="50"/>
      <c r="O13045" s="36" t="s">
        <v>48</v>
      </c>
      <c r="R13045" s="36" t="s">
        <v>48</v>
      </c>
    </row>
    <row r="13046">
      <c r="H13046" s="50"/>
      <c r="I13046" s="50"/>
      <c r="O13046" s="36" t="s">
        <v>48</v>
      </c>
      <c r="R13046" s="36" t="s">
        <v>48</v>
      </c>
    </row>
    <row r="13047">
      <c r="H13047" s="50"/>
      <c r="I13047" s="50"/>
      <c r="O13047" s="36" t="s">
        <v>48</v>
      </c>
      <c r="R13047" s="36" t="s">
        <v>48</v>
      </c>
    </row>
    <row r="13048">
      <c r="H13048" s="50"/>
      <c r="I13048" s="50"/>
      <c r="O13048" s="36" t="s">
        <v>48</v>
      </c>
      <c r="R13048" s="36" t="s">
        <v>48</v>
      </c>
    </row>
    <row r="13049">
      <c r="H13049" s="50"/>
      <c r="I13049" s="50"/>
      <c r="O13049" s="36" t="s">
        <v>48</v>
      </c>
      <c r="R13049" s="36" t="s">
        <v>48</v>
      </c>
    </row>
    <row r="13050">
      <c r="H13050" s="50"/>
      <c r="I13050" s="50"/>
      <c r="O13050" s="36" t="s">
        <v>48</v>
      </c>
      <c r="R13050" s="36" t="s">
        <v>48</v>
      </c>
    </row>
    <row r="13051">
      <c r="H13051" s="50"/>
      <c r="I13051" s="50"/>
      <c r="O13051" s="36" t="s">
        <v>48</v>
      </c>
      <c r="R13051" s="36" t="s">
        <v>48</v>
      </c>
    </row>
    <row r="13052">
      <c r="H13052" s="50"/>
      <c r="I13052" s="50"/>
      <c r="O13052" s="36" t="s">
        <v>48</v>
      </c>
      <c r="R13052" s="36" t="s">
        <v>48</v>
      </c>
    </row>
    <row r="13053">
      <c r="H13053" s="50"/>
      <c r="I13053" s="50"/>
      <c r="O13053" s="36" t="s">
        <v>48</v>
      </c>
      <c r="R13053" s="36" t="s">
        <v>48</v>
      </c>
    </row>
    <row r="13054">
      <c r="H13054" s="50"/>
      <c r="I13054" s="50"/>
      <c r="O13054" s="36" t="s">
        <v>48</v>
      </c>
      <c r="R13054" s="36" t="s">
        <v>48</v>
      </c>
    </row>
    <row r="13055">
      <c r="H13055" s="50"/>
      <c r="I13055" s="50"/>
      <c r="O13055" s="36" t="s">
        <v>48</v>
      </c>
      <c r="R13055" s="36" t="s">
        <v>48</v>
      </c>
    </row>
    <row r="13056">
      <c r="H13056" s="50"/>
      <c r="I13056" s="50"/>
      <c r="O13056" s="36" t="s">
        <v>48</v>
      </c>
      <c r="R13056" s="36" t="s">
        <v>48</v>
      </c>
    </row>
    <row r="13057">
      <c r="H13057" s="50"/>
      <c r="I13057" s="50"/>
      <c r="O13057" s="36" t="s">
        <v>48</v>
      </c>
      <c r="R13057" s="36" t="s">
        <v>48</v>
      </c>
    </row>
    <row r="13058">
      <c r="H13058" s="50"/>
      <c r="I13058" s="50"/>
      <c r="O13058" s="36" t="s">
        <v>48</v>
      </c>
      <c r="R13058" s="36" t="s">
        <v>48</v>
      </c>
    </row>
    <row r="13059">
      <c r="H13059" s="50"/>
      <c r="I13059" s="50"/>
      <c r="O13059" s="36" t="s">
        <v>48</v>
      </c>
      <c r="R13059" s="36" t="s">
        <v>48</v>
      </c>
    </row>
    <row r="13060">
      <c r="H13060" s="50"/>
      <c r="I13060" s="50"/>
      <c r="O13060" s="36" t="s">
        <v>48</v>
      </c>
      <c r="R13060" s="36" t="s">
        <v>48</v>
      </c>
    </row>
    <row r="13061">
      <c r="H13061" s="50"/>
      <c r="I13061" s="50"/>
      <c r="O13061" s="36" t="s">
        <v>48</v>
      </c>
      <c r="R13061" s="36" t="s">
        <v>48</v>
      </c>
    </row>
    <row r="13062">
      <c r="H13062" s="50"/>
      <c r="I13062" s="50"/>
      <c r="O13062" s="36" t="s">
        <v>48</v>
      </c>
      <c r="R13062" s="36" t="s">
        <v>48</v>
      </c>
    </row>
    <row r="13063">
      <c r="H13063" s="50"/>
      <c r="I13063" s="50"/>
      <c r="O13063" s="36" t="s">
        <v>48</v>
      </c>
      <c r="R13063" s="36" t="s">
        <v>48</v>
      </c>
    </row>
    <row r="13064">
      <c r="H13064" s="50"/>
      <c r="I13064" s="50"/>
      <c r="O13064" s="36" t="s">
        <v>48</v>
      </c>
      <c r="R13064" s="36" t="s">
        <v>48</v>
      </c>
    </row>
    <row r="13065">
      <c r="H13065" s="50"/>
      <c r="I13065" s="50"/>
      <c r="O13065" s="36" t="s">
        <v>48</v>
      </c>
      <c r="R13065" s="36" t="s">
        <v>48</v>
      </c>
    </row>
    <row r="13066">
      <c r="H13066" s="50"/>
      <c r="I13066" s="50"/>
      <c r="O13066" s="36" t="s">
        <v>48</v>
      </c>
      <c r="R13066" s="36" t="s">
        <v>48</v>
      </c>
    </row>
    <row r="13067">
      <c r="H13067" s="50"/>
      <c r="I13067" s="50"/>
      <c r="O13067" s="36" t="s">
        <v>48</v>
      </c>
      <c r="R13067" s="36" t="s">
        <v>48</v>
      </c>
    </row>
    <row r="13068">
      <c r="H13068" s="50"/>
      <c r="I13068" s="50"/>
      <c r="O13068" s="36" t="s">
        <v>48</v>
      </c>
      <c r="R13068" s="36" t="s">
        <v>48</v>
      </c>
    </row>
    <row r="13069">
      <c r="H13069" s="50"/>
      <c r="I13069" s="50"/>
      <c r="O13069" s="36" t="s">
        <v>48</v>
      </c>
      <c r="R13069" s="36" t="s">
        <v>48</v>
      </c>
    </row>
    <row r="13070">
      <c r="H13070" s="50"/>
      <c r="I13070" s="50"/>
      <c r="O13070" s="36" t="s">
        <v>48</v>
      </c>
      <c r="R13070" s="36" t="s">
        <v>48</v>
      </c>
    </row>
    <row r="13071">
      <c r="H13071" s="50"/>
      <c r="I13071" s="50"/>
      <c r="O13071" s="36" t="s">
        <v>48</v>
      </c>
      <c r="R13071" s="36" t="s">
        <v>48</v>
      </c>
    </row>
    <row r="13072">
      <c r="H13072" s="50"/>
      <c r="I13072" s="50"/>
      <c r="O13072" s="36" t="s">
        <v>48</v>
      </c>
      <c r="R13072" s="36" t="s">
        <v>48</v>
      </c>
    </row>
    <row r="13073">
      <c r="H13073" s="50"/>
      <c r="I13073" s="50"/>
      <c r="O13073" s="36" t="s">
        <v>48</v>
      </c>
      <c r="R13073" s="36" t="s">
        <v>48</v>
      </c>
    </row>
    <row r="13074">
      <c r="H13074" s="50"/>
      <c r="I13074" s="50"/>
      <c r="O13074" s="36" t="s">
        <v>48</v>
      </c>
      <c r="R13074" s="36" t="s">
        <v>48</v>
      </c>
    </row>
    <row r="13075">
      <c r="H13075" s="50"/>
      <c r="I13075" s="50"/>
      <c r="O13075" s="36" t="s">
        <v>48</v>
      </c>
      <c r="R13075" s="36" t="s">
        <v>48</v>
      </c>
    </row>
    <row r="13076">
      <c r="H13076" s="50"/>
      <c r="I13076" s="50"/>
      <c r="O13076" s="36" t="s">
        <v>48</v>
      </c>
      <c r="R13076" s="36" t="s">
        <v>48</v>
      </c>
    </row>
    <row r="13077">
      <c r="H13077" s="50"/>
      <c r="I13077" s="50"/>
      <c r="O13077" s="36" t="s">
        <v>48</v>
      </c>
      <c r="R13077" s="36" t="s">
        <v>48</v>
      </c>
    </row>
    <row r="13078">
      <c r="H13078" s="50"/>
      <c r="I13078" s="50"/>
      <c r="O13078" s="36" t="s">
        <v>48</v>
      </c>
      <c r="R13078" s="36" t="s">
        <v>48</v>
      </c>
    </row>
    <row r="13079">
      <c r="H13079" s="50"/>
      <c r="I13079" s="50"/>
      <c r="O13079" s="36" t="s">
        <v>48</v>
      </c>
      <c r="R13079" s="36" t="s">
        <v>48</v>
      </c>
    </row>
    <row r="13080">
      <c r="H13080" s="50"/>
      <c r="I13080" s="50"/>
      <c r="O13080" s="36" t="s">
        <v>48</v>
      </c>
      <c r="R13080" s="36" t="s">
        <v>48</v>
      </c>
    </row>
    <row r="13081">
      <c r="H13081" s="50"/>
      <c r="I13081" s="50"/>
      <c r="O13081" s="36" t="s">
        <v>48</v>
      </c>
      <c r="R13081" s="36" t="s">
        <v>48</v>
      </c>
    </row>
    <row r="13082">
      <c r="H13082" s="50"/>
      <c r="I13082" s="50"/>
      <c r="O13082" s="36" t="s">
        <v>48</v>
      </c>
      <c r="R13082" s="36" t="s">
        <v>48</v>
      </c>
    </row>
    <row r="13083">
      <c r="H13083" s="50"/>
      <c r="I13083" s="50"/>
      <c r="O13083" s="36" t="s">
        <v>48</v>
      </c>
      <c r="R13083" s="36" t="s">
        <v>48</v>
      </c>
    </row>
    <row r="13084">
      <c r="H13084" s="50"/>
      <c r="I13084" s="50"/>
      <c r="O13084" s="36" t="s">
        <v>48</v>
      </c>
      <c r="R13084" s="36" t="s">
        <v>48</v>
      </c>
    </row>
    <row r="13085">
      <c r="H13085" s="50"/>
      <c r="I13085" s="50"/>
      <c r="O13085" s="36" t="s">
        <v>48</v>
      </c>
      <c r="R13085" s="36" t="s">
        <v>48</v>
      </c>
    </row>
    <row r="13086">
      <c r="H13086" s="50"/>
      <c r="I13086" s="50"/>
      <c r="O13086" s="36" t="s">
        <v>48</v>
      </c>
      <c r="R13086" s="36" t="s">
        <v>48</v>
      </c>
    </row>
    <row r="13087">
      <c r="H13087" s="50"/>
      <c r="I13087" s="50"/>
      <c r="O13087" s="36" t="s">
        <v>48</v>
      </c>
      <c r="R13087" s="36" t="s">
        <v>48</v>
      </c>
    </row>
    <row r="13088">
      <c r="H13088" s="50"/>
      <c r="I13088" s="50"/>
      <c r="O13088" s="36" t="s">
        <v>48</v>
      </c>
      <c r="R13088" s="36" t="s">
        <v>48</v>
      </c>
    </row>
    <row r="13089">
      <c r="H13089" s="50"/>
      <c r="I13089" s="50"/>
      <c r="O13089" s="36" t="s">
        <v>48</v>
      </c>
      <c r="R13089" s="36" t="s">
        <v>48</v>
      </c>
    </row>
    <row r="13090">
      <c r="H13090" s="50"/>
      <c r="I13090" s="50"/>
      <c r="O13090" s="36" t="s">
        <v>48</v>
      </c>
      <c r="R13090" s="36" t="s">
        <v>48</v>
      </c>
    </row>
    <row r="13091">
      <c r="H13091" s="50"/>
      <c r="I13091" s="50"/>
      <c r="O13091" s="36" t="s">
        <v>48</v>
      </c>
      <c r="R13091" s="36" t="s">
        <v>48</v>
      </c>
    </row>
    <row r="13092">
      <c r="H13092" s="50"/>
      <c r="I13092" s="50"/>
      <c r="O13092" s="36" t="s">
        <v>48</v>
      </c>
      <c r="R13092" s="36" t="s">
        <v>48</v>
      </c>
    </row>
    <row r="13093">
      <c r="H13093" s="50"/>
      <c r="I13093" s="50"/>
      <c r="O13093" s="36" t="s">
        <v>48</v>
      </c>
      <c r="R13093" s="36" t="s">
        <v>48</v>
      </c>
    </row>
    <row r="13094">
      <c r="H13094" s="50"/>
      <c r="I13094" s="50"/>
      <c r="O13094" s="36" t="s">
        <v>48</v>
      </c>
      <c r="R13094" s="36" t="s">
        <v>48</v>
      </c>
    </row>
    <row r="13095">
      <c r="H13095" s="50"/>
      <c r="I13095" s="50"/>
      <c r="O13095" s="36" t="s">
        <v>48</v>
      </c>
      <c r="R13095" s="36" t="s">
        <v>48</v>
      </c>
    </row>
    <row r="13096">
      <c r="H13096" s="50"/>
      <c r="I13096" s="50"/>
      <c r="O13096" s="36" t="s">
        <v>48</v>
      </c>
      <c r="R13096" s="36" t="s">
        <v>48</v>
      </c>
    </row>
    <row r="13097">
      <c r="H13097" s="50"/>
      <c r="I13097" s="50"/>
      <c r="O13097" s="36" t="s">
        <v>48</v>
      </c>
      <c r="R13097" s="36" t="s">
        <v>48</v>
      </c>
    </row>
    <row r="13098">
      <c r="H13098" s="50"/>
      <c r="I13098" s="50"/>
      <c r="O13098" s="36" t="s">
        <v>48</v>
      </c>
      <c r="R13098" s="36" t="s">
        <v>48</v>
      </c>
    </row>
    <row r="13099">
      <c r="H13099" s="50"/>
      <c r="I13099" s="50"/>
      <c r="O13099" s="36" t="s">
        <v>48</v>
      </c>
      <c r="R13099" s="36" t="s">
        <v>48</v>
      </c>
    </row>
    <row r="13100">
      <c r="H13100" s="50"/>
      <c r="I13100" s="50"/>
      <c r="O13100" s="36" t="s">
        <v>48</v>
      </c>
      <c r="R13100" s="36" t="s">
        <v>48</v>
      </c>
    </row>
    <row r="13101">
      <c r="H13101" s="50"/>
      <c r="I13101" s="50"/>
      <c r="O13101" s="36" t="s">
        <v>48</v>
      </c>
      <c r="R13101" s="36" t="s">
        <v>48</v>
      </c>
    </row>
    <row r="13102">
      <c r="H13102" s="50"/>
      <c r="I13102" s="50"/>
      <c r="O13102" s="36" t="s">
        <v>48</v>
      </c>
      <c r="R13102" s="36" t="s">
        <v>48</v>
      </c>
    </row>
    <row r="13103">
      <c r="H13103" s="50"/>
      <c r="I13103" s="50"/>
      <c r="O13103" s="36" t="s">
        <v>48</v>
      </c>
      <c r="R13103" s="36" t="s">
        <v>48</v>
      </c>
    </row>
    <row r="13104">
      <c r="H13104" s="50"/>
      <c r="I13104" s="50"/>
      <c r="O13104" s="36" t="s">
        <v>48</v>
      </c>
      <c r="R13104" s="36" t="s">
        <v>48</v>
      </c>
    </row>
    <row r="13105">
      <c r="H13105" s="50"/>
      <c r="I13105" s="50"/>
      <c r="O13105" s="36" t="s">
        <v>48</v>
      </c>
      <c r="R13105" s="36" t="s">
        <v>48</v>
      </c>
    </row>
    <row r="13106">
      <c r="H13106" s="50"/>
      <c r="I13106" s="50"/>
      <c r="O13106" s="36" t="s">
        <v>48</v>
      </c>
      <c r="R13106" s="36" t="s">
        <v>48</v>
      </c>
    </row>
    <row r="13107">
      <c r="H13107" s="50"/>
      <c r="I13107" s="50"/>
      <c r="O13107" s="36" t="s">
        <v>48</v>
      </c>
      <c r="R13107" s="36" t="s">
        <v>48</v>
      </c>
    </row>
    <row r="13108">
      <c r="H13108" s="50"/>
      <c r="I13108" s="50"/>
      <c r="O13108" s="36" t="s">
        <v>48</v>
      </c>
      <c r="R13108" s="36" t="s">
        <v>48</v>
      </c>
    </row>
    <row r="13109">
      <c r="H13109" s="50"/>
      <c r="I13109" s="50"/>
      <c r="O13109" s="36" t="s">
        <v>48</v>
      </c>
      <c r="R13109" s="36" t="s">
        <v>48</v>
      </c>
    </row>
    <row r="13110">
      <c r="H13110" s="50"/>
      <c r="I13110" s="50"/>
      <c r="O13110" s="36" t="s">
        <v>48</v>
      </c>
      <c r="R13110" s="36" t="s">
        <v>48</v>
      </c>
    </row>
    <row r="13111">
      <c r="H13111" s="50"/>
      <c r="I13111" s="50"/>
      <c r="O13111" s="36" t="s">
        <v>48</v>
      </c>
      <c r="R13111" s="36" t="s">
        <v>48</v>
      </c>
    </row>
    <row r="13112">
      <c r="H13112" s="50"/>
      <c r="I13112" s="50"/>
      <c r="O13112" s="36" t="s">
        <v>48</v>
      </c>
      <c r="R13112" s="36" t="s">
        <v>48</v>
      </c>
    </row>
    <row r="13113">
      <c r="H13113" s="50"/>
      <c r="I13113" s="50"/>
      <c r="O13113" s="36" t="s">
        <v>48</v>
      </c>
      <c r="R13113" s="36" t="s">
        <v>48</v>
      </c>
    </row>
    <row r="13114">
      <c r="H13114" s="50"/>
      <c r="I13114" s="50"/>
      <c r="O13114" s="36" t="s">
        <v>48</v>
      </c>
      <c r="R13114" s="36" t="s">
        <v>48</v>
      </c>
    </row>
    <row r="13115">
      <c r="H13115" s="50"/>
      <c r="I13115" s="50"/>
      <c r="O13115" s="36" t="s">
        <v>48</v>
      </c>
      <c r="R13115" s="36" t="s">
        <v>48</v>
      </c>
    </row>
    <row r="13116">
      <c r="H13116" s="50"/>
      <c r="I13116" s="50"/>
      <c r="O13116" s="36" t="s">
        <v>48</v>
      </c>
      <c r="R13116" s="36" t="s">
        <v>48</v>
      </c>
    </row>
    <row r="13117">
      <c r="H13117" s="50"/>
      <c r="I13117" s="50"/>
      <c r="O13117" s="36" t="s">
        <v>48</v>
      </c>
      <c r="R13117" s="36" t="s">
        <v>48</v>
      </c>
    </row>
    <row r="13118">
      <c r="H13118" s="50"/>
      <c r="I13118" s="50"/>
      <c r="O13118" s="36" t="s">
        <v>48</v>
      </c>
      <c r="R13118" s="36" t="s">
        <v>48</v>
      </c>
    </row>
    <row r="13119">
      <c r="H13119" s="50"/>
      <c r="I13119" s="50"/>
      <c r="O13119" s="36" t="s">
        <v>48</v>
      </c>
      <c r="R13119" s="36" t="s">
        <v>48</v>
      </c>
    </row>
    <row r="13120">
      <c r="H13120" s="50"/>
      <c r="I13120" s="50"/>
      <c r="O13120" s="36" t="s">
        <v>48</v>
      </c>
      <c r="R13120" s="36" t="s">
        <v>48</v>
      </c>
    </row>
    <row r="13121">
      <c r="H13121" s="50"/>
      <c r="I13121" s="50"/>
      <c r="O13121" s="36" t="s">
        <v>48</v>
      </c>
      <c r="R13121" s="36" t="s">
        <v>48</v>
      </c>
    </row>
    <row r="13122">
      <c r="H13122" s="50"/>
      <c r="I13122" s="50"/>
      <c r="O13122" s="36" t="s">
        <v>48</v>
      </c>
      <c r="R13122" s="36" t="s">
        <v>48</v>
      </c>
    </row>
    <row r="13123">
      <c r="H13123" s="50"/>
      <c r="I13123" s="50"/>
      <c r="O13123" s="36" t="s">
        <v>48</v>
      </c>
      <c r="R13123" s="36" t="s">
        <v>48</v>
      </c>
    </row>
    <row r="13124">
      <c r="H13124" s="50"/>
      <c r="I13124" s="50"/>
      <c r="O13124" s="36" t="s">
        <v>48</v>
      </c>
      <c r="R13124" s="36" t="s">
        <v>48</v>
      </c>
    </row>
    <row r="13125">
      <c r="H13125" s="50"/>
      <c r="I13125" s="50"/>
      <c r="O13125" s="36" t="s">
        <v>48</v>
      </c>
      <c r="R13125" s="36" t="s">
        <v>48</v>
      </c>
    </row>
    <row r="13126">
      <c r="H13126" s="50"/>
      <c r="I13126" s="50"/>
      <c r="O13126" s="36" t="s">
        <v>48</v>
      </c>
      <c r="R13126" s="36" t="s">
        <v>48</v>
      </c>
    </row>
    <row r="13127">
      <c r="H13127" s="50"/>
      <c r="I13127" s="50"/>
      <c r="O13127" s="36" t="s">
        <v>48</v>
      </c>
      <c r="R13127" s="36" t="s">
        <v>48</v>
      </c>
    </row>
    <row r="13128">
      <c r="H13128" s="50"/>
      <c r="I13128" s="50"/>
      <c r="O13128" s="36" t="s">
        <v>48</v>
      </c>
      <c r="R13128" s="36" t="s">
        <v>48</v>
      </c>
    </row>
    <row r="13129">
      <c r="H13129" s="50"/>
      <c r="I13129" s="50"/>
      <c r="O13129" s="36" t="s">
        <v>48</v>
      </c>
      <c r="R13129" s="36" t="s">
        <v>48</v>
      </c>
    </row>
    <row r="13130">
      <c r="H13130" s="50"/>
      <c r="I13130" s="50"/>
      <c r="O13130" s="36" t="s">
        <v>48</v>
      </c>
      <c r="R13130" s="36" t="s">
        <v>48</v>
      </c>
    </row>
    <row r="13131">
      <c r="H13131" s="50"/>
      <c r="I13131" s="50"/>
      <c r="O13131" s="36" t="s">
        <v>48</v>
      </c>
      <c r="R13131" s="36" t="s">
        <v>48</v>
      </c>
    </row>
    <row r="13132">
      <c r="H13132" s="50"/>
      <c r="I13132" s="50"/>
      <c r="O13132" s="36" t="s">
        <v>48</v>
      </c>
      <c r="R13132" s="36" t="s">
        <v>48</v>
      </c>
    </row>
    <row r="13133">
      <c r="H13133" s="50"/>
      <c r="I13133" s="50"/>
      <c r="O13133" s="36" t="s">
        <v>48</v>
      </c>
      <c r="R13133" s="36" t="s">
        <v>48</v>
      </c>
    </row>
    <row r="13134">
      <c r="H13134" s="50"/>
      <c r="I13134" s="50"/>
      <c r="O13134" s="36" t="s">
        <v>48</v>
      </c>
      <c r="R13134" s="36" t="s">
        <v>48</v>
      </c>
    </row>
    <row r="13135">
      <c r="H13135" s="50"/>
      <c r="I13135" s="50"/>
      <c r="O13135" s="36" t="s">
        <v>48</v>
      </c>
      <c r="R13135" s="36" t="s">
        <v>48</v>
      </c>
    </row>
    <row r="13136">
      <c r="H13136" s="50"/>
      <c r="I13136" s="50"/>
      <c r="O13136" s="36" t="s">
        <v>48</v>
      </c>
      <c r="R13136" s="36" t="s">
        <v>48</v>
      </c>
    </row>
    <row r="13137">
      <c r="H13137" s="50"/>
      <c r="I13137" s="50"/>
      <c r="O13137" s="36" t="s">
        <v>48</v>
      </c>
      <c r="R13137" s="36" t="s">
        <v>48</v>
      </c>
    </row>
    <row r="13138">
      <c r="H13138" s="50"/>
      <c r="I13138" s="50"/>
      <c r="O13138" s="36" t="s">
        <v>48</v>
      </c>
      <c r="R13138" s="36" t="s">
        <v>48</v>
      </c>
    </row>
    <row r="13139">
      <c r="H13139" s="50"/>
      <c r="I13139" s="50"/>
      <c r="O13139" s="36" t="s">
        <v>48</v>
      </c>
      <c r="R13139" s="36" t="s">
        <v>48</v>
      </c>
    </row>
    <row r="13140">
      <c r="H13140" s="50"/>
      <c r="I13140" s="50"/>
      <c r="O13140" s="36" t="s">
        <v>48</v>
      </c>
      <c r="R13140" s="36" t="s">
        <v>48</v>
      </c>
    </row>
    <row r="13141">
      <c r="H13141" s="50"/>
      <c r="I13141" s="50"/>
      <c r="O13141" s="36" t="s">
        <v>48</v>
      </c>
      <c r="R13141" s="36" t="s">
        <v>48</v>
      </c>
    </row>
    <row r="13142">
      <c r="H13142" s="50"/>
      <c r="I13142" s="50"/>
      <c r="O13142" s="36" t="s">
        <v>48</v>
      </c>
      <c r="R13142" s="36" t="s">
        <v>48</v>
      </c>
    </row>
    <row r="13143">
      <c r="H13143" s="50"/>
      <c r="I13143" s="50"/>
      <c r="O13143" s="36" t="s">
        <v>48</v>
      </c>
      <c r="R13143" s="36" t="s">
        <v>48</v>
      </c>
    </row>
    <row r="13144">
      <c r="H13144" s="50"/>
      <c r="I13144" s="50"/>
      <c r="O13144" s="36" t="s">
        <v>48</v>
      </c>
      <c r="R13144" s="36" t="s">
        <v>48</v>
      </c>
    </row>
    <row r="13145">
      <c r="H13145" s="50"/>
      <c r="I13145" s="50"/>
      <c r="O13145" s="36" t="s">
        <v>48</v>
      </c>
      <c r="R13145" s="36" t="s">
        <v>48</v>
      </c>
    </row>
    <row r="13146">
      <c r="H13146" s="50"/>
      <c r="I13146" s="50"/>
      <c r="O13146" s="36" t="s">
        <v>48</v>
      </c>
      <c r="R13146" s="36" t="s">
        <v>48</v>
      </c>
    </row>
    <row r="13147">
      <c r="H13147" s="50"/>
      <c r="I13147" s="50"/>
      <c r="O13147" s="36" t="s">
        <v>48</v>
      </c>
      <c r="R13147" s="36" t="s">
        <v>48</v>
      </c>
    </row>
    <row r="13148">
      <c r="H13148" s="50"/>
      <c r="I13148" s="50"/>
      <c r="O13148" s="36" t="s">
        <v>48</v>
      </c>
      <c r="R13148" s="36" t="s">
        <v>48</v>
      </c>
    </row>
    <row r="13149">
      <c r="H13149" s="50"/>
      <c r="I13149" s="50"/>
      <c r="O13149" s="36" t="s">
        <v>48</v>
      </c>
      <c r="R13149" s="36" t="s">
        <v>48</v>
      </c>
    </row>
    <row r="13150">
      <c r="H13150" s="50"/>
      <c r="I13150" s="50"/>
      <c r="O13150" s="36" t="s">
        <v>48</v>
      </c>
      <c r="R13150" s="36" t="s">
        <v>48</v>
      </c>
    </row>
    <row r="13151">
      <c r="H13151" s="50"/>
      <c r="I13151" s="50"/>
      <c r="O13151" s="36" t="s">
        <v>48</v>
      </c>
      <c r="R13151" s="36" t="s">
        <v>48</v>
      </c>
    </row>
    <row r="13152">
      <c r="H13152" s="50"/>
      <c r="I13152" s="50"/>
      <c r="O13152" s="36" t="s">
        <v>48</v>
      </c>
      <c r="R13152" s="36" t="s">
        <v>48</v>
      </c>
    </row>
    <row r="13153">
      <c r="H13153" s="50"/>
      <c r="I13153" s="50"/>
      <c r="O13153" s="36" t="s">
        <v>48</v>
      </c>
      <c r="R13153" s="36" t="s">
        <v>48</v>
      </c>
    </row>
    <row r="13154">
      <c r="H13154" s="50"/>
      <c r="I13154" s="50"/>
      <c r="O13154" s="36" t="s">
        <v>48</v>
      </c>
      <c r="R13154" s="36" t="s">
        <v>48</v>
      </c>
    </row>
    <row r="13155">
      <c r="H13155" s="50"/>
      <c r="I13155" s="50"/>
      <c r="O13155" s="36" t="s">
        <v>48</v>
      </c>
      <c r="R13155" s="36" t="s">
        <v>48</v>
      </c>
    </row>
    <row r="13156">
      <c r="H13156" s="50"/>
      <c r="I13156" s="50"/>
      <c r="O13156" s="36" t="s">
        <v>48</v>
      </c>
      <c r="R13156" s="36" t="s">
        <v>48</v>
      </c>
    </row>
    <row r="13157">
      <c r="H13157" s="50"/>
      <c r="I13157" s="50"/>
      <c r="O13157" s="36" t="s">
        <v>48</v>
      </c>
      <c r="R13157" s="36" t="s">
        <v>48</v>
      </c>
    </row>
    <row r="13158">
      <c r="H13158" s="50"/>
      <c r="I13158" s="50"/>
      <c r="O13158" s="36" t="s">
        <v>48</v>
      </c>
      <c r="R13158" s="36" t="s">
        <v>48</v>
      </c>
    </row>
    <row r="13159">
      <c r="H13159" s="50"/>
      <c r="I13159" s="50"/>
      <c r="O13159" s="36" t="s">
        <v>48</v>
      </c>
      <c r="R13159" s="36" t="s">
        <v>48</v>
      </c>
    </row>
    <row r="13160">
      <c r="H13160" s="50"/>
      <c r="I13160" s="50"/>
      <c r="O13160" s="36" t="s">
        <v>48</v>
      </c>
      <c r="R13160" s="36" t="s">
        <v>48</v>
      </c>
    </row>
    <row r="13161">
      <c r="H13161" s="50"/>
      <c r="I13161" s="50"/>
      <c r="O13161" s="36" t="s">
        <v>48</v>
      </c>
      <c r="R13161" s="36" t="s">
        <v>48</v>
      </c>
    </row>
    <row r="13162">
      <c r="H13162" s="50"/>
      <c r="I13162" s="50"/>
      <c r="O13162" s="36" t="s">
        <v>48</v>
      </c>
      <c r="R13162" s="36" t="s">
        <v>48</v>
      </c>
    </row>
    <row r="13163">
      <c r="H13163" s="50"/>
      <c r="I13163" s="50"/>
      <c r="O13163" s="36" t="s">
        <v>48</v>
      </c>
      <c r="R13163" s="36" t="s">
        <v>48</v>
      </c>
    </row>
    <row r="13164">
      <c r="H13164" s="50"/>
      <c r="I13164" s="50"/>
      <c r="O13164" s="36" t="s">
        <v>48</v>
      </c>
      <c r="R13164" s="36" t="s">
        <v>48</v>
      </c>
    </row>
    <row r="13165">
      <c r="H13165" s="50"/>
      <c r="I13165" s="50"/>
      <c r="O13165" s="36" t="s">
        <v>48</v>
      </c>
      <c r="R13165" s="36" t="s">
        <v>48</v>
      </c>
    </row>
    <row r="13166">
      <c r="H13166" s="50"/>
      <c r="I13166" s="50"/>
      <c r="O13166" s="36" t="s">
        <v>48</v>
      </c>
      <c r="R13166" s="36" t="s">
        <v>48</v>
      </c>
    </row>
    <row r="13167">
      <c r="H13167" s="50"/>
      <c r="I13167" s="50"/>
      <c r="O13167" s="36" t="s">
        <v>48</v>
      </c>
      <c r="R13167" s="36" t="s">
        <v>48</v>
      </c>
    </row>
    <row r="13168">
      <c r="H13168" s="50"/>
      <c r="I13168" s="50"/>
      <c r="O13168" s="36" t="s">
        <v>48</v>
      </c>
      <c r="R13168" s="36" t="s">
        <v>48</v>
      </c>
    </row>
    <row r="13169">
      <c r="H13169" s="50"/>
      <c r="I13169" s="50"/>
      <c r="O13169" s="36" t="s">
        <v>48</v>
      </c>
      <c r="R13169" s="36" t="s">
        <v>48</v>
      </c>
    </row>
    <row r="13170">
      <c r="H13170" s="50"/>
      <c r="I13170" s="50"/>
      <c r="O13170" s="36" t="s">
        <v>48</v>
      </c>
      <c r="R13170" s="36" t="s">
        <v>48</v>
      </c>
    </row>
    <row r="13171">
      <c r="H13171" s="50"/>
      <c r="I13171" s="50"/>
      <c r="O13171" s="36" t="s">
        <v>48</v>
      </c>
      <c r="R13171" s="36" t="s">
        <v>48</v>
      </c>
    </row>
    <row r="13172">
      <c r="H13172" s="50"/>
      <c r="I13172" s="50"/>
      <c r="O13172" s="36" t="s">
        <v>48</v>
      </c>
      <c r="R13172" s="36" t="s">
        <v>48</v>
      </c>
    </row>
    <row r="13173">
      <c r="H13173" s="50"/>
      <c r="I13173" s="50"/>
      <c r="O13173" s="36" t="s">
        <v>48</v>
      </c>
      <c r="R13173" s="36" t="s">
        <v>48</v>
      </c>
    </row>
    <row r="13174">
      <c r="H13174" s="50"/>
      <c r="I13174" s="50"/>
      <c r="O13174" s="36" t="s">
        <v>48</v>
      </c>
      <c r="R13174" s="36" t="s">
        <v>48</v>
      </c>
    </row>
    <row r="13175">
      <c r="H13175" s="50"/>
      <c r="I13175" s="50"/>
      <c r="O13175" s="36" t="s">
        <v>48</v>
      </c>
      <c r="R13175" s="36" t="s">
        <v>48</v>
      </c>
    </row>
    <row r="13176">
      <c r="H13176" s="50"/>
      <c r="I13176" s="50"/>
      <c r="O13176" s="36" t="s">
        <v>48</v>
      </c>
      <c r="R13176" s="36" t="s">
        <v>48</v>
      </c>
    </row>
    <row r="13177">
      <c r="H13177" s="50"/>
      <c r="I13177" s="50"/>
      <c r="O13177" s="36" t="s">
        <v>48</v>
      </c>
      <c r="R13177" s="36" t="s">
        <v>48</v>
      </c>
    </row>
    <row r="13178">
      <c r="H13178" s="50"/>
      <c r="I13178" s="50"/>
      <c r="O13178" s="36" t="s">
        <v>48</v>
      </c>
      <c r="R13178" s="36" t="s">
        <v>48</v>
      </c>
    </row>
    <row r="13179">
      <c r="H13179" s="50"/>
      <c r="I13179" s="50"/>
      <c r="O13179" s="36" t="s">
        <v>48</v>
      </c>
      <c r="R13179" s="36" t="s">
        <v>48</v>
      </c>
    </row>
    <row r="13180">
      <c r="H13180" s="50"/>
      <c r="I13180" s="50"/>
      <c r="O13180" s="36" t="s">
        <v>48</v>
      </c>
      <c r="R13180" s="36" t="s">
        <v>48</v>
      </c>
    </row>
    <row r="13181">
      <c r="H13181" s="50"/>
      <c r="I13181" s="50"/>
      <c r="O13181" s="36" t="s">
        <v>48</v>
      </c>
      <c r="R13181" s="36" t="s">
        <v>48</v>
      </c>
    </row>
    <row r="13182">
      <c r="H13182" s="50"/>
      <c r="I13182" s="50"/>
      <c r="O13182" s="36" t="s">
        <v>48</v>
      </c>
      <c r="R13182" s="36" t="s">
        <v>48</v>
      </c>
    </row>
    <row r="13183">
      <c r="H13183" s="50"/>
      <c r="I13183" s="50"/>
      <c r="O13183" s="36" t="s">
        <v>48</v>
      </c>
      <c r="R13183" s="36" t="s">
        <v>48</v>
      </c>
    </row>
    <row r="13184">
      <c r="H13184" s="50"/>
      <c r="I13184" s="50"/>
      <c r="O13184" s="36" t="s">
        <v>48</v>
      </c>
      <c r="R13184" s="36" t="s">
        <v>48</v>
      </c>
    </row>
    <row r="13185">
      <c r="H13185" s="50"/>
      <c r="I13185" s="50"/>
      <c r="O13185" s="36" t="s">
        <v>48</v>
      </c>
      <c r="R13185" s="36" t="s">
        <v>48</v>
      </c>
    </row>
    <row r="13186">
      <c r="H13186" s="50"/>
      <c r="I13186" s="50"/>
      <c r="O13186" s="36" t="s">
        <v>48</v>
      </c>
      <c r="R13186" s="36" t="s">
        <v>48</v>
      </c>
    </row>
    <row r="13187">
      <c r="H13187" s="50"/>
      <c r="I13187" s="50"/>
      <c r="O13187" s="36" t="s">
        <v>48</v>
      </c>
      <c r="R13187" s="36" t="s">
        <v>48</v>
      </c>
    </row>
    <row r="13188">
      <c r="H13188" s="50"/>
      <c r="I13188" s="50"/>
      <c r="O13188" s="36" t="s">
        <v>48</v>
      </c>
      <c r="R13188" s="36" t="s">
        <v>48</v>
      </c>
    </row>
    <row r="13189">
      <c r="H13189" s="50"/>
      <c r="I13189" s="50"/>
      <c r="O13189" s="36" t="s">
        <v>48</v>
      </c>
      <c r="R13189" s="36" t="s">
        <v>48</v>
      </c>
    </row>
    <row r="13190">
      <c r="H13190" s="50"/>
      <c r="I13190" s="50"/>
      <c r="O13190" s="36" t="s">
        <v>48</v>
      </c>
      <c r="R13190" s="36" t="s">
        <v>48</v>
      </c>
    </row>
    <row r="13191">
      <c r="H13191" s="50"/>
      <c r="I13191" s="50"/>
      <c r="O13191" s="36" t="s">
        <v>48</v>
      </c>
      <c r="R13191" s="36" t="s">
        <v>48</v>
      </c>
    </row>
    <row r="13192">
      <c r="H13192" s="50"/>
      <c r="I13192" s="50"/>
      <c r="O13192" s="36" t="s">
        <v>48</v>
      </c>
      <c r="R13192" s="36" t="s">
        <v>48</v>
      </c>
    </row>
    <row r="13193">
      <c r="H13193" s="50"/>
      <c r="I13193" s="50"/>
      <c r="O13193" s="36" t="s">
        <v>48</v>
      </c>
      <c r="R13193" s="36" t="s">
        <v>48</v>
      </c>
    </row>
    <row r="13194">
      <c r="H13194" s="50"/>
      <c r="I13194" s="50"/>
      <c r="O13194" s="36" t="s">
        <v>48</v>
      </c>
      <c r="R13194" s="36" t="s">
        <v>48</v>
      </c>
    </row>
    <row r="13195">
      <c r="H13195" s="50"/>
      <c r="I13195" s="50"/>
      <c r="O13195" s="36" t="s">
        <v>48</v>
      </c>
      <c r="R13195" s="36" t="s">
        <v>48</v>
      </c>
    </row>
    <row r="13196">
      <c r="H13196" s="50"/>
      <c r="I13196" s="50"/>
      <c r="O13196" s="36" t="s">
        <v>48</v>
      </c>
      <c r="R13196" s="36" t="s">
        <v>48</v>
      </c>
    </row>
    <row r="13197">
      <c r="H13197" s="50"/>
      <c r="I13197" s="50"/>
      <c r="O13197" s="36" t="s">
        <v>48</v>
      </c>
      <c r="R13197" s="36" t="s">
        <v>48</v>
      </c>
    </row>
    <row r="13198">
      <c r="H13198" s="50"/>
      <c r="I13198" s="50"/>
      <c r="O13198" s="36" t="s">
        <v>48</v>
      </c>
      <c r="R13198" s="36" t="s">
        <v>48</v>
      </c>
    </row>
    <row r="13199">
      <c r="H13199" s="50"/>
      <c r="I13199" s="50"/>
      <c r="O13199" s="36" t="s">
        <v>48</v>
      </c>
      <c r="R13199" s="36" t="s">
        <v>48</v>
      </c>
    </row>
    <row r="13200">
      <c r="H13200" s="50"/>
      <c r="I13200" s="50"/>
      <c r="O13200" s="36" t="s">
        <v>48</v>
      </c>
      <c r="R13200" s="36" t="s">
        <v>48</v>
      </c>
    </row>
    <row r="13201">
      <c r="H13201" s="50"/>
      <c r="I13201" s="50"/>
      <c r="O13201" s="36" t="s">
        <v>48</v>
      </c>
      <c r="R13201" s="36" t="s">
        <v>48</v>
      </c>
    </row>
    <row r="13202">
      <c r="H13202" s="50"/>
      <c r="I13202" s="50"/>
      <c r="O13202" s="36" t="s">
        <v>48</v>
      </c>
      <c r="R13202" s="36" t="s">
        <v>48</v>
      </c>
    </row>
    <row r="13203">
      <c r="H13203" s="50"/>
      <c r="I13203" s="50"/>
      <c r="O13203" s="36" t="s">
        <v>48</v>
      </c>
      <c r="R13203" s="36" t="s">
        <v>48</v>
      </c>
    </row>
    <row r="13204">
      <c r="H13204" s="50"/>
      <c r="I13204" s="50"/>
      <c r="O13204" s="36" t="s">
        <v>48</v>
      </c>
      <c r="R13204" s="36" t="s">
        <v>48</v>
      </c>
    </row>
    <row r="13205">
      <c r="H13205" s="50"/>
      <c r="I13205" s="50"/>
      <c r="O13205" s="36" t="s">
        <v>48</v>
      </c>
      <c r="R13205" s="36" t="s">
        <v>48</v>
      </c>
    </row>
    <row r="13206">
      <c r="H13206" s="50"/>
      <c r="I13206" s="50"/>
      <c r="O13206" s="36" t="s">
        <v>48</v>
      </c>
      <c r="R13206" s="36" t="s">
        <v>48</v>
      </c>
    </row>
    <row r="13207">
      <c r="H13207" s="50"/>
      <c r="I13207" s="50"/>
      <c r="O13207" s="36" t="s">
        <v>48</v>
      </c>
      <c r="R13207" s="36" t="s">
        <v>48</v>
      </c>
    </row>
    <row r="13208">
      <c r="H13208" s="50"/>
      <c r="I13208" s="50"/>
      <c r="O13208" s="36" t="s">
        <v>48</v>
      </c>
      <c r="R13208" s="36" t="s">
        <v>48</v>
      </c>
    </row>
    <row r="13209">
      <c r="H13209" s="50"/>
      <c r="I13209" s="50"/>
      <c r="O13209" s="36" t="s">
        <v>48</v>
      </c>
      <c r="R13209" s="36" t="s">
        <v>48</v>
      </c>
    </row>
    <row r="13210">
      <c r="H13210" s="50"/>
      <c r="I13210" s="50"/>
      <c r="O13210" s="36" t="s">
        <v>48</v>
      </c>
      <c r="R13210" s="36" t="s">
        <v>48</v>
      </c>
    </row>
    <row r="13211">
      <c r="H13211" s="50"/>
      <c r="I13211" s="50"/>
      <c r="O13211" s="36" t="s">
        <v>48</v>
      </c>
      <c r="R13211" s="36" t="s">
        <v>48</v>
      </c>
    </row>
    <row r="13212">
      <c r="H13212" s="50"/>
      <c r="I13212" s="50"/>
      <c r="O13212" s="36" t="s">
        <v>48</v>
      </c>
      <c r="R13212" s="36" t="s">
        <v>48</v>
      </c>
    </row>
    <row r="13213">
      <c r="H13213" s="50"/>
      <c r="I13213" s="50"/>
      <c r="O13213" s="36" t="s">
        <v>48</v>
      </c>
      <c r="R13213" s="36" t="s">
        <v>48</v>
      </c>
    </row>
    <row r="13214">
      <c r="H13214" s="50"/>
      <c r="I13214" s="50"/>
      <c r="O13214" s="36" t="s">
        <v>48</v>
      </c>
      <c r="R13214" s="36" t="s">
        <v>48</v>
      </c>
    </row>
    <row r="13215">
      <c r="H13215" s="50"/>
      <c r="I13215" s="50"/>
      <c r="O13215" s="36" t="s">
        <v>48</v>
      </c>
      <c r="R13215" s="36" t="s">
        <v>48</v>
      </c>
    </row>
    <row r="13216">
      <c r="H13216" s="50"/>
      <c r="I13216" s="50"/>
      <c r="O13216" s="36" t="s">
        <v>48</v>
      </c>
      <c r="R13216" s="36" t="s">
        <v>48</v>
      </c>
    </row>
    <row r="13217">
      <c r="H13217" s="50"/>
      <c r="I13217" s="50"/>
      <c r="O13217" s="36" t="s">
        <v>48</v>
      </c>
      <c r="R13217" s="36" t="s">
        <v>48</v>
      </c>
    </row>
    <row r="13218">
      <c r="H13218" s="50"/>
      <c r="I13218" s="50"/>
      <c r="O13218" s="36" t="s">
        <v>48</v>
      </c>
      <c r="R13218" s="36" t="s">
        <v>48</v>
      </c>
    </row>
    <row r="13219">
      <c r="H13219" s="50"/>
      <c r="I13219" s="50"/>
      <c r="O13219" s="36" t="s">
        <v>48</v>
      </c>
      <c r="R13219" s="36" t="s">
        <v>48</v>
      </c>
    </row>
    <row r="13220">
      <c r="H13220" s="50"/>
      <c r="I13220" s="50"/>
      <c r="O13220" s="36" t="s">
        <v>48</v>
      </c>
      <c r="R13220" s="36" t="s">
        <v>48</v>
      </c>
    </row>
    <row r="13221">
      <c r="H13221" s="50"/>
      <c r="I13221" s="50"/>
      <c r="O13221" s="36" t="s">
        <v>48</v>
      </c>
      <c r="R13221" s="36" t="s">
        <v>48</v>
      </c>
    </row>
    <row r="13222">
      <c r="H13222" s="50"/>
      <c r="I13222" s="50"/>
      <c r="O13222" s="36" t="s">
        <v>48</v>
      </c>
      <c r="R13222" s="36" t="s">
        <v>48</v>
      </c>
    </row>
    <row r="13223">
      <c r="H13223" s="50"/>
      <c r="I13223" s="50"/>
      <c r="O13223" s="36" t="s">
        <v>48</v>
      </c>
      <c r="R13223" s="36" t="s">
        <v>48</v>
      </c>
    </row>
    <row r="13224">
      <c r="H13224" s="50"/>
      <c r="I13224" s="50"/>
      <c r="O13224" s="36" t="s">
        <v>48</v>
      </c>
      <c r="R13224" s="36" t="s">
        <v>48</v>
      </c>
    </row>
    <row r="13225">
      <c r="H13225" s="50"/>
      <c r="I13225" s="50"/>
      <c r="O13225" s="36" t="s">
        <v>48</v>
      </c>
      <c r="R13225" s="36" t="s">
        <v>48</v>
      </c>
    </row>
    <row r="13226">
      <c r="H13226" s="50"/>
      <c r="I13226" s="50"/>
      <c r="O13226" s="36" t="s">
        <v>48</v>
      </c>
      <c r="R13226" s="36" t="s">
        <v>48</v>
      </c>
    </row>
    <row r="13227">
      <c r="H13227" s="50"/>
      <c r="I13227" s="50"/>
      <c r="O13227" s="36" t="s">
        <v>48</v>
      </c>
      <c r="R13227" s="36" t="s">
        <v>48</v>
      </c>
    </row>
    <row r="13228">
      <c r="H13228" s="50"/>
      <c r="I13228" s="50"/>
      <c r="O13228" s="36" t="s">
        <v>48</v>
      </c>
      <c r="R13228" s="36" t="s">
        <v>48</v>
      </c>
    </row>
    <row r="13229">
      <c r="H13229" s="50"/>
      <c r="I13229" s="50"/>
      <c r="O13229" s="36" t="s">
        <v>48</v>
      </c>
      <c r="R13229" s="36" t="s">
        <v>48</v>
      </c>
    </row>
    <row r="13230">
      <c r="H13230" s="50"/>
      <c r="I13230" s="50"/>
      <c r="O13230" s="36" t="s">
        <v>48</v>
      </c>
      <c r="R13230" s="36" t="s">
        <v>48</v>
      </c>
    </row>
    <row r="13231">
      <c r="H13231" s="50"/>
      <c r="I13231" s="50"/>
      <c r="O13231" s="36" t="s">
        <v>48</v>
      </c>
      <c r="R13231" s="36" t="s">
        <v>48</v>
      </c>
    </row>
    <row r="13232">
      <c r="H13232" s="50"/>
      <c r="I13232" s="50"/>
      <c r="O13232" s="36" t="s">
        <v>48</v>
      </c>
      <c r="R13232" s="36" t="s">
        <v>48</v>
      </c>
    </row>
    <row r="13233">
      <c r="H13233" s="50"/>
      <c r="I13233" s="50"/>
      <c r="O13233" s="36" t="s">
        <v>48</v>
      </c>
      <c r="R13233" s="36" t="s">
        <v>48</v>
      </c>
    </row>
    <row r="13234">
      <c r="H13234" s="50"/>
      <c r="I13234" s="50"/>
      <c r="O13234" s="36" t="s">
        <v>48</v>
      </c>
      <c r="R13234" s="36" t="s">
        <v>48</v>
      </c>
    </row>
    <row r="13235">
      <c r="H13235" s="50"/>
      <c r="I13235" s="50"/>
      <c r="O13235" s="36" t="s">
        <v>48</v>
      </c>
      <c r="R13235" s="36" t="s">
        <v>48</v>
      </c>
    </row>
    <row r="13236">
      <c r="H13236" s="50"/>
      <c r="I13236" s="50"/>
      <c r="O13236" s="36" t="s">
        <v>48</v>
      </c>
      <c r="R13236" s="36" t="s">
        <v>48</v>
      </c>
    </row>
    <row r="13237">
      <c r="H13237" s="50"/>
      <c r="I13237" s="50"/>
      <c r="O13237" s="36" t="s">
        <v>48</v>
      </c>
      <c r="R13237" s="36" t="s">
        <v>48</v>
      </c>
    </row>
    <row r="13238">
      <c r="H13238" s="50"/>
      <c r="I13238" s="50"/>
      <c r="O13238" s="36" t="s">
        <v>48</v>
      </c>
      <c r="R13238" s="36" t="s">
        <v>48</v>
      </c>
    </row>
    <row r="13239">
      <c r="H13239" s="50"/>
      <c r="I13239" s="50"/>
      <c r="O13239" s="36" t="s">
        <v>48</v>
      </c>
      <c r="R13239" s="36" t="s">
        <v>48</v>
      </c>
    </row>
    <row r="13240">
      <c r="H13240" s="50"/>
      <c r="I13240" s="50"/>
      <c r="O13240" s="36" t="s">
        <v>48</v>
      </c>
      <c r="R13240" s="36" t="s">
        <v>48</v>
      </c>
    </row>
    <row r="13241">
      <c r="H13241" s="50"/>
      <c r="I13241" s="50"/>
      <c r="O13241" s="36" t="s">
        <v>48</v>
      </c>
      <c r="R13241" s="36" t="s">
        <v>48</v>
      </c>
    </row>
    <row r="13242">
      <c r="H13242" s="50"/>
      <c r="I13242" s="50"/>
      <c r="O13242" s="36" t="s">
        <v>48</v>
      </c>
      <c r="R13242" s="36" t="s">
        <v>48</v>
      </c>
    </row>
    <row r="13243">
      <c r="H13243" s="50"/>
      <c r="I13243" s="50"/>
      <c r="O13243" s="36" t="s">
        <v>48</v>
      </c>
      <c r="R13243" s="36" t="s">
        <v>48</v>
      </c>
    </row>
    <row r="13244">
      <c r="H13244" s="50"/>
      <c r="I13244" s="50"/>
      <c r="O13244" s="36" t="s">
        <v>48</v>
      </c>
      <c r="R13244" s="36" t="s">
        <v>48</v>
      </c>
    </row>
    <row r="13245">
      <c r="H13245" s="50"/>
      <c r="I13245" s="50"/>
      <c r="O13245" s="36" t="s">
        <v>48</v>
      </c>
      <c r="R13245" s="36" t="s">
        <v>48</v>
      </c>
    </row>
    <row r="13246">
      <c r="H13246" s="50"/>
      <c r="I13246" s="50"/>
      <c r="O13246" s="36" t="s">
        <v>48</v>
      </c>
      <c r="R13246" s="36" t="s">
        <v>48</v>
      </c>
    </row>
    <row r="13247">
      <c r="H13247" s="50"/>
      <c r="I13247" s="50"/>
      <c r="O13247" s="36" t="s">
        <v>48</v>
      </c>
      <c r="R13247" s="36" t="s">
        <v>48</v>
      </c>
    </row>
    <row r="13248">
      <c r="H13248" s="50"/>
      <c r="I13248" s="50"/>
      <c r="O13248" s="36" t="s">
        <v>48</v>
      </c>
      <c r="R13248" s="36" t="s">
        <v>48</v>
      </c>
    </row>
    <row r="13249">
      <c r="H13249" s="50"/>
      <c r="I13249" s="50"/>
      <c r="O13249" s="36" t="s">
        <v>48</v>
      </c>
      <c r="R13249" s="36" t="s">
        <v>48</v>
      </c>
    </row>
    <row r="13250">
      <c r="H13250" s="50"/>
      <c r="I13250" s="50"/>
      <c r="O13250" s="36" t="s">
        <v>48</v>
      </c>
      <c r="R13250" s="36" t="s">
        <v>48</v>
      </c>
    </row>
    <row r="13251">
      <c r="H13251" s="50"/>
      <c r="I13251" s="50"/>
      <c r="O13251" s="36" t="s">
        <v>48</v>
      </c>
      <c r="R13251" s="36" t="s">
        <v>48</v>
      </c>
    </row>
    <row r="13252">
      <c r="H13252" s="50"/>
      <c r="I13252" s="50"/>
      <c r="O13252" s="36" t="s">
        <v>48</v>
      </c>
      <c r="R13252" s="36" t="s">
        <v>48</v>
      </c>
    </row>
    <row r="13253">
      <c r="H13253" s="50"/>
      <c r="I13253" s="50"/>
      <c r="O13253" s="36" t="s">
        <v>48</v>
      </c>
      <c r="R13253" s="36" t="s">
        <v>48</v>
      </c>
    </row>
    <row r="13254">
      <c r="H13254" s="50"/>
      <c r="I13254" s="50"/>
      <c r="O13254" s="36" t="s">
        <v>48</v>
      </c>
      <c r="R13254" s="36" t="s">
        <v>48</v>
      </c>
    </row>
    <row r="13255">
      <c r="H13255" s="50"/>
      <c r="I13255" s="50"/>
      <c r="O13255" s="36" t="s">
        <v>48</v>
      </c>
      <c r="R13255" s="36" t="s">
        <v>48</v>
      </c>
    </row>
    <row r="13256">
      <c r="H13256" s="50"/>
      <c r="I13256" s="50"/>
      <c r="O13256" s="36" t="s">
        <v>48</v>
      </c>
      <c r="R13256" s="36" t="s">
        <v>48</v>
      </c>
    </row>
    <row r="13257">
      <c r="H13257" s="50"/>
      <c r="I13257" s="50"/>
      <c r="O13257" s="36" t="s">
        <v>48</v>
      </c>
      <c r="R13257" s="36" t="s">
        <v>48</v>
      </c>
    </row>
    <row r="13258">
      <c r="H13258" s="50"/>
      <c r="I13258" s="50"/>
      <c r="O13258" s="36" t="s">
        <v>48</v>
      </c>
      <c r="R13258" s="36" t="s">
        <v>48</v>
      </c>
    </row>
    <row r="13259">
      <c r="H13259" s="50"/>
      <c r="I13259" s="50"/>
      <c r="O13259" s="36" t="s">
        <v>48</v>
      </c>
      <c r="R13259" s="36" t="s">
        <v>48</v>
      </c>
    </row>
    <row r="13260">
      <c r="H13260" s="50"/>
      <c r="I13260" s="50"/>
      <c r="O13260" s="36" t="s">
        <v>48</v>
      </c>
      <c r="R13260" s="36" t="s">
        <v>48</v>
      </c>
    </row>
    <row r="13261">
      <c r="H13261" s="50"/>
      <c r="I13261" s="50"/>
      <c r="O13261" s="36" t="s">
        <v>48</v>
      </c>
      <c r="R13261" s="36" t="s">
        <v>48</v>
      </c>
    </row>
    <row r="13262">
      <c r="H13262" s="50"/>
      <c r="I13262" s="50"/>
      <c r="O13262" s="36" t="s">
        <v>48</v>
      </c>
      <c r="R13262" s="36" t="s">
        <v>48</v>
      </c>
    </row>
    <row r="13263">
      <c r="H13263" s="50"/>
      <c r="I13263" s="50"/>
      <c r="O13263" s="36" t="s">
        <v>48</v>
      </c>
      <c r="R13263" s="36" t="s">
        <v>48</v>
      </c>
    </row>
    <row r="13264">
      <c r="H13264" s="50"/>
      <c r="I13264" s="50"/>
      <c r="O13264" s="36" t="s">
        <v>48</v>
      </c>
      <c r="R13264" s="36" t="s">
        <v>48</v>
      </c>
    </row>
    <row r="13265">
      <c r="H13265" s="50"/>
      <c r="I13265" s="50"/>
      <c r="O13265" s="36" t="s">
        <v>48</v>
      </c>
      <c r="R13265" s="36" t="s">
        <v>48</v>
      </c>
    </row>
    <row r="13266">
      <c r="H13266" s="50"/>
      <c r="I13266" s="50"/>
      <c r="O13266" s="36" t="s">
        <v>48</v>
      </c>
      <c r="R13266" s="36" t="s">
        <v>48</v>
      </c>
    </row>
    <row r="13267">
      <c r="H13267" s="50"/>
      <c r="I13267" s="50"/>
      <c r="O13267" s="36" t="s">
        <v>48</v>
      </c>
      <c r="R13267" s="36" t="s">
        <v>48</v>
      </c>
    </row>
    <row r="13268">
      <c r="H13268" s="50"/>
      <c r="I13268" s="50"/>
      <c r="O13268" s="36" t="s">
        <v>48</v>
      </c>
      <c r="R13268" s="36" t="s">
        <v>48</v>
      </c>
    </row>
    <row r="13269">
      <c r="H13269" s="50"/>
      <c r="I13269" s="50"/>
      <c r="O13269" s="36" t="s">
        <v>48</v>
      </c>
      <c r="R13269" s="36" t="s">
        <v>48</v>
      </c>
    </row>
    <row r="13270">
      <c r="H13270" s="50"/>
      <c r="I13270" s="50"/>
      <c r="O13270" s="36" t="s">
        <v>48</v>
      </c>
      <c r="R13270" s="36" t="s">
        <v>48</v>
      </c>
    </row>
    <row r="13271">
      <c r="H13271" s="50"/>
      <c r="I13271" s="50"/>
      <c r="O13271" s="36" t="s">
        <v>48</v>
      </c>
      <c r="R13271" s="36" t="s">
        <v>48</v>
      </c>
    </row>
    <row r="13272">
      <c r="H13272" s="50"/>
      <c r="I13272" s="50"/>
      <c r="O13272" s="36" t="s">
        <v>48</v>
      </c>
      <c r="R13272" s="36" t="s">
        <v>48</v>
      </c>
    </row>
    <row r="13273">
      <c r="H13273" s="50"/>
      <c r="I13273" s="50"/>
      <c r="O13273" s="36" t="s">
        <v>48</v>
      </c>
      <c r="R13273" s="36" t="s">
        <v>48</v>
      </c>
    </row>
    <row r="13274">
      <c r="H13274" s="50"/>
      <c r="I13274" s="50"/>
      <c r="O13274" s="36" t="s">
        <v>48</v>
      </c>
      <c r="R13274" s="36" t="s">
        <v>48</v>
      </c>
    </row>
    <row r="13275">
      <c r="H13275" s="50"/>
      <c r="I13275" s="50"/>
      <c r="O13275" s="36" t="s">
        <v>48</v>
      </c>
      <c r="R13275" s="36" t="s">
        <v>48</v>
      </c>
    </row>
    <row r="13276">
      <c r="H13276" s="50"/>
      <c r="I13276" s="50"/>
      <c r="O13276" s="36" t="s">
        <v>48</v>
      </c>
      <c r="R13276" s="36" t="s">
        <v>48</v>
      </c>
    </row>
    <row r="13277">
      <c r="H13277" s="50"/>
      <c r="I13277" s="50"/>
      <c r="O13277" s="36" t="s">
        <v>48</v>
      </c>
      <c r="R13277" s="36" t="s">
        <v>48</v>
      </c>
    </row>
    <row r="13278">
      <c r="H13278" s="50"/>
      <c r="I13278" s="50"/>
      <c r="O13278" s="36" t="s">
        <v>48</v>
      </c>
      <c r="R13278" s="36" t="s">
        <v>48</v>
      </c>
    </row>
    <row r="13279">
      <c r="H13279" s="50"/>
      <c r="I13279" s="50"/>
      <c r="O13279" s="36" t="s">
        <v>48</v>
      </c>
      <c r="R13279" s="36" t="s">
        <v>48</v>
      </c>
    </row>
    <row r="13280">
      <c r="H13280" s="50"/>
      <c r="I13280" s="50"/>
      <c r="O13280" s="36" t="s">
        <v>48</v>
      </c>
      <c r="R13280" s="36" t="s">
        <v>48</v>
      </c>
    </row>
    <row r="13281">
      <c r="H13281" s="50"/>
      <c r="I13281" s="50"/>
      <c r="O13281" s="36" t="s">
        <v>48</v>
      </c>
      <c r="R13281" s="36" t="s">
        <v>48</v>
      </c>
    </row>
    <row r="13282">
      <c r="H13282" s="50"/>
      <c r="I13282" s="50"/>
      <c r="O13282" s="36" t="s">
        <v>48</v>
      </c>
      <c r="R13282" s="36" t="s">
        <v>48</v>
      </c>
    </row>
    <row r="13283">
      <c r="H13283" s="50"/>
      <c r="I13283" s="50"/>
      <c r="O13283" s="36" t="s">
        <v>48</v>
      </c>
      <c r="R13283" s="36" t="s">
        <v>48</v>
      </c>
    </row>
    <row r="13284">
      <c r="H13284" s="50"/>
      <c r="I13284" s="50"/>
      <c r="O13284" s="36" t="s">
        <v>48</v>
      </c>
      <c r="R13284" s="36" t="s">
        <v>48</v>
      </c>
    </row>
    <row r="13285">
      <c r="H13285" s="50"/>
      <c r="I13285" s="50"/>
      <c r="O13285" s="36" t="s">
        <v>48</v>
      </c>
      <c r="R13285" s="36" t="s">
        <v>48</v>
      </c>
    </row>
    <row r="13286">
      <c r="H13286" s="50"/>
      <c r="I13286" s="50"/>
      <c r="O13286" s="36" t="s">
        <v>48</v>
      </c>
      <c r="R13286" s="36" t="s">
        <v>48</v>
      </c>
    </row>
    <row r="13287">
      <c r="H13287" s="50"/>
      <c r="I13287" s="50"/>
      <c r="O13287" s="36" t="s">
        <v>48</v>
      </c>
      <c r="R13287" s="36" t="s">
        <v>48</v>
      </c>
    </row>
    <row r="13288">
      <c r="H13288" s="50"/>
      <c r="I13288" s="50"/>
      <c r="O13288" s="36" t="s">
        <v>48</v>
      </c>
      <c r="R13288" s="36" t="s">
        <v>48</v>
      </c>
    </row>
    <row r="13289">
      <c r="H13289" s="50"/>
      <c r="I13289" s="50"/>
      <c r="O13289" s="36" t="s">
        <v>48</v>
      </c>
      <c r="R13289" s="36" t="s">
        <v>48</v>
      </c>
    </row>
    <row r="13290">
      <c r="H13290" s="50"/>
      <c r="I13290" s="50"/>
      <c r="O13290" s="36" t="s">
        <v>48</v>
      </c>
      <c r="R13290" s="36" t="s">
        <v>48</v>
      </c>
    </row>
    <row r="13291">
      <c r="H13291" s="50"/>
      <c r="I13291" s="50"/>
      <c r="O13291" s="36" t="s">
        <v>48</v>
      </c>
      <c r="R13291" s="36" t="s">
        <v>48</v>
      </c>
    </row>
    <row r="13292">
      <c r="H13292" s="50"/>
      <c r="I13292" s="50"/>
      <c r="O13292" s="36" t="s">
        <v>48</v>
      </c>
      <c r="R13292" s="36" t="s">
        <v>48</v>
      </c>
    </row>
    <row r="13293">
      <c r="H13293" s="50"/>
      <c r="I13293" s="50"/>
      <c r="O13293" s="36" t="s">
        <v>48</v>
      </c>
      <c r="R13293" s="36" t="s">
        <v>48</v>
      </c>
    </row>
    <row r="13294">
      <c r="H13294" s="50"/>
      <c r="I13294" s="50"/>
      <c r="O13294" s="36" t="s">
        <v>48</v>
      </c>
      <c r="R13294" s="36" t="s">
        <v>48</v>
      </c>
    </row>
    <row r="13295">
      <c r="H13295" s="50"/>
      <c r="I13295" s="50"/>
      <c r="O13295" s="36" t="s">
        <v>48</v>
      </c>
      <c r="R13295" s="36" t="s">
        <v>48</v>
      </c>
    </row>
    <row r="13296">
      <c r="H13296" s="50"/>
      <c r="I13296" s="50"/>
      <c r="O13296" s="36" t="s">
        <v>48</v>
      </c>
      <c r="R13296" s="36" t="s">
        <v>48</v>
      </c>
    </row>
    <row r="13297">
      <c r="H13297" s="50"/>
      <c r="I13297" s="50"/>
      <c r="O13297" s="36" t="s">
        <v>48</v>
      </c>
      <c r="R13297" s="36" t="s">
        <v>48</v>
      </c>
    </row>
    <row r="13298">
      <c r="H13298" s="50"/>
      <c r="I13298" s="50"/>
      <c r="O13298" s="36" t="s">
        <v>48</v>
      </c>
      <c r="R13298" s="36" t="s">
        <v>48</v>
      </c>
    </row>
    <row r="13299">
      <c r="H13299" s="50"/>
      <c r="I13299" s="50"/>
      <c r="O13299" s="36" t="s">
        <v>48</v>
      </c>
      <c r="R13299" s="36" t="s">
        <v>48</v>
      </c>
    </row>
    <row r="13300">
      <c r="H13300" s="50"/>
      <c r="I13300" s="50"/>
      <c r="O13300" s="36" t="s">
        <v>48</v>
      </c>
      <c r="R13300" s="36" t="s">
        <v>48</v>
      </c>
    </row>
    <row r="13301">
      <c r="H13301" s="50"/>
      <c r="I13301" s="50"/>
      <c r="O13301" s="36" t="s">
        <v>48</v>
      </c>
      <c r="R13301" s="36" t="s">
        <v>48</v>
      </c>
    </row>
    <row r="13302">
      <c r="H13302" s="50"/>
      <c r="I13302" s="50"/>
      <c r="O13302" s="36" t="s">
        <v>48</v>
      </c>
      <c r="R13302" s="36" t="s">
        <v>48</v>
      </c>
    </row>
    <row r="13303">
      <c r="H13303" s="50"/>
      <c r="I13303" s="50"/>
      <c r="O13303" s="36" t="s">
        <v>48</v>
      </c>
      <c r="R13303" s="36" t="s">
        <v>48</v>
      </c>
    </row>
    <row r="13304">
      <c r="H13304" s="50"/>
      <c r="I13304" s="50"/>
      <c r="O13304" s="36" t="s">
        <v>48</v>
      </c>
      <c r="R13304" s="36" t="s">
        <v>48</v>
      </c>
    </row>
    <row r="13305">
      <c r="H13305" s="50"/>
      <c r="I13305" s="50"/>
      <c r="O13305" s="36" t="s">
        <v>48</v>
      </c>
      <c r="R13305" s="36" t="s">
        <v>48</v>
      </c>
    </row>
    <row r="13306">
      <c r="H13306" s="50"/>
      <c r="I13306" s="50"/>
      <c r="O13306" s="36" t="s">
        <v>48</v>
      </c>
      <c r="R13306" s="36" t="s">
        <v>48</v>
      </c>
    </row>
    <row r="13307">
      <c r="H13307" s="50"/>
      <c r="I13307" s="50"/>
      <c r="O13307" s="36" t="s">
        <v>48</v>
      </c>
      <c r="R13307" s="36" t="s">
        <v>48</v>
      </c>
    </row>
    <row r="13308">
      <c r="H13308" s="50"/>
      <c r="I13308" s="50"/>
      <c r="O13308" s="36" t="s">
        <v>48</v>
      </c>
      <c r="R13308" s="36" t="s">
        <v>48</v>
      </c>
    </row>
    <row r="13309">
      <c r="H13309" s="50"/>
      <c r="I13309" s="50"/>
      <c r="O13309" s="36" t="s">
        <v>48</v>
      </c>
      <c r="R13309" s="36" t="s">
        <v>48</v>
      </c>
    </row>
    <row r="13310">
      <c r="H13310" s="50"/>
      <c r="I13310" s="50"/>
      <c r="O13310" s="36" t="s">
        <v>48</v>
      </c>
      <c r="R13310" s="36" t="s">
        <v>48</v>
      </c>
    </row>
    <row r="13311">
      <c r="H13311" s="50"/>
      <c r="I13311" s="50"/>
      <c r="O13311" s="36" t="s">
        <v>48</v>
      </c>
      <c r="R13311" s="36" t="s">
        <v>48</v>
      </c>
    </row>
    <row r="13312">
      <c r="H13312" s="50"/>
      <c r="I13312" s="50"/>
      <c r="O13312" s="36" t="s">
        <v>48</v>
      </c>
      <c r="R13312" s="36" t="s">
        <v>48</v>
      </c>
    </row>
    <row r="13313">
      <c r="H13313" s="50"/>
      <c r="I13313" s="50"/>
      <c r="O13313" s="36" t="s">
        <v>48</v>
      </c>
      <c r="R13313" s="36" t="s">
        <v>48</v>
      </c>
    </row>
    <row r="13314">
      <c r="H13314" s="50"/>
      <c r="I13314" s="50"/>
      <c r="O13314" s="36" t="s">
        <v>48</v>
      </c>
      <c r="R13314" s="36" t="s">
        <v>48</v>
      </c>
    </row>
    <row r="13315">
      <c r="H13315" s="50"/>
      <c r="I13315" s="50"/>
      <c r="O13315" s="36" t="s">
        <v>48</v>
      </c>
      <c r="R13315" s="36" t="s">
        <v>48</v>
      </c>
    </row>
    <row r="13316">
      <c r="H13316" s="50"/>
      <c r="I13316" s="50"/>
      <c r="O13316" s="36" t="s">
        <v>48</v>
      </c>
      <c r="R13316" s="36" t="s">
        <v>48</v>
      </c>
    </row>
    <row r="13317">
      <c r="H13317" s="50"/>
      <c r="I13317" s="50"/>
      <c r="O13317" s="36" t="s">
        <v>48</v>
      </c>
      <c r="R13317" s="36" t="s">
        <v>48</v>
      </c>
    </row>
    <row r="13318">
      <c r="H13318" s="50"/>
      <c r="I13318" s="50"/>
      <c r="O13318" s="36" t="s">
        <v>48</v>
      </c>
      <c r="R13318" s="36" t="s">
        <v>48</v>
      </c>
    </row>
    <row r="13319">
      <c r="H13319" s="50"/>
      <c r="I13319" s="50"/>
      <c r="O13319" s="36" t="s">
        <v>48</v>
      </c>
      <c r="R13319" s="36" t="s">
        <v>48</v>
      </c>
    </row>
    <row r="13320">
      <c r="H13320" s="50"/>
      <c r="I13320" s="50"/>
      <c r="O13320" s="36" t="s">
        <v>48</v>
      </c>
      <c r="R13320" s="36" t="s">
        <v>48</v>
      </c>
    </row>
    <row r="13321">
      <c r="H13321" s="50"/>
      <c r="I13321" s="50"/>
      <c r="O13321" s="36" t="s">
        <v>48</v>
      </c>
      <c r="R13321" s="36" t="s">
        <v>48</v>
      </c>
    </row>
    <row r="13322">
      <c r="H13322" s="50"/>
      <c r="I13322" s="50"/>
      <c r="O13322" s="36" t="s">
        <v>48</v>
      </c>
      <c r="R13322" s="36" t="s">
        <v>48</v>
      </c>
    </row>
    <row r="13323">
      <c r="H13323" s="50"/>
      <c r="I13323" s="50"/>
      <c r="O13323" s="36" t="s">
        <v>48</v>
      </c>
      <c r="R13323" s="36" t="s">
        <v>48</v>
      </c>
    </row>
    <row r="13324">
      <c r="H13324" s="50"/>
      <c r="I13324" s="50"/>
      <c r="O13324" s="36" t="s">
        <v>48</v>
      </c>
      <c r="R13324" s="36" t="s">
        <v>48</v>
      </c>
    </row>
    <row r="13325">
      <c r="H13325" s="50"/>
      <c r="I13325" s="50"/>
      <c r="O13325" s="36" t="s">
        <v>48</v>
      </c>
      <c r="R13325" s="36" t="s">
        <v>48</v>
      </c>
    </row>
    <row r="13326">
      <c r="H13326" s="50"/>
      <c r="I13326" s="50"/>
      <c r="O13326" s="36" t="s">
        <v>48</v>
      </c>
      <c r="R13326" s="36" t="s">
        <v>48</v>
      </c>
    </row>
    <row r="13327">
      <c r="H13327" s="50"/>
      <c r="I13327" s="50"/>
      <c r="O13327" s="36" t="s">
        <v>48</v>
      </c>
      <c r="R13327" s="36" t="s">
        <v>48</v>
      </c>
    </row>
    <row r="13328">
      <c r="H13328" s="50"/>
      <c r="I13328" s="50"/>
      <c r="O13328" s="36" t="s">
        <v>48</v>
      </c>
      <c r="R13328" s="36" t="s">
        <v>48</v>
      </c>
    </row>
    <row r="13329">
      <c r="H13329" s="50"/>
      <c r="I13329" s="50"/>
      <c r="O13329" s="36" t="s">
        <v>48</v>
      </c>
      <c r="R13329" s="36" t="s">
        <v>48</v>
      </c>
    </row>
    <row r="13330">
      <c r="H13330" s="50"/>
      <c r="I13330" s="50"/>
      <c r="O13330" s="36" t="s">
        <v>48</v>
      </c>
      <c r="R13330" s="36" t="s">
        <v>48</v>
      </c>
    </row>
    <row r="13331">
      <c r="H13331" s="50"/>
      <c r="I13331" s="50"/>
      <c r="O13331" s="36" t="s">
        <v>48</v>
      </c>
      <c r="R13331" s="36" t="s">
        <v>48</v>
      </c>
    </row>
    <row r="13332">
      <c r="H13332" s="50"/>
      <c r="I13332" s="50"/>
      <c r="O13332" s="36" t="s">
        <v>48</v>
      </c>
      <c r="R13332" s="36" t="s">
        <v>48</v>
      </c>
    </row>
    <row r="13333">
      <c r="H13333" s="50"/>
      <c r="I13333" s="50"/>
      <c r="O13333" s="36" t="s">
        <v>48</v>
      </c>
      <c r="R13333" s="36" t="s">
        <v>48</v>
      </c>
    </row>
    <row r="13334">
      <c r="H13334" s="50"/>
      <c r="I13334" s="50"/>
      <c r="O13334" s="36" t="s">
        <v>48</v>
      </c>
      <c r="R13334" s="36" t="s">
        <v>48</v>
      </c>
    </row>
    <row r="13335">
      <c r="H13335" s="50"/>
      <c r="I13335" s="50"/>
      <c r="O13335" s="36" t="s">
        <v>48</v>
      </c>
      <c r="R13335" s="36" t="s">
        <v>48</v>
      </c>
    </row>
    <row r="13336">
      <c r="H13336" s="50"/>
      <c r="I13336" s="50"/>
      <c r="O13336" s="36" t="s">
        <v>48</v>
      </c>
      <c r="R13336" s="36" t="s">
        <v>48</v>
      </c>
    </row>
    <row r="13337">
      <c r="H13337" s="50"/>
      <c r="I13337" s="50"/>
      <c r="O13337" s="36" t="s">
        <v>48</v>
      </c>
      <c r="R13337" s="36" t="s">
        <v>48</v>
      </c>
    </row>
    <row r="13338">
      <c r="H13338" s="50"/>
      <c r="I13338" s="50"/>
      <c r="O13338" s="36" t="s">
        <v>48</v>
      </c>
      <c r="R13338" s="36" t="s">
        <v>48</v>
      </c>
    </row>
    <row r="13339">
      <c r="H13339" s="50"/>
      <c r="I13339" s="50"/>
      <c r="O13339" s="36" t="s">
        <v>48</v>
      </c>
      <c r="R13339" s="36" t="s">
        <v>48</v>
      </c>
    </row>
    <row r="13340">
      <c r="H13340" s="50"/>
      <c r="I13340" s="50"/>
      <c r="O13340" s="36" t="s">
        <v>48</v>
      </c>
      <c r="R13340" s="36" t="s">
        <v>48</v>
      </c>
    </row>
    <row r="13341">
      <c r="H13341" s="50"/>
      <c r="I13341" s="50"/>
      <c r="O13341" s="36" t="s">
        <v>48</v>
      </c>
      <c r="R13341" s="36" t="s">
        <v>48</v>
      </c>
    </row>
    <row r="13342">
      <c r="H13342" s="50"/>
      <c r="I13342" s="50"/>
      <c r="O13342" s="36" t="s">
        <v>48</v>
      </c>
      <c r="R13342" s="36" t="s">
        <v>48</v>
      </c>
    </row>
    <row r="13343">
      <c r="H13343" s="50"/>
      <c r="I13343" s="50"/>
      <c r="O13343" s="36" t="s">
        <v>48</v>
      </c>
      <c r="R13343" s="36" t="s">
        <v>48</v>
      </c>
    </row>
    <row r="13344">
      <c r="H13344" s="50"/>
      <c r="I13344" s="50"/>
      <c r="O13344" s="36" t="s">
        <v>48</v>
      </c>
      <c r="R13344" s="36" t="s">
        <v>48</v>
      </c>
    </row>
    <row r="13345">
      <c r="H13345" s="50"/>
      <c r="I13345" s="50"/>
      <c r="O13345" s="36" t="s">
        <v>48</v>
      </c>
      <c r="R13345" s="36" t="s">
        <v>48</v>
      </c>
    </row>
    <row r="13346">
      <c r="H13346" s="50"/>
      <c r="I13346" s="50"/>
      <c r="O13346" s="36" t="s">
        <v>48</v>
      </c>
      <c r="R13346" s="36" t="s">
        <v>48</v>
      </c>
    </row>
    <row r="13347">
      <c r="H13347" s="50"/>
      <c r="I13347" s="50"/>
      <c r="O13347" s="36" t="s">
        <v>48</v>
      </c>
      <c r="R13347" s="36" t="s">
        <v>48</v>
      </c>
    </row>
    <row r="13348">
      <c r="H13348" s="50"/>
      <c r="I13348" s="50"/>
      <c r="O13348" s="36" t="s">
        <v>48</v>
      </c>
      <c r="R13348" s="36" t="s">
        <v>48</v>
      </c>
    </row>
    <row r="13349">
      <c r="H13349" s="50"/>
      <c r="I13349" s="50"/>
      <c r="O13349" s="36" t="s">
        <v>48</v>
      </c>
      <c r="R13349" s="36" t="s">
        <v>48</v>
      </c>
    </row>
    <row r="13350">
      <c r="H13350" s="50"/>
      <c r="I13350" s="50"/>
      <c r="O13350" s="36" t="s">
        <v>48</v>
      </c>
      <c r="R13350" s="36" t="s">
        <v>48</v>
      </c>
    </row>
    <row r="13351">
      <c r="H13351" s="50"/>
      <c r="I13351" s="50"/>
      <c r="O13351" s="36" t="s">
        <v>48</v>
      </c>
      <c r="R13351" s="36" t="s">
        <v>48</v>
      </c>
    </row>
    <row r="13352">
      <c r="H13352" s="50"/>
      <c r="I13352" s="50"/>
      <c r="O13352" s="36" t="s">
        <v>48</v>
      </c>
      <c r="R13352" s="36" t="s">
        <v>48</v>
      </c>
    </row>
    <row r="13353">
      <c r="H13353" s="50"/>
      <c r="I13353" s="50"/>
      <c r="O13353" s="36" t="s">
        <v>48</v>
      </c>
      <c r="R13353" s="36" t="s">
        <v>48</v>
      </c>
    </row>
    <row r="13354">
      <c r="H13354" s="50"/>
      <c r="I13354" s="50"/>
      <c r="O13354" s="36" t="s">
        <v>48</v>
      </c>
      <c r="R13354" s="36" t="s">
        <v>48</v>
      </c>
    </row>
    <row r="13355">
      <c r="H13355" s="50"/>
      <c r="I13355" s="50"/>
      <c r="O13355" s="36" t="s">
        <v>48</v>
      </c>
      <c r="R13355" s="36" t="s">
        <v>48</v>
      </c>
    </row>
    <row r="13356">
      <c r="H13356" s="50"/>
      <c r="I13356" s="50"/>
      <c r="O13356" s="36" t="s">
        <v>48</v>
      </c>
      <c r="R13356" s="36" t="s">
        <v>48</v>
      </c>
    </row>
    <row r="13357">
      <c r="H13357" s="50"/>
      <c r="I13357" s="50"/>
      <c r="O13357" s="36" t="s">
        <v>48</v>
      </c>
      <c r="R13357" s="36" t="s">
        <v>48</v>
      </c>
    </row>
    <row r="13358">
      <c r="H13358" s="50"/>
      <c r="I13358" s="50"/>
      <c r="O13358" s="36" t="s">
        <v>48</v>
      </c>
      <c r="R13358" s="36" t="s">
        <v>48</v>
      </c>
    </row>
    <row r="13359">
      <c r="H13359" s="50"/>
      <c r="I13359" s="50"/>
      <c r="O13359" s="36" t="s">
        <v>48</v>
      </c>
      <c r="R13359" s="36" t="s">
        <v>48</v>
      </c>
    </row>
    <row r="13360">
      <c r="H13360" s="50"/>
      <c r="I13360" s="50"/>
      <c r="O13360" s="36" t="s">
        <v>48</v>
      </c>
      <c r="R13360" s="36" t="s">
        <v>48</v>
      </c>
    </row>
    <row r="13361">
      <c r="H13361" s="50"/>
      <c r="I13361" s="50"/>
      <c r="O13361" s="36" t="s">
        <v>48</v>
      </c>
      <c r="R13361" s="36" t="s">
        <v>48</v>
      </c>
    </row>
    <row r="13362">
      <c r="H13362" s="50"/>
      <c r="I13362" s="50"/>
      <c r="O13362" s="36" t="s">
        <v>48</v>
      </c>
      <c r="R13362" s="36" t="s">
        <v>48</v>
      </c>
    </row>
    <row r="13363">
      <c r="H13363" s="50"/>
      <c r="I13363" s="50"/>
      <c r="O13363" s="36" t="s">
        <v>48</v>
      </c>
      <c r="R13363" s="36" t="s">
        <v>48</v>
      </c>
    </row>
    <row r="13364">
      <c r="H13364" s="50"/>
      <c r="I13364" s="50"/>
      <c r="O13364" s="36" t="s">
        <v>48</v>
      </c>
      <c r="R13364" s="36" t="s">
        <v>48</v>
      </c>
    </row>
    <row r="13365">
      <c r="H13365" s="50"/>
      <c r="I13365" s="50"/>
      <c r="O13365" s="36" t="s">
        <v>48</v>
      </c>
      <c r="R13365" s="36" t="s">
        <v>48</v>
      </c>
    </row>
    <row r="13366">
      <c r="H13366" s="50"/>
      <c r="I13366" s="50"/>
      <c r="O13366" s="36" t="s">
        <v>48</v>
      </c>
      <c r="R13366" s="36" t="s">
        <v>48</v>
      </c>
    </row>
    <row r="13367">
      <c r="H13367" s="50"/>
      <c r="I13367" s="50"/>
      <c r="O13367" s="36" t="s">
        <v>48</v>
      </c>
      <c r="R13367" s="36" t="s">
        <v>48</v>
      </c>
    </row>
    <row r="13368">
      <c r="H13368" s="50"/>
      <c r="I13368" s="50"/>
      <c r="O13368" s="36" t="s">
        <v>48</v>
      </c>
      <c r="R13368" s="36" t="s">
        <v>48</v>
      </c>
    </row>
    <row r="13369">
      <c r="H13369" s="50"/>
      <c r="I13369" s="50"/>
      <c r="O13369" s="36" t="s">
        <v>48</v>
      </c>
      <c r="R13369" s="36" t="s">
        <v>48</v>
      </c>
    </row>
    <row r="13370">
      <c r="H13370" s="50"/>
      <c r="I13370" s="50"/>
      <c r="O13370" s="36" t="s">
        <v>48</v>
      </c>
      <c r="R13370" s="36" t="s">
        <v>48</v>
      </c>
    </row>
    <row r="13371">
      <c r="H13371" s="50"/>
      <c r="I13371" s="50"/>
      <c r="O13371" s="36" t="s">
        <v>48</v>
      </c>
      <c r="R13371" s="36" t="s">
        <v>48</v>
      </c>
    </row>
    <row r="13372">
      <c r="H13372" s="50"/>
      <c r="I13372" s="50"/>
      <c r="O13372" s="36" t="s">
        <v>48</v>
      </c>
      <c r="R13372" s="36" t="s">
        <v>48</v>
      </c>
    </row>
    <row r="13373">
      <c r="H13373" s="50"/>
      <c r="I13373" s="50"/>
      <c r="O13373" s="36" t="s">
        <v>48</v>
      </c>
      <c r="R13373" s="36" t="s">
        <v>48</v>
      </c>
    </row>
    <row r="13374">
      <c r="H13374" s="50"/>
      <c r="I13374" s="50"/>
      <c r="O13374" s="36" t="s">
        <v>48</v>
      </c>
      <c r="R13374" s="36" t="s">
        <v>48</v>
      </c>
    </row>
    <row r="13375">
      <c r="H13375" s="50"/>
      <c r="I13375" s="50"/>
      <c r="O13375" s="36" t="s">
        <v>48</v>
      </c>
      <c r="R13375" s="36" t="s">
        <v>48</v>
      </c>
    </row>
    <row r="13376">
      <c r="H13376" s="50"/>
      <c r="I13376" s="50"/>
      <c r="O13376" s="36" t="s">
        <v>48</v>
      </c>
      <c r="R13376" s="36" t="s">
        <v>48</v>
      </c>
    </row>
    <row r="13377">
      <c r="H13377" s="50"/>
      <c r="I13377" s="50"/>
      <c r="O13377" s="36" t="s">
        <v>48</v>
      </c>
      <c r="R13377" s="36" t="s">
        <v>48</v>
      </c>
    </row>
    <row r="13378">
      <c r="H13378" s="50"/>
      <c r="I13378" s="50"/>
      <c r="O13378" s="36" t="s">
        <v>48</v>
      </c>
      <c r="R13378" s="36" t="s">
        <v>48</v>
      </c>
    </row>
    <row r="13379">
      <c r="H13379" s="50"/>
      <c r="I13379" s="50"/>
      <c r="O13379" s="36" t="s">
        <v>48</v>
      </c>
      <c r="R13379" s="36" t="s">
        <v>48</v>
      </c>
    </row>
    <row r="13380">
      <c r="H13380" s="50"/>
      <c r="I13380" s="50"/>
      <c r="O13380" s="36" t="s">
        <v>48</v>
      </c>
      <c r="R13380" s="36" t="s">
        <v>48</v>
      </c>
    </row>
    <row r="13381">
      <c r="H13381" s="50"/>
      <c r="I13381" s="50"/>
      <c r="O13381" s="36" t="s">
        <v>48</v>
      </c>
      <c r="R13381" s="36" t="s">
        <v>48</v>
      </c>
    </row>
    <row r="13382">
      <c r="H13382" s="50"/>
      <c r="I13382" s="50"/>
      <c r="O13382" s="36" t="s">
        <v>48</v>
      </c>
      <c r="R13382" s="36" t="s">
        <v>48</v>
      </c>
    </row>
    <row r="13383">
      <c r="H13383" s="50"/>
      <c r="I13383" s="50"/>
      <c r="O13383" s="36" t="s">
        <v>48</v>
      </c>
      <c r="R13383" s="36" t="s">
        <v>48</v>
      </c>
    </row>
    <row r="13384">
      <c r="H13384" s="50"/>
      <c r="I13384" s="50"/>
      <c r="O13384" s="36" t="s">
        <v>48</v>
      </c>
      <c r="R13384" s="36" t="s">
        <v>48</v>
      </c>
    </row>
    <row r="13385">
      <c r="H13385" s="50"/>
      <c r="I13385" s="50"/>
      <c r="O13385" s="36" t="s">
        <v>48</v>
      </c>
      <c r="R13385" s="36" t="s">
        <v>48</v>
      </c>
    </row>
    <row r="13386">
      <c r="H13386" s="50"/>
      <c r="I13386" s="50"/>
      <c r="O13386" s="36" t="s">
        <v>48</v>
      </c>
      <c r="R13386" s="36" t="s">
        <v>48</v>
      </c>
    </row>
    <row r="13387">
      <c r="H13387" s="50"/>
      <c r="I13387" s="50"/>
      <c r="O13387" s="36" t="s">
        <v>48</v>
      </c>
      <c r="R13387" s="36" t="s">
        <v>48</v>
      </c>
    </row>
    <row r="13388">
      <c r="H13388" s="50"/>
      <c r="I13388" s="50"/>
      <c r="O13388" s="36" t="s">
        <v>48</v>
      </c>
      <c r="R13388" s="36" t="s">
        <v>48</v>
      </c>
    </row>
    <row r="13389">
      <c r="H13389" s="50"/>
      <c r="I13389" s="50"/>
      <c r="O13389" s="36" t="s">
        <v>48</v>
      </c>
      <c r="R13389" s="36" t="s">
        <v>48</v>
      </c>
    </row>
    <row r="13390">
      <c r="H13390" s="50"/>
      <c r="I13390" s="50"/>
      <c r="O13390" s="36" t="s">
        <v>48</v>
      </c>
      <c r="R13390" s="36" t="s">
        <v>48</v>
      </c>
    </row>
    <row r="13391">
      <c r="H13391" s="50"/>
      <c r="I13391" s="50"/>
      <c r="O13391" s="36" t="s">
        <v>48</v>
      </c>
      <c r="R13391" s="36" t="s">
        <v>48</v>
      </c>
    </row>
    <row r="13392">
      <c r="H13392" s="50"/>
      <c r="I13392" s="50"/>
      <c r="O13392" s="36" t="s">
        <v>48</v>
      </c>
      <c r="R13392" s="36" t="s">
        <v>48</v>
      </c>
    </row>
    <row r="13393">
      <c r="H13393" s="50"/>
      <c r="I13393" s="50"/>
      <c r="O13393" s="36" t="s">
        <v>48</v>
      </c>
      <c r="R13393" s="36" t="s">
        <v>48</v>
      </c>
    </row>
    <row r="13394">
      <c r="H13394" s="50"/>
      <c r="I13394" s="50"/>
      <c r="O13394" s="36" t="s">
        <v>48</v>
      </c>
      <c r="R13394" s="36" t="s">
        <v>48</v>
      </c>
    </row>
    <row r="13395">
      <c r="H13395" s="50"/>
      <c r="I13395" s="50"/>
      <c r="O13395" s="36" t="s">
        <v>48</v>
      </c>
      <c r="R13395" s="36" t="s">
        <v>48</v>
      </c>
    </row>
    <row r="13396">
      <c r="H13396" s="50"/>
      <c r="I13396" s="50"/>
      <c r="O13396" s="36" t="s">
        <v>48</v>
      </c>
      <c r="R13396" s="36" t="s">
        <v>48</v>
      </c>
    </row>
    <row r="13397">
      <c r="H13397" s="50"/>
      <c r="I13397" s="50"/>
      <c r="O13397" s="36" t="s">
        <v>48</v>
      </c>
      <c r="R13397" s="36" t="s">
        <v>48</v>
      </c>
    </row>
    <row r="13398">
      <c r="H13398" s="50"/>
      <c r="I13398" s="50"/>
      <c r="O13398" s="36" t="s">
        <v>48</v>
      </c>
      <c r="R13398" s="36" t="s">
        <v>48</v>
      </c>
    </row>
    <row r="13399">
      <c r="H13399" s="50"/>
      <c r="I13399" s="50"/>
      <c r="O13399" s="36" t="s">
        <v>48</v>
      </c>
      <c r="R13399" s="36" t="s">
        <v>48</v>
      </c>
    </row>
    <row r="13400">
      <c r="H13400" s="50"/>
      <c r="I13400" s="50"/>
      <c r="O13400" s="36" t="s">
        <v>48</v>
      </c>
      <c r="R13400" s="36" t="s">
        <v>48</v>
      </c>
    </row>
    <row r="13401">
      <c r="H13401" s="50"/>
      <c r="I13401" s="50"/>
      <c r="O13401" s="36" t="s">
        <v>48</v>
      </c>
      <c r="R13401" s="36" t="s">
        <v>48</v>
      </c>
    </row>
    <row r="13402">
      <c r="H13402" s="50"/>
      <c r="I13402" s="50"/>
      <c r="O13402" s="36" t="s">
        <v>48</v>
      </c>
      <c r="R13402" s="36" t="s">
        <v>48</v>
      </c>
    </row>
    <row r="13403">
      <c r="H13403" s="50"/>
      <c r="I13403" s="50"/>
      <c r="O13403" s="36" t="s">
        <v>48</v>
      </c>
      <c r="R13403" s="36" t="s">
        <v>48</v>
      </c>
    </row>
    <row r="13404">
      <c r="H13404" s="50"/>
      <c r="I13404" s="50"/>
      <c r="O13404" s="36" t="s">
        <v>48</v>
      </c>
      <c r="R13404" s="36" t="s">
        <v>48</v>
      </c>
    </row>
    <row r="13405">
      <c r="H13405" s="50"/>
      <c r="I13405" s="50"/>
      <c r="O13405" s="36" t="s">
        <v>48</v>
      </c>
      <c r="R13405" s="36" t="s">
        <v>48</v>
      </c>
    </row>
    <row r="13406">
      <c r="H13406" s="50"/>
      <c r="I13406" s="50"/>
      <c r="O13406" s="36" t="s">
        <v>48</v>
      </c>
      <c r="R13406" s="36" t="s">
        <v>48</v>
      </c>
    </row>
    <row r="13407">
      <c r="H13407" s="50"/>
      <c r="I13407" s="50"/>
      <c r="O13407" s="36" t="s">
        <v>48</v>
      </c>
      <c r="R13407" s="36" t="s">
        <v>48</v>
      </c>
    </row>
    <row r="13408">
      <c r="H13408" s="50"/>
      <c r="I13408" s="50"/>
      <c r="O13408" s="36" t="s">
        <v>48</v>
      </c>
      <c r="R13408" s="36" t="s">
        <v>48</v>
      </c>
    </row>
    <row r="13409">
      <c r="H13409" s="50"/>
      <c r="I13409" s="50"/>
      <c r="O13409" s="36" t="s">
        <v>48</v>
      </c>
      <c r="R13409" s="36" t="s">
        <v>48</v>
      </c>
    </row>
    <row r="13410">
      <c r="H13410" s="50"/>
      <c r="I13410" s="50"/>
      <c r="O13410" s="36" t="s">
        <v>48</v>
      </c>
      <c r="R13410" s="36" t="s">
        <v>48</v>
      </c>
    </row>
    <row r="13411">
      <c r="H13411" s="50"/>
      <c r="I13411" s="50"/>
      <c r="O13411" s="36" t="s">
        <v>48</v>
      </c>
      <c r="R13411" s="36" t="s">
        <v>48</v>
      </c>
    </row>
    <row r="13412">
      <c r="H13412" s="50"/>
      <c r="I13412" s="50"/>
      <c r="O13412" s="36" t="s">
        <v>48</v>
      </c>
      <c r="R13412" s="36" t="s">
        <v>48</v>
      </c>
    </row>
    <row r="13413">
      <c r="H13413" s="50"/>
      <c r="I13413" s="50"/>
      <c r="O13413" s="36" t="s">
        <v>48</v>
      </c>
      <c r="R13413" s="36" t="s">
        <v>48</v>
      </c>
    </row>
    <row r="13414">
      <c r="H13414" s="50"/>
      <c r="I13414" s="50"/>
      <c r="O13414" s="36" t="s">
        <v>48</v>
      </c>
      <c r="R13414" s="36" t="s">
        <v>48</v>
      </c>
    </row>
    <row r="13415">
      <c r="H13415" s="50"/>
      <c r="I13415" s="50"/>
      <c r="O13415" s="36" t="s">
        <v>48</v>
      </c>
      <c r="R13415" s="36" t="s">
        <v>48</v>
      </c>
    </row>
    <row r="13416">
      <c r="H13416" s="50"/>
      <c r="I13416" s="50"/>
      <c r="O13416" s="36" t="s">
        <v>48</v>
      </c>
      <c r="R13416" s="36" t="s">
        <v>48</v>
      </c>
    </row>
    <row r="13417">
      <c r="H13417" s="50"/>
      <c r="I13417" s="50"/>
      <c r="O13417" s="36" t="s">
        <v>48</v>
      </c>
      <c r="R13417" s="36" t="s">
        <v>48</v>
      </c>
    </row>
    <row r="13418">
      <c r="H13418" s="50"/>
      <c r="I13418" s="50"/>
      <c r="O13418" s="36" t="s">
        <v>48</v>
      </c>
      <c r="R13418" s="36" t="s">
        <v>48</v>
      </c>
    </row>
    <row r="13419">
      <c r="H13419" s="50"/>
      <c r="I13419" s="50"/>
      <c r="O13419" s="36" t="s">
        <v>48</v>
      </c>
      <c r="R13419" s="36" t="s">
        <v>48</v>
      </c>
    </row>
    <row r="13420">
      <c r="H13420" s="50"/>
      <c r="I13420" s="50"/>
      <c r="O13420" s="36" t="s">
        <v>48</v>
      </c>
      <c r="R13420" s="36" t="s">
        <v>48</v>
      </c>
    </row>
    <row r="13421">
      <c r="H13421" s="50"/>
      <c r="I13421" s="50"/>
      <c r="O13421" s="36" t="s">
        <v>48</v>
      </c>
      <c r="R13421" s="36" t="s">
        <v>48</v>
      </c>
    </row>
    <row r="13422">
      <c r="H13422" s="50"/>
      <c r="I13422" s="50"/>
      <c r="O13422" s="36" t="s">
        <v>48</v>
      </c>
      <c r="R13422" s="36" t="s">
        <v>48</v>
      </c>
    </row>
    <row r="13423">
      <c r="H13423" s="50"/>
      <c r="I13423" s="50"/>
      <c r="O13423" s="36" t="s">
        <v>48</v>
      </c>
      <c r="R13423" s="36" t="s">
        <v>48</v>
      </c>
    </row>
    <row r="13424">
      <c r="H13424" s="50"/>
      <c r="I13424" s="50"/>
      <c r="O13424" s="36" t="s">
        <v>48</v>
      </c>
      <c r="R13424" s="36" t="s">
        <v>48</v>
      </c>
    </row>
    <row r="13425">
      <c r="H13425" s="50"/>
      <c r="I13425" s="50"/>
      <c r="O13425" s="36" t="s">
        <v>48</v>
      </c>
      <c r="R13425" s="36" t="s">
        <v>48</v>
      </c>
    </row>
    <row r="13426">
      <c r="H13426" s="50"/>
      <c r="I13426" s="50"/>
      <c r="O13426" s="36" t="s">
        <v>48</v>
      </c>
      <c r="R13426" s="36" t="s">
        <v>48</v>
      </c>
    </row>
    <row r="13427">
      <c r="H13427" s="50"/>
      <c r="I13427" s="50"/>
      <c r="O13427" s="36" t="s">
        <v>48</v>
      </c>
      <c r="R13427" s="36" t="s">
        <v>48</v>
      </c>
    </row>
    <row r="13428">
      <c r="H13428" s="50"/>
      <c r="I13428" s="50"/>
      <c r="O13428" s="36" t="s">
        <v>48</v>
      </c>
      <c r="R13428" s="36" t="s">
        <v>48</v>
      </c>
    </row>
    <row r="13429">
      <c r="H13429" s="50"/>
      <c r="I13429" s="50"/>
      <c r="O13429" s="36" t="s">
        <v>48</v>
      </c>
      <c r="R13429" s="36" t="s">
        <v>48</v>
      </c>
    </row>
    <row r="13430">
      <c r="H13430" s="50"/>
      <c r="I13430" s="50"/>
      <c r="O13430" s="36" t="s">
        <v>48</v>
      </c>
      <c r="R13430" s="36" t="s">
        <v>48</v>
      </c>
    </row>
    <row r="13431">
      <c r="H13431" s="50"/>
      <c r="I13431" s="50"/>
      <c r="O13431" s="36" t="s">
        <v>48</v>
      </c>
      <c r="R13431" s="36" t="s">
        <v>48</v>
      </c>
    </row>
    <row r="13432">
      <c r="H13432" s="50"/>
      <c r="I13432" s="50"/>
      <c r="O13432" s="36" t="s">
        <v>48</v>
      </c>
      <c r="R13432" s="36" t="s">
        <v>48</v>
      </c>
    </row>
    <row r="13433">
      <c r="H13433" s="50"/>
      <c r="I13433" s="50"/>
      <c r="O13433" s="36" t="s">
        <v>48</v>
      </c>
      <c r="R13433" s="36" t="s">
        <v>48</v>
      </c>
    </row>
    <row r="13434">
      <c r="H13434" s="50"/>
      <c r="I13434" s="50"/>
      <c r="O13434" s="36" t="s">
        <v>48</v>
      </c>
      <c r="R13434" s="36" t="s">
        <v>48</v>
      </c>
    </row>
    <row r="13435">
      <c r="H13435" s="50"/>
      <c r="I13435" s="50"/>
      <c r="O13435" s="36" t="s">
        <v>48</v>
      </c>
      <c r="R13435" s="36" t="s">
        <v>48</v>
      </c>
    </row>
    <row r="13436">
      <c r="H13436" s="50"/>
      <c r="I13436" s="50"/>
      <c r="O13436" s="36" t="s">
        <v>48</v>
      </c>
      <c r="R13436" s="36" t="s">
        <v>48</v>
      </c>
    </row>
    <row r="13437">
      <c r="H13437" s="50"/>
      <c r="I13437" s="50"/>
      <c r="O13437" s="36" t="s">
        <v>48</v>
      </c>
      <c r="R13437" s="36" t="s">
        <v>48</v>
      </c>
    </row>
    <row r="13438">
      <c r="H13438" s="50"/>
      <c r="I13438" s="50"/>
      <c r="O13438" s="36" t="s">
        <v>48</v>
      </c>
      <c r="R13438" s="36" t="s">
        <v>48</v>
      </c>
    </row>
    <row r="13439">
      <c r="H13439" s="50"/>
      <c r="I13439" s="50"/>
      <c r="O13439" s="36" t="s">
        <v>48</v>
      </c>
      <c r="R13439" s="36" t="s">
        <v>48</v>
      </c>
    </row>
    <row r="13440">
      <c r="H13440" s="50"/>
      <c r="I13440" s="50"/>
      <c r="O13440" s="36" t="s">
        <v>48</v>
      </c>
      <c r="R13440" s="36" t="s">
        <v>48</v>
      </c>
    </row>
    <row r="13441">
      <c r="H13441" s="50"/>
      <c r="I13441" s="50"/>
      <c r="O13441" s="36" t="s">
        <v>48</v>
      </c>
      <c r="R13441" s="36" t="s">
        <v>48</v>
      </c>
    </row>
    <row r="13442">
      <c r="H13442" s="50"/>
      <c r="I13442" s="50"/>
      <c r="O13442" s="36" t="s">
        <v>48</v>
      </c>
      <c r="R13442" s="36" t="s">
        <v>48</v>
      </c>
    </row>
    <row r="13443">
      <c r="H13443" s="50"/>
      <c r="I13443" s="50"/>
      <c r="O13443" s="36" t="s">
        <v>48</v>
      </c>
      <c r="R13443" s="36" t="s">
        <v>48</v>
      </c>
    </row>
    <row r="13444">
      <c r="H13444" s="50"/>
      <c r="I13444" s="50"/>
      <c r="O13444" s="36" t="s">
        <v>48</v>
      </c>
      <c r="R13444" s="36" t="s">
        <v>48</v>
      </c>
    </row>
    <row r="13445">
      <c r="H13445" s="50"/>
      <c r="I13445" s="50"/>
      <c r="O13445" s="36" t="s">
        <v>48</v>
      </c>
      <c r="R13445" s="36" t="s">
        <v>48</v>
      </c>
    </row>
    <row r="13446">
      <c r="H13446" s="50"/>
      <c r="I13446" s="50"/>
      <c r="O13446" s="36" t="s">
        <v>48</v>
      </c>
      <c r="R13446" s="36" t="s">
        <v>48</v>
      </c>
    </row>
    <row r="13447">
      <c r="H13447" s="50"/>
      <c r="I13447" s="50"/>
      <c r="O13447" s="36" t="s">
        <v>48</v>
      </c>
      <c r="R13447" s="36" t="s">
        <v>48</v>
      </c>
    </row>
    <row r="13448">
      <c r="H13448" s="50"/>
      <c r="I13448" s="50"/>
      <c r="O13448" s="36" t="s">
        <v>48</v>
      </c>
      <c r="R13448" s="36" t="s">
        <v>48</v>
      </c>
    </row>
    <row r="13449">
      <c r="H13449" s="50"/>
      <c r="I13449" s="50"/>
      <c r="O13449" s="36" t="s">
        <v>48</v>
      </c>
      <c r="R13449" s="36" t="s">
        <v>48</v>
      </c>
    </row>
    <row r="13450">
      <c r="H13450" s="50"/>
      <c r="I13450" s="50"/>
      <c r="O13450" s="36" t="s">
        <v>48</v>
      </c>
      <c r="R13450" s="36" t="s">
        <v>48</v>
      </c>
    </row>
    <row r="13451">
      <c r="H13451" s="50"/>
      <c r="I13451" s="50"/>
      <c r="O13451" s="36" t="s">
        <v>48</v>
      </c>
      <c r="R13451" s="36" t="s">
        <v>48</v>
      </c>
    </row>
    <row r="13452">
      <c r="H13452" s="50"/>
      <c r="I13452" s="50"/>
      <c r="O13452" s="36" t="s">
        <v>48</v>
      </c>
      <c r="R13452" s="36" t="s">
        <v>48</v>
      </c>
    </row>
    <row r="13453">
      <c r="H13453" s="50"/>
      <c r="I13453" s="50"/>
      <c r="O13453" s="36" t="s">
        <v>48</v>
      </c>
      <c r="R13453" s="36" t="s">
        <v>48</v>
      </c>
    </row>
    <row r="13454">
      <c r="H13454" s="50"/>
      <c r="I13454" s="50"/>
      <c r="O13454" s="36" t="s">
        <v>48</v>
      </c>
      <c r="R13454" s="36" t="s">
        <v>48</v>
      </c>
    </row>
    <row r="13455">
      <c r="H13455" s="50"/>
      <c r="I13455" s="50"/>
      <c r="O13455" s="36" t="s">
        <v>48</v>
      </c>
      <c r="R13455" s="36" t="s">
        <v>48</v>
      </c>
    </row>
    <row r="13456">
      <c r="H13456" s="50"/>
      <c r="I13456" s="50"/>
      <c r="O13456" s="36" t="s">
        <v>48</v>
      </c>
      <c r="R13456" s="36" t="s">
        <v>48</v>
      </c>
    </row>
    <row r="13457">
      <c r="H13457" s="50"/>
      <c r="I13457" s="50"/>
      <c r="O13457" s="36" t="s">
        <v>48</v>
      </c>
      <c r="R13457" s="36" t="s">
        <v>48</v>
      </c>
    </row>
    <row r="13458">
      <c r="H13458" s="50"/>
      <c r="I13458" s="50"/>
      <c r="O13458" s="36" t="s">
        <v>48</v>
      </c>
      <c r="R13458" s="36" t="s">
        <v>48</v>
      </c>
    </row>
    <row r="13459">
      <c r="H13459" s="50"/>
      <c r="I13459" s="50"/>
      <c r="O13459" s="36" t="s">
        <v>48</v>
      </c>
      <c r="R13459" s="36" t="s">
        <v>48</v>
      </c>
    </row>
    <row r="13460">
      <c r="H13460" s="50"/>
      <c r="I13460" s="50"/>
      <c r="O13460" s="36" t="s">
        <v>48</v>
      </c>
      <c r="R13460" s="36" t="s">
        <v>48</v>
      </c>
    </row>
    <row r="13461">
      <c r="H13461" s="50"/>
      <c r="I13461" s="50"/>
      <c r="O13461" s="36" t="s">
        <v>48</v>
      </c>
      <c r="R13461" s="36" t="s">
        <v>48</v>
      </c>
    </row>
    <row r="13462">
      <c r="H13462" s="50"/>
      <c r="I13462" s="50"/>
      <c r="O13462" s="36" t="s">
        <v>48</v>
      </c>
      <c r="R13462" s="36" t="s">
        <v>48</v>
      </c>
    </row>
    <row r="13463">
      <c r="H13463" s="50"/>
      <c r="I13463" s="50"/>
      <c r="O13463" s="36" t="s">
        <v>48</v>
      </c>
      <c r="R13463" s="36" t="s">
        <v>48</v>
      </c>
    </row>
    <row r="13464">
      <c r="H13464" s="50"/>
      <c r="I13464" s="50"/>
      <c r="O13464" s="36" t="s">
        <v>48</v>
      </c>
      <c r="R13464" s="36" t="s">
        <v>48</v>
      </c>
    </row>
    <row r="13465">
      <c r="H13465" s="50"/>
      <c r="I13465" s="50"/>
      <c r="O13465" s="36" t="s">
        <v>48</v>
      </c>
      <c r="R13465" s="36" t="s">
        <v>48</v>
      </c>
    </row>
    <row r="13466">
      <c r="H13466" s="50"/>
      <c r="I13466" s="50"/>
      <c r="O13466" s="36" t="s">
        <v>48</v>
      </c>
      <c r="R13466" s="36" t="s">
        <v>48</v>
      </c>
    </row>
    <row r="13467">
      <c r="H13467" s="50"/>
      <c r="I13467" s="50"/>
      <c r="O13467" s="36" t="s">
        <v>48</v>
      </c>
      <c r="R13467" s="36" t="s">
        <v>48</v>
      </c>
    </row>
    <row r="13468">
      <c r="H13468" s="50"/>
      <c r="I13468" s="50"/>
      <c r="O13468" s="36" t="s">
        <v>48</v>
      </c>
      <c r="R13468" s="36" t="s">
        <v>48</v>
      </c>
    </row>
    <row r="13469">
      <c r="H13469" s="50"/>
      <c r="I13469" s="50"/>
      <c r="O13469" s="36" t="s">
        <v>48</v>
      </c>
      <c r="R13469" s="36" t="s">
        <v>48</v>
      </c>
    </row>
    <row r="13470">
      <c r="H13470" s="50"/>
      <c r="I13470" s="50"/>
      <c r="O13470" s="36" t="s">
        <v>48</v>
      </c>
      <c r="R13470" s="36" t="s">
        <v>48</v>
      </c>
    </row>
    <row r="13471">
      <c r="H13471" s="50"/>
      <c r="I13471" s="50"/>
      <c r="O13471" s="36" t="s">
        <v>48</v>
      </c>
      <c r="R13471" s="36" t="s">
        <v>48</v>
      </c>
    </row>
    <row r="13472">
      <c r="H13472" s="50"/>
      <c r="I13472" s="50"/>
      <c r="O13472" s="36" t="s">
        <v>48</v>
      </c>
      <c r="R13472" s="36" t="s">
        <v>48</v>
      </c>
    </row>
    <row r="13473">
      <c r="H13473" s="50"/>
      <c r="I13473" s="50"/>
      <c r="O13473" s="36" t="s">
        <v>48</v>
      </c>
      <c r="R13473" s="36" t="s">
        <v>48</v>
      </c>
    </row>
    <row r="13474">
      <c r="H13474" s="50"/>
      <c r="I13474" s="50"/>
      <c r="O13474" s="36" t="s">
        <v>48</v>
      </c>
      <c r="R13474" s="36" t="s">
        <v>48</v>
      </c>
    </row>
    <row r="13475">
      <c r="H13475" s="50"/>
      <c r="I13475" s="50"/>
      <c r="O13475" s="36" t="s">
        <v>48</v>
      </c>
      <c r="R13475" s="36" t="s">
        <v>48</v>
      </c>
    </row>
    <row r="13476">
      <c r="H13476" s="50"/>
      <c r="I13476" s="50"/>
      <c r="O13476" s="36" t="s">
        <v>48</v>
      </c>
      <c r="R13476" s="36" t="s">
        <v>48</v>
      </c>
    </row>
    <row r="13477">
      <c r="H13477" s="50"/>
      <c r="I13477" s="50"/>
      <c r="O13477" s="36" t="s">
        <v>48</v>
      </c>
      <c r="R13477" s="36" t="s">
        <v>48</v>
      </c>
    </row>
    <row r="13478">
      <c r="H13478" s="50"/>
      <c r="I13478" s="50"/>
      <c r="O13478" s="36" t="s">
        <v>48</v>
      </c>
      <c r="R13478" s="36" t="s">
        <v>48</v>
      </c>
    </row>
    <row r="13479">
      <c r="H13479" s="50"/>
      <c r="I13479" s="50"/>
      <c r="O13479" s="36" t="s">
        <v>48</v>
      </c>
      <c r="R13479" s="36" t="s">
        <v>48</v>
      </c>
    </row>
    <row r="13480">
      <c r="H13480" s="50"/>
      <c r="I13480" s="50"/>
      <c r="O13480" s="36" t="s">
        <v>48</v>
      </c>
      <c r="R13480" s="36" t="s">
        <v>48</v>
      </c>
    </row>
    <row r="13481">
      <c r="H13481" s="50"/>
      <c r="I13481" s="50"/>
      <c r="O13481" s="36" t="s">
        <v>48</v>
      </c>
      <c r="R13481" s="36" t="s">
        <v>48</v>
      </c>
    </row>
    <row r="13482">
      <c r="H13482" s="50"/>
      <c r="I13482" s="50"/>
      <c r="O13482" s="36" t="s">
        <v>48</v>
      </c>
      <c r="R13482" s="36" t="s">
        <v>48</v>
      </c>
    </row>
    <row r="13483">
      <c r="H13483" s="50"/>
      <c r="I13483" s="50"/>
      <c r="O13483" s="36" t="s">
        <v>48</v>
      </c>
      <c r="R13483" s="36" t="s">
        <v>48</v>
      </c>
    </row>
    <row r="13484">
      <c r="H13484" s="50"/>
      <c r="I13484" s="50"/>
      <c r="O13484" s="36" t="s">
        <v>48</v>
      </c>
      <c r="R13484" s="36" t="s">
        <v>48</v>
      </c>
    </row>
    <row r="13485">
      <c r="H13485" s="50"/>
      <c r="I13485" s="50"/>
      <c r="O13485" s="36" t="s">
        <v>48</v>
      </c>
      <c r="R13485" s="36" t="s">
        <v>48</v>
      </c>
    </row>
    <row r="13486">
      <c r="H13486" s="50"/>
      <c r="I13486" s="50"/>
      <c r="O13486" s="36" t="s">
        <v>48</v>
      </c>
      <c r="R13486" s="36" t="s">
        <v>48</v>
      </c>
    </row>
    <row r="13487">
      <c r="H13487" s="50"/>
      <c r="I13487" s="50"/>
      <c r="O13487" s="36" t="s">
        <v>48</v>
      </c>
      <c r="R13487" s="36" t="s">
        <v>48</v>
      </c>
    </row>
    <row r="13488">
      <c r="H13488" s="50"/>
      <c r="I13488" s="50"/>
      <c r="O13488" s="36" t="s">
        <v>48</v>
      </c>
      <c r="R13488" s="36" t="s">
        <v>48</v>
      </c>
    </row>
    <row r="13489">
      <c r="H13489" s="50"/>
      <c r="I13489" s="50"/>
      <c r="O13489" s="36" t="s">
        <v>48</v>
      </c>
      <c r="R13489" s="36" t="s">
        <v>48</v>
      </c>
    </row>
    <row r="13490">
      <c r="H13490" s="50"/>
      <c r="I13490" s="50"/>
      <c r="O13490" s="36" t="s">
        <v>48</v>
      </c>
      <c r="R13490" s="36" t="s">
        <v>48</v>
      </c>
    </row>
    <row r="13491">
      <c r="H13491" s="50"/>
      <c r="I13491" s="50"/>
      <c r="O13491" s="36" t="s">
        <v>48</v>
      </c>
      <c r="R13491" s="36" t="s">
        <v>48</v>
      </c>
    </row>
    <row r="13492">
      <c r="H13492" s="50"/>
      <c r="I13492" s="50"/>
      <c r="O13492" s="36" t="s">
        <v>48</v>
      </c>
      <c r="R13492" s="36" t="s">
        <v>48</v>
      </c>
    </row>
    <row r="13493">
      <c r="H13493" s="50"/>
      <c r="I13493" s="50"/>
      <c r="O13493" s="36" t="s">
        <v>48</v>
      </c>
      <c r="R13493" s="36" t="s">
        <v>48</v>
      </c>
    </row>
    <row r="13494">
      <c r="H13494" s="50"/>
      <c r="I13494" s="50"/>
      <c r="O13494" s="36" t="s">
        <v>48</v>
      </c>
      <c r="R13494" s="36" t="s">
        <v>48</v>
      </c>
    </row>
    <row r="13495">
      <c r="H13495" s="50"/>
      <c r="I13495" s="50"/>
      <c r="O13495" s="36" t="s">
        <v>48</v>
      </c>
      <c r="R13495" s="36" t="s">
        <v>48</v>
      </c>
    </row>
    <row r="13496">
      <c r="H13496" s="50"/>
      <c r="I13496" s="50"/>
      <c r="O13496" s="36" t="s">
        <v>48</v>
      </c>
      <c r="R13496" s="36" t="s">
        <v>48</v>
      </c>
    </row>
    <row r="13497">
      <c r="H13497" s="50"/>
      <c r="I13497" s="50"/>
      <c r="O13497" s="36" t="s">
        <v>48</v>
      </c>
      <c r="R13497" s="36" t="s">
        <v>48</v>
      </c>
    </row>
    <row r="13498">
      <c r="H13498" s="50"/>
      <c r="I13498" s="50"/>
      <c r="O13498" s="36" t="s">
        <v>48</v>
      </c>
      <c r="R13498" s="36" t="s">
        <v>48</v>
      </c>
    </row>
    <row r="13499">
      <c r="H13499" s="50"/>
      <c r="I13499" s="50"/>
      <c r="O13499" s="36" t="s">
        <v>48</v>
      </c>
      <c r="R13499" s="36" t="s">
        <v>48</v>
      </c>
    </row>
    <row r="13500">
      <c r="H13500" s="50"/>
      <c r="I13500" s="50"/>
      <c r="O13500" s="36" t="s">
        <v>48</v>
      </c>
      <c r="R13500" s="36" t="s">
        <v>48</v>
      </c>
    </row>
    <row r="13501">
      <c r="H13501" s="50"/>
      <c r="I13501" s="50"/>
      <c r="O13501" s="36" t="s">
        <v>48</v>
      </c>
      <c r="R13501" s="36" t="s">
        <v>48</v>
      </c>
    </row>
    <row r="13502">
      <c r="H13502" s="50"/>
      <c r="I13502" s="50"/>
      <c r="O13502" s="36" t="s">
        <v>48</v>
      </c>
      <c r="R13502" s="36" t="s">
        <v>48</v>
      </c>
    </row>
    <row r="13503">
      <c r="H13503" s="50"/>
      <c r="I13503" s="50"/>
      <c r="O13503" s="36" t="s">
        <v>48</v>
      </c>
      <c r="R13503" s="36" t="s">
        <v>48</v>
      </c>
    </row>
    <row r="13504">
      <c r="H13504" s="50"/>
      <c r="I13504" s="50"/>
      <c r="O13504" s="36" t="s">
        <v>48</v>
      </c>
      <c r="R13504" s="36" t="s">
        <v>48</v>
      </c>
    </row>
    <row r="13505">
      <c r="H13505" s="50"/>
      <c r="I13505" s="50"/>
      <c r="O13505" s="36" t="s">
        <v>48</v>
      </c>
      <c r="R13505" s="36" t="s">
        <v>48</v>
      </c>
    </row>
    <row r="13506">
      <c r="H13506" s="50"/>
      <c r="I13506" s="50"/>
      <c r="O13506" s="36" t="s">
        <v>48</v>
      </c>
      <c r="R13506" s="36" t="s">
        <v>48</v>
      </c>
    </row>
    <row r="13507">
      <c r="H13507" s="50"/>
      <c r="I13507" s="50"/>
      <c r="O13507" s="36" t="s">
        <v>48</v>
      </c>
      <c r="R13507" s="36" t="s">
        <v>48</v>
      </c>
    </row>
    <row r="13508">
      <c r="H13508" s="50"/>
      <c r="I13508" s="50"/>
      <c r="O13508" s="36" t="s">
        <v>48</v>
      </c>
      <c r="R13508" s="36" t="s">
        <v>48</v>
      </c>
    </row>
    <row r="13509">
      <c r="H13509" s="50"/>
      <c r="I13509" s="50"/>
      <c r="O13509" s="36" t="s">
        <v>48</v>
      </c>
      <c r="R13509" s="36" t="s">
        <v>48</v>
      </c>
    </row>
    <row r="13510">
      <c r="H13510" s="50"/>
      <c r="I13510" s="50"/>
      <c r="O13510" s="36" t="s">
        <v>48</v>
      </c>
      <c r="R13510" s="36" t="s">
        <v>48</v>
      </c>
    </row>
    <row r="13511">
      <c r="H13511" s="50"/>
      <c r="I13511" s="50"/>
      <c r="O13511" s="36" t="s">
        <v>48</v>
      </c>
      <c r="R13511" s="36" t="s">
        <v>48</v>
      </c>
    </row>
    <row r="13512">
      <c r="H13512" s="50"/>
      <c r="I13512" s="50"/>
      <c r="O13512" s="36" t="s">
        <v>48</v>
      </c>
      <c r="R13512" s="36" t="s">
        <v>48</v>
      </c>
    </row>
    <row r="13513">
      <c r="H13513" s="50"/>
      <c r="I13513" s="50"/>
      <c r="O13513" s="36" t="s">
        <v>48</v>
      </c>
      <c r="R13513" s="36" t="s">
        <v>48</v>
      </c>
    </row>
    <row r="13514">
      <c r="H13514" s="50"/>
      <c r="I13514" s="50"/>
      <c r="O13514" s="36" t="s">
        <v>48</v>
      </c>
      <c r="R13514" s="36" t="s">
        <v>48</v>
      </c>
    </row>
    <row r="13515">
      <c r="H13515" s="50"/>
      <c r="I13515" s="50"/>
      <c r="O13515" s="36" t="s">
        <v>48</v>
      </c>
      <c r="R13515" s="36" t="s">
        <v>48</v>
      </c>
    </row>
    <row r="13516">
      <c r="H13516" s="50"/>
      <c r="I13516" s="50"/>
      <c r="O13516" s="36" t="s">
        <v>48</v>
      </c>
      <c r="R13516" s="36" t="s">
        <v>48</v>
      </c>
    </row>
    <row r="13517">
      <c r="H13517" s="50"/>
      <c r="I13517" s="50"/>
      <c r="O13517" s="36" t="s">
        <v>48</v>
      </c>
      <c r="R13517" s="36" t="s">
        <v>48</v>
      </c>
    </row>
    <row r="13518">
      <c r="H13518" s="50"/>
      <c r="I13518" s="50"/>
      <c r="O13518" s="36" t="s">
        <v>48</v>
      </c>
      <c r="R13518" s="36" t="s">
        <v>48</v>
      </c>
    </row>
    <row r="13519">
      <c r="H13519" s="50"/>
      <c r="I13519" s="50"/>
      <c r="O13519" s="36" t="s">
        <v>48</v>
      </c>
      <c r="R13519" s="36" t="s">
        <v>48</v>
      </c>
    </row>
    <row r="13520">
      <c r="H13520" s="50"/>
      <c r="I13520" s="50"/>
      <c r="O13520" s="36" t="s">
        <v>48</v>
      </c>
      <c r="R13520" s="36" t="s">
        <v>48</v>
      </c>
    </row>
    <row r="13521">
      <c r="H13521" s="50"/>
      <c r="I13521" s="50"/>
      <c r="O13521" s="36" t="s">
        <v>48</v>
      </c>
      <c r="R13521" s="36" t="s">
        <v>48</v>
      </c>
    </row>
    <row r="13522">
      <c r="H13522" s="50"/>
      <c r="I13522" s="50"/>
      <c r="O13522" s="36" t="s">
        <v>48</v>
      </c>
      <c r="R13522" s="36" t="s">
        <v>48</v>
      </c>
    </row>
    <row r="13523">
      <c r="H13523" s="50"/>
      <c r="I13523" s="50"/>
      <c r="O13523" s="36" t="s">
        <v>48</v>
      </c>
      <c r="R13523" s="36" t="s">
        <v>48</v>
      </c>
    </row>
    <row r="13524">
      <c r="H13524" s="50"/>
      <c r="I13524" s="50"/>
      <c r="O13524" s="36" t="s">
        <v>48</v>
      </c>
      <c r="R13524" s="36" t="s">
        <v>48</v>
      </c>
    </row>
    <row r="13525">
      <c r="H13525" s="50"/>
      <c r="I13525" s="50"/>
      <c r="O13525" s="36" t="s">
        <v>48</v>
      </c>
      <c r="R13525" s="36" t="s">
        <v>48</v>
      </c>
    </row>
    <row r="13526">
      <c r="H13526" s="50"/>
      <c r="I13526" s="50"/>
      <c r="O13526" s="36" t="s">
        <v>48</v>
      </c>
      <c r="R13526" s="36" t="s">
        <v>48</v>
      </c>
    </row>
    <row r="13527">
      <c r="H13527" s="50"/>
      <c r="I13527" s="50"/>
      <c r="O13527" s="36" t="s">
        <v>48</v>
      </c>
      <c r="R13527" s="36" t="s">
        <v>48</v>
      </c>
    </row>
    <row r="13528">
      <c r="H13528" s="50"/>
      <c r="I13528" s="50"/>
      <c r="O13528" s="36" t="s">
        <v>48</v>
      </c>
      <c r="R13528" s="36" t="s">
        <v>48</v>
      </c>
    </row>
    <row r="13529">
      <c r="H13529" s="50"/>
      <c r="I13529" s="50"/>
      <c r="O13529" s="36" t="s">
        <v>48</v>
      </c>
      <c r="R13529" s="36" t="s">
        <v>48</v>
      </c>
    </row>
    <row r="13530">
      <c r="H13530" s="50"/>
      <c r="I13530" s="50"/>
      <c r="O13530" s="36" t="s">
        <v>48</v>
      </c>
      <c r="R13530" s="36" t="s">
        <v>48</v>
      </c>
    </row>
    <row r="13531">
      <c r="H13531" s="50"/>
      <c r="I13531" s="50"/>
      <c r="O13531" s="36" t="s">
        <v>48</v>
      </c>
      <c r="R13531" s="36" t="s">
        <v>48</v>
      </c>
    </row>
    <row r="13532">
      <c r="H13532" s="50"/>
      <c r="I13532" s="50"/>
      <c r="O13532" s="36" t="s">
        <v>48</v>
      </c>
      <c r="R13532" s="36" t="s">
        <v>48</v>
      </c>
    </row>
    <row r="13533">
      <c r="H13533" s="50"/>
      <c r="I13533" s="50"/>
      <c r="O13533" s="36" t="s">
        <v>48</v>
      </c>
      <c r="R13533" s="36" t="s">
        <v>48</v>
      </c>
    </row>
    <row r="13534">
      <c r="H13534" s="50"/>
      <c r="I13534" s="50"/>
      <c r="O13534" s="36" t="s">
        <v>48</v>
      </c>
      <c r="R13534" s="36" t="s">
        <v>48</v>
      </c>
    </row>
    <row r="13535">
      <c r="H13535" s="50"/>
      <c r="I13535" s="50"/>
      <c r="O13535" s="36" t="s">
        <v>48</v>
      </c>
      <c r="R13535" s="36" t="s">
        <v>48</v>
      </c>
    </row>
    <row r="13536">
      <c r="H13536" s="50"/>
      <c r="I13536" s="50"/>
      <c r="O13536" s="36" t="s">
        <v>48</v>
      </c>
      <c r="R13536" s="36" t="s">
        <v>48</v>
      </c>
    </row>
    <row r="13537">
      <c r="H13537" s="50"/>
      <c r="I13537" s="50"/>
      <c r="O13537" s="36" t="s">
        <v>48</v>
      </c>
      <c r="R13537" s="36" t="s">
        <v>48</v>
      </c>
    </row>
    <row r="13538">
      <c r="H13538" s="50"/>
      <c r="I13538" s="50"/>
      <c r="O13538" s="36" t="s">
        <v>48</v>
      </c>
      <c r="R13538" s="36" t="s">
        <v>48</v>
      </c>
    </row>
    <row r="13539">
      <c r="H13539" s="50"/>
      <c r="I13539" s="50"/>
      <c r="O13539" s="36" t="s">
        <v>48</v>
      </c>
      <c r="R13539" s="36" t="s">
        <v>48</v>
      </c>
    </row>
    <row r="13540">
      <c r="H13540" s="50"/>
      <c r="I13540" s="50"/>
      <c r="O13540" s="36" t="s">
        <v>48</v>
      </c>
      <c r="R13540" s="36" t="s">
        <v>48</v>
      </c>
    </row>
    <row r="13541">
      <c r="H13541" s="50"/>
      <c r="I13541" s="50"/>
      <c r="O13541" s="36" t="s">
        <v>48</v>
      </c>
      <c r="R13541" s="36" t="s">
        <v>48</v>
      </c>
    </row>
    <row r="13542">
      <c r="H13542" s="50"/>
      <c r="I13542" s="50"/>
      <c r="O13542" s="36" t="s">
        <v>48</v>
      </c>
      <c r="R13542" s="36" t="s">
        <v>48</v>
      </c>
    </row>
    <row r="13543">
      <c r="H13543" s="50"/>
      <c r="I13543" s="50"/>
      <c r="O13543" s="36" t="s">
        <v>48</v>
      </c>
      <c r="R13543" s="36" t="s">
        <v>48</v>
      </c>
    </row>
    <row r="13544">
      <c r="H13544" s="50"/>
      <c r="I13544" s="50"/>
      <c r="O13544" s="36" t="s">
        <v>48</v>
      </c>
      <c r="R13544" s="36" t="s">
        <v>48</v>
      </c>
    </row>
    <row r="13545">
      <c r="H13545" s="50"/>
      <c r="I13545" s="50"/>
      <c r="O13545" s="36" t="s">
        <v>48</v>
      </c>
      <c r="R13545" s="36" t="s">
        <v>48</v>
      </c>
    </row>
    <row r="13546">
      <c r="H13546" s="50"/>
      <c r="I13546" s="50"/>
      <c r="O13546" s="36" t="s">
        <v>48</v>
      </c>
      <c r="R13546" s="36" t="s">
        <v>48</v>
      </c>
    </row>
    <row r="13547">
      <c r="H13547" s="50"/>
      <c r="I13547" s="50"/>
      <c r="O13547" s="36" t="s">
        <v>48</v>
      </c>
      <c r="R13547" s="36" t="s">
        <v>48</v>
      </c>
    </row>
    <row r="13548">
      <c r="H13548" s="50"/>
      <c r="I13548" s="50"/>
      <c r="O13548" s="36" t="s">
        <v>48</v>
      </c>
      <c r="R13548" s="36" t="s">
        <v>48</v>
      </c>
    </row>
    <row r="13549">
      <c r="H13549" s="50"/>
      <c r="I13549" s="50"/>
      <c r="O13549" s="36" t="s">
        <v>48</v>
      </c>
      <c r="R13549" s="36" t="s">
        <v>48</v>
      </c>
    </row>
    <row r="13550">
      <c r="H13550" s="50"/>
      <c r="I13550" s="50"/>
      <c r="O13550" s="36" t="s">
        <v>48</v>
      </c>
      <c r="R13550" s="36" t="s">
        <v>48</v>
      </c>
    </row>
    <row r="13551">
      <c r="H13551" s="50"/>
      <c r="I13551" s="50"/>
      <c r="O13551" s="36" t="s">
        <v>48</v>
      </c>
      <c r="R13551" s="36" t="s">
        <v>48</v>
      </c>
    </row>
    <row r="13552">
      <c r="H13552" s="50"/>
      <c r="I13552" s="50"/>
      <c r="O13552" s="36" t="s">
        <v>48</v>
      </c>
      <c r="R13552" s="36" t="s">
        <v>48</v>
      </c>
    </row>
    <row r="13553">
      <c r="H13553" s="50"/>
      <c r="I13553" s="50"/>
      <c r="O13553" s="36" t="s">
        <v>48</v>
      </c>
      <c r="R13553" s="36" t="s">
        <v>48</v>
      </c>
    </row>
    <row r="13554">
      <c r="H13554" s="50"/>
      <c r="I13554" s="50"/>
      <c r="O13554" s="36" t="s">
        <v>48</v>
      </c>
      <c r="R13554" s="36" t="s">
        <v>48</v>
      </c>
    </row>
    <row r="13555">
      <c r="H13555" s="50"/>
      <c r="I13555" s="50"/>
      <c r="O13555" s="36" t="s">
        <v>48</v>
      </c>
      <c r="R13555" s="36" t="s">
        <v>48</v>
      </c>
    </row>
    <row r="13556">
      <c r="H13556" s="50"/>
      <c r="I13556" s="50"/>
      <c r="O13556" s="36" t="s">
        <v>48</v>
      </c>
      <c r="R13556" s="36" t="s">
        <v>48</v>
      </c>
    </row>
    <row r="13557">
      <c r="H13557" s="50"/>
      <c r="I13557" s="50"/>
      <c r="O13557" s="36" t="s">
        <v>48</v>
      </c>
      <c r="R13557" s="36" t="s">
        <v>48</v>
      </c>
    </row>
    <row r="13558">
      <c r="H13558" s="50"/>
      <c r="I13558" s="50"/>
      <c r="O13558" s="36" t="s">
        <v>48</v>
      </c>
      <c r="R13558" s="36" t="s">
        <v>48</v>
      </c>
    </row>
    <row r="13559">
      <c r="H13559" s="50"/>
      <c r="I13559" s="50"/>
      <c r="O13559" s="36" t="s">
        <v>48</v>
      </c>
      <c r="R13559" s="36" t="s">
        <v>48</v>
      </c>
    </row>
    <row r="13560">
      <c r="H13560" s="50"/>
      <c r="I13560" s="50"/>
      <c r="O13560" s="36" t="s">
        <v>48</v>
      </c>
      <c r="R13560" s="36" t="s">
        <v>48</v>
      </c>
    </row>
    <row r="13561">
      <c r="H13561" s="50"/>
      <c r="I13561" s="50"/>
      <c r="O13561" s="36" t="s">
        <v>48</v>
      </c>
      <c r="R13561" s="36" t="s">
        <v>48</v>
      </c>
    </row>
    <row r="13562">
      <c r="H13562" s="50"/>
      <c r="I13562" s="50"/>
      <c r="O13562" s="36" t="s">
        <v>48</v>
      </c>
      <c r="R13562" s="36" t="s">
        <v>48</v>
      </c>
    </row>
    <row r="13563">
      <c r="H13563" s="50"/>
      <c r="I13563" s="50"/>
      <c r="O13563" s="36" t="s">
        <v>48</v>
      </c>
      <c r="R13563" s="36" t="s">
        <v>48</v>
      </c>
    </row>
    <row r="13564">
      <c r="H13564" s="50"/>
      <c r="I13564" s="50"/>
      <c r="O13564" s="36" t="s">
        <v>48</v>
      </c>
      <c r="R13564" s="36" t="s">
        <v>48</v>
      </c>
    </row>
    <row r="13565">
      <c r="H13565" s="50"/>
      <c r="I13565" s="50"/>
      <c r="O13565" s="36" t="s">
        <v>48</v>
      </c>
      <c r="R13565" s="36" t="s">
        <v>48</v>
      </c>
    </row>
    <row r="13566">
      <c r="H13566" s="50"/>
      <c r="I13566" s="50"/>
      <c r="O13566" s="36" t="s">
        <v>48</v>
      </c>
      <c r="R13566" s="36" t="s">
        <v>48</v>
      </c>
    </row>
    <row r="13567">
      <c r="H13567" s="50"/>
      <c r="I13567" s="50"/>
      <c r="O13567" s="36" t="s">
        <v>48</v>
      </c>
      <c r="R13567" s="36" t="s">
        <v>48</v>
      </c>
    </row>
    <row r="13568">
      <c r="H13568" s="50"/>
      <c r="I13568" s="50"/>
      <c r="O13568" s="36" t="s">
        <v>48</v>
      </c>
      <c r="R13568" s="36" t="s">
        <v>48</v>
      </c>
    </row>
    <row r="13569">
      <c r="H13569" s="50"/>
      <c r="I13569" s="50"/>
      <c r="O13569" s="36" t="s">
        <v>48</v>
      </c>
      <c r="R13569" s="36" t="s">
        <v>48</v>
      </c>
    </row>
    <row r="13570">
      <c r="H13570" s="50"/>
      <c r="I13570" s="50"/>
      <c r="O13570" s="36" t="s">
        <v>48</v>
      </c>
      <c r="R13570" s="36" t="s">
        <v>48</v>
      </c>
    </row>
    <row r="13571">
      <c r="H13571" s="50"/>
      <c r="I13571" s="50"/>
      <c r="O13571" s="36" t="s">
        <v>48</v>
      </c>
      <c r="R13571" s="36" t="s">
        <v>48</v>
      </c>
    </row>
    <row r="13572">
      <c r="H13572" s="50"/>
      <c r="I13572" s="50"/>
      <c r="O13572" s="36" t="s">
        <v>48</v>
      </c>
      <c r="R13572" s="36" t="s">
        <v>48</v>
      </c>
    </row>
    <row r="13573">
      <c r="H13573" s="50"/>
      <c r="I13573" s="50"/>
      <c r="O13573" s="36" t="s">
        <v>48</v>
      </c>
      <c r="R13573" s="36" t="s">
        <v>48</v>
      </c>
    </row>
    <row r="13574">
      <c r="H13574" s="50"/>
      <c r="I13574" s="50"/>
      <c r="O13574" s="36" t="s">
        <v>48</v>
      </c>
      <c r="R13574" s="36" t="s">
        <v>48</v>
      </c>
    </row>
    <row r="13575">
      <c r="H13575" s="50"/>
      <c r="I13575" s="50"/>
      <c r="O13575" s="36" t="s">
        <v>48</v>
      </c>
      <c r="R13575" s="36" t="s">
        <v>48</v>
      </c>
    </row>
    <row r="13576">
      <c r="H13576" s="50"/>
      <c r="I13576" s="50"/>
      <c r="O13576" s="36" t="s">
        <v>48</v>
      </c>
      <c r="R13576" s="36" t="s">
        <v>48</v>
      </c>
    </row>
    <row r="13577">
      <c r="H13577" s="50"/>
      <c r="I13577" s="50"/>
      <c r="O13577" s="36" t="s">
        <v>48</v>
      </c>
      <c r="R13577" s="36" t="s">
        <v>48</v>
      </c>
    </row>
    <row r="13578">
      <c r="H13578" s="50"/>
      <c r="I13578" s="50"/>
      <c r="O13578" s="36" t="s">
        <v>48</v>
      </c>
      <c r="R13578" s="36" t="s">
        <v>48</v>
      </c>
    </row>
    <row r="13579">
      <c r="H13579" s="50"/>
      <c r="I13579" s="50"/>
      <c r="O13579" s="36" t="s">
        <v>48</v>
      </c>
      <c r="R13579" s="36" t="s">
        <v>48</v>
      </c>
    </row>
    <row r="13580">
      <c r="H13580" s="50"/>
      <c r="I13580" s="50"/>
      <c r="O13580" s="36" t="s">
        <v>48</v>
      </c>
      <c r="R13580" s="36" t="s">
        <v>48</v>
      </c>
    </row>
    <row r="13581">
      <c r="H13581" s="50"/>
      <c r="I13581" s="50"/>
      <c r="O13581" s="36" t="s">
        <v>48</v>
      </c>
      <c r="R13581" s="36" t="s">
        <v>48</v>
      </c>
    </row>
    <row r="13582">
      <c r="H13582" s="50"/>
      <c r="I13582" s="50"/>
      <c r="O13582" s="36" t="s">
        <v>48</v>
      </c>
      <c r="R13582" s="36" t="s">
        <v>48</v>
      </c>
    </row>
    <row r="13583">
      <c r="H13583" s="50"/>
      <c r="I13583" s="50"/>
      <c r="O13583" s="36" t="s">
        <v>48</v>
      </c>
      <c r="R13583" s="36" t="s">
        <v>48</v>
      </c>
    </row>
    <row r="13584">
      <c r="H13584" s="50"/>
      <c r="I13584" s="50"/>
      <c r="O13584" s="36" t="s">
        <v>48</v>
      </c>
      <c r="R13584" s="36" t="s">
        <v>48</v>
      </c>
    </row>
    <row r="13585">
      <c r="H13585" s="50"/>
      <c r="I13585" s="50"/>
      <c r="O13585" s="36" t="s">
        <v>48</v>
      </c>
      <c r="R13585" s="36" t="s">
        <v>48</v>
      </c>
    </row>
    <row r="13586">
      <c r="H13586" s="50"/>
      <c r="I13586" s="50"/>
      <c r="O13586" s="36" t="s">
        <v>48</v>
      </c>
      <c r="R13586" s="36" t="s">
        <v>48</v>
      </c>
    </row>
    <row r="13587">
      <c r="H13587" s="50"/>
      <c r="I13587" s="50"/>
      <c r="O13587" s="36" t="s">
        <v>48</v>
      </c>
      <c r="R13587" s="36" t="s">
        <v>48</v>
      </c>
    </row>
    <row r="13588">
      <c r="H13588" s="50"/>
      <c r="I13588" s="50"/>
      <c r="O13588" s="36" t="s">
        <v>48</v>
      </c>
      <c r="R13588" s="36" t="s">
        <v>48</v>
      </c>
    </row>
    <row r="13589">
      <c r="H13589" s="50"/>
      <c r="I13589" s="50"/>
      <c r="O13589" s="36" t="s">
        <v>48</v>
      </c>
      <c r="R13589" s="36" t="s">
        <v>48</v>
      </c>
    </row>
    <row r="13590">
      <c r="H13590" s="50"/>
      <c r="I13590" s="50"/>
      <c r="O13590" s="36" t="s">
        <v>48</v>
      </c>
      <c r="R13590" s="36" t="s">
        <v>48</v>
      </c>
    </row>
    <row r="13591">
      <c r="H13591" s="50"/>
      <c r="I13591" s="50"/>
      <c r="O13591" s="36" t="s">
        <v>48</v>
      </c>
      <c r="R13591" s="36" t="s">
        <v>48</v>
      </c>
    </row>
    <row r="13592">
      <c r="H13592" s="50"/>
      <c r="I13592" s="50"/>
      <c r="O13592" s="36" t="s">
        <v>48</v>
      </c>
      <c r="R13592" s="36" t="s">
        <v>48</v>
      </c>
    </row>
    <row r="13593">
      <c r="H13593" s="50"/>
      <c r="I13593" s="50"/>
      <c r="O13593" s="36" t="s">
        <v>48</v>
      </c>
      <c r="R13593" s="36" t="s">
        <v>48</v>
      </c>
    </row>
    <row r="13594">
      <c r="H13594" s="50"/>
      <c r="I13594" s="50"/>
      <c r="O13594" s="36" t="s">
        <v>48</v>
      </c>
      <c r="R13594" s="36" t="s">
        <v>48</v>
      </c>
    </row>
    <row r="13595">
      <c r="H13595" s="50"/>
      <c r="I13595" s="50"/>
      <c r="O13595" s="36" t="s">
        <v>48</v>
      </c>
      <c r="R13595" s="36" t="s">
        <v>48</v>
      </c>
    </row>
    <row r="13596">
      <c r="H13596" s="50"/>
      <c r="I13596" s="50"/>
      <c r="O13596" s="36" t="s">
        <v>48</v>
      </c>
      <c r="R13596" s="36" t="s">
        <v>48</v>
      </c>
    </row>
    <row r="13597">
      <c r="H13597" s="50"/>
      <c r="I13597" s="50"/>
      <c r="O13597" s="36" t="s">
        <v>48</v>
      </c>
      <c r="R13597" s="36" t="s">
        <v>48</v>
      </c>
    </row>
    <row r="13598">
      <c r="H13598" s="50"/>
      <c r="I13598" s="50"/>
      <c r="O13598" s="36" t="s">
        <v>48</v>
      </c>
      <c r="R13598" s="36" t="s">
        <v>48</v>
      </c>
    </row>
    <row r="13599">
      <c r="H13599" s="50"/>
      <c r="I13599" s="50"/>
      <c r="O13599" s="36" t="s">
        <v>48</v>
      </c>
      <c r="R13599" s="36" t="s">
        <v>48</v>
      </c>
    </row>
    <row r="13600">
      <c r="H13600" s="50"/>
      <c r="I13600" s="50"/>
      <c r="O13600" s="36" t="s">
        <v>48</v>
      </c>
      <c r="R13600" s="36" t="s">
        <v>48</v>
      </c>
    </row>
    <row r="13601">
      <c r="H13601" s="50"/>
      <c r="I13601" s="50"/>
      <c r="O13601" s="36" t="s">
        <v>48</v>
      </c>
      <c r="R13601" s="36" t="s">
        <v>48</v>
      </c>
    </row>
    <row r="13602">
      <c r="H13602" s="50"/>
      <c r="I13602" s="50"/>
      <c r="O13602" s="36" t="s">
        <v>48</v>
      </c>
      <c r="R13602" s="36" t="s">
        <v>48</v>
      </c>
    </row>
    <row r="13603">
      <c r="H13603" s="50"/>
      <c r="I13603" s="50"/>
      <c r="O13603" s="36" t="s">
        <v>48</v>
      </c>
      <c r="R13603" s="36" t="s">
        <v>48</v>
      </c>
    </row>
    <row r="13604">
      <c r="H13604" s="50"/>
      <c r="I13604" s="50"/>
      <c r="O13604" s="36" t="s">
        <v>48</v>
      </c>
      <c r="R13604" s="36" t="s">
        <v>48</v>
      </c>
    </row>
    <row r="13605">
      <c r="H13605" s="50"/>
      <c r="I13605" s="50"/>
      <c r="O13605" s="36" t="s">
        <v>48</v>
      </c>
      <c r="R13605" s="36" t="s">
        <v>48</v>
      </c>
    </row>
    <row r="13606">
      <c r="H13606" s="50"/>
      <c r="I13606" s="50"/>
      <c r="O13606" s="36" t="s">
        <v>48</v>
      </c>
      <c r="R13606" s="36" t="s">
        <v>48</v>
      </c>
    </row>
    <row r="13607">
      <c r="H13607" s="50"/>
      <c r="I13607" s="50"/>
      <c r="O13607" s="36" t="s">
        <v>48</v>
      </c>
      <c r="R13607" s="36" t="s">
        <v>48</v>
      </c>
    </row>
    <row r="13608">
      <c r="H13608" s="50"/>
      <c r="I13608" s="50"/>
      <c r="O13608" s="36" t="s">
        <v>48</v>
      </c>
      <c r="R13608" s="36" t="s">
        <v>48</v>
      </c>
    </row>
    <row r="13609">
      <c r="H13609" s="50"/>
      <c r="I13609" s="50"/>
      <c r="O13609" s="36" t="s">
        <v>48</v>
      </c>
      <c r="R13609" s="36" t="s">
        <v>48</v>
      </c>
    </row>
    <row r="13610">
      <c r="H13610" s="50"/>
      <c r="I13610" s="50"/>
      <c r="O13610" s="36" t="s">
        <v>48</v>
      </c>
      <c r="R13610" s="36" t="s">
        <v>48</v>
      </c>
    </row>
    <row r="13611">
      <c r="H13611" s="50"/>
      <c r="I13611" s="50"/>
      <c r="O13611" s="36" t="s">
        <v>48</v>
      </c>
      <c r="R13611" s="36" t="s">
        <v>48</v>
      </c>
    </row>
    <row r="13612">
      <c r="H13612" s="50"/>
      <c r="I13612" s="50"/>
      <c r="O13612" s="36" t="s">
        <v>48</v>
      </c>
      <c r="R13612" s="36" t="s">
        <v>48</v>
      </c>
    </row>
    <row r="13613">
      <c r="H13613" s="50"/>
      <c r="I13613" s="50"/>
      <c r="O13613" s="36" t="s">
        <v>48</v>
      </c>
      <c r="R13613" s="36" t="s">
        <v>48</v>
      </c>
    </row>
    <row r="13614">
      <c r="H13614" s="50"/>
      <c r="I13614" s="50"/>
      <c r="O13614" s="36" t="s">
        <v>48</v>
      </c>
      <c r="R13614" s="36" t="s">
        <v>48</v>
      </c>
    </row>
    <row r="13615">
      <c r="H13615" s="50"/>
      <c r="I13615" s="50"/>
      <c r="O13615" s="36" t="s">
        <v>48</v>
      </c>
      <c r="R13615" s="36" t="s">
        <v>48</v>
      </c>
    </row>
    <row r="13616">
      <c r="H13616" s="50"/>
      <c r="I13616" s="50"/>
      <c r="O13616" s="36" t="s">
        <v>48</v>
      </c>
      <c r="R13616" s="36" t="s">
        <v>48</v>
      </c>
    </row>
    <row r="13617">
      <c r="H13617" s="50"/>
      <c r="I13617" s="50"/>
      <c r="O13617" s="36" t="s">
        <v>48</v>
      </c>
      <c r="R13617" s="36" t="s">
        <v>48</v>
      </c>
    </row>
    <row r="13618">
      <c r="H13618" s="50"/>
      <c r="I13618" s="50"/>
      <c r="O13618" s="36" t="s">
        <v>48</v>
      </c>
      <c r="R13618" s="36" t="s">
        <v>48</v>
      </c>
    </row>
    <row r="13619">
      <c r="H13619" s="50"/>
      <c r="I13619" s="50"/>
      <c r="O13619" s="36" t="s">
        <v>48</v>
      </c>
      <c r="R13619" s="36" t="s">
        <v>48</v>
      </c>
    </row>
    <row r="13620">
      <c r="H13620" s="50"/>
      <c r="I13620" s="50"/>
      <c r="O13620" s="36" t="s">
        <v>48</v>
      </c>
      <c r="R13620" s="36" t="s">
        <v>48</v>
      </c>
    </row>
    <row r="13621">
      <c r="H13621" s="50"/>
      <c r="I13621" s="50"/>
      <c r="O13621" s="36" t="s">
        <v>48</v>
      </c>
      <c r="R13621" s="36" t="s">
        <v>48</v>
      </c>
    </row>
    <row r="13622">
      <c r="H13622" s="50"/>
      <c r="I13622" s="50"/>
      <c r="O13622" s="36" t="s">
        <v>48</v>
      </c>
      <c r="R13622" s="36" t="s">
        <v>48</v>
      </c>
    </row>
    <row r="13623">
      <c r="H13623" s="50"/>
      <c r="I13623" s="50"/>
      <c r="O13623" s="36" t="s">
        <v>48</v>
      </c>
      <c r="R13623" s="36" t="s">
        <v>48</v>
      </c>
    </row>
    <row r="13624">
      <c r="H13624" s="50"/>
      <c r="I13624" s="50"/>
      <c r="O13624" s="36" t="s">
        <v>48</v>
      </c>
      <c r="R13624" s="36" t="s">
        <v>48</v>
      </c>
    </row>
    <row r="13625">
      <c r="H13625" s="50"/>
      <c r="I13625" s="50"/>
      <c r="O13625" s="36" t="s">
        <v>48</v>
      </c>
      <c r="R13625" s="36" t="s">
        <v>48</v>
      </c>
    </row>
    <row r="13626">
      <c r="H13626" s="50"/>
      <c r="I13626" s="50"/>
      <c r="O13626" s="36" t="s">
        <v>48</v>
      </c>
      <c r="R13626" s="36" t="s">
        <v>48</v>
      </c>
    </row>
    <row r="13627">
      <c r="H13627" s="50"/>
      <c r="I13627" s="50"/>
      <c r="O13627" s="36" t="s">
        <v>48</v>
      </c>
      <c r="R13627" s="36" t="s">
        <v>48</v>
      </c>
    </row>
    <row r="13628">
      <c r="H13628" s="50"/>
      <c r="I13628" s="50"/>
      <c r="O13628" s="36" t="s">
        <v>48</v>
      </c>
      <c r="R13628" s="36" t="s">
        <v>48</v>
      </c>
    </row>
    <row r="13629">
      <c r="H13629" s="50"/>
      <c r="I13629" s="50"/>
      <c r="O13629" s="36" t="s">
        <v>48</v>
      </c>
      <c r="R13629" s="36" t="s">
        <v>48</v>
      </c>
    </row>
    <row r="13630">
      <c r="H13630" s="50"/>
      <c r="I13630" s="50"/>
      <c r="O13630" s="36" t="s">
        <v>48</v>
      </c>
      <c r="R13630" s="36" t="s">
        <v>48</v>
      </c>
    </row>
    <row r="13631">
      <c r="H13631" s="50"/>
      <c r="I13631" s="50"/>
      <c r="O13631" s="36" t="s">
        <v>48</v>
      </c>
      <c r="R13631" s="36" t="s">
        <v>48</v>
      </c>
    </row>
    <row r="13632">
      <c r="H13632" s="50"/>
      <c r="I13632" s="50"/>
      <c r="O13632" s="36" t="s">
        <v>48</v>
      </c>
      <c r="R13632" s="36" t="s">
        <v>48</v>
      </c>
    </row>
    <row r="13633">
      <c r="H13633" s="50"/>
      <c r="I13633" s="50"/>
      <c r="O13633" s="36" t="s">
        <v>48</v>
      </c>
      <c r="R13633" s="36" t="s">
        <v>48</v>
      </c>
    </row>
    <row r="13634">
      <c r="H13634" s="50"/>
      <c r="I13634" s="50"/>
      <c r="O13634" s="36" t="s">
        <v>48</v>
      </c>
      <c r="R13634" s="36" t="s">
        <v>48</v>
      </c>
    </row>
    <row r="13635">
      <c r="H13635" s="50"/>
      <c r="I13635" s="50"/>
      <c r="O13635" s="36" t="s">
        <v>48</v>
      </c>
      <c r="R13635" s="36" t="s">
        <v>48</v>
      </c>
    </row>
    <row r="13636">
      <c r="H13636" s="50"/>
      <c r="I13636" s="50"/>
      <c r="O13636" s="36" t="s">
        <v>48</v>
      </c>
      <c r="R13636" s="36" t="s">
        <v>48</v>
      </c>
    </row>
    <row r="13637">
      <c r="H13637" s="50"/>
      <c r="I13637" s="50"/>
      <c r="O13637" s="36" t="s">
        <v>48</v>
      </c>
      <c r="R13637" s="36" t="s">
        <v>48</v>
      </c>
    </row>
    <row r="13638">
      <c r="H13638" s="50"/>
      <c r="I13638" s="50"/>
      <c r="O13638" s="36" t="s">
        <v>48</v>
      </c>
      <c r="R13638" s="36" t="s">
        <v>48</v>
      </c>
    </row>
    <row r="13639">
      <c r="H13639" s="50"/>
      <c r="I13639" s="50"/>
      <c r="O13639" s="36" t="s">
        <v>48</v>
      </c>
      <c r="R13639" s="36" t="s">
        <v>48</v>
      </c>
    </row>
    <row r="13640">
      <c r="H13640" s="50"/>
      <c r="I13640" s="50"/>
      <c r="O13640" s="36" t="s">
        <v>48</v>
      </c>
      <c r="R13640" s="36" t="s">
        <v>48</v>
      </c>
    </row>
    <row r="13641">
      <c r="H13641" s="50"/>
      <c r="I13641" s="50"/>
      <c r="O13641" s="36" t="s">
        <v>48</v>
      </c>
      <c r="R13641" s="36" t="s">
        <v>48</v>
      </c>
    </row>
    <row r="13642">
      <c r="H13642" s="50"/>
      <c r="I13642" s="50"/>
      <c r="O13642" s="36" t="s">
        <v>48</v>
      </c>
      <c r="R13642" s="36" t="s">
        <v>48</v>
      </c>
    </row>
    <row r="13643">
      <c r="H13643" s="50"/>
      <c r="I13643" s="50"/>
      <c r="O13643" s="36" t="s">
        <v>48</v>
      </c>
      <c r="R13643" s="36" t="s">
        <v>48</v>
      </c>
    </row>
    <row r="13644">
      <c r="H13644" s="50"/>
      <c r="I13644" s="50"/>
      <c r="O13644" s="36" t="s">
        <v>48</v>
      </c>
      <c r="R13644" s="36" t="s">
        <v>48</v>
      </c>
    </row>
    <row r="13645">
      <c r="H13645" s="50"/>
      <c r="I13645" s="50"/>
      <c r="O13645" s="36" t="s">
        <v>48</v>
      </c>
      <c r="R13645" s="36" t="s">
        <v>48</v>
      </c>
    </row>
    <row r="13646">
      <c r="H13646" s="50"/>
      <c r="I13646" s="50"/>
      <c r="O13646" s="36" t="s">
        <v>48</v>
      </c>
      <c r="R13646" s="36" t="s">
        <v>48</v>
      </c>
    </row>
    <row r="13647">
      <c r="H13647" s="50"/>
      <c r="I13647" s="50"/>
      <c r="O13647" s="36" t="s">
        <v>48</v>
      </c>
      <c r="R13647" s="36" t="s">
        <v>48</v>
      </c>
    </row>
    <row r="13648">
      <c r="H13648" s="50"/>
      <c r="I13648" s="50"/>
      <c r="O13648" s="36" t="s">
        <v>48</v>
      </c>
      <c r="R13648" s="36" t="s">
        <v>48</v>
      </c>
    </row>
    <row r="13649">
      <c r="H13649" s="50"/>
      <c r="I13649" s="50"/>
      <c r="O13649" s="36" t="s">
        <v>48</v>
      </c>
      <c r="R13649" s="36" t="s">
        <v>48</v>
      </c>
    </row>
    <row r="13650">
      <c r="H13650" s="50"/>
      <c r="I13650" s="50"/>
      <c r="O13650" s="36" t="s">
        <v>48</v>
      </c>
      <c r="R13650" s="36" t="s">
        <v>48</v>
      </c>
    </row>
    <row r="13651">
      <c r="H13651" s="50"/>
      <c r="I13651" s="50"/>
      <c r="O13651" s="36" t="s">
        <v>48</v>
      </c>
      <c r="R13651" s="36" t="s">
        <v>48</v>
      </c>
    </row>
    <row r="13652">
      <c r="H13652" s="50"/>
      <c r="I13652" s="50"/>
      <c r="O13652" s="36" t="s">
        <v>48</v>
      </c>
      <c r="R13652" s="36" t="s">
        <v>48</v>
      </c>
    </row>
    <row r="13653">
      <c r="H13653" s="50"/>
      <c r="I13653" s="50"/>
      <c r="O13653" s="36" t="s">
        <v>48</v>
      </c>
      <c r="R13653" s="36" t="s">
        <v>48</v>
      </c>
    </row>
    <row r="13654">
      <c r="H13654" s="50"/>
      <c r="I13654" s="50"/>
      <c r="O13654" s="36" t="s">
        <v>48</v>
      </c>
      <c r="R13654" s="36" t="s">
        <v>48</v>
      </c>
    </row>
    <row r="13655">
      <c r="H13655" s="50"/>
      <c r="I13655" s="50"/>
      <c r="O13655" s="36" t="s">
        <v>48</v>
      </c>
      <c r="R13655" s="36" t="s">
        <v>48</v>
      </c>
    </row>
    <row r="13656">
      <c r="H13656" s="50"/>
      <c r="I13656" s="50"/>
      <c r="O13656" s="36" t="s">
        <v>48</v>
      </c>
      <c r="R13656" s="36" t="s">
        <v>48</v>
      </c>
    </row>
    <row r="13657">
      <c r="H13657" s="50"/>
      <c r="I13657" s="50"/>
      <c r="O13657" s="36" t="s">
        <v>48</v>
      </c>
      <c r="R13657" s="36" t="s">
        <v>48</v>
      </c>
    </row>
    <row r="13658">
      <c r="H13658" s="50"/>
      <c r="I13658" s="50"/>
      <c r="O13658" s="36" t="s">
        <v>48</v>
      </c>
      <c r="R13658" s="36" t="s">
        <v>48</v>
      </c>
    </row>
    <row r="13659">
      <c r="H13659" s="50"/>
      <c r="I13659" s="50"/>
      <c r="O13659" s="36" t="s">
        <v>48</v>
      </c>
      <c r="R13659" s="36" t="s">
        <v>48</v>
      </c>
    </row>
    <row r="13660">
      <c r="H13660" s="50"/>
      <c r="I13660" s="50"/>
      <c r="O13660" s="36" t="s">
        <v>48</v>
      </c>
      <c r="R13660" s="36" t="s">
        <v>48</v>
      </c>
    </row>
    <row r="13661">
      <c r="H13661" s="50"/>
      <c r="I13661" s="50"/>
      <c r="O13661" s="36" t="s">
        <v>48</v>
      </c>
      <c r="R13661" s="36" t="s">
        <v>48</v>
      </c>
    </row>
    <row r="13662">
      <c r="H13662" s="50"/>
      <c r="I13662" s="50"/>
      <c r="O13662" s="36" t="s">
        <v>48</v>
      </c>
      <c r="R13662" s="36" t="s">
        <v>48</v>
      </c>
    </row>
    <row r="13663">
      <c r="H13663" s="50"/>
      <c r="I13663" s="50"/>
      <c r="O13663" s="36" t="s">
        <v>48</v>
      </c>
      <c r="R13663" s="36" t="s">
        <v>48</v>
      </c>
    </row>
    <row r="13664">
      <c r="H13664" s="50"/>
      <c r="I13664" s="50"/>
      <c r="O13664" s="36" t="s">
        <v>48</v>
      </c>
      <c r="R13664" s="36" t="s">
        <v>48</v>
      </c>
    </row>
    <row r="13665">
      <c r="H13665" s="50"/>
      <c r="I13665" s="50"/>
      <c r="O13665" s="36" t="s">
        <v>48</v>
      </c>
      <c r="R13665" s="36" t="s">
        <v>48</v>
      </c>
    </row>
    <row r="13666">
      <c r="H13666" s="50"/>
      <c r="I13666" s="50"/>
      <c r="O13666" s="36" t="s">
        <v>48</v>
      </c>
      <c r="R13666" s="36" t="s">
        <v>48</v>
      </c>
    </row>
    <row r="13667">
      <c r="H13667" s="50"/>
      <c r="I13667" s="50"/>
      <c r="O13667" s="36" t="s">
        <v>48</v>
      </c>
      <c r="R13667" s="36" t="s">
        <v>48</v>
      </c>
    </row>
    <row r="13668">
      <c r="H13668" s="50"/>
      <c r="I13668" s="50"/>
      <c r="O13668" s="36" t="s">
        <v>48</v>
      </c>
      <c r="R13668" s="36" t="s">
        <v>48</v>
      </c>
    </row>
    <row r="13669">
      <c r="H13669" s="50"/>
      <c r="I13669" s="50"/>
      <c r="O13669" s="36" t="s">
        <v>48</v>
      </c>
      <c r="R13669" s="36" t="s">
        <v>48</v>
      </c>
    </row>
    <row r="13670">
      <c r="H13670" s="50"/>
      <c r="I13670" s="50"/>
      <c r="O13670" s="36" t="s">
        <v>48</v>
      </c>
      <c r="R13670" s="36" t="s">
        <v>48</v>
      </c>
    </row>
    <row r="13671">
      <c r="H13671" s="50"/>
      <c r="I13671" s="50"/>
      <c r="O13671" s="36" t="s">
        <v>48</v>
      </c>
      <c r="R13671" s="36" t="s">
        <v>48</v>
      </c>
    </row>
    <row r="13672">
      <c r="H13672" s="50"/>
      <c r="I13672" s="50"/>
      <c r="O13672" s="36" t="s">
        <v>48</v>
      </c>
      <c r="R13672" s="36" t="s">
        <v>48</v>
      </c>
    </row>
    <row r="13673">
      <c r="H13673" s="50"/>
      <c r="I13673" s="50"/>
      <c r="O13673" s="36" t="s">
        <v>48</v>
      </c>
      <c r="R13673" s="36" t="s">
        <v>48</v>
      </c>
    </row>
    <row r="13674">
      <c r="H13674" s="50"/>
      <c r="I13674" s="50"/>
      <c r="O13674" s="36" t="s">
        <v>48</v>
      </c>
      <c r="R13674" s="36" t="s">
        <v>48</v>
      </c>
    </row>
    <row r="13675">
      <c r="H13675" s="50"/>
      <c r="I13675" s="50"/>
      <c r="O13675" s="36" t="s">
        <v>48</v>
      </c>
      <c r="R13675" s="36" t="s">
        <v>48</v>
      </c>
    </row>
    <row r="13676">
      <c r="H13676" s="50"/>
      <c r="I13676" s="50"/>
      <c r="O13676" s="36" t="s">
        <v>48</v>
      </c>
      <c r="R13676" s="36" t="s">
        <v>48</v>
      </c>
    </row>
    <row r="13677">
      <c r="H13677" s="50"/>
      <c r="I13677" s="50"/>
      <c r="O13677" s="36" t="s">
        <v>48</v>
      </c>
      <c r="R13677" s="36" t="s">
        <v>48</v>
      </c>
    </row>
    <row r="13678">
      <c r="H13678" s="50"/>
      <c r="I13678" s="50"/>
      <c r="O13678" s="36" t="s">
        <v>48</v>
      </c>
      <c r="R13678" s="36" t="s">
        <v>48</v>
      </c>
    </row>
    <row r="13679">
      <c r="H13679" s="50"/>
      <c r="I13679" s="50"/>
      <c r="O13679" s="36" t="s">
        <v>48</v>
      </c>
      <c r="R13679" s="36" t="s">
        <v>48</v>
      </c>
    </row>
    <row r="13680">
      <c r="H13680" s="50"/>
      <c r="I13680" s="50"/>
      <c r="O13680" s="36" t="s">
        <v>48</v>
      </c>
      <c r="R13680" s="36" t="s">
        <v>48</v>
      </c>
    </row>
    <row r="13681">
      <c r="H13681" s="50"/>
      <c r="I13681" s="50"/>
      <c r="O13681" s="36" t="s">
        <v>48</v>
      </c>
      <c r="R13681" s="36" t="s">
        <v>48</v>
      </c>
    </row>
    <row r="13682">
      <c r="H13682" s="50"/>
      <c r="I13682" s="50"/>
      <c r="O13682" s="36" t="s">
        <v>48</v>
      </c>
      <c r="R13682" s="36" t="s">
        <v>48</v>
      </c>
    </row>
    <row r="13683">
      <c r="H13683" s="50"/>
      <c r="I13683" s="50"/>
      <c r="O13683" s="36" t="s">
        <v>48</v>
      </c>
      <c r="R13683" s="36" t="s">
        <v>48</v>
      </c>
    </row>
    <row r="13684">
      <c r="H13684" s="50"/>
      <c r="I13684" s="50"/>
      <c r="O13684" s="36" t="s">
        <v>48</v>
      </c>
      <c r="R13684" s="36" t="s">
        <v>48</v>
      </c>
    </row>
    <row r="13685">
      <c r="H13685" s="50"/>
      <c r="I13685" s="50"/>
      <c r="O13685" s="36" t="s">
        <v>48</v>
      </c>
      <c r="R13685" s="36" t="s">
        <v>48</v>
      </c>
    </row>
    <row r="13686">
      <c r="H13686" s="50"/>
      <c r="I13686" s="50"/>
      <c r="O13686" s="36" t="s">
        <v>48</v>
      </c>
      <c r="R13686" s="36" t="s">
        <v>48</v>
      </c>
    </row>
    <row r="13687">
      <c r="H13687" s="50"/>
      <c r="I13687" s="50"/>
      <c r="O13687" s="36" t="s">
        <v>48</v>
      </c>
      <c r="R13687" s="36" t="s">
        <v>48</v>
      </c>
    </row>
    <row r="13688">
      <c r="H13688" s="50"/>
      <c r="I13688" s="50"/>
      <c r="O13688" s="36" t="s">
        <v>48</v>
      </c>
      <c r="R13688" s="36" t="s">
        <v>48</v>
      </c>
    </row>
    <row r="13689">
      <c r="H13689" s="50"/>
      <c r="I13689" s="50"/>
      <c r="O13689" s="36" t="s">
        <v>48</v>
      </c>
      <c r="R13689" s="36" t="s">
        <v>48</v>
      </c>
    </row>
    <row r="13690">
      <c r="H13690" s="50"/>
      <c r="I13690" s="50"/>
      <c r="O13690" s="36" t="s">
        <v>48</v>
      </c>
      <c r="R13690" s="36" t="s">
        <v>48</v>
      </c>
    </row>
    <row r="13691">
      <c r="H13691" s="50"/>
      <c r="I13691" s="50"/>
      <c r="O13691" s="36" t="s">
        <v>48</v>
      </c>
      <c r="R13691" s="36" t="s">
        <v>48</v>
      </c>
    </row>
    <row r="13692">
      <c r="H13692" s="50"/>
      <c r="I13692" s="50"/>
      <c r="O13692" s="36" t="s">
        <v>48</v>
      </c>
      <c r="R13692" s="36" t="s">
        <v>48</v>
      </c>
    </row>
    <row r="13693">
      <c r="H13693" s="50"/>
      <c r="I13693" s="50"/>
      <c r="O13693" s="36" t="s">
        <v>48</v>
      </c>
      <c r="R13693" s="36" t="s">
        <v>48</v>
      </c>
    </row>
    <row r="13694">
      <c r="H13694" s="50"/>
      <c r="I13694" s="50"/>
      <c r="O13694" s="36" t="s">
        <v>48</v>
      </c>
      <c r="R13694" s="36" t="s">
        <v>48</v>
      </c>
    </row>
    <row r="13695">
      <c r="H13695" s="50"/>
      <c r="I13695" s="50"/>
      <c r="O13695" s="36" t="s">
        <v>48</v>
      </c>
      <c r="R13695" s="36" t="s">
        <v>48</v>
      </c>
    </row>
    <row r="13696">
      <c r="H13696" s="50"/>
      <c r="I13696" s="50"/>
      <c r="O13696" s="36" t="s">
        <v>48</v>
      </c>
      <c r="R13696" s="36" t="s">
        <v>48</v>
      </c>
    </row>
    <row r="13697">
      <c r="H13697" s="50"/>
      <c r="I13697" s="50"/>
      <c r="O13697" s="36" t="s">
        <v>48</v>
      </c>
      <c r="R13697" s="36" t="s">
        <v>48</v>
      </c>
    </row>
    <row r="13698">
      <c r="H13698" s="50"/>
      <c r="I13698" s="50"/>
      <c r="O13698" s="36" t="s">
        <v>48</v>
      </c>
      <c r="R13698" s="36" t="s">
        <v>48</v>
      </c>
    </row>
    <row r="13699">
      <c r="H13699" s="50"/>
      <c r="I13699" s="50"/>
      <c r="O13699" s="36" t="s">
        <v>48</v>
      </c>
      <c r="R13699" s="36" t="s">
        <v>48</v>
      </c>
    </row>
    <row r="13700">
      <c r="H13700" s="50"/>
      <c r="I13700" s="50"/>
      <c r="O13700" s="36" t="s">
        <v>48</v>
      </c>
      <c r="R13700" s="36" t="s">
        <v>48</v>
      </c>
    </row>
    <row r="13701">
      <c r="H13701" s="50"/>
      <c r="I13701" s="50"/>
      <c r="O13701" s="36" t="s">
        <v>48</v>
      </c>
      <c r="R13701" s="36" t="s">
        <v>48</v>
      </c>
    </row>
    <row r="13702">
      <c r="H13702" s="50"/>
      <c r="I13702" s="50"/>
      <c r="O13702" s="36" t="s">
        <v>48</v>
      </c>
      <c r="R13702" s="36" t="s">
        <v>48</v>
      </c>
    </row>
    <row r="13703">
      <c r="H13703" s="50"/>
      <c r="I13703" s="50"/>
      <c r="O13703" s="36" t="s">
        <v>48</v>
      </c>
      <c r="R13703" s="36" t="s">
        <v>48</v>
      </c>
    </row>
    <row r="13704">
      <c r="H13704" s="50"/>
      <c r="I13704" s="50"/>
      <c r="O13704" s="36" t="s">
        <v>48</v>
      </c>
      <c r="R13704" s="36" t="s">
        <v>48</v>
      </c>
    </row>
    <row r="13705">
      <c r="H13705" s="50"/>
      <c r="I13705" s="50"/>
      <c r="O13705" s="36" t="s">
        <v>48</v>
      </c>
      <c r="R13705" s="36" t="s">
        <v>48</v>
      </c>
    </row>
    <row r="13706">
      <c r="H13706" s="50"/>
      <c r="I13706" s="50"/>
      <c r="O13706" s="36" t="s">
        <v>48</v>
      </c>
      <c r="R13706" s="36" t="s">
        <v>48</v>
      </c>
    </row>
    <row r="13707">
      <c r="H13707" s="50"/>
      <c r="I13707" s="50"/>
      <c r="O13707" s="36" t="s">
        <v>48</v>
      </c>
      <c r="R13707" s="36" t="s">
        <v>48</v>
      </c>
    </row>
    <row r="13708">
      <c r="H13708" s="50"/>
      <c r="I13708" s="50"/>
      <c r="O13708" s="36" t="s">
        <v>48</v>
      </c>
      <c r="R13708" s="36" t="s">
        <v>48</v>
      </c>
    </row>
    <row r="13709">
      <c r="H13709" s="50"/>
      <c r="I13709" s="50"/>
      <c r="O13709" s="36" t="s">
        <v>48</v>
      </c>
      <c r="R13709" s="36" t="s">
        <v>48</v>
      </c>
    </row>
    <row r="13710">
      <c r="H13710" s="50"/>
      <c r="I13710" s="50"/>
      <c r="O13710" s="36" t="s">
        <v>48</v>
      </c>
      <c r="R13710" s="36" t="s">
        <v>48</v>
      </c>
    </row>
    <row r="13711">
      <c r="H13711" s="50"/>
      <c r="I13711" s="50"/>
      <c r="O13711" s="36" t="s">
        <v>48</v>
      </c>
      <c r="R13711" s="36" t="s">
        <v>48</v>
      </c>
    </row>
    <row r="13712">
      <c r="H13712" s="50"/>
      <c r="I13712" s="50"/>
      <c r="O13712" s="36" t="s">
        <v>48</v>
      </c>
      <c r="R13712" s="36" t="s">
        <v>48</v>
      </c>
    </row>
    <row r="13713">
      <c r="H13713" s="50"/>
      <c r="I13713" s="50"/>
      <c r="O13713" s="36" t="s">
        <v>48</v>
      </c>
      <c r="R13713" s="36" t="s">
        <v>48</v>
      </c>
    </row>
    <row r="13714">
      <c r="H13714" s="50"/>
      <c r="I13714" s="50"/>
      <c r="O13714" s="36" t="s">
        <v>48</v>
      </c>
      <c r="R13714" s="36" t="s">
        <v>48</v>
      </c>
    </row>
    <row r="13715">
      <c r="H13715" s="50"/>
      <c r="I13715" s="50"/>
      <c r="O13715" s="36" t="s">
        <v>48</v>
      </c>
      <c r="R13715" s="36" t="s">
        <v>48</v>
      </c>
    </row>
    <row r="13716">
      <c r="H13716" s="50"/>
      <c r="I13716" s="50"/>
      <c r="O13716" s="36" t="s">
        <v>48</v>
      </c>
      <c r="R13716" s="36" t="s">
        <v>48</v>
      </c>
    </row>
    <row r="13717">
      <c r="H13717" s="50"/>
      <c r="I13717" s="50"/>
      <c r="O13717" s="36" t="s">
        <v>48</v>
      </c>
      <c r="R13717" s="36" t="s">
        <v>48</v>
      </c>
    </row>
    <row r="13718">
      <c r="H13718" s="50"/>
      <c r="I13718" s="50"/>
      <c r="O13718" s="36" t="s">
        <v>48</v>
      </c>
      <c r="R13718" s="36" t="s">
        <v>48</v>
      </c>
    </row>
    <row r="13719">
      <c r="H13719" s="50"/>
      <c r="I13719" s="50"/>
      <c r="O13719" s="36" t="s">
        <v>48</v>
      </c>
      <c r="R13719" s="36" t="s">
        <v>48</v>
      </c>
    </row>
    <row r="13720">
      <c r="H13720" s="50"/>
      <c r="I13720" s="50"/>
      <c r="O13720" s="36" t="s">
        <v>48</v>
      </c>
      <c r="R13720" s="36" t="s">
        <v>48</v>
      </c>
    </row>
    <row r="13721">
      <c r="H13721" s="50"/>
      <c r="I13721" s="50"/>
      <c r="O13721" s="36" t="s">
        <v>48</v>
      </c>
      <c r="R13721" s="36" t="s">
        <v>48</v>
      </c>
    </row>
    <row r="13722">
      <c r="H13722" s="50"/>
      <c r="I13722" s="50"/>
      <c r="O13722" s="36" t="s">
        <v>48</v>
      </c>
      <c r="R13722" s="36" t="s">
        <v>48</v>
      </c>
    </row>
    <row r="13723">
      <c r="H13723" s="50"/>
      <c r="I13723" s="50"/>
      <c r="O13723" s="36" t="s">
        <v>48</v>
      </c>
      <c r="R13723" s="36" t="s">
        <v>48</v>
      </c>
    </row>
    <row r="13724">
      <c r="H13724" s="50"/>
      <c r="I13724" s="50"/>
      <c r="O13724" s="36" t="s">
        <v>48</v>
      </c>
      <c r="R13724" s="36" t="s">
        <v>48</v>
      </c>
    </row>
    <row r="13725">
      <c r="H13725" s="50"/>
      <c r="I13725" s="50"/>
      <c r="O13725" s="36" t="s">
        <v>48</v>
      </c>
      <c r="R13725" s="36" t="s">
        <v>48</v>
      </c>
    </row>
    <row r="13726">
      <c r="H13726" s="50"/>
      <c r="I13726" s="50"/>
      <c r="O13726" s="36" t="s">
        <v>48</v>
      </c>
      <c r="R13726" s="36" t="s">
        <v>48</v>
      </c>
    </row>
    <row r="13727">
      <c r="H13727" s="50"/>
      <c r="I13727" s="50"/>
      <c r="O13727" s="36" t="s">
        <v>48</v>
      </c>
      <c r="R13727" s="36" t="s">
        <v>48</v>
      </c>
    </row>
    <row r="13728">
      <c r="H13728" s="50"/>
      <c r="I13728" s="50"/>
      <c r="O13728" s="36" t="s">
        <v>48</v>
      </c>
      <c r="R13728" s="36" t="s">
        <v>48</v>
      </c>
    </row>
    <row r="13729">
      <c r="H13729" s="50"/>
      <c r="I13729" s="50"/>
      <c r="O13729" s="36" t="s">
        <v>48</v>
      </c>
      <c r="R13729" s="36" t="s">
        <v>48</v>
      </c>
    </row>
    <row r="13730">
      <c r="H13730" s="50"/>
      <c r="I13730" s="50"/>
      <c r="O13730" s="36" t="s">
        <v>48</v>
      </c>
      <c r="R13730" s="36" t="s">
        <v>48</v>
      </c>
    </row>
    <row r="13731">
      <c r="H13731" s="50"/>
      <c r="I13731" s="50"/>
      <c r="O13731" s="36" t="s">
        <v>48</v>
      </c>
      <c r="R13731" s="36" t="s">
        <v>48</v>
      </c>
    </row>
    <row r="13732">
      <c r="H13732" s="50"/>
      <c r="I13732" s="50"/>
      <c r="O13732" s="36" t="s">
        <v>48</v>
      </c>
      <c r="R13732" s="36" t="s">
        <v>48</v>
      </c>
    </row>
    <row r="13733">
      <c r="H13733" s="50"/>
      <c r="I13733" s="50"/>
      <c r="O13733" s="36" t="s">
        <v>48</v>
      </c>
      <c r="R13733" s="36" t="s">
        <v>48</v>
      </c>
    </row>
    <row r="13734">
      <c r="H13734" s="50"/>
      <c r="I13734" s="50"/>
      <c r="O13734" s="36" t="s">
        <v>48</v>
      </c>
      <c r="R13734" s="36" t="s">
        <v>48</v>
      </c>
    </row>
    <row r="13735">
      <c r="H13735" s="50"/>
      <c r="I13735" s="50"/>
      <c r="O13735" s="36" t="s">
        <v>48</v>
      </c>
      <c r="R13735" s="36" t="s">
        <v>48</v>
      </c>
    </row>
    <row r="13736">
      <c r="H13736" s="50"/>
      <c r="I13736" s="50"/>
      <c r="O13736" s="36" t="s">
        <v>48</v>
      </c>
      <c r="R13736" s="36" t="s">
        <v>48</v>
      </c>
    </row>
    <row r="13737">
      <c r="H13737" s="50"/>
      <c r="I13737" s="50"/>
      <c r="O13737" s="36" t="s">
        <v>48</v>
      </c>
      <c r="R13737" s="36" t="s">
        <v>48</v>
      </c>
    </row>
    <row r="13738">
      <c r="H13738" s="50"/>
      <c r="I13738" s="50"/>
      <c r="O13738" s="36" t="s">
        <v>48</v>
      </c>
      <c r="R13738" s="36" t="s">
        <v>48</v>
      </c>
    </row>
    <row r="13739">
      <c r="H13739" s="50"/>
      <c r="I13739" s="50"/>
      <c r="O13739" s="36" t="s">
        <v>48</v>
      </c>
      <c r="R13739" s="36" t="s">
        <v>48</v>
      </c>
    </row>
    <row r="13740">
      <c r="H13740" s="50"/>
      <c r="I13740" s="50"/>
      <c r="O13740" s="36" t="s">
        <v>48</v>
      </c>
      <c r="R13740" s="36" t="s">
        <v>48</v>
      </c>
    </row>
    <row r="13741">
      <c r="H13741" s="50"/>
      <c r="I13741" s="50"/>
      <c r="O13741" s="36" t="s">
        <v>48</v>
      </c>
      <c r="R13741" s="36" t="s">
        <v>48</v>
      </c>
    </row>
    <row r="13742">
      <c r="H13742" s="50"/>
      <c r="I13742" s="50"/>
      <c r="O13742" s="36" t="s">
        <v>48</v>
      </c>
      <c r="R13742" s="36" t="s">
        <v>48</v>
      </c>
    </row>
    <row r="13743">
      <c r="H13743" s="50"/>
      <c r="I13743" s="50"/>
      <c r="O13743" s="36" t="s">
        <v>48</v>
      </c>
      <c r="R13743" s="36" t="s">
        <v>48</v>
      </c>
    </row>
    <row r="13744">
      <c r="H13744" s="50"/>
      <c r="I13744" s="50"/>
      <c r="O13744" s="36" t="s">
        <v>48</v>
      </c>
      <c r="R13744" s="36" t="s">
        <v>48</v>
      </c>
    </row>
    <row r="13745">
      <c r="H13745" s="50"/>
      <c r="I13745" s="50"/>
      <c r="O13745" s="36" t="s">
        <v>48</v>
      </c>
      <c r="R13745" s="36" t="s">
        <v>48</v>
      </c>
    </row>
    <row r="13746">
      <c r="H13746" s="50"/>
      <c r="I13746" s="50"/>
      <c r="O13746" s="36" t="s">
        <v>48</v>
      </c>
      <c r="R13746" s="36" t="s">
        <v>48</v>
      </c>
    </row>
    <row r="13747">
      <c r="H13747" s="50"/>
      <c r="I13747" s="50"/>
      <c r="O13747" s="36" t="s">
        <v>48</v>
      </c>
      <c r="R13747" s="36" t="s">
        <v>48</v>
      </c>
    </row>
    <row r="13748">
      <c r="H13748" s="50"/>
      <c r="I13748" s="50"/>
      <c r="O13748" s="36" t="s">
        <v>48</v>
      </c>
      <c r="R13748" s="36" t="s">
        <v>48</v>
      </c>
    </row>
    <row r="13749">
      <c r="H13749" s="50"/>
      <c r="I13749" s="50"/>
      <c r="O13749" s="36" t="s">
        <v>48</v>
      </c>
      <c r="R13749" s="36" t="s">
        <v>48</v>
      </c>
    </row>
    <row r="13750">
      <c r="H13750" s="50"/>
      <c r="I13750" s="50"/>
      <c r="O13750" s="36" t="s">
        <v>48</v>
      </c>
      <c r="R13750" s="36" t="s">
        <v>48</v>
      </c>
    </row>
    <row r="13751">
      <c r="H13751" s="50"/>
      <c r="I13751" s="50"/>
      <c r="O13751" s="36" t="s">
        <v>48</v>
      </c>
      <c r="R13751" s="36" t="s">
        <v>48</v>
      </c>
    </row>
    <row r="13752">
      <c r="H13752" s="50"/>
      <c r="I13752" s="50"/>
      <c r="O13752" s="36" t="s">
        <v>48</v>
      </c>
      <c r="R13752" s="36" t="s">
        <v>48</v>
      </c>
    </row>
    <row r="13753">
      <c r="H13753" s="50"/>
      <c r="I13753" s="50"/>
      <c r="O13753" s="36" t="s">
        <v>48</v>
      </c>
      <c r="R13753" s="36" t="s">
        <v>48</v>
      </c>
    </row>
    <row r="13754">
      <c r="H13754" s="50"/>
      <c r="I13754" s="50"/>
      <c r="O13754" s="36" t="s">
        <v>48</v>
      </c>
      <c r="R13754" s="36" t="s">
        <v>48</v>
      </c>
    </row>
    <row r="13755">
      <c r="H13755" s="50"/>
      <c r="I13755" s="50"/>
      <c r="O13755" s="36" t="s">
        <v>48</v>
      </c>
      <c r="R13755" s="36" t="s">
        <v>48</v>
      </c>
    </row>
    <row r="13756">
      <c r="H13756" s="50"/>
      <c r="I13756" s="50"/>
      <c r="O13756" s="36" t="s">
        <v>48</v>
      </c>
      <c r="R13756" s="36" t="s">
        <v>48</v>
      </c>
    </row>
    <row r="13757">
      <c r="H13757" s="50"/>
      <c r="I13757" s="50"/>
      <c r="O13757" s="36" t="s">
        <v>48</v>
      </c>
      <c r="R13757" s="36" t="s">
        <v>48</v>
      </c>
    </row>
    <row r="13758">
      <c r="H13758" s="50"/>
      <c r="I13758" s="50"/>
      <c r="O13758" s="36" t="s">
        <v>48</v>
      </c>
      <c r="R13758" s="36" t="s">
        <v>48</v>
      </c>
    </row>
    <row r="13759">
      <c r="H13759" s="50"/>
      <c r="I13759" s="50"/>
      <c r="O13759" s="36" t="s">
        <v>48</v>
      </c>
      <c r="R13759" s="36" t="s">
        <v>48</v>
      </c>
    </row>
    <row r="13760">
      <c r="H13760" s="50"/>
      <c r="I13760" s="50"/>
      <c r="O13760" s="36" t="s">
        <v>48</v>
      </c>
      <c r="R13760" s="36" t="s">
        <v>48</v>
      </c>
    </row>
    <row r="13761">
      <c r="H13761" s="50"/>
      <c r="I13761" s="50"/>
      <c r="O13761" s="36" t="s">
        <v>48</v>
      </c>
      <c r="R13761" s="36" t="s">
        <v>48</v>
      </c>
    </row>
    <row r="13762">
      <c r="H13762" s="50"/>
      <c r="I13762" s="50"/>
      <c r="O13762" s="36" t="s">
        <v>48</v>
      </c>
      <c r="R13762" s="36" t="s">
        <v>48</v>
      </c>
    </row>
    <row r="13763">
      <c r="H13763" s="50"/>
      <c r="I13763" s="50"/>
      <c r="O13763" s="36" t="s">
        <v>48</v>
      </c>
      <c r="R13763" s="36" t="s">
        <v>48</v>
      </c>
    </row>
    <row r="13764">
      <c r="H13764" s="50"/>
      <c r="I13764" s="50"/>
      <c r="O13764" s="36" t="s">
        <v>48</v>
      </c>
      <c r="R13764" s="36" t="s">
        <v>48</v>
      </c>
    </row>
    <row r="13765">
      <c r="H13765" s="50"/>
      <c r="I13765" s="50"/>
      <c r="O13765" s="36" t="s">
        <v>48</v>
      </c>
      <c r="R13765" s="36" t="s">
        <v>48</v>
      </c>
    </row>
    <row r="13766">
      <c r="H13766" s="50"/>
      <c r="I13766" s="50"/>
      <c r="O13766" s="36" t="s">
        <v>48</v>
      </c>
      <c r="R13766" s="36" t="s">
        <v>48</v>
      </c>
    </row>
    <row r="13767">
      <c r="H13767" s="50"/>
      <c r="I13767" s="50"/>
      <c r="O13767" s="36" t="s">
        <v>48</v>
      </c>
      <c r="R13767" s="36" t="s">
        <v>48</v>
      </c>
    </row>
    <row r="13768">
      <c r="H13768" s="50"/>
      <c r="I13768" s="50"/>
      <c r="O13768" s="36" t="s">
        <v>48</v>
      </c>
      <c r="R13768" s="36" t="s">
        <v>48</v>
      </c>
    </row>
    <row r="13769">
      <c r="H13769" s="50"/>
      <c r="I13769" s="50"/>
      <c r="O13769" s="36" t="s">
        <v>48</v>
      </c>
      <c r="R13769" s="36" t="s">
        <v>48</v>
      </c>
    </row>
    <row r="13770">
      <c r="H13770" s="50"/>
      <c r="I13770" s="50"/>
      <c r="O13770" s="36" t="s">
        <v>48</v>
      </c>
      <c r="R13770" s="36" t="s">
        <v>48</v>
      </c>
    </row>
    <row r="13771">
      <c r="H13771" s="50"/>
      <c r="I13771" s="50"/>
      <c r="O13771" s="36" t="s">
        <v>48</v>
      </c>
      <c r="R13771" s="36" t="s">
        <v>48</v>
      </c>
    </row>
    <row r="13772">
      <c r="H13772" s="50"/>
      <c r="I13772" s="50"/>
      <c r="O13772" s="36" t="s">
        <v>48</v>
      </c>
      <c r="R13772" s="36" t="s">
        <v>48</v>
      </c>
    </row>
    <row r="13773">
      <c r="H13773" s="50"/>
      <c r="I13773" s="50"/>
      <c r="O13773" s="36" t="s">
        <v>48</v>
      </c>
      <c r="R13773" s="36" t="s">
        <v>48</v>
      </c>
    </row>
    <row r="13774">
      <c r="H13774" s="50"/>
      <c r="I13774" s="50"/>
      <c r="O13774" s="36" t="s">
        <v>48</v>
      </c>
      <c r="R13774" s="36" t="s">
        <v>48</v>
      </c>
    </row>
    <row r="13775">
      <c r="H13775" s="50"/>
      <c r="I13775" s="50"/>
      <c r="O13775" s="36" t="s">
        <v>48</v>
      </c>
      <c r="R13775" s="36" t="s">
        <v>48</v>
      </c>
    </row>
    <row r="13776">
      <c r="H13776" s="50"/>
      <c r="I13776" s="50"/>
      <c r="O13776" s="36" t="s">
        <v>48</v>
      </c>
      <c r="R13776" s="36" t="s">
        <v>48</v>
      </c>
    </row>
    <row r="13777">
      <c r="H13777" s="50"/>
      <c r="I13777" s="50"/>
      <c r="O13777" s="36" t="s">
        <v>48</v>
      </c>
      <c r="R13777" s="36" t="s">
        <v>48</v>
      </c>
    </row>
    <row r="13778">
      <c r="H13778" s="50"/>
      <c r="I13778" s="50"/>
      <c r="O13778" s="36" t="s">
        <v>48</v>
      </c>
      <c r="R13778" s="36" t="s">
        <v>48</v>
      </c>
    </row>
    <row r="13779">
      <c r="H13779" s="50"/>
      <c r="I13779" s="50"/>
      <c r="O13779" s="36" t="s">
        <v>48</v>
      </c>
      <c r="R13779" s="36" t="s">
        <v>48</v>
      </c>
    </row>
    <row r="13780">
      <c r="H13780" s="50"/>
      <c r="I13780" s="50"/>
      <c r="O13780" s="36" t="s">
        <v>48</v>
      </c>
      <c r="R13780" s="36" t="s">
        <v>48</v>
      </c>
    </row>
    <row r="13781">
      <c r="H13781" s="50"/>
      <c r="I13781" s="50"/>
      <c r="O13781" s="36" t="s">
        <v>48</v>
      </c>
      <c r="R13781" s="36" t="s">
        <v>48</v>
      </c>
    </row>
    <row r="13782">
      <c r="H13782" s="50"/>
      <c r="I13782" s="50"/>
      <c r="O13782" s="36" t="s">
        <v>48</v>
      </c>
      <c r="R13782" s="36" t="s">
        <v>48</v>
      </c>
    </row>
    <row r="13783">
      <c r="H13783" s="50"/>
      <c r="I13783" s="50"/>
      <c r="O13783" s="36" t="s">
        <v>48</v>
      </c>
      <c r="R13783" s="36" t="s">
        <v>48</v>
      </c>
    </row>
    <row r="13784">
      <c r="H13784" s="50"/>
      <c r="I13784" s="50"/>
      <c r="O13784" s="36" t="s">
        <v>48</v>
      </c>
      <c r="R13784" s="36" t="s">
        <v>48</v>
      </c>
    </row>
    <row r="13785">
      <c r="H13785" s="50"/>
      <c r="I13785" s="50"/>
      <c r="O13785" s="36" t="s">
        <v>48</v>
      </c>
      <c r="R13785" s="36" t="s">
        <v>48</v>
      </c>
    </row>
    <row r="13786">
      <c r="H13786" s="50"/>
      <c r="I13786" s="50"/>
      <c r="O13786" s="36" t="s">
        <v>48</v>
      </c>
      <c r="R13786" s="36" t="s">
        <v>48</v>
      </c>
    </row>
    <row r="13787">
      <c r="H13787" s="50"/>
      <c r="I13787" s="50"/>
      <c r="O13787" s="36" t="s">
        <v>48</v>
      </c>
      <c r="R13787" s="36" t="s">
        <v>48</v>
      </c>
    </row>
    <row r="13788">
      <c r="H13788" s="50"/>
      <c r="I13788" s="50"/>
      <c r="O13788" s="36" t="s">
        <v>48</v>
      </c>
      <c r="R13788" s="36" t="s">
        <v>48</v>
      </c>
    </row>
    <row r="13789">
      <c r="H13789" s="50"/>
      <c r="I13789" s="50"/>
      <c r="O13789" s="36" t="s">
        <v>48</v>
      </c>
      <c r="R13789" s="36" t="s">
        <v>48</v>
      </c>
    </row>
    <row r="13790">
      <c r="H13790" s="50"/>
      <c r="I13790" s="50"/>
      <c r="O13790" s="36" t="s">
        <v>48</v>
      </c>
      <c r="R13790" s="36" t="s">
        <v>48</v>
      </c>
    </row>
    <row r="13791">
      <c r="H13791" s="50"/>
      <c r="I13791" s="50"/>
      <c r="O13791" s="36" t="s">
        <v>48</v>
      </c>
      <c r="R13791" s="36" t="s">
        <v>48</v>
      </c>
    </row>
    <row r="13792">
      <c r="H13792" s="50"/>
      <c r="I13792" s="50"/>
      <c r="O13792" s="36" t="s">
        <v>48</v>
      </c>
      <c r="R13792" s="36" t="s">
        <v>48</v>
      </c>
    </row>
    <row r="13793">
      <c r="H13793" s="50"/>
      <c r="I13793" s="50"/>
      <c r="O13793" s="36" t="s">
        <v>48</v>
      </c>
      <c r="R13793" s="36" t="s">
        <v>48</v>
      </c>
    </row>
    <row r="13794">
      <c r="H13794" s="50"/>
      <c r="I13794" s="50"/>
      <c r="O13794" s="36" t="s">
        <v>48</v>
      </c>
      <c r="R13794" s="36" t="s">
        <v>48</v>
      </c>
    </row>
    <row r="13795">
      <c r="H13795" s="50"/>
      <c r="I13795" s="50"/>
      <c r="O13795" s="36" t="s">
        <v>48</v>
      </c>
      <c r="R13795" s="36" t="s">
        <v>48</v>
      </c>
    </row>
    <row r="13796">
      <c r="H13796" s="50"/>
      <c r="I13796" s="50"/>
      <c r="O13796" s="36" t="s">
        <v>48</v>
      </c>
      <c r="R13796" s="36" t="s">
        <v>48</v>
      </c>
    </row>
    <row r="13797">
      <c r="H13797" s="50"/>
      <c r="I13797" s="50"/>
      <c r="O13797" s="36" t="s">
        <v>48</v>
      </c>
      <c r="R13797" s="36" t="s">
        <v>48</v>
      </c>
    </row>
    <row r="13798">
      <c r="H13798" s="50"/>
      <c r="I13798" s="50"/>
      <c r="O13798" s="36" t="s">
        <v>48</v>
      </c>
      <c r="R13798" s="36" t="s">
        <v>48</v>
      </c>
    </row>
    <row r="13799">
      <c r="H13799" s="50"/>
      <c r="I13799" s="50"/>
      <c r="O13799" s="36" t="s">
        <v>48</v>
      </c>
      <c r="R13799" s="36" t="s">
        <v>48</v>
      </c>
    </row>
    <row r="13800">
      <c r="H13800" s="50"/>
      <c r="I13800" s="50"/>
      <c r="O13800" s="36" t="s">
        <v>48</v>
      </c>
      <c r="R13800" s="36" t="s">
        <v>48</v>
      </c>
    </row>
    <row r="13801">
      <c r="H13801" s="50"/>
      <c r="I13801" s="50"/>
      <c r="O13801" s="36" t="s">
        <v>48</v>
      </c>
      <c r="R13801" s="36" t="s">
        <v>48</v>
      </c>
    </row>
    <row r="13802">
      <c r="H13802" s="50"/>
      <c r="I13802" s="50"/>
      <c r="O13802" s="36" t="s">
        <v>48</v>
      </c>
      <c r="R13802" s="36" t="s">
        <v>48</v>
      </c>
    </row>
    <row r="13803">
      <c r="H13803" s="50"/>
      <c r="I13803" s="50"/>
      <c r="O13803" s="36" t="s">
        <v>48</v>
      </c>
      <c r="R13803" s="36" t="s">
        <v>48</v>
      </c>
    </row>
    <row r="13804">
      <c r="H13804" s="50"/>
      <c r="I13804" s="50"/>
      <c r="O13804" s="36" t="s">
        <v>48</v>
      </c>
      <c r="R13804" s="36" t="s">
        <v>48</v>
      </c>
    </row>
    <row r="13805">
      <c r="H13805" s="50"/>
      <c r="I13805" s="50"/>
      <c r="O13805" s="36" t="s">
        <v>48</v>
      </c>
      <c r="R13805" s="36" t="s">
        <v>48</v>
      </c>
    </row>
    <row r="13806">
      <c r="H13806" s="50"/>
      <c r="I13806" s="50"/>
      <c r="O13806" s="36" t="s">
        <v>48</v>
      </c>
      <c r="R13806" s="36" t="s">
        <v>48</v>
      </c>
    </row>
    <row r="13807">
      <c r="H13807" s="50"/>
      <c r="I13807" s="50"/>
      <c r="O13807" s="36" t="s">
        <v>48</v>
      </c>
      <c r="R13807" s="36" t="s">
        <v>48</v>
      </c>
    </row>
    <row r="13808">
      <c r="H13808" s="50"/>
      <c r="I13808" s="50"/>
      <c r="O13808" s="36" t="s">
        <v>48</v>
      </c>
      <c r="R13808" s="36" t="s">
        <v>48</v>
      </c>
    </row>
    <row r="13809">
      <c r="H13809" s="50"/>
      <c r="I13809" s="50"/>
      <c r="O13809" s="36" t="s">
        <v>48</v>
      </c>
      <c r="R13809" s="36" t="s">
        <v>48</v>
      </c>
    </row>
    <row r="13810">
      <c r="H13810" s="50"/>
      <c r="I13810" s="50"/>
      <c r="O13810" s="36" t="s">
        <v>48</v>
      </c>
      <c r="R13810" s="36" t="s">
        <v>48</v>
      </c>
    </row>
    <row r="13811">
      <c r="H13811" s="50"/>
      <c r="I13811" s="50"/>
      <c r="O13811" s="36" t="s">
        <v>48</v>
      </c>
      <c r="R13811" s="36" t="s">
        <v>48</v>
      </c>
    </row>
    <row r="13812">
      <c r="H13812" s="50"/>
      <c r="I13812" s="50"/>
      <c r="O13812" s="36" t="s">
        <v>48</v>
      </c>
      <c r="R13812" s="36" t="s">
        <v>48</v>
      </c>
    </row>
    <row r="13813">
      <c r="H13813" s="50"/>
      <c r="I13813" s="50"/>
      <c r="O13813" s="36" t="s">
        <v>48</v>
      </c>
      <c r="R13813" s="36" t="s">
        <v>48</v>
      </c>
    </row>
    <row r="13814">
      <c r="H13814" s="50"/>
      <c r="I13814" s="50"/>
      <c r="O13814" s="36" t="s">
        <v>48</v>
      </c>
      <c r="R13814" s="36" t="s">
        <v>48</v>
      </c>
    </row>
    <row r="13815">
      <c r="H13815" s="50"/>
      <c r="I13815" s="50"/>
      <c r="O13815" s="36" t="s">
        <v>48</v>
      </c>
      <c r="R13815" s="36" t="s">
        <v>48</v>
      </c>
    </row>
    <row r="13816">
      <c r="H13816" s="50"/>
      <c r="I13816" s="50"/>
      <c r="O13816" s="36" t="s">
        <v>48</v>
      </c>
      <c r="R13816" s="36" t="s">
        <v>48</v>
      </c>
    </row>
    <row r="13817">
      <c r="H13817" s="50"/>
      <c r="I13817" s="50"/>
      <c r="O13817" s="36" t="s">
        <v>48</v>
      </c>
      <c r="R13817" s="36" t="s">
        <v>48</v>
      </c>
    </row>
    <row r="13818">
      <c r="H13818" s="50"/>
      <c r="I13818" s="50"/>
      <c r="O13818" s="36" t="s">
        <v>48</v>
      </c>
      <c r="R13818" s="36" t="s">
        <v>48</v>
      </c>
    </row>
    <row r="13819">
      <c r="H13819" s="50"/>
      <c r="I13819" s="50"/>
      <c r="O13819" s="36" t="s">
        <v>48</v>
      </c>
      <c r="R13819" s="36" t="s">
        <v>48</v>
      </c>
    </row>
    <row r="13820">
      <c r="H13820" s="50"/>
      <c r="I13820" s="50"/>
      <c r="O13820" s="36" t="s">
        <v>48</v>
      </c>
      <c r="R13820" s="36" t="s">
        <v>48</v>
      </c>
    </row>
    <row r="13821">
      <c r="H13821" s="50"/>
      <c r="I13821" s="50"/>
      <c r="O13821" s="36" t="s">
        <v>48</v>
      </c>
      <c r="R13821" s="36" t="s">
        <v>48</v>
      </c>
    </row>
    <row r="13822">
      <c r="H13822" s="50"/>
      <c r="I13822" s="50"/>
      <c r="O13822" s="36" t="s">
        <v>48</v>
      </c>
      <c r="R13822" s="36" t="s">
        <v>48</v>
      </c>
    </row>
    <row r="13823">
      <c r="H13823" s="50"/>
      <c r="I13823" s="50"/>
      <c r="O13823" s="36" t="s">
        <v>48</v>
      </c>
      <c r="R13823" s="36" t="s">
        <v>48</v>
      </c>
    </row>
    <row r="13824">
      <c r="H13824" s="50"/>
      <c r="I13824" s="50"/>
      <c r="O13824" s="36" t="s">
        <v>48</v>
      </c>
      <c r="R13824" s="36" t="s">
        <v>48</v>
      </c>
    </row>
    <row r="13825">
      <c r="H13825" s="50"/>
      <c r="I13825" s="50"/>
      <c r="O13825" s="36" t="s">
        <v>48</v>
      </c>
      <c r="R13825" s="36" t="s">
        <v>48</v>
      </c>
    </row>
    <row r="13826">
      <c r="H13826" s="50"/>
      <c r="I13826" s="50"/>
      <c r="O13826" s="36" t="s">
        <v>48</v>
      </c>
      <c r="R13826" s="36" t="s">
        <v>48</v>
      </c>
    </row>
    <row r="13827">
      <c r="H13827" s="50"/>
      <c r="I13827" s="50"/>
      <c r="O13827" s="36" t="s">
        <v>48</v>
      </c>
      <c r="R13827" s="36" t="s">
        <v>48</v>
      </c>
    </row>
    <row r="13828">
      <c r="H13828" s="50"/>
      <c r="I13828" s="50"/>
      <c r="O13828" s="36" t="s">
        <v>48</v>
      </c>
      <c r="R13828" s="36" t="s">
        <v>48</v>
      </c>
    </row>
    <row r="13829">
      <c r="H13829" s="50"/>
      <c r="I13829" s="50"/>
      <c r="O13829" s="36" t="s">
        <v>48</v>
      </c>
      <c r="R13829" s="36" t="s">
        <v>48</v>
      </c>
    </row>
    <row r="13830">
      <c r="H13830" s="50"/>
      <c r="I13830" s="50"/>
      <c r="O13830" s="36" t="s">
        <v>48</v>
      </c>
      <c r="R13830" s="36" t="s">
        <v>48</v>
      </c>
    </row>
    <row r="13831">
      <c r="H13831" s="50"/>
      <c r="I13831" s="50"/>
      <c r="O13831" s="36" t="s">
        <v>48</v>
      </c>
      <c r="R13831" s="36" t="s">
        <v>48</v>
      </c>
    </row>
    <row r="13832">
      <c r="H13832" s="50"/>
      <c r="I13832" s="50"/>
      <c r="O13832" s="36" t="s">
        <v>48</v>
      </c>
      <c r="R13832" s="36" t="s">
        <v>48</v>
      </c>
    </row>
    <row r="13833">
      <c r="H13833" s="50"/>
      <c r="I13833" s="50"/>
      <c r="O13833" s="36" t="s">
        <v>48</v>
      </c>
      <c r="R13833" s="36" t="s">
        <v>48</v>
      </c>
    </row>
    <row r="13834">
      <c r="H13834" s="50"/>
      <c r="I13834" s="50"/>
      <c r="O13834" s="36" t="s">
        <v>48</v>
      </c>
      <c r="R13834" s="36" t="s">
        <v>48</v>
      </c>
    </row>
    <row r="13835">
      <c r="H13835" s="50"/>
      <c r="I13835" s="50"/>
      <c r="O13835" s="36" t="s">
        <v>48</v>
      </c>
      <c r="R13835" s="36" t="s">
        <v>48</v>
      </c>
    </row>
    <row r="13836">
      <c r="H13836" s="50"/>
      <c r="I13836" s="50"/>
      <c r="O13836" s="36" t="s">
        <v>48</v>
      </c>
      <c r="R13836" s="36" t="s">
        <v>48</v>
      </c>
    </row>
    <row r="13837">
      <c r="H13837" s="50"/>
      <c r="I13837" s="50"/>
      <c r="O13837" s="36" t="s">
        <v>48</v>
      </c>
      <c r="R13837" s="36" t="s">
        <v>48</v>
      </c>
    </row>
    <row r="13838">
      <c r="H13838" s="50"/>
      <c r="I13838" s="50"/>
      <c r="O13838" s="36" t="s">
        <v>48</v>
      </c>
      <c r="R13838" s="36" t="s">
        <v>48</v>
      </c>
    </row>
    <row r="13839">
      <c r="H13839" s="50"/>
      <c r="I13839" s="50"/>
      <c r="O13839" s="36" t="s">
        <v>48</v>
      </c>
      <c r="R13839" s="36" t="s">
        <v>48</v>
      </c>
    </row>
    <row r="13840">
      <c r="H13840" s="50"/>
      <c r="I13840" s="50"/>
      <c r="O13840" s="36" t="s">
        <v>48</v>
      </c>
      <c r="R13840" s="36" t="s">
        <v>48</v>
      </c>
    </row>
    <row r="13841">
      <c r="H13841" s="50"/>
      <c r="I13841" s="50"/>
      <c r="O13841" s="36" t="s">
        <v>48</v>
      </c>
      <c r="R13841" s="36" t="s">
        <v>48</v>
      </c>
    </row>
    <row r="13842">
      <c r="H13842" s="50"/>
      <c r="I13842" s="50"/>
      <c r="O13842" s="36" t="s">
        <v>48</v>
      </c>
      <c r="R13842" s="36" t="s">
        <v>48</v>
      </c>
    </row>
    <row r="13843">
      <c r="H13843" s="50"/>
      <c r="I13843" s="50"/>
      <c r="O13843" s="36" t="s">
        <v>48</v>
      </c>
      <c r="R13843" s="36" t="s">
        <v>48</v>
      </c>
    </row>
    <row r="13844">
      <c r="H13844" s="50"/>
      <c r="I13844" s="50"/>
      <c r="O13844" s="36" t="s">
        <v>48</v>
      </c>
      <c r="R13844" s="36" t="s">
        <v>48</v>
      </c>
    </row>
    <row r="13845">
      <c r="H13845" s="50"/>
      <c r="I13845" s="50"/>
      <c r="O13845" s="36" t="s">
        <v>48</v>
      </c>
      <c r="R13845" s="36" t="s">
        <v>48</v>
      </c>
    </row>
    <row r="13846">
      <c r="H13846" s="50"/>
      <c r="I13846" s="50"/>
      <c r="O13846" s="36" t="s">
        <v>48</v>
      </c>
      <c r="R13846" s="36" t="s">
        <v>48</v>
      </c>
    </row>
    <row r="13847">
      <c r="H13847" s="50"/>
      <c r="I13847" s="50"/>
      <c r="O13847" s="36" t="s">
        <v>48</v>
      </c>
      <c r="R13847" s="36" t="s">
        <v>48</v>
      </c>
    </row>
    <row r="13848">
      <c r="H13848" s="50"/>
      <c r="I13848" s="50"/>
      <c r="O13848" s="36" t="s">
        <v>48</v>
      </c>
      <c r="R13848" s="36" t="s">
        <v>48</v>
      </c>
    </row>
    <row r="13849">
      <c r="H13849" s="50"/>
      <c r="I13849" s="50"/>
      <c r="O13849" s="36" t="s">
        <v>48</v>
      </c>
      <c r="R13849" s="36" t="s">
        <v>48</v>
      </c>
    </row>
    <row r="13850">
      <c r="H13850" s="50"/>
      <c r="I13850" s="50"/>
      <c r="O13850" s="36" t="s">
        <v>48</v>
      </c>
      <c r="R13850" s="36" t="s">
        <v>48</v>
      </c>
    </row>
    <row r="13851">
      <c r="H13851" s="50"/>
      <c r="I13851" s="50"/>
      <c r="O13851" s="36" t="s">
        <v>48</v>
      </c>
      <c r="R13851" s="36" t="s">
        <v>48</v>
      </c>
    </row>
    <row r="13852">
      <c r="H13852" s="50"/>
      <c r="I13852" s="50"/>
      <c r="O13852" s="36" t="s">
        <v>48</v>
      </c>
      <c r="R13852" s="36" t="s">
        <v>48</v>
      </c>
    </row>
    <row r="13853">
      <c r="H13853" s="50"/>
      <c r="I13853" s="50"/>
      <c r="O13853" s="36" t="s">
        <v>48</v>
      </c>
      <c r="R13853" s="36" t="s">
        <v>48</v>
      </c>
    </row>
    <row r="13854">
      <c r="H13854" s="50"/>
      <c r="I13854" s="50"/>
      <c r="O13854" s="36" t="s">
        <v>48</v>
      </c>
      <c r="R13854" s="36" t="s">
        <v>48</v>
      </c>
    </row>
    <row r="13855">
      <c r="H13855" s="50"/>
      <c r="I13855" s="50"/>
      <c r="O13855" s="36" t="s">
        <v>48</v>
      </c>
      <c r="R13855" s="36" t="s">
        <v>48</v>
      </c>
    </row>
    <row r="13856">
      <c r="H13856" s="50"/>
      <c r="I13856" s="50"/>
      <c r="O13856" s="36" t="s">
        <v>48</v>
      </c>
      <c r="R13856" s="36" t="s">
        <v>48</v>
      </c>
    </row>
    <row r="13857">
      <c r="H13857" s="50"/>
      <c r="I13857" s="50"/>
      <c r="O13857" s="36" t="s">
        <v>48</v>
      </c>
      <c r="R13857" s="36" t="s">
        <v>48</v>
      </c>
    </row>
    <row r="13858">
      <c r="H13858" s="50"/>
      <c r="I13858" s="50"/>
      <c r="O13858" s="36" t="s">
        <v>48</v>
      </c>
      <c r="R13858" s="36" t="s">
        <v>48</v>
      </c>
    </row>
    <row r="13859">
      <c r="H13859" s="50"/>
      <c r="I13859" s="50"/>
      <c r="O13859" s="36" t="s">
        <v>48</v>
      </c>
      <c r="R13859" s="36" t="s">
        <v>48</v>
      </c>
    </row>
    <row r="13860">
      <c r="H13860" s="50"/>
      <c r="I13860" s="50"/>
      <c r="O13860" s="36" t="s">
        <v>48</v>
      </c>
      <c r="R13860" s="36" t="s">
        <v>48</v>
      </c>
    </row>
    <row r="13861">
      <c r="H13861" s="50"/>
      <c r="I13861" s="50"/>
      <c r="O13861" s="36" t="s">
        <v>48</v>
      </c>
      <c r="R13861" s="36" t="s">
        <v>48</v>
      </c>
    </row>
    <row r="13862">
      <c r="H13862" s="50"/>
      <c r="I13862" s="50"/>
      <c r="O13862" s="36" t="s">
        <v>48</v>
      </c>
      <c r="R13862" s="36" t="s">
        <v>48</v>
      </c>
    </row>
    <row r="13863">
      <c r="H13863" s="50"/>
      <c r="I13863" s="50"/>
      <c r="O13863" s="36" t="s">
        <v>48</v>
      </c>
      <c r="R13863" s="36" t="s">
        <v>48</v>
      </c>
    </row>
    <row r="13864">
      <c r="H13864" s="50"/>
      <c r="I13864" s="50"/>
      <c r="O13864" s="36" t="s">
        <v>48</v>
      </c>
      <c r="R13864" s="36" t="s">
        <v>48</v>
      </c>
    </row>
    <row r="13865">
      <c r="H13865" s="50"/>
      <c r="I13865" s="50"/>
      <c r="O13865" s="36" t="s">
        <v>48</v>
      </c>
      <c r="R13865" s="36" t="s">
        <v>48</v>
      </c>
    </row>
    <row r="13866">
      <c r="H13866" s="50"/>
      <c r="I13866" s="50"/>
      <c r="O13866" s="36" t="s">
        <v>48</v>
      </c>
      <c r="R13866" s="36" t="s">
        <v>48</v>
      </c>
    </row>
    <row r="13867">
      <c r="H13867" s="50"/>
      <c r="I13867" s="50"/>
      <c r="O13867" s="36" t="s">
        <v>48</v>
      </c>
      <c r="R13867" s="36" t="s">
        <v>48</v>
      </c>
    </row>
    <row r="13868">
      <c r="H13868" s="50"/>
      <c r="I13868" s="50"/>
      <c r="O13868" s="36" t="s">
        <v>48</v>
      </c>
      <c r="R13868" s="36" t="s">
        <v>48</v>
      </c>
    </row>
    <row r="13869">
      <c r="H13869" s="50"/>
      <c r="I13869" s="50"/>
      <c r="O13869" s="36" t="s">
        <v>48</v>
      </c>
      <c r="R13869" s="36" t="s">
        <v>48</v>
      </c>
    </row>
    <row r="13870">
      <c r="H13870" s="50"/>
      <c r="I13870" s="50"/>
      <c r="O13870" s="36" t="s">
        <v>48</v>
      </c>
      <c r="R13870" s="36" t="s">
        <v>48</v>
      </c>
    </row>
    <row r="13871">
      <c r="H13871" s="50"/>
      <c r="I13871" s="50"/>
      <c r="O13871" s="36" t="s">
        <v>48</v>
      </c>
      <c r="R13871" s="36" t="s">
        <v>48</v>
      </c>
    </row>
    <row r="13872">
      <c r="H13872" s="50"/>
      <c r="I13872" s="50"/>
      <c r="O13872" s="36" t="s">
        <v>48</v>
      </c>
      <c r="R13872" s="36" t="s">
        <v>48</v>
      </c>
    </row>
    <row r="13873">
      <c r="H13873" s="50"/>
      <c r="I13873" s="50"/>
      <c r="O13873" s="36" t="s">
        <v>48</v>
      </c>
      <c r="R13873" s="36" t="s">
        <v>48</v>
      </c>
    </row>
    <row r="13874">
      <c r="H13874" s="50"/>
      <c r="I13874" s="50"/>
      <c r="O13874" s="36" t="s">
        <v>48</v>
      </c>
      <c r="R13874" s="36" t="s">
        <v>48</v>
      </c>
    </row>
    <row r="13875">
      <c r="H13875" s="50"/>
      <c r="I13875" s="50"/>
      <c r="O13875" s="36" t="s">
        <v>48</v>
      </c>
      <c r="R13875" s="36" t="s">
        <v>48</v>
      </c>
    </row>
    <row r="13876">
      <c r="H13876" s="50"/>
      <c r="I13876" s="50"/>
      <c r="O13876" s="36" t="s">
        <v>48</v>
      </c>
      <c r="R13876" s="36" t="s">
        <v>48</v>
      </c>
    </row>
    <row r="13877">
      <c r="H13877" s="50"/>
      <c r="I13877" s="50"/>
      <c r="O13877" s="36" t="s">
        <v>48</v>
      </c>
      <c r="R13877" s="36" t="s">
        <v>48</v>
      </c>
    </row>
    <row r="13878">
      <c r="H13878" s="50"/>
      <c r="I13878" s="50"/>
      <c r="O13878" s="36" t="s">
        <v>48</v>
      </c>
      <c r="R13878" s="36" t="s">
        <v>48</v>
      </c>
    </row>
    <row r="13879">
      <c r="H13879" s="50"/>
      <c r="I13879" s="50"/>
      <c r="O13879" s="36" t="s">
        <v>48</v>
      </c>
      <c r="R13879" s="36" t="s">
        <v>48</v>
      </c>
    </row>
    <row r="13880">
      <c r="H13880" s="50"/>
      <c r="I13880" s="50"/>
      <c r="O13880" s="36" t="s">
        <v>48</v>
      </c>
      <c r="R13880" s="36" t="s">
        <v>48</v>
      </c>
    </row>
    <row r="13881">
      <c r="H13881" s="50"/>
      <c r="I13881" s="50"/>
      <c r="O13881" s="36" t="s">
        <v>48</v>
      </c>
      <c r="R13881" s="36" t="s">
        <v>48</v>
      </c>
    </row>
    <row r="13882">
      <c r="H13882" s="50"/>
      <c r="I13882" s="50"/>
      <c r="O13882" s="36" t="s">
        <v>48</v>
      </c>
      <c r="R13882" s="36" t="s">
        <v>48</v>
      </c>
    </row>
    <row r="13883">
      <c r="H13883" s="50"/>
      <c r="I13883" s="50"/>
      <c r="O13883" s="36" t="s">
        <v>48</v>
      </c>
      <c r="R13883" s="36" t="s">
        <v>48</v>
      </c>
    </row>
    <row r="13884">
      <c r="H13884" s="50"/>
      <c r="I13884" s="50"/>
      <c r="O13884" s="36" t="s">
        <v>48</v>
      </c>
      <c r="R13884" s="36" t="s">
        <v>48</v>
      </c>
    </row>
    <row r="13885">
      <c r="H13885" s="50"/>
      <c r="I13885" s="50"/>
      <c r="O13885" s="36" t="s">
        <v>48</v>
      </c>
      <c r="R13885" s="36" t="s">
        <v>48</v>
      </c>
    </row>
    <row r="13886">
      <c r="H13886" s="50"/>
      <c r="I13886" s="50"/>
      <c r="O13886" s="36" t="s">
        <v>48</v>
      </c>
      <c r="R13886" s="36" t="s">
        <v>48</v>
      </c>
    </row>
    <row r="13887">
      <c r="H13887" s="50"/>
      <c r="I13887" s="50"/>
      <c r="O13887" s="36" t="s">
        <v>48</v>
      </c>
      <c r="R13887" s="36" t="s">
        <v>48</v>
      </c>
    </row>
    <row r="13888">
      <c r="H13888" s="50"/>
      <c r="I13888" s="50"/>
      <c r="O13888" s="36" t="s">
        <v>48</v>
      </c>
      <c r="R13888" s="36" t="s">
        <v>48</v>
      </c>
    </row>
    <row r="13889">
      <c r="H13889" s="50"/>
      <c r="I13889" s="50"/>
      <c r="O13889" s="36" t="s">
        <v>48</v>
      </c>
      <c r="R13889" s="36" t="s">
        <v>48</v>
      </c>
    </row>
    <row r="13890">
      <c r="H13890" s="50"/>
      <c r="I13890" s="50"/>
      <c r="O13890" s="36" t="s">
        <v>48</v>
      </c>
      <c r="R13890" s="36" t="s">
        <v>48</v>
      </c>
    </row>
    <row r="13891">
      <c r="H13891" s="50"/>
      <c r="I13891" s="50"/>
      <c r="O13891" s="36" t="s">
        <v>48</v>
      </c>
      <c r="R13891" s="36" t="s">
        <v>48</v>
      </c>
    </row>
    <row r="13892">
      <c r="H13892" s="50"/>
      <c r="I13892" s="50"/>
      <c r="O13892" s="36" t="s">
        <v>48</v>
      </c>
      <c r="R13892" s="36" t="s">
        <v>48</v>
      </c>
    </row>
    <row r="13893">
      <c r="H13893" s="50"/>
      <c r="I13893" s="50"/>
      <c r="O13893" s="36" t="s">
        <v>48</v>
      </c>
      <c r="R13893" s="36" t="s">
        <v>48</v>
      </c>
    </row>
    <row r="13894">
      <c r="H13894" s="50"/>
      <c r="I13894" s="50"/>
      <c r="O13894" s="36" t="s">
        <v>48</v>
      </c>
      <c r="R13894" s="36" t="s">
        <v>48</v>
      </c>
    </row>
    <row r="13895">
      <c r="H13895" s="50"/>
      <c r="I13895" s="50"/>
      <c r="O13895" s="36" t="s">
        <v>48</v>
      </c>
      <c r="R13895" s="36" t="s">
        <v>48</v>
      </c>
    </row>
    <row r="13896">
      <c r="H13896" s="50"/>
      <c r="I13896" s="50"/>
      <c r="O13896" s="36" t="s">
        <v>48</v>
      </c>
      <c r="R13896" s="36" t="s">
        <v>48</v>
      </c>
    </row>
    <row r="13897">
      <c r="H13897" s="50"/>
      <c r="I13897" s="50"/>
      <c r="O13897" s="36" t="s">
        <v>48</v>
      </c>
      <c r="R13897" s="36" t="s">
        <v>48</v>
      </c>
    </row>
    <row r="13898">
      <c r="H13898" s="50"/>
      <c r="I13898" s="50"/>
      <c r="O13898" s="36" t="s">
        <v>48</v>
      </c>
      <c r="R13898" s="36" t="s">
        <v>48</v>
      </c>
    </row>
    <row r="13899">
      <c r="H13899" s="50"/>
      <c r="I13899" s="50"/>
      <c r="O13899" s="36" t="s">
        <v>48</v>
      </c>
      <c r="R13899" s="36" t="s">
        <v>48</v>
      </c>
    </row>
    <row r="13900">
      <c r="H13900" s="50"/>
      <c r="I13900" s="50"/>
      <c r="O13900" s="36" t="s">
        <v>48</v>
      </c>
      <c r="R13900" s="36" t="s">
        <v>48</v>
      </c>
    </row>
    <row r="13901">
      <c r="H13901" s="50"/>
      <c r="I13901" s="50"/>
      <c r="O13901" s="36" t="s">
        <v>48</v>
      </c>
      <c r="R13901" s="36" t="s">
        <v>48</v>
      </c>
    </row>
    <row r="13902">
      <c r="H13902" s="50"/>
      <c r="I13902" s="50"/>
      <c r="O13902" s="36" t="s">
        <v>48</v>
      </c>
      <c r="R13902" s="36" t="s">
        <v>48</v>
      </c>
    </row>
    <row r="13903">
      <c r="H13903" s="50"/>
      <c r="I13903" s="50"/>
      <c r="O13903" s="36" t="s">
        <v>48</v>
      </c>
      <c r="R13903" s="36" t="s">
        <v>48</v>
      </c>
    </row>
    <row r="13904">
      <c r="H13904" s="50"/>
      <c r="I13904" s="50"/>
      <c r="O13904" s="36" t="s">
        <v>48</v>
      </c>
      <c r="R13904" s="36" t="s">
        <v>48</v>
      </c>
    </row>
    <row r="13905">
      <c r="H13905" s="50"/>
      <c r="I13905" s="50"/>
      <c r="O13905" s="36" t="s">
        <v>48</v>
      </c>
      <c r="R13905" s="36" t="s">
        <v>48</v>
      </c>
    </row>
    <row r="13906">
      <c r="H13906" s="50"/>
      <c r="I13906" s="50"/>
      <c r="O13906" s="36" t="s">
        <v>48</v>
      </c>
      <c r="R13906" s="36" t="s">
        <v>48</v>
      </c>
    </row>
    <row r="13907">
      <c r="H13907" s="50"/>
      <c r="I13907" s="50"/>
      <c r="O13907" s="36" t="s">
        <v>48</v>
      </c>
      <c r="R13907" s="36" t="s">
        <v>48</v>
      </c>
    </row>
    <row r="13908">
      <c r="H13908" s="50"/>
      <c r="I13908" s="50"/>
      <c r="O13908" s="36" t="s">
        <v>48</v>
      </c>
      <c r="R13908" s="36" t="s">
        <v>48</v>
      </c>
    </row>
    <row r="13909">
      <c r="H13909" s="50"/>
      <c r="I13909" s="50"/>
      <c r="O13909" s="36" t="s">
        <v>48</v>
      </c>
      <c r="R13909" s="36" t="s">
        <v>48</v>
      </c>
    </row>
    <row r="13910">
      <c r="H13910" s="50"/>
      <c r="I13910" s="50"/>
      <c r="O13910" s="36" t="s">
        <v>48</v>
      </c>
      <c r="R13910" s="36" t="s">
        <v>48</v>
      </c>
    </row>
    <row r="13911">
      <c r="H13911" s="50"/>
      <c r="I13911" s="50"/>
      <c r="O13911" s="36" t="s">
        <v>48</v>
      </c>
      <c r="R13911" s="36" t="s">
        <v>48</v>
      </c>
    </row>
    <row r="13912">
      <c r="H13912" s="50"/>
      <c r="I13912" s="50"/>
      <c r="O13912" s="36" t="s">
        <v>48</v>
      </c>
      <c r="R13912" s="36" t="s">
        <v>48</v>
      </c>
    </row>
    <row r="13913">
      <c r="H13913" s="50"/>
      <c r="I13913" s="50"/>
      <c r="O13913" s="36" t="s">
        <v>48</v>
      </c>
      <c r="R13913" s="36" t="s">
        <v>48</v>
      </c>
    </row>
    <row r="13914">
      <c r="H13914" s="50"/>
      <c r="I13914" s="50"/>
      <c r="O13914" s="36" t="s">
        <v>48</v>
      </c>
      <c r="R13914" s="36" t="s">
        <v>48</v>
      </c>
    </row>
    <row r="13915">
      <c r="H13915" s="50"/>
      <c r="I13915" s="50"/>
      <c r="O13915" s="36" t="s">
        <v>48</v>
      </c>
      <c r="R13915" s="36" t="s">
        <v>48</v>
      </c>
    </row>
    <row r="13916">
      <c r="H13916" s="50"/>
      <c r="I13916" s="50"/>
      <c r="O13916" s="36" t="s">
        <v>48</v>
      </c>
      <c r="R13916" s="36" t="s">
        <v>48</v>
      </c>
    </row>
    <row r="13917">
      <c r="H13917" s="50"/>
      <c r="I13917" s="50"/>
      <c r="O13917" s="36" t="s">
        <v>48</v>
      </c>
      <c r="R13917" s="36" t="s">
        <v>48</v>
      </c>
    </row>
    <row r="13918">
      <c r="H13918" s="50"/>
      <c r="I13918" s="50"/>
      <c r="O13918" s="36" t="s">
        <v>48</v>
      </c>
      <c r="R13918" s="36" t="s">
        <v>48</v>
      </c>
    </row>
    <row r="13919">
      <c r="H13919" s="50"/>
      <c r="I13919" s="50"/>
      <c r="O13919" s="36" t="s">
        <v>48</v>
      </c>
      <c r="R13919" s="36" t="s">
        <v>48</v>
      </c>
    </row>
    <row r="13920">
      <c r="H13920" s="50"/>
      <c r="I13920" s="50"/>
      <c r="O13920" s="36" t="s">
        <v>48</v>
      </c>
      <c r="R13920" s="36" t="s">
        <v>48</v>
      </c>
    </row>
    <row r="13921">
      <c r="H13921" s="50"/>
      <c r="I13921" s="50"/>
      <c r="O13921" s="36" t="s">
        <v>48</v>
      </c>
      <c r="R13921" s="36" t="s">
        <v>48</v>
      </c>
    </row>
    <row r="13922">
      <c r="H13922" s="50"/>
      <c r="I13922" s="50"/>
      <c r="O13922" s="36" t="s">
        <v>48</v>
      </c>
      <c r="R13922" s="36" t="s">
        <v>48</v>
      </c>
    </row>
    <row r="13923">
      <c r="H13923" s="50"/>
      <c r="I13923" s="50"/>
      <c r="O13923" s="36" t="s">
        <v>48</v>
      </c>
      <c r="R13923" s="36" t="s">
        <v>48</v>
      </c>
    </row>
    <row r="13924">
      <c r="H13924" s="50"/>
      <c r="I13924" s="50"/>
      <c r="O13924" s="36" t="s">
        <v>48</v>
      </c>
      <c r="R13924" s="36" t="s">
        <v>48</v>
      </c>
    </row>
    <row r="13925">
      <c r="H13925" s="50"/>
      <c r="I13925" s="50"/>
      <c r="O13925" s="36" t="s">
        <v>48</v>
      </c>
      <c r="R13925" s="36" t="s">
        <v>48</v>
      </c>
    </row>
    <row r="13926">
      <c r="H13926" s="50"/>
      <c r="I13926" s="50"/>
      <c r="O13926" s="36" t="s">
        <v>48</v>
      </c>
      <c r="R13926" s="36" t="s">
        <v>48</v>
      </c>
    </row>
    <row r="13927">
      <c r="H13927" s="50"/>
      <c r="I13927" s="50"/>
      <c r="O13927" s="36" t="s">
        <v>48</v>
      </c>
      <c r="R13927" s="36" t="s">
        <v>48</v>
      </c>
    </row>
    <row r="13928">
      <c r="H13928" s="50"/>
      <c r="I13928" s="50"/>
      <c r="O13928" s="36" t="s">
        <v>48</v>
      </c>
      <c r="R13928" s="36" t="s">
        <v>48</v>
      </c>
    </row>
    <row r="13929">
      <c r="H13929" s="50"/>
      <c r="I13929" s="50"/>
      <c r="O13929" s="36" t="s">
        <v>48</v>
      </c>
      <c r="R13929" s="36" t="s">
        <v>48</v>
      </c>
    </row>
    <row r="13930">
      <c r="H13930" s="50"/>
      <c r="I13930" s="50"/>
      <c r="O13930" s="36" t="s">
        <v>48</v>
      </c>
      <c r="R13930" s="36" t="s">
        <v>48</v>
      </c>
    </row>
    <row r="13931">
      <c r="H13931" s="50"/>
      <c r="I13931" s="50"/>
      <c r="O13931" s="36" t="s">
        <v>48</v>
      </c>
      <c r="R13931" s="36" t="s">
        <v>48</v>
      </c>
    </row>
    <row r="13932">
      <c r="H13932" s="50"/>
      <c r="I13932" s="50"/>
      <c r="O13932" s="36" t="s">
        <v>48</v>
      </c>
      <c r="R13932" s="36" t="s">
        <v>48</v>
      </c>
    </row>
    <row r="13933">
      <c r="H13933" s="50"/>
      <c r="I13933" s="50"/>
      <c r="O13933" s="36" t="s">
        <v>48</v>
      </c>
      <c r="R13933" s="36" t="s">
        <v>48</v>
      </c>
    </row>
    <row r="13934">
      <c r="H13934" s="50"/>
      <c r="I13934" s="50"/>
      <c r="O13934" s="36" t="s">
        <v>48</v>
      </c>
      <c r="R13934" s="36" t="s">
        <v>48</v>
      </c>
    </row>
    <row r="13935">
      <c r="H13935" s="50"/>
      <c r="I13935" s="50"/>
      <c r="O13935" s="36" t="s">
        <v>48</v>
      </c>
      <c r="R13935" s="36" t="s">
        <v>48</v>
      </c>
    </row>
    <row r="13936">
      <c r="H13936" s="50"/>
      <c r="I13936" s="50"/>
      <c r="O13936" s="36" t="s">
        <v>48</v>
      </c>
      <c r="R13936" s="36" t="s">
        <v>48</v>
      </c>
    </row>
    <row r="13937">
      <c r="H13937" s="50"/>
      <c r="I13937" s="50"/>
      <c r="O13937" s="36" t="s">
        <v>48</v>
      </c>
      <c r="R13937" s="36" t="s">
        <v>48</v>
      </c>
    </row>
    <row r="13938">
      <c r="H13938" s="50"/>
      <c r="I13938" s="50"/>
      <c r="O13938" s="36" t="s">
        <v>48</v>
      </c>
      <c r="R13938" s="36" t="s">
        <v>48</v>
      </c>
    </row>
    <row r="13939">
      <c r="H13939" s="50"/>
      <c r="I13939" s="50"/>
      <c r="O13939" s="36" t="s">
        <v>48</v>
      </c>
      <c r="R13939" s="36" t="s">
        <v>48</v>
      </c>
    </row>
    <row r="13940">
      <c r="H13940" s="50"/>
      <c r="I13940" s="50"/>
      <c r="O13940" s="36" t="s">
        <v>48</v>
      </c>
      <c r="R13940" s="36" t="s">
        <v>48</v>
      </c>
    </row>
    <row r="13941">
      <c r="H13941" s="50"/>
      <c r="I13941" s="50"/>
      <c r="O13941" s="36" t="s">
        <v>48</v>
      </c>
      <c r="R13941" s="36" t="s">
        <v>48</v>
      </c>
    </row>
    <row r="13942">
      <c r="H13942" s="50"/>
      <c r="I13942" s="50"/>
      <c r="O13942" s="36" t="s">
        <v>48</v>
      </c>
      <c r="R13942" s="36" t="s">
        <v>48</v>
      </c>
    </row>
    <row r="13943">
      <c r="H13943" s="50"/>
      <c r="I13943" s="50"/>
      <c r="O13943" s="36" t="s">
        <v>48</v>
      </c>
      <c r="R13943" s="36" t="s">
        <v>48</v>
      </c>
    </row>
    <row r="13944">
      <c r="H13944" s="50"/>
      <c r="I13944" s="50"/>
      <c r="O13944" s="36" t="s">
        <v>48</v>
      </c>
      <c r="R13944" s="36" t="s">
        <v>48</v>
      </c>
    </row>
    <row r="13945">
      <c r="H13945" s="50"/>
      <c r="I13945" s="50"/>
      <c r="O13945" s="36" t="s">
        <v>48</v>
      </c>
      <c r="R13945" s="36" t="s">
        <v>48</v>
      </c>
    </row>
    <row r="13946">
      <c r="H13946" s="50"/>
      <c r="I13946" s="50"/>
      <c r="O13946" s="36" t="s">
        <v>48</v>
      </c>
      <c r="R13946" s="36" t="s">
        <v>48</v>
      </c>
    </row>
    <row r="13947">
      <c r="H13947" s="50"/>
      <c r="I13947" s="50"/>
      <c r="O13947" s="36" t="s">
        <v>48</v>
      </c>
      <c r="R13947" s="36" t="s">
        <v>48</v>
      </c>
    </row>
    <row r="13948">
      <c r="H13948" s="50"/>
      <c r="I13948" s="50"/>
      <c r="O13948" s="36" t="s">
        <v>48</v>
      </c>
      <c r="R13948" s="36" t="s">
        <v>48</v>
      </c>
    </row>
    <row r="13949">
      <c r="H13949" s="50"/>
      <c r="I13949" s="50"/>
      <c r="O13949" s="36" t="s">
        <v>48</v>
      </c>
      <c r="R13949" s="36" t="s">
        <v>48</v>
      </c>
    </row>
    <row r="13950">
      <c r="H13950" s="50"/>
      <c r="I13950" s="50"/>
      <c r="O13950" s="36" t="s">
        <v>48</v>
      </c>
      <c r="R13950" s="36" t="s">
        <v>48</v>
      </c>
    </row>
    <row r="13951">
      <c r="H13951" s="50"/>
      <c r="I13951" s="50"/>
      <c r="O13951" s="36" t="s">
        <v>48</v>
      </c>
      <c r="R13951" s="36" t="s">
        <v>48</v>
      </c>
    </row>
    <row r="13952">
      <c r="H13952" s="50"/>
      <c r="I13952" s="50"/>
      <c r="O13952" s="36" t="s">
        <v>48</v>
      </c>
      <c r="R13952" s="36" t="s">
        <v>48</v>
      </c>
    </row>
    <row r="13953">
      <c r="H13953" s="50"/>
      <c r="I13953" s="50"/>
      <c r="O13953" s="36" t="s">
        <v>48</v>
      </c>
      <c r="R13953" s="36" t="s">
        <v>48</v>
      </c>
    </row>
    <row r="13954">
      <c r="H13954" s="50"/>
      <c r="I13954" s="50"/>
      <c r="O13954" s="36" t="s">
        <v>48</v>
      </c>
      <c r="R13954" s="36" t="s">
        <v>48</v>
      </c>
    </row>
    <row r="13955">
      <c r="H13955" s="50"/>
      <c r="I13955" s="50"/>
      <c r="O13955" s="36" t="s">
        <v>48</v>
      </c>
      <c r="R13955" s="36" t="s">
        <v>48</v>
      </c>
    </row>
    <row r="13956">
      <c r="H13956" s="50"/>
      <c r="I13956" s="50"/>
      <c r="O13956" s="36" t="s">
        <v>48</v>
      </c>
      <c r="R13956" s="36" t="s">
        <v>48</v>
      </c>
    </row>
    <row r="13957">
      <c r="H13957" s="50"/>
      <c r="I13957" s="50"/>
      <c r="O13957" s="36" t="s">
        <v>48</v>
      </c>
      <c r="R13957" s="36" t="s">
        <v>48</v>
      </c>
    </row>
    <row r="13958">
      <c r="H13958" s="50"/>
      <c r="I13958" s="50"/>
      <c r="O13958" s="36" t="s">
        <v>48</v>
      </c>
      <c r="R13958" s="36" t="s">
        <v>48</v>
      </c>
    </row>
    <row r="13959">
      <c r="H13959" s="50"/>
      <c r="I13959" s="50"/>
      <c r="O13959" s="36" t="s">
        <v>48</v>
      </c>
      <c r="R13959" s="36" t="s">
        <v>48</v>
      </c>
    </row>
    <row r="13960">
      <c r="H13960" s="50"/>
      <c r="I13960" s="50"/>
      <c r="O13960" s="36" t="s">
        <v>48</v>
      </c>
      <c r="R13960" s="36" t="s">
        <v>48</v>
      </c>
    </row>
    <row r="13961">
      <c r="H13961" s="50"/>
      <c r="I13961" s="50"/>
      <c r="O13961" s="36" t="s">
        <v>48</v>
      </c>
      <c r="R13961" s="36" t="s">
        <v>48</v>
      </c>
    </row>
    <row r="13962">
      <c r="H13962" s="50"/>
      <c r="I13962" s="50"/>
      <c r="O13962" s="36" t="s">
        <v>48</v>
      </c>
      <c r="R13962" s="36" t="s">
        <v>48</v>
      </c>
    </row>
    <row r="13963">
      <c r="H13963" s="50"/>
      <c r="I13963" s="50"/>
      <c r="O13963" s="36" t="s">
        <v>48</v>
      </c>
      <c r="R13963" s="36" t="s">
        <v>48</v>
      </c>
    </row>
    <row r="13964">
      <c r="H13964" s="50"/>
      <c r="I13964" s="50"/>
      <c r="O13964" s="36" t="s">
        <v>48</v>
      </c>
      <c r="R13964" s="36" t="s">
        <v>48</v>
      </c>
    </row>
    <row r="13965">
      <c r="H13965" s="50"/>
      <c r="I13965" s="50"/>
      <c r="O13965" s="36" t="s">
        <v>48</v>
      </c>
      <c r="R13965" s="36" t="s">
        <v>48</v>
      </c>
    </row>
    <row r="13966">
      <c r="H13966" s="50"/>
      <c r="I13966" s="50"/>
      <c r="O13966" s="36" t="s">
        <v>48</v>
      </c>
      <c r="R13966" s="36" t="s">
        <v>48</v>
      </c>
    </row>
    <row r="13967">
      <c r="H13967" s="50"/>
      <c r="I13967" s="50"/>
      <c r="O13967" s="36" t="s">
        <v>48</v>
      </c>
      <c r="R13967" s="36" t="s">
        <v>48</v>
      </c>
    </row>
    <row r="13968">
      <c r="H13968" s="50"/>
      <c r="I13968" s="50"/>
      <c r="O13968" s="36" t="s">
        <v>48</v>
      </c>
      <c r="R13968" s="36" t="s">
        <v>48</v>
      </c>
    </row>
    <row r="13969">
      <c r="H13969" s="50"/>
      <c r="I13969" s="50"/>
      <c r="O13969" s="36" t="s">
        <v>48</v>
      </c>
      <c r="R13969" s="36" t="s">
        <v>48</v>
      </c>
    </row>
    <row r="13970">
      <c r="H13970" s="50"/>
      <c r="I13970" s="50"/>
      <c r="O13970" s="36" t="s">
        <v>48</v>
      </c>
      <c r="R13970" s="36" t="s">
        <v>48</v>
      </c>
    </row>
    <row r="13971">
      <c r="H13971" s="50"/>
      <c r="I13971" s="50"/>
      <c r="O13971" s="36" t="s">
        <v>48</v>
      </c>
      <c r="R13971" s="36" t="s">
        <v>48</v>
      </c>
    </row>
    <row r="13972">
      <c r="H13972" s="50"/>
      <c r="I13972" s="50"/>
      <c r="O13972" s="36" t="s">
        <v>48</v>
      </c>
      <c r="R13972" s="36" t="s">
        <v>48</v>
      </c>
    </row>
    <row r="13973">
      <c r="H13973" s="50"/>
      <c r="I13973" s="50"/>
      <c r="O13973" s="36" t="s">
        <v>48</v>
      </c>
      <c r="R13973" s="36" t="s">
        <v>48</v>
      </c>
    </row>
    <row r="13974">
      <c r="H13974" s="50"/>
      <c r="I13974" s="50"/>
      <c r="O13974" s="36" t="s">
        <v>48</v>
      </c>
      <c r="R13974" s="36" t="s">
        <v>48</v>
      </c>
    </row>
    <row r="13975">
      <c r="H13975" s="50"/>
      <c r="I13975" s="50"/>
      <c r="O13975" s="36" t="s">
        <v>48</v>
      </c>
      <c r="R13975" s="36" t="s">
        <v>48</v>
      </c>
    </row>
    <row r="13976">
      <c r="H13976" s="50"/>
      <c r="I13976" s="50"/>
      <c r="O13976" s="36" t="s">
        <v>48</v>
      </c>
      <c r="R13976" s="36" t="s">
        <v>48</v>
      </c>
    </row>
    <row r="13977">
      <c r="H13977" s="50"/>
      <c r="I13977" s="50"/>
      <c r="O13977" s="36" t="s">
        <v>48</v>
      </c>
      <c r="R13977" s="36" t="s">
        <v>48</v>
      </c>
    </row>
    <row r="13978">
      <c r="H13978" s="50"/>
      <c r="I13978" s="50"/>
      <c r="O13978" s="36" t="s">
        <v>48</v>
      </c>
      <c r="R13978" s="36" t="s">
        <v>48</v>
      </c>
    </row>
    <row r="13979">
      <c r="H13979" s="50"/>
      <c r="I13979" s="50"/>
      <c r="O13979" s="36" t="s">
        <v>48</v>
      </c>
      <c r="R13979" s="36" t="s">
        <v>48</v>
      </c>
    </row>
    <row r="13980">
      <c r="H13980" s="50"/>
      <c r="I13980" s="50"/>
      <c r="O13980" s="36" t="s">
        <v>48</v>
      </c>
      <c r="R13980" s="36" t="s">
        <v>48</v>
      </c>
    </row>
    <row r="13981">
      <c r="H13981" s="50"/>
      <c r="I13981" s="50"/>
      <c r="O13981" s="36" t="s">
        <v>48</v>
      </c>
      <c r="R13981" s="36" t="s">
        <v>48</v>
      </c>
    </row>
    <row r="13982">
      <c r="H13982" s="50"/>
      <c r="I13982" s="50"/>
      <c r="O13982" s="36" t="s">
        <v>48</v>
      </c>
      <c r="R13982" s="36" t="s">
        <v>48</v>
      </c>
    </row>
    <row r="13983">
      <c r="H13983" s="50"/>
      <c r="I13983" s="50"/>
      <c r="O13983" s="36" t="s">
        <v>48</v>
      </c>
      <c r="R13983" s="36" t="s">
        <v>48</v>
      </c>
    </row>
    <row r="13984">
      <c r="H13984" s="50"/>
      <c r="I13984" s="50"/>
      <c r="O13984" s="36" t="s">
        <v>48</v>
      </c>
      <c r="R13984" s="36" t="s">
        <v>48</v>
      </c>
    </row>
    <row r="13985">
      <c r="H13985" s="50"/>
      <c r="I13985" s="50"/>
      <c r="O13985" s="36" t="s">
        <v>48</v>
      </c>
      <c r="R13985" s="36" t="s">
        <v>48</v>
      </c>
    </row>
    <row r="13986">
      <c r="H13986" s="50"/>
      <c r="I13986" s="50"/>
      <c r="O13986" s="36" t="s">
        <v>48</v>
      </c>
      <c r="R13986" s="36" t="s">
        <v>48</v>
      </c>
    </row>
    <row r="13987">
      <c r="H13987" s="50"/>
      <c r="I13987" s="50"/>
      <c r="O13987" s="36" t="s">
        <v>48</v>
      </c>
      <c r="R13987" s="36" t="s">
        <v>48</v>
      </c>
    </row>
    <row r="13988">
      <c r="H13988" s="50"/>
      <c r="I13988" s="50"/>
      <c r="O13988" s="36" t="s">
        <v>48</v>
      </c>
      <c r="R13988" s="36" t="s">
        <v>48</v>
      </c>
    </row>
    <row r="13989">
      <c r="H13989" s="50"/>
      <c r="I13989" s="50"/>
      <c r="O13989" s="36" t="s">
        <v>48</v>
      </c>
      <c r="R13989" s="36" t="s">
        <v>48</v>
      </c>
    </row>
    <row r="13990">
      <c r="H13990" s="50"/>
      <c r="I13990" s="50"/>
      <c r="O13990" s="36" t="s">
        <v>48</v>
      </c>
      <c r="R13990" s="36" t="s">
        <v>48</v>
      </c>
    </row>
    <row r="13991">
      <c r="H13991" s="50"/>
      <c r="I13991" s="50"/>
      <c r="O13991" s="36" t="s">
        <v>48</v>
      </c>
      <c r="R13991" s="36" t="s">
        <v>48</v>
      </c>
    </row>
    <row r="13992">
      <c r="H13992" s="50"/>
      <c r="I13992" s="50"/>
      <c r="O13992" s="36" t="s">
        <v>48</v>
      </c>
      <c r="R13992" s="36" t="s">
        <v>48</v>
      </c>
    </row>
    <row r="13993">
      <c r="H13993" s="50"/>
      <c r="I13993" s="50"/>
      <c r="O13993" s="36" t="s">
        <v>48</v>
      </c>
      <c r="R13993" s="36" t="s">
        <v>48</v>
      </c>
    </row>
    <row r="13994">
      <c r="H13994" s="50"/>
      <c r="I13994" s="50"/>
      <c r="O13994" s="36" t="s">
        <v>48</v>
      </c>
      <c r="R13994" s="36" t="s">
        <v>48</v>
      </c>
    </row>
    <row r="13995">
      <c r="H13995" s="50"/>
      <c r="I13995" s="50"/>
      <c r="O13995" s="36" t="s">
        <v>48</v>
      </c>
      <c r="R13995" s="36" t="s">
        <v>48</v>
      </c>
    </row>
    <row r="13996">
      <c r="H13996" s="50"/>
      <c r="I13996" s="50"/>
      <c r="O13996" s="36" t="s">
        <v>48</v>
      </c>
      <c r="R13996" s="36" t="s">
        <v>48</v>
      </c>
    </row>
    <row r="13997">
      <c r="H13997" s="50"/>
      <c r="I13997" s="50"/>
      <c r="O13997" s="36" t="s">
        <v>48</v>
      </c>
      <c r="R13997" s="36" t="s">
        <v>48</v>
      </c>
    </row>
    <row r="13998">
      <c r="H13998" s="50"/>
      <c r="I13998" s="50"/>
      <c r="O13998" s="36" t="s">
        <v>48</v>
      </c>
      <c r="R13998" s="36" t="s">
        <v>48</v>
      </c>
    </row>
    <row r="13999">
      <c r="H13999" s="50"/>
      <c r="I13999" s="50"/>
      <c r="O13999" s="36" t="s">
        <v>48</v>
      </c>
      <c r="R13999" s="36" t="s">
        <v>48</v>
      </c>
    </row>
    <row r="14000">
      <c r="H14000" s="50"/>
      <c r="I14000" s="50"/>
      <c r="O14000" s="36" t="s">
        <v>48</v>
      </c>
      <c r="R14000" s="36" t="s">
        <v>48</v>
      </c>
    </row>
    <row r="14001">
      <c r="H14001" s="50"/>
      <c r="I14001" s="50"/>
      <c r="O14001" s="36" t="s">
        <v>48</v>
      </c>
      <c r="R14001" s="36" t="s">
        <v>48</v>
      </c>
    </row>
    <row r="14002">
      <c r="H14002" s="50"/>
      <c r="I14002" s="50"/>
      <c r="O14002" s="36" t="s">
        <v>48</v>
      </c>
      <c r="R14002" s="36" t="s">
        <v>48</v>
      </c>
    </row>
    <row r="14003">
      <c r="H14003" s="50"/>
      <c r="I14003" s="50"/>
      <c r="O14003" s="36" t="s">
        <v>48</v>
      </c>
      <c r="R14003" s="36" t="s">
        <v>48</v>
      </c>
    </row>
    <row r="14004">
      <c r="H14004" s="50"/>
      <c r="I14004" s="50"/>
      <c r="O14004" s="36" t="s">
        <v>48</v>
      </c>
      <c r="R14004" s="36" t="s">
        <v>48</v>
      </c>
    </row>
    <row r="14005">
      <c r="H14005" s="50"/>
      <c r="I14005" s="50"/>
      <c r="O14005" s="36" t="s">
        <v>48</v>
      </c>
      <c r="R14005" s="36" t="s">
        <v>48</v>
      </c>
    </row>
    <row r="14006">
      <c r="H14006" s="50"/>
      <c r="I14006" s="50"/>
      <c r="O14006" s="36" t="s">
        <v>48</v>
      </c>
      <c r="R14006" s="36" t="s">
        <v>48</v>
      </c>
    </row>
    <row r="14007">
      <c r="H14007" s="50"/>
      <c r="I14007" s="50"/>
      <c r="O14007" s="36" t="s">
        <v>48</v>
      </c>
      <c r="R14007" s="36" t="s">
        <v>48</v>
      </c>
    </row>
    <row r="14008">
      <c r="H14008" s="50"/>
      <c r="I14008" s="50"/>
      <c r="O14008" s="36" t="s">
        <v>48</v>
      </c>
      <c r="R14008" s="36" t="s">
        <v>48</v>
      </c>
    </row>
    <row r="14009">
      <c r="H14009" s="50"/>
      <c r="I14009" s="50"/>
      <c r="O14009" s="36" t="s">
        <v>48</v>
      </c>
      <c r="R14009" s="36" t="s">
        <v>48</v>
      </c>
    </row>
    <row r="14010">
      <c r="H14010" s="50"/>
      <c r="I14010" s="50"/>
      <c r="O14010" s="36" t="s">
        <v>48</v>
      </c>
      <c r="R14010" s="36" t="s">
        <v>48</v>
      </c>
    </row>
    <row r="14011">
      <c r="H14011" s="50"/>
      <c r="I14011" s="50"/>
      <c r="O14011" s="36" t="s">
        <v>48</v>
      </c>
      <c r="R14011" s="36" t="s">
        <v>48</v>
      </c>
    </row>
    <row r="14012">
      <c r="H14012" s="50"/>
      <c r="I14012" s="50"/>
      <c r="O14012" s="36" t="s">
        <v>48</v>
      </c>
      <c r="R14012" s="36" t="s">
        <v>48</v>
      </c>
    </row>
    <row r="14013">
      <c r="H14013" s="50"/>
      <c r="I14013" s="50"/>
      <c r="O14013" s="36" t="s">
        <v>48</v>
      </c>
      <c r="R14013" s="36" t="s">
        <v>48</v>
      </c>
    </row>
    <row r="14014">
      <c r="H14014" s="50"/>
      <c r="I14014" s="50"/>
      <c r="O14014" s="36" t="s">
        <v>48</v>
      </c>
      <c r="R14014" s="36" t="s">
        <v>48</v>
      </c>
    </row>
    <row r="14015">
      <c r="H14015" s="50"/>
      <c r="I14015" s="50"/>
      <c r="O14015" s="36" t="s">
        <v>48</v>
      </c>
      <c r="R14015" s="36" t="s">
        <v>48</v>
      </c>
    </row>
    <row r="14016">
      <c r="H14016" s="50"/>
      <c r="I14016" s="50"/>
      <c r="O14016" s="36" t="s">
        <v>48</v>
      </c>
      <c r="R14016" s="36" t="s">
        <v>48</v>
      </c>
    </row>
    <row r="14017">
      <c r="H14017" s="50"/>
      <c r="I14017" s="50"/>
      <c r="O14017" s="36" t="s">
        <v>48</v>
      </c>
      <c r="R14017" s="36" t="s">
        <v>48</v>
      </c>
    </row>
    <row r="14018">
      <c r="H14018" s="50"/>
      <c r="I14018" s="50"/>
      <c r="O14018" s="36" t="s">
        <v>48</v>
      </c>
      <c r="R14018" s="36" t="s">
        <v>48</v>
      </c>
    </row>
    <row r="14019">
      <c r="H14019" s="50"/>
      <c r="I14019" s="50"/>
      <c r="O14019" s="36" t="s">
        <v>48</v>
      </c>
      <c r="R14019" s="36" t="s">
        <v>48</v>
      </c>
    </row>
    <row r="14020">
      <c r="H14020" s="50"/>
      <c r="I14020" s="50"/>
      <c r="O14020" s="36" t="s">
        <v>48</v>
      </c>
      <c r="R14020" s="36" t="s">
        <v>48</v>
      </c>
    </row>
    <row r="14021">
      <c r="H14021" s="50"/>
      <c r="I14021" s="50"/>
      <c r="O14021" s="36" t="s">
        <v>48</v>
      </c>
      <c r="R14021" s="36" t="s">
        <v>48</v>
      </c>
    </row>
    <row r="14022">
      <c r="H14022" s="50"/>
      <c r="I14022" s="50"/>
      <c r="O14022" s="36" t="s">
        <v>48</v>
      </c>
      <c r="R14022" s="36" t="s">
        <v>48</v>
      </c>
    </row>
    <row r="14023">
      <c r="H14023" s="50"/>
      <c r="I14023" s="50"/>
      <c r="O14023" s="36" t="s">
        <v>48</v>
      </c>
      <c r="R14023" s="36" t="s">
        <v>48</v>
      </c>
    </row>
    <row r="14024">
      <c r="H14024" s="50"/>
      <c r="I14024" s="50"/>
      <c r="O14024" s="36" t="s">
        <v>48</v>
      </c>
      <c r="R14024" s="36" t="s">
        <v>48</v>
      </c>
    </row>
    <row r="14025">
      <c r="H14025" s="50"/>
      <c r="I14025" s="50"/>
      <c r="O14025" s="36" t="s">
        <v>48</v>
      </c>
      <c r="R14025" s="36" t="s">
        <v>48</v>
      </c>
    </row>
    <row r="14026">
      <c r="H14026" s="50"/>
      <c r="I14026" s="50"/>
      <c r="O14026" s="36" t="s">
        <v>48</v>
      </c>
      <c r="R14026" s="36" t="s">
        <v>48</v>
      </c>
    </row>
    <row r="14027">
      <c r="H14027" s="50"/>
      <c r="I14027" s="50"/>
      <c r="O14027" s="36" t="s">
        <v>48</v>
      </c>
      <c r="R14027" s="36" t="s">
        <v>48</v>
      </c>
    </row>
    <row r="14028">
      <c r="H14028" s="50"/>
      <c r="I14028" s="50"/>
      <c r="O14028" s="36" t="s">
        <v>48</v>
      </c>
      <c r="R14028" s="36" t="s">
        <v>48</v>
      </c>
    </row>
    <row r="14029">
      <c r="H14029" s="50"/>
      <c r="I14029" s="50"/>
      <c r="O14029" s="36" t="s">
        <v>48</v>
      </c>
      <c r="R14029" s="36" t="s">
        <v>48</v>
      </c>
    </row>
    <row r="14030">
      <c r="H14030" s="50"/>
      <c r="I14030" s="50"/>
      <c r="O14030" s="36" t="s">
        <v>48</v>
      </c>
      <c r="R14030" s="36" t="s">
        <v>48</v>
      </c>
    </row>
    <row r="14031">
      <c r="H14031" s="50"/>
      <c r="I14031" s="50"/>
      <c r="O14031" s="36" t="s">
        <v>48</v>
      </c>
      <c r="R14031" s="36" t="s">
        <v>48</v>
      </c>
    </row>
    <row r="14032">
      <c r="H14032" s="50"/>
      <c r="I14032" s="50"/>
      <c r="O14032" s="36" t="s">
        <v>48</v>
      </c>
      <c r="R14032" s="36" t="s">
        <v>48</v>
      </c>
    </row>
    <row r="14033">
      <c r="H14033" s="50"/>
      <c r="I14033" s="50"/>
      <c r="O14033" s="36" t="s">
        <v>48</v>
      </c>
      <c r="R14033" s="36" t="s">
        <v>48</v>
      </c>
    </row>
    <row r="14034">
      <c r="H14034" s="50"/>
      <c r="I14034" s="50"/>
      <c r="O14034" s="36" t="s">
        <v>48</v>
      </c>
      <c r="R14034" s="36" t="s">
        <v>48</v>
      </c>
    </row>
    <row r="14035">
      <c r="H14035" s="50"/>
      <c r="I14035" s="50"/>
      <c r="O14035" s="36" t="s">
        <v>48</v>
      </c>
      <c r="R14035" s="36" t="s">
        <v>48</v>
      </c>
    </row>
    <row r="14036">
      <c r="H14036" s="50"/>
      <c r="I14036" s="50"/>
      <c r="O14036" s="36" t="s">
        <v>48</v>
      </c>
      <c r="R14036" s="36" t="s">
        <v>48</v>
      </c>
    </row>
    <row r="14037">
      <c r="H14037" s="50"/>
      <c r="I14037" s="50"/>
      <c r="O14037" s="36" t="s">
        <v>48</v>
      </c>
      <c r="R14037" s="36" t="s">
        <v>48</v>
      </c>
    </row>
    <row r="14038">
      <c r="H14038" s="50"/>
      <c r="I14038" s="50"/>
      <c r="O14038" s="36" t="s">
        <v>48</v>
      </c>
      <c r="R14038" s="36" t="s">
        <v>48</v>
      </c>
    </row>
    <row r="14039">
      <c r="H14039" s="50"/>
      <c r="I14039" s="50"/>
      <c r="O14039" s="36" t="s">
        <v>48</v>
      </c>
      <c r="R14039" s="36" t="s">
        <v>48</v>
      </c>
    </row>
    <row r="14040">
      <c r="H14040" s="50"/>
      <c r="I14040" s="50"/>
      <c r="O14040" s="36" t="s">
        <v>48</v>
      </c>
      <c r="R14040" s="36" t="s">
        <v>48</v>
      </c>
    </row>
    <row r="14041">
      <c r="H14041" s="50"/>
      <c r="I14041" s="50"/>
      <c r="O14041" s="36" t="s">
        <v>48</v>
      </c>
      <c r="R14041" s="36" t="s">
        <v>48</v>
      </c>
    </row>
    <row r="14042">
      <c r="H14042" s="50"/>
      <c r="I14042" s="50"/>
      <c r="O14042" s="36" t="s">
        <v>48</v>
      </c>
      <c r="R14042" s="36" t="s">
        <v>48</v>
      </c>
    </row>
    <row r="14043">
      <c r="H14043" s="50"/>
      <c r="I14043" s="50"/>
      <c r="O14043" s="36" t="s">
        <v>48</v>
      </c>
      <c r="R14043" s="36" t="s">
        <v>48</v>
      </c>
    </row>
    <row r="14044">
      <c r="H14044" s="50"/>
      <c r="I14044" s="50"/>
      <c r="O14044" s="36" t="s">
        <v>48</v>
      </c>
      <c r="R14044" s="36" t="s">
        <v>48</v>
      </c>
    </row>
    <row r="14045">
      <c r="H14045" s="50"/>
      <c r="I14045" s="50"/>
      <c r="O14045" s="36" t="s">
        <v>48</v>
      </c>
      <c r="R14045" s="36" t="s">
        <v>48</v>
      </c>
    </row>
    <row r="14046">
      <c r="H14046" s="50"/>
      <c r="I14046" s="50"/>
      <c r="O14046" s="36" t="s">
        <v>48</v>
      </c>
      <c r="R14046" s="36" t="s">
        <v>48</v>
      </c>
    </row>
    <row r="14047">
      <c r="H14047" s="50"/>
      <c r="I14047" s="50"/>
      <c r="O14047" s="36" t="s">
        <v>48</v>
      </c>
      <c r="R14047" s="36" t="s">
        <v>48</v>
      </c>
    </row>
    <row r="14048">
      <c r="H14048" s="50"/>
      <c r="I14048" s="50"/>
      <c r="O14048" s="36" t="s">
        <v>48</v>
      </c>
      <c r="R14048" s="36" t="s">
        <v>48</v>
      </c>
    </row>
    <row r="14049">
      <c r="H14049" s="50"/>
      <c r="I14049" s="50"/>
      <c r="O14049" s="36" t="s">
        <v>48</v>
      </c>
      <c r="R14049" s="36" t="s">
        <v>48</v>
      </c>
    </row>
    <row r="14050">
      <c r="H14050" s="50"/>
      <c r="I14050" s="50"/>
      <c r="O14050" s="36" t="s">
        <v>48</v>
      </c>
      <c r="R14050" s="36" t="s">
        <v>48</v>
      </c>
    </row>
    <row r="14051">
      <c r="H14051" s="50"/>
      <c r="I14051" s="50"/>
      <c r="O14051" s="36" t="s">
        <v>48</v>
      </c>
      <c r="R14051" s="36" t="s">
        <v>48</v>
      </c>
    </row>
    <row r="14052">
      <c r="H14052" s="50"/>
      <c r="I14052" s="50"/>
      <c r="O14052" s="36" t="s">
        <v>48</v>
      </c>
      <c r="R14052" s="36" t="s">
        <v>48</v>
      </c>
    </row>
    <row r="14053">
      <c r="H14053" s="50"/>
      <c r="I14053" s="50"/>
      <c r="O14053" s="36" t="s">
        <v>48</v>
      </c>
      <c r="R14053" s="36" t="s">
        <v>48</v>
      </c>
    </row>
    <row r="14054">
      <c r="H14054" s="50"/>
      <c r="I14054" s="50"/>
      <c r="O14054" s="36" t="s">
        <v>48</v>
      </c>
      <c r="R14054" s="36" t="s">
        <v>48</v>
      </c>
    </row>
    <row r="14055">
      <c r="H14055" s="50"/>
      <c r="I14055" s="50"/>
      <c r="O14055" s="36" t="s">
        <v>48</v>
      </c>
      <c r="R14055" s="36" t="s">
        <v>48</v>
      </c>
    </row>
    <row r="14056">
      <c r="H14056" s="50"/>
      <c r="I14056" s="50"/>
      <c r="O14056" s="36" t="s">
        <v>48</v>
      </c>
      <c r="R14056" s="36" t="s">
        <v>48</v>
      </c>
    </row>
    <row r="14057">
      <c r="H14057" s="50"/>
      <c r="I14057" s="50"/>
      <c r="O14057" s="36" t="s">
        <v>48</v>
      </c>
      <c r="R14057" s="36" t="s">
        <v>48</v>
      </c>
    </row>
    <row r="14058">
      <c r="H14058" s="50"/>
      <c r="I14058" s="50"/>
      <c r="O14058" s="36" t="s">
        <v>48</v>
      </c>
      <c r="R14058" s="36" t="s">
        <v>48</v>
      </c>
    </row>
    <row r="14059">
      <c r="H14059" s="50"/>
      <c r="I14059" s="50"/>
      <c r="O14059" s="36" t="s">
        <v>48</v>
      </c>
      <c r="R14059" s="36" t="s">
        <v>48</v>
      </c>
    </row>
    <row r="14060">
      <c r="H14060" s="50"/>
      <c r="I14060" s="50"/>
      <c r="O14060" s="36" t="s">
        <v>48</v>
      </c>
      <c r="R14060" s="36" t="s">
        <v>48</v>
      </c>
    </row>
    <row r="14061">
      <c r="H14061" s="50"/>
      <c r="I14061" s="50"/>
      <c r="O14061" s="36" t="s">
        <v>48</v>
      </c>
      <c r="R14061" s="36" t="s">
        <v>48</v>
      </c>
    </row>
    <row r="14062">
      <c r="H14062" s="50"/>
      <c r="I14062" s="50"/>
      <c r="O14062" s="36" t="s">
        <v>48</v>
      </c>
      <c r="R14062" s="36" t="s">
        <v>48</v>
      </c>
    </row>
    <row r="14063">
      <c r="H14063" s="50"/>
      <c r="I14063" s="50"/>
      <c r="O14063" s="36" t="s">
        <v>48</v>
      </c>
      <c r="R14063" s="36" t="s">
        <v>48</v>
      </c>
    </row>
    <row r="14064">
      <c r="H14064" s="50"/>
      <c r="I14064" s="50"/>
      <c r="O14064" s="36" t="s">
        <v>48</v>
      </c>
      <c r="R14064" s="36" t="s">
        <v>48</v>
      </c>
    </row>
    <row r="14065">
      <c r="H14065" s="50"/>
      <c r="I14065" s="50"/>
      <c r="O14065" s="36" t="s">
        <v>48</v>
      </c>
      <c r="R14065" s="36" t="s">
        <v>48</v>
      </c>
    </row>
    <row r="14066">
      <c r="H14066" s="50"/>
      <c r="I14066" s="50"/>
      <c r="O14066" s="36" t="s">
        <v>48</v>
      </c>
      <c r="R14066" s="36" t="s">
        <v>48</v>
      </c>
    </row>
    <row r="14067">
      <c r="H14067" s="50"/>
      <c r="I14067" s="50"/>
      <c r="O14067" s="36" t="s">
        <v>48</v>
      </c>
      <c r="R14067" s="36" t="s">
        <v>48</v>
      </c>
    </row>
    <row r="14068">
      <c r="H14068" s="50"/>
      <c r="I14068" s="50"/>
      <c r="O14068" s="36" t="s">
        <v>48</v>
      </c>
      <c r="R14068" s="36" t="s">
        <v>48</v>
      </c>
    </row>
    <row r="14069">
      <c r="H14069" s="50"/>
      <c r="I14069" s="50"/>
      <c r="O14069" s="36" t="s">
        <v>48</v>
      </c>
      <c r="R14069" s="36" t="s">
        <v>48</v>
      </c>
    </row>
    <row r="14070">
      <c r="H14070" s="50"/>
      <c r="I14070" s="50"/>
      <c r="O14070" s="36" t="s">
        <v>48</v>
      </c>
      <c r="R14070" s="36" t="s">
        <v>48</v>
      </c>
    </row>
    <row r="14071">
      <c r="H14071" s="50"/>
      <c r="I14071" s="50"/>
      <c r="O14071" s="36" t="s">
        <v>48</v>
      </c>
      <c r="R14071" s="36" t="s">
        <v>48</v>
      </c>
    </row>
    <row r="14072">
      <c r="H14072" s="50"/>
      <c r="I14072" s="50"/>
      <c r="O14072" s="36" t="s">
        <v>48</v>
      </c>
      <c r="R14072" s="36" t="s">
        <v>48</v>
      </c>
    </row>
    <row r="14073">
      <c r="H14073" s="50"/>
      <c r="I14073" s="50"/>
      <c r="O14073" s="36" t="s">
        <v>48</v>
      </c>
      <c r="R14073" s="36" t="s">
        <v>48</v>
      </c>
    </row>
    <row r="14074">
      <c r="H14074" s="50"/>
      <c r="I14074" s="50"/>
      <c r="O14074" s="36" t="s">
        <v>48</v>
      </c>
      <c r="R14074" s="36" t="s">
        <v>48</v>
      </c>
    </row>
    <row r="14075">
      <c r="H14075" s="50"/>
      <c r="I14075" s="50"/>
      <c r="O14075" s="36" t="s">
        <v>48</v>
      </c>
      <c r="R14075" s="36" t="s">
        <v>48</v>
      </c>
    </row>
    <row r="14076">
      <c r="H14076" s="50"/>
      <c r="I14076" s="50"/>
      <c r="O14076" s="36" t="s">
        <v>48</v>
      </c>
      <c r="R14076" s="36" t="s">
        <v>48</v>
      </c>
    </row>
    <row r="14077">
      <c r="H14077" s="50"/>
      <c r="I14077" s="50"/>
      <c r="O14077" s="36" t="s">
        <v>48</v>
      </c>
      <c r="R14077" s="36" t="s">
        <v>48</v>
      </c>
    </row>
    <row r="14078">
      <c r="H14078" s="50"/>
      <c r="I14078" s="50"/>
      <c r="O14078" s="36" t="s">
        <v>48</v>
      </c>
      <c r="R14078" s="36" t="s">
        <v>48</v>
      </c>
    </row>
    <row r="14079">
      <c r="H14079" s="50"/>
      <c r="I14079" s="50"/>
      <c r="O14079" s="36" t="s">
        <v>48</v>
      </c>
      <c r="R14079" s="36" t="s">
        <v>48</v>
      </c>
    </row>
    <row r="14080">
      <c r="H14080" s="50"/>
      <c r="I14080" s="50"/>
      <c r="O14080" s="36" t="s">
        <v>48</v>
      </c>
      <c r="R14080" s="36" t="s">
        <v>48</v>
      </c>
    </row>
    <row r="14081">
      <c r="H14081" s="50"/>
      <c r="I14081" s="50"/>
      <c r="O14081" s="36" t="s">
        <v>48</v>
      </c>
      <c r="R14081" s="36" t="s">
        <v>48</v>
      </c>
    </row>
    <row r="14082">
      <c r="H14082" s="50"/>
      <c r="I14082" s="50"/>
      <c r="O14082" s="36" t="s">
        <v>48</v>
      </c>
      <c r="R14082" s="36" t="s">
        <v>48</v>
      </c>
    </row>
    <row r="14083">
      <c r="H14083" s="50"/>
      <c r="I14083" s="50"/>
      <c r="O14083" s="36" t="s">
        <v>48</v>
      </c>
      <c r="R14083" s="36" t="s">
        <v>48</v>
      </c>
    </row>
    <row r="14084">
      <c r="H14084" s="50"/>
      <c r="I14084" s="50"/>
      <c r="O14084" s="36" t="s">
        <v>48</v>
      </c>
      <c r="R14084" s="36" t="s">
        <v>48</v>
      </c>
    </row>
    <row r="14085">
      <c r="H14085" s="50"/>
      <c r="I14085" s="50"/>
      <c r="O14085" s="36" t="s">
        <v>48</v>
      </c>
      <c r="R14085" s="36" t="s">
        <v>48</v>
      </c>
    </row>
    <row r="14086">
      <c r="H14086" s="50"/>
      <c r="I14086" s="50"/>
      <c r="O14086" s="36" t="s">
        <v>48</v>
      </c>
      <c r="R14086" s="36" t="s">
        <v>48</v>
      </c>
    </row>
    <row r="14087">
      <c r="H14087" s="50"/>
      <c r="I14087" s="50"/>
      <c r="O14087" s="36" t="s">
        <v>48</v>
      </c>
      <c r="R14087" s="36" t="s">
        <v>48</v>
      </c>
    </row>
    <row r="14088">
      <c r="H14088" s="50"/>
      <c r="I14088" s="50"/>
      <c r="O14088" s="36" t="s">
        <v>48</v>
      </c>
      <c r="R14088" s="36" t="s">
        <v>48</v>
      </c>
    </row>
    <row r="14089">
      <c r="H14089" s="50"/>
      <c r="I14089" s="50"/>
      <c r="O14089" s="36" t="s">
        <v>48</v>
      </c>
      <c r="R14089" s="36" t="s">
        <v>48</v>
      </c>
    </row>
    <row r="14090">
      <c r="H14090" s="50"/>
      <c r="I14090" s="50"/>
      <c r="O14090" s="36" t="s">
        <v>48</v>
      </c>
      <c r="R14090" s="36" t="s">
        <v>48</v>
      </c>
    </row>
    <row r="14091">
      <c r="H14091" s="50"/>
      <c r="I14091" s="50"/>
      <c r="O14091" s="36" t="s">
        <v>48</v>
      </c>
      <c r="R14091" s="36" t="s">
        <v>48</v>
      </c>
    </row>
    <row r="14092">
      <c r="H14092" s="50"/>
      <c r="I14092" s="50"/>
      <c r="O14092" s="36" t="s">
        <v>48</v>
      </c>
      <c r="R14092" s="36" t="s">
        <v>48</v>
      </c>
    </row>
    <row r="14093">
      <c r="H14093" s="50"/>
      <c r="I14093" s="50"/>
      <c r="O14093" s="36" t="s">
        <v>48</v>
      </c>
      <c r="R14093" s="36" t="s">
        <v>48</v>
      </c>
    </row>
    <row r="14094">
      <c r="H14094" s="50"/>
      <c r="I14094" s="50"/>
      <c r="O14094" s="36" t="s">
        <v>48</v>
      </c>
      <c r="R14094" s="36" t="s">
        <v>48</v>
      </c>
    </row>
    <row r="14095">
      <c r="H14095" s="50"/>
      <c r="I14095" s="50"/>
      <c r="O14095" s="36" t="s">
        <v>48</v>
      </c>
      <c r="R14095" s="36" t="s">
        <v>48</v>
      </c>
    </row>
    <row r="14096">
      <c r="H14096" s="50"/>
      <c r="I14096" s="50"/>
      <c r="O14096" s="36" t="s">
        <v>48</v>
      </c>
      <c r="R14096" s="36" t="s">
        <v>48</v>
      </c>
    </row>
    <row r="14097">
      <c r="H14097" s="50"/>
      <c r="I14097" s="50"/>
      <c r="O14097" s="36" t="s">
        <v>48</v>
      </c>
      <c r="R14097" s="36" t="s">
        <v>48</v>
      </c>
    </row>
    <row r="14098">
      <c r="H14098" s="50"/>
      <c r="I14098" s="50"/>
      <c r="O14098" s="36" t="s">
        <v>48</v>
      </c>
      <c r="R14098" s="36" t="s">
        <v>48</v>
      </c>
    </row>
    <row r="14099">
      <c r="H14099" s="50"/>
      <c r="I14099" s="50"/>
      <c r="O14099" s="36" t="s">
        <v>48</v>
      </c>
      <c r="R14099" s="36" t="s">
        <v>48</v>
      </c>
    </row>
    <row r="14100">
      <c r="H14100" s="50"/>
      <c r="I14100" s="50"/>
      <c r="O14100" s="36" t="s">
        <v>48</v>
      </c>
      <c r="R14100" s="36" t="s">
        <v>48</v>
      </c>
    </row>
    <row r="14101">
      <c r="H14101" s="50"/>
      <c r="I14101" s="50"/>
      <c r="O14101" s="36" t="s">
        <v>48</v>
      </c>
      <c r="R14101" s="36" t="s">
        <v>48</v>
      </c>
    </row>
    <row r="14102">
      <c r="H14102" s="50"/>
      <c r="I14102" s="50"/>
      <c r="O14102" s="36" t="s">
        <v>48</v>
      </c>
      <c r="R14102" s="36" t="s">
        <v>48</v>
      </c>
    </row>
    <row r="14103">
      <c r="H14103" s="50"/>
      <c r="I14103" s="50"/>
      <c r="O14103" s="36" t="s">
        <v>48</v>
      </c>
      <c r="R14103" s="36" t="s">
        <v>48</v>
      </c>
    </row>
    <row r="14104">
      <c r="H14104" s="50"/>
      <c r="I14104" s="50"/>
      <c r="O14104" s="36" t="s">
        <v>48</v>
      </c>
      <c r="R14104" s="36" t="s">
        <v>48</v>
      </c>
    </row>
    <row r="14105">
      <c r="H14105" s="50"/>
      <c r="I14105" s="50"/>
      <c r="O14105" s="36" t="s">
        <v>48</v>
      </c>
      <c r="R14105" s="36" t="s">
        <v>48</v>
      </c>
    </row>
    <row r="14106">
      <c r="H14106" s="50"/>
      <c r="I14106" s="50"/>
      <c r="O14106" s="36" t="s">
        <v>48</v>
      </c>
      <c r="R14106" s="36" t="s">
        <v>48</v>
      </c>
    </row>
    <row r="14107">
      <c r="H14107" s="50"/>
      <c r="I14107" s="50"/>
      <c r="O14107" s="36" t="s">
        <v>48</v>
      </c>
      <c r="R14107" s="36" t="s">
        <v>48</v>
      </c>
    </row>
    <row r="14108">
      <c r="H14108" s="50"/>
      <c r="I14108" s="50"/>
      <c r="O14108" s="36" t="s">
        <v>48</v>
      </c>
      <c r="R14108" s="36" t="s">
        <v>48</v>
      </c>
    </row>
    <row r="14109">
      <c r="H14109" s="50"/>
      <c r="I14109" s="50"/>
      <c r="O14109" s="36" t="s">
        <v>48</v>
      </c>
      <c r="R14109" s="36" t="s">
        <v>48</v>
      </c>
    </row>
    <row r="14110">
      <c r="H14110" s="50"/>
      <c r="I14110" s="50"/>
      <c r="O14110" s="36" t="s">
        <v>48</v>
      </c>
      <c r="R14110" s="36" t="s">
        <v>48</v>
      </c>
    </row>
    <row r="14111">
      <c r="H14111" s="50"/>
      <c r="I14111" s="50"/>
      <c r="O14111" s="36" t="s">
        <v>48</v>
      </c>
      <c r="R14111" s="36" t="s">
        <v>48</v>
      </c>
    </row>
    <row r="14112">
      <c r="H14112" s="50"/>
      <c r="I14112" s="50"/>
      <c r="O14112" s="36" t="s">
        <v>48</v>
      </c>
      <c r="R14112" s="36" t="s">
        <v>48</v>
      </c>
    </row>
    <row r="14113">
      <c r="H14113" s="50"/>
      <c r="I14113" s="50"/>
      <c r="O14113" s="36" t="s">
        <v>48</v>
      </c>
      <c r="R14113" s="36" t="s">
        <v>48</v>
      </c>
    </row>
    <row r="14114">
      <c r="H14114" s="50"/>
      <c r="I14114" s="50"/>
      <c r="O14114" s="36" t="s">
        <v>48</v>
      </c>
      <c r="R14114" s="36" t="s">
        <v>48</v>
      </c>
    </row>
    <row r="14115">
      <c r="H14115" s="50"/>
      <c r="I14115" s="50"/>
      <c r="O14115" s="36" t="s">
        <v>48</v>
      </c>
      <c r="R14115" s="36" t="s">
        <v>48</v>
      </c>
    </row>
    <row r="14116">
      <c r="H14116" s="50"/>
      <c r="I14116" s="50"/>
      <c r="O14116" s="36" t="s">
        <v>48</v>
      </c>
      <c r="R14116" s="36" t="s">
        <v>48</v>
      </c>
    </row>
    <row r="14117">
      <c r="H14117" s="50"/>
      <c r="I14117" s="50"/>
      <c r="O14117" s="36" t="s">
        <v>48</v>
      </c>
      <c r="R14117" s="36" t="s">
        <v>48</v>
      </c>
    </row>
    <row r="14118">
      <c r="H14118" s="50"/>
      <c r="I14118" s="50"/>
      <c r="O14118" s="36" t="s">
        <v>48</v>
      </c>
      <c r="R14118" s="36" t="s">
        <v>48</v>
      </c>
    </row>
    <row r="14119">
      <c r="H14119" s="50"/>
      <c r="I14119" s="50"/>
      <c r="O14119" s="36" t="s">
        <v>48</v>
      </c>
      <c r="R14119" s="36" t="s">
        <v>48</v>
      </c>
    </row>
    <row r="14120">
      <c r="H14120" s="50"/>
      <c r="I14120" s="50"/>
      <c r="O14120" s="36" t="s">
        <v>48</v>
      </c>
      <c r="R14120" s="36" t="s">
        <v>48</v>
      </c>
    </row>
    <row r="14121">
      <c r="H14121" s="50"/>
      <c r="I14121" s="50"/>
      <c r="O14121" s="36" t="s">
        <v>48</v>
      </c>
      <c r="R14121" s="36" t="s">
        <v>48</v>
      </c>
    </row>
    <row r="14122">
      <c r="H14122" s="50"/>
      <c r="I14122" s="50"/>
      <c r="O14122" s="36" t="s">
        <v>48</v>
      </c>
      <c r="R14122" s="36" t="s">
        <v>48</v>
      </c>
    </row>
    <row r="14123">
      <c r="H14123" s="50"/>
      <c r="I14123" s="50"/>
      <c r="O14123" s="36" t="s">
        <v>48</v>
      </c>
      <c r="R14123" s="36" t="s">
        <v>48</v>
      </c>
    </row>
    <row r="14124">
      <c r="H14124" s="50"/>
      <c r="I14124" s="50"/>
      <c r="O14124" s="36" t="s">
        <v>48</v>
      </c>
      <c r="R14124" s="36" t="s">
        <v>48</v>
      </c>
    </row>
    <row r="14125">
      <c r="H14125" s="50"/>
      <c r="I14125" s="50"/>
      <c r="O14125" s="36" t="s">
        <v>48</v>
      </c>
      <c r="R14125" s="36" t="s">
        <v>48</v>
      </c>
    </row>
    <row r="14126">
      <c r="H14126" s="50"/>
      <c r="I14126" s="50"/>
      <c r="O14126" s="36" t="s">
        <v>48</v>
      </c>
      <c r="R14126" s="36" t="s">
        <v>48</v>
      </c>
    </row>
    <row r="14127">
      <c r="H14127" s="50"/>
      <c r="I14127" s="50"/>
      <c r="O14127" s="36" t="s">
        <v>48</v>
      </c>
      <c r="R14127" s="36" t="s">
        <v>48</v>
      </c>
    </row>
    <row r="14128">
      <c r="H14128" s="50"/>
      <c r="I14128" s="50"/>
      <c r="O14128" s="36" t="s">
        <v>48</v>
      </c>
      <c r="R14128" s="36" t="s">
        <v>48</v>
      </c>
    </row>
    <row r="14129">
      <c r="H14129" s="50"/>
      <c r="I14129" s="50"/>
      <c r="O14129" s="36" t="s">
        <v>48</v>
      </c>
      <c r="R14129" s="36" t="s">
        <v>48</v>
      </c>
    </row>
    <row r="14130">
      <c r="H14130" s="50"/>
      <c r="I14130" s="50"/>
      <c r="O14130" s="36" t="s">
        <v>48</v>
      </c>
      <c r="R14130" s="36" t="s">
        <v>48</v>
      </c>
    </row>
    <row r="14131">
      <c r="H14131" s="50"/>
      <c r="I14131" s="50"/>
      <c r="O14131" s="36" t="s">
        <v>48</v>
      </c>
      <c r="R14131" s="36" t="s">
        <v>48</v>
      </c>
    </row>
    <row r="14132">
      <c r="H14132" s="50"/>
      <c r="I14132" s="50"/>
      <c r="O14132" s="36" t="s">
        <v>48</v>
      </c>
      <c r="R14132" s="36" t="s">
        <v>48</v>
      </c>
    </row>
    <row r="14133">
      <c r="H14133" s="50"/>
      <c r="I14133" s="50"/>
      <c r="O14133" s="36" t="s">
        <v>48</v>
      </c>
      <c r="R14133" s="36" t="s">
        <v>48</v>
      </c>
    </row>
    <row r="14134">
      <c r="H14134" s="50"/>
      <c r="I14134" s="50"/>
      <c r="O14134" s="36" t="s">
        <v>48</v>
      </c>
      <c r="R14134" s="36" t="s">
        <v>48</v>
      </c>
    </row>
    <row r="14135">
      <c r="H14135" s="50"/>
      <c r="I14135" s="50"/>
      <c r="O14135" s="36" t="s">
        <v>48</v>
      </c>
      <c r="R14135" s="36" t="s">
        <v>48</v>
      </c>
    </row>
    <row r="14136">
      <c r="H14136" s="50"/>
      <c r="I14136" s="50"/>
      <c r="O14136" s="36" t="s">
        <v>48</v>
      </c>
      <c r="R14136" s="36" t="s">
        <v>48</v>
      </c>
    </row>
    <row r="14137">
      <c r="H14137" s="50"/>
      <c r="I14137" s="50"/>
      <c r="O14137" s="36" t="s">
        <v>48</v>
      </c>
      <c r="R14137" s="36" t="s">
        <v>48</v>
      </c>
    </row>
    <row r="14138">
      <c r="H14138" s="50"/>
      <c r="I14138" s="50"/>
      <c r="O14138" s="36" t="s">
        <v>48</v>
      </c>
      <c r="R14138" s="36" t="s">
        <v>48</v>
      </c>
    </row>
    <row r="14139">
      <c r="H14139" s="50"/>
      <c r="I14139" s="50"/>
      <c r="O14139" s="36" t="s">
        <v>48</v>
      </c>
      <c r="R14139" s="36" t="s">
        <v>48</v>
      </c>
    </row>
    <row r="14140">
      <c r="H14140" s="50"/>
      <c r="I14140" s="50"/>
      <c r="O14140" s="36" t="s">
        <v>48</v>
      </c>
      <c r="R14140" s="36" t="s">
        <v>48</v>
      </c>
    </row>
    <row r="14141">
      <c r="H14141" s="50"/>
      <c r="I14141" s="50"/>
      <c r="O14141" s="36" t="s">
        <v>48</v>
      </c>
      <c r="R14141" s="36" t="s">
        <v>48</v>
      </c>
    </row>
    <row r="14142">
      <c r="H14142" s="50"/>
      <c r="I14142" s="50"/>
      <c r="O14142" s="36" t="s">
        <v>48</v>
      </c>
      <c r="R14142" s="36" t="s">
        <v>48</v>
      </c>
    </row>
    <row r="14143">
      <c r="H14143" s="50"/>
      <c r="I14143" s="50"/>
      <c r="O14143" s="36" t="s">
        <v>48</v>
      </c>
      <c r="R14143" s="36" t="s">
        <v>48</v>
      </c>
    </row>
    <row r="14144">
      <c r="H14144" s="50"/>
      <c r="I14144" s="50"/>
      <c r="O14144" s="36" t="s">
        <v>48</v>
      </c>
      <c r="R14144" s="36" t="s">
        <v>48</v>
      </c>
    </row>
    <row r="14145">
      <c r="H14145" s="50"/>
      <c r="I14145" s="50"/>
      <c r="O14145" s="36" t="s">
        <v>48</v>
      </c>
      <c r="R14145" s="36" t="s">
        <v>48</v>
      </c>
    </row>
    <row r="14146">
      <c r="H14146" s="50"/>
      <c r="I14146" s="50"/>
      <c r="O14146" s="36" t="s">
        <v>48</v>
      </c>
      <c r="R14146" s="36" t="s">
        <v>48</v>
      </c>
    </row>
    <row r="14147">
      <c r="H14147" s="50"/>
      <c r="I14147" s="50"/>
      <c r="O14147" s="36" t="s">
        <v>48</v>
      </c>
      <c r="R14147" s="36" t="s">
        <v>48</v>
      </c>
    </row>
    <row r="14148">
      <c r="H14148" s="50"/>
      <c r="I14148" s="50"/>
      <c r="O14148" s="36" t="s">
        <v>48</v>
      </c>
      <c r="R14148" s="36" t="s">
        <v>48</v>
      </c>
    </row>
    <row r="14149">
      <c r="H14149" s="50"/>
      <c r="I14149" s="50"/>
      <c r="O14149" s="36" t="s">
        <v>48</v>
      </c>
      <c r="R14149" s="36" t="s">
        <v>48</v>
      </c>
    </row>
    <row r="14150">
      <c r="H14150" s="50"/>
      <c r="I14150" s="50"/>
      <c r="O14150" s="36" t="s">
        <v>48</v>
      </c>
      <c r="R14150" s="36" t="s">
        <v>48</v>
      </c>
    </row>
    <row r="14151">
      <c r="H14151" s="50"/>
      <c r="I14151" s="50"/>
      <c r="O14151" s="36" t="s">
        <v>48</v>
      </c>
      <c r="R14151" s="36" t="s">
        <v>48</v>
      </c>
    </row>
    <row r="14152">
      <c r="H14152" s="50"/>
      <c r="I14152" s="50"/>
      <c r="O14152" s="36" t="s">
        <v>48</v>
      </c>
      <c r="R14152" s="36" t="s">
        <v>48</v>
      </c>
    </row>
    <row r="14153">
      <c r="H14153" s="50"/>
      <c r="I14153" s="50"/>
      <c r="O14153" s="36" t="s">
        <v>48</v>
      </c>
      <c r="R14153" s="36" t="s">
        <v>48</v>
      </c>
    </row>
    <row r="14154">
      <c r="H14154" s="50"/>
      <c r="I14154" s="50"/>
      <c r="O14154" s="36" t="s">
        <v>48</v>
      </c>
      <c r="R14154" s="36" t="s">
        <v>48</v>
      </c>
    </row>
    <row r="14155">
      <c r="H14155" s="50"/>
      <c r="I14155" s="50"/>
      <c r="O14155" s="36" t="s">
        <v>48</v>
      </c>
      <c r="R14155" s="36" t="s">
        <v>48</v>
      </c>
    </row>
    <row r="14156">
      <c r="H14156" s="50"/>
      <c r="I14156" s="50"/>
      <c r="O14156" s="36" t="s">
        <v>48</v>
      </c>
      <c r="R14156" s="36" t="s">
        <v>48</v>
      </c>
    </row>
    <row r="14157">
      <c r="H14157" s="50"/>
      <c r="I14157" s="50"/>
      <c r="O14157" s="36" t="s">
        <v>48</v>
      </c>
      <c r="R14157" s="36" t="s">
        <v>48</v>
      </c>
    </row>
    <row r="14158">
      <c r="H14158" s="50"/>
      <c r="I14158" s="50"/>
      <c r="O14158" s="36" t="s">
        <v>48</v>
      </c>
      <c r="R14158" s="36" t="s">
        <v>48</v>
      </c>
    </row>
    <row r="14159">
      <c r="H14159" s="50"/>
      <c r="I14159" s="50"/>
      <c r="O14159" s="36" t="s">
        <v>48</v>
      </c>
      <c r="R14159" s="36" t="s">
        <v>48</v>
      </c>
    </row>
    <row r="14160">
      <c r="H14160" s="50"/>
      <c r="I14160" s="50"/>
      <c r="O14160" s="36" t="s">
        <v>48</v>
      </c>
      <c r="R14160" s="36" t="s">
        <v>48</v>
      </c>
    </row>
    <row r="14161">
      <c r="H14161" s="50"/>
      <c r="I14161" s="50"/>
      <c r="O14161" s="36" t="s">
        <v>48</v>
      </c>
      <c r="R14161" s="36" t="s">
        <v>48</v>
      </c>
    </row>
    <row r="14162">
      <c r="H14162" s="50"/>
      <c r="I14162" s="50"/>
      <c r="O14162" s="36" t="s">
        <v>48</v>
      </c>
      <c r="R14162" s="36" t="s">
        <v>48</v>
      </c>
    </row>
    <row r="14163">
      <c r="H14163" s="50"/>
      <c r="I14163" s="50"/>
      <c r="O14163" s="36" t="s">
        <v>48</v>
      </c>
      <c r="R14163" s="36" t="s">
        <v>48</v>
      </c>
    </row>
    <row r="14164">
      <c r="H14164" s="50"/>
      <c r="I14164" s="50"/>
      <c r="O14164" s="36" t="s">
        <v>48</v>
      </c>
      <c r="R14164" s="36" t="s">
        <v>48</v>
      </c>
    </row>
    <row r="14165">
      <c r="H14165" s="50"/>
      <c r="I14165" s="50"/>
      <c r="O14165" s="36" t="s">
        <v>48</v>
      </c>
      <c r="R14165" s="36" t="s">
        <v>48</v>
      </c>
    </row>
    <row r="14166">
      <c r="H14166" s="50"/>
      <c r="I14166" s="50"/>
      <c r="O14166" s="36" t="s">
        <v>48</v>
      </c>
      <c r="R14166" s="36" t="s">
        <v>48</v>
      </c>
    </row>
    <row r="14167">
      <c r="H14167" s="50"/>
      <c r="I14167" s="50"/>
      <c r="O14167" s="36" t="s">
        <v>48</v>
      </c>
      <c r="R14167" s="36" t="s">
        <v>48</v>
      </c>
    </row>
    <row r="14168">
      <c r="H14168" s="50"/>
      <c r="I14168" s="50"/>
      <c r="O14168" s="36" t="s">
        <v>48</v>
      </c>
      <c r="R14168" s="36" t="s">
        <v>48</v>
      </c>
    </row>
    <row r="14169">
      <c r="H14169" s="50"/>
      <c r="I14169" s="50"/>
      <c r="O14169" s="36" t="s">
        <v>48</v>
      </c>
      <c r="R14169" s="36" t="s">
        <v>48</v>
      </c>
    </row>
    <row r="14170">
      <c r="H14170" s="50"/>
      <c r="I14170" s="50"/>
      <c r="O14170" s="36" t="s">
        <v>48</v>
      </c>
      <c r="R14170" s="36" t="s">
        <v>48</v>
      </c>
    </row>
    <row r="14171">
      <c r="H14171" s="50"/>
      <c r="I14171" s="50"/>
      <c r="O14171" s="36" t="s">
        <v>48</v>
      </c>
      <c r="R14171" s="36" t="s">
        <v>48</v>
      </c>
    </row>
    <row r="14172">
      <c r="H14172" s="50"/>
      <c r="I14172" s="50"/>
      <c r="O14172" s="36" t="s">
        <v>48</v>
      </c>
      <c r="R14172" s="36" t="s">
        <v>48</v>
      </c>
    </row>
    <row r="14173">
      <c r="H14173" s="50"/>
      <c r="I14173" s="50"/>
      <c r="O14173" s="36" t="s">
        <v>48</v>
      </c>
      <c r="R14173" s="36" t="s">
        <v>48</v>
      </c>
    </row>
    <row r="14174">
      <c r="H14174" s="50"/>
      <c r="I14174" s="50"/>
      <c r="O14174" s="36" t="s">
        <v>48</v>
      </c>
      <c r="R14174" s="36" t="s">
        <v>48</v>
      </c>
    </row>
    <row r="14175">
      <c r="H14175" s="50"/>
      <c r="I14175" s="50"/>
      <c r="O14175" s="36" t="s">
        <v>48</v>
      </c>
      <c r="R14175" s="36" t="s">
        <v>48</v>
      </c>
    </row>
    <row r="14176">
      <c r="H14176" s="50"/>
      <c r="I14176" s="50"/>
      <c r="O14176" s="36" t="s">
        <v>48</v>
      </c>
      <c r="R14176" s="36" t="s">
        <v>48</v>
      </c>
    </row>
    <row r="14177">
      <c r="H14177" s="50"/>
      <c r="I14177" s="50"/>
      <c r="O14177" s="36" t="s">
        <v>48</v>
      </c>
      <c r="R14177" s="36" t="s">
        <v>48</v>
      </c>
    </row>
    <row r="14178">
      <c r="H14178" s="50"/>
      <c r="I14178" s="50"/>
      <c r="O14178" s="36" t="s">
        <v>48</v>
      </c>
      <c r="R14178" s="36" t="s">
        <v>48</v>
      </c>
    </row>
    <row r="14179">
      <c r="H14179" s="50"/>
      <c r="I14179" s="50"/>
      <c r="O14179" s="36" t="s">
        <v>48</v>
      </c>
      <c r="R14179" s="36" t="s">
        <v>48</v>
      </c>
    </row>
    <row r="14180">
      <c r="H14180" s="50"/>
      <c r="I14180" s="50"/>
      <c r="O14180" s="36" t="s">
        <v>48</v>
      </c>
      <c r="R14180" s="36" t="s">
        <v>48</v>
      </c>
    </row>
    <row r="14181">
      <c r="H14181" s="50"/>
      <c r="I14181" s="50"/>
      <c r="O14181" s="36" t="s">
        <v>48</v>
      </c>
      <c r="R14181" s="36" t="s">
        <v>48</v>
      </c>
    </row>
    <row r="14182">
      <c r="H14182" s="50"/>
      <c r="I14182" s="50"/>
      <c r="O14182" s="36" t="s">
        <v>48</v>
      </c>
      <c r="R14182" s="36" t="s">
        <v>48</v>
      </c>
    </row>
    <row r="14183">
      <c r="H14183" s="50"/>
      <c r="I14183" s="50"/>
      <c r="O14183" s="36" t="s">
        <v>48</v>
      </c>
      <c r="R14183" s="36" t="s">
        <v>48</v>
      </c>
    </row>
    <row r="14184">
      <c r="H14184" s="50"/>
      <c r="I14184" s="50"/>
      <c r="O14184" s="36" t="s">
        <v>48</v>
      </c>
      <c r="R14184" s="36" t="s">
        <v>48</v>
      </c>
    </row>
    <row r="14185">
      <c r="H14185" s="50"/>
      <c r="I14185" s="50"/>
      <c r="O14185" s="36" t="s">
        <v>48</v>
      </c>
      <c r="R14185" s="36" t="s">
        <v>48</v>
      </c>
    </row>
    <row r="14186">
      <c r="H14186" s="50"/>
      <c r="I14186" s="50"/>
      <c r="O14186" s="36" t="s">
        <v>48</v>
      </c>
      <c r="R14186" s="36" t="s">
        <v>48</v>
      </c>
    </row>
    <row r="14187">
      <c r="H14187" s="50"/>
      <c r="I14187" s="50"/>
      <c r="O14187" s="36" t="s">
        <v>48</v>
      </c>
      <c r="R14187" s="36" t="s">
        <v>48</v>
      </c>
    </row>
    <row r="14188">
      <c r="H14188" s="50"/>
      <c r="I14188" s="50"/>
      <c r="O14188" s="36" t="s">
        <v>48</v>
      </c>
      <c r="R14188" s="36" t="s">
        <v>48</v>
      </c>
    </row>
    <row r="14189">
      <c r="H14189" s="50"/>
      <c r="I14189" s="50"/>
      <c r="O14189" s="36" t="s">
        <v>48</v>
      </c>
      <c r="R14189" s="36" t="s">
        <v>48</v>
      </c>
    </row>
    <row r="14190">
      <c r="H14190" s="50"/>
      <c r="I14190" s="50"/>
      <c r="O14190" s="36" t="s">
        <v>48</v>
      </c>
      <c r="R14190" s="36" t="s">
        <v>48</v>
      </c>
    </row>
    <row r="14191">
      <c r="H14191" s="50"/>
      <c r="I14191" s="50"/>
      <c r="O14191" s="36" t="s">
        <v>48</v>
      </c>
      <c r="R14191" s="36" t="s">
        <v>48</v>
      </c>
    </row>
    <row r="14192">
      <c r="H14192" s="50"/>
      <c r="I14192" s="50"/>
      <c r="O14192" s="36" t="s">
        <v>48</v>
      </c>
      <c r="R14192" s="36" t="s">
        <v>48</v>
      </c>
    </row>
    <row r="14193">
      <c r="H14193" s="50"/>
      <c r="I14193" s="50"/>
      <c r="O14193" s="36" t="s">
        <v>48</v>
      </c>
      <c r="R14193" s="36" t="s">
        <v>48</v>
      </c>
    </row>
    <row r="14194">
      <c r="H14194" s="50"/>
      <c r="I14194" s="50"/>
      <c r="O14194" s="36" t="s">
        <v>48</v>
      </c>
      <c r="R14194" s="36" t="s">
        <v>48</v>
      </c>
    </row>
    <row r="14195">
      <c r="H14195" s="50"/>
      <c r="I14195" s="50"/>
      <c r="O14195" s="36" t="s">
        <v>48</v>
      </c>
      <c r="R14195" s="36" t="s">
        <v>48</v>
      </c>
    </row>
    <row r="14196">
      <c r="H14196" s="50"/>
      <c r="I14196" s="50"/>
      <c r="O14196" s="36" t="s">
        <v>48</v>
      </c>
      <c r="R14196" s="36" t="s">
        <v>48</v>
      </c>
    </row>
    <row r="14197">
      <c r="H14197" s="50"/>
      <c r="I14197" s="50"/>
      <c r="O14197" s="36" t="s">
        <v>48</v>
      </c>
      <c r="R14197" s="36" t="s">
        <v>48</v>
      </c>
    </row>
    <row r="14198">
      <c r="H14198" s="50"/>
      <c r="I14198" s="50"/>
      <c r="O14198" s="36" t="s">
        <v>48</v>
      </c>
      <c r="R14198" s="36" t="s">
        <v>48</v>
      </c>
    </row>
    <row r="14199">
      <c r="H14199" s="50"/>
      <c r="I14199" s="50"/>
      <c r="O14199" s="36" t="s">
        <v>48</v>
      </c>
      <c r="R14199" s="36" t="s">
        <v>48</v>
      </c>
    </row>
    <row r="14200">
      <c r="H14200" s="50"/>
      <c r="I14200" s="50"/>
      <c r="O14200" s="36" t="s">
        <v>48</v>
      </c>
      <c r="R14200" s="36" t="s">
        <v>48</v>
      </c>
    </row>
    <row r="14201">
      <c r="H14201" s="50"/>
      <c r="I14201" s="50"/>
      <c r="O14201" s="36" t="s">
        <v>48</v>
      </c>
      <c r="R14201" s="36" t="s">
        <v>48</v>
      </c>
    </row>
    <row r="14202">
      <c r="H14202" s="50"/>
      <c r="I14202" s="50"/>
      <c r="O14202" s="36" t="s">
        <v>48</v>
      </c>
      <c r="R14202" s="36" t="s">
        <v>48</v>
      </c>
    </row>
    <row r="14203">
      <c r="H14203" s="50"/>
      <c r="I14203" s="50"/>
      <c r="O14203" s="36" t="s">
        <v>48</v>
      </c>
      <c r="R14203" s="36" t="s">
        <v>48</v>
      </c>
    </row>
    <row r="14204">
      <c r="H14204" s="50"/>
      <c r="I14204" s="50"/>
      <c r="O14204" s="36" t="s">
        <v>48</v>
      </c>
      <c r="R14204" s="36" t="s">
        <v>48</v>
      </c>
    </row>
    <row r="14205">
      <c r="H14205" s="50"/>
      <c r="I14205" s="50"/>
      <c r="O14205" s="36" t="s">
        <v>48</v>
      </c>
      <c r="R14205" s="36" t="s">
        <v>48</v>
      </c>
    </row>
    <row r="14206">
      <c r="H14206" s="50"/>
      <c r="I14206" s="50"/>
      <c r="O14206" s="36" t="s">
        <v>48</v>
      </c>
      <c r="R14206" s="36" t="s">
        <v>48</v>
      </c>
    </row>
    <row r="14207">
      <c r="H14207" s="50"/>
      <c r="I14207" s="50"/>
      <c r="O14207" s="36" t="s">
        <v>48</v>
      </c>
      <c r="R14207" s="36" t="s">
        <v>48</v>
      </c>
    </row>
    <row r="14208">
      <c r="H14208" s="50"/>
      <c r="I14208" s="50"/>
      <c r="O14208" s="36" t="s">
        <v>48</v>
      </c>
      <c r="R14208" s="36" t="s">
        <v>48</v>
      </c>
    </row>
    <row r="14209">
      <c r="H14209" s="50"/>
      <c r="I14209" s="50"/>
      <c r="O14209" s="36" t="s">
        <v>48</v>
      </c>
      <c r="R14209" s="36" t="s">
        <v>48</v>
      </c>
    </row>
    <row r="14210">
      <c r="H14210" s="50"/>
      <c r="I14210" s="50"/>
      <c r="O14210" s="36" t="s">
        <v>48</v>
      </c>
      <c r="R14210" s="36" t="s">
        <v>48</v>
      </c>
    </row>
    <row r="14211">
      <c r="H14211" s="50"/>
      <c r="I14211" s="50"/>
      <c r="O14211" s="36" t="s">
        <v>48</v>
      </c>
      <c r="R14211" s="36" t="s">
        <v>48</v>
      </c>
    </row>
    <row r="14212">
      <c r="H14212" s="50"/>
      <c r="I14212" s="50"/>
      <c r="O14212" s="36" t="s">
        <v>48</v>
      </c>
      <c r="R14212" s="36" t="s">
        <v>48</v>
      </c>
    </row>
    <row r="14213">
      <c r="H14213" s="50"/>
      <c r="I14213" s="50"/>
      <c r="O14213" s="36" t="s">
        <v>48</v>
      </c>
      <c r="R14213" s="36" t="s">
        <v>48</v>
      </c>
    </row>
    <row r="14214">
      <c r="H14214" s="50"/>
      <c r="I14214" s="50"/>
      <c r="O14214" s="36" t="s">
        <v>48</v>
      </c>
      <c r="R14214" s="36" t="s">
        <v>48</v>
      </c>
    </row>
    <row r="14215">
      <c r="H14215" s="50"/>
      <c r="I14215" s="50"/>
      <c r="O14215" s="36" t="s">
        <v>48</v>
      </c>
      <c r="R14215" s="36" t="s">
        <v>48</v>
      </c>
    </row>
    <row r="14216">
      <c r="H14216" s="50"/>
      <c r="I14216" s="50"/>
      <c r="O14216" s="36" t="s">
        <v>48</v>
      </c>
      <c r="R14216" s="36" t="s">
        <v>48</v>
      </c>
    </row>
    <row r="14217">
      <c r="H14217" s="50"/>
      <c r="I14217" s="50"/>
      <c r="O14217" s="36" t="s">
        <v>48</v>
      </c>
      <c r="R14217" s="36" t="s">
        <v>48</v>
      </c>
    </row>
    <row r="14218">
      <c r="H14218" s="50"/>
      <c r="I14218" s="50"/>
      <c r="O14218" s="36" t="s">
        <v>48</v>
      </c>
      <c r="R14218" s="36" t="s">
        <v>48</v>
      </c>
    </row>
    <row r="14219">
      <c r="H14219" s="50"/>
      <c r="I14219" s="50"/>
      <c r="O14219" s="36" t="s">
        <v>48</v>
      </c>
      <c r="R14219" s="36" t="s">
        <v>48</v>
      </c>
    </row>
    <row r="14220">
      <c r="H14220" s="50"/>
      <c r="I14220" s="50"/>
      <c r="O14220" s="36" t="s">
        <v>48</v>
      </c>
      <c r="R14220" s="36" t="s">
        <v>48</v>
      </c>
    </row>
    <row r="14221">
      <c r="H14221" s="50"/>
      <c r="I14221" s="50"/>
      <c r="O14221" s="36" t="s">
        <v>48</v>
      </c>
      <c r="R14221" s="36" t="s">
        <v>48</v>
      </c>
    </row>
    <row r="14222">
      <c r="H14222" s="50"/>
      <c r="I14222" s="50"/>
      <c r="O14222" s="36" t="s">
        <v>48</v>
      </c>
      <c r="R14222" s="36" t="s">
        <v>48</v>
      </c>
    </row>
    <row r="14223">
      <c r="H14223" s="50"/>
      <c r="I14223" s="50"/>
      <c r="O14223" s="36" t="s">
        <v>48</v>
      </c>
      <c r="R14223" s="36" t="s">
        <v>48</v>
      </c>
    </row>
    <row r="14224">
      <c r="H14224" s="50"/>
      <c r="I14224" s="50"/>
      <c r="O14224" s="36" t="s">
        <v>48</v>
      </c>
      <c r="R14224" s="36" t="s">
        <v>48</v>
      </c>
    </row>
    <row r="14225">
      <c r="H14225" s="50"/>
      <c r="I14225" s="50"/>
      <c r="O14225" s="36" t="s">
        <v>48</v>
      </c>
      <c r="R14225" s="36" t="s">
        <v>48</v>
      </c>
    </row>
    <row r="14226">
      <c r="H14226" s="50"/>
      <c r="I14226" s="50"/>
      <c r="O14226" s="36" t="s">
        <v>48</v>
      </c>
      <c r="R14226" s="36" t="s">
        <v>48</v>
      </c>
    </row>
    <row r="14227">
      <c r="H14227" s="50"/>
      <c r="I14227" s="50"/>
      <c r="O14227" s="36" t="s">
        <v>48</v>
      </c>
      <c r="R14227" s="36" t="s">
        <v>48</v>
      </c>
    </row>
    <row r="14228">
      <c r="H14228" s="50"/>
      <c r="I14228" s="50"/>
      <c r="O14228" s="36" t="s">
        <v>48</v>
      </c>
      <c r="R14228" s="36" t="s">
        <v>48</v>
      </c>
    </row>
    <row r="14229">
      <c r="H14229" s="50"/>
      <c r="I14229" s="50"/>
      <c r="O14229" s="36" t="s">
        <v>48</v>
      </c>
      <c r="R14229" s="36" t="s">
        <v>48</v>
      </c>
    </row>
    <row r="14230">
      <c r="H14230" s="50"/>
      <c r="I14230" s="50"/>
      <c r="O14230" s="36" t="s">
        <v>48</v>
      </c>
      <c r="R14230" s="36" t="s">
        <v>48</v>
      </c>
    </row>
    <row r="14231">
      <c r="H14231" s="50"/>
      <c r="I14231" s="50"/>
      <c r="O14231" s="36" t="s">
        <v>48</v>
      </c>
      <c r="R14231" s="36" t="s">
        <v>48</v>
      </c>
    </row>
    <row r="14232">
      <c r="H14232" s="50"/>
      <c r="I14232" s="50"/>
      <c r="O14232" s="36" t="s">
        <v>48</v>
      </c>
      <c r="R14232" s="36" t="s">
        <v>48</v>
      </c>
    </row>
    <row r="14233">
      <c r="H14233" s="50"/>
      <c r="I14233" s="50"/>
      <c r="O14233" s="36" t="s">
        <v>48</v>
      </c>
      <c r="R14233" s="36" t="s">
        <v>48</v>
      </c>
    </row>
    <row r="14234">
      <c r="H14234" s="50"/>
      <c r="I14234" s="50"/>
      <c r="O14234" s="36" t="s">
        <v>48</v>
      </c>
      <c r="R14234" s="36" t="s">
        <v>48</v>
      </c>
    </row>
    <row r="14235">
      <c r="H14235" s="50"/>
      <c r="I14235" s="50"/>
      <c r="O14235" s="36" t="s">
        <v>48</v>
      </c>
      <c r="R14235" s="36" t="s">
        <v>48</v>
      </c>
    </row>
    <row r="14236">
      <c r="H14236" s="50"/>
      <c r="I14236" s="50"/>
      <c r="O14236" s="36" t="s">
        <v>48</v>
      </c>
      <c r="R14236" s="36" t="s">
        <v>48</v>
      </c>
    </row>
    <row r="14237">
      <c r="H14237" s="50"/>
      <c r="I14237" s="50"/>
      <c r="O14237" s="36" t="s">
        <v>48</v>
      </c>
      <c r="R14237" s="36" t="s">
        <v>48</v>
      </c>
    </row>
    <row r="14238">
      <c r="H14238" s="50"/>
      <c r="I14238" s="50"/>
      <c r="O14238" s="36" t="s">
        <v>48</v>
      </c>
      <c r="R14238" s="36" t="s">
        <v>48</v>
      </c>
    </row>
    <row r="14239">
      <c r="H14239" s="50"/>
      <c r="I14239" s="50"/>
      <c r="O14239" s="36" t="s">
        <v>48</v>
      </c>
      <c r="R14239" s="36" t="s">
        <v>48</v>
      </c>
    </row>
    <row r="14240">
      <c r="H14240" s="50"/>
      <c r="I14240" s="50"/>
      <c r="O14240" s="36" t="s">
        <v>48</v>
      </c>
      <c r="R14240" s="36" t="s">
        <v>48</v>
      </c>
    </row>
    <row r="14241">
      <c r="H14241" s="50"/>
      <c r="I14241" s="50"/>
      <c r="O14241" s="36" t="s">
        <v>48</v>
      </c>
      <c r="R14241" s="36" t="s">
        <v>48</v>
      </c>
    </row>
    <row r="14242">
      <c r="H14242" s="50"/>
      <c r="I14242" s="50"/>
      <c r="O14242" s="36" t="s">
        <v>48</v>
      </c>
      <c r="R14242" s="36" t="s">
        <v>48</v>
      </c>
    </row>
    <row r="14243">
      <c r="H14243" s="50"/>
      <c r="I14243" s="50"/>
      <c r="O14243" s="36" t="s">
        <v>48</v>
      </c>
      <c r="R14243" s="36" t="s">
        <v>48</v>
      </c>
    </row>
    <row r="14244">
      <c r="H14244" s="50"/>
      <c r="I14244" s="50"/>
      <c r="O14244" s="36" t="s">
        <v>48</v>
      </c>
      <c r="R14244" s="36" t="s">
        <v>48</v>
      </c>
    </row>
    <row r="14245">
      <c r="H14245" s="50"/>
      <c r="I14245" s="50"/>
      <c r="O14245" s="36" t="s">
        <v>48</v>
      </c>
      <c r="R14245" s="36" t="s">
        <v>48</v>
      </c>
    </row>
    <row r="14246">
      <c r="H14246" s="50"/>
      <c r="I14246" s="50"/>
      <c r="O14246" s="36" t="s">
        <v>48</v>
      </c>
      <c r="R14246" s="36" t="s">
        <v>48</v>
      </c>
    </row>
    <row r="14247">
      <c r="H14247" s="50"/>
      <c r="I14247" s="50"/>
      <c r="O14247" s="36" t="s">
        <v>48</v>
      </c>
      <c r="R14247" s="36" t="s">
        <v>48</v>
      </c>
    </row>
    <row r="14248">
      <c r="H14248" s="50"/>
      <c r="I14248" s="50"/>
      <c r="O14248" s="36" t="s">
        <v>48</v>
      </c>
      <c r="R14248" s="36" t="s">
        <v>48</v>
      </c>
    </row>
    <row r="14249">
      <c r="H14249" s="50"/>
      <c r="I14249" s="50"/>
      <c r="O14249" s="36" t="s">
        <v>48</v>
      </c>
      <c r="R14249" s="36" t="s">
        <v>48</v>
      </c>
    </row>
    <row r="14250">
      <c r="H14250" s="50"/>
      <c r="I14250" s="50"/>
      <c r="O14250" s="36" t="s">
        <v>48</v>
      </c>
      <c r="R14250" s="36" t="s">
        <v>48</v>
      </c>
    </row>
    <row r="14251">
      <c r="H14251" s="50"/>
      <c r="I14251" s="50"/>
      <c r="O14251" s="36" t="s">
        <v>48</v>
      </c>
      <c r="R14251" s="36" t="s">
        <v>48</v>
      </c>
    </row>
    <row r="14252">
      <c r="H14252" s="50"/>
      <c r="I14252" s="50"/>
      <c r="O14252" s="36" t="s">
        <v>48</v>
      </c>
      <c r="R14252" s="36" t="s">
        <v>48</v>
      </c>
    </row>
    <row r="14253">
      <c r="H14253" s="50"/>
      <c r="I14253" s="50"/>
      <c r="O14253" s="36" t="s">
        <v>48</v>
      </c>
      <c r="R14253" s="36" t="s">
        <v>48</v>
      </c>
    </row>
    <row r="14254">
      <c r="H14254" s="50"/>
      <c r="I14254" s="50"/>
      <c r="O14254" s="36" t="s">
        <v>48</v>
      </c>
      <c r="R14254" s="36" t="s">
        <v>48</v>
      </c>
    </row>
    <row r="14255">
      <c r="H14255" s="50"/>
      <c r="I14255" s="50"/>
      <c r="O14255" s="36" t="s">
        <v>48</v>
      </c>
      <c r="R14255" s="36" t="s">
        <v>48</v>
      </c>
    </row>
    <row r="14256">
      <c r="H14256" s="50"/>
      <c r="I14256" s="50"/>
      <c r="O14256" s="36" t="s">
        <v>48</v>
      </c>
      <c r="R14256" s="36" t="s">
        <v>48</v>
      </c>
    </row>
    <row r="14257">
      <c r="H14257" s="50"/>
      <c r="I14257" s="50"/>
      <c r="O14257" s="36" t="s">
        <v>48</v>
      </c>
      <c r="R14257" s="36" t="s">
        <v>48</v>
      </c>
    </row>
    <row r="14258">
      <c r="H14258" s="50"/>
      <c r="I14258" s="50"/>
      <c r="O14258" s="36" t="s">
        <v>48</v>
      </c>
      <c r="R14258" s="36" t="s">
        <v>48</v>
      </c>
    </row>
    <row r="14259">
      <c r="H14259" s="50"/>
      <c r="I14259" s="50"/>
      <c r="O14259" s="36" t="s">
        <v>48</v>
      </c>
      <c r="R14259" s="36" t="s">
        <v>48</v>
      </c>
    </row>
    <row r="14260">
      <c r="H14260" s="50"/>
      <c r="I14260" s="50"/>
      <c r="O14260" s="36" t="s">
        <v>48</v>
      </c>
      <c r="R14260" s="36" t="s">
        <v>48</v>
      </c>
    </row>
    <row r="14261">
      <c r="H14261" s="50"/>
      <c r="I14261" s="50"/>
      <c r="O14261" s="36" t="s">
        <v>48</v>
      </c>
      <c r="R14261" s="36" t="s">
        <v>48</v>
      </c>
    </row>
    <row r="14262">
      <c r="H14262" s="50"/>
      <c r="I14262" s="50"/>
      <c r="O14262" s="36" t="s">
        <v>48</v>
      </c>
      <c r="R14262" s="36" t="s">
        <v>48</v>
      </c>
    </row>
    <row r="14263">
      <c r="H14263" s="50"/>
      <c r="I14263" s="50"/>
      <c r="O14263" s="36" t="s">
        <v>48</v>
      </c>
      <c r="R14263" s="36" t="s">
        <v>48</v>
      </c>
    </row>
    <row r="14264">
      <c r="H14264" s="50"/>
      <c r="I14264" s="50"/>
      <c r="O14264" s="36" t="s">
        <v>48</v>
      </c>
      <c r="R14264" s="36" t="s">
        <v>48</v>
      </c>
    </row>
    <row r="14265">
      <c r="H14265" s="50"/>
      <c r="I14265" s="50"/>
      <c r="O14265" s="36" t="s">
        <v>48</v>
      </c>
      <c r="R14265" s="36" t="s">
        <v>48</v>
      </c>
    </row>
    <row r="14266">
      <c r="H14266" s="50"/>
      <c r="I14266" s="50"/>
      <c r="O14266" s="36" t="s">
        <v>48</v>
      </c>
      <c r="R14266" s="36" t="s">
        <v>48</v>
      </c>
    </row>
    <row r="14267">
      <c r="H14267" s="50"/>
      <c r="I14267" s="50"/>
      <c r="O14267" s="36" t="s">
        <v>48</v>
      </c>
      <c r="R14267" s="36" t="s">
        <v>48</v>
      </c>
    </row>
    <row r="14268">
      <c r="H14268" s="50"/>
      <c r="I14268" s="50"/>
      <c r="O14268" s="36" t="s">
        <v>48</v>
      </c>
      <c r="R14268" s="36" t="s">
        <v>48</v>
      </c>
    </row>
    <row r="14269">
      <c r="H14269" s="50"/>
      <c r="I14269" s="50"/>
      <c r="O14269" s="36" t="s">
        <v>48</v>
      </c>
      <c r="R14269" s="36" t="s">
        <v>48</v>
      </c>
    </row>
    <row r="14270">
      <c r="H14270" s="50"/>
      <c r="I14270" s="50"/>
      <c r="O14270" s="36" t="s">
        <v>48</v>
      </c>
      <c r="R14270" s="36" t="s">
        <v>48</v>
      </c>
    </row>
    <row r="14271">
      <c r="H14271" s="50"/>
      <c r="I14271" s="50"/>
      <c r="O14271" s="36" t="s">
        <v>48</v>
      </c>
      <c r="R14271" s="36" t="s">
        <v>48</v>
      </c>
    </row>
    <row r="14272">
      <c r="H14272" s="50"/>
      <c r="I14272" s="50"/>
      <c r="O14272" s="36" t="s">
        <v>48</v>
      </c>
      <c r="R14272" s="36" t="s">
        <v>48</v>
      </c>
    </row>
    <row r="14273">
      <c r="H14273" s="50"/>
      <c r="I14273" s="50"/>
      <c r="O14273" s="36" t="s">
        <v>48</v>
      </c>
      <c r="R14273" s="36" t="s">
        <v>48</v>
      </c>
    </row>
    <row r="14274">
      <c r="H14274" s="50"/>
      <c r="I14274" s="50"/>
      <c r="O14274" s="36" t="s">
        <v>48</v>
      </c>
      <c r="R14274" s="36" t="s">
        <v>48</v>
      </c>
    </row>
    <row r="14275">
      <c r="H14275" s="50"/>
      <c r="I14275" s="50"/>
      <c r="O14275" s="36" t="s">
        <v>48</v>
      </c>
      <c r="R14275" s="36" t="s">
        <v>48</v>
      </c>
    </row>
    <row r="14276">
      <c r="H14276" s="50"/>
      <c r="I14276" s="50"/>
      <c r="O14276" s="36" t="s">
        <v>48</v>
      </c>
      <c r="R14276" s="36" t="s">
        <v>48</v>
      </c>
    </row>
    <row r="14277">
      <c r="H14277" s="50"/>
      <c r="I14277" s="50"/>
      <c r="O14277" s="36" t="s">
        <v>48</v>
      </c>
      <c r="R14277" s="36" t="s">
        <v>48</v>
      </c>
    </row>
    <row r="14278">
      <c r="H14278" s="50"/>
      <c r="I14278" s="50"/>
      <c r="O14278" s="36" t="s">
        <v>48</v>
      </c>
      <c r="R14278" s="36" t="s">
        <v>48</v>
      </c>
    </row>
    <row r="14279">
      <c r="H14279" s="50"/>
      <c r="I14279" s="50"/>
      <c r="O14279" s="36" t="s">
        <v>48</v>
      </c>
      <c r="R14279" s="36" t="s">
        <v>48</v>
      </c>
    </row>
    <row r="14280">
      <c r="H14280" s="50"/>
      <c r="I14280" s="50"/>
      <c r="O14280" s="36" t="s">
        <v>48</v>
      </c>
      <c r="R14280" s="36" t="s">
        <v>48</v>
      </c>
    </row>
    <row r="14281">
      <c r="H14281" s="50"/>
      <c r="I14281" s="50"/>
      <c r="O14281" s="36" t="s">
        <v>48</v>
      </c>
      <c r="R14281" s="36" t="s">
        <v>48</v>
      </c>
    </row>
    <row r="14282">
      <c r="H14282" s="50"/>
      <c r="I14282" s="50"/>
      <c r="O14282" s="36" t="s">
        <v>48</v>
      </c>
      <c r="R14282" s="36" t="s">
        <v>48</v>
      </c>
    </row>
    <row r="14283">
      <c r="H14283" s="50"/>
      <c r="I14283" s="50"/>
      <c r="O14283" s="36" t="s">
        <v>48</v>
      </c>
      <c r="R14283" s="36" t="s">
        <v>48</v>
      </c>
    </row>
    <row r="14284">
      <c r="H14284" s="50"/>
      <c r="I14284" s="50"/>
      <c r="O14284" s="36" t="s">
        <v>48</v>
      </c>
      <c r="R14284" s="36" t="s">
        <v>48</v>
      </c>
    </row>
    <row r="14285">
      <c r="H14285" s="50"/>
      <c r="I14285" s="50"/>
      <c r="O14285" s="36" t="s">
        <v>48</v>
      </c>
      <c r="R14285" s="36" t="s">
        <v>48</v>
      </c>
    </row>
    <row r="14286">
      <c r="H14286" s="50"/>
      <c r="I14286" s="50"/>
      <c r="O14286" s="36" t="s">
        <v>48</v>
      </c>
      <c r="R14286" s="36" t="s">
        <v>48</v>
      </c>
    </row>
    <row r="14287">
      <c r="H14287" s="50"/>
      <c r="I14287" s="50"/>
      <c r="O14287" s="36" t="s">
        <v>48</v>
      </c>
      <c r="R14287" s="36" t="s">
        <v>48</v>
      </c>
    </row>
    <row r="14288">
      <c r="H14288" s="50"/>
      <c r="I14288" s="50"/>
      <c r="O14288" s="36" t="s">
        <v>48</v>
      </c>
      <c r="R14288" s="36" t="s">
        <v>48</v>
      </c>
    </row>
    <row r="14289">
      <c r="H14289" s="50"/>
      <c r="I14289" s="50"/>
      <c r="O14289" s="36" t="s">
        <v>48</v>
      </c>
      <c r="R14289" s="36" t="s">
        <v>48</v>
      </c>
    </row>
    <row r="14290">
      <c r="H14290" s="50"/>
      <c r="I14290" s="50"/>
      <c r="O14290" s="36" t="s">
        <v>48</v>
      </c>
      <c r="R14290" s="36" t="s">
        <v>48</v>
      </c>
    </row>
    <row r="14291">
      <c r="H14291" s="50"/>
      <c r="I14291" s="50"/>
      <c r="O14291" s="36" t="s">
        <v>48</v>
      </c>
      <c r="R14291" s="36" t="s">
        <v>48</v>
      </c>
    </row>
    <row r="14292">
      <c r="H14292" s="50"/>
      <c r="I14292" s="50"/>
      <c r="O14292" s="36" t="s">
        <v>48</v>
      </c>
      <c r="R14292" s="36" t="s">
        <v>48</v>
      </c>
    </row>
    <row r="14293">
      <c r="H14293" s="50"/>
      <c r="I14293" s="50"/>
      <c r="O14293" s="36" t="s">
        <v>48</v>
      </c>
      <c r="R14293" s="36" t="s">
        <v>48</v>
      </c>
    </row>
    <row r="14294">
      <c r="H14294" s="50"/>
      <c r="I14294" s="50"/>
      <c r="O14294" s="36" t="s">
        <v>48</v>
      </c>
      <c r="R14294" s="36" t="s">
        <v>48</v>
      </c>
    </row>
    <row r="14295">
      <c r="H14295" s="50"/>
      <c r="I14295" s="50"/>
      <c r="O14295" s="36" t="s">
        <v>48</v>
      </c>
      <c r="R14295" s="36" t="s">
        <v>48</v>
      </c>
    </row>
    <row r="14296">
      <c r="H14296" s="50"/>
      <c r="I14296" s="50"/>
      <c r="O14296" s="36" t="s">
        <v>48</v>
      </c>
      <c r="R14296" s="36" t="s">
        <v>48</v>
      </c>
    </row>
    <row r="14297">
      <c r="H14297" s="50"/>
      <c r="I14297" s="50"/>
      <c r="O14297" s="36" t="s">
        <v>48</v>
      </c>
      <c r="R14297" s="36" t="s">
        <v>48</v>
      </c>
    </row>
    <row r="14298">
      <c r="H14298" s="50"/>
      <c r="I14298" s="50"/>
      <c r="O14298" s="36" t="s">
        <v>48</v>
      </c>
      <c r="R14298" s="36" t="s">
        <v>48</v>
      </c>
    </row>
    <row r="14299">
      <c r="H14299" s="50"/>
      <c r="I14299" s="50"/>
      <c r="O14299" s="36" t="s">
        <v>48</v>
      </c>
      <c r="R14299" s="36" t="s">
        <v>48</v>
      </c>
    </row>
    <row r="14300">
      <c r="H14300" s="50"/>
      <c r="I14300" s="50"/>
      <c r="O14300" s="36" t="s">
        <v>48</v>
      </c>
      <c r="R14300" s="36" t="s">
        <v>48</v>
      </c>
    </row>
    <row r="14301">
      <c r="H14301" s="50"/>
      <c r="I14301" s="50"/>
      <c r="O14301" s="36" t="s">
        <v>48</v>
      </c>
      <c r="R14301" s="36" t="s">
        <v>48</v>
      </c>
    </row>
    <row r="14302">
      <c r="H14302" s="50"/>
      <c r="I14302" s="50"/>
      <c r="O14302" s="36" t="s">
        <v>48</v>
      </c>
      <c r="R14302" s="36" t="s">
        <v>48</v>
      </c>
    </row>
    <row r="14303">
      <c r="H14303" s="50"/>
      <c r="I14303" s="50"/>
      <c r="O14303" s="36" t="s">
        <v>48</v>
      </c>
      <c r="R14303" s="36" t="s">
        <v>48</v>
      </c>
    </row>
    <row r="14304">
      <c r="H14304" s="50"/>
      <c r="I14304" s="50"/>
      <c r="O14304" s="36" t="s">
        <v>48</v>
      </c>
      <c r="R14304" s="36" t="s">
        <v>48</v>
      </c>
    </row>
    <row r="14305">
      <c r="H14305" s="50"/>
      <c r="I14305" s="50"/>
      <c r="O14305" s="36" t="s">
        <v>48</v>
      </c>
      <c r="R14305" s="36" t="s">
        <v>48</v>
      </c>
    </row>
    <row r="14306">
      <c r="H14306" s="50"/>
      <c r="I14306" s="50"/>
      <c r="O14306" s="36" t="s">
        <v>48</v>
      </c>
      <c r="R14306" s="36" t="s">
        <v>48</v>
      </c>
    </row>
    <row r="14307">
      <c r="H14307" s="50"/>
      <c r="I14307" s="50"/>
      <c r="O14307" s="36" t="s">
        <v>48</v>
      </c>
      <c r="R14307" s="36" t="s">
        <v>48</v>
      </c>
    </row>
    <row r="14308">
      <c r="H14308" s="50"/>
      <c r="I14308" s="50"/>
      <c r="O14308" s="36" t="s">
        <v>48</v>
      </c>
      <c r="R14308" s="36" t="s">
        <v>48</v>
      </c>
    </row>
    <row r="14309">
      <c r="H14309" s="50"/>
      <c r="I14309" s="50"/>
      <c r="O14309" s="36" t="s">
        <v>48</v>
      </c>
      <c r="R14309" s="36" t="s">
        <v>48</v>
      </c>
    </row>
    <row r="14310">
      <c r="H14310" s="50"/>
      <c r="I14310" s="50"/>
      <c r="O14310" s="36" t="s">
        <v>48</v>
      </c>
      <c r="R14310" s="36" t="s">
        <v>48</v>
      </c>
    </row>
    <row r="14311">
      <c r="H14311" s="50"/>
      <c r="I14311" s="50"/>
      <c r="O14311" s="36" t="s">
        <v>48</v>
      </c>
      <c r="R14311" s="36" t="s">
        <v>48</v>
      </c>
    </row>
    <row r="14312">
      <c r="H14312" s="50"/>
      <c r="I14312" s="50"/>
      <c r="O14312" s="36" t="s">
        <v>48</v>
      </c>
      <c r="R14312" s="36" t="s">
        <v>48</v>
      </c>
    </row>
    <row r="14313">
      <c r="H14313" s="50"/>
      <c r="I14313" s="50"/>
      <c r="O14313" s="36" t="s">
        <v>48</v>
      </c>
      <c r="R14313" s="36" t="s">
        <v>48</v>
      </c>
    </row>
    <row r="14314">
      <c r="H14314" s="50"/>
      <c r="I14314" s="50"/>
      <c r="O14314" s="36" t="s">
        <v>48</v>
      </c>
      <c r="R14314" s="36" t="s">
        <v>48</v>
      </c>
    </row>
    <row r="14315">
      <c r="H14315" s="50"/>
      <c r="I14315" s="50"/>
      <c r="O14315" s="36" t="s">
        <v>48</v>
      </c>
      <c r="R14315" s="36" t="s">
        <v>48</v>
      </c>
    </row>
    <row r="14316">
      <c r="H14316" s="50"/>
      <c r="I14316" s="50"/>
      <c r="O14316" s="36" t="s">
        <v>48</v>
      </c>
      <c r="R14316" s="36" t="s">
        <v>48</v>
      </c>
    </row>
    <row r="14317">
      <c r="H14317" s="50"/>
      <c r="I14317" s="50"/>
      <c r="O14317" s="36" t="s">
        <v>48</v>
      </c>
      <c r="R14317" s="36" t="s">
        <v>48</v>
      </c>
    </row>
    <row r="14318">
      <c r="H14318" s="50"/>
      <c r="I14318" s="50"/>
      <c r="O14318" s="36" t="s">
        <v>48</v>
      </c>
      <c r="R14318" s="36" t="s">
        <v>48</v>
      </c>
    </row>
    <row r="14319">
      <c r="H14319" s="50"/>
      <c r="I14319" s="50"/>
      <c r="O14319" s="36" t="s">
        <v>48</v>
      </c>
      <c r="R14319" s="36" t="s">
        <v>48</v>
      </c>
    </row>
    <row r="14320">
      <c r="H14320" s="50"/>
      <c r="I14320" s="50"/>
      <c r="O14320" s="36" t="s">
        <v>48</v>
      </c>
      <c r="R14320" s="36" t="s">
        <v>48</v>
      </c>
    </row>
    <row r="14321">
      <c r="H14321" s="50"/>
      <c r="I14321" s="50"/>
      <c r="O14321" s="36" t="s">
        <v>48</v>
      </c>
      <c r="R14321" s="36" t="s">
        <v>48</v>
      </c>
    </row>
    <row r="14322">
      <c r="H14322" s="50"/>
      <c r="I14322" s="50"/>
      <c r="O14322" s="36" t="s">
        <v>48</v>
      </c>
      <c r="R14322" s="36" t="s">
        <v>48</v>
      </c>
    </row>
    <row r="14323">
      <c r="H14323" s="50"/>
      <c r="I14323" s="50"/>
      <c r="O14323" s="36" t="s">
        <v>48</v>
      </c>
      <c r="R14323" s="36" t="s">
        <v>48</v>
      </c>
    </row>
    <row r="14324">
      <c r="H14324" s="50"/>
      <c r="I14324" s="50"/>
      <c r="O14324" s="36" t="s">
        <v>48</v>
      </c>
      <c r="R14324" s="36" t="s">
        <v>48</v>
      </c>
    </row>
    <row r="14325">
      <c r="H14325" s="50"/>
      <c r="I14325" s="50"/>
      <c r="O14325" s="36" t="s">
        <v>48</v>
      </c>
      <c r="R14325" s="36" t="s">
        <v>48</v>
      </c>
    </row>
    <row r="14326">
      <c r="H14326" s="50"/>
      <c r="I14326" s="50"/>
      <c r="O14326" s="36" t="s">
        <v>48</v>
      </c>
      <c r="R14326" s="36" t="s">
        <v>48</v>
      </c>
    </row>
    <row r="14327">
      <c r="H14327" s="50"/>
      <c r="I14327" s="50"/>
      <c r="O14327" s="36" t="s">
        <v>48</v>
      </c>
      <c r="R14327" s="36" t="s">
        <v>48</v>
      </c>
    </row>
    <row r="14328">
      <c r="H14328" s="50"/>
      <c r="I14328" s="50"/>
      <c r="O14328" s="36" t="s">
        <v>48</v>
      </c>
      <c r="R14328" s="36" t="s">
        <v>48</v>
      </c>
    </row>
    <row r="14329">
      <c r="H14329" s="50"/>
      <c r="I14329" s="50"/>
      <c r="O14329" s="36" t="s">
        <v>48</v>
      </c>
      <c r="R14329" s="36" t="s">
        <v>48</v>
      </c>
    </row>
    <row r="14330">
      <c r="H14330" s="50"/>
      <c r="I14330" s="50"/>
      <c r="O14330" s="36" t="s">
        <v>48</v>
      </c>
      <c r="R14330" s="36" t="s">
        <v>48</v>
      </c>
    </row>
    <row r="14331">
      <c r="H14331" s="50"/>
      <c r="I14331" s="50"/>
      <c r="O14331" s="36" t="s">
        <v>48</v>
      </c>
      <c r="R14331" s="36" t="s">
        <v>48</v>
      </c>
    </row>
    <row r="14332">
      <c r="H14332" s="50"/>
      <c r="I14332" s="50"/>
      <c r="O14332" s="36" t="s">
        <v>48</v>
      </c>
      <c r="R14332" s="36" t="s">
        <v>48</v>
      </c>
    </row>
    <row r="14333">
      <c r="H14333" s="50"/>
      <c r="I14333" s="50"/>
      <c r="O14333" s="36" t="s">
        <v>48</v>
      </c>
      <c r="R14333" s="36" t="s">
        <v>48</v>
      </c>
    </row>
    <row r="14334">
      <c r="H14334" s="50"/>
      <c r="I14334" s="50"/>
      <c r="O14334" s="36" t="s">
        <v>48</v>
      </c>
      <c r="R14334" s="36" t="s">
        <v>48</v>
      </c>
    </row>
    <row r="14335">
      <c r="H14335" s="50"/>
      <c r="I14335" s="50"/>
      <c r="O14335" s="36" t="s">
        <v>48</v>
      </c>
      <c r="R14335" s="36" t="s">
        <v>48</v>
      </c>
    </row>
    <row r="14336">
      <c r="H14336" s="50"/>
      <c r="I14336" s="50"/>
      <c r="O14336" s="36" t="s">
        <v>48</v>
      </c>
      <c r="R14336" s="36" t="s">
        <v>48</v>
      </c>
    </row>
    <row r="14337">
      <c r="H14337" s="50"/>
      <c r="I14337" s="50"/>
      <c r="O14337" s="36" t="s">
        <v>48</v>
      </c>
      <c r="R14337" s="36" t="s">
        <v>48</v>
      </c>
    </row>
    <row r="14338">
      <c r="H14338" s="50"/>
      <c r="I14338" s="50"/>
      <c r="O14338" s="36" t="s">
        <v>48</v>
      </c>
      <c r="R14338" s="36" t="s">
        <v>48</v>
      </c>
    </row>
    <row r="14339">
      <c r="H14339" s="50"/>
      <c r="I14339" s="50"/>
      <c r="O14339" s="36" t="s">
        <v>48</v>
      </c>
      <c r="R14339" s="36" t="s">
        <v>48</v>
      </c>
    </row>
    <row r="14340">
      <c r="H14340" s="50"/>
      <c r="I14340" s="50"/>
      <c r="O14340" s="36" t="s">
        <v>48</v>
      </c>
      <c r="R14340" s="36" t="s">
        <v>48</v>
      </c>
    </row>
    <row r="14341">
      <c r="H14341" s="50"/>
      <c r="I14341" s="50"/>
      <c r="O14341" s="36" t="s">
        <v>48</v>
      </c>
      <c r="R14341" s="36" t="s">
        <v>48</v>
      </c>
    </row>
    <row r="14342">
      <c r="H14342" s="50"/>
      <c r="I14342" s="50"/>
      <c r="O14342" s="36" t="s">
        <v>48</v>
      </c>
      <c r="R14342" s="36" t="s">
        <v>48</v>
      </c>
    </row>
    <row r="14343">
      <c r="H14343" s="50"/>
      <c r="I14343" s="50"/>
      <c r="O14343" s="36" t="s">
        <v>48</v>
      </c>
      <c r="R14343" s="36" t="s">
        <v>48</v>
      </c>
    </row>
    <row r="14344">
      <c r="H14344" s="50"/>
      <c r="I14344" s="50"/>
      <c r="O14344" s="36" t="s">
        <v>48</v>
      </c>
      <c r="R14344" s="36" t="s">
        <v>48</v>
      </c>
    </row>
    <row r="14345">
      <c r="H14345" s="50"/>
      <c r="I14345" s="50"/>
      <c r="O14345" s="36" t="s">
        <v>48</v>
      </c>
      <c r="R14345" s="36" t="s">
        <v>48</v>
      </c>
    </row>
    <row r="14346">
      <c r="H14346" s="50"/>
      <c r="I14346" s="50"/>
      <c r="O14346" s="36" t="s">
        <v>48</v>
      </c>
      <c r="R14346" s="36" t="s">
        <v>48</v>
      </c>
    </row>
    <row r="14347">
      <c r="H14347" s="50"/>
      <c r="I14347" s="50"/>
      <c r="O14347" s="36" t="s">
        <v>48</v>
      </c>
      <c r="R14347" s="36" t="s">
        <v>48</v>
      </c>
    </row>
    <row r="14348">
      <c r="H14348" s="50"/>
      <c r="I14348" s="50"/>
      <c r="O14348" s="36" t="s">
        <v>48</v>
      </c>
      <c r="R14348" s="36" t="s">
        <v>48</v>
      </c>
    </row>
    <row r="14349">
      <c r="H14349" s="50"/>
      <c r="I14349" s="50"/>
      <c r="O14349" s="36" t="s">
        <v>48</v>
      </c>
      <c r="R14349" s="36" t="s">
        <v>48</v>
      </c>
    </row>
    <row r="14350">
      <c r="H14350" s="50"/>
      <c r="I14350" s="50"/>
      <c r="O14350" s="36" t="s">
        <v>48</v>
      </c>
      <c r="R14350" s="36" t="s">
        <v>48</v>
      </c>
    </row>
    <row r="14351">
      <c r="H14351" s="50"/>
      <c r="I14351" s="50"/>
      <c r="O14351" s="36" t="s">
        <v>48</v>
      </c>
      <c r="R14351" s="36" t="s">
        <v>48</v>
      </c>
    </row>
    <row r="14352">
      <c r="H14352" s="50"/>
      <c r="I14352" s="50"/>
      <c r="O14352" s="36" t="s">
        <v>48</v>
      </c>
      <c r="R14352" s="36" t="s">
        <v>48</v>
      </c>
    </row>
    <row r="14353">
      <c r="H14353" s="50"/>
      <c r="I14353" s="50"/>
      <c r="O14353" s="36" t="s">
        <v>48</v>
      </c>
      <c r="R14353" s="36" t="s">
        <v>48</v>
      </c>
    </row>
    <row r="14354">
      <c r="H14354" s="50"/>
      <c r="I14354" s="50"/>
      <c r="O14354" s="36" t="s">
        <v>48</v>
      </c>
      <c r="R14354" s="36" t="s">
        <v>48</v>
      </c>
    </row>
    <row r="14355">
      <c r="H14355" s="50"/>
      <c r="I14355" s="50"/>
      <c r="O14355" s="36" t="s">
        <v>48</v>
      </c>
      <c r="R14355" s="36" t="s">
        <v>48</v>
      </c>
    </row>
    <row r="14356">
      <c r="H14356" s="50"/>
      <c r="I14356" s="50"/>
      <c r="O14356" s="36" t="s">
        <v>48</v>
      </c>
      <c r="R14356" s="36" t="s">
        <v>48</v>
      </c>
    </row>
    <row r="14357">
      <c r="H14357" s="50"/>
      <c r="I14357" s="50"/>
      <c r="O14357" s="36" t="s">
        <v>48</v>
      </c>
      <c r="R14357" s="36" t="s">
        <v>48</v>
      </c>
    </row>
    <row r="14358">
      <c r="H14358" s="50"/>
      <c r="I14358" s="50"/>
      <c r="O14358" s="36" t="s">
        <v>48</v>
      </c>
      <c r="R14358" s="36" t="s">
        <v>48</v>
      </c>
    </row>
    <row r="14359">
      <c r="H14359" s="50"/>
      <c r="I14359" s="50"/>
      <c r="O14359" s="36" t="s">
        <v>48</v>
      </c>
      <c r="R14359" s="36" t="s">
        <v>48</v>
      </c>
    </row>
    <row r="14360">
      <c r="H14360" s="50"/>
      <c r="I14360" s="50"/>
      <c r="O14360" s="36" t="s">
        <v>48</v>
      </c>
      <c r="R14360" s="36" t="s">
        <v>48</v>
      </c>
    </row>
    <row r="14361">
      <c r="H14361" s="50"/>
      <c r="I14361" s="50"/>
      <c r="O14361" s="36" t="s">
        <v>48</v>
      </c>
      <c r="R14361" s="36" t="s">
        <v>48</v>
      </c>
    </row>
    <row r="14362">
      <c r="H14362" s="50"/>
      <c r="I14362" s="50"/>
      <c r="O14362" s="36" t="s">
        <v>48</v>
      </c>
      <c r="R14362" s="36" t="s">
        <v>48</v>
      </c>
    </row>
    <row r="14363">
      <c r="H14363" s="50"/>
      <c r="I14363" s="50"/>
      <c r="O14363" s="36" t="s">
        <v>48</v>
      </c>
      <c r="R14363" s="36" t="s">
        <v>48</v>
      </c>
    </row>
    <row r="14364">
      <c r="H14364" s="50"/>
      <c r="I14364" s="50"/>
      <c r="O14364" s="36" t="s">
        <v>48</v>
      </c>
      <c r="R14364" s="36" t="s">
        <v>48</v>
      </c>
    </row>
    <row r="14365">
      <c r="H14365" s="50"/>
      <c r="I14365" s="50"/>
      <c r="O14365" s="36" t="s">
        <v>48</v>
      </c>
      <c r="R14365" s="36" t="s">
        <v>48</v>
      </c>
    </row>
    <row r="14366">
      <c r="H14366" s="50"/>
      <c r="I14366" s="50"/>
      <c r="O14366" s="36" t="s">
        <v>48</v>
      </c>
      <c r="R14366" s="36" t="s">
        <v>48</v>
      </c>
    </row>
    <row r="14367">
      <c r="H14367" s="50"/>
      <c r="I14367" s="50"/>
      <c r="O14367" s="36" t="s">
        <v>48</v>
      </c>
      <c r="R14367" s="36" t="s">
        <v>48</v>
      </c>
    </row>
    <row r="14368">
      <c r="H14368" s="50"/>
      <c r="I14368" s="50"/>
      <c r="O14368" s="36" t="s">
        <v>48</v>
      </c>
      <c r="R14368" s="36" t="s">
        <v>48</v>
      </c>
    </row>
    <row r="14369">
      <c r="H14369" s="50"/>
      <c r="I14369" s="50"/>
      <c r="O14369" s="36" t="s">
        <v>48</v>
      </c>
      <c r="R14369" s="36" t="s">
        <v>48</v>
      </c>
    </row>
    <row r="14370">
      <c r="H14370" s="50"/>
      <c r="I14370" s="50"/>
      <c r="O14370" s="36" t="s">
        <v>48</v>
      </c>
      <c r="R14370" s="36" t="s">
        <v>48</v>
      </c>
    </row>
    <row r="14371">
      <c r="H14371" s="50"/>
      <c r="I14371" s="50"/>
      <c r="O14371" s="36" t="s">
        <v>48</v>
      </c>
      <c r="R14371" s="36" t="s">
        <v>48</v>
      </c>
    </row>
    <row r="14372">
      <c r="H14372" s="50"/>
      <c r="I14372" s="50"/>
      <c r="O14372" s="36" t="s">
        <v>48</v>
      </c>
      <c r="R14372" s="36" t="s">
        <v>48</v>
      </c>
    </row>
    <row r="14373">
      <c r="H14373" s="50"/>
      <c r="I14373" s="50"/>
      <c r="O14373" s="36" t="s">
        <v>48</v>
      </c>
      <c r="R14373" s="36" t="s">
        <v>48</v>
      </c>
    </row>
    <row r="14374">
      <c r="H14374" s="50"/>
      <c r="I14374" s="50"/>
      <c r="O14374" s="36" t="s">
        <v>48</v>
      </c>
      <c r="R14374" s="36" t="s">
        <v>48</v>
      </c>
    </row>
    <row r="14375">
      <c r="H14375" s="50"/>
      <c r="I14375" s="50"/>
      <c r="O14375" s="36" t="s">
        <v>48</v>
      </c>
      <c r="R14375" s="36" t="s">
        <v>48</v>
      </c>
    </row>
    <row r="14376">
      <c r="H14376" s="50"/>
      <c r="I14376" s="50"/>
      <c r="O14376" s="36" t="s">
        <v>48</v>
      </c>
      <c r="R14376" s="36" t="s">
        <v>48</v>
      </c>
    </row>
    <row r="14377">
      <c r="H14377" s="50"/>
      <c r="I14377" s="50"/>
      <c r="O14377" s="36" t="s">
        <v>48</v>
      </c>
      <c r="R14377" s="36" t="s">
        <v>48</v>
      </c>
    </row>
    <row r="14378">
      <c r="H14378" s="50"/>
      <c r="I14378" s="50"/>
      <c r="O14378" s="36" t="s">
        <v>48</v>
      </c>
      <c r="R14378" s="36" t="s">
        <v>48</v>
      </c>
    </row>
    <row r="14379">
      <c r="H14379" s="50"/>
      <c r="I14379" s="50"/>
      <c r="O14379" s="36" t="s">
        <v>48</v>
      </c>
      <c r="R14379" s="36" t="s">
        <v>48</v>
      </c>
    </row>
    <row r="14380">
      <c r="H14380" s="50"/>
      <c r="I14380" s="50"/>
      <c r="O14380" s="36" t="s">
        <v>48</v>
      </c>
      <c r="R14380" s="36" t="s">
        <v>48</v>
      </c>
    </row>
    <row r="14381">
      <c r="H14381" s="50"/>
      <c r="I14381" s="50"/>
      <c r="O14381" s="36" t="s">
        <v>48</v>
      </c>
      <c r="R14381" s="36" t="s">
        <v>48</v>
      </c>
    </row>
    <row r="14382">
      <c r="H14382" s="50"/>
      <c r="I14382" s="50"/>
      <c r="O14382" s="36" t="s">
        <v>48</v>
      </c>
      <c r="R14382" s="36" t="s">
        <v>48</v>
      </c>
    </row>
    <row r="14383">
      <c r="H14383" s="50"/>
      <c r="I14383" s="50"/>
      <c r="O14383" s="36" t="s">
        <v>48</v>
      </c>
      <c r="R14383" s="36" t="s">
        <v>48</v>
      </c>
    </row>
    <row r="14384">
      <c r="H14384" s="50"/>
      <c r="I14384" s="50"/>
      <c r="O14384" s="36" t="s">
        <v>48</v>
      </c>
      <c r="R14384" s="36" t="s">
        <v>48</v>
      </c>
    </row>
    <row r="14385">
      <c r="H14385" s="50"/>
      <c r="I14385" s="50"/>
      <c r="O14385" s="36" t="s">
        <v>48</v>
      </c>
      <c r="R14385" s="36" t="s">
        <v>48</v>
      </c>
    </row>
    <row r="14386">
      <c r="H14386" s="50"/>
      <c r="I14386" s="50"/>
      <c r="O14386" s="36" t="s">
        <v>48</v>
      </c>
      <c r="R14386" s="36" t="s">
        <v>48</v>
      </c>
    </row>
    <row r="14387">
      <c r="H14387" s="50"/>
      <c r="I14387" s="50"/>
      <c r="O14387" s="36" t="s">
        <v>48</v>
      </c>
      <c r="R14387" s="36" t="s">
        <v>48</v>
      </c>
    </row>
    <row r="14388">
      <c r="H14388" s="50"/>
      <c r="I14388" s="50"/>
      <c r="O14388" s="36" t="s">
        <v>48</v>
      </c>
      <c r="R14388" s="36" t="s">
        <v>48</v>
      </c>
    </row>
    <row r="14389">
      <c r="H14389" s="50"/>
      <c r="I14389" s="50"/>
      <c r="O14389" s="36" t="s">
        <v>48</v>
      </c>
      <c r="R14389" s="36" t="s">
        <v>48</v>
      </c>
    </row>
    <row r="14390">
      <c r="H14390" s="50"/>
      <c r="I14390" s="50"/>
      <c r="O14390" s="36" t="s">
        <v>48</v>
      </c>
      <c r="R14390" s="36" t="s">
        <v>48</v>
      </c>
    </row>
    <row r="14391">
      <c r="H14391" s="50"/>
      <c r="I14391" s="50"/>
      <c r="O14391" s="36" t="s">
        <v>48</v>
      </c>
      <c r="R14391" s="36" t="s">
        <v>48</v>
      </c>
    </row>
    <row r="14392">
      <c r="H14392" s="50"/>
      <c r="I14392" s="50"/>
      <c r="O14392" s="36" t="s">
        <v>48</v>
      </c>
      <c r="R14392" s="36" t="s">
        <v>48</v>
      </c>
    </row>
    <row r="14393">
      <c r="H14393" s="50"/>
      <c r="I14393" s="50"/>
      <c r="O14393" s="36" t="s">
        <v>48</v>
      </c>
      <c r="R14393" s="36" t="s">
        <v>48</v>
      </c>
    </row>
    <row r="14394">
      <c r="H14394" s="50"/>
      <c r="I14394" s="50"/>
      <c r="O14394" s="36" t="s">
        <v>48</v>
      </c>
      <c r="R14394" s="36" t="s">
        <v>48</v>
      </c>
    </row>
    <row r="14395">
      <c r="H14395" s="50"/>
      <c r="I14395" s="50"/>
      <c r="O14395" s="36" t="s">
        <v>48</v>
      </c>
      <c r="R14395" s="36" t="s">
        <v>48</v>
      </c>
    </row>
    <row r="14396">
      <c r="H14396" s="50"/>
      <c r="I14396" s="50"/>
      <c r="O14396" s="36" t="s">
        <v>48</v>
      </c>
      <c r="R14396" s="36" t="s">
        <v>48</v>
      </c>
    </row>
    <row r="14397">
      <c r="H14397" s="50"/>
      <c r="I14397" s="50"/>
      <c r="O14397" s="36" t="s">
        <v>48</v>
      </c>
      <c r="R14397" s="36" t="s">
        <v>48</v>
      </c>
    </row>
    <row r="14398">
      <c r="H14398" s="50"/>
      <c r="I14398" s="50"/>
      <c r="O14398" s="36" t="s">
        <v>48</v>
      </c>
      <c r="R14398" s="36" t="s">
        <v>48</v>
      </c>
    </row>
    <row r="14399">
      <c r="H14399" s="50"/>
      <c r="I14399" s="50"/>
      <c r="O14399" s="36" t="s">
        <v>48</v>
      </c>
      <c r="R14399" s="36" t="s">
        <v>48</v>
      </c>
    </row>
    <row r="14400">
      <c r="H14400" s="50"/>
      <c r="I14400" s="50"/>
      <c r="O14400" s="36" t="s">
        <v>48</v>
      </c>
      <c r="R14400" s="36" t="s">
        <v>48</v>
      </c>
    </row>
    <row r="14401">
      <c r="H14401" s="50"/>
      <c r="I14401" s="50"/>
      <c r="O14401" s="36" t="s">
        <v>48</v>
      </c>
      <c r="R14401" s="36" t="s">
        <v>48</v>
      </c>
    </row>
    <row r="14402">
      <c r="H14402" s="50"/>
      <c r="I14402" s="50"/>
      <c r="O14402" s="36" t="s">
        <v>48</v>
      </c>
      <c r="R14402" s="36" t="s">
        <v>48</v>
      </c>
    </row>
    <row r="14403">
      <c r="H14403" s="50"/>
      <c r="I14403" s="50"/>
      <c r="O14403" s="36" t="s">
        <v>48</v>
      </c>
      <c r="R14403" s="36" t="s">
        <v>48</v>
      </c>
    </row>
    <row r="14404">
      <c r="H14404" s="50"/>
      <c r="I14404" s="50"/>
      <c r="O14404" s="36" t="s">
        <v>48</v>
      </c>
      <c r="R14404" s="36" t="s">
        <v>48</v>
      </c>
    </row>
    <row r="14405">
      <c r="H14405" s="50"/>
      <c r="I14405" s="50"/>
      <c r="O14405" s="36" t="s">
        <v>48</v>
      </c>
      <c r="R14405" s="36" t="s">
        <v>48</v>
      </c>
    </row>
    <row r="14406">
      <c r="H14406" s="50"/>
      <c r="I14406" s="50"/>
      <c r="O14406" s="36" t="s">
        <v>48</v>
      </c>
      <c r="R14406" s="36" t="s">
        <v>48</v>
      </c>
    </row>
    <row r="14407">
      <c r="H14407" s="50"/>
      <c r="I14407" s="50"/>
      <c r="O14407" s="36" t="s">
        <v>48</v>
      </c>
      <c r="R14407" s="36" t="s">
        <v>48</v>
      </c>
    </row>
    <row r="14408">
      <c r="H14408" s="50"/>
      <c r="I14408" s="50"/>
      <c r="O14408" s="36" t="s">
        <v>48</v>
      </c>
      <c r="R14408" s="36" t="s">
        <v>48</v>
      </c>
    </row>
    <row r="14409">
      <c r="H14409" s="50"/>
      <c r="I14409" s="50"/>
      <c r="O14409" s="36" t="s">
        <v>48</v>
      </c>
      <c r="R14409" s="36" t="s">
        <v>48</v>
      </c>
    </row>
    <row r="14410">
      <c r="H14410" s="50"/>
      <c r="I14410" s="50"/>
      <c r="O14410" s="36" t="s">
        <v>48</v>
      </c>
      <c r="R14410" s="36" t="s">
        <v>48</v>
      </c>
    </row>
    <row r="14411">
      <c r="H14411" s="50"/>
      <c r="I14411" s="50"/>
      <c r="O14411" s="36" t="s">
        <v>48</v>
      </c>
      <c r="R14411" s="36" t="s">
        <v>48</v>
      </c>
    </row>
    <row r="14412">
      <c r="H14412" s="50"/>
      <c r="I14412" s="50"/>
      <c r="O14412" s="36" t="s">
        <v>48</v>
      </c>
      <c r="R14412" s="36" t="s">
        <v>48</v>
      </c>
    </row>
    <row r="14413">
      <c r="H14413" s="50"/>
      <c r="I14413" s="50"/>
      <c r="O14413" s="36" t="s">
        <v>48</v>
      </c>
      <c r="R14413" s="36" t="s">
        <v>48</v>
      </c>
    </row>
    <row r="14414">
      <c r="H14414" s="50"/>
      <c r="I14414" s="50"/>
      <c r="O14414" s="36" t="s">
        <v>48</v>
      </c>
      <c r="R14414" s="36" t="s">
        <v>48</v>
      </c>
    </row>
    <row r="14415">
      <c r="H14415" s="50"/>
      <c r="I14415" s="50"/>
      <c r="O14415" s="36" t="s">
        <v>48</v>
      </c>
      <c r="R14415" s="36" t="s">
        <v>48</v>
      </c>
    </row>
    <row r="14416">
      <c r="H14416" s="50"/>
      <c r="I14416" s="50"/>
      <c r="O14416" s="36" t="s">
        <v>48</v>
      </c>
      <c r="R14416" s="36" t="s">
        <v>48</v>
      </c>
    </row>
    <row r="14417">
      <c r="H14417" s="50"/>
      <c r="I14417" s="50"/>
      <c r="O14417" s="36" t="s">
        <v>48</v>
      </c>
      <c r="R14417" s="36" t="s">
        <v>48</v>
      </c>
    </row>
    <row r="14418">
      <c r="H14418" s="50"/>
      <c r="I14418" s="50"/>
      <c r="O14418" s="36" t="s">
        <v>48</v>
      </c>
      <c r="R14418" s="36" t="s">
        <v>48</v>
      </c>
    </row>
    <row r="14419">
      <c r="H14419" s="50"/>
      <c r="I14419" s="50"/>
      <c r="O14419" s="36" t="s">
        <v>48</v>
      </c>
      <c r="R14419" s="36" t="s">
        <v>48</v>
      </c>
    </row>
    <row r="14420">
      <c r="H14420" s="50"/>
      <c r="I14420" s="50"/>
      <c r="O14420" s="36" t="s">
        <v>48</v>
      </c>
      <c r="R14420" s="36" t="s">
        <v>48</v>
      </c>
    </row>
    <row r="14421">
      <c r="H14421" s="50"/>
      <c r="I14421" s="50"/>
      <c r="O14421" s="36" t="s">
        <v>48</v>
      </c>
      <c r="R14421" s="36" t="s">
        <v>48</v>
      </c>
    </row>
    <row r="14422">
      <c r="H14422" s="50"/>
      <c r="I14422" s="50"/>
      <c r="O14422" s="36" t="s">
        <v>48</v>
      </c>
      <c r="R14422" s="36" t="s">
        <v>48</v>
      </c>
    </row>
    <row r="14423">
      <c r="H14423" s="50"/>
      <c r="I14423" s="50"/>
      <c r="O14423" s="36" t="s">
        <v>48</v>
      </c>
      <c r="R14423" s="36" t="s">
        <v>48</v>
      </c>
    </row>
    <row r="14424">
      <c r="H14424" s="50"/>
      <c r="I14424" s="50"/>
      <c r="O14424" s="36" t="s">
        <v>48</v>
      </c>
      <c r="R14424" s="36" t="s">
        <v>48</v>
      </c>
    </row>
    <row r="14425">
      <c r="H14425" s="50"/>
      <c r="I14425" s="50"/>
      <c r="O14425" s="36" t="s">
        <v>48</v>
      </c>
      <c r="R14425" s="36" t="s">
        <v>48</v>
      </c>
    </row>
    <row r="14426">
      <c r="H14426" s="50"/>
      <c r="I14426" s="50"/>
      <c r="O14426" s="36" t="s">
        <v>48</v>
      </c>
      <c r="R14426" s="36" t="s">
        <v>48</v>
      </c>
    </row>
    <row r="14427">
      <c r="H14427" s="50"/>
      <c r="I14427" s="50"/>
      <c r="O14427" s="36" t="s">
        <v>48</v>
      </c>
      <c r="R14427" s="36" t="s">
        <v>48</v>
      </c>
    </row>
    <row r="14428">
      <c r="H14428" s="50"/>
      <c r="I14428" s="50"/>
      <c r="O14428" s="36" t="s">
        <v>48</v>
      </c>
      <c r="R14428" s="36" t="s">
        <v>48</v>
      </c>
    </row>
    <row r="14429">
      <c r="H14429" s="50"/>
      <c r="I14429" s="50"/>
      <c r="O14429" s="36" t="s">
        <v>48</v>
      </c>
      <c r="R14429" s="36" t="s">
        <v>48</v>
      </c>
    </row>
    <row r="14430">
      <c r="H14430" s="50"/>
      <c r="I14430" s="50"/>
      <c r="O14430" s="36" t="s">
        <v>48</v>
      </c>
      <c r="R14430" s="36" t="s">
        <v>48</v>
      </c>
    </row>
    <row r="14431">
      <c r="H14431" s="50"/>
      <c r="I14431" s="50"/>
      <c r="O14431" s="36" t="s">
        <v>48</v>
      </c>
      <c r="R14431" s="36" t="s">
        <v>48</v>
      </c>
    </row>
    <row r="14432">
      <c r="H14432" s="50"/>
      <c r="I14432" s="50"/>
      <c r="O14432" s="36" t="s">
        <v>48</v>
      </c>
      <c r="R14432" s="36" t="s">
        <v>48</v>
      </c>
    </row>
    <row r="14433">
      <c r="H14433" s="50"/>
      <c r="I14433" s="50"/>
      <c r="O14433" s="36" t="s">
        <v>48</v>
      </c>
      <c r="R14433" s="36" t="s">
        <v>48</v>
      </c>
    </row>
    <row r="14434">
      <c r="H14434" s="50"/>
      <c r="I14434" s="50"/>
      <c r="O14434" s="36" t="s">
        <v>48</v>
      </c>
      <c r="R14434" s="36" t="s">
        <v>48</v>
      </c>
    </row>
    <row r="14435">
      <c r="H14435" s="50"/>
      <c r="I14435" s="50"/>
      <c r="O14435" s="36" t="s">
        <v>48</v>
      </c>
      <c r="R14435" s="36" t="s">
        <v>48</v>
      </c>
    </row>
    <row r="14436">
      <c r="H14436" s="50"/>
      <c r="I14436" s="50"/>
      <c r="O14436" s="36" t="s">
        <v>48</v>
      </c>
      <c r="R14436" s="36" t="s">
        <v>48</v>
      </c>
    </row>
    <row r="14437">
      <c r="H14437" s="50"/>
      <c r="I14437" s="50"/>
      <c r="O14437" s="36" t="s">
        <v>48</v>
      </c>
      <c r="R14437" s="36" t="s">
        <v>48</v>
      </c>
    </row>
    <row r="14438">
      <c r="H14438" s="50"/>
      <c r="I14438" s="50"/>
      <c r="O14438" s="36" t="s">
        <v>48</v>
      </c>
      <c r="R14438" s="36" t="s">
        <v>48</v>
      </c>
    </row>
    <row r="14439">
      <c r="H14439" s="50"/>
      <c r="I14439" s="50"/>
      <c r="O14439" s="36" t="s">
        <v>48</v>
      </c>
      <c r="R14439" s="36" t="s">
        <v>48</v>
      </c>
    </row>
    <row r="14440">
      <c r="H14440" s="50"/>
      <c r="I14440" s="50"/>
      <c r="O14440" s="36" t="s">
        <v>48</v>
      </c>
      <c r="R14440" s="36" t="s">
        <v>48</v>
      </c>
    </row>
    <row r="14441">
      <c r="H14441" s="50"/>
      <c r="I14441" s="50"/>
      <c r="O14441" s="36" t="s">
        <v>48</v>
      </c>
      <c r="R14441" s="36" t="s">
        <v>48</v>
      </c>
    </row>
    <row r="14442">
      <c r="H14442" s="50"/>
      <c r="I14442" s="50"/>
      <c r="O14442" s="36" t="s">
        <v>48</v>
      </c>
      <c r="R14442" s="36" t="s">
        <v>48</v>
      </c>
    </row>
    <row r="14443">
      <c r="H14443" s="50"/>
      <c r="I14443" s="50"/>
      <c r="O14443" s="36" t="s">
        <v>48</v>
      </c>
      <c r="R14443" s="36" t="s">
        <v>48</v>
      </c>
    </row>
    <row r="14444">
      <c r="H14444" s="50"/>
      <c r="I14444" s="50"/>
      <c r="O14444" s="36" t="s">
        <v>48</v>
      </c>
      <c r="R14444" s="36" t="s">
        <v>48</v>
      </c>
    </row>
    <row r="14445">
      <c r="H14445" s="50"/>
      <c r="I14445" s="50"/>
      <c r="O14445" s="36" t="s">
        <v>48</v>
      </c>
      <c r="R14445" s="36" t="s">
        <v>48</v>
      </c>
    </row>
    <row r="14446">
      <c r="H14446" s="50"/>
      <c r="I14446" s="50"/>
      <c r="O14446" s="36" t="s">
        <v>48</v>
      </c>
      <c r="R14446" s="36" t="s">
        <v>48</v>
      </c>
    </row>
    <row r="14447">
      <c r="H14447" s="50"/>
      <c r="I14447" s="50"/>
      <c r="O14447" s="36" t="s">
        <v>48</v>
      </c>
      <c r="R14447" s="36" t="s">
        <v>48</v>
      </c>
    </row>
    <row r="14448">
      <c r="H14448" s="50"/>
      <c r="I14448" s="50"/>
      <c r="O14448" s="36" t="s">
        <v>48</v>
      </c>
      <c r="R14448" s="36" t="s">
        <v>48</v>
      </c>
    </row>
    <row r="14449">
      <c r="H14449" s="50"/>
      <c r="I14449" s="50"/>
      <c r="O14449" s="36" t="s">
        <v>48</v>
      </c>
      <c r="R14449" s="36" t="s">
        <v>48</v>
      </c>
    </row>
    <row r="14450">
      <c r="H14450" s="50"/>
      <c r="I14450" s="50"/>
      <c r="O14450" s="36" t="s">
        <v>48</v>
      </c>
      <c r="R14450" s="36" t="s">
        <v>48</v>
      </c>
    </row>
    <row r="14451">
      <c r="H14451" s="50"/>
      <c r="I14451" s="50"/>
      <c r="O14451" s="36" t="s">
        <v>48</v>
      </c>
      <c r="R14451" s="36" t="s">
        <v>48</v>
      </c>
    </row>
    <row r="14452">
      <c r="H14452" s="50"/>
      <c r="I14452" s="50"/>
      <c r="O14452" s="36" t="s">
        <v>48</v>
      </c>
      <c r="R14452" s="36" t="s">
        <v>48</v>
      </c>
    </row>
    <row r="14453">
      <c r="H14453" s="50"/>
      <c r="I14453" s="50"/>
      <c r="O14453" s="36" t="s">
        <v>48</v>
      </c>
      <c r="R14453" s="36" t="s">
        <v>48</v>
      </c>
    </row>
    <row r="14454">
      <c r="H14454" s="50"/>
      <c r="I14454" s="50"/>
      <c r="O14454" s="36" t="s">
        <v>48</v>
      </c>
      <c r="R14454" s="36" t="s">
        <v>48</v>
      </c>
    </row>
    <row r="14455">
      <c r="H14455" s="50"/>
      <c r="I14455" s="50"/>
      <c r="O14455" s="36" t="s">
        <v>48</v>
      </c>
      <c r="R14455" s="36" t="s">
        <v>48</v>
      </c>
    </row>
    <row r="14456">
      <c r="H14456" s="50"/>
      <c r="I14456" s="50"/>
      <c r="O14456" s="36" t="s">
        <v>48</v>
      </c>
      <c r="R14456" s="36" t="s">
        <v>48</v>
      </c>
    </row>
    <row r="14457">
      <c r="H14457" s="50"/>
      <c r="I14457" s="50"/>
      <c r="O14457" s="36" t="s">
        <v>48</v>
      </c>
      <c r="R14457" s="36" t="s">
        <v>48</v>
      </c>
    </row>
    <row r="14458">
      <c r="H14458" s="50"/>
      <c r="I14458" s="50"/>
      <c r="O14458" s="36" t="s">
        <v>48</v>
      </c>
      <c r="R14458" s="36" t="s">
        <v>48</v>
      </c>
    </row>
    <row r="14459">
      <c r="H14459" s="50"/>
      <c r="I14459" s="50"/>
      <c r="O14459" s="36" t="s">
        <v>48</v>
      </c>
      <c r="R14459" s="36" t="s">
        <v>48</v>
      </c>
    </row>
    <row r="14460">
      <c r="H14460" s="50"/>
      <c r="I14460" s="50"/>
      <c r="O14460" s="36" t="s">
        <v>48</v>
      </c>
      <c r="R14460" s="36" t="s">
        <v>48</v>
      </c>
    </row>
    <row r="14461">
      <c r="H14461" s="50"/>
      <c r="I14461" s="50"/>
      <c r="O14461" s="36" t="s">
        <v>48</v>
      </c>
      <c r="R14461" s="36" t="s">
        <v>48</v>
      </c>
    </row>
    <row r="14462">
      <c r="H14462" s="50"/>
      <c r="I14462" s="50"/>
      <c r="O14462" s="36" t="s">
        <v>48</v>
      </c>
      <c r="R14462" s="36" t="s">
        <v>48</v>
      </c>
    </row>
    <row r="14463">
      <c r="H14463" s="50"/>
      <c r="I14463" s="50"/>
      <c r="O14463" s="36" t="s">
        <v>48</v>
      </c>
      <c r="R14463" s="36" t="s">
        <v>48</v>
      </c>
    </row>
    <row r="14464">
      <c r="H14464" s="50"/>
      <c r="I14464" s="50"/>
      <c r="O14464" s="36" t="s">
        <v>48</v>
      </c>
      <c r="R14464" s="36" t="s">
        <v>48</v>
      </c>
    </row>
    <row r="14465">
      <c r="H14465" s="50"/>
      <c r="I14465" s="50"/>
      <c r="O14465" s="36" t="s">
        <v>48</v>
      </c>
      <c r="R14465" s="36" t="s">
        <v>48</v>
      </c>
    </row>
    <row r="14466">
      <c r="H14466" s="50"/>
      <c r="I14466" s="50"/>
      <c r="O14466" s="36" t="s">
        <v>48</v>
      </c>
      <c r="R14466" s="36" t="s">
        <v>48</v>
      </c>
    </row>
    <row r="14467">
      <c r="H14467" s="50"/>
      <c r="I14467" s="50"/>
      <c r="O14467" s="36" t="s">
        <v>48</v>
      </c>
      <c r="R14467" s="36" t="s">
        <v>48</v>
      </c>
    </row>
    <row r="14468">
      <c r="H14468" s="50"/>
      <c r="I14468" s="50"/>
      <c r="O14468" s="36" t="s">
        <v>48</v>
      </c>
      <c r="R14468" s="36" t="s">
        <v>48</v>
      </c>
    </row>
    <row r="14469">
      <c r="H14469" s="50"/>
      <c r="I14469" s="50"/>
      <c r="O14469" s="36" t="s">
        <v>48</v>
      </c>
      <c r="R14469" s="36" t="s">
        <v>48</v>
      </c>
    </row>
    <row r="14470">
      <c r="H14470" s="50"/>
      <c r="I14470" s="50"/>
      <c r="O14470" s="36" t="s">
        <v>48</v>
      </c>
      <c r="R14470" s="36" t="s">
        <v>48</v>
      </c>
    </row>
    <row r="14471">
      <c r="H14471" s="50"/>
      <c r="I14471" s="50"/>
      <c r="O14471" s="36" t="s">
        <v>48</v>
      </c>
      <c r="R14471" s="36" t="s">
        <v>48</v>
      </c>
    </row>
    <row r="14472">
      <c r="H14472" s="50"/>
      <c r="I14472" s="50"/>
      <c r="O14472" s="36" t="s">
        <v>48</v>
      </c>
      <c r="R14472" s="36" t="s">
        <v>48</v>
      </c>
    </row>
    <row r="14473">
      <c r="H14473" s="50"/>
      <c r="I14473" s="50"/>
      <c r="O14473" s="36" t="s">
        <v>48</v>
      </c>
      <c r="R14473" s="36" t="s">
        <v>48</v>
      </c>
    </row>
    <row r="14474">
      <c r="H14474" s="50"/>
      <c r="I14474" s="50"/>
      <c r="O14474" s="36" t="s">
        <v>48</v>
      </c>
      <c r="R14474" s="36" t="s">
        <v>48</v>
      </c>
    </row>
    <row r="14475">
      <c r="H14475" s="50"/>
      <c r="I14475" s="50"/>
      <c r="O14475" s="36" t="s">
        <v>48</v>
      </c>
      <c r="R14475" s="36" t="s">
        <v>48</v>
      </c>
    </row>
    <row r="14476">
      <c r="H14476" s="50"/>
      <c r="I14476" s="50"/>
      <c r="O14476" s="36" t="s">
        <v>48</v>
      </c>
      <c r="R14476" s="36" t="s">
        <v>48</v>
      </c>
    </row>
    <row r="14477">
      <c r="H14477" s="50"/>
      <c r="I14477" s="50"/>
      <c r="O14477" s="36" t="s">
        <v>48</v>
      </c>
      <c r="R14477" s="36" t="s">
        <v>48</v>
      </c>
    </row>
    <row r="14478">
      <c r="H14478" s="50"/>
      <c r="I14478" s="50"/>
      <c r="O14478" s="36" t="s">
        <v>48</v>
      </c>
      <c r="R14478" s="36" t="s">
        <v>48</v>
      </c>
    </row>
    <row r="14479">
      <c r="H14479" s="50"/>
      <c r="I14479" s="50"/>
      <c r="O14479" s="36" t="s">
        <v>48</v>
      </c>
      <c r="R14479" s="36" t="s">
        <v>48</v>
      </c>
    </row>
    <row r="14480">
      <c r="H14480" s="50"/>
      <c r="I14480" s="50"/>
      <c r="O14480" s="36" t="s">
        <v>48</v>
      </c>
      <c r="R14480" s="36" t="s">
        <v>48</v>
      </c>
    </row>
    <row r="14481">
      <c r="H14481" s="50"/>
      <c r="I14481" s="50"/>
      <c r="O14481" s="36" t="s">
        <v>48</v>
      </c>
      <c r="R14481" s="36" t="s">
        <v>48</v>
      </c>
    </row>
    <row r="14482">
      <c r="H14482" s="50"/>
      <c r="I14482" s="50"/>
      <c r="O14482" s="36" t="s">
        <v>48</v>
      </c>
      <c r="R14482" s="36" t="s">
        <v>48</v>
      </c>
    </row>
    <row r="14483">
      <c r="H14483" s="50"/>
      <c r="I14483" s="50"/>
      <c r="O14483" s="36" t="s">
        <v>48</v>
      </c>
      <c r="R14483" s="36" t="s">
        <v>48</v>
      </c>
    </row>
    <row r="14484">
      <c r="H14484" s="50"/>
      <c r="I14484" s="50"/>
      <c r="O14484" s="36" t="s">
        <v>48</v>
      </c>
      <c r="R14484" s="36" t="s">
        <v>48</v>
      </c>
    </row>
    <row r="14485">
      <c r="H14485" s="50"/>
      <c r="I14485" s="50"/>
      <c r="O14485" s="36" t="s">
        <v>48</v>
      </c>
      <c r="R14485" s="36" t="s">
        <v>48</v>
      </c>
    </row>
    <row r="14486">
      <c r="H14486" s="50"/>
      <c r="I14486" s="50"/>
      <c r="O14486" s="36" t="s">
        <v>48</v>
      </c>
      <c r="R14486" s="36" t="s">
        <v>48</v>
      </c>
    </row>
    <row r="14487">
      <c r="H14487" s="50"/>
      <c r="I14487" s="50"/>
      <c r="O14487" s="36" t="s">
        <v>48</v>
      </c>
      <c r="R14487" s="36" t="s">
        <v>48</v>
      </c>
    </row>
    <row r="14488">
      <c r="H14488" s="50"/>
      <c r="I14488" s="50"/>
      <c r="O14488" s="36" t="s">
        <v>48</v>
      </c>
      <c r="R14488" s="36" t="s">
        <v>48</v>
      </c>
    </row>
    <row r="14489">
      <c r="H14489" s="50"/>
      <c r="I14489" s="50"/>
      <c r="O14489" s="36" t="s">
        <v>48</v>
      </c>
      <c r="R14489" s="36" t="s">
        <v>48</v>
      </c>
    </row>
    <row r="14490">
      <c r="H14490" s="50"/>
      <c r="I14490" s="50"/>
      <c r="O14490" s="36" t="s">
        <v>48</v>
      </c>
      <c r="R14490" s="36" t="s">
        <v>48</v>
      </c>
    </row>
    <row r="14491">
      <c r="H14491" s="50"/>
      <c r="I14491" s="50"/>
      <c r="O14491" s="36" t="s">
        <v>48</v>
      </c>
      <c r="R14491" s="36" t="s">
        <v>48</v>
      </c>
    </row>
    <row r="14492">
      <c r="H14492" s="50"/>
      <c r="I14492" s="50"/>
      <c r="O14492" s="36" t="s">
        <v>48</v>
      </c>
      <c r="R14492" s="36" t="s">
        <v>48</v>
      </c>
    </row>
    <row r="14493">
      <c r="H14493" s="50"/>
      <c r="I14493" s="50"/>
      <c r="O14493" s="36" t="s">
        <v>48</v>
      </c>
      <c r="R14493" s="36" t="s">
        <v>48</v>
      </c>
    </row>
    <row r="14494">
      <c r="H14494" s="50"/>
      <c r="I14494" s="50"/>
      <c r="O14494" s="36" t="s">
        <v>48</v>
      </c>
      <c r="R14494" s="36" t="s">
        <v>48</v>
      </c>
    </row>
    <row r="14495">
      <c r="H14495" s="50"/>
      <c r="I14495" s="50"/>
      <c r="O14495" s="36" t="s">
        <v>48</v>
      </c>
      <c r="R14495" s="36" t="s">
        <v>48</v>
      </c>
    </row>
    <row r="14496">
      <c r="H14496" s="50"/>
      <c r="I14496" s="50"/>
      <c r="O14496" s="36" t="s">
        <v>48</v>
      </c>
      <c r="R14496" s="36" t="s">
        <v>48</v>
      </c>
    </row>
    <row r="14497">
      <c r="H14497" s="50"/>
      <c r="I14497" s="50"/>
      <c r="O14497" s="36" t="s">
        <v>48</v>
      </c>
      <c r="R14497" s="36" t="s">
        <v>48</v>
      </c>
    </row>
    <row r="14498">
      <c r="H14498" s="50"/>
      <c r="I14498" s="50"/>
      <c r="O14498" s="36" t="s">
        <v>48</v>
      </c>
      <c r="R14498" s="36" t="s">
        <v>48</v>
      </c>
    </row>
    <row r="14499">
      <c r="H14499" s="50"/>
      <c r="I14499" s="50"/>
      <c r="O14499" s="36" t="s">
        <v>48</v>
      </c>
      <c r="R14499" s="36" t="s">
        <v>48</v>
      </c>
    </row>
    <row r="14500">
      <c r="H14500" s="50"/>
      <c r="I14500" s="50"/>
      <c r="O14500" s="36" t="s">
        <v>48</v>
      </c>
      <c r="R14500" s="36" t="s">
        <v>48</v>
      </c>
    </row>
    <row r="14501">
      <c r="H14501" s="50"/>
      <c r="I14501" s="50"/>
      <c r="O14501" s="36" t="s">
        <v>48</v>
      </c>
      <c r="R14501" s="36" t="s">
        <v>48</v>
      </c>
    </row>
    <row r="14502">
      <c r="H14502" s="50"/>
      <c r="I14502" s="50"/>
      <c r="O14502" s="36" t="s">
        <v>48</v>
      </c>
      <c r="R14502" s="36" t="s">
        <v>48</v>
      </c>
    </row>
    <row r="14503">
      <c r="H14503" s="50"/>
      <c r="I14503" s="50"/>
      <c r="O14503" s="36" t="s">
        <v>48</v>
      </c>
      <c r="R14503" s="36" t="s">
        <v>48</v>
      </c>
    </row>
    <row r="14504">
      <c r="H14504" s="50"/>
      <c r="I14504" s="50"/>
      <c r="O14504" s="36" t="s">
        <v>48</v>
      </c>
      <c r="R14504" s="36" t="s">
        <v>48</v>
      </c>
    </row>
    <row r="14505">
      <c r="H14505" s="50"/>
      <c r="I14505" s="50"/>
      <c r="O14505" s="36" t="s">
        <v>48</v>
      </c>
      <c r="R14505" s="36" t="s">
        <v>48</v>
      </c>
    </row>
    <row r="14506">
      <c r="H14506" s="50"/>
      <c r="I14506" s="50"/>
      <c r="O14506" s="36" t="s">
        <v>48</v>
      </c>
      <c r="R14506" s="36" t="s">
        <v>48</v>
      </c>
    </row>
    <row r="14507">
      <c r="H14507" s="50"/>
      <c r="I14507" s="50"/>
      <c r="O14507" s="36" t="s">
        <v>48</v>
      </c>
      <c r="R14507" s="36" t="s">
        <v>48</v>
      </c>
    </row>
    <row r="14508">
      <c r="H14508" s="50"/>
      <c r="I14508" s="50"/>
      <c r="O14508" s="36" t="s">
        <v>48</v>
      </c>
      <c r="R14508" s="36" t="s">
        <v>48</v>
      </c>
    </row>
    <row r="14509">
      <c r="H14509" s="50"/>
      <c r="I14509" s="50"/>
      <c r="O14509" s="36" t="s">
        <v>48</v>
      </c>
      <c r="R14509" s="36" t="s">
        <v>48</v>
      </c>
    </row>
    <row r="14510">
      <c r="H14510" s="50"/>
      <c r="I14510" s="50"/>
      <c r="O14510" s="36" t="s">
        <v>48</v>
      </c>
      <c r="R14510" s="36" t="s">
        <v>48</v>
      </c>
    </row>
    <row r="14511">
      <c r="H14511" s="50"/>
      <c r="I14511" s="50"/>
      <c r="O14511" s="36" t="s">
        <v>48</v>
      </c>
      <c r="R14511" s="36" t="s">
        <v>48</v>
      </c>
    </row>
    <row r="14512">
      <c r="H14512" s="50"/>
      <c r="I14512" s="50"/>
      <c r="O14512" s="36" t="s">
        <v>48</v>
      </c>
      <c r="R14512" s="36" t="s">
        <v>48</v>
      </c>
    </row>
    <row r="14513">
      <c r="H14513" s="50"/>
      <c r="I14513" s="50"/>
      <c r="O14513" s="36" t="s">
        <v>48</v>
      </c>
      <c r="R14513" s="36" t="s">
        <v>48</v>
      </c>
    </row>
    <row r="14514">
      <c r="H14514" s="50"/>
      <c r="I14514" s="50"/>
      <c r="O14514" s="36" t="s">
        <v>48</v>
      </c>
      <c r="R14514" s="36" t="s">
        <v>48</v>
      </c>
    </row>
    <row r="14515">
      <c r="H14515" s="50"/>
      <c r="I14515" s="50"/>
      <c r="O14515" s="36" t="s">
        <v>48</v>
      </c>
      <c r="R14515" s="36" t="s">
        <v>48</v>
      </c>
    </row>
    <row r="14516">
      <c r="H14516" s="50"/>
      <c r="I14516" s="50"/>
      <c r="O14516" s="36" t="s">
        <v>48</v>
      </c>
      <c r="R14516" s="36" t="s">
        <v>48</v>
      </c>
    </row>
    <row r="14517">
      <c r="H14517" s="50"/>
      <c r="I14517" s="50"/>
      <c r="O14517" s="36" t="s">
        <v>48</v>
      </c>
      <c r="R14517" s="36" t="s">
        <v>48</v>
      </c>
    </row>
    <row r="14518">
      <c r="H14518" s="50"/>
      <c r="I14518" s="50"/>
      <c r="O14518" s="36" t="s">
        <v>48</v>
      </c>
      <c r="R14518" s="36" t="s">
        <v>48</v>
      </c>
    </row>
    <row r="14519">
      <c r="H14519" s="50"/>
      <c r="I14519" s="50"/>
      <c r="O14519" s="36" t="s">
        <v>48</v>
      </c>
      <c r="R14519" s="36" t="s">
        <v>48</v>
      </c>
    </row>
    <row r="14520">
      <c r="H14520" s="50"/>
      <c r="I14520" s="50"/>
      <c r="O14520" s="36" t="s">
        <v>48</v>
      </c>
      <c r="R14520" s="36" t="s">
        <v>48</v>
      </c>
    </row>
    <row r="14521">
      <c r="H14521" s="50"/>
      <c r="I14521" s="50"/>
      <c r="O14521" s="36" t="s">
        <v>48</v>
      </c>
      <c r="R14521" s="36" t="s">
        <v>48</v>
      </c>
    </row>
    <row r="14522">
      <c r="H14522" s="50"/>
      <c r="I14522" s="50"/>
      <c r="O14522" s="36" t="s">
        <v>48</v>
      </c>
      <c r="R14522" s="36" t="s">
        <v>48</v>
      </c>
    </row>
    <row r="14523">
      <c r="H14523" s="50"/>
      <c r="I14523" s="50"/>
      <c r="O14523" s="36" t="s">
        <v>48</v>
      </c>
      <c r="R14523" s="36" t="s">
        <v>48</v>
      </c>
    </row>
    <row r="14524">
      <c r="H14524" s="50"/>
      <c r="I14524" s="50"/>
      <c r="O14524" s="36" t="s">
        <v>48</v>
      </c>
      <c r="R14524" s="36" t="s">
        <v>48</v>
      </c>
    </row>
    <row r="14525">
      <c r="H14525" s="50"/>
      <c r="I14525" s="50"/>
      <c r="O14525" s="36" t="s">
        <v>48</v>
      </c>
      <c r="R14525" s="36" t="s">
        <v>48</v>
      </c>
    </row>
    <row r="14526">
      <c r="H14526" s="50"/>
      <c r="I14526" s="50"/>
      <c r="O14526" s="36" t="s">
        <v>48</v>
      </c>
      <c r="R14526" s="36" t="s">
        <v>48</v>
      </c>
    </row>
    <row r="14527">
      <c r="H14527" s="50"/>
      <c r="I14527" s="50"/>
      <c r="O14527" s="36" t="s">
        <v>48</v>
      </c>
      <c r="R14527" s="36" t="s">
        <v>48</v>
      </c>
    </row>
    <row r="14528">
      <c r="H14528" s="50"/>
      <c r="I14528" s="50"/>
      <c r="O14528" s="36" t="s">
        <v>48</v>
      </c>
      <c r="R14528" s="36" t="s">
        <v>48</v>
      </c>
    </row>
    <row r="14529">
      <c r="H14529" s="50"/>
      <c r="I14529" s="50"/>
      <c r="O14529" s="36" t="s">
        <v>48</v>
      </c>
      <c r="R14529" s="36" t="s">
        <v>48</v>
      </c>
    </row>
    <row r="14530">
      <c r="H14530" s="50"/>
      <c r="I14530" s="50"/>
      <c r="O14530" s="36" t="s">
        <v>48</v>
      </c>
      <c r="R14530" s="36" t="s">
        <v>48</v>
      </c>
    </row>
    <row r="14531">
      <c r="H14531" s="50"/>
      <c r="I14531" s="50"/>
      <c r="O14531" s="36" t="s">
        <v>48</v>
      </c>
      <c r="R14531" s="36" t="s">
        <v>48</v>
      </c>
    </row>
    <row r="14532">
      <c r="H14532" s="50"/>
      <c r="I14532" s="50"/>
      <c r="O14532" s="36" t="s">
        <v>48</v>
      </c>
      <c r="R14532" s="36" t="s">
        <v>48</v>
      </c>
    </row>
    <row r="14533">
      <c r="H14533" s="50"/>
      <c r="I14533" s="50"/>
      <c r="O14533" s="36" t="s">
        <v>48</v>
      </c>
      <c r="R14533" s="36" t="s">
        <v>48</v>
      </c>
    </row>
    <row r="14534">
      <c r="H14534" s="50"/>
      <c r="I14534" s="50"/>
      <c r="O14534" s="36" t="s">
        <v>48</v>
      </c>
      <c r="R14534" s="36" t="s">
        <v>48</v>
      </c>
    </row>
    <row r="14535">
      <c r="H14535" s="50"/>
      <c r="I14535" s="50"/>
      <c r="O14535" s="36" t="s">
        <v>48</v>
      </c>
      <c r="R14535" s="36" t="s">
        <v>48</v>
      </c>
    </row>
    <row r="14536">
      <c r="H14536" s="50"/>
      <c r="I14536" s="50"/>
      <c r="O14536" s="36" t="s">
        <v>48</v>
      </c>
      <c r="R14536" s="36" t="s">
        <v>48</v>
      </c>
    </row>
    <row r="14537">
      <c r="H14537" s="50"/>
      <c r="I14537" s="50"/>
      <c r="O14537" s="36" t="s">
        <v>48</v>
      </c>
      <c r="R14537" s="36" t="s">
        <v>48</v>
      </c>
    </row>
    <row r="14538">
      <c r="H14538" s="50"/>
      <c r="I14538" s="50"/>
      <c r="O14538" s="36" t="s">
        <v>48</v>
      </c>
      <c r="R14538" s="36" t="s">
        <v>48</v>
      </c>
    </row>
    <row r="14539">
      <c r="H14539" s="50"/>
      <c r="I14539" s="50"/>
      <c r="O14539" s="36" t="s">
        <v>48</v>
      </c>
      <c r="R14539" s="36" t="s">
        <v>48</v>
      </c>
    </row>
    <row r="14540">
      <c r="H14540" s="50"/>
      <c r="I14540" s="50"/>
      <c r="O14540" s="36" t="s">
        <v>48</v>
      </c>
      <c r="R14540" s="36" t="s">
        <v>48</v>
      </c>
    </row>
    <row r="14541">
      <c r="H14541" s="50"/>
      <c r="I14541" s="50"/>
      <c r="O14541" s="36" t="s">
        <v>48</v>
      </c>
      <c r="R14541" s="36" t="s">
        <v>48</v>
      </c>
    </row>
    <row r="14542">
      <c r="H14542" s="50"/>
      <c r="I14542" s="50"/>
      <c r="O14542" s="36" t="s">
        <v>48</v>
      </c>
      <c r="R14542" s="36" t="s">
        <v>48</v>
      </c>
    </row>
    <row r="14543">
      <c r="H14543" s="50"/>
      <c r="I14543" s="50"/>
      <c r="O14543" s="36" t="s">
        <v>48</v>
      </c>
      <c r="R14543" s="36" t="s">
        <v>48</v>
      </c>
    </row>
    <row r="14544">
      <c r="H14544" s="50"/>
      <c r="I14544" s="50"/>
      <c r="O14544" s="36" t="s">
        <v>48</v>
      </c>
      <c r="R14544" s="36" t="s">
        <v>48</v>
      </c>
    </row>
    <row r="14545">
      <c r="H14545" s="50"/>
      <c r="I14545" s="50"/>
      <c r="O14545" s="36" t="s">
        <v>48</v>
      </c>
      <c r="R14545" s="36" t="s">
        <v>48</v>
      </c>
    </row>
    <row r="14546">
      <c r="H14546" s="50"/>
      <c r="I14546" s="50"/>
      <c r="O14546" s="36" t="s">
        <v>48</v>
      </c>
      <c r="R14546" s="36" t="s">
        <v>48</v>
      </c>
    </row>
    <row r="14547">
      <c r="H14547" s="50"/>
      <c r="I14547" s="50"/>
      <c r="O14547" s="36" t="s">
        <v>48</v>
      </c>
      <c r="R14547" s="36" t="s">
        <v>48</v>
      </c>
    </row>
    <row r="14548">
      <c r="H14548" s="50"/>
      <c r="I14548" s="50"/>
      <c r="O14548" s="36" t="s">
        <v>48</v>
      </c>
      <c r="R14548" s="36" t="s">
        <v>48</v>
      </c>
    </row>
    <row r="14549">
      <c r="H14549" s="50"/>
      <c r="I14549" s="50"/>
      <c r="O14549" s="36" t="s">
        <v>48</v>
      </c>
      <c r="R14549" s="36" t="s">
        <v>48</v>
      </c>
    </row>
    <row r="14550">
      <c r="H14550" s="50"/>
      <c r="I14550" s="50"/>
      <c r="O14550" s="36" t="s">
        <v>48</v>
      </c>
      <c r="R14550" s="36" t="s">
        <v>48</v>
      </c>
    </row>
    <row r="14551">
      <c r="H14551" s="50"/>
      <c r="I14551" s="50"/>
      <c r="O14551" s="36" t="s">
        <v>48</v>
      </c>
      <c r="R14551" s="36" t="s">
        <v>48</v>
      </c>
    </row>
    <row r="14552">
      <c r="H14552" s="50"/>
      <c r="I14552" s="50"/>
      <c r="O14552" s="36" t="s">
        <v>48</v>
      </c>
      <c r="R14552" s="36" t="s">
        <v>48</v>
      </c>
    </row>
    <row r="14553">
      <c r="H14553" s="50"/>
      <c r="I14553" s="50"/>
      <c r="O14553" s="36" t="s">
        <v>48</v>
      </c>
      <c r="R14553" s="36" t="s">
        <v>48</v>
      </c>
    </row>
    <row r="14554">
      <c r="H14554" s="50"/>
      <c r="I14554" s="50"/>
      <c r="O14554" s="36" t="s">
        <v>48</v>
      </c>
      <c r="R14554" s="36" t="s">
        <v>48</v>
      </c>
    </row>
    <row r="14555">
      <c r="H14555" s="50"/>
      <c r="I14555" s="50"/>
      <c r="O14555" s="36" t="s">
        <v>48</v>
      </c>
      <c r="R14555" s="36" t="s">
        <v>48</v>
      </c>
    </row>
    <row r="14556">
      <c r="H14556" s="50"/>
      <c r="I14556" s="50"/>
      <c r="O14556" s="36" t="s">
        <v>48</v>
      </c>
      <c r="R14556" s="36" t="s">
        <v>48</v>
      </c>
    </row>
    <row r="14557">
      <c r="H14557" s="50"/>
      <c r="I14557" s="50"/>
      <c r="O14557" s="36" t="s">
        <v>48</v>
      </c>
      <c r="R14557" s="36" t="s">
        <v>48</v>
      </c>
    </row>
    <row r="14558">
      <c r="H14558" s="50"/>
      <c r="I14558" s="50"/>
      <c r="O14558" s="36" t="s">
        <v>48</v>
      </c>
      <c r="R14558" s="36" t="s">
        <v>48</v>
      </c>
    </row>
    <row r="14559">
      <c r="H14559" s="50"/>
      <c r="I14559" s="50"/>
      <c r="O14559" s="36" t="s">
        <v>48</v>
      </c>
      <c r="R14559" s="36" t="s">
        <v>48</v>
      </c>
    </row>
    <row r="14560">
      <c r="H14560" s="50"/>
      <c r="I14560" s="50"/>
      <c r="O14560" s="36" t="s">
        <v>48</v>
      </c>
      <c r="R14560" s="36" t="s">
        <v>48</v>
      </c>
    </row>
    <row r="14561">
      <c r="H14561" s="50"/>
      <c r="I14561" s="50"/>
      <c r="O14561" s="36" t="s">
        <v>48</v>
      </c>
      <c r="R14561" s="36" t="s">
        <v>48</v>
      </c>
    </row>
    <row r="14562">
      <c r="H14562" s="50"/>
      <c r="I14562" s="50"/>
      <c r="O14562" s="36" t="s">
        <v>48</v>
      </c>
      <c r="R14562" s="36" t="s">
        <v>48</v>
      </c>
    </row>
    <row r="14563">
      <c r="H14563" s="50"/>
      <c r="I14563" s="50"/>
      <c r="O14563" s="36" t="s">
        <v>48</v>
      </c>
      <c r="R14563" s="36" t="s">
        <v>48</v>
      </c>
    </row>
    <row r="14564">
      <c r="H14564" s="50"/>
      <c r="I14564" s="50"/>
      <c r="O14564" s="36" t="s">
        <v>48</v>
      </c>
      <c r="R14564" s="36" t="s">
        <v>48</v>
      </c>
    </row>
    <row r="14565">
      <c r="H14565" s="50"/>
      <c r="I14565" s="50"/>
      <c r="O14565" s="36" t="s">
        <v>48</v>
      </c>
      <c r="R14565" s="36" t="s">
        <v>48</v>
      </c>
    </row>
    <row r="14566">
      <c r="H14566" s="50"/>
      <c r="I14566" s="50"/>
      <c r="O14566" s="36" t="s">
        <v>48</v>
      </c>
      <c r="R14566" s="36" t="s">
        <v>48</v>
      </c>
    </row>
    <row r="14567">
      <c r="H14567" s="50"/>
      <c r="I14567" s="50"/>
      <c r="O14567" s="36" t="s">
        <v>48</v>
      </c>
      <c r="R14567" s="36" t="s">
        <v>48</v>
      </c>
    </row>
    <row r="14568">
      <c r="H14568" s="50"/>
      <c r="I14568" s="50"/>
      <c r="O14568" s="36" t="s">
        <v>48</v>
      </c>
      <c r="R14568" s="36" t="s">
        <v>48</v>
      </c>
    </row>
    <row r="14569">
      <c r="H14569" s="50"/>
      <c r="I14569" s="50"/>
      <c r="O14569" s="36" t="s">
        <v>48</v>
      </c>
      <c r="R14569" s="36" t="s">
        <v>48</v>
      </c>
    </row>
    <row r="14570">
      <c r="H14570" s="50"/>
      <c r="I14570" s="50"/>
      <c r="O14570" s="36" t="s">
        <v>48</v>
      </c>
      <c r="R14570" s="36" t="s">
        <v>48</v>
      </c>
    </row>
    <row r="14571">
      <c r="H14571" s="50"/>
      <c r="I14571" s="50"/>
      <c r="O14571" s="36" t="s">
        <v>48</v>
      </c>
      <c r="R14571" s="36" t="s">
        <v>48</v>
      </c>
    </row>
    <row r="14572">
      <c r="H14572" s="50"/>
      <c r="I14572" s="50"/>
      <c r="O14572" s="36" t="s">
        <v>48</v>
      </c>
      <c r="R14572" s="36" t="s">
        <v>48</v>
      </c>
    </row>
    <row r="14573">
      <c r="H14573" s="50"/>
      <c r="I14573" s="50"/>
      <c r="O14573" s="36" t="s">
        <v>48</v>
      </c>
      <c r="R14573" s="36" t="s">
        <v>48</v>
      </c>
    </row>
    <row r="14574">
      <c r="H14574" s="50"/>
      <c r="I14574" s="50"/>
      <c r="O14574" s="36" t="s">
        <v>48</v>
      </c>
      <c r="R14574" s="36" t="s">
        <v>48</v>
      </c>
    </row>
    <row r="14575">
      <c r="H14575" s="50"/>
      <c r="I14575" s="50"/>
      <c r="O14575" s="36" t="s">
        <v>48</v>
      </c>
      <c r="R14575" s="36" t="s">
        <v>48</v>
      </c>
    </row>
    <row r="14576">
      <c r="H14576" s="50"/>
      <c r="I14576" s="50"/>
      <c r="O14576" s="36" t="s">
        <v>48</v>
      </c>
      <c r="R14576" s="36" t="s">
        <v>48</v>
      </c>
    </row>
    <row r="14577">
      <c r="H14577" s="50"/>
      <c r="I14577" s="50"/>
      <c r="O14577" s="36" t="s">
        <v>48</v>
      </c>
      <c r="R14577" s="36" t="s">
        <v>48</v>
      </c>
    </row>
    <row r="14578">
      <c r="H14578" s="50"/>
      <c r="I14578" s="50"/>
      <c r="O14578" s="36" t="s">
        <v>48</v>
      </c>
      <c r="R14578" s="36" t="s">
        <v>48</v>
      </c>
    </row>
    <row r="14579">
      <c r="H14579" s="50"/>
      <c r="I14579" s="50"/>
      <c r="O14579" s="36" t="s">
        <v>48</v>
      </c>
      <c r="R14579" s="36" t="s">
        <v>48</v>
      </c>
    </row>
    <row r="14580">
      <c r="H14580" s="50"/>
      <c r="I14580" s="50"/>
      <c r="O14580" s="36" t="s">
        <v>48</v>
      </c>
      <c r="R14580" s="36" t="s">
        <v>48</v>
      </c>
    </row>
    <row r="14581">
      <c r="H14581" s="50"/>
      <c r="I14581" s="50"/>
      <c r="O14581" s="36" t="s">
        <v>48</v>
      </c>
      <c r="R14581" s="36" t="s">
        <v>48</v>
      </c>
    </row>
    <row r="14582">
      <c r="H14582" s="50"/>
      <c r="I14582" s="50"/>
      <c r="O14582" s="36" t="s">
        <v>48</v>
      </c>
      <c r="R14582" s="36" t="s">
        <v>48</v>
      </c>
    </row>
    <row r="14583">
      <c r="H14583" s="50"/>
      <c r="I14583" s="50"/>
      <c r="O14583" s="36" t="s">
        <v>48</v>
      </c>
      <c r="R14583" s="36" t="s">
        <v>48</v>
      </c>
    </row>
    <row r="14584">
      <c r="H14584" s="50"/>
      <c r="I14584" s="50"/>
      <c r="O14584" s="36" t="s">
        <v>48</v>
      </c>
      <c r="R14584" s="36" t="s">
        <v>48</v>
      </c>
    </row>
    <row r="14585">
      <c r="H14585" s="50"/>
      <c r="I14585" s="50"/>
      <c r="O14585" s="36" t="s">
        <v>48</v>
      </c>
      <c r="R14585" s="36" t="s">
        <v>48</v>
      </c>
    </row>
    <row r="14586">
      <c r="H14586" s="50"/>
      <c r="I14586" s="50"/>
      <c r="O14586" s="36" t="s">
        <v>48</v>
      </c>
      <c r="R14586" s="36" t="s">
        <v>48</v>
      </c>
    </row>
    <row r="14587">
      <c r="H14587" s="50"/>
      <c r="I14587" s="50"/>
      <c r="O14587" s="36" t="s">
        <v>48</v>
      </c>
      <c r="R14587" s="36" t="s">
        <v>48</v>
      </c>
    </row>
    <row r="14588">
      <c r="H14588" s="50"/>
      <c r="I14588" s="50"/>
      <c r="O14588" s="36" t="s">
        <v>48</v>
      </c>
      <c r="R14588" s="36" t="s">
        <v>48</v>
      </c>
    </row>
    <row r="14589">
      <c r="H14589" s="50"/>
      <c r="I14589" s="50"/>
      <c r="O14589" s="36" t="s">
        <v>48</v>
      </c>
      <c r="R14589" s="36" t="s">
        <v>48</v>
      </c>
    </row>
    <row r="14590">
      <c r="H14590" s="50"/>
      <c r="I14590" s="50"/>
      <c r="O14590" s="36" t="s">
        <v>48</v>
      </c>
      <c r="R14590" s="36" t="s">
        <v>48</v>
      </c>
    </row>
    <row r="14591">
      <c r="H14591" s="50"/>
      <c r="I14591" s="50"/>
      <c r="O14591" s="36" t="s">
        <v>48</v>
      </c>
      <c r="R14591" s="36" t="s">
        <v>48</v>
      </c>
    </row>
    <row r="14592">
      <c r="H14592" s="50"/>
      <c r="I14592" s="50"/>
      <c r="O14592" s="36" t="s">
        <v>48</v>
      </c>
      <c r="R14592" s="36" t="s">
        <v>48</v>
      </c>
    </row>
    <row r="14593">
      <c r="H14593" s="50"/>
      <c r="I14593" s="50"/>
      <c r="O14593" s="36" t="s">
        <v>48</v>
      </c>
      <c r="R14593" s="36" t="s">
        <v>48</v>
      </c>
    </row>
    <row r="14594">
      <c r="H14594" s="50"/>
      <c r="I14594" s="50"/>
      <c r="O14594" s="36" t="s">
        <v>48</v>
      </c>
      <c r="R14594" s="36" t="s">
        <v>48</v>
      </c>
    </row>
    <row r="14595">
      <c r="H14595" s="50"/>
      <c r="I14595" s="50"/>
      <c r="O14595" s="36" t="s">
        <v>48</v>
      </c>
      <c r="R14595" s="36" t="s">
        <v>48</v>
      </c>
    </row>
    <row r="14596">
      <c r="H14596" s="50"/>
      <c r="I14596" s="50"/>
      <c r="O14596" s="36" t="s">
        <v>48</v>
      </c>
      <c r="R14596" s="36" t="s">
        <v>48</v>
      </c>
    </row>
    <row r="14597">
      <c r="H14597" s="50"/>
      <c r="I14597" s="50"/>
      <c r="O14597" s="36" t="s">
        <v>48</v>
      </c>
      <c r="R14597" s="36" t="s">
        <v>48</v>
      </c>
    </row>
    <row r="14598">
      <c r="H14598" s="50"/>
      <c r="I14598" s="50"/>
      <c r="O14598" s="36" t="s">
        <v>48</v>
      </c>
      <c r="R14598" s="36" t="s">
        <v>48</v>
      </c>
    </row>
    <row r="14599">
      <c r="H14599" s="50"/>
      <c r="I14599" s="50"/>
      <c r="O14599" s="36" t="s">
        <v>48</v>
      </c>
      <c r="R14599" s="36" t="s">
        <v>48</v>
      </c>
    </row>
    <row r="14600">
      <c r="H14600" s="50"/>
      <c r="I14600" s="50"/>
      <c r="O14600" s="36" t="s">
        <v>48</v>
      </c>
      <c r="R14600" s="36" t="s">
        <v>48</v>
      </c>
    </row>
    <row r="14601">
      <c r="H14601" s="50"/>
      <c r="I14601" s="50"/>
      <c r="O14601" s="36" t="s">
        <v>48</v>
      </c>
      <c r="R14601" s="36" t="s">
        <v>48</v>
      </c>
    </row>
    <row r="14602">
      <c r="H14602" s="50"/>
      <c r="I14602" s="50"/>
      <c r="O14602" s="36" t="s">
        <v>48</v>
      </c>
      <c r="R14602" s="36" t="s">
        <v>48</v>
      </c>
    </row>
    <row r="14603">
      <c r="H14603" s="50"/>
      <c r="I14603" s="50"/>
      <c r="O14603" s="36" t="s">
        <v>48</v>
      </c>
      <c r="R14603" s="36" t="s">
        <v>48</v>
      </c>
    </row>
    <row r="14604">
      <c r="H14604" s="50"/>
      <c r="I14604" s="50"/>
      <c r="O14604" s="36" t="s">
        <v>48</v>
      </c>
      <c r="R14604" s="36" t="s">
        <v>48</v>
      </c>
    </row>
    <row r="14605">
      <c r="H14605" s="50"/>
      <c r="I14605" s="50"/>
      <c r="O14605" s="36" t="s">
        <v>48</v>
      </c>
      <c r="R14605" s="36" t="s">
        <v>48</v>
      </c>
    </row>
    <row r="14606">
      <c r="H14606" s="50"/>
      <c r="I14606" s="50"/>
      <c r="O14606" s="36" t="s">
        <v>48</v>
      </c>
      <c r="R14606" s="36" t="s">
        <v>48</v>
      </c>
    </row>
    <row r="14607">
      <c r="H14607" s="50"/>
      <c r="I14607" s="50"/>
      <c r="O14607" s="36" t="s">
        <v>48</v>
      </c>
      <c r="R14607" s="36" t="s">
        <v>48</v>
      </c>
    </row>
    <row r="14608">
      <c r="H14608" s="50"/>
      <c r="I14608" s="50"/>
      <c r="O14608" s="36" t="s">
        <v>48</v>
      </c>
      <c r="R14608" s="36" t="s">
        <v>48</v>
      </c>
    </row>
    <row r="14609">
      <c r="H14609" s="50"/>
      <c r="I14609" s="50"/>
      <c r="O14609" s="36" t="s">
        <v>48</v>
      </c>
      <c r="R14609" s="36" t="s">
        <v>48</v>
      </c>
    </row>
    <row r="14610">
      <c r="H14610" s="50"/>
      <c r="I14610" s="50"/>
      <c r="O14610" s="36" t="s">
        <v>48</v>
      </c>
      <c r="R14610" s="36" t="s">
        <v>48</v>
      </c>
    </row>
    <row r="14611">
      <c r="H14611" s="50"/>
      <c r="I14611" s="50"/>
      <c r="O14611" s="36" t="s">
        <v>48</v>
      </c>
      <c r="R14611" s="36" t="s">
        <v>48</v>
      </c>
    </row>
    <row r="14612">
      <c r="H14612" s="50"/>
      <c r="I14612" s="50"/>
      <c r="O14612" s="36" t="s">
        <v>48</v>
      </c>
      <c r="R14612" s="36" t="s">
        <v>48</v>
      </c>
    </row>
    <row r="14613">
      <c r="H14613" s="50"/>
      <c r="I14613" s="50"/>
      <c r="O14613" s="36" t="s">
        <v>48</v>
      </c>
      <c r="R14613" s="36" t="s">
        <v>48</v>
      </c>
    </row>
    <row r="14614">
      <c r="H14614" s="50"/>
      <c r="I14614" s="50"/>
      <c r="O14614" s="36" t="s">
        <v>48</v>
      </c>
      <c r="R14614" s="36" t="s">
        <v>48</v>
      </c>
    </row>
    <row r="14615">
      <c r="H14615" s="50"/>
      <c r="I14615" s="50"/>
      <c r="O14615" s="36" t="s">
        <v>48</v>
      </c>
      <c r="R14615" s="36" t="s">
        <v>48</v>
      </c>
    </row>
    <row r="14616">
      <c r="H14616" s="50"/>
      <c r="I14616" s="50"/>
      <c r="O14616" s="36" t="s">
        <v>48</v>
      </c>
      <c r="R14616" s="36" t="s">
        <v>48</v>
      </c>
    </row>
    <row r="14617">
      <c r="H14617" s="50"/>
      <c r="I14617" s="50"/>
      <c r="O14617" s="36" t="s">
        <v>48</v>
      </c>
      <c r="R14617" s="36" t="s">
        <v>48</v>
      </c>
    </row>
    <row r="14618">
      <c r="H14618" s="50"/>
      <c r="I14618" s="50"/>
      <c r="O14618" s="36" t="s">
        <v>48</v>
      </c>
      <c r="R14618" s="36" t="s">
        <v>48</v>
      </c>
    </row>
    <row r="14619">
      <c r="H14619" s="50"/>
      <c r="I14619" s="50"/>
      <c r="O14619" s="36" t="s">
        <v>48</v>
      </c>
      <c r="R14619" s="36" t="s">
        <v>48</v>
      </c>
    </row>
    <row r="14620">
      <c r="H14620" s="50"/>
      <c r="I14620" s="50"/>
      <c r="O14620" s="36" t="s">
        <v>48</v>
      </c>
      <c r="R14620" s="36" t="s">
        <v>48</v>
      </c>
    </row>
    <row r="14621">
      <c r="H14621" s="50"/>
      <c r="I14621" s="50"/>
      <c r="O14621" s="36" t="s">
        <v>48</v>
      </c>
      <c r="R14621" s="36" t="s">
        <v>48</v>
      </c>
    </row>
    <row r="14622">
      <c r="H14622" s="50"/>
      <c r="I14622" s="50"/>
      <c r="O14622" s="36" t="s">
        <v>48</v>
      </c>
      <c r="R14622" s="36" t="s">
        <v>48</v>
      </c>
    </row>
    <row r="14623">
      <c r="H14623" s="50"/>
      <c r="I14623" s="50"/>
      <c r="O14623" s="36" t="s">
        <v>48</v>
      </c>
      <c r="R14623" s="36" t="s">
        <v>48</v>
      </c>
    </row>
    <row r="14624">
      <c r="H14624" s="50"/>
      <c r="I14624" s="50"/>
      <c r="O14624" s="36" t="s">
        <v>48</v>
      </c>
      <c r="R14624" s="36" t="s">
        <v>48</v>
      </c>
    </row>
    <row r="14625">
      <c r="H14625" s="50"/>
      <c r="I14625" s="50"/>
      <c r="O14625" s="36" t="s">
        <v>48</v>
      </c>
      <c r="R14625" s="36" t="s">
        <v>48</v>
      </c>
    </row>
    <row r="14626">
      <c r="H14626" s="50"/>
      <c r="I14626" s="50"/>
      <c r="O14626" s="36" t="s">
        <v>48</v>
      </c>
      <c r="R14626" s="36" t="s">
        <v>48</v>
      </c>
    </row>
    <row r="14627">
      <c r="H14627" s="50"/>
      <c r="I14627" s="50"/>
      <c r="O14627" s="36" t="s">
        <v>48</v>
      </c>
      <c r="R14627" s="36" t="s">
        <v>48</v>
      </c>
    </row>
    <row r="14628">
      <c r="H14628" s="50"/>
      <c r="I14628" s="50"/>
      <c r="O14628" s="36" t="s">
        <v>48</v>
      </c>
      <c r="R14628" s="36" t="s">
        <v>48</v>
      </c>
    </row>
    <row r="14629">
      <c r="H14629" s="50"/>
      <c r="I14629" s="50"/>
      <c r="O14629" s="36" t="s">
        <v>48</v>
      </c>
      <c r="R14629" s="36" t="s">
        <v>48</v>
      </c>
    </row>
    <row r="14630">
      <c r="H14630" s="50"/>
      <c r="I14630" s="50"/>
      <c r="O14630" s="36" t="s">
        <v>48</v>
      </c>
      <c r="R14630" s="36" t="s">
        <v>48</v>
      </c>
    </row>
    <row r="14631">
      <c r="H14631" s="50"/>
      <c r="I14631" s="50"/>
      <c r="O14631" s="36" t="s">
        <v>48</v>
      </c>
      <c r="R14631" s="36" t="s">
        <v>48</v>
      </c>
    </row>
    <row r="14632">
      <c r="H14632" s="50"/>
      <c r="I14632" s="50"/>
      <c r="O14632" s="36" t="s">
        <v>48</v>
      </c>
      <c r="R14632" s="36" t="s">
        <v>48</v>
      </c>
    </row>
    <row r="14633">
      <c r="H14633" s="50"/>
      <c r="I14633" s="50"/>
      <c r="O14633" s="36" t="s">
        <v>48</v>
      </c>
      <c r="R14633" s="36" t="s">
        <v>48</v>
      </c>
    </row>
    <row r="14634">
      <c r="H14634" s="50"/>
      <c r="I14634" s="50"/>
      <c r="O14634" s="36" t="s">
        <v>48</v>
      </c>
      <c r="R14634" s="36" t="s">
        <v>48</v>
      </c>
    </row>
    <row r="14635">
      <c r="H14635" s="50"/>
      <c r="I14635" s="50"/>
      <c r="O14635" s="36" t="s">
        <v>48</v>
      </c>
      <c r="R14635" s="36" t="s">
        <v>48</v>
      </c>
    </row>
    <row r="14636">
      <c r="H14636" s="50"/>
      <c r="I14636" s="50"/>
      <c r="O14636" s="36" t="s">
        <v>48</v>
      </c>
      <c r="R14636" s="36" t="s">
        <v>48</v>
      </c>
    </row>
    <row r="14637">
      <c r="H14637" s="50"/>
      <c r="I14637" s="50"/>
      <c r="O14637" s="36" t="s">
        <v>48</v>
      </c>
      <c r="R14637" s="36" t="s">
        <v>48</v>
      </c>
    </row>
    <row r="14638">
      <c r="H14638" s="50"/>
      <c r="I14638" s="50"/>
      <c r="O14638" s="36" t="s">
        <v>48</v>
      </c>
      <c r="R14638" s="36" t="s">
        <v>48</v>
      </c>
    </row>
    <row r="14639">
      <c r="H14639" s="50"/>
      <c r="I14639" s="50"/>
      <c r="O14639" s="36" t="s">
        <v>48</v>
      </c>
      <c r="R14639" s="36" t="s">
        <v>48</v>
      </c>
    </row>
    <row r="14640">
      <c r="H14640" s="50"/>
      <c r="I14640" s="50"/>
      <c r="O14640" s="36" t="s">
        <v>48</v>
      </c>
      <c r="R14640" s="36" t="s">
        <v>48</v>
      </c>
    </row>
    <row r="14641">
      <c r="H14641" s="50"/>
      <c r="I14641" s="50"/>
      <c r="O14641" s="36" t="s">
        <v>48</v>
      </c>
      <c r="R14641" s="36" t="s">
        <v>48</v>
      </c>
    </row>
    <row r="14642">
      <c r="H14642" s="50"/>
      <c r="I14642" s="50"/>
      <c r="O14642" s="36" t="s">
        <v>48</v>
      </c>
      <c r="R14642" s="36" t="s">
        <v>48</v>
      </c>
    </row>
    <row r="14643">
      <c r="H14643" s="50"/>
      <c r="I14643" s="50"/>
      <c r="O14643" s="36" t="s">
        <v>48</v>
      </c>
      <c r="R14643" s="36" t="s">
        <v>48</v>
      </c>
    </row>
    <row r="14644">
      <c r="H14644" s="50"/>
      <c r="I14644" s="50"/>
      <c r="O14644" s="36" t="s">
        <v>48</v>
      </c>
      <c r="R14644" s="36" t="s">
        <v>48</v>
      </c>
    </row>
    <row r="14645">
      <c r="H14645" s="50"/>
      <c r="I14645" s="50"/>
      <c r="O14645" s="36" t="s">
        <v>48</v>
      </c>
      <c r="R14645" s="36" t="s">
        <v>48</v>
      </c>
    </row>
    <row r="14646">
      <c r="H14646" s="50"/>
      <c r="I14646" s="50"/>
      <c r="O14646" s="36" t="s">
        <v>48</v>
      </c>
      <c r="R14646" s="36" t="s">
        <v>48</v>
      </c>
    </row>
    <row r="14647">
      <c r="H14647" s="50"/>
      <c r="I14647" s="50"/>
      <c r="O14647" s="36" t="s">
        <v>48</v>
      </c>
      <c r="R14647" s="36" t="s">
        <v>48</v>
      </c>
    </row>
    <row r="14648">
      <c r="H14648" s="50"/>
      <c r="I14648" s="50"/>
      <c r="O14648" s="36" t="s">
        <v>48</v>
      </c>
      <c r="R14648" s="36" t="s">
        <v>48</v>
      </c>
    </row>
    <row r="14649">
      <c r="H14649" s="50"/>
      <c r="I14649" s="50"/>
      <c r="O14649" s="36" t="s">
        <v>48</v>
      </c>
      <c r="R14649" s="36" t="s">
        <v>48</v>
      </c>
    </row>
    <row r="14650">
      <c r="H14650" s="50"/>
      <c r="I14650" s="50"/>
      <c r="O14650" s="36" t="s">
        <v>48</v>
      </c>
      <c r="R14650" s="36" t="s">
        <v>48</v>
      </c>
    </row>
    <row r="14651">
      <c r="H14651" s="50"/>
      <c r="I14651" s="50"/>
      <c r="O14651" s="36" t="s">
        <v>48</v>
      </c>
      <c r="R14651" s="36" t="s">
        <v>48</v>
      </c>
    </row>
    <row r="14652">
      <c r="H14652" s="50"/>
      <c r="I14652" s="50"/>
      <c r="O14652" s="36" t="s">
        <v>48</v>
      </c>
      <c r="R14652" s="36" t="s">
        <v>48</v>
      </c>
    </row>
    <row r="14653">
      <c r="H14653" s="50"/>
      <c r="I14653" s="50"/>
      <c r="O14653" s="36" t="s">
        <v>48</v>
      </c>
      <c r="R14653" s="36" t="s">
        <v>48</v>
      </c>
    </row>
    <row r="14654">
      <c r="H14654" s="50"/>
      <c r="I14654" s="50"/>
      <c r="O14654" s="36" t="s">
        <v>48</v>
      </c>
      <c r="R14654" s="36" t="s">
        <v>48</v>
      </c>
    </row>
    <row r="14655">
      <c r="H14655" s="50"/>
      <c r="I14655" s="50"/>
      <c r="O14655" s="36" t="s">
        <v>48</v>
      </c>
      <c r="R14655" s="36" t="s">
        <v>48</v>
      </c>
    </row>
    <row r="14656">
      <c r="H14656" s="50"/>
      <c r="I14656" s="50"/>
      <c r="O14656" s="36" t="s">
        <v>48</v>
      </c>
      <c r="R14656" s="36" t="s">
        <v>48</v>
      </c>
    </row>
    <row r="14657">
      <c r="H14657" s="50"/>
      <c r="I14657" s="50"/>
      <c r="O14657" s="36" t="s">
        <v>48</v>
      </c>
      <c r="R14657" s="36" t="s">
        <v>48</v>
      </c>
    </row>
    <row r="14658">
      <c r="H14658" s="50"/>
      <c r="I14658" s="50"/>
      <c r="O14658" s="36" t="s">
        <v>48</v>
      </c>
      <c r="R14658" s="36" t="s">
        <v>48</v>
      </c>
    </row>
    <row r="14659">
      <c r="H14659" s="50"/>
      <c r="I14659" s="50"/>
      <c r="O14659" s="36" t="s">
        <v>48</v>
      </c>
      <c r="R14659" s="36" t="s">
        <v>48</v>
      </c>
    </row>
    <row r="14660">
      <c r="H14660" s="50"/>
      <c r="I14660" s="50"/>
      <c r="O14660" s="36" t="s">
        <v>48</v>
      </c>
      <c r="R14660" s="36" t="s">
        <v>48</v>
      </c>
    </row>
    <row r="14661">
      <c r="H14661" s="50"/>
      <c r="I14661" s="50"/>
      <c r="O14661" s="36" t="s">
        <v>48</v>
      </c>
      <c r="R14661" s="36" t="s">
        <v>48</v>
      </c>
    </row>
    <row r="14662">
      <c r="H14662" s="50"/>
      <c r="I14662" s="50"/>
      <c r="O14662" s="36" t="s">
        <v>48</v>
      </c>
      <c r="R14662" s="36" t="s">
        <v>48</v>
      </c>
    </row>
    <row r="14663">
      <c r="H14663" s="50"/>
      <c r="I14663" s="50"/>
      <c r="O14663" s="36" t="s">
        <v>48</v>
      </c>
      <c r="R14663" s="36" t="s">
        <v>48</v>
      </c>
    </row>
    <row r="14664">
      <c r="H14664" s="50"/>
      <c r="I14664" s="50"/>
      <c r="O14664" s="36" t="s">
        <v>48</v>
      </c>
      <c r="R14664" s="36" t="s">
        <v>48</v>
      </c>
    </row>
    <row r="14665">
      <c r="H14665" s="50"/>
      <c r="I14665" s="50"/>
      <c r="O14665" s="36" t="s">
        <v>48</v>
      </c>
      <c r="R14665" s="36" t="s">
        <v>48</v>
      </c>
    </row>
    <row r="14666">
      <c r="H14666" s="50"/>
      <c r="I14666" s="50"/>
      <c r="O14666" s="36" t="s">
        <v>48</v>
      </c>
      <c r="R14666" s="36" t="s">
        <v>48</v>
      </c>
    </row>
    <row r="14667">
      <c r="H14667" s="50"/>
      <c r="I14667" s="50"/>
      <c r="O14667" s="36" t="s">
        <v>48</v>
      </c>
      <c r="R14667" s="36" t="s">
        <v>48</v>
      </c>
    </row>
    <row r="14668">
      <c r="H14668" s="50"/>
      <c r="I14668" s="50"/>
      <c r="O14668" s="36" t="s">
        <v>48</v>
      </c>
      <c r="R14668" s="36" t="s">
        <v>48</v>
      </c>
    </row>
    <row r="14669">
      <c r="H14669" s="50"/>
      <c r="I14669" s="50"/>
      <c r="O14669" s="36" t="s">
        <v>48</v>
      </c>
      <c r="R14669" s="36" t="s">
        <v>48</v>
      </c>
    </row>
    <row r="14670">
      <c r="H14670" s="50"/>
      <c r="I14670" s="50"/>
      <c r="O14670" s="36" t="s">
        <v>48</v>
      </c>
      <c r="R14670" s="36" t="s">
        <v>48</v>
      </c>
    </row>
    <row r="14671">
      <c r="H14671" s="50"/>
      <c r="I14671" s="50"/>
      <c r="O14671" s="36" t="s">
        <v>48</v>
      </c>
      <c r="R14671" s="36" t="s">
        <v>48</v>
      </c>
    </row>
    <row r="14672">
      <c r="H14672" s="50"/>
      <c r="I14672" s="50"/>
      <c r="O14672" s="36" t="s">
        <v>48</v>
      </c>
      <c r="R14672" s="36" t="s">
        <v>48</v>
      </c>
    </row>
    <row r="14673">
      <c r="H14673" s="50"/>
      <c r="I14673" s="50"/>
      <c r="O14673" s="36" t="s">
        <v>48</v>
      </c>
      <c r="R14673" s="36" t="s">
        <v>48</v>
      </c>
    </row>
    <row r="14674">
      <c r="H14674" s="50"/>
      <c r="I14674" s="50"/>
      <c r="O14674" s="36" t="s">
        <v>48</v>
      </c>
      <c r="R14674" s="36" t="s">
        <v>48</v>
      </c>
    </row>
    <row r="14675">
      <c r="H14675" s="50"/>
      <c r="I14675" s="50"/>
      <c r="O14675" s="36" t="s">
        <v>48</v>
      </c>
      <c r="R14675" s="36" t="s">
        <v>48</v>
      </c>
    </row>
    <row r="14676">
      <c r="H14676" s="50"/>
      <c r="I14676" s="50"/>
      <c r="O14676" s="36" t="s">
        <v>48</v>
      </c>
      <c r="R14676" s="36" t="s">
        <v>48</v>
      </c>
    </row>
    <row r="14677">
      <c r="H14677" s="50"/>
      <c r="I14677" s="50"/>
      <c r="O14677" s="36" t="s">
        <v>48</v>
      </c>
      <c r="R14677" s="36" t="s">
        <v>48</v>
      </c>
    </row>
    <row r="14678">
      <c r="H14678" s="50"/>
      <c r="I14678" s="50"/>
      <c r="O14678" s="36" t="s">
        <v>48</v>
      </c>
      <c r="R14678" s="36" t="s">
        <v>48</v>
      </c>
    </row>
    <row r="14679">
      <c r="H14679" s="50"/>
      <c r="I14679" s="50"/>
      <c r="O14679" s="36" t="s">
        <v>48</v>
      </c>
      <c r="R14679" s="36" t="s">
        <v>48</v>
      </c>
    </row>
    <row r="14680">
      <c r="H14680" s="50"/>
      <c r="I14680" s="50"/>
      <c r="O14680" s="36" t="s">
        <v>48</v>
      </c>
      <c r="R14680" s="36" t="s">
        <v>48</v>
      </c>
    </row>
    <row r="14681">
      <c r="H14681" s="50"/>
      <c r="I14681" s="50"/>
      <c r="O14681" s="36" t="s">
        <v>48</v>
      </c>
      <c r="R14681" s="36" t="s">
        <v>48</v>
      </c>
    </row>
    <row r="14682">
      <c r="H14682" s="50"/>
      <c r="I14682" s="50"/>
      <c r="O14682" s="36" t="s">
        <v>48</v>
      </c>
      <c r="R14682" s="36" t="s">
        <v>48</v>
      </c>
    </row>
    <row r="14683">
      <c r="H14683" s="50"/>
      <c r="I14683" s="50"/>
      <c r="O14683" s="36" t="s">
        <v>48</v>
      </c>
      <c r="R14683" s="36" t="s">
        <v>48</v>
      </c>
    </row>
    <row r="14684">
      <c r="H14684" s="50"/>
      <c r="I14684" s="50"/>
      <c r="O14684" s="36" t="s">
        <v>48</v>
      </c>
      <c r="R14684" s="36" t="s">
        <v>48</v>
      </c>
    </row>
    <row r="14685">
      <c r="H14685" s="50"/>
      <c r="I14685" s="50"/>
      <c r="O14685" s="36" t="s">
        <v>48</v>
      </c>
      <c r="R14685" s="36" t="s">
        <v>48</v>
      </c>
    </row>
    <row r="14686">
      <c r="H14686" s="50"/>
      <c r="I14686" s="50"/>
      <c r="O14686" s="36" t="s">
        <v>48</v>
      </c>
      <c r="R14686" s="36" t="s">
        <v>48</v>
      </c>
    </row>
    <row r="14687">
      <c r="H14687" s="50"/>
      <c r="I14687" s="50"/>
      <c r="O14687" s="36" t="s">
        <v>48</v>
      </c>
      <c r="R14687" s="36" t="s">
        <v>48</v>
      </c>
    </row>
    <row r="14688">
      <c r="H14688" s="50"/>
      <c r="I14688" s="50"/>
      <c r="O14688" s="36" t="s">
        <v>48</v>
      </c>
      <c r="R14688" s="36" t="s">
        <v>48</v>
      </c>
    </row>
    <row r="14689">
      <c r="H14689" s="50"/>
      <c r="I14689" s="50"/>
      <c r="O14689" s="36" t="s">
        <v>48</v>
      </c>
      <c r="R14689" s="36" t="s">
        <v>48</v>
      </c>
    </row>
    <row r="14690">
      <c r="H14690" s="50"/>
      <c r="I14690" s="50"/>
      <c r="O14690" s="36" t="s">
        <v>48</v>
      </c>
      <c r="R14690" s="36" t="s">
        <v>48</v>
      </c>
    </row>
    <row r="14691">
      <c r="H14691" s="50"/>
      <c r="I14691" s="50"/>
      <c r="O14691" s="36" t="s">
        <v>48</v>
      </c>
      <c r="R14691" s="36" t="s">
        <v>48</v>
      </c>
    </row>
    <row r="14692">
      <c r="H14692" s="50"/>
      <c r="I14692" s="50"/>
      <c r="O14692" s="36" t="s">
        <v>48</v>
      </c>
      <c r="R14692" s="36" t="s">
        <v>48</v>
      </c>
    </row>
    <row r="14693">
      <c r="H14693" s="50"/>
      <c r="I14693" s="50"/>
      <c r="O14693" s="36" t="s">
        <v>48</v>
      </c>
      <c r="R14693" s="36" t="s">
        <v>48</v>
      </c>
    </row>
    <row r="14694">
      <c r="H14694" s="50"/>
      <c r="I14694" s="50"/>
      <c r="O14694" s="36" t="s">
        <v>48</v>
      </c>
      <c r="R14694" s="36" t="s">
        <v>48</v>
      </c>
    </row>
    <row r="14695">
      <c r="H14695" s="50"/>
      <c r="I14695" s="50"/>
      <c r="O14695" s="36" t="s">
        <v>48</v>
      </c>
      <c r="R14695" s="36" t="s">
        <v>48</v>
      </c>
    </row>
    <row r="14696">
      <c r="H14696" s="50"/>
      <c r="I14696" s="50"/>
      <c r="O14696" s="36" t="s">
        <v>48</v>
      </c>
      <c r="R14696" s="36" t="s">
        <v>48</v>
      </c>
    </row>
    <row r="14697">
      <c r="H14697" s="50"/>
      <c r="I14697" s="50"/>
      <c r="O14697" s="36" t="s">
        <v>48</v>
      </c>
      <c r="R14697" s="36" t="s">
        <v>48</v>
      </c>
    </row>
    <row r="14698">
      <c r="H14698" s="50"/>
      <c r="I14698" s="50"/>
      <c r="O14698" s="36" t="s">
        <v>48</v>
      </c>
      <c r="R14698" s="36" t="s">
        <v>48</v>
      </c>
    </row>
    <row r="14699">
      <c r="H14699" s="50"/>
      <c r="I14699" s="50"/>
      <c r="O14699" s="36" t="s">
        <v>48</v>
      </c>
      <c r="R14699" s="36" t="s">
        <v>48</v>
      </c>
    </row>
    <row r="14700">
      <c r="H14700" s="50"/>
      <c r="I14700" s="50"/>
      <c r="O14700" s="36" t="s">
        <v>48</v>
      </c>
      <c r="R14700" s="36" t="s">
        <v>48</v>
      </c>
    </row>
    <row r="14701">
      <c r="H14701" s="50"/>
      <c r="I14701" s="50"/>
      <c r="O14701" s="36" t="s">
        <v>48</v>
      </c>
      <c r="R14701" s="36" t="s">
        <v>48</v>
      </c>
    </row>
    <row r="14702">
      <c r="H14702" s="50"/>
      <c r="I14702" s="50"/>
      <c r="O14702" s="36" t="s">
        <v>48</v>
      </c>
      <c r="R14702" s="36" t="s">
        <v>48</v>
      </c>
    </row>
    <row r="14703">
      <c r="H14703" s="50"/>
      <c r="I14703" s="50"/>
      <c r="O14703" s="36" t="s">
        <v>48</v>
      </c>
      <c r="R14703" s="36" t="s">
        <v>48</v>
      </c>
    </row>
    <row r="14704">
      <c r="H14704" s="50"/>
      <c r="I14704" s="50"/>
      <c r="O14704" s="36" t="s">
        <v>48</v>
      </c>
      <c r="R14704" s="36" t="s">
        <v>48</v>
      </c>
    </row>
    <row r="14705">
      <c r="H14705" s="50"/>
      <c r="I14705" s="50"/>
      <c r="O14705" s="36" t="s">
        <v>48</v>
      </c>
      <c r="R14705" s="36" t="s">
        <v>48</v>
      </c>
    </row>
    <row r="14706">
      <c r="H14706" s="50"/>
      <c r="I14706" s="50"/>
      <c r="O14706" s="36" t="s">
        <v>48</v>
      </c>
      <c r="R14706" s="36" t="s">
        <v>48</v>
      </c>
    </row>
    <row r="14707">
      <c r="H14707" s="50"/>
      <c r="I14707" s="50"/>
      <c r="O14707" s="36" t="s">
        <v>48</v>
      </c>
      <c r="R14707" s="36" t="s">
        <v>48</v>
      </c>
    </row>
    <row r="14708">
      <c r="H14708" s="50"/>
      <c r="I14708" s="50"/>
      <c r="O14708" s="36" t="s">
        <v>48</v>
      </c>
      <c r="R14708" s="36" t="s">
        <v>48</v>
      </c>
    </row>
    <row r="14709">
      <c r="H14709" s="50"/>
      <c r="I14709" s="50"/>
      <c r="O14709" s="36" t="s">
        <v>48</v>
      </c>
      <c r="R14709" s="36" t="s">
        <v>48</v>
      </c>
    </row>
    <row r="14710">
      <c r="H14710" s="50"/>
      <c r="I14710" s="50"/>
      <c r="O14710" s="36" t="s">
        <v>48</v>
      </c>
      <c r="R14710" s="36" t="s">
        <v>48</v>
      </c>
    </row>
    <row r="14711">
      <c r="H14711" s="50"/>
      <c r="I14711" s="50"/>
      <c r="O14711" s="36" t="s">
        <v>48</v>
      </c>
      <c r="R14711" s="36" t="s">
        <v>48</v>
      </c>
    </row>
    <row r="14712">
      <c r="H14712" s="50"/>
      <c r="I14712" s="50"/>
      <c r="O14712" s="36" t="s">
        <v>48</v>
      </c>
      <c r="R14712" s="36" t="s">
        <v>48</v>
      </c>
    </row>
    <row r="14713">
      <c r="H14713" s="50"/>
      <c r="I14713" s="50"/>
      <c r="O14713" s="36" t="s">
        <v>48</v>
      </c>
      <c r="R14713" s="36" t="s">
        <v>48</v>
      </c>
    </row>
    <row r="14714">
      <c r="H14714" s="50"/>
      <c r="I14714" s="50"/>
      <c r="O14714" s="36" t="s">
        <v>48</v>
      </c>
      <c r="R14714" s="36" t="s">
        <v>48</v>
      </c>
    </row>
    <row r="14715">
      <c r="H14715" s="50"/>
      <c r="I14715" s="50"/>
      <c r="O14715" s="36" t="s">
        <v>48</v>
      </c>
      <c r="R14715" s="36" t="s">
        <v>48</v>
      </c>
    </row>
    <row r="14716">
      <c r="H14716" s="50"/>
      <c r="I14716" s="50"/>
      <c r="O14716" s="36" t="s">
        <v>48</v>
      </c>
      <c r="R14716" s="36" t="s">
        <v>48</v>
      </c>
    </row>
    <row r="14717">
      <c r="H14717" s="50"/>
      <c r="I14717" s="50"/>
      <c r="O14717" s="36" t="s">
        <v>48</v>
      </c>
      <c r="R14717" s="36" t="s">
        <v>48</v>
      </c>
    </row>
    <row r="14718">
      <c r="H14718" s="50"/>
      <c r="I14718" s="50"/>
      <c r="O14718" s="36" t="s">
        <v>48</v>
      </c>
      <c r="R14718" s="36" t="s">
        <v>48</v>
      </c>
    </row>
    <row r="14719">
      <c r="H14719" s="50"/>
      <c r="I14719" s="50"/>
      <c r="O14719" s="36" t="s">
        <v>48</v>
      </c>
      <c r="R14719" s="36" t="s">
        <v>48</v>
      </c>
    </row>
    <row r="14720">
      <c r="H14720" s="50"/>
      <c r="I14720" s="50"/>
      <c r="O14720" s="36" t="s">
        <v>48</v>
      </c>
      <c r="R14720" s="36" t="s">
        <v>48</v>
      </c>
    </row>
    <row r="14721">
      <c r="H14721" s="50"/>
      <c r="I14721" s="50"/>
      <c r="O14721" s="36" t="s">
        <v>48</v>
      </c>
      <c r="R14721" s="36" t="s">
        <v>48</v>
      </c>
    </row>
    <row r="14722">
      <c r="H14722" s="50"/>
      <c r="I14722" s="50"/>
      <c r="O14722" s="36" t="s">
        <v>48</v>
      </c>
      <c r="R14722" s="36" t="s">
        <v>48</v>
      </c>
    </row>
    <row r="14723">
      <c r="H14723" s="50"/>
      <c r="I14723" s="50"/>
      <c r="O14723" s="36" t="s">
        <v>48</v>
      </c>
      <c r="R14723" s="36" t="s">
        <v>48</v>
      </c>
    </row>
    <row r="14724">
      <c r="H14724" s="50"/>
      <c r="I14724" s="50"/>
      <c r="O14724" s="36" t="s">
        <v>48</v>
      </c>
      <c r="R14724" s="36" t="s">
        <v>48</v>
      </c>
    </row>
    <row r="14725">
      <c r="H14725" s="50"/>
      <c r="I14725" s="50"/>
      <c r="O14725" s="36" t="s">
        <v>48</v>
      </c>
      <c r="R14725" s="36" t="s">
        <v>48</v>
      </c>
    </row>
    <row r="14726">
      <c r="H14726" s="50"/>
      <c r="I14726" s="50"/>
      <c r="O14726" s="36" t="s">
        <v>48</v>
      </c>
      <c r="R14726" s="36" t="s">
        <v>48</v>
      </c>
    </row>
    <row r="14727">
      <c r="H14727" s="50"/>
      <c r="I14727" s="50"/>
      <c r="O14727" s="36" t="s">
        <v>48</v>
      </c>
      <c r="R14727" s="36" t="s">
        <v>48</v>
      </c>
    </row>
    <row r="14728">
      <c r="H14728" s="50"/>
      <c r="I14728" s="50"/>
      <c r="O14728" s="36" t="s">
        <v>48</v>
      </c>
      <c r="R14728" s="36" t="s">
        <v>48</v>
      </c>
    </row>
    <row r="14729">
      <c r="H14729" s="50"/>
      <c r="I14729" s="50"/>
      <c r="O14729" s="36" t="s">
        <v>48</v>
      </c>
      <c r="R14729" s="36" t="s">
        <v>48</v>
      </c>
    </row>
    <row r="14730">
      <c r="H14730" s="50"/>
      <c r="I14730" s="50"/>
      <c r="O14730" s="36" t="s">
        <v>48</v>
      </c>
      <c r="R14730" s="36" t="s">
        <v>48</v>
      </c>
    </row>
    <row r="14731">
      <c r="H14731" s="50"/>
      <c r="I14731" s="50"/>
      <c r="O14731" s="36" t="s">
        <v>48</v>
      </c>
      <c r="R14731" s="36" t="s">
        <v>48</v>
      </c>
    </row>
    <row r="14732">
      <c r="H14732" s="50"/>
      <c r="I14732" s="50"/>
      <c r="O14732" s="36" t="s">
        <v>48</v>
      </c>
      <c r="R14732" s="36" t="s">
        <v>48</v>
      </c>
    </row>
    <row r="14733">
      <c r="H14733" s="50"/>
      <c r="I14733" s="50"/>
      <c r="O14733" s="36" t="s">
        <v>48</v>
      </c>
      <c r="R14733" s="36" t="s">
        <v>48</v>
      </c>
    </row>
    <row r="14734">
      <c r="H14734" s="50"/>
      <c r="I14734" s="50"/>
      <c r="O14734" s="36" t="s">
        <v>48</v>
      </c>
      <c r="R14734" s="36" t="s">
        <v>48</v>
      </c>
    </row>
    <row r="14735">
      <c r="H14735" s="50"/>
      <c r="I14735" s="50"/>
      <c r="O14735" s="36" t="s">
        <v>48</v>
      </c>
      <c r="R14735" s="36" t="s">
        <v>48</v>
      </c>
    </row>
    <row r="14736">
      <c r="H14736" s="50"/>
      <c r="I14736" s="50"/>
      <c r="O14736" s="36" t="s">
        <v>48</v>
      </c>
      <c r="R14736" s="36" t="s">
        <v>48</v>
      </c>
    </row>
    <row r="14737">
      <c r="H14737" s="50"/>
      <c r="I14737" s="50"/>
      <c r="O14737" s="36" t="s">
        <v>48</v>
      </c>
      <c r="R14737" s="36" t="s">
        <v>48</v>
      </c>
    </row>
    <row r="14738">
      <c r="H14738" s="50"/>
      <c r="I14738" s="50"/>
      <c r="O14738" s="36" t="s">
        <v>48</v>
      </c>
      <c r="R14738" s="36" t="s">
        <v>48</v>
      </c>
    </row>
    <row r="14739">
      <c r="H14739" s="50"/>
      <c r="I14739" s="50"/>
      <c r="O14739" s="36" t="s">
        <v>48</v>
      </c>
      <c r="R14739" s="36" t="s">
        <v>48</v>
      </c>
    </row>
    <row r="14740">
      <c r="H14740" s="50"/>
      <c r="I14740" s="50"/>
      <c r="O14740" s="36" t="s">
        <v>48</v>
      </c>
      <c r="R14740" s="36" t="s">
        <v>48</v>
      </c>
    </row>
    <row r="14741">
      <c r="H14741" s="50"/>
      <c r="I14741" s="50"/>
      <c r="O14741" s="36" t="s">
        <v>48</v>
      </c>
      <c r="R14741" s="36" t="s">
        <v>48</v>
      </c>
    </row>
    <row r="14742">
      <c r="H14742" s="50"/>
      <c r="I14742" s="50"/>
      <c r="O14742" s="36" t="s">
        <v>48</v>
      </c>
      <c r="R14742" s="36" t="s">
        <v>48</v>
      </c>
    </row>
    <row r="14743">
      <c r="H14743" s="50"/>
      <c r="I14743" s="50"/>
      <c r="O14743" s="36" t="s">
        <v>48</v>
      </c>
      <c r="R14743" s="36" t="s">
        <v>48</v>
      </c>
    </row>
    <row r="14744">
      <c r="H14744" s="50"/>
      <c r="I14744" s="50"/>
      <c r="O14744" s="36" t="s">
        <v>48</v>
      </c>
      <c r="R14744" s="36" t="s">
        <v>48</v>
      </c>
    </row>
    <row r="14745">
      <c r="H14745" s="50"/>
      <c r="I14745" s="50"/>
      <c r="O14745" s="36" t="s">
        <v>48</v>
      </c>
      <c r="R14745" s="36" t="s">
        <v>48</v>
      </c>
    </row>
    <row r="14746">
      <c r="H14746" s="50"/>
      <c r="I14746" s="50"/>
      <c r="O14746" s="36" t="s">
        <v>48</v>
      </c>
      <c r="R14746" s="36" t="s">
        <v>48</v>
      </c>
    </row>
    <row r="14747">
      <c r="H14747" s="50"/>
      <c r="I14747" s="50"/>
      <c r="O14747" s="36" t="s">
        <v>48</v>
      </c>
      <c r="R14747" s="36" t="s">
        <v>48</v>
      </c>
    </row>
    <row r="14748">
      <c r="H14748" s="50"/>
      <c r="I14748" s="50"/>
      <c r="O14748" s="36" t="s">
        <v>48</v>
      </c>
      <c r="R14748" s="36" t="s">
        <v>48</v>
      </c>
    </row>
    <row r="14749">
      <c r="H14749" s="50"/>
      <c r="I14749" s="50"/>
      <c r="O14749" s="36" t="s">
        <v>48</v>
      </c>
      <c r="R14749" s="36" t="s">
        <v>48</v>
      </c>
    </row>
    <row r="14750">
      <c r="H14750" s="50"/>
      <c r="I14750" s="50"/>
      <c r="O14750" s="36" t="s">
        <v>48</v>
      </c>
      <c r="R14750" s="36" t="s">
        <v>48</v>
      </c>
    </row>
    <row r="14751">
      <c r="H14751" s="50"/>
      <c r="I14751" s="50"/>
      <c r="O14751" s="36" t="s">
        <v>48</v>
      </c>
      <c r="R14751" s="36" t="s">
        <v>48</v>
      </c>
    </row>
    <row r="14752">
      <c r="H14752" s="50"/>
      <c r="I14752" s="50"/>
      <c r="O14752" s="36" t="s">
        <v>48</v>
      </c>
      <c r="R14752" s="36" t="s">
        <v>48</v>
      </c>
    </row>
    <row r="14753">
      <c r="H14753" s="50"/>
      <c r="I14753" s="50"/>
      <c r="O14753" s="36" t="s">
        <v>48</v>
      </c>
      <c r="R14753" s="36" t="s">
        <v>48</v>
      </c>
    </row>
    <row r="14754">
      <c r="H14754" s="50"/>
      <c r="I14754" s="50"/>
      <c r="O14754" s="36" t="s">
        <v>48</v>
      </c>
      <c r="R14754" s="36" t="s">
        <v>48</v>
      </c>
    </row>
    <row r="14755">
      <c r="H14755" s="50"/>
      <c r="I14755" s="50"/>
      <c r="O14755" s="36" t="s">
        <v>48</v>
      </c>
      <c r="R14755" s="36" t="s">
        <v>48</v>
      </c>
    </row>
    <row r="14756">
      <c r="H14756" s="50"/>
      <c r="I14756" s="50"/>
      <c r="O14756" s="36" t="s">
        <v>48</v>
      </c>
      <c r="R14756" s="36" t="s">
        <v>48</v>
      </c>
    </row>
    <row r="14757">
      <c r="H14757" s="50"/>
      <c r="I14757" s="50"/>
      <c r="O14757" s="36" t="s">
        <v>48</v>
      </c>
      <c r="R14757" s="36" t="s">
        <v>48</v>
      </c>
    </row>
    <row r="14758">
      <c r="H14758" s="50"/>
      <c r="I14758" s="50"/>
      <c r="O14758" s="36" t="s">
        <v>48</v>
      </c>
      <c r="R14758" s="36" t="s">
        <v>48</v>
      </c>
    </row>
    <row r="14759">
      <c r="H14759" s="50"/>
      <c r="I14759" s="50"/>
      <c r="O14759" s="36" t="s">
        <v>48</v>
      </c>
      <c r="R14759" s="36" t="s">
        <v>48</v>
      </c>
    </row>
    <row r="14760">
      <c r="H14760" s="50"/>
      <c r="I14760" s="50"/>
      <c r="O14760" s="36" t="s">
        <v>48</v>
      </c>
      <c r="R14760" s="36" t="s">
        <v>48</v>
      </c>
    </row>
    <row r="14761">
      <c r="H14761" s="50"/>
      <c r="I14761" s="50"/>
      <c r="O14761" s="36" t="s">
        <v>48</v>
      </c>
      <c r="R14761" s="36" t="s">
        <v>48</v>
      </c>
    </row>
    <row r="14762">
      <c r="H14762" s="50"/>
      <c r="I14762" s="50"/>
      <c r="O14762" s="36" t="s">
        <v>48</v>
      </c>
      <c r="R14762" s="36" t="s">
        <v>48</v>
      </c>
    </row>
    <row r="14763">
      <c r="H14763" s="50"/>
      <c r="I14763" s="50"/>
      <c r="O14763" s="36" t="s">
        <v>48</v>
      </c>
      <c r="R14763" s="36" t="s">
        <v>48</v>
      </c>
    </row>
    <row r="14764">
      <c r="H14764" s="50"/>
      <c r="I14764" s="50"/>
      <c r="O14764" s="36" t="s">
        <v>48</v>
      </c>
      <c r="R14764" s="36" t="s">
        <v>48</v>
      </c>
    </row>
    <row r="14765">
      <c r="H14765" s="50"/>
      <c r="I14765" s="50"/>
      <c r="O14765" s="36" t="s">
        <v>48</v>
      </c>
      <c r="R14765" s="36" t="s">
        <v>48</v>
      </c>
    </row>
    <row r="14766">
      <c r="H14766" s="50"/>
      <c r="I14766" s="50"/>
      <c r="O14766" s="36" t="s">
        <v>48</v>
      </c>
      <c r="R14766" s="36" t="s">
        <v>48</v>
      </c>
    </row>
    <row r="14767">
      <c r="H14767" s="50"/>
      <c r="I14767" s="50"/>
      <c r="O14767" s="36" t="s">
        <v>48</v>
      </c>
      <c r="R14767" s="36" t="s">
        <v>48</v>
      </c>
    </row>
    <row r="14768">
      <c r="H14768" s="50"/>
      <c r="I14768" s="50"/>
      <c r="O14768" s="36" t="s">
        <v>48</v>
      </c>
      <c r="R14768" s="36" t="s">
        <v>48</v>
      </c>
    </row>
    <row r="14769">
      <c r="H14769" s="50"/>
      <c r="I14769" s="50"/>
      <c r="O14769" s="36" t="s">
        <v>48</v>
      </c>
      <c r="R14769" s="36" t="s">
        <v>48</v>
      </c>
    </row>
    <row r="14770">
      <c r="H14770" s="50"/>
      <c r="I14770" s="50"/>
      <c r="O14770" s="36" t="s">
        <v>48</v>
      </c>
      <c r="R14770" s="36" t="s">
        <v>48</v>
      </c>
    </row>
    <row r="14771">
      <c r="H14771" s="50"/>
      <c r="I14771" s="50"/>
      <c r="O14771" s="36" t="s">
        <v>48</v>
      </c>
      <c r="R14771" s="36" t="s">
        <v>48</v>
      </c>
    </row>
    <row r="14772">
      <c r="H14772" s="50"/>
      <c r="I14772" s="50"/>
      <c r="O14772" s="36" t="s">
        <v>48</v>
      </c>
      <c r="R14772" s="36" t="s">
        <v>48</v>
      </c>
    </row>
    <row r="14773">
      <c r="H14773" s="50"/>
      <c r="I14773" s="50"/>
      <c r="O14773" s="36" t="s">
        <v>48</v>
      </c>
      <c r="R14773" s="36" t="s">
        <v>48</v>
      </c>
    </row>
    <row r="14774">
      <c r="H14774" s="50"/>
      <c r="I14774" s="50"/>
      <c r="O14774" s="36" t="s">
        <v>48</v>
      </c>
      <c r="R14774" s="36" t="s">
        <v>48</v>
      </c>
    </row>
    <row r="14775">
      <c r="H14775" s="50"/>
      <c r="I14775" s="50"/>
      <c r="O14775" s="36" t="s">
        <v>48</v>
      </c>
      <c r="R14775" s="36" t="s">
        <v>48</v>
      </c>
    </row>
    <row r="14776">
      <c r="H14776" s="50"/>
      <c r="I14776" s="50"/>
      <c r="O14776" s="36" t="s">
        <v>48</v>
      </c>
      <c r="R14776" s="36" t="s">
        <v>48</v>
      </c>
    </row>
    <row r="14777">
      <c r="H14777" s="50"/>
      <c r="I14777" s="50"/>
      <c r="O14777" s="36" t="s">
        <v>48</v>
      </c>
      <c r="R14777" s="36" t="s">
        <v>48</v>
      </c>
    </row>
    <row r="14778">
      <c r="H14778" s="50"/>
      <c r="I14778" s="50"/>
      <c r="O14778" s="36" t="s">
        <v>48</v>
      </c>
      <c r="R14778" s="36" t="s">
        <v>48</v>
      </c>
    </row>
    <row r="14779">
      <c r="H14779" s="50"/>
      <c r="I14779" s="50"/>
      <c r="O14779" s="36" t="s">
        <v>48</v>
      </c>
      <c r="R14779" s="36" t="s">
        <v>48</v>
      </c>
    </row>
    <row r="14780">
      <c r="H14780" s="50"/>
      <c r="I14780" s="50"/>
      <c r="O14780" s="36" t="s">
        <v>48</v>
      </c>
      <c r="R14780" s="36" t="s">
        <v>48</v>
      </c>
    </row>
    <row r="14781">
      <c r="H14781" s="50"/>
      <c r="I14781" s="50"/>
      <c r="O14781" s="36" t="s">
        <v>48</v>
      </c>
      <c r="R14781" s="36" t="s">
        <v>48</v>
      </c>
    </row>
    <row r="14782">
      <c r="H14782" s="50"/>
      <c r="I14782" s="50"/>
      <c r="O14782" s="36" t="s">
        <v>48</v>
      </c>
      <c r="R14782" s="36" t="s">
        <v>48</v>
      </c>
    </row>
    <row r="14783">
      <c r="H14783" s="50"/>
      <c r="I14783" s="50"/>
      <c r="O14783" s="36" t="s">
        <v>48</v>
      </c>
      <c r="R14783" s="36" t="s">
        <v>48</v>
      </c>
    </row>
    <row r="14784">
      <c r="H14784" s="50"/>
      <c r="I14784" s="50"/>
      <c r="O14784" s="36" t="s">
        <v>48</v>
      </c>
      <c r="R14784" s="36" t="s">
        <v>48</v>
      </c>
    </row>
    <row r="14785">
      <c r="H14785" s="50"/>
      <c r="I14785" s="50"/>
      <c r="O14785" s="36" t="s">
        <v>48</v>
      </c>
      <c r="R14785" s="36" t="s">
        <v>48</v>
      </c>
    </row>
    <row r="14786">
      <c r="H14786" s="50"/>
      <c r="I14786" s="50"/>
      <c r="O14786" s="36" t="s">
        <v>48</v>
      </c>
      <c r="R14786" s="36" t="s">
        <v>48</v>
      </c>
    </row>
    <row r="14787">
      <c r="H14787" s="50"/>
      <c r="I14787" s="50"/>
      <c r="O14787" s="36" t="s">
        <v>48</v>
      </c>
      <c r="R14787" s="36" t="s">
        <v>48</v>
      </c>
    </row>
    <row r="14788">
      <c r="H14788" s="50"/>
      <c r="I14788" s="50"/>
      <c r="O14788" s="36" t="s">
        <v>48</v>
      </c>
      <c r="R14788" s="36" t="s">
        <v>48</v>
      </c>
    </row>
    <row r="14789">
      <c r="H14789" s="50"/>
      <c r="I14789" s="50"/>
      <c r="O14789" s="36" t="s">
        <v>48</v>
      </c>
      <c r="R14789" s="36" t="s">
        <v>48</v>
      </c>
    </row>
    <row r="14790">
      <c r="H14790" s="50"/>
      <c r="I14790" s="50"/>
      <c r="O14790" s="36" t="s">
        <v>48</v>
      </c>
      <c r="R14790" s="36" t="s">
        <v>48</v>
      </c>
    </row>
    <row r="14791">
      <c r="H14791" s="50"/>
      <c r="I14791" s="50"/>
      <c r="O14791" s="36" t="s">
        <v>48</v>
      </c>
      <c r="R14791" s="36" t="s">
        <v>48</v>
      </c>
    </row>
    <row r="14792">
      <c r="H14792" s="50"/>
      <c r="I14792" s="50"/>
      <c r="O14792" s="36" t="s">
        <v>48</v>
      </c>
      <c r="R14792" s="36" t="s">
        <v>48</v>
      </c>
    </row>
    <row r="14793">
      <c r="H14793" s="50"/>
      <c r="I14793" s="50"/>
      <c r="O14793" s="36" t="s">
        <v>48</v>
      </c>
      <c r="R14793" s="36" t="s">
        <v>48</v>
      </c>
    </row>
    <row r="14794">
      <c r="H14794" s="50"/>
      <c r="I14794" s="50"/>
      <c r="O14794" s="36" t="s">
        <v>48</v>
      </c>
      <c r="R14794" s="36" t="s">
        <v>48</v>
      </c>
    </row>
    <row r="14795">
      <c r="H14795" s="50"/>
      <c r="I14795" s="50"/>
      <c r="O14795" s="36" t="s">
        <v>48</v>
      </c>
      <c r="R14795" s="36" t="s">
        <v>48</v>
      </c>
    </row>
    <row r="14796">
      <c r="H14796" s="50"/>
      <c r="I14796" s="50"/>
      <c r="O14796" s="36" t="s">
        <v>48</v>
      </c>
      <c r="R14796" s="36" t="s">
        <v>48</v>
      </c>
    </row>
    <row r="14797">
      <c r="H14797" s="50"/>
      <c r="I14797" s="50"/>
      <c r="O14797" s="36" t="s">
        <v>48</v>
      </c>
      <c r="R14797" s="36" t="s">
        <v>48</v>
      </c>
    </row>
    <row r="14798">
      <c r="H14798" s="50"/>
      <c r="I14798" s="50"/>
      <c r="O14798" s="36" t="s">
        <v>48</v>
      </c>
      <c r="R14798" s="36" t="s">
        <v>48</v>
      </c>
    </row>
    <row r="14799">
      <c r="H14799" s="50"/>
      <c r="I14799" s="50"/>
      <c r="O14799" s="36" t="s">
        <v>48</v>
      </c>
      <c r="R14799" s="36" t="s">
        <v>48</v>
      </c>
    </row>
    <row r="14800">
      <c r="H14800" s="50"/>
      <c r="I14800" s="50"/>
      <c r="O14800" s="36" t="s">
        <v>48</v>
      </c>
      <c r="R14800" s="36" t="s">
        <v>48</v>
      </c>
    </row>
    <row r="14801">
      <c r="H14801" s="50"/>
      <c r="I14801" s="50"/>
      <c r="O14801" s="36" t="s">
        <v>48</v>
      </c>
      <c r="R14801" s="36" t="s">
        <v>48</v>
      </c>
    </row>
    <row r="14802">
      <c r="H14802" s="50"/>
      <c r="I14802" s="50"/>
      <c r="O14802" s="36" t="s">
        <v>48</v>
      </c>
      <c r="R14802" s="36" t="s">
        <v>48</v>
      </c>
    </row>
    <row r="14803">
      <c r="H14803" s="50"/>
      <c r="I14803" s="50"/>
      <c r="O14803" s="36" t="s">
        <v>48</v>
      </c>
      <c r="R14803" s="36" t="s">
        <v>48</v>
      </c>
    </row>
    <row r="14804">
      <c r="H14804" s="50"/>
      <c r="I14804" s="50"/>
      <c r="O14804" s="36" t="s">
        <v>48</v>
      </c>
      <c r="R14804" s="36" t="s">
        <v>48</v>
      </c>
    </row>
    <row r="14805">
      <c r="H14805" s="50"/>
      <c r="I14805" s="50"/>
      <c r="O14805" s="36" t="s">
        <v>48</v>
      </c>
      <c r="R14805" s="36" t="s">
        <v>48</v>
      </c>
    </row>
    <row r="14806">
      <c r="H14806" s="50"/>
      <c r="I14806" s="50"/>
      <c r="O14806" s="36" t="s">
        <v>48</v>
      </c>
      <c r="R14806" s="36" t="s">
        <v>48</v>
      </c>
    </row>
    <row r="14807">
      <c r="H14807" s="50"/>
      <c r="I14807" s="50"/>
      <c r="O14807" s="36" t="s">
        <v>48</v>
      </c>
      <c r="R14807" s="36" t="s">
        <v>48</v>
      </c>
    </row>
    <row r="14808">
      <c r="H14808" s="50"/>
      <c r="I14808" s="50"/>
      <c r="O14808" s="36" t="s">
        <v>48</v>
      </c>
      <c r="R14808" s="36" t="s">
        <v>48</v>
      </c>
    </row>
    <row r="14809">
      <c r="H14809" s="50"/>
      <c r="I14809" s="50"/>
      <c r="O14809" s="36" t="s">
        <v>48</v>
      </c>
      <c r="R14809" s="36" t="s">
        <v>48</v>
      </c>
    </row>
    <row r="14810">
      <c r="H14810" s="50"/>
      <c r="I14810" s="50"/>
      <c r="O14810" s="36" t="s">
        <v>48</v>
      </c>
      <c r="R14810" s="36" t="s">
        <v>48</v>
      </c>
    </row>
    <row r="14811">
      <c r="H14811" s="50"/>
      <c r="I14811" s="50"/>
      <c r="O14811" s="36" t="s">
        <v>48</v>
      </c>
      <c r="R14811" s="36" t="s">
        <v>48</v>
      </c>
    </row>
    <row r="14812">
      <c r="H14812" s="50"/>
      <c r="I14812" s="50"/>
      <c r="O14812" s="36" t="s">
        <v>48</v>
      </c>
      <c r="R14812" s="36" t="s">
        <v>48</v>
      </c>
    </row>
    <row r="14813">
      <c r="H14813" s="50"/>
      <c r="I14813" s="50"/>
      <c r="O14813" s="36" t="s">
        <v>48</v>
      </c>
      <c r="R14813" s="36" t="s">
        <v>48</v>
      </c>
    </row>
    <row r="14814">
      <c r="H14814" s="50"/>
      <c r="I14814" s="50"/>
      <c r="O14814" s="36" t="s">
        <v>48</v>
      </c>
      <c r="R14814" s="36" t="s">
        <v>48</v>
      </c>
    </row>
    <row r="14815">
      <c r="H14815" s="50"/>
      <c r="I14815" s="50"/>
      <c r="O14815" s="36" t="s">
        <v>48</v>
      </c>
      <c r="R14815" s="36" t="s">
        <v>48</v>
      </c>
    </row>
    <row r="14816">
      <c r="H14816" s="50"/>
      <c r="I14816" s="50"/>
      <c r="O14816" s="36" t="s">
        <v>48</v>
      </c>
      <c r="R14816" s="36" t="s">
        <v>48</v>
      </c>
    </row>
    <row r="14817">
      <c r="H14817" s="50"/>
      <c r="I14817" s="50"/>
      <c r="O14817" s="36" t="s">
        <v>48</v>
      </c>
      <c r="R14817" s="36" t="s">
        <v>48</v>
      </c>
    </row>
    <row r="14818">
      <c r="H14818" s="50"/>
      <c r="I14818" s="50"/>
      <c r="O14818" s="36" t="s">
        <v>48</v>
      </c>
      <c r="R14818" s="36" t="s">
        <v>48</v>
      </c>
    </row>
    <row r="14819">
      <c r="H14819" s="50"/>
      <c r="I14819" s="50"/>
      <c r="O14819" s="36" t="s">
        <v>48</v>
      </c>
      <c r="R14819" s="36" t="s">
        <v>48</v>
      </c>
    </row>
    <row r="14820">
      <c r="H14820" s="50"/>
      <c r="I14820" s="50"/>
      <c r="O14820" s="36" t="s">
        <v>48</v>
      </c>
      <c r="R14820" s="36" t="s">
        <v>48</v>
      </c>
    </row>
    <row r="14821">
      <c r="H14821" s="50"/>
      <c r="I14821" s="50"/>
      <c r="O14821" s="36" t="s">
        <v>48</v>
      </c>
      <c r="R14821" s="36" t="s">
        <v>48</v>
      </c>
    </row>
    <row r="14822">
      <c r="H14822" s="50"/>
      <c r="I14822" s="50"/>
      <c r="O14822" s="36" t="s">
        <v>48</v>
      </c>
      <c r="R14822" s="36" t="s">
        <v>48</v>
      </c>
    </row>
    <row r="14823">
      <c r="H14823" s="50"/>
      <c r="I14823" s="50"/>
      <c r="O14823" s="36" t="s">
        <v>48</v>
      </c>
      <c r="R14823" s="36" t="s">
        <v>48</v>
      </c>
    </row>
    <row r="14824">
      <c r="H14824" s="50"/>
      <c r="I14824" s="50"/>
      <c r="O14824" s="36" t="s">
        <v>48</v>
      </c>
      <c r="R14824" s="36" t="s">
        <v>48</v>
      </c>
    </row>
    <row r="14825">
      <c r="H14825" s="50"/>
      <c r="I14825" s="50"/>
      <c r="O14825" s="36" t="s">
        <v>48</v>
      </c>
      <c r="R14825" s="36" t="s">
        <v>48</v>
      </c>
    </row>
    <row r="14826">
      <c r="H14826" s="50"/>
      <c r="I14826" s="50"/>
      <c r="O14826" s="36" t="s">
        <v>48</v>
      </c>
      <c r="R14826" s="36" t="s">
        <v>48</v>
      </c>
    </row>
    <row r="14827">
      <c r="H14827" s="50"/>
      <c r="I14827" s="50"/>
      <c r="O14827" s="36" t="s">
        <v>48</v>
      </c>
      <c r="R14827" s="36" t="s">
        <v>48</v>
      </c>
    </row>
    <row r="14828">
      <c r="H14828" s="50"/>
      <c r="I14828" s="50"/>
      <c r="O14828" s="36" t="s">
        <v>48</v>
      </c>
      <c r="R14828" s="36" t="s">
        <v>48</v>
      </c>
    </row>
    <row r="14829">
      <c r="H14829" s="50"/>
      <c r="I14829" s="50"/>
      <c r="O14829" s="36" t="s">
        <v>48</v>
      </c>
      <c r="R14829" s="36" t="s">
        <v>48</v>
      </c>
    </row>
    <row r="14830">
      <c r="H14830" s="50"/>
      <c r="I14830" s="50"/>
      <c r="O14830" s="36" t="s">
        <v>48</v>
      </c>
      <c r="R14830" s="36" t="s">
        <v>48</v>
      </c>
    </row>
    <row r="14831">
      <c r="H14831" s="50"/>
      <c r="I14831" s="50"/>
      <c r="O14831" s="36" t="s">
        <v>48</v>
      </c>
      <c r="R14831" s="36" t="s">
        <v>48</v>
      </c>
    </row>
    <row r="14832">
      <c r="H14832" s="50"/>
      <c r="I14832" s="50"/>
      <c r="O14832" s="36" t="s">
        <v>48</v>
      </c>
      <c r="R14832" s="36" t="s">
        <v>48</v>
      </c>
    </row>
    <row r="14833">
      <c r="H14833" s="50"/>
      <c r="I14833" s="50"/>
      <c r="O14833" s="36" t="s">
        <v>48</v>
      </c>
      <c r="R14833" s="36" t="s">
        <v>48</v>
      </c>
    </row>
    <row r="14834">
      <c r="H14834" s="50"/>
      <c r="I14834" s="50"/>
      <c r="O14834" s="36" t="s">
        <v>48</v>
      </c>
      <c r="R14834" s="36" t="s">
        <v>48</v>
      </c>
    </row>
    <row r="14835">
      <c r="H14835" s="50"/>
      <c r="I14835" s="50"/>
      <c r="O14835" s="36" t="s">
        <v>48</v>
      </c>
      <c r="R14835" s="36" t="s">
        <v>48</v>
      </c>
    </row>
    <row r="14836">
      <c r="H14836" s="50"/>
      <c r="I14836" s="50"/>
      <c r="O14836" s="36" t="s">
        <v>48</v>
      </c>
      <c r="R14836" s="36" t="s">
        <v>48</v>
      </c>
    </row>
    <row r="14837">
      <c r="H14837" s="50"/>
      <c r="I14837" s="50"/>
      <c r="O14837" s="36" t="s">
        <v>48</v>
      </c>
      <c r="R14837" s="36" t="s">
        <v>48</v>
      </c>
    </row>
    <row r="14838">
      <c r="H14838" s="50"/>
      <c r="I14838" s="50"/>
      <c r="O14838" s="36" t="s">
        <v>48</v>
      </c>
      <c r="R14838" s="36" t="s">
        <v>48</v>
      </c>
    </row>
    <row r="14839">
      <c r="H14839" s="50"/>
      <c r="I14839" s="50"/>
      <c r="O14839" s="36" t="s">
        <v>48</v>
      </c>
      <c r="R14839" s="36" t="s">
        <v>48</v>
      </c>
    </row>
    <row r="14840">
      <c r="H14840" s="50"/>
      <c r="I14840" s="50"/>
      <c r="O14840" s="36" t="s">
        <v>48</v>
      </c>
      <c r="R14840" s="36" t="s">
        <v>48</v>
      </c>
    </row>
    <row r="14841">
      <c r="H14841" s="50"/>
      <c r="I14841" s="50"/>
      <c r="O14841" s="36" t="s">
        <v>48</v>
      </c>
      <c r="R14841" s="36" t="s">
        <v>48</v>
      </c>
    </row>
    <row r="14842">
      <c r="H14842" s="50"/>
      <c r="I14842" s="50"/>
      <c r="O14842" s="36" t="s">
        <v>48</v>
      </c>
      <c r="R14842" s="36" t="s">
        <v>48</v>
      </c>
    </row>
    <row r="14843">
      <c r="H14843" s="50"/>
      <c r="I14843" s="50"/>
      <c r="O14843" s="36" t="s">
        <v>48</v>
      </c>
      <c r="R14843" s="36" t="s">
        <v>48</v>
      </c>
    </row>
    <row r="14844">
      <c r="H14844" s="50"/>
      <c r="I14844" s="50"/>
      <c r="O14844" s="36" t="s">
        <v>48</v>
      </c>
      <c r="R14844" s="36" t="s">
        <v>48</v>
      </c>
    </row>
    <row r="14845">
      <c r="H14845" s="50"/>
      <c r="I14845" s="50"/>
      <c r="O14845" s="36" t="s">
        <v>48</v>
      </c>
      <c r="R14845" s="36" t="s">
        <v>48</v>
      </c>
    </row>
    <row r="14846">
      <c r="H14846" s="50"/>
      <c r="I14846" s="50"/>
      <c r="O14846" s="36" t="s">
        <v>48</v>
      </c>
      <c r="R14846" s="36" t="s">
        <v>48</v>
      </c>
    </row>
    <row r="14847">
      <c r="H14847" s="50"/>
      <c r="I14847" s="50"/>
      <c r="O14847" s="36" t="s">
        <v>48</v>
      </c>
      <c r="R14847" s="36" t="s">
        <v>48</v>
      </c>
    </row>
    <row r="14848">
      <c r="H14848" s="50"/>
      <c r="I14848" s="50"/>
      <c r="O14848" s="36" t="s">
        <v>48</v>
      </c>
      <c r="R14848" s="36" t="s">
        <v>48</v>
      </c>
    </row>
    <row r="14849">
      <c r="H14849" s="50"/>
      <c r="I14849" s="50"/>
      <c r="O14849" s="36" t="s">
        <v>48</v>
      </c>
      <c r="R14849" s="36" t="s">
        <v>48</v>
      </c>
    </row>
    <row r="14850">
      <c r="H14850" s="50"/>
      <c r="I14850" s="50"/>
      <c r="O14850" s="36" t="s">
        <v>48</v>
      </c>
      <c r="R14850" s="36" t="s">
        <v>48</v>
      </c>
    </row>
    <row r="14851">
      <c r="H14851" s="50"/>
      <c r="I14851" s="50"/>
      <c r="O14851" s="36" t="s">
        <v>48</v>
      </c>
      <c r="R14851" s="36" t="s">
        <v>48</v>
      </c>
    </row>
    <row r="14852">
      <c r="H14852" s="50"/>
      <c r="I14852" s="50"/>
      <c r="O14852" s="36" t="s">
        <v>48</v>
      </c>
      <c r="R14852" s="36" t="s">
        <v>48</v>
      </c>
    </row>
    <row r="14853">
      <c r="H14853" s="50"/>
      <c r="I14853" s="50"/>
      <c r="O14853" s="36" t="s">
        <v>48</v>
      </c>
      <c r="R14853" s="36" t="s">
        <v>48</v>
      </c>
    </row>
    <row r="14854">
      <c r="H14854" s="50"/>
      <c r="I14854" s="50"/>
      <c r="O14854" s="36" t="s">
        <v>48</v>
      </c>
      <c r="R14854" s="36" t="s">
        <v>48</v>
      </c>
    </row>
    <row r="14855">
      <c r="H14855" s="50"/>
      <c r="I14855" s="50"/>
      <c r="O14855" s="36" t="s">
        <v>48</v>
      </c>
      <c r="R14855" s="36" t="s">
        <v>48</v>
      </c>
    </row>
    <row r="14856">
      <c r="H14856" s="50"/>
      <c r="I14856" s="50"/>
      <c r="O14856" s="36" t="s">
        <v>48</v>
      </c>
      <c r="R14856" s="36" t="s">
        <v>48</v>
      </c>
    </row>
    <row r="14857">
      <c r="H14857" s="50"/>
      <c r="I14857" s="50"/>
      <c r="O14857" s="36" t="s">
        <v>48</v>
      </c>
      <c r="R14857" s="36" t="s">
        <v>48</v>
      </c>
    </row>
    <row r="14858">
      <c r="H14858" s="50"/>
      <c r="I14858" s="50"/>
      <c r="O14858" s="36" t="s">
        <v>48</v>
      </c>
      <c r="R14858" s="36" t="s">
        <v>48</v>
      </c>
    </row>
    <row r="14859">
      <c r="H14859" s="50"/>
      <c r="I14859" s="50"/>
      <c r="O14859" s="36" t="s">
        <v>48</v>
      </c>
      <c r="R14859" s="36" t="s">
        <v>48</v>
      </c>
    </row>
    <row r="14860">
      <c r="H14860" s="50"/>
      <c r="I14860" s="50"/>
      <c r="O14860" s="36" t="s">
        <v>48</v>
      </c>
      <c r="R14860" s="36" t="s">
        <v>48</v>
      </c>
    </row>
    <row r="14861">
      <c r="H14861" s="50"/>
      <c r="I14861" s="50"/>
      <c r="O14861" s="36" t="s">
        <v>48</v>
      </c>
      <c r="R14861" s="36" t="s">
        <v>48</v>
      </c>
    </row>
    <row r="14862">
      <c r="H14862" s="50"/>
      <c r="I14862" s="50"/>
      <c r="O14862" s="36" t="s">
        <v>48</v>
      </c>
      <c r="R14862" s="36" t="s">
        <v>48</v>
      </c>
    </row>
    <row r="14863">
      <c r="H14863" s="50"/>
      <c r="I14863" s="50"/>
      <c r="O14863" s="36" t="s">
        <v>48</v>
      </c>
      <c r="R14863" s="36" t="s">
        <v>48</v>
      </c>
    </row>
    <row r="14864">
      <c r="H14864" s="50"/>
      <c r="I14864" s="50"/>
      <c r="O14864" s="36" t="s">
        <v>48</v>
      </c>
      <c r="R14864" s="36" t="s">
        <v>48</v>
      </c>
    </row>
    <row r="14865">
      <c r="H14865" s="50"/>
      <c r="I14865" s="50"/>
      <c r="O14865" s="36" t="s">
        <v>48</v>
      </c>
      <c r="R14865" s="36" t="s">
        <v>48</v>
      </c>
    </row>
    <row r="14866">
      <c r="H14866" s="50"/>
      <c r="I14866" s="50"/>
      <c r="O14866" s="36" t="s">
        <v>48</v>
      </c>
      <c r="R14866" s="36" t="s">
        <v>48</v>
      </c>
    </row>
    <row r="14867">
      <c r="H14867" s="50"/>
      <c r="I14867" s="50"/>
      <c r="O14867" s="36" t="s">
        <v>48</v>
      </c>
      <c r="R14867" s="36" t="s">
        <v>48</v>
      </c>
    </row>
    <row r="14868">
      <c r="H14868" s="50"/>
      <c r="I14868" s="50"/>
      <c r="O14868" s="36" t="s">
        <v>48</v>
      </c>
      <c r="R14868" s="36" t="s">
        <v>48</v>
      </c>
    </row>
    <row r="14869">
      <c r="H14869" s="50"/>
      <c r="I14869" s="50"/>
      <c r="O14869" s="36" t="s">
        <v>48</v>
      </c>
      <c r="R14869" s="36" t="s">
        <v>48</v>
      </c>
    </row>
    <row r="14870">
      <c r="H14870" s="50"/>
      <c r="I14870" s="50"/>
      <c r="O14870" s="36" t="s">
        <v>48</v>
      </c>
      <c r="R14870" s="36" t="s">
        <v>48</v>
      </c>
    </row>
    <row r="14871">
      <c r="H14871" s="50"/>
      <c r="I14871" s="50"/>
      <c r="O14871" s="36" t="s">
        <v>48</v>
      </c>
      <c r="R14871" s="36" t="s">
        <v>48</v>
      </c>
    </row>
    <row r="14872">
      <c r="H14872" s="50"/>
      <c r="I14872" s="50"/>
      <c r="O14872" s="36" t="s">
        <v>48</v>
      </c>
      <c r="R14872" s="36" t="s">
        <v>48</v>
      </c>
    </row>
    <row r="14873">
      <c r="H14873" s="50"/>
      <c r="I14873" s="50"/>
      <c r="O14873" s="36" t="s">
        <v>48</v>
      </c>
      <c r="R14873" s="36" t="s">
        <v>48</v>
      </c>
    </row>
    <row r="14874">
      <c r="H14874" s="50"/>
      <c r="I14874" s="50"/>
      <c r="O14874" s="36" t="s">
        <v>48</v>
      </c>
      <c r="R14874" s="36" t="s">
        <v>48</v>
      </c>
    </row>
    <row r="14875">
      <c r="H14875" s="50"/>
      <c r="I14875" s="50"/>
      <c r="O14875" s="36" t="s">
        <v>48</v>
      </c>
      <c r="R14875" s="36" t="s">
        <v>48</v>
      </c>
    </row>
    <row r="14876">
      <c r="H14876" s="50"/>
      <c r="I14876" s="50"/>
      <c r="O14876" s="36" t="s">
        <v>48</v>
      </c>
      <c r="R14876" s="36" t="s">
        <v>48</v>
      </c>
    </row>
    <row r="14877">
      <c r="H14877" s="50"/>
      <c r="I14877" s="50"/>
      <c r="O14877" s="36" t="s">
        <v>48</v>
      </c>
      <c r="R14877" s="36" t="s">
        <v>48</v>
      </c>
    </row>
    <row r="14878">
      <c r="H14878" s="50"/>
      <c r="I14878" s="50"/>
      <c r="O14878" s="36" t="s">
        <v>48</v>
      </c>
      <c r="R14878" s="36" t="s">
        <v>48</v>
      </c>
    </row>
    <row r="14879">
      <c r="H14879" s="50"/>
      <c r="I14879" s="50"/>
      <c r="O14879" s="36" t="s">
        <v>48</v>
      </c>
      <c r="R14879" s="36" t="s">
        <v>48</v>
      </c>
    </row>
    <row r="14880">
      <c r="H14880" s="50"/>
      <c r="I14880" s="50"/>
      <c r="O14880" s="36" t="s">
        <v>48</v>
      </c>
      <c r="R14880" s="36" t="s">
        <v>48</v>
      </c>
    </row>
    <row r="14881">
      <c r="H14881" s="50"/>
      <c r="I14881" s="50"/>
      <c r="O14881" s="36" t="s">
        <v>48</v>
      </c>
      <c r="R14881" s="36" t="s">
        <v>48</v>
      </c>
    </row>
    <row r="14882">
      <c r="H14882" s="50"/>
      <c r="I14882" s="50"/>
      <c r="O14882" s="36" t="s">
        <v>48</v>
      </c>
      <c r="R14882" s="36" t="s">
        <v>48</v>
      </c>
    </row>
    <row r="14883">
      <c r="H14883" s="50"/>
      <c r="I14883" s="50"/>
      <c r="O14883" s="36" t="s">
        <v>48</v>
      </c>
      <c r="R14883" s="36" t="s">
        <v>48</v>
      </c>
    </row>
    <row r="14884">
      <c r="H14884" s="50"/>
      <c r="I14884" s="50"/>
      <c r="O14884" s="36" t="s">
        <v>48</v>
      </c>
      <c r="R14884" s="36" t="s">
        <v>48</v>
      </c>
    </row>
    <row r="14885">
      <c r="H14885" s="50"/>
      <c r="I14885" s="50"/>
      <c r="O14885" s="36" t="s">
        <v>48</v>
      </c>
      <c r="R14885" s="36" t="s">
        <v>48</v>
      </c>
    </row>
    <row r="14886">
      <c r="H14886" s="50"/>
      <c r="I14886" s="50"/>
      <c r="O14886" s="36" t="s">
        <v>48</v>
      </c>
      <c r="R14886" s="36" t="s">
        <v>48</v>
      </c>
    </row>
    <row r="14887">
      <c r="H14887" s="50"/>
      <c r="I14887" s="50"/>
      <c r="O14887" s="36" t="s">
        <v>48</v>
      </c>
      <c r="R14887" s="36" t="s">
        <v>48</v>
      </c>
    </row>
    <row r="14888">
      <c r="H14888" s="50"/>
      <c r="I14888" s="50"/>
      <c r="O14888" s="36" t="s">
        <v>48</v>
      </c>
      <c r="R14888" s="36" t="s">
        <v>48</v>
      </c>
    </row>
    <row r="14889">
      <c r="H14889" s="50"/>
      <c r="I14889" s="50"/>
      <c r="O14889" s="36" t="s">
        <v>48</v>
      </c>
      <c r="R14889" s="36" t="s">
        <v>48</v>
      </c>
    </row>
    <row r="14890">
      <c r="H14890" s="50"/>
      <c r="I14890" s="50"/>
      <c r="O14890" s="36" t="s">
        <v>48</v>
      </c>
      <c r="R14890" s="36" t="s">
        <v>48</v>
      </c>
    </row>
    <row r="14891">
      <c r="H14891" s="50"/>
      <c r="I14891" s="50"/>
      <c r="O14891" s="36" t="s">
        <v>48</v>
      </c>
      <c r="R14891" s="36" t="s">
        <v>48</v>
      </c>
    </row>
    <row r="14892">
      <c r="H14892" s="50"/>
      <c r="I14892" s="50"/>
      <c r="O14892" s="36" t="s">
        <v>48</v>
      </c>
      <c r="R14892" s="36" t="s">
        <v>48</v>
      </c>
    </row>
    <row r="14893">
      <c r="H14893" s="50"/>
      <c r="I14893" s="50"/>
      <c r="O14893" s="36" t="s">
        <v>48</v>
      </c>
      <c r="R14893" s="36" t="s">
        <v>48</v>
      </c>
    </row>
    <row r="14894">
      <c r="H14894" s="50"/>
      <c r="I14894" s="50"/>
      <c r="O14894" s="36" t="s">
        <v>48</v>
      </c>
      <c r="R14894" s="36" t="s">
        <v>48</v>
      </c>
    </row>
    <row r="14895">
      <c r="H14895" s="50"/>
      <c r="I14895" s="50"/>
      <c r="O14895" s="36" t="s">
        <v>48</v>
      </c>
      <c r="R14895" s="36" t="s">
        <v>48</v>
      </c>
    </row>
    <row r="14896">
      <c r="H14896" s="50"/>
      <c r="I14896" s="50"/>
      <c r="O14896" s="36" t="s">
        <v>48</v>
      </c>
      <c r="R14896" s="36" t="s">
        <v>48</v>
      </c>
    </row>
    <row r="14897">
      <c r="H14897" s="50"/>
      <c r="I14897" s="50"/>
      <c r="O14897" s="36" t="s">
        <v>48</v>
      </c>
      <c r="R14897" s="36" t="s">
        <v>48</v>
      </c>
    </row>
    <row r="14898">
      <c r="H14898" s="50"/>
      <c r="I14898" s="50"/>
      <c r="O14898" s="36" t="s">
        <v>48</v>
      </c>
      <c r="R14898" s="36" t="s">
        <v>48</v>
      </c>
    </row>
    <row r="14899">
      <c r="H14899" s="50"/>
      <c r="I14899" s="50"/>
      <c r="O14899" s="36" t="s">
        <v>48</v>
      </c>
      <c r="R14899" s="36" t="s">
        <v>48</v>
      </c>
    </row>
    <row r="14900">
      <c r="H14900" s="50"/>
      <c r="I14900" s="50"/>
      <c r="O14900" s="36" t="s">
        <v>48</v>
      </c>
      <c r="R14900" s="36" t="s">
        <v>48</v>
      </c>
    </row>
    <row r="14901">
      <c r="H14901" s="50"/>
      <c r="I14901" s="50"/>
      <c r="O14901" s="36" t="s">
        <v>48</v>
      </c>
      <c r="R14901" s="36" t="s">
        <v>48</v>
      </c>
    </row>
    <row r="14902">
      <c r="H14902" s="50"/>
      <c r="I14902" s="50"/>
      <c r="O14902" s="36" t="s">
        <v>48</v>
      </c>
      <c r="R14902" s="36" t="s">
        <v>48</v>
      </c>
    </row>
    <row r="14903">
      <c r="H14903" s="50"/>
      <c r="I14903" s="50"/>
      <c r="O14903" s="36" t="s">
        <v>48</v>
      </c>
      <c r="R14903" s="36" t="s">
        <v>48</v>
      </c>
    </row>
    <row r="14904">
      <c r="H14904" s="50"/>
      <c r="I14904" s="50"/>
      <c r="O14904" s="36" t="s">
        <v>48</v>
      </c>
      <c r="R14904" s="36" t="s">
        <v>48</v>
      </c>
    </row>
    <row r="14905">
      <c r="H14905" s="50"/>
      <c r="I14905" s="50"/>
      <c r="O14905" s="36" t="s">
        <v>48</v>
      </c>
      <c r="R14905" s="36" t="s">
        <v>48</v>
      </c>
    </row>
    <row r="14906">
      <c r="H14906" s="50"/>
      <c r="I14906" s="50"/>
      <c r="O14906" s="36" t="s">
        <v>48</v>
      </c>
      <c r="R14906" s="36" t="s">
        <v>48</v>
      </c>
    </row>
    <row r="14907">
      <c r="H14907" s="50"/>
      <c r="I14907" s="50"/>
      <c r="O14907" s="36" t="s">
        <v>48</v>
      </c>
      <c r="R14907" s="36" t="s">
        <v>48</v>
      </c>
    </row>
    <row r="14908">
      <c r="H14908" s="50"/>
      <c r="I14908" s="50"/>
      <c r="O14908" s="36" t="s">
        <v>48</v>
      </c>
      <c r="R14908" s="36" t="s">
        <v>48</v>
      </c>
    </row>
    <row r="14909">
      <c r="H14909" s="50"/>
      <c r="I14909" s="50"/>
      <c r="O14909" s="36" t="s">
        <v>48</v>
      </c>
      <c r="R14909" s="36" t="s">
        <v>48</v>
      </c>
    </row>
    <row r="14910">
      <c r="H14910" s="50"/>
      <c r="I14910" s="50"/>
      <c r="O14910" s="36" t="s">
        <v>48</v>
      </c>
      <c r="R14910" s="36" t="s">
        <v>48</v>
      </c>
    </row>
    <row r="14911">
      <c r="H14911" s="50"/>
      <c r="I14911" s="50"/>
      <c r="O14911" s="36" t="s">
        <v>48</v>
      </c>
      <c r="R14911" s="36" t="s">
        <v>48</v>
      </c>
    </row>
    <row r="14912">
      <c r="H14912" s="50"/>
      <c r="I14912" s="50"/>
      <c r="O14912" s="36" t="s">
        <v>48</v>
      </c>
      <c r="R14912" s="36" t="s">
        <v>48</v>
      </c>
    </row>
    <row r="14913">
      <c r="H14913" s="50"/>
      <c r="I14913" s="50"/>
      <c r="O14913" s="36" t="s">
        <v>48</v>
      </c>
      <c r="R14913" s="36" t="s">
        <v>48</v>
      </c>
    </row>
    <row r="14914">
      <c r="H14914" s="50"/>
      <c r="I14914" s="50"/>
      <c r="O14914" s="36" t="s">
        <v>48</v>
      </c>
      <c r="R14914" s="36" t="s">
        <v>48</v>
      </c>
    </row>
    <row r="14915">
      <c r="H14915" s="50"/>
      <c r="I14915" s="50"/>
      <c r="O14915" s="36" t="s">
        <v>48</v>
      </c>
      <c r="R14915" s="36" t="s">
        <v>48</v>
      </c>
    </row>
    <row r="14916">
      <c r="H14916" s="50"/>
      <c r="I14916" s="50"/>
      <c r="O14916" s="36" t="s">
        <v>48</v>
      </c>
      <c r="R14916" s="36" t="s">
        <v>48</v>
      </c>
    </row>
    <row r="14917">
      <c r="H14917" s="50"/>
      <c r="I14917" s="50"/>
      <c r="O14917" s="36" t="s">
        <v>48</v>
      </c>
      <c r="R14917" s="36" t="s">
        <v>48</v>
      </c>
    </row>
    <row r="14918">
      <c r="H14918" s="50"/>
      <c r="I14918" s="50"/>
      <c r="O14918" s="36" t="s">
        <v>48</v>
      </c>
      <c r="R14918" s="36" t="s">
        <v>48</v>
      </c>
    </row>
    <row r="14919">
      <c r="H14919" s="50"/>
      <c r="I14919" s="50"/>
      <c r="O14919" s="36" t="s">
        <v>48</v>
      </c>
      <c r="R14919" s="36" t="s">
        <v>48</v>
      </c>
    </row>
    <row r="14920">
      <c r="H14920" s="50"/>
      <c r="I14920" s="50"/>
      <c r="O14920" s="36" t="s">
        <v>48</v>
      </c>
      <c r="R14920" s="36" t="s">
        <v>48</v>
      </c>
    </row>
    <row r="14921">
      <c r="H14921" s="50"/>
      <c r="I14921" s="50"/>
      <c r="O14921" s="36" t="s">
        <v>48</v>
      </c>
      <c r="R14921" s="36" t="s">
        <v>48</v>
      </c>
    </row>
    <row r="14922">
      <c r="H14922" s="50"/>
      <c r="I14922" s="50"/>
      <c r="O14922" s="36" t="s">
        <v>48</v>
      </c>
      <c r="R14922" s="36" t="s">
        <v>48</v>
      </c>
    </row>
    <row r="14923">
      <c r="H14923" s="50"/>
      <c r="I14923" s="50"/>
      <c r="O14923" s="36" t="s">
        <v>48</v>
      </c>
      <c r="R14923" s="36" t="s">
        <v>48</v>
      </c>
    </row>
    <row r="14924">
      <c r="H14924" s="50"/>
      <c r="I14924" s="50"/>
      <c r="O14924" s="36" t="s">
        <v>48</v>
      </c>
      <c r="R14924" s="36" t="s">
        <v>48</v>
      </c>
    </row>
    <row r="14925">
      <c r="H14925" s="50"/>
      <c r="I14925" s="50"/>
      <c r="O14925" s="36" t="s">
        <v>48</v>
      </c>
      <c r="R14925" s="36" t="s">
        <v>48</v>
      </c>
    </row>
    <row r="14926">
      <c r="H14926" s="50"/>
      <c r="I14926" s="50"/>
      <c r="O14926" s="36" t="s">
        <v>48</v>
      </c>
      <c r="R14926" s="36" t="s">
        <v>48</v>
      </c>
    </row>
    <row r="14927">
      <c r="H14927" s="50"/>
      <c r="I14927" s="50"/>
      <c r="O14927" s="36" t="s">
        <v>48</v>
      </c>
      <c r="R14927" s="36" t="s">
        <v>48</v>
      </c>
    </row>
    <row r="14928">
      <c r="H14928" s="50"/>
      <c r="I14928" s="50"/>
      <c r="O14928" s="36" t="s">
        <v>48</v>
      </c>
      <c r="R14928" s="36" t="s">
        <v>48</v>
      </c>
    </row>
    <row r="14929">
      <c r="H14929" s="50"/>
      <c r="I14929" s="50"/>
      <c r="O14929" s="36" t="s">
        <v>48</v>
      </c>
      <c r="R14929" s="36" t="s">
        <v>48</v>
      </c>
    </row>
    <row r="14930">
      <c r="H14930" s="50"/>
      <c r="I14930" s="50"/>
      <c r="O14930" s="36" t="s">
        <v>48</v>
      </c>
      <c r="R14930" s="36" t="s">
        <v>48</v>
      </c>
    </row>
    <row r="14931">
      <c r="H14931" s="50"/>
      <c r="I14931" s="50"/>
      <c r="O14931" s="36" t="s">
        <v>48</v>
      </c>
      <c r="R14931" s="36" t="s">
        <v>48</v>
      </c>
    </row>
    <row r="14932">
      <c r="H14932" s="50"/>
      <c r="I14932" s="50"/>
      <c r="O14932" s="36" t="s">
        <v>48</v>
      </c>
      <c r="R14932" s="36" t="s">
        <v>48</v>
      </c>
    </row>
    <row r="14933">
      <c r="H14933" s="50"/>
      <c r="I14933" s="50"/>
      <c r="O14933" s="36" t="s">
        <v>48</v>
      </c>
      <c r="R14933" s="36" t="s">
        <v>48</v>
      </c>
    </row>
    <row r="14934">
      <c r="H14934" s="50"/>
      <c r="I14934" s="50"/>
      <c r="O14934" s="36" t="s">
        <v>48</v>
      </c>
      <c r="R14934" s="36" t="s">
        <v>48</v>
      </c>
    </row>
    <row r="14935">
      <c r="H14935" s="50"/>
      <c r="I14935" s="50"/>
      <c r="O14935" s="36" t="s">
        <v>48</v>
      </c>
      <c r="R14935" s="36" t="s">
        <v>48</v>
      </c>
    </row>
    <row r="14936">
      <c r="H14936" s="50"/>
      <c r="I14936" s="50"/>
      <c r="O14936" s="36" t="s">
        <v>48</v>
      </c>
      <c r="R14936" s="36" t="s">
        <v>48</v>
      </c>
    </row>
    <row r="14937">
      <c r="H14937" s="50"/>
      <c r="I14937" s="50"/>
      <c r="O14937" s="36" t="s">
        <v>48</v>
      </c>
      <c r="R14937" s="36" t="s">
        <v>48</v>
      </c>
    </row>
    <row r="14938">
      <c r="H14938" s="50"/>
      <c r="I14938" s="50"/>
      <c r="O14938" s="36" t="s">
        <v>48</v>
      </c>
      <c r="R14938" s="36" t="s">
        <v>48</v>
      </c>
    </row>
    <row r="14939">
      <c r="H14939" s="50"/>
      <c r="I14939" s="50"/>
      <c r="O14939" s="36" t="s">
        <v>48</v>
      </c>
      <c r="R14939" s="36" t="s">
        <v>48</v>
      </c>
    </row>
    <row r="14940">
      <c r="H14940" s="50"/>
      <c r="I14940" s="50"/>
      <c r="O14940" s="36" t="s">
        <v>48</v>
      </c>
      <c r="R14940" s="36" t="s">
        <v>48</v>
      </c>
    </row>
    <row r="14941">
      <c r="H14941" s="50"/>
      <c r="I14941" s="50"/>
      <c r="O14941" s="36" t="s">
        <v>48</v>
      </c>
      <c r="R14941" s="36" t="s">
        <v>48</v>
      </c>
    </row>
    <row r="14942">
      <c r="H14942" s="50"/>
      <c r="I14942" s="50"/>
      <c r="O14942" s="36" t="s">
        <v>48</v>
      </c>
      <c r="R14942" s="36" t="s">
        <v>48</v>
      </c>
    </row>
    <row r="14943">
      <c r="H14943" s="50"/>
      <c r="I14943" s="50"/>
      <c r="O14943" s="36" t="s">
        <v>48</v>
      </c>
      <c r="R14943" s="36" t="s">
        <v>48</v>
      </c>
    </row>
    <row r="14944">
      <c r="H14944" s="50"/>
      <c r="I14944" s="50"/>
      <c r="O14944" s="36" t="s">
        <v>48</v>
      </c>
      <c r="R14944" s="36" t="s">
        <v>48</v>
      </c>
    </row>
    <row r="14945">
      <c r="H14945" s="50"/>
      <c r="I14945" s="50"/>
      <c r="O14945" s="36" t="s">
        <v>48</v>
      </c>
      <c r="R14945" s="36" t="s">
        <v>48</v>
      </c>
    </row>
    <row r="14946">
      <c r="H14946" s="50"/>
      <c r="I14946" s="50"/>
      <c r="O14946" s="36" t="s">
        <v>48</v>
      </c>
      <c r="R14946" s="36" t="s">
        <v>48</v>
      </c>
    </row>
    <row r="14947">
      <c r="H14947" s="50"/>
      <c r="I14947" s="50"/>
      <c r="O14947" s="36" t="s">
        <v>48</v>
      </c>
      <c r="R14947" s="36" t="s">
        <v>48</v>
      </c>
    </row>
    <row r="14948">
      <c r="H14948" s="50"/>
      <c r="I14948" s="50"/>
      <c r="O14948" s="36" t="s">
        <v>48</v>
      </c>
      <c r="R14948" s="36" t="s">
        <v>48</v>
      </c>
    </row>
    <row r="14949">
      <c r="H14949" s="50"/>
      <c r="I14949" s="50"/>
      <c r="O14949" s="36" t="s">
        <v>48</v>
      </c>
      <c r="R14949" s="36" t="s">
        <v>48</v>
      </c>
    </row>
    <row r="14950">
      <c r="H14950" s="50"/>
      <c r="I14950" s="50"/>
      <c r="O14950" s="36" t="s">
        <v>48</v>
      </c>
      <c r="R14950" s="36" t="s">
        <v>48</v>
      </c>
    </row>
    <row r="14951">
      <c r="H14951" s="50"/>
      <c r="I14951" s="50"/>
      <c r="O14951" s="36" t="s">
        <v>48</v>
      </c>
      <c r="R14951" s="36" t="s">
        <v>48</v>
      </c>
    </row>
    <row r="14952">
      <c r="H14952" s="50"/>
      <c r="I14952" s="50"/>
      <c r="O14952" s="36" t="s">
        <v>48</v>
      </c>
      <c r="R14952" s="36" t="s">
        <v>48</v>
      </c>
    </row>
    <row r="14953">
      <c r="H14953" s="50"/>
      <c r="I14953" s="50"/>
      <c r="O14953" s="36" t="s">
        <v>48</v>
      </c>
      <c r="R14953" s="36" t="s">
        <v>48</v>
      </c>
    </row>
    <row r="14954">
      <c r="H14954" s="50"/>
      <c r="I14954" s="50"/>
      <c r="O14954" s="36" t="s">
        <v>48</v>
      </c>
      <c r="R14954" s="36" t="s">
        <v>48</v>
      </c>
    </row>
    <row r="14955">
      <c r="H14955" s="50"/>
      <c r="I14955" s="50"/>
      <c r="O14955" s="36" t="s">
        <v>48</v>
      </c>
      <c r="R14955" s="36" t="s">
        <v>48</v>
      </c>
    </row>
    <row r="14956">
      <c r="H14956" s="50"/>
      <c r="I14956" s="50"/>
      <c r="O14956" s="36" t="s">
        <v>48</v>
      </c>
      <c r="R14956" s="36" t="s">
        <v>48</v>
      </c>
    </row>
    <row r="14957">
      <c r="H14957" s="50"/>
      <c r="I14957" s="50"/>
      <c r="O14957" s="36" t="s">
        <v>48</v>
      </c>
      <c r="R14957" s="36" t="s">
        <v>48</v>
      </c>
    </row>
    <row r="14958">
      <c r="H14958" s="50"/>
      <c r="I14958" s="50"/>
      <c r="O14958" s="36" t="s">
        <v>48</v>
      </c>
      <c r="R14958" s="36" t="s">
        <v>48</v>
      </c>
    </row>
    <row r="14959">
      <c r="H14959" s="50"/>
      <c r="I14959" s="50"/>
      <c r="O14959" s="36" t="s">
        <v>48</v>
      </c>
      <c r="R14959" s="36" t="s">
        <v>48</v>
      </c>
    </row>
    <row r="14960">
      <c r="H14960" s="50"/>
      <c r="I14960" s="50"/>
      <c r="O14960" s="36" t="s">
        <v>48</v>
      </c>
      <c r="R14960" s="36" t="s">
        <v>48</v>
      </c>
    </row>
    <row r="14961">
      <c r="H14961" s="50"/>
      <c r="I14961" s="50"/>
      <c r="O14961" s="36" t="s">
        <v>48</v>
      </c>
      <c r="R14961" s="36" t="s">
        <v>48</v>
      </c>
    </row>
    <row r="14962">
      <c r="H14962" s="50"/>
      <c r="I14962" s="50"/>
      <c r="O14962" s="36" t="s">
        <v>48</v>
      </c>
      <c r="R14962" s="36" t="s">
        <v>48</v>
      </c>
    </row>
    <row r="14963">
      <c r="H14963" s="50"/>
      <c r="I14963" s="50"/>
      <c r="O14963" s="36" t="s">
        <v>48</v>
      </c>
      <c r="R14963" s="36" t="s">
        <v>48</v>
      </c>
    </row>
    <row r="14964">
      <c r="H14964" s="50"/>
      <c r="I14964" s="50"/>
      <c r="O14964" s="36" t="s">
        <v>48</v>
      </c>
      <c r="R14964" s="36" t="s">
        <v>48</v>
      </c>
    </row>
    <row r="14965">
      <c r="H14965" s="50"/>
      <c r="I14965" s="50"/>
      <c r="O14965" s="36" t="s">
        <v>48</v>
      </c>
      <c r="R14965" s="36" t="s">
        <v>48</v>
      </c>
    </row>
    <row r="14966">
      <c r="H14966" s="50"/>
      <c r="I14966" s="50"/>
      <c r="O14966" s="36" t="s">
        <v>48</v>
      </c>
      <c r="R14966" s="36" t="s">
        <v>48</v>
      </c>
    </row>
    <row r="14967">
      <c r="H14967" s="50"/>
      <c r="I14967" s="50"/>
      <c r="O14967" s="36" t="s">
        <v>48</v>
      </c>
      <c r="R14967" s="36" t="s">
        <v>48</v>
      </c>
    </row>
    <row r="14968">
      <c r="H14968" s="50"/>
      <c r="I14968" s="50"/>
      <c r="O14968" s="36" t="s">
        <v>48</v>
      </c>
      <c r="R14968" s="36" t="s">
        <v>48</v>
      </c>
    </row>
    <row r="14969">
      <c r="H14969" s="50"/>
      <c r="I14969" s="50"/>
      <c r="O14969" s="36" t="s">
        <v>48</v>
      </c>
      <c r="R14969" s="36" t="s">
        <v>48</v>
      </c>
    </row>
    <row r="14970">
      <c r="H14970" s="50"/>
      <c r="I14970" s="50"/>
      <c r="O14970" s="36" t="s">
        <v>48</v>
      </c>
      <c r="R14970" s="36" t="s">
        <v>48</v>
      </c>
    </row>
    <row r="14971">
      <c r="H14971" s="50"/>
      <c r="I14971" s="50"/>
      <c r="O14971" s="36" t="s">
        <v>48</v>
      </c>
      <c r="R14971" s="36" t="s">
        <v>48</v>
      </c>
    </row>
    <row r="14972">
      <c r="H14972" s="50"/>
      <c r="I14972" s="50"/>
      <c r="O14972" s="36" t="s">
        <v>48</v>
      </c>
      <c r="R14972" s="36" t="s">
        <v>48</v>
      </c>
    </row>
    <row r="14973">
      <c r="H14973" s="50"/>
      <c r="I14973" s="50"/>
      <c r="O14973" s="36" t="s">
        <v>48</v>
      </c>
      <c r="R14973" s="36" t="s">
        <v>48</v>
      </c>
    </row>
    <row r="14974">
      <c r="H14974" s="50"/>
      <c r="I14974" s="50"/>
      <c r="O14974" s="36" t="s">
        <v>48</v>
      </c>
      <c r="R14974" s="36" t="s">
        <v>48</v>
      </c>
    </row>
    <row r="14975">
      <c r="H14975" s="50"/>
      <c r="I14975" s="50"/>
      <c r="O14975" s="36" t="s">
        <v>48</v>
      </c>
      <c r="R14975" s="36" t="s">
        <v>48</v>
      </c>
    </row>
    <row r="14976">
      <c r="H14976" s="50"/>
      <c r="I14976" s="50"/>
      <c r="O14976" s="36" t="s">
        <v>48</v>
      </c>
      <c r="R14976" s="36" t="s">
        <v>48</v>
      </c>
    </row>
    <row r="14977">
      <c r="H14977" s="50"/>
      <c r="I14977" s="50"/>
      <c r="O14977" s="36" t="s">
        <v>48</v>
      </c>
      <c r="R14977" s="36" t="s">
        <v>48</v>
      </c>
    </row>
    <row r="14978">
      <c r="H14978" s="50"/>
      <c r="I14978" s="50"/>
      <c r="O14978" s="36" t="s">
        <v>48</v>
      </c>
      <c r="R14978" s="36" t="s">
        <v>48</v>
      </c>
    </row>
    <row r="14979">
      <c r="H14979" s="50"/>
      <c r="I14979" s="50"/>
      <c r="O14979" s="36" t="s">
        <v>48</v>
      </c>
      <c r="R14979" s="36" t="s">
        <v>48</v>
      </c>
    </row>
    <row r="14980">
      <c r="H14980" s="50"/>
      <c r="I14980" s="50"/>
      <c r="O14980" s="36" t="s">
        <v>48</v>
      </c>
      <c r="R14980" s="36" t="s">
        <v>48</v>
      </c>
    </row>
    <row r="14981">
      <c r="H14981" s="50"/>
      <c r="I14981" s="50"/>
      <c r="O14981" s="36" t="s">
        <v>48</v>
      </c>
      <c r="R14981" s="36" t="s">
        <v>48</v>
      </c>
    </row>
    <row r="14982">
      <c r="H14982" s="50"/>
      <c r="I14982" s="50"/>
      <c r="O14982" s="36" t="s">
        <v>48</v>
      </c>
      <c r="R14982" s="36" t="s">
        <v>48</v>
      </c>
    </row>
    <row r="14983">
      <c r="H14983" s="50"/>
      <c r="I14983" s="50"/>
      <c r="O14983" s="36" t="s">
        <v>48</v>
      </c>
      <c r="R14983" s="36" t="s">
        <v>48</v>
      </c>
    </row>
    <row r="14984">
      <c r="H14984" s="50"/>
      <c r="I14984" s="50"/>
      <c r="O14984" s="36" t="s">
        <v>48</v>
      </c>
      <c r="R14984" s="36" t="s">
        <v>48</v>
      </c>
    </row>
    <row r="14985">
      <c r="H14985" s="50"/>
      <c r="I14985" s="50"/>
      <c r="O14985" s="36" t="s">
        <v>48</v>
      </c>
      <c r="R14985" s="36" t="s">
        <v>48</v>
      </c>
    </row>
    <row r="14986">
      <c r="H14986" s="50"/>
      <c r="I14986" s="50"/>
      <c r="O14986" s="36" t="s">
        <v>48</v>
      </c>
      <c r="R14986" s="36" t="s">
        <v>48</v>
      </c>
    </row>
    <row r="14987">
      <c r="H14987" s="50"/>
      <c r="I14987" s="50"/>
      <c r="O14987" s="36" t="s">
        <v>48</v>
      </c>
      <c r="R14987" s="36" t="s">
        <v>48</v>
      </c>
    </row>
    <row r="14988">
      <c r="H14988" s="50"/>
      <c r="I14988" s="50"/>
      <c r="O14988" s="36" t="s">
        <v>48</v>
      </c>
      <c r="R14988" s="36" t="s">
        <v>48</v>
      </c>
    </row>
    <row r="14989">
      <c r="H14989" s="50"/>
      <c r="I14989" s="50"/>
      <c r="O14989" s="36" t="s">
        <v>48</v>
      </c>
      <c r="R14989" s="36" t="s">
        <v>48</v>
      </c>
    </row>
    <row r="14990">
      <c r="H14990" s="50"/>
      <c r="I14990" s="50"/>
      <c r="O14990" s="36" t="s">
        <v>48</v>
      </c>
      <c r="R14990" s="36" t="s">
        <v>48</v>
      </c>
    </row>
    <row r="14991">
      <c r="H14991" s="50"/>
      <c r="I14991" s="50"/>
      <c r="O14991" s="36" t="s">
        <v>48</v>
      </c>
      <c r="R14991" s="36" t="s">
        <v>48</v>
      </c>
    </row>
    <row r="14992">
      <c r="H14992" s="50"/>
      <c r="I14992" s="50"/>
      <c r="O14992" s="36" t="s">
        <v>48</v>
      </c>
      <c r="R14992" s="36" t="s">
        <v>48</v>
      </c>
    </row>
    <row r="14993">
      <c r="H14993" s="50"/>
      <c r="I14993" s="50"/>
      <c r="O14993" s="36" t="s">
        <v>48</v>
      </c>
      <c r="R14993" s="36" t="s">
        <v>48</v>
      </c>
    </row>
    <row r="14994">
      <c r="H14994" s="50"/>
      <c r="I14994" s="50"/>
      <c r="O14994" s="36" t="s">
        <v>48</v>
      </c>
      <c r="R14994" s="36" t="s">
        <v>48</v>
      </c>
    </row>
    <row r="14995">
      <c r="H14995" s="50"/>
      <c r="I14995" s="50"/>
      <c r="O14995" s="36" t="s">
        <v>48</v>
      </c>
      <c r="R14995" s="36" t="s">
        <v>48</v>
      </c>
    </row>
    <row r="14996">
      <c r="H14996" s="50"/>
      <c r="I14996" s="50"/>
      <c r="O14996" s="36" t="s">
        <v>48</v>
      </c>
      <c r="R14996" s="36" t="s">
        <v>48</v>
      </c>
    </row>
    <row r="14997">
      <c r="H14997" s="50"/>
      <c r="I14997" s="50"/>
      <c r="O14997" s="36" t="s">
        <v>48</v>
      </c>
      <c r="R14997" s="36" t="s">
        <v>48</v>
      </c>
    </row>
    <row r="14998">
      <c r="H14998" s="50"/>
      <c r="I14998" s="50"/>
      <c r="O14998" s="36" t="s">
        <v>48</v>
      </c>
      <c r="R14998" s="36" t="s">
        <v>48</v>
      </c>
    </row>
    <row r="14999">
      <c r="H14999" s="50"/>
      <c r="I14999" s="50"/>
      <c r="O14999" s="36" t="s">
        <v>48</v>
      </c>
      <c r="R14999" s="36" t="s">
        <v>48</v>
      </c>
    </row>
    <row r="15000">
      <c r="H15000" s="50"/>
      <c r="I15000" s="50"/>
      <c r="O15000" s="36" t="s">
        <v>48</v>
      </c>
      <c r="R15000" s="36" t="s">
        <v>48</v>
      </c>
    </row>
    <row r="15001">
      <c r="H15001" s="50"/>
      <c r="I15001" s="50"/>
      <c r="O15001" s="36" t="s">
        <v>48</v>
      </c>
      <c r="R15001" s="36" t="s">
        <v>48</v>
      </c>
    </row>
    <row r="15002">
      <c r="H15002" s="50"/>
      <c r="I15002" s="50"/>
      <c r="O15002" s="36" t="s">
        <v>48</v>
      </c>
      <c r="R15002" s="36" t="s">
        <v>48</v>
      </c>
    </row>
    <row r="15003">
      <c r="H15003" s="50"/>
      <c r="I15003" s="50"/>
      <c r="O15003" s="36" t="s">
        <v>48</v>
      </c>
      <c r="R15003" s="36" t="s">
        <v>48</v>
      </c>
    </row>
    <row r="15004">
      <c r="H15004" s="50"/>
      <c r="I15004" s="50"/>
      <c r="O15004" s="36" t="s">
        <v>48</v>
      </c>
      <c r="R15004" s="36" t="s">
        <v>48</v>
      </c>
    </row>
    <row r="15005">
      <c r="H15005" s="50"/>
      <c r="I15005" s="50"/>
      <c r="O15005" s="36" t="s">
        <v>48</v>
      </c>
      <c r="R15005" s="36" t="s">
        <v>48</v>
      </c>
    </row>
    <row r="15006">
      <c r="H15006" s="50"/>
      <c r="I15006" s="50"/>
      <c r="O15006" s="36" t="s">
        <v>48</v>
      </c>
      <c r="R15006" s="36" t="s">
        <v>48</v>
      </c>
    </row>
    <row r="15007">
      <c r="H15007" s="50"/>
      <c r="I15007" s="50"/>
      <c r="O15007" s="36" t="s">
        <v>48</v>
      </c>
      <c r="R15007" s="36" t="s">
        <v>48</v>
      </c>
    </row>
    <row r="15008">
      <c r="H15008" s="50"/>
      <c r="I15008" s="50"/>
      <c r="O15008" s="36" t="s">
        <v>48</v>
      </c>
      <c r="R15008" s="36" t="s">
        <v>48</v>
      </c>
    </row>
    <row r="15009">
      <c r="H15009" s="50"/>
      <c r="I15009" s="50"/>
      <c r="O15009" s="36" t="s">
        <v>48</v>
      </c>
      <c r="R15009" s="36" t="s">
        <v>48</v>
      </c>
    </row>
    <row r="15010">
      <c r="H15010" s="50"/>
      <c r="I15010" s="50"/>
      <c r="O15010" s="36" t="s">
        <v>48</v>
      </c>
      <c r="R15010" s="36" t="s">
        <v>48</v>
      </c>
    </row>
    <row r="15011">
      <c r="H15011" s="50"/>
      <c r="I15011" s="50"/>
      <c r="O15011" s="36" t="s">
        <v>48</v>
      </c>
      <c r="R15011" s="36" t="s">
        <v>48</v>
      </c>
    </row>
    <row r="15012">
      <c r="H15012" s="50"/>
      <c r="I15012" s="50"/>
      <c r="O15012" s="36" t="s">
        <v>48</v>
      </c>
      <c r="R15012" s="36" t="s">
        <v>48</v>
      </c>
    </row>
    <row r="15013">
      <c r="H15013" s="50"/>
      <c r="I15013" s="50"/>
      <c r="O15013" s="36" t="s">
        <v>48</v>
      </c>
      <c r="R15013" s="36" t="s">
        <v>48</v>
      </c>
    </row>
    <row r="15014">
      <c r="H15014" s="50"/>
      <c r="I15014" s="50"/>
      <c r="O15014" s="36" t="s">
        <v>48</v>
      </c>
      <c r="R15014" s="36" t="s">
        <v>48</v>
      </c>
    </row>
    <row r="15015">
      <c r="H15015" s="50"/>
      <c r="I15015" s="50"/>
      <c r="O15015" s="36" t="s">
        <v>48</v>
      </c>
      <c r="R15015" s="36" t="s">
        <v>48</v>
      </c>
    </row>
    <row r="15016">
      <c r="H15016" s="50"/>
      <c r="I15016" s="50"/>
      <c r="O15016" s="36" t="s">
        <v>48</v>
      </c>
      <c r="R15016" s="36" t="s">
        <v>48</v>
      </c>
    </row>
    <row r="15017">
      <c r="H15017" s="50"/>
      <c r="I15017" s="50"/>
      <c r="O15017" s="36" t="s">
        <v>48</v>
      </c>
      <c r="R15017" s="36" t="s">
        <v>48</v>
      </c>
    </row>
    <row r="15018">
      <c r="H15018" s="50"/>
      <c r="I15018" s="50"/>
      <c r="O15018" s="36" t="s">
        <v>48</v>
      </c>
      <c r="R15018" s="36" t="s">
        <v>48</v>
      </c>
    </row>
    <row r="15019">
      <c r="H15019" s="50"/>
      <c r="I15019" s="50"/>
      <c r="O15019" s="36" t="s">
        <v>48</v>
      </c>
      <c r="R15019" s="36" t="s">
        <v>48</v>
      </c>
    </row>
    <row r="15020">
      <c r="H15020" s="50"/>
      <c r="I15020" s="50"/>
      <c r="O15020" s="36" t="s">
        <v>48</v>
      </c>
      <c r="R15020" s="36" t="s">
        <v>48</v>
      </c>
    </row>
    <row r="15021">
      <c r="H15021" s="50"/>
      <c r="I15021" s="50"/>
      <c r="O15021" s="36" t="s">
        <v>48</v>
      </c>
      <c r="R15021" s="36" t="s">
        <v>48</v>
      </c>
    </row>
    <row r="15022">
      <c r="H15022" s="50"/>
      <c r="I15022" s="50"/>
      <c r="O15022" s="36" t="s">
        <v>48</v>
      </c>
      <c r="R15022" s="36" t="s">
        <v>48</v>
      </c>
    </row>
    <row r="15023">
      <c r="H15023" s="50"/>
      <c r="I15023" s="50"/>
      <c r="O15023" s="36" t="s">
        <v>48</v>
      </c>
      <c r="R15023" s="36" t="s">
        <v>48</v>
      </c>
    </row>
    <row r="15024">
      <c r="H15024" s="50"/>
      <c r="I15024" s="50"/>
      <c r="O15024" s="36" t="s">
        <v>48</v>
      </c>
      <c r="R15024" s="36" t="s">
        <v>48</v>
      </c>
    </row>
    <row r="15025">
      <c r="H15025" s="50"/>
      <c r="I15025" s="50"/>
      <c r="O15025" s="36" t="s">
        <v>48</v>
      </c>
      <c r="R15025" s="36" t="s">
        <v>48</v>
      </c>
    </row>
    <row r="15026">
      <c r="H15026" s="50"/>
      <c r="I15026" s="50"/>
      <c r="O15026" s="36" t="s">
        <v>48</v>
      </c>
      <c r="R15026" s="36" t="s">
        <v>48</v>
      </c>
    </row>
    <row r="15027">
      <c r="H15027" s="50"/>
      <c r="I15027" s="50"/>
      <c r="O15027" s="36" t="s">
        <v>48</v>
      </c>
      <c r="R15027" s="36" t="s">
        <v>48</v>
      </c>
    </row>
    <row r="15028">
      <c r="H15028" s="50"/>
      <c r="I15028" s="50"/>
      <c r="O15028" s="36" t="s">
        <v>48</v>
      </c>
      <c r="R15028" s="36" t="s">
        <v>48</v>
      </c>
    </row>
    <row r="15029">
      <c r="H15029" s="50"/>
      <c r="I15029" s="50"/>
      <c r="O15029" s="36" t="s">
        <v>48</v>
      </c>
      <c r="R15029" s="36" t="s">
        <v>48</v>
      </c>
    </row>
    <row r="15030">
      <c r="H15030" s="50"/>
      <c r="I15030" s="50"/>
      <c r="O15030" s="36" t="s">
        <v>48</v>
      </c>
      <c r="R15030" s="36" t="s">
        <v>48</v>
      </c>
    </row>
    <row r="15031">
      <c r="H15031" s="50"/>
      <c r="I15031" s="50"/>
      <c r="O15031" s="36" t="s">
        <v>48</v>
      </c>
      <c r="R15031" s="36" t="s">
        <v>48</v>
      </c>
    </row>
    <row r="15032">
      <c r="H15032" s="50"/>
      <c r="I15032" s="50"/>
      <c r="O15032" s="36" t="s">
        <v>48</v>
      </c>
      <c r="R15032" s="36" t="s">
        <v>48</v>
      </c>
    </row>
    <row r="15033">
      <c r="H15033" s="50"/>
      <c r="I15033" s="50"/>
      <c r="O15033" s="36" t="s">
        <v>48</v>
      </c>
      <c r="R15033" s="36" t="s">
        <v>48</v>
      </c>
    </row>
    <row r="15034">
      <c r="H15034" s="50"/>
      <c r="I15034" s="50"/>
      <c r="O15034" s="36" t="s">
        <v>48</v>
      </c>
      <c r="R15034" s="36" t="s">
        <v>48</v>
      </c>
    </row>
    <row r="15035">
      <c r="H15035" s="50"/>
      <c r="I15035" s="50"/>
      <c r="O15035" s="36" t="s">
        <v>48</v>
      </c>
      <c r="R15035" s="36" t="s">
        <v>48</v>
      </c>
    </row>
    <row r="15036">
      <c r="H15036" s="50"/>
      <c r="I15036" s="50"/>
      <c r="O15036" s="36" t="s">
        <v>48</v>
      </c>
      <c r="R15036" s="36" t="s">
        <v>48</v>
      </c>
    </row>
    <row r="15037">
      <c r="H15037" s="50"/>
      <c r="I15037" s="50"/>
      <c r="O15037" s="36" t="s">
        <v>48</v>
      </c>
      <c r="R15037" s="36" t="s">
        <v>48</v>
      </c>
    </row>
    <row r="15038">
      <c r="H15038" s="50"/>
      <c r="I15038" s="50"/>
      <c r="O15038" s="36" t="s">
        <v>48</v>
      </c>
      <c r="R15038" s="36" t="s">
        <v>48</v>
      </c>
    </row>
    <row r="15039">
      <c r="H15039" s="50"/>
      <c r="I15039" s="50"/>
      <c r="O15039" s="36" t="s">
        <v>48</v>
      </c>
      <c r="R15039" s="36" t="s">
        <v>48</v>
      </c>
    </row>
    <row r="15040">
      <c r="H15040" s="50"/>
      <c r="I15040" s="50"/>
      <c r="O15040" s="36" t="s">
        <v>48</v>
      </c>
      <c r="R15040" s="36" t="s">
        <v>48</v>
      </c>
    </row>
    <row r="15041">
      <c r="H15041" s="50"/>
      <c r="I15041" s="50"/>
      <c r="O15041" s="36" t="s">
        <v>48</v>
      </c>
      <c r="R15041" s="36" t="s">
        <v>48</v>
      </c>
    </row>
    <row r="15042">
      <c r="H15042" s="50"/>
      <c r="I15042" s="50"/>
      <c r="O15042" s="36" t="s">
        <v>48</v>
      </c>
      <c r="R15042" s="36" t="s">
        <v>48</v>
      </c>
    </row>
    <row r="15043">
      <c r="H15043" s="50"/>
      <c r="I15043" s="50"/>
      <c r="O15043" s="36" t="s">
        <v>48</v>
      </c>
      <c r="R15043" s="36" t="s">
        <v>48</v>
      </c>
    </row>
    <row r="15044">
      <c r="H15044" s="50"/>
      <c r="I15044" s="50"/>
      <c r="O15044" s="36" t="s">
        <v>48</v>
      </c>
      <c r="R15044" s="36" t="s">
        <v>48</v>
      </c>
    </row>
    <row r="15045">
      <c r="H15045" s="50"/>
      <c r="I15045" s="50"/>
      <c r="O15045" s="36" t="s">
        <v>48</v>
      </c>
      <c r="R15045" s="36" t="s">
        <v>48</v>
      </c>
    </row>
    <row r="15046">
      <c r="H15046" s="50"/>
      <c r="I15046" s="50"/>
      <c r="O15046" s="36" t="s">
        <v>48</v>
      </c>
      <c r="R15046" s="36" t="s">
        <v>48</v>
      </c>
    </row>
    <row r="15047">
      <c r="H15047" s="50"/>
      <c r="I15047" s="50"/>
      <c r="O15047" s="36" t="s">
        <v>48</v>
      </c>
      <c r="R15047" s="36" t="s">
        <v>48</v>
      </c>
    </row>
    <row r="15048">
      <c r="H15048" s="50"/>
      <c r="I15048" s="50"/>
      <c r="O15048" s="36" t="s">
        <v>48</v>
      </c>
      <c r="R15048" s="36" t="s">
        <v>48</v>
      </c>
    </row>
    <row r="15049">
      <c r="H15049" s="50"/>
      <c r="I15049" s="50"/>
      <c r="O15049" s="36" t="s">
        <v>48</v>
      </c>
      <c r="R15049" s="36" t="s">
        <v>48</v>
      </c>
    </row>
    <row r="15050">
      <c r="H15050" s="50"/>
      <c r="I15050" s="50"/>
      <c r="O15050" s="36" t="s">
        <v>48</v>
      </c>
      <c r="R15050" s="36" t="s">
        <v>48</v>
      </c>
    </row>
    <row r="15051">
      <c r="H15051" s="50"/>
      <c r="I15051" s="50"/>
      <c r="O15051" s="36" t="s">
        <v>48</v>
      </c>
      <c r="R15051" s="36" t="s">
        <v>48</v>
      </c>
    </row>
    <row r="15052">
      <c r="H15052" s="50"/>
      <c r="I15052" s="50"/>
      <c r="O15052" s="36" t="s">
        <v>48</v>
      </c>
      <c r="R15052" s="36" t="s">
        <v>48</v>
      </c>
    </row>
    <row r="15053">
      <c r="H15053" s="50"/>
      <c r="I15053" s="50"/>
      <c r="O15053" s="36" t="s">
        <v>48</v>
      </c>
      <c r="R15053" s="36" t="s">
        <v>48</v>
      </c>
    </row>
    <row r="15054">
      <c r="H15054" s="50"/>
      <c r="I15054" s="50"/>
      <c r="O15054" s="36" t="s">
        <v>48</v>
      </c>
      <c r="R15054" s="36" t="s">
        <v>48</v>
      </c>
    </row>
    <row r="15055">
      <c r="H15055" s="50"/>
      <c r="I15055" s="50"/>
      <c r="O15055" s="36" t="s">
        <v>48</v>
      </c>
      <c r="R15055" s="36" t="s">
        <v>48</v>
      </c>
    </row>
    <row r="15056">
      <c r="H15056" s="50"/>
      <c r="I15056" s="50"/>
      <c r="O15056" s="36" t="s">
        <v>48</v>
      </c>
      <c r="R15056" s="36" t="s">
        <v>48</v>
      </c>
    </row>
    <row r="15057">
      <c r="H15057" s="50"/>
      <c r="I15057" s="50"/>
      <c r="O15057" s="36" t="s">
        <v>48</v>
      </c>
      <c r="R15057" s="36" t="s">
        <v>48</v>
      </c>
    </row>
    <row r="15058">
      <c r="H15058" s="50"/>
      <c r="I15058" s="50"/>
      <c r="O15058" s="36" t="s">
        <v>48</v>
      </c>
      <c r="R15058" s="36" t="s">
        <v>48</v>
      </c>
    </row>
    <row r="15059">
      <c r="H15059" s="50"/>
      <c r="I15059" s="50"/>
      <c r="O15059" s="36" t="s">
        <v>48</v>
      </c>
      <c r="R15059" s="36" t="s">
        <v>48</v>
      </c>
    </row>
    <row r="15060">
      <c r="H15060" s="50"/>
      <c r="I15060" s="50"/>
      <c r="O15060" s="36" t="s">
        <v>48</v>
      </c>
      <c r="R15060" s="36" t="s">
        <v>48</v>
      </c>
    </row>
    <row r="15061">
      <c r="H15061" s="50"/>
      <c r="I15061" s="50"/>
      <c r="O15061" s="36" t="s">
        <v>48</v>
      </c>
      <c r="R15061" s="36" t="s">
        <v>48</v>
      </c>
    </row>
    <row r="15062">
      <c r="H15062" s="50"/>
      <c r="I15062" s="50"/>
      <c r="O15062" s="36" t="s">
        <v>48</v>
      </c>
      <c r="R15062" s="36" t="s">
        <v>48</v>
      </c>
    </row>
    <row r="15063">
      <c r="H15063" s="50"/>
      <c r="I15063" s="50"/>
      <c r="O15063" s="36" t="s">
        <v>48</v>
      </c>
      <c r="R15063" s="36" t="s">
        <v>48</v>
      </c>
    </row>
    <row r="15064">
      <c r="H15064" s="50"/>
      <c r="I15064" s="50"/>
      <c r="O15064" s="36" t="s">
        <v>48</v>
      </c>
      <c r="R15064" s="36" t="s">
        <v>48</v>
      </c>
    </row>
    <row r="15065">
      <c r="H15065" s="50"/>
      <c r="I15065" s="50"/>
      <c r="O15065" s="36" t="s">
        <v>48</v>
      </c>
      <c r="R15065" s="36" t="s">
        <v>48</v>
      </c>
    </row>
    <row r="15066">
      <c r="H15066" s="50"/>
      <c r="I15066" s="50"/>
      <c r="O15066" s="36" t="s">
        <v>48</v>
      </c>
      <c r="R15066" s="36" t="s">
        <v>48</v>
      </c>
    </row>
    <row r="15067">
      <c r="H15067" s="50"/>
      <c r="I15067" s="50"/>
      <c r="O15067" s="36" t="s">
        <v>48</v>
      </c>
      <c r="R15067" s="36" t="s">
        <v>48</v>
      </c>
    </row>
    <row r="15068">
      <c r="H15068" s="50"/>
      <c r="I15068" s="50"/>
      <c r="O15068" s="36" t="s">
        <v>48</v>
      </c>
      <c r="R15068" s="36" t="s">
        <v>48</v>
      </c>
    </row>
    <row r="15069">
      <c r="H15069" s="50"/>
      <c r="I15069" s="50"/>
      <c r="O15069" s="36" t="s">
        <v>48</v>
      </c>
      <c r="R15069" s="36" t="s">
        <v>48</v>
      </c>
    </row>
    <row r="15070">
      <c r="H15070" s="50"/>
      <c r="I15070" s="50"/>
      <c r="O15070" s="36" t="s">
        <v>48</v>
      </c>
      <c r="R15070" s="36" t="s">
        <v>48</v>
      </c>
    </row>
    <row r="15071">
      <c r="H15071" s="50"/>
      <c r="I15071" s="50"/>
      <c r="O15071" s="36" t="s">
        <v>48</v>
      </c>
      <c r="R15071" s="36" t="s">
        <v>48</v>
      </c>
    </row>
    <row r="15072">
      <c r="H15072" s="50"/>
      <c r="I15072" s="50"/>
      <c r="O15072" s="36" t="s">
        <v>48</v>
      </c>
      <c r="R15072" s="36" t="s">
        <v>48</v>
      </c>
    </row>
    <row r="15073">
      <c r="H15073" s="50"/>
      <c r="I15073" s="50"/>
      <c r="O15073" s="36" t="s">
        <v>48</v>
      </c>
      <c r="R15073" s="36" t="s">
        <v>48</v>
      </c>
    </row>
    <row r="15074">
      <c r="H15074" s="50"/>
      <c r="I15074" s="50"/>
      <c r="O15074" s="36" t="s">
        <v>48</v>
      </c>
      <c r="R15074" s="36" t="s">
        <v>48</v>
      </c>
    </row>
    <row r="15075">
      <c r="H15075" s="50"/>
      <c r="I15075" s="50"/>
      <c r="O15075" s="36" t="s">
        <v>48</v>
      </c>
      <c r="R15075" s="36" t="s">
        <v>48</v>
      </c>
    </row>
    <row r="15076">
      <c r="H15076" s="50"/>
      <c r="I15076" s="50"/>
      <c r="O15076" s="36" t="s">
        <v>48</v>
      </c>
      <c r="R15076" s="36" t="s">
        <v>48</v>
      </c>
    </row>
    <row r="15077">
      <c r="H15077" s="50"/>
      <c r="I15077" s="50"/>
      <c r="O15077" s="36" t="s">
        <v>48</v>
      </c>
      <c r="R15077" s="36" t="s">
        <v>48</v>
      </c>
    </row>
    <row r="15078">
      <c r="H15078" s="50"/>
      <c r="I15078" s="50"/>
      <c r="O15078" s="36" t="s">
        <v>48</v>
      </c>
      <c r="R15078" s="36" t="s">
        <v>48</v>
      </c>
    </row>
    <row r="15079">
      <c r="H15079" s="50"/>
      <c r="I15079" s="50"/>
      <c r="O15079" s="36" t="s">
        <v>48</v>
      </c>
      <c r="R15079" s="36" t="s">
        <v>48</v>
      </c>
    </row>
    <row r="15080">
      <c r="H15080" s="50"/>
      <c r="I15080" s="50"/>
      <c r="O15080" s="36" t="s">
        <v>48</v>
      </c>
      <c r="R15080" s="36" t="s">
        <v>48</v>
      </c>
    </row>
    <row r="15081">
      <c r="H15081" s="50"/>
      <c r="I15081" s="50"/>
      <c r="O15081" s="36" t="s">
        <v>48</v>
      </c>
      <c r="R15081" s="36" t="s">
        <v>48</v>
      </c>
    </row>
    <row r="15082">
      <c r="H15082" s="50"/>
      <c r="I15082" s="50"/>
      <c r="O15082" s="36" t="s">
        <v>48</v>
      </c>
      <c r="R15082" s="36" t="s">
        <v>48</v>
      </c>
    </row>
    <row r="15083">
      <c r="H15083" s="50"/>
      <c r="I15083" s="50"/>
      <c r="O15083" s="36" t="s">
        <v>48</v>
      </c>
      <c r="R15083" s="36" t="s">
        <v>48</v>
      </c>
    </row>
    <row r="15084">
      <c r="H15084" s="50"/>
      <c r="I15084" s="50"/>
      <c r="O15084" s="36" t="s">
        <v>48</v>
      </c>
      <c r="R15084" s="36" t="s">
        <v>48</v>
      </c>
    </row>
    <row r="15085">
      <c r="H15085" s="50"/>
      <c r="I15085" s="50"/>
      <c r="O15085" s="36" t="s">
        <v>48</v>
      </c>
      <c r="R15085" s="36" t="s">
        <v>48</v>
      </c>
    </row>
    <row r="15086">
      <c r="H15086" s="50"/>
      <c r="I15086" s="50"/>
      <c r="O15086" s="36" t="s">
        <v>48</v>
      </c>
      <c r="R15086" s="36" t="s">
        <v>48</v>
      </c>
    </row>
    <row r="15087">
      <c r="H15087" s="50"/>
      <c r="I15087" s="50"/>
      <c r="O15087" s="36" t="s">
        <v>48</v>
      </c>
      <c r="R15087" s="36" t="s">
        <v>48</v>
      </c>
    </row>
    <row r="15088">
      <c r="H15088" s="50"/>
      <c r="I15088" s="50"/>
      <c r="O15088" s="36" t="s">
        <v>48</v>
      </c>
      <c r="R15088" s="36" t="s">
        <v>48</v>
      </c>
    </row>
    <row r="15089">
      <c r="H15089" s="50"/>
      <c r="I15089" s="50"/>
      <c r="O15089" s="36" t="s">
        <v>48</v>
      </c>
      <c r="R15089" s="36" t="s">
        <v>48</v>
      </c>
    </row>
    <row r="15090">
      <c r="H15090" s="50"/>
      <c r="I15090" s="50"/>
      <c r="O15090" s="36" t="s">
        <v>48</v>
      </c>
      <c r="R15090" s="36" t="s">
        <v>48</v>
      </c>
    </row>
    <row r="15091">
      <c r="H15091" s="50"/>
      <c r="I15091" s="50"/>
      <c r="O15091" s="36" t="s">
        <v>48</v>
      </c>
      <c r="R15091" s="36" t="s">
        <v>48</v>
      </c>
    </row>
    <row r="15092">
      <c r="H15092" s="50"/>
      <c r="I15092" s="50"/>
      <c r="O15092" s="36" t="s">
        <v>48</v>
      </c>
      <c r="R15092" s="36" t="s">
        <v>48</v>
      </c>
    </row>
    <row r="15093">
      <c r="H15093" s="50"/>
      <c r="I15093" s="50"/>
      <c r="O15093" s="36" t="s">
        <v>48</v>
      </c>
      <c r="R15093" s="36" t="s">
        <v>48</v>
      </c>
    </row>
    <row r="15094">
      <c r="H15094" s="50"/>
      <c r="I15094" s="50"/>
      <c r="O15094" s="36" t="s">
        <v>48</v>
      </c>
      <c r="R15094" s="36" t="s">
        <v>48</v>
      </c>
    </row>
    <row r="15095">
      <c r="H15095" s="50"/>
      <c r="I15095" s="50"/>
      <c r="O15095" s="36" t="s">
        <v>48</v>
      </c>
      <c r="R15095" s="36" t="s">
        <v>48</v>
      </c>
    </row>
    <row r="15096">
      <c r="H15096" s="50"/>
      <c r="I15096" s="50"/>
      <c r="O15096" s="36" t="s">
        <v>48</v>
      </c>
      <c r="R15096" s="36" t="s">
        <v>48</v>
      </c>
    </row>
    <row r="15097">
      <c r="H15097" s="50"/>
      <c r="I15097" s="50"/>
      <c r="O15097" s="36" t="s">
        <v>48</v>
      </c>
      <c r="R15097" s="36" t="s">
        <v>48</v>
      </c>
    </row>
    <row r="15098">
      <c r="H15098" s="50"/>
      <c r="I15098" s="50"/>
      <c r="O15098" s="36" t="s">
        <v>48</v>
      </c>
      <c r="R15098" s="36" t="s">
        <v>48</v>
      </c>
    </row>
    <row r="15099">
      <c r="H15099" s="50"/>
      <c r="I15099" s="50"/>
      <c r="O15099" s="36" t="s">
        <v>48</v>
      </c>
      <c r="R15099" s="36" t="s">
        <v>48</v>
      </c>
    </row>
    <row r="15100">
      <c r="H15100" s="50"/>
      <c r="I15100" s="50"/>
      <c r="O15100" s="36" t="s">
        <v>48</v>
      </c>
      <c r="R15100" s="36" t="s">
        <v>48</v>
      </c>
    </row>
    <row r="15101">
      <c r="H15101" s="50"/>
      <c r="I15101" s="50"/>
      <c r="O15101" s="36" t="s">
        <v>48</v>
      </c>
      <c r="R15101" s="36" t="s">
        <v>48</v>
      </c>
    </row>
    <row r="15102">
      <c r="H15102" s="50"/>
      <c r="I15102" s="50"/>
      <c r="O15102" s="36" t="s">
        <v>48</v>
      </c>
      <c r="R15102" s="36" t="s">
        <v>48</v>
      </c>
    </row>
    <row r="15103">
      <c r="H15103" s="50"/>
      <c r="I15103" s="50"/>
      <c r="O15103" s="36" t="s">
        <v>48</v>
      </c>
      <c r="R15103" s="36" t="s">
        <v>48</v>
      </c>
    </row>
    <row r="15104">
      <c r="H15104" s="50"/>
      <c r="I15104" s="50"/>
      <c r="O15104" s="36" t="s">
        <v>48</v>
      </c>
      <c r="R15104" s="36" t="s">
        <v>48</v>
      </c>
    </row>
    <row r="15105">
      <c r="H15105" s="50"/>
      <c r="I15105" s="50"/>
      <c r="O15105" s="36" t="s">
        <v>48</v>
      </c>
      <c r="R15105" s="36" t="s">
        <v>48</v>
      </c>
    </row>
    <row r="15106">
      <c r="H15106" s="50"/>
      <c r="I15106" s="50"/>
      <c r="O15106" s="36" t="s">
        <v>48</v>
      </c>
      <c r="R15106" s="36" t="s">
        <v>48</v>
      </c>
    </row>
    <row r="15107">
      <c r="H15107" s="50"/>
      <c r="I15107" s="50"/>
      <c r="O15107" s="36" t="s">
        <v>48</v>
      </c>
      <c r="R15107" s="36" t="s">
        <v>48</v>
      </c>
    </row>
    <row r="15108">
      <c r="H15108" s="50"/>
      <c r="I15108" s="50"/>
      <c r="O15108" s="36" t="s">
        <v>48</v>
      </c>
      <c r="R15108" s="36" t="s">
        <v>48</v>
      </c>
    </row>
    <row r="15109">
      <c r="H15109" s="50"/>
      <c r="I15109" s="50"/>
      <c r="O15109" s="36" t="s">
        <v>48</v>
      </c>
      <c r="R15109" s="36" t="s">
        <v>48</v>
      </c>
    </row>
    <row r="15110">
      <c r="H15110" s="50"/>
      <c r="I15110" s="50"/>
      <c r="O15110" s="36" t="s">
        <v>48</v>
      </c>
      <c r="R15110" s="36" t="s">
        <v>48</v>
      </c>
    </row>
    <row r="15111">
      <c r="H15111" s="50"/>
      <c r="I15111" s="50"/>
      <c r="O15111" s="36" t="s">
        <v>48</v>
      </c>
      <c r="R15111" s="36" t="s">
        <v>48</v>
      </c>
    </row>
    <row r="15112">
      <c r="H15112" s="50"/>
      <c r="I15112" s="50"/>
      <c r="O15112" s="36" t="s">
        <v>48</v>
      </c>
      <c r="R15112" s="36" t="s">
        <v>48</v>
      </c>
    </row>
    <row r="15113">
      <c r="H15113" s="50"/>
      <c r="I15113" s="50"/>
      <c r="O15113" s="36" t="s">
        <v>48</v>
      </c>
      <c r="R15113" s="36" t="s">
        <v>48</v>
      </c>
    </row>
    <row r="15114">
      <c r="H15114" s="50"/>
      <c r="I15114" s="50"/>
      <c r="O15114" s="36" t="s">
        <v>48</v>
      </c>
      <c r="R15114" s="36" t="s">
        <v>48</v>
      </c>
    </row>
    <row r="15115">
      <c r="H15115" s="50"/>
      <c r="I15115" s="50"/>
      <c r="O15115" s="36" t="s">
        <v>48</v>
      </c>
      <c r="R15115" s="36" t="s">
        <v>48</v>
      </c>
    </row>
    <row r="15116">
      <c r="H15116" s="50"/>
      <c r="I15116" s="50"/>
      <c r="O15116" s="36" t="s">
        <v>48</v>
      </c>
      <c r="R15116" s="36" t="s">
        <v>48</v>
      </c>
    </row>
    <row r="15117">
      <c r="H15117" s="50"/>
      <c r="I15117" s="50"/>
      <c r="O15117" s="36" t="s">
        <v>48</v>
      </c>
      <c r="R15117" s="36" t="s">
        <v>48</v>
      </c>
    </row>
    <row r="15118">
      <c r="H15118" s="50"/>
      <c r="I15118" s="50"/>
      <c r="O15118" s="36" t="s">
        <v>48</v>
      </c>
      <c r="R15118" s="36" t="s">
        <v>48</v>
      </c>
    </row>
    <row r="15119">
      <c r="H15119" s="50"/>
      <c r="I15119" s="50"/>
      <c r="O15119" s="36" t="s">
        <v>48</v>
      </c>
      <c r="R15119" s="36" t="s">
        <v>48</v>
      </c>
    </row>
    <row r="15120">
      <c r="H15120" s="50"/>
      <c r="I15120" s="50"/>
      <c r="O15120" s="36" t="s">
        <v>48</v>
      </c>
      <c r="R15120" s="36" t="s">
        <v>48</v>
      </c>
    </row>
    <row r="15121">
      <c r="H15121" s="50"/>
      <c r="I15121" s="50"/>
      <c r="O15121" s="36" t="s">
        <v>48</v>
      </c>
      <c r="R15121" s="36" t="s">
        <v>48</v>
      </c>
    </row>
    <row r="15122">
      <c r="H15122" s="50"/>
      <c r="I15122" s="50"/>
      <c r="O15122" s="36" t="s">
        <v>48</v>
      </c>
      <c r="R15122" s="36" t="s">
        <v>48</v>
      </c>
    </row>
    <row r="15123">
      <c r="H15123" s="50"/>
      <c r="I15123" s="50"/>
      <c r="O15123" s="36" t="s">
        <v>48</v>
      </c>
      <c r="R15123" s="36" t="s">
        <v>48</v>
      </c>
    </row>
    <row r="15124">
      <c r="H15124" s="50"/>
      <c r="I15124" s="50"/>
      <c r="O15124" s="36" t="s">
        <v>48</v>
      </c>
      <c r="R15124" s="36" t="s">
        <v>48</v>
      </c>
    </row>
    <row r="15125">
      <c r="H15125" s="50"/>
      <c r="I15125" s="50"/>
      <c r="O15125" s="36" t="s">
        <v>48</v>
      </c>
      <c r="R15125" s="36" t="s">
        <v>48</v>
      </c>
    </row>
    <row r="15126">
      <c r="H15126" s="50"/>
      <c r="I15126" s="50"/>
      <c r="O15126" s="36" t="s">
        <v>48</v>
      </c>
      <c r="R15126" s="36" t="s">
        <v>48</v>
      </c>
    </row>
    <row r="15127">
      <c r="H15127" s="50"/>
      <c r="I15127" s="50"/>
      <c r="O15127" s="36" t="s">
        <v>48</v>
      </c>
      <c r="R15127" s="36" t="s">
        <v>48</v>
      </c>
    </row>
    <row r="15128">
      <c r="H15128" s="50"/>
      <c r="I15128" s="50"/>
      <c r="O15128" s="36" t="s">
        <v>48</v>
      </c>
      <c r="R15128" s="36" t="s">
        <v>48</v>
      </c>
    </row>
    <row r="15129">
      <c r="H15129" s="50"/>
      <c r="I15129" s="50"/>
      <c r="O15129" s="36" t="s">
        <v>48</v>
      </c>
      <c r="R15129" s="36" t="s">
        <v>48</v>
      </c>
    </row>
    <row r="15130">
      <c r="H15130" s="50"/>
      <c r="I15130" s="50"/>
      <c r="O15130" s="36" t="s">
        <v>48</v>
      </c>
      <c r="R15130" s="36" t="s">
        <v>48</v>
      </c>
    </row>
    <row r="15131">
      <c r="H15131" s="50"/>
      <c r="I15131" s="50"/>
      <c r="O15131" s="36" t="s">
        <v>48</v>
      </c>
      <c r="R15131" s="36" t="s">
        <v>48</v>
      </c>
    </row>
    <row r="15132">
      <c r="H15132" s="50"/>
      <c r="I15132" s="50"/>
      <c r="O15132" s="36" t="s">
        <v>48</v>
      </c>
      <c r="R15132" s="36" t="s">
        <v>48</v>
      </c>
    </row>
    <row r="15133">
      <c r="H15133" s="50"/>
      <c r="I15133" s="50"/>
      <c r="O15133" s="36" t="s">
        <v>48</v>
      </c>
      <c r="R15133" s="36" t="s">
        <v>48</v>
      </c>
    </row>
    <row r="15134">
      <c r="H15134" s="50"/>
      <c r="I15134" s="50"/>
      <c r="O15134" s="36" t="s">
        <v>48</v>
      </c>
      <c r="R15134" s="36" t="s">
        <v>48</v>
      </c>
    </row>
    <row r="15135">
      <c r="H15135" s="50"/>
      <c r="I15135" s="50"/>
      <c r="O15135" s="36" t="s">
        <v>48</v>
      </c>
      <c r="R15135" s="36" t="s">
        <v>48</v>
      </c>
    </row>
    <row r="15136">
      <c r="H15136" s="50"/>
      <c r="I15136" s="50"/>
      <c r="O15136" s="36" t="s">
        <v>48</v>
      </c>
      <c r="R15136" s="36" t="s">
        <v>48</v>
      </c>
    </row>
    <row r="15137">
      <c r="H15137" s="50"/>
      <c r="I15137" s="50"/>
      <c r="O15137" s="36" t="s">
        <v>48</v>
      </c>
      <c r="R15137" s="36" t="s">
        <v>48</v>
      </c>
    </row>
    <row r="15138">
      <c r="H15138" s="50"/>
      <c r="I15138" s="50"/>
      <c r="O15138" s="36" t="s">
        <v>48</v>
      </c>
      <c r="R15138" s="36" t="s">
        <v>48</v>
      </c>
    </row>
    <row r="15139">
      <c r="H15139" s="50"/>
      <c r="I15139" s="50"/>
      <c r="O15139" s="36" t="s">
        <v>48</v>
      </c>
      <c r="R15139" s="36" t="s">
        <v>48</v>
      </c>
    </row>
    <row r="15140">
      <c r="H15140" s="50"/>
      <c r="I15140" s="50"/>
      <c r="O15140" s="36" t="s">
        <v>48</v>
      </c>
      <c r="R15140" s="36" t="s">
        <v>48</v>
      </c>
    </row>
    <row r="15141">
      <c r="H15141" s="50"/>
      <c r="I15141" s="50"/>
      <c r="O15141" s="36" t="s">
        <v>48</v>
      </c>
      <c r="R15141" s="36" t="s">
        <v>48</v>
      </c>
    </row>
    <row r="15142">
      <c r="H15142" s="50"/>
      <c r="I15142" s="50"/>
      <c r="O15142" s="36" t="s">
        <v>48</v>
      </c>
      <c r="R15142" s="36" t="s">
        <v>48</v>
      </c>
    </row>
    <row r="15143">
      <c r="H15143" s="50"/>
      <c r="I15143" s="50"/>
      <c r="O15143" s="36" t="s">
        <v>48</v>
      </c>
      <c r="R15143" s="36" t="s">
        <v>48</v>
      </c>
    </row>
    <row r="15144">
      <c r="H15144" s="50"/>
      <c r="I15144" s="50"/>
      <c r="O15144" s="36" t="s">
        <v>48</v>
      </c>
      <c r="R15144" s="36" t="s">
        <v>48</v>
      </c>
    </row>
    <row r="15145">
      <c r="H15145" s="50"/>
      <c r="I15145" s="50"/>
      <c r="O15145" s="36" t="s">
        <v>48</v>
      </c>
      <c r="R15145" s="36" t="s">
        <v>48</v>
      </c>
    </row>
    <row r="15146">
      <c r="H15146" s="50"/>
      <c r="I15146" s="50"/>
      <c r="O15146" s="36" t="s">
        <v>48</v>
      </c>
      <c r="R15146" s="36" t="s">
        <v>48</v>
      </c>
    </row>
    <row r="15147">
      <c r="H15147" s="50"/>
      <c r="I15147" s="50"/>
      <c r="O15147" s="36" t="s">
        <v>48</v>
      </c>
      <c r="R15147" s="36" t="s">
        <v>48</v>
      </c>
    </row>
    <row r="15148">
      <c r="H15148" s="50"/>
      <c r="I15148" s="50"/>
      <c r="O15148" s="36" t="s">
        <v>48</v>
      </c>
      <c r="R15148" s="36" t="s">
        <v>48</v>
      </c>
    </row>
    <row r="15149">
      <c r="H15149" s="50"/>
      <c r="I15149" s="50"/>
      <c r="O15149" s="36" t="s">
        <v>48</v>
      </c>
      <c r="R15149" s="36" t="s">
        <v>48</v>
      </c>
    </row>
    <row r="15150">
      <c r="H15150" s="50"/>
      <c r="I15150" s="50"/>
      <c r="O15150" s="36" t="s">
        <v>48</v>
      </c>
      <c r="R15150" s="36" t="s">
        <v>48</v>
      </c>
    </row>
    <row r="15151">
      <c r="H15151" s="50"/>
      <c r="I15151" s="50"/>
      <c r="O15151" s="36" t="s">
        <v>48</v>
      </c>
      <c r="R15151" s="36" t="s">
        <v>48</v>
      </c>
    </row>
    <row r="15152">
      <c r="H15152" s="50"/>
      <c r="I15152" s="50"/>
      <c r="O15152" s="36" t="s">
        <v>48</v>
      </c>
      <c r="R15152" s="36" t="s">
        <v>48</v>
      </c>
    </row>
    <row r="15153">
      <c r="H15153" s="50"/>
      <c r="I15153" s="50"/>
      <c r="O15153" s="36" t="s">
        <v>48</v>
      </c>
      <c r="R15153" s="36" t="s">
        <v>48</v>
      </c>
    </row>
    <row r="15154">
      <c r="H15154" s="50"/>
      <c r="I15154" s="50"/>
      <c r="O15154" s="36" t="s">
        <v>48</v>
      </c>
      <c r="R15154" s="36" t="s">
        <v>48</v>
      </c>
    </row>
    <row r="15155">
      <c r="H15155" s="50"/>
      <c r="I15155" s="50"/>
      <c r="O15155" s="36" t="s">
        <v>48</v>
      </c>
      <c r="R15155" s="36" t="s">
        <v>48</v>
      </c>
    </row>
    <row r="15156">
      <c r="H15156" s="50"/>
      <c r="I15156" s="50"/>
      <c r="O15156" s="36" t="s">
        <v>48</v>
      </c>
      <c r="R15156" s="36" t="s">
        <v>48</v>
      </c>
    </row>
    <row r="15157">
      <c r="H15157" s="50"/>
      <c r="I15157" s="50"/>
      <c r="O15157" s="36" t="s">
        <v>48</v>
      </c>
      <c r="R15157" s="36" t="s">
        <v>48</v>
      </c>
    </row>
    <row r="15158">
      <c r="H15158" s="50"/>
      <c r="I15158" s="50"/>
      <c r="O15158" s="36" t="s">
        <v>48</v>
      </c>
      <c r="R15158" s="36" t="s">
        <v>48</v>
      </c>
    </row>
    <row r="15159">
      <c r="H15159" s="50"/>
      <c r="I15159" s="50"/>
      <c r="O15159" s="36" t="s">
        <v>48</v>
      </c>
      <c r="R15159" s="36" t="s">
        <v>48</v>
      </c>
    </row>
    <row r="15160">
      <c r="H15160" s="50"/>
      <c r="I15160" s="50"/>
      <c r="O15160" s="36" t="s">
        <v>48</v>
      </c>
      <c r="R15160" s="36" t="s">
        <v>48</v>
      </c>
    </row>
    <row r="15161">
      <c r="H15161" s="50"/>
      <c r="I15161" s="50"/>
      <c r="O15161" s="36" t="s">
        <v>48</v>
      </c>
      <c r="R15161" s="36" t="s">
        <v>48</v>
      </c>
    </row>
    <row r="15162">
      <c r="H15162" s="50"/>
      <c r="I15162" s="50"/>
      <c r="O15162" s="36" t="s">
        <v>48</v>
      </c>
      <c r="R15162" s="36" t="s">
        <v>48</v>
      </c>
    </row>
    <row r="15163">
      <c r="H15163" s="50"/>
      <c r="I15163" s="50"/>
      <c r="O15163" s="36" t="s">
        <v>48</v>
      </c>
      <c r="R15163" s="36" t="s">
        <v>48</v>
      </c>
    </row>
    <row r="15164">
      <c r="H15164" s="50"/>
      <c r="I15164" s="50"/>
      <c r="O15164" s="36" t="s">
        <v>48</v>
      </c>
      <c r="R15164" s="36" t="s">
        <v>48</v>
      </c>
    </row>
    <row r="15165">
      <c r="H15165" s="50"/>
      <c r="I15165" s="50"/>
      <c r="O15165" s="36" t="s">
        <v>48</v>
      </c>
      <c r="R15165" s="36" t="s">
        <v>48</v>
      </c>
    </row>
    <row r="15166">
      <c r="H15166" s="50"/>
      <c r="I15166" s="50"/>
      <c r="O15166" s="36" t="s">
        <v>48</v>
      </c>
      <c r="R15166" s="36" t="s">
        <v>48</v>
      </c>
    </row>
    <row r="15167">
      <c r="H15167" s="50"/>
      <c r="I15167" s="50"/>
      <c r="O15167" s="36" t="s">
        <v>48</v>
      </c>
      <c r="R15167" s="36" t="s">
        <v>48</v>
      </c>
    </row>
    <row r="15168">
      <c r="H15168" s="50"/>
      <c r="I15168" s="50"/>
      <c r="O15168" s="36" t="s">
        <v>48</v>
      </c>
      <c r="R15168" s="36" t="s">
        <v>48</v>
      </c>
    </row>
    <row r="15169">
      <c r="H15169" s="50"/>
      <c r="I15169" s="50"/>
      <c r="O15169" s="36" t="s">
        <v>48</v>
      </c>
      <c r="R15169" s="36" t="s">
        <v>48</v>
      </c>
    </row>
    <row r="15170">
      <c r="H15170" s="50"/>
      <c r="I15170" s="50"/>
      <c r="O15170" s="36" t="s">
        <v>48</v>
      </c>
      <c r="R15170" s="36" t="s">
        <v>48</v>
      </c>
    </row>
    <row r="15171">
      <c r="H15171" s="50"/>
      <c r="I15171" s="50"/>
      <c r="O15171" s="36" t="s">
        <v>48</v>
      </c>
      <c r="R15171" s="36" t="s">
        <v>48</v>
      </c>
    </row>
    <row r="15172">
      <c r="H15172" s="50"/>
      <c r="I15172" s="50"/>
      <c r="O15172" s="36" t="s">
        <v>48</v>
      </c>
      <c r="R15172" s="36" t="s">
        <v>48</v>
      </c>
    </row>
    <row r="15173">
      <c r="H15173" s="50"/>
      <c r="I15173" s="50"/>
      <c r="O15173" s="36" t="s">
        <v>48</v>
      </c>
      <c r="R15173" s="36" t="s">
        <v>48</v>
      </c>
    </row>
    <row r="15174">
      <c r="H15174" s="50"/>
      <c r="I15174" s="50"/>
      <c r="O15174" s="36" t="s">
        <v>48</v>
      </c>
      <c r="R15174" s="36" t="s">
        <v>48</v>
      </c>
    </row>
    <row r="15175">
      <c r="H15175" s="50"/>
      <c r="I15175" s="50"/>
      <c r="O15175" s="36" t="s">
        <v>48</v>
      </c>
      <c r="R15175" s="36" t="s">
        <v>48</v>
      </c>
    </row>
    <row r="15176">
      <c r="H15176" s="50"/>
      <c r="I15176" s="50"/>
      <c r="O15176" s="36" t="s">
        <v>48</v>
      </c>
      <c r="R15176" s="36" t="s">
        <v>48</v>
      </c>
    </row>
    <row r="15177">
      <c r="H15177" s="50"/>
      <c r="I15177" s="50"/>
      <c r="O15177" s="36" t="s">
        <v>48</v>
      </c>
      <c r="R15177" s="36" t="s">
        <v>48</v>
      </c>
    </row>
    <row r="15178">
      <c r="H15178" s="50"/>
      <c r="I15178" s="50"/>
      <c r="O15178" s="36" t="s">
        <v>48</v>
      </c>
      <c r="R15178" s="36" t="s">
        <v>48</v>
      </c>
    </row>
    <row r="15179">
      <c r="H15179" s="50"/>
      <c r="I15179" s="50"/>
      <c r="O15179" s="36" t="s">
        <v>48</v>
      </c>
      <c r="R15179" s="36" t="s">
        <v>48</v>
      </c>
    </row>
    <row r="15180">
      <c r="H15180" s="50"/>
      <c r="I15180" s="50"/>
      <c r="O15180" s="36" t="s">
        <v>48</v>
      </c>
      <c r="R15180" s="36" t="s">
        <v>48</v>
      </c>
    </row>
    <row r="15181">
      <c r="H15181" s="50"/>
      <c r="I15181" s="50"/>
      <c r="O15181" s="36" t="s">
        <v>48</v>
      </c>
      <c r="R15181" s="36" t="s">
        <v>48</v>
      </c>
    </row>
    <row r="15182">
      <c r="H15182" s="50"/>
      <c r="I15182" s="50"/>
      <c r="O15182" s="36" t="s">
        <v>48</v>
      </c>
      <c r="R15182" s="36" t="s">
        <v>48</v>
      </c>
    </row>
    <row r="15183">
      <c r="H15183" s="50"/>
      <c r="I15183" s="50"/>
      <c r="O15183" s="36" t="s">
        <v>48</v>
      </c>
      <c r="R15183" s="36" t="s">
        <v>48</v>
      </c>
    </row>
    <row r="15184">
      <c r="H15184" s="50"/>
      <c r="I15184" s="50"/>
      <c r="O15184" s="36" t="s">
        <v>48</v>
      </c>
      <c r="R15184" s="36" t="s">
        <v>48</v>
      </c>
    </row>
    <row r="15185">
      <c r="H15185" s="50"/>
      <c r="I15185" s="50"/>
      <c r="O15185" s="36" t="s">
        <v>48</v>
      </c>
      <c r="R15185" s="36" t="s">
        <v>48</v>
      </c>
    </row>
    <row r="15186">
      <c r="H15186" s="50"/>
      <c r="I15186" s="50"/>
      <c r="O15186" s="36" t="s">
        <v>48</v>
      </c>
      <c r="R15186" s="36" t="s">
        <v>48</v>
      </c>
    </row>
    <row r="15187">
      <c r="H15187" s="50"/>
      <c r="I15187" s="50"/>
      <c r="O15187" s="36" t="s">
        <v>48</v>
      </c>
      <c r="R15187" s="36" t="s">
        <v>48</v>
      </c>
    </row>
    <row r="15188">
      <c r="H15188" s="50"/>
      <c r="I15188" s="50"/>
      <c r="O15188" s="36" t="s">
        <v>48</v>
      </c>
      <c r="R15188" s="36" t="s">
        <v>48</v>
      </c>
    </row>
    <row r="15189">
      <c r="H15189" s="50"/>
      <c r="I15189" s="50"/>
      <c r="O15189" s="36" t="s">
        <v>48</v>
      </c>
      <c r="R15189" s="36" t="s">
        <v>48</v>
      </c>
    </row>
    <row r="15190">
      <c r="H15190" s="50"/>
      <c r="I15190" s="50"/>
      <c r="O15190" s="36" t="s">
        <v>48</v>
      </c>
      <c r="R15190" s="36" t="s">
        <v>48</v>
      </c>
    </row>
    <row r="15191">
      <c r="H15191" s="50"/>
      <c r="I15191" s="50"/>
      <c r="O15191" s="36" t="s">
        <v>48</v>
      </c>
      <c r="R15191" s="36" t="s">
        <v>48</v>
      </c>
    </row>
    <row r="15192">
      <c r="H15192" s="50"/>
      <c r="I15192" s="50"/>
      <c r="O15192" s="36" t="s">
        <v>48</v>
      </c>
      <c r="R15192" s="36" t="s">
        <v>48</v>
      </c>
    </row>
    <row r="15193">
      <c r="H15193" s="50"/>
      <c r="I15193" s="50"/>
      <c r="O15193" s="36" t="s">
        <v>48</v>
      </c>
      <c r="R15193" s="36" t="s">
        <v>48</v>
      </c>
    </row>
    <row r="15194">
      <c r="H15194" s="50"/>
      <c r="I15194" s="50"/>
      <c r="O15194" s="36" t="s">
        <v>48</v>
      </c>
      <c r="R15194" s="36" t="s">
        <v>48</v>
      </c>
    </row>
    <row r="15195">
      <c r="H15195" s="50"/>
      <c r="I15195" s="50"/>
      <c r="O15195" s="36" t="s">
        <v>48</v>
      </c>
      <c r="R15195" s="36" t="s">
        <v>48</v>
      </c>
    </row>
    <row r="15196">
      <c r="H15196" s="50"/>
      <c r="I15196" s="50"/>
      <c r="O15196" s="36" t="s">
        <v>48</v>
      </c>
      <c r="R15196" s="36" t="s">
        <v>48</v>
      </c>
    </row>
    <row r="15197">
      <c r="H15197" s="50"/>
      <c r="I15197" s="50"/>
      <c r="O15197" s="36" t="s">
        <v>48</v>
      </c>
      <c r="R15197" s="36" t="s">
        <v>48</v>
      </c>
    </row>
    <row r="15198">
      <c r="H15198" s="50"/>
      <c r="I15198" s="50"/>
      <c r="O15198" s="36" t="s">
        <v>48</v>
      </c>
      <c r="R15198" s="36" t="s">
        <v>48</v>
      </c>
    </row>
    <row r="15199">
      <c r="H15199" s="50"/>
      <c r="I15199" s="50"/>
      <c r="O15199" s="36" t="s">
        <v>48</v>
      </c>
      <c r="R15199" s="36" t="s">
        <v>48</v>
      </c>
    </row>
    <row r="15200">
      <c r="H15200" s="50"/>
      <c r="I15200" s="50"/>
      <c r="O15200" s="36" t="s">
        <v>48</v>
      </c>
      <c r="R15200" s="36" t="s">
        <v>48</v>
      </c>
    </row>
    <row r="15201">
      <c r="H15201" s="50"/>
      <c r="I15201" s="50"/>
      <c r="O15201" s="36" t="s">
        <v>48</v>
      </c>
      <c r="R15201" s="36" t="s">
        <v>48</v>
      </c>
    </row>
    <row r="15202">
      <c r="H15202" s="50"/>
      <c r="I15202" s="50"/>
      <c r="O15202" s="36" t="s">
        <v>48</v>
      </c>
      <c r="R15202" s="36" t="s">
        <v>48</v>
      </c>
    </row>
    <row r="15203">
      <c r="H15203" s="50"/>
      <c r="I15203" s="50"/>
      <c r="O15203" s="36" t="s">
        <v>48</v>
      </c>
      <c r="R15203" s="36" t="s">
        <v>48</v>
      </c>
    </row>
    <row r="15204">
      <c r="H15204" s="50"/>
      <c r="I15204" s="50"/>
      <c r="O15204" s="36" t="s">
        <v>48</v>
      </c>
      <c r="R15204" s="36" t="s">
        <v>48</v>
      </c>
    </row>
    <row r="15205">
      <c r="H15205" s="50"/>
      <c r="I15205" s="50"/>
      <c r="O15205" s="36" t="s">
        <v>48</v>
      </c>
      <c r="R15205" s="36" t="s">
        <v>48</v>
      </c>
    </row>
    <row r="15206">
      <c r="H15206" s="50"/>
      <c r="I15206" s="50"/>
      <c r="O15206" s="36" t="s">
        <v>48</v>
      </c>
      <c r="R15206" s="36" t="s">
        <v>48</v>
      </c>
    </row>
    <row r="15207">
      <c r="H15207" s="50"/>
      <c r="I15207" s="50"/>
      <c r="O15207" s="36" t="s">
        <v>48</v>
      </c>
      <c r="R15207" s="36" t="s">
        <v>48</v>
      </c>
    </row>
    <row r="15208">
      <c r="H15208" s="50"/>
      <c r="I15208" s="50"/>
      <c r="O15208" s="36" t="s">
        <v>48</v>
      </c>
      <c r="R15208" s="36" t="s">
        <v>48</v>
      </c>
    </row>
    <row r="15209">
      <c r="H15209" s="50"/>
      <c r="I15209" s="50"/>
      <c r="O15209" s="36" t="s">
        <v>48</v>
      </c>
      <c r="R15209" s="36" t="s">
        <v>48</v>
      </c>
    </row>
    <row r="15210">
      <c r="H15210" s="50"/>
      <c r="I15210" s="50"/>
      <c r="O15210" s="36" t="s">
        <v>48</v>
      </c>
      <c r="R15210" s="36" t="s">
        <v>48</v>
      </c>
    </row>
    <row r="15211">
      <c r="H15211" s="50"/>
      <c r="I15211" s="50"/>
      <c r="O15211" s="36" t="s">
        <v>48</v>
      </c>
      <c r="R15211" s="36" t="s">
        <v>48</v>
      </c>
    </row>
    <row r="15212">
      <c r="H15212" s="50"/>
      <c r="I15212" s="50"/>
      <c r="O15212" s="36" t="s">
        <v>48</v>
      </c>
      <c r="R15212" s="36" t="s">
        <v>48</v>
      </c>
    </row>
    <row r="15213">
      <c r="H15213" s="50"/>
      <c r="I15213" s="50"/>
      <c r="O15213" s="36" t="s">
        <v>48</v>
      </c>
      <c r="R15213" s="36" t="s">
        <v>48</v>
      </c>
    </row>
    <row r="15214">
      <c r="H15214" s="50"/>
      <c r="I15214" s="50"/>
      <c r="O15214" s="36" t="s">
        <v>48</v>
      </c>
      <c r="R15214" s="36" t="s">
        <v>48</v>
      </c>
    </row>
    <row r="15215">
      <c r="H15215" s="50"/>
      <c r="I15215" s="50"/>
      <c r="O15215" s="36" t="s">
        <v>48</v>
      </c>
      <c r="R15215" s="36" t="s">
        <v>48</v>
      </c>
    </row>
    <row r="15216">
      <c r="H15216" s="50"/>
      <c r="I15216" s="50"/>
      <c r="O15216" s="36" t="s">
        <v>48</v>
      </c>
      <c r="R15216" s="36" t="s">
        <v>48</v>
      </c>
    </row>
    <row r="15217">
      <c r="H15217" s="50"/>
      <c r="I15217" s="50"/>
      <c r="O15217" s="36" t="s">
        <v>48</v>
      </c>
      <c r="R15217" s="36" t="s">
        <v>48</v>
      </c>
    </row>
    <row r="15218">
      <c r="H15218" s="50"/>
      <c r="I15218" s="50"/>
      <c r="O15218" s="36" t="s">
        <v>48</v>
      </c>
      <c r="R15218" s="36" t="s">
        <v>48</v>
      </c>
    </row>
    <row r="15219">
      <c r="H15219" s="50"/>
      <c r="I15219" s="50"/>
      <c r="O15219" s="36" t="s">
        <v>48</v>
      </c>
      <c r="R15219" s="36" t="s">
        <v>48</v>
      </c>
    </row>
    <row r="15220">
      <c r="H15220" s="50"/>
      <c r="I15220" s="50"/>
      <c r="O15220" s="36" t="s">
        <v>48</v>
      </c>
      <c r="R15220" s="36" t="s">
        <v>48</v>
      </c>
    </row>
    <row r="15221">
      <c r="H15221" s="50"/>
      <c r="I15221" s="50"/>
      <c r="O15221" s="36" t="s">
        <v>48</v>
      </c>
      <c r="R15221" s="36" t="s">
        <v>48</v>
      </c>
    </row>
    <row r="15222">
      <c r="H15222" s="50"/>
      <c r="I15222" s="50"/>
      <c r="O15222" s="36" t="s">
        <v>48</v>
      </c>
      <c r="R15222" s="36" t="s">
        <v>48</v>
      </c>
    </row>
    <row r="15223">
      <c r="H15223" s="50"/>
      <c r="I15223" s="50"/>
      <c r="O15223" s="36" t="s">
        <v>48</v>
      </c>
      <c r="R15223" s="36" t="s">
        <v>48</v>
      </c>
    </row>
    <row r="15224">
      <c r="H15224" s="50"/>
      <c r="I15224" s="50"/>
      <c r="O15224" s="36" t="s">
        <v>48</v>
      </c>
      <c r="R15224" s="36" t="s">
        <v>48</v>
      </c>
    </row>
    <row r="15225">
      <c r="H15225" s="50"/>
      <c r="I15225" s="50"/>
      <c r="O15225" s="36" t="s">
        <v>48</v>
      </c>
      <c r="R15225" s="36" t="s">
        <v>48</v>
      </c>
    </row>
    <row r="15226">
      <c r="H15226" s="50"/>
      <c r="I15226" s="50"/>
      <c r="O15226" s="36" t="s">
        <v>48</v>
      </c>
      <c r="R15226" s="36" t="s">
        <v>48</v>
      </c>
    </row>
    <row r="15227">
      <c r="H15227" s="50"/>
      <c r="I15227" s="50"/>
      <c r="O15227" s="36" t="s">
        <v>48</v>
      </c>
      <c r="R15227" s="36" t="s">
        <v>48</v>
      </c>
    </row>
    <row r="15228">
      <c r="H15228" s="50"/>
      <c r="I15228" s="50"/>
      <c r="O15228" s="36" t="s">
        <v>48</v>
      </c>
      <c r="R15228" s="36" t="s">
        <v>48</v>
      </c>
    </row>
    <row r="15229">
      <c r="H15229" s="50"/>
      <c r="I15229" s="50"/>
      <c r="O15229" s="36" t="s">
        <v>48</v>
      </c>
      <c r="R15229" s="36" t="s">
        <v>48</v>
      </c>
    </row>
    <row r="15230">
      <c r="H15230" s="50"/>
      <c r="I15230" s="50"/>
      <c r="O15230" s="36" t="s">
        <v>48</v>
      </c>
      <c r="R15230" s="36" t="s">
        <v>48</v>
      </c>
    </row>
    <row r="15231">
      <c r="H15231" s="50"/>
      <c r="I15231" s="50"/>
      <c r="O15231" s="36" t="s">
        <v>48</v>
      </c>
      <c r="R15231" s="36" t="s">
        <v>48</v>
      </c>
    </row>
    <row r="15232">
      <c r="H15232" s="50"/>
      <c r="I15232" s="50"/>
      <c r="O15232" s="36" t="s">
        <v>48</v>
      </c>
      <c r="R15232" s="36" t="s">
        <v>48</v>
      </c>
    </row>
    <row r="15233">
      <c r="H15233" s="50"/>
      <c r="I15233" s="50"/>
      <c r="O15233" s="36" t="s">
        <v>48</v>
      </c>
      <c r="R15233" s="36" t="s">
        <v>48</v>
      </c>
    </row>
    <row r="15234">
      <c r="H15234" s="50"/>
      <c r="I15234" s="50"/>
      <c r="O15234" s="36" t="s">
        <v>48</v>
      </c>
      <c r="R15234" s="36" t="s">
        <v>48</v>
      </c>
    </row>
    <row r="15235">
      <c r="H15235" s="50"/>
      <c r="I15235" s="50"/>
      <c r="O15235" s="36" t="s">
        <v>48</v>
      </c>
      <c r="R15235" s="36" t="s">
        <v>48</v>
      </c>
    </row>
    <row r="15236">
      <c r="H15236" s="50"/>
      <c r="I15236" s="50"/>
      <c r="O15236" s="36" t="s">
        <v>48</v>
      </c>
      <c r="R15236" s="36" t="s">
        <v>48</v>
      </c>
    </row>
    <row r="15237">
      <c r="H15237" s="50"/>
      <c r="I15237" s="50"/>
      <c r="O15237" s="36" t="s">
        <v>48</v>
      </c>
      <c r="R15237" s="36" t="s">
        <v>48</v>
      </c>
    </row>
    <row r="15238">
      <c r="H15238" s="50"/>
      <c r="I15238" s="50"/>
      <c r="O15238" s="36" t="s">
        <v>48</v>
      </c>
      <c r="R15238" s="36" t="s">
        <v>48</v>
      </c>
    </row>
    <row r="15239">
      <c r="H15239" s="50"/>
      <c r="I15239" s="50"/>
      <c r="O15239" s="36" t="s">
        <v>48</v>
      </c>
      <c r="R15239" s="36" t="s">
        <v>48</v>
      </c>
    </row>
    <row r="15240">
      <c r="H15240" s="50"/>
      <c r="I15240" s="50"/>
      <c r="O15240" s="36" t="s">
        <v>48</v>
      </c>
      <c r="R15240" s="36" t="s">
        <v>48</v>
      </c>
    </row>
    <row r="15241">
      <c r="H15241" s="50"/>
      <c r="I15241" s="50"/>
      <c r="O15241" s="36" t="s">
        <v>48</v>
      </c>
      <c r="R15241" s="36" t="s">
        <v>48</v>
      </c>
    </row>
    <row r="15242">
      <c r="H15242" s="50"/>
      <c r="I15242" s="50"/>
      <c r="O15242" s="36" t="s">
        <v>48</v>
      </c>
      <c r="R15242" s="36" t="s">
        <v>48</v>
      </c>
    </row>
    <row r="15243">
      <c r="H15243" s="50"/>
      <c r="I15243" s="50"/>
      <c r="O15243" s="36" t="s">
        <v>48</v>
      </c>
      <c r="R15243" s="36" t="s">
        <v>48</v>
      </c>
    </row>
    <row r="15244">
      <c r="H15244" s="50"/>
      <c r="I15244" s="50"/>
      <c r="O15244" s="36" t="s">
        <v>48</v>
      </c>
      <c r="R15244" s="36" t="s">
        <v>48</v>
      </c>
    </row>
    <row r="15245">
      <c r="H15245" s="50"/>
      <c r="I15245" s="50"/>
      <c r="O15245" s="36" t="s">
        <v>48</v>
      </c>
      <c r="R15245" s="36" t="s">
        <v>48</v>
      </c>
    </row>
    <row r="15246">
      <c r="H15246" s="50"/>
      <c r="I15246" s="50"/>
      <c r="O15246" s="36" t="s">
        <v>48</v>
      </c>
      <c r="R15246" s="36" t="s">
        <v>48</v>
      </c>
    </row>
    <row r="15247">
      <c r="H15247" s="50"/>
      <c r="I15247" s="50"/>
      <c r="O15247" s="36" t="s">
        <v>48</v>
      </c>
      <c r="R15247" s="36" t="s">
        <v>48</v>
      </c>
    </row>
    <row r="15248">
      <c r="H15248" s="50"/>
      <c r="I15248" s="50"/>
      <c r="O15248" s="36" t="s">
        <v>48</v>
      </c>
      <c r="R15248" s="36" t="s">
        <v>48</v>
      </c>
    </row>
    <row r="15249">
      <c r="H15249" s="50"/>
      <c r="I15249" s="50"/>
      <c r="O15249" s="36" t="s">
        <v>48</v>
      </c>
      <c r="R15249" s="36" t="s">
        <v>48</v>
      </c>
    </row>
    <row r="15250">
      <c r="H15250" s="50"/>
      <c r="I15250" s="50"/>
      <c r="O15250" s="36" t="s">
        <v>48</v>
      </c>
      <c r="R15250" s="36" t="s">
        <v>48</v>
      </c>
    </row>
    <row r="15251">
      <c r="H15251" s="50"/>
      <c r="I15251" s="50"/>
      <c r="O15251" s="36" t="s">
        <v>48</v>
      </c>
      <c r="R15251" s="36" t="s">
        <v>48</v>
      </c>
    </row>
    <row r="15252">
      <c r="H15252" s="50"/>
      <c r="I15252" s="50"/>
      <c r="O15252" s="36" t="s">
        <v>48</v>
      </c>
      <c r="R15252" s="36" t="s">
        <v>48</v>
      </c>
    </row>
    <row r="15253">
      <c r="H15253" s="50"/>
      <c r="I15253" s="50"/>
      <c r="O15253" s="36" t="s">
        <v>48</v>
      </c>
      <c r="R15253" s="36" t="s">
        <v>48</v>
      </c>
    </row>
    <row r="15254">
      <c r="H15254" s="50"/>
      <c r="I15254" s="50"/>
      <c r="O15254" s="36" t="s">
        <v>48</v>
      </c>
      <c r="R15254" s="36" t="s">
        <v>48</v>
      </c>
    </row>
    <row r="15255">
      <c r="H15255" s="50"/>
      <c r="I15255" s="50"/>
      <c r="O15255" s="36" t="s">
        <v>48</v>
      </c>
      <c r="R15255" s="36" t="s">
        <v>48</v>
      </c>
    </row>
    <row r="15256">
      <c r="H15256" s="50"/>
      <c r="I15256" s="50"/>
      <c r="O15256" s="36" t="s">
        <v>48</v>
      </c>
      <c r="R15256" s="36" t="s">
        <v>48</v>
      </c>
    </row>
    <row r="15257">
      <c r="H15257" s="50"/>
      <c r="I15257" s="50"/>
      <c r="O15257" s="36" t="s">
        <v>48</v>
      </c>
      <c r="R15257" s="36" t="s">
        <v>48</v>
      </c>
    </row>
    <row r="15258">
      <c r="H15258" s="50"/>
      <c r="I15258" s="50"/>
      <c r="O15258" s="36" t="s">
        <v>48</v>
      </c>
      <c r="R15258" s="36" t="s">
        <v>48</v>
      </c>
    </row>
    <row r="15259">
      <c r="H15259" s="50"/>
      <c r="I15259" s="50"/>
      <c r="O15259" s="36" t="s">
        <v>48</v>
      </c>
      <c r="R15259" s="36" t="s">
        <v>48</v>
      </c>
    </row>
    <row r="15260">
      <c r="H15260" s="50"/>
      <c r="I15260" s="50"/>
      <c r="O15260" s="36" t="s">
        <v>48</v>
      </c>
      <c r="R15260" s="36" t="s">
        <v>48</v>
      </c>
    </row>
    <row r="15261">
      <c r="H15261" s="50"/>
      <c r="I15261" s="50"/>
      <c r="O15261" s="36" t="s">
        <v>48</v>
      </c>
      <c r="R15261" s="36" t="s">
        <v>48</v>
      </c>
    </row>
    <row r="15262">
      <c r="H15262" s="50"/>
      <c r="I15262" s="50"/>
      <c r="O15262" s="36" t="s">
        <v>48</v>
      </c>
      <c r="R15262" s="36" t="s">
        <v>48</v>
      </c>
    </row>
    <row r="15263">
      <c r="H15263" s="50"/>
      <c r="I15263" s="50"/>
      <c r="O15263" s="36" t="s">
        <v>48</v>
      </c>
      <c r="R15263" s="36" t="s">
        <v>48</v>
      </c>
    </row>
    <row r="15264">
      <c r="H15264" s="50"/>
      <c r="I15264" s="50"/>
      <c r="O15264" s="36" t="s">
        <v>48</v>
      </c>
      <c r="R15264" s="36" t="s">
        <v>48</v>
      </c>
    </row>
    <row r="15265">
      <c r="H15265" s="50"/>
      <c r="I15265" s="50"/>
      <c r="O15265" s="36" t="s">
        <v>48</v>
      </c>
      <c r="R15265" s="36" t="s">
        <v>48</v>
      </c>
    </row>
    <row r="15266">
      <c r="H15266" s="50"/>
      <c r="I15266" s="50"/>
      <c r="O15266" s="36" t="s">
        <v>48</v>
      </c>
      <c r="R15266" s="36" t="s">
        <v>48</v>
      </c>
    </row>
    <row r="15267">
      <c r="H15267" s="50"/>
      <c r="I15267" s="50"/>
      <c r="O15267" s="36" t="s">
        <v>48</v>
      </c>
      <c r="R15267" s="36" t="s">
        <v>48</v>
      </c>
    </row>
    <row r="15268">
      <c r="H15268" s="50"/>
      <c r="I15268" s="50"/>
      <c r="O15268" s="36" t="s">
        <v>48</v>
      </c>
      <c r="R15268" s="36" t="s">
        <v>48</v>
      </c>
    </row>
    <row r="15269">
      <c r="H15269" s="50"/>
      <c r="I15269" s="50"/>
      <c r="O15269" s="36" t="s">
        <v>48</v>
      </c>
      <c r="R15269" s="36" t="s">
        <v>48</v>
      </c>
    </row>
    <row r="15270">
      <c r="H15270" s="50"/>
      <c r="I15270" s="50"/>
      <c r="O15270" s="36" t="s">
        <v>48</v>
      </c>
      <c r="R15270" s="36" t="s">
        <v>48</v>
      </c>
    </row>
    <row r="15271">
      <c r="H15271" s="50"/>
      <c r="I15271" s="50"/>
      <c r="O15271" s="36" t="s">
        <v>48</v>
      </c>
      <c r="R15271" s="36" t="s">
        <v>48</v>
      </c>
    </row>
    <row r="15272">
      <c r="H15272" s="50"/>
      <c r="I15272" s="50"/>
      <c r="O15272" s="36" t="s">
        <v>48</v>
      </c>
      <c r="R15272" s="36" t="s">
        <v>48</v>
      </c>
    </row>
    <row r="15273">
      <c r="H15273" s="50"/>
      <c r="I15273" s="50"/>
      <c r="O15273" s="36" t="s">
        <v>48</v>
      </c>
      <c r="R15273" s="36" t="s">
        <v>48</v>
      </c>
    </row>
    <row r="15274">
      <c r="H15274" s="50"/>
      <c r="I15274" s="50"/>
      <c r="O15274" s="36" t="s">
        <v>48</v>
      </c>
      <c r="R15274" s="36" t="s">
        <v>48</v>
      </c>
    </row>
    <row r="15275">
      <c r="H15275" s="50"/>
      <c r="I15275" s="50"/>
      <c r="O15275" s="36" t="s">
        <v>48</v>
      </c>
      <c r="R15275" s="36" t="s">
        <v>48</v>
      </c>
    </row>
    <row r="15276">
      <c r="H15276" s="50"/>
      <c r="I15276" s="50"/>
      <c r="O15276" s="36" t="s">
        <v>48</v>
      </c>
      <c r="R15276" s="36" t="s">
        <v>48</v>
      </c>
    </row>
    <row r="15277">
      <c r="H15277" s="50"/>
      <c r="I15277" s="50"/>
      <c r="O15277" s="36" t="s">
        <v>48</v>
      </c>
      <c r="R15277" s="36" t="s">
        <v>48</v>
      </c>
    </row>
    <row r="15278">
      <c r="H15278" s="50"/>
      <c r="I15278" s="50"/>
      <c r="O15278" s="36" t="s">
        <v>48</v>
      </c>
      <c r="R15278" s="36" t="s">
        <v>48</v>
      </c>
    </row>
    <row r="15279">
      <c r="H15279" s="50"/>
      <c r="I15279" s="50"/>
      <c r="O15279" s="36" t="s">
        <v>48</v>
      </c>
      <c r="R15279" s="36" t="s">
        <v>48</v>
      </c>
    </row>
    <row r="15280">
      <c r="H15280" s="50"/>
      <c r="I15280" s="50"/>
      <c r="O15280" s="36" t="s">
        <v>48</v>
      </c>
      <c r="R15280" s="36" t="s">
        <v>48</v>
      </c>
    </row>
    <row r="15281">
      <c r="H15281" s="50"/>
      <c r="I15281" s="50"/>
      <c r="O15281" s="36" t="s">
        <v>48</v>
      </c>
      <c r="R15281" s="36" t="s">
        <v>48</v>
      </c>
    </row>
    <row r="15282">
      <c r="H15282" s="50"/>
      <c r="I15282" s="50"/>
      <c r="O15282" s="36" t="s">
        <v>48</v>
      </c>
      <c r="R15282" s="36" t="s">
        <v>48</v>
      </c>
    </row>
    <row r="15283">
      <c r="H15283" s="50"/>
      <c r="I15283" s="50"/>
      <c r="O15283" s="36" t="s">
        <v>48</v>
      </c>
      <c r="R15283" s="36" t="s">
        <v>48</v>
      </c>
    </row>
    <row r="15284">
      <c r="H15284" s="50"/>
      <c r="I15284" s="50"/>
      <c r="O15284" s="36" t="s">
        <v>48</v>
      </c>
      <c r="R15284" s="36" t="s">
        <v>48</v>
      </c>
    </row>
    <row r="15285">
      <c r="H15285" s="50"/>
      <c r="I15285" s="50"/>
      <c r="O15285" s="36" t="s">
        <v>48</v>
      </c>
      <c r="R15285" s="36" t="s">
        <v>48</v>
      </c>
    </row>
    <row r="15286">
      <c r="H15286" s="50"/>
      <c r="I15286" s="50"/>
      <c r="O15286" s="36" t="s">
        <v>48</v>
      </c>
      <c r="R15286" s="36" t="s">
        <v>48</v>
      </c>
    </row>
    <row r="15287">
      <c r="H15287" s="50"/>
      <c r="I15287" s="50"/>
      <c r="O15287" s="36" t="s">
        <v>48</v>
      </c>
      <c r="R15287" s="36" t="s">
        <v>48</v>
      </c>
    </row>
    <row r="15288">
      <c r="H15288" s="50"/>
      <c r="I15288" s="50"/>
      <c r="O15288" s="36" t="s">
        <v>48</v>
      </c>
      <c r="R15288" s="36" t="s">
        <v>48</v>
      </c>
    </row>
    <row r="15289">
      <c r="H15289" s="50"/>
      <c r="I15289" s="50"/>
      <c r="O15289" s="36" t="s">
        <v>48</v>
      </c>
      <c r="R15289" s="36" t="s">
        <v>48</v>
      </c>
    </row>
    <row r="15290">
      <c r="H15290" s="50"/>
      <c r="I15290" s="50"/>
      <c r="O15290" s="36" t="s">
        <v>48</v>
      </c>
      <c r="R15290" s="36" t="s">
        <v>48</v>
      </c>
    </row>
    <row r="15291">
      <c r="H15291" s="50"/>
      <c r="I15291" s="50"/>
      <c r="O15291" s="36" t="s">
        <v>48</v>
      </c>
      <c r="R15291" s="36" t="s">
        <v>48</v>
      </c>
    </row>
    <row r="15292">
      <c r="H15292" s="50"/>
      <c r="I15292" s="50"/>
      <c r="O15292" s="36" t="s">
        <v>48</v>
      </c>
      <c r="R15292" s="36" t="s">
        <v>48</v>
      </c>
    </row>
    <row r="15293">
      <c r="H15293" s="50"/>
      <c r="I15293" s="50"/>
      <c r="O15293" s="36" t="s">
        <v>48</v>
      </c>
      <c r="R15293" s="36" t="s">
        <v>48</v>
      </c>
    </row>
    <row r="15294">
      <c r="H15294" s="50"/>
      <c r="I15294" s="50"/>
      <c r="O15294" s="36" t="s">
        <v>48</v>
      </c>
      <c r="R15294" s="36" t="s">
        <v>48</v>
      </c>
    </row>
    <row r="15295">
      <c r="H15295" s="50"/>
      <c r="I15295" s="50"/>
      <c r="O15295" s="36" t="s">
        <v>48</v>
      </c>
      <c r="R15295" s="36" t="s">
        <v>48</v>
      </c>
    </row>
    <row r="15296">
      <c r="H15296" s="50"/>
      <c r="I15296" s="50"/>
      <c r="O15296" s="36" t="s">
        <v>48</v>
      </c>
      <c r="R15296" s="36" t="s">
        <v>48</v>
      </c>
    </row>
    <row r="15297">
      <c r="H15297" s="50"/>
      <c r="I15297" s="50"/>
      <c r="O15297" s="36" t="s">
        <v>48</v>
      </c>
      <c r="R15297" s="36" t="s">
        <v>48</v>
      </c>
    </row>
    <row r="15298">
      <c r="H15298" s="50"/>
      <c r="I15298" s="50"/>
      <c r="O15298" s="36" t="s">
        <v>48</v>
      </c>
      <c r="R15298" s="36" t="s">
        <v>48</v>
      </c>
    </row>
    <row r="15299">
      <c r="H15299" s="50"/>
      <c r="I15299" s="50"/>
      <c r="O15299" s="36" t="s">
        <v>48</v>
      </c>
      <c r="R15299" s="36" t="s">
        <v>48</v>
      </c>
    </row>
    <row r="15300">
      <c r="H15300" s="50"/>
      <c r="I15300" s="50"/>
      <c r="O15300" s="36" t="s">
        <v>48</v>
      </c>
      <c r="R15300" s="36" t="s">
        <v>48</v>
      </c>
    </row>
    <row r="15301">
      <c r="H15301" s="50"/>
      <c r="I15301" s="50"/>
      <c r="O15301" s="36" t="s">
        <v>48</v>
      </c>
      <c r="R15301" s="36" t="s">
        <v>48</v>
      </c>
    </row>
    <row r="15302">
      <c r="H15302" s="50"/>
      <c r="I15302" s="50"/>
      <c r="O15302" s="36" t="s">
        <v>48</v>
      </c>
      <c r="R15302" s="36" t="s">
        <v>48</v>
      </c>
    </row>
    <row r="15303">
      <c r="H15303" s="50"/>
      <c r="I15303" s="50"/>
      <c r="O15303" s="36" t="s">
        <v>48</v>
      </c>
      <c r="R15303" s="36" t="s">
        <v>48</v>
      </c>
    </row>
    <row r="15304">
      <c r="H15304" s="50"/>
      <c r="I15304" s="50"/>
      <c r="O15304" s="36" t="s">
        <v>48</v>
      </c>
      <c r="R15304" s="36" t="s">
        <v>48</v>
      </c>
    </row>
    <row r="15305">
      <c r="H15305" s="50"/>
      <c r="I15305" s="50"/>
      <c r="O15305" s="36" t="s">
        <v>48</v>
      </c>
      <c r="R15305" s="36" t="s">
        <v>48</v>
      </c>
    </row>
    <row r="15306">
      <c r="H15306" s="50"/>
      <c r="I15306" s="50"/>
      <c r="O15306" s="36" t="s">
        <v>48</v>
      </c>
      <c r="R15306" s="36" t="s">
        <v>48</v>
      </c>
    </row>
    <row r="15307">
      <c r="H15307" s="50"/>
      <c r="I15307" s="50"/>
      <c r="O15307" s="36" t="s">
        <v>48</v>
      </c>
      <c r="R15307" s="36" t="s">
        <v>48</v>
      </c>
    </row>
    <row r="15308">
      <c r="H15308" s="50"/>
      <c r="I15308" s="50"/>
      <c r="O15308" s="36" t="s">
        <v>48</v>
      </c>
      <c r="R15308" s="36" t="s">
        <v>48</v>
      </c>
    </row>
    <row r="15309">
      <c r="H15309" s="50"/>
      <c r="I15309" s="50"/>
      <c r="O15309" s="36" t="s">
        <v>48</v>
      </c>
      <c r="R15309" s="36" t="s">
        <v>48</v>
      </c>
    </row>
    <row r="15310">
      <c r="H15310" s="50"/>
      <c r="I15310" s="50"/>
      <c r="O15310" s="36" t="s">
        <v>48</v>
      </c>
      <c r="R15310" s="36" t="s">
        <v>48</v>
      </c>
    </row>
    <row r="15311">
      <c r="H15311" s="50"/>
      <c r="I15311" s="50"/>
      <c r="O15311" s="36" t="s">
        <v>48</v>
      </c>
      <c r="R15311" s="36" t="s">
        <v>48</v>
      </c>
    </row>
    <row r="15312">
      <c r="H15312" s="50"/>
      <c r="I15312" s="50"/>
      <c r="O15312" s="36" t="s">
        <v>48</v>
      </c>
      <c r="R15312" s="36" t="s">
        <v>48</v>
      </c>
    </row>
    <row r="15313">
      <c r="H15313" s="50"/>
      <c r="I15313" s="50"/>
      <c r="O15313" s="36" t="s">
        <v>48</v>
      </c>
      <c r="R15313" s="36" t="s">
        <v>48</v>
      </c>
    </row>
    <row r="15314">
      <c r="H15314" s="50"/>
      <c r="I15314" s="50"/>
      <c r="O15314" s="36" t="s">
        <v>48</v>
      </c>
      <c r="R15314" s="36" t="s">
        <v>48</v>
      </c>
    </row>
    <row r="15315">
      <c r="H15315" s="50"/>
      <c r="I15315" s="50"/>
      <c r="O15315" s="36" t="s">
        <v>48</v>
      </c>
      <c r="R15315" s="36" t="s">
        <v>48</v>
      </c>
    </row>
    <row r="15316">
      <c r="H15316" s="50"/>
      <c r="I15316" s="50"/>
      <c r="O15316" s="36" t="s">
        <v>48</v>
      </c>
      <c r="R15316" s="36" t="s">
        <v>48</v>
      </c>
    </row>
    <row r="15317">
      <c r="H15317" s="50"/>
      <c r="I15317" s="50"/>
      <c r="O15317" s="36" t="s">
        <v>48</v>
      </c>
      <c r="R15317" s="36" t="s">
        <v>48</v>
      </c>
    </row>
    <row r="15318">
      <c r="H15318" s="50"/>
      <c r="I15318" s="50"/>
      <c r="O15318" s="36" t="s">
        <v>48</v>
      </c>
      <c r="R15318" s="36" t="s">
        <v>48</v>
      </c>
    </row>
    <row r="15319">
      <c r="H15319" s="50"/>
      <c r="I15319" s="50"/>
      <c r="O15319" s="36" t="s">
        <v>48</v>
      </c>
      <c r="R15319" s="36" t="s">
        <v>48</v>
      </c>
    </row>
    <row r="15320">
      <c r="H15320" s="50"/>
      <c r="I15320" s="50"/>
      <c r="O15320" s="36" t="s">
        <v>48</v>
      </c>
      <c r="R15320" s="36" t="s">
        <v>48</v>
      </c>
    </row>
    <row r="15321">
      <c r="H15321" s="50"/>
      <c r="I15321" s="50"/>
      <c r="O15321" s="36" t="s">
        <v>48</v>
      </c>
      <c r="R15321" s="36" t="s">
        <v>48</v>
      </c>
    </row>
    <row r="15322">
      <c r="H15322" s="50"/>
      <c r="I15322" s="50"/>
      <c r="O15322" s="36" t="s">
        <v>48</v>
      </c>
      <c r="R15322" s="36" t="s">
        <v>48</v>
      </c>
    </row>
    <row r="15323">
      <c r="H15323" s="50"/>
      <c r="I15323" s="50"/>
      <c r="O15323" s="36" t="s">
        <v>48</v>
      </c>
      <c r="R15323" s="36" t="s">
        <v>48</v>
      </c>
    </row>
    <row r="15324">
      <c r="H15324" s="50"/>
      <c r="I15324" s="50"/>
      <c r="O15324" s="36" t="s">
        <v>48</v>
      </c>
      <c r="R15324" s="36" t="s">
        <v>48</v>
      </c>
    </row>
    <row r="15325">
      <c r="H15325" s="50"/>
      <c r="I15325" s="50"/>
      <c r="O15325" s="36" t="s">
        <v>48</v>
      </c>
      <c r="R15325" s="36" t="s">
        <v>48</v>
      </c>
    </row>
    <row r="15326">
      <c r="H15326" s="50"/>
      <c r="I15326" s="50"/>
      <c r="O15326" s="36" t="s">
        <v>48</v>
      </c>
      <c r="R15326" s="36" t="s">
        <v>48</v>
      </c>
    </row>
    <row r="15327">
      <c r="H15327" s="50"/>
      <c r="I15327" s="50"/>
      <c r="O15327" s="36" t="s">
        <v>48</v>
      </c>
      <c r="R15327" s="36" t="s">
        <v>48</v>
      </c>
    </row>
    <row r="15328">
      <c r="H15328" s="50"/>
      <c r="I15328" s="50"/>
      <c r="O15328" s="36" t="s">
        <v>48</v>
      </c>
      <c r="R15328" s="36" t="s">
        <v>48</v>
      </c>
    </row>
    <row r="15329">
      <c r="H15329" s="50"/>
      <c r="I15329" s="50"/>
      <c r="O15329" s="36" t="s">
        <v>48</v>
      </c>
      <c r="R15329" s="36" t="s">
        <v>48</v>
      </c>
    </row>
    <row r="15330">
      <c r="H15330" s="50"/>
      <c r="I15330" s="50"/>
      <c r="O15330" s="36" t="s">
        <v>48</v>
      </c>
      <c r="R15330" s="36" t="s">
        <v>48</v>
      </c>
    </row>
    <row r="15331">
      <c r="H15331" s="50"/>
      <c r="I15331" s="50"/>
      <c r="O15331" s="36" t="s">
        <v>48</v>
      </c>
      <c r="R15331" s="36" t="s">
        <v>48</v>
      </c>
    </row>
    <row r="15332">
      <c r="H15332" s="50"/>
      <c r="I15332" s="50"/>
      <c r="O15332" s="36" t="s">
        <v>48</v>
      </c>
      <c r="R15332" s="36" t="s">
        <v>48</v>
      </c>
    </row>
    <row r="15333">
      <c r="H15333" s="50"/>
      <c r="I15333" s="50"/>
      <c r="O15333" s="36" t="s">
        <v>48</v>
      </c>
      <c r="R15333" s="36" t="s">
        <v>48</v>
      </c>
    </row>
    <row r="15334">
      <c r="H15334" s="50"/>
      <c r="I15334" s="50"/>
      <c r="O15334" s="36" t="s">
        <v>48</v>
      </c>
      <c r="R15334" s="36" t="s">
        <v>48</v>
      </c>
    </row>
    <row r="15335">
      <c r="H15335" s="50"/>
      <c r="I15335" s="50"/>
      <c r="O15335" s="36" t="s">
        <v>48</v>
      </c>
      <c r="R15335" s="36" t="s">
        <v>48</v>
      </c>
    </row>
    <row r="15336">
      <c r="H15336" s="50"/>
      <c r="I15336" s="50"/>
      <c r="O15336" s="36" t="s">
        <v>48</v>
      </c>
      <c r="R15336" s="36" t="s">
        <v>48</v>
      </c>
    </row>
    <row r="15337">
      <c r="H15337" s="50"/>
      <c r="I15337" s="50"/>
      <c r="O15337" s="36" t="s">
        <v>48</v>
      </c>
      <c r="R15337" s="36" t="s">
        <v>48</v>
      </c>
    </row>
    <row r="15338">
      <c r="H15338" s="50"/>
      <c r="I15338" s="50"/>
      <c r="O15338" s="36" t="s">
        <v>48</v>
      </c>
      <c r="R15338" s="36" t="s">
        <v>48</v>
      </c>
    </row>
    <row r="15339">
      <c r="H15339" s="50"/>
      <c r="I15339" s="50"/>
      <c r="O15339" s="36" t="s">
        <v>48</v>
      </c>
      <c r="R15339" s="36" t="s">
        <v>48</v>
      </c>
    </row>
    <row r="15340">
      <c r="H15340" s="50"/>
      <c r="I15340" s="50"/>
      <c r="O15340" s="36" t="s">
        <v>48</v>
      </c>
      <c r="R15340" s="36" t="s">
        <v>48</v>
      </c>
    </row>
    <row r="15341">
      <c r="H15341" s="50"/>
      <c r="I15341" s="50"/>
      <c r="O15341" s="36" t="s">
        <v>48</v>
      </c>
      <c r="R15341" s="36" t="s">
        <v>48</v>
      </c>
    </row>
    <row r="15342">
      <c r="H15342" s="50"/>
      <c r="I15342" s="50"/>
      <c r="O15342" s="36" t="s">
        <v>48</v>
      </c>
      <c r="R15342" s="36" t="s">
        <v>48</v>
      </c>
    </row>
    <row r="15343">
      <c r="H15343" s="50"/>
      <c r="I15343" s="50"/>
      <c r="O15343" s="36" t="s">
        <v>48</v>
      </c>
      <c r="R15343" s="36" t="s">
        <v>48</v>
      </c>
    </row>
    <row r="15344">
      <c r="H15344" s="50"/>
      <c r="I15344" s="50"/>
      <c r="O15344" s="36" t="s">
        <v>48</v>
      </c>
      <c r="R15344" s="36" t="s">
        <v>48</v>
      </c>
    </row>
    <row r="15345">
      <c r="H15345" s="50"/>
      <c r="I15345" s="50"/>
      <c r="O15345" s="36" t="s">
        <v>48</v>
      </c>
      <c r="R15345" s="36" t="s">
        <v>48</v>
      </c>
    </row>
    <row r="15346">
      <c r="H15346" s="50"/>
      <c r="I15346" s="50"/>
      <c r="O15346" s="36" t="s">
        <v>48</v>
      </c>
      <c r="R15346" s="36" t="s">
        <v>48</v>
      </c>
    </row>
    <row r="15347">
      <c r="H15347" s="50"/>
      <c r="I15347" s="50"/>
      <c r="O15347" s="36" t="s">
        <v>48</v>
      </c>
      <c r="R15347" s="36" t="s">
        <v>48</v>
      </c>
    </row>
    <row r="15348">
      <c r="H15348" s="50"/>
      <c r="I15348" s="50"/>
      <c r="O15348" s="36" t="s">
        <v>48</v>
      </c>
      <c r="R15348" s="36" t="s">
        <v>48</v>
      </c>
    </row>
    <row r="15349">
      <c r="H15349" s="50"/>
      <c r="I15349" s="50"/>
      <c r="O15349" s="36" t="s">
        <v>48</v>
      </c>
      <c r="R15349" s="36" t="s">
        <v>48</v>
      </c>
    </row>
    <row r="15350">
      <c r="H15350" s="50"/>
      <c r="I15350" s="50"/>
      <c r="O15350" s="36" t="s">
        <v>48</v>
      </c>
      <c r="R15350" s="36" t="s">
        <v>48</v>
      </c>
    </row>
    <row r="15351">
      <c r="H15351" s="50"/>
      <c r="I15351" s="50"/>
      <c r="O15351" s="36" t="s">
        <v>48</v>
      </c>
      <c r="R15351" s="36" t="s">
        <v>48</v>
      </c>
    </row>
    <row r="15352">
      <c r="H15352" s="50"/>
      <c r="I15352" s="50"/>
      <c r="O15352" s="36" t="s">
        <v>48</v>
      </c>
      <c r="R15352" s="36" t="s">
        <v>48</v>
      </c>
    </row>
    <row r="15353">
      <c r="H15353" s="50"/>
      <c r="I15353" s="50"/>
      <c r="O15353" s="36" t="s">
        <v>48</v>
      </c>
      <c r="R15353" s="36" t="s">
        <v>48</v>
      </c>
    </row>
    <row r="15354">
      <c r="H15354" s="50"/>
      <c r="I15354" s="50"/>
      <c r="O15354" s="36" t="s">
        <v>48</v>
      </c>
      <c r="R15354" s="36" t="s">
        <v>48</v>
      </c>
    </row>
    <row r="15355">
      <c r="H15355" s="50"/>
      <c r="I15355" s="50"/>
      <c r="O15355" s="36" t="s">
        <v>48</v>
      </c>
      <c r="R15355" s="36" t="s">
        <v>48</v>
      </c>
    </row>
    <row r="15356">
      <c r="H15356" s="50"/>
      <c r="I15356" s="50"/>
      <c r="O15356" s="36" t="s">
        <v>48</v>
      </c>
      <c r="R15356" s="36" t="s">
        <v>48</v>
      </c>
    </row>
    <row r="15357">
      <c r="H15357" s="50"/>
      <c r="I15357" s="50"/>
      <c r="O15357" s="36" t="s">
        <v>48</v>
      </c>
      <c r="R15357" s="36" t="s">
        <v>48</v>
      </c>
    </row>
    <row r="15358">
      <c r="H15358" s="50"/>
      <c r="I15358" s="50"/>
      <c r="O15358" s="36" t="s">
        <v>48</v>
      </c>
      <c r="R15358" s="36" t="s">
        <v>48</v>
      </c>
    </row>
    <row r="15359">
      <c r="H15359" s="50"/>
      <c r="I15359" s="50"/>
      <c r="O15359" s="36" t="s">
        <v>48</v>
      </c>
      <c r="R15359" s="36" t="s">
        <v>48</v>
      </c>
    </row>
    <row r="15360">
      <c r="H15360" s="50"/>
      <c r="I15360" s="50"/>
      <c r="O15360" s="36" t="s">
        <v>48</v>
      </c>
      <c r="R15360" s="36" t="s">
        <v>48</v>
      </c>
    </row>
    <row r="15361">
      <c r="H15361" s="50"/>
      <c r="I15361" s="50"/>
      <c r="O15361" s="36" t="s">
        <v>48</v>
      </c>
      <c r="R15361" s="36" t="s">
        <v>48</v>
      </c>
    </row>
    <row r="15362">
      <c r="H15362" s="50"/>
      <c r="I15362" s="50"/>
      <c r="O15362" s="36" t="s">
        <v>48</v>
      </c>
      <c r="R15362" s="36" t="s">
        <v>48</v>
      </c>
    </row>
    <row r="15363">
      <c r="H15363" s="50"/>
      <c r="I15363" s="50"/>
      <c r="O15363" s="36" t="s">
        <v>48</v>
      </c>
      <c r="R15363" s="36" t="s">
        <v>48</v>
      </c>
    </row>
    <row r="15364">
      <c r="H15364" s="50"/>
      <c r="I15364" s="50"/>
      <c r="O15364" s="36" t="s">
        <v>48</v>
      </c>
      <c r="R15364" s="36" t="s">
        <v>48</v>
      </c>
    </row>
    <row r="15365">
      <c r="H15365" s="50"/>
      <c r="I15365" s="50"/>
      <c r="O15365" s="36" t="s">
        <v>48</v>
      </c>
      <c r="R15365" s="36" t="s">
        <v>48</v>
      </c>
    </row>
    <row r="15366">
      <c r="H15366" s="50"/>
      <c r="I15366" s="50"/>
      <c r="O15366" s="36" t="s">
        <v>48</v>
      </c>
      <c r="R15366" s="36" t="s">
        <v>48</v>
      </c>
    </row>
    <row r="15367">
      <c r="H15367" s="50"/>
      <c r="I15367" s="50"/>
      <c r="O15367" s="36" t="s">
        <v>48</v>
      </c>
      <c r="R15367" s="36" t="s">
        <v>48</v>
      </c>
    </row>
    <row r="15368">
      <c r="H15368" s="50"/>
      <c r="I15368" s="50"/>
      <c r="O15368" s="36" t="s">
        <v>48</v>
      </c>
      <c r="R15368" s="36" t="s">
        <v>48</v>
      </c>
    </row>
    <row r="15369">
      <c r="H15369" s="50"/>
      <c r="I15369" s="50"/>
      <c r="O15369" s="36" t="s">
        <v>48</v>
      </c>
      <c r="R15369" s="36" t="s">
        <v>48</v>
      </c>
    </row>
    <row r="15370">
      <c r="H15370" s="50"/>
      <c r="I15370" s="50"/>
      <c r="O15370" s="36" t="s">
        <v>48</v>
      </c>
      <c r="R15370" s="36" t="s">
        <v>48</v>
      </c>
    </row>
    <row r="15371">
      <c r="H15371" s="50"/>
      <c r="I15371" s="50"/>
      <c r="O15371" s="36" t="s">
        <v>48</v>
      </c>
      <c r="R15371" s="36" t="s">
        <v>48</v>
      </c>
    </row>
    <row r="15372">
      <c r="H15372" s="50"/>
      <c r="I15372" s="50"/>
      <c r="O15372" s="36" t="s">
        <v>48</v>
      </c>
      <c r="R15372" s="36" t="s">
        <v>48</v>
      </c>
    </row>
    <row r="15373">
      <c r="H15373" s="50"/>
      <c r="I15373" s="50"/>
      <c r="O15373" s="36" t="s">
        <v>48</v>
      </c>
      <c r="R15373" s="36" t="s">
        <v>48</v>
      </c>
    </row>
    <row r="15374">
      <c r="H15374" s="50"/>
      <c r="I15374" s="50"/>
      <c r="O15374" s="36" t="s">
        <v>48</v>
      </c>
      <c r="R15374" s="36" t="s">
        <v>48</v>
      </c>
    </row>
    <row r="15375">
      <c r="H15375" s="50"/>
      <c r="I15375" s="50"/>
      <c r="O15375" s="36" t="s">
        <v>48</v>
      </c>
      <c r="R15375" s="36" t="s">
        <v>48</v>
      </c>
    </row>
    <row r="15376">
      <c r="H15376" s="50"/>
      <c r="I15376" s="50"/>
      <c r="O15376" s="36" t="s">
        <v>48</v>
      </c>
      <c r="R15376" s="36" t="s">
        <v>48</v>
      </c>
    </row>
    <row r="15377">
      <c r="H15377" s="50"/>
      <c r="I15377" s="50"/>
      <c r="O15377" s="36" t="s">
        <v>48</v>
      </c>
      <c r="R15377" s="36" t="s">
        <v>48</v>
      </c>
    </row>
    <row r="15378">
      <c r="H15378" s="50"/>
      <c r="I15378" s="50"/>
      <c r="O15378" s="36" t="s">
        <v>48</v>
      </c>
      <c r="R15378" s="36" t="s">
        <v>48</v>
      </c>
    </row>
    <row r="15379">
      <c r="H15379" s="50"/>
      <c r="I15379" s="50"/>
      <c r="O15379" s="36" t="s">
        <v>48</v>
      </c>
      <c r="R15379" s="36" t="s">
        <v>48</v>
      </c>
    </row>
    <row r="15380">
      <c r="H15380" s="50"/>
      <c r="I15380" s="50"/>
      <c r="O15380" s="36" t="s">
        <v>48</v>
      </c>
      <c r="R15380" s="36" t="s">
        <v>48</v>
      </c>
    </row>
    <row r="15381">
      <c r="H15381" s="50"/>
      <c r="I15381" s="50"/>
      <c r="O15381" s="36" t="s">
        <v>48</v>
      </c>
      <c r="R15381" s="36" t="s">
        <v>48</v>
      </c>
    </row>
    <row r="15382">
      <c r="H15382" s="50"/>
      <c r="I15382" s="50"/>
      <c r="O15382" s="36" t="s">
        <v>48</v>
      </c>
      <c r="R15382" s="36" t="s">
        <v>48</v>
      </c>
    </row>
    <row r="15383">
      <c r="H15383" s="50"/>
      <c r="I15383" s="50"/>
      <c r="O15383" s="36" t="s">
        <v>48</v>
      </c>
      <c r="R15383" s="36" t="s">
        <v>48</v>
      </c>
    </row>
    <row r="15384">
      <c r="H15384" s="50"/>
      <c r="I15384" s="50"/>
      <c r="O15384" s="36" t="s">
        <v>48</v>
      </c>
      <c r="R15384" s="36" t="s">
        <v>48</v>
      </c>
    </row>
    <row r="15385">
      <c r="H15385" s="50"/>
      <c r="I15385" s="50"/>
      <c r="O15385" s="36" t="s">
        <v>48</v>
      </c>
      <c r="R15385" s="36" t="s">
        <v>48</v>
      </c>
    </row>
    <row r="15386">
      <c r="H15386" s="50"/>
      <c r="I15386" s="50"/>
      <c r="O15386" s="36" t="s">
        <v>48</v>
      </c>
      <c r="R15386" s="36" t="s">
        <v>48</v>
      </c>
    </row>
    <row r="15387">
      <c r="H15387" s="50"/>
      <c r="I15387" s="50"/>
      <c r="O15387" s="36" t="s">
        <v>48</v>
      </c>
      <c r="R15387" s="36" t="s">
        <v>48</v>
      </c>
    </row>
    <row r="15388">
      <c r="H15388" s="50"/>
      <c r="I15388" s="50"/>
      <c r="O15388" s="36" t="s">
        <v>48</v>
      </c>
      <c r="R15388" s="36" t="s">
        <v>48</v>
      </c>
    </row>
    <row r="15389">
      <c r="H15389" s="50"/>
      <c r="I15389" s="50"/>
      <c r="O15389" s="36" t="s">
        <v>48</v>
      </c>
      <c r="R15389" s="36" t="s">
        <v>48</v>
      </c>
    </row>
    <row r="15390">
      <c r="H15390" s="50"/>
      <c r="I15390" s="50"/>
      <c r="O15390" s="36" t="s">
        <v>48</v>
      </c>
      <c r="R15390" s="36" t="s">
        <v>48</v>
      </c>
    </row>
    <row r="15391">
      <c r="H15391" s="50"/>
      <c r="I15391" s="50"/>
      <c r="O15391" s="36" t="s">
        <v>48</v>
      </c>
      <c r="R15391" s="36" t="s">
        <v>48</v>
      </c>
    </row>
    <row r="15392">
      <c r="H15392" s="50"/>
      <c r="I15392" s="50"/>
      <c r="O15392" s="36" t="s">
        <v>48</v>
      </c>
      <c r="R15392" s="36" t="s">
        <v>48</v>
      </c>
    </row>
    <row r="15393">
      <c r="H15393" s="50"/>
      <c r="I15393" s="50"/>
      <c r="O15393" s="36" t="s">
        <v>48</v>
      </c>
      <c r="R15393" s="36" t="s">
        <v>48</v>
      </c>
    </row>
    <row r="15394">
      <c r="H15394" s="50"/>
      <c r="I15394" s="50"/>
      <c r="O15394" s="36" t="s">
        <v>48</v>
      </c>
      <c r="R15394" s="36" t="s">
        <v>48</v>
      </c>
    </row>
    <row r="15395">
      <c r="H15395" s="50"/>
      <c r="I15395" s="50"/>
      <c r="O15395" s="36" t="s">
        <v>48</v>
      </c>
      <c r="R15395" s="36" t="s">
        <v>48</v>
      </c>
    </row>
    <row r="15396">
      <c r="H15396" s="50"/>
      <c r="I15396" s="50"/>
      <c r="O15396" s="36" t="s">
        <v>48</v>
      </c>
      <c r="R15396" s="36" t="s">
        <v>48</v>
      </c>
    </row>
    <row r="15397">
      <c r="H15397" s="50"/>
      <c r="I15397" s="50"/>
      <c r="O15397" s="36" t="s">
        <v>48</v>
      </c>
      <c r="R15397" s="36" t="s">
        <v>48</v>
      </c>
    </row>
    <row r="15398">
      <c r="H15398" s="50"/>
      <c r="I15398" s="50"/>
      <c r="O15398" s="36" t="s">
        <v>48</v>
      </c>
      <c r="R15398" s="36" t="s">
        <v>48</v>
      </c>
    </row>
    <row r="15399">
      <c r="H15399" s="50"/>
      <c r="I15399" s="50"/>
      <c r="O15399" s="36" t="s">
        <v>48</v>
      </c>
      <c r="R15399" s="36" t="s">
        <v>48</v>
      </c>
    </row>
    <row r="15400">
      <c r="H15400" s="50"/>
      <c r="I15400" s="50"/>
      <c r="O15400" s="36" t="s">
        <v>48</v>
      </c>
      <c r="R15400" s="36" t="s">
        <v>48</v>
      </c>
    </row>
    <row r="15401">
      <c r="H15401" s="50"/>
      <c r="I15401" s="50"/>
      <c r="O15401" s="36" t="s">
        <v>48</v>
      </c>
      <c r="R15401" s="36" t="s">
        <v>48</v>
      </c>
    </row>
    <row r="15402">
      <c r="H15402" s="50"/>
      <c r="I15402" s="50"/>
      <c r="O15402" s="36" t="s">
        <v>48</v>
      </c>
      <c r="R15402" s="36" t="s">
        <v>48</v>
      </c>
    </row>
    <row r="15403">
      <c r="H15403" s="50"/>
      <c r="I15403" s="50"/>
      <c r="O15403" s="36" t="s">
        <v>48</v>
      </c>
      <c r="R15403" s="36" t="s">
        <v>48</v>
      </c>
    </row>
    <row r="15404">
      <c r="H15404" s="50"/>
      <c r="I15404" s="50"/>
      <c r="O15404" s="36" t="s">
        <v>48</v>
      </c>
      <c r="R15404" s="36" t="s">
        <v>48</v>
      </c>
    </row>
    <row r="15405">
      <c r="H15405" s="50"/>
      <c r="I15405" s="50"/>
      <c r="O15405" s="36" t="s">
        <v>48</v>
      </c>
      <c r="R15405" s="36" t="s">
        <v>48</v>
      </c>
    </row>
    <row r="15406">
      <c r="H15406" s="50"/>
      <c r="I15406" s="50"/>
      <c r="O15406" s="36" t="s">
        <v>48</v>
      </c>
      <c r="R15406" s="36" t="s">
        <v>48</v>
      </c>
    </row>
    <row r="15407">
      <c r="H15407" s="50"/>
      <c r="I15407" s="50"/>
      <c r="O15407" s="36" t="s">
        <v>48</v>
      </c>
      <c r="R15407" s="36" t="s">
        <v>48</v>
      </c>
    </row>
    <row r="15408">
      <c r="H15408" s="50"/>
      <c r="I15408" s="50"/>
      <c r="O15408" s="36" t="s">
        <v>48</v>
      </c>
      <c r="R15408" s="36" t="s">
        <v>48</v>
      </c>
    </row>
    <row r="15409">
      <c r="H15409" s="50"/>
      <c r="I15409" s="50"/>
      <c r="O15409" s="36" t="s">
        <v>48</v>
      </c>
      <c r="R15409" s="36" t="s">
        <v>48</v>
      </c>
    </row>
    <row r="15410">
      <c r="H15410" s="50"/>
      <c r="I15410" s="50"/>
      <c r="O15410" s="36" t="s">
        <v>48</v>
      </c>
      <c r="R15410" s="36" t="s">
        <v>48</v>
      </c>
    </row>
    <row r="15411">
      <c r="H15411" s="50"/>
      <c r="I15411" s="50"/>
      <c r="O15411" s="36" t="s">
        <v>48</v>
      </c>
      <c r="R15411" s="36" t="s">
        <v>48</v>
      </c>
    </row>
    <row r="15412">
      <c r="H15412" s="50"/>
      <c r="I15412" s="50"/>
      <c r="O15412" s="36" t="s">
        <v>48</v>
      </c>
      <c r="R15412" s="36" t="s">
        <v>48</v>
      </c>
    </row>
    <row r="15413">
      <c r="H15413" s="50"/>
      <c r="I15413" s="50"/>
      <c r="O15413" s="36" t="s">
        <v>48</v>
      </c>
      <c r="R15413" s="36" t="s">
        <v>48</v>
      </c>
    </row>
    <row r="15414">
      <c r="H15414" s="50"/>
      <c r="I15414" s="50"/>
      <c r="O15414" s="36" t="s">
        <v>48</v>
      </c>
      <c r="R15414" s="36" t="s">
        <v>48</v>
      </c>
    </row>
    <row r="15415">
      <c r="H15415" s="50"/>
      <c r="I15415" s="50"/>
      <c r="O15415" s="36" t="s">
        <v>48</v>
      </c>
      <c r="R15415" s="36" t="s">
        <v>48</v>
      </c>
    </row>
    <row r="15416">
      <c r="H15416" s="50"/>
      <c r="I15416" s="50"/>
      <c r="O15416" s="36" t="s">
        <v>48</v>
      </c>
      <c r="R15416" s="36" t="s">
        <v>48</v>
      </c>
    </row>
    <row r="15417">
      <c r="H15417" s="50"/>
      <c r="I15417" s="50"/>
      <c r="O15417" s="36" t="s">
        <v>48</v>
      </c>
      <c r="R15417" s="36" t="s">
        <v>48</v>
      </c>
    </row>
    <row r="15418">
      <c r="H15418" s="50"/>
      <c r="I15418" s="50"/>
      <c r="O15418" s="36" t="s">
        <v>48</v>
      </c>
      <c r="R15418" s="36" t="s">
        <v>48</v>
      </c>
    </row>
    <row r="15419">
      <c r="H15419" s="50"/>
      <c r="I15419" s="50"/>
      <c r="O15419" s="36" t="s">
        <v>48</v>
      </c>
      <c r="R15419" s="36" t="s">
        <v>48</v>
      </c>
    </row>
    <row r="15420">
      <c r="H15420" s="50"/>
      <c r="I15420" s="50"/>
      <c r="O15420" s="36" t="s">
        <v>48</v>
      </c>
      <c r="R15420" s="36" t="s">
        <v>48</v>
      </c>
    </row>
    <row r="15421">
      <c r="H15421" s="50"/>
      <c r="I15421" s="50"/>
      <c r="O15421" s="36" t="s">
        <v>48</v>
      </c>
      <c r="R15421" s="36" t="s">
        <v>48</v>
      </c>
    </row>
    <row r="15422">
      <c r="H15422" s="50"/>
      <c r="I15422" s="50"/>
      <c r="O15422" s="36" t="s">
        <v>48</v>
      </c>
      <c r="R15422" s="36" t="s">
        <v>48</v>
      </c>
    </row>
    <row r="15423">
      <c r="H15423" s="50"/>
      <c r="I15423" s="50"/>
      <c r="O15423" s="36" t="s">
        <v>48</v>
      </c>
      <c r="R15423" s="36" t="s">
        <v>48</v>
      </c>
    </row>
    <row r="15424">
      <c r="H15424" s="50"/>
      <c r="I15424" s="50"/>
      <c r="O15424" s="36" t="s">
        <v>48</v>
      </c>
      <c r="R15424" s="36" t="s">
        <v>48</v>
      </c>
    </row>
    <row r="15425">
      <c r="H15425" s="50"/>
      <c r="I15425" s="50"/>
      <c r="O15425" s="36" t="s">
        <v>48</v>
      </c>
      <c r="R15425" s="36" t="s">
        <v>48</v>
      </c>
    </row>
    <row r="15426">
      <c r="H15426" s="50"/>
      <c r="I15426" s="50"/>
      <c r="O15426" s="36" t="s">
        <v>48</v>
      </c>
      <c r="R15426" s="36" t="s">
        <v>48</v>
      </c>
    </row>
    <row r="15427">
      <c r="H15427" s="50"/>
      <c r="I15427" s="50"/>
      <c r="O15427" s="36" t="s">
        <v>48</v>
      </c>
      <c r="R15427" s="36" t="s">
        <v>48</v>
      </c>
    </row>
    <row r="15428">
      <c r="H15428" s="50"/>
      <c r="I15428" s="50"/>
      <c r="O15428" s="36" t="s">
        <v>48</v>
      </c>
      <c r="R15428" s="36" t="s">
        <v>48</v>
      </c>
    </row>
    <row r="15429">
      <c r="H15429" s="50"/>
      <c r="I15429" s="50"/>
      <c r="O15429" s="36" t="s">
        <v>48</v>
      </c>
      <c r="R15429" s="36" t="s">
        <v>48</v>
      </c>
    </row>
    <row r="15430">
      <c r="H15430" s="50"/>
      <c r="I15430" s="50"/>
      <c r="O15430" s="36" t="s">
        <v>48</v>
      </c>
      <c r="R15430" s="36" t="s">
        <v>48</v>
      </c>
    </row>
    <row r="15431">
      <c r="H15431" s="50"/>
      <c r="I15431" s="50"/>
      <c r="O15431" s="36" t="s">
        <v>48</v>
      </c>
      <c r="R15431" s="36" t="s">
        <v>48</v>
      </c>
    </row>
    <row r="15432">
      <c r="H15432" s="50"/>
      <c r="I15432" s="50"/>
      <c r="O15432" s="36" t="s">
        <v>48</v>
      </c>
      <c r="R15432" s="36" t="s">
        <v>48</v>
      </c>
    </row>
    <row r="15433">
      <c r="H15433" s="50"/>
      <c r="I15433" s="50"/>
      <c r="O15433" s="36" t="s">
        <v>48</v>
      </c>
      <c r="R15433" s="36" t="s">
        <v>48</v>
      </c>
    </row>
    <row r="15434">
      <c r="H15434" s="50"/>
      <c r="I15434" s="50"/>
      <c r="O15434" s="36" t="s">
        <v>48</v>
      </c>
      <c r="R15434" s="36" t="s">
        <v>48</v>
      </c>
    </row>
    <row r="15435">
      <c r="H15435" s="50"/>
      <c r="I15435" s="50"/>
      <c r="O15435" s="36" t="s">
        <v>48</v>
      </c>
      <c r="R15435" s="36" t="s">
        <v>48</v>
      </c>
    </row>
    <row r="15436">
      <c r="H15436" s="50"/>
      <c r="I15436" s="50"/>
      <c r="O15436" s="36" t="s">
        <v>48</v>
      </c>
      <c r="R15436" s="36" t="s">
        <v>48</v>
      </c>
    </row>
    <row r="15437">
      <c r="H15437" s="50"/>
      <c r="I15437" s="50"/>
      <c r="O15437" s="36" t="s">
        <v>48</v>
      </c>
      <c r="R15437" s="36" t="s">
        <v>48</v>
      </c>
    </row>
    <row r="15438">
      <c r="H15438" s="50"/>
      <c r="I15438" s="50"/>
      <c r="O15438" s="36" t="s">
        <v>48</v>
      </c>
      <c r="R15438" s="36" t="s">
        <v>48</v>
      </c>
    </row>
    <row r="15439">
      <c r="H15439" s="50"/>
      <c r="I15439" s="50"/>
      <c r="O15439" s="36" t="s">
        <v>48</v>
      </c>
      <c r="R15439" s="36" t="s">
        <v>48</v>
      </c>
    </row>
    <row r="15440">
      <c r="H15440" s="50"/>
      <c r="I15440" s="50"/>
      <c r="O15440" s="36" t="s">
        <v>48</v>
      </c>
      <c r="R15440" s="36" t="s">
        <v>48</v>
      </c>
    </row>
    <row r="15441">
      <c r="H15441" s="50"/>
      <c r="I15441" s="50"/>
      <c r="O15441" s="36" t="s">
        <v>48</v>
      </c>
      <c r="R15441" s="36" t="s">
        <v>48</v>
      </c>
    </row>
    <row r="15442">
      <c r="H15442" s="50"/>
      <c r="I15442" s="50"/>
      <c r="O15442" s="36" t="s">
        <v>48</v>
      </c>
      <c r="R15442" s="36" t="s">
        <v>48</v>
      </c>
    </row>
    <row r="15443">
      <c r="H15443" s="50"/>
      <c r="I15443" s="50"/>
      <c r="O15443" s="36" t="s">
        <v>48</v>
      </c>
      <c r="R15443" s="36" t="s">
        <v>48</v>
      </c>
    </row>
    <row r="15444">
      <c r="H15444" s="50"/>
      <c r="I15444" s="50"/>
      <c r="O15444" s="36" t="s">
        <v>48</v>
      </c>
      <c r="R15444" s="36" t="s">
        <v>48</v>
      </c>
    </row>
    <row r="15445">
      <c r="H15445" s="50"/>
      <c r="I15445" s="50"/>
      <c r="O15445" s="36" t="s">
        <v>48</v>
      </c>
      <c r="R15445" s="36" t="s">
        <v>48</v>
      </c>
    </row>
    <row r="15446">
      <c r="H15446" s="50"/>
      <c r="I15446" s="50"/>
      <c r="O15446" s="36" t="s">
        <v>48</v>
      </c>
      <c r="R15446" s="36" t="s">
        <v>48</v>
      </c>
    </row>
    <row r="15447">
      <c r="H15447" s="50"/>
      <c r="I15447" s="50"/>
      <c r="O15447" s="36" t="s">
        <v>48</v>
      </c>
      <c r="R15447" s="36" t="s">
        <v>48</v>
      </c>
    </row>
    <row r="15448">
      <c r="H15448" s="50"/>
      <c r="I15448" s="50"/>
      <c r="O15448" s="36" t="s">
        <v>48</v>
      </c>
      <c r="R15448" s="36" t="s">
        <v>48</v>
      </c>
    </row>
    <row r="15449">
      <c r="H15449" s="50"/>
      <c r="I15449" s="50"/>
      <c r="O15449" s="36" t="s">
        <v>48</v>
      </c>
      <c r="R15449" s="36" t="s">
        <v>48</v>
      </c>
    </row>
    <row r="15450">
      <c r="H15450" s="50"/>
      <c r="I15450" s="50"/>
      <c r="O15450" s="36" t="s">
        <v>48</v>
      </c>
      <c r="R15450" s="36" t="s">
        <v>48</v>
      </c>
    </row>
    <row r="15451">
      <c r="H15451" s="50"/>
      <c r="I15451" s="50"/>
      <c r="O15451" s="36" t="s">
        <v>48</v>
      </c>
      <c r="R15451" s="36" t="s">
        <v>48</v>
      </c>
    </row>
    <row r="15452">
      <c r="H15452" s="50"/>
      <c r="I15452" s="50"/>
      <c r="O15452" s="36" t="s">
        <v>48</v>
      </c>
      <c r="R15452" s="36" t="s">
        <v>48</v>
      </c>
    </row>
    <row r="15453">
      <c r="H15453" s="50"/>
      <c r="I15453" s="50"/>
      <c r="O15453" s="36" t="s">
        <v>48</v>
      </c>
      <c r="R15453" s="36" t="s">
        <v>48</v>
      </c>
    </row>
    <row r="15454">
      <c r="H15454" s="50"/>
      <c r="I15454" s="50"/>
      <c r="O15454" s="36" t="s">
        <v>48</v>
      </c>
      <c r="R15454" s="36" t="s">
        <v>48</v>
      </c>
    </row>
    <row r="15455">
      <c r="H15455" s="50"/>
      <c r="I15455" s="50"/>
      <c r="O15455" s="36" t="s">
        <v>48</v>
      </c>
      <c r="R15455" s="36" t="s">
        <v>48</v>
      </c>
    </row>
    <row r="15456">
      <c r="H15456" s="50"/>
      <c r="I15456" s="50"/>
      <c r="O15456" s="36" t="s">
        <v>48</v>
      </c>
      <c r="R15456" s="36" t="s">
        <v>48</v>
      </c>
    </row>
    <row r="15457">
      <c r="H15457" s="50"/>
      <c r="I15457" s="50"/>
      <c r="O15457" s="36" t="s">
        <v>48</v>
      </c>
      <c r="R15457" s="36" t="s">
        <v>48</v>
      </c>
    </row>
    <row r="15458">
      <c r="H15458" s="50"/>
      <c r="I15458" s="50"/>
      <c r="O15458" s="36" t="s">
        <v>48</v>
      </c>
      <c r="R15458" s="36" t="s">
        <v>48</v>
      </c>
    </row>
    <row r="15459">
      <c r="H15459" s="50"/>
      <c r="I15459" s="50"/>
      <c r="O15459" s="36" t="s">
        <v>48</v>
      </c>
      <c r="R15459" s="36" t="s">
        <v>48</v>
      </c>
    </row>
    <row r="15460">
      <c r="H15460" s="50"/>
      <c r="I15460" s="50"/>
      <c r="O15460" s="36" t="s">
        <v>48</v>
      </c>
      <c r="R15460" s="36" t="s">
        <v>48</v>
      </c>
    </row>
    <row r="15461">
      <c r="H15461" s="50"/>
      <c r="I15461" s="50"/>
      <c r="O15461" s="36" t="s">
        <v>48</v>
      </c>
      <c r="R15461" s="36" t="s">
        <v>48</v>
      </c>
    </row>
    <row r="15462">
      <c r="H15462" s="50"/>
      <c r="I15462" s="50"/>
      <c r="O15462" s="36" t="s">
        <v>48</v>
      </c>
      <c r="R15462" s="36" t="s">
        <v>48</v>
      </c>
    </row>
    <row r="15463">
      <c r="H15463" s="50"/>
      <c r="I15463" s="50"/>
      <c r="O15463" s="36" t="s">
        <v>48</v>
      </c>
      <c r="R15463" s="36" t="s">
        <v>48</v>
      </c>
    </row>
    <row r="15464">
      <c r="H15464" s="50"/>
      <c r="I15464" s="50"/>
      <c r="O15464" s="36" t="s">
        <v>48</v>
      </c>
      <c r="R15464" s="36" t="s">
        <v>48</v>
      </c>
    </row>
    <row r="15465">
      <c r="H15465" s="50"/>
      <c r="I15465" s="50"/>
      <c r="O15465" s="36" t="s">
        <v>48</v>
      </c>
      <c r="R15465" s="36" t="s">
        <v>48</v>
      </c>
    </row>
    <row r="15466">
      <c r="H15466" s="50"/>
      <c r="I15466" s="50"/>
      <c r="O15466" s="36" t="s">
        <v>48</v>
      </c>
      <c r="R15466" s="36" t="s">
        <v>48</v>
      </c>
    </row>
    <row r="15467">
      <c r="H15467" s="50"/>
      <c r="I15467" s="50"/>
      <c r="O15467" s="36" t="s">
        <v>48</v>
      </c>
      <c r="R15467" s="36" t="s">
        <v>48</v>
      </c>
    </row>
    <row r="15468">
      <c r="H15468" s="50"/>
      <c r="I15468" s="50"/>
      <c r="O15468" s="36" t="s">
        <v>48</v>
      </c>
      <c r="R15468" s="36" t="s">
        <v>48</v>
      </c>
    </row>
    <row r="15469">
      <c r="H15469" s="50"/>
      <c r="I15469" s="50"/>
      <c r="O15469" s="36" t="s">
        <v>48</v>
      </c>
      <c r="R15469" s="36" t="s">
        <v>48</v>
      </c>
    </row>
    <row r="15470">
      <c r="H15470" s="50"/>
      <c r="I15470" s="50"/>
      <c r="O15470" s="36" t="s">
        <v>48</v>
      </c>
      <c r="R15470" s="36" t="s">
        <v>48</v>
      </c>
    </row>
    <row r="15471">
      <c r="H15471" s="50"/>
      <c r="I15471" s="50"/>
      <c r="O15471" s="36" t="s">
        <v>48</v>
      </c>
      <c r="R15471" s="36" t="s">
        <v>48</v>
      </c>
    </row>
    <row r="15472">
      <c r="H15472" s="50"/>
      <c r="I15472" s="50"/>
      <c r="O15472" s="36" t="s">
        <v>48</v>
      </c>
      <c r="R15472" s="36" t="s">
        <v>48</v>
      </c>
    </row>
    <row r="15473">
      <c r="H15473" s="50"/>
      <c r="I15473" s="50"/>
      <c r="O15473" s="36" t="s">
        <v>48</v>
      </c>
      <c r="R15473" s="36" t="s">
        <v>48</v>
      </c>
    </row>
    <row r="15474">
      <c r="H15474" s="50"/>
      <c r="I15474" s="50"/>
      <c r="O15474" s="36" t="s">
        <v>48</v>
      </c>
      <c r="R15474" s="36" t="s">
        <v>48</v>
      </c>
    </row>
    <row r="15475">
      <c r="H15475" s="50"/>
      <c r="I15475" s="50"/>
      <c r="O15475" s="36" t="s">
        <v>48</v>
      </c>
      <c r="R15475" s="36" t="s">
        <v>48</v>
      </c>
    </row>
    <row r="15476">
      <c r="H15476" s="50"/>
      <c r="I15476" s="50"/>
      <c r="O15476" s="36" t="s">
        <v>48</v>
      </c>
      <c r="R15476" s="36" t="s">
        <v>48</v>
      </c>
    </row>
    <row r="15477">
      <c r="H15477" s="50"/>
      <c r="I15477" s="50"/>
      <c r="O15477" s="36" t="s">
        <v>48</v>
      </c>
      <c r="R15477" s="36" t="s">
        <v>48</v>
      </c>
    </row>
    <row r="15478">
      <c r="H15478" s="50"/>
      <c r="I15478" s="50"/>
      <c r="O15478" s="36" t="s">
        <v>48</v>
      </c>
      <c r="R15478" s="36" t="s">
        <v>48</v>
      </c>
    </row>
    <row r="15479">
      <c r="H15479" s="50"/>
      <c r="I15479" s="50"/>
      <c r="O15479" s="36" t="s">
        <v>48</v>
      </c>
      <c r="R15479" s="36" t="s">
        <v>48</v>
      </c>
    </row>
    <row r="15480">
      <c r="H15480" s="50"/>
      <c r="I15480" s="50"/>
      <c r="O15480" s="36" t="s">
        <v>48</v>
      </c>
      <c r="R15480" s="36" t="s">
        <v>48</v>
      </c>
    </row>
    <row r="15481">
      <c r="H15481" s="50"/>
      <c r="I15481" s="50"/>
      <c r="O15481" s="36" t="s">
        <v>48</v>
      </c>
      <c r="R15481" s="36" t="s">
        <v>48</v>
      </c>
    </row>
    <row r="15482">
      <c r="H15482" s="50"/>
      <c r="I15482" s="50"/>
      <c r="O15482" s="36" t="s">
        <v>48</v>
      </c>
      <c r="R15482" s="36" t="s">
        <v>48</v>
      </c>
    </row>
    <row r="15483">
      <c r="H15483" s="50"/>
      <c r="I15483" s="50"/>
      <c r="O15483" s="36" t="s">
        <v>48</v>
      </c>
      <c r="R15483" s="36" t="s">
        <v>48</v>
      </c>
    </row>
    <row r="15484">
      <c r="H15484" s="50"/>
      <c r="I15484" s="50"/>
      <c r="O15484" s="36" t="s">
        <v>48</v>
      </c>
      <c r="R15484" s="36" t="s">
        <v>48</v>
      </c>
    </row>
    <row r="15485">
      <c r="H15485" s="50"/>
      <c r="I15485" s="50"/>
      <c r="O15485" s="36" t="s">
        <v>48</v>
      </c>
      <c r="R15485" s="36" t="s">
        <v>48</v>
      </c>
    </row>
    <row r="15486">
      <c r="H15486" s="50"/>
      <c r="I15486" s="50"/>
      <c r="O15486" s="36" t="s">
        <v>48</v>
      </c>
      <c r="R15486" s="36" t="s">
        <v>48</v>
      </c>
    </row>
    <row r="15487">
      <c r="H15487" s="50"/>
      <c r="I15487" s="50"/>
      <c r="O15487" s="36" t="s">
        <v>48</v>
      </c>
      <c r="R15487" s="36" t="s">
        <v>48</v>
      </c>
    </row>
    <row r="15488">
      <c r="H15488" s="50"/>
      <c r="I15488" s="50"/>
      <c r="O15488" s="36" t="s">
        <v>48</v>
      </c>
      <c r="R15488" s="36" t="s">
        <v>48</v>
      </c>
    </row>
    <row r="15489">
      <c r="H15489" s="50"/>
      <c r="I15489" s="50"/>
      <c r="O15489" s="36" t="s">
        <v>48</v>
      </c>
      <c r="R15489" s="36" t="s">
        <v>48</v>
      </c>
    </row>
    <row r="15490">
      <c r="H15490" s="50"/>
      <c r="I15490" s="50"/>
      <c r="O15490" s="36" t="s">
        <v>48</v>
      </c>
      <c r="R15490" s="36" t="s">
        <v>48</v>
      </c>
    </row>
    <row r="15491">
      <c r="H15491" s="50"/>
      <c r="I15491" s="50"/>
      <c r="O15491" s="36" t="s">
        <v>48</v>
      </c>
      <c r="R15491" s="36" t="s">
        <v>48</v>
      </c>
    </row>
    <row r="15492">
      <c r="H15492" s="50"/>
      <c r="I15492" s="50"/>
      <c r="O15492" s="36" t="s">
        <v>48</v>
      </c>
      <c r="R15492" s="36" t="s">
        <v>48</v>
      </c>
    </row>
    <row r="15493">
      <c r="H15493" s="50"/>
      <c r="I15493" s="50"/>
      <c r="O15493" s="36" t="s">
        <v>48</v>
      </c>
      <c r="R15493" s="36" t="s">
        <v>48</v>
      </c>
    </row>
    <row r="15494">
      <c r="H15494" s="50"/>
      <c r="I15494" s="50"/>
      <c r="O15494" s="36" t="s">
        <v>48</v>
      </c>
      <c r="R15494" s="36" t="s">
        <v>48</v>
      </c>
    </row>
    <row r="15495">
      <c r="H15495" s="50"/>
      <c r="I15495" s="50"/>
      <c r="O15495" s="36" t="s">
        <v>48</v>
      </c>
      <c r="R15495" s="36" t="s">
        <v>48</v>
      </c>
    </row>
    <row r="15496">
      <c r="H15496" s="50"/>
      <c r="I15496" s="50"/>
      <c r="O15496" s="36" t="s">
        <v>48</v>
      </c>
      <c r="R15496" s="36" t="s">
        <v>48</v>
      </c>
    </row>
    <row r="15497">
      <c r="H15497" s="50"/>
      <c r="I15497" s="50"/>
      <c r="O15497" s="36" t="s">
        <v>48</v>
      </c>
      <c r="R15497" s="36" t="s">
        <v>48</v>
      </c>
    </row>
    <row r="15498">
      <c r="H15498" s="50"/>
      <c r="I15498" s="50"/>
      <c r="O15498" s="36" t="s">
        <v>48</v>
      </c>
      <c r="R15498" s="36" t="s">
        <v>48</v>
      </c>
    </row>
    <row r="15499">
      <c r="H15499" s="50"/>
      <c r="I15499" s="50"/>
      <c r="O15499" s="36" t="s">
        <v>48</v>
      </c>
      <c r="R15499" s="36" t="s">
        <v>48</v>
      </c>
    </row>
    <row r="15500">
      <c r="H15500" s="50"/>
      <c r="I15500" s="50"/>
      <c r="O15500" s="36" t="s">
        <v>48</v>
      </c>
      <c r="R15500" s="36" t="s">
        <v>48</v>
      </c>
    </row>
    <row r="15501">
      <c r="H15501" s="50"/>
      <c r="I15501" s="50"/>
      <c r="O15501" s="36" t="s">
        <v>48</v>
      </c>
      <c r="R15501" s="36" t="s">
        <v>48</v>
      </c>
    </row>
    <row r="15502">
      <c r="H15502" s="50"/>
      <c r="I15502" s="50"/>
      <c r="O15502" s="36" t="s">
        <v>48</v>
      </c>
      <c r="R15502" s="36" t="s">
        <v>48</v>
      </c>
    </row>
    <row r="15503">
      <c r="H15503" s="50"/>
      <c r="I15503" s="50"/>
      <c r="O15503" s="36" t="s">
        <v>48</v>
      </c>
      <c r="R15503" s="36" t="s">
        <v>48</v>
      </c>
    </row>
    <row r="15504">
      <c r="H15504" s="50"/>
      <c r="I15504" s="50"/>
      <c r="O15504" s="36" t="s">
        <v>48</v>
      </c>
      <c r="R15504" s="36" t="s">
        <v>48</v>
      </c>
    </row>
    <row r="15505">
      <c r="H15505" s="50"/>
      <c r="I15505" s="50"/>
      <c r="O15505" s="36" t="s">
        <v>48</v>
      </c>
      <c r="R15505" s="36" t="s">
        <v>48</v>
      </c>
    </row>
    <row r="15506">
      <c r="H15506" s="50"/>
      <c r="I15506" s="50"/>
      <c r="O15506" s="36" t="s">
        <v>48</v>
      </c>
      <c r="R15506" s="36" t="s">
        <v>48</v>
      </c>
    </row>
    <row r="15507">
      <c r="H15507" s="50"/>
      <c r="I15507" s="50"/>
      <c r="O15507" s="36" t="s">
        <v>48</v>
      </c>
      <c r="R15507" s="36" t="s">
        <v>48</v>
      </c>
    </row>
    <row r="15508">
      <c r="H15508" s="50"/>
      <c r="I15508" s="50"/>
      <c r="O15508" s="36" t="s">
        <v>48</v>
      </c>
      <c r="R15508" s="36" t="s">
        <v>48</v>
      </c>
    </row>
    <row r="15509">
      <c r="H15509" s="50"/>
      <c r="I15509" s="50"/>
      <c r="O15509" s="36" t="s">
        <v>48</v>
      </c>
      <c r="R15509" s="36" t="s">
        <v>48</v>
      </c>
    </row>
    <row r="15510">
      <c r="H15510" s="50"/>
      <c r="I15510" s="50"/>
      <c r="O15510" s="36" t="s">
        <v>48</v>
      </c>
      <c r="R15510" s="36" t="s">
        <v>48</v>
      </c>
    </row>
    <row r="15511">
      <c r="H15511" s="50"/>
      <c r="I15511" s="50"/>
      <c r="O15511" s="36" t="s">
        <v>48</v>
      </c>
      <c r="R15511" s="36" t="s">
        <v>48</v>
      </c>
    </row>
    <row r="15512">
      <c r="H15512" s="50"/>
      <c r="I15512" s="50"/>
      <c r="O15512" s="36" t="s">
        <v>48</v>
      </c>
      <c r="R15512" s="36" t="s">
        <v>48</v>
      </c>
    </row>
    <row r="15513">
      <c r="H15513" s="50"/>
      <c r="I15513" s="50"/>
      <c r="O15513" s="36" t="s">
        <v>48</v>
      </c>
      <c r="R15513" s="36" t="s">
        <v>48</v>
      </c>
    </row>
    <row r="15514">
      <c r="H15514" s="50"/>
      <c r="I15514" s="50"/>
      <c r="O15514" s="36" t="s">
        <v>48</v>
      </c>
      <c r="R15514" s="36" t="s">
        <v>48</v>
      </c>
    </row>
    <row r="15515">
      <c r="H15515" s="50"/>
      <c r="I15515" s="50"/>
      <c r="O15515" s="36" t="s">
        <v>48</v>
      </c>
      <c r="R15515" s="36" t="s">
        <v>48</v>
      </c>
    </row>
    <row r="15516">
      <c r="H15516" s="50"/>
      <c r="I15516" s="50"/>
      <c r="O15516" s="36" t="s">
        <v>48</v>
      </c>
      <c r="R15516" s="36" t="s">
        <v>48</v>
      </c>
    </row>
    <row r="15517">
      <c r="H15517" s="50"/>
      <c r="I15517" s="50"/>
      <c r="O15517" s="36" t="s">
        <v>48</v>
      </c>
      <c r="R15517" s="36" t="s">
        <v>48</v>
      </c>
    </row>
    <row r="15518">
      <c r="H15518" s="50"/>
      <c r="I15518" s="50"/>
      <c r="O15518" s="36" t="s">
        <v>48</v>
      </c>
      <c r="R15518" s="36" t="s">
        <v>48</v>
      </c>
    </row>
    <row r="15519">
      <c r="H15519" s="50"/>
      <c r="I15519" s="50"/>
      <c r="O15519" s="36" t="s">
        <v>48</v>
      </c>
      <c r="R15519" s="36" t="s">
        <v>48</v>
      </c>
    </row>
    <row r="15520">
      <c r="H15520" s="50"/>
      <c r="I15520" s="50"/>
      <c r="O15520" s="36" t="s">
        <v>48</v>
      </c>
      <c r="R15520" s="36" t="s">
        <v>48</v>
      </c>
    </row>
    <row r="15521">
      <c r="H15521" s="50"/>
      <c r="I15521" s="50"/>
      <c r="O15521" s="36" t="s">
        <v>48</v>
      </c>
      <c r="R15521" s="36" t="s">
        <v>48</v>
      </c>
    </row>
    <row r="15522">
      <c r="H15522" s="50"/>
      <c r="I15522" s="50"/>
      <c r="O15522" s="36" t="s">
        <v>48</v>
      </c>
      <c r="R15522" s="36" t="s">
        <v>48</v>
      </c>
    </row>
    <row r="15523">
      <c r="H15523" s="50"/>
      <c r="I15523" s="50"/>
      <c r="O15523" s="36" t="s">
        <v>48</v>
      </c>
      <c r="R15523" s="36" t="s">
        <v>48</v>
      </c>
    </row>
    <row r="15524">
      <c r="H15524" s="50"/>
      <c r="I15524" s="50"/>
      <c r="O15524" s="36" t="s">
        <v>48</v>
      </c>
      <c r="R15524" s="36" t="s">
        <v>48</v>
      </c>
    </row>
    <row r="15525">
      <c r="H15525" s="50"/>
      <c r="I15525" s="50"/>
      <c r="O15525" s="36" t="s">
        <v>48</v>
      </c>
      <c r="R15525" s="36" t="s">
        <v>48</v>
      </c>
    </row>
    <row r="15526">
      <c r="H15526" s="50"/>
      <c r="I15526" s="50"/>
      <c r="O15526" s="36" t="s">
        <v>48</v>
      </c>
      <c r="R15526" s="36" t="s">
        <v>48</v>
      </c>
    </row>
    <row r="15527">
      <c r="H15527" s="50"/>
      <c r="I15527" s="50"/>
      <c r="O15527" s="36" t="s">
        <v>48</v>
      </c>
      <c r="R15527" s="36" t="s">
        <v>48</v>
      </c>
    </row>
    <row r="15528">
      <c r="H15528" s="50"/>
      <c r="I15528" s="50"/>
      <c r="O15528" s="36" t="s">
        <v>48</v>
      </c>
      <c r="R15528" s="36" t="s">
        <v>48</v>
      </c>
    </row>
    <row r="15529">
      <c r="H15529" s="50"/>
      <c r="I15529" s="50"/>
      <c r="O15529" s="36" t="s">
        <v>48</v>
      </c>
      <c r="R15529" s="36" t="s">
        <v>48</v>
      </c>
    </row>
    <row r="15530">
      <c r="H15530" s="50"/>
      <c r="I15530" s="50"/>
      <c r="O15530" s="36" t="s">
        <v>48</v>
      </c>
      <c r="R15530" s="36" t="s">
        <v>48</v>
      </c>
    </row>
    <row r="15531">
      <c r="H15531" s="50"/>
      <c r="I15531" s="50"/>
      <c r="O15531" s="36" t="s">
        <v>48</v>
      </c>
      <c r="R15531" s="36" t="s">
        <v>48</v>
      </c>
    </row>
    <row r="15532">
      <c r="H15532" s="50"/>
      <c r="I15532" s="50"/>
      <c r="O15532" s="36" t="s">
        <v>48</v>
      </c>
      <c r="R15532" s="36" t="s">
        <v>48</v>
      </c>
    </row>
    <row r="15533">
      <c r="H15533" s="50"/>
      <c r="I15533" s="50"/>
      <c r="O15533" s="36" t="s">
        <v>48</v>
      </c>
      <c r="R15533" s="36" t="s">
        <v>48</v>
      </c>
    </row>
    <row r="15534">
      <c r="H15534" s="50"/>
      <c r="I15534" s="50"/>
      <c r="O15534" s="36" t="s">
        <v>48</v>
      </c>
      <c r="R15534" s="36" t="s">
        <v>48</v>
      </c>
    </row>
    <row r="15535">
      <c r="H15535" s="50"/>
      <c r="I15535" s="50"/>
      <c r="O15535" s="36" t="s">
        <v>48</v>
      </c>
      <c r="R15535" s="36" t="s">
        <v>48</v>
      </c>
    </row>
    <row r="15536">
      <c r="H15536" s="50"/>
      <c r="I15536" s="50"/>
      <c r="O15536" s="36" t="s">
        <v>48</v>
      </c>
      <c r="R15536" s="36" t="s">
        <v>48</v>
      </c>
    </row>
    <row r="15537">
      <c r="H15537" s="50"/>
      <c r="I15537" s="50"/>
      <c r="O15537" s="36" t="s">
        <v>48</v>
      </c>
      <c r="R15537" s="36" t="s">
        <v>48</v>
      </c>
    </row>
    <row r="15538">
      <c r="H15538" s="50"/>
      <c r="I15538" s="50"/>
      <c r="O15538" s="36" t="s">
        <v>48</v>
      </c>
      <c r="R15538" s="36" t="s">
        <v>48</v>
      </c>
    </row>
    <row r="15539">
      <c r="H15539" s="50"/>
      <c r="I15539" s="50"/>
      <c r="O15539" s="36" t="s">
        <v>48</v>
      </c>
      <c r="R15539" s="36" t="s">
        <v>48</v>
      </c>
    </row>
    <row r="15540">
      <c r="H15540" s="50"/>
      <c r="I15540" s="50"/>
      <c r="O15540" s="36" t="s">
        <v>48</v>
      </c>
      <c r="R15540" s="36" t="s">
        <v>48</v>
      </c>
    </row>
    <row r="15541">
      <c r="H15541" s="50"/>
      <c r="I15541" s="50"/>
      <c r="O15541" s="36" t="s">
        <v>48</v>
      </c>
      <c r="R15541" s="36" t="s">
        <v>48</v>
      </c>
    </row>
    <row r="15542">
      <c r="H15542" s="50"/>
      <c r="I15542" s="50"/>
      <c r="O15542" s="36" t="s">
        <v>48</v>
      </c>
      <c r="R15542" s="36" t="s">
        <v>48</v>
      </c>
    </row>
    <row r="15543">
      <c r="H15543" s="50"/>
      <c r="I15543" s="50"/>
      <c r="O15543" s="36" t="s">
        <v>48</v>
      </c>
      <c r="R15543" s="36" t="s">
        <v>48</v>
      </c>
    </row>
    <row r="15544">
      <c r="H15544" s="50"/>
      <c r="I15544" s="50"/>
      <c r="O15544" s="36" t="s">
        <v>48</v>
      </c>
      <c r="R15544" s="36" t="s">
        <v>48</v>
      </c>
    </row>
    <row r="15545">
      <c r="H15545" s="50"/>
      <c r="I15545" s="50"/>
      <c r="O15545" s="36" t="s">
        <v>48</v>
      </c>
      <c r="R15545" s="36" t="s">
        <v>48</v>
      </c>
    </row>
    <row r="15546">
      <c r="H15546" s="50"/>
      <c r="I15546" s="50"/>
      <c r="O15546" s="36" t="s">
        <v>48</v>
      </c>
      <c r="R15546" s="36" t="s">
        <v>48</v>
      </c>
    </row>
    <row r="15547">
      <c r="H15547" s="50"/>
      <c r="I15547" s="50"/>
      <c r="O15547" s="36" t="s">
        <v>48</v>
      </c>
      <c r="R15547" s="36" t="s">
        <v>48</v>
      </c>
    </row>
    <row r="15548">
      <c r="H15548" s="50"/>
      <c r="I15548" s="50"/>
      <c r="O15548" s="36" t="s">
        <v>48</v>
      </c>
      <c r="R15548" s="36" t="s">
        <v>48</v>
      </c>
    </row>
    <row r="15549">
      <c r="H15549" s="50"/>
      <c r="I15549" s="50"/>
      <c r="O15549" s="36" t="s">
        <v>48</v>
      </c>
      <c r="R15549" s="36" t="s">
        <v>48</v>
      </c>
    </row>
    <row r="15550">
      <c r="H15550" s="50"/>
      <c r="I15550" s="50"/>
      <c r="O15550" s="36" t="s">
        <v>48</v>
      </c>
      <c r="R15550" s="36" t="s">
        <v>48</v>
      </c>
    </row>
    <row r="15551">
      <c r="H15551" s="50"/>
      <c r="I15551" s="50"/>
      <c r="O15551" s="36" t="s">
        <v>48</v>
      </c>
      <c r="R15551" s="36" t="s">
        <v>48</v>
      </c>
    </row>
    <row r="15552">
      <c r="H15552" s="50"/>
      <c r="I15552" s="50"/>
      <c r="O15552" s="36" t="s">
        <v>48</v>
      </c>
      <c r="R15552" s="36" t="s">
        <v>48</v>
      </c>
    </row>
    <row r="15553">
      <c r="H15553" s="50"/>
      <c r="I15553" s="50"/>
      <c r="O15553" s="36" t="s">
        <v>48</v>
      </c>
      <c r="R15553" s="36" t="s">
        <v>48</v>
      </c>
    </row>
    <row r="15554">
      <c r="H15554" s="50"/>
      <c r="I15554" s="50"/>
      <c r="O15554" s="36" t="s">
        <v>48</v>
      </c>
      <c r="R15554" s="36" t="s">
        <v>48</v>
      </c>
    </row>
    <row r="15555">
      <c r="H15555" s="50"/>
      <c r="I15555" s="50"/>
      <c r="O15555" s="36" t="s">
        <v>48</v>
      </c>
      <c r="R15555" s="36" t="s">
        <v>48</v>
      </c>
    </row>
    <row r="15556">
      <c r="H15556" s="50"/>
      <c r="I15556" s="50"/>
      <c r="O15556" s="36" t="s">
        <v>48</v>
      </c>
      <c r="R15556" s="36" t="s">
        <v>48</v>
      </c>
    </row>
    <row r="15557">
      <c r="H15557" s="50"/>
      <c r="I15557" s="50"/>
      <c r="O15557" s="36" t="s">
        <v>48</v>
      </c>
      <c r="R15557" s="36" t="s">
        <v>48</v>
      </c>
    </row>
    <row r="15558">
      <c r="H15558" s="50"/>
      <c r="I15558" s="50"/>
      <c r="O15558" s="36" t="s">
        <v>48</v>
      </c>
      <c r="R15558" s="36" t="s">
        <v>48</v>
      </c>
    </row>
    <row r="15559">
      <c r="H15559" s="50"/>
      <c r="I15559" s="50"/>
      <c r="O15559" s="36" t="s">
        <v>48</v>
      </c>
      <c r="R15559" s="36" t="s">
        <v>48</v>
      </c>
    </row>
    <row r="15560">
      <c r="H15560" s="50"/>
      <c r="I15560" s="50"/>
      <c r="O15560" s="36" t="s">
        <v>48</v>
      </c>
      <c r="R15560" s="36" t="s">
        <v>48</v>
      </c>
    </row>
    <row r="15561">
      <c r="H15561" s="50"/>
      <c r="I15561" s="50"/>
      <c r="O15561" s="36" t="s">
        <v>48</v>
      </c>
      <c r="R15561" s="36" t="s">
        <v>48</v>
      </c>
    </row>
    <row r="15562">
      <c r="H15562" s="50"/>
      <c r="I15562" s="50"/>
      <c r="O15562" s="36" t="s">
        <v>48</v>
      </c>
      <c r="R15562" s="36" t="s">
        <v>48</v>
      </c>
    </row>
    <row r="15563">
      <c r="H15563" s="50"/>
      <c r="I15563" s="50"/>
      <c r="O15563" s="36" t="s">
        <v>48</v>
      </c>
      <c r="R15563" s="36" t="s">
        <v>48</v>
      </c>
    </row>
    <row r="15564">
      <c r="H15564" s="50"/>
      <c r="I15564" s="50"/>
      <c r="O15564" s="36" t="s">
        <v>48</v>
      </c>
      <c r="R15564" s="36" t="s">
        <v>48</v>
      </c>
    </row>
    <row r="15565">
      <c r="H15565" s="50"/>
      <c r="I15565" s="50"/>
      <c r="O15565" s="36" t="s">
        <v>48</v>
      </c>
      <c r="R15565" s="36" t="s">
        <v>48</v>
      </c>
    </row>
    <row r="15566">
      <c r="H15566" s="50"/>
      <c r="I15566" s="50"/>
      <c r="O15566" s="36" t="s">
        <v>48</v>
      </c>
      <c r="R15566" s="36" t="s">
        <v>48</v>
      </c>
    </row>
    <row r="15567">
      <c r="H15567" s="50"/>
      <c r="I15567" s="50"/>
      <c r="O15567" s="36" t="s">
        <v>48</v>
      </c>
      <c r="R15567" s="36" t="s">
        <v>48</v>
      </c>
    </row>
    <row r="15568">
      <c r="H15568" s="50"/>
      <c r="I15568" s="50"/>
      <c r="O15568" s="36" t="s">
        <v>48</v>
      </c>
      <c r="R15568" s="36" t="s">
        <v>48</v>
      </c>
    </row>
    <row r="15569">
      <c r="H15569" s="50"/>
      <c r="I15569" s="50"/>
      <c r="O15569" s="36" t="s">
        <v>48</v>
      </c>
      <c r="R15569" s="36" t="s">
        <v>48</v>
      </c>
    </row>
    <row r="15570">
      <c r="H15570" s="50"/>
      <c r="I15570" s="50"/>
      <c r="O15570" s="36" t="s">
        <v>48</v>
      </c>
      <c r="R15570" s="36" t="s">
        <v>48</v>
      </c>
    </row>
    <row r="15571">
      <c r="H15571" s="50"/>
      <c r="I15571" s="50"/>
      <c r="O15571" s="36" t="s">
        <v>48</v>
      </c>
      <c r="R15571" s="36" t="s">
        <v>48</v>
      </c>
    </row>
    <row r="15572">
      <c r="H15572" s="50"/>
      <c r="I15572" s="50"/>
      <c r="O15572" s="36" t="s">
        <v>48</v>
      </c>
      <c r="R15572" s="36" t="s">
        <v>48</v>
      </c>
    </row>
    <row r="15573">
      <c r="H15573" s="50"/>
      <c r="I15573" s="50"/>
      <c r="O15573" s="36" t="s">
        <v>48</v>
      </c>
      <c r="R15573" s="36" t="s">
        <v>48</v>
      </c>
    </row>
    <row r="15574">
      <c r="H15574" s="50"/>
      <c r="I15574" s="50"/>
      <c r="O15574" s="36" t="s">
        <v>48</v>
      </c>
      <c r="R15574" s="36" t="s">
        <v>48</v>
      </c>
    </row>
    <row r="15575">
      <c r="H15575" s="50"/>
      <c r="I15575" s="50"/>
      <c r="O15575" s="36" t="s">
        <v>48</v>
      </c>
      <c r="R15575" s="36" t="s">
        <v>48</v>
      </c>
    </row>
    <row r="15576">
      <c r="H15576" s="50"/>
      <c r="I15576" s="50"/>
      <c r="O15576" s="36" t="s">
        <v>48</v>
      </c>
      <c r="R15576" s="36" t="s">
        <v>48</v>
      </c>
    </row>
    <row r="15577">
      <c r="H15577" s="50"/>
      <c r="I15577" s="50"/>
      <c r="O15577" s="36" t="s">
        <v>48</v>
      </c>
      <c r="R15577" s="36" t="s">
        <v>48</v>
      </c>
    </row>
    <row r="15578">
      <c r="H15578" s="50"/>
      <c r="I15578" s="50"/>
      <c r="O15578" s="36" t="s">
        <v>48</v>
      </c>
      <c r="R15578" s="36" t="s">
        <v>48</v>
      </c>
    </row>
    <row r="15579">
      <c r="H15579" s="50"/>
      <c r="I15579" s="50"/>
      <c r="O15579" s="36" t="s">
        <v>48</v>
      </c>
      <c r="R15579" s="36" t="s">
        <v>48</v>
      </c>
    </row>
    <row r="15580">
      <c r="H15580" s="50"/>
      <c r="I15580" s="50"/>
      <c r="O15580" s="36" t="s">
        <v>48</v>
      </c>
      <c r="R15580" s="36" t="s">
        <v>48</v>
      </c>
    </row>
    <row r="15581">
      <c r="H15581" s="50"/>
      <c r="I15581" s="50"/>
      <c r="O15581" s="36" t="s">
        <v>48</v>
      </c>
      <c r="R15581" s="36" t="s">
        <v>48</v>
      </c>
    </row>
    <row r="15582">
      <c r="H15582" s="50"/>
      <c r="I15582" s="50"/>
      <c r="O15582" s="36" t="s">
        <v>48</v>
      </c>
      <c r="R15582" s="36" t="s">
        <v>48</v>
      </c>
    </row>
    <row r="15583">
      <c r="H15583" s="50"/>
      <c r="I15583" s="50"/>
      <c r="O15583" s="36" t="s">
        <v>48</v>
      </c>
      <c r="R15583" s="36" t="s">
        <v>48</v>
      </c>
    </row>
    <row r="15584">
      <c r="H15584" s="50"/>
      <c r="I15584" s="50"/>
      <c r="O15584" s="36" t="s">
        <v>48</v>
      </c>
      <c r="R15584" s="36" t="s">
        <v>48</v>
      </c>
    </row>
    <row r="15585">
      <c r="H15585" s="50"/>
      <c r="I15585" s="50"/>
      <c r="O15585" s="36" t="s">
        <v>48</v>
      </c>
      <c r="R15585" s="36" t="s">
        <v>48</v>
      </c>
    </row>
    <row r="15586">
      <c r="H15586" s="50"/>
      <c r="I15586" s="50"/>
      <c r="O15586" s="36" t="s">
        <v>48</v>
      </c>
      <c r="R15586" s="36" t="s">
        <v>48</v>
      </c>
    </row>
    <row r="15587">
      <c r="H15587" s="50"/>
      <c r="I15587" s="50"/>
      <c r="O15587" s="36" t="s">
        <v>48</v>
      </c>
      <c r="R15587" s="36" t="s">
        <v>48</v>
      </c>
    </row>
    <row r="15588">
      <c r="H15588" s="50"/>
      <c r="I15588" s="50"/>
      <c r="O15588" s="36" t="s">
        <v>48</v>
      </c>
      <c r="R15588" s="36" t="s">
        <v>48</v>
      </c>
    </row>
    <row r="15589">
      <c r="H15589" s="50"/>
      <c r="I15589" s="50"/>
      <c r="O15589" s="36" t="s">
        <v>48</v>
      </c>
      <c r="R15589" s="36" t="s">
        <v>48</v>
      </c>
    </row>
    <row r="15590">
      <c r="H15590" s="50"/>
      <c r="I15590" s="50"/>
      <c r="O15590" s="36" t="s">
        <v>48</v>
      </c>
      <c r="R15590" s="36" t="s">
        <v>48</v>
      </c>
    </row>
    <row r="15591">
      <c r="H15591" s="50"/>
      <c r="I15591" s="50"/>
      <c r="O15591" s="36" t="s">
        <v>48</v>
      </c>
      <c r="R15591" s="36" t="s">
        <v>48</v>
      </c>
    </row>
    <row r="15592">
      <c r="H15592" s="50"/>
      <c r="I15592" s="50"/>
      <c r="O15592" s="36" t="s">
        <v>48</v>
      </c>
      <c r="R15592" s="36" t="s">
        <v>48</v>
      </c>
    </row>
    <row r="15593">
      <c r="H15593" s="50"/>
      <c r="I15593" s="50"/>
      <c r="O15593" s="36" t="s">
        <v>48</v>
      </c>
      <c r="R15593" s="36" t="s">
        <v>48</v>
      </c>
    </row>
    <row r="15594">
      <c r="H15594" s="50"/>
      <c r="I15594" s="50"/>
      <c r="O15594" s="36" t="s">
        <v>48</v>
      </c>
      <c r="R15594" s="36" t="s">
        <v>48</v>
      </c>
    </row>
    <row r="15595">
      <c r="H15595" s="50"/>
      <c r="I15595" s="50"/>
      <c r="O15595" s="36" t="s">
        <v>48</v>
      </c>
      <c r="R15595" s="36" t="s">
        <v>48</v>
      </c>
    </row>
    <row r="15596">
      <c r="H15596" s="50"/>
      <c r="I15596" s="50"/>
      <c r="O15596" s="36" t="s">
        <v>48</v>
      </c>
      <c r="R15596" s="36" t="s">
        <v>48</v>
      </c>
    </row>
    <row r="15597">
      <c r="H15597" s="50"/>
      <c r="I15597" s="50"/>
      <c r="O15597" s="36" t="s">
        <v>48</v>
      </c>
      <c r="R15597" s="36" t="s">
        <v>48</v>
      </c>
    </row>
    <row r="15598">
      <c r="H15598" s="50"/>
      <c r="I15598" s="50"/>
      <c r="O15598" s="36" t="s">
        <v>48</v>
      </c>
      <c r="R15598" s="36" t="s">
        <v>48</v>
      </c>
    </row>
    <row r="15599">
      <c r="H15599" s="50"/>
      <c r="I15599" s="50"/>
      <c r="O15599" s="36" t="s">
        <v>48</v>
      </c>
      <c r="R15599" s="36" t="s">
        <v>48</v>
      </c>
    </row>
    <row r="15600">
      <c r="H15600" s="50"/>
      <c r="I15600" s="50"/>
      <c r="O15600" s="36" t="s">
        <v>48</v>
      </c>
      <c r="R15600" s="36" t="s">
        <v>48</v>
      </c>
    </row>
    <row r="15601">
      <c r="H15601" s="50"/>
      <c r="I15601" s="50"/>
      <c r="O15601" s="36" t="s">
        <v>48</v>
      </c>
      <c r="R15601" s="36" t="s">
        <v>48</v>
      </c>
    </row>
    <row r="15602">
      <c r="H15602" s="50"/>
      <c r="I15602" s="50"/>
      <c r="O15602" s="36" t="s">
        <v>48</v>
      </c>
      <c r="R15602" s="36" t="s">
        <v>48</v>
      </c>
    </row>
    <row r="15603">
      <c r="H15603" s="50"/>
      <c r="I15603" s="50"/>
      <c r="O15603" s="36" t="s">
        <v>48</v>
      </c>
      <c r="R15603" s="36" t="s">
        <v>48</v>
      </c>
    </row>
    <row r="15604">
      <c r="H15604" s="50"/>
      <c r="I15604" s="50"/>
      <c r="O15604" s="36" t="s">
        <v>48</v>
      </c>
      <c r="R15604" s="36" t="s">
        <v>48</v>
      </c>
    </row>
    <row r="15605">
      <c r="H15605" s="50"/>
      <c r="I15605" s="50"/>
      <c r="O15605" s="36" t="s">
        <v>48</v>
      </c>
      <c r="R15605" s="36" t="s">
        <v>48</v>
      </c>
    </row>
    <row r="15606">
      <c r="H15606" s="50"/>
      <c r="I15606" s="50"/>
      <c r="O15606" s="36" t="s">
        <v>48</v>
      </c>
      <c r="R15606" s="36" t="s">
        <v>48</v>
      </c>
    </row>
    <row r="15607">
      <c r="H15607" s="50"/>
      <c r="I15607" s="50"/>
      <c r="O15607" s="36" t="s">
        <v>48</v>
      </c>
      <c r="R15607" s="36" t="s">
        <v>48</v>
      </c>
    </row>
    <row r="15608">
      <c r="H15608" s="50"/>
      <c r="I15608" s="50"/>
      <c r="O15608" s="36" t="s">
        <v>48</v>
      </c>
      <c r="R15608" s="36" t="s">
        <v>48</v>
      </c>
    </row>
    <row r="15609">
      <c r="H15609" s="50"/>
      <c r="I15609" s="50"/>
      <c r="O15609" s="36" t="s">
        <v>48</v>
      </c>
      <c r="R15609" s="36" t="s">
        <v>48</v>
      </c>
    </row>
    <row r="15610">
      <c r="H15610" s="50"/>
      <c r="I15610" s="50"/>
      <c r="O15610" s="36" t="s">
        <v>48</v>
      </c>
      <c r="R15610" s="36" t="s">
        <v>48</v>
      </c>
    </row>
    <row r="15611">
      <c r="H15611" s="50"/>
      <c r="I15611" s="50"/>
      <c r="O15611" s="36" t="s">
        <v>48</v>
      </c>
      <c r="R15611" s="36" t="s">
        <v>48</v>
      </c>
    </row>
    <row r="15612">
      <c r="H15612" s="50"/>
      <c r="I15612" s="50"/>
      <c r="O15612" s="36" t="s">
        <v>48</v>
      </c>
      <c r="R15612" s="36" t="s">
        <v>48</v>
      </c>
    </row>
    <row r="15613">
      <c r="H15613" s="50"/>
      <c r="I15613" s="50"/>
      <c r="O15613" s="36" t="s">
        <v>48</v>
      </c>
      <c r="R15613" s="36" t="s">
        <v>48</v>
      </c>
    </row>
    <row r="15614">
      <c r="H15614" s="50"/>
      <c r="I15614" s="50"/>
      <c r="O15614" s="36" t="s">
        <v>48</v>
      </c>
      <c r="R15614" s="36" t="s">
        <v>48</v>
      </c>
    </row>
    <row r="15615">
      <c r="H15615" s="50"/>
      <c r="I15615" s="50"/>
      <c r="O15615" s="36" t="s">
        <v>48</v>
      </c>
      <c r="R15615" s="36" t="s">
        <v>48</v>
      </c>
    </row>
    <row r="15616">
      <c r="H15616" s="50"/>
      <c r="I15616" s="50"/>
      <c r="O15616" s="36" t="s">
        <v>48</v>
      </c>
      <c r="R15616" s="36" t="s">
        <v>48</v>
      </c>
    </row>
    <row r="15617">
      <c r="H15617" s="50"/>
      <c r="I15617" s="50"/>
      <c r="O15617" s="36" t="s">
        <v>48</v>
      </c>
      <c r="R15617" s="36" t="s">
        <v>48</v>
      </c>
    </row>
    <row r="15618">
      <c r="H15618" s="50"/>
      <c r="I15618" s="50"/>
      <c r="O15618" s="36" t="s">
        <v>48</v>
      </c>
      <c r="R15618" s="36" t="s">
        <v>48</v>
      </c>
    </row>
    <row r="15619">
      <c r="H15619" s="50"/>
      <c r="I15619" s="50"/>
      <c r="O15619" s="36" t="s">
        <v>48</v>
      </c>
      <c r="R15619" s="36" t="s">
        <v>48</v>
      </c>
    </row>
    <row r="15620">
      <c r="H15620" s="50"/>
      <c r="I15620" s="50"/>
      <c r="O15620" s="36" t="s">
        <v>48</v>
      </c>
      <c r="R15620" s="36" t="s">
        <v>48</v>
      </c>
    </row>
    <row r="15621">
      <c r="H15621" s="50"/>
      <c r="I15621" s="50"/>
      <c r="O15621" s="36" t="s">
        <v>48</v>
      </c>
      <c r="R15621" s="36" t="s">
        <v>48</v>
      </c>
    </row>
    <row r="15622">
      <c r="H15622" s="50"/>
      <c r="I15622" s="50"/>
      <c r="O15622" s="36" t="s">
        <v>48</v>
      </c>
      <c r="R15622" s="36" t="s">
        <v>48</v>
      </c>
    </row>
    <row r="15623">
      <c r="H15623" s="50"/>
      <c r="I15623" s="50"/>
      <c r="O15623" s="36" t="s">
        <v>48</v>
      </c>
      <c r="R15623" s="36" t="s">
        <v>48</v>
      </c>
    </row>
    <row r="15624">
      <c r="H15624" s="50"/>
      <c r="I15624" s="50"/>
      <c r="O15624" s="36" t="s">
        <v>48</v>
      </c>
      <c r="R15624" s="36" t="s">
        <v>48</v>
      </c>
    </row>
    <row r="15625">
      <c r="H15625" s="50"/>
      <c r="I15625" s="50"/>
      <c r="O15625" s="36" t="s">
        <v>48</v>
      </c>
      <c r="R15625" s="36" t="s">
        <v>48</v>
      </c>
    </row>
    <row r="15626">
      <c r="H15626" s="50"/>
      <c r="I15626" s="50"/>
      <c r="O15626" s="36" t="s">
        <v>48</v>
      </c>
      <c r="R15626" s="36" t="s">
        <v>48</v>
      </c>
    </row>
    <row r="15627">
      <c r="H15627" s="50"/>
      <c r="I15627" s="50"/>
      <c r="O15627" s="36" t="s">
        <v>48</v>
      </c>
      <c r="R15627" s="36" t="s">
        <v>48</v>
      </c>
    </row>
    <row r="15628">
      <c r="H15628" s="50"/>
      <c r="I15628" s="50"/>
      <c r="O15628" s="36" t="s">
        <v>48</v>
      </c>
      <c r="R15628" s="36" t="s">
        <v>48</v>
      </c>
    </row>
    <row r="15629">
      <c r="H15629" s="50"/>
      <c r="I15629" s="50"/>
      <c r="O15629" s="36" t="s">
        <v>48</v>
      </c>
      <c r="R15629" s="36" t="s">
        <v>48</v>
      </c>
    </row>
    <row r="15630">
      <c r="H15630" s="50"/>
      <c r="I15630" s="50"/>
      <c r="O15630" s="36" t="s">
        <v>48</v>
      </c>
      <c r="R15630" s="36" t="s">
        <v>48</v>
      </c>
    </row>
    <row r="15631">
      <c r="H15631" s="50"/>
      <c r="I15631" s="50"/>
      <c r="O15631" s="36" t="s">
        <v>48</v>
      </c>
      <c r="R15631" s="36" t="s">
        <v>48</v>
      </c>
    </row>
    <row r="15632">
      <c r="H15632" s="50"/>
      <c r="I15632" s="50"/>
      <c r="O15632" s="36" t="s">
        <v>48</v>
      </c>
      <c r="R15632" s="36" t="s">
        <v>48</v>
      </c>
    </row>
    <row r="15633">
      <c r="H15633" s="50"/>
      <c r="I15633" s="50"/>
      <c r="O15633" s="36" t="s">
        <v>48</v>
      </c>
      <c r="R15633" s="36" t="s">
        <v>48</v>
      </c>
    </row>
    <row r="15634">
      <c r="H15634" s="50"/>
      <c r="I15634" s="50"/>
      <c r="O15634" s="36" t="s">
        <v>48</v>
      </c>
      <c r="R15634" s="36" t="s">
        <v>48</v>
      </c>
    </row>
    <row r="15635">
      <c r="H15635" s="50"/>
      <c r="I15635" s="50"/>
      <c r="O15635" s="36" t="s">
        <v>48</v>
      </c>
      <c r="R15635" s="36" t="s">
        <v>48</v>
      </c>
    </row>
    <row r="15636">
      <c r="H15636" s="50"/>
      <c r="I15636" s="50"/>
      <c r="O15636" s="36" t="s">
        <v>48</v>
      </c>
      <c r="R15636" s="36" t="s">
        <v>48</v>
      </c>
    </row>
    <row r="15637">
      <c r="H15637" s="50"/>
      <c r="I15637" s="50"/>
      <c r="O15637" s="36" t="s">
        <v>48</v>
      </c>
      <c r="R15637" s="36" t="s">
        <v>48</v>
      </c>
    </row>
    <row r="15638">
      <c r="H15638" s="50"/>
      <c r="I15638" s="50"/>
      <c r="O15638" s="36" t="s">
        <v>48</v>
      </c>
      <c r="R15638" s="36" t="s">
        <v>48</v>
      </c>
    </row>
    <row r="15639">
      <c r="H15639" s="50"/>
      <c r="I15639" s="50"/>
      <c r="O15639" s="36" t="s">
        <v>48</v>
      </c>
      <c r="R15639" s="36" t="s">
        <v>48</v>
      </c>
    </row>
    <row r="15640">
      <c r="H15640" s="50"/>
      <c r="I15640" s="50"/>
      <c r="O15640" s="36" t="s">
        <v>48</v>
      </c>
      <c r="R15640" s="36" t="s">
        <v>48</v>
      </c>
    </row>
    <row r="15641">
      <c r="H15641" s="50"/>
      <c r="I15641" s="50"/>
      <c r="O15641" s="36" t="s">
        <v>48</v>
      </c>
      <c r="R15641" s="36" t="s">
        <v>48</v>
      </c>
    </row>
    <row r="15642">
      <c r="H15642" s="50"/>
      <c r="I15642" s="50"/>
      <c r="O15642" s="36" t="s">
        <v>48</v>
      </c>
      <c r="R15642" s="36" t="s">
        <v>48</v>
      </c>
    </row>
    <row r="15643">
      <c r="H15643" s="50"/>
      <c r="I15643" s="50"/>
      <c r="O15643" s="36" t="s">
        <v>48</v>
      </c>
      <c r="R15643" s="36" t="s">
        <v>48</v>
      </c>
    </row>
    <row r="15644">
      <c r="H15644" s="50"/>
      <c r="I15644" s="50"/>
      <c r="O15644" s="36" t="s">
        <v>48</v>
      </c>
      <c r="R15644" s="36" t="s">
        <v>48</v>
      </c>
    </row>
    <row r="15645">
      <c r="H15645" s="50"/>
      <c r="I15645" s="50"/>
      <c r="O15645" s="36" t="s">
        <v>48</v>
      </c>
      <c r="R15645" s="36" t="s">
        <v>48</v>
      </c>
    </row>
    <row r="15646">
      <c r="H15646" s="50"/>
      <c r="I15646" s="50"/>
      <c r="O15646" s="36" t="s">
        <v>48</v>
      </c>
      <c r="R15646" s="36" t="s">
        <v>48</v>
      </c>
    </row>
    <row r="15647">
      <c r="H15647" s="50"/>
      <c r="I15647" s="50"/>
      <c r="O15647" s="36" t="s">
        <v>48</v>
      </c>
      <c r="R15647" s="36" t="s">
        <v>48</v>
      </c>
    </row>
    <row r="15648">
      <c r="H15648" s="50"/>
      <c r="I15648" s="50"/>
      <c r="O15648" s="36" t="s">
        <v>48</v>
      </c>
      <c r="R15648" s="36" t="s">
        <v>48</v>
      </c>
    </row>
    <row r="15649">
      <c r="H15649" s="50"/>
      <c r="I15649" s="50"/>
      <c r="O15649" s="36" t="s">
        <v>48</v>
      </c>
      <c r="R15649" s="36" t="s">
        <v>48</v>
      </c>
    </row>
    <row r="15650">
      <c r="H15650" s="50"/>
      <c r="I15650" s="50"/>
      <c r="O15650" s="36" t="s">
        <v>48</v>
      </c>
      <c r="R15650" s="36" t="s">
        <v>48</v>
      </c>
    </row>
    <row r="15651">
      <c r="H15651" s="50"/>
      <c r="I15651" s="50"/>
      <c r="O15651" s="36" t="s">
        <v>48</v>
      </c>
      <c r="R15651" s="36" t="s">
        <v>48</v>
      </c>
    </row>
    <row r="15652">
      <c r="H15652" s="50"/>
      <c r="I15652" s="50"/>
      <c r="O15652" s="36" t="s">
        <v>48</v>
      </c>
      <c r="R15652" s="36" t="s">
        <v>48</v>
      </c>
    </row>
    <row r="15653">
      <c r="H15653" s="50"/>
      <c r="I15653" s="50"/>
      <c r="O15653" s="36" t="s">
        <v>48</v>
      </c>
      <c r="R15653" s="36" t="s">
        <v>48</v>
      </c>
    </row>
    <row r="15654">
      <c r="H15654" s="50"/>
      <c r="I15654" s="50"/>
      <c r="O15654" s="36" t="s">
        <v>48</v>
      </c>
      <c r="R15654" s="36" t="s">
        <v>48</v>
      </c>
    </row>
    <row r="15655">
      <c r="H15655" s="50"/>
      <c r="I15655" s="50"/>
      <c r="O15655" s="36" t="s">
        <v>48</v>
      </c>
      <c r="R15655" s="36" t="s">
        <v>48</v>
      </c>
    </row>
    <row r="15656">
      <c r="H15656" s="50"/>
      <c r="I15656" s="50"/>
      <c r="O15656" s="36" t="s">
        <v>48</v>
      </c>
      <c r="R15656" s="36" t="s">
        <v>48</v>
      </c>
    </row>
    <row r="15657">
      <c r="H15657" s="50"/>
      <c r="I15657" s="50"/>
      <c r="O15657" s="36" t="s">
        <v>48</v>
      </c>
      <c r="R15657" s="36" t="s">
        <v>48</v>
      </c>
    </row>
    <row r="15658">
      <c r="H15658" s="50"/>
      <c r="I15658" s="50"/>
      <c r="O15658" s="36" t="s">
        <v>48</v>
      </c>
      <c r="R15658" s="36" t="s">
        <v>48</v>
      </c>
    </row>
    <row r="15659">
      <c r="H15659" s="50"/>
      <c r="I15659" s="50"/>
      <c r="O15659" s="36" t="s">
        <v>48</v>
      </c>
      <c r="R15659" s="36" t="s">
        <v>48</v>
      </c>
    </row>
    <row r="15660">
      <c r="H15660" s="50"/>
      <c r="I15660" s="50"/>
      <c r="O15660" s="36" t="s">
        <v>48</v>
      </c>
      <c r="R15660" s="36" t="s">
        <v>48</v>
      </c>
    </row>
    <row r="15661">
      <c r="H15661" s="50"/>
      <c r="I15661" s="50"/>
      <c r="O15661" s="36" t="s">
        <v>48</v>
      </c>
      <c r="R15661" s="36" t="s">
        <v>48</v>
      </c>
    </row>
    <row r="15662">
      <c r="H15662" s="50"/>
      <c r="I15662" s="50"/>
      <c r="O15662" s="36" t="s">
        <v>48</v>
      </c>
      <c r="R15662" s="36" t="s">
        <v>48</v>
      </c>
    </row>
    <row r="15663">
      <c r="H15663" s="50"/>
      <c r="I15663" s="50"/>
      <c r="O15663" s="36" t="s">
        <v>48</v>
      </c>
      <c r="R15663" s="36" t="s">
        <v>48</v>
      </c>
    </row>
    <row r="15664">
      <c r="H15664" s="50"/>
      <c r="I15664" s="50"/>
      <c r="O15664" s="36" t="s">
        <v>48</v>
      </c>
      <c r="R15664" s="36" t="s">
        <v>48</v>
      </c>
    </row>
    <row r="15665">
      <c r="H15665" s="50"/>
      <c r="I15665" s="50"/>
      <c r="O15665" s="36" t="s">
        <v>48</v>
      </c>
      <c r="R15665" s="36" t="s">
        <v>48</v>
      </c>
    </row>
    <row r="15666">
      <c r="H15666" s="50"/>
      <c r="I15666" s="50"/>
      <c r="O15666" s="36" t="s">
        <v>48</v>
      </c>
      <c r="R15666" s="36" t="s">
        <v>48</v>
      </c>
    </row>
    <row r="15667">
      <c r="H15667" s="50"/>
      <c r="I15667" s="50"/>
      <c r="O15667" s="36" t="s">
        <v>48</v>
      </c>
      <c r="R15667" s="36" t="s">
        <v>48</v>
      </c>
    </row>
    <row r="15668">
      <c r="H15668" s="50"/>
      <c r="I15668" s="50"/>
      <c r="O15668" s="36" t="s">
        <v>48</v>
      </c>
      <c r="R15668" s="36" t="s">
        <v>48</v>
      </c>
    </row>
    <row r="15669">
      <c r="H15669" s="50"/>
      <c r="I15669" s="50"/>
      <c r="O15669" s="36" t="s">
        <v>48</v>
      </c>
      <c r="R15669" s="36" t="s">
        <v>48</v>
      </c>
    </row>
    <row r="15670">
      <c r="H15670" s="50"/>
      <c r="I15670" s="50"/>
      <c r="O15670" s="36" t="s">
        <v>48</v>
      </c>
      <c r="R15670" s="36" t="s">
        <v>48</v>
      </c>
    </row>
    <row r="15671">
      <c r="H15671" s="50"/>
      <c r="I15671" s="50"/>
      <c r="O15671" s="36" t="s">
        <v>48</v>
      </c>
      <c r="R15671" s="36" t="s">
        <v>48</v>
      </c>
    </row>
    <row r="15672">
      <c r="H15672" s="50"/>
      <c r="I15672" s="50"/>
      <c r="O15672" s="36" t="s">
        <v>48</v>
      </c>
      <c r="R15672" s="36" t="s">
        <v>48</v>
      </c>
    </row>
    <row r="15673">
      <c r="H15673" s="50"/>
      <c r="I15673" s="50"/>
      <c r="O15673" s="36" t="s">
        <v>48</v>
      </c>
      <c r="R15673" s="36" t="s">
        <v>48</v>
      </c>
    </row>
    <row r="15674">
      <c r="H15674" s="50"/>
      <c r="I15674" s="50"/>
      <c r="O15674" s="36" t="s">
        <v>48</v>
      </c>
      <c r="R15674" s="36" t="s">
        <v>48</v>
      </c>
    </row>
    <row r="15675">
      <c r="H15675" s="50"/>
      <c r="I15675" s="50"/>
      <c r="O15675" s="36" t="s">
        <v>48</v>
      </c>
      <c r="R15675" s="36" t="s">
        <v>48</v>
      </c>
    </row>
    <row r="15676">
      <c r="H15676" s="50"/>
      <c r="I15676" s="50"/>
      <c r="O15676" s="36" t="s">
        <v>48</v>
      </c>
      <c r="R15676" s="36" t="s">
        <v>48</v>
      </c>
    </row>
    <row r="15677">
      <c r="H15677" s="50"/>
      <c r="I15677" s="50"/>
      <c r="O15677" s="36" t="s">
        <v>48</v>
      </c>
      <c r="R15677" s="36" t="s">
        <v>48</v>
      </c>
    </row>
    <row r="15678">
      <c r="H15678" s="50"/>
      <c r="I15678" s="50"/>
      <c r="O15678" s="36" t="s">
        <v>48</v>
      </c>
      <c r="R15678" s="36" t="s">
        <v>48</v>
      </c>
    </row>
    <row r="15679">
      <c r="H15679" s="50"/>
      <c r="I15679" s="50"/>
      <c r="O15679" s="36" t="s">
        <v>48</v>
      </c>
      <c r="R15679" s="36" t="s">
        <v>48</v>
      </c>
    </row>
    <row r="15680">
      <c r="H15680" s="50"/>
      <c r="I15680" s="50"/>
      <c r="O15680" s="36" t="s">
        <v>48</v>
      </c>
      <c r="R15680" s="36" t="s">
        <v>48</v>
      </c>
    </row>
    <row r="15681">
      <c r="H15681" s="50"/>
      <c r="I15681" s="50"/>
      <c r="O15681" s="36" t="s">
        <v>48</v>
      </c>
      <c r="R15681" s="36" t="s">
        <v>48</v>
      </c>
    </row>
    <row r="15682">
      <c r="H15682" s="50"/>
      <c r="I15682" s="50"/>
      <c r="O15682" s="36" t="s">
        <v>48</v>
      </c>
      <c r="R15682" s="36" t="s">
        <v>48</v>
      </c>
    </row>
    <row r="15683">
      <c r="H15683" s="50"/>
      <c r="I15683" s="50"/>
      <c r="O15683" s="36" t="s">
        <v>48</v>
      </c>
      <c r="R15683" s="36" t="s">
        <v>48</v>
      </c>
    </row>
    <row r="15684">
      <c r="H15684" s="50"/>
      <c r="I15684" s="50"/>
      <c r="O15684" s="36" t="s">
        <v>48</v>
      </c>
      <c r="R15684" s="36" t="s">
        <v>48</v>
      </c>
    </row>
    <row r="15685">
      <c r="H15685" s="50"/>
      <c r="I15685" s="50"/>
      <c r="O15685" s="36" t="s">
        <v>48</v>
      </c>
      <c r="R15685" s="36" t="s">
        <v>48</v>
      </c>
    </row>
    <row r="15686">
      <c r="H15686" s="50"/>
      <c r="I15686" s="50"/>
      <c r="O15686" s="36" t="s">
        <v>48</v>
      </c>
      <c r="R15686" s="36" t="s">
        <v>48</v>
      </c>
    </row>
    <row r="15687">
      <c r="H15687" s="50"/>
      <c r="I15687" s="50"/>
      <c r="O15687" s="36" t="s">
        <v>48</v>
      </c>
      <c r="R15687" s="36" t="s">
        <v>48</v>
      </c>
    </row>
    <row r="15688">
      <c r="H15688" s="50"/>
      <c r="I15688" s="50"/>
      <c r="O15688" s="36" t="s">
        <v>48</v>
      </c>
      <c r="R15688" s="36" t="s">
        <v>48</v>
      </c>
    </row>
    <row r="15689">
      <c r="H15689" s="50"/>
      <c r="I15689" s="50"/>
      <c r="O15689" s="36" t="s">
        <v>48</v>
      </c>
      <c r="R15689" s="36" t="s">
        <v>48</v>
      </c>
    </row>
    <row r="15690">
      <c r="H15690" s="50"/>
      <c r="I15690" s="50"/>
      <c r="O15690" s="36" t="s">
        <v>48</v>
      </c>
      <c r="R15690" s="36" t="s">
        <v>48</v>
      </c>
    </row>
    <row r="15691">
      <c r="H15691" s="50"/>
      <c r="I15691" s="50"/>
      <c r="O15691" s="36" t="s">
        <v>48</v>
      </c>
      <c r="R15691" s="36" t="s">
        <v>48</v>
      </c>
    </row>
    <row r="15692">
      <c r="H15692" s="50"/>
      <c r="I15692" s="50"/>
      <c r="O15692" s="36" t="s">
        <v>48</v>
      </c>
      <c r="R15692" s="36" t="s">
        <v>48</v>
      </c>
    </row>
    <row r="15693">
      <c r="H15693" s="50"/>
      <c r="I15693" s="50"/>
      <c r="O15693" s="36" t="s">
        <v>48</v>
      </c>
      <c r="R15693" s="36" t="s">
        <v>48</v>
      </c>
    </row>
    <row r="15694">
      <c r="H15694" s="50"/>
      <c r="I15694" s="50"/>
      <c r="O15694" s="36" t="s">
        <v>48</v>
      </c>
      <c r="R15694" s="36" t="s">
        <v>48</v>
      </c>
    </row>
    <row r="15695">
      <c r="H15695" s="50"/>
      <c r="I15695" s="50"/>
      <c r="O15695" s="36" t="s">
        <v>48</v>
      </c>
      <c r="R15695" s="36" t="s">
        <v>48</v>
      </c>
    </row>
    <row r="15696">
      <c r="H15696" s="50"/>
      <c r="I15696" s="50"/>
      <c r="O15696" s="36" t="s">
        <v>48</v>
      </c>
      <c r="R15696" s="36" t="s">
        <v>48</v>
      </c>
    </row>
    <row r="15697">
      <c r="H15697" s="50"/>
      <c r="I15697" s="50"/>
      <c r="O15697" s="36" t="s">
        <v>48</v>
      </c>
      <c r="R15697" s="36" t="s">
        <v>48</v>
      </c>
    </row>
    <row r="15698">
      <c r="H15698" s="50"/>
      <c r="I15698" s="50"/>
      <c r="O15698" s="36" t="s">
        <v>48</v>
      </c>
      <c r="R15698" s="36" t="s">
        <v>48</v>
      </c>
    </row>
    <row r="15699">
      <c r="H15699" s="50"/>
      <c r="I15699" s="50"/>
      <c r="O15699" s="36" t="s">
        <v>48</v>
      </c>
      <c r="R15699" s="36" t="s">
        <v>48</v>
      </c>
    </row>
    <row r="15700">
      <c r="H15700" s="50"/>
      <c r="I15700" s="50"/>
      <c r="O15700" s="36" t="s">
        <v>48</v>
      </c>
      <c r="R15700" s="36" t="s">
        <v>48</v>
      </c>
    </row>
    <row r="15701">
      <c r="H15701" s="50"/>
      <c r="I15701" s="50"/>
      <c r="O15701" s="36" t="s">
        <v>48</v>
      </c>
      <c r="R15701" s="36" t="s">
        <v>48</v>
      </c>
    </row>
    <row r="15702">
      <c r="H15702" s="50"/>
      <c r="I15702" s="50"/>
      <c r="O15702" s="36" t="s">
        <v>48</v>
      </c>
      <c r="R15702" s="36" t="s">
        <v>48</v>
      </c>
    </row>
    <row r="15703">
      <c r="H15703" s="50"/>
      <c r="I15703" s="50"/>
      <c r="O15703" s="36" t="s">
        <v>48</v>
      </c>
      <c r="R15703" s="36" t="s">
        <v>48</v>
      </c>
    </row>
    <row r="15704">
      <c r="H15704" s="50"/>
      <c r="I15704" s="50"/>
      <c r="O15704" s="36" t="s">
        <v>48</v>
      </c>
      <c r="R15704" s="36" t="s">
        <v>48</v>
      </c>
    </row>
    <row r="15705">
      <c r="H15705" s="50"/>
      <c r="I15705" s="50"/>
      <c r="O15705" s="36" t="s">
        <v>48</v>
      </c>
      <c r="R15705" s="36" t="s">
        <v>48</v>
      </c>
    </row>
    <row r="15706">
      <c r="H15706" s="50"/>
      <c r="I15706" s="50"/>
      <c r="O15706" s="36" t="s">
        <v>48</v>
      </c>
      <c r="R15706" s="36" t="s">
        <v>48</v>
      </c>
    </row>
    <row r="15707">
      <c r="H15707" s="50"/>
      <c r="I15707" s="50"/>
      <c r="O15707" s="36" t="s">
        <v>48</v>
      </c>
      <c r="R15707" s="36" t="s">
        <v>48</v>
      </c>
    </row>
    <row r="15708">
      <c r="H15708" s="50"/>
      <c r="I15708" s="50"/>
      <c r="O15708" s="36" t="s">
        <v>48</v>
      </c>
      <c r="R15708" s="36" t="s">
        <v>48</v>
      </c>
    </row>
    <row r="15709">
      <c r="H15709" s="50"/>
      <c r="I15709" s="50"/>
      <c r="O15709" s="36" t="s">
        <v>48</v>
      </c>
      <c r="R15709" s="36" t="s">
        <v>48</v>
      </c>
    </row>
    <row r="15710">
      <c r="H15710" s="50"/>
      <c r="I15710" s="50"/>
      <c r="O15710" s="36" t="s">
        <v>48</v>
      </c>
      <c r="R15710" s="36" t="s">
        <v>48</v>
      </c>
    </row>
    <row r="15711">
      <c r="H15711" s="50"/>
      <c r="I15711" s="50"/>
      <c r="O15711" s="36" t="s">
        <v>48</v>
      </c>
      <c r="R15711" s="36" t="s">
        <v>48</v>
      </c>
    </row>
    <row r="15712">
      <c r="H15712" s="50"/>
      <c r="I15712" s="50"/>
      <c r="O15712" s="36" t="s">
        <v>48</v>
      </c>
      <c r="R15712" s="36" t="s">
        <v>48</v>
      </c>
    </row>
    <row r="15713">
      <c r="H15713" s="50"/>
      <c r="I15713" s="50"/>
      <c r="O15713" s="36" t="s">
        <v>48</v>
      </c>
      <c r="R15713" s="36" t="s">
        <v>48</v>
      </c>
    </row>
    <row r="15714">
      <c r="H15714" s="50"/>
      <c r="I15714" s="50"/>
      <c r="O15714" s="36" t="s">
        <v>48</v>
      </c>
      <c r="R15714" s="36" t="s">
        <v>48</v>
      </c>
    </row>
    <row r="15715">
      <c r="H15715" s="50"/>
      <c r="I15715" s="50"/>
      <c r="O15715" s="36" t="s">
        <v>48</v>
      </c>
      <c r="R15715" s="36" t="s">
        <v>48</v>
      </c>
    </row>
    <row r="15716">
      <c r="H15716" s="50"/>
      <c r="I15716" s="50"/>
      <c r="O15716" s="36" t="s">
        <v>48</v>
      </c>
      <c r="R15716" s="36" t="s">
        <v>48</v>
      </c>
    </row>
    <row r="15717">
      <c r="H15717" s="50"/>
      <c r="I15717" s="50"/>
      <c r="O15717" s="36" t="s">
        <v>48</v>
      </c>
      <c r="R15717" s="36" t="s">
        <v>48</v>
      </c>
    </row>
    <row r="15718">
      <c r="H15718" s="50"/>
      <c r="I15718" s="50"/>
      <c r="O15718" s="36" t="s">
        <v>48</v>
      </c>
      <c r="R15718" s="36" t="s">
        <v>48</v>
      </c>
    </row>
    <row r="15719">
      <c r="H15719" s="50"/>
      <c r="I15719" s="50"/>
      <c r="O15719" s="36" t="s">
        <v>48</v>
      </c>
      <c r="R15719" s="36" t="s">
        <v>48</v>
      </c>
    </row>
    <row r="15720">
      <c r="H15720" s="50"/>
      <c r="I15720" s="50"/>
      <c r="O15720" s="36" t="s">
        <v>48</v>
      </c>
      <c r="R15720" s="36" t="s">
        <v>48</v>
      </c>
    </row>
    <row r="15721">
      <c r="H15721" s="50"/>
      <c r="I15721" s="50"/>
      <c r="O15721" s="36" t="s">
        <v>48</v>
      </c>
      <c r="R15721" s="36" t="s">
        <v>48</v>
      </c>
    </row>
    <row r="15722">
      <c r="H15722" s="50"/>
      <c r="I15722" s="50"/>
      <c r="O15722" s="36" t="s">
        <v>48</v>
      </c>
      <c r="R15722" s="36" t="s">
        <v>48</v>
      </c>
    </row>
    <row r="15723">
      <c r="H15723" s="50"/>
      <c r="I15723" s="50"/>
      <c r="O15723" s="36" t="s">
        <v>48</v>
      </c>
      <c r="R15723" s="36" t="s">
        <v>48</v>
      </c>
    </row>
    <row r="15724">
      <c r="H15724" s="50"/>
      <c r="I15724" s="50"/>
      <c r="O15724" s="36" t="s">
        <v>48</v>
      </c>
      <c r="R15724" s="36" t="s">
        <v>48</v>
      </c>
    </row>
    <row r="15725">
      <c r="H15725" s="50"/>
      <c r="I15725" s="50"/>
      <c r="O15725" s="36" t="s">
        <v>48</v>
      </c>
      <c r="R15725" s="36" t="s">
        <v>48</v>
      </c>
    </row>
    <row r="15726">
      <c r="H15726" s="50"/>
      <c r="I15726" s="50"/>
      <c r="O15726" s="36" t="s">
        <v>48</v>
      </c>
      <c r="R15726" s="36" t="s">
        <v>48</v>
      </c>
    </row>
    <row r="15727">
      <c r="H15727" s="50"/>
      <c r="I15727" s="50"/>
      <c r="O15727" s="36" t="s">
        <v>48</v>
      </c>
      <c r="R15727" s="36" t="s">
        <v>48</v>
      </c>
    </row>
    <row r="15728">
      <c r="H15728" s="50"/>
      <c r="I15728" s="50"/>
      <c r="O15728" s="36" t="s">
        <v>48</v>
      </c>
      <c r="R15728" s="36" t="s">
        <v>48</v>
      </c>
    </row>
    <row r="15729">
      <c r="H15729" s="50"/>
      <c r="I15729" s="50"/>
      <c r="O15729" s="36" t="s">
        <v>48</v>
      </c>
      <c r="R15729" s="36" t="s">
        <v>48</v>
      </c>
    </row>
    <row r="15730">
      <c r="H15730" s="50"/>
      <c r="I15730" s="50"/>
      <c r="O15730" s="36" t="s">
        <v>48</v>
      </c>
      <c r="R15730" s="36" t="s">
        <v>48</v>
      </c>
    </row>
    <row r="15731">
      <c r="H15731" s="50"/>
      <c r="I15731" s="50"/>
      <c r="O15731" s="36" t="s">
        <v>48</v>
      </c>
      <c r="R15731" s="36" t="s">
        <v>48</v>
      </c>
    </row>
    <row r="15732">
      <c r="H15732" s="50"/>
      <c r="I15732" s="50"/>
      <c r="O15732" s="36" t="s">
        <v>48</v>
      </c>
      <c r="R15732" s="36" t="s">
        <v>48</v>
      </c>
    </row>
    <row r="15733">
      <c r="H15733" s="50"/>
      <c r="I15733" s="50"/>
      <c r="O15733" s="36" t="s">
        <v>48</v>
      </c>
      <c r="R15733" s="36" t="s">
        <v>48</v>
      </c>
    </row>
    <row r="15734">
      <c r="H15734" s="50"/>
      <c r="I15734" s="50"/>
      <c r="O15734" s="36" t="s">
        <v>48</v>
      </c>
      <c r="R15734" s="36" t="s">
        <v>48</v>
      </c>
    </row>
    <row r="15735">
      <c r="H15735" s="50"/>
      <c r="I15735" s="50"/>
      <c r="O15735" s="36" t="s">
        <v>48</v>
      </c>
      <c r="R15735" s="36" t="s">
        <v>48</v>
      </c>
    </row>
    <row r="15736">
      <c r="H15736" s="50"/>
      <c r="I15736" s="50"/>
      <c r="O15736" s="36" t="s">
        <v>48</v>
      </c>
      <c r="R15736" s="36" t="s">
        <v>48</v>
      </c>
    </row>
    <row r="15737">
      <c r="H15737" s="50"/>
      <c r="I15737" s="50"/>
      <c r="O15737" s="36" t="s">
        <v>48</v>
      </c>
      <c r="R15737" s="36" t="s">
        <v>48</v>
      </c>
    </row>
    <row r="15738">
      <c r="H15738" s="50"/>
      <c r="I15738" s="50"/>
      <c r="O15738" s="36" t="s">
        <v>48</v>
      </c>
      <c r="R15738" s="36" t="s">
        <v>48</v>
      </c>
    </row>
    <row r="15739">
      <c r="H15739" s="50"/>
      <c r="I15739" s="50"/>
      <c r="O15739" s="36" t="s">
        <v>48</v>
      </c>
      <c r="R15739" s="36" t="s">
        <v>48</v>
      </c>
    </row>
    <row r="15740">
      <c r="H15740" s="50"/>
      <c r="I15740" s="50"/>
      <c r="O15740" s="36" t="s">
        <v>48</v>
      </c>
      <c r="R15740" s="36" t="s">
        <v>48</v>
      </c>
    </row>
    <row r="15741">
      <c r="H15741" s="50"/>
      <c r="I15741" s="50"/>
      <c r="O15741" s="36" t="s">
        <v>48</v>
      </c>
      <c r="R15741" s="36" t="s">
        <v>48</v>
      </c>
    </row>
    <row r="15742">
      <c r="H15742" s="50"/>
      <c r="I15742" s="50"/>
      <c r="O15742" s="36" t="s">
        <v>48</v>
      </c>
      <c r="R15742" s="36" t="s">
        <v>48</v>
      </c>
    </row>
    <row r="15743">
      <c r="H15743" s="50"/>
      <c r="I15743" s="50"/>
      <c r="O15743" s="36" t="s">
        <v>48</v>
      </c>
      <c r="R15743" s="36" t="s">
        <v>48</v>
      </c>
    </row>
    <row r="15744">
      <c r="H15744" s="50"/>
      <c r="I15744" s="50"/>
      <c r="O15744" s="36" t="s">
        <v>48</v>
      </c>
      <c r="R15744" s="36" t="s">
        <v>48</v>
      </c>
    </row>
    <row r="15745">
      <c r="H15745" s="50"/>
      <c r="I15745" s="50"/>
      <c r="O15745" s="36" t="s">
        <v>48</v>
      </c>
      <c r="R15745" s="36" t="s">
        <v>48</v>
      </c>
    </row>
    <row r="15746">
      <c r="H15746" s="50"/>
      <c r="I15746" s="50"/>
      <c r="O15746" s="36" t="s">
        <v>48</v>
      </c>
      <c r="R15746" s="36" t="s">
        <v>48</v>
      </c>
    </row>
    <row r="15747">
      <c r="H15747" s="50"/>
      <c r="I15747" s="50"/>
      <c r="O15747" s="36" t="s">
        <v>48</v>
      </c>
      <c r="R15747" s="36" t="s">
        <v>48</v>
      </c>
    </row>
    <row r="15748">
      <c r="H15748" s="50"/>
      <c r="I15748" s="50"/>
      <c r="O15748" s="36" t="s">
        <v>48</v>
      </c>
      <c r="R15748" s="36" t="s">
        <v>48</v>
      </c>
    </row>
    <row r="15749">
      <c r="H15749" s="50"/>
      <c r="I15749" s="50"/>
      <c r="O15749" s="36" t="s">
        <v>48</v>
      </c>
      <c r="R15749" s="36" t="s">
        <v>48</v>
      </c>
    </row>
    <row r="15750">
      <c r="H15750" s="50"/>
      <c r="I15750" s="50"/>
      <c r="O15750" s="36" t="s">
        <v>48</v>
      </c>
      <c r="R15750" s="36" t="s">
        <v>48</v>
      </c>
    </row>
    <row r="15751">
      <c r="H15751" s="50"/>
      <c r="I15751" s="50"/>
      <c r="O15751" s="36" t="s">
        <v>48</v>
      </c>
      <c r="R15751" s="36" t="s">
        <v>48</v>
      </c>
    </row>
    <row r="15752">
      <c r="H15752" s="50"/>
      <c r="I15752" s="50"/>
      <c r="O15752" s="36" t="s">
        <v>48</v>
      </c>
      <c r="R15752" s="36" t="s">
        <v>48</v>
      </c>
    </row>
    <row r="15753">
      <c r="H15753" s="50"/>
      <c r="I15753" s="50"/>
      <c r="O15753" s="36" t="s">
        <v>48</v>
      </c>
      <c r="R15753" s="36" t="s">
        <v>48</v>
      </c>
    </row>
    <row r="15754">
      <c r="H15754" s="50"/>
      <c r="I15754" s="50"/>
      <c r="O15754" s="36" t="s">
        <v>48</v>
      </c>
      <c r="R15754" s="36" t="s">
        <v>48</v>
      </c>
    </row>
    <row r="15755">
      <c r="H15755" s="50"/>
      <c r="I15755" s="50"/>
      <c r="O15755" s="36" t="s">
        <v>48</v>
      </c>
      <c r="R15755" s="36" t="s">
        <v>48</v>
      </c>
    </row>
    <row r="15756">
      <c r="H15756" s="50"/>
      <c r="I15756" s="50"/>
      <c r="O15756" s="36" t="s">
        <v>48</v>
      </c>
      <c r="R15756" s="36" t="s">
        <v>48</v>
      </c>
    </row>
    <row r="15757">
      <c r="H15757" s="50"/>
      <c r="I15757" s="50"/>
      <c r="O15757" s="36" t="s">
        <v>48</v>
      </c>
      <c r="R15757" s="36" t="s">
        <v>48</v>
      </c>
    </row>
    <row r="15758">
      <c r="H15758" s="50"/>
      <c r="I15758" s="50"/>
      <c r="O15758" s="36" t="s">
        <v>48</v>
      </c>
      <c r="R15758" s="36" t="s">
        <v>48</v>
      </c>
    </row>
    <row r="15759">
      <c r="H15759" s="50"/>
      <c r="I15759" s="50"/>
      <c r="O15759" s="36" t="s">
        <v>48</v>
      </c>
      <c r="R15759" s="36" t="s">
        <v>48</v>
      </c>
    </row>
    <row r="15760">
      <c r="H15760" s="50"/>
      <c r="I15760" s="50"/>
      <c r="O15760" s="36" t="s">
        <v>48</v>
      </c>
      <c r="R15760" s="36" t="s">
        <v>48</v>
      </c>
    </row>
    <row r="15761">
      <c r="H15761" s="50"/>
      <c r="I15761" s="50"/>
      <c r="O15761" s="36" t="s">
        <v>48</v>
      </c>
      <c r="R15761" s="36" t="s">
        <v>48</v>
      </c>
    </row>
    <row r="15762">
      <c r="H15762" s="50"/>
      <c r="I15762" s="50"/>
      <c r="O15762" s="36" t="s">
        <v>48</v>
      </c>
      <c r="R15762" s="36" t="s">
        <v>48</v>
      </c>
    </row>
    <row r="15763">
      <c r="H15763" s="50"/>
      <c r="I15763" s="50"/>
      <c r="O15763" s="36" t="s">
        <v>48</v>
      </c>
      <c r="R15763" s="36" t="s">
        <v>48</v>
      </c>
    </row>
    <row r="15764">
      <c r="H15764" s="50"/>
      <c r="I15764" s="50"/>
      <c r="O15764" s="36" t="s">
        <v>48</v>
      </c>
      <c r="R15764" s="36" t="s">
        <v>48</v>
      </c>
    </row>
    <row r="15765">
      <c r="H15765" s="50"/>
      <c r="I15765" s="50"/>
      <c r="O15765" s="36" t="s">
        <v>48</v>
      </c>
      <c r="R15765" s="36" t="s">
        <v>48</v>
      </c>
    </row>
    <row r="15766">
      <c r="H15766" s="50"/>
      <c r="I15766" s="50"/>
      <c r="O15766" s="36" t="s">
        <v>48</v>
      </c>
      <c r="R15766" s="36" t="s">
        <v>48</v>
      </c>
    </row>
    <row r="15767">
      <c r="H15767" s="50"/>
      <c r="I15767" s="50"/>
      <c r="O15767" s="36" t="s">
        <v>48</v>
      </c>
      <c r="R15767" s="36" t="s">
        <v>48</v>
      </c>
    </row>
    <row r="15768">
      <c r="H15768" s="50"/>
      <c r="I15768" s="50"/>
      <c r="O15768" s="36" t="s">
        <v>48</v>
      </c>
      <c r="R15768" s="36" t="s">
        <v>48</v>
      </c>
    </row>
    <row r="15769">
      <c r="H15769" s="50"/>
      <c r="I15769" s="50"/>
      <c r="O15769" s="36" t="s">
        <v>48</v>
      </c>
      <c r="R15769" s="36" t="s">
        <v>48</v>
      </c>
    </row>
    <row r="15770">
      <c r="H15770" s="50"/>
      <c r="I15770" s="50"/>
      <c r="O15770" s="36" t="s">
        <v>48</v>
      </c>
      <c r="R15770" s="36" t="s">
        <v>48</v>
      </c>
    </row>
    <row r="15771">
      <c r="H15771" s="50"/>
      <c r="I15771" s="50"/>
      <c r="O15771" s="36" t="s">
        <v>48</v>
      </c>
      <c r="R15771" s="36" t="s">
        <v>48</v>
      </c>
    </row>
    <row r="15772">
      <c r="H15772" s="50"/>
      <c r="I15772" s="50"/>
      <c r="O15772" s="36" t="s">
        <v>48</v>
      </c>
      <c r="R15772" s="36" t="s">
        <v>48</v>
      </c>
    </row>
    <row r="15773">
      <c r="H15773" s="50"/>
      <c r="I15773" s="50"/>
      <c r="O15773" s="36" t="s">
        <v>48</v>
      </c>
      <c r="R15773" s="36" t="s">
        <v>48</v>
      </c>
    </row>
    <row r="15774">
      <c r="H15774" s="50"/>
      <c r="I15774" s="50"/>
      <c r="O15774" s="36" t="s">
        <v>48</v>
      </c>
      <c r="R15774" s="36" t="s">
        <v>48</v>
      </c>
    </row>
    <row r="15775">
      <c r="H15775" s="50"/>
      <c r="I15775" s="50"/>
      <c r="O15775" s="36" t="s">
        <v>48</v>
      </c>
      <c r="R15775" s="36" t="s">
        <v>48</v>
      </c>
    </row>
    <row r="15776">
      <c r="H15776" s="50"/>
      <c r="I15776" s="50"/>
      <c r="O15776" s="36" t="s">
        <v>48</v>
      </c>
      <c r="R15776" s="36" t="s">
        <v>48</v>
      </c>
    </row>
    <row r="15777">
      <c r="H15777" s="50"/>
      <c r="I15777" s="50"/>
      <c r="O15777" s="36" t="s">
        <v>48</v>
      </c>
      <c r="R15777" s="36" t="s">
        <v>48</v>
      </c>
    </row>
    <row r="15778">
      <c r="H15778" s="50"/>
      <c r="I15778" s="50"/>
      <c r="O15778" s="36" t="s">
        <v>48</v>
      </c>
      <c r="R15778" s="36" t="s">
        <v>48</v>
      </c>
    </row>
    <row r="15779">
      <c r="H15779" s="50"/>
      <c r="I15779" s="50"/>
      <c r="O15779" s="36" t="s">
        <v>48</v>
      </c>
      <c r="R15779" s="36" t="s">
        <v>48</v>
      </c>
    </row>
    <row r="15780">
      <c r="H15780" s="50"/>
      <c r="I15780" s="50"/>
      <c r="O15780" s="36" t="s">
        <v>48</v>
      </c>
      <c r="R15780" s="36" t="s">
        <v>48</v>
      </c>
    </row>
    <row r="15781">
      <c r="H15781" s="50"/>
      <c r="I15781" s="50"/>
      <c r="O15781" s="36" t="s">
        <v>48</v>
      </c>
      <c r="R15781" s="36" t="s">
        <v>48</v>
      </c>
    </row>
    <row r="15782">
      <c r="H15782" s="50"/>
      <c r="I15782" s="50"/>
      <c r="O15782" s="36" t="s">
        <v>48</v>
      </c>
      <c r="R15782" s="36" t="s">
        <v>48</v>
      </c>
    </row>
    <row r="15783">
      <c r="H15783" s="50"/>
      <c r="I15783" s="50"/>
      <c r="O15783" s="36" t="s">
        <v>48</v>
      </c>
      <c r="R15783" s="36" t="s">
        <v>48</v>
      </c>
    </row>
    <row r="15784">
      <c r="H15784" s="50"/>
      <c r="I15784" s="50"/>
      <c r="O15784" s="36" t="s">
        <v>48</v>
      </c>
      <c r="R15784" s="36" t="s">
        <v>48</v>
      </c>
    </row>
    <row r="15785">
      <c r="H15785" s="50"/>
      <c r="I15785" s="50"/>
      <c r="O15785" s="36" t="s">
        <v>48</v>
      </c>
      <c r="R15785" s="36" t="s">
        <v>48</v>
      </c>
    </row>
    <row r="15786">
      <c r="H15786" s="50"/>
      <c r="I15786" s="50"/>
      <c r="O15786" s="36" t="s">
        <v>48</v>
      </c>
      <c r="R15786" s="36" t="s">
        <v>48</v>
      </c>
    </row>
    <row r="15787">
      <c r="H15787" s="50"/>
      <c r="I15787" s="50"/>
      <c r="O15787" s="36" t="s">
        <v>48</v>
      </c>
      <c r="R15787" s="36" t="s">
        <v>48</v>
      </c>
    </row>
    <row r="15788">
      <c r="H15788" s="50"/>
      <c r="I15788" s="50"/>
      <c r="O15788" s="36" t="s">
        <v>48</v>
      </c>
      <c r="R15788" s="36" t="s">
        <v>48</v>
      </c>
    </row>
    <row r="15789">
      <c r="H15789" s="50"/>
      <c r="I15789" s="50"/>
      <c r="O15789" s="36" t="s">
        <v>48</v>
      </c>
      <c r="R15789" s="36" t="s">
        <v>48</v>
      </c>
    </row>
    <row r="15790">
      <c r="H15790" s="50"/>
      <c r="I15790" s="50"/>
      <c r="O15790" s="36" t="s">
        <v>48</v>
      </c>
      <c r="R15790" s="36" t="s">
        <v>48</v>
      </c>
    </row>
    <row r="15791">
      <c r="H15791" s="50"/>
      <c r="I15791" s="50"/>
      <c r="O15791" s="36" t="s">
        <v>48</v>
      </c>
      <c r="R15791" s="36" t="s">
        <v>48</v>
      </c>
    </row>
    <row r="15792">
      <c r="H15792" s="50"/>
      <c r="I15792" s="50"/>
      <c r="O15792" s="36" t="s">
        <v>48</v>
      </c>
      <c r="R15792" s="36" t="s">
        <v>48</v>
      </c>
    </row>
    <row r="15793">
      <c r="H15793" s="50"/>
      <c r="I15793" s="50"/>
      <c r="O15793" s="36" t="s">
        <v>48</v>
      </c>
      <c r="R15793" s="36" t="s">
        <v>48</v>
      </c>
    </row>
    <row r="15794">
      <c r="H15794" s="50"/>
      <c r="I15794" s="50"/>
      <c r="O15794" s="36" t="s">
        <v>48</v>
      </c>
      <c r="R15794" s="36" t="s">
        <v>48</v>
      </c>
    </row>
    <row r="15795">
      <c r="H15795" s="50"/>
      <c r="I15795" s="50"/>
      <c r="O15795" s="36" t="s">
        <v>48</v>
      </c>
      <c r="R15795" s="36" t="s">
        <v>48</v>
      </c>
    </row>
    <row r="15796">
      <c r="H15796" s="50"/>
      <c r="I15796" s="50"/>
      <c r="O15796" s="36" t="s">
        <v>48</v>
      </c>
      <c r="R15796" s="36" t="s">
        <v>48</v>
      </c>
    </row>
    <row r="15797">
      <c r="H15797" s="50"/>
      <c r="I15797" s="50"/>
      <c r="O15797" s="36" t="s">
        <v>48</v>
      </c>
      <c r="R15797" s="36" t="s">
        <v>48</v>
      </c>
    </row>
    <row r="15798">
      <c r="H15798" s="50"/>
      <c r="I15798" s="50"/>
      <c r="O15798" s="36" t="s">
        <v>48</v>
      </c>
      <c r="R15798" s="36" t="s">
        <v>48</v>
      </c>
    </row>
    <row r="15799">
      <c r="H15799" s="50"/>
      <c r="I15799" s="50"/>
      <c r="O15799" s="36" t="s">
        <v>48</v>
      </c>
      <c r="R15799" s="36" t="s">
        <v>48</v>
      </c>
    </row>
    <row r="15800">
      <c r="H15800" s="50"/>
      <c r="I15800" s="50"/>
      <c r="O15800" s="36" t="s">
        <v>48</v>
      </c>
      <c r="R15800" s="36" t="s">
        <v>48</v>
      </c>
    </row>
    <row r="15801">
      <c r="H15801" s="50"/>
      <c r="I15801" s="50"/>
      <c r="O15801" s="36" t="s">
        <v>48</v>
      </c>
      <c r="R15801" s="36" t="s">
        <v>48</v>
      </c>
    </row>
    <row r="15802">
      <c r="H15802" s="50"/>
      <c r="I15802" s="50"/>
      <c r="O15802" s="36" t="s">
        <v>48</v>
      </c>
      <c r="R15802" s="36" t="s">
        <v>48</v>
      </c>
    </row>
    <row r="15803">
      <c r="H15803" s="50"/>
      <c r="I15803" s="50"/>
      <c r="O15803" s="36" t="s">
        <v>48</v>
      </c>
      <c r="R15803" s="36" t="s">
        <v>48</v>
      </c>
    </row>
    <row r="15804">
      <c r="H15804" s="50"/>
      <c r="I15804" s="50"/>
      <c r="O15804" s="36" t="s">
        <v>48</v>
      </c>
      <c r="R15804" s="36" t="s">
        <v>48</v>
      </c>
    </row>
    <row r="15805">
      <c r="H15805" s="50"/>
      <c r="I15805" s="50"/>
      <c r="O15805" s="36" t="s">
        <v>48</v>
      </c>
      <c r="R15805" s="36" t="s">
        <v>48</v>
      </c>
    </row>
    <row r="15806">
      <c r="H15806" s="50"/>
      <c r="I15806" s="50"/>
      <c r="O15806" s="36" t="s">
        <v>48</v>
      </c>
      <c r="R15806" s="36" t="s">
        <v>48</v>
      </c>
    </row>
    <row r="15807">
      <c r="H15807" s="50"/>
      <c r="I15807" s="50"/>
      <c r="O15807" s="36" t="s">
        <v>48</v>
      </c>
      <c r="R15807" s="36" t="s">
        <v>48</v>
      </c>
    </row>
    <row r="15808">
      <c r="H15808" s="50"/>
      <c r="I15808" s="50"/>
      <c r="O15808" s="36" t="s">
        <v>48</v>
      </c>
      <c r="R15808" s="36" t="s">
        <v>48</v>
      </c>
    </row>
    <row r="15809">
      <c r="H15809" s="50"/>
      <c r="I15809" s="50"/>
      <c r="O15809" s="36" t="s">
        <v>48</v>
      </c>
      <c r="R15809" s="36" t="s">
        <v>48</v>
      </c>
    </row>
    <row r="15810">
      <c r="H15810" s="50"/>
      <c r="I15810" s="50"/>
      <c r="O15810" s="36" t="s">
        <v>48</v>
      </c>
      <c r="R15810" s="36" t="s">
        <v>48</v>
      </c>
    </row>
    <row r="15811">
      <c r="H15811" s="50"/>
      <c r="I15811" s="50"/>
      <c r="O15811" s="36" t="s">
        <v>48</v>
      </c>
      <c r="R15811" s="36" t="s">
        <v>48</v>
      </c>
    </row>
    <row r="15812">
      <c r="H15812" s="50"/>
      <c r="I15812" s="50"/>
      <c r="O15812" s="36" t="s">
        <v>48</v>
      </c>
      <c r="R15812" s="36" t="s">
        <v>48</v>
      </c>
    </row>
    <row r="15813">
      <c r="H15813" s="50"/>
      <c r="I15813" s="50"/>
      <c r="O15813" s="36" t="s">
        <v>48</v>
      </c>
      <c r="R15813" s="36" t="s">
        <v>48</v>
      </c>
    </row>
    <row r="15814">
      <c r="H15814" s="50"/>
      <c r="I15814" s="50"/>
      <c r="O15814" s="36" t="s">
        <v>48</v>
      </c>
      <c r="R15814" s="36" t="s">
        <v>48</v>
      </c>
    </row>
    <row r="15815">
      <c r="H15815" s="50"/>
      <c r="I15815" s="50"/>
      <c r="O15815" s="36" t="s">
        <v>48</v>
      </c>
      <c r="R15815" s="36" t="s">
        <v>48</v>
      </c>
    </row>
    <row r="15816">
      <c r="H15816" s="50"/>
      <c r="I15816" s="50"/>
      <c r="O15816" s="36" t="s">
        <v>48</v>
      </c>
      <c r="R15816" s="36" t="s">
        <v>48</v>
      </c>
    </row>
    <row r="15817">
      <c r="H15817" s="50"/>
      <c r="I15817" s="50"/>
      <c r="O15817" s="36" t="s">
        <v>48</v>
      </c>
      <c r="R15817" s="36" t="s">
        <v>48</v>
      </c>
    </row>
    <row r="15818">
      <c r="H15818" s="50"/>
      <c r="I15818" s="50"/>
      <c r="O15818" s="36" t="s">
        <v>48</v>
      </c>
      <c r="R15818" s="36" t="s">
        <v>48</v>
      </c>
    </row>
    <row r="15819">
      <c r="H15819" s="50"/>
      <c r="I15819" s="50"/>
      <c r="O15819" s="36" t="s">
        <v>48</v>
      </c>
      <c r="R15819" s="36" t="s">
        <v>48</v>
      </c>
    </row>
    <row r="15820">
      <c r="H15820" s="50"/>
      <c r="I15820" s="50"/>
      <c r="O15820" s="36" t="s">
        <v>48</v>
      </c>
      <c r="R15820" s="36" t="s">
        <v>48</v>
      </c>
    </row>
    <row r="15821">
      <c r="H15821" s="50"/>
      <c r="I15821" s="50"/>
      <c r="O15821" s="36" t="s">
        <v>48</v>
      </c>
      <c r="R15821" s="36" t="s">
        <v>48</v>
      </c>
    </row>
    <row r="15822">
      <c r="H15822" s="50"/>
      <c r="I15822" s="50"/>
      <c r="O15822" s="36" t="s">
        <v>48</v>
      </c>
      <c r="R15822" s="36" t="s">
        <v>48</v>
      </c>
    </row>
    <row r="15823">
      <c r="H15823" s="50"/>
      <c r="I15823" s="50"/>
      <c r="O15823" s="36" t="s">
        <v>48</v>
      </c>
      <c r="R15823" s="36" t="s">
        <v>48</v>
      </c>
    </row>
    <row r="15824">
      <c r="H15824" s="50"/>
      <c r="I15824" s="50"/>
      <c r="O15824" s="36" t="s">
        <v>48</v>
      </c>
      <c r="R15824" s="36" t="s">
        <v>48</v>
      </c>
    </row>
    <row r="15825">
      <c r="H15825" s="50"/>
      <c r="I15825" s="50"/>
      <c r="O15825" s="36" t="s">
        <v>48</v>
      </c>
      <c r="R15825" s="36" t="s">
        <v>48</v>
      </c>
    </row>
    <row r="15826">
      <c r="H15826" s="50"/>
      <c r="I15826" s="50"/>
      <c r="O15826" s="36" t="s">
        <v>48</v>
      </c>
      <c r="R15826" s="36" t="s">
        <v>48</v>
      </c>
    </row>
    <row r="15827">
      <c r="H15827" s="50"/>
      <c r="I15827" s="50"/>
      <c r="O15827" s="36" t="s">
        <v>48</v>
      </c>
      <c r="R15827" s="36" t="s">
        <v>48</v>
      </c>
    </row>
    <row r="15828">
      <c r="H15828" s="50"/>
      <c r="I15828" s="50"/>
      <c r="O15828" s="36" t="s">
        <v>48</v>
      </c>
      <c r="R15828" s="36" t="s">
        <v>48</v>
      </c>
    </row>
    <row r="15829">
      <c r="H15829" s="50"/>
      <c r="I15829" s="50"/>
      <c r="O15829" s="36" t="s">
        <v>48</v>
      </c>
      <c r="R15829" s="36" t="s">
        <v>48</v>
      </c>
    </row>
    <row r="15830">
      <c r="H15830" s="50"/>
      <c r="I15830" s="50"/>
      <c r="O15830" s="36" t="s">
        <v>48</v>
      </c>
      <c r="R15830" s="36" t="s">
        <v>48</v>
      </c>
    </row>
    <row r="15831">
      <c r="H15831" s="50"/>
      <c r="I15831" s="50"/>
      <c r="O15831" s="36" t="s">
        <v>48</v>
      </c>
      <c r="R15831" s="36" t="s">
        <v>48</v>
      </c>
    </row>
    <row r="15832">
      <c r="H15832" s="50"/>
      <c r="I15832" s="50"/>
      <c r="O15832" s="36" t="s">
        <v>48</v>
      </c>
      <c r="R15832" s="36" t="s">
        <v>48</v>
      </c>
    </row>
    <row r="15833">
      <c r="H15833" s="50"/>
      <c r="I15833" s="50"/>
      <c r="O15833" s="36" t="s">
        <v>48</v>
      </c>
      <c r="R15833" s="36" t="s">
        <v>48</v>
      </c>
    </row>
    <row r="15834">
      <c r="H15834" s="50"/>
      <c r="I15834" s="50"/>
      <c r="O15834" s="36" t="s">
        <v>48</v>
      </c>
      <c r="R15834" s="36" t="s">
        <v>48</v>
      </c>
    </row>
    <row r="15835">
      <c r="H15835" s="50"/>
      <c r="I15835" s="50"/>
      <c r="O15835" s="36" t="s">
        <v>48</v>
      </c>
      <c r="R15835" s="36" t="s">
        <v>48</v>
      </c>
    </row>
    <row r="15836">
      <c r="H15836" s="50"/>
      <c r="I15836" s="50"/>
      <c r="O15836" s="36" t="s">
        <v>48</v>
      </c>
      <c r="R15836" s="36" t="s">
        <v>48</v>
      </c>
    </row>
    <row r="15837">
      <c r="H15837" s="50"/>
      <c r="I15837" s="50"/>
      <c r="O15837" s="36" t="s">
        <v>48</v>
      </c>
      <c r="R15837" s="36" t="s">
        <v>48</v>
      </c>
    </row>
    <row r="15838">
      <c r="H15838" s="50"/>
      <c r="I15838" s="50"/>
      <c r="O15838" s="36" t="s">
        <v>48</v>
      </c>
      <c r="R15838" s="36" t="s">
        <v>48</v>
      </c>
    </row>
    <row r="15839">
      <c r="H15839" s="50"/>
      <c r="I15839" s="50"/>
      <c r="O15839" s="36" t="s">
        <v>48</v>
      </c>
      <c r="R15839" s="36" t="s">
        <v>48</v>
      </c>
    </row>
    <row r="15840">
      <c r="H15840" s="50"/>
      <c r="I15840" s="50"/>
      <c r="O15840" s="36" t="s">
        <v>48</v>
      </c>
      <c r="R15840" s="36" t="s">
        <v>48</v>
      </c>
    </row>
    <row r="15841">
      <c r="H15841" s="50"/>
      <c r="I15841" s="50"/>
      <c r="O15841" s="36" t="s">
        <v>48</v>
      </c>
      <c r="R15841" s="36" t="s">
        <v>48</v>
      </c>
    </row>
    <row r="15842">
      <c r="H15842" s="50"/>
      <c r="I15842" s="50"/>
      <c r="O15842" s="36" t="s">
        <v>48</v>
      </c>
      <c r="R15842" s="36" t="s">
        <v>48</v>
      </c>
    </row>
    <row r="15843">
      <c r="H15843" s="50"/>
      <c r="I15843" s="50"/>
      <c r="O15843" s="36" t="s">
        <v>48</v>
      </c>
      <c r="R15843" s="36" t="s">
        <v>48</v>
      </c>
    </row>
    <row r="15844">
      <c r="H15844" s="50"/>
      <c r="I15844" s="50"/>
      <c r="O15844" s="36" t="s">
        <v>48</v>
      </c>
      <c r="R15844" s="36" t="s">
        <v>48</v>
      </c>
    </row>
    <row r="15845">
      <c r="H15845" s="50"/>
      <c r="I15845" s="50"/>
      <c r="O15845" s="36" t="s">
        <v>48</v>
      </c>
      <c r="R15845" s="36" t="s">
        <v>48</v>
      </c>
    </row>
    <row r="15846">
      <c r="H15846" s="50"/>
      <c r="I15846" s="50"/>
      <c r="O15846" s="36" t="s">
        <v>48</v>
      </c>
      <c r="R15846" s="36" t="s">
        <v>48</v>
      </c>
    </row>
    <row r="15847">
      <c r="H15847" s="50"/>
      <c r="I15847" s="50"/>
      <c r="O15847" s="36" t="s">
        <v>48</v>
      </c>
      <c r="R15847" s="36" t="s">
        <v>48</v>
      </c>
    </row>
    <row r="15848">
      <c r="H15848" s="50"/>
      <c r="I15848" s="50"/>
      <c r="O15848" s="36" t="s">
        <v>48</v>
      </c>
      <c r="R15848" s="36" t="s">
        <v>48</v>
      </c>
    </row>
    <row r="15849">
      <c r="H15849" s="50"/>
      <c r="I15849" s="50"/>
      <c r="O15849" s="36" t="s">
        <v>48</v>
      </c>
      <c r="R15849" s="36" t="s">
        <v>48</v>
      </c>
    </row>
    <row r="15850">
      <c r="H15850" s="50"/>
      <c r="I15850" s="50"/>
      <c r="O15850" s="36" t="s">
        <v>48</v>
      </c>
      <c r="R15850" s="36" t="s">
        <v>48</v>
      </c>
    </row>
    <row r="15851">
      <c r="H15851" s="50"/>
      <c r="I15851" s="50"/>
      <c r="O15851" s="36" t="s">
        <v>48</v>
      </c>
      <c r="R15851" s="36" t="s">
        <v>48</v>
      </c>
    </row>
    <row r="15852">
      <c r="H15852" s="50"/>
      <c r="I15852" s="50"/>
      <c r="O15852" s="36" t="s">
        <v>48</v>
      </c>
      <c r="R15852" s="36" t="s">
        <v>48</v>
      </c>
    </row>
    <row r="15853">
      <c r="H15853" s="50"/>
      <c r="I15853" s="50"/>
      <c r="O15853" s="36" t="s">
        <v>48</v>
      </c>
      <c r="R15853" s="36" t="s">
        <v>48</v>
      </c>
    </row>
    <row r="15854">
      <c r="H15854" s="50"/>
      <c r="I15854" s="50"/>
      <c r="O15854" s="36" t="s">
        <v>48</v>
      </c>
      <c r="R15854" s="36" t="s">
        <v>48</v>
      </c>
    </row>
    <row r="15855">
      <c r="H15855" s="50"/>
      <c r="I15855" s="50"/>
      <c r="O15855" s="36" t="s">
        <v>48</v>
      </c>
      <c r="R15855" s="36" t="s">
        <v>48</v>
      </c>
    </row>
    <row r="15856">
      <c r="H15856" s="50"/>
      <c r="I15856" s="50"/>
      <c r="O15856" s="36" t="s">
        <v>48</v>
      </c>
      <c r="R15856" s="36" t="s">
        <v>48</v>
      </c>
    </row>
    <row r="15857">
      <c r="H15857" s="50"/>
      <c r="I15857" s="50"/>
      <c r="O15857" s="36" t="s">
        <v>48</v>
      </c>
      <c r="R15857" s="36" t="s">
        <v>48</v>
      </c>
    </row>
    <row r="15858">
      <c r="H15858" s="50"/>
      <c r="I15858" s="50"/>
      <c r="O15858" s="36" t="s">
        <v>48</v>
      </c>
      <c r="R15858" s="36" t="s">
        <v>48</v>
      </c>
    </row>
    <row r="15859">
      <c r="H15859" s="50"/>
      <c r="I15859" s="50"/>
      <c r="O15859" s="36" t="s">
        <v>48</v>
      </c>
      <c r="R15859" s="36" t="s">
        <v>48</v>
      </c>
    </row>
    <row r="15860">
      <c r="H15860" s="50"/>
      <c r="I15860" s="50"/>
      <c r="O15860" s="36" t="s">
        <v>48</v>
      </c>
      <c r="R15860" s="36" t="s">
        <v>48</v>
      </c>
    </row>
    <row r="15861">
      <c r="H15861" s="50"/>
      <c r="I15861" s="50"/>
      <c r="O15861" s="36" t="s">
        <v>48</v>
      </c>
      <c r="R15861" s="36" t="s">
        <v>48</v>
      </c>
    </row>
    <row r="15862">
      <c r="H15862" s="50"/>
      <c r="I15862" s="50"/>
      <c r="O15862" s="36" t="s">
        <v>48</v>
      </c>
      <c r="R15862" s="36" t="s">
        <v>48</v>
      </c>
    </row>
    <row r="15863">
      <c r="H15863" s="50"/>
      <c r="I15863" s="50"/>
      <c r="O15863" s="36" t="s">
        <v>48</v>
      </c>
      <c r="R15863" s="36" t="s">
        <v>48</v>
      </c>
    </row>
    <row r="15864">
      <c r="H15864" s="50"/>
      <c r="I15864" s="50"/>
      <c r="O15864" s="36" t="s">
        <v>48</v>
      </c>
      <c r="R15864" s="36" t="s">
        <v>48</v>
      </c>
    </row>
    <row r="15865">
      <c r="H15865" s="50"/>
      <c r="I15865" s="50"/>
      <c r="O15865" s="36" t="s">
        <v>48</v>
      </c>
      <c r="R15865" s="36" t="s">
        <v>48</v>
      </c>
    </row>
    <row r="15866">
      <c r="H15866" s="50"/>
      <c r="I15866" s="50"/>
      <c r="O15866" s="36" t="s">
        <v>48</v>
      </c>
      <c r="R15866" s="36" t="s">
        <v>48</v>
      </c>
    </row>
    <row r="15867">
      <c r="H15867" s="50"/>
      <c r="I15867" s="50"/>
      <c r="O15867" s="36" t="s">
        <v>48</v>
      </c>
      <c r="R15867" s="36" t="s">
        <v>48</v>
      </c>
    </row>
    <row r="15868">
      <c r="H15868" s="50"/>
      <c r="I15868" s="50"/>
      <c r="O15868" s="36" t="s">
        <v>48</v>
      </c>
      <c r="R15868" s="36" t="s">
        <v>48</v>
      </c>
    </row>
    <row r="15869">
      <c r="H15869" s="50"/>
      <c r="I15869" s="50"/>
      <c r="O15869" s="36" t="s">
        <v>48</v>
      </c>
      <c r="R15869" s="36" t="s">
        <v>48</v>
      </c>
    </row>
    <row r="15870">
      <c r="H15870" s="50"/>
      <c r="I15870" s="50"/>
      <c r="O15870" s="36" t="s">
        <v>48</v>
      </c>
      <c r="R15870" s="36" t="s">
        <v>48</v>
      </c>
    </row>
    <row r="15871">
      <c r="H15871" s="50"/>
      <c r="I15871" s="50"/>
      <c r="O15871" s="36" t="s">
        <v>48</v>
      </c>
      <c r="R15871" s="36" t="s">
        <v>48</v>
      </c>
    </row>
    <row r="15872">
      <c r="H15872" s="50"/>
      <c r="I15872" s="50"/>
      <c r="O15872" s="36" t="s">
        <v>48</v>
      </c>
      <c r="R15872" s="36" t="s">
        <v>48</v>
      </c>
    </row>
    <row r="15873">
      <c r="H15873" s="50"/>
      <c r="I15873" s="50"/>
      <c r="O15873" s="36" t="s">
        <v>48</v>
      </c>
      <c r="R15873" s="36" t="s">
        <v>48</v>
      </c>
    </row>
    <row r="15874">
      <c r="H15874" s="50"/>
      <c r="I15874" s="50"/>
      <c r="O15874" s="36" t="s">
        <v>48</v>
      </c>
      <c r="R15874" s="36" t="s">
        <v>48</v>
      </c>
    </row>
    <row r="15875">
      <c r="H15875" s="50"/>
      <c r="I15875" s="50"/>
      <c r="O15875" s="36" t="s">
        <v>48</v>
      </c>
      <c r="R15875" s="36" t="s">
        <v>48</v>
      </c>
    </row>
    <row r="15876">
      <c r="H15876" s="50"/>
      <c r="I15876" s="50"/>
      <c r="O15876" s="36" t="s">
        <v>48</v>
      </c>
      <c r="R15876" s="36" t="s">
        <v>48</v>
      </c>
    </row>
    <row r="15877">
      <c r="H15877" s="50"/>
      <c r="I15877" s="50"/>
      <c r="O15877" s="36" t="s">
        <v>48</v>
      </c>
      <c r="R15877" s="36" t="s">
        <v>48</v>
      </c>
    </row>
    <row r="15878">
      <c r="H15878" s="50"/>
      <c r="I15878" s="50"/>
      <c r="O15878" s="36" t="s">
        <v>48</v>
      </c>
      <c r="R15878" s="36" t="s">
        <v>48</v>
      </c>
    </row>
    <row r="15879">
      <c r="H15879" s="50"/>
      <c r="I15879" s="50"/>
      <c r="O15879" s="36" t="s">
        <v>48</v>
      </c>
      <c r="R15879" s="36" t="s">
        <v>48</v>
      </c>
    </row>
    <row r="15880">
      <c r="H15880" s="50"/>
      <c r="I15880" s="50"/>
      <c r="O15880" s="36" t="s">
        <v>48</v>
      </c>
      <c r="R15880" s="36" t="s">
        <v>48</v>
      </c>
    </row>
    <row r="15881">
      <c r="H15881" s="50"/>
      <c r="I15881" s="50"/>
      <c r="O15881" s="36" t="s">
        <v>48</v>
      </c>
      <c r="R15881" s="36" t="s">
        <v>48</v>
      </c>
    </row>
    <row r="15882">
      <c r="H15882" s="50"/>
      <c r="I15882" s="50"/>
      <c r="O15882" s="36" t="s">
        <v>48</v>
      </c>
      <c r="R15882" s="36" t="s">
        <v>48</v>
      </c>
    </row>
    <row r="15883">
      <c r="H15883" s="50"/>
      <c r="I15883" s="50"/>
      <c r="O15883" s="36" t="s">
        <v>48</v>
      </c>
      <c r="R15883" s="36" t="s">
        <v>48</v>
      </c>
    </row>
    <row r="15884">
      <c r="H15884" s="50"/>
      <c r="I15884" s="50"/>
      <c r="O15884" s="36" t="s">
        <v>48</v>
      </c>
      <c r="R15884" s="36" t="s">
        <v>48</v>
      </c>
    </row>
    <row r="15885">
      <c r="H15885" s="50"/>
      <c r="I15885" s="50"/>
      <c r="O15885" s="36" t="s">
        <v>48</v>
      </c>
      <c r="R15885" s="36" t="s">
        <v>48</v>
      </c>
    </row>
    <row r="15886">
      <c r="H15886" s="50"/>
      <c r="I15886" s="50"/>
      <c r="O15886" s="36" t="s">
        <v>48</v>
      </c>
      <c r="R15886" s="36" t="s">
        <v>48</v>
      </c>
    </row>
    <row r="15887">
      <c r="H15887" s="50"/>
      <c r="I15887" s="50"/>
      <c r="O15887" s="36" t="s">
        <v>48</v>
      </c>
      <c r="R15887" s="36" t="s">
        <v>48</v>
      </c>
    </row>
    <row r="15888">
      <c r="H15888" s="50"/>
      <c r="I15888" s="50"/>
      <c r="O15888" s="36" t="s">
        <v>48</v>
      </c>
      <c r="R15888" s="36" t="s">
        <v>48</v>
      </c>
    </row>
    <row r="15889">
      <c r="H15889" s="50"/>
      <c r="I15889" s="50"/>
      <c r="O15889" s="36" t="s">
        <v>48</v>
      </c>
      <c r="R15889" s="36" t="s">
        <v>48</v>
      </c>
    </row>
    <row r="15890">
      <c r="H15890" s="50"/>
      <c r="I15890" s="50"/>
      <c r="O15890" s="36" t="s">
        <v>48</v>
      </c>
      <c r="R15890" s="36" t="s">
        <v>48</v>
      </c>
    </row>
    <row r="15891">
      <c r="H15891" s="50"/>
      <c r="I15891" s="50"/>
      <c r="O15891" s="36" t="s">
        <v>48</v>
      </c>
      <c r="R15891" s="36" t="s">
        <v>48</v>
      </c>
    </row>
    <row r="15892">
      <c r="H15892" s="50"/>
      <c r="I15892" s="50"/>
      <c r="O15892" s="36" t="s">
        <v>48</v>
      </c>
      <c r="R15892" s="36" t="s">
        <v>48</v>
      </c>
    </row>
    <row r="15893">
      <c r="H15893" s="50"/>
      <c r="I15893" s="50"/>
      <c r="O15893" s="36" t="s">
        <v>48</v>
      </c>
      <c r="R15893" s="36" t="s">
        <v>48</v>
      </c>
    </row>
    <row r="15894">
      <c r="H15894" s="50"/>
      <c r="I15894" s="50"/>
      <c r="O15894" s="36" t="s">
        <v>48</v>
      </c>
      <c r="R15894" s="36" t="s">
        <v>48</v>
      </c>
    </row>
    <row r="15895">
      <c r="H15895" s="50"/>
      <c r="I15895" s="50"/>
      <c r="O15895" s="36" t="s">
        <v>48</v>
      </c>
      <c r="R15895" s="36" t="s">
        <v>48</v>
      </c>
    </row>
    <row r="15896">
      <c r="H15896" s="50"/>
      <c r="I15896" s="50"/>
      <c r="O15896" s="36" t="s">
        <v>48</v>
      </c>
      <c r="R15896" s="36" t="s">
        <v>48</v>
      </c>
    </row>
    <row r="15897">
      <c r="H15897" s="50"/>
      <c r="I15897" s="50"/>
      <c r="O15897" s="36" t="s">
        <v>48</v>
      </c>
      <c r="R15897" s="36" t="s">
        <v>48</v>
      </c>
    </row>
    <row r="15898">
      <c r="H15898" s="50"/>
      <c r="I15898" s="50"/>
      <c r="O15898" s="36" t="s">
        <v>48</v>
      </c>
      <c r="R15898" s="36" t="s">
        <v>48</v>
      </c>
    </row>
    <row r="15899">
      <c r="H15899" s="50"/>
      <c r="I15899" s="50"/>
      <c r="O15899" s="36" t="s">
        <v>48</v>
      </c>
      <c r="R15899" s="36" t="s">
        <v>48</v>
      </c>
    </row>
    <row r="15900">
      <c r="H15900" s="50"/>
      <c r="I15900" s="50"/>
      <c r="O15900" s="36" t="s">
        <v>48</v>
      </c>
      <c r="R15900" s="36" t="s">
        <v>48</v>
      </c>
    </row>
    <row r="15901">
      <c r="H15901" s="50"/>
      <c r="I15901" s="50"/>
      <c r="O15901" s="36" t="s">
        <v>48</v>
      </c>
      <c r="R15901" s="36" t="s">
        <v>48</v>
      </c>
    </row>
    <row r="15902">
      <c r="H15902" s="50"/>
      <c r="I15902" s="50"/>
      <c r="O15902" s="36" t="s">
        <v>48</v>
      </c>
      <c r="R15902" s="36" t="s">
        <v>48</v>
      </c>
    </row>
    <row r="15903">
      <c r="H15903" s="50"/>
      <c r="I15903" s="50"/>
      <c r="O15903" s="36" t="s">
        <v>48</v>
      </c>
      <c r="R15903" s="36" t="s">
        <v>48</v>
      </c>
    </row>
    <row r="15904">
      <c r="H15904" s="50"/>
      <c r="I15904" s="50"/>
      <c r="O15904" s="36" t="s">
        <v>48</v>
      </c>
      <c r="R15904" s="36" t="s">
        <v>48</v>
      </c>
    </row>
    <row r="15905">
      <c r="H15905" s="50"/>
      <c r="I15905" s="50"/>
      <c r="O15905" s="36" t="s">
        <v>48</v>
      </c>
      <c r="R15905" s="36" t="s">
        <v>48</v>
      </c>
    </row>
    <row r="15906">
      <c r="H15906" s="50"/>
      <c r="I15906" s="50"/>
      <c r="O15906" s="36" t="s">
        <v>48</v>
      </c>
      <c r="R15906" s="36" t="s">
        <v>48</v>
      </c>
    </row>
    <row r="15907">
      <c r="H15907" s="50"/>
      <c r="I15907" s="50"/>
      <c r="O15907" s="36" t="s">
        <v>48</v>
      </c>
      <c r="R15907" s="36" t="s">
        <v>48</v>
      </c>
    </row>
    <row r="15908">
      <c r="H15908" s="50"/>
      <c r="I15908" s="50"/>
      <c r="O15908" s="36" t="s">
        <v>48</v>
      </c>
      <c r="R15908" s="36" t="s">
        <v>48</v>
      </c>
    </row>
    <row r="15909">
      <c r="H15909" s="50"/>
      <c r="I15909" s="50"/>
      <c r="O15909" s="36" t="s">
        <v>48</v>
      </c>
      <c r="R15909" s="36" t="s">
        <v>48</v>
      </c>
    </row>
    <row r="15910">
      <c r="H15910" s="50"/>
      <c r="I15910" s="50"/>
      <c r="O15910" s="36" t="s">
        <v>48</v>
      </c>
      <c r="R15910" s="36" t="s">
        <v>48</v>
      </c>
    </row>
    <row r="15911">
      <c r="H15911" s="50"/>
      <c r="I15911" s="50"/>
      <c r="O15911" s="36" t="s">
        <v>48</v>
      </c>
      <c r="R15911" s="36" t="s">
        <v>48</v>
      </c>
    </row>
    <row r="15912">
      <c r="H15912" s="50"/>
      <c r="I15912" s="50"/>
      <c r="O15912" s="36" t="s">
        <v>48</v>
      </c>
      <c r="R15912" s="36" t="s">
        <v>48</v>
      </c>
    </row>
    <row r="15913">
      <c r="H15913" s="50"/>
      <c r="I15913" s="50"/>
      <c r="O15913" s="36" t="s">
        <v>48</v>
      </c>
      <c r="R15913" s="36" t="s">
        <v>48</v>
      </c>
    </row>
    <row r="15914">
      <c r="H15914" s="50"/>
      <c r="I15914" s="50"/>
      <c r="O15914" s="36" t="s">
        <v>48</v>
      </c>
      <c r="R15914" s="36" t="s">
        <v>48</v>
      </c>
    </row>
    <row r="15915">
      <c r="H15915" s="50"/>
      <c r="I15915" s="50"/>
      <c r="O15915" s="36" t="s">
        <v>48</v>
      </c>
      <c r="R15915" s="36" t="s">
        <v>48</v>
      </c>
    </row>
    <row r="15916">
      <c r="H15916" s="50"/>
      <c r="I15916" s="50"/>
      <c r="O15916" s="36" t="s">
        <v>48</v>
      </c>
      <c r="R15916" s="36" t="s">
        <v>48</v>
      </c>
    </row>
    <row r="15917">
      <c r="H15917" s="50"/>
      <c r="I15917" s="50"/>
      <c r="O15917" s="36" t="s">
        <v>48</v>
      </c>
      <c r="R15917" s="36" t="s">
        <v>48</v>
      </c>
    </row>
    <row r="15918">
      <c r="H15918" s="50"/>
      <c r="I15918" s="50"/>
      <c r="O15918" s="36" t="s">
        <v>48</v>
      </c>
      <c r="R15918" s="36" t="s">
        <v>48</v>
      </c>
    </row>
    <row r="15919">
      <c r="H15919" s="50"/>
      <c r="I15919" s="50"/>
      <c r="O15919" s="36" t="s">
        <v>48</v>
      </c>
      <c r="R15919" s="36" t="s">
        <v>48</v>
      </c>
    </row>
    <row r="15920">
      <c r="H15920" s="50"/>
      <c r="I15920" s="50"/>
      <c r="O15920" s="36" t="s">
        <v>48</v>
      </c>
      <c r="R15920" s="36" t="s">
        <v>48</v>
      </c>
    </row>
    <row r="15921">
      <c r="H15921" s="50"/>
      <c r="I15921" s="50"/>
      <c r="O15921" s="36" t="s">
        <v>48</v>
      </c>
      <c r="R15921" s="36" t="s">
        <v>48</v>
      </c>
    </row>
    <row r="15922">
      <c r="H15922" s="50"/>
      <c r="I15922" s="50"/>
      <c r="O15922" s="36" t="s">
        <v>48</v>
      </c>
      <c r="R15922" s="36" t="s">
        <v>48</v>
      </c>
    </row>
    <row r="15923">
      <c r="H15923" s="50"/>
      <c r="I15923" s="50"/>
      <c r="O15923" s="36" t="s">
        <v>48</v>
      </c>
      <c r="R15923" s="36" t="s">
        <v>48</v>
      </c>
    </row>
    <row r="15924">
      <c r="H15924" s="50"/>
      <c r="I15924" s="50"/>
      <c r="O15924" s="36" t="s">
        <v>48</v>
      </c>
      <c r="R15924" s="36" t="s">
        <v>48</v>
      </c>
    </row>
    <row r="15925">
      <c r="H15925" s="50"/>
      <c r="I15925" s="50"/>
      <c r="O15925" s="36" t="s">
        <v>48</v>
      </c>
      <c r="R15925" s="36" t="s">
        <v>48</v>
      </c>
    </row>
    <row r="15926">
      <c r="H15926" s="50"/>
      <c r="I15926" s="50"/>
      <c r="O15926" s="36" t="s">
        <v>48</v>
      </c>
      <c r="R15926" s="36" t="s">
        <v>48</v>
      </c>
    </row>
    <row r="15927">
      <c r="H15927" s="50"/>
      <c r="I15927" s="50"/>
      <c r="O15927" s="36" t="s">
        <v>48</v>
      </c>
      <c r="R15927" s="36" t="s">
        <v>48</v>
      </c>
    </row>
    <row r="15928">
      <c r="H15928" s="50"/>
      <c r="I15928" s="50"/>
      <c r="O15928" s="36" t="s">
        <v>48</v>
      </c>
      <c r="R15928" s="36" t="s">
        <v>48</v>
      </c>
    </row>
    <row r="15929">
      <c r="H15929" s="50"/>
      <c r="I15929" s="50"/>
      <c r="O15929" s="36" t="s">
        <v>48</v>
      </c>
      <c r="R15929" s="36" t="s">
        <v>48</v>
      </c>
    </row>
    <row r="15930">
      <c r="H15930" s="50"/>
      <c r="I15930" s="50"/>
      <c r="O15930" s="36" t="s">
        <v>48</v>
      </c>
      <c r="R15930" s="36" t="s">
        <v>48</v>
      </c>
    </row>
    <row r="15931">
      <c r="H15931" s="50"/>
      <c r="I15931" s="50"/>
      <c r="O15931" s="36" t="s">
        <v>48</v>
      </c>
      <c r="R15931" s="36" t="s">
        <v>48</v>
      </c>
    </row>
    <row r="15932">
      <c r="H15932" s="50"/>
      <c r="I15932" s="50"/>
      <c r="O15932" s="36" t="s">
        <v>48</v>
      </c>
      <c r="R15932" s="36" t="s">
        <v>48</v>
      </c>
    </row>
    <row r="15933">
      <c r="H15933" s="50"/>
      <c r="I15933" s="50"/>
      <c r="O15933" s="36" t="s">
        <v>48</v>
      </c>
      <c r="R15933" s="36" t="s">
        <v>48</v>
      </c>
    </row>
    <row r="15934">
      <c r="H15934" s="50"/>
      <c r="I15934" s="50"/>
      <c r="O15934" s="36" t="s">
        <v>48</v>
      </c>
      <c r="R15934" s="36" t="s">
        <v>48</v>
      </c>
    </row>
    <row r="15935">
      <c r="H15935" s="50"/>
      <c r="I15935" s="50"/>
      <c r="O15935" s="36" t="s">
        <v>48</v>
      </c>
      <c r="R15935" s="36" t="s">
        <v>48</v>
      </c>
    </row>
    <row r="15936">
      <c r="H15936" s="50"/>
      <c r="I15936" s="50"/>
      <c r="O15936" s="36" t="s">
        <v>48</v>
      </c>
      <c r="R15936" s="36" t="s">
        <v>48</v>
      </c>
    </row>
    <row r="15937">
      <c r="H15937" s="50"/>
      <c r="I15937" s="50"/>
      <c r="O15937" s="36" t="s">
        <v>48</v>
      </c>
      <c r="R15937" s="36" t="s">
        <v>48</v>
      </c>
    </row>
    <row r="15938">
      <c r="H15938" s="50"/>
      <c r="I15938" s="50"/>
      <c r="O15938" s="36" t="s">
        <v>48</v>
      </c>
      <c r="R15938" s="36" t="s">
        <v>48</v>
      </c>
    </row>
    <row r="15939">
      <c r="H15939" s="50"/>
      <c r="I15939" s="50"/>
      <c r="O15939" s="36" t="s">
        <v>48</v>
      </c>
      <c r="R15939" s="36" t="s">
        <v>48</v>
      </c>
    </row>
    <row r="15940">
      <c r="H15940" s="50"/>
      <c r="I15940" s="50"/>
      <c r="O15940" s="36" t="s">
        <v>48</v>
      </c>
      <c r="R15940" s="36" t="s">
        <v>48</v>
      </c>
    </row>
    <row r="15941">
      <c r="H15941" s="50"/>
      <c r="I15941" s="50"/>
      <c r="O15941" s="36" t="s">
        <v>48</v>
      </c>
      <c r="R15941" s="36" t="s">
        <v>48</v>
      </c>
    </row>
    <row r="15942">
      <c r="H15942" s="50"/>
      <c r="I15942" s="50"/>
      <c r="O15942" s="36" t="s">
        <v>48</v>
      </c>
      <c r="R15942" s="36" t="s">
        <v>48</v>
      </c>
    </row>
    <row r="15943">
      <c r="H15943" s="50"/>
      <c r="I15943" s="50"/>
      <c r="O15943" s="36" t="s">
        <v>48</v>
      </c>
      <c r="R15943" s="36" t="s">
        <v>48</v>
      </c>
    </row>
    <row r="15944">
      <c r="H15944" s="50"/>
      <c r="I15944" s="50"/>
      <c r="O15944" s="36" t="s">
        <v>48</v>
      </c>
      <c r="R15944" s="36" t="s">
        <v>48</v>
      </c>
    </row>
    <row r="15945">
      <c r="H15945" s="50"/>
      <c r="I15945" s="50"/>
      <c r="O15945" s="36" t="s">
        <v>48</v>
      </c>
      <c r="R15945" s="36" t="s">
        <v>48</v>
      </c>
    </row>
    <row r="15946">
      <c r="H15946" s="50"/>
      <c r="I15946" s="50"/>
      <c r="O15946" s="36" t="s">
        <v>48</v>
      </c>
      <c r="R15946" s="36" t="s">
        <v>48</v>
      </c>
    </row>
    <row r="15947">
      <c r="H15947" s="50"/>
      <c r="I15947" s="50"/>
      <c r="O15947" s="36" t="s">
        <v>48</v>
      </c>
      <c r="R15947" s="36" t="s">
        <v>48</v>
      </c>
    </row>
    <row r="15948">
      <c r="H15948" s="50"/>
      <c r="I15948" s="50"/>
      <c r="O15948" s="36" t="s">
        <v>48</v>
      </c>
      <c r="R15948" s="36" t="s">
        <v>48</v>
      </c>
    </row>
    <row r="15949">
      <c r="H15949" s="50"/>
      <c r="I15949" s="50"/>
      <c r="O15949" s="36" t="s">
        <v>48</v>
      </c>
      <c r="R15949" s="36" t="s">
        <v>48</v>
      </c>
    </row>
    <row r="15950">
      <c r="H15950" s="50"/>
      <c r="I15950" s="50"/>
      <c r="O15950" s="36" t="s">
        <v>48</v>
      </c>
      <c r="R15950" s="36" t="s">
        <v>48</v>
      </c>
    </row>
    <row r="15951">
      <c r="H15951" s="50"/>
      <c r="I15951" s="50"/>
      <c r="O15951" s="36" t="s">
        <v>48</v>
      </c>
      <c r="R15951" s="36" t="s">
        <v>48</v>
      </c>
    </row>
    <row r="15952">
      <c r="H15952" s="50"/>
      <c r="I15952" s="50"/>
      <c r="O15952" s="36" t="s">
        <v>48</v>
      </c>
      <c r="R15952" s="36" t="s">
        <v>48</v>
      </c>
    </row>
    <row r="15953">
      <c r="H15953" s="50"/>
      <c r="I15953" s="50"/>
      <c r="O15953" s="36" t="s">
        <v>48</v>
      </c>
      <c r="R15953" s="36" t="s">
        <v>48</v>
      </c>
    </row>
    <row r="15954">
      <c r="H15954" s="50"/>
      <c r="I15954" s="50"/>
      <c r="O15954" s="36" t="s">
        <v>48</v>
      </c>
      <c r="R15954" s="36" t="s">
        <v>48</v>
      </c>
    </row>
    <row r="15955">
      <c r="H15955" s="50"/>
      <c r="I15955" s="50"/>
      <c r="O15955" s="36" t="s">
        <v>48</v>
      </c>
      <c r="R15955" s="36" t="s">
        <v>48</v>
      </c>
    </row>
    <row r="15956">
      <c r="H15956" s="50"/>
      <c r="I15956" s="50"/>
      <c r="O15956" s="36" t="s">
        <v>48</v>
      </c>
      <c r="R15956" s="36" t="s">
        <v>48</v>
      </c>
    </row>
    <row r="15957">
      <c r="H15957" s="50"/>
      <c r="I15957" s="50"/>
      <c r="O15957" s="36" t="s">
        <v>48</v>
      </c>
      <c r="R15957" s="36" t="s">
        <v>48</v>
      </c>
    </row>
    <row r="15958">
      <c r="H15958" s="50"/>
      <c r="I15958" s="50"/>
      <c r="O15958" s="36" t="s">
        <v>48</v>
      </c>
      <c r="R15958" s="36" t="s">
        <v>48</v>
      </c>
    </row>
    <row r="15959">
      <c r="H15959" s="50"/>
      <c r="I15959" s="50"/>
      <c r="O15959" s="36" t="s">
        <v>48</v>
      </c>
      <c r="R15959" s="36" t="s">
        <v>48</v>
      </c>
    </row>
    <row r="15960">
      <c r="H15960" s="50"/>
      <c r="I15960" s="50"/>
      <c r="O15960" s="36" t="s">
        <v>48</v>
      </c>
      <c r="R15960" s="36" t="s">
        <v>48</v>
      </c>
    </row>
    <row r="15961">
      <c r="H15961" s="50"/>
      <c r="I15961" s="50"/>
      <c r="O15961" s="36" t="s">
        <v>48</v>
      </c>
      <c r="R15961" s="36" t="s">
        <v>48</v>
      </c>
    </row>
    <row r="15962">
      <c r="H15962" s="50"/>
      <c r="I15962" s="50"/>
      <c r="O15962" s="36" t="s">
        <v>48</v>
      </c>
      <c r="R15962" s="36" t="s">
        <v>48</v>
      </c>
    </row>
    <row r="15963">
      <c r="H15963" s="50"/>
      <c r="I15963" s="50"/>
      <c r="O15963" s="36" t="s">
        <v>48</v>
      </c>
      <c r="R15963" s="36" t="s">
        <v>48</v>
      </c>
    </row>
    <row r="15964">
      <c r="H15964" s="50"/>
      <c r="I15964" s="50"/>
      <c r="O15964" s="36" t="s">
        <v>48</v>
      </c>
      <c r="R15964" s="36" t="s">
        <v>48</v>
      </c>
    </row>
    <row r="15965">
      <c r="H15965" s="50"/>
      <c r="I15965" s="50"/>
      <c r="O15965" s="36" t="s">
        <v>48</v>
      </c>
      <c r="R15965" s="36" t="s">
        <v>48</v>
      </c>
    </row>
    <row r="15966">
      <c r="H15966" s="50"/>
      <c r="I15966" s="50"/>
      <c r="O15966" s="36" t="s">
        <v>48</v>
      </c>
      <c r="R15966" s="36" t="s">
        <v>48</v>
      </c>
    </row>
    <row r="15967">
      <c r="H15967" s="50"/>
      <c r="I15967" s="50"/>
      <c r="O15967" s="36" t="s">
        <v>48</v>
      </c>
      <c r="R15967" s="36" t="s">
        <v>48</v>
      </c>
    </row>
    <row r="15968">
      <c r="H15968" s="50"/>
      <c r="I15968" s="50"/>
      <c r="O15968" s="36" t="s">
        <v>48</v>
      </c>
      <c r="R15968" s="36" t="s">
        <v>48</v>
      </c>
    </row>
    <row r="15969">
      <c r="H15969" s="50"/>
      <c r="I15969" s="50"/>
      <c r="O15969" s="36" t="s">
        <v>48</v>
      </c>
      <c r="R15969" s="36" t="s">
        <v>48</v>
      </c>
    </row>
    <row r="15970">
      <c r="H15970" s="50"/>
      <c r="I15970" s="50"/>
      <c r="O15970" s="36" t="s">
        <v>48</v>
      </c>
      <c r="R15970" s="36" t="s">
        <v>48</v>
      </c>
    </row>
    <row r="15971">
      <c r="H15971" s="50"/>
      <c r="I15971" s="50"/>
      <c r="O15971" s="36" t="s">
        <v>48</v>
      </c>
      <c r="R15971" s="36" t="s">
        <v>48</v>
      </c>
    </row>
    <row r="15972">
      <c r="H15972" s="50"/>
      <c r="I15972" s="50"/>
      <c r="O15972" s="36" t="s">
        <v>48</v>
      </c>
      <c r="R15972" s="36" t="s">
        <v>48</v>
      </c>
    </row>
    <row r="15973">
      <c r="H15973" s="50"/>
      <c r="I15973" s="50"/>
      <c r="O15973" s="36" t="s">
        <v>48</v>
      </c>
      <c r="R15973" s="36" t="s">
        <v>48</v>
      </c>
    </row>
    <row r="15974">
      <c r="H15974" s="50"/>
      <c r="I15974" s="50"/>
      <c r="O15974" s="36" t="s">
        <v>48</v>
      </c>
      <c r="R15974" s="36" t="s">
        <v>48</v>
      </c>
    </row>
    <row r="15975">
      <c r="H15975" s="50"/>
      <c r="I15975" s="50"/>
      <c r="O15975" s="36" t="s">
        <v>48</v>
      </c>
      <c r="R15975" s="36" t="s">
        <v>48</v>
      </c>
    </row>
    <row r="15976">
      <c r="H15976" s="50"/>
      <c r="I15976" s="50"/>
      <c r="O15976" s="36" t="s">
        <v>48</v>
      </c>
      <c r="R15976" s="36" t="s">
        <v>48</v>
      </c>
    </row>
    <row r="15977">
      <c r="H15977" s="50"/>
      <c r="I15977" s="50"/>
      <c r="O15977" s="36" t="s">
        <v>48</v>
      </c>
      <c r="R15977" s="36" t="s">
        <v>48</v>
      </c>
    </row>
    <row r="15978">
      <c r="H15978" s="50"/>
      <c r="I15978" s="50"/>
      <c r="O15978" s="36" t="s">
        <v>48</v>
      </c>
      <c r="R15978" s="36" t="s">
        <v>48</v>
      </c>
    </row>
    <row r="15979">
      <c r="H15979" s="50"/>
      <c r="I15979" s="50"/>
      <c r="O15979" s="36" t="s">
        <v>48</v>
      </c>
      <c r="R15979" s="36" t="s">
        <v>48</v>
      </c>
    </row>
    <row r="15980">
      <c r="H15980" s="50"/>
      <c r="I15980" s="50"/>
      <c r="O15980" s="36" t="s">
        <v>48</v>
      </c>
      <c r="R15980" s="36" t="s">
        <v>48</v>
      </c>
    </row>
    <row r="15981">
      <c r="H15981" s="50"/>
      <c r="I15981" s="50"/>
      <c r="O15981" s="36" t="s">
        <v>48</v>
      </c>
      <c r="R15981" s="36" t="s">
        <v>48</v>
      </c>
    </row>
    <row r="15982">
      <c r="H15982" s="50"/>
      <c r="I15982" s="50"/>
      <c r="O15982" s="36" t="s">
        <v>48</v>
      </c>
      <c r="R15982" s="36" t="s">
        <v>48</v>
      </c>
    </row>
    <row r="15983">
      <c r="H15983" s="50"/>
      <c r="I15983" s="50"/>
      <c r="O15983" s="36" t="s">
        <v>48</v>
      </c>
      <c r="R15983" s="36" t="s">
        <v>48</v>
      </c>
    </row>
    <row r="15984">
      <c r="H15984" s="50"/>
      <c r="I15984" s="50"/>
      <c r="O15984" s="36" t="s">
        <v>48</v>
      </c>
      <c r="R15984" s="36" t="s">
        <v>48</v>
      </c>
    </row>
    <row r="15985">
      <c r="H15985" s="50"/>
      <c r="I15985" s="50"/>
      <c r="O15985" s="36" t="s">
        <v>48</v>
      </c>
      <c r="R15985" s="36" t="s">
        <v>48</v>
      </c>
    </row>
    <row r="15986">
      <c r="H15986" s="50"/>
      <c r="I15986" s="50"/>
      <c r="O15986" s="36" t="s">
        <v>48</v>
      </c>
      <c r="R15986" s="36" t="s">
        <v>48</v>
      </c>
    </row>
    <row r="15987">
      <c r="H15987" s="50"/>
      <c r="I15987" s="50"/>
      <c r="O15987" s="36" t="s">
        <v>48</v>
      </c>
      <c r="R15987" s="36" t="s">
        <v>48</v>
      </c>
    </row>
    <row r="15988">
      <c r="H15988" s="50"/>
      <c r="I15988" s="50"/>
      <c r="O15988" s="36" t="s">
        <v>48</v>
      </c>
      <c r="R15988" s="36" t="s">
        <v>48</v>
      </c>
    </row>
    <row r="15989">
      <c r="H15989" s="50"/>
      <c r="I15989" s="50"/>
      <c r="O15989" s="36" t="s">
        <v>48</v>
      </c>
      <c r="R15989" s="36" t="s">
        <v>48</v>
      </c>
    </row>
    <row r="15990">
      <c r="H15990" s="50"/>
      <c r="I15990" s="50"/>
      <c r="O15990" s="36" t="s">
        <v>48</v>
      </c>
      <c r="R15990" s="36" t="s">
        <v>48</v>
      </c>
    </row>
    <row r="15991">
      <c r="H15991" s="50"/>
      <c r="I15991" s="50"/>
      <c r="O15991" s="36" t="s">
        <v>48</v>
      </c>
      <c r="R15991" s="36" t="s">
        <v>48</v>
      </c>
    </row>
    <row r="15992">
      <c r="H15992" s="50"/>
      <c r="I15992" s="50"/>
      <c r="O15992" s="36" t="s">
        <v>48</v>
      </c>
      <c r="R15992" s="36" t="s">
        <v>48</v>
      </c>
    </row>
    <row r="15993">
      <c r="H15993" s="50"/>
      <c r="I15993" s="50"/>
      <c r="O15993" s="36" t="s">
        <v>48</v>
      </c>
      <c r="R15993" s="36" t="s">
        <v>48</v>
      </c>
    </row>
    <row r="15994">
      <c r="H15994" s="50"/>
      <c r="I15994" s="50"/>
      <c r="O15994" s="36" t="s">
        <v>48</v>
      </c>
      <c r="R15994" s="36" t="s">
        <v>48</v>
      </c>
    </row>
    <row r="15995">
      <c r="H15995" s="50"/>
      <c r="I15995" s="50"/>
      <c r="O15995" s="36" t="s">
        <v>48</v>
      </c>
      <c r="R15995" s="36" t="s">
        <v>48</v>
      </c>
    </row>
    <row r="15996">
      <c r="H15996" s="50"/>
      <c r="I15996" s="50"/>
      <c r="O15996" s="36" t="s">
        <v>48</v>
      </c>
      <c r="R15996" s="36" t="s">
        <v>48</v>
      </c>
    </row>
    <row r="15997">
      <c r="H15997" s="50"/>
      <c r="I15997" s="50"/>
      <c r="O15997" s="36" t="s">
        <v>48</v>
      </c>
      <c r="R15997" s="36" t="s">
        <v>48</v>
      </c>
    </row>
    <row r="15998">
      <c r="H15998" s="50"/>
      <c r="I15998" s="50"/>
      <c r="O15998" s="36" t="s">
        <v>48</v>
      </c>
      <c r="R15998" s="36" t="s">
        <v>48</v>
      </c>
    </row>
    <row r="15999">
      <c r="H15999" s="50"/>
      <c r="I15999" s="50"/>
      <c r="O15999" s="36" t="s">
        <v>48</v>
      </c>
      <c r="R15999" s="36" t="s">
        <v>48</v>
      </c>
    </row>
    <row r="16000">
      <c r="H16000" s="50"/>
      <c r="I16000" s="50"/>
      <c r="O16000" s="36" t="s">
        <v>48</v>
      </c>
      <c r="R16000" s="36" t="s">
        <v>48</v>
      </c>
    </row>
    <row r="16001">
      <c r="H16001" s="50"/>
      <c r="I16001" s="50"/>
      <c r="O16001" s="36" t="s">
        <v>48</v>
      </c>
      <c r="R16001" s="36" t="s">
        <v>48</v>
      </c>
    </row>
    <row r="16002">
      <c r="H16002" s="50"/>
      <c r="I16002" s="50"/>
      <c r="O16002" s="36" t="s">
        <v>48</v>
      </c>
      <c r="R16002" s="36" t="s">
        <v>48</v>
      </c>
    </row>
    <row r="16003">
      <c r="H16003" s="50"/>
      <c r="I16003" s="50"/>
      <c r="O16003" s="36" t="s">
        <v>48</v>
      </c>
      <c r="R16003" s="36" t="s">
        <v>48</v>
      </c>
    </row>
    <row r="16004">
      <c r="H16004" s="50"/>
      <c r="I16004" s="50"/>
      <c r="O16004" s="36" t="s">
        <v>48</v>
      </c>
      <c r="R16004" s="36" t="s">
        <v>48</v>
      </c>
    </row>
    <row r="16005">
      <c r="H16005" s="50"/>
      <c r="I16005" s="50"/>
      <c r="O16005" s="36" t="s">
        <v>48</v>
      </c>
      <c r="R16005" s="36" t="s">
        <v>48</v>
      </c>
    </row>
    <row r="16006">
      <c r="H16006" s="50"/>
      <c r="I16006" s="50"/>
      <c r="O16006" s="36" t="s">
        <v>48</v>
      </c>
      <c r="R16006" s="36" t="s">
        <v>48</v>
      </c>
    </row>
    <row r="16007">
      <c r="H16007" s="50"/>
      <c r="I16007" s="50"/>
      <c r="O16007" s="36" t="s">
        <v>48</v>
      </c>
      <c r="R16007" s="36" t="s">
        <v>48</v>
      </c>
    </row>
    <row r="16008">
      <c r="H16008" s="50"/>
      <c r="I16008" s="50"/>
      <c r="O16008" s="36" t="s">
        <v>48</v>
      </c>
      <c r="R16008" s="36" t="s">
        <v>48</v>
      </c>
    </row>
    <row r="16009">
      <c r="H16009" s="50"/>
      <c r="I16009" s="50"/>
      <c r="O16009" s="36" t="s">
        <v>48</v>
      </c>
      <c r="R16009" s="36" t="s">
        <v>48</v>
      </c>
    </row>
    <row r="16010">
      <c r="H16010" s="50"/>
      <c r="I16010" s="50"/>
      <c r="O16010" s="36" t="s">
        <v>48</v>
      </c>
      <c r="R16010" s="36" t="s">
        <v>48</v>
      </c>
    </row>
    <row r="16011">
      <c r="H16011" s="50"/>
      <c r="I16011" s="50"/>
      <c r="O16011" s="36" t="s">
        <v>48</v>
      </c>
      <c r="R16011" s="36" t="s">
        <v>48</v>
      </c>
    </row>
    <row r="16012">
      <c r="H16012" s="50"/>
      <c r="I16012" s="50"/>
      <c r="O16012" s="36" t="s">
        <v>48</v>
      </c>
      <c r="R16012" s="36" t="s">
        <v>48</v>
      </c>
    </row>
    <row r="16013">
      <c r="H16013" s="50"/>
      <c r="I16013" s="50"/>
      <c r="O16013" s="36" t="s">
        <v>48</v>
      </c>
      <c r="R16013" s="36" t="s">
        <v>48</v>
      </c>
    </row>
    <row r="16014">
      <c r="H16014" s="50"/>
      <c r="I16014" s="50"/>
      <c r="O16014" s="36" t="s">
        <v>48</v>
      </c>
      <c r="R16014" s="36" t="s">
        <v>48</v>
      </c>
    </row>
    <row r="16015">
      <c r="H16015" s="50"/>
      <c r="I16015" s="50"/>
      <c r="O16015" s="36" t="s">
        <v>48</v>
      </c>
      <c r="R16015" s="36" t="s">
        <v>48</v>
      </c>
    </row>
    <row r="16016">
      <c r="H16016" s="50"/>
      <c r="I16016" s="50"/>
      <c r="O16016" s="36" t="s">
        <v>48</v>
      </c>
      <c r="R16016" s="36" t="s">
        <v>48</v>
      </c>
    </row>
    <row r="16017">
      <c r="H16017" s="50"/>
      <c r="I16017" s="50"/>
      <c r="O16017" s="36" t="s">
        <v>48</v>
      </c>
      <c r="R16017" s="36" t="s">
        <v>48</v>
      </c>
    </row>
    <row r="16018">
      <c r="H16018" s="50"/>
      <c r="I16018" s="50"/>
      <c r="O16018" s="36" t="s">
        <v>48</v>
      </c>
      <c r="R16018" s="36" t="s">
        <v>48</v>
      </c>
    </row>
    <row r="16019">
      <c r="H16019" s="50"/>
      <c r="I16019" s="50"/>
      <c r="O16019" s="36" t="s">
        <v>48</v>
      </c>
      <c r="R16019" s="36" t="s">
        <v>48</v>
      </c>
    </row>
    <row r="16020">
      <c r="H16020" s="50"/>
      <c r="I16020" s="50"/>
      <c r="O16020" s="36" t="s">
        <v>48</v>
      </c>
      <c r="R16020" s="36" t="s">
        <v>48</v>
      </c>
    </row>
    <row r="16021">
      <c r="H16021" s="50"/>
      <c r="I16021" s="50"/>
      <c r="O16021" s="36" t="s">
        <v>48</v>
      </c>
      <c r="R16021" s="36" t="s">
        <v>48</v>
      </c>
    </row>
    <row r="16022">
      <c r="H16022" s="50"/>
      <c r="I16022" s="50"/>
      <c r="O16022" s="36" t="s">
        <v>48</v>
      </c>
      <c r="R16022" s="36" t="s">
        <v>48</v>
      </c>
    </row>
    <row r="16023">
      <c r="H16023" s="50"/>
      <c r="I16023" s="50"/>
      <c r="O16023" s="36" t="s">
        <v>48</v>
      </c>
      <c r="R16023" s="36" t="s">
        <v>48</v>
      </c>
    </row>
    <row r="16024">
      <c r="H16024" s="50"/>
      <c r="I16024" s="50"/>
      <c r="O16024" s="36" t="s">
        <v>48</v>
      </c>
      <c r="R16024" s="36" t="s">
        <v>48</v>
      </c>
    </row>
    <row r="16025">
      <c r="H16025" s="50"/>
      <c r="I16025" s="50"/>
      <c r="O16025" s="36" t="s">
        <v>48</v>
      </c>
      <c r="R16025" s="36" t="s">
        <v>48</v>
      </c>
    </row>
    <row r="16026">
      <c r="H16026" s="50"/>
      <c r="I16026" s="50"/>
      <c r="O16026" s="36" t="s">
        <v>48</v>
      </c>
      <c r="R16026" s="36" t="s">
        <v>48</v>
      </c>
    </row>
    <row r="16027">
      <c r="H16027" s="50"/>
      <c r="I16027" s="50"/>
      <c r="O16027" s="36" t="s">
        <v>48</v>
      </c>
      <c r="R16027" s="36" t="s">
        <v>48</v>
      </c>
    </row>
    <row r="16028">
      <c r="H16028" s="50"/>
      <c r="I16028" s="50"/>
      <c r="O16028" s="36" t="s">
        <v>48</v>
      </c>
      <c r="R16028" s="36" t="s">
        <v>48</v>
      </c>
    </row>
    <row r="16029">
      <c r="H16029" s="50"/>
      <c r="I16029" s="50"/>
      <c r="O16029" s="36" t="s">
        <v>48</v>
      </c>
      <c r="R16029" s="36" t="s">
        <v>48</v>
      </c>
    </row>
    <row r="16030">
      <c r="H16030" s="50"/>
      <c r="I16030" s="50"/>
      <c r="O16030" s="36" t="s">
        <v>48</v>
      </c>
      <c r="R16030" s="36" t="s">
        <v>48</v>
      </c>
    </row>
    <row r="16031">
      <c r="H16031" s="50"/>
      <c r="I16031" s="50"/>
      <c r="O16031" s="36" t="s">
        <v>48</v>
      </c>
      <c r="R16031" s="36" t="s">
        <v>48</v>
      </c>
    </row>
    <row r="16032">
      <c r="H16032" s="50"/>
      <c r="I16032" s="50"/>
      <c r="O16032" s="36" t="s">
        <v>48</v>
      </c>
      <c r="R16032" s="36" t="s">
        <v>48</v>
      </c>
    </row>
    <row r="16033">
      <c r="H16033" s="50"/>
      <c r="I16033" s="50"/>
      <c r="O16033" s="36" t="s">
        <v>48</v>
      </c>
      <c r="R16033" s="36" t="s">
        <v>48</v>
      </c>
    </row>
    <row r="16034">
      <c r="H16034" s="50"/>
      <c r="I16034" s="50"/>
      <c r="O16034" s="36" t="s">
        <v>48</v>
      </c>
      <c r="R16034" s="36" t="s">
        <v>48</v>
      </c>
    </row>
    <row r="16035">
      <c r="H16035" s="50"/>
      <c r="I16035" s="50"/>
      <c r="O16035" s="36" t="s">
        <v>48</v>
      </c>
      <c r="R16035" s="36" t="s">
        <v>48</v>
      </c>
    </row>
    <row r="16036">
      <c r="H16036" s="50"/>
      <c r="I16036" s="50"/>
      <c r="O16036" s="36" t="s">
        <v>48</v>
      </c>
      <c r="R16036" s="36" t="s">
        <v>48</v>
      </c>
    </row>
    <row r="16037">
      <c r="H16037" s="50"/>
      <c r="I16037" s="50"/>
      <c r="O16037" s="36" t="s">
        <v>48</v>
      </c>
      <c r="R16037" s="36" t="s">
        <v>48</v>
      </c>
    </row>
    <row r="16038">
      <c r="H16038" s="50"/>
      <c r="I16038" s="50"/>
      <c r="O16038" s="36" t="s">
        <v>48</v>
      </c>
      <c r="R16038" s="36" t="s">
        <v>48</v>
      </c>
    </row>
    <row r="16039">
      <c r="H16039" s="50"/>
      <c r="I16039" s="50"/>
      <c r="O16039" s="36" t="s">
        <v>48</v>
      </c>
      <c r="R16039" s="36" t="s">
        <v>48</v>
      </c>
    </row>
    <row r="16040">
      <c r="H16040" s="50"/>
      <c r="I16040" s="50"/>
      <c r="O16040" s="36" t="s">
        <v>48</v>
      </c>
      <c r="R16040" s="36" t="s">
        <v>48</v>
      </c>
    </row>
    <row r="16041">
      <c r="H16041" s="50"/>
      <c r="I16041" s="50"/>
      <c r="O16041" s="36" t="s">
        <v>48</v>
      </c>
      <c r="R16041" s="36" t="s">
        <v>48</v>
      </c>
    </row>
    <row r="16042">
      <c r="H16042" s="50"/>
      <c r="I16042" s="50"/>
      <c r="O16042" s="36" t="s">
        <v>48</v>
      </c>
      <c r="R16042" s="36" t="s">
        <v>48</v>
      </c>
    </row>
    <row r="16043">
      <c r="H16043" s="50"/>
      <c r="I16043" s="50"/>
      <c r="O16043" s="36" t="s">
        <v>48</v>
      </c>
      <c r="R16043" s="36" t="s">
        <v>48</v>
      </c>
    </row>
    <row r="16044">
      <c r="H16044" s="50"/>
      <c r="I16044" s="50"/>
      <c r="O16044" s="36" t="s">
        <v>48</v>
      </c>
      <c r="R16044" s="36" t="s">
        <v>48</v>
      </c>
    </row>
    <row r="16045">
      <c r="H16045" s="50"/>
      <c r="I16045" s="50"/>
      <c r="O16045" s="36" t="s">
        <v>48</v>
      </c>
      <c r="R16045" s="36" t="s">
        <v>48</v>
      </c>
    </row>
    <row r="16046">
      <c r="H16046" s="50"/>
      <c r="I16046" s="50"/>
      <c r="O16046" s="36" t="s">
        <v>48</v>
      </c>
      <c r="R16046" s="36" t="s">
        <v>48</v>
      </c>
    </row>
    <row r="16047">
      <c r="H16047" s="50"/>
      <c r="I16047" s="50"/>
      <c r="O16047" s="36" t="s">
        <v>48</v>
      </c>
      <c r="R16047" s="36" t="s">
        <v>48</v>
      </c>
    </row>
    <row r="16048">
      <c r="H16048" s="50"/>
      <c r="I16048" s="50"/>
      <c r="O16048" s="36" t="s">
        <v>48</v>
      </c>
      <c r="R16048" s="36" t="s">
        <v>48</v>
      </c>
    </row>
    <row r="16049">
      <c r="H16049" s="50"/>
      <c r="I16049" s="50"/>
      <c r="O16049" s="36" t="s">
        <v>48</v>
      </c>
      <c r="R16049" s="36" t="s">
        <v>48</v>
      </c>
    </row>
    <row r="16050">
      <c r="H16050" s="50"/>
      <c r="I16050" s="50"/>
      <c r="O16050" s="36" t="s">
        <v>48</v>
      </c>
      <c r="R16050" s="36" t="s">
        <v>48</v>
      </c>
    </row>
    <row r="16051">
      <c r="H16051" s="50"/>
      <c r="I16051" s="50"/>
      <c r="O16051" s="36" t="s">
        <v>48</v>
      </c>
      <c r="R16051" s="36" t="s">
        <v>48</v>
      </c>
    </row>
    <row r="16052">
      <c r="H16052" s="50"/>
      <c r="I16052" s="50"/>
      <c r="O16052" s="36" t="s">
        <v>48</v>
      </c>
      <c r="R16052" s="36" t="s">
        <v>48</v>
      </c>
    </row>
    <row r="16053">
      <c r="H16053" s="50"/>
      <c r="I16053" s="50"/>
      <c r="O16053" s="36" t="s">
        <v>48</v>
      </c>
      <c r="R16053" s="36" t="s">
        <v>48</v>
      </c>
    </row>
    <row r="16054">
      <c r="H16054" s="50"/>
      <c r="I16054" s="50"/>
      <c r="O16054" s="36" t="s">
        <v>48</v>
      </c>
      <c r="R16054" s="36" t="s">
        <v>48</v>
      </c>
    </row>
    <row r="16055">
      <c r="H16055" s="50"/>
      <c r="I16055" s="50"/>
      <c r="O16055" s="36" t="s">
        <v>48</v>
      </c>
      <c r="R16055" s="36" t="s">
        <v>48</v>
      </c>
    </row>
    <row r="16056">
      <c r="H16056" s="50"/>
      <c r="I16056" s="50"/>
      <c r="O16056" s="36" t="s">
        <v>48</v>
      </c>
      <c r="R16056" s="36" t="s">
        <v>48</v>
      </c>
    </row>
    <row r="16057">
      <c r="H16057" s="50"/>
      <c r="I16057" s="50"/>
      <c r="O16057" s="36" t="s">
        <v>48</v>
      </c>
      <c r="R16057" s="36" t="s">
        <v>48</v>
      </c>
    </row>
    <row r="16058">
      <c r="H16058" s="50"/>
      <c r="I16058" s="50"/>
      <c r="O16058" s="36" t="s">
        <v>48</v>
      </c>
      <c r="R16058" s="36" t="s">
        <v>48</v>
      </c>
    </row>
    <row r="16059">
      <c r="H16059" s="50"/>
      <c r="I16059" s="50"/>
      <c r="O16059" s="36" t="s">
        <v>48</v>
      </c>
      <c r="R16059" s="36" t="s">
        <v>48</v>
      </c>
    </row>
    <row r="16060">
      <c r="H16060" s="50"/>
      <c r="I16060" s="50"/>
      <c r="O16060" s="36" t="s">
        <v>48</v>
      </c>
      <c r="R16060" s="36" t="s">
        <v>48</v>
      </c>
    </row>
    <row r="16061">
      <c r="H16061" s="50"/>
      <c r="I16061" s="50"/>
      <c r="O16061" s="36" t="s">
        <v>48</v>
      </c>
      <c r="R16061" s="36" t="s">
        <v>48</v>
      </c>
    </row>
    <row r="16062">
      <c r="H16062" s="50"/>
      <c r="I16062" s="50"/>
      <c r="O16062" s="36" t="s">
        <v>48</v>
      </c>
      <c r="R16062" s="36" t="s">
        <v>48</v>
      </c>
    </row>
    <row r="16063">
      <c r="H16063" s="50"/>
      <c r="I16063" s="50"/>
      <c r="O16063" s="36" t="s">
        <v>48</v>
      </c>
      <c r="R16063" s="36" t="s">
        <v>48</v>
      </c>
    </row>
    <row r="16064">
      <c r="H16064" s="50"/>
      <c r="I16064" s="50"/>
      <c r="O16064" s="36" t="s">
        <v>48</v>
      </c>
      <c r="R16064" s="36" t="s">
        <v>48</v>
      </c>
    </row>
    <row r="16065">
      <c r="H16065" s="50"/>
      <c r="I16065" s="50"/>
      <c r="O16065" s="36" t="s">
        <v>48</v>
      </c>
      <c r="R16065" s="36" t="s">
        <v>48</v>
      </c>
    </row>
    <row r="16066">
      <c r="H16066" s="50"/>
      <c r="I16066" s="50"/>
      <c r="O16066" s="36" t="s">
        <v>48</v>
      </c>
      <c r="R16066" s="36" t="s">
        <v>48</v>
      </c>
    </row>
    <row r="16067">
      <c r="H16067" s="50"/>
      <c r="I16067" s="50"/>
      <c r="O16067" s="36" t="s">
        <v>48</v>
      </c>
      <c r="R16067" s="36" t="s">
        <v>48</v>
      </c>
    </row>
    <row r="16068">
      <c r="H16068" s="50"/>
      <c r="I16068" s="50"/>
      <c r="O16068" s="36" t="s">
        <v>48</v>
      </c>
      <c r="R16068" s="36" t="s">
        <v>48</v>
      </c>
    </row>
    <row r="16069">
      <c r="H16069" s="50"/>
      <c r="I16069" s="50"/>
      <c r="O16069" s="36" t="s">
        <v>48</v>
      </c>
      <c r="R16069" s="36" t="s">
        <v>48</v>
      </c>
    </row>
    <row r="16070">
      <c r="H16070" s="50"/>
      <c r="I16070" s="50"/>
      <c r="O16070" s="36" t="s">
        <v>48</v>
      </c>
      <c r="R16070" s="36" t="s">
        <v>48</v>
      </c>
    </row>
    <row r="16071">
      <c r="H16071" s="50"/>
      <c r="I16071" s="50"/>
      <c r="O16071" s="36" t="s">
        <v>48</v>
      </c>
      <c r="R16071" s="36" t="s">
        <v>48</v>
      </c>
    </row>
    <row r="16072">
      <c r="H16072" s="50"/>
      <c r="I16072" s="50"/>
      <c r="O16072" s="36" t="s">
        <v>48</v>
      </c>
      <c r="R16072" s="36" t="s">
        <v>48</v>
      </c>
    </row>
    <row r="16073">
      <c r="H16073" s="50"/>
      <c r="I16073" s="50"/>
      <c r="O16073" s="36" t="s">
        <v>48</v>
      </c>
      <c r="R16073" s="36" t="s">
        <v>48</v>
      </c>
    </row>
    <row r="16074">
      <c r="H16074" s="50"/>
      <c r="I16074" s="50"/>
      <c r="O16074" s="36" t="s">
        <v>48</v>
      </c>
      <c r="R16074" s="36" t="s">
        <v>48</v>
      </c>
    </row>
    <row r="16075">
      <c r="H16075" s="50"/>
      <c r="I16075" s="50"/>
      <c r="O16075" s="36" t="s">
        <v>48</v>
      </c>
      <c r="R16075" s="36" t="s">
        <v>48</v>
      </c>
    </row>
    <row r="16076">
      <c r="H16076" s="50"/>
      <c r="I16076" s="50"/>
      <c r="O16076" s="36" t="s">
        <v>48</v>
      </c>
      <c r="R16076" s="36" t="s">
        <v>48</v>
      </c>
    </row>
    <row r="16077">
      <c r="H16077" s="50"/>
      <c r="I16077" s="50"/>
      <c r="O16077" s="36" t="s">
        <v>48</v>
      </c>
      <c r="R16077" s="36" t="s">
        <v>48</v>
      </c>
    </row>
    <row r="16078">
      <c r="H16078" s="50"/>
      <c r="I16078" s="50"/>
      <c r="O16078" s="36" t="s">
        <v>48</v>
      </c>
      <c r="R16078" s="36" t="s">
        <v>48</v>
      </c>
    </row>
    <row r="16079">
      <c r="H16079" s="50"/>
      <c r="I16079" s="50"/>
      <c r="O16079" s="36" t="s">
        <v>48</v>
      </c>
      <c r="R16079" s="36" t="s">
        <v>48</v>
      </c>
    </row>
    <row r="16080">
      <c r="H16080" s="50"/>
      <c r="I16080" s="50"/>
      <c r="O16080" s="36" t="s">
        <v>48</v>
      </c>
      <c r="R16080" s="36" t="s">
        <v>48</v>
      </c>
    </row>
    <row r="16081">
      <c r="H16081" s="50"/>
      <c r="I16081" s="50"/>
      <c r="O16081" s="36" t="s">
        <v>48</v>
      </c>
      <c r="R16081" s="36" t="s">
        <v>48</v>
      </c>
    </row>
    <row r="16082">
      <c r="H16082" s="50"/>
      <c r="I16082" s="50"/>
      <c r="O16082" s="36" t="s">
        <v>48</v>
      </c>
      <c r="R16082" s="36" t="s">
        <v>48</v>
      </c>
    </row>
    <row r="16083">
      <c r="H16083" s="50"/>
      <c r="I16083" s="50"/>
      <c r="O16083" s="36" t="s">
        <v>48</v>
      </c>
      <c r="R16083" s="36" t="s">
        <v>48</v>
      </c>
    </row>
    <row r="16084">
      <c r="H16084" s="50"/>
      <c r="I16084" s="50"/>
      <c r="O16084" s="36" t="s">
        <v>48</v>
      </c>
      <c r="R16084" s="36" t="s">
        <v>48</v>
      </c>
    </row>
    <row r="16085">
      <c r="H16085" s="50"/>
      <c r="I16085" s="50"/>
      <c r="O16085" s="36" t="s">
        <v>48</v>
      </c>
      <c r="R16085" s="36" t="s">
        <v>48</v>
      </c>
    </row>
    <row r="16086">
      <c r="H16086" s="50"/>
      <c r="I16086" s="50"/>
      <c r="O16086" s="36" t="s">
        <v>48</v>
      </c>
      <c r="R16086" s="36" t="s">
        <v>48</v>
      </c>
    </row>
    <row r="16087">
      <c r="H16087" s="50"/>
      <c r="I16087" s="50"/>
      <c r="O16087" s="36" t="s">
        <v>48</v>
      </c>
      <c r="R16087" s="36" t="s">
        <v>48</v>
      </c>
    </row>
    <row r="16088">
      <c r="H16088" s="50"/>
      <c r="I16088" s="50"/>
      <c r="O16088" s="36" t="s">
        <v>48</v>
      </c>
      <c r="R16088" s="36" t="s">
        <v>48</v>
      </c>
    </row>
    <row r="16089">
      <c r="H16089" s="50"/>
      <c r="I16089" s="50"/>
      <c r="O16089" s="36" t="s">
        <v>48</v>
      </c>
      <c r="R16089" s="36" t="s">
        <v>48</v>
      </c>
    </row>
    <row r="16090">
      <c r="H16090" s="50"/>
      <c r="I16090" s="50"/>
      <c r="O16090" s="36" t="s">
        <v>48</v>
      </c>
      <c r="R16090" s="36" t="s">
        <v>48</v>
      </c>
    </row>
    <row r="16091">
      <c r="H16091" s="50"/>
      <c r="I16091" s="50"/>
      <c r="O16091" s="36" t="s">
        <v>48</v>
      </c>
      <c r="R16091" s="36" t="s">
        <v>48</v>
      </c>
    </row>
    <row r="16092">
      <c r="H16092" s="50"/>
      <c r="I16092" s="50"/>
      <c r="O16092" s="36" t="s">
        <v>48</v>
      </c>
      <c r="R16092" s="36" t="s">
        <v>48</v>
      </c>
    </row>
    <row r="16093">
      <c r="H16093" s="50"/>
      <c r="I16093" s="50"/>
      <c r="O16093" s="36" t="s">
        <v>48</v>
      </c>
      <c r="R16093" s="36" t="s">
        <v>48</v>
      </c>
    </row>
    <row r="16094">
      <c r="H16094" s="50"/>
      <c r="I16094" s="50"/>
      <c r="O16094" s="36" t="s">
        <v>48</v>
      </c>
      <c r="R16094" s="36" t="s">
        <v>48</v>
      </c>
    </row>
    <row r="16095">
      <c r="H16095" s="50"/>
      <c r="I16095" s="50"/>
      <c r="O16095" s="36" t="s">
        <v>48</v>
      </c>
      <c r="R16095" s="36" t="s">
        <v>48</v>
      </c>
    </row>
    <row r="16096">
      <c r="H16096" s="50"/>
      <c r="I16096" s="50"/>
      <c r="O16096" s="36" t="s">
        <v>48</v>
      </c>
      <c r="R16096" s="36" t="s">
        <v>48</v>
      </c>
    </row>
    <row r="16097">
      <c r="H16097" s="50"/>
      <c r="I16097" s="50"/>
      <c r="O16097" s="36" t="s">
        <v>48</v>
      </c>
      <c r="R16097" s="36" t="s">
        <v>48</v>
      </c>
    </row>
    <row r="16098">
      <c r="H16098" s="50"/>
      <c r="I16098" s="50"/>
      <c r="O16098" s="36" t="s">
        <v>48</v>
      </c>
      <c r="R16098" s="36" t="s">
        <v>48</v>
      </c>
    </row>
    <row r="16099">
      <c r="H16099" s="50"/>
      <c r="I16099" s="50"/>
      <c r="O16099" s="36" t="s">
        <v>48</v>
      </c>
      <c r="R16099" s="36" t="s">
        <v>48</v>
      </c>
    </row>
    <row r="16100">
      <c r="H16100" s="50"/>
      <c r="I16100" s="50"/>
      <c r="O16100" s="36" t="s">
        <v>48</v>
      </c>
      <c r="R16100" s="36" t="s">
        <v>48</v>
      </c>
    </row>
    <row r="16101">
      <c r="H16101" s="50"/>
      <c r="I16101" s="50"/>
      <c r="O16101" s="36" t="s">
        <v>48</v>
      </c>
      <c r="R16101" s="36" t="s">
        <v>48</v>
      </c>
    </row>
    <row r="16102">
      <c r="H16102" s="50"/>
      <c r="I16102" s="50"/>
      <c r="O16102" s="36" t="s">
        <v>48</v>
      </c>
      <c r="R16102" s="36" t="s">
        <v>48</v>
      </c>
    </row>
    <row r="16103">
      <c r="H16103" s="50"/>
      <c r="I16103" s="50"/>
      <c r="O16103" s="36" t="s">
        <v>48</v>
      </c>
      <c r="R16103" s="36" t="s">
        <v>48</v>
      </c>
    </row>
    <row r="16104">
      <c r="H16104" s="50"/>
      <c r="I16104" s="50"/>
      <c r="O16104" s="36" t="s">
        <v>48</v>
      </c>
      <c r="R16104" s="36" t="s">
        <v>48</v>
      </c>
    </row>
    <row r="16105">
      <c r="H16105" s="50"/>
      <c r="I16105" s="50"/>
      <c r="O16105" s="36" t="s">
        <v>48</v>
      </c>
      <c r="R16105" s="36" t="s">
        <v>48</v>
      </c>
    </row>
    <row r="16106">
      <c r="H16106" s="50"/>
      <c r="I16106" s="50"/>
      <c r="O16106" s="36" t="s">
        <v>48</v>
      </c>
      <c r="R16106" s="36" t="s">
        <v>48</v>
      </c>
    </row>
    <row r="16107">
      <c r="H16107" s="50"/>
      <c r="I16107" s="50"/>
      <c r="O16107" s="36" t="s">
        <v>48</v>
      </c>
      <c r="R16107" s="36" t="s">
        <v>48</v>
      </c>
    </row>
    <row r="16108">
      <c r="H16108" s="50"/>
      <c r="I16108" s="50"/>
      <c r="O16108" s="36" t="s">
        <v>48</v>
      </c>
      <c r="R16108" s="36" t="s">
        <v>48</v>
      </c>
    </row>
    <row r="16109">
      <c r="H16109" s="50"/>
      <c r="I16109" s="50"/>
      <c r="O16109" s="36" t="s">
        <v>48</v>
      </c>
      <c r="R16109" s="36" t="s">
        <v>48</v>
      </c>
    </row>
    <row r="16110">
      <c r="H16110" s="50"/>
      <c r="I16110" s="50"/>
      <c r="O16110" s="36" t="s">
        <v>48</v>
      </c>
      <c r="R16110" s="36" t="s">
        <v>48</v>
      </c>
    </row>
    <row r="16111">
      <c r="H16111" s="50"/>
      <c r="I16111" s="50"/>
      <c r="O16111" s="36" t="s">
        <v>48</v>
      </c>
      <c r="R16111" s="36" t="s">
        <v>48</v>
      </c>
    </row>
    <row r="16112">
      <c r="H16112" s="50"/>
      <c r="I16112" s="50"/>
      <c r="O16112" s="36" t="s">
        <v>48</v>
      </c>
      <c r="R16112" s="36" t="s">
        <v>48</v>
      </c>
    </row>
    <row r="16113">
      <c r="H16113" s="50"/>
      <c r="I16113" s="50"/>
      <c r="O16113" s="36" t="s">
        <v>48</v>
      </c>
      <c r="R16113" s="36" t="s">
        <v>48</v>
      </c>
    </row>
    <row r="16114">
      <c r="H16114" s="50"/>
      <c r="I16114" s="50"/>
      <c r="O16114" s="36" t="s">
        <v>48</v>
      </c>
      <c r="R16114" s="36" t="s">
        <v>48</v>
      </c>
    </row>
    <row r="16115">
      <c r="H16115" s="50"/>
      <c r="I16115" s="50"/>
      <c r="O16115" s="36" t="s">
        <v>48</v>
      </c>
      <c r="R16115" s="36" t="s">
        <v>48</v>
      </c>
    </row>
    <row r="16116">
      <c r="H16116" s="50"/>
      <c r="I16116" s="50"/>
      <c r="O16116" s="36" t="s">
        <v>48</v>
      </c>
      <c r="R16116" s="36" t="s">
        <v>48</v>
      </c>
    </row>
    <row r="16117">
      <c r="H16117" s="50"/>
      <c r="I16117" s="50"/>
      <c r="O16117" s="36" t="s">
        <v>48</v>
      </c>
      <c r="R16117" s="36" t="s">
        <v>48</v>
      </c>
    </row>
    <row r="16118">
      <c r="H16118" s="50"/>
      <c r="I16118" s="50"/>
      <c r="O16118" s="36" t="s">
        <v>48</v>
      </c>
      <c r="R16118" s="36" t="s">
        <v>48</v>
      </c>
    </row>
    <row r="16119">
      <c r="H16119" s="50"/>
      <c r="I16119" s="50"/>
      <c r="O16119" s="36" t="s">
        <v>48</v>
      </c>
      <c r="R16119" s="36" t="s">
        <v>48</v>
      </c>
    </row>
    <row r="16120">
      <c r="H16120" s="50"/>
      <c r="I16120" s="50"/>
      <c r="O16120" s="36" t="s">
        <v>48</v>
      </c>
      <c r="R16120" s="36" t="s">
        <v>48</v>
      </c>
    </row>
    <row r="16121">
      <c r="H16121" s="50"/>
      <c r="I16121" s="50"/>
      <c r="O16121" s="36" t="s">
        <v>48</v>
      </c>
      <c r="R16121" s="36" t="s">
        <v>48</v>
      </c>
    </row>
    <row r="16122">
      <c r="H16122" s="50"/>
      <c r="I16122" s="50"/>
      <c r="O16122" s="36" t="s">
        <v>48</v>
      </c>
      <c r="R16122" s="36" t="s">
        <v>48</v>
      </c>
    </row>
    <row r="16123">
      <c r="H16123" s="50"/>
      <c r="I16123" s="50"/>
      <c r="O16123" s="36" t="s">
        <v>48</v>
      </c>
      <c r="R16123" s="36" t="s">
        <v>48</v>
      </c>
    </row>
    <row r="16124">
      <c r="H16124" s="50"/>
      <c r="I16124" s="50"/>
      <c r="O16124" s="36" t="s">
        <v>48</v>
      </c>
      <c r="R16124" s="36" t="s">
        <v>48</v>
      </c>
    </row>
    <row r="16125">
      <c r="H16125" s="50"/>
      <c r="I16125" s="50"/>
      <c r="O16125" s="36" t="s">
        <v>48</v>
      </c>
      <c r="R16125" s="36" t="s">
        <v>48</v>
      </c>
    </row>
    <row r="16126">
      <c r="H16126" s="50"/>
      <c r="I16126" s="50"/>
      <c r="O16126" s="36" t="s">
        <v>48</v>
      </c>
      <c r="R16126" s="36" t="s">
        <v>48</v>
      </c>
    </row>
    <row r="16127">
      <c r="H16127" s="50"/>
      <c r="I16127" s="50"/>
      <c r="O16127" s="36" t="s">
        <v>48</v>
      </c>
      <c r="R16127" s="36" t="s">
        <v>48</v>
      </c>
    </row>
    <row r="16128">
      <c r="H16128" s="50"/>
      <c r="I16128" s="50"/>
      <c r="O16128" s="36" t="s">
        <v>48</v>
      </c>
      <c r="R16128" s="36" t="s">
        <v>48</v>
      </c>
    </row>
    <row r="16129">
      <c r="H16129" s="50"/>
      <c r="I16129" s="50"/>
      <c r="O16129" s="36" t="s">
        <v>48</v>
      </c>
      <c r="R16129" s="36" t="s">
        <v>48</v>
      </c>
    </row>
    <row r="16130">
      <c r="H16130" s="50"/>
      <c r="I16130" s="50"/>
      <c r="O16130" s="36" t="s">
        <v>48</v>
      </c>
      <c r="R16130" s="36" t="s">
        <v>48</v>
      </c>
    </row>
    <row r="16131">
      <c r="H16131" s="50"/>
      <c r="I16131" s="50"/>
      <c r="O16131" s="36" t="s">
        <v>48</v>
      </c>
      <c r="R16131" s="36" t="s">
        <v>48</v>
      </c>
    </row>
    <row r="16132">
      <c r="H16132" s="50"/>
      <c r="I16132" s="50"/>
      <c r="O16132" s="36" t="s">
        <v>48</v>
      </c>
      <c r="R16132" s="36" t="s">
        <v>48</v>
      </c>
    </row>
    <row r="16133">
      <c r="H16133" s="50"/>
      <c r="I16133" s="50"/>
      <c r="O16133" s="36" t="s">
        <v>48</v>
      </c>
      <c r="R16133" s="36" t="s">
        <v>48</v>
      </c>
    </row>
    <row r="16134">
      <c r="H16134" s="50"/>
      <c r="I16134" s="50"/>
      <c r="O16134" s="36" t="s">
        <v>48</v>
      </c>
      <c r="R16134" s="36" t="s">
        <v>48</v>
      </c>
    </row>
    <row r="16135">
      <c r="H16135" s="50"/>
      <c r="I16135" s="50"/>
      <c r="O16135" s="36" t="s">
        <v>48</v>
      </c>
      <c r="R16135" s="36" t="s">
        <v>48</v>
      </c>
    </row>
    <row r="16136">
      <c r="H16136" s="50"/>
      <c r="I16136" s="50"/>
      <c r="O16136" s="36" t="s">
        <v>48</v>
      </c>
      <c r="R16136" s="36" t="s">
        <v>48</v>
      </c>
    </row>
    <row r="16137">
      <c r="H16137" s="50"/>
      <c r="I16137" s="50"/>
      <c r="O16137" s="36" t="s">
        <v>48</v>
      </c>
      <c r="R16137" s="36" t="s">
        <v>48</v>
      </c>
    </row>
    <row r="16138">
      <c r="H16138" s="50"/>
      <c r="I16138" s="50"/>
      <c r="O16138" s="36" t="s">
        <v>48</v>
      </c>
      <c r="R16138" s="36" t="s">
        <v>48</v>
      </c>
    </row>
    <row r="16139">
      <c r="H16139" s="50"/>
      <c r="I16139" s="50"/>
      <c r="O16139" s="36" t="s">
        <v>48</v>
      </c>
      <c r="R16139" s="36" t="s">
        <v>48</v>
      </c>
    </row>
    <row r="16140">
      <c r="H16140" s="50"/>
      <c r="I16140" s="50"/>
      <c r="O16140" s="36" t="s">
        <v>48</v>
      </c>
      <c r="R16140" s="36" t="s">
        <v>48</v>
      </c>
    </row>
    <row r="16141">
      <c r="H16141" s="50"/>
      <c r="I16141" s="50"/>
      <c r="O16141" s="36" t="s">
        <v>48</v>
      </c>
      <c r="R16141" s="36" t="s">
        <v>48</v>
      </c>
    </row>
    <row r="16142">
      <c r="H16142" s="50"/>
      <c r="I16142" s="50"/>
      <c r="O16142" s="36" t="s">
        <v>48</v>
      </c>
      <c r="R16142" s="36" t="s">
        <v>48</v>
      </c>
    </row>
    <row r="16143">
      <c r="H16143" s="50"/>
      <c r="I16143" s="50"/>
      <c r="O16143" s="36" t="s">
        <v>48</v>
      </c>
      <c r="R16143" s="36" t="s">
        <v>48</v>
      </c>
    </row>
    <row r="16144">
      <c r="H16144" s="50"/>
      <c r="I16144" s="50"/>
      <c r="O16144" s="36" t="s">
        <v>48</v>
      </c>
      <c r="R16144" s="36" t="s">
        <v>48</v>
      </c>
    </row>
    <row r="16145">
      <c r="H16145" s="50"/>
      <c r="I16145" s="50"/>
      <c r="O16145" s="36" t="s">
        <v>48</v>
      </c>
      <c r="R16145" s="36" t="s">
        <v>48</v>
      </c>
    </row>
    <row r="16146">
      <c r="H16146" s="50"/>
      <c r="I16146" s="50"/>
      <c r="O16146" s="36" t="s">
        <v>48</v>
      </c>
      <c r="R16146" s="36" t="s">
        <v>48</v>
      </c>
    </row>
    <row r="16147">
      <c r="H16147" s="50"/>
      <c r="I16147" s="50"/>
      <c r="O16147" s="36" t="s">
        <v>48</v>
      </c>
      <c r="R16147" s="36" t="s">
        <v>48</v>
      </c>
    </row>
    <row r="16148">
      <c r="H16148" s="50"/>
      <c r="I16148" s="50"/>
      <c r="O16148" s="36" t="s">
        <v>48</v>
      </c>
      <c r="R16148" s="36" t="s">
        <v>48</v>
      </c>
    </row>
    <row r="16149">
      <c r="H16149" s="50"/>
      <c r="I16149" s="50"/>
      <c r="O16149" s="36" t="s">
        <v>48</v>
      </c>
      <c r="R16149" s="36" t="s">
        <v>48</v>
      </c>
    </row>
    <row r="16150">
      <c r="H16150" s="50"/>
      <c r="I16150" s="50"/>
      <c r="O16150" s="36" t="s">
        <v>48</v>
      </c>
      <c r="R16150" s="36" t="s">
        <v>48</v>
      </c>
    </row>
    <row r="16151">
      <c r="H16151" s="50"/>
      <c r="I16151" s="50"/>
      <c r="O16151" s="36" t="s">
        <v>48</v>
      </c>
      <c r="R16151" s="36" t="s">
        <v>48</v>
      </c>
    </row>
    <row r="16152">
      <c r="H16152" s="50"/>
      <c r="I16152" s="50"/>
      <c r="O16152" s="36" t="s">
        <v>48</v>
      </c>
      <c r="R16152" s="36" t="s">
        <v>48</v>
      </c>
    </row>
    <row r="16153">
      <c r="H16153" s="50"/>
      <c r="I16153" s="50"/>
      <c r="O16153" s="36" t="s">
        <v>48</v>
      </c>
      <c r="R16153" s="36" t="s">
        <v>48</v>
      </c>
    </row>
    <row r="16154">
      <c r="H16154" s="50"/>
      <c r="I16154" s="50"/>
      <c r="O16154" s="36" t="s">
        <v>48</v>
      </c>
      <c r="R16154" s="36" t="s">
        <v>48</v>
      </c>
    </row>
    <row r="16155">
      <c r="H16155" s="50"/>
      <c r="I16155" s="50"/>
      <c r="O16155" s="36" t="s">
        <v>48</v>
      </c>
      <c r="R16155" s="36" t="s">
        <v>48</v>
      </c>
    </row>
    <row r="16156">
      <c r="H16156" s="50"/>
      <c r="I16156" s="50"/>
      <c r="O16156" s="36" t="s">
        <v>48</v>
      </c>
      <c r="R16156" s="36" t="s">
        <v>48</v>
      </c>
    </row>
    <row r="16157">
      <c r="H16157" s="50"/>
      <c r="I16157" s="50"/>
      <c r="O16157" s="36" t="s">
        <v>48</v>
      </c>
      <c r="R16157" s="36" t="s">
        <v>48</v>
      </c>
    </row>
    <row r="16158">
      <c r="H16158" s="50"/>
      <c r="I16158" s="50"/>
      <c r="O16158" s="36" t="s">
        <v>48</v>
      </c>
      <c r="R16158" s="36" t="s">
        <v>48</v>
      </c>
    </row>
    <row r="16159">
      <c r="H16159" s="50"/>
      <c r="I16159" s="50"/>
      <c r="O16159" s="36" t="s">
        <v>48</v>
      </c>
      <c r="R16159" s="36" t="s">
        <v>48</v>
      </c>
    </row>
    <row r="16160">
      <c r="H16160" s="50"/>
      <c r="I16160" s="50"/>
      <c r="O16160" s="36" t="s">
        <v>48</v>
      </c>
      <c r="R16160" s="36" t="s">
        <v>48</v>
      </c>
    </row>
    <row r="16161">
      <c r="H16161" s="50"/>
      <c r="I16161" s="50"/>
      <c r="O16161" s="36" t="s">
        <v>48</v>
      </c>
      <c r="R16161" s="36" t="s">
        <v>48</v>
      </c>
    </row>
    <row r="16162">
      <c r="H16162" s="50"/>
      <c r="I16162" s="50"/>
      <c r="O16162" s="36" t="s">
        <v>48</v>
      </c>
      <c r="R16162" s="36" t="s">
        <v>48</v>
      </c>
    </row>
    <row r="16163">
      <c r="H16163" s="50"/>
      <c r="I16163" s="50"/>
      <c r="O16163" s="36" t="s">
        <v>48</v>
      </c>
      <c r="R16163" s="36" t="s">
        <v>48</v>
      </c>
    </row>
    <row r="16164">
      <c r="H16164" s="50"/>
      <c r="I16164" s="50"/>
      <c r="O16164" s="36" t="s">
        <v>48</v>
      </c>
      <c r="R16164" s="36" t="s">
        <v>48</v>
      </c>
    </row>
    <row r="16165">
      <c r="H16165" s="50"/>
      <c r="I16165" s="50"/>
      <c r="O16165" s="36" t="s">
        <v>48</v>
      </c>
      <c r="R16165" s="36" t="s">
        <v>48</v>
      </c>
    </row>
    <row r="16166">
      <c r="H16166" s="50"/>
      <c r="I16166" s="50"/>
      <c r="O16166" s="36" t="s">
        <v>48</v>
      </c>
      <c r="R16166" s="36" t="s">
        <v>48</v>
      </c>
    </row>
    <row r="16167">
      <c r="H16167" s="50"/>
      <c r="I16167" s="50"/>
      <c r="O16167" s="36" t="s">
        <v>48</v>
      </c>
      <c r="R16167" s="36" t="s">
        <v>48</v>
      </c>
    </row>
    <row r="16168">
      <c r="H16168" s="50"/>
      <c r="I16168" s="50"/>
      <c r="O16168" s="36" t="s">
        <v>48</v>
      </c>
      <c r="R16168" s="36" t="s">
        <v>48</v>
      </c>
    </row>
    <row r="16169">
      <c r="H16169" s="50"/>
      <c r="I16169" s="50"/>
      <c r="O16169" s="36" t="s">
        <v>48</v>
      </c>
      <c r="R16169" s="36" t="s">
        <v>48</v>
      </c>
    </row>
    <row r="16170">
      <c r="H16170" s="50"/>
      <c r="I16170" s="50"/>
      <c r="O16170" s="36" t="s">
        <v>48</v>
      </c>
      <c r="R16170" s="36" t="s">
        <v>48</v>
      </c>
    </row>
    <row r="16171">
      <c r="H16171" s="50"/>
      <c r="I16171" s="50"/>
      <c r="O16171" s="36" t="s">
        <v>48</v>
      </c>
      <c r="R16171" s="36" t="s">
        <v>48</v>
      </c>
    </row>
    <row r="16172">
      <c r="H16172" s="50"/>
      <c r="I16172" s="50"/>
      <c r="O16172" s="36" t="s">
        <v>48</v>
      </c>
      <c r="R16172" s="36" t="s">
        <v>48</v>
      </c>
    </row>
    <row r="16173">
      <c r="H16173" s="50"/>
      <c r="I16173" s="50"/>
      <c r="O16173" s="36" t="s">
        <v>48</v>
      </c>
      <c r="R16173" s="36" t="s">
        <v>48</v>
      </c>
    </row>
    <row r="16174">
      <c r="H16174" s="50"/>
      <c r="I16174" s="50"/>
      <c r="O16174" s="36" t="s">
        <v>48</v>
      </c>
      <c r="R16174" s="36" t="s">
        <v>48</v>
      </c>
    </row>
    <row r="16175">
      <c r="H16175" s="50"/>
      <c r="I16175" s="50"/>
      <c r="O16175" s="36" t="s">
        <v>48</v>
      </c>
      <c r="R16175" s="36" t="s">
        <v>48</v>
      </c>
    </row>
    <row r="16176">
      <c r="H16176" s="50"/>
      <c r="I16176" s="50"/>
      <c r="O16176" s="36" t="s">
        <v>48</v>
      </c>
      <c r="R16176" s="36" t="s">
        <v>48</v>
      </c>
    </row>
    <row r="16177">
      <c r="H16177" s="50"/>
      <c r="I16177" s="50"/>
      <c r="O16177" s="36" t="s">
        <v>48</v>
      </c>
      <c r="R16177" s="36" t="s">
        <v>48</v>
      </c>
    </row>
    <row r="16178">
      <c r="H16178" s="50"/>
      <c r="I16178" s="50"/>
      <c r="O16178" s="36" t="s">
        <v>48</v>
      </c>
      <c r="R16178" s="36" t="s">
        <v>48</v>
      </c>
    </row>
    <row r="16179">
      <c r="H16179" s="50"/>
      <c r="I16179" s="50"/>
      <c r="O16179" s="36" t="s">
        <v>48</v>
      </c>
      <c r="R16179" s="36" t="s">
        <v>48</v>
      </c>
    </row>
    <row r="16180">
      <c r="H16180" s="50"/>
      <c r="I16180" s="50"/>
      <c r="O16180" s="36" t="s">
        <v>48</v>
      </c>
      <c r="R16180" s="36" t="s">
        <v>48</v>
      </c>
    </row>
    <row r="16181">
      <c r="H16181" s="50"/>
      <c r="I16181" s="50"/>
      <c r="O16181" s="36" t="s">
        <v>48</v>
      </c>
      <c r="R16181" s="36" t="s">
        <v>48</v>
      </c>
    </row>
    <row r="16182">
      <c r="H16182" s="50"/>
      <c r="I16182" s="50"/>
      <c r="O16182" s="36" t="s">
        <v>48</v>
      </c>
      <c r="R16182" s="36" t="s">
        <v>48</v>
      </c>
    </row>
    <row r="16183">
      <c r="H16183" s="50"/>
      <c r="I16183" s="50"/>
      <c r="O16183" s="36" t="s">
        <v>48</v>
      </c>
      <c r="R16183" s="36" t="s">
        <v>48</v>
      </c>
    </row>
    <row r="16184">
      <c r="H16184" s="50"/>
      <c r="I16184" s="50"/>
      <c r="O16184" s="36" t="s">
        <v>48</v>
      </c>
      <c r="R16184" s="36" t="s">
        <v>48</v>
      </c>
    </row>
    <row r="16185">
      <c r="H16185" s="50"/>
      <c r="I16185" s="50"/>
      <c r="O16185" s="36" t="s">
        <v>48</v>
      </c>
      <c r="R16185" s="36" t="s">
        <v>48</v>
      </c>
    </row>
    <row r="16186">
      <c r="H16186" s="50"/>
      <c r="I16186" s="50"/>
      <c r="O16186" s="36" t="s">
        <v>48</v>
      </c>
      <c r="R16186" s="36" t="s">
        <v>48</v>
      </c>
    </row>
    <row r="16187">
      <c r="H16187" s="50"/>
      <c r="I16187" s="50"/>
      <c r="O16187" s="36" t="s">
        <v>48</v>
      </c>
      <c r="R16187" s="36" t="s">
        <v>48</v>
      </c>
    </row>
    <row r="16188">
      <c r="H16188" s="50"/>
      <c r="I16188" s="50"/>
      <c r="O16188" s="36" t="s">
        <v>48</v>
      </c>
      <c r="R16188" s="36" t="s">
        <v>48</v>
      </c>
    </row>
    <row r="16189">
      <c r="H16189" s="50"/>
      <c r="I16189" s="50"/>
      <c r="O16189" s="36" t="s">
        <v>48</v>
      </c>
      <c r="R16189" s="36" t="s">
        <v>48</v>
      </c>
    </row>
    <row r="16190">
      <c r="H16190" s="50"/>
      <c r="I16190" s="50"/>
      <c r="O16190" s="36" t="s">
        <v>48</v>
      </c>
      <c r="R16190" s="36" t="s">
        <v>48</v>
      </c>
    </row>
    <row r="16191">
      <c r="H16191" s="50"/>
      <c r="I16191" s="50"/>
      <c r="O16191" s="36" t="s">
        <v>48</v>
      </c>
      <c r="R16191" s="36" t="s">
        <v>48</v>
      </c>
    </row>
    <row r="16192">
      <c r="H16192" s="50"/>
      <c r="I16192" s="50"/>
      <c r="O16192" s="36" t="s">
        <v>48</v>
      </c>
      <c r="R16192" s="36" t="s">
        <v>48</v>
      </c>
    </row>
    <row r="16193">
      <c r="H16193" s="50"/>
      <c r="I16193" s="50"/>
      <c r="O16193" s="36" t="s">
        <v>48</v>
      </c>
      <c r="R16193" s="36" t="s">
        <v>48</v>
      </c>
    </row>
    <row r="16194">
      <c r="H16194" s="50"/>
      <c r="I16194" s="50"/>
      <c r="O16194" s="36" t="s">
        <v>48</v>
      </c>
      <c r="R16194" s="36" t="s">
        <v>48</v>
      </c>
    </row>
    <row r="16195">
      <c r="H16195" s="50"/>
      <c r="I16195" s="50"/>
      <c r="O16195" s="36" t="s">
        <v>48</v>
      </c>
      <c r="R16195" s="36" t="s">
        <v>48</v>
      </c>
    </row>
    <row r="16196">
      <c r="H16196" s="50"/>
      <c r="I16196" s="50"/>
      <c r="O16196" s="36" t="s">
        <v>48</v>
      </c>
      <c r="R16196" s="36" t="s">
        <v>48</v>
      </c>
    </row>
    <row r="16197">
      <c r="H16197" s="50"/>
      <c r="I16197" s="50"/>
      <c r="O16197" s="36" t="s">
        <v>48</v>
      </c>
      <c r="R16197" s="36" t="s">
        <v>48</v>
      </c>
    </row>
    <row r="16198">
      <c r="H16198" s="50"/>
      <c r="I16198" s="50"/>
      <c r="O16198" s="36" t="s">
        <v>48</v>
      </c>
      <c r="R16198" s="36" t="s">
        <v>48</v>
      </c>
    </row>
    <row r="16199">
      <c r="H16199" s="50"/>
      <c r="I16199" s="50"/>
      <c r="O16199" s="36" t="s">
        <v>48</v>
      </c>
      <c r="R16199" s="36" t="s">
        <v>48</v>
      </c>
    </row>
    <row r="16200">
      <c r="H16200" s="50"/>
      <c r="I16200" s="50"/>
      <c r="O16200" s="36" t="s">
        <v>48</v>
      </c>
      <c r="R16200" s="36" t="s">
        <v>48</v>
      </c>
    </row>
    <row r="16201">
      <c r="H16201" s="50"/>
      <c r="I16201" s="50"/>
      <c r="O16201" s="36" t="s">
        <v>48</v>
      </c>
      <c r="R16201" s="36" t="s">
        <v>48</v>
      </c>
    </row>
    <row r="16202">
      <c r="H16202" s="50"/>
      <c r="I16202" s="50"/>
      <c r="O16202" s="36" t="s">
        <v>48</v>
      </c>
      <c r="R16202" s="36" t="s">
        <v>48</v>
      </c>
    </row>
    <row r="16203">
      <c r="H16203" s="50"/>
      <c r="I16203" s="50"/>
      <c r="O16203" s="36" t="s">
        <v>48</v>
      </c>
      <c r="R16203" s="36" t="s">
        <v>48</v>
      </c>
    </row>
    <row r="16204">
      <c r="H16204" s="50"/>
      <c r="I16204" s="50"/>
      <c r="O16204" s="36" t="s">
        <v>48</v>
      </c>
      <c r="R16204" s="36" t="s">
        <v>48</v>
      </c>
    </row>
    <row r="16205">
      <c r="H16205" s="50"/>
      <c r="I16205" s="50"/>
      <c r="O16205" s="36" t="s">
        <v>48</v>
      </c>
      <c r="R16205" s="36" t="s">
        <v>48</v>
      </c>
    </row>
    <row r="16206">
      <c r="H16206" s="50"/>
      <c r="I16206" s="50"/>
      <c r="O16206" s="36" t="s">
        <v>48</v>
      </c>
      <c r="R16206" s="36" t="s">
        <v>48</v>
      </c>
    </row>
    <row r="16207">
      <c r="H16207" s="50"/>
      <c r="I16207" s="50"/>
      <c r="O16207" s="36" t="s">
        <v>48</v>
      </c>
      <c r="R16207" s="36" t="s">
        <v>48</v>
      </c>
    </row>
    <row r="16208">
      <c r="H16208" s="50"/>
      <c r="I16208" s="50"/>
      <c r="O16208" s="36" t="s">
        <v>48</v>
      </c>
      <c r="R16208" s="36" t="s">
        <v>48</v>
      </c>
    </row>
    <row r="16209">
      <c r="H16209" s="50"/>
      <c r="I16209" s="50"/>
      <c r="O16209" s="36" t="s">
        <v>48</v>
      </c>
      <c r="R16209" s="36" t="s">
        <v>48</v>
      </c>
    </row>
    <row r="16210">
      <c r="H16210" s="50"/>
      <c r="I16210" s="50"/>
      <c r="O16210" s="36" t="s">
        <v>48</v>
      </c>
      <c r="R16210" s="36" t="s">
        <v>48</v>
      </c>
    </row>
    <row r="16211">
      <c r="H16211" s="50"/>
      <c r="I16211" s="50"/>
      <c r="O16211" s="36" t="s">
        <v>48</v>
      </c>
      <c r="R16211" s="36" t="s">
        <v>48</v>
      </c>
    </row>
    <row r="16212">
      <c r="H16212" s="50"/>
      <c r="I16212" s="50"/>
      <c r="O16212" s="36" t="s">
        <v>48</v>
      </c>
      <c r="R16212" s="36" t="s">
        <v>48</v>
      </c>
    </row>
    <row r="16213">
      <c r="H16213" s="50"/>
      <c r="I16213" s="50"/>
      <c r="O16213" s="36" t="s">
        <v>48</v>
      </c>
      <c r="R16213" s="36" t="s">
        <v>48</v>
      </c>
    </row>
    <row r="16214">
      <c r="H16214" s="50"/>
      <c r="I16214" s="50"/>
      <c r="O16214" s="36" t="s">
        <v>48</v>
      </c>
      <c r="R16214" s="36" t="s">
        <v>48</v>
      </c>
    </row>
    <row r="16215">
      <c r="H16215" s="50"/>
      <c r="I16215" s="50"/>
      <c r="O16215" s="36" t="s">
        <v>48</v>
      </c>
      <c r="R16215" s="36" t="s">
        <v>48</v>
      </c>
    </row>
    <row r="16216">
      <c r="H16216" s="50"/>
      <c r="I16216" s="50"/>
      <c r="O16216" s="36" t="s">
        <v>48</v>
      </c>
      <c r="R16216" s="36" t="s">
        <v>48</v>
      </c>
    </row>
    <row r="16217">
      <c r="H16217" s="50"/>
      <c r="I16217" s="50"/>
      <c r="O16217" s="36" t="s">
        <v>48</v>
      </c>
      <c r="R16217" s="36" t="s">
        <v>48</v>
      </c>
    </row>
    <row r="16218">
      <c r="H16218" s="50"/>
      <c r="I16218" s="50"/>
      <c r="O16218" s="36" t="s">
        <v>48</v>
      </c>
      <c r="R16218" s="36" t="s">
        <v>48</v>
      </c>
    </row>
    <row r="16219">
      <c r="H16219" s="50"/>
      <c r="I16219" s="50"/>
      <c r="O16219" s="36" t="s">
        <v>48</v>
      </c>
      <c r="R16219" s="36" t="s">
        <v>48</v>
      </c>
    </row>
    <row r="16220">
      <c r="H16220" s="50"/>
      <c r="I16220" s="50"/>
      <c r="O16220" s="36" t="s">
        <v>48</v>
      </c>
      <c r="R16220" s="36" t="s">
        <v>48</v>
      </c>
    </row>
    <row r="16221">
      <c r="H16221" s="50"/>
      <c r="I16221" s="50"/>
      <c r="O16221" s="36" t="s">
        <v>48</v>
      </c>
      <c r="R16221" s="36" t="s">
        <v>48</v>
      </c>
    </row>
    <row r="16222">
      <c r="H16222" s="50"/>
      <c r="I16222" s="50"/>
      <c r="O16222" s="36" t="s">
        <v>48</v>
      </c>
      <c r="R16222" s="36" t="s">
        <v>48</v>
      </c>
    </row>
    <row r="16223">
      <c r="H16223" s="50"/>
      <c r="I16223" s="50"/>
      <c r="O16223" s="36" t="s">
        <v>48</v>
      </c>
      <c r="R16223" s="36" t="s">
        <v>48</v>
      </c>
    </row>
    <row r="16224">
      <c r="H16224" s="50"/>
      <c r="I16224" s="50"/>
      <c r="O16224" s="36" t="s">
        <v>48</v>
      </c>
      <c r="R16224" s="36" t="s">
        <v>48</v>
      </c>
    </row>
    <row r="16225">
      <c r="H16225" s="50"/>
      <c r="I16225" s="50"/>
      <c r="O16225" s="36" t="s">
        <v>48</v>
      </c>
      <c r="R16225" s="36" t="s">
        <v>48</v>
      </c>
    </row>
    <row r="16226">
      <c r="H16226" s="50"/>
      <c r="I16226" s="50"/>
      <c r="O16226" s="36" t="s">
        <v>48</v>
      </c>
      <c r="R16226" s="36" t="s">
        <v>48</v>
      </c>
    </row>
    <row r="16227">
      <c r="H16227" s="50"/>
      <c r="I16227" s="50"/>
      <c r="O16227" s="36" t="s">
        <v>48</v>
      </c>
      <c r="R16227" s="36" t="s">
        <v>48</v>
      </c>
    </row>
    <row r="16228">
      <c r="H16228" s="50"/>
      <c r="I16228" s="50"/>
      <c r="O16228" s="36" t="s">
        <v>48</v>
      </c>
      <c r="R16228" s="36" t="s">
        <v>48</v>
      </c>
    </row>
    <row r="16229">
      <c r="H16229" s="50"/>
      <c r="I16229" s="50"/>
      <c r="O16229" s="36" t="s">
        <v>48</v>
      </c>
      <c r="R16229" s="36" t="s">
        <v>48</v>
      </c>
    </row>
    <row r="16230">
      <c r="H16230" s="50"/>
      <c r="I16230" s="50"/>
      <c r="O16230" s="36" t="s">
        <v>48</v>
      </c>
      <c r="R16230" s="36" t="s">
        <v>48</v>
      </c>
    </row>
    <row r="16231">
      <c r="H16231" s="50"/>
      <c r="I16231" s="50"/>
      <c r="O16231" s="36" t="s">
        <v>48</v>
      </c>
      <c r="R16231" s="36" t="s">
        <v>48</v>
      </c>
    </row>
    <row r="16232">
      <c r="H16232" s="50"/>
      <c r="I16232" s="50"/>
      <c r="O16232" s="36" t="s">
        <v>48</v>
      </c>
      <c r="R16232" s="36" t="s">
        <v>48</v>
      </c>
    </row>
    <row r="16233">
      <c r="H16233" s="50"/>
      <c r="I16233" s="50"/>
      <c r="O16233" s="36" t="s">
        <v>48</v>
      </c>
      <c r="R16233" s="36" t="s">
        <v>48</v>
      </c>
    </row>
    <row r="16234">
      <c r="H16234" s="50"/>
      <c r="I16234" s="50"/>
      <c r="O16234" s="36" t="s">
        <v>48</v>
      </c>
      <c r="R16234" s="36" t="s">
        <v>48</v>
      </c>
    </row>
    <row r="16235">
      <c r="H16235" s="50"/>
      <c r="I16235" s="50"/>
      <c r="O16235" s="36" t="s">
        <v>48</v>
      </c>
      <c r="R16235" s="36" t="s">
        <v>48</v>
      </c>
    </row>
    <row r="16236">
      <c r="H16236" s="50"/>
      <c r="I16236" s="50"/>
      <c r="O16236" s="36" t="s">
        <v>48</v>
      </c>
      <c r="R16236" s="36" t="s">
        <v>48</v>
      </c>
    </row>
    <row r="16237">
      <c r="H16237" s="50"/>
      <c r="I16237" s="50"/>
      <c r="O16237" s="36" t="s">
        <v>48</v>
      </c>
      <c r="R16237" s="36" t="s">
        <v>48</v>
      </c>
    </row>
    <row r="16238">
      <c r="H16238" s="50"/>
      <c r="I16238" s="50"/>
      <c r="O16238" s="36" t="s">
        <v>48</v>
      </c>
      <c r="R16238" s="36" t="s">
        <v>48</v>
      </c>
    </row>
    <row r="16239">
      <c r="H16239" s="50"/>
      <c r="I16239" s="50"/>
      <c r="O16239" s="36" t="s">
        <v>48</v>
      </c>
      <c r="R16239" s="36" t="s">
        <v>48</v>
      </c>
    </row>
    <row r="16240">
      <c r="H16240" s="50"/>
      <c r="I16240" s="50"/>
      <c r="O16240" s="36" t="s">
        <v>48</v>
      </c>
      <c r="R16240" s="36" t="s">
        <v>48</v>
      </c>
    </row>
    <row r="16241">
      <c r="H16241" s="50"/>
      <c r="I16241" s="50"/>
      <c r="O16241" s="36" t="s">
        <v>48</v>
      </c>
      <c r="R16241" s="36" t="s">
        <v>48</v>
      </c>
    </row>
    <row r="16242">
      <c r="H16242" s="50"/>
      <c r="I16242" s="50"/>
      <c r="O16242" s="36" t="s">
        <v>48</v>
      </c>
      <c r="R16242" s="36" t="s">
        <v>48</v>
      </c>
    </row>
    <row r="16243">
      <c r="H16243" s="50"/>
      <c r="I16243" s="50"/>
      <c r="O16243" s="36" t="s">
        <v>48</v>
      </c>
      <c r="R16243" s="36" t="s">
        <v>48</v>
      </c>
    </row>
    <row r="16244">
      <c r="H16244" s="50"/>
      <c r="I16244" s="50"/>
      <c r="O16244" s="36" t="s">
        <v>48</v>
      </c>
      <c r="R16244" s="36" t="s">
        <v>48</v>
      </c>
    </row>
    <row r="16245">
      <c r="H16245" s="50"/>
      <c r="I16245" s="50"/>
      <c r="O16245" s="36" t="s">
        <v>48</v>
      </c>
      <c r="R16245" s="36" t="s">
        <v>48</v>
      </c>
    </row>
    <row r="16246">
      <c r="H16246" s="50"/>
      <c r="I16246" s="50"/>
      <c r="O16246" s="36" t="s">
        <v>48</v>
      </c>
      <c r="R16246" s="36" t="s">
        <v>48</v>
      </c>
    </row>
    <row r="16247">
      <c r="H16247" s="50"/>
      <c r="I16247" s="50"/>
      <c r="O16247" s="36" t="s">
        <v>48</v>
      </c>
      <c r="R16247" s="36" t="s">
        <v>48</v>
      </c>
    </row>
    <row r="16248">
      <c r="H16248" s="50"/>
      <c r="I16248" s="50"/>
      <c r="O16248" s="36" t="s">
        <v>48</v>
      </c>
      <c r="R16248" s="36" t="s">
        <v>48</v>
      </c>
    </row>
    <row r="16249">
      <c r="H16249" s="50"/>
      <c r="I16249" s="50"/>
      <c r="O16249" s="36" t="s">
        <v>48</v>
      </c>
      <c r="R16249" s="36" t="s">
        <v>48</v>
      </c>
    </row>
    <row r="16250">
      <c r="H16250" s="50"/>
      <c r="I16250" s="50"/>
      <c r="O16250" s="36" t="s">
        <v>48</v>
      </c>
      <c r="R16250" s="36" t="s">
        <v>48</v>
      </c>
    </row>
    <row r="16251">
      <c r="H16251" s="50"/>
      <c r="I16251" s="50"/>
      <c r="O16251" s="36" t="s">
        <v>48</v>
      </c>
      <c r="R16251" s="36" t="s">
        <v>48</v>
      </c>
    </row>
    <row r="16252">
      <c r="H16252" s="50"/>
      <c r="I16252" s="50"/>
      <c r="O16252" s="36" t="s">
        <v>48</v>
      </c>
      <c r="R16252" s="36" t="s">
        <v>48</v>
      </c>
    </row>
    <row r="16253">
      <c r="H16253" s="50"/>
      <c r="I16253" s="50"/>
      <c r="O16253" s="36" t="s">
        <v>48</v>
      </c>
      <c r="R16253" s="36" t="s">
        <v>48</v>
      </c>
    </row>
    <row r="16254">
      <c r="H16254" s="50"/>
      <c r="I16254" s="50"/>
      <c r="O16254" s="36" t="s">
        <v>48</v>
      </c>
      <c r="R16254" s="36" t="s">
        <v>48</v>
      </c>
    </row>
    <row r="16255">
      <c r="H16255" s="50"/>
      <c r="I16255" s="50"/>
      <c r="O16255" s="36" t="s">
        <v>48</v>
      </c>
      <c r="R16255" s="36" t="s">
        <v>48</v>
      </c>
    </row>
    <row r="16256">
      <c r="H16256" s="50"/>
      <c r="I16256" s="50"/>
      <c r="O16256" s="36" t="s">
        <v>48</v>
      </c>
      <c r="R16256" s="36" t="s">
        <v>48</v>
      </c>
    </row>
    <row r="16257">
      <c r="H16257" s="50"/>
      <c r="I16257" s="50"/>
      <c r="O16257" s="36" t="s">
        <v>48</v>
      </c>
      <c r="R16257" s="36" t="s">
        <v>48</v>
      </c>
    </row>
    <row r="16258">
      <c r="H16258" s="50"/>
      <c r="I16258" s="50"/>
      <c r="O16258" s="36" t="s">
        <v>48</v>
      </c>
      <c r="R16258" s="36" t="s">
        <v>48</v>
      </c>
    </row>
    <row r="16259">
      <c r="H16259" s="50"/>
      <c r="I16259" s="50"/>
      <c r="O16259" s="36" t="s">
        <v>48</v>
      </c>
      <c r="R16259" s="36" t="s">
        <v>48</v>
      </c>
    </row>
    <row r="16260">
      <c r="H16260" s="50"/>
      <c r="I16260" s="50"/>
      <c r="O16260" s="36" t="s">
        <v>48</v>
      </c>
      <c r="R16260" s="36" t="s">
        <v>48</v>
      </c>
    </row>
    <row r="16261">
      <c r="H16261" s="50"/>
      <c r="I16261" s="50"/>
      <c r="O16261" s="36" t="s">
        <v>48</v>
      </c>
      <c r="R16261" s="36" t="s">
        <v>48</v>
      </c>
    </row>
    <row r="16262">
      <c r="H16262" s="50"/>
      <c r="I16262" s="50"/>
      <c r="O16262" s="36" t="s">
        <v>48</v>
      </c>
      <c r="R16262" s="36" t="s">
        <v>48</v>
      </c>
    </row>
    <row r="16263">
      <c r="H16263" s="50"/>
      <c r="I16263" s="50"/>
      <c r="O16263" s="36" t="s">
        <v>48</v>
      </c>
      <c r="R16263" s="36" t="s">
        <v>48</v>
      </c>
    </row>
    <row r="16264">
      <c r="H16264" s="50"/>
      <c r="I16264" s="50"/>
      <c r="O16264" s="36" t="s">
        <v>48</v>
      </c>
      <c r="R16264" s="36" t="s">
        <v>48</v>
      </c>
    </row>
    <row r="16265">
      <c r="H16265" s="50"/>
      <c r="I16265" s="50"/>
      <c r="O16265" s="36" t="s">
        <v>48</v>
      </c>
      <c r="R16265" s="36" t="s">
        <v>48</v>
      </c>
    </row>
    <row r="16266">
      <c r="H16266" s="50"/>
      <c r="I16266" s="50"/>
      <c r="O16266" s="36" t="s">
        <v>48</v>
      </c>
      <c r="R16266" s="36" t="s">
        <v>48</v>
      </c>
    </row>
    <row r="16267">
      <c r="H16267" s="50"/>
      <c r="I16267" s="50"/>
      <c r="O16267" s="36" t="s">
        <v>48</v>
      </c>
      <c r="R16267" s="36" t="s">
        <v>48</v>
      </c>
    </row>
    <row r="16268">
      <c r="H16268" s="50"/>
      <c r="I16268" s="50"/>
      <c r="O16268" s="36" t="s">
        <v>48</v>
      </c>
      <c r="R16268" s="36" t="s">
        <v>48</v>
      </c>
    </row>
    <row r="16269">
      <c r="H16269" s="50"/>
      <c r="I16269" s="50"/>
      <c r="O16269" s="36" t="s">
        <v>48</v>
      </c>
      <c r="R16269" s="36" t="s">
        <v>48</v>
      </c>
    </row>
    <row r="16270">
      <c r="H16270" s="50"/>
      <c r="I16270" s="50"/>
      <c r="O16270" s="36" t="s">
        <v>48</v>
      </c>
      <c r="R16270" s="36" t="s">
        <v>48</v>
      </c>
    </row>
    <row r="16271">
      <c r="H16271" s="50"/>
      <c r="I16271" s="50"/>
      <c r="O16271" s="36" t="s">
        <v>48</v>
      </c>
      <c r="R16271" s="36" t="s">
        <v>48</v>
      </c>
    </row>
    <row r="16272">
      <c r="H16272" s="50"/>
      <c r="I16272" s="50"/>
      <c r="O16272" s="36" t="s">
        <v>48</v>
      </c>
      <c r="R16272" s="36" t="s">
        <v>48</v>
      </c>
    </row>
    <row r="16273">
      <c r="H16273" s="50"/>
      <c r="I16273" s="50"/>
      <c r="O16273" s="36" t="s">
        <v>48</v>
      </c>
      <c r="R16273" s="36" t="s">
        <v>48</v>
      </c>
    </row>
    <row r="16274">
      <c r="H16274" s="50"/>
      <c r="I16274" s="50"/>
      <c r="O16274" s="36" t="s">
        <v>48</v>
      </c>
      <c r="R16274" s="36" t="s">
        <v>48</v>
      </c>
    </row>
    <row r="16275">
      <c r="H16275" s="50"/>
      <c r="I16275" s="50"/>
      <c r="O16275" s="36" t="s">
        <v>48</v>
      </c>
      <c r="R16275" s="36" t="s">
        <v>48</v>
      </c>
    </row>
    <row r="16276">
      <c r="H16276" s="50"/>
      <c r="I16276" s="50"/>
      <c r="O16276" s="36" t="s">
        <v>48</v>
      </c>
      <c r="R16276" s="36" t="s">
        <v>48</v>
      </c>
    </row>
    <row r="16277">
      <c r="H16277" s="50"/>
      <c r="I16277" s="50"/>
      <c r="O16277" s="36" t="s">
        <v>48</v>
      </c>
      <c r="R16277" s="36" t="s">
        <v>48</v>
      </c>
    </row>
    <row r="16278">
      <c r="H16278" s="50"/>
      <c r="I16278" s="50"/>
      <c r="O16278" s="36" t="s">
        <v>48</v>
      </c>
      <c r="R16278" s="36" t="s">
        <v>48</v>
      </c>
    </row>
    <row r="16279">
      <c r="H16279" s="50"/>
      <c r="I16279" s="50"/>
      <c r="O16279" s="36" t="s">
        <v>48</v>
      </c>
      <c r="R16279" s="36" t="s">
        <v>48</v>
      </c>
    </row>
    <row r="16280">
      <c r="H16280" s="50"/>
      <c r="I16280" s="50"/>
      <c r="O16280" s="36" t="s">
        <v>48</v>
      </c>
      <c r="R16280" s="36" t="s">
        <v>48</v>
      </c>
    </row>
    <row r="16281">
      <c r="H16281" s="50"/>
      <c r="I16281" s="50"/>
      <c r="O16281" s="36" t="s">
        <v>48</v>
      </c>
      <c r="R16281" s="36" t="s">
        <v>48</v>
      </c>
    </row>
    <row r="16282">
      <c r="H16282" s="50"/>
      <c r="I16282" s="50"/>
      <c r="O16282" s="36" t="s">
        <v>48</v>
      </c>
      <c r="R16282" s="36" t="s">
        <v>48</v>
      </c>
    </row>
    <row r="16283">
      <c r="H16283" s="50"/>
      <c r="I16283" s="50"/>
      <c r="O16283" s="36" t="s">
        <v>48</v>
      </c>
      <c r="R16283" s="36" t="s">
        <v>48</v>
      </c>
    </row>
    <row r="16284">
      <c r="H16284" s="50"/>
      <c r="I16284" s="50"/>
      <c r="O16284" s="36" t="s">
        <v>48</v>
      </c>
      <c r="R16284" s="36" t="s">
        <v>48</v>
      </c>
    </row>
    <row r="16285">
      <c r="H16285" s="50"/>
      <c r="I16285" s="50"/>
      <c r="O16285" s="36" t="s">
        <v>48</v>
      </c>
      <c r="R16285" s="36" t="s">
        <v>48</v>
      </c>
    </row>
    <row r="16286">
      <c r="H16286" s="50"/>
      <c r="I16286" s="50"/>
      <c r="O16286" s="36" t="s">
        <v>48</v>
      </c>
      <c r="R16286" s="36" t="s">
        <v>48</v>
      </c>
    </row>
    <row r="16287">
      <c r="H16287" s="50"/>
      <c r="I16287" s="50"/>
      <c r="O16287" s="36" t="s">
        <v>48</v>
      </c>
      <c r="R16287" s="36" t="s">
        <v>48</v>
      </c>
    </row>
    <row r="16288">
      <c r="H16288" s="50"/>
      <c r="I16288" s="50"/>
      <c r="O16288" s="36" t="s">
        <v>48</v>
      </c>
      <c r="R16288" s="36" t="s">
        <v>48</v>
      </c>
    </row>
    <row r="16289">
      <c r="H16289" s="50"/>
      <c r="I16289" s="50"/>
      <c r="O16289" s="36" t="s">
        <v>48</v>
      </c>
      <c r="R16289" s="36" t="s">
        <v>48</v>
      </c>
    </row>
    <row r="16290">
      <c r="H16290" s="50"/>
      <c r="I16290" s="50"/>
      <c r="O16290" s="36" t="s">
        <v>48</v>
      </c>
      <c r="R16290" s="36" t="s">
        <v>48</v>
      </c>
    </row>
    <row r="16291">
      <c r="H16291" s="50"/>
      <c r="I16291" s="50"/>
      <c r="O16291" s="36" t="s">
        <v>48</v>
      </c>
      <c r="R16291" s="36" t="s">
        <v>48</v>
      </c>
    </row>
    <row r="16292">
      <c r="H16292" s="50"/>
      <c r="I16292" s="50"/>
      <c r="O16292" s="36" t="s">
        <v>48</v>
      </c>
      <c r="R16292" s="36" t="s">
        <v>48</v>
      </c>
    </row>
    <row r="16293">
      <c r="H16293" s="50"/>
      <c r="I16293" s="50"/>
      <c r="O16293" s="36" t="s">
        <v>48</v>
      </c>
      <c r="R16293" s="36" t="s">
        <v>48</v>
      </c>
    </row>
    <row r="16294">
      <c r="H16294" s="50"/>
      <c r="I16294" s="50"/>
      <c r="O16294" s="36" t="s">
        <v>48</v>
      </c>
      <c r="R16294" s="36" t="s">
        <v>48</v>
      </c>
    </row>
    <row r="16295">
      <c r="H16295" s="50"/>
      <c r="I16295" s="50"/>
      <c r="O16295" s="36" t="s">
        <v>48</v>
      </c>
      <c r="R16295" s="36" t="s">
        <v>48</v>
      </c>
    </row>
    <row r="16296">
      <c r="H16296" s="50"/>
      <c r="I16296" s="50"/>
      <c r="O16296" s="36" t="s">
        <v>48</v>
      </c>
      <c r="R16296" s="36" t="s">
        <v>48</v>
      </c>
    </row>
    <row r="16297">
      <c r="H16297" s="50"/>
      <c r="I16297" s="50"/>
      <c r="O16297" s="36" t="s">
        <v>48</v>
      </c>
      <c r="R16297" s="36" t="s">
        <v>48</v>
      </c>
    </row>
    <row r="16298">
      <c r="H16298" s="50"/>
      <c r="I16298" s="50"/>
      <c r="O16298" s="36" t="s">
        <v>48</v>
      </c>
      <c r="R16298" s="36" t="s">
        <v>48</v>
      </c>
    </row>
    <row r="16299">
      <c r="H16299" s="50"/>
      <c r="I16299" s="50"/>
      <c r="O16299" s="36" t="s">
        <v>48</v>
      </c>
      <c r="R16299" s="36" t="s">
        <v>48</v>
      </c>
    </row>
    <row r="16300">
      <c r="H16300" s="50"/>
      <c r="I16300" s="50"/>
      <c r="O16300" s="36" t="s">
        <v>48</v>
      </c>
      <c r="R16300" s="36" t="s">
        <v>48</v>
      </c>
    </row>
    <row r="16301">
      <c r="H16301" s="50"/>
      <c r="I16301" s="50"/>
      <c r="O16301" s="36" t="s">
        <v>48</v>
      </c>
      <c r="R16301" s="36" t="s">
        <v>48</v>
      </c>
    </row>
    <row r="16302">
      <c r="H16302" s="50"/>
      <c r="I16302" s="50"/>
      <c r="O16302" s="36" t="s">
        <v>48</v>
      </c>
      <c r="R16302" s="36" t="s">
        <v>48</v>
      </c>
    </row>
    <row r="16303">
      <c r="H16303" s="50"/>
      <c r="I16303" s="50"/>
      <c r="O16303" s="36" t="s">
        <v>48</v>
      </c>
      <c r="R16303" s="36" t="s">
        <v>48</v>
      </c>
    </row>
    <row r="16304">
      <c r="H16304" s="50"/>
      <c r="I16304" s="50"/>
      <c r="O16304" s="36" t="s">
        <v>48</v>
      </c>
      <c r="R16304" s="36" t="s">
        <v>48</v>
      </c>
    </row>
    <row r="16305">
      <c r="H16305" s="50"/>
      <c r="I16305" s="50"/>
      <c r="O16305" s="36" t="s">
        <v>48</v>
      </c>
      <c r="R16305" s="36" t="s">
        <v>48</v>
      </c>
    </row>
    <row r="16306">
      <c r="H16306" s="50"/>
      <c r="I16306" s="50"/>
      <c r="O16306" s="36" t="s">
        <v>48</v>
      </c>
      <c r="R16306" s="36" t="s">
        <v>48</v>
      </c>
    </row>
    <row r="16307">
      <c r="H16307" s="50"/>
      <c r="I16307" s="50"/>
      <c r="O16307" s="36" t="s">
        <v>48</v>
      </c>
      <c r="R16307" s="36" t="s">
        <v>48</v>
      </c>
    </row>
    <row r="16308">
      <c r="H16308" s="50"/>
      <c r="I16308" s="50"/>
      <c r="O16308" s="36" t="s">
        <v>48</v>
      </c>
      <c r="R16308" s="36" t="s">
        <v>48</v>
      </c>
    </row>
    <row r="16309">
      <c r="H16309" s="50"/>
      <c r="I16309" s="50"/>
      <c r="O16309" s="36" t="s">
        <v>48</v>
      </c>
      <c r="R16309" s="36" t="s">
        <v>48</v>
      </c>
    </row>
    <row r="16310">
      <c r="H16310" s="50"/>
      <c r="I16310" s="50"/>
      <c r="O16310" s="36" t="s">
        <v>48</v>
      </c>
      <c r="R16310" s="36" t="s">
        <v>48</v>
      </c>
    </row>
    <row r="16311">
      <c r="H16311" s="50"/>
      <c r="I16311" s="50"/>
      <c r="O16311" s="36" t="s">
        <v>48</v>
      </c>
      <c r="R16311" s="36" t="s">
        <v>48</v>
      </c>
    </row>
    <row r="16312">
      <c r="H16312" s="50"/>
      <c r="I16312" s="50"/>
      <c r="O16312" s="36" t="s">
        <v>48</v>
      </c>
      <c r="R16312" s="36" t="s">
        <v>48</v>
      </c>
    </row>
    <row r="16313">
      <c r="H16313" s="50"/>
      <c r="I16313" s="50"/>
      <c r="O16313" s="36" t="s">
        <v>48</v>
      </c>
      <c r="R16313" s="36" t="s">
        <v>48</v>
      </c>
    </row>
    <row r="16314">
      <c r="H16314" s="50"/>
      <c r="I16314" s="50"/>
      <c r="O16314" s="36" t="s">
        <v>48</v>
      </c>
      <c r="R16314" s="36" t="s">
        <v>48</v>
      </c>
    </row>
    <row r="16315">
      <c r="H16315" s="50"/>
      <c r="I16315" s="50"/>
      <c r="O16315" s="36" t="s">
        <v>48</v>
      </c>
      <c r="R16315" s="36" t="s">
        <v>48</v>
      </c>
    </row>
    <row r="16316">
      <c r="H16316" s="50"/>
      <c r="I16316" s="50"/>
      <c r="O16316" s="36" t="s">
        <v>48</v>
      </c>
      <c r="R16316" s="36" t="s">
        <v>48</v>
      </c>
    </row>
    <row r="16317">
      <c r="H16317" s="50"/>
      <c r="I16317" s="50"/>
      <c r="O16317" s="36" t="s">
        <v>48</v>
      </c>
      <c r="R16317" s="36" t="s">
        <v>48</v>
      </c>
    </row>
    <row r="16318">
      <c r="H16318" s="50"/>
      <c r="I16318" s="50"/>
      <c r="O16318" s="36" t="s">
        <v>48</v>
      </c>
      <c r="R16318" s="36" t="s">
        <v>48</v>
      </c>
    </row>
    <row r="16319">
      <c r="H16319" s="50"/>
      <c r="I16319" s="50"/>
      <c r="O16319" s="36" t="s">
        <v>48</v>
      </c>
      <c r="R16319" s="36" t="s">
        <v>48</v>
      </c>
    </row>
    <row r="16320">
      <c r="H16320" s="50"/>
      <c r="I16320" s="50"/>
      <c r="O16320" s="36" t="s">
        <v>48</v>
      </c>
      <c r="R16320" s="36" t="s">
        <v>48</v>
      </c>
    </row>
    <row r="16321">
      <c r="H16321" s="50"/>
      <c r="I16321" s="50"/>
      <c r="O16321" s="36" t="s">
        <v>48</v>
      </c>
      <c r="R16321" s="36" t="s">
        <v>48</v>
      </c>
    </row>
    <row r="16322">
      <c r="H16322" s="50"/>
      <c r="I16322" s="50"/>
      <c r="O16322" s="36" t="s">
        <v>48</v>
      </c>
      <c r="R16322" s="36" t="s">
        <v>48</v>
      </c>
    </row>
    <row r="16323">
      <c r="H16323" s="50"/>
      <c r="I16323" s="50"/>
      <c r="O16323" s="36" t="s">
        <v>48</v>
      </c>
      <c r="R16323" s="36" t="s">
        <v>48</v>
      </c>
    </row>
    <row r="16324">
      <c r="H16324" s="50"/>
      <c r="I16324" s="50"/>
      <c r="O16324" s="36" t="s">
        <v>48</v>
      </c>
      <c r="R16324" s="36" t="s">
        <v>48</v>
      </c>
    </row>
    <row r="16325">
      <c r="H16325" s="50"/>
      <c r="I16325" s="50"/>
      <c r="O16325" s="36" t="s">
        <v>48</v>
      </c>
      <c r="R16325" s="36" t="s">
        <v>48</v>
      </c>
    </row>
    <row r="16326">
      <c r="H16326" s="50"/>
      <c r="I16326" s="50"/>
      <c r="O16326" s="36" t="s">
        <v>48</v>
      </c>
      <c r="R16326" s="36" t="s">
        <v>48</v>
      </c>
    </row>
    <row r="16327">
      <c r="H16327" s="50"/>
      <c r="I16327" s="50"/>
      <c r="O16327" s="36" t="s">
        <v>48</v>
      </c>
      <c r="R16327" s="36" t="s">
        <v>48</v>
      </c>
    </row>
    <row r="16328">
      <c r="H16328" s="50"/>
      <c r="I16328" s="50"/>
      <c r="O16328" s="36" t="s">
        <v>48</v>
      </c>
      <c r="R16328" s="36" t="s">
        <v>48</v>
      </c>
    </row>
    <row r="16329">
      <c r="H16329" s="50"/>
      <c r="I16329" s="50"/>
      <c r="O16329" s="36" t="s">
        <v>48</v>
      </c>
      <c r="R16329" s="36" t="s">
        <v>48</v>
      </c>
    </row>
    <row r="16330">
      <c r="H16330" s="50"/>
      <c r="I16330" s="50"/>
      <c r="O16330" s="36" t="s">
        <v>48</v>
      </c>
      <c r="R16330" s="36" t="s">
        <v>48</v>
      </c>
    </row>
    <row r="16331">
      <c r="H16331" s="50"/>
      <c r="I16331" s="50"/>
      <c r="O16331" s="36" t="s">
        <v>48</v>
      </c>
      <c r="R16331" s="36" t="s">
        <v>48</v>
      </c>
    </row>
    <row r="16332">
      <c r="H16332" s="50"/>
      <c r="I16332" s="50"/>
      <c r="O16332" s="36" t="s">
        <v>48</v>
      </c>
      <c r="R16332" s="36" t="s">
        <v>48</v>
      </c>
    </row>
    <row r="16333">
      <c r="H16333" s="50"/>
      <c r="I16333" s="50"/>
      <c r="O16333" s="36" t="s">
        <v>48</v>
      </c>
      <c r="R16333" s="36" t="s">
        <v>48</v>
      </c>
    </row>
    <row r="16334">
      <c r="H16334" s="50"/>
      <c r="I16334" s="50"/>
      <c r="O16334" s="36" t="s">
        <v>48</v>
      </c>
      <c r="R16334" s="36" t="s">
        <v>48</v>
      </c>
    </row>
    <row r="16335">
      <c r="H16335" s="50"/>
      <c r="I16335" s="50"/>
      <c r="O16335" s="36" t="s">
        <v>48</v>
      </c>
      <c r="R16335" s="36" t="s">
        <v>48</v>
      </c>
    </row>
    <row r="16336">
      <c r="H16336" s="50"/>
      <c r="I16336" s="50"/>
      <c r="O16336" s="36" t="s">
        <v>48</v>
      </c>
      <c r="R16336" s="36" t="s">
        <v>48</v>
      </c>
    </row>
    <row r="16337">
      <c r="H16337" s="50"/>
      <c r="I16337" s="50"/>
      <c r="O16337" s="36" t="s">
        <v>48</v>
      </c>
      <c r="R16337" s="36" t="s">
        <v>48</v>
      </c>
    </row>
    <row r="16338">
      <c r="H16338" s="50"/>
      <c r="I16338" s="50"/>
      <c r="O16338" s="36" t="s">
        <v>48</v>
      </c>
      <c r="R16338" s="36" t="s">
        <v>48</v>
      </c>
    </row>
    <row r="16339">
      <c r="H16339" s="50"/>
      <c r="I16339" s="50"/>
      <c r="O16339" s="36" t="s">
        <v>48</v>
      </c>
      <c r="R16339" s="36" t="s">
        <v>48</v>
      </c>
    </row>
    <row r="16340">
      <c r="H16340" s="50"/>
      <c r="I16340" s="50"/>
      <c r="O16340" s="36" t="s">
        <v>48</v>
      </c>
      <c r="R16340" s="36" t="s">
        <v>48</v>
      </c>
    </row>
    <row r="16341">
      <c r="H16341" s="50"/>
      <c r="I16341" s="50"/>
      <c r="O16341" s="36" t="s">
        <v>48</v>
      </c>
      <c r="R16341" s="36" t="s">
        <v>48</v>
      </c>
    </row>
    <row r="16342">
      <c r="H16342" s="50"/>
      <c r="I16342" s="50"/>
      <c r="O16342" s="36" t="s">
        <v>48</v>
      </c>
      <c r="R16342" s="36" t="s">
        <v>48</v>
      </c>
    </row>
    <row r="16343">
      <c r="H16343" s="50"/>
      <c r="I16343" s="50"/>
      <c r="O16343" s="36" t="s">
        <v>48</v>
      </c>
      <c r="R16343" s="36" t="s">
        <v>48</v>
      </c>
    </row>
    <row r="16344">
      <c r="H16344" s="50"/>
      <c r="I16344" s="50"/>
      <c r="O16344" s="36" t="s">
        <v>48</v>
      </c>
      <c r="R16344" s="36" t="s">
        <v>48</v>
      </c>
    </row>
    <row r="16345">
      <c r="H16345" s="50"/>
      <c r="I16345" s="50"/>
      <c r="O16345" s="36" t="s">
        <v>48</v>
      </c>
      <c r="R16345" s="36" t="s">
        <v>48</v>
      </c>
    </row>
    <row r="16346">
      <c r="H16346" s="50"/>
      <c r="I16346" s="50"/>
      <c r="O16346" s="36" t="s">
        <v>48</v>
      </c>
      <c r="R16346" s="36" t="s">
        <v>48</v>
      </c>
    </row>
    <row r="16347">
      <c r="H16347" s="50"/>
      <c r="I16347" s="50"/>
      <c r="O16347" s="36" t="s">
        <v>48</v>
      </c>
      <c r="R16347" s="36" t="s">
        <v>48</v>
      </c>
    </row>
    <row r="16348">
      <c r="H16348" s="50"/>
      <c r="I16348" s="50"/>
      <c r="O16348" s="36" t="s">
        <v>48</v>
      </c>
      <c r="R16348" s="36" t="s">
        <v>48</v>
      </c>
    </row>
    <row r="16349">
      <c r="H16349" s="50"/>
      <c r="I16349" s="50"/>
      <c r="O16349" s="36" t="s">
        <v>48</v>
      </c>
      <c r="R16349" s="36" t="s">
        <v>48</v>
      </c>
    </row>
    <row r="16350">
      <c r="H16350" s="50"/>
      <c r="I16350" s="50"/>
      <c r="O16350" s="36" t="s">
        <v>48</v>
      </c>
      <c r="R16350" s="36" t="s">
        <v>48</v>
      </c>
    </row>
    <row r="16351">
      <c r="H16351" s="50"/>
      <c r="I16351" s="50"/>
      <c r="O16351" s="36" t="s">
        <v>48</v>
      </c>
      <c r="R16351" s="36" t="s">
        <v>48</v>
      </c>
    </row>
    <row r="16352">
      <c r="H16352" s="50"/>
      <c r="I16352" s="50"/>
      <c r="O16352" s="36" t="s">
        <v>48</v>
      </c>
      <c r="R16352" s="36" t="s">
        <v>48</v>
      </c>
    </row>
    <row r="16353">
      <c r="H16353" s="50"/>
      <c r="I16353" s="50"/>
      <c r="O16353" s="36" t="s">
        <v>48</v>
      </c>
      <c r="R16353" s="36" t="s">
        <v>48</v>
      </c>
    </row>
    <row r="16354">
      <c r="H16354" s="50"/>
      <c r="I16354" s="50"/>
      <c r="O16354" s="36" t="s">
        <v>48</v>
      </c>
      <c r="R16354" s="36" t="s">
        <v>48</v>
      </c>
    </row>
    <row r="16355">
      <c r="H16355" s="50"/>
      <c r="I16355" s="50"/>
      <c r="O16355" s="36" t="s">
        <v>48</v>
      </c>
      <c r="R16355" s="36" t="s">
        <v>48</v>
      </c>
    </row>
    <row r="16356">
      <c r="H16356" s="50"/>
      <c r="I16356" s="50"/>
      <c r="O16356" s="36" t="s">
        <v>48</v>
      </c>
      <c r="R16356" s="36" t="s">
        <v>48</v>
      </c>
    </row>
    <row r="16357">
      <c r="H16357" s="50"/>
      <c r="I16357" s="50"/>
      <c r="O16357" s="36" t="s">
        <v>48</v>
      </c>
      <c r="R16357" s="36" t="s">
        <v>48</v>
      </c>
    </row>
    <row r="16358">
      <c r="H16358" s="50"/>
      <c r="I16358" s="50"/>
      <c r="O16358" s="36" t="s">
        <v>48</v>
      </c>
      <c r="R16358" s="36" t="s">
        <v>48</v>
      </c>
    </row>
    <row r="16359">
      <c r="H16359" s="50"/>
      <c r="I16359" s="50"/>
      <c r="O16359" s="36" t="s">
        <v>48</v>
      </c>
      <c r="R16359" s="36" t="s">
        <v>48</v>
      </c>
    </row>
    <row r="16360">
      <c r="H16360" s="50"/>
      <c r="I16360" s="50"/>
      <c r="O16360" s="36" t="s">
        <v>48</v>
      </c>
      <c r="R16360" s="36" t="s">
        <v>48</v>
      </c>
    </row>
    <row r="16361">
      <c r="H16361" s="50"/>
      <c r="I16361" s="50"/>
      <c r="O16361" s="36" t="s">
        <v>48</v>
      </c>
      <c r="R16361" s="36" t="s">
        <v>48</v>
      </c>
    </row>
    <row r="16362">
      <c r="H16362" s="50"/>
      <c r="I16362" s="50"/>
      <c r="O16362" s="36" t="s">
        <v>48</v>
      </c>
      <c r="R16362" s="36" t="s">
        <v>48</v>
      </c>
    </row>
    <row r="16363">
      <c r="H16363" s="50"/>
      <c r="I16363" s="50"/>
      <c r="O16363" s="36" t="s">
        <v>48</v>
      </c>
      <c r="R16363" s="36" t="s">
        <v>48</v>
      </c>
    </row>
    <row r="16364">
      <c r="H16364" s="50"/>
      <c r="I16364" s="50"/>
      <c r="O16364" s="36" t="s">
        <v>48</v>
      </c>
      <c r="R16364" s="36" t="s">
        <v>48</v>
      </c>
    </row>
    <row r="16365">
      <c r="H16365" s="50"/>
      <c r="I16365" s="50"/>
      <c r="O16365" s="36" t="s">
        <v>48</v>
      </c>
      <c r="R16365" s="36" t="s">
        <v>48</v>
      </c>
    </row>
    <row r="16366">
      <c r="H16366" s="50"/>
      <c r="I16366" s="50"/>
      <c r="O16366" s="36" t="s">
        <v>48</v>
      </c>
      <c r="R16366" s="36" t="s">
        <v>48</v>
      </c>
    </row>
    <row r="16367">
      <c r="H16367" s="50"/>
      <c r="I16367" s="50"/>
      <c r="O16367" s="36" t="s">
        <v>48</v>
      </c>
      <c r="R16367" s="36" t="s">
        <v>48</v>
      </c>
    </row>
    <row r="16368">
      <c r="H16368" s="50"/>
      <c r="I16368" s="50"/>
      <c r="O16368" s="36" t="s">
        <v>48</v>
      </c>
      <c r="R16368" s="36" t="s">
        <v>48</v>
      </c>
    </row>
    <row r="16369">
      <c r="H16369" s="50"/>
      <c r="I16369" s="50"/>
      <c r="O16369" s="36" t="s">
        <v>48</v>
      </c>
      <c r="R16369" s="36" t="s">
        <v>48</v>
      </c>
    </row>
    <row r="16370">
      <c r="H16370" s="50"/>
      <c r="I16370" s="50"/>
      <c r="O16370" s="36" t="s">
        <v>48</v>
      </c>
      <c r="R16370" s="36" t="s">
        <v>48</v>
      </c>
    </row>
    <row r="16371">
      <c r="H16371" s="50"/>
      <c r="I16371" s="50"/>
      <c r="O16371" s="36" t="s">
        <v>48</v>
      </c>
      <c r="R16371" s="36" t="s">
        <v>48</v>
      </c>
    </row>
    <row r="16372">
      <c r="H16372" s="50"/>
      <c r="I16372" s="50"/>
      <c r="O16372" s="36" t="s">
        <v>48</v>
      </c>
      <c r="R16372" s="36" t="s">
        <v>48</v>
      </c>
    </row>
    <row r="16373">
      <c r="H16373" s="50"/>
      <c r="I16373" s="50"/>
      <c r="O16373" s="36" t="s">
        <v>48</v>
      </c>
      <c r="R16373" s="36" t="s">
        <v>48</v>
      </c>
    </row>
    <row r="16374">
      <c r="H16374" s="50"/>
      <c r="I16374" s="50"/>
      <c r="O16374" s="36" t="s">
        <v>48</v>
      </c>
      <c r="R16374" s="36" t="s">
        <v>48</v>
      </c>
    </row>
    <row r="16375">
      <c r="H16375" s="50"/>
      <c r="I16375" s="50"/>
      <c r="O16375" s="36" t="s">
        <v>48</v>
      </c>
      <c r="R16375" s="36" t="s">
        <v>48</v>
      </c>
    </row>
    <row r="16376">
      <c r="H16376" s="50"/>
      <c r="I16376" s="50"/>
      <c r="O16376" s="36" t="s">
        <v>48</v>
      </c>
      <c r="R16376" s="36" t="s">
        <v>48</v>
      </c>
    </row>
    <row r="16377">
      <c r="H16377" s="50"/>
      <c r="I16377" s="50"/>
      <c r="O16377" s="36" t="s">
        <v>48</v>
      </c>
      <c r="R16377" s="36" t="s">
        <v>48</v>
      </c>
    </row>
    <row r="16378">
      <c r="H16378" s="50"/>
      <c r="I16378" s="50"/>
      <c r="O16378" s="36" t="s">
        <v>48</v>
      </c>
      <c r="R16378" s="36" t="s">
        <v>48</v>
      </c>
    </row>
    <row r="16379">
      <c r="H16379" s="50"/>
      <c r="I16379" s="50"/>
      <c r="O16379" s="36" t="s">
        <v>48</v>
      </c>
      <c r="R16379" s="36" t="s">
        <v>48</v>
      </c>
    </row>
    <row r="16380">
      <c r="H16380" s="50"/>
      <c r="I16380" s="50"/>
      <c r="O16380" s="36" t="s">
        <v>48</v>
      </c>
      <c r="R16380" s="36" t="s">
        <v>48</v>
      </c>
    </row>
    <row r="16381">
      <c r="H16381" s="50"/>
      <c r="I16381" s="50"/>
      <c r="O16381" s="36" t="s">
        <v>48</v>
      </c>
      <c r="R16381" s="36" t="s">
        <v>48</v>
      </c>
    </row>
    <row r="16382">
      <c r="H16382" s="50"/>
      <c r="I16382" s="50"/>
      <c r="O16382" s="36" t="s">
        <v>48</v>
      </c>
      <c r="R16382" s="36" t="s">
        <v>48</v>
      </c>
    </row>
    <row r="16383">
      <c r="H16383" s="50"/>
      <c r="I16383" s="50"/>
      <c r="O16383" s="36" t="s">
        <v>48</v>
      </c>
      <c r="R16383" s="36" t="s">
        <v>48</v>
      </c>
    </row>
    <row r="16384">
      <c r="H16384" s="50"/>
      <c r="I16384" s="50"/>
      <c r="O16384" s="36" t="s">
        <v>48</v>
      </c>
      <c r="R16384" s="36" t="s">
        <v>48</v>
      </c>
    </row>
    <row r="16385">
      <c r="H16385" s="50"/>
      <c r="I16385" s="50"/>
      <c r="O16385" s="36" t="s">
        <v>48</v>
      </c>
      <c r="R16385" s="36" t="s">
        <v>48</v>
      </c>
    </row>
    <row r="16386">
      <c r="H16386" s="50"/>
      <c r="I16386" s="50"/>
      <c r="O16386" s="36" t="s">
        <v>48</v>
      </c>
      <c r="R16386" s="36" t="s">
        <v>48</v>
      </c>
    </row>
    <row r="16387">
      <c r="H16387" s="50"/>
      <c r="I16387" s="50"/>
      <c r="O16387" s="36" t="s">
        <v>48</v>
      </c>
      <c r="R16387" s="36" t="s">
        <v>48</v>
      </c>
    </row>
    <row r="16388">
      <c r="H16388" s="50"/>
      <c r="I16388" s="50"/>
      <c r="O16388" s="36" t="s">
        <v>48</v>
      </c>
      <c r="R16388" s="36" t="s">
        <v>48</v>
      </c>
    </row>
    <row r="16389">
      <c r="H16389" s="50"/>
      <c r="I16389" s="50"/>
      <c r="O16389" s="36" t="s">
        <v>48</v>
      </c>
      <c r="R16389" s="36" t="s">
        <v>48</v>
      </c>
    </row>
    <row r="16390">
      <c r="H16390" s="50"/>
      <c r="I16390" s="50"/>
      <c r="O16390" s="36" t="s">
        <v>48</v>
      </c>
      <c r="R16390" s="36" t="s">
        <v>48</v>
      </c>
    </row>
    <row r="16391">
      <c r="H16391" s="50"/>
      <c r="I16391" s="50"/>
      <c r="O16391" s="36" t="s">
        <v>48</v>
      </c>
      <c r="R16391" s="36" t="s">
        <v>48</v>
      </c>
    </row>
    <row r="16392">
      <c r="H16392" s="50"/>
      <c r="I16392" s="50"/>
      <c r="O16392" s="36" t="s">
        <v>48</v>
      </c>
      <c r="R16392" s="36" t="s">
        <v>48</v>
      </c>
    </row>
    <row r="16393">
      <c r="H16393" s="50"/>
      <c r="I16393" s="50"/>
      <c r="O16393" s="36" t="s">
        <v>48</v>
      </c>
      <c r="R16393" s="36" t="s">
        <v>48</v>
      </c>
    </row>
    <row r="16394">
      <c r="H16394" s="50"/>
      <c r="I16394" s="50"/>
      <c r="O16394" s="36" t="s">
        <v>48</v>
      </c>
      <c r="R16394" s="36" t="s">
        <v>48</v>
      </c>
    </row>
    <row r="16395">
      <c r="H16395" s="50"/>
      <c r="I16395" s="50"/>
      <c r="O16395" s="36" t="s">
        <v>48</v>
      </c>
      <c r="R16395" s="36" t="s">
        <v>48</v>
      </c>
    </row>
    <row r="16396">
      <c r="H16396" s="50"/>
      <c r="I16396" s="50"/>
      <c r="O16396" s="36" t="s">
        <v>48</v>
      </c>
      <c r="R16396" s="36" t="s">
        <v>48</v>
      </c>
    </row>
    <row r="16397">
      <c r="H16397" s="50"/>
      <c r="I16397" s="50"/>
      <c r="O16397" s="36" t="s">
        <v>48</v>
      </c>
      <c r="R16397" s="36" t="s">
        <v>48</v>
      </c>
    </row>
    <row r="16398">
      <c r="H16398" s="50"/>
      <c r="I16398" s="50"/>
      <c r="O16398" s="36" t="s">
        <v>48</v>
      </c>
      <c r="R16398" s="36" t="s">
        <v>48</v>
      </c>
    </row>
    <row r="16399">
      <c r="H16399" s="50"/>
      <c r="I16399" s="50"/>
      <c r="O16399" s="36" t="s">
        <v>48</v>
      </c>
      <c r="R16399" s="36" t="s">
        <v>48</v>
      </c>
    </row>
    <row r="16400">
      <c r="H16400" s="50"/>
      <c r="I16400" s="50"/>
      <c r="O16400" s="36" t="s">
        <v>48</v>
      </c>
      <c r="R16400" s="36" t="s">
        <v>48</v>
      </c>
    </row>
    <row r="16401">
      <c r="H16401" s="50"/>
      <c r="I16401" s="50"/>
      <c r="O16401" s="36" t="s">
        <v>48</v>
      </c>
      <c r="R16401" s="36" t="s">
        <v>48</v>
      </c>
    </row>
    <row r="16402">
      <c r="H16402" s="50"/>
      <c r="I16402" s="50"/>
      <c r="O16402" s="36" t="s">
        <v>48</v>
      </c>
      <c r="R16402" s="36" t="s">
        <v>48</v>
      </c>
    </row>
    <row r="16403">
      <c r="H16403" s="50"/>
      <c r="I16403" s="50"/>
      <c r="O16403" s="36" t="s">
        <v>48</v>
      </c>
      <c r="R16403" s="36" t="s">
        <v>48</v>
      </c>
    </row>
    <row r="16404">
      <c r="H16404" s="50"/>
      <c r="I16404" s="50"/>
      <c r="O16404" s="36" t="s">
        <v>48</v>
      </c>
      <c r="R16404" s="36" t="s">
        <v>48</v>
      </c>
    </row>
    <row r="16405">
      <c r="H16405" s="50"/>
      <c r="I16405" s="50"/>
      <c r="O16405" s="36" t="s">
        <v>48</v>
      </c>
      <c r="R16405" s="36" t="s">
        <v>48</v>
      </c>
    </row>
    <row r="16406">
      <c r="H16406" s="50"/>
      <c r="I16406" s="50"/>
      <c r="O16406" s="36" t="s">
        <v>48</v>
      </c>
      <c r="R16406" s="36" t="s">
        <v>48</v>
      </c>
    </row>
    <row r="16407">
      <c r="H16407" s="50"/>
      <c r="I16407" s="50"/>
      <c r="O16407" s="36" t="s">
        <v>48</v>
      </c>
      <c r="R16407" s="36" t="s">
        <v>48</v>
      </c>
    </row>
    <row r="16408">
      <c r="H16408" s="50"/>
      <c r="I16408" s="50"/>
      <c r="O16408" s="36" t="s">
        <v>48</v>
      </c>
      <c r="R16408" s="36" t="s">
        <v>48</v>
      </c>
    </row>
    <row r="16409">
      <c r="H16409" s="50"/>
      <c r="I16409" s="50"/>
      <c r="O16409" s="36" t="s">
        <v>48</v>
      </c>
      <c r="R16409" s="36" t="s">
        <v>48</v>
      </c>
    </row>
    <row r="16410">
      <c r="H16410" s="50"/>
      <c r="I16410" s="50"/>
      <c r="O16410" s="36" t="s">
        <v>48</v>
      </c>
      <c r="R16410" s="36" t="s">
        <v>48</v>
      </c>
    </row>
    <row r="16411">
      <c r="H16411" s="50"/>
      <c r="I16411" s="50"/>
      <c r="O16411" s="36" t="s">
        <v>48</v>
      </c>
      <c r="R16411" s="36" t="s">
        <v>48</v>
      </c>
    </row>
    <row r="16412">
      <c r="H16412" s="50"/>
      <c r="I16412" s="50"/>
      <c r="O16412" s="36" t="s">
        <v>48</v>
      </c>
      <c r="R16412" s="36" t="s">
        <v>48</v>
      </c>
    </row>
    <row r="16413">
      <c r="H16413" s="50"/>
      <c r="I16413" s="50"/>
      <c r="O16413" s="36" t="s">
        <v>48</v>
      </c>
      <c r="R16413" s="36" t="s">
        <v>48</v>
      </c>
    </row>
    <row r="16414">
      <c r="H16414" s="50"/>
      <c r="I16414" s="50"/>
      <c r="O16414" s="36" t="s">
        <v>48</v>
      </c>
      <c r="R16414" s="36" t="s">
        <v>48</v>
      </c>
    </row>
    <row r="16415">
      <c r="H16415" s="50"/>
      <c r="I16415" s="50"/>
      <c r="O16415" s="36" t="s">
        <v>48</v>
      </c>
      <c r="R16415" s="36" t="s">
        <v>48</v>
      </c>
    </row>
    <row r="16416">
      <c r="H16416" s="50"/>
      <c r="I16416" s="50"/>
      <c r="O16416" s="36" t="s">
        <v>48</v>
      </c>
      <c r="R16416" s="36" t="s">
        <v>48</v>
      </c>
    </row>
    <row r="16417">
      <c r="H16417" s="50"/>
      <c r="I16417" s="50"/>
      <c r="O16417" s="36" t="s">
        <v>48</v>
      </c>
      <c r="R16417" s="36" t="s">
        <v>48</v>
      </c>
    </row>
    <row r="16418">
      <c r="H16418" s="50"/>
      <c r="I16418" s="50"/>
      <c r="O16418" s="36" t="s">
        <v>48</v>
      </c>
      <c r="R16418" s="36" t="s">
        <v>48</v>
      </c>
    </row>
    <row r="16419">
      <c r="H16419" s="50"/>
      <c r="I16419" s="50"/>
      <c r="O16419" s="36" t="s">
        <v>48</v>
      </c>
      <c r="R16419" s="36" t="s">
        <v>48</v>
      </c>
    </row>
    <row r="16420">
      <c r="H16420" s="50"/>
      <c r="I16420" s="50"/>
      <c r="O16420" s="36" t="s">
        <v>48</v>
      </c>
      <c r="R16420" s="36" t="s">
        <v>48</v>
      </c>
    </row>
    <row r="16421">
      <c r="H16421" s="50"/>
      <c r="I16421" s="50"/>
      <c r="O16421" s="36" t="s">
        <v>48</v>
      </c>
      <c r="R16421" s="36" t="s">
        <v>48</v>
      </c>
    </row>
    <row r="16422">
      <c r="H16422" s="50"/>
      <c r="I16422" s="50"/>
      <c r="O16422" s="36" t="s">
        <v>48</v>
      </c>
      <c r="R16422" s="36" t="s">
        <v>48</v>
      </c>
    </row>
    <row r="16423">
      <c r="H16423" s="50"/>
      <c r="I16423" s="50"/>
      <c r="O16423" s="36" t="s">
        <v>48</v>
      </c>
      <c r="R16423" s="36" t="s">
        <v>48</v>
      </c>
    </row>
    <row r="16424">
      <c r="H16424" s="50"/>
      <c r="I16424" s="50"/>
      <c r="O16424" s="36" t="s">
        <v>48</v>
      </c>
      <c r="R16424" s="36" t="s">
        <v>48</v>
      </c>
    </row>
    <row r="16425">
      <c r="H16425" s="50"/>
      <c r="I16425" s="50"/>
      <c r="O16425" s="36" t="s">
        <v>48</v>
      </c>
      <c r="R16425" s="36" t="s">
        <v>48</v>
      </c>
    </row>
    <row r="16426">
      <c r="H16426" s="50"/>
      <c r="I16426" s="50"/>
      <c r="O16426" s="36" t="s">
        <v>48</v>
      </c>
      <c r="R16426" s="36" t="s">
        <v>48</v>
      </c>
    </row>
    <row r="16427">
      <c r="H16427" s="50"/>
      <c r="I16427" s="50"/>
      <c r="O16427" s="36" t="s">
        <v>48</v>
      </c>
      <c r="R16427" s="36" t="s">
        <v>48</v>
      </c>
    </row>
    <row r="16428">
      <c r="H16428" s="50"/>
      <c r="I16428" s="50"/>
      <c r="O16428" s="36" t="s">
        <v>48</v>
      </c>
      <c r="R16428" s="36" t="s">
        <v>48</v>
      </c>
    </row>
    <row r="16429">
      <c r="H16429" s="50"/>
      <c r="I16429" s="50"/>
      <c r="O16429" s="36" t="s">
        <v>48</v>
      </c>
      <c r="R16429" s="36" t="s">
        <v>48</v>
      </c>
    </row>
    <row r="16430">
      <c r="H16430" s="50"/>
      <c r="I16430" s="50"/>
      <c r="O16430" s="36" t="s">
        <v>48</v>
      </c>
      <c r="R16430" s="36" t="s">
        <v>48</v>
      </c>
    </row>
    <row r="16431">
      <c r="H16431" s="50"/>
      <c r="I16431" s="50"/>
      <c r="O16431" s="36" t="s">
        <v>48</v>
      </c>
      <c r="R16431" s="36" t="s">
        <v>48</v>
      </c>
    </row>
    <row r="16432">
      <c r="H16432" s="50"/>
      <c r="I16432" s="50"/>
      <c r="O16432" s="36" t="s">
        <v>48</v>
      </c>
      <c r="R16432" s="36" t="s">
        <v>48</v>
      </c>
    </row>
    <row r="16433">
      <c r="H16433" s="50"/>
      <c r="I16433" s="50"/>
      <c r="O16433" s="36" t="s">
        <v>48</v>
      </c>
      <c r="R16433" s="36" t="s">
        <v>48</v>
      </c>
    </row>
    <row r="16434">
      <c r="H16434" s="50"/>
      <c r="I16434" s="50"/>
      <c r="O16434" s="36" t="s">
        <v>48</v>
      </c>
      <c r="R16434" s="36" t="s">
        <v>48</v>
      </c>
    </row>
    <row r="16435">
      <c r="H16435" s="50"/>
      <c r="I16435" s="50"/>
      <c r="O16435" s="36" t="s">
        <v>48</v>
      </c>
      <c r="R16435" s="36" t="s">
        <v>48</v>
      </c>
    </row>
    <row r="16436">
      <c r="H16436" s="50"/>
      <c r="I16436" s="50"/>
      <c r="O16436" s="36" t="s">
        <v>48</v>
      </c>
      <c r="R16436" s="36" t="s">
        <v>48</v>
      </c>
    </row>
    <row r="16437">
      <c r="H16437" s="50"/>
      <c r="I16437" s="50"/>
      <c r="O16437" s="36" t="s">
        <v>48</v>
      </c>
      <c r="R16437" s="36" t="s">
        <v>48</v>
      </c>
    </row>
    <row r="16438">
      <c r="H16438" s="50"/>
      <c r="I16438" s="50"/>
      <c r="O16438" s="36" t="s">
        <v>48</v>
      </c>
      <c r="R16438" s="36" t="s">
        <v>48</v>
      </c>
    </row>
    <row r="16439">
      <c r="H16439" s="50"/>
      <c r="I16439" s="50"/>
      <c r="O16439" s="36" t="s">
        <v>48</v>
      </c>
      <c r="R16439" s="36" t="s">
        <v>48</v>
      </c>
    </row>
    <row r="16440">
      <c r="H16440" s="50"/>
      <c r="I16440" s="50"/>
      <c r="O16440" s="36" t="s">
        <v>48</v>
      </c>
      <c r="R16440" s="36" t="s">
        <v>48</v>
      </c>
    </row>
    <row r="16441">
      <c r="H16441" s="50"/>
      <c r="I16441" s="50"/>
      <c r="O16441" s="36" t="s">
        <v>48</v>
      </c>
      <c r="R16441" s="36" t="s">
        <v>48</v>
      </c>
    </row>
    <row r="16442">
      <c r="H16442" s="50"/>
      <c r="I16442" s="50"/>
      <c r="O16442" s="36" t="s">
        <v>48</v>
      </c>
      <c r="R16442" s="36" t="s">
        <v>48</v>
      </c>
    </row>
    <row r="16443">
      <c r="H16443" s="50"/>
      <c r="I16443" s="50"/>
      <c r="O16443" s="36" t="s">
        <v>48</v>
      </c>
      <c r="R16443" s="36" t="s">
        <v>48</v>
      </c>
    </row>
    <row r="16444">
      <c r="H16444" s="50"/>
      <c r="I16444" s="50"/>
      <c r="O16444" s="36" t="s">
        <v>48</v>
      </c>
      <c r="R16444" s="36" t="s">
        <v>48</v>
      </c>
    </row>
    <row r="16445">
      <c r="H16445" s="50"/>
      <c r="I16445" s="50"/>
      <c r="O16445" s="36" t="s">
        <v>48</v>
      </c>
      <c r="R16445" s="36" t="s">
        <v>48</v>
      </c>
    </row>
    <row r="16446">
      <c r="H16446" s="50"/>
      <c r="I16446" s="50"/>
      <c r="O16446" s="36" t="s">
        <v>48</v>
      </c>
      <c r="R16446" s="36" t="s">
        <v>48</v>
      </c>
    </row>
    <row r="16447">
      <c r="H16447" s="50"/>
      <c r="I16447" s="50"/>
      <c r="O16447" s="36" t="s">
        <v>48</v>
      </c>
      <c r="R16447" s="36" t="s">
        <v>48</v>
      </c>
    </row>
    <row r="16448">
      <c r="H16448" s="50"/>
      <c r="I16448" s="50"/>
      <c r="O16448" s="36" t="s">
        <v>48</v>
      </c>
      <c r="R16448" s="36" t="s">
        <v>48</v>
      </c>
    </row>
    <row r="16449">
      <c r="H16449" s="50"/>
      <c r="I16449" s="50"/>
      <c r="O16449" s="36" t="s">
        <v>48</v>
      </c>
      <c r="R16449" s="36" t="s">
        <v>48</v>
      </c>
    </row>
    <row r="16450">
      <c r="H16450" s="50"/>
      <c r="I16450" s="50"/>
      <c r="O16450" s="36" t="s">
        <v>48</v>
      </c>
      <c r="R16450" s="36" t="s">
        <v>48</v>
      </c>
    </row>
    <row r="16451">
      <c r="H16451" s="50"/>
      <c r="I16451" s="50"/>
      <c r="O16451" s="36" t="s">
        <v>48</v>
      </c>
      <c r="R16451" s="36" t="s">
        <v>48</v>
      </c>
    </row>
    <row r="16452">
      <c r="H16452" s="50"/>
      <c r="I16452" s="50"/>
      <c r="O16452" s="36" t="s">
        <v>48</v>
      </c>
      <c r="R16452" s="36" t="s">
        <v>48</v>
      </c>
    </row>
    <row r="16453">
      <c r="H16453" s="50"/>
      <c r="I16453" s="50"/>
      <c r="O16453" s="36" t="s">
        <v>48</v>
      </c>
      <c r="R16453" s="36" t="s">
        <v>48</v>
      </c>
    </row>
    <row r="16454">
      <c r="H16454" s="50"/>
      <c r="I16454" s="50"/>
      <c r="O16454" s="36" t="s">
        <v>48</v>
      </c>
      <c r="R16454" s="36" t="s">
        <v>48</v>
      </c>
    </row>
    <row r="16455">
      <c r="H16455" s="50"/>
      <c r="I16455" s="50"/>
      <c r="O16455" s="36" t="s">
        <v>48</v>
      </c>
      <c r="R16455" s="36" t="s">
        <v>48</v>
      </c>
    </row>
    <row r="16456">
      <c r="H16456" s="50"/>
      <c r="I16456" s="50"/>
      <c r="O16456" s="36" t="s">
        <v>48</v>
      </c>
      <c r="R16456" s="36" t="s">
        <v>48</v>
      </c>
    </row>
    <row r="16457">
      <c r="H16457" s="50"/>
      <c r="I16457" s="50"/>
      <c r="O16457" s="36" t="s">
        <v>48</v>
      </c>
      <c r="R16457" s="36" t="s">
        <v>48</v>
      </c>
    </row>
    <row r="16458">
      <c r="H16458" s="50"/>
      <c r="I16458" s="50"/>
      <c r="O16458" s="36" t="s">
        <v>48</v>
      </c>
      <c r="R16458" s="36" t="s">
        <v>48</v>
      </c>
    </row>
    <row r="16459">
      <c r="H16459" s="50"/>
      <c r="I16459" s="50"/>
      <c r="O16459" s="36" t="s">
        <v>48</v>
      </c>
      <c r="R16459" s="36" t="s">
        <v>48</v>
      </c>
    </row>
    <row r="16460">
      <c r="H16460" s="50"/>
      <c r="I16460" s="50"/>
      <c r="O16460" s="36" t="s">
        <v>48</v>
      </c>
      <c r="R16460" s="36" t="s">
        <v>48</v>
      </c>
    </row>
    <row r="16461">
      <c r="H16461" s="50"/>
      <c r="I16461" s="50"/>
      <c r="O16461" s="36" t="s">
        <v>48</v>
      </c>
      <c r="R16461" s="36" t="s">
        <v>48</v>
      </c>
    </row>
    <row r="16462">
      <c r="H16462" s="50"/>
      <c r="I16462" s="50"/>
      <c r="O16462" s="36" t="s">
        <v>48</v>
      </c>
      <c r="R16462" s="36" t="s">
        <v>48</v>
      </c>
    </row>
    <row r="16463">
      <c r="H16463" s="50"/>
      <c r="I16463" s="50"/>
      <c r="O16463" s="36" t="s">
        <v>48</v>
      </c>
      <c r="R16463" s="36" t="s">
        <v>48</v>
      </c>
    </row>
    <row r="16464">
      <c r="H16464" s="50"/>
      <c r="I16464" s="50"/>
      <c r="O16464" s="36" t="s">
        <v>48</v>
      </c>
      <c r="R16464" s="36" t="s">
        <v>48</v>
      </c>
    </row>
    <row r="16465">
      <c r="H16465" s="50"/>
      <c r="I16465" s="50"/>
      <c r="O16465" s="36" t="s">
        <v>48</v>
      </c>
      <c r="R16465" s="36" t="s">
        <v>48</v>
      </c>
    </row>
    <row r="16466">
      <c r="H16466" s="50"/>
      <c r="I16466" s="50"/>
      <c r="O16466" s="36" t="s">
        <v>48</v>
      </c>
      <c r="R16466" s="36" t="s">
        <v>48</v>
      </c>
    </row>
    <row r="16467">
      <c r="H16467" s="50"/>
      <c r="I16467" s="50"/>
      <c r="O16467" s="36" t="s">
        <v>48</v>
      </c>
      <c r="R16467" s="36" t="s">
        <v>48</v>
      </c>
    </row>
    <row r="16468">
      <c r="H16468" s="50"/>
      <c r="I16468" s="50"/>
      <c r="O16468" s="36" t="s">
        <v>48</v>
      </c>
      <c r="R16468" s="36" t="s">
        <v>48</v>
      </c>
    </row>
    <row r="16469">
      <c r="H16469" s="50"/>
      <c r="I16469" s="50"/>
      <c r="O16469" s="36" t="s">
        <v>48</v>
      </c>
      <c r="R16469" s="36" t="s">
        <v>48</v>
      </c>
    </row>
    <row r="16470">
      <c r="H16470" s="50"/>
      <c r="I16470" s="50"/>
      <c r="O16470" s="36" t="s">
        <v>48</v>
      </c>
      <c r="R16470" s="36" t="s">
        <v>48</v>
      </c>
    </row>
    <row r="16471">
      <c r="H16471" s="50"/>
      <c r="I16471" s="50"/>
      <c r="O16471" s="36" t="s">
        <v>48</v>
      </c>
      <c r="R16471" s="36" t="s">
        <v>48</v>
      </c>
    </row>
    <row r="16472">
      <c r="H16472" s="50"/>
      <c r="I16472" s="50"/>
      <c r="O16472" s="36" t="s">
        <v>48</v>
      </c>
      <c r="R16472" s="36" t="s">
        <v>48</v>
      </c>
    </row>
    <row r="16473">
      <c r="H16473" s="50"/>
      <c r="I16473" s="50"/>
      <c r="O16473" s="36" t="s">
        <v>48</v>
      </c>
      <c r="R16473" s="36" t="s">
        <v>48</v>
      </c>
    </row>
    <row r="16474">
      <c r="H16474" s="50"/>
      <c r="I16474" s="50"/>
      <c r="O16474" s="36" t="s">
        <v>48</v>
      </c>
      <c r="R16474" s="36" t="s">
        <v>48</v>
      </c>
    </row>
    <row r="16475">
      <c r="H16475" s="50"/>
      <c r="I16475" s="50"/>
      <c r="O16475" s="36" t="s">
        <v>48</v>
      </c>
      <c r="R16475" s="36" t="s">
        <v>48</v>
      </c>
    </row>
    <row r="16476">
      <c r="H16476" s="50"/>
      <c r="I16476" s="50"/>
      <c r="O16476" s="36" t="s">
        <v>48</v>
      </c>
      <c r="R16476" s="36" t="s">
        <v>48</v>
      </c>
    </row>
    <row r="16477">
      <c r="H16477" s="50"/>
      <c r="I16477" s="50"/>
      <c r="O16477" s="36" t="s">
        <v>48</v>
      </c>
      <c r="R16477" s="36" t="s">
        <v>48</v>
      </c>
    </row>
    <row r="16478">
      <c r="H16478" s="50"/>
      <c r="I16478" s="50"/>
      <c r="O16478" s="36" t="s">
        <v>48</v>
      </c>
      <c r="R16478" s="36" t="s">
        <v>48</v>
      </c>
    </row>
    <row r="16479">
      <c r="H16479" s="50"/>
      <c r="I16479" s="50"/>
      <c r="O16479" s="36" t="s">
        <v>48</v>
      </c>
      <c r="R16479" s="36" t="s">
        <v>48</v>
      </c>
    </row>
    <row r="16480">
      <c r="H16480" s="50"/>
      <c r="I16480" s="50"/>
      <c r="O16480" s="36" t="s">
        <v>48</v>
      </c>
      <c r="R16480" s="36" t="s">
        <v>48</v>
      </c>
    </row>
    <row r="16481">
      <c r="H16481" s="50"/>
      <c r="I16481" s="50"/>
      <c r="O16481" s="36" t="s">
        <v>48</v>
      </c>
      <c r="R16481" s="36" t="s">
        <v>48</v>
      </c>
    </row>
    <row r="16482">
      <c r="H16482" s="50"/>
      <c r="I16482" s="50"/>
      <c r="O16482" s="36" t="s">
        <v>48</v>
      </c>
      <c r="R16482" s="36" t="s">
        <v>48</v>
      </c>
    </row>
    <row r="16483">
      <c r="H16483" s="50"/>
      <c r="I16483" s="50"/>
      <c r="O16483" s="36" t="s">
        <v>48</v>
      </c>
      <c r="R16483" s="36" t="s">
        <v>48</v>
      </c>
    </row>
    <row r="16484">
      <c r="H16484" s="50"/>
      <c r="I16484" s="50"/>
      <c r="O16484" s="36" t="s">
        <v>48</v>
      </c>
      <c r="R16484" s="36" t="s">
        <v>48</v>
      </c>
    </row>
    <row r="16485">
      <c r="H16485" s="50"/>
      <c r="I16485" s="50"/>
      <c r="O16485" s="36" t="s">
        <v>48</v>
      </c>
      <c r="R16485" s="36" t="s">
        <v>48</v>
      </c>
    </row>
    <row r="16486">
      <c r="H16486" s="50"/>
      <c r="I16486" s="50"/>
      <c r="O16486" s="36" t="s">
        <v>48</v>
      </c>
      <c r="R16486" s="36" t="s">
        <v>48</v>
      </c>
    </row>
    <row r="16487">
      <c r="H16487" s="50"/>
      <c r="I16487" s="50"/>
      <c r="O16487" s="36" t="s">
        <v>48</v>
      </c>
      <c r="R16487" s="36" t="s">
        <v>48</v>
      </c>
    </row>
    <row r="16488">
      <c r="H16488" s="50"/>
      <c r="I16488" s="50"/>
      <c r="O16488" s="36" t="s">
        <v>48</v>
      </c>
      <c r="R16488" s="36" t="s">
        <v>48</v>
      </c>
    </row>
    <row r="16489">
      <c r="H16489" s="50"/>
      <c r="I16489" s="50"/>
      <c r="O16489" s="36" t="s">
        <v>48</v>
      </c>
      <c r="R16489" s="36" t="s">
        <v>48</v>
      </c>
    </row>
    <row r="16490">
      <c r="H16490" s="50"/>
      <c r="I16490" s="50"/>
      <c r="O16490" s="36" t="s">
        <v>48</v>
      </c>
      <c r="R16490" s="36" t="s">
        <v>48</v>
      </c>
    </row>
    <row r="16491">
      <c r="H16491" s="50"/>
      <c r="I16491" s="50"/>
      <c r="O16491" s="36" t="s">
        <v>48</v>
      </c>
      <c r="R16491" s="36" t="s">
        <v>48</v>
      </c>
    </row>
    <row r="16492">
      <c r="H16492" s="50"/>
      <c r="I16492" s="50"/>
      <c r="O16492" s="36" t="s">
        <v>48</v>
      </c>
      <c r="R16492" s="36" t="s">
        <v>48</v>
      </c>
    </row>
    <row r="16493">
      <c r="H16493" s="50"/>
      <c r="I16493" s="50"/>
      <c r="O16493" s="36" t="s">
        <v>48</v>
      </c>
      <c r="R16493" s="36" t="s">
        <v>48</v>
      </c>
    </row>
    <row r="16494">
      <c r="H16494" s="50"/>
      <c r="I16494" s="50"/>
      <c r="O16494" s="36" t="s">
        <v>48</v>
      </c>
      <c r="R16494" s="36" t="s">
        <v>48</v>
      </c>
    </row>
    <row r="16495">
      <c r="H16495" s="50"/>
      <c r="I16495" s="50"/>
      <c r="O16495" s="36" t="s">
        <v>48</v>
      </c>
      <c r="R16495" s="36" t="s">
        <v>48</v>
      </c>
    </row>
    <row r="16496">
      <c r="H16496" s="50"/>
      <c r="I16496" s="50"/>
      <c r="O16496" s="36" t="s">
        <v>48</v>
      </c>
      <c r="R16496" s="36" t="s">
        <v>48</v>
      </c>
    </row>
    <row r="16497">
      <c r="H16497" s="50"/>
      <c r="I16497" s="50"/>
      <c r="O16497" s="36" t="s">
        <v>48</v>
      </c>
      <c r="R16497" s="36" t="s">
        <v>48</v>
      </c>
    </row>
    <row r="16498">
      <c r="H16498" s="50"/>
      <c r="I16498" s="50"/>
      <c r="O16498" s="36" t="s">
        <v>48</v>
      </c>
      <c r="R16498" s="36" t="s">
        <v>48</v>
      </c>
    </row>
    <row r="16499">
      <c r="H16499" s="50"/>
      <c r="I16499" s="50"/>
      <c r="O16499" s="36" t="s">
        <v>48</v>
      </c>
      <c r="R16499" s="36" t="s">
        <v>48</v>
      </c>
    </row>
    <row r="16500">
      <c r="H16500" s="50"/>
      <c r="I16500" s="50"/>
      <c r="O16500" s="36" t="s">
        <v>48</v>
      </c>
      <c r="R16500" s="36" t="s">
        <v>48</v>
      </c>
    </row>
    <row r="16501">
      <c r="H16501" s="50"/>
      <c r="I16501" s="50"/>
      <c r="O16501" s="36" t="s">
        <v>48</v>
      </c>
      <c r="R16501" s="36" t="s">
        <v>48</v>
      </c>
    </row>
    <row r="16502">
      <c r="H16502" s="50"/>
      <c r="I16502" s="50"/>
      <c r="O16502" s="36" t="s">
        <v>48</v>
      </c>
      <c r="R16502" s="36" t="s">
        <v>48</v>
      </c>
    </row>
    <row r="16503">
      <c r="H16503" s="50"/>
      <c r="I16503" s="50"/>
      <c r="O16503" s="36" t="s">
        <v>48</v>
      </c>
      <c r="R16503" s="36" t="s">
        <v>48</v>
      </c>
    </row>
    <row r="16504">
      <c r="H16504" s="50"/>
      <c r="I16504" s="50"/>
      <c r="O16504" s="36" t="s">
        <v>48</v>
      </c>
      <c r="R16504" s="36" t="s">
        <v>48</v>
      </c>
    </row>
    <row r="16505">
      <c r="H16505" s="50"/>
      <c r="I16505" s="50"/>
      <c r="O16505" s="36" t="s">
        <v>48</v>
      </c>
      <c r="R16505" s="36" t="s">
        <v>48</v>
      </c>
    </row>
    <row r="16506">
      <c r="H16506" s="50"/>
      <c r="I16506" s="50"/>
      <c r="O16506" s="36" t="s">
        <v>48</v>
      </c>
      <c r="R16506" s="36" t="s">
        <v>48</v>
      </c>
    </row>
    <row r="16507">
      <c r="H16507" s="50"/>
      <c r="I16507" s="50"/>
      <c r="O16507" s="36" t="s">
        <v>48</v>
      </c>
      <c r="R16507" s="36" t="s">
        <v>48</v>
      </c>
    </row>
    <row r="16508">
      <c r="H16508" s="50"/>
      <c r="I16508" s="50"/>
      <c r="O16508" s="36" t="s">
        <v>48</v>
      </c>
      <c r="R16508" s="36" t="s">
        <v>48</v>
      </c>
    </row>
    <row r="16509">
      <c r="H16509" s="50"/>
      <c r="I16509" s="50"/>
      <c r="O16509" s="36" t="s">
        <v>48</v>
      </c>
      <c r="R16509" s="36" t="s">
        <v>48</v>
      </c>
    </row>
    <row r="16510">
      <c r="H16510" s="50"/>
      <c r="I16510" s="50"/>
      <c r="O16510" s="36" t="s">
        <v>48</v>
      </c>
      <c r="R16510" s="36" t="s">
        <v>48</v>
      </c>
    </row>
    <row r="16511">
      <c r="H16511" s="50"/>
      <c r="I16511" s="50"/>
      <c r="O16511" s="36" t="s">
        <v>48</v>
      </c>
      <c r="R16511" s="36" t="s">
        <v>48</v>
      </c>
    </row>
    <row r="16512">
      <c r="H16512" s="50"/>
      <c r="I16512" s="50"/>
      <c r="O16512" s="36" t="s">
        <v>48</v>
      </c>
      <c r="R16512" s="36" t="s">
        <v>48</v>
      </c>
    </row>
    <row r="16513">
      <c r="H16513" s="50"/>
      <c r="I16513" s="50"/>
      <c r="O16513" s="36" t="s">
        <v>48</v>
      </c>
      <c r="R16513" s="36" t="s">
        <v>48</v>
      </c>
    </row>
    <row r="16514">
      <c r="H16514" s="50"/>
      <c r="I16514" s="50"/>
      <c r="O16514" s="36" t="s">
        <v>48</v>
      </c>
      <c r="R16514" s="36" t="s">
        <v>48</v>
      </c>
    </row>
    <row r="16515">
      <c r="H16515" s="50"/>
      <c r="I16515" s="50"/>
      <c r="O16515" s="36" t="s">
        <v>48</v>
      </c>
      <c r="R16515" s="36" t="s">
        <v>48</v>
      </c>
    </row>
    <row r="16516">
      <c r="H16516" s="50"/>
      <c r="I16516" s="50"/>
      <c r="O16516" s="36" t="s">
        <v>48</v>
      </c>
      <c r="R16516" s="36" t="s">
        <v>48</v>
      </c>
    </row>
    <row r="16517">
      <c r="H16517" s="50"/>
      <c r="I16517" s="50"/>
      <c r="O16517" s="36" t="s">
        <v>48</v>
      </c>
      <c r="R16517" s="36" t="s">
        <v>48</v>
      </c>
    </row>
    <row r="16518">
      <c r="H16518" s="50"/>
      <c r="I16518" s="50"/>
      <c r="O16518" s="36" t="s">
        <v>48</v>
      </c>
      <c r="R16518" s="36" t="s">
        <v>48</v>
      </c>
    </row>
    <row r="16519">
      <c r="H16519" s="50"/>
      <c r="I16519" s="50"/>
      <c r="O16519" s="36" t="s">
        <v>48</v>
      </c>
      <c r="R16519" s="36" t="s">
        <v>48</v>
      </c>
    </row>
    <row r="16520">
      <c r="H16520" s="50"/>
      <c r="I16520" s="50"/>
      <c r="O16520" s="36" t="s">
        <v>48</v>
      </c>
      <c r="R16520" s="36" t="s">
        <v>48</v>
      </c>
    </row>
    <row r="16521">
      <c r="H16521" s="50"/>
      <c r="I16521" s="50"/>
      <c r="O16521" s="36" t="s">
        <v>48</v>
      </c>
      <c r="R16521" s="36" t="s">
        <v>48</v>
      </c>
    </row>
    <row r="16522">
      <c r="H16522" s="50"/>
      <c r="I16522" s="50"/>
      <c r="O16522" s="36" t="s">
        <v>48</v>
      </c>
      <c r="R16522" s="36" t="s">
        <v>48</v>
      </c>
    </row>
    <row r="16523">
      <c r="H16523" s="50"/>
      <c r="I16523" s="50"/>
      <c r="O16523" s="36" t="s">
        <v>48</v>
      </c>
      <c r="R16523" s="36" t="s">
        <v>48</v>
      </c>
    </row>
    <row r="16524">
      <c r="H16524" s="50"/>
      <c r="I16524" s="50"/>
      <c r="O16524" s="36" t="s">
        <v>48</v>
      </c>
      <c r="R16524" s="36" t="s">
        <v>48</v>
      </c>
    </row>
    <row r="16525">
      <c r="H16525" s="50"/>
      <c r="I16525" s="50"/>
      <c r="O16525" s="36" t="s">
        <v>48</v>
      </c>
      <c r="R16525" s="36" t="s">
        <v>48</v>
      </c>
    </row>
    <row r="16526">
      <c r="H16526" s="50"/>
      <c r="I16526" s="50"/>
      <c r="O16526" s="36" t="s">
        <v>48</v>
      </c>
      <c r="R16526" s="36" t="s">
        <v>48</v>
      </c>
    </row>
    <row r="16527">
      <c r="H16527" s="50"/>
      <c r="I16527" s="50"/>
      <c r="O16527" s="36" t="s">
        <v>48</v>
      </c>
      <c r="R16527" s="36" t="s">
        <v>48</v>
      </c>
    </row>
    <row r="16528">
      <c r="H16528" s="50"/>
      <c r="I16528" s="50"/>
      <c r="O16528" s="36" t="s">
        <v>48</v>
      </c>
      <c r="R16528" s="36" t="s">
        <v>48</v>
      </c>
    </row>
    <row r="16529">
      <c r="H16529" s="50"/>
      <c r="I16529" s="50"/>
      <c r="O16529" s="36" t="s">
        <v>48</v>
      </c>
      <c r="R16529" s="36" t="s">
        <v>48</v>
      </c>
    </row>
    <row r="16530">
      <c r="H16530" s="50"/>
      <c r="I16530" s="50"/>
      <c r="O16530" s="36" t="s">
        <v>48</v>
      </c>
      <c r="R16530" s="36" t="s">
        <v>48</v>
      </c>
    </row>
    <row r="16531">
      <c r="H16531" s="50"/>
      <c r="I16531" s="50"/>
      <c r="O16531" s="36" t="s">
        <v>48</v>
      </c>
      <c r="R16531" s="36" t="s">
        <v>48</v>
      </c>
    </row>
    <row r="16532">
      <c r="H16532" s="50"/>
      <c r="I16532" s="50"/>
      <c r="O16532" s="36" t="s">
        <v>48</v>
      </c>
      <c r="R16532" s="36" t="s">
        <v>48</v>
      </c>
    </row>
    <row r="16533">
      <c r="H16533" s="50"/>
      <c r="I16533" s="50"/>
      <c r="O16533" s="36" t="s">
        <v>48</v>
      </c>
      <c r="R16533" s="36" t="s">
        <v>48</v>
      </c>
    </row>
    <row r="16534">
      <c r="H16534" s="50"/>
      <c r="I16534" s="50"/>
      <c r="O16534" s="36" t="s">
        <v>48</v>
      </c>
      <c r="R16534" s="36" t="s">
        <v>48</v>
      </c>
    </row>
    <row r="16535">
      <c r="H16535" s="50"/>
      <c r="I16535" s="50"/>
      <c r="O16535" s="36" t="s">
        <v>48</v>
      </c>
      <c r="R16535" s="36" t="s">
        <v>48</v>
      </c>
    </row>
    <row r="16536">
      <c r="H16536" s="50"/>
      <c r="I16536" s="50"/>
      <c r="O16536" s="36" t="s">
        <v>48</v>
      </c>
      <c r="R16536" s="36" t="s">
        <v>48</v>
      </c>
    </row>
    <row r="16537">
      <c r="H16537" s="50"/>
      <c r="I16537" s="50"/>
      <c r="O16537" s="36" t="s">
        <v>48</v>
      </c>
      <c r="R16537" s="36" t="s">
        <v>48</v>
      </c>
    </row>
    <row r="16538">
      <c r="H16538" s="50"/>
      <c r="I16538" s="50"/>
      <c r="O16538" s="36" t="s">
        <v>48</v>
      </c>
      <c r="R16538" s="36" t="s">
        <v>48</v>
      </c>
    </row>
    <row r="16539">
      <c r="H16539" s="50"/>
      <c r="I16539" s="50"/>
      <c r="O16539" s="36" t="s">
        <v>48</v>
      </c>
      <c r="R16539" s="36" t="s">
        <v>48</v>
      </c>
    </row>
    <row r="16540">
      <c r="H16540" s="50"/>
      <c r="I16540" s="50"/>
      <c r="O16540" s="36" t="s">
        <v>48</v>
      </c>
      <c r="R16540" s="36" t="s">
        <v>48</v>
      </c>
    </row>
    <row r="16541">
      <c r="H16541" s="50"/>
      <c r="I16541" s="50"/>
      <c r="O16541" s="36" t="s">
        <v>48</v>
      </c>
      <c r="R16541" s="36" t="s">
        <v>48</v>
      </c>
    </row>
    <row r="16542">
      <c r="H16542" s="50"/>
      <c r="I16542" s="50"/>
      <c r="O16542" s="36" t="s">
        <v>48</v>
      </c>
      <c r="R16542" s="36" t="s">
        <v>48</v>
      </c>
    </row>
    <row r="16543">
      <c r="H16543" s="50"/>
      <c r="I16543" s="50"/>
      <c r="O16543" s="36" t="s">
        <v>48</v>
      </c>
      <c r="R16543" s="36" t="s">
        <v>48</v>
      </c>
    </row>
    <row r="16544">
      <c r="H16544" s="50"/>
      <c r="I16544" s="50"/>
      <c r="O16544" s="36" t="s">
        <v>48</v>
      </c>
      <c r="R16544" s="36" t="s">
        <v>48</v>
      </c>
    </row>
    <row r="16545">
      <c r="H16545" s="50"/>
      <c r="I16545" s="50"/>
      <c r="O16545" s="36" t="s">
        <v>48</v>
      </c>
      <c r="R16545" s="36" t="s">
        <v>48</v>
      </c>
    </row>
    <row r="16546">
      <c r="H16546" s="50"/>
      <c r="I16546" s="50"/>
      <c r="O16546" s="36" t="s">
        <v>48</v>
      </c>
      <c r="R16546" s="36" t="s">
        <v>48</v>
      </c>
    </row>
    <row r="16547">
      <c r="H16547" s="50"/>
      <c r="I16547" s="50"/>
      <c r="O16547" s="36" t="s">
        <v>48</v>
      </c>
      <c r="R16547" s="36" t="s">
        <v>48</v>
      </c>
    </row>
    <row r="16548">
      <c r="H16548" s="50"/>
      <c r="I16548" s="50"/>
      <c r="O16548" s="36" t="s">
        <v>48</v>
      </c>
      <c r="R16548" s="36" t="s">
        <v>48</v>
      </c>
    </row>
    <row r="16549">
      <c r="H16549" s="50"/>
      <c r="I16549" s="50"/>
      <c r="O16549" s="36" t="s">
        <v>48</v>
      </c>
      <c r="R16549" s="36" t="s">
        <v>48</v>
      </c>
    </row>
    <row r="16550">
      <c r="H16550" s="50"/>
      <c r="I16550" s="50"/>
      <c r="O16550" s="36" t="s">
        <v>48</v>
      </c>
      <c r="R16550" s="36" t="s">
        <v>48</v>
      </c>
    </row>
    <row r="16551">
      <c r="H16551" s="50"/>
      <c r="I16551" s="50"/>
      <c r="O16551" s="36" t="s">
        <v>48</v>
      </c>
      <c r="R16551" s="36" t="s">
        <v>48</v>
      </c>
    </row>
    <row r="16552">
      <c r="H16552" s="50"/>
      <c r="I16552" s="50"/>
      <c r="O16552" s="36" t="s">
        <v>48</v>
      </c>
      <c r="R16552" s="36" t="s">
        <v>48</v>
      </c>
    </row>
    <row r="16553">
      <c r="H16553" s="50"/>
      <c r="I16553" s="50"/>
      <c r="O16553" s="36" t="s">
        <v>48</v>
      </c>
      <c r="R16553" s="36" t="s">
        <v>48</v>
      </c>
    </row>
    <row r="16554">
      <c r="H16554" s="50"/>
      <c r="I16554" s="50"/>
      <c r="O16554" s="36" t="s">
        <v>48</v>
      </c>
      <c r="R16554" s="36" t="s">
        <v>48</v>
      </c>
    </row>
    <row r="16555">
      <c r="H16555" s="50"/>
      <c r="I16555" s="50"/>
      <c r="O16555" s="36" t="s">
        <v>48</v>
      </c>
      <c r="R16555" s="36" t="s">
        <v>48</v>
      </c>
    </row>
    <row r="16556">
      <c r="H16556" s="50"/>
      <c r="I16556" s="50"/>
      <c r="O16556" s="36" t="s">
        <v>48</v>
      </c>
      <c r="R16556" s="36" t="s">
        <v>48</v>
      </c>
    </row>
    <row r="16557">
      <c r="H16557" s="50"/>
      <c r="I16557" s="50"/>
      <c r="O16557" s="36" t="s">
        <v>48</v>
      </c>
      <c r="R16557" s="36" t="s">
        <v>48</v>
      </c>
    </row>
    <row r="16558">
      <c r="H16558" s="50"/>
      <c r="I16558" s="50"/>
      <c r="O16558" s="36" t="s">
        <v>48</v>
      </c>
      <c r="R16558" s="36" t="s">
        <v>48</v>
      </c>
    </row>
    <row r="16559">
      <c r="H16559" s="50"/>
      <c r="I16559" s="50"/>
      <c r="O16559" s="36" t="s">
        <v>48</v>
      </c>
      <c r="R16559" s="36" t="s">
        <v>48</v>
      </c>
    </row>
    <row r="16560">
      <c r="H16560" s="50"/>
      <c r="I16560" s="50"/>
      <c r="O16560" s="36" t="s">
        <v>48</v>
      </c>
      <c r="R16560" s="36" t="s">
        <v>48</v>
      </c>
    </row>
    <row r="16561">
      <c r="H16561" s="50"/>
      <c r="I16561" s="50"/>
      <c r="O16561" s="36" t="s">
        <v>48</v>
      </c>
      <c r="R16561" s="36" t="s">
        <v>48</v>
      </c>
    </row>
    <row r="16562">
      <c r="H16562" s="50"/>
      <c r="I16562" s="50"/>
      <c r="O16562" s="36" t="s">
        <v>48</v>
      </c>
      <c r="R16562" s="36" t="s">
        <v>48</v>
      </c>
    </row>
    <row r="16563">
      <c r="H16563" s="50"/>
      <c r="I16563" s="50"/>
      <c r="O16563" s="36" t="s">
        <v>48</v>
      </c>
      <c r="R16563" s="36" t="s">
        <v>48</v>
      </c>
    </row>
    <row r="16564">
      <c r="H16564" s="50"/>
      <c r="I16564" s="50"/>
      <c r="O16564" s="36" t="s">
        <v>48</v>
      </c>
      <c r="R16564" s="36" t="s">
        <v>48</v>
      </c>
    </row>
    <row r="16565">
      <c r="H16565" s="50"/>
      <c r="I16565" s="50"/>
      <c r="O16565" s="36" t="s">
        <v>48</v>
      </c>
      <c r="R16565" s="36" t="s">
        <v>48</v>
      </c>
    </row>
    <row r="16566">
      <c r="H16566" s="50"/>
      <c r="I16566" s="50"/>
      <c r="O16566" s="36" t="s">
        <v>48</v>
      </c>
      <c r="R16566" s="36" t="s">
        <v>48</v>
      </c>
    </row>
    <row r="16567">
      <c r="H16567" s="50"/>
      <c r="I16567" s="50"/>
      <c r="O16567" s="36" t="s">
        <v>48</v>
      </c>
      <c r="R16567" s="36" t="s">
        <v>48</v>
      </c>
    </row>
    <row r="16568">
      <c r="H16568" s="50"/>
      <c r="I16568" s="50"/>
      <c r="O16568" s="36" t="s">
        <v>48</v>
      </c>
      <c r="R16568" s="36" t="s">
        <v>48</v>
      </c>
    </row>
    <row r="16569">
      <c r="H16569" s="50"/>
      <c r="I16569" s="50"/>
      <c r="O16569" s="36" t="s">
        <v>48</v>
      </c>
      <c r="R16569" s="36" t="s">
        <v>48</v>
      </c>
    </row>
    <row r="16570">
      <c r="H16570" s="50"/>
      <c r="I16570" s="50"/>
      <c r="O16570" s="36" t="s">
        <v>48</v>
      </c>
      <c r="R16570" s="36" t="s">
        <v>48</v>
      </c>
    </row>
    <row r="16571">
      <c r="H16571" s="50"/>
      <c r="I16571" s="50"/>
      <c r="O16571" s="36" t="s">
        <v>48</v>
      </c>
      <c r="R16571" s="36" t="s">
        <v>48</v>
      </c>
    </row>
    <row r="16572">
      <c r="H16572" s="50"/>
      <c r="I16572" s="50"/>
      <c r="O16572" s="36" t="s">
        <v>48</v>
      </c>
      <c r="R16572" s="36" t="s">
        <v>48</v>
      </c>
    </row>
    <row r="16573">
      <c r="H16573" s="50"/>
      <c r="I16573" s="50"/>
      <c r="O16573" s="36" t="s">
        <v>48</v>
      </c>
      <c r="R16573" s="36" t="s">
        <v>48</v>
      </c>
    </row>
    <row r="16574">
      <c r="H16574" s="50"/>
      <c r="I16574" s="50"/>
      <c r="O16574" s="36" t="s">
        <v>48</v>
      </c>
      <c r="R16574" s="36" t="s">
        <v>48</v>
      </c>
    </row>
    <row r="16575">
      <c r="H16575" s="50"/>
      <c r="I16575" s="50"/>
      <c r="O16575" s="36" t="s">
        <v>48</v>
      </c>
      <c r="R16575" s="36" t="s">
        <v>48</v>
      </c>
    </row>
    <row r="16576">
      <c r="H16576" s="50"/>
      <c r="I16576" s="50"/>
      <c r="O16576" s="36" t="s">
        <v>48</v>
      </c>
      <c r="R16576" s="36" t="s">
        <v>48</v>
      </c>
    </row>
    <row r="16577">
      <c r="H16577" s="50"/>
      <c r="I16577" s="50"/>
      <c r="O16577" s="36" t="s">
        <v>48</v>
      </c>
      <c r="R16577" s="36" t="s">
        <v>48</v>
      </c>
    </row>
    <row r="16578">
      <c r="H16578" s="50"/>
      <c r="I16578" s="50"/>
      <c r="O16578" s="36" t="s">
        <v>48</v>
      </c>
      <c r="R16578" s="36" t="s">
        <v>48</v>
      </c>
    </row>
    <row r="16579">
      <c r="H16579" s="50"/>
      <c r="I16579" s="50"/>
      <c r="O16579" s="36" t="s">
        <v>48</v>
      </c>
      <c r="R16579" s="36" t="s">
        <v>48</v>
      </c>
    </row>
    <row r="16580">
      <c r="H16580" s="50"/>
      <c r="I16580" s="50"/>
      <c r="O16580" s="36" t="s">
        <v>48</v>
      </c>
      <c r="R16580" s="36" t="s">
        <v>48</v>
      </c>
    </row>
    <row r="16581">
      <c r="H16581" s="50"/>
      <c r="I16581" s="50"/>
      <c r="O16581" s="36" t="s">
        <v>48</v>
      </c>
      <c r="R16581" s="36" t="s">
        <v>48</v>
      </c>
    </row>
    <row r="16582">
      <c r="H16582" s="50"/>
      <c r="I16582" s="50"/>
      <c r="O16582" s="36" t="s">
        <v>48</v>
      </c>
      <c r="R16582" s="36" t="s">
        <v>48</v>
      </c>
    </row>
    <row r="16583">
      <c r="H16583" s="50"/>
      <c r="I16583" s="50"/>
      <c r="O16583" s="36" t="s">
        <v>48</v>
      </c>
      <c r="R16583" s="36" t="s">
        <v>48</v>
      </c>
    </row>
    <row r="16584">
      <c r="H16584" s="50"/>
      <c r="I16584" s="50"/>
      <c r="O16584" s="36" t="s">
        <v>48</v>
      </c>
      <c r="R16584" s="36" t="s">
        <v>48</v>
      </c>
    </row>
    <row r="16585">
      <c r="H16585" s="50"/>
      <c r="I16585" s="50"/>
      <c r="O16585" s="36" t="s">
        <v>48</v>
      </c>
      <c r="R16585" s="36" t="s">
        <v>48</v>
      </c>
    </row>
    <row r="16586">
      <c r="H16586" s="50"/>
      <c r="I16586" s="50"/>
      <c r="O16586" s="36" t="s">
        <v>48</v>
      </c>
      <c r="R16586" s="36" t="s">
        <v>48</v>
      </c>
    </row>
    <row r="16587">
      <c r="H16587" s="50"/>
      <c r="I16587" s="50"/>
      <c r="O16587" s="36" t="s">
        <v>48</v>
      </c>
      <c r="R16587" s="36" t="s">
        <v>48</v>
      </c>
    </row>
    <row r="16588">
      <c r="H16588" s="50"/>
      <c r="I16588" s="50"/>
      <c r="O16588" s="36" t="s">
        <v>48</v>
      </c>
      <c r="R16588" s="36" t="s">
        <v>48</v>
      </c>
    </row>
    <row r="16589">
      <c r="H16589" s="50"/>
      <c r="I16589" s="50"/>
      <c r="O16589" s="36" t="s">
        <v>48</v>
      </c>
      <c r="R16589" s="36" t="s">
        <v>48</v>
      </c>
    </row>
    <row r="16590">
      <c r="H16590" s="50"/>
      <c r="I16590" s="50"/>
      <c r="O16590" s="36" t="s">
        <v>48</v>
      </c>
      <c r="R16590" s="36" t="s">
        <v>48</v>
      </c>
    </row>
    <row r="16591">
      <c r="H16591" s="50"/>
      <c r="I16591" s="50"/>
      <c r="O16591" s="36" t="s">
        <v>48</v>
      </c>
      <c r="R16591" s="36" t="s">
        <v>48</v>
      </c>
    </row>
    <row r="16592">
      <c r="H16592" s="50"/>
      <c r="I16592" s="50"/>
      <c r="O16592" s="36" t="s">
        <v>48</v>
      </c>
      <c r="R16592" s="36" t="s">
        <v>48</v>
      </c>
    </row>
    <row r="16593">
      <c r="H16593" s="50"/>
      <c r="I16593" s="50"/>
      <c r="O16593" s="36" t="s">
        <v>48</v>
      </c>
      <c r="R16593" s="36" t="s">
        <v>48</v>
      </c>
    </row>
    <row r="16594">
      <c r="H16594" s="50"/>
      <c r="I16594" s="50"/>
      <c r="O16594" s="36" t="s">
        <v>48</v>
      </c>
      <c r="R16594" s="36" t="s">
        <v>48</v>
      </c>
    </row>
    <row r="16595">
      <c r="H16595" s="50"/>
      <c r="I16595" s="50"/>
      <c r="O16595" s="36" t="s">
        <v>48</v>
      </c>
      <c r="R16595" s="36" t="s">
        <v>48</v>
      </c>
    </row>
    <row r="16596">
      <c r="H16596" s="50"/>
      <c r="I16596" s="50"/>
      <c r="O16596" s="36" t="s">
        <v>48</v>
      </c>
      <c r="R16596" s="36" t="s">
        <v>48</v>
      </c>
    </row>
    <row r="16597">
      <c r="H16597" s="50"/>
      <c r="I16597" s="50"/>
      <c r="O16597" s="36" t="s">
        <v>48</v>
      </c>
      <c r="R16597" s="36" t="s">
        <v>48</v>
      </c>
    </row>
    <row r="16598">
      <c r="H16598" s="50"/>
      <c r="I16598" s="50"/>
      <c r="O16598" s="36" t="s">
        <v>48</v>
      </c>
      <c r="R16598" s="36" t="s">
        <v>48</v>
      </c>
    </row>
    <row r="16599">
      <c r="H16599" s="50"/>
      <c r="I16599" s="50"/>
      <c r="O16599" s="36" t="s">
        <v>48</v>
      </c>
      <c r="R16599" s="36" t="s">
        <v>48</v>
      </c>
    </row>
    <row r="16600">
      <c r="H16600" s="50"/>
      <c r="I16600" s="50"/>
      <c r="O16600" s="36" t="s">
        <v>48</v>
      </c>
      <c r="R16600" s="36" t="s">
        <v>48</v>
      </c>
    </row>
    <row r="16601">
      <c r="H16601" s="50"/>
      <c r="I16601" s="50"/>
      <c r="O16601" s="36" t="s">
        <v>48</v>
      </c>
      <c r="R16601" s="36" t="s">
        <v>48</v>
      </c>
    </row>
    <row r="16602">
      <c r="H16602" s="50"/>
      <c r="I16602" s="50"/>
      <c r="O16602" s="36" t="s">
        <v>48</v>
      </c>
      <c r="R16602" s="36" t="s">
        <v>48</v>
      </c>
    </row>
    <row r="16603">
      <c r="H16603" s="50"/>
      <c r="I16603" s="50"/>
      <c r="O16603" s="36" t="s">
        <v>48</v>
      </c>
      <c r="R16603" s="36" t="s">
        <v>48</v>
      </c>
    </row>
    <row r="16604">
      <c r="H16604" s="50"/>
      <c r="I16604" s="50"/>
      <c r="O16604" s="36" t="s">
        <v>48</v>
      </c>
      <c r="R16604" s="36" t="s">
        <v>48</v>
      </c>
    </row>
    <row r="16605">
      <c r="H16605" s="50"/>
      <c r="I16605" s="50"/>
      <c r="O16605" s="36" t="s">
        <v>48</v>
      </c>
      <c r="R16605" s="36" t="s">
        <v>48</v>
      </c>
    </row>
    <row r="16606">
      <c r="H16606" s="50"/>
      <c r="I16606" s="50"/>
      <c r="O16606" s="36" t="s">
        <v>48</v>
      </c>
      <c r="R16606" s="36" t="s">
        <v>48</v>
      </c>
    </row>
    <row r="16607">
      <c r="H16607" s="50"/>
      <c r="I16607" s="50"/>
      <c r="O16607" s="36" t="s">
        <v>48</v>
      </c>
      <c r="R16607" s="36" t="s">
        <v>48</v>
      </c>
    </row>
    <row r="16608">
      <c r="H16608" s="50"/>
      <c r="I16608" s="50"/>
      <c r="O16608" s="36" t="s">
        <v>48</v>
      </c>
      <c r="R16608" s="36" t="s">
        <v>48</v>
      </c>
    </row>
    <row r="16609">
      <c r="H16609" s="50"/>
      <c r="I16609" s="50"/>
      <c r="O16609" s="36" t="s">
        <v>48</v>
      </c>
      <c r="R16609" s="36" t="s">
        <v>48</v>
      </c>
    </row>
    <row r="16610">
      <c r="H16610" s="50"/>
      <c r="I16610" s="50"/>
      <c r="O16610" s="36" t="s">
        <v>48</v>
      </c>
      <c r="R16610" s="36" t="s">
        <v>48</v>
      </c>
    </row>
    <row r="16611">
      <c r="H16611" s="50"/>
      <c r="I16611" s="50"/>
      <c r="O16611" s="36" t="s">
        <v>48</v>
      </c>
      <c r="R16611" s="36" t="s">
        <v>48</v>
      </c>
    </row>
    <row r="16612">
      <c r="H16612" s="50"/>
      <c r="I16612" s="50"/>
      <c r="O16612" s="36" t="s">
        <v>48</v>
      </c>
      <c r="R16612" s="36" t="s">
        <v>48</v>
      </c>
    </row>
    <row r="16613">
      <c r="H16613" s="50"/>
      <c r="I16613" s="50"/>
      <c r="O16613" s="36" t="s">
        <v>48</v>
      </c>
      <c r="R16613" s="36" t="s">
        <v>48</v>
      </c>
    </row>
    <row r="16614">
      <c r="H16614" s="50"/>
      <c r="I16614" s="50"/>
      <c r="O16614" s="36" t="s">
        <v>48</v>
      </c>
      <c r="R16614" s="36" t="s">
        <v>48</v>
      </c>
    </row>
    <row r="16615">
      <c r="H16615" s="50"/>
      <c r="I16615" s="50"/>
      <c r="O16615" s="36" t="s">
        <v>48</v>
      </c>
      <c r="R16615" s="36" t="s">
        <v>48</v>
      </c>
    </row>
    <row r="16616">
      <c r="H16616" s="50"/>
      <c r="I16616" s="50"/>
      <c r="O16616" s="36" t="s">
        <v>48</v>
      </c>
      <c r="R16616" s="36" t="s">
        <v>48</v>
      </c>
    </row>
    <row r="16617">
      <c r="H16617" s="50"/>
      <c r="I16617" s="50"/>
      <c r="O16617" s="36" t="s">
        <v>48</v>
      </c>
      <c r="R16617" s="36" t="s">
        <v>48</v>
      </c>
    </row>
    <row r="16618">
      <c r="H16618" s="50"/>
      <c r="I16618" s="50"/>
      <c r="O16618" s="36" t="s">
        <v>48</v>
      </c>
      <c r="R16618" s="36" t="s">
        <v>48</v>
      </c>
    </row>
    <row r="16619">
      <c r="H16619" s="50"/>
      <c r="I16619" s="50"/>
      <c r="O16619" s="36" t="s">
        <v>48</v>
      </c>
      <c r="R16619" s="36" t="s">
        <v>48</v>
      </c>
    </row>
    <row r="16620">
      <c r="H16620" s="50"/>
      <c r="I16620" s="50"/>
      <c r="O16620" s="36" t="s">
        <v>48</v>
      </c>
      <c r="R16620" s="36" t="s">
        <v>48</v>
      </c>
    </row>
    <row r="16621">
      <c r="H16621" s="50"/>
      <c r="I16621" s="50"/>
      <c r="O16621" s="36" t="s">
        <v>48</v>
      </c>
      <c r="R16621" s="36" t="s">
        <v>48</v>
      </c>
    </row>
    <row r="16622">
      <c r="H16622" s="50"/>
      <c r="I16622" s="50"/>
      <c r="O16622" s="36" t="s">
        <v>48</v>
      </c>
      <c r="R16622" s="36" t="s">
        <v>48</v>
      </c>
    </row>
    <row r="16623">
      <c r="H16623" s="50"/>
      <c r="I16623" s="50"/>
      <c r="O16623" s="36" t="s">
        <v>48</v>
      </c>
      <c r="R16623" s="36" t="s">
        <v>48</v>
      </c>
    </row>
    <row r="16624">
      <c r="H16624" s="50"/>
      <c r="I16624" s="50"/>
      <c r="O16624" s="36" t="s">
        <v>48</v>
      </c>
      <c r="R16624" s="36" t="s">
        <v>48</v>
      </c>
    </row>
    <row r="16625">
      <c r="H16625" s="50"/>
      <c r="I16625" s="50"/>
      <c r="O16625" s="36" t="s">
        <v>48</v>
      </c>
      <c r="R16625" s="36" t="s">
        <v>48</v>
      </c>
    </row>
    <row r="16626">
      <c r="H16626" s="50"/>
      <c r="I16626" s="50"/>
      <c r="O16626" s="36" t="s">
        <v>48</v>
      </c>
      <c r="R16626" s="36" t="s">
        <v>48</v>
      </c>
    </row>
    <row r="16627">
      <c r="H16627" s="50"/>
      <c r="I16627" s="50"/>
      <c r="O16627" s="36" t="s">
        <v>48</v>
      </c>
      <c r="R16627" s="36" t="s">
        <v>48</v>
      </c>
    </row>
    <row r="16628">
      <c r="H16628" s="50"/>
      <c r="I16628" s="50"/>
      <c r="O16628" s="36" t="s">
        <v>48</v>
      </c>
      <c r="R16628" s="36" t="s">
        <v>48</v>
      </c>
    </row>
    <row r="16629">
      <c r="H16629" s="50"/>
      <c r="I16629" s="50"/>
      <c r="O16629" s="36" t="s">
        <v>48</v>
      </c>
      <c r="R16629" s="36" t="s">
        <v>48</v>
      </c>
    </row>
    <row r="16630">
      <c r="H16630" s="50"/>
      <c r="I16630" s="50"/>
      <c r="O16630" s="36" t="s">
        <v>48</v>
      </c>
      <c r="R16630" s="36" t="s">
        <v>48</v>
      </c>
    </row>
    <row r="16631">
      <c r="H16631" s="50"/>
      <c r="I16631" s="50"/>
      <c r="O16631" s="36" t="s">
        <v>48</v>
      </c>
      <c r="R16631" s="36" t="s">
        <v>48</v>
      </c>
    </row>
    <row r="16632">
      <c r="H16632" s="50"/>
      <c r="I16632" s="50"/>
      <c r="O16632" s="36" t="s">
        <v>48</v>
      </c>
      <c r="R16632" s="36" t="s">
        <v>48</v>
      </c>
    </row>
    <row r="16633">
      <c r="H16633" s="50"/>
      <c r="I16633" s="50"/>
      <c r="O16633" s="36" t="s">
        <v>48</v>
      </c>
      <c r="R16633" s="36" t="s">
        <v>48</v>
      </c>
    </row>
    <row r="16634">
      <c r="H16634" s="50"/>
      <c r="I16634" s="50"/>
      <c r="O16634" s="36" t="s">
        <v>48</v>
      </c>
      <c r="R16634" s="36" t="s">
        <v>48</v>
      </c>
    </row>
    <row r="16635">
      <c r="H16635" s="50"/>
      <c r="I16635" s="50"/>
      <c r="O16635" s="36" t="s">
        <v>48</v>
      </c>
      <c r="R16635" s="36" t="s">
        <v>48</v>
      </c>
    </row>
    <row r="16636">
      <c r="H16636" s="50"/>
      <c r="I16636" s="50"/>
      <c r="O16636" s="36" t="s">
        <v>48</v>
      </c>
      <c r="R16636" s="36" t="s">
        <v>48</v>
      </c>
    </row>
    <row r="16637">
      <c r="H16637" s="50"/>
      <c r="I16637" s="50"/>
      <c r="O16637" s="36" t="s">
        <v>48</v>
      </c>
      <c r="R16637" s="36" t="s">
        <v>48</v>
      </c>
    </row>
    <row r="16638">
      <c r="H16638" s="50"/>
      <c r="I16638" s="50"/>
      <c r="O16638" s="36" t="s">
        <v>48</v>
      </c>
      <c r="R16638" s="36" t="s">
        <v>48</v>
      </c>
    </row>
    <row r="16639">
      <c r="H16639" s="50"/>
      <c r="I16639" s="50"/>
      <c r="O16639" s="36" t="s">
        <v>48</v>
      </c>
      <c r="R16639" s="36" t="s">
        <v>48</v>
      </c>
    </row>
    <row r="16640">
      <c r="H16640" s="50"/>
      <c r="I16640" s="50"/>
      <c r="O16640" s="36" t="s">
        <v>48</v>
      </c>
      <c r="R16640" s="36" t="s">
        <v>48</v>
      </c>
    </row>
    <row r="16641">
      <c r="H16641" s="50"/>
      <c r="I16641" s="50"/>
      <c r="O16641" s="36" t="s">
        <v>48</v>
      </c>
      <c r="R16641" s="36" t="s">
        <v>48</v>
      </c>
    </row>
    <row r="16642">
      <c r="H16642" s="50"/>
      <c r="I16642" s="50"/>
      <c r="O16642" s="36" t="s">
        <v>48</v>
      </c>
      <c r="R16642" s="36" t="s">
        <v>48</v>
      </c>
    </row>
    <row r="16643">
      <c r="H16643" s="50"/>
      <c r="I16643" s="50"/>
      <c r="O16643" s="36" t="s">
        <v>48</v>
      </c>
      <c r="R16643" s="36" t="s">
        <v>48</v>
      </c>
    </row>
    <row r="16644">
      <c r="H16644" s="50"/>
      <c r="I16644" s="50"/>
      <c r="O16644" s="36" t="s">
        <v>48</v>
      </c>
      <c r="R16644" s="36" t="s">
        <v>48</v>
      </c>
    </row>
    <row r="16645">
      <c r="H16645" s="50"/>
      <c r="I16645" s="50"/>
      <c r="O16645" s="36" t="s">
        <v>48</v>
      </c>
      <c r="R16645" s="36" t="s">
        <v>48</v>
      </c>
    </row>
    <row r="16646">
      <c r="H16646" s="50"/>
      <c r="I16646" s="50"/>
      <c r="O16646" s="36" t="s">
        <v>48</v>
      </c>
      <c r="R16646" s="36" t="s">
        <v>48</v>
      </c>
    </row>
    <row r="16647">
      <c r="H16647" s="50"/>
      <c r="I16647" s="50"/>
      <c r="O16647" s="36" t="s">
        <v>48</v>
      </c>
      <c r="R16647" s="36" t="s">
        <v>48</v>
      </c>
    </row>
    <row r="16648">
      <c r="H16648" s="50"/>
      <c r="I16648" s="50"/>
      <c r="O16648" s="36" t="s">
        <v>48</v>
      </c>
      <c r="R16648" s="36" t="s">
        <v>48</v>
      </c>
    </row>
    <row r="16649">
      <c r="H16649" s="50"/>
      <c r="I16649" s="50"/>
      <c r="O16649" s="36" t="s">
        <v>48</v>
      </c>
      <c r="R16649" s="36" t="s">
        <v>48</v>
      </c>
    </row>
    <row r="16650">
      <c r="H16650" s="50"/>
      <c r="I16650" s="50"/>
      <c r="O16650" s="36" t="s">
        <v>48</v>
      </c>
      <c r="R16650" s="36" t="s">
        <v>48</v>
      </c>
    </row>
    <row r="16651">
      <c r="H16651" s="50"/>
      <c r="I16651" s="50"/>
      <c r="O16651" s="36" t="s">
        <v>48</v>
      </c>
      <c r="R16651" s="36" t="s">
        <v>48</v>
      </c>
    </row>
    <row r="16652">
      <c r="H16652" s="50"/>
      <c r="I16652" s="50"/>
      <c r="O16652" s="36" t="s">
        <v>48</v>
      </c>
      <c r="R16652" s="36" t="s">
        <v>48</v>
      </c>
    </row>
    <row r="16653">
      <c r="H16653" s="50"/>
      <c r="I16653" s="50"/>
      <c r="O16653" s="36" t="s">
        <v>48</v>
      </c>
      <c r="R16653" s="36" t="s">
        <v>48</v>
      </c>
    </row>
    <row r="16654">
      <c r="H16654" s="50"/>
      <c r="I16654" s="50"/>
      <c r="O16654" s="36" t="s">
        <v>48</v>
      </c>
      <c r="R16654" s="36" t="s">
        <v>48</v>
      </c>
    </row>
    <row r="16655">
      <c r="H16655" s="50"/>
      <c r="I16655" s="50"/>
      <c r="O16655" s="36" t="s">
        <v>48</v>
      </c>
      <c r="R16655" s="36" t="s">
        <v>48</v>
      </c>
    </row>
    <row r="16656">
      <c r="H16656" s="50"/>
      <c r="I16656" s="50"/>
      <c r="O16656" s="36" t="s">
        <v>48</v>
      </c>
      <c r="R16656" s="36" t="s">
        <v>48</v>
      </c>
    </row>
    <row r="16657">
      <c r="H16657" s="50"/>
      <c r="I16657" s="50"/>
      <c r="O16657" s="36" t="s">
        <v>48</v>
      </c>
      <c r="R16657" s="36" t="s">
        <v>48</v>
      </c>
    </row>
    <row r="16658">
      <c r="H16658" s="50"/>
      <c r="I16658" s="50"/>
      <c r="O16658" s="36" t="s">
        <v>48</v>
      </c>
      <c r="R16658" s="36" t="s">
        <v>48</v>
      </c>
    </row>
    <row r="16659">
      <c r="H16659" s="50"/>
      <c r="I16659" s="50"/>
      <c r="O16659" s="36" t="s">
        <v>48</v>
      </c>
      <c r="R16659" s="36" t="s">
        <v>48</v>
      </c>
    </row>
    <row r="16660">
      <c r="H16660" s="50"/>
      <c r="I16660" s="50"/>
      <c r="O16660" s="36" t="s">
        <v>48</v>
      </c>
      <c r="R16660" s="36" t="s">
        <v>48</v>
      </c>
    </row>
    <row r="16661">
      <c r="H16661" s="50"/>
      <c r="I16661" s="50"/>
      <c r="O16661" s="36" t="s">
        <v>48</v>
      </c>
      <c r="R16661" s="36" t="s">
        <v>48</v>
      </c>
    </row>
    <row r="16662">
      <c r="H16662" s="50"/>
      <c r="I16662" s="50"/>
      <c r="O16662" s="36" t="s">
        <v>48</v>
      </c>
      <c r="R16662" s="36" t="s">
        <v>48</v>
      </c>
    </row>
    <row r="16663">
      <c r="H16663" s="50"/>
      <c r="I16663" s="50"/>
      <c r="O16663" s="36" t="s">
        <v>48</v>
      </c>
      <c r="R16663" s="36" t="s">
        <v>48</v>
      </c>
    </row>
    <row r="16664">
      <c r="H16664" s="50"/>
      <c r="I16664" s="50"/>
      <c r="O16664" s="36" t="s">
        <v>48</v>
      </c>
      <c r="R16664" s="36" t="s">
        <v>48</v>
      </c>
    </row>
    <row r="16665">
      <c r="H16665" s="50"/>
      <c r="I16665" s="50"/>
      <c r="O16665" s="36" t="s">
        <v>48</v>
      </c>
      <c r="R16665" s="36" t="s">
        <v>48</v>
      </c>
    </row>
    <row r="16666">
      <c r="H16666" s="50"/>
      <c r="I16666" s="50"/>
      <c r="O16666" s="36" t="s">
        <v>48</v>
      </c>
      <c r="R16666" s="36" t="s">
        <v>48</v>
      </c>
    </row>
    <row r="16667">
      <c r="H16667" s="50"/>
      <c r="I16667" s="50"/>
      <c r="O16667" s="36" t="s">
        <v>48</v>
      </c>
      <c r="R16667" s="36" t="s">
        <v>48</v>
      </c>
    </row>
    <row r="16668">
      <c r="H16668" s="50"/>
      <c r="I16668" s="50"/>
      <c r="O16668" s="36" t="s">
        <v>48</v>
      </c>
      <c r="R16668" s="36" t="s">
        <v>48</v>
      </c>
    </row>
    <row r="16669">
      <c r="H16669" s="50"/>
      <c r="I16669" s="50"/>
      <c r="O16669" s="36" t="s">
        <v>48</v>
      </c>
      <c r="R16669" s="36" t="s">
        <v>48</v>
      </c>
    </row>
    <row r="16670">
      <c r="H16670" s="50"/>
      <c r="I16670" s="50"/>
      <c r="O16670" s="36" t="s">
        <v>48</v>
      </c>
      <c r="R16670" s="36" t="s">
        <v>48</v>
      </c>
    </row>
    <row r="16671">
      <c r="H16671" s="50"/>
      <c r="I16671" s="50"/>
      <c r="O16671" s="36" t="s">
        <v>48</v>
      </c>
      <c r="R16671" s="36" t="s">
        <v>48</v>
      </c>
    </row>
    <row r="16672">
      <c r="H16672" s="50"/>
      <c r="I16672" s="50"/>
      <c r="O16672" s="36" t="s">
        <v>48</v>
      </c>
      <c r="R16672" s="36" t="s">
        <v>48</v>
      </c>
    </row>
    <row r="16673">
      <c r="H16673" s="50"/>
      <c r="I16673" s="50"/>
      <c r="O16673" s="36" t="s">
        <v>48</v>
      </c>
      <c r="R16673" s="36" t="s">
        <v>48</v>
      </c>
    </row>
    <row r="16674">
      <c r="H16674" s="50"/>
      <c r="I16674" s="50"/>
      <c r="O16674" s="36" t="s">
        <v>48</v>
      </c>
      <c r="R16674" s="36" t="s">
        <v>48</v>
      </c>
    </row>
    <row r="16675">
      <c r="H16675" s="50"/>
      <c r="I16675" s="50"/>
      <c r="O16675" s="36" t="s">
        <v>48</v>
      </c>
      <c r="R16675" s="36" t="s">
        <v>48</v>
      </c>
    </row>
    <row r="16676">
      <c r="H16676" s="50"/>
      <c r="I16676" s="50"/>
      <c r="O16676" s="36" t="s">
        <v>48</v>
      </c>
      <c r="R16676" s="36" t="s">
        <v>48</v>
      </c>
    </row>
    <row r="16677">
      <c r="H16677" s="50"/>
      <c r="I16677" s="50"/>
      <c r="O16677" s="36" t="s">
        <v>48</v>
      </c>
      <c r="R16677" s="36" t="s">
        <v>48</v>
      </c>
    </row>
    <row r="16678">
      <c r="H16678" s="50"/>
      <c r="I16678" s="50"/>
      <c r="O16678" s="36" t="s">
        <v>48</v>
      </c>
      <c r="R16678" s="36" t="s">
        <v>48</v>
      </c>
    </row>
    <row r="16679">
      <c r="H16679" s="50"/>
      <c r="I16679" s="50"/>
      <c r="O16679" s="36" t="s">
        <v>48</v>
      </c>
      <c r="R16679" s="36" t="s">
        <v>48</v>
      </c>
    </row>
    <row r="16680">
      <c r="H16680" s="50"/>
      <c r="I16680" s="50"/>
      <c r="O16680" s="36" t="s">
        <v>48</v>
      </c>
      <c r="R16680" s="36" t="s">
        <v>48</v>
      </c>
    </row>
    <row r="16681">
      <c r="H16681" s="50"/>
      <c r="I16681" s="50"/>
      <c r="O16681" s="36" t="s">
        <v>48</v>
      </c>
      <c r="R16681" s="36" t="s">
        <v>48</v>
      </c>
    </row>
    <row r="16682">
      <c r="H16682" s="50"/>
      <c r="I16682" s="50"/>
      <c r="O16682" s="36" t="s">
        <v>48</v>
      </c>
      <c r="R16682" s="36" t="s">
        <v>48</v>
      </c>
    </row>
    <row r="16683">
      <c r="H16683" s="50"/>
      <c r="I16683" s="50"/>
      <c r="O16683" s="36" t="s">
        <v>48</v>
      </c>
      <c r="R16683" s="36" t="s">
        <v>48</v>
      </c>
    </row>
    <row r="16684">
      <c r="H16684" s="50"/>
      <c r="I16684" s="50"/>
      <c r="O16684" s="36" t="s">
        <v>48</v>
      </c>
      <c r="R16684" s="36" t="s">
        <v>48</v>
      </c>
    </row>
    <row r="16685">
      <c r="H16685" s="50"/>
      <c r="I16685" s="50"/>
      <c r="O16685" s="36" t="s">
        <v>48</v>
      </c>
      <c r="R16685" s="36" t="s">
        <v>48</v>
      </c>
    </row>
    <row r="16686">
      <c r="H16686" s="50"/>
      <c r="I16686" s="50"/>
      <c r="O16686" s="36" t="s">
        <v>48</v>
      </c>
      <c r="R16686" s="36" t="s">
        <v>48</v>
      </c>
    </row>
    <row r="16687">
      <c r="H16687" s="50"/>
      <c r="I16687" s="50"/>
      <c r="O16687" s="36" t="s">
        <v>48</v>
      </c>
      <c r="R16687" s="36" t="s">
        <v>48</v>
      </c>
    </row>
    <row r="16688">
      <c r="H16688" s="50"/>
      <c r="I16688" s="50"/>
      <c r="O16688" s="36" t="s">
        <v>48</v>
      </c>
      <c r="R16688" s="36" t="s">
        <v>48</v>
      </c>
    </row>
    <row r="16689">
      <c r="H16689" s="50"/>
      <c r="I16689" s="50"/>
      <c r="O16689" s="36" t="s">
        <v>48</v>
      </c>
      <c r="R16689" s="36" t="s">
        <v>48</v>
      </c>
    </row>
    <row r="16690">
      <c r="H16690" s="50"/>
      <c r="I16690" s="50"/>
      <c r="O16690" s="36" t="s">
        <v>48</v>
      </c>
      <c r="R16690" s="36" t="s">
        <v>48</v>
      </c>
    </row>
    <row r="16691">
      <c r="H16691" s="50"/>
      <c r="I16691" s="50"/>
      <c r="O16691" s="36" t="s">
        <v>48</v>
      </c>
      <c r="R16691" s="36" t="s">
        <v>48</v>
      </c>
    </row>
    <row r="16692">
      <c r="H16692" s="50"/>
      <c r="I16692" s="50"/>
      <c r="O16692" s="36" t="s">
        <v>48</v>
      </c>
      <c r="R16692" s="36" t="s">
        <v>48</v>
      </c>
    </row>
    <row r="16693">
      <c r="H16693" s="50"/>
      <c r="I16693" s="50"/>
      <c r="O16693" s="36" t="s">
        <v>48</v>
      </c>
      <c r="R16693" s="36" t="s">
        <v>48</v>
      </c>
    </row>
    <row r="16694">
      <c r="H16694" s="50"/>
      <c r="I16694" s="50"/>
      <c r="O16694" s="36" t="s">
        <v>48</v>
      </c>
      <c r="R16694" s="36" t="s">
        <v>48</v>
      </c>
    </row>
    <row r="16695">
      <c r="H16695" s="50"/>
      <c r="I16695" s="50"/>
      <c r="O16695" s="36" t="s">
        <v>48</v>
      </c>
      <c r="R16695" s="36" t="s">
        <v>48</v>
      </c>
    </row>
    <row r="16696">
      <c r="H16696" s="50"/>
      <c r="I16696" s="50"/>
      <c r="O16696" s="36" t="s">
        <v>48</v>
      </c>
      <c r="R16696" s="36" t="s">
        <v>48</v>
      </c>
    </row>
    <row r="16697">
      <c r="H16697" s="50"/>
      <c r="I16697" s="50"/>
      <c r="O16697" s="36" t="s">
        <v>48</v>
      </c>
      <c r="R16697" s="36" t="s">
        <v>48</v>
      </c>
    </row>
    <row r="16698">
      <c r="H16698" s="50"/>
      <c r="I16698" s="50"/>
      <c r="O16698" s="36" t="s">
        <v>48</v>
      </c>
      <c r="R16698" s="36" t="s">
        <v>48</v>
      </c>
    </row>
    <row r="16699">
      <c r="H16699" s="50"/>
      <c r="I16699" s="50"/>
      <c r="O16699" s="36" t="s">
        <v>48</v>
      </c>
      <c r="R16699" s="36" t="s">
        <v>48</v>
      </c>
    </row>
    <row r="16700">
      <c r="H16700" s="50"/>
      <c r="I16700" s="50"/>
      <c r="O16700" s="36" t="s">
        <v>48</v>
      </c>
      <c r="R16700" s="36" t="s">
        <v>48</v>
      </c>
    </row>
    <row r="16701">
      <c r="H16701" s="50"/>
      <c r="I16701" s="50"/>
      <c r="O16701" s="36" t="s">
        <v>48</v>
      </c>
      <c r="R16701" s="36" t="s">
        <v>48</v>
      </c>
    </row>
    <row r="16702">
      <c r="H16702" s="50"/>
      <c r="I16702" s="50"/>
      <c r="O16702" s="36" t="s">
        <v>48</v>
      </c>
      <c r="R16702" s="36" t="s">
        <v>48</v>
      </c>
    </row>
    <row r="16703">
      <c r="H16703" s="50"/>
      <c r="I16703" s="50"/>
      <c r="O16703" s="36" t="s">
        <v>48</v>
      </c>
      <c r="R16703" s="36" t="s">
        <v>48</v>
      </c>
    </row>
    <row r="16704">
      <c r="H16704" s="50"/>
      <c r="I16704" s="50"/>
      <c r="O16704" s="36" t="s">
        <v>48</v>
      </c>
      <c r="R16704" s="36" t="s">
        <v>48</v>
      </c>
    </row>
    <row r="16705">
      <c r="H16705" s="50"/>
      <c r="I16705" s="50"/>
      <c r="O16705" s="36" t="s">
        <v>48</v>
      </c>
      <c r="R16705" s="36" t="s">
        <v>48</v>
      </c>
    </row>
    <row r="16706">
      <c r="H16706" s="50"/>
      <c r="I16706" s="50"/>
      <c r="O16706" s="36" t="s">
        <v>48</v>
      </c>
      <c r="R16706" s="36" t="s">
        <v>48</v>
      </c>
    </row>
    <row r="16707">
      <c r="H16707" s="50"/>
      <c r="I16707" s="50"/>
      <c r="O16707" s="36" t="s">
        <v>48</v>
      </c>
      <c r="R16707" s="36" t="s">
        <v>48</v>
      </c>
    </row>
    <row r="16708">
      <c r="H16708" s="50"/>
      <c r="I16708" s="50"/>
      <c r="O16708" s="36" t="s">
        <v>48</v>
      </c>
      <c r="R16708" s="36" t="s">
        <v>48</v>
      </c>
    </row>
    <row r="16709">
      <c r="H16709" s="50"/>
      <c r="I16709" s="50"/>
      <c r="O16709" s="36" t="s">
        <v>48</v>
      </c>
      <c r="R16709" s="36" t="s">
        <v>48</v>
      </c>
    </row>
    <row r="16710">
      <c r="H16710" s="50"/>
      <c r="I16710" s="50"/>
      <c r="O16710" s="36" t="s">
        <v>48</v>
      </c>
      <c r="R16710" s="36" t="s">
        <v>48</v>
      </c>
    </row>
    <row r="16711">
      <c r="H16711" s="50"/>
      <c r="I16711" s="50"/>
      <c r="O16711" s="36" t="s">
        <v>48</v>
      </c>
      <c r="R16711" s="36" t="s">
        <v>48</v>
      </c>
    </row>
    <row r="16712">
      <c r="H16712" s="50"/>
      <c r="I16712" s="50"/>
      <c r="O16712" s="36" t="s">
        <v>48</v>
      </c>
      <c r="R16712" s="36" t="s">
        <v>48</v>
      </c>
    </row>
    <row r="16713">
      <c r="H16713" s="50"/>
      <c r="I16713" s="50"/>
      <c r="O16713" s="36" t="s">
        <v>48</v>
      </c>
      <c r="R16713" s="36" t="s">
        <v>48</v>
      </c>
    </row>
    <row r="16714">
      <c r="H16714" s="50"/>
      <c r="I16714" s="50"/>
      <c r="O16714" s="36" t="s">
        <v>48</v>
      </c>
      <c r="R16714" s="36" t="s">
        <v>48</v>
      </c>
    </row>
    <row r="16715">
      <c r="H16715" s="50"/>
      <c r="I16715" s="50"/>
      <c r="O16715" s="36" t="s">
        <v>48</v>
      </c>
      <c r="R16715" s="36" t="s">
        <v>48</v>
      </c>
    </row>
    <row r="16716">
      <c r="H16716" s="50"/>
      <c r="I16716" s="50"/>
      <c r="O16716" s="36" t="s">
        <v>48</v>
      </c>
      <c r="R16716" s="36" t="s">
        <v>48</v>
      </c>
    </row>
    <row r="16717">
      <c r="H16717" s="50"/>
      <c r="I16717" s="50"/>
      <c r="O16717" s="36" t="s">
        <v>48</v>
      </c>
      <c r="R16717" s="36" t="s">
        <v>48</v>
      </c>
    </row>
    <row r="16718">
      <c r="H16718" s="50"/>
      <c r="I16718" s="50"/>
      <c r="O16718" s="36" t="s">
        <v>48</v>
      </c>
      <c r="R16718" s="36" t="s">
        <v>48</v>
      </c>
    </row>
    <row r="16719">
      <c r="H16719" s="50"/>
      <c r="I16719" s="50"/>
      <c r="O16719" s="36" t="s">
        <v>48</v>
      </c>
      <c r="R16719" s="36" t="s">
        <v>48</v>
      </c>
    </row>
    <row r="16720">
      <c r="H16720" s="50"/>
      <c r="I16720" s="50"/>
      <c r="O16720" s="36" t="s">
        <v>48</v>
      </c>
      <c r="R16720" s="36" t="s">
        <v>48</v>
      </c>
    </row>
    <row r="16721">
      <c r="H16721" s="50"/>
      <c r="I16721" s="50"/>
      <c r="O16721" s="36" t="s">
        <v>48</v>
      </c>
      <c r="R16721" s="36" t="s">
        <v>48</v>
      </c>
    </row>
    <row r="16722">
      <c r="H16722" s="50"/>
      <c r="I16722" s="50"/>
      <c r="O16722" s="36" t="s">
        <v>48</v>
      </c>
      <c r="R16722" s="36" t="s">
        <v>48</v>
      </c>
    </row>
    <row r="16723">
      <c r="H16723" s="50"/>
      <c r="I16723" s="50"/>
      <c r="O16723" s="36" t="s">
        <v>48</v>
      </c>
      <c r="R16723" s="36" t="s">
        <v>48</v>
      </c>
    </row>
    <row r="16724">
      <c r="H16724" s="50"/>
      <c r="I16724" s="50"/>
      <c r="O16724" s="36" t="s">
        <v>48</v>
      </c>
      <c r="R16724" s="36" t="s">
        <v>48</v>
      </c>
    </row>
    <row r="16725">
      <c r="H16725" s="50"/>
      <c r="I16725" s="50"/>
      <c r="O16725" s="36" t="s">
        <v>48</v>
      </c>
      <c r="R16725" s="36" t="s">
        <v>48</v>
      </c>
    </row>
    <row r="16726">
      <c r="H16726" s="50"/>
      <c r="I16726" s="50"/>
      <c r="O16726" s="36" t="s">
        <v>48</v>
      </c>
      <c r="R16726" s="36" t="s">
        <v>48</v>
      </c>
    </row>
    <row r="16727">
      <c r="H16727" s="50"/>
      <c r="I16727" s="50"/>
      <c r="O16727" s="36" t="s">
        <v>48</v>
      </c>
      <c r="R16727" s="36" t="s">
        <v>48</v>
      </c>
    </row>
    <row r="16728">
      <c r="H16728" s="50"/>
      <c r="I16728" s="50"/>
      <c r="O16728" s="36" t="s">
        <v>48</v>
      </c>
      <c r="R16728" s="36" t="s">
        <v>48</v>
      </c>
    </row>
    <row r="16729">
      <c r="H16729" s="50"/>
      <c r="I16729" s="50"/>
      <c r="O16729" s="36" t="s">
        <v>48</v>
      </c>
      <c r="R16729" s="36" t="s">
        <v>48</v>
      </c>
    </row>
    <row r="16730">
      <c r="H16730" s="50"/>
      <c r="I16730" s="50"/>
      <c r="O16730" s="36" t="s">
        <v>48</v>
      </c>
      <c r="R16730" s="36" t="s">
        <v>48</v>
      </c>
    </row>
    <row r="16731">
      <c r="H16731" s="50"/>
      <c r="I16731" s="50"/>
      <c r="O16731" s="36" t="s">
        <v>48</v>
      </c>
      <c r="R16731" s="36" t="s">
        <v>48</v>
      </c>
    </row>
    <row r="16732">
      <c r="H16732" s="50"/>
      <c r="I16732" s="50"/>
      <c r="O16732" s="36" t="s">
        <v>48</v>
      </c>
      <c r="R16732" s="36" t="s">
        <v>48</v>
      </c>
    </row>
    <row r="16733">
      <c r="H16733" s="50"/>
      <c r="I16733" s="50"/>
      <c r="O16733" s="36" t="s">
        <v>48</v>
      </c>
      <c r="R16733" s="36" t="s">
        <v>48</v>
      </c>
    </row>
    <row r="16734">
      <c r="H16734" s="50"/>
      <c r="I16734" s="50"/>
      <c r="O16734" s="36" t="s">
        <v>48</v>
      </c>
      <c r="R16734" s="36" t="s">
        <v>48</v>
      </c>
    </row>
    <row r="16735">
      <c r="H16735" s="50"/>
      <c r="I16735" s="50"/>
      <c r="O16735" s="36" t="s">
        <v>48</v>
      </c>
      <c r="R16735" s="36" t="s">
        <v>48</v>
      </c>
    </row>
    <row r="16736">
      <c r="H16736" s="50"/>
      <c r="I16736" s="50"/>
      <c r="O16736" s="36" t="s">
        <v>48</v>
      </c>
      <c r="R16736" s="36" t="s">
        <v>48</v>
      </c>
    </row>
    <row r="16737">
      <c r="H16737" s="50"/>
      <c r="I16737" s="50"/>
      <c r="O16737" s="36" t="s">
        <v>48</v>
      </c>
      <c r="R16737" s="36" t="s">
        <v>48</v>
      </c>
    </row>
    <row r="16738">
      <c r="H16738" s="50"/>
      <c r="I16738" s="50"/>
      <c r="O16738" s="36" t="s">
        <v>48</v>
      </c>
      <c r="R16738" s="36" t="s">
        <v>48</v>
      </c>
    </row>
    <row r="16739">
      <c r="H16739" s="50"/>
      <c r="I16739" s="50"/>
      <c r="O16739" s="36" t="s">
        <v>48</v>
      </c>
      <c r="R16739" s="36" t="s">
        <v>48</v>
      </c>
    </row>
    <row r="16740">
      <c r="H16740" s="50"/>
      <c r="I16740" s="50"/>
      <c r="O16740" s="36" t="s">
        <v>48</v>
      </c>
      <c r="R16740" s="36" t="s">
        <v>48</v>
      </c>
    </row>
    <row r="16741">
      <c r="H16741" s="50"/>
      <c r="I16741" s="50"/>
      <c r="O16741" s="36" t="s">
        <v>48</v>
      </c>
      <c r="R16741" s="36" t="s">
        <v>48</v>
      </c>
    </row>
    <row r="16742">
      <c r="H16742" s="50"/>
      <c r="I16742" s="50"/>
      <c r="O16742" s="36" t="s">
        <v>48</v>
      </c>
      <c r="R16742" s="36" t="s">
        <v>48</v>
      </c>
    </row>
    <row r="16743">
      <c r="H16743" s="50"/>
      <c r="I16743" s="50"/>
      <c r="O16743" s="36" t="s">
        <v>48</v>
      </c>
      <c r="R16743" s="36" t="s">
        <v>48</v>
      </c>
    </row>
    <row r="16744">
      <c r="H16744" s="50"/>
      <c r="I16744" s="50"/>
      <c r="O16744" s="36" t="s">
        <v>48</v>
      </c>
      <c r="R16744" s="36" t="s">
        <v>48</v>
      </c>
    </row>
    <row r="16745">
      <c r="H16745" s="50"/>
      <c r="I16745" s="50"/>
      <c r="O16745" s="36" t="s">
        <v>48</v>
      </c>
      <c r="R16745" s="36" t="s">
        <v>48</v>
      </c>
    </row>
    <row r="16746">
      <c r="H16746" s="50"/>
      <c r="I16746" s="50"/>
      <c r="O16746" s="36" t="s">
        <v>48</v>
      </c>
      <c r="R16746" s="36" t="s">
        <v>48</v>
      </c>
    </row>
    <row r="16747">
      <c r="H16747" s="50"/>
      <c r="I16747" s="50"/>
      <c r="O16747" s="36" t="s">
        <v>48</v>
      </c>
      <c r="R16747" s="36" t="s">
        <v>48</v>
      </c>
    </row>
    <row r="16748">
      <c r="H16748" s="50"/>
      <c r="I16748" s="50"/>
      <c r="O16748" s="36" t="s">
        <v>48</v>
      </c>
      <c r="R16748" s="36" t="s">
        <v>48</v>
      </c>
    </row>
    <row r="16749">
      <c r="H16749" s="50"/>
      <c r="I16749" s="50"/>
      <c r="O16749" s="36" t="s">
        <v>48</v>
      </c>
      <c r="R16749" s="36" t="s">
        <v>48</v>
      </c>
    </row>
    <row r="16750">
      <c r="H16750" s="50"/>
      <c r="I16750" s="50"/>
      <c r="O16750" s="36" t="s">
        <v>48</v>
      </c>
      <c r="R16750" s="36" t="s">
        <v>48</v>
      </c>
    </row>
    <row r="16751">
      <c r="H16751" s="50"/>
      <c r="I16751" s="50"/>
      <c r="O16751" s="36" t="s">
        <v>48</v>
      </c>
      <c r="R16751" s="36" t="s">
        <v>48</v>
      </c>
    </row>
    <row r="16752">
      <c r="H16752" s="50"/>
      <c r="I16752" s="50"/>
      <c r="O16752" s="36" t="s">
        <v>48</v>
      </c>
      <c r="R16752" s="36" t="s">
        <v>48</v>
      </c>
    </row>
    <row r="16753">
      <c r="H16753" s="50"/>
      <c r="I16753" s="50"/>
      <c r="O16753" s="36" t="s">
        <v>48</v>
      </c>
      <c r="R16753" s="36" t="s">
        <v>48</v>
      </c>
    </row>
    <row r="16754">
      <c r="H16754" s="50"/>
      <c r="I16754" s="50"/>
      <c r="O16754" s="36" t="s">
        <v>48</v>
      </c>
      <c r="R16754" s="36" t="s">
        <v>48</v>
      </c>
    </row>
    <row r="16755">
      <c r="H16755" s="50"/>
      <c r="I16755" s="50"/>
      <c r="O16755" s="36" t="s">
        <v>48</v>
      </c>
      <c r="R16755" s="36" t="s">
        <v>48</v>
      </c>
    </row>
    <row r="16756">
      <c r="H16756" s="50"/>
      <c r="I16756" s="50"/>
      <c r="O16756" s="36" t="s">
        <v>48</v>
      </c>
      <c r="R16756" s="36" t="s">
        <v>48</v>
      </c>
    </row>
    <row r="16757">
      <c r="H16757" s="50"/>
      <c r="I16757" s="50"/>
      <c r="O16757" s="36" t="s">
        <v>48</v>
      </c>
      <c r="R16757" s="36" t="s">
        <v>48</v>
      </c>
    </row>
    <row r="16758">
      <c r="H16758" s="50"/>
      <c r="I16758" s="50"/>
      <c r="O16758" s="36" t="s">
        <v>48</v>
      </c>
      <c r="R16758" s="36" t="s">
        <v>48</v>
      </c>
    </row>
    <row r="16759">
      <c r="H16759" s="50"/>
      <c r="I16759" s="50"/>
      <c r="O16759" s="36" t="s">
        <v>48</v>
      </c>
      <c r="R16759" s="36" t="s">
        <v>48</v>
      </c>
    </row>
    <row r="16760">
      <c r="H16760" s="50"/>
      <c r="I16760" s="50"/>
      <c r="O16760" s="36" t="s">
        <v>48</v>
      </c>
      <c r="R16760" s="36" t="s">
        <v>48</v>
      </c>
    </row>
    <row r="16761">
      <c r="H16761" s="50"/>
      <c r="I16761" s="50"/>
      <c r="O16761" s="36" t="s">
        <v>48</v>
      </c>
      <c r="R16761" s="36" t="s">
        <v>48</v>
      </c>
    </row>
    <row r="16762">
      <c r="H16762" s="50"/>
      <c r="I16762" s="50"/>
      <c r="O16762" s="36" t="s">
        <v>48</v>
      </c>
      <c r="R16762" s="36" t="s">
        <v>48</v>
      </c>
    </row>
    <row r="16763">
      <c r="H16763" s="50"/>
      <c r="I16763" s="50"/>
      <c r="O16763" s="36" t="s">
        <v>48</v>
      </c>
      <c r="R16763" s="36" t="s">
        <v>48</v>
      </c>
    </row>
    <row r="16764">
      <c r="H16764" s="50"/>
      <c r="I16764" s="50"/>
      <c r="O16764" s="36" t="s">
        <v>48</v>
      </c>
      <c r="R16764" s="36" t="s">
        <v>48</v>
      </c>
    </row>
    <row r="16765">
      <c r="H16765" s="50"/>
      <c r="I16765" s="50"/>
      <c r="O16765" s="36" t="s">
        <v>48</v>
      </c>
      <c r="R16765" s="36" t="s">
        <v>48</v>
      </c>
    </row>
    <row r="16766">
      <c r="H16766" s="50"/>
      <c r="I16766" s="50"/>
      <c r="O16766" s="36" t="s">
        <v>48</v>
      </c>
      <c r="R16766" s="36" t="s">
        <v>48</v>
      </c>
    </row>
    <row r="16767">
      <c r="H16767" s="50"/>
      <c r="I16767" s="50"/>
      <c r="O16767" s="36" t="s">
        <v>48</v>
      </c>
      <c r="R16767" s="36" t="s">
        <v>48</v>
      </c>
    </row>
    <row r="16768">
      <c r="H16768" s="50"/>
      <c r="I16768" s="50"/>
      <c r="O16768" s="36" t="s">
        <v>48</v>
      </c>
      <c r="R16768" s="36" t="s">
        <v>48</v>
      </c>
    </row>
    <row r="16769">
      <c r="H16769" s="50"/>
      <c r="I16769" s="50"/>
      <c r="O16769" s="36" t="s">
        <v>48</v>
      </c>
      <c r="R16769" s="36" t="s">
        <v>48</v>
      </c>
    </row>
    <row r="16770">
      <c r="H16770" s="50"/>
      <c r="I16770" s="50"/>
      <c r="O16770" s="36" t="s">
        <v>48</v>
      </c>
      <c r="R16770" s="36" t="s">
        <v>48</v>
      </c>
    </row>
    <row r="16771">
      <c r="H16771" s="50"/>
      <c r="I16771" s="50"/>
      <c r="O16771" s="36" t="s">
        <v>48</v>
      </c>
      <c r="R16771" s="36" t="s">
        <v>48</v>
      </c>
    </row>
    <row r="16772">
      <c r="H16772" s="50"/>
      <c r="I16772" s="50"/>
      <c r="O16772" s="36" t="s">
        <v>48</v>
      </c>
      <c r="R16772" s="36" t="s">
        <v>48</v>
      </c>
    </row>
    <row r="16773">
      <c r="H16773" s="50"/>
      <c r="I16773" s="50"/>
      <c r="O16773" s="36" t="s">
        <v>48</v>
      </c>
      <c r="R16773" s="36" t="s">
        <v>48</v>
      </c>
    </row>
    <row r="16774">
      <c r="H16774" s="50"/>
      <c r="I16774" s="50"/>
      <c r="O16774" s="36" t="s">
        <v>48</v>
      </c>
      <c r="R16774" s="36" t="s">
        <v>48</v>
      </c>
    </row>
    <row r="16775">
      <c r="H16775" s="50"/>
      <c r="I16775" s="50"/>
      <c r="O16775" s="36" t="s">
        <v>48</v>
      </c>
      <c r="R16775" s="36" t="s">
        <v>48</v>
      </c>
    </row>
    <row r="16776">
      <c r="H16776" s="50"/>
      <c r="I16776" s="50"/>
      <c r="O16776" s="36" t="s">
        <v>48</v>
      </c>
      <c r="R16776" s="36" t="s">
        <v>48</v>
      </c>
    </row>
    <row r="16777">
      <c r="H16777" s="50"/>
      <c r="I16777" s="50"/>
      <c r="O16777" s="36" t="s">
        <v>48</v>
      </c>
      <c r="R16777" s="36" t="s">
        <v>48</v>
      </c>
    </row>
    <row r="16778">
      <c r="H16778" s="50"/>
      <c r="I16778" s="50"/>
      <c r="O16778" s="36" t="s">
        <v>48</v>
      </c>
      <c r="R16778" s="36" t="s">
        <v>48</v>
      </c>
    </row>
    <row r="16779">
      <c r="H16779" s="50"/>
      <c r="I16779" s="50"/>
      <c r="O16779" s="36" t="s">
        <v>48</v>
      </c>
      <c r="R16779" s="36" t="s">
        <v>48</v>
      </c>
    </row>
    <row r="16780">
      <c r="H16780" s="50"/>
      <c r="I16780" s="50"/>
      <c r="O16780" s="36" t="s">
        <v>48</v>
      </c>
      <c r="R16780" s="36" t="s">
        <v>48</v>
      </c>
    </row>
    <row r="16781">
      <c r="H16781" s="50"/>
      <c r="I16781" s="50"/>
      <c r="O16781" s="36" t="s">
        <v>48</v>
      </c>
      <c r="R16781" s="36" t="s">
        <v>48</v>
      </c>
    </row>
    <row r="16782">
      <c r="H16782" s="50"/>
      <c r="I16782" s="50"/>
      <c r="O16782" s="36" t="s">
        <v>48</v>
      </c>
      <c r="R16782" s="36" t="s">
        <v>48</v>
      </c>
    </row>
    <row r="16783">
      <c r="H16783" s="50"/>
      <c r="I16783" s="50"/>
      <c r="O16783" s="36" t="s">
        <v>48</v>
      </c>
      <c r="R16783" s="36" t="s">
        <v>48</v>
      </c>
    </row>
    <row r="16784">
      <c r="H16784" s="50"/>
      <c r="I16784" s="50"/>
      <c r="O16784" s="36" t="s">
        <v>48</v>
      </c>
      <c r="R16784" s="36" t="s">
        <v>48</v>
      </c>
    </row>
    <row r="16785">
      <c r="H16785" s="50"/>
      <c r="I16785" s="50"/>
      <c r="O16785" s="36" t="s">
        <v>48</v>
      </c>
      <c r="R16785" s="36" t="s">
        <v>48</v>
      </c>
    </row>
    <row r="16786">
      <c r="H16786" s="50"/>
      <c r="I16786" s="50"/>
      <c r="O16786" s="36" t="s">
        <v>48</v>
      </c>
      <c r="R16786" s="36" t="s">
        <v>48</v>
      </c>
    </row>
    <row r="16787">
      <c r="H16787" s="50"/>
      <c r="I16787" s="50"/>
      <c r="O16787" s="36" t="s">
        <v>48</v>
      </c>
      <c r="R16787" s="36" t="s">
        <v>48</v>
      </c>
    </row>
    <row r="16788">
      <c r="H16788" s="50"/>
      <c r="I16788" s="50"/>
      <c r="O16788" s="36" t="s">
        <v>48</v>
      </c>
      <c r="R16788" s="36" t="s">
        <v>48</v>
      </c>
    </row>
    <row r="16789">
      <c r="H16789" s="50"/>
      <c r="I16789" s="50"/>
      <c r="O16789" s="36" t="s">
        <v>48</v>
      </c>
      <c r="R16789" s="36" t="s">
        <v>48</v>
      </c>
    </row>
    <row r="16790">
      <c r="H16790" s="50"/>
      <c r="I16790" s="50"/>
      <c r="O16790" s="36" t="s">
        <v>48</v>
      </c>
      <c r="R16790" s="36" t="s">
        <v>48</v>
      </c>
    </row>
    <row r="16791">
      <c r="H16791" s="50"/>
      <c r="I16791" s="50"/>
      <c r="O16791" s="36" t="s">
        <v>48</v>
      </c>
      <c r="R16791" s="36" t="s">
        <v>48</v>
      </c>
    </row>
    <row r="16792">
      <c r="H16792" s="50"/>
      <c r="I16792" s="50"/>
      <c r="O16792" s="36" t="s">
        <v>48</v>
      </c>
      <c r="R16792" s="36" t="s">
        <v>48</v>
      </c>
    </row>
    <row r="16793">
      <c r="H16793" s="50"/>
      <c r="I16793" s="50"/>
      <c r="O16793" s="36" t="s">
        <v>48</v>
      </c>
      <c r="R16793" s="36" t="s">
        <v>48</v>
      </c>
    </row>
    <row r="16794">
      <c r="H16794" s="50"/>
      <c r="I16794" s="50"/>
      <c r="O16794" s="36" t="s">
        <v>48</v>
      </c>
      <c r="R16794" s="36" t="s">
        <v>48</v>
      </c>
    </row>
    <row r="16795">
      <c r="H16795" s="50"/>
      <c r="I16795" s="50"/>
      <c r="O16795" s="36" t="s">
        <v>48</v>
      </c>
      <c r="R16795" s="36" t="s">
        <v>48</v>
      </c>
    </row>
    <row r="16796">
      <c r="H16796" s="50"/>
      <c r="I16796" s="50"/>
      <c r="O16796" s="36" t="s">
        <v>48</v>
      </c>
      <c r="R16796" s="36" t="s">
        <v>48</v>
      </c>
    </row>
    <row r="16797">
      <c r="H16797" s="50"/>
      <c r="I16797" s="50"/>
      <c r="O16797" s="36" t="s">
        <v>48</v>
      </c>
      <c r="R16797" s="36" t="s">
        <v>48</v>
      </c>
    </row>
    <row r="16798">
      <c r="H16798" s="50"/>
      <c r="I16798" s="50"/>
      <c r="O16798" s="36" t="s">
        <v>48</v>
      </c>
      <c r="R16798" s="36" t="s">
        <v>48</v>
      </c>
    </row>
    <row r="16799">
      <c r="H16799" s="50"/>
      <c r="I16799" s="50"/>
      <c r="O16799" s="36" t="s">
        <v>48</v>
      </c>
      <c r="R16799" s="36" t="s">
        <v>48</v>
      </c>
    </row>
    <row r="16800">
      <c r="H16800" s="50"/>
      <c r="I16800" s="50"/>
      <c r="O16800" s="36" t="s">
        <v>48</v>
      </c>
      <c r="R16800" s="36" t="s">
        <v>48</v>
      </c>
    </row>
    <row r="16801">
      <c r="H16801" s="50"/>
      <c r="I16801" s="50"/>
      <c r="O16801" s="36" t="s">
        <v>48</v>
      </c>
      <c r="R16801" s="36" t="s">
        <v>48</v>
      </c>
    </row>
    <row r="16802">
      <c r="H16802" s="50"/>
      <c r="I16802" s="50"/>
      <c r="O16802" s="36" t="s">
        <v>48</v>
      </c>
      <c r="R16802" s="36" t="s">
        <v>48</v>
      </c>
    </row>
    <row r="16803">
      <c r="H16803" s="50"/>
      <c r="I16803" s="50"/>
      <c r="O16803" s="36" t="s">
        <v>48</v>
      </c>
      <c r="R16803" s="36" t="s">
        <v>48</v>
      </c>
    </row>
    <row r="16804">
      <c r="H16804" s="50"/>
      <c r="I16804" s="50"/>
      <c r="O16804" s="36" t="s">
        <v>48</v>
      </c>
      <c r="R16804" s="36" t="s">
        <v>48</v>
      </c>
    </row>
    <row r="16805">
      <c r="H16805" s="50"/>
      <c r="I16805" s="50"/>
      <c r="O16805" s="36" t="s">
        <v>48</v>
      </c>
      <c r="R16805" s="36" t="s">
        <v>48</v>
      </c>
    </row>
    <row r="16806">
      <c r="H16806" s="50"/>
      <c r="I16806" s="50"/>
      <c r="O16806" s="36" t="s">
        <v>48</v>
      </c>
      <c r="R16806" s="36" t="s">
        <v>48</v>
      </c>
    </row>
    <row r="16807">
      <c r="H16807" s="50"/>
      <c r="I16807" s="50"/>
      <c r="O16807" s="36" t="s">
        <v>48</v>
      </c>
      <c r="R16807" s="36" t="s">
        <v>48</v>
      </c>
    </row>
    <row r="16808">
      <c r="H16808" s="50"/>
      <c r="I16808" s="50"/>
      <c r="O16808" s="36" t="s">
        <v>48</v>
      </c>
      <c r="R16808" s="36" t="s">
        <v>48</v>
      </c>
    </row>
    <row r="16809">
      <c r="H16809" s="50"/>
      <c r="I16809" s="50"/>
      <c r="O16809" s="36" t="s">
        <v>48</v>
      </c>
      <c r="R16809" s="36" t="s">
        <v>48</v>
      </c>
    </row>
    <row r="16810">
      <c r="H16810" s="50"/>
      <c r="I16810" s="50"/>
      <c r="O16810" s="36" t="s">
        <v>48</v>
      </c>
      <c r="R16810" s="36" t="s">
        <v>48</v>
      </c>
    </row>
    <row r="16811">
      <c r="H16811" s="50"/>
      <c r="I16811" s="50"/>
      <c r="O16811" s="36" t="s">
        <v>48</v>
      </c>
      <c r="R16811" s="36" t="s">
        <v>48</v>
      </c>
    </row>
    <row r="16812">
      <c r="H16812" s="50"/>
      <c r="I16812" s="50"/>
      <c r="O16812" s="36" t="s">
        <v>48</v>
      </c>
      <c r="R16812" s="36" t="s">
        <v>48</v>
      </c>
    </row>
    <row r="16813">
      <c r="H16813" s="50"/>
      <c r="I16813" s="50"/>
      <c r="O16813" s="36" t="s">
        <v>48</v>
      </c>
      <c r="R16813" s="36" t="s">
        <v>48</v>
      </c>
    </row>
    <row r="16814">
      <c r="H16814" s="50"/>
      <c r="I16814" s="50"/>
      <c r="O16814" s="36" t="s">
        <v>48</v>
      </c>
      <c r="R16814" s="36" t="s">
        <v>48</v>
      </c>
    </row>
    <row r="16815">
      <c r="H16815" s="50"/>
      <c r="I16815" s="50"/>
      <c r="O16815" s="36" t="s">
        <v>48</v>
      </c>
      <c r="R16815" s="36" t="s">
        <v>48</v>
      </c>
    </row>
    <row r="16816">
      <c r="H16816" s="50"/>
      <c r="I16816" s="50"/>
      <c r="O16816" s="36" t="s">
        <v>48</v>
      </c>
      <c r="R16816" s="36" t="s">
        <v>48</v>
      </c>
    </row>
    <row r="16817">
      <c r="H16817" s="50"/>
      <c r="I16817" s="50"/>
      <c r="O16817" s="36" t="s">
        <v>48</v>
      </c>
      <c r="R16817" s="36" t="s">
        <v>48</v>
      </c>
    </row>
    <row r="16818">
      <c r="H16818" s="50"/>
      <c r="I16818" s="50"/>
      <c r="O16818" s="36" t="s">
        <v>48</v>
      </c>
      <c r="R16818" s="36" t="s">
        <v>48</v>
      </c>
    </row>
    <row r="16819">
      <c r="H16819" s="50"/>
      <c r="I16819" s="50"/>
      <c r="O16819" s="36" t="s">
        <v>48</v>
      </c>
      <c r="R16819" s="36" t="s">
        <v>48</v>
      </c>
    </row>
    <row r="16820">
      <c r="H16820" s="50"/>
      <c r="I16820" s="50"/>
      <c r="O16820" s="36" t="s">
        <v>48</v>
      </c>
      <c r="R16820" s="36" t="s">
        <v>48</v>
      </c>
    </row>
    <row r="16821">
      <c r="H16821" s="50"/>
      <c r="I16821" s="50"/>
      <c r="O16821" s="36" t="s">
        <v>48</v>
      </c>
      <c r="R16821" s="36" t="s">
        <v>48</v>
      </c>
    </row>
    <row r="16822">
      <c r="H16822" s="50"/>
      <c r="I16822" s="50"/>
      <c r="O16822" s="36" t="s">
        <v>48</v>
      </c>
      <c r="R16822" s="36" t="s">
        <v>48</v>
      </c>
    </row>
    <row r="16823">
      <c r="H16823" s="50"/>
      <c r="I16823" s="50"/>
      <c r="O16823" s="36" t="s">
        <v>48</v>
      </c>
      <c r="R16823" s="36" t="s">
        <v>48</v>
      </c>
    </row>
    <row r="16824">
      <c r="H16824" s="50"/>
      <c r="I16824" s="50"/>
      <c r="O16824" s="36" t="s">
        <v>48</v>
      </c>
      <c r="R16824" s="36" t="s">
        <v>48</v>
      </c>
    </row>
    <row r="16825">
      <c r="H16825" s="50"/>
      <c r="I16825" s="50"/>
      <c r="O16825" s="36" t="s">
        <v>48</v>
      </c>
      <c r="R16825" s="36" t="s">
        <v>48</v>
      </c>
    </row>
    <row r="16826">
      <c r="H16826" s="50"/>
      <c r="I16826" s="50"/>
      <c r="O16826" s="36" t="s">
        <v>48</v>
      </c>
      <c r="R16826" s="36" t="s">
        <v>48</v>
      </c>
    </row>
    <row r="16827">
      <c r="H16827" s="50"/>
      <c r="I16827" s="50"/>
      <c r="O16827" s="36" t="s">
        <v>48</v>
      </c>
      <c r="R16827" s="36" t="s">
        <v>48</v>
      </c>
    </row>
    <row r="16828">
      <c r="H16828" s="50"/>
      <c r="I16828" s="50"/>
      <c r="O16828" s="36" t="s">
        <v>48</v>
      </c>
      <c r="R16828" s="36" t="s">
        <v>48</v>
      </c>
    </row>
    <row r="16829">
      <c r="H16829" s="50"/>
      <c r="I16829" s="50"/>
      <c r="O16829" s="36" t="s">
        <v>48</v>
      </c>
      <c r="R16829" s="36" t="s">
        <v>48</v>
      </c>
    </row>
    <row r="16830">
      <c r="H16830" s="50"/>
      <c r="I16830" s="50"/>
      <c r="O16830" s="36" t="s">
        <v>48</v>
      </c>
      <c r="R16830" s="36" t="s">
        <v>48</v>
      </c>
    </row>
    <row r="16831">
      <c r="H16831" s="50"/>
      <c r="I16831" s="50"/>
      <c r="O16831" s="36" t="s">
        <v>48</v>
      </c>
      <c r="R16831" s="36" t="s">
        <v>48</v>
      </c>
    </row>
    <row r="16832">
      <c r="H16832" s="50"/>
      <c r="I16832" s="50"/>
      <c r="O16832" s="36" t="s">
        <v>48</v>
      </c>
      <c r="R16832" s="36" t="s">
        <v>48</v>
      </c>
    </row>
    <row r="16833">
      <c r="H16833" s="50"/>
      <c r="I16833" s="50"/>
      <c r="O16833" s="36" t="s">
        <v>48</v>
      </c>
      <c r="R16833" s="36" t="s">
        <v>48</v>
      </c>
    </row>
    <row r="16834">
      <c r="H16834" s="50"/>
      <c r="I16834" s="50"/>
      <c r="O16834" s="36" t="s">
        <v>48</v>
      </c>
      <c r="R16834" s="36" t="s">
        <v>48</v>
      </c>
    </row>
    <row r="16835">
      <c r="H16835" s="50"/>
      <c r="I16835" s="50"/>
      <c r="O16835" s="36" t="s">
        <v>48</v>
      </c>
      <c r="R16835" s="36" t="s">
        <v>48</v>
      </c>
    </row>
    <row r="16836">
      <c r="H16836" s="50"/>
      <c r="I16836" s="50"/>
      <c r="O16836" s="36" t="s">
        <v>48</v>
      </c>
      <c r="R16836" s="36" t="s">
        <v>48</v>
      </c>
    </row>
    <row r="16837">
      <c r="H16837" s="50"/>
      <c r="I16837" s="50"/>
      <c r="O16837" s="36" t="s">
        <v>48</v>
      </c>
      <c r="R16837" s="36" t="s">
        <v>48</v>
      </c>
    </row>
    <row r="16838">
      <c r="H16838" s="50"/>
      <c r="I16838" s="50"/>
      <c r="O16838" s="36" t="s">
        <v>48</v>
      </c>
      <c r="R16838" s="36" t="s">
        <v>48</v>
      </c>
    </row>
    <row r="16839">
      <c r="H16839" s="50"/>
      <c r="I16839" s="50"/>
      <c r="O16839" s="36" t="s">
        <v>48</v>
      </c>
      <c r="R16839" s="36" t="s">
        <v>48</v>
      </c>
    </row>
    <row r="16840">
      <c r="H16840" s="50"/>
      <c r="I16840" s="50"/>
      <c r="O16840" s="36" t="s">
        <v>48</v>
      </c>
      <c r="R16840" s="36" t="s">
        <v>48</v>
      </c>
    </row>
    <row r="16841">
      <c r="H16841" s="50"/>
      <c r="I16841" s="50"/>
      <c r="O16841" s="36" t="s">
        <v>48</v>
      </c>
      <c r="R16841" s="36" t="s">
        <v>48</v>
      </c>
    </row>
    <row r="16842">
      <c r="H16842" s="50"/>
      <c r="I16842" s="50"/>
      <c r="O16842" s="36" t="s">
        <v>48</v>
      </c>
      <c r="R16842" s="36" t="s">
        <v>48</v>
      </c>
    </row>
    <row r="16843">
      <c r="H16843" s="50"/>
      <c r="I16843" s="50"/>
      <c r="O16843" s="36" t="s">
        <v>48</v>
      </c>
      <c r="R16843" s="36" t="s">
        <v>48</v>
      </c>
    </row>
    <row r="16844">
      <c r="H16844" s="50"/>
      <c r="I16844" s="50"/>
      <c r="O16844" s="36" t="s">
        <v>48</v>
      </c>
      <c r="R16844" s="36" t="s">
        <v>48</v>
      </c>
    </row>
    <row r="16845">
      <c r="H16845" s="50"/>
      <c r="I16845" s="50"/>
      <c r="O16845" s="36" t="s">
        <v>48</v>
      </c>
      <c r="R16845" s="36" t="s">
        <v>48</v>
      </c>
    </row>
    <row r="16846">
      <c r="H16846" s="50"/>
      <c r="I16846" s="50"/>
      <c r="O16846" s="36" t="s">
        <v>48</v>
      </c>
      <c r="R16846" s="36" t="s">
        <v>48</v>
      </c>
    </row>
    <row r="16847">
      <c r="H16847" s="50"/>
      <c r="I16847" s="50"/>
      <c r="O16847" s="36" t="s">
        <v>48</v>
      </c>
      <c r="R16847" s="36" t="s">
        <v>48</v>
      </c>
    </row>
    <row r="16848">
      <c r="H16848" s="50"/>
      <c r="I16848" s="50"/>
      <c r="O16848" s="36" t="s">
        <v>48</v>
      </c>
      <c r="R16848" s="36" t="s">
        <v>48</v>
      </c>
    </row>
    <row r="16849">
      <c r="H16849" s="50"/>
      <c r="I16849" s="50"/>
      <c r="O16849" s="36" t="s">
        <v>48</v>
      </c>
      <c r="R16849" s="36" t="s">
        <v>48</v>
      </c>
    </row>
    <row r="16850">
      <c r="H16850" s="50"/>
      <c r="I16850" s="50"/>
      <c r="O16850" s="36" t="s">
        <v>48</v>
      </c>
      <c r="R16850" s="36" t="s">
        <v>48</v>
      </c>
    </row>
    <row r="16851">
      <c r="H16851" s="50"/>
      <c r="I16851" s="50"/>
      <c r="O16851" s="36" t="s">
        <v>48</v>
      </c>
      <c r="R16851" s="36" t="s">
        <v>48</v>
      </c>
    </row>
    <row r="16852">
      <c r="H16852" s="50"/>
      <c r="I16852" s="50"/>
      <c r="O16852" s="36" t="s">
        <v>48</v>
      </c>
      <c r="R16852" s="36" t="s">
        <v>48</v>
      </c>
    </row>
    <row r="16853">
      <c r="H16853" s="50"/>
      <c r="I16853" s="50"/>
      <c r="O16853" s="36" t="s">
        <v>48</v>
      </c>
      <c r="R16853" s="36" t="s">
        <v>48</v>
      </c>
    </row>
    <row r="16854">
      <c r="H16854" s="50"/>
      <c r="I16854" s="50"/>
      <c r="O16854" s="36" t="s">
        <v>48</v>
      </c>
      <c r="R16854" s="36" t="s">
        <v>48</v>
      </c>
    </row>
    <row r="16855">
      <c r="H16855" s="50"/>
      <c r="I16855" s="50"/>
      <c r="O16855" s="36" t="s">
        <v>48</v>
      </c>
      <c r="R16855" s="36" t="s">
        <v>48</v>
      </c>
    </row>
    <row r="16856">
      <c r="H16856" s="50"/>
      <c r="I16856" s="50"/>
      <c r="O16856" s="36" t="s">
        <v>48</v>
      </c>
      <c r="R16856" s="36" t="s">
        <v>48</v>
      </c>
    </row>
    <row r="16857">
      <c r="H16857" s="50"/>
      <c r="I16857" s="50"/>
      <c r="O16857" s="36" t="s">
        <v>48</v>
      </c>
      <c r="R16857" s="36" t="s">
        <v>48</v>
      </c>
    </row>
    <row r="16858">
      <c r="H16858" s="50"/>
      <c r="I16858" s="50"/>
      <c r="O16858" s="36" t="s">
        <v>48</v>
      </c>
      <c r="R16858" s="36" t="s">
        <v>48</v>
      </c>
    </row>
    <row r="16859">
      <c r="H16859" s="50"/>
      <c r="I16859" s="50"/>
      <c r="O16859" s="36" t="s">
        <v>48</v>
      </c>
      <c r="R16859" s="36" t="s">
        <v>48</v>
      </c>
    </row>
    <row r="16860">
      <c r="H16860" s="50"/>
      <c r="I16860" s="50"/>
      <c r="O16860" s="36" t="s">
        <v>48</v>
      </c>
      <c r="R16860" s="36" t="s">
        <v>48</v>
      </c>
    </row>
    <row r="16861">
      <c r="H16861" s="50"/>
      <c r="I16861" s="50"/>
      <c r="O16861" s="36" t="s">
        <v>48</v>
      </c>
      <c r="R16861" s="36" t="s">
        <v>48</v>
      </c>
    </row>
    <row r="16862">
      <c r="H16862" s="50"/>
      <c r="I16862" s="50"/>
      <c r="O16862" s="36" t="s">
        <v>48</v>
      </c>
      <c r="R16862" s="36" t="s">
        <v>48</v>
      </c>
    </row>
    <row r="16863">
      <c r="H16863" s="50"/>
      <c r="I16863" s="50"/>
      <c r="O16863" s="36" t="s">
        <v>48</v>
      </c>
      <c r="R16863" s="36" t="s">
        <v>48</v>
      </c>
    </row>
    <row r="16864">
      <c r="H16864" s="50"/>
      <c r="I16864" s="50"/>
      <c r="O16864" s="36" t="s">
        <v>48</v>
      </c>
      <c r="R16864" s="36" t="s">
        <v>48</v>
      </c>
    </row>
    <row r="16865">
      <c r="H16865" s="50"/>
      <c r="I16865" s="50"/>
      <c r="O16865" s="36" t="s">
        <v>48</v>
      </c>
      <c r="R16865" s="36" t="s">
        <v>48</v>
      </c>
    </row>
    <row r="16866">
      <c r="H16866" s="50"/>
      <c r="I16866" s="50"/>
      <c r="O16866" s="36" t="s">
        <v>48</v>
      </c>
      <c r="R16866" s="36" t="s">
        <v>48</v>
      </c>
    </row>
    <row r="16867">
      <c r="H16867" s="50"/>
      <c r="I16867" s="50"/>
      <c r="O16867" s="36" t="s">
        <v>48</v>
      </c>
      <c r="R16867" s="36" t="s">
        <v>48</v>
      </c>
    </row>
    <row r="16868">
      <c r="H16868" s="50"/>
      <c r="I16868" s="50"/>
      <c r="O16868" s="36" t="s">
        <v>48</v>
      </c>
      <c r="R16868" s="36" t="s">
        <v>48</v>
      </c>
    </row>
    <row r="16869">
      <c r="H16869" s="50"/>
      <c r="I16869" s="50"/>
      <c r="O16869" s="36" t="s">
        <v>48</v>
      </c>
      <c r="R16869" s="36" t="s">
        <v>48</v>
      </c>
    </row>
    <row r="16870">
      <c r="H16870" s="50"/>
      <c r="I16870" s="50"/>
      <c r="O16870" s="36" t="s">
        <v>48</v>
      </c>
      <c r="R16870" s="36" t="s">
        <v>48</v>
      </c>
    </row>
    <row r="16871">
      <c r="H16871" s="50"/>
      <c r="I16871" s="50"/>
      <c r="O16871" s="36" t="s">
        <v>48</v>
      </c>
      <c r="R16871" s="36" t="s">
        <v>48</v>
      </c>
    </row>
    <row r="16872">
      <c r="H16872" s="50"/>
      <c r="I16872" s="50"/>
      <c r="O16872" s="36" t="s">
        <v>48</v>
      </c>
      <c r="R16872" s="36" t="s">
        <v>48</v>
      </c>
    </row>
    <row r="16873">
      <c r="H16873" s="50"/>
      <c r="I16873" s="50"/>
      <c r="O16873" s="36" t="s">
        <v>48</v>
      </c>
      <c r="R16873" s="36" t="s">
        <v>48</v>
      </c>
    </row>
    <row r="16874">
      <c r="H16874" s="50"/>
      <c r="I16874" s="50"/>
      <c r="O16874" s="36" t="s">
        <v>48</v>
      </c>
      <c r="R16874" s="36" t="s">
        <v>48</v>
      </c>
    </row>
    <row r="16875">
      <c r="H16875" s="50"/>
      <c r="I16875" s="50"/>
      <c r="O16875" s="36" t="s">
        <v>48</v>
      </c>
      <c r="R16875" s="36" t="s">
        <v>48</v>
      </c>
    </row>
    <row r="16876">
      <c r="H16876" s="50"/>
      <c r="I16876" s="50"/>
      <c r="O16876" s="36" t="s">
        <v>48</v>
      </c>
      <c r="R16876" s="36" t="s">
        <v>48</v>
      </c>
    </row>
    <row r="16877">
      <c r="H16877" s="50"/>
      <c r="I16877" s="50"/>
      <c r="O16877" s="36" t="s">
        <v>48</v>
      </c>
      <c r="R16877" s="36" t="s">
        <v>48</v>
      </c>
    </row>
    <row r="16878">
      <c r="H16878" s="50"/>
      <c r="I16878" s="50"/>
      <c r="O16878" s="36" t="s">
        <v>48</v>
      </c>
      <c r="R16878" s="36" t="s">
        <v>48</v>
      </c>
    </row>
    <row r="16879">
      <c r="H16879" s="50"/>
      <c r="I16879" s="50"/>
      <c r="O16879" s="36" t="s">
        <v>48</v>
      </c>
      <c r="R16879" s="36" t="s">
        <v>48</v>
      </c>
    </row>
    <row r="16880">
      <c r="H16880" s="50"/>
      <c r="I16880" s="50"/>
      <c r="O16880" s="36" t="s">
        <v>48</v>
      </c>
      <c r="R16880" s="36" t="s">
        <v>48</v>
      </c>
    </row>
    <row r="16881">
      <c r="H16881" s="50"/>
      <c r="I16881" s="50"/>
      <c r="O16881" s="36" t="s">
        <v>48</v>
      </c>
      <c r="R16881" s="36" t="s">
        <v>48</v>
      </c>
    </row>
    <row r="16882">
      <c r="H16882" s="50"/>
      <c r="I16882" s="50"/>
      <c r="O16882" s="36" t="s">
        <v>48</v>
      </c>
      <c r="R16882" s="36" t="s">
        <v>48</v>
      </c>
    </row>
    <row r="16883">
      <c r="H16883" s="50"/>
      <c r="I16883" s="50"/>
      <c r="O16883" s="36" t="s">
        <v>48</v>
      </c>
      <c r="R16883" s="36" t="s">
        <v>48</v>
      </c>
    </row>
    <row r="16884">
      <c r="H16884" s="50"/>
      <c r="I16884" s="50"/>
      <c r="O16884" s="36" t="s">
        <v>48</v>
      </c>
      <c r="R16884" s="36" t="s">
        <v>48</v>
      </c>
    </row>
    <row r="16885">
      <c r="H16885" s="50"/>
      <c r="I16885" s="50"/>
      <c r="O16885" s="36" t="s">
        <v>48</v>
      </c>
      <c r="R16885" s="36" t="s">
        <v>48</v>
      </c>
    </row>
    <row r="16886">
      <c r="H16886" s="50"/>
      <c r="I16886" s="50"/>
      <c r="O16886" s="36" t="s">
        <v>48</v>
      </c>
      <c r="R16886" s="36" t="s">
        <v>48</v>
      </c>
    </row>
    <row r="16887">
      <c r="H16887" s="50"/>
      <c r="I16887" s="50"/>
      <c r="O16887" s="36" t="s">
        <v>48</v>
      </c>
      <c r="R16887" s="36" t="s">
        <v>48</v>
      </c>
    </row>
    <row r="16888">
      <c r="H16888" s="50"/>
      <c r="I16888" s="50"/>
      <c r="O16888" s="36" t="s">
        <v>48</v>
      </c>
      <c r="R16888" s="36" t="s">
        <v>48</v>
      </c>
    </row>
    <row r="16889">
      <c r="H16889" s="50"/>
      <c r="I16889" s="50"/>
      <c r="O16889" s="36" t="s">
        <v>48</v>
      </c>
      <c r="R16889" s="36" t="s">
        <v>48</v>
      </c>
    </row>
    <row r="16890">
      <c r="H16890" s="50"/>
      <c r="I16890" s="50"/>
      <c r="O16890" s="36" t="s">
        <v>48</v>
      </c>
      <c r="R16890" s="36" t="s">
        <v>48</v>
      </c>
    </row>
    <row r="16891">
      <c r="H16891" s="50"/>
      <c r="I16891" s="50"/>
      <c r="O16891" s="36" t="s">
        <v>48</v>
      </c>
      <c r="R16891" s="36" t="s">
        <v>48</v>
      </c>
    </row>
    <row r="16892">
      <c r="H16892" s="50"/>
      <c r="I16892" s="50"/>
      <c r="O16892" s="36" t="s">
        <v>48</v>
      </c>
      <c r="R16892" s="36" t="s">
        <v>48</v>
      </c>
    </row>
    <row r="16893">
      <c r="H16893" s="50"/>
      <c r="I16893" s="50"/>
      <c r="O16893" s="36" t="s">
        <v>48</v>
      </c>
      <c r="R16893" s="36" t="s">
        <v>48</v>
      </c>
    </row>
    <row r="16894">
      <c r="H16894" s="50"/>
      <c r="I16894" s="50"/>
      <c r="O16894" s="36" t="s">
        <v>48</v>
      </c>
      <c r="R16894" s="36" t="s">
        <v>48</v>
      </c>
    </row>
    <row r="16895">
      <c r="H16895" s="50"/>
      <c r="I16895" s="50"/>
      <c r="O16895" s="36" t="s">
        <v>48</v>
      </c>
      <c r="R16895" s="36" t="s">
        <v>48</v>
      </c>
    </row>
    <row r="16896">
      <c r="H16896" s="50"/>
      <c r="I16896" s="50"/>
      <c r="O16896" s="36" t="s">
        <v>48</v>
      </c>
      <c r="R16896" s="36" t="s">
        <v>48</v>
      </c>
    </row>
    <row r="16897">
      <c r="H16897" s="50"/>
      <c r="I16897" s="50"/>
      <c r="O16897" s="36" t="s">
        <v>48</v>
      </c>
      <c r="R16897" s="36" t="s">
        <v>48</v>
      </c>
    </row>
    <row r="16898">
      <c r="H16898" s="50"/>
      <c r="I16898" s="50"/>
      <c r="O16898" s="36" t="s">
        <v>48</v>
      </c>
      <c r="R16898" s="36" t="s">
        <v>48</v>
      </c>
    </row>
    <row r="16899">
      <c r="H16899" s="50"/>
      <c r="I16899" s="50"/>
      <c r="O16899" s="36" t="s">
        <v>48</v>
      </c>
      <c r="R16899" s="36" t="s">
        <v>48</v>
      </c>
    </row>
    <row r="16900">
      <c r="H16900" s="50"/>
      <c r="I16900" s="50"/>
      <c r="O16900" s="36" t="s">
        <v>48</v>
      </c>
      <c r="R16900" s="36" t="s">
        <v>48</v>
      </c>
    </row>
    <row r="16901">
      <c r="H16901" s="50"/>
      <c r="I16901" s="50"/>
      <c r="O16901" s="36" t="s">
        <v>48</v>
      </c>
      <c r="R16901" s="36" t="s">
        <v>48</v>
      </c>
    </row>
    <row r="16902">
      <c r="H16902" s="50"/>
      <c r="I16902" s="50"/>
      <c r="O16902" s="36" t="s">
        <v>48</v>
      </c>
      <c r="R16902" s="36" t="s">
        <v>48</v>
      </c>
    </row>
    <row r="16903">
      <c r="H16903" s="50"/>
      <c r="I16903" s="50"/>
      <c r="O16903" s="36" t="s">
        <v>48</v>
      </c>
      <c r="R16903" s="36" t="s">
        <v>48</v>
      </c>
    </row>
    <row r="16904">
      <c r="H16904" s="50"/>
      <c r="I16904" s="50"/>
      <c r="O16904" s="36" t="s">
        <v>48</v>
      </c>
      <c r="R16904" s="36" t="s">
        <v>48</v>
      </c>
    </row>
    <row r="16905">
      <c r="H16905" s="50"/>
      <c r="I16905" s="50"/>
      <c r="O16905" s="36" t="s">
        <v>48</v>
      </c>
      <c r="R16905" s="36" t="s">
        <v>48</v>
      </c>
    </row>
    <row r="16906">
      <c r="H16906" s="50"/>
      <c r="I16906" s="50"/>
      <c r="O16906" s="36" t="s">
        <v>48</v>
      </c>
      <c r="R16906" s="36" t="s">
        <v>48</v>
      </c>
    </row>
    <row r="16907">
      <c r="H16907" s="50"/>
      <c r="I16907" s="50"/>
      <c r="O16907" s="36" t="s">
        <v>48</v>
      </c>
      <c r="R16907" s="36" t="s">
        <v>48</v>
      </c>
    </row>
    <row r="16908">
      <c r="H16908" s="50"/>
      <c r="I16908" s="50"/>
      <c r="O16908" s="36" t="s">
        <v>48</v>
      </c>
      <c r="R16908" s="36" t="s">
        <v>48</v>
      </c>
    </row>
    <row r="16909">
      <c r="H16909" s="50"/>
      <c r="I16909" s="50"/>
      <c r="O16909" s="36" t="s">
        <v>48</v>
      </c>
      <c r="R16909" s="36" t="s">
        <v>48</v>
      </c>
    </row>
    <row r="16910">
      <c r="H16910" s="50"/>
      <c r="I16910" s="50"/>
      <c r="O16910" s="36" t="s">
        <v>48</v>
      </c>
      <c r="R16910" s="36" t="s">
        <v>48</v>
      </c>
    </row>
    <row r="16911">
      <c r="H16911" s="50"/>
      <c r="I16911" s="50"/>
      <c r="O16911" s="36" t="s">
        <v>48</v>
      </c>
      <c r="R16911" s="36" t="s">
        <v>48</v>
      </c>
    </row>
    <row r="16912">
      <c r="H16912" s="50"/>
      <c r="I16912" s="50"/>
      <c r="O16912" s="36" t="s">
        <v>48</v>
      </c>
      <c r="R16912" s="36" t="s">
        <v>48</v>
      </c>
    </row>
    <row r="16913">
      <c r="H16913" s="50"/>
      <c r="I16913" s="50"/>
      <c r="O16913" s="36" t="s">
        <v>48</v>
      </c>
      <c r="R16913" s="36" t="s">
        <v>48</v>
      </c>
    </row>
    <row r="16914">
      <c r="H16914" s="50"/>
      <c r="I16914" s="50"/>
      <c r="O16914" s="36" t="s">
        <v>48</v>
      </c>
      <c r="R16914" s="36" t="s">
        <v>48</v>
      </c>
    </row>
    <row r="16915">
      <c r="H16915" s="50"/>
      <c r="I16915" s="50"/>
      <c r="O16915" s="36" t="s">
        <v>48</v>
      </c>
      <c r="R16915" s="36" t="s">
        <v>48</v>
      </c>
    </row>
    <row r="16916">
      <c r="H16916" s="50"/>
      <c r="I16916" s="50"/>
      <c r="O16916" s="36" t="s">
        <v>48</v>
      </c>
      <c r="R16916" s="36" t="s">
        <v>48</v>
      </c>
    </row>
    <row r="16917">
      <c r="H16917" s="50"/>
      <c r="I16917" s="50"/>
      <c r="O16917" s="36" t="s">
        <v>48</v>
      </c>
      <c r="R16917" s="36" t="s">
        <v>48</v>
      </c>
    </row>
    <row r="16918">
      <c r="H16918" s="50"/>
      <c r="I16918" s="50"/>
      <c r="O16918" s="36" t="s">
        <v>48</v>
      </c>
      <c r="R16918" s="36" t="s">
        <v>48</v>
      </c>
    </row>
    <row r="16919">
      <c r="H16919" s="50"/>
      <c r="I16919" s="50"/>
      <c r="O16919" s="36" t="s">
        <v>48</v>
      </c>
      <c r="R16919" s="36" t="s">
        <v>48</v>
      </c>
    </row>
    <row r="16920">
      <c r="H16920" s="50"/>
      <c r="I16920" s="50"/>
      <c r="O16920" s="36" t="s">
        <v>48</v>
      </c>
      <c r="R16920" s="36" t="s">
        <v>48</v>
      </c>
    </row>
    <row r="16921">
      <c r="H16921" s="50"/>
      <c r="I16921" s="50"/>
      <c r="O16921" s="36" t="s">
        <v>48</v>
      </c>
      <c r="R16921" s="36" t="s">
        <v>48</v>
      </c>
    </row>
    <row r="16922">
      <c r="H16922" s="50"/>
      <c r="I16922" s="50"/>
      <c r="O16922" s="36" t="s">
        <v>48</v>
      </c>
      <c r="R16922" s="36" t="s">
        <v>48</v>
      </c>
    </row>
    <row r="16923">
      <c r="H16923" s="50"/>
      <c r="I16923" s="50"/>
      <c r="O16923" s="36" t="s">
        <v>48</v>
      </c>
      <c r="R16923" s="36" t="s">
        <v>48</v>
      </c>
    </row>
    <row r="16924">
      <c r="H16924" s="50"/>
      <c r="I16924" s="50"/>
      <c r="O16924" s="36" t="s">
        <v>48</v>
      </c>
      <c r="R16924" s="36" t="s">
        <v>48</v>
      </c>
    </row>
    <row r="16925">
      <c r="H16925" s="50"/>
      <c r="I16925" s="50"/>
      <c r="O16925" s="36" t="s">
        <v>48</v>
      </c>
      <c r="R16925" s="36" t="s">
        <v>48</v>
      </c>
    </row>
    <row r="16926">
      <c r="H16926" s="50"/>
      <c r="I16926" s="50"/>
      <c r="O16926" s="36" t="s">
        <v>48</v>
      </c>
      <c r="R16926" s="36" t="s">
        <v>48</v>
      </c>
    </row>
    <row r="16927">
      <c r="H16927" s="50"/>
      <c r="I16927" s="50"/>
      <c r="O16927" s="36" t="s">
        <v>48</v>
      </c>
      <c r="R16927" s="36" t="s">
        <v>48</v>
      </c>
    </row>
    <row r="16928">
      <c r="H16928" s="50"/>
      <c r="I16928" s="50"/>
      <c r="O16928" s="36" t="s">
        <v>48</v>
      </c>
      <c r="R16928" s="36" t="s">
        <v>48</v>
      </c>
    </row>
    <row r="16929">
      <c r="H16929" s="50"/>
      <c r="I16929" s="50"/>
      <c r="O16929" s="36" t="s">
        <v>48</v>
      </c>
      <c r="R16929" s="36" t="s">
        <v>48</v>
      </c>
    </row>
    <row r="16930">
      <c r="H16930" s="50"/>
      <c r="I16930" s="50"/>
      <c r="O16930" s="36" t="s">
        <v>48</v>
      </c>
      <c r="R16930" s="36" t="s">
        <v>48</v>
      </c>
    </row>
    <row r="16931">
      <c r="H16931" s="50"/>
      <c r="I16931" s="50"/>
      <c r="O16931" s="36" t="s">
        <v>48</v>
      </c>
      <c r="R16931" s="36" t="s">
        <v>48</v>
      </c>
    </row>
    <row r="16932">
      <c r="H16932" s="50"/>
      <c r="I16932" s="50"/>
      <c r="O16932" s="36" t="s">
        <v>48</v>
      </c>
      <c r="R16932" s="36" t="s">
        <v>48</v>
      </c>
    </row>
    <row r="16933">
      <c r="H16933" s="50"/>
      <c r="I16933" s="50"/>
      <c r="O16933" s="36" t="s">
        <v>48</v>
      </c>
      <c r="R16933" s="36" t="s">
        <v>48</v>
      </c>
    </row>
    <row r="16934">
      <c r="H16934" s="50"/>
      <c r="I16934" s="50"/>
      <c r="O16934" s="36" t="s">
        <v>48</v>
      </c>
      <c r="R16934" s="36" t="s">
        <v>48</v>
      </c>
    </row>
    <row r="16935">
      <c r="H16935" s="50"/>
      <c r="I16935" s="50"/>
      <c r="O16935" s="36" t="s">
        <v>48</v>
      </c>
      <c r="R16935" s="36" t="s">
        <v>48</v>
      </c>
    </row>
    <row r="16936">
      <c r="H16936" s="50"/>
      <c r="I16936" s="50"/>
      <c r="O16936" s="36" t="s">
        <v>48</v>
      </c>
      <c r="R16936" s="36" t="s">
        <v>48</v>
      </c>
    </row>
    <row r="16937">
      <c r="H16937" s="50"/>
      <c r="I16937" s="50"/>
      <c r="O16937" s="36" t="s">
        <v>48</v>
      </c>
      <c r="R16937" s="36" t="s">
        <v>48</v>
      </c>
    </row>
    <row r="16938">
      <c r="H16938" s="50"/>
      <c r="I16938" s="50"/>
      <c r="O16938" s="36" t="s">
        <v>48</v>
      </c>
      <c r="R16938" s="36" t="s">
        <v>48</v>
      </c>
    </row>
    <row r="16939">
      <c r="H16939" s="50"/>
      <c r="I16939" s="50"/>
      <c r="O16939" s="36" t="s">
        <v>48</v>
      </c>
      <c r="R16939" s="36" t="s">
        <v>48</v>
      </c>
    </row>
    <row r="16940">
      <c r="H16940" s="50"/>
      <c r="I16940" s="50"/>
      <c r="O16940" s="36" t="s">
        <v>48</v>
      </c>
      <c r="R16940" s="36" t="s">
        <v>48</v>
      </c>
    </row>
    <row r="16941">
      <c r="H16941" s="50"/>
      <c r="I16941" s="50"/>
      <c r="O16941" s="36" t="s">
        <v>48</v>
      </c>
      <c r="R16941" s="36" t="s">
        <v>48</v>
      </c>
    </row>
    <row r="16942">
      <c r="H16942" s="50"/>
      <c r="I16942" s="50"/>
      <c r="O16942" s="36" t="s">
        <v>48</v>
      </c>
      <c r="R16942" s="36" t="s">
        <v>48</v>
      </c>
    </row>
    <row r="16943">
      <c r="H16943" s="50"/>
      <c r="I16943" s="50"/>
      <c r="O16943" s="36" t="s">
        <v>48</v>
      </c>
      <c r="R16943" s="36" t="s">
        <v>48</v>
      </c>
    </row>
    <row r="16944">
      <c r="H16944" s="50"/>
      <c r="I16944" s="50"/>
      <c r="O16944" s="36" t="s">
        <v>48</v>
      </c>
      <c r="R16944" s="36" t="s">
        <v>48</v>
      </c>
    </row>
    <row r="16945">
      <c r="H16945" s="50"/>
      <c r="I16945" s="50"/>
      <c r="O16945" s="36" t="s">
        <v>48</v>
      </c>
      <c r="R16945" s="36" t="s">
        <v>48</v>
      </c>
    </row>
    <row r="16946">
      <c r="H16946" s="50"/>
      <c r="I16946" s="50"/>
      <c r="O16946" s="36" t="s">
        <v>48</v>
      </c>
      <c r="R16946" s="36" t="s">
        <v>48</v>
      </c>
    </row>
    <row r="16947">
      <c r="H16947" s="50"/>
      <c r="I16947" s="50"/>
      <c r="O16947" s="36" t="s">
        <v>48</v>
      </c>
      <c r="R16947" s="36" t="s">
        <v>48</v>
      </c>
    </row>
    <row r="16948">
      <c r="H16948" s="50"/>
      <c r="I16948" s="50"/>
      <c r="O16948" s="36" t="s">
        <v>48</v>
      </c>
      <c r="R16948" s="36" t="s">
        <v>48</v>
      </c>
    </row>
    <row r="16949">
      <c r="H16949" s="50"/>
      <c r="I16949" s="50"/>
      <c r="O16949" s="36" t="s">
        <v>48</v>
      </c>
      <c r="R16949" s="36" t="s">
        <v>48</v>
      </c>
    </row>
    <row r="16950">
      <c r="H16950" s="50"/>
      <c r="I16950" s="50"/>
      <c r="O16950" s="36" t="s">
        <v>48</v>
      </c>
      <c r="R16950" s="36" t="s">
        <v>48</v>
      </c>
    </row>
    <row r="16951">
      <c r="H16951" s="50"/>
      <c r="I16951" s="50"/>
      <c r="O16951" s="36" t="s">
        <v>48</v>
      </c>
      <c r="R16951" s="36" t="s">
        <v>48</v>
      </c>
    </row>
    <row r="16952">
      <c r="H16952" s="50"/>
      <c r="I16952" s="50"/>
      <c r="O16952" s="36" t="s">
        <v>48</v>
      </c>
      <c r="R16952" s="36" t="s">
        <v>48</v>
      </c>
    </row>
    <row r="16953">
      <c r="H16953" s="50"/>
      <c r="I16953" s="50"/>
      <c r="O16953" s="36" t="s">
        <v>48</v>
      </c>
      <c r="R16953" s="36" t="s">
        <v>48</v>
      </c>
    </row>
    <row r="16954">
      <c r="H16954" s="50"/>
      <c r="I16954" s="50"/>
      <c r="O16954" s="36" t="s">
        <v>48</v>
      </c>
      <c r="R16954" s="36" t="s">
        <v>48</v>
      </c>
    </row>
    <row r="16955">
      <c r="H16955" s="50"/>
      <c r="I16955" s="50"/>
      <c r="O16955" s="36" t="s">
        <v>48</v>
      </c>
      <c r="R16955" s="36" t="s">
        <v>48</v>
      </c>
    </row>
    <row r="16956">
      <c r="H16956" s="50"/>
      <c r="I16956" s="50"/>
      <c r="O16956" s="36" t="s">
        <v>48</v>
      </c>
      <c r="R16956" s="36" t="s">
        <v>48</v>
      </c>
    </row>
    <row r="16957">
      <c r="H16957" s="50"/>
      <c r="I16957" s="50"/>
      <c r="O16957" s="36" t="s">
        <v>48</v>
      </c>
      <c r="R16957" s="36" t="s">
        <v>48</v>
      </c>
    </row>
    <row r="16958">
      <c r="H16958" s="50"/>
      <c r="I16958" s="50"/>
      <c r="O16958" s="36" t="s">
        <v>48</v>
      </c>
      <c r="R16958" s="36" t="s">
        <v>48</v>
      </c>
    </row>
    <row r="16959">
      <c r="H16959" s="50"/>
      <c r="I16959" s="50"/>
      <c r="O16959" s="36" t="s">
        <v>48</v>
      </c>
      <c r="R16959" s="36" t="s">
        <v>48</v>
      </c>
    </row>
    <row r="16960">
      <c r="H16960" s="50"/>
      <c r="I16960" s="50"/>
      <c r="O16960" s="36" t="s">
        <v>48</v>
      </c>
      <c r="R16960" s="36" t="s">
        <v>48</v>
      </c>
    </row>
    <row r="16961">
      <c r="H16961" s="50"/>
      <c r="I16961" s="50"/>
      <c r="O16961" s="36" t="s">
        <v>48</v>
      </c>
      <c r="R16961" s="36" t="s">
        <v>48</v>
      </c>
    </row>
    <row r="16962">
      <c r="H16962" s="50"/>
      <c r="I16962" s="50"/>
      <c r="O16962" s="36" t="s">
        <v>48</v>
      </c>
      <c r="R16962" s="36" t="s">
        <v>48</v>
      </c>
    </row>
    <row r="16963">
      <c r="H16963" s="50"/>
      <c r="I16963" s="50"/>
      <c r="O16963" s="36" t="s">
        <v>48</v>
      </c>
      <c r="R16963" s="36" t="s">
        <v>48</v>
      </c>
    </row>
    <row r="16964">
      <c r="H16964" s="50"/>
      <c r="I16964" s="50"/>
      <c r="O16964" s="36" t="s">
        <v>48</v>
      </c>
      <c r="R16964" s="36" t="s">
        <v>48</v>
      </c>
    </row>
    <row r="16965">
      <c r="H16965" s="50"/>
      <c r="I16965" s="50"/>
      <c r="O16965" s="36" t="s">
        <v>48</v>
      </c>
      <c r="R16965" s="36" t="s">
        <v>48</v>
      </c>
    </row>
    <row r="16966">
      <c r="H16966" s="50"/>
      <c r="I16966" s="50"/>
      <c r="O16966" s="36" t="s">
        <v>48</v>
      </c>
      <c r="R16966" s="36" t="s">
        <v>48</v>
      </c>
    </row>
    <row r="16967">
      <c r="H16967" s="50"/>
      <c r="I16967" s="50"/>
      <c r="O16967" s="36" t="s">
        <v>48</v>
      </c>
      <c r="R16967" s="36" t="s">
        <v>48</v>
      </c>
    </row>
    <row r="16968">
      <c r="H16968" s="50"/>
      <c r="I16968" s="50"/>
      <c r="O16968" s="36" t="s">
        <v>48</v>
      </c>
      <c r="R16968" s="36" t="s">
        <v>48</v>
      </c>
    </row>
    <row r="16969">
      <c r="H16969" s="50"/>
      <c r="I16969" s="50"/>
      <c r="O16969" s="36" t="s">
        <v>48</v>
      </c>
      <c r="R16969" s="36" t="s">
        <v>48</v>
      </c>
    </row>
    <row r="16970">
      <c r="H16970" s="50"/>
      <c r="I16970" s="50"/>
      <c r="O16970" s="36" t="s">
        <v>48</v>
      </c>
      <c r="R16970" s="36" t="s">
        <v>48</v>
      </c>
    </row>
    <row r="16971">
      <c r="H16971" s="50"/>
      <c r="I16971" s="50"/>
      <c r="O16971" s="36" t="s">
        <v>48</v>
      </c>
      <c r="R16971" s="36" t="s">
        <v>48</v>
      </c>
    </row>
    <row r="16972">
      <c r="H16972" s="50"/>
      <c r="I16972" s="50"/>
      <c r="O16972" s="36" t="s">
        <v>48</v>
      </c>
      <c r="R16972" s="36" t="s">
        <v>48</v>
      </c>
    </row>
    <row r="16973">
      <c r="H16973" s="50"/>
      <c r="I16973" s="50"/>
      <c r="O16973" s="36" t="s">
        <v>48</v>
      </c>
      <c r="R16973" s="36" t="s">
        <v>48</v>
      </c>
    </row>
    <row r="16974">
      <c r="H16974" s="50"/>
      <c r="I16974" s="50"/>
      <c r="O16974" s="36" t="s">
        <v>48</v>
      </c>
      <c r="R16974" s="36" t="s">
        <v>48</v>
      </c>
    </row>
    <row r="16975">
      <c r="H16975" s="50"/>
      <c r="I16975" s="50"/>
      <c r="O16975" s="36" t="s">
        <v>48</v>
      </c>
      <c r="R16975" s="36" t="s">
        <v>48</v>
      </c>
    </row>
    <row r="16976">
      <c r="H16976" s="50"/>
      <c r="I16976" s="50"/>
      <c r="O16976" s="36" t="s">
        <v>48</v>
      </c>
      <c r="R16976" s="36" t="s">
        <v>48</v>
      </c>
    </row>
    <row r="16977">
      <c r="H16977" s="50"/>
      <c r="I16977" s="50"/>
      <c r="O16977" s="36" t="s">
        <v>48</v>
      </c>
      <c r="R16977" s="36" t="s">
        <v>48</v>
      </c>
    </row>
    <row r="16978">
      <c r="H16978" s="50"/>
      <c r="I16978" s="50"/>
      <c r="O16978" s="36" t="s">
        <v>48</v>
      </c>
      <c r="R16978" s="36" t="s">
        <v>48</v>
      </c>
    </row>
    <row r="16979">
      <c r="H16979" s="50"/>
      <c r="I16979" s="50"/>
      <c r="O16979" s="36" t="s">
        <v>48</v>
      </c>
      <c r="R16979" s="36" t="s">
        <v>48</v>
      </c>
    </row>
    <row r="16980">
      <c r="H16980" s="50"/>
      <c r="I16980" s="50"/>
      <c r="O16980" s="36" t="s">
        <v>48</v>
      </c>
      <c r="R16980" s="36" t="s">
        <v>48</v>
      </c>
    </row>
    <row r="16981">
      <c r="H16981" s="50"/>
      <c r="I16981" s="50"/>
      <c r="O16981" s="36" t="s">
        <v>48</v>
      </c>
      <c r="R16981" s="36" t="s">
        <v>48</v>
      </c>
    </row>
    <row r="16982">
      <c r="H16982" s="50"/>
      <c r="I16982" s="50"/>
      <c r="O16982" s="36" t="s">
        <v>48</v>
      </c>
      <c r="R16982" s="36" t="s">
        <v>48</v>
      </c>
    </row>
    <row r="16983">
      <c r="H16983" s="50"/>
      <c r="I16983" s="50"/>
      <c r="O16983" s="36" t="s">
        <v>48</v>
      </c>
      <c r="R16983" s="36" t="s">
        <v>48</v>
      </c>
    </row>
    <row r="16984">
      <c r="H16984" s="50"/>
      <c r="I16984" s="50"/>
      <c r="O16984" s="36" t="s">
        <v>48</v>
      </c>
      <c r="R16984" s="36" t="s">
        <v>48</v>
      </c>
    </row>
    <row r="16985">
      <c r="H16985" s="50"/>
      <c r="I16985" s="50"/>
      <c r="O16985" s="36" t="s">
        <v>48</v>
      </c>
      <c r="R16985" s="36" t="s">
        <v>48</v>
      </c>
    </row>
    <row r="16986">
      <c r="H16986" s="50"/>
      <c r="I16986" s="50"/>
      <c r="O16986" s="36" t="s">
        <v>48</v>
      </c>
      <c r="R16986" s="36" t="s">
        <v>48</v>
      </c>
    </row>
    <row r="16987">
      <c r="H16987" s="50"/>
      <c r="I16987" s="50"/>
      <c r="O16987" s="36" t="s">
        <v>48</v>
      </c>
      <c r="R16987" s="36" t="s">
        <v>48</v>
      </c>
    </row>
    <row r="16988">
      <c r="H16988" s="50"/>
      <c r="I16988" s="50"/>
      <c r="O16988" s="36" t="s">
        <v>48</v>
      </c>
      <c r="R16988" s="36" t="s">
        <v>48</v>
      </c>
    </row>
    <row r="16989">
      <c r="H16989" s="50"/>
      <c r="I16989" s="50"/>
      <c r="O16989" s="36" t="s">
        <v>48</v>
      </c>
      <c r="R16989" s="36" t="s">
        <v>48</v>
      </c>
    </row>
    <row r="16990">
      <c r="H16990" s="50"/>
      <c r="I16990" s="50"/>
      <c r="O16990" s="36" t="s">
        <v>48</v>
      </c>
      <c r="R16990" s="36" t="s">
        <v>48</v>
      </c>
    </row>
    <row r="16991">
      <c r="H16991" s="50"/>
      <c r="I16991" s="50"/>
      <c r="O16991" s="36" t="s">
        <v>48</v>
      </c>
      <c r="R16991" s="36" t="s">
        <v>48</v>
      </c>
    </row>
    <row r="16992">
      <c r="H16992" s="50"/>
      <c r="I16992" s="50"/>
      <c r="O16992" s="36" t="s">
        <v>48</v>
      </c>
      <c r="R16992" s="36" t="s">
        <v>48</v>
      </c>
    </row>
    <row r="16993">
      <c r="H16993" s="50"/>
      <c r="I16993" s="50"/>
      <c r="O16993" s="36" t="s">
        <v>48</v>
      </c>
      <c r="R16993" s="36" t="s">
        <v>48</v>
      </c>
    </row>
    <row r="16994">
      <c r="H16994" s="50"/>
      <c r="I16994" s="50"/>
      <c r="O16994" s="36" t="s">
        <v>48</v>
      </c>
      <c r="R16994" s="36" t="s">
        <v>48</v>
      </c>
    </row>
    <row r="16995">
      <c r="H16995" s="50"/>
      <c r="I16995" s="50"/>
      <c r="O16995" s="36" t="s">
        <v>48</v>
      </c>
      <c r="R16995" s="36" t="s">
        <v>48</v>
      </c>
    </row>
    <row r="16996">
      <c r="H16996" s="50"/>
      <c r="I16996" s="50"/>
      <c r="O16996" s="36" t="s">
        <v>48</v>
      </c>
      <c r="R16996" s="36" t="s">
        <v>48</v>
      </c>
    </row>
    <row r="16997">
      <c r="H16997" s="50"/>
      <c r="I16997" s="50"/>
      <c r="O16997" s="36" t="s">
        <v>48</v>
      </c>
      <c r="R16997" s="36" t="s">
        <v>48</v>
      </c>
    </row>
    <row r="16998">
      <c r="H16998" s="50"/>
      <c r="I16998" s="50"/>
      <c r="O16998" s="36" t="s">
        <v>48</v>
      </c>
      <c r="R16998" s="36" t="s">
        <v>48</v>
      </c>
    </row>
    <row r="16999">
      <c r="H16999" s="50"/>
      <c r="I16999" s="50"/>
      <c r="O16999" s="36" t="s">
        <v>48</v>
      </c>
      <c r="R16999" s="36" t="s">
        <v>48</v>
      </c>
    </row>
    <row r="17000">
      <c r="H17000" s="50"/>
      <c r="I17000" s="50"/>
      <c r="O17000" s="36" t="s">
        <v>48</v>
      </c>
      <c r="R17000" s="36" t="s">
        <v>48</v>
      </c>
    </row>
    <row r="17001">
      <c r="H17001" s="50"/>
      <c r="I17001" s="50"/>
      <c r="O17001" s="36" t="s">
        <v>48</v>
      </c>
      <c r="R17001" s="36" t="s">
        <v>48</v>
      </c>
    </row>
    <row r="17002">
      <c r="H17002" s="50"/>
      <c r="I17002" s="50"/>
      <c r="O17002" s="36" t="s">
        <v>48</v>
      </c>
      <c r="R17002" s="36" t="s">
        <v>48</v>
      </c>
    </row>
    <row r="17003">
      <c r="H17003" s="50"/>
      <c r="I17003" s="50"/>
      <c r="O17003" s="36" t="s">
        <v>48</v>
      </c>
      <c r="R17003" s="36" t="s">
        <v>48</v>
      </c>
    </row>
    <row r="17004">
      <c r="H17004" s="50"/>
      <c r="I17004" s="50"/>
      <c r="O17004" s="36" t="s">
        <v>48</v>
      </c>
      <c r="R17004" s="36" t="s">
        <v>48</v>
      </c>
    </row>
    <row r="17005">
      <c r="H17005" s="50"/>
      <c r="I17005" s="50"/>
      <c r="O17005" s="36" t="s">
        <v>48</v>
      </c>
      <c r="R17005" s="36" t="s">
        <v>48</v>
      </c>
    </row>
    <row r="17006">
      <c r="H17006" s="50"/>
      <c r="I17006" s="50"/>
      <c r="O17006" s="36" t="s">
        <v>48</v>
      </c>
      <c r="R17006" s="36" t="s">
        <v>48</v>
      </c>
    </row>
    <row r="17007">
      <c r="H17007" s="50"/>
      <c r="I17007" s="50"/>
      <c r="O17007" s="36" t="s">
        <v>48</v>
      </c>
      <c r="R17007" s="36" t="s">
        <v>48</v>
      </c>
    </row>
    <row r="17008">
      <c r="H17008" s="50"/>
      <c r="I17008" s="50"/>
      <c r="O17008" s="36" t="s">
        <v>48</v>
      </c>
      <c r="R17008" s="36" t="s">
        <v>48</v>
      </c>
    </row>
    <row r="17009">
      <c r="H17009" s="50"/>
      <c r="I17009" s="50"/>
      <c r="O17009" s="36" t="s">
        <v>48</v>
      </c>
      <c r="R17009" s="36" t="s">
        <v>48</v>
      </c>
    </row>
    <row r="17010">
      <c r="H17010" s="50"/>
      <c r="I17010" s="50"/>
      <c r="O17010" s="36" t="s">
        <v>48</v>
      </c>
      <c r="R17010" s="36" t="s">
        <v>48</v>
      </c>
    </row>
    <row r="17011">
      <c r="H17011" s="50"/>
      <c r="I17011" s="50"/>
      <c r="O17011" s="36" t="s">
        <v>48</v>
      </c>
      <c r="R17011" s="36" t="s">
        <v>48</v>
      </c>
    </row>
    <row r="17012">
      <c r="H17012" s="50"/>
      <c r="I17012" s="50"/>
      <c r="O17012" s="36" t="s">
        <v>48</v>
      </c>
      <c r="R17012" s="36" t="s">
        <v>48</v>
      </c>
    </row>
    <row r="17013">
      <c r="H17013" s="50"/>
      <c r="I17013" s="50"/>
      <c r="O17013" s="36" t="s">
        <v>48</v>
      </c>
      <c r="R17013" s="36" t="s">
        <v>48</v>
      </c>
    </row>
    <row r="17014">
      <c r="H17014" s="50"/>
      <c r="I17014" s="50"/>
      <c r="O17014" s="36" t="s">
        <v>48</v>
      </c>
      <c r="R17014" s="36" t="s">
        <v>48</v>
      </c>
    </row>
    <row r="17015">
      <c r="H17015" s="50"/>
      <c r="I17015" s="50"/>
      <c r="O17015" s="36" t="s">
        <v>48</v>
      </c>
      <c r="R17015" s="36" t="s">
        <v>48</v>
      </c>
    </row>
    <row r="17016">
      <c r="H17016" s="50"/>
      <c r="I17016" s="50"/>
      <c r="O17016" s="36" t="s">
        <v>48</v>
      </c>
      <c r="R17016" s="36" t="s">
        <v>48</v>
      </c>
    </row>
    <row r="17017">
      <c r="H17017" s="50"/>
      <c r="I17017" s="50"/>
      <c r="O17017" s="36" t="s">
        <v>48</v>
      </c>
      <c r="R17017" s="36" t="s">
        <v>48</v>
      </c>
    </row>
    <row r="17018">
      <c r="H17018" s="50"/>
      <c r="I17018" s="50"/>
      <c r="O17018" s="36" t="s">
        <v>48</v>
      </c>
      <c r="R17018" s="36" t="s">
        <v>48</v>
      </c>
    </row>
    <row r="17019">
      <c r="H17019" s="50"/>
      <c r="I17019" s="50"/>
      <c r="O17019" s="36" t="s">
        <v>48</v>
      </c>
      <c r="R17019" s="36" t="s">
        <v>48</v>
      </c>
    </row>
    <row r="17020">
      <c r="H17020" s="50"/>
      <c r="I17020" s="50"/>
      <c r="O17020" s="36" t="s">
        <v>48</v>
      </c>
      <c r="R17020" s="36" t="s">
        <v>48</v>
      </c>
    </row>
    <row r="17021">
      <c r="H17021" s="50"/>
      <c r="I17021" s="50"/>
      <c r="O17021" s="36" t="s">
        <v>48</v>
      </c>
      <c r="R17021" s="36" t="s">
        <v>48</v>
      </c>
    </row>
    <row r="17022">
      <c r="H17022" s="50"/>
      <c r="I17022" s="50"/>
      <c r="O17022" s="36" t="s">
        <v>48</v>
      </c>
      <c r="R17022" s="36" t="s">
        <v>48</v>
      </c>
    </row>
    <row r="17023">
      <c r="H17023" s="50"/>
      <c r="I17023" s="50"/>
      <c r="O17023" s="36" t="s">
        <v>48</v>
      </c>
      <c r="R17023" s="36" t="s">
        <v>48</v>
      </c>
    </row>
    <row r="17024">
      <c r="H17024" s="50"/>
      <c r="I17024" s="50"/>
      <c r="O17024" s="36" t="s">
        <v>48</v>
      </c>
      <c r="R17024" s="36" t="s">
        <v>48</v>
      </c>
    </row>
    <row r="17025">
      <c r="H17025" s="50"/>
      <c r="I17025" s="50"/>
      <c r="O17025" s="36" t="s">
        <v>48</v>
      </c>
      <c r="R17025" s="36" t="s">
        <v>48</v>
      </c>
    </row>
    <row r="17026">
      <c r="H17026" s="50"/>
      <c r="I17026" s="50"/>
      <c r="O17026" s="36" t="s">
        <v>48</v>
      </c>
      <c r="R17026" s="36" t="s">
        <v>48</v>
      </c>
    </row>
    <row r="17027">
      <c r="H17027" s="50"/>
      <c r="I17027" s="50"/>
      <c r="O17027" s="36" t="s">
        <v>48</v>
      </c>
      <c r="R17027" s="36" t="s">
        <v>48</v>
      </c>
    </row>
    <row r="17028">
      <c r="H17028" s="50"/>
      <c r="I17028" s="50"/>
      <c r="O17028" s="36" t="s">
        <v>48</v>
      </c>
      <c r="R17028" s="36" t="s">
        <v>48</v>
      </c>
    </row>
    <row r="17029">
      <c r="H17029" s="50"/>
      <c r="I17029" s="50"/>
      <c r="O17029" s="36" t="s">
        <v>48</v>
      </c>
      <c r="R17029" s="36" t="s">
        <v>48</v>
      </c>
    </row>
    <row r="17030">
      <c r="H17030" s="50"/>
      <c r="I17030" s="50"/>
      <c r="O17030" s="36" t="s">
        <v>48</v>
      </c>
      <c r="R17030" s="36" t="s">
        <v>48</v>
      </c>
    </row>
    <row r="17031">
      <c r="H17031" s="50"/>
      <c r="I17031" s="50"/>
      <c r="O17031" s="36" t="s">
        <v>48</v>
      </c>
      <c r="R17031" s="36" t="s">
        <v>48</v>
      </c>
    </row>
    <row r="17032">
      <c r="H17032" s="50"/>
      <c r="I17032" s="50"/>
      <c r="O17032" s="36" t="s">
        <v>48</v>
      </c>
      <c r="R17032" s="36" t="s">
        <v>48</v>
      </c>
    </row>
    <row r="17033">
      <c r="H17033" s="50"/>
      <c r="I17033" s="50"/>
      <c r="O17033" s="36" t="s">
        <v>48</v>
      </c>
      <c r="R17033" s="36" t="s">
        <v>48</v>
      </c>
    </row>
    <row r="17034">
      <c r="H17034" s="50"/>
      <c r="I17034" s="50"/>
      <c r="O17034" s="36" t="s">
        <v>48</v>
      </c>
      <c r="R17034" s="36" t="s">
        <v>48</v>
      </c>
    </row>
    <row r="17035">
      <c r="H17035" s="50"/>
      <c r="I17035" s="50"/>
      <c r="O17035" s="36" t="s">
        <v>48</v>
      </c>
      <c r="R17035" s="36" t="s">
        <v>48</v>
      </c>
    </row>
    <row r="17036">
      <c r="H17036" s="50"/>
      <c r="I17036" s="50"/>
      <c r="O17036" s="36" t="s">
        <v>48</v>
      </c>
      <c r="R17036" s="36" t="s">
        <v>48</v>
      </c>
    </row>
    <row r="17037">
      <c r="H17037" s="50"/>
      <c r="I17037" s="50"/>
      <c r="O17037" s="36" t="s">
        <v>48</v>
      </c>
      <c r="R17037" s="36" t="s">
        <v>48</v>
      </c>
    </row>
    <row r="17038">
      <c r="H17038" s="50"/>
      <c r="I17038" s="50"/>
      <c r="O17038" s="36" t="s">
        <v>48</v>
      </c>
      <c r="R17038" s="36" t="s">
        <v>48</v>
      </c>
    </row>
    <row r="17039">
      <c r="H17039" s="50"/>
      <c r="I17039" s="50"/>
      <c r="O17039" s="36" t="s">
        <v>48</v>
      </c>
      <c r="R17039" s="36" t="s">
        <v>48</v>
      </c>
    </row>
    <row r="17040">
      <c r="H17040" s="50"/>
      <c r="I17040" s="50"/>
      <c r="O17040" s="36" t="s">
        <v>48</v>
      </c>
      <c r="R17040" s="36" t="s">
        <v>48</v>
      </c>
    </row>
    <row r="17041">
      <c r="H17041" s="50"/>
      <c r="I17041" s="50"/>
      <c r="O17041" s="36" t="s">
        <v>48</v>
      </c>
      <c r="R17041" s="36" t="s">
        <v>48</v>
      </c>
    </row>
    <row r="17042">
      <c r="H17042" s="50"/>
      <c r="I17042" s="50"/>
      <c r="O17042" s="36" t="s">
        <v>48</v>
      </c>
      <c r="R17042" s="36" t="s">
        <v>48</v>
      </c>
    </row>
    <row r="17043">
      <c r="H17043" s="50"/>
      <c r="I17043" s="50"/>
      <c r="O17043" s="36" t="s">
        <v>48</v>
      </c>
      <c r="R17043" s="36" t="s">
        <v>48</v>
      </c>
    </row>
    <row r="17044">
      <c r="H17044" s="50"/>
      <c r="I17044" s="50"/>
      <c r="O17044" s="36" t="s">
        <v>48</v>
      </c>
      <c r="R17044" s="36" t="s">
        <v>48</v>
      </c>
    </row>
    <row r="17045">
      <c r="H17045" s="50"/>
      <c r="I17045" s="50"/>
      <c r="O17045" s="36" t="s">
        <v>48</v>
      </c>
      <c r="R17045" s="36" t="s">
        <v>48</v>
      </c>
    </row>
    <row r="17046">
      <c r="H17046" s="50"/>
      <c r="I17046" s="50"/>
      <c r="O17046" s="36" t="s">
        <v>48</v>
      </c>
      <c r="R17046" s="36" t="s">
        <v>48</v>
      </c>
    </row>
    <row r="17047">
      <c r="H17047" s="50"/>
      <c r="I17047" s="50"/>
      <c r="O17047" s="36" t="s">
        <v>48</v>
      </c>
      <c r="R17047" s="36" t="s">
        <v>48</v>
      </c>
    </row>
    <row r="17048">
      <c r="H17048" s="50"/>
      <c r="I17048" s="50"/>
      <c r="O17048" s="36" t="s">
        <v>48</v>
      </c>
      <c r="R17048" s="36" t="s">
        <v>48</v>
      </c>
    </row>
    <row r="17049">
      <c r="H17049" s="50"/>
      <c r="I17049" s="50"/>
      <c r="O17049" s="36" t="s">
        <v>48</v>
      </c>
      <c r="R17049" s="36" t="s">
        <v>48</v>
      </c>
    </row>
    <row r="17050">
      <c r="H17050" s="50"/>
      <c r="I17050" s="50"/>
      <c r="O17050" s="36" t="s">
        <v>48</v>
      </c>
      <c r="R17050" s="36" t="s">
        <v>48</v>
      </c>
    </row>
    <row r="17051">
      <c r="H17051" s="50"/>
      <c r="I17051" s="50"/>
      <c r="O17051" s="36" t="s">
        <v>48</v>
      </c>
      <c r="R17051" s="36" t="s">
        <v>48</v>
      </c>
    </row>
    <row r="17052">
      <c r="H17052" s="50"/>
      <c r="I17052" s="50"/>
      <c r="O17052" s="36" t="s">
        <v>48</v>
      </c>
      <c r="R17052" s="36" t="s">
        <v>48</v>
      </c>
    </row>
    <row r="17053">
      <c r="H17053" s="50"/>
      <c r="I17053" s="50"/>
      <c r="O17053" s="36" t="s">
        <v>48</v>
      </c>
      <c r="R17053" s="36" t="s">
        <v>48</v>
      </c>
    </row>
    <row r="17054">
      <c r="H17054" s="50"/>
      <c r="I17054" s="50"/>
      <c r="O17054" s="36" t="s">
        <v>48</v>
      </c>
      <c r="R17054" s="36" t="s">
        <v>48</v>
      </c>
    </row>
    <row r="17055">
      <c r="H17055" s="50"/>
      <c r="I17055" s="50"/>
      <c r="O17055" s="36" t="s">
        <v>48</v>
      </c>
      <c r="R17055" s="36" t="s">
        <v>48</v>
      </c>
    </row>
    <row r="17056">
      <c r="H17056" s="50"/>
      <c r="I17056" s="50"/>
      <c r="O17056" s="36" t="s">
        <v>48</v>
      </c>
      <c r="R17056" s="36" t="s">
        <v>48</v>
      </c>
    </row>
    <row r="17057">
      <c r="H17057" s="50"/>
      <c r="I17057" s="50"/>
      <c r="O17057" s="36" t="s">
        <v>48</v>
      </c>
      <c r="R17057" s="36" t="s">
        <v>48</v>
      </c>
    </row>
    <row r="17058">
      <c r="H17058" s="50"/>
      <c r="I17058" s="50"/>
      <c r="O17058" s="36" t="s">
        <v>48</v>
      </c>
      <c r="R17058" s="36" t="s">
        <v>48</v>
      </c>
    </row>
    <row r="17059">
      <c r="H17059" s="50"/>
      <c r="I17059" s="50"/>
      <c r="O17059" s="36" t="s">
        <v>48</v>
      </c>
      <c r="R17059" s="36" t="s">
        <v>48</v>
      </c>
    </row>
    <row r="17060">
      <c r="H17060" s="50"/>
      <c r="I17060" s="50"/>
      <c r="O17060" s="36" t="s">
        <v>48</v>
      </c>
      <c r="R17060" s="36" t="s">
        <v>48</v>
      </c>
    </row>
    <row r="17061">
      <c r="H17061" s="50"/>
      <c r="I17061" s="50"/>
      <c r="O17061" s="36" t="s">
        <v>48</v>
      </c>
      <c r="R17061" s="36" t="s">
        <v>48</v>
      </c>
    </row>
    <row r="17062">
      <c r="H17062" s="50"/>
      <c r="I17062" s="50"/>
      <c r="O17062" s="36" t="s">
        <v>48</v>
      </c>
      <c r="R17062" s="36" t="s">
        <v>48</v>
      </c>
    </row>
    <row r="17063">
      <c r="H17063" s="50"/>
      <c r="I17063" s="50"/>
      <c r="O17063" s="36" t="s">
        <v>48</v>
      </c>
      <c r="R17063" s="36" t="s">
        <v>48</v>
      </c>
    </row>
    <row r="17064">
      <c r="H17064" s="50"/>
      <c r="I17064" s="50"/>
      <c r="O17064" s="36" t="s">
        <v>48</v>
      </c>
      <c r="R17064" s="36" t="s">
        <v>48</v>
      </c>
    </row>
    <row r="17065">
      <c r="H17065" s="50"/>
      <c r="I17065" s="50"/>
      <c r="O17065" s="36" t="s">
        <v>48</v>
      </c>
      <c r="R17065" s="36" t="s">
        <v>48</v>
      </c>
    </row>
    <row r="17066">
      <c r="H17066" s="50"/>
      <c r="I17066" s="50"/>
      <c r="O17066" s="36" t="s">
        <v>48</v>
      </c>
      <c r="R17066" s="36" t="s">
        <v>48</v>
      </c>
    </row>
    <row r="17067">
      <c r="H17067" s="50"/>
      <c r="I17067" s="50"/>
      <c r="O17067" s="36" t="s">
        <v>48</v>
      </c>
      <c r="R17067" s="36" t="s">
        <v>48</v>
      </c>
    </row>
    <row r="17068">
      <c r="H17068" s="50"/>
      <c r="I17068" s="50"/>
      <c r="O17068" s="36" t="s">
        <v>48</v>
      </c>
      <c r="R17068" s="36" t="s">
        <v>48</v>
      </c>
    </row>
    <row r="17069">
      <c r="H17069" s="50"/>
      <c r="I17069" s="50"/>
      <c r="O17069" s="36" t="s">
        <v>48</v>
      </c>
      <c r="R17069" s="36" t="s">
        <v>48</v>
      </c>
    </row>
    <row r="17070">
      <c r="H17070" s="50"/>
      <c r="I17070" s="50"/>
      <c r="O17070" s="36" t="s">
        <v>48</v>
      </c>
      <c r="R17070" s="36" t="s">
        <v>48</v>
      </c>
    </row>
    <row r="17071">
      <c r="H17071" s="50"/>
      <c r="I17071" s="50"/>
      <c r="O17071" s="36" t="s">
        <v>48</v>
      </c>
      <c r="R17071" s="36" t="s">
        <v>48</v>
      </c>
    </row>
    <row r="17072">
      <c r="H17072" s="50"/>
      <c r="I17072" s="50"/>
      <c r="O17072" s="36" t="s">
        <v>48</v>
      </c>
      <c r="R17072" s="36" t="s">
        <v>48</v>
      </c>
    </row>
    <row r="17073">
      <c r="H17073" s="50"/>
      <c r="I17073" s="50"/>
      <c r="O17073" s="36" t="s">
        <v>48</v>
      </c>
      <c r="R17073" s="36" t="s">
        <v>48</v>
      </c>
    </row>
    <row r="17074">
      <c r="H17074" s="50"/>
      <c r="I17074" s="50"/>
      <c r="O17074" s="36" t="s">
        <v>48</v>
      </c>
      <c r="R17074" s="36" t="s">
        <v>48</v>
      </c>
    </row>
    <row r="17075">
      <c r="H17075" s="50"/>
      <c r="I17075" s="50"/>
      <c r="O17075" s="36" t="s">
        <v>48</v>
      </c>
      <c r="R17075" s="36" t="s">
        <v>48</v>
      </c>
    </row>
    <row r="17076">
      <c r="H17076" s="50"/>
      <c r="I17076" s="50"/>
      <c r="O17076" s="36" t="s">
        <v>48</v>
      </c>
      <c r="R17076" s="36" t="s">
        <v>48</v>
      </c>
    </row>
    <row r="17077">
      <c r="H17077" s="50"/>
      <c r="I17077" s="50"/>
      <c r="O17077" s="36" t="s">
        <v>48</v>
      </c>
      <c r="R17077" s="36" t="s">
        <v>48</v>
      </c>
    </row>
    <row r="17078">
      <c r="H17078" s="50"/>
      <c r="I17078" s="50"/>
      <c r="O17078" s="36" t="s">
        <v>48</v>
      </c>
      <c r="R17078" s="36" t="s">
        <v>48</v>
      </c>
    </row>
    <row r="17079">
      <c r="H17079" s="50"/>
      <c r="I17079" s="50"/>
      <c r="O17079" s="36" t="s">
        <v>48</v>
      </c>
      <c r="R17079" s="36" t="s">
        <v>48</v>
      </c>
    </row>
    <row r="17080">
      <c r="H17080" s="50"/>
      <c r="I17080" s="50"/>
      <c r="O17080" s="36" t="s">
        <v>48</v>
      </c>
      <c r="R17080" s="36" t="s">
        <v>48</v>
      </c>
    </row>
    <row r="17081">
      <c r="H17081" s="50"/>
      <c r="I17081" s="50"/>
      <c r="O17081" s="36" t="s">
        <v>48</v>
      </c>
      <c r="R17081" s="36" t="s">
        <v>48</v>
      </c>
    </row>
    <row r="17082">
      <c r="H17082" s="50"/>
      <c r="I17082" s="50"/>
      <c r="O17082" s="36" t="s">
        <v>48</v>
      </c>
      <c r="R17082" s="36" t="s">
        <v>48</v>
      </c>
    </row>
    <row r="17083">
      <c r="H17083" s="50"/>
      <c r="I17083" s="50"/>
      <c r="O17083" s="36" t="s">
        <v>48</v>
      </c>
      <c r="R17083" s="36" t="s">
        <v>48</v>
      </c>
    </row>
    <row r="17084">
      <c r="H17084" s="50"/>
      <c r="I17084" s="50"/>
      <c r="O17084" s="36" t="s">
        <v>48</v>
      </c>
      <c r="R17084" s="36" t="s">
        <v>48</v>
      </c>
    </row>
    <row r="17085">
      <c r="H17085" s="50"/>
      <c r="I17085" s="50"/>
      <c r="O17085" s="36" t="s">
        <v>48</v>
      </c>
      <c r="R17085" s="36" t="s">
        <v>48</v>
      </c>
    </row>
    <row r="17086">
      <c r="H17086" s="50"/>
      <c r="I17086" s="50"/>
      <c r="O17086" s="36" t="s">
        <v>48</v>
      </c>
      <c r="R17086" s="36" t="s">
        <v>48</v>
      </c>
    </row>
    <row r="17087">
      <c r="H17087" s="50"/>
      <c r="I17087" s="50"/>
      <c r="O17087" s="36" t="s">
        <v>48</v>
      </c>
      <c r="R17087" s="36" t="s">
        <v>48</v>
      </c>
    </row>
    <row r="17088">
      <c r="H17088" s="50"/>
      <c r="I17088" s="50"/>
      <c r="O17088" s="36" t="s">
        <v>48</v>
      </c>
      <c r="R17088" s="36" t="s">
        <v>48</v>
      </c>
    </row>
    <row r="17089">
      <c r="H17089" s="50"/>
      <c r="I17089" s="50"/>
      <c r="O17089" s="36" t="s">
        <v>48</v>
      </c>
      <c r="R17089" s="36" t="s">
        <v>48</v>
      </c>
    </row>
    <row r="17090">
      <c r="H17090" s="50"/>
      <c r="I17090" s="50"/>
      <c r="O17090" s="36" t="s">
        <v>48</v>
      </c>
      <c r="R17090" s="36" t="s">
        <v>48</v>
      </c>
    </row>
    <row r="17091">
      <c r="H17091" s="50"/>
      <c r="I17091" s="50"/>
      <c r="O17091" s="36" t="s">
        <v>48</v>
      </c>
      <c r="R17091" s="36" t="s">
        <v>48</v>
      </c>
    </row>
    <row r="17092">
      <c r="H17092" s="50"/>
      <c r="I17092" s="50"/>
      <c r="O17092" s="36" t="s">
        <v>48</v>
      </c>
      <c r="R17092" s="36" t="s">
        <v>48</v>
      </c>
    </row>
    <row r="17093">
      <c r="H17093" s="50"/>
      <c r="I17093" s="50"/>
      <c r="O17093" s="36" t="s">
        <v>48</v>
      </c>
      <c r="R17093" s="36" t="s">
        <v>48</v>
      </c>
    </row>
    <row r="17094">
      <c r="H17094" s="50"/>
      <c r="I17094" s="50"/>
      <c r="O17094" s="36" t="s">
        <v>48</v>
      </c>
      <c r="R17094" s="36" t="s">
        <v>48</v>
      </c>
    </row>
    <row r="17095">
      <c r="H17095" s="50"/>
      <c r="I17095" s="50"/>
      <c r="O17095" s="36" t="s">
        <v>48</v>
      </c>
      <c r="R17095" s="36" t="s">
        <v>48</v>
      </c>
    </row>
    <row r="17096">
      <c r="H17096" s="50"/>
      <c r="I17096" s="50"/>
      <c r="O17096" s="36" t="s">
        <v>48</v>
      </c>
      <c r="R17096" s="36" t="s">
        <v>48</v>
      </c>
    </row>
    <row r="17097">
      <c r="H17097" s="50"/>
      <c r="I17097" s="50"/>
      <c r="O17097" s="36" t="s">
        <v>48</v>
      </c>
      <c r="R17097" s="36" t="s">
        <v>48</v>
      </c>
    </row>
    <row r="17098">
      <c r="H17098" s="50"/>
      <c r="I17098" s="50"/>
      <c r="O17098" s="36" t="s">
        <v>48</v>
      </c>
      <c r="R17098" s="36" t="s">
        <v>48</v>
      </c>
    </row>
    <row r="17099">
      <c r="H17099" s="50"/>
      <c r="I17099" s="50"/>
      <c r="O17099" s="36" t="s">
        <v>48</v>
      </c>
      <c r="R17099" s="36" t="s">
        <v>48</v>
      </c>
    </row>
    <row r="17100">
      <c r="H17100" s="50"/>
      <c r="I17100" s="50"/>
      <c r="O17100" s="36" t="s">
        <v>48</v>
      </c>
      <c r="R17100" s="36" t="s">
        <v>48</v>
      </c>
    </row>
    <row r="17101">
      <c r="H17101" s="50"/>
      <c r="I17101" s="50"/>
      <c r="O17101" s="36" t="s">
        <v>48</v>
      </c>
      <c r="R17101" s="36" t="s">
        <v>48</v>
      </c>
    </row>
    <row r="17102">
      <c r="H17102" s="50"/>
      <c r="I17102" s="50"/>
      <c r="O17102" s="36" t="s">
        <v>48</v>
      </c>
      <c r="R17102" s="36" t="s">
        <v>48</v>
      </c>
    </row>
    <row r="17103">
      <c r="H17103" s="50"/>
      <c r="I17103" s="50"/>
      <c r="O17103" s="36" t="s">
        <v>48</v>
      </c>
      <c r="R17103" s="36" t="s">
        <v>48</v>
      </c>
    </row>
    <row r="17104">
      <c r="H17104" s="50"/>
      <c r="I17104" s="50"/>
      <c r="O17104" s="36" t="s">
        <v>48</v>
      </c>
      <c r="R17104" s="36" t="s">
        <v>48</v>
      </c>
    </row>
    <row r="17105">
      <c r="H17105" s="50"/>
      <c r="I17105" s="50"/>
      <c r="O17105" s="36" t="s">
        <v>48</v>
      </c>
      <c r="R17105" s="36" t="s">
        <v>48</v>
      </c>
    </row>
    <row r="17106">
      <c r="H17106" s="50"/>
      <c r="I17106" s="50"/>
      <c r="O17106" s="36" t="s">
        <v>48</v>
      </c>
      <c r="R17106" s="36" t="s">
        <v>48</v>
      </c>
    </row>
    <row r="17107">
      <c r="H17107" s="50"/>
      <c r="I17107" s="50"/>
      <c r="O17107" s="36" t="s">
        <v>48</v>
      </c>
      <c r="R17107" s="36" t="s">
        <v>48</v>
      </c>
    </row>
    <row r="17108">
      <c r="H17108" s="50"/>
      <c r="I17108" s="50"/>
      <c r="O17108" s="36" t="s">
        <v>48</v>
      </c>
      <c r="R17108" s="36" t="s">
        <v>48</v>
      </c>
    </row>
    <row r="17109">
      <c r="H17109" s="50"/>
      <c r="I17109" s="50"/>
      <c r="O17109" s="36" t="s">
        <v>48</v>
      </c>
      <c r="R17109" s="36" t="s">
        <v>48</v>
      </c>
    </row>
    <row r="17110">
      <c r="H17110" s="50"/>
      <c r="I17110" s="50"/>
      <c r="O17110" s="36" t="s">
        <v>48</v>
      </c>
      <c r="R17110" s="36" t="s">
        <v>48</v>
      </c>
    </row>
    <row r="17111">
      <c r="H17111" s="50"/>
      <c r="I17111" s="50"/>
      <c r="O17111" s="36" t="s">
        <v>48</v>
      </c>
      <c r="R17111" s="36" t="s">
        <v>48</v>
      </c>
    </row>
    <row r="17112">
      <c r="H17112" s="50"/>
      <c r="I17112" s="50"/>
      <c r="O17112" s="36" t="s">
        <v>48</v>
      </c>
      <c r="R17112" s="36" t="s">
        <v>48</v>
      </c>
    </row>
    <row r="17113">
      <c r="H17113" s="50"/>
      <c r="I17113" s="50"/>
      <c r="O17113" s="36" t="s">
        <v>48</v>
      </c>
      <c r="R17113" s="36" t="s">
        <v>48</v>
      </c>
    </row>
    <row r="17114">
      <c r="H17114" s="50"/>
      <c r="I17114" s="50"/>
      <c r="O17114" s="36" t="s">
        <v>48</v>
      </c>
      <c r="R17114" s="36" t="s">
        <v>48</v>
      </c>
    </row>
    <row r="17115">
      <c r="H17115" s="50"/>
      <c r="I17115" s="50"/>
      <c r="O17115" s="36" t="s">
        <v>48</v>
      </c>
      <c r="R17115" s="36" t="s">
        <v>48</v>
      </c>
    </row>
    <row r="17116">
      <c r="H17116" s="50"/>
      <c r="I17116" s="50"/>
      <c r="O17116" s="36" t="s">
        <v>48</v>
      </c>
      <c r="R17116" s="36" t="s">
        <v>48</v>
      </c>
    </row>
    <row r="17117">
      <c r="H17117" s="50"/>
      <c r="I17117" s="50"/>
      <c r="O17117" s="36" t="s">
        <v>48</v>
      </c>
      <c r="R17117" s="36" t="s">
        <v>48</v>
      </c>
    </row>
    <row r="17118">
      <c r="H17118" s="50"/>
      <c r="I17118" s="50"/>
      <c r="O17118" s="36" t="s">
        <v>48</v>
      </c>
      <c r="R17118" s="36" t="s">
        <v>48</v>
      </c>
    </row>
    <row r="17119">
      <c r="H17119" s="50"/>
      <c r="I17119" s="50"/>
      <c r="O17119" s="36" t="s">
        <v>48</v>
      </c>
      <c r="R17119" s="36" t="s">
        <v>48</v>
      </c>
    </row>
    <row r="17120">
      <c r="H17120" s="50"/>
      <c r="I17120" s="50"/>
      <c r="O17120" s="36" t="s">
        <v>48</v>
      </c>
      <c r="R17120" s="36" t="s">
        <v>48</v>
      </c>
    </row>
    <row r="17121">
      <c r="H17121" s="50"/>
      <c r="I17121" s="50"/>
      <c r="O17121" s="36" t="s">
        <v>48</v>
      </c>
      <c r="R17121" s="36" t="s">
        <v>48</v>
      </c>
    </row>
    <row r="17122">
      <c r="H17122" s="50"/>
      <c r="I17122" s="50"/>
      <c r="O17122" s="36" t="s">
        <v>48</v>
      </c>
      <c r="R17122" s="36" t="s">
        <v>48</v>
      </c>
    </row>
    <row r="17123">
      <c r="H17123" s="50"/>
      <c r="I17123" s="50"/>
      <c r="O17123" s="36" t="s">
        <v>48</v>
      </c>
      <c r="R17123" s="36" t="s">
        <v>48</v>
      </c>
    </row>
    <row r="17124">
      <c r="H17124" s="50"/>
      <c r="I17124" s="50"/>
      <c r="O17124" s="36" t="s">
        <v>48</v>
      </c>
      <c r="R17124" s="36" t="s">
        <v>48</v>
      </c>
    </row>
    <row r="17125">
      <c r="H17125" s="50"/>
      <c r="I17125" s="50"/>
      <c r="O17125" s="36" t="s">
        <v>48</v>
      </c>
      <c r="R17125" s="36" t="s">
        <v>48</v>
      </c>
    </row>
    <row r="17126">
      <c r="H17126" s="50"/>
      <c r="I17126" s="50"/>
      <c r="O17126" s="36" t="s">
        <v>48</v>
      </c>
      <c r="R17126" s="36" t="s">
        <v>48</v>
      </c>
    </row>
    <row r="17127">
      <c r="H17127" s="50"/>
      <c r="I17127" s="50"/>
      <c r="O17127" s="36" t="s">
        <v>48</v>
      </c>
      <c r="R17127" s="36" t="s">
        <v>48</v>
      </c>
    </row>
    <row r="17128">
      <c r="H17128" s="50"/>
      <c r="I17128" s="50"/>
      <c r="O17128" s="36" t="s">
        <v>48</v>
      </c>
      <c r="R17128" s="36" t="s">
        <v>48</v>
      </c>
    </row>
    <row r="17129">
      <c r="H17129" s="50"/>
      <c r="I17129" s="50"/>
      <c r="O17129" s="36" t="s">
        <v>48</v>
      </c>
      <c r="R17129" s="36" t="s">
        <v>48</v>
      </c>
    </row>
    <row r="17130">
      <c r="H17130" s="50"/>
      <c r="I17130" s="50"/>
      <c r="O17130" s="36" t="s">
        <v>48</v>
      </c>
      <c r="R17130" s="36" t="s">
        <v>48</v>
      </c>
    </row>
    <row r="17131">
      <c r="H17131" s="50"/>
      <c r="I17131" s="50"/>
      <c r="O17131" s="36" t="s">
        <v>48</v>
      </c>
      <c r="R17131" s="36" t="s">
        <v>48</v>
      </c>
    </row>
    <row r="17132">
      <c r="H17132" s="50"/>
      <c r="I17132" s="50"/>
      <c r="O17132" s="36" t="s">
        <v>48</v>
      </c>
      <c r="R17132" s="36" t="s">
        <v>48</v>
      </c>
    </row>
    <row r="17133">
      <c r="H17133" s="50"/>
      <c r="I17133" s="50"/>
      <c r="O17133" s="36" t="s">
        <v>48</v>
      </c>
      <c r="R17133" s="36" t="s">
        <v>48</v>
      </c>
    </row>
    <row r="17134">
      <c r="H17134" s="50"/>
      <c r="I17134" s="50"/>
      <c r="O17134" s="36" t="s">
        <v>48</v>
      </c>
      <c r="R17134" s="36" t="s">
        <v>48</v>
      </c>
    </row>
    <row r="17135">
      <c r="H17135" s="50"/>
      <c r="I17135" s="50"/>
      <c r="O17135" s="36" t="s">
        <v>48</v>
      </c>
      <c r="R17135" s="36" t="s">
        <v>48</v>
      </c>
    </row>
    <row r="17136">
      <c r="H17136" s="50"/>
      <c r="I17136" s="50"/>
      <c r="O17136" s="36" t="s">
        <v>48</v>
      </c>
      <c r="R17136" s="36" t="s">
        <v>48</v>
      </c>
    </row>
    <row r="17137">
      <c r="H17137" s="50"/>
      <c r="I17137" s="50"/>
      <c r="O17137" s="36" t="s">
        <v>48</v>
      </c>
      <c r="R17137" s="36" t="s">
        <v>48</v>
      </c>
    </row>
    <row r="17138">
      <c r="H17138" s="50"/>
      <c r="I17138" s="50"/>
      <c r="O17138" s="36" t="s">
        <v>48</v>
      </c>
      <c r="R17138" s="36" t="s">
        <v>48</v>
      </c>
    </row>
    <row r="17139">
      <c r="H17139" s="50"/>
      <c r="I17139" s="50"/>
      <c r="O17139" s="36" t="s">
        <v>48</v>
      </c>
      <c r="R17139" s="36" t="s">
        <v>48</v>
      </c>
    </row>
    <row r="17140">
      <c r="H17140" s="50"/>
      <c r="I17140" s="50"/>
      <c r="O17140" s="36" t="s">
        <v>48</v>
      </c>
      <c r="R17140" s="36" t="s">
        <v>48</v>
      </c>
    </row>
    <row r="17141">
      <c r="H17141" s="50"/>
      <c r="I17141" s="50"/>
      <c r="O17141" s="36" t="s">
        <v>48</v>
      </c>
      <c r="R17141" s="36" t="s">
        <v>48</v>
      </c>
    </row>
    <row r="17142">
      <c r="H17142" s="50"/>
      <c r="I17142" s="50"/>
      <c r="O17142" s="36" t="s">
        <v>48</v>
      </c>
      <c r="R17142" s="36" t="s">
        <v>48</v>
      </c>
    </row>
    <row r="17143">
      <c r="H17143" s="50"/>
      <c r="I17143" s="50"/>
      <c r="O17143" s="36" t="s">
        <v>48</v>
      </c>
      <c r="R17143" s="36" t="s">
        <v>48</v>
      </c>
    </row>
    <row r="17144">
      <c r="H17144" s="50"/>
      <c r="I17144" s="50"/>
      <c r="O17144" s="36" t="s">
        <v>48</v>
      </c>
      <c r="R17144" s="36" t="s">
        <v>48</v>
      </c>
    </row>
    <row r="17145">
      <c r="H17145" s="50"/>
      <c r="I17145" s="50"/>
      <c r="O17145" s="36" t="s">
        <v>48</v>
      </c>
      <c r="R17145" s="36" t="s">
        <v>48</v>
      </c>
    </row>
    <row r="17146">
      <c r="H17146" s="50"/>
      <c r="I17146" s="50"/>
      <c r="O17146" s="36" t="s">
        <v>48</v>
      </c>
      <c r="R17146" s="36" t="s">
        <v>48</v>
      </c>
    </row>
    <row r="17147">
      <c r="H17147" s="50"/>
      <c r="I17147" s="50"/>
      <c r="O17147" s="36" t="s">
        <v>48</v>
      </c>
      <c r="R17147" s="36" t="s">
        <v>48</v>
      </c>
    </row>
    <row r="17148">
      <c r="H17148" s="50"/>
      <c r="I17148" s="50"/>
      <c r="O17148" s="36" t="s">
        <v>48</v>
      </c>
      <c r="R17148" s="36" t="s">
        <v>48</v>
      </c>
    </row>
    <row r="17149">
      <c r="H17149" s="50"/>
      <c r="I17149" s="50"/>
      <c r="O17149" s="36" t="s">
        <v>48</v>
      </c>
      <c r="R17149" s="36" t="s">
        <v>48</v>
      </c>
    </row>
    <row r="17150">
      <c r="H17150" s="50"/>
      <c r="I17150" s="50"/>
      <c r="O17150" s="36" t="s">
        <v>48</v>
      </c>
      <c r="R17150" s="36" t="s">
        <v>48</v>
      </c>
    </row>
    <row r="17151">
      <c r="H17151" s="50"/>
      <c r="I17151" s="50"/>
      <c r="O17151" s="36" t="s">
        <v>48</v>
      </c>
      <c r="R17151" s="36" t="s">
        <v>48</v>
      </c>
    </row>
    <row r="17152">
      <c r="H17152" s="50"/>
      <c r="I17152" s="50"/>
      <c r="O17152" s="36" t="s">
        <v>48</v>
      </c>
      <c r="R17152" s="36" t="s">
        <v>48</v>
      </c>
    </row>
    <row r="17153">
      <c r="H17153" s="50"/>
      <c r="I17153" s="50"/>
      <c r="O17153" s="36" t="s">
        <v>48</v>
      </c>
      <c r="R17153" s="36" t="s">
        <v>48</v>
      </c>
    </row>
    <row r="17154">
      <c r="H17154" s="50"/>
      <c r="I17154" s="50"/>
      <c r="O17154" s="36" t="s">
        <v>48</v>
      </c>
      <c r="R17154" s="36" t="s">
        <v>48</v>
      </c>
    </row>
    <row r="17155">
      <c r="H17155" s="50"/>
      <c r="I17155" s="50"/>
      <c r="O17155" s="36" t="s">
        <v>48</v>
      </c>
      <c r="R17155" s="36" t="s">
        <v>48</v>
      </c>
    </row>
    <row r="17156">
      <c r="H17156" s="50"/>
      <c r="I17156" s="50"/>
      <c r="O17156" s="36" t="s">
        <v>48</v>
      </c>
      <c r="R17156" s="36" t="s">
        <v>48</v>
      </c>
    </row>
    <row r="17157">
      <c r="H17157" s="50"/>
      <c r="I17157" s="50"/>
      <c r="O17157" s="36" t="s">
        <v>48</v>
      </c>
      <c r="R17157" s="36" t="s">
        <v>48</v>
      </c>
    </row>
    <row r="17158">
      <c r="H17158" s="50"/>
      <c r="I17158" s="50"/>
      <c r="O17158" s="36" t="s">
        <v>48</v>
      </c>
      <c r="R17158" s="36" t="s">
        <v>48</v>
      </c>
    </row>
    <row r="17159">
      <c r="H17159" s="50"/>
      <c r="I17159" s="50"/>
      <c r="O17159" s="36" t="s">
        <v>48</v>
      </c>
      <c r="R17159" s="36" t="s">
        <v>48</v>
      </c>
    </row>
    <row r="17160">
      <c r="H17160" s="50"/>
      <c r="I17160" s="50"/>
      <c r="O17160" s="36" t="s">
        <v>48</v>
      </c>
      <c r="R17160" s="36" t="s">
        <v>48</v>
      </c>
    </row>
    <row r="17161">
      <c r="H17161" s="50"/>
      <c r="I17161" s="50"/>
      <c r="O17161" s="36" t="s">
        <v>48</v>
      </c>
      <c r="R17161" s="36" t="s">
        <v>48</v>
      </c>
    </row>
    <row r="17162">
      <c r="H17162" s="50"/>
      <c r="I17162" s="50"/>
      <c r="O17162" s="36" t="s">
        <v>48</v>
      </c>
      <c r="R17162" s="36" t="s">
        <v>48</v>
      </c>
    </row>
    <row r="17163">
      <c r="H17163" s="50"/>
      <c r="I17163" s="50"/>
      <c r="O17163" s="36" t="s">
        <v>48</v>
      </c>
      <c r="R17163" s="36" t="s">
        <v>48</v>
      </c>
    </row>
    <row r="17164">
      <c r="H17164" s="50"/>
      <c r="I17164" s="50"/>
      <c r="O17164" s="36" t="s">
        <v>48</v>
      </c>
      <c r="R17164" s="36" t="s">
        <v>48</v>
      </c>
    </row>
    <row r="17165">
      <c r="H17165" s="50"/>
      <c r="I17165" s="50"/>
      <c r="O17165" s="36" t="s">
        <v>48</v>
      </c>
      <c r="R17165" s="36" t="s">
        <v>48</v>
      </c>
    </row>
    <row r="17166">
      <c r="H17166" s="50"/>
      <c r="I17166" s="50"/>
      <c r="O17166" s="36" t="s">
        <v>48</v>
      </c>
      <c r="R17166" s="36" t="s">
        <v>48</v>
      </c>
    </row>
    <row r="17167">
      <c r="H17167" s="50"/>
      <c r="I17167" s="50"/>
      <c r="O17167" s="36" t="s">
        <v>48</v>
      </c>
      <c r="R17167" s="36" t="s">
        <v>48</v>
      </c>
    </row>
    <row r="17168">
      <c r="H17168" s="50"/>
      <c r="I17168" s="50"/>
      <c r="O17168" s="36" t="s">
        <v>48</v>
      </c>
      <c r="R17168" s="36" t="s">
        <v>48</v>
      </c>
    </row>
    <row r="17169">
      <c r="H17169" s="50"/>
      <c r="I17169" s="50"/>
      <c r="O17169" s="36" t="s">
        <v>48</v>
      </c>
      <c r="R17169" s="36" t="s">
        <v>48</v>
      </c>
    </row>
    <row r="17170">
      <c r="H17170" s="50"/>
      <c r="I17170" s="50"/>
      <c r="O17170" s="36" t="s">
        <v>48</v>
      </c>
      <c r="R17170" s="36" t="s">
        <v>48</v>
      </c>
    </row>
    <row r="17171">
      <c r="H17171" s="50"/>
      <c r="I17171" s="50"/>
      <c r="O17171" s="36" t="s">
        <v>48</v>
      </c>
      <c r="R17171" s="36" t="s">
        <v>48</v>
      </c>
    </row>
    <row r="17172">
      <c r="H17172" s="50"/>
      <c r="I17172" s="50"/>
      <c r="O17172" s="36" t="s">
        <v>48</v>
      </c>
      <c r="R17172" s="36" t="s">
        <v>48</v>
      </c>
    </row>
    <row r="17173">
      <c r="H17173" s="50"/>
      <c r="I17173" s="50"/>
      <c r="O17173" s="36" t="s">
        <v>48</v>
      </c>
      <c r="R17173" s="36" t="s">
        <v>48</v>
      </c>
    </row>
    <row r="17174">
      <c r="H17174" s="50"/>
      <c r="I17174" s="50"/>
      <c r="O17174" s="36" t="s">
        <v>48</v>
      </c>
      <c r="R17174" s="36" t="s">
        <v>48</v>
      </c>
    </row>
    <row r="17175">
      <c r="H17175" s="50"/>
      <c r="I17175" s="50"/>
      <c r="O17175" s="36" t="s">
        <v>48</v>
      </c>
      <c r="R17175" s="36" t="s">
        <v>48</v>
      </c>
    </row>
    <row r="17176">
      <c r="H17176" s="50"/>
      <c r="I17176" s="50"/>
      <c r="O17176" s="36" t="s">
        <v>48</v>
      </c>
      <c r="R17176" s="36" t="s">
        <v>48</v>
      </c>
    </row>
    <row r="17177">
      <c r="H17177" s="50"/>
      <c r="I17177" s="50"/>
      <c r="O17177" s="36" t="s">
        <v>48</v>
      </c>
      <c r="R17177" s="36" t="s">
        <v>48</v>
      </c>
    </row>
    <row r="17178">
      <c r="H17178" s="50"/>
      <c r="I17178" s="50"/>
      <c r="O17178" s="36" t="s">
        <v>48</v>
      </c>
      <c r="R17178" s="36" t="s">
        <v>48</v>
      </c>
    </row>
    <row r="17179">
      <c r="H17179" s="50"/>
      <c r="I17179" s="50"/>
      <c r="O17179" s="36" t="s">
        <v>48</v>
      </c>
      <c r="R17179" s="36" t="s">
        <v>48</v>
      </c>
    </row>
    <row r="17180">
      <c r="H17180" s="50"/>
      <c r="I17180" s="50"/>
      <c r="O17180" s="36" t="s">
        <v>48</v>
      </c>
      <c r="R17180" s="36" t="s">
        <v>48</v>
      </c>
    </row>
    <row r="17181">
      <c r="H17181" s="50"/>
      <c r="I17181" s="50"/>
      <c r="O17181" s="36" t="s">
        <v>48</v>
      </c>
      <c r="R17181" s="36" t="s">
        <v>48</v>
      </c>
    </row>
    <row r="17182">
      <c r="H17182" s="50"/>
      <c r="I17182" s="50"/>
      <c r="O17182" s="36" t="s">
        <v>48</v>
      </c>
      <c r="R17182" s="36" t="s">
        <v>48</v>
      </c>
    </row>
    <row r="17183">
      <c r="H17183" s="50"/>
      <c r="I17183" s="50"/>
      <c r="O17183" s="36" t="s">
        <v>48</v>
      </c>
      <c r="R17183" s="36" t="s">
        <v>48</v>
      </c>
    </row>
    <row r="17184">
      <c r="H17184" s="50"/>
      <c r="I17184" s="50"/>
      <c r="O17184" s="36" t="s">
        <v>48</v>
      </c>
      <c r="R17184" s="36" t="s">
        <v>48</v>
      </c>
    </row>
    <row r="17185">
      <c r="H17185" s="50"/>
      <c r="I17185" s="50"/>
      <c r="O17185" s="36" t="s">
        <v>48</v>
      </c>
      <c r="R17185" s="36" t="s">
        <v>48</v>
      </c>
    </row>
    <row r="17186">
      <c r="H17186" s="50"/>
      <c r="I17186" s="50"/>
      <c r="O17186" s="36" t="s">
        <v>48</v>
      </c>
      <c r="R17186" s="36" t="s">
        <v>48</v>
      </c>
    </row>
    <row r="17187">
      <c r="H17187" s="50"/>
      <c r="I17187" s="50"/>
      <c r="O17187" s="36" t="s">
        <v>48</v>
      </c>
      <c r="R17187" s="36" t="s">
        <v>48</v>
      </c>
    </row>
    <row r="17188">
      <c r="H17188" s="50"/>
      <c r="I17188" s="50"/>
      <c r="O17188" s="36" t="s">
        <v>48</v>
      </c>
      <c r="R17188" s="36" t="s">
        <v>48</v>
      </c>
    </row>
    <row r="17189">
      <c r="H17189" s="50"/>
      <c r="I17189" s="50"/>
      <c r="O17189" s="36" t="s">
        <v>48</v>
      </c>
      <c r="R17189" s="36" t="s">
        <v>48</v>
      </c>
    </row>
    <row r="17190">
      <c r="H17190" s="50"/>
      <c r="I17190" s="50"/>
      <c r="O17190" s="36" t="s">
        <v>48</v>
      </c>
      <c r="R17190" s="36" t="s">
        <v>48</v>
      </c>
    </row>
    <row r="17191">
      <c r="H17191" s="50"/>
      <c r="I17191" s="50"/>
      <c r="O17191" s="36" t="s">
        <v>48</v>
      </c>
      <c r="R17191" s="36" t="s">
        <v>48</v>
      </c>
    </row>
    <row r="17192">
      <c r="H17192" s="50"/>
      <c r="I17192" s="50"/>
      <c r="O17192" s="36" t="s">
        <v>48</v>
      </c>
      <c r="R17192" s="36" t="s">
        <v>48</v>
      </c>
    </row>
    <row r="17193">
      <c r="H17193" s="50"/>
      <c r="I17193" s="50"/>
      <c r="O17193" s="36" t="s">
        <v>48</v>
      </c>
      <c r="R17193" s="36" t="s">
        <v>48</v>
      </c>
    </row>
    <row r="17194">
      <c r="H17194" s="50"/>
      <c r="I17194" s="50"/>
      <c r="O17194" s="36" t="s">
        <v>48</v>
      </c>
      <c r="R17194" s="36" t="s">
        <v>48</v>
      </c>
    </row>
    <row r="17195">
      <c r="H17195" s="50"/>
      <c r="I17195" s="50"/>
      <c r="O17195" s="36" t="s">
        <v>48</v>
      </c>
      <c r="R17195" s="36" t="s">
        <v>48</v>
      </c>
    </row>
    <row r="17196">
      <c r="H17196" s="50"/>
      <c r="I17196" s="50"/>
      <c r="O17196" s="36" t="s">
        <v>48</v>
      </c>
      <c r="R17196" s="36" t="s">
        <v>48</v>
      </c>
    </row>
    <row r="17197">
      <c r="H17197" s="50"/>
      <c r="I17197" s="50"/>
      <c r="O17197" s="36" t="s">
        <v>48</v>
      </c>
      <c r="R17197" s="36" t="s">
        <v>48</v>
      </c>
    </row>
    <row r="17198">
      <c r="H17198" s="50"/>
      <c r="I17198" s="50"/>
      <c r="O17198" s="36" t="s">
        <v>48</v>
      </c>
      <c r="R17198" s="36" t="s">
        <v>48</v>
      </c>
    </row>
    <row r="17199">
      <c r="H17199" s="50"/>
      <c r="I17199" s="50"/>
      <c r="O17199" s="36" t="s">
        <v>48</v>
      </c>
      <c r="R17199" s="36" t="s">
        <v>48</v>
      </c>
    </row>
    <row r="17200">
      <c r="H17200" s="50"/>
      <c r="I17200" s="50"/>
      <c r="O17200" s="36" t="s">
        <v>48</v>
      </c>
      <c r="R17200" s="36" t="s">
        <v>48</v>
      </c>
    </row>
    <row r="17201">
      <c r="H17201" s="50"/>
      <c r="I17201" s="50"/>
      <c r="O17201" s="36" t="s">
        <v>48</v>
      </c>
      <c r="R17201" s="36" t="s">
        <v>48</v>
      </c>
    </row>
    <row r="17202">
      <c r="H17202" s="50"/>
      <c r="I17202" s="50"/>
      <c r="O17202" s="36" t="s">
        <v>48</v>
      </c>
      <c r="R17202" s="36" t="s">
        <v>48</v>
      </c>
    </row>
    <row r="17203">
      <c r="H17203" s="50"/>
      <c r="I17203" s="50"/>
      <c r="O17203" s="36" t="s">
        <v>48</v>
      </c>
      <c r="R17203" s="36" t="s">
        <v>48</v>
      </c>
    </row>
    <row r="17204">
      <c r="H17204" s="50"/>
      <c r="I17204" s="50"/>
      <c r="O17204" s="36" t="s">
        <v>48</v>
      </c>
      <c r="R17204" s="36" t="s">
        <v>48</v>
      </c>
    </row>
    <row r="17205">
      <c r="H17205" s="50"/>
      <c r="I17205" s="50"/>
      <c r="O17205" s="36" t="s">
        <v>48</v>
      </c>
      <c r="R17205" s="36" t="s">
        <v>48</v>
      </c>
    </row>
    <row r="17206">
      <c r="H17206" s="50"/>
      <c r="I17206" s="50"/>
      <c r="O17206" s="36" t="s">
        <v>48</v>
      </c>
      <c r="R17206" s="36" t="s">
        <v>48</v>
      </c>
    </row>
    <row r="17207">
      <c r="H17207" s="50"/>
      <c r="I17207" s="50"/>
      <c r="O17207" s="36" t="s">
        <v>48</v>
      </c>
      <c r="R17207" s="36" t="s">
        <v>48</v>
      </c>
    </row>
    <row r="17208">
      <c r="H17208" s="50"/>
      <c r="I17208" s="50"/>
      <c r="O17208" s="36" t="s">
        <v>48</v>
      </c>
      <c r="R17208" s="36" t="s">
        <v>48</v>
      </c>
    </row>
    <row r="17209">
      <c r="H17209" s="50"/>
      <c r="I17209" s="50"/>
      <c r="O17209" s="36" t="s">
        <v>48</v>
      </c>
      <c r="R17209" s="36" t="s">
        <v>48</v>
      </c>
    </row>
    <row r="17210">
      <c r="H17210" s="50"/>
      <c r="I17210" s="50"/>
      <c r="O17210" s="36" t="s">
        <v>48</v>
      </c>
      <c r="R17210" s="36" t="s">
        <v>48</v>
      </c>
    </row>
    <row r="17211">
      <c r="H17211" s="50"/>
      <c r="I17211" s="50"/>
      <c r="O17211" s="36" t="s">
        <v>48</v>
      </c>
      <c r="R17211" s="36" t="s">
        <v>48</v>
      </c>
    </row>
    <row r="17212">
      <c r="H17212" s="50"/>
      <c r="I17212" s="50"/>
      <c r="O17212" s="36" t="s">
        <v>48</v>
      </c>
      <c r="R17212" s="36" t="s">
        <v>48</v>
      </c>
    </row>
    <row r="17213">
      <c r="H17213" s="50"/>
      <c r="I17213" s="50"/>
      <c r="O17213" s="36" t="s">
        <v>48</v>
      </c>
      <c r="R17213" s="36" t="s">
        <v>48</v>
      </c>
    </row>
    <row r="17214">
      <c r="H17214" s="50"/>
      <c r="I17214" s="50"/>
      <c r="O17214" s="36" t="s">
        <v>48</v>
      </c>
      <c r="R17214" s="36" t="s">
        <v>48</v>
      </c>
    </row>
    <row r="17215">
      <c r="H17215" s="50"/>
      <c r="I17215" s="50"/>
      <c r="O17215" s="36" t="s">
        <v>48</v>
      </c>
      <c r="R17215" s="36" t="s">
        <v>48</v>
      </c>
    </row>
    <row r="17216">
      <c r="H17216" s="50"/>
      <c r="I17216" s="50"/>
      <c r="O17216" s="36" t="s">
        <v>48</v>
      </c>
      <c r="R17216" s="36" t="s">
        <v>48</v>
      </c>
    </row>
    <row r="17217">
      <c r="H17217" s="50"/>
      <c r="I17217" s="50"/>
      <c r="O17217" s="36" t="s">
        <v>48</v>
      </c>
      <c r="R17217" s="36" t="s">
        <v>48</v>
      </c>
    </row>
    <row r="17218">
      <c r="H17218" s="50"/>
      <c r="I17218" s="50"/>
      <c r="O17218" s="36" t="s">
        <v>48</v>
      </c>
      <c r="R17218" s="36" t="s">
        <v>48</v>
      </c>
    </row>
    <row r="17219">
      <c r="H17219" s="50"/>
      <c r="I17219" s="50"/>
      <c r="O17219" s="36" t="s">
        <v>48</v>
      </c>
      <c r="R17219" s="36" t="s">
        <v>48</v>
      </c>
    </row>
    <row r="17220">
      <c r="H17220" s="50"/>
      <c r="I17220" s="50"/>
      <c r="O17220" s="36" t="s">
        <v>48</v>
      </c>
      <c r="R17220" s="36" t="s">
        <v>48</v>
      </c>
    </row>
    <row r="17221">
      <c r="H17221" s="50"/>
      <c r="I17221" s="50"/>
      <c r="O17221" s="36" t="s">
        <v>48</v>
      </c>
      <c r="R17221" s="36" t="s">
        <v>48</v>
      </c>
    </row>
    <row r="17222">
      <c r="H17222" s="50"/>
      <c r="I17222" s="50"/>
      <c r="O17222" s="36" t="s">
        <v>48</v>
      </c>
      <c r="R17222" s="36" t="s">
        <v>48</v>
      </c>
    </row>
    <row r="17223">
      <c r="H17223" s="50"/>
      <c r="I17223" s="50"/>
      <c r="O17223" s="36" t="s">
        <v>48</v>
      </c>
      <c r="R17223" s="36" t="s">
        <v>48</v>
      </c>
    </row>
    <row r="17224">
      <c r="H17224" s="50"/>
      <c r="I17224" s="50"/>
      <c r="O17224" s="36" t="s">
        <v>48</v>
      </c>
      <c r="R17224" s="36" t="s">
        <v>48</v>
      </c>
    </row>
    <row r="17225">
      <c r="H17225" s="50"/>
      <c r="I17225" s="50"/>
      <c r="O17225" s="36" t="s">
        <v>48</v>
      </c>
      <c r="R17225" s="36" t="s">
        <v>48</v>
      </c>
    </row>
    <row r="17226">
      <c r="H17226" s="50"/>
      <c r="I17226" s="50"/>
      <c r="O17226" s="36" t="s">
        <v>48</v>
      </c>
      <c r="R17226" s="36" t="s">
        <v>48</v>
      </c>
    </row>
    <row r="17227">
      <c r="H17227" s="50"/>
      <c r="I17227" s="50"/>
      <c r="O17227" s="36" t="s">
        <v>48</v>
      </c>
      <c r="R17227" s="36" t="s">
        <v>48</v>
      </c>
    </row>
    <row r="17228">
      <c r="H17228" s="50"/>
      <c r="I17228" s="50"/>
      <c r="O17228" s="36" t="s">
        <v>48</v>
      </c>
      <c r="R17228" s="36" t="s">
        <v>48</v>
      </c>
    </row>
    <row r="17229">
      <c r="H17229" s="50"/>
      <c r="I17229" s="50"/>
      <c r="O17229" s="36" t="s">
        <v>48</v>
      </c>
      <c r="R17229" s="36" t="s">
        <v>48</v>
      </c>
    </row>
    <row r="17230">
      <c r="H17230" s="50"/>
      <c r="I17230" s="50"/>
      <c r="O17230" s="36" t="s">
        <v>48</v>
      </c>
      <c r="R17230" s="36" t="s">
        <v>48</v>
      </c>
    </row>
    <row r="17231">
      <c r="H17231" s="50"/>
      <c r="I17231" s="50"/>
      <c r="O17231" s="36" t="s">
        <v>48</v>
      </c>
      <c r="R17231" s="36" t="s">
        <v>48</v>
      </c>
    </row>
    <row r="17232">
      <c r="H17232" s="50"/>
      <c r="I17232" s="50"/>
      <c r="O17232" s="36" t="s">
        <v>48</v>
      </c>
      <c r="R17232" s="36" t="s">
        <v>48</v>
      </c>
    </row>
    <row r="17233">
      <c r="H17233" s="50"/>
      <c r="I17233" s="50"/>
      <c r="O17233" s="36" t="s">
        <v>48</v>
      </c>
      <c r="R17233" s="36" t="s">
        <v>48</v>
      </c>
    </row>
    <row r="17234">
      <c r="H17234" s="50"/>
      <c r="I17234" s="50"/>
      <c r="O17234" s="36" t="s">
        <v>48</v>
      </c>
      <c r="R17234" s="36" t="s">
        <v>48</v>
      </c>
    </row>
    <row r="17235">
      <c r="H17235" s="50"/>
      <c r="I17235" s="50"/>
      <c r="O17235" s="36" t="s">
        <v>48</v>
      </c>
      <c r="R17235" s="36" t="s">
        <v>48</v>
      </c>
    </row>
    <row r="17236">
      <c r="H17236" s="50"/>
      <c r="I17236" s="50"/>
      <c r="O17236" s="36" t="s">
        <v>48</v>
      </c>
      <c r="R17236" s="36" t="s">
        <v>48</v>
      </c>
    </row>
    <row r="17237">
      <c r="H17237" s="50"/>
      <c r="I17237" s="50"/>
      <c r="O17237" s="36" t="s">
        <v>48</v>
      </c>
      <c r="R17237" s="36" t="s">
        <v>48</v>
      </c>
    </row>
    <row r="17238">
      <c r="H17238" s="50"/>
      <c r="I17238" s="50"/>
      <c r="O17238" s="36" t="s">
        <v>48</v>
      </c>
      <c r="R17238" s="36" t="s">
        <v>48</v>
      </c>
    </row>
    <row r="17239">
      <c r="H17239" s="50"/>
      <c r="I17239" s="50"/>
      <c r="O17239" s="36" t="s">
        <v>48</v>
      </c>
      <c r="R17239" s="36" t="s">
        <v>48</v>
      </c>
    </row>
    <row r="17240">
      <c r="H17240" s="50"/>
      <c r="I17240" s="50"/>
      <c r="O17240" s="36" t="s">
        <v>48</v>
      </c>
      <c r="R17240" s="36" t="s">
        <v>48</v>
      </c>
    </row>
    <row r="17241">
      <c r="H17241" s="50"/>
      <c r="I17241" s="50"/>
      <c r="O17241" s="36" t="s">
        <v>48</v>
      </c>
      <c r="R17241" s="36" t="s">
        <v>48</v>
      </c>
    </row>
    <row r="17242">
      <c r="H17242" s="50"/>
      <c r="I17242" s="50"/>
      <c r="O17242" s="36" t="s">
        <v>48</v>
      </c>
      <c r="R17242" s="36" t="s">
        <v>48</v>
      </c>
    </row>
    <row r="17243">
      <c r="H17243" s="50"/>
      <c r="I17243" s="50"/>
      <c r="O17243" s="36" t="s">
        <v>48</v>
      </c>
      <c r="R17243" s="36" t="s">
        <v>48</v>
      </c>
    </row>
    <row r="17244">
      <c r="H17244" s="50"/>
      <c r="I17244" s="50"/>
      <c r="O17244" s="36" t="s">
        <v>48</v>
      </c>
      <c r="R17244" s="36" t="s">
        <v>48</v>
      </c>
    </row>
    <row r="17245">
      <c r="H17245" s="50"/>
      <c r="I17245" s="50"/>
      <c r="O17245" s="36" t="s">
        <v>48</v>
      </c>
      <c r="R17245" s="36" t="s">
        <v>48</v>
      </c>
    </row>
    <row r="17246">
      <c r="H17246" s="50"/>
      <c r="I17246" s="50"/>
      <c r="O17246" s="36" t="s">
        <v>48</v>
      </c>
      <c r="R17246" s="36" t="s">
        <v>48</v>
      </c>
    </row>
    <row r="17247">
      <c r="H17247" s="50"/>
      <c r="I17247" s="50"/>
      <c r="O17247" s="36" t="s">
        <v>48</v>
      </c>
      <c r="R17247" s="36" t="s">
        <v>48</v>
      </c>
    </row>
    <row r="17248">
      <c r="H17248" s="50"/>
      <c r="I17248" s="50"/>
      <c r="O17248" s="36" t="s">
        <v>48</v>
      </c>
      <c r="R17248" s="36" t="s">
        <v>48</v>
      </c>
    </row>
    <row r="17249">
      <c r="H17249" s="50"/>
      <c r="I17249" s="50"/>
      <c r="O17249" s="36" t="s">
        <v>48</v>
      </c>
      <c r="R17249" s="36" t="s">
        <v>48</v>
      </c>
    </row>
    <row r="17250">
      <c r="H17250" s="50"/>
      <c r="I17250" s="50"/>
      <c r="O17250" s="36" t="s">
        <v>48</v>
      </c>
      <c r="R17250" s="36" t="s">
        <v>48</v>
      </c>
    </row>
    <row r="17251">
      <c r="H17251" s="50"/>
      <c r="I17251" s="50"/>
      <c r="O17251" s="36" t="s">
        <v>48</v>
      </c>
      <c r="R17251" s="36" t="s">
        <v>48</v>
      </c>
    </row>
    <row r="17252">
      <c r="H17252" s="50"/>
      <c r="I17252" s="50"/>
      <c r="O17252" s="36" t="s">
        <v>48</v>
      </c>
      <c r="R17252" s="36" t="s">
        <v>48</v>
      </c>
    </row>
    <row r="17253">
      <c r="H17253" s="50"/>
      <c r="I17253" s="50"/>
      <c r="O17253" s="36" t="s">
        <v>48</v>
      </c>
      <c r="R17253" s="36" t="s">
        <v>48</v>
      </c>
    </row>
    <row r="17254">
      <c r="H17254" s="50"/>
      <c r="I17254" s="50"/>
      <c r="O17254" s="36" t="s">
        <v>48</v>
      </c>
      <c r="R17254" s="36" t="s">
        <v>48</v>
      </c>
    </row>
    <row r="17255">
      <c r="H17255" s="50"/>
      <c r="I17255" s="50"/>
      <c r="O17255" s="36" t="s">
        <v>48</v>
      </c>
      <c r="R17255" s="36" t="s">
        <v>48</v>
      </c>
    </row>
    <row r="17256">
      <c r="H17256" s="50"/>
      <c r="I17256" s="50"/>
      <c r="O17256" s="36" t="s">
        <v>48</v>
      </c>
      <c r="R17256" s="36" t="s">
        <v>48</v>
      </c>
    </row>
    <row r="17257">
      <c r="H17257" s="50"/>
      <c r="I17257" s="50"/>
      <c r="O17257" s="36" t="s">
        <v>48</v>
      </c>
      <c r="R17257" s="36" t="s">
        <v>48</v>
      </c>
    </row>
    <row r="17258">
      <c r="H17258" s="50"/>
      <c r="I17258" s="50"/>
      <c r="O17258" s="36" t="s">
        <v>48</v>
      </c>
      <c r="R17258" s="36" t="s">
        <v>48</v>
      </c>
    </row>
    <row r="17259">
      <c r="H17259" s="50"/>
      <c r="I17259" s="50"/>
      <c r="O17259" s="36" t="s">
        <v>48</v>
      </c>
      <c r="R17259" s="36" t="s">
        <v>48</v>
      </c>
    </row>
    <row r="17260">
      <c r="H17260" s="50"/>
      <c r="I17260" s="50"/>
      <c r="O17260" s="36" t="s">
        <v>48</v>
      </c>
      <c r="R17260" s="36" t="s">
        <v>48</v>
      </c>
    </row>
    <row r="17261">
      <c r="H17261" s="50"/>
      <c r="I17261" s="50"/>
      <c r="O17261" s="36" t="s">
        <v>48</v>
      </c>
      <c r="R17261" s="36" t="s">
        <v>48</v>
      </c>
    </row>
    <row r="17262">
      <c r="H17262" s="50"/>
      <c r="I17262" s="50"/>
      <c r="O17262" s="36" t="s">
        <v>48</v>
      </c>
      <c r="R17262" s="36" t="s">
        <v>48</v>
      </c>
    </row>
    <row r="17263">
      <c r="H17263" s="50"/>
      <c r="I17263" s="50"/>
      <c r="O17263" s="36" t="s">
        <v>48</v>
      </c>
      <c r="R17263" s="36" t="s">
        <v>48</v>
      </c>
    </row>
    <row r="17264">
      <c r="H17264" s="50"/>
      <c r="I17264" s="50"/>
      <c r="O17264" s="36" t="s">
        <v>48</v>
      </c>
      <c r="R17264" s="36" t="s">
        <v>48</v>
      </c>
    </row>
    <row r="17265">
      <c r="H17265" s="50"/>
      <c r="I17265" s="50"/>
      <c r="O17265" s="36" t="s">
        <v>48</v>
      </c>
      <c r="R17265" s="36" t="s">
        <v>48</v>
      </c>
    </row>
    <row r="17266">
      <c r="H17266" s="50"/>
      <c r="I17266" s="50"/>
      <c r="O17266" s="36" t="s">
        <v>48</v>
      </c>
      <c r="R17266" s="36" t="s">
        <v>48</v>
      </c>
    </row>
    <row r="17267">
      <c r="H17267" s="50"/>
      <c r="I17267" s="50"/>
      <c r="O17267" s="36" t="s">
        <v>48</v>
      </c>
      <c r="R17267" s="36" t="s">
        <v>48</v>
      </c>
    </row>
    <row r="17268">
      <c r="H17268" s="50"/>
      <c r="I17268" s="50"/>
      <c r="O17268" s="36" t="s">
        <v>48</v>
      </c>
      <c r="R17268" s="36" t="s">
        <v>48</v>
      </c>
    </row>
    <row r="17269">
      <c r="H17269" s="50"/>
      <c r="I17269" s="50"/>
      <c r="O17269" s="36" t="s">
        <v>48</v>
      </c>
      <c r="R17269" s="36" t="s">
        <v>48</v>
      </c>
    </row>
    <row r="17270">
      <c r="H17270" s="50"/>
      <c r="I17270" s="50"/>
      <c r="O17270" s="36" t="s">
        <v>48</v>
      </c>
      <c r="R17270" s="36" t="s">
        <v>48</v>
      </c>
    </row>
    <row r="17271">
      <c r="H17271" s="50"/>
      <c r="I17271" s="50"/>
      <c r="O17271" s="36" t="s">
        <v>48</v>
      </c>
      <c r="R17271" s="36" t="s">
        <v>48</v>
      </c>
    </row>
    <row r="17272">
      <c r="H17272" s="50"/>
      <c r="I17272" s="50"/>
      <c r="O17272" s="36" t="s">
        <v>48</v>
      </c>
      <c r="R17272" s="36" t="s">
        <v>48</v>
      </c>
    </row>
    <row r="17273">
      <c r="H17273" s="50"/>
      <c r="I17273" s="50"/>
      <c r="O17273" s="36" t="s">
        <v>48</v>
      </c>
      <c r="R17273" s="36" t="s">
        <v>48</v>
      </c>
    </row>
    <row r="17274">
      <c r="H17274" s="50"/>
      <c r="I17274" s="50"/>
      <c r="O17274" s="36" t="s">
        <v>48</v>
      </c>
      <c r="R17274" s="36" t="s">
        <v>48</v>
      </c>
    </row>
    <row r="17275">
      <c r="H17275" s="50"/>
      <c r="I17275" s="50"/>
      <c r="O17275" s="36" t="s">
        <v>48</v>
      </c>
      <c r="R17275" s="36" t="s">
        <v>48</v>
      </c>
    </row>
    <row r="17276">
      <c r="H17276" s="50"/>
      <c r="I17276" s="50"/>
      <c r="O17276" s="36" t="s">
        <v>48</v>
      </c>
      <c r="R17276" s="36" t="s">
        <v>48</v>
      </c>
    </row>
    <row r="17277">
      <c r="H17277" s="50"/>
      <c r="I17277" s="50"/>
      <c r="O17277" s="36" t="s">
        <v>48</v>
      </c>
      <c r="R17277" s="36" t="s">
        <v>48</v>
      </c>
    </row>
    <row r="17278">
      <c r="H17278" s="50"/>
      <c r="I17278" s="50"/>
      <c r="O17278" s="36" t="s">
        <v>48</v>
      </c>
      <c r="R17278" s="36" t="s">
        <v>48</v>
      </c>
    </row>
    <row r="17279">
      <c r="H17279" s="50"/>
      <c r="I17279" s="50"/>
      <c r="O17279" s="36" t="s">
        <v>48</v>
      </c>
      <c r="R17279" s="36" t="s">
        <v>48</v>
      </c>
    </row>
    <row r="17280">
      <c r="H17280" s="50"/>
      <c r="I17280" s="50"/>
      <c r="O17280" s="36" t="s">
        <v>48</v>
      </c>
      <c r="R17280" s="36" t="s">
        <v>48</v>
      </c>
    </row>
    <row r="17281">
      <c r="H17281" s="50"/>
      <c r="I17281" s="50"/>
      <c r="O17281" s="36" t="s">
        <v>48</v>
      </c>
      <c r="R17281" s="36" t="s">
        <v>48</v>
      </c>
    </row>
    <row r="17282">
      <c r="H17282" s="50"/>
      <c r="I17282" s="50"/>
      <c r="O17282" s="36" t="s">
        <v>48</v>
      </c>
      <c r="R17282" s="36" t="s">
        <v>48</v>
      </c>
    </row>
    <row r="17283">
      <c r="H17283" s="50"/>
      <c r="I17283" s="50"/>
      <c r="O17283" s="36" t="s">
        <v>48</v>
      </c>
      <c r="R17283" s="36" t="s">
        <v>48</v>
      </c>
    </row>
    <row r="17284">
      <c r="H17284" s="50"/>
      <c r="I17284" s="50"/>
      <c r="O17284" s="36" t="s">
        <v>48</v>
      </c>
      <c r="R17284" s="36" t="s">
        <v>48</v>
      </c>
    </row>
    <row r="17285">
      <c r="H17285" s="50"/>
      <c r="I17285" s="50"/>
      <c r="O17285" s="36" t="s">
        <v>48</v>
      </c>
      <c r="R17285" s="36" t="s">
        <v>48</v>
      </c>
    </row>
    <row r="17286">
      <c r="H17286" s="50"/>
      <c r="I17286" s="50"/>
      <c r="O17286" s="36" t="s">
        <v>48</v>
      </c>
      <c r="R17286" s="36" t="s">
        <v>48</v>
      </c>
    </row>
    <row r="17287">
      <c r="H17287" s="50"/>
      <c r="I17287" s="50"/>
      <c r="O17287" s="36" t="s">
        <v>48</v>
      </c>
      <c r="R17287" s="36" t="s">
        <v>48</v>
      </c>
    </row>
    <row r="17288">
      <c r="H17288" s="50"/>
      <c r="I17288" s="50"/>
      <c r="O17288" s="36" t="s">
        <v>48</v>
      </c>
      <c r="R17288" s="36" t="s">
        <v>48</v>
      </c>
    </row>
    <row r="17289">
      <c r="H17289" s="50"/>
      <c r="I17289" s="50"/>
      <c r="O17289" s="36" t="s">
        <v>48</v>
      </c>
      <c r="R17289" s="36" t="s">
        <v>48</v>
      </c>
    </row>
    <row r="17290">
      <c r="H17290" s="50"/>
      <c r="I17290" s="50"/>
      <c r="O17290" s="36" t="s">
        <v>48</v>
      </c>
      <c r="R17290" s="36" t="s">
        <v>48</v>
      </c>
    </row>
    <row r="17291">
      <c r="H17291" s="50"/>
      <c r="I17291" s="50"/>
      <c r="O17291" s="36" t="s">
        <v>48</v>
      </c>
      <c r="R17291" s="36" t="s">
        <v>48</v>
      </c>
    </row>
    <row r="17292">
      <c r="H17292" s="50"/>
      <c r="I17292" s="50"/>
      <c r="O17292" s="36" t="s">
        <v>48</v>
      </c>
      <c r="R17292" s="36" t="s">
        <v>48</v>
      </c>
    </row>
    <row r="17293">
      <c r="H17293" s="50"/>
      <c r="I17293" s="50"/>
      <c r="O17293" s="36" t="s">
        <v>48</v>
      </c>
      <c r="R17293" s="36" t="s">
        <v>48</v>
      </c>
    </row>
    <row r="17294">
      <c r="H17294" s="50"/>
      <c r="I17294" s="50"/>
      <c r="O17294" s="36" t="s">
        <v>48</v>
      </c>
      <c r="R17294" s="36" t="s">
        <v>48</v>
      </c>
    </row>
    <row r="17295">
      <c r="H17295" s="50"/>
      <c r="I17295" s="50"/>
      <c r="O17295" s="36" t="s">
        <v>48</v>
      </c>
      <c r="R17295" s="36" t="s">
        <v>48</v>
      </c>
    </row>
    <row r="17296">
      <c r="H17296" s="50"/>
      <c r="I17296" s="50"/>
      <c r="O17296" s="36" t="s">
        <v>48</v>
      </c>
      <c r="R17296" s="36" t="s">
        <v>48</v>
      </c>
    </row>
    <row r="17297">
      <c r="H17297" s="50"/>
      <c r="I17297" s="50"/>
      <c r="O17297" s="36" t="s">
        <v>48</v>
      </c>
      <c r="R17297" s="36" t="s">
        <v>48</v>
      </c>
    </row>
    <row r="17298">
      <c r="H17298" s="50"/>
      <c r="I17298" s="50"/>
      <c r="O17298" s="36" t="s">
        <v>48</v>
      </c>
      <c r="R17298" s="36" t="s">
        <v>48</v>
      </c>
    </row>
    <row r="17299">
      <c r="H17299" s="50"/>
      <c r="I17299" s="50"/>
      <c r="O17299" s="36" t="s">
        <v>48</v>
      </c>
      <c r="R17299" s="36" t="s">
        <v>48</v>
      </c>
    </row>
    <row r="17300">
      <c r="H17300" s="50"/>
      <c r="I17300" s="50"/>
      <c r="O17300" s="36" t="s">
        <v>48</v>
      </c>
      <c r="R17300" s="36" t="s">
        <v>48</v>
      </c>
    </row>
    <row r="17301">
      <c r="H17301" s="50"/>
      <c r="I17301" s="50"/>
      <c r="O17301" s="36" t="s">
        <v>48</v>
      </c>
      <c r="R17301" s="36" t="s">
        <v>48</v>
      </c>
    </row>
    <row r="17302">
      <c r="H17302" s="50"/>
      <c r="I17302" s="50"/>
      <c r="O17302" s="36" t="s">
        <v>48</v>
      </c>
      <c r="R17302" s="36" t="s">
        <v>48</v>
      </c>
    </row>
    <row r="17303">
      <c r="H17303" s="50"/>
      <c r="I17303" s="50"/>
      <c r="O17303" s="36" t="s">
        <v>48</v>
      </c>
      <c r="R17303" s="36" t="s">
        <v>48</v>
      </c>
    </row>
    <row r="17304">
      <c r="H17304" s="50"/>
      <c r="I17304" s="50"/>
      <c r="O17304" s="36" t="s">
        <v>48</v>
      </c>
      <c r="R17304" s="36" t="s">
        <v>48</v>
      </c>
    </row>
    <row r="17305">
      <c r="H17305" s="50"/>
      <c r="I17305" s="50"/>
      <c r="O17305" s="36" t="s">
        <v>48</v>
      </c>
      <c r="R17305" s="36" t="s">
        <v>48</v>
      </c>
    </row>
    <row r="17306">
      <c r="H17306" s="50"/>
      <c r="I17306" s="50"/>
      <c r="O17306" s="36" t="s">
        <v>48</v>
      </c>
      <c r="R17306" s="36" t="s">
        <v>48</v>
      </c>
    </row>
    <row r="17307">
      <c r="H17307" s="50"/>
      <c r="I17307" s="50"/>
      <c r="O17307" s="36" t="s">
        <v>48</v>
      </c>
      <c r="R17307" s="36" t="s">
        <v>48</v>
      </c>
    </row>
    <row r="17308">
      <c r="H17308" s="50"/>
      <c r="I17308" s="50"/>
      <c r="O17308" s="36" t="s">
        <v>48</v>
      </c>
      <c r="R17308" s="36" t="s">
        <v>48</v>
      </c>
    </row>
    <row r="17309">
      <c r="H17309" s="50"/>
      <c r="I17309" s="50"/>
      <c r="O17309" s="36" t="s">
        <v>48</v>
      </c>
      <c r="R17309" s="36" t="s">
        <v>48</v>
      </c>
    </row>
    <row r="17310">
      <c r="H17310" s="50"/>
      <c r="I17310" s="50"/>
      <c r="O17310" s="36" t="s">
        <v>48</v>
      </c>
      <c r="R17310" s="36" t="s">
        <v>48</v>
      </c>
    </row>
    <row r="17311">
      <c r="H17311" s="50"/>
      <c r="I17311" s="50"/>
      <c r="O17311" s="36" t="s">
        <v>48</v>
      </c>
      <c r="R17311" s="36" t="s">
        <v>48</v>
      </c>
    </row>
    <row r="17312">
      <c r="H17312" s="50"/>
      <c r="I17312" s="50"/>
      <c r="O17312" s="36" t="s">
        <v>48</v>
      </c>
      <c r="R17312" s="36" t="s">
        <v>48</v>
      </c>
    </row>
    <row r="17313">
      <c r="H17313" s="50"/>
      <c r="I17313" s="50"/>
      <c r="O17313" s="36" t="s">
        <v>48</v>
      </c>
      <c r="R17313" s="36" t="s">
        <v>48</v>
      </c>
    </row>
    <row r="17314">
      <c r="H17314" s="50"/>
      <c r="I17314" s="50"/>
      <c r="O17314" s="36" t="s">
        <v>48</v>
      </c>
      <c r="R17314" s="36" t="s">
        <v>48</v>
      </c>
    </row>
    <row r="17315">
      <c r="H17315" s="50"/>
      <c r="I17315" s="50"/>
      <c r="O17315" s="36" t="s">
        <v>48</v>
      </c>
      <c r="R17315" s="36" t="s">
        <v>48</v>
      </c>
    </row>
    <row r="17316">
      <c r="H17316" s="50"/>
      <c r="I17316" s="50"/>
      <c r="O17316" s="36" t="s">
        <v>48</v>
      </c>
      <c r="R17316" s="36" t="s">
        <v>48</v>
      </c>
    </row>
    <row r="17317">
      <c r="H17317" s="50"/>
      <c r="I17317" s="50"/>
      <c r="O17317" s="36" t="s">
        <v>48</v>
      </c>
      <c r="R17317" s="36" t="s">
        <v>48</v>
      </c>
    </row>
    <row r="17318">
      <c r="H17318" s="50"/>
      <c r="I17318" s="50"/>
      <c r="O17318" s="36" t="s">
        <v>48</v>
      </c>
      <c r="R17318" s="36" t="s">
        <v>48</v>
      </c>
    </row>
    <row r="17319">
      <c r="H17319" s="50"/>
      <c r="I17319" s="50"/>
      <c r="O17319" s="36" t="s">
        <v>48</v>
      </c>
      <c r="R17319" s="36" t="s">
        <v>48</v>
      </c>
    </row>
    <row r="17320">
      <c r="H17320" s="50"/>
      <c r="I17320" s="50"/>
      <c r="O17320" s="36" t="s">
        <v>48</v>
      </c>
      <c r="R17320" s="36" t="s">
        <v>48</v>
      </c>
    </row>
    <row r="17321">
      <c r="H17321" s="50"/>
      <c r="I17321" s="50"/>
      <c r="O17321" s="36" t="s">
        <v>48</v>
      </c>
      <c r="R17321" s="36" t="s">
        <v>48</v>
      </c>
    </row>
    <row r="17322">
      <c r="H17322" s="50"/>
      <c r="I17322" s="50"/>
      <c r="O17322" s="36" t="s">
        <v>48</v>
      </c>
      <c r="R17322" s="36" t="s">
        <v>48</v>
      </c>
    </row>
    <row r="17323">
      <c r="H17323" s="50"/>
      <c r="I17323" s="50"/>
      <c r="O17323" s="36" t="s">
        <v>48</v>
      </c>
      <c r="R17323" s="36" t="s">
        <v>48</v>
      </c>
    </row>
    <row r="17324">
      <c r="H17324" s="50"/>
      <c r="I17324" s="50"/>
      <c r="O17324" s="36" t="s">
        <v>48</v>
      </c>
      <c r="R17324" s="36" t="s">
        <v>48</v>
      </c>
    </row>
    <row r="17325">
      <c r="H17325" s="50"/>
      <c r="I17325" s="50"/>
      <c r="O17325" s="36" t="s">
        <v>48</v>
      </c>
      <c r="R17325" s="36" t="s">
        <v>48</v>
      </c>
    </row>
    <row r="17326">
      <c r="H17326" s="50"/>
      <c r="I17326" s="50"/>
      <c r="O17326" s="36" t="s">
        <v>48</v>
      </c>
      <c r="R17326" s="36" t="s">
        <v>48</v>
      </c>
    </row>
    <row r="17327">
      <c r="H17327" s="50"/>
      <c r="I17327" s="50"/>
      <c r="O17327" s="36" t="s">
        <v>48</v>
      </c>
      <c r="R17327" s="36" t="s">
        <v>48</v>
      </c>
    </row>
    <row r="17328">
      <c r="H17328" s="50"/>
      <c r="I17328" s="50"/>
      <c r="O17328" s="36" t="s">
        <v>48</v>
      </c>
      <c r="R17328" s="36" t="s">
        <v>48</v>
      </c>
    </row>
    <row r="17329">
      <c r="H17329" s="50"/>
      <c r="I17329" s="50"/>
      <c r="O17329" s="36" t="s">
        <v>48</v>
      </c>
      <c r="R17329" s="36" t="s">
        <v>48</v>
      </c>
    </row>
    <row r="17330">
      <c r="H17330" s="50"/>
      <c r="I17330" s="50"/>
      <c r="O17330" s="36" t="s">
        <v>48</v>
      </c>
      <c r="R17330" s="36" t="s">
        <v>48</v>
      </c>
    </row>
    <row r="17331">
      <c r="H17331" s="50"/>
      <c r="I17331" s="50"/>
      <c r="O17331" s="36" t="s">
        <v>48</v>
      </c>
      <c r="R17331" s="36" t="s">
        <v>48</v>
      </c>
    </row>
    <row r="17332">
      <c r="H17332" s="50"/>
      <c r="I17332" s="50"/>
      <c r="O17332" s="36" t="s">
        <v>48</v>
      </c>
      <c r="R17332" s="36" t="s">
        <v>48</v>
      </c>
    </row>
    <row r="17333">
      <c r="H17333" s="50"/>
      <c r="I17333" s="50"/>
      <c r="O17333" s="36" t="s">
        <v>48</v>
      </c>
      <c r="R17333" s="36" t="s">
        <v>48</v>
      </c>
    </row>
    <row r="17334">
      <c r="H17334" s="50"/>
      <c r="I17334" s="50"/>
      <c r="O17334" s="36" t="s">
        <v>48</v>
      </c>
      <c r="R17334" s="36" t="s">
        <v>48</v>
      </c>
    </row>
    <row r="17335">
      <c r="H17335" s="50"/>
      <c r="I17335" s="50"/>
      <c r="O17335" s="36" t="s">
        <v>48</v>
      </c>
      <c r="R17335" s="36" t="s">
        <v>48</v>
      </c>
    </row>
    <row r="17336">
      <c r="H17336" s="50"/>
      <c r="I17336" s="50"/>
      <c r="O17336" s="36" t="s">
        <v>48</v>
      </c>
      <c r="R17336" s="36" t="s">
        <v>48</v>
      </c>
    </row>
    <row r="17337">
      <c r="H17337" s="50"/>
      <c r="I17337" s="50"/>
      <c r="O17337" s="36" t="s">
        <v>48</v>
      </c>
      <c r="R17337" s="36" t="s">
        <v>48</v>
      </c>
    </row>
    <row r="17338">
      <c r="H17338" s="50"/>
      <c r="I17338" s="50"/>
      <c r="O17338" s="36" t="s">
        <v>48</v>
      </c>
      <c r="R17338" s="36" t="s">
        <v>48</v>
      </c>
    </row>
    <row r="17339">
      <c r="H17339" s="50"/>
      <c r="I17339" s="50"/>
      <c r="O17339" s="36" t="s">
        <v>48</v>
      </c>
      <c r="R17339" s="36" t="s">
        <v>48</v>
      </c>
    </row>
    <row r="17340">
      <c r="H17340" s="50"/>
      <c r="I17340" s="50"/>
      <c r="O17340" s="36" t="s">
        <v>48</v>
      </c>
      <c r="R17340" s="36" t="s">
        <v>48</v>
      </c>
    </row>
    <row r="17341">
      <c r="H17341" s="50"/>
      <c r="I17341" s="50"/>
      <c r="O17341" s="36" t="s">
        <v>48</v>
      </c>
      <c r="R17341" s="36" t="s">
        <v>48</v>
      </c>
    </row>
    <row r="17342">
      <c r="H17342" s="50"/>
      <c r="I17342" s="50"/>
      <c r="O17342" s="36" t="s">
        <v>48</v>
      </c>
      <c r="R17342" s="36" t="s">
        <v>48</v>
      </c>
    </row>
    <row r="17343">
      <c r="H17343" s="50"/>
      <c r="I17343" s="50"/>
      <c r="O17343" s="36" t="s">
        <v>48</v>
      </c>
      <c r="R17343" s="36" t="s">
        <v>48</v>
      </c>
    </row>
    <row r="17344">
      <c r="H17344" s="50"/>
      <c r="I17344" s="50"/>
      <c r="O17344" s="36" t="s">
        <v>48</v>
      </c>
      <c r="R17344" s="36" t="s">
        <v>48</v>
      </c>
    </row>
    <row r="17345">
      <c r="H17345" s="50"/>
      <c r="I17345" s="50"/>
      <c r="O17345" s="36" t="s">
        <v>48</v>
      </c>
      <c r="R17345" s="36" t="s">
        <v>48</v>
      </c>
    </row>
    <row r="17346">
      <c r="H17346" s="50"/>
      <c r="I17346" s="50"/>
      <c r="O17346" s="36" t="s">
        <v>48</v>
      </c>
      <c r="R17346" s="36" t="s">
        <v>48</v>
      </c>
    </row>
    <row r="17347">
      <c r="H17347" s="50"/>
      <c r="I17347" s="50"/>
      <c r="O17347" s="36" t="s">
        <v>48</v>
      </c>
      <c r="R17347" s="36" t="s">
        <v>48</v>
      </c>
    </row>
    <row r="17348">
      <c r="H17348" s="50"/>
      <c r="I17348" s="50"/>
      <c r="O17348" s="36" t="s">
        <v>48</v>
      </c>
      <c r="R17348" s="36" t="s">
        <v>48</v>
      </c>
    </row>
    <row r="17349">
      <c r="H17349" s="50"/>
      <c r="I17349" s="50"/>
      <c r="O17349" s="36" t="s">
        <v>48</v>
      </c>
      <c r="R17349" s="36" t="s">
        <v>48</v>
      </c>
    </row>
    <row r="17350">
      <c r="H17350" s="50"/>
      <c r="I17350" s="50"/>
      <c r="O17350" s="36" t="s">
        <v>48</v>
      </c>
      <c r="R17350" s="36" t="s">
        <v>48</v>
      </c>
    </row>
    <row r="17351">
      <c r="H17351" s="50"/>
      <c r="I17351" s="50"/>
      <c r="O17351" s="36" t="s">
        <v>48</v>
      </c>
      <c r="R17351" s="36" t="s">
        <v>48</v>
      </c>
    </row>
    <row r="17352">
      <c r="H17352" s="50"/>
      <c r="I17352" s="50"/>
      <c r="O17352" s="36" t="s">
        <v>48</v>
      </c>
      <c r="R17352" s="36" t="s">
        <v>48</v>
      </c>
    </row>
    <row r="17353">
      <c r="H17353" s="50"/>
      <c r="I17353" s="50"/>
      <c r="O17353" s="36" t="s">
        <v>48</v>
      </c>
      <c r="R17353" s="36" t="s">
        <v>48</v>
      </c>
    </row>
    <row r="17354">
      <c r="H17354" s="50"/>
      <c r="I17354" s="50"/>
      <c r="O17354" s="36" t="s">
        <v>48</v>
      </c>
      <c r="R17354" s="36" t="s">
        <v>48</v>
      </c>
    </row>
    <row r="17355">
      <c r="H17355" s="50"/>
      <c r="I17355" s="50"/>
      <c r="O17355" s="36" t="s">
        <v>48</v>
      </c>
      <c r="R17355" s="36" t="s">
        <v>48</v>
      </c>
    </row>
    <row r="17356">
      <c r="H17356" s="50"/>
      <c r="I17356" s="50"/>
      <c r="O17356" s="36" t="s">
        <v>48</v>
      </c>
      <c r="R17356" s="36" t="s">
        <v>48</v>
      </c>
    </row>
    <row r="17357">
      <c r="H17357" s="50"/>
      <c r="I17357" s="50"/>
      <c r="O17357" s="36" t="s">
        <v>48</v>
      </c>
      <c r="R17357" s="36" t="s">
        <v>48</v>
      </c>
    </row>
    <row r="17358">
      <c r="H17358" s="50"/>
      <c r="I17358" s="50"/>
      <c r="O17358" s="36" t="s">
        <v>48</v>
      </c>
      <c r="R17358" s="36" t="s">
        <v>48</v>
      </c>
    </row>
    <row r="17359">
      <c r="H17359" s="50"/>
      <c r="I17359" s="50"/>
      <c r="O17359" s="36" t="s">
        <v>48</v>
      </c>
      <c r="R17359" s="36" t="s">
        <v>48</v>
      </c>
    </row>
    <row r="17360">
      <c r="H17360" s="50"/>
      <c r="I17360" s="50"/>
      <c r="O17360" s="36" t="s">
        <v>48</v>
      </c>
      <c r="R17360" s="36" t="s">
        <v>48</v>
      </c>
    </row>
    <row r="17361">
      <c r="H17361" s="50"/>
      <c r="I17361" s="50"/>
      <c r="O17361" s="36" t="s">
        <v>48</v>
      </c>
      <c r="R17361" s="36" t="s">
        <v>48</v>
      </c>
    </row>
    <row r="17362">
      <c r="H17362" s="50"/>
      <c r="I17362" s="50"/>
      <c r="O17362" s="36" t="s">
        <v>48</v>
      </c>
      <c r="R17362" s="36" t="s">
        <v>48</v>
      </c>
    </row>
    <row r="17363">
      <c r="H17363" s="50"/>
      <c r="I17363" s="50"/>
      <c r="O17363" s="36" t="s">
        <v>48</v>
      </c>
      <c r="R17363" s="36" t="s">
        <v>48</v>
      </c>
    </row>
    <row r="17364">
      <c r="H17364" s="50"/>
      <c r="I17364" s="50"/>
      <c r="O17364" s="36" t="s">
        <v>48</v>
      </c>
      <c r="R17364" s="36" t="s">
        <v>48</v>
      </c>
    </row>
    <row r="17365">
      <c r="H17365" s="50"/>
      <c r="I17365" s="50"/>
      <c r="O17365" s="36" t="s">
        <v>48</v>
      </c>
      <c r="R17365" s="36" t="s">
        <v>48</v>
      </c>
    </row>
    <row r="17366">
      <c r="H17366" s="50"/>
      <c r="I17366" s="50"/>
      <c r="O17366" s="36" t="s">
        <v>48</v>
      </c>
      <c r="R17366" s="36" t="s">
        <v>48</v>
      </c>
    </row>
    <row r="17367">
      <c r="H17367" s="50"/>
      <c r="I17367" s="50"/>
      <c r="O17367" s="36" t="s">
        <v>48</v>
      </c>
      <c r="R17367" s="36" t="s">
        <v>48</v>
      </c>
    </row>
    <row r="17368">
      <c r="H17368" s="50"/>
      <c r="I17368" s="50"/>
      <c r="O17368" s="36" t="s">
        <v>48</v>
      </c>
      <c r="R17368" s="36" t="s">
        <v>48</v>
      </c>
    </row>
    <row r="17369">
      <c r="H17369" s="50"/>
      <c r="I17369" s="50"/>
      <c r="O17369" s="36" t="s">
        <v>48</v>
      </c>
      <c r="R17369" s="36" t="s">
        <v>48</v>
      </c>
    </row>
    <row r="17370">
      <c r="H17370" s="50"/>
      <c r="I17370" s="50"/>
      <c r="O17370" s="36" t="s">
        <v>48</v>
      </c>
      <c r="R17370" s="36" t="s">
        <v>48</v>
      </c>
    </row>
    <row r="17371">
      <c r="H17371" s="50"/>
      <c r="I17371" s="50"/>
      <c r="O17371" s="36" t="s">
        <v>48</v>
      </c>
      <c r="R17371" s="36" t="s">
        <v>48</v>
      </c>
    </row>
    <row r="17372">
      <c r="H17372" s="50"/>
      <c r="I17372" s="50"/>
      <c r="O17372" s="36" t="s">
        <v>48</v>
      </c>
      <c r="R17372" s="36" t="s">
        <v>48</v>
      </c>
    </row>
    <row r="17373">
      <c r="H17373" s="50"/>
      <c r="I17373" s="50"/>
      <c r="O17373" s="36" t="s">
        <v>48</v>
      </c>
      <c r="R17373" s="36" t="s">
        <v>48</v>
      </c>
    </row>
    <row r="17374">
      <c r="H17374" s="50"/>
      <c r="I17374" s="50"/>
      <c r="O17374" s="36" t="s">
        <v>48</v>
      </c>
      <c r="R17374" s="36" t="s">
        <v>48</v>
      </c>
    </row>
    <row r="17375">
      <c r="H17375" s="50"/>
      <c r="I17375" s="50"/>
      <c r="O17375" s="36" t="s">
        <v>48</v>
      </c>
      <c r="R17375" s="36" t="s">
        <v>48</v>
      </c>
    </row>
    <row r="17376">
      <c r="H17376" s="50"/>
      <c r="I17376" s="50"/>
      <c r="O17376" s="36" t="s">
        <v>48</v>
      </c>
      <c r="R17376" s="36" t="s">
        <v>48</v>
      </c>
    </row>
    <row r="17377">
      <c r="H17377" s="50"/>
      <c r="I17377" s="50"/>
      <c r="O17377" s="36" t="s">
        <v>48</v>
      </c>
      <c r="R17377" s="36" t="s">
        <v>48</v>
      </c>
    </row>
    <row r="17378">
      <c r="H17378" s="50"/>
      <c r="I17378" s="50"/>
      <c r="O17378" s="36" t="s">
        <v>48</v>
      </c>
      <c r="R17378" s="36" t="s">
        <v>48</v>
      </c>
    </row>
    <row r="17379">
      <c r="H17379" s="50"/>
      <c r="I17379" s="50"/>
      <c r="O17379" s="36" t="s">
        <v>48</v>
      </c>
      <c r="R17379" s="36" t="s">
        <v>48</v>
      </c>
    </row>
    <row r="17380">
      <c r="H17380" s="50"/>
      <c r="I17380" s="50"/>
      <c r="O17380" s="36" t="s">
        <v>48</v>
      </c>
      <c r="R17380" s="36" t="s">
        <v>48</v>
      </c>
    </row>
    <row r="17381">
      <c r="H17381" s="50"/>
      <c r="I17381" s="50"/>
      <c r="O17381" s="36" t="s">
        <v>48</v>
      </c>
      <c r="R17381" s="36" t="s">
        <v>48</v>
      </c>
    </row>
    <row r="17382">
      <c r="H17382" s="50"/>
      <c r="I17382" s="50"/>
      <c r="O17382" s="36" t="s">
        <v>48</v>
      </c>
      <c r="R17382" s="36" t="s">
        <v>48</v>
      </c>
    </row>
    <row r="17383">
      <c r="H17383" s="50"/>
      <c r="I17383" s="50"/>
      <c r="O17383" s="36" t="s">
        <v>48</v>
      </c>
      <c r="R17383" s="36" t="s">
        <v>48</v>
      </c>
    </row>
    <row r="17384">
      <c r="H17384" s="50"/>
      <c r="I17384" s="50"/>
      <c r="O17384" s="36" t="s">
        <v>48</v>
      </c>
      <c r="R17384" s="36" t="s">
        <v>48</v>
      </c>
    </row>
    <row r="17385">
      <c r="H17385" s="50"/>
      <c r="I17385" s="50"/>
      <c r="O17385" s="36" t="s">
        <v>48</v>
      </c>
      <c r="R17385" s="36" t="s">
        <v>48</v>
      </c>
    </row>
    <row r="17386">
      <c r="H17386" s="50"/>
      <c r="I17386" s="50"/>
      <c r="O17386" s="36" t="s">
        <v>48</v>
      </c>
      <c r="R17386" s="36" t="s">
        <v>48</v>
      </c>
    </row>
    <row r="17387">
      <c r="H17387" s="50"/>
      <c r="I17387" s="50"/>
      <c r="O17387" s="36" t="s">
        <v>48</v>
      </c>
      <c r="R17387" s="36" t="s">
        <v>48</v>
      </c>
    </row>
    <row r="17388">
      <c r="H17388" s="50"/>
      <c r="I17388" s="50"/>
      <c r="O17388" s="36" t="s">
        <v>48</v>
      </c>
      <c r="R17388" s="36" t="s">
        <v>48</v>
      </c>
    </row>
    <row r="17389">
      <c r="H17389" s="50"/>
      <c r="I17389" s="50"/>
      <c r="O17389" s="36" t="s">
        <v>48</v>
      </c>
      <c r="R17389" s="36" t="s">
        <v>48</v>
      </c>
    </row>
    <row r="17390">
      <c r="H17390" s="50"/>
      <c r="I17390" s="50"/>
      <c r="O17390" s="36" t="s">
        <v>48</v>
      </c>
      <c r="R17390" s="36" t="s">
        <v>48</v>
      </c>
    </row>
    <row r="17391">
      <c r="H17391" s="50"/>
      <c r="I17391" s="50"/>
      <c r="O17391" s="36" t="s">
        <v>48</v>
      </c>
      <c r="R17391" s="36" t="s">
        <v>48</v>
      </c>
    </row>
    <row r="17392">
      <c r="H17392" s="50"/>
      <c r="I17392" s="50"/>
      <c r="O17392" s="36" t="s">
        <v>48</v>
      </c>
      <c r="R17392" s="36" t="s">
        <v>48</v>
      </c>
    </row>
    <row r="17393">
      <c r="H17393" s="50"/>
      <c r="I17393" s="50"/>
      <c r="O17393" s="36" t="s">
        <v>48</v>
      </c>
      <c r="R17393" s="36" t="s">
        <v>48</v>
      </c>
    </row>
    <row r="17394">
      <c r="H17394" s="50"/>
      <c r="I17394" s="50"/>
      <c r="O17394" s="36" t="s">
        <v>48</v>
      </c>
      <c r="R17394" s="36" t="s">
        <v>48</v>
      </c>
    </row>
    <row r="17395">
      <c r="H17395" s="50"/>
      <c r="I17395" s="50"/>
      <c r="O17395" s="36" t="s">
        <v>48</v>
      </c>
      <c r="R17395" s="36" t="s">
        <v>48</v>
      </c>
    </row>
    <row r="17396">
      <c r="H17396" s="50"/>
      <c r="I17396" s="50"/>
      <c r="O17396" s="36" t="s">
        <v>48</v>
      </c>
      <c r="R17396" s="36" t="s">
        <v>48</v>
      </c>
    </row>
    <row r="17397">
      <c r="H17397" s="50"/>
      <c r="I17397" s="50"/>
      <c r="O17397" s="36" t="s">
        <v>48</v>
      </c>
      <c r="R17397" s="36" t="s">
        <v>48</v>
      </c>
    </row>
    <row r="17398">
      <c r="H17398" s="50"/>
      <c r="I17398" s="50"/>
      <c r="O17398" s="36" t="s">
        <v>48</v>
      </c>
      <c r="R17398" s="36" t="s">
        <v>48</v>
      </c>
    </row>
    <row r="17399">
      <c r="H17399" s="50"/>
      <c r="I17399" s="50"/>
      <c r="O17399" s="36" t="s">
        <v>48</v>
      </c>
      <c r="R17399" s="36" t="s">
        <v>48</v>
      </c>
    </row>
    <row r="17400">
      <c r="H17400" s="50"/>
      <c r="I17400" s="50"/>
      <c r="O17400" s="36" t="s">
        <v>48</v>
      </c>
      <c r="R17400" s="36" t="s">
        <v>48</v>
      </c>
    </row>
    <row r="17401">
      <c r="H17401" s="50"/>
      <c r="I17401" s="50"/>
      <c r="O17401" s="36" t="s">
        <v>48</v>
      </c>
      <c r="R17401" s="36" t="s">
        <v>48</v>
      </c>
    </row>
    <row r="17402">
      <c r="H17402" s="50"/>
      <c r="I17402" s="50"/>
      <c r="O17402" s="36" t="s">
        <v>48</v>
      </c>
      <c r="R17402" s="36" t="s">
        <v>48</v>
      </c>
    </row>
    <row r="17403">
      <c r="H17403" s="50"/>
      <c r="I17403" s="50"/>
      <c r="O17403" s="36" t="s">
        <v>48</v>
      </c>
      <c r="R17403" s="36" t="s">
        <v>48</v>
      </c>
    </row>
    <row r="17404">
      <c r="H17404" s="50"/>
      <c r="I17404" s="50"/>
      <c r="O17404" s="36" t="s">
        <v>48</v>
      </c>
      <c r="R17404" s="36" t="s">
        <v>48</v>
      </c>
    </row>
    <row r="17405">
      <c r="H17405" s="50"/>
      <c r="I17405" s="50"/>
      <c r="O17405" s="36" t="s">
        <v>48</v>
      </c>
      <c r="R17405" s="36" t="s">
        <v>48</v>
      </c>
    </row>
    <row r="17406">
      <c r="H17406" s="50"/>
      <c r="I17406" s="50"/>
      <c r="O17406" s="36" t="s">
        <v>48</v>
      </c>
      <c r="R17406" s="36" t="s">
        <v>48</v>
      </c>
    </row>
    <row r="17407">
      <c r="H17407" s="50"/>
      <c r="I17407" s="50"/>
      <c r="O17407" s="36" t="s">
        <v>48</v>
      </c>
      <c r="R17407" s="36" t="s">
        <v>48</v>
      </c>
    </row>
    <row r="17408">
      <c r="H17408" s="50"/>
      <c r="I17408" s="50"/>
      <c r="O17408" s="36" t="s">
        <v>48</v>
      </c>
      <c r="R17408" s="36" t="s">
        <v>48</v>
      </c>
    </row>
    <row r="17409">
      <c r="H17409" s="50"/>
      <c r="I17409" s="50"/>
      <c r="O17409" s="36" t="s">
        <v>48</v>
      </c>
      <c r="R17409" s="36" t="s">
        <v>48</v>
      </c>
    </row>
    <row r="17410">
      <c r="H17410" s="50"/>
      <c r="I17410" s="50"/>
      <c r="O17410" s="36" t="s">
        <v>48</v>
      </c>
      <c r="R17410" s="36" t="s">
        <v>48</v>
      </c>
    </row>
    <row r="17411">
      <c r="H17411" s="50"/>
      <c r="I17411" s="50"/>
      <c r="O17411" s="36" t="s">
        <v>48</v>
      </c>
      <c r="R17411" s="36" t="s">
        <v>48</v>
      </c>
    </row>
    <row r="17412">
      <c r="H17412" s="50"/>
      <c r="I17412" s="50"/>
      <c r="O17412" s="36" t="s">
        <v>48</v>
      </c>
      <c r="R17412" s="36" t="s">
        <v>48</v>
      </c>
    </row>
    <row r="17413">
      <c r="H17413" s="50"/>
      <c r="I17413" s="50"/>
      <c r="O17413" s="36" t="s">
        <v>48</v>
      </c>
      <c r="R17413" s="36" t="s">
        <v>48</v>
      </c>
    </row>
    <row r="17414">
      <c r="H17414" s="50"/>
      <c r="I17414" s="50"/>
      <c r="O17414" s="36" t="s">
        <v>48</v>
      </c>
      <c r="R17414" s="36" t="s">
        <v>48</v>
      </c>
    </row>
    <row r="17415">
      <c r="H17415" s="50"/>
      <c r="I17415" s="50"/>
      <c r="O17415" s="36" t="s">
        <v>48</v>
      </c>
      <c r="R17415" s="36" t="s">
        <v>48</v>
      </c>
    </row>
    <row r="17416">
      <c r="H17416" s="50"/>
      <c r="I17416" s="50"/>
      <c r="O17416" s="36" t="s">
        <v>48</v>
      </c>
      <c r="R17416" s="36" t="s">
        <v>48</v>
      </c>
    </row>
    <row r="17417">
      <c r="H17417" s="50"/>
      <c r="I17417" s="50"/>
      <c r="O17417" s="36" t="s">
        <v>48</v>
      </c>
      <c r="R17417" s="36" t="s">
        <v>48</v>
      </c>
    </row>
    <row r="17418">
      <c r="H17418" s="50"/>
      <c r="I17418" s="50"/>
      <c r="O17418" s="36" t="s">
        <v>48</v>
      </c>
      <c r="R17418" s="36" t="s">
        <v>48</v>
      </c>
    </row>
    <row r="17419">
      <c r="H17419" s="50"/>
      <c r="I17419" s="50"/>
      <c r="O17419" s="36" t="s">
        <v>48</v>
      </c>
      <c r="R17419" s="36" t="s">
        <v>48</v>
      </c>
    </row>
    <row r="17420">
      <c r="H17420" s="50"/>
      <c r="I17420" s="50"/>
      <c r="O17420" s="36" t="s">
        <v>48</v>
      </c>
      <c r="R17420" s="36" t="s">
        <v>48</v>
      </c>
    </row>
    <row r="17421">
      <c r="H17421" s="50"/>
      <c r="I17421" s="50"/>
      <c r="O17421" s="36" t="s">
        <v>48</v>
      </c>
      <c r="R17421" s="36" t="s">
        <v>48</v>
      </c>
    </row>
    <row r="17422">
      <c r="H17422" s="50"/>
      <c r="I17422" s="50"/>
      <c r="O17422" s="36" t="s">
        <v>48</v>
      </c>
      <c r="R17422" s="36" t="s">
        <v>48</v>
      </c>
    </row>
    <row r="17423">
      <c r="H17423" s="50"/>
      <c r="I17423" s="50"/>
      <c r="O17423" s="36" t="s">
        <v>48</v>
      </c>
      <c r="R17423" s="36" t="s">
        <v>48</v>
      </c>
    </row>
    <row r="17424">
      <c r="H17424" s="50"/>
      <c r="I17424" s="50"/>
      <c r="O17424" s="36" t="s">
        <v>48</v>
      </c>
      <c r="R17424" s="36" t="s">
        <v>48</v>
      </c>
    </row>
    <row r="17425">
      <c r="H17425" s="50"/>
      <c r="I17425" s="50"/>
      <c r="O17425" s="36" t="s">
        <v>48</v>
      </c>
      <c r="R17425" s="36" t="s">
        <v>48</v>
      </c>
    </row>
    <row r="17426">
      <c r="H17426" s="50"/>
      <c r="I17426" s="50"/>
      <c r="O17426" s="36" t="s">
        <v>48</v>
      </c>
      <c r="R17426" s="36" t="s">
        <v>48</v>
      </c>
    </row>
    <row r="17427">
      <c r="H17427" s="50"/>
      <c r="I17427" s="50"/>
      <c r="O17427" s="36" t="s">
        <v>48</v>
      </c>
      <c r="R17427" s="36" t="s">
        <v>48</v>
      </c>
    </row>
    <row r="17428">
      <c r="H17428" s="50"/>
      <c r="I17428" s="50"/>
      <c r="O17428" s="36" t="s">
        <v>48</v>
      </c>
      <c r="R17428" s="36" t="s">
        <v>48</v>
      </c>
    </row>
    <row r="17429">
      <c r="H17429" s="50"/>
      <c r="I17429" s="50"/>
      <c r="O17429" s="36" t="s">
        <v>48</v>
      </c>
      <c r="R17429" s="36" t="s">
        <v>48</v>
      </c>
    </row>
    <row r="17430">
      <c r="H17430" s="50"/>
      <c r="I17430" s="50"/>
      <c r="O17430" s="36" t="s">
        <v>48</v>
      </c>
      <c r="R17430" s="36" t="s">
        <v>48</v>
      </c>
    </row>
    <row r="17431">
      <c r="H17431" s="50"/>
      <c r="I17431" s="50"/>
      <c r="O17431" s="36" t="s">
        <v>48</v>
      </c>
      <c r="R17431" s="36" t="s">
        <v>48</v>
      </c>
    </row>
    <row r="17432">
      <c r="H17432" s="50"/>
      <c r="I17432" s="50"/>
      <c r="O17432" s="36" t="s">
        <v>48</v>
      </c>
      <c r="R17432" s="36" t="s">
        <v>48</v>
      </c>
    </row>
    <row r="17433">
      <c r="H17433" s="50"/>
      <c r="I17433" s="50"/>
      <c r="O17433" s="36" t="s">
        <v>48</v>
      </c>
      <c r="R17433" s="36" t="s">
        <v>48</v>
      </c>
    </row>
    <row r="17434">
      <c r="H17434" s="50"/>
      <c r="I17434" s="50"/>
      <c r="O17434" s="36" t="s">
        <v>48</v>
      </c>
      <c r="R17434" s="36" t="s">
        <v>48</v>
      </c>
    </row>
    <row r="17435">
      <c r="H17435" s="50"/>
      <c r="I17435" s="50"/>
      <c r="O17435" s="36" t="s">
        <v>48</v>
      </c>
      <c r="R17435" s="36" t="s">
        <v>48</v>
      </c>
    </row>
    <row r="17436">
      <c r="H17436" s="50"/>
      <c r="I17436" s="50"/>
      <c r="O17436" s="36" t="s">
        <v>48</v>
      </c>
      <c r="R17436" s="36" t="s">
        <v>48</v>
      </c>
    </row>
    <row r="17437">
      <c r="H17437" s="50"/>
      <c r="I17437" s="50"/>
      <c r="O17437" s="36" t="s">
        <v>48</v>
      </c>
      <c r="R17437" s="36" t="s">
        <v>48</v>
      </c>
    </row>
    <row r="17438">
      <c r="H17438" s="50"/>
      <c r="I17438" s="50"/>
      <c r="O17438" s="36" t="s">
        <v>48</v>
      </c>
      <c r="R17438" s="36" t="s">
        <v>48</v>
      </c>
    </row>
    <row r="17439">
      <c r="H17439" s="50"/>
      <c r="I17439" s="50"/>
      <c r="O17439" s="36" t="s">
        <v>48</v>
      </c>
      <c r="R17439" s="36" t="s">
        <v>48</v>
      </c>
    </row>
    <row r="17440">
      <c r="H17440" s="50"/>
      <c r="I17440" s="50"/>
      <c r="O17440" s="36" t="s">
        <v>48</v>
      </c>
      <c r="R17440" s="36" t="s">
        <v>48</v>
      </c>
    </row>
    <row r="17441">
      <c r="H17441" s="50"/>
      <c r="I17441" s="50"/>
      <c r="O17441" s="36" t="s">
        <v>48</v>
      </c>
      <c r="R17441" s="36" t="s">
        <v>48</v>
      </c>
    </row>
    <row r="17442">
      <c r="H17442" s="50"/>
      <c r="I17442" s="50"/>
      <c r="O17442" s="36" t="s">
        <v>48</v>
      </c>
      <c r="R17442" s="36" t="s">
        <v>48</v>
      </c>
    </row>
    <row r="17443">
      <c r="H17443" s="50"/>
      <c r="I17443" s="50"/>
      <c r="O17443" s="36" t="s">
        <v>48</v>
      </c>
      <c r="R17443" s="36" t="s">
        <v>48</v>
      </c>
    </row>
    <row r="17444">
      <c r="H17444" s="50"/>
      <c r="I17444" s="50"/>
      <c r="O17444" s="36" t="s">
        <v>48</v>
      </c>
      <c r="R17444" s="36" t="s">
        <v>48</v>
      </c>
    </row>
    <row r="17445">
      <c r="H17445" s="50"/>
      <c r="I17445" s="50"/>
      <c r="O17445" s="36" t="s">
        <v>48</v>
      </c>
      <c r="R17445" s="36" t="s">
        <v>48</v>
      </c>
    </row>
    <row r="17446">
      <c r="H17446" s="50"/>
      <c r="I17446" s="50"/>
      <c r="O17446" s="36" t="s">
        <v>48</v>
      </c>
      <c r="R17446" s="36" t="s">
        <v>48</v>
      </c>
    </row>
    <row r="17447">
      <c r="H17447" s="50"/>
      <c r="I17447" s="50"/>
      <c r="O17447" s="36" t="s">
        <v>48</v>
      </c>
      <c r="R17447" s="36" t="s">
        <v>48</v>
      </c>
    </row>
    <row r="17448">
      <c r="H17448" s="50"/>
      <c r="I17448" s="50"/>
      <c r="O17448" s="36" t="s">
        <v>48</v>
      </c>
      <c r="R17448" s="36" t="s">
        <v>48</v>
      </c>
    </row>
    <row r="17449">
      <c r="H17449" s="50"/>
      <c r="I17449" s="50"/>
      <c r="O17449" s="36" t="s">
        <v>48</v>
      </c>
      <c r="R17449" s="36" t="s">
        <v>48</v>
      </c>
    </row>
    <row r="17450">
      <c r="H17450" s="50"/>
      <c r="I17450" s="50"/>
      <c r="O17450" s="36" t="s">
        <v>48</v>
      </c>
      <c r="R17450" s="36" t="s">
        <v>48</v>
      </c>
    </row>
    <row r="17451">
      <c r="H17451" s="50"/>
      <c r="I17451" s="50"/>
      <c r="O17451" s="36" t="s">
        <v>48</v>
      </c>
      <c r="R17451" s="36" t="s">
        <v>48</v>
      </c>
    </row>
    <row r="17452">
      <c r="H17452" s="50"/>
      <c r="I17452" s="50"/>
      <c r="O17452" s="36" t="s">
        <v>48</v>
      </c>
      <c r="R17452" s="36" t="s">
        <v>48</v>
      </c>
    </row>
    <row r="17453">
      <c r="H17453" s="50"/>
      <c r="I17453" s="50"/>
      <c r="O17453" s="36" t="s">
        <v>48</v>
      </c>
      <c r="R17453" s="36" t="s">
        <v>48</v>
      </c>
    </row>
    <row r="17454">
      <c r="H17454" s="50"/>
      <c r="I17454" s="50"/>
      <c r="O17454" s="36" t="s">
        <v>48</v>
      </c>
      <c r="R17454" s="36" t="s">
        <v>48</v>
      </c>
    </row>
    <row r="17455">
      <c r="H17455" s="50"/>
      <c r="I17455" s="50"/>
      <c r="O17455" s="36" t="s">
        <v>48</v>
      </c>
      <c r="R17455" s="36" t="s">
        <v>48</v>
      </c>
    </row>
    <row r="17456">
      <c r="H17456" s="50"/>
      <c r="I17456" s="50"/>
      <c r="O17456" s="36" t="s">
        <v>48</v>
      </c>
      <c r="R17456" s="36" t="s">
        <v>48</v>
      </c>
    </row>
    <row r="17457">
      <c r="H17457" s="50"/>
      <c r="I17457" s="50"/>
      <c r="O17457" s="36" t="s">
        <v>48</v>
      </c>
      <c r="R17457" s="36" t="s">
        <v>48</v>
      </c>
    </row>
    <row r="17458">
      <c r="H17458" s="50"/>
      <c r="I17458" s="50"/>
      <c r="O17458" s="36" t="s">
        <v>48</v>
      </c>
      <c r="R17458" s="36" t="s">
        <v>48</v>
      </c>
    </row>
    <row r="17459">
      <c r="H17459" s="50"/>
      <c r="I17459" s="50"/>
      <c r="O17459" s="36" t="s">
        <v>48</v>
      </c>
      <c r="R17459" s="36" t="s">
        <v>48</v>
      </c>
    </row>
    <row r="17460">
      <c r="H17460" s="50"/>
      <c r="I17460" s="50"/>
      <c r="O17460" s="36" t="s">
        <v>48</v>
      </c>
      <c r="R17460" s="36" t="s">
        <v>48</v>
      </c>
    </row>
    <row r="17461">
      <c r="H17461" s="50"/>
      <c r="I17461" s="50"/>
      <c r="O17461" s="36" t="s">
        <v>48</v>
      </c>
      <c r="R17461" s="36" t="s">
        <v>48</v>
      </c>
    </row>
    <row r="17462">
      <c r="H17462" s="50"/>
      <c r="I17462" s="50"/>
      <c r="O17462" s="36" t="s">
        <v>48</v>
      </c>
      <c r="R17462" s="36" t="s">
        <v>48</v>
      </c>
    </row>
    <row r="17463">
      <c r="H17463" s="50"/>
      <c r="I17463" s="50"/>
      <c r="O17463" s="36" t="s">
        <v>48</v>
      </c>
      <c r="R17463" s="36" t="s">
        <v>48</v>
      </c>
    </row>
    <row r="17464">
      <c r="H17464" s="50"/>
      <c r="I17464" s="50"/>
      <c r="O17464" s="36" t="s">
        <v>48</v>
      </c>
      <c r="R17464" s="36" t="s">
        <v>48</v>
      </c>
    </row>
    <row r="17465">
      <c r="H17465" s="50"/>
      <c r="I17465" s="50"/>
      <c r="O17465" s="36" t="s">
        <v>48</v>
      </c>
      <c r="R17465" s="36" t="s">
        <v>48</v>
      </c>
    </row>
    <row r="17466">
      <c r="H17466" s="50"/>
      <c r="I17466" s="50"/>
      <c r="O17466" s="36" t="s">
        <v>48</v>
      </c>
      <c r="R17466" s="36" t="s">
        <v>48</v>
      </c>
    </row>
    <row r="17467">
      <c r="H17467" s="50"/>
      <c r="I17467" s="50"/>
      <c r="O17467" s="36" t="s">
        <v>48</v>
      </c>
      <c r="R17467" s="36" t="s">
        <v>48</v>
      </c>
    </row>
    <row r="17468">
      <c r="H17468" s="50"/>
      <c r="I17468" s="50"/>
      <c r="O17468" s="36" t="s">
        <v>48</v>
      </c>
      <c r="R17468" s="36" t="s">
        <v>48</v>
      </c>
    </row>
    <row r="17469">
      <c r="H17469" s="50"/>
      <c r="I17469" s="50"/>
      <c r="O17469" s="36" t="s">
        <v>48</v>
      </c>
      <c r="R17469" s="36" t="s">
        <v>48</v>
      </c>
    </row>
    <row r="17470">
      <c r="H17470" s="50"/>
      <c r="I17470" s="50"/>
      <c r="O17470" s="36" t="s">
        <v>48</v>
      </c>
      <c r="R17470" s="36" t="s">
        <v>48</v>
      </c>
    </row>
    <row r="17471">
      <c r="H17471" s="50"/>
      <c r="I17471" s="50"/>
      <c r="O17471" s="36" t="s">
        <v>48</v>
      </c>
      <c r="R17471" s="36" t="s">
        <v>48</v>
      </c>
    </row>
    <row r="17472">
      <c r="H17472" s="50"/>
      <c r="I17472" s="50"/>
      <c r="O17472" s="36" t="s">
        <v>48</v>
      </c>
      <c r="R17472" s="36" t="s">
        <v>48</v>
      </c>
    </row>
    <row r="17473">
      <c r="H17473" s="50"/>
      <c r="I17473" s="50"/>
      <c r="O17473" s="36" t="s">
        <v>48</v>
      </c>
      <c r="R17473" s="36" t="s">
        <v>48</v>
      </c>
    </row>
    <row r="17474">
      <c r="H17474" s="50"/>
      <c r="I17474" s="50"/>
      <c r="O17474" s="36" t="s">
        <v>48</v>
      </c>
      <c r="R17474" s="36" t="s">
        <v>48</v>
      </c>
    </row>
    <row r="17475">
      <c r="H17475" s="50"/>
      <c r="I17475" s="50"/>
      <c r="O17475" s="36" t="s">
        <v>48</v>
      </c>
      <c r="R17475" s="36" t="s">
        <v>48</v>
      </c>
    </row>
    <row r="17476">
      <c r="H17476" s="50"/>
      <c r="I17476" s="50"/>
      <c r="O17476" s="36" t="s">
        <v>48</v>
      </c>
      <c r="R17476" s="36" t="s">
        <v>48</v>
      </c>
    </row>
    <row r="17477">
      <c r="H17477" s="50"/>
      <c r="I17477" s="50"/>
      <c r="O17477" s="36" t="s">
        <v>48</v>
      </c>
      <c r="R17477" s="36" t="s">
        <v>48</v>
      </c>
    </row>
    <row r="17478">
      <c r="H17478" s="50"/>
      <c r="I17478" s="50"/>
      <c r="O17478" s="36" t="s">
        <v>48</v>
      </c>
      <c r="R17478" s="36" t="s">
        <v>48</v>
      </c>
    </row>
    <row r="17479">
      <c r="H17479" s="50"/>
      <c r="I17479" s="50"/>
      <c r="O17479" s="36" t="s">
        <v>48</v>
      </c>
      <c r="R17479" s="36" t="s">
        <v>48</v>
      </c>
    </row>
    <row r="17480">
      <c r="H17480" s="50"/>
      <c r="I17480" s="50"/>
      <c r="O17480" s="36" t="s">
        <v>48</v>
      </c>
      <c r="R17480" s="36" t="s">
        <v>48</v>
      </c>
    </row>
    <row r="17481">
      <c r="H17481" s="50"/>
      <c r="I17481" s="50"/>
      <c r="O17481" s="36" t="s">
        <v>48</v>
      </c>
      <c r="R17481" s="36" t="s">
        <v>48</v>
      </c>
    </row>
    <row r="17482">
      <c r="H17482" s="50"/>
      <c r="I17482" s="50"/>
      <c r="O17482" s="36" t="s">
        <v>48</v>
      </c>
      <c r="R17482" s="36" t="s">
        <v>48</v>
      </c>
    </row>
    <row r="17483">
      <c r="H17483" s="50"/>
      <c r="I17483" s="50"/>
      <c r="O17483" s="36" t="s">
        <v>48</v>
      </c>
      <c r="R17483" s="36" t="s">
        <v>48</v>
      </c>
    </row>
    <row r="17484">
      <c r="H17484" s="50"/>
      <c r="I17484" s="50"/>
      <c r="O17484" s="36" t="s">
        <v>48</v>
      </c>
      <c r="R17484" s="36" t="s">
        <v>48</v>
      </c>
    </row>
    <row r="17485">
      <c r="H17485" s="50"/>
      <c r="I17485" s="50"/>
      <c r="O17485" s="36" t="s">
        <v>48</v>
      </c>
      <c r="R17485" s="36" t="s">
        <v>48</v>
      </c>
    </row>
    <row r="17486">
      <c r="H17486" s="50"/>
      <c r="I17486" s="50"/>
      <c r="O17486" s="36" t="s">
        <v>48</v>
      </c>
      <c r="R17486" s="36" t="s">
        <v>48</v>
      </c>
    </row>
    <row r="17487">
      <c r="H17487" s="50"/>
      <c r="I17487" s="50"/>
      <c r="O17487" s="36" t="s">
        <v>48</v>
      </c>
      <c r="R17487" s="36" t="s">
        <v>48</v>
      </c>
    </row>
    <row r="17488">
      <c r="H17488" s="50"/>
      <c r="I17488" s="50"/>
      <c r="O17488" s="36" t="s">
        <v>48</v>
      </c>
      <c r="R17488" s="36" t="s">
        <v>48</v>
      </c>
    </row>
    <row r="17489">
      <c r="H17489" s="50"/>
      <c r="I17489" s="50"/>
      <c r="O17489" s="36" t="s">
        <v>48</v>
      </c>
      <c r="R17489" s="36" t="s">
        <v>48</v>
      </c>
    </row>
    <row r="17490">
      <c r="H17490" s="50"/>
      <c r="I17490" s="50"/>
      <c r="O17490" s="36" t="s">
        <v>48</v>
      </c>
      <c r="R17490" s="36" t="s">
        <v>48</v>
      </c>
    </row>
    <row r="17491">
      <c r="H17491" s="50"/>
      <c r="I17491" s="50"/>
      <c r="O17491" s="36" t="s">
        <v>48</v>
      </c>
      <c r="R17491" s="36" t="s">
        <v>48</v>
      </c>
    </row>
    <row r="17492">
      <c r="H17492" s="50"/>
      <c r="I17492" s="50"/>
      <c r="O17492" s="36" t="s">
        <v>48</v>
      </c>
      <c r="R17492" s="36" t="s">
        <v>48</v>
      </c>
    </row>
    <row r="17493">
      <c r="H17493" s="50"/>
      <c r="I17493" s="50"/>
      <c r="O17493" s="36" t="s">
        <v>48</v>
      </c>
      <c r="R17493" s="36" t="s">
        <v>48</v>
      </c>
    </row>
    <row r="17494">
      <c r="H17494" s="50"/>
      <c r="I17494" s="50"/>
      <c r="O17494" s="36" t="s">
        <v>48</v>
      </c>
      <c r="R17494" s="36" t="s">
        <v>48</v>
      </c>
    </row>
    <row r="17495">
      <c r="H17495" s="50"/>
      <c r="I17495" s="50"/>
      <c r="O17495" s="36" t="s">
        <v>48</v>
      </c>
      <c r="R17495" s="36" t="s">
        <v>48</v>
      </c>
    </row>
    <row r="17496">
      <c r="H17496" s="50"/>
      <c r="I17496" s="50"/>
      <c r="O17496" s="36" t="s">
        <v>48</v>
      </c>
      <c r="R17496" s="36" t="s">
        <v>48</v>
      </c>
    </row>
    <row r="17497">
      <c r="H17497" s="50"/>
      <c r="I17497" s="50"/>
      <c r="O17497" s="36" t="s">
        <v>48</v>
      </c>
      <c r="R17497" s="36" t="s">
        <v>48</v>
      </c>
    </row>
    <row r="17498">
      <c r="H17498" s="50"/>
      <c r="I17498" s="50"/>
      <c r="O17498" s="36" t="s">
        <v>48</v>
      </c>
      <c r="R17498" s="36" t="s">
        <v>48</v>
      </c>
    </row>
    <row r="17499">
      <c r="H17499" s="50"/>
      <c r="I17499" s="50"/>
      <c r="O17499" s="36" t="s">
        <v>48</v>
      </c>
      <c r="R17499" s="36" t="s">
        <v>48</v>
      </c>
    </row>
    <row r="17500">
      <c r="H17500" s="50"/>
      <c r="I17500" s="50"/>
      <c r="O17500" s="36" t="s">
        <v>48</v>
      </c>
      <c r="R17500" s="36" t="s">
        <v>48</v>
      </c>
    </row>
    <row r="17501">
      <c r="H17501" s="50"/>
      <c r="I17501" s="50"/>
      <c r="O17501" s="36" t="s">
        <v>48</v>
      </c>
      <c r="R17501" s="36" t="s">
        <v>48</v>
      </c>
    </row>
    <row r="17502">
      <c r="H17502" s="50"/>
      <c r="I17502" s="50"/>
      <c r="O17502" s="36" t="s">
        <v>48</v>
      </c>
      <c r="R17502" s="36" t="s">
        <v>48</v>
      </c>
    </row>
    <row r="17503">
      <c r="H17503" s="50"/>
      <c r="I17503" s="50"/>
      <c r="O17503" s="36" t="s">
        <v>48</v>
      </c>
      <c r="R17503" s="36" t="s">
        <v>48</v>
      </c>
    </row>
    <row r="17504">
      <c r="H17504" s="50"/>
      <c r="I17504" s="50"/>
      <c r="O17504" s="36" t="s">
        <v>48</v>
      </c>
      <c r="R17504" s="36" t="s">
        <v>48</v>
      </c>
    </row>
    <row r="17505">
      <c r="H17505" s="50"/>
      <c r="I17505" s="50"/>
      <c r="O17505" s="36" t="s">
        <v>48</v>
      </c>
      <c r="R17505" s="36" t="s">
        <v>48</v>
      </c>
    </row>
    <row r="17506">
      <c r="H17506" s="50"/>
      <c r="I17506" s="50"/>
      <c r="O17506" s="36" t="s">
        <v>48</v>
      </c>
      <c r="R17506" s="36" t="s">
        <v>48</v>
      </c>
    </row>
    <row r="17507">
      <c r="H17507" s="50"/>
      <c r="I17507" s="50"/>
      <c r="O17507" s="36" t="s">
        <v>48</v>
      </c>
      <c r="R17507" s="36" t="s">
        <v>48</v>
      </c>
    </row>
    <row r="17508">
      <c r="H17508" s="50"/>
      <c r="I17508" s="50"/>
      <c r="O17508" s="36" t="s">
        <v>48</v>
      </c>
      <c r="R17508" s="36" t="s">
        <v>48</v>
      </c>
    </row>
    <row r="17509">
      <c r="H17509" s="50"/>
      <c r="I17509" s="50"/>
      <c r="O17509" s="36" t="s">
        <v>48</v>
      </c>
      <c r="R17509" s="36" t="s">
        <v>48</v>
      </c>
    </row>
    <row r="17510">
      <c r="H17510" s="50"/>
      <c r="I17510" s="50"/>
      <c r="O17510" s="36" t="s">
        <v>48</v>
      </c>
      <c r="R17510" s="36" t="s">
        <v>48</v>
      </c>
    </row>
    <row r="17511">
      <c r="H17511" s="50"/>
      <c r="I17511" s="50"/>
      <c r="O17511" s="36" t="s">
        <v>48</v>
      </c>
      <c r="R17511" s="36" t="s">
        <v>48</v>
      </c>
    </row>
    <row r="17512">
      <c r="H17512" s="50"/>
      <c r="I17512" s="50"/>
      <c r="O17512" s="36" t="s">
        <v>48</v>
      </c>
      <c r="R17512" s="36" t="s">
        <v>48</v>
      </c>
    </row>
    <row r="17513">
      <c r="H17513" s="50"/>
      <c r="I17513" s="50"/>
      <c r="O17513" s="36" t="s">
        <v>48</v>
      </c>
      <c r="R17513" s="36" t="s">
        <v>48</v>
      </c>
    </row>
    <row r="17514">
      <c r="H17514" s="50"/>
      <c r="I17514" s="50"/>
      <c r="O17514" s="36" t="s">
        <v>48</v>
      </c>
      <c r="R17514" s="36" t="s">
        <v>48</v>
      </c>
    </row>
    <row r="17515">
      <c r="H17515" s="50"/>
      <c r="I17515" s="50"/>
      <c r="O17515" s="36" t="s">
        <v>48</v>
      </c>
      <c r="R17515" s="36" t="s">
        <v>48</v>
      </c>
    </row>
    <row r="17516">
      <c r="H17516" s="50"/>
      <c r="I17516" s="50"/>
      <c r="O17516" s="36" t="s">
        <v>48</v>
      </c>
      <c r="R17516" s="36" t="s">
        <v>48</v>
      </c>
    </row>
    <row r="17517">
      <c r="H17517" s="50"/>
      <c r="I17517" s="50"/>
      <c r="O17517" s="36" t="s">
        <v>48</v>
      </c>
      <c r="R17517" s="36" t="s">
        <v>48</v>
      </c>
    </row>
    <row r="17518">
      <c r="H17518" s="50"/>
      <c r="I17518" s="50"/>
      <c r="O17518" s="36" t="s">
        <v>48</v>
      </c>
      <c r="R17518" s="36" t="s">
        <v>48</v>
      </c>
    </row>
    <row r="17519">
      <c r="H17519" s="50"/>
      <c r="I17519" s="50"/>
      <c r="O17519" s="36" t="s">
        <v>48</v>
      </c>
      <c r="R17519" s="36" t="s">
        <v>48</v>
      </c>
    </row>
    <row r="17520">
      <c r="H17520" s="50"/>
      <c r="I17520" s="50"/>
      <c r="O17520" s="36" t="s">
        <v>48</v>
      </c>
      <c r="R17520" s="36" t="s">
        <v>48</v>
      </c>
    </row>
    <row r="17521">
      <c r="H17521" s="50"/>
      <c r="I17521" s="50"/>
      <c r="O17521" s="36" t="s">
        <v>48</v>
      </c>
      <c r="R17521" s="36" t="s">
        <v>48</v>
      </c>
    </row>
    <row r="17522">
      <c r="H17522" s="50"/>
      <c r="I17522" s="50"/>
      <c r="O17522" s="36" t="s">
        <v>48</v>
      </c>
      <c r="R17522" s="36" t="s">
        <v>48</v>
      </c>
    </row>
    <row r="17523">
      <c r="H17523" s="50"/>
      <c r="I17523" s="50"/>
      <c r="O17523" s="36" t="s">
        <v>48</v>
      </c>
      <c r="R17523" s="36" t="s">
        <v>48</v>
      </c>
    </row>
    <row r="17524">
      <c r="H17524" s="50"/>
      <c r="I17524" s="50"/>
      <c r="O17524" s="36" t="s">
        <v>48</v>
      </c>
      <c r="R17524" s="36" t="s">
        <v>48</v>
      </c>
    </row>
    <row r="17525">
      <c r="H17525" s="50"/>
      <c r="I17525" s="50"/>
      <c r="O17525" s="36" t="s">
        <v>48</v>
      </c>
      <c r="R17525" s="36" t="s">
        <v>48</v>
      </c>
    </row>
    <row r="17526">
      <c r="H17526" s="50"/>
      <c r="I17526" s="50"/>
      <c r="O17526" s="36" t="s">
        <v>48</v>
      </c>
      <c r="R17526" s="36" t="s">
        <v>48</v>
      </c>
    </row>
    <row r="17527">
      <c r="H17527" s="50"/>
      <c r="I17527" s="50"/>
      <c r="O17527" s="36" t="s">
        <v>48</v>
      </c>
      <c r="R17527" s="36" t="s">
        <v>48</v>
      </c>
    </row>
    <row r="17528">
      <c r="H17528" s="50"/>
      <c r="I17528" s="50"/>
      <c r="O17528" s="36" t="s">
        <v>48</v>
      </c>
      <c r="R17528" s="36" t="s">
        <v>48</v>
      </c>
    </row>
    <row r="17529">
      <c r="H17529" s="50"/>
      <c r="I17529" s="50"/>
      <c r="O17529" s="36" t="s">
        <v>48</v>
      </c>
      <c r="R17529" s="36" t="s">
        <v>48</v>
      </c>
    </row>
    <row r="17530">
      <c r="H17530" s="50"/>
      <c r="I17530" s="50"/>
      <c r="O17530" s="36" t="s">
        <v>48</v>
      </c>
      <c r="R17530" s="36" t="s">
        <v>48</v>
      </c>
    </row>
    <row r="17531">
      <c r="H17531" s="50"/>
      <c r="I17531" s="50"/>
      <c r="O17531" s="36" t="s">
        <v>48</v>
      </c>
      <c r="R17531" s="36" t="s">
        <v>48</v>
      </c>
    </row>
    <row r="17532">
      <c r="H17532" s="50"/>
      <c r="I17532" s="50"/>
      <c r="O17532" s="36" t="s">
        <v>48</v>
      </c>
      <c r="R17532" s="36" t="s">
        <v>48</v>
      </c>
    </row>
    <row r="17533">
      <c r="H17533" s="50"/>
      <c r="I17533" s="50"/>
      <c r="O17533" s="36" t="s">
        <v>48</v>
      </c>
      <c r="R17533" s="36" t="s">
        <v>48</v>
      </c>
    </row>
    <row r="17534">
      <c r="H17534" s="50"/>
      <c r="I17534" s="50"/>
      <c r="O17534" s="36" t="s">
        <v>48</v>
      </c>
      <c r="R17534" s="36" t="s">
        <v>48</v>
      </c>
    </row>
    <row r="17535">
      <c r="H17535" s="50"/>
      <c r="I17535" s="50"/>
      <c r="O17535" s="36" t="s">
        <v>48</v>
      </c>
      <c r="R17535" s="36" t="s">
        <v>48</v>
      </c>
    </row>
    <row r="17536">
      <c r="H17536" s="50"/>
      <c r="I17536" s="50"/>
      <c r="O17536" s="36" t="s">
        <v>48</v>
      </c>
      <c r="R17536" s="36" t="s">
        <v>48</v>
      </c>
    </row>
    <row r="17537">
      <c r="H17537" s="50"/>
      <c r="I17537" s="50"/>
      <c r="O17537" s="36" t="s">
        <v>48</v>
      </c>
      <c r="R17537" s="36" t="s">
        <v>48</v>
      </c>
    </row>
    <row r="17538">
      <c r="H17538" s="50"/>
      <c r="I17538" s="50"/>
      <c r="O17538" s="36" t="s">
        <v>48</v>
      </c>
      <c r="R17538" s="36" t="s">
        <v>48</v>
      </c>
    </row>
    <row r="17539">
      <c r="H17539" s="50"/>
      <c r="I17539" s="50"/>
      <c r="O17539" s="36" t="s">
        <v>48</v>
      </c>
      <c r="R17539" s="36" t="s">
        <v>48</v>
      </c>
    </row>
    <row r="17540">
      <c r="H17540" s="50"/>
      <c r="I17540" s="50"/>
      <c r="O17540" s="36" t="s">
        <v>48</v>
      </c>
      <c r="R17540" s="36" t="s">
        <v>48</v>
      </c>
    </row>
    <row r="17541">
      <c r="H17541" s="50"/>
      <c r="I17541" s="50"/>
      <c r="O17541" s="36" t="s">
        <v>48</v>
      </c>
      <c r="R17541" s="36" t="s">
        <v>48</v>
      </c>
    </row>
    <row r="17542">
      <c r="H17542" s="50"/>
      <c r="I17542" s="50"/>
      <c r="O17542" s="36" t="s">
        <v>48</v>
      </c>
      <c r="R17542" s="36" t="s">
        <v>48</v>
      </c>
    </row>
    <row r="17543">
      <c r="H17543" s="50"/>
      <c r="I17543" s="50"/>
      <c r="O17543" s="36" t="s">
        <v>48</v>
      </c>
      <c r="R17543" s="36" t="s">
        <v>48</v>
      </c>
    </row>
    <row r="17544">
      <c r="H17544" s="50"/>
      <c r="I17544" s="50"/>
      <c r="O17544" s="36" t="s">
        <v>48</v>
      </c>
      <c r="R17544" s="36" t="s">
        <v>48</v>
      </c>
    </row>
    <row r="17545">
      <c r="H17545" s="50"/>
      <c r="I17545" s="50"/>
      <c r="O17545" s="36" t="s">
        <v>48</v>
      </c>
      <c r="R17545" s="36" t="s">
        <v>48</v>
      </c>
    </row>
    <row r="17546">
      <c r="H17546" s="50"/>
      <c r="I17546" s="50"/>
      <c r="O17546" s="36" t="s">
        <v>48</v>
      </c>
      <c r="R17546" s="36" t="s">
        <v>48</v>
      </c>
    </row>
    <row r="17547">
      <c r="H17547" s="50"/>
      <c r="I17547" s="50"/>
      <c r="O17547" s="36" t="s">
        <v>48</v>
      </c>
      <c r="R17547" s="36" t="s">
        <v>48</v>
      </c>
    </row>
    <row r="17548">
      <c r="H17548" s="50"/>
      <c r="I17548" s="50"/>
      <c r="O17548" s="36" t="s">
        <v>48</v>
      </c>
      <c r="R17548" s="36" t="s">
        <v>48</v>
      </c>
    </row>
    <row r="17549">
      <c r="H17549" s="50"/>
      <c r="I17549" s="50"/>
      <c r="O17549" s="36" t="s">
        <v>48</v>
      </c>
      <c r="R17549" s="36" t="s">
        <v>48</v>
      </c>
    </row>
    <row r="17550">
      <c r="H17550" s="50"/>
      <c r="I17550" s="50"/>
      <c r="O17550" s="36" t="s">
        <v>48</v>
      </c>
      <c r="R17550" s="36" t="s">
        <v>48</v>
      </c>
    </row>
    <row r="17551">
      <c r="H17551" s="50"/>
      <c r="I17551" s="50"/>
      <c r="O17551" s="36" t="s">
        <v>48</v>
      </c>
      <c r="R17551" s="36" t="s">
        <v>48</v>
      </c>
    </row>
    <row r="17552">
      <c r="H17552" s="50"/>
      <c r="I17552" s="50"/>
      <c r="O17552" s="36" t="s">
        <v>48</v>
      </c>
      <c r="R17552" s="36" t="s">
        <v>48</v>
      </c>
    </row>
    <row r="17553">
      <c r="H17553" s="50"/>
      <c r="I17553" s="50"/>
      <c r="O17553" s="36" t="s">
        <v>48</v>
      </c>
      <c r="R17553" s="36" t="s">
        <v>48</v>
      </c>
    </row>
    <row r="17554">
      <c r="H17554" s="50"/>
      <c r="I17554" s="50"/>
      <c r="O17554" s="36" t="s">
        <v>48</v>
      </c>
      <c r="R17554" s="36" t="s">
        <v>48</v>
      </c>
    </row>
    <row r="17555">
      <c r="H17555" s="50"/>
      <c r="I17555" s="50"/>
      <c r="O17555" s="36" t="s">
        <v>48</v>
      </c>
      <c r="R17555" s="36" t="s">
        <v>48</v>
      </c>
    </row>
    <row r="17556">
      <c r="H17556" s="50"/>
      <c r="I17556" s="50"/>
      <c r="O17556" s="36" t="s">
        <v>48</v>
      </c>
      <c r="R17556" s="36" t="s">
        <v>48</v>
      </c>
    </row>
    <row r="17557">
      <c r="H17557" s="50"/>
      <c r="I17557" s="50"/>
      <c r="O17557" s="36" t="s">
        <v>48</v>
      </c>
      <c r="R17557" s="36" t="s">
        <v>48</v>
      </c>
    </row>
    <row r="17558">
      <c r="H17558" s="50"/>
      <c r="I17558" s="50"/>
      <c r="O17558" s="36" t="s">
        <v>48</v>
      </c>
      <c r="R17558" s="36" t="s">
        <v>48</v>
      </c>
    </row>
    <row r="17559">
      <c r="H17559" s="50"/>
      <c r="I17559" s="50"/>
      <c r="O17559" s="36" t="s">
        <v>48</v>
      </c>
      <c r="R17559" s="36" t="s">
        <v>48</v>
      </c>
    </row>
    <row r="17560">
      <c r="H17560" s="50"/>
      <c r="I17560" s="50"/>
      <c r="O17560" s="36" t="s">
        <v>48</v>
      </c>
      <c r="R17560" s="36" t="s">
        <v>48</v>
      </c>
    </row>
    <row r="17561">
      <c r="H17561" s="50"/>
      <c r="I17561" s="50"/>
      <c r="O17561" s="36" t="s">
        <v>48</v>
      </c>
      <c r="R17561" s="36" t="s">
        <v>48</v>
      </c>
    </row>
    <row r="17562">
      <c r="H17562" s="50"/>
      <c r="I17562" s="50"/>
      <c r="O17562" s="36" t="s">
        <v>48</v>
      </c>
      <c r="R17562" s="36" t="s">
        <v>48</v>
      </c>
    </row>
    <row r="17563">
      <c r="H17563" s="50"/>
      <c r="I17563" s="50"/>
      <c r="O17563" s="36" t="s">
        <v>48</v>
      </c>
      <c r="R17563" s="36" t="s">
        <v>48</v>
      </c>
    </row>
    <row r="17564">
      <c r="H17564" s="50"/>
      <c r="I17564" s="50"/>
      <c r="O17564" s="36" t="s">
        <v>48</v>
      </c>
      <c r="R17564" s="36" t="s">
        <v>48</v>
      </c>
    </row>
    <row r="17565">
      <c r="H17565" s="50"/>
      <c r="I17565" s="50"/>
      <c r="O17565" s="36" t="s">
        <v>48</v>
      </c>
      <c r="R17565" s="36" t="s">
        <v>48</v>
      </c>
    </row>
    <row r="17566">
      <c r="H17566" s="50"/>
      <c r="I17566" s="50"/>
      <c r="O17566" s="36" t="s">
        <v>48</v>
      </c>
      <c r="R17566" s="36" t="s">
        <v>48</v>
      </c>
    </row>
    <row r="17567">
      <c r="H17567" s="50"/>
      <c r="I17567" s="50"/>
      <c r="O17567" s="36" t="s">
        <v>48</v>
      </c>
      <c r="R17567" s="36" t="s">
        <v>48</v>
      </c>
    </row>
    <row r="17568">
      <c r="H17568" s="50"/>
      <c r="I17568" s="50"/>
      <c r="O17568" s="36" t="s">
        <v>48</v>
      </c>
      <c r="R17568" s="36" t="s">
        <v>48</v>
      </c>
    </row>
    <row r="17569">
      <c r="H17569" s="50"/>
      <c r="I17569" s="50"/>
      <c r="O17569" s="36" t="s">
        <v>48</v>
      </c>
      <c r="R17569" s="36" t="s">
        <v>48</v>
      </c>
    </row>
    <row r="17570">
      <c r="H17570" s="50"/>
      <c r="I17570" s="50"/>
      <c r="O17570" s="36" t="s">
        <v>48</v>
      </c>
      <c r="R17570" s="36" t="s">
        <v>48</v>
      </c>
    </row>
    <row r="17571">
      <c r="H17571" s="50"/>
      <c r="I17571" s="50"/>
      <c r="O17571" s="36" t="s">
        <v>48</v>
      </c>
      <c r="R17571" s="36" t="s">
        <v>48</v>
      </c>
    </row>
    <row r="17572">
      <c r="H17572" s="50"/>
      <c r="I17572" s="50"/>
      <c r="O17572" s="36" t="s">
        <v>48</v>
      </c>
      <c r="R17572" s="36" t="s">
        <v>48</v>
      </c>
    </row>
    <row r="17573">
      <c r="H17573" s="50"/>
      <c r="I17573" s="50"/>
      <c r="O17573" s="36" t="s">
        <v>48</v>
      </c>
      <c r="R17573" s="36" t="s">
        <v>48</v>
      </c>
    </row>
    <row r="17574">
      <c r="H17574" s="50"/>
      <c r="I17574" s="50"/>
      <c r="O17574" s="36" t="s">
        <v>48</v>
      </c>
      <c r="R17574" s="36" t="s">
        <v>48</v>
      </c>
    </row>
    <row r="17575">
      <c r="H17575" s="50"/>
      <c r="I17575" s="50"/>
      <c r="O17575" s="36" t="s">
        <v>48</v>
      </c>
      <c r="R17575" s="36" t="s">
        <v>48</v>
      </c>
    </row>
    <row r="17576">
      <c r="H17576" s="50"/>
      <c r="I17576" s="50"/>
      <c r="O17576" s="36" t="s">
        <v>48</v>
      </c>
      <c r="R17576" s="36" t="s">
        <v>48</v>
      </c>
    </row>
    <row r="17577">
      <c r="H17577" s="50"/>
      <c r="I17577" s="50"/>
      <c r="O17577" s="36" t="s">
        <v>48</v>
      </c>
      <c r="R17577" s="36" t="s">
        <v>48</v>
      </c>
    </row>
    <row r="17578">
      <c r="H17578" s="50"/>
      <c r="I17578" s="50"/>
      <c r="O17578" s="36" t="s">
        <v>48</v>
      </c>
      <c r="R17578" s="36" t="s">
        <v>48</v>
      </c>
    </row>
    <row r="17579">
      <c r="H17579" s="50"/>
      <c r="I17579" s="50"/>
      <c r="O17579" s="36" t="s">
        <v>48</v>
      </c>
      <c r="R17579" s="36" t="s">
        <v>48</v>
      </c>
    </row>
    <row r="17580">
      <c r="H17580" s="50"/>
      <c r="I17580" s="50"/>
      <c r="O17580" s="36" t="s">
        <v>48</v>
      </c>
      <c r="R17580" s="36" t="s">
        <v>48</v>
      </c>
    </row>
    <row r="17581">
      <c r="H17581" s="50"/>
      <c r="I17581" s="50"/>
      <c r="O17581" s="36" t="s">
        <v>48</v>
      </c>
      <c r="R17581" s="36" t="s">
        <v>48</v>
      </c>
    </row>
    <row r="17582">
      <c r="H17582" s="50"/>
      <c r="I17582" s="50"/>
      <c r="O17582" s="36" t="s">
        <v>48</v>
      </c>
      <c r="R17582" s="36" t="s">
        <v>48</v>
      </c>
    </row>
    <row r="17583">
      <c r="H17583" s="50"/>
      <c r="I17583" s="50"/>
      <c r="O17583" s="36" t="s">
        <v>48</v>
      </c>
      <c r="R17583" s="36" t="s">
        <v>48</v>
      </c>
    </row>
    <row r="17584">
      <c r="H17584" s="50"/>
      <c r="I17584" s="50"/>
      <c r="O17584" s="36" t="s">
        <v>48</v>
      </c>
      <c r="R17584" s="36" t="s">
        <v>48</v>
      </c>
    </row>
    <row r="17585">
      <c r="H17585" s="50"/>
      <c r="I17585" s="50"/>
      <c r="O17585" s="36" t="s">
        <v>48</v>
      </c>
      <c r="R17585" s="36" t="s">
        <v>48</v>
      </c>
    </row>
    <row r="17586">
      <c r="H17586" s="50"/>
      <c r="I17586" s="50"/>
      <c r="O17586" s="36" t="s">
        <v>48</v>
      </c>
      <c r="R17586" s="36" t="s">
        <v>48</v>
      </c>
    </row>
    <row r="17587">
      <c r="H17587" s="50"/>
      <c r="I17587" s="50"/>
      <c r="O17587" s="36" t="s">
        <v>48</v>
      </c>
      <c r="R17587" s="36" t="s">
        <v>48</v>
      </c>
    </row>
    <row r="17588">
      <c r="H17588" s="50"/>
      <c r="I17588" s="50"/>
      <c r="O17588" s="36" t="s">
        <v>48</v>
      </c>
      <c r="R17588" s="36" t="s">
        <v>48</v>
      </c>
    </row>
    <row r="17589">
      <c r="H17589" s="50"/>
      <c r="I17589" s="50"/>
      <c r="O17589" s="36" t="s">
        <v>48</v>
      </c>
      <c r="R17589" s="36" t="s">
        <v>48</v>
      </c>
    </row>
    <row r="17590">
      <c r="H17590" s="50"/>
      <c r="I17590" s="50"/>
      <c r="O17590" s="36" t="s">
        <v>48</v>
      </c>
      <c r="R17590" s="36" t="s">
        <v>48</v>
      </c>
    </row>
    <row r="17591">
      <c r="H17591" s="50"/>
      <c r="I17591" s="50"/>
      <c r="O17591" s="36" t="s">
        <v>48</v>
      </c>
      <c r="R17591" s="36" t="s">
        <v>48</v>
      </c>
    </row>
    <row r="17592">
      <c r="H17592" s="50"/>
      <c r="I17592" s="50"/>
      <c r="O17592" s="36" t="s">
        <v>48</v>
      </c>
      <c r="R17592" s="36" t="s">
        <v>48</v>
      </c>
    </row>
    <row r="17593">
      <c r="H17593" s="50"/>
      <c r="I17593" s="50"/>
      <c r="O17593" s="36" t="s">
        <v>48</v>
      </c>
      <c r="R17593" s="36" t="s">
        <v>48</v>
      </c>
    </row>
    <row r="17594">
      <c r="H17594" s="50"/>
      <c r="I17594" s="50"/>
      <c r="O17594" s="36" t="s">
        <v>48</v>
      </c>
      <c r="R17594" s="36" t="s">
        <v>48</v>
      </c>
    </row>
    <row r="17595">
      <c r="H17595" s="50"/>
      <c r="I17595" s="50"/>
      <c r="O17595" s="36" t="s">
        <v>48</v>
      </c>
      <c r="R17595" s="36" t="s">
        <v>48</v>
      </c>
    </row>
    <row r="17596">
      <c r="H17596" s="50"/>
      <c r="I17596" s="50"/>
      <c r="O17596" s="36" t="s">
        <v>48</v>
      </c>
      <c r="R17596" s="36" t="s">
        <v>48</v>
      </c>
    </row>
    <row r="17597">
      <c r="H17597" s="50"/>
      <c r="I17597" s="50"/>
      <c r="O17597" s="36" t="s">
        <v>48</v>
      </c>
      <c r="R17597" s="36" t="s">
        <v>48</v>
      </c>
    </row>
    <row r="17598">
      <c r="H17598" s="50"/>
      <c r="I17598" s="50"/>
      <c r="O17598" s="36" t="s">
        <v>48</v>
      </c>
      <c r="R17598" s="36" t="s">
        <v>48</v>
      </c>
    </row>
    <row r="17599">
      <c r="H17599" s="50"/>
      <c r="I17599" s="50"/>
      <c r="O17599" s="36" t="s">
        <v>48</v>
      </c>
      <c r="R17599" s="36" t="s">
        <v>48</v>
      </c>
    </row>
    <row r="17600">
      <c r="H17600" s="50"/>
      <c r="I17600" s="50"/>
      <c r="O17600" s="36" t="s">
        <v>48</v>
      </c>
      <c r="R17600" s="36" t="s">
        <v>48</v>
      </c>
    </row>
    <row r="17601">
      <c r="H17601" s="50"/>
      <c r="I17601" s="50"/>
      <c r="O17601" s="36" t="s">
        <v>48</v>
      </c>
      <c r="R17601" s="36" t="s">
        <v>48</v>
      </c>
    </row>
    <row r="17602">
      <c r="H17602" s="50"/>
      <c r="I17602" s="50"/>
      <c r="O17602" s="36" t="s">
        <v>48</v>
      </c>
      <c r="R17602" s="36" t="s">
        <v>48</v>
      </c>
    </row>
    <row r="17603">
      <c r="H17603" s="50"/>
      <c r="I17603" s="50"/>
      <c r="O17603" s="36" t="s">
        <v>48</v>
      </c>
      <c r="R17603" s="36" t="s">
        <v>48</v>
      </c>
    </row>
    <row r="17604">
      <c r="H17604" s="50"/>
      <c r="I17604" s="50"/>
      <c r="O17604" s="36" t="s">
        <v>48</v>
      </c>
      <c r="R17604" s="36" t="s">
        <v>48</v>
      </c>
    </row>
    <row r="17605">
      <c r="H17605" s="50"/>
      <c r="I17605" s="50"/>
      <c r="O17605" s="36" t="s">
        <v>48</v>
      </c>
      <c r="R17605" s="36" t="s">
        <v>48</v>
      </c>
    </row>
    <row r="17606">
      <c r="H17606" s="50"/>
      <c r="I17606" s="50"/>
      <c r="O17606" s="36" t="s">
        <v>48</v>
      </c>
      <c r="R17606" s="36" t="s">
        <v>48</v>
      </c>
    </row>
    <row r="17607">
      <c r="H17607" s="50"/>
      <c r="I17607" s="50"/>
      <c r="O17607" s="36" t="s">
        <v>48</v>
      </c>
      <c r="R17607" s="36" t="s">
        <v>48</v>
      </c>
    </row>
    <row r="17608">
      <c r="H17608" s="50"/>
      <c r="I17608" s="50"/>
      <c r="O17608" s="36" t="s">
        <v>48</v>
      </c>
      <c r="R17608" s="36" t="s">
        <v>48</v>
      </c>
    </row>
    <row r="17609">
      <c r="H17609" s="50"/>
      <c r="I17609" s="50"/>
      <c r="O17609" s="36" t="s">
        <v>48</v>
      </c>
      <c r="R17609" s="36" t="s">
        <v>48</v>
      </c>
    </row>
    <row r="17610">
      <c r="H17610" s="50"/>
      <c r="I17610" s="50"/>
      <c r="O17610" s="36" t="s">
        <v>48</v>
      </c>
      <c r="R17610" s="36" t="s">
        <v>48</v>
      </c>
    </row>
    <row r="17611">
      <c r="H17611" s="50"/>
      <c r="I17611" s="50"/>
      <c r="O17611" s="36" t="s">
        <v>48</v>
      </c>
      <c r="R17611" s="36" t="s">
        <v>48</v>
      </c>
    </row>
    <row r="17612">
      <c r="H17612" s="50"/>
      <c r="I17612" s="50"/>
      <c r="O17612" s="36" t="s">
        <v>48</v>
      </c>
      <c r="R17612" s="36" t="s">
        <v>48</v>
      </c>
    </row>
    <row r="17613">
      <c r="H17613" s="50"/>
      <c r="I17613" s="50"/>
      <c r="O17613" s="36" t="s">
        <v>48</v>
      </c>
      <c r="R17613" s="36" t="s">
        <v>48</v>
      </c>
    </row>
    <row r="17614">
      <c r="H17614" s="50"/>
      <c r="I17614" s="50"/>
      <c r="O17614" s="36" t="s">
        <v>48</v>
      </c>
      <c r="R17614" s="36" t="s">
        <v>48</v>
      </c>
    </row>
    <row r="17615">
      <c r="H17615" s="50"/>
      <c r="I17615" s="50"/>
      <c r="O17615" s="36" t="s">
        <v>48</v>
      </c>
      <c r="R17615" s="36" t="s">
        <v>48</v>
      </c>
    </row>
    <row r="17616">
      <c r="H17616" s="50"/>
      <c r="I17616" s="50"/>
      <c r="O17616" s="36" t="s">
        <v>48</v>
      </c>
      <c r="R17616" s="36" t="s">
        <v>48</v>
      </c>
    </row>
    <row r="17617">
      <c r="H17617" s="50"/>
      <c r="I17617" s="50"/>
      <c r="O17617" s="36" t="s">
        <v>48</v>
      </c>
      <c r="R17617" s="36" t="s">
        <v>48</v>
      </c>
    </row>
    <row r="17618">
      <c r="H17618" s="50"/>
      <c r="I17618" s="50"/>
      <c r="O17618" s="36" t="s">
        <v>48</v>
      </c>
      <c r="R17618" s="36" t="s">
        <v>48</v>
      </c>
    </row>
    <row r="17619">
      <c r="H17619" s="50"/>
      <c r="I17619" s="50"/>
      <c r="O17619" s="36" t="s">
        <v>48</v>
      </c>
      <c r="R17619" s="36" t="s">
        <v>48</v>
      </c>
    </row>
    <row r="17620">
      <c r="H17620" s="50"/>
      <c r="I17620" s="50"/>
      <c r="O17620" s="36" t="s">
        <v>48</v>
      </c>
      <c r="R17620" s="36" t="s">
        <v>48</v>
      </c>
    </row>
    <row r="17621">
      <c r="H17621" s="50"/>
      <c r="I17621" s="50"/>
      <c r="O17621" s="36" t="s">
        <v>48</v>
      </c>
      <c r="R17621" s="36" t="s">
        <v>48</v>
      </c>
    </row>
    <row r="17622">
      <c r="H17622" s="50"/>
      <c r="I17622" s="50"/>
      <c r="O17622" s="36" t="s">
        <v>48</v>
      </c>
      <c r="R17622" s="36" t="s">
        <v>48</v>
      </c>
    </row>
    <row r="17623">
      <c r="H17623" s="50"/>
      <c r="I17623" s="50"/>
      <c r="O17623" s="36" t="s">
        <v>48</v>
      </c>
      <c r="R17623" s="36" t="s">
        <v>48</v>
      </c>
    </row>
    <row r="17624">
      <c r="H17624" s="50"/>
      <c r="I17624" s="50"/>
      <c r="O17624" s="36" t="s">
        <v>48</v>
      </c>
      <c r="R17624" s="36" t="s">
        <v>48</v>
      </c>
    </row>
    <row r="17625">
      <c r="H17625" s="50"/>
      <c r="I17625" s="50"/>
      <c r="O17625" s="36" t="s">
        <v>48</v>
      </c>
      <c r="R17625" s="36" t="s">
        <v>48</v>
      </c>
    </row>
    <row r="17626">
      <c r="H17626" s="50"/>
      <c r="I17626" s="50"/>
      <c r="O17626" s="36" t="s">
        <v>48</v>
      </c>
      <c r="R17626" s="36" t="s">
        <v>48</v>
      </c>
    </row>
    <row r="17627">
      <c r="H17627" s="50"/>
      <c r="I17627" s="50"/>
      <c r="O17627" s="36" t="s">
        <v>48</v>
      </c>
      <c r="R17627" s="36" t="s">
        <v>48</v>
      </c>
    </row>
    <row r="17628">
      <c r="H17628" s="50"/>
      <c r="I17628" s="50"/>
      <c r="O17628" s="36" t="s">
        <v>48</v>
      </c>
      <c r="R17628" s="36" t="s">
        <v>48</v>
      </c>
    </row>
    <row r="17629">
      <c r="H17629" s="50"/>
      <c r="I17629" s="50"/>
      <c r="O17629" s="36" t="s">
        <v>48</v>
      </c>
      <c r="R17629" s="36" t="s">
        <v>48</v>
      </c>
    </row>
    <row r="17630">
      <c r="H17630" s="50"/>
      <c r="I17630" s="50"/>
      <c r="O17630" s="36" t="s">
        <v>48</v>
      </c>
      <c r="R17630" s="36" t="s">
        <v>48</v>
      </c>
    </row>
    <row r="17631">
      <c r="H17631" s="50"/>
      <c r="I17631" s="50"/>
      <c r="O17631" s="36" t="s">
        <v>48</v>
      </c>
      <c r="R17631" s="36" t="s">
        <v>48</v>
      </c>
    </row>
    <row r="17632">
      <c r="H17632" s="50"/>
      <c r="I17632" s="50"/>
      <c r="O17632" s="36" t="s">
        <v>48</v>
      </c>
      <c r="R17632" s="36" t="s">
        <v>48</v>
      </c>
    </row>
    <row r="17633">
      <c r="H17633" s="50"/>
      <c r="I17633" s="50"/>
      <c r="O17633" s="36" t="s">
        <v>48</v>
      </c>
      <c r="R17633" s="36" t="s">
        <v>48</v>
      </c>
    </row>
    <row r="17634">
      <c r="H17634" s="50"/>
      <c r="I17634" s="50"/>
      <c r="O17634" s="36" t="s">
        <v>48</v>
      </c>
      <c r="R17634" s="36" t="s">
        <v>48</v>
      </c>
    </row>
    <row r="17635">
      <c r="H17635" s="50"/>
      <c r="I17635" s="50"/>
      <c r="O17635" s="36" t="s">
        <v>48</v>
      </c>
      <c r="R17635" s="36" t="s">
        <v>48</v>
      </c>
    </row>
    <row r="17636">
      <c r="H17636" s="50"/>
      <c r="I17636" s="50"/>
      <c r="O17636" s="36" t="s">
        <v>48</v>
      </c>
      <c r="R17636" s="36" t="s">
        <v>48</v>
      </c>
    </row>
    <row r="17637">
      <c r="H17637" s="50"/>
      <c r="I17637" s="50"/>
      <c r="O17637" s="36" t="s">
        <v>48</v>
      </c>
      <c r="R17637" s="36" t="s">
        <v>48</v>
      </c>
    </row>
    <row r="17638">
      <c r="H17638" s="50"/>
      <c r="I17638" s="50"/>
      <c r="O17638" s="36" t="s">
        <v>48</v>
      </c>
      <c r="R17638" s="36" t="s">
        <v>48</v>
      </c>
    </row>
    <row r="17639">
      <c r="H17639" s="50"/>
      <c r="I17639" s="50"/>
      <c r="O17639" s="36" t="s">
        <v>48</v>
      </c>
      <c r="R17639" s="36" t="s">
        <v>48</v>
      </c>
    </row>
    <row r="17640">
      <c r="H17640" s="50"/>
      <c r="I17640" s="50"/>
      <c r="O17640" s="36" t="s">
        <v>48</v>
      </c>
      <c r="R17640" s="36" t="s">
        <v>48</v>
      </c>
    </row>
    <row r="17641">
      <c r="H17641" s="50"/>
      <c r="I17641" s="50"/>
      <c r="O17641" s="36" t="s">
        <v>48</v>
      </c>
      <c r="R17641" s="36" t="s">
        <v>48</v>
      </c>
    </row>
    <row r="17642">
      <c r="H17642" s="50"/>
      <c r="I17642" s="50"/>
      <c r="O17642" s="36" t="s">
        <v>48</v>
      </c>
      <c r="R17642" s="36" t="s">
        <v>48</v>
      </c>
    </row>
    <row r="17643">
      <c r="H17643" s="50"/>
      <c r="I17643" s="50"/>
      <c r="O17643" s="36" t="s">
        <v>48</v>
      </c>
      <c r="R17643" s="36" t="s">
        <v>48</v>
      </c>
    </row>
    <row r="17644">
      <c r="H17644" s="50"/>
      <c r="I17644" s="50"/>
      <c r="O17644" s="36" t="s">
        <v>48</v>
      </c>
      <c r="R17644" s="36" t="s">
        <v>48</v>
      </c>
    </row>
    <row r="17645">
      <c r="H17645" s="50"/>
      <c r="I17645" s="50"/>
      <c r="O17645" s="36" t="s">
        <v>48</v>
      </c>
      <c r="R17645" s="36" t="s">
        <v>48</v>
      </c>
    </row>
    <row r="17646">
      <c r="H17646" s="50"/>
      <c r="I17646" s="50"/>
      <c r="O17646" s="36" t="s">
        <v>48</v>
      </c>
      <c r="R17646" s="36" t="s">
        <v>48</v>
      </c>
    </row>
    <row r="17647">
      <c r="H17647" s="50"/>
      <c r="I17647" s="50"/>
      <c r="O17647" s="36" t="s">
        <v>48</v>
      </c>
      <c r="R17647" s="36" t="s">
        <v>48</v>
      </c>
    </row>
    <row r="17648">
      <c r="H17648" s="50"/>
      <c r="I17648" s="50"/>
      <c r="O17648" s="36" t="s">
        <v>48</v>
      </c>
      <c r="R17648" s="36" t="s">
        <v>48</v>
      </c>
    </row>
    <row r="17649">
      <c r="H17649" s="50"/>
      <c r="I17649" s="50"/>
      <c r="O17649" s="36" t="s">
        <v>48</v>
      </c>
      <c r="R17649" s="36" t="s">
        <v>48</v>
      </c>
    </row>
    <row r="17650">
      <c r="H17650" s="50"/>
      <c r="I17650" s="50"/>
      <c r="O17650" s="36" t="s">
        <v>48</v>
      </c>
      <c r="R17650" s="36" t="s">
        <v>48</v>
      </c>
    </row>
    <row r="17651">
      <c r="H17651" s="50"/>
      <c r="I17651" s="50"/>
      <c r="O17651" s="36" t="s">
        <v>48</v>
      </c>
      <c r="R17651" s="36" t="s">
        <v>48</v>
      </c>
    </row>
    <row r="17652">
      <c r="H17652" s="50"/>
      <c r="I17652" s="50"/>
      <c r="O17652" s="36" t="s">
        <v>48</v>
      </c>
      <c r="R17652" s="36" t="s">
        <v>48</v>
      </c>
    </row>
    <row r="17653">
      <c r="H17653" s="50"/>
      <c r="I17653" s="50"/>
      <c r="O17653" s="36" t="s">
        <v>48</v>
      </c>
      <c r="R17653" s="36" t="s">
        <v>48</v>
      </c>
    </row>
    <row r="17654">
      <c r="H17654" s="50"/>
      <c r="I17654" s="50"/>
      <c r="O17654" s="36" t="s">
        <v>48</v>
      </c>
      <c r="R17654" s="36" t="s">
        <v>48</v>
      </c>
    </row>
    <row r="17655">
      <c r="H17655" s="50"/>
      <c r="I17655" s="50"/>
      <c r="O17655" s="36" t="s">
        <v>48</v>
      </c>
      <c r="R17655" s="36" t="s">
        <v>48</v>
      </c>
    </row>
    <row r="17656">
      <c r="H17656" s="50"/>
      <c r="I17656" s="50"/>
      <c r="O17656" s="36" t="s">
        <v>48</v>
      </c>
      <c r="R17656" s="36" t="s">
        <v>48</v>
      </c>
    </row>
    <row r="17657">
      <c r="H17657" s="50"/>
      <c r="I17657" s="50"/>
      <c r="O17657" s="36" t="s">
        <v>48</v>
      </c>
      <c r="R17657" s="36" t="s">
        <v>48</v>
      </c>
    </row>
    <row r="17658">
      <c r="H17658" s="50"/>
      <c r="I17658" s="50"/>
      <c r="O17658" s="36" t="s">
        <v>48</v>
      </c>
      <c r="R17658" s="36" t="s">
        <v>48</v>
      </c>
    </row>
    <row r="17659">
      <c r="H17659" s="50"/>
      <c r="I17659" s="50"/>
      <c r="O17659" s="36" t="s">
        <v>48</v>
      </c>
      <c r="R17659" s="36" t="s">
        <v>48</v>
      </c>
    </row>
    <row r="17660">
      <c r="H17660" s="50"/>
      <c r="I17660" s="50"/>
      <c r="O17660" s="36" t="s">
        <v>48</v>
      </c>
      <c r="R17660" s="36" t="s">
        <v>48</v>
      </c>
    </row>
    <row r="17661">
      <c r="H17661" s="50"/>
      <c r="I17661" s="50"/>
      <c r="O17661" s="36" t="s">
        <v>48</v>
      </c>
      <c r="R17661" s="36" t="s">
        <v>48</v>
      </c>
    </row>
    <row r="17662">
      <c r="H17662" s="50"/>
      <c r="I17662" s="50"/>
      <c r="O17662" s="36" t="s">
        <v>48</v>
      </c>
      <c r="R17662" s="36" t="s">
        <v>48</v>
      </c>
    </row>
    <row r="17663">
      <c r="H17663" s="50"/>
      <c r="I17663" s="50"/>
      <c r="O17663" s="36" t="s">
        <v>48</v>
      </c>
      <c r="R17663" s="36" t="s">
        <v>48</v>
      </c>
    </row>
    <row r="17664">
      <c r="H17664" s="50"/>
      <c r="I17664" s="50"/>
      <c r="O17664" s="36" t="s">
        <v>48</v>
      </c>
      <c r="R17664" s="36" t="s">
        <v>48</v>
      </c>
    </row>
    <row r="17665">
      <c r="H17665" s="50"/>
      <c r="I17665" s="50"/>
      <c r="O17665" s="36" t="s">
        <v>48</v>
      </c>
      <c r="R17665" s="36" t="s">
        <v>48</v>
      </c>
    </row>
    <row r="17666">
      <c r="H17666" s="50"/>
      <c r="I17666" s="50"/>
      <c r="O17666" s="36" t="s">
        <v>48</v>
      </c>
      <c r="R17666" s="36" t="s">
        <v>48</v>
      </c>
    </row>
    <row r="17667">
      <c r="H17667" s="50"/>
      <c r="I17667" s="50"/>
      <c r="O17667" s="36" t="s">
        <v>48</v>
      </c>
      <c r="R17667" s="36" t="s">
        <v>48</v>
      </c>
    </row>
    <row r="17668">
      <c r="H17668" s="50"/>
      <c r="I17668" s="50"/>
      <c r="O17668" s="36" t="s">
        <v>48</v>
      </c>
      <c r="R17668" s="36" t="s">
        <v>48</v>
      </c>
    </row>
    <row r="17669">
      <c r="H17669" s="50"/>
      <c r="I17669" s="50"/>
      <c r="O17669" s="36" t="s">
        <v>48</v>
      </c>
      <c r="R17669" s="36" t="s">
        <v>48</v>
      </c>
    </row>
    <row r="17670">
      <c r="H17670" s="50"/>
      <c r="I17670" s="50"/>
      <c r="O17670" s="36" t="s">
        <v>48</v>
      </c>
      <c r="R17670" s="36" t="s">
        <v>48</v>
      </c>
    </row>
    <row r="17671">
      <c r="H17671" s="50"/>
      <c r="I17671" s="50"/>
      <c r="O17671" s="36" t="s">
        <v>48</v>
      </c>
      <c r="R17671" s="36" t="s">
        <v>48</v>
      </c>
    </row>
    <row r="17672">
      <c r="H17672" s="50"/>
      <c r="I17672" s="50"/>
      <c r="O17672" s="36" t="s">
        <v>48</v>
      </c>
      <c r="R17672" s="36" t="s">
        <v>48</v>
      </c>
    </row>
    <row r="17673">
      <c r="H17673" s="50"/>
      <c r="I17673" s="50"/>
      <c r="O17673" s="36" t="s">
        <v>48</v>
      </c>
      <c r="R17673" s="36" t="s">
        <v>48</v>
      </c>
    </row>
    <row r="17674">
      <c r="H17674" s="50"/>
      <c r="I17674" s="50"/>
      <c r="O17674" s="36" t="s">
        <v>48</v>
      </c>
      <c r="R17674" s="36" t="s">
        <v>48</v>
      </c>
    </row>
    <row r="17675">
      <c r="H17675" s="50"/>
      <c r="I17675" s="50"/>
      <c r="O17675" s="36" t="s">
        <v>48</v>
      </c>
      <c r="R17675" s="36" t="s">
        <v>48</v>
      </c>
    </row>
    <row r="17676">
      <c r="H17676" s="50"/>
      <c r="I17676" s="50"/>
      <c r="O17676" s="36" t="s">
        <v>48</v>
      </c>
      <c r="R17676" s="36" t="s">
        <v>48</v>
      </c>
    </row>
    <row r="17677">
      <c r="H17677" s="50"/>
      <c r="I17677" s="50"/>
      <c r="O17677" s="36" t="s">
        <v>48</v>
      </c>
      <c r="R17677" s="36" t="s">
        <v>48</v>
      </c>
    </row>
    <row r="17678">
      <c r="H17678" s="50"/>
      <c r="I17678" s="50"/>
      <c r="O17678" s="36" t="s">
        <v>48</v>
      </c>
      <c r="R17678" s="36" t="s">
        <v>48</v>
      </c>
    </row>
    <row r="17679">
      <c r="H17679" s="50"/>
      <c r="I17679" s="50"/>
      <c r="O17679" s="36" t="s">
        <v>48</v>
      </c>
      <c r="R17679" s="36" t="s">
        <v>48</v>
      </c>
    </row>
    <row r="17680">
      <c r="H17680" s="50"/>
      <c r="I17680" s="50"/>
      <c r="O17680" s="36" t="s">
        <v>48</v>
      </c>
      <c r="R17680" s="36" t="s">
        <v>48</v>
      </c>
    </row>
    <row r="17681">
      <c r="H17681" s="50"/>
      <c r="I17681" s="50"/>
      <c r="O17681" s="36" t="s">
        <v>48</v>
      </c>
      <c r="R17681" s="36" t="s">
        <v>48</v>
      </c>
    </row>
    <row r="17682">
      <c r="H17682" s="50"/>
      <c r="I17682" s="50"/>
      <c r="O17682" s="36" t="s">
        <v>48</v>
      </c>
      <c r="R17682" s="36" t="s">
        <v>48</v>
      </c>
    </row>
    <row r="17683">
      <c r="H17683" s="50"/>
      <c r="I17683" s="50"/>
      <c r="O17683" s="36" t="s">
        <v>48</v>
      </c>
      <c r="R17683" s="36" t="s">
        <v>48</v>
      </c>
    </row>
    <row r="17684">
      <c r="H17684" s="50"/>
      <c r="I17684" s="50"/>
      <c r="O17684" s="36" t="s">
        <v>48</v>
      </c>
      <c r="R17684" s="36" t="s">
        <v>48</v>
      </c>
    </row>
    <row r="17685">
      <c r="H17685" s="50"/>
      <c r="I17685" s="50"/>
      <c r="O17685" s="36" t="s">
        <v>48</v>
      </c>
      <c r="R17685" s="36" t="s">
        <v>48</v>
      </c>
    </row>
    <row r="17686">
      <c r="H17686" s="50"/>
      <c r="I17686" s="50"/>
      <c r="O17686" s="36" t="s">
        <v>48</v>
      </c>
      <c r="R17686" s="36" t="s">
        <v>48</v>
      </c>
    </row>
    <row r="17687">
      <c r="H17687" s="50"/>
      <c r="I17687" s="50"/>
      <c r="O17687" s="36" t="s">
        <v>48</v>
      </c>
      <c r="R17687" s="36" t="s">
        <v>48</v>
      </c>
    </row>
    <row r="17688">
      <c r="H17688" s="50"/>
      <c r="I17688" s="50"/>
      <c r="O17688" s="36" t="s">
        <v>48</v>
      </c>
      <c r="R17688" s="36" t="s">
        <v>48</v>
      </c>
    </row>
    <row r="17689">
      <c r="H17689" s="50"/>
      <c r="I17689" s="50"/>
      <c r="O17689" s="36" t="s">
        <v>48</v>
      </c>
      <c r="R17689" s="36" t="s">
        <v>48</v>
      </c>
    </row>
    <row r="17690">
      <c r="H17690" s="50"/>
      <c r="I17690" s="50"/>
      <c r="O17690" s="36" t="s">
        <v>48</v>
      </c>
      <c r="R17690" s="36" t="s">
        <v>48</v>
      </c>
    </row>
    <row r="17691">
      <c r="H17691" s="50"/>
      <c r="I17691" s="50"/>
      <c r="O17691" s="36" t="s">
        <v>48</v>
      </c>
      <c r="R17691" s="36" t="s">
        <v>48</v>
      </c>
    </row>
    <row r="17692">
      <c r="H17692" s="50"/>
      <c r="I17692" s="50"/>
      <c r="O17692" s="36" t="s">
        <v>48</v>
      </c>
      <c r="R17692" s="36" t="s">
        <v>48</v>
      </c>
    </row>
    <row r="17693">
      <c r="H17693" s="50"/>
      <c r="I17693" s="50"/>
      <c r="O17693" s="36" t="s">
        <v>48</v>
      </c>
      <c r="R17693" s="36" t="s">
        <v>48</v>
      </c>
    </row>
    <row r="17694">
      <c r="H17694" s="50"/>
      <c r="I17694" s="50"/>
      <c r="O17694" s="36" t="s">
        <v>48</v>
      </c>
      <c r="R17694" s="36" t="s">
        <v>48</v>
      </c>
    </row>
    <row r="17695">
      <c r="H17695" s="50"/>
      <c r="I17695" s="50"/>
      <c r="O17695" s="36" t="s">
        <v>48</v>
      </c>
      <c r="R17695" s="36" t="s">
        <v>48</v>
      </c>
    </row>
    <row r="17696">
      <c r="H17696" s="50"/>
      <c r="I17696" s="50"/>
      <c r="O17696" s="36" t="s">
        <v>48</v>
      </c>
      <c r="R17696" s="36" t="s">
        <v>48</v>
      </c>
    </row>
    <row r="17697">
      <c r="H17697" s="50"/>
      <c r="I17697" s="50"/>
      <c r="O17697" s="36" t="s">
        <v>48</v>
      </c>
      <c r="R17697" s="36" t="s">
        <v>48</v>
      </c>
    </row>
    <row r="17698">
      <c r="H17698" s="50"/>
      <c r="I17698" s="50"/>
      <c r="O17698" s="36" t="s">
        <v>48</v>
      </c>
      <c r="R17698" s="36" t="s">
        <v>48</v>
      </c>
    </row>
    <row r="17699">
      <c r="H17699" s="50"/>
      <c r="I17699" s="50"/>
      <c r="O17699" s="36" t="s">
        <v>48</v>
      </c>
      <c r="R17699" s="36" t="s">
        <v>48</v>
      </c>
    </row>
    <row r="17700">
      <c r="H17700" s="50"/>
      <c r="I17700" s="50"/>
      <c r="O17700" s="36" t="s">
        <v>48</v>
      </c>
      <c r="R17700" s="36" t="s">
        <v>48</v>
      </c>
    </row>
    <row r="17701">
      <c r="H17701" s="50"/>
      <c r="I17701" s="50"/>
      <c r="O17701" s="36" t="s">
        <v>48</v>
      </c>
      <c r="R17701" s="36" t="s">
        <v>48</v>
      </c>
    </row>
    <row r="17702">
      <c r="H17702" s="50"/>
      <c r="I17702" s="50"/>
      <c r="O17702" s="36" t="s">
        <v>48</v>
      </c>
      <c r="R17702" s="36" t="s">
        <v>48</v>
      </c>
    </row>
    <row r="17703">
      <c r="H17703" s="50"/>
      <c r="I17703" s="50"/>
      <c r="O17703" s="36" t="s">
        <v>48</v>
      </c>
      <c r="R17703" s="36" t="s">
        <v>48</v>
      </c>
    </row>
    <row r="17704">
      <c r="H17704" s="50"/>
      <c r="I17704" s="50"/>
      <c r="O17704" s="36" t="s">
        <v>48</v>
      </c>
      <c r="R17704" s="36" t="s">
        <v>48</v>
      </c>
    </row>
    <row r="17705">
      <c r="H17705" s="50"/>
      <c r="I17705" s="50"/>
      <c r="O17705" s="36" t="s">
        <v>48</v>
      </c>
      <c r="R17705" s="36" t="s">
        <v>48</v>
      </c>
    </row>
    <row r="17706">
      <c r="H17706" s="50"/>
      <c r="I17706" s="50"/>
      <c r="O17706" s="36" t="s">
        <v>48</v>
      </c>
      <c r="R17706" s="36" t="s">
        <v>48</v>
      </c>
    </row>
    <row r="17707">
      <c r="H17707" s="50"/>
      <c r="I17707" s="50"/>
      <c r="O17707" s="36" t="s">
        <v>48</v>
      </c>
      <c r="R17707" s="36" t="s">
        <v>48</v>
      </c>
    </row>
    <row r="17708">
      <c r="H17708" s="50"/>
      <c r="I17708" s="50"/>
      <c r="O17708" s="36" t="s">
        <v>48</v>
      </c>
      <c r="R17708" s="36" t="s">
        <v>48</v>
      </c>
    </row>
    <row r="17709">
      <c r="H17709" s="50"/>
      <c r="I17709" s="50"/>
      <c r="O17709" s="36" t="s">
        <v>48</v>
      </c>
      <c r="R17709" s="36" t="s">
        <v>48</v>
      </c>
    </row>
    <row r="17710">
      <c r="H17710" s="50"/>
      <c r="I17710" s="50"/>
      <c r="O17710" s="36" t="s">
        <v>48</v>
      </c>
      <c r="R17710" s="36" t="s">
        <v>48</v>
      </c>
    </row>
    <row r="17711">
      <c r="H17711" s="50"/>
      <c r="I17711" s="50"/>
      <c r="O17711" s="36" t="s">
        <v>48</v>
      </c>
      <c r="R17711" s="36" t="s">
        <v>48</v>
      </c>
    </row>
    <row r="17712">
      <c r="H17712" s="50"/>
      <c r="I17712" s="50"/>
      <c r="O17712" s="36" t="s">
        <v>48</v>
      </c>
      <c r="R17712" s="36" t="s">
        <v>48</v>
      </c>
    </row>
    <row r="17713">
      <c r="H17713" s="50"/>
      <c r="I17713" s="50"/>
      <c r="O17713" s="36" t="s">
        <v>48</v>
      </c>
      <c r="R17713" s="36" t="s">
        <v>48</v>
      </c>
    </row>
    <row r="17714">
      <c r="H17714" s="50"/>
      <c r="I17714" s="50"/>
      <c r="O17714" s="36" t="s">
        <v>48</v>
      </c>
      <c r="R17714" s="36" t="s">
        <v>48</v>
      </c>
    </row>
    <row r="17715">
      <c r="H17715" s="50"/>
      <c r="I17715" s="50"/>
      <c r="O17715" s="36" t="s">
        <v>48</v>
      </c>
      <c r="R17715" s="36" t="s">
        <v>48</v>
      </c>
    </row>
    <row r="17716">
      <c r="H17716" s="50"/>
      <c r="I17716" s="50"/>
      <c r="O17716" s="36" t="s">
        <v>48</v>
      </c>
      <c r="R17716" s="36" t="s">
        <v>48</v>
      </c>
    </row>
    <row r="17717">
      <c r="H17717" s="50"/>
      <c r="I17717" s="50"/>
      <c r="O17717" s="36" t="s">
        <v>48</v>
      </c>
      <c r="R17717" s="36" t="s">
        <v>48</v>
      </c>
    </row>
    <row r="17718">
      <c r="H17718" s="50"/>
      <c r="I17718" s="50"/>
      <c r="O17718" s="36" t="s">
        <v>48</v>
      </c>
      <c r="R17718" s="36" t="s">
        <v>48</v>
      </c>
    </row>
    <row r="17719">
      <c r="H17719" s="50"/>
      <c r="I17719" s="50"/>
      <c r="O17719" s="36" t="s">
        <v>48</v>
      </c>
      <c r="R17719" s="36" t="s">
        <v>48</v>
      </c>
    </row>
    <row r="17720">
      <c r="H17720" s="50"/>
      <c r="I17720" s="50"/>
      <c r="O17720" s="36" t="s">
        <v>48</v>
      </c>
      <c r="R17720" s="36" t="s">
        <v>48</v>
      </c>
    </row>
    <row r="17721">
      <c r="H17721" s="50"/>
      <c r="I17721" s="50"/>
      <c r="O17721" s="36" t="s">
        <v>48</v>
      </c>
      <c r="R17721" s="36" t="s">
        <v>48</v>
      </c>
    </row>
    <row r="17722">
      <c r="H17722" s="50"/>
      <c r="I17722" s="50"/>
      <c r="O17722" s="36" t="s">
        <v>48</v>
      </c>
      <c r="R17722" s="36" t="s">
        <v>48</v>
      </c>
    </row>
    <row r="17723">
      <c r="H17723" s="50"/>
      <c r="I17723" s="50"/>
      <c r="O17723" s="36" t="s">
        <v>48</v>
      </c>
      <c r="R17723" s="36" t="s">
        <v>48</v>
      </c>
    </row>
    <row r="17724">
      <c r="H17724" s="50"/>
      <c r="I17724" s="50"/>
      <c r="O17724" s="36" t="s">
        <v>48</v>
      </c>
      <c r="R17724" s="36" t="s">
        <v>48</v>
      </c>
    </row>
    <row r="17725">
      <c r="H17725" s="50"/>
      <c r="I17725" s="50"/>
      <c r="O17725" s="36" t="s">
        <v>48</v>
      </c>
      <c r="R17725" s="36" t="s">
        <v>48</v>
      </c>
    </row>
    <row r="17726">
      <c r="H17726" s="50"/>
      <c r="I17726" s="50"/>
      <c r="O17726" s="36" t="s">
        <v>48</v>
      </c>
      <c r="R17726" s="36" t="s">
        <v>48</v>
      </c>
    </row>
    <row r="17727">
      <c r="H17727" s="50"/>
      <c r="I17727" s="50"/>
      <c r="O17727" s="36" t="s">
        <v>48</v>
      </c>
      <c r="R17727" s="36" t="s">
        <v>48</v>
      </c>
    </row>
    <row r="17728">
      <c r="H17728" s="50"/>
      <c r="I17728" s="50"/>
      <c r="O17728" s="36" t="s">
        <v>48</v>
      </c>
      <c r="R17728" s="36" t="s">
        <v>48</v>
      </c>
    </row>
    <row r="17729">
      <c r="H17729" s="50"/>
      <c r="I17729" s="50"/>
      <c r="O17729" s="36" t="s">
        <v>48</v>
      </c>
      <c r="R17729" s="36" t="s">
        <v>48</v>
      </c>
    </row>
    <row r="17730">
      <c r="H17730" s="50"/>
      <c r="I17730" s="50"/>
      <c r="O17730" s="36" t="s">
        <v>48</v>
      </c>
      <c r="R17730" s="36" t="s">
        <v>48</v>
      </c>
    </row>
    <row r="17731">
      <c r="H17731" s="50"/>
      <c r="I17731" s="50"/>
      <c r="O17731" s="36" t="s">
        <v>48</v>
      </c>
      <c r="R17731" s="36" t="s">
        <v>48</v>
      </c>
    </row>
    <row r="17732">
      <c r="H17732" s="50"/>
      <c r="I17732" s="50"/>
      <c r="O17732" s="36" t="s">
        <v>48</v>
      </c>
      <c r="R17732" s="36" t="s">
        <v>48</v>
      </c>
    </row>
    <row r="17733">
      <c r="H17733" s="50"/>
      <c r="I17733" s="50"/>
      <c r="O17733" s="36" t="s">
        <v>48</v>
      </c>
      <c r="R17733" s="36" t="s">
        <v>48</v>
      </c>
    </row>
    <row r="17734">
      <c r="H17734" s="50"/>
      <c r="I17734" s="50"/>
      <c r="O17734" s="36" t="s">
        <v>48</v>
      </c>
      <c r="R17734" s="36" t="s">
        <v>48</v>
      </c>
    </row>
    <row r="17735">
      <c r="H17735" s="50"/>
      <c r="I17735" s="50"/>
      <c r="O17735" s="36" t="s">
        <v>48</v>
      </c>
      <c r="R17735" s="36" t="s">
        <v>48</v>
      </c>
    </row>
    <row r="17736">
      <c r="H17736" s="50"/>
      <c r="I17736" s="50"/>
      <c r="O17736" s="36" t="s">
        <v>48</v>
      </c>
      <c r="R17736" s="36" t="s">
        <v>48</v>
      </c>
    </row>
    <row r="17737">
      <c r="H17737" s="50"/>
      <c r="I17737" s="50"/>
      <c r="O17737" s="36" t="s">
        <v>48</v>
      </c>
      <c r="R17737" s="36" t="s">
        <v>48</v>
      </c>
    </row>
    <row r="17738">
      <c r="H17738" s="50"/>
      <c r="I17738" s="50"/>
      <c r="O17738" s="36" t="s">
        <v>48</v>
      </c>
      <c r="R17738" s="36" t="s">
        <v>48</v>
      </c>
    </row>
    <row r="17739">
      <c r="H17739" s="50"/>
      <c r="I17739" s="50"/>
      <c r="O17739" s="36" t="s">
        <v>48</v>
      </c>
      <c r="R17739" s="36" t="s">
        <v>48</v>
      </c>
    </row>
    <row r="17740">
      <c r="H17740" s="50"/>
      <c r="I17740" s="50"/>
      <c r="O17740" s="36" t="s">
        <v>48</v>
      </c>
      <c r="R17740" s="36" t="s">
        <v>48</v>
      </c>
    </row>
    <row r="17741">
      <c r="H17741" s="50"/>
      <c r="I17741" s="50"/>
      <c r="O17741" s="36" t="s">
        <v>48</v>
      </c>
      <c r="R17741" s="36" t="s">
        <v>48</v>
      </c>
    </row>
    <row r="17742">
      <c r="H17742" s="50"/>
      <c r="I17742" s="50"/>
      <c r="O17742" s="36" t="s">
        <v>48</v>
      </c>
      <c r="R17742" s="36" t="s">
        <v>48</v>
      </c>
    </row>
    <row r="17743">
      <c r="H17743" s="50"/>
      <c r="I17743" s="50"/>
      <c r="O17743" s="36" t="s">
        <v>48</v>
      </c>
      <c r="R17743" s="36" t="s">
        <v>48</v>
      </c>
    </row>
    <row r="17744">
      <c r="H17744" s="50"/>
      <c r="I17744" s="50"/>
      <c r="O17744" s="36" t="s">
        <v>48</v>
      </c>
      <c r="R17744" s="36" t="s">
        <v>48</v>
      </c>
    </row>
    <row r="17745">
      <c r="H17745" s="50"/>
      <c r="I17745" s="50"/>
      <c r="O17745" s="36" t="s">
        <v>48</v>
      </c>
      <c r="R17745" s="36" t="s">
        <v>48</v>
      </c>
    </row>
    <row r="17746">
      <c r="H17746" s="50"/>
      <c r="I17746" s="50"/>
      <c r="O17746" s="36" t="s">
        <v>48</v>
      </c>
      <c r="R17746" s="36" t="s">
        <v>48</v>
      </c>
    </row>
    <row r="17747">
      <c r="H17747" s="50"/>
      <c r="I17747" s="50"/>
      <c r="O17747" s="36" t="s">
        <v>48</v>
      </c>
      <c r="R17747" s="36" t="s">
        <v>48</v>
      </c>
    </row>
    <row r="17748">
      <c r="H17748" s="50"/>
      <c r="I17748" s="50"/>
      <c r="O17748" s="36" t="s">
        <v>48</v>
      </c>
      <c r="R17748" s="36" t="s">
        <v>48</v>
      </c>
    </row>
    <row r="17749">
      <c r="H17749" s="50"/>
      <c r="I17749" s="50"/>
      <c r="O17749" s="36" t="s">
        <v>48</v>
      </c>
      <c r="R17749" s="36" t="s">
        <v>48</v>
      </c>
    </row>
    <row r="17750">
      <c r="H17750" s="50"/>
      <c r="I17750" s="50"/>
      <c r="O17750" s="36" t="s">
        <v>48</v>
      </c>
      <c r="R17750" s="36" t="s">
        <v>48</v>
      </c>
    </row>
    <row r="17751">
      <c r="H17751" s="50"/>
      <c r="I17751" s="50"/>
      <c r="O17751" s="36" t="s">
        <v>48</v>
      </c>
      <c r="R17751" s="36" t="s">
        <v>48</v>
      </c>
    </row>
    <row r="17752">
      <c r="H17752" s="50"/>
      <c r="I17752" s="50"/>
      <c r="O17752" s="36" t="s">
        <v>48</v>
      </c>
      <c r="R17752" s="36" t="s">
        <v>48</v>
      </c>
    </row>
    <row r="17753">
      <c r="H17753" s="50"/>
      <c r="I17753" s="50"/>
      <c r="O17753" s="36" t="s">
        <v>48</v>
      </c>
      <c r="R17753" s="36" t="s">
        <v>48</v>
      </c>
    </row>
    <row r="17754">
      <c r="H17754" s="50"/>
      <c r="I17754" s="50"/>
      <c r="O17754" s="36" t="s">
        <v>48</v>
      </c>
      <c r="R17754" s="36" t="s">
        <v>48</v>
      </c>
    </row>
    <row r="17755">
      <c r="H17755" s="50"/>
      <c r="I17755" s="50"/>
      <c r="O17755" s="36" t="s">
        <v>48</v>
      </c>
      <c r="R17755" s="36" t="s">
        <v>48</v>
      </c>
    </row>
    <row r="17756">
      <c r="H17756" s="50"/>
      <c r="I17756" s="50"/>
      <c r="O17756" s="36" t="s">
        <v>48</v>
      </c>
      <c r="R17756" s="36" t="s">
        <v>48</v>
      </c>
    </row>
    <row r="17757">
      <c r="H17757" s="50"/>
      <c r="I17757" s="50"/>
      <c r="O17757" s="36" t="s">
        <v>48</v>
      </c>
      <c r="R17757" s="36" t="s">
        <v>48</v>
      </c>
    </row>
    <row r="17758">
      <c r="H17758" s="50"/>
      <c r="I17758" s="50"/>
      <c r="O17758" s="36" t="s">
        <v>48</v>
      </c>
      <c r="R17758" s="36" t="s">
        <v>48</v>
      </c>
    </row>
    <row r="17759">
      <c r="H17759" s="50"/>
      <c r="I17759" s="50"/>
      <c r="O17759" s="36" t="s">
        <v>48</v>
      </c>
      <c r="R17759" s="36" t="s">
        <v>48</v>
      </c>
    </row>
    <row r="17760">
      <c r="H17760" s="50"/>
      <c r="I17760" s="50"/>
      <c r="O17760" s="36" t="s">
        <v>48</v>
      </c>
      <c r="R17760" s="36" t="s">
        <v>48</v>
      </c>
    </row>
    <row r="17761">
      <c r="H17761" s="50"/>
      <c r="I17761" s="50"/>
      <c r="O17761" s="36" t="s">
        <v>48</v>
      </c>
      <c r="R17761" s="36" t="s">
        <v>48</v>
      </c>
    </row>
    <row r="17762">
      <c r="H17762" s="50"/>
      <c r="I17762" s="50"/>
      <c r="O17762" s="36" t="s">
        <v>48</v>
      </c>
      <c r="R17762" s="36" t="s">
        <v>48</v>
      </c>
    </row>
    <row r="17763">
      <c r="H17763" s="50"/>
      <c r="I17763" s="50"/>
      <c r="O17763" s="36" t="s">
        <v>48</v>
      </c>
      <c r="R17763" s="36" t="s">
        <v>48</v>
      </c>
    </row>
    <row r="17764">
      <c r="H17764" s="50"/>
      <c r="I17764" s="50"/>
      <c r="O17764" s="36" t="s">
        <v>48</v>
      </c>
      <c r="R17764" s="36" t="s">
        <v>48</v>
      </c>
    </row>
    <row r="17765">
      <c r="H17765" s="50"/>
      <c r="I17765" s="50"/>
      <c r="O17765" s="36" t="s">
        <v>48</v>
      </c>
      <c r="R17765" s="36" t="s">
        <v>48</v>
      </c>
    </row>
    <row r="17766">
      <c r="H17766" s="50"/>
      <c r="I17766" s="50"/>
      <c r="O17766" s="36" t="s">
        <v>48</v>
      </c>
      <c r="R17766" s="36" t="s">
        <v>48</v>
      </c>
    </row>
    <row r="17767">
      <c r="H17767" s="50"/>
      <c r="I17767" s="50"/>
      <c r="O17767" s="36" t="s">
        <v>48</v>
      </c>
      <c r="R17767" s="36" t="s">
        <v>48</v>
      </c>
    </row>
    <row r="17768">
      <c r="H17768" s="50"/>
      <c r="I17768" s="50"/>
      <c r="O17768" s="36" t="s">
        <v>48</v>
      </c>
      <c r="R17768" s="36" t="s">
        <v>48</v>
      </c>
    </row>
    <row r="17769">
      <c r="H17769" s="50"/>
      <c r="I17769" s="50"/>
      <c r="O17769" s="36" t="s">
        <v>48</v>
      </c>
      <c r="R17769" s="36" t="s">
        <v>48</v>
      </c>
    </row>
    <row r="17770">
      <c r="H17770" s="50"/>
      <c r="I17770" s="50"/>
      <c r="O17770" s="36" t="s">
        <v>48</v>
      </c>
      <c r="R17770" s="36" t="s">
        <v>48</v>
      </c>
    </row>
    <row r="17771">
      <c r="H17771" s="50"/>
      <c r="I17771" s="50"/>
      <c r="O17771" s="36" t="s">
        <v>48</v>
      </c>
      <c r="R17771" s="36" t="s">
        <v>48</v>
      </c>
    </row>
    <row r="17772">
      <c r="H17772" s="50"/>
      <c r="I17772" s="50"/>
      <c r="O17772" s="36" t="s">
        <v>48</v>
      </c>
      <c r="R17772" s="36" t="s">
        <v>48</v>
      </c>
    </row>
    <row r="17773">
      <c r="H17773" s="50"/>
      <c r="I17773" s="50"/>
      <c r="O17773" s="36" t="s">
        <v>48</v>
      </c>
      <c r="R17773" s="36" t="s">
        <v>48</v>
      </c>
    </row>
    <row r="17774">
      <c r="H17774" s="50"/>
      <c r="I17774" s="50"/>
      <c r="O17774" s="36" t="s">
        <v>48</v>
      </c>
      <c r="R17774" s="36" t="s">
        <v>48</v>
      </c>
    </row>
    <row r="17775">
      <c r="H17775" s="50"/>
      <c r="I17775" s="50"/>
      <c r="O17775" s="36" t="s">
        <v>48</v>
      </c>
      <c r="R17775" s="36" t="s">
        <v>48</v>
      </c>
    </row>
    <row r="17776">
      <c r="H17776" s="50"/>
      <c r="I17776" s="50"/>
      <c r="O17776" s="36" t="s">
        <v>48</v>
      </c>
      <c r="R17776" s="36" t="s">
        <v>48</v>
      </c>
    </row>
    <row r="17777">
      <c r="H17777" s="50"/>
      <c r="I17777" s="50"/>
      <c r="O17777" s="36" t="s">
        <v>48</v>
      </c>
      <c r="R17777" s="36" t="s">
        <v>48</v>
      </c>
    </row>
    <row r="17778">
      <c r="H17778" s="50"/>
      <c r="I17778" s="50"/>
      <c r="O17778" s="36" t="s">
        <v>48</v>
      </c>
      <c r="R17778" s="36" t="s">
        <v>48</v>
      </c>
    </row>
    <row r="17779">
      <c r="H17779" s="50"/>
      <c r="I17779" s="50"/>
      <c r="O17779" s="36" t="s">
        <v>48</v>
      </c>
      <c r="R17779" s="36" t="s">
        <v>48</v>
      </c>
    </row>
    <row r="17780">
      <c r="H17780" s="50"/>
      <c r="I17780" s="50"/>
      <c r="O17780" s="36" t="s">
        <v>48</v>
      </c>
      <c r="R17780" s="36" t="s">
        <v>48</v>
      </c>
    </row>
    <row r="17781">
      <c r="H17781" s="50"/>
      <c r="I17781" s="50"/>
      <c r="O17781" s="36" t="s">
        <v>48</v>
      </c>
      <c r="R17781" s="36" t="s">
        <v>48</v>
      </c>
    </row>
    <row r="17782">
      <c r="H17782" s="50"/>
      <c r="I17782" s="50"/>
      <c r="O17782" s="36" t="s">
        <v>48</v>
      </c>
      <c r="R17782" s="36" t="s">
        <v>48</v>
      </c>
    </row>
    <row r="17783">
      <c r="H17783" s="50"/>
      <c r="I17783" s="50"/>
      <c r="O17783" s="36" t="s">
        <v>48</v>
      </c>
      <c r="R17783" s="36" t="s">
        <v>48</v>
      </c>
    </row>
    <row r="17784">
      <c r="H17784" s="50"/>
      <c r="I17784" s="50"/>
      <c r="O17784" s="36" t="s">
        <v>48</v>
      </c>
      <c r="R17784" s="36" t="s">
        <v>48</v>
      </c>
    </row>
    <row r="17785">
      <c r="H17785" s="50"/>
      <c r="I17785" s="50"/>
      <c r="O17785" s="36" t="s">
        <v>48</v>
      </c>
      <c r="R17785" s="36" t="s">
        <v>48</v>
      </c>
    </row>
    <row r="17786">
      <c r="H17786" s="50"/>
      <c r="I17786" s="50"/>
      <c r="O17786" s="36" t="s">
        <v>48</v>
      </c>
      <c r="R17786" s="36" t="s">
        <v>48</v>
      </c>
    </row>
    <row r="17787">
      <c r="H17787" s="50"/>
      <c r="I17787" s="50"/>
      <c r="O17787" s="36" t="s">
        <v>48</v>
      </c>
      <c r="R17787" s="36" t="s">
        <v>48</v>
      </c>
    </row>
    <row r="17788">
      <c r="H17788" s="50"/>
      <c r="I17788" s="50"/>
      <c r="O17788" s="36" t="s">
        <v>48</v>
      </c>
      <c r="R17788" s="36" t="s">
        <v>48</v>
      </c>
    </row>
    <row r="17789">
      <c r="H17789" s="50"/>
      <c r="I17789" s="50"/>
      <c r="O17789" s="36" t="s">
        <v>48</v>
      </c>
      <c r="R17789" s="36" t="s">
        <v>48</v>
      </c>
    </row>
    <row r="17790">
      <c r="H17790" s="50"/>
      <c r="I17790" s="50"/>
      <c r="O17790" s="36" t="s">
        <v>48</v>
      </c>
      <c r="R17790" s="36" t="s">
        <v>48</v>
      </c>
    </row>
    <row r="17791">
      <c r="H17791" s="50"/>
      <c r="I17791" s="50"/>
      <c r="O17791" s="36" t="s">
        <v>48</v>
      </c>
      <c r="R17791" s="36" t="s">
        <v>48</v>
      </c>
    </row>
    <row r="17792">
      <c r="H17792" s="50"/>
      <c r="I17792" s="50"/>
      <c r="O17792" s="36" t="s">
        <v>48</v>
      </c>
      <c r="R17792" s="36" t="s">
        <v>48</v>
      </c>
    </row>
    <row r="17793">
      <c r="H17793" s="50"/>
      <c r="I17793" s="50"/>
      <c r="O17793" s="36" t="s">
        <v>48</v>
      </c>
      <c r="R17793" s="36" t="s">
        <v>48</v>
      </c>
    </row>
    <row r="17794">
      <c r="H17794" s="50"/>
      <c r="I17794" s="50"/>
      <c r="O17794" s="36" t="s">
        <v>48</v>
      </c>
      <c r="R17794" s="36" t="s">
        <v>48</v>
      </c>
    </row>
    <row r="17795">
      <c r="H17795" s="50"/>
      <c r="I17795" s="50"/>
      <c r="O17795" s="36" t="s">
        <v>48</v>
      </c>
      <c r="R17795" s="36" t="s">
        <v>48</v>
      </c>
    </row>
    <row r="17796">
      <c r="H17796" s="50"/>
      <c r="I17796" s="50"/>
      <c r="O17796" s="36" t="s">
        <v>48</v>
      </c>
      <c r="R17796" s="36" t="s">
        <v>48</v>
      </c>
    </row>
    <row r="17797">
      <c r="H17797" s="50"/>
      <c r="I17797" s="50"/>
      <c r="O17797" s="36" t="s">
        <v>48</v>
      </c>
      <c r="R17797" s="36" t="s">
        <v>48</v>
      </c>
    </row>
    <row r="17798">
      <c r="H17798" s="50"/>
      <c r="I17798" s="50"/>
      <c r="O17798" s="36" t="s">
        <v>48</v>
      </c>
      <c r="R17798" s="36" t="s">
        <v>48</v>
      </c>
    </row>
    <row r="17799">
      <c r="H17799" s="50"/>
      <c r="I17799" s="50"/>
      <c r="O17799" s="36" t="s">
        <v>48</v>
      </c>
      <c r="R17799" s="36" t="s">
        <v>48</v>
      </c>
    </row>
    <row r="17800">
      <c r="H17800" s="50"/>
      <c r="I17800" s="50"/>
      <c r="O17800" s="36" t="s">
        <v>48</v>
      </c>
      <c r="R17800" s="36" t="s">
        <v>48</v>
      </c>
    </row>
    <row r="17801">
      <c r="H17801" s="50"/>
      <c r="I17801" s="50"/>
      <c r="O17801" s="36" t="s">
        <v>48</v>
      </c>
      <c r="R17801" s="36" t="s">
        <v>48</v>
      </c>
    </row>
    <row r="17802">
      <c r="H17802" s="50"/>
      <c r="I17802" s="50"/>
      <c r="O17802" s="36" t="s">
        <v>48</v>
      </c>
      <c r="R17802" s="36" t="s">
        <v>48</v>
      </c>
    </row>
    <row r="17803">
      <c r="H17803" s="50"/>
      <c r="I17803" s="50"/>
      <c r="O17803" s="36" t="s">
        <v>48</v>
      </c>
      <c r="R17803" s="36" t="s">
        <v>48</v>
      </c>
    </row>
    <row r="17804">
      <c r="H17804" s="50"/>
      <c r="I17804" s="50"/>
      <c r="O17804" s="36" t="s">
        <v>48</v>
      </c>
      <c r="R17804" s="36" t="s">
        <v>48</v>
      </c>
    </row>
    <row r="17805">
      <c r="H17805" s="50"/>
      <c r="I17805" s="50"/>
      <c r="O17805" s="36" t="s">
        <v>48</v>
      </c>
      <c r="R17805" s="36" t="s">
        <v>48</v>
      </c>
    </row>
    <row r="17806">
      <c r="H17806" s="50"/>
      <c r="I17806" s="50"/>
      <c r="O17806" s="36" t="s">
        <v>48</v>
      </c>
      <c r="R17806" s="36" t="s">
        <v>48</v>
      </c>
    </row>
    <row r="17807">
      <c r="H17807" s="50"/>
      <c r="I17807" s="50"/>
      <c r="O17807" s="36" t="s">
        <v>48</v>
      </c>
      <c r="R17807" s="36" t="s">
        <v>48</v>
      </c>
    </row>
    <row r="17808">
      <c r="H17808" s="50"/>
      <c r="I17808" s="50"/>
      <c r="O17808" s="36" t="s">
        <v>48</v>
      </c>
      <c r="R17808" s="36" t="s">
        <v>48</v>
      </c>
    </row>
    <row r="17809">
      <c r="H17809" s="50"/>
      <c r="I17809" s="50"/>
      <c r="O17809" s="36" t="s">
        <v>48</v>
      </c>
      <c r="R17809" s="36" t="s">
        <v>48</v>
      </c>
    </row>
    <row r="17810">
      <c r="H17810" s="50"/>
      <c r="I17810" s="50"/>
      <c r="O17810" s="36" t="s">
        <v>48</v>
      </c>
      <c r="R17810" s="36" t="s">
        <v>48</v>
      </c>
    </row>
    <row r="17811">
      <c r="H17811" s="50"/>
      <c r="I17811" s="50"/>
      <c r="O17811" s="36" t="s">
        <v>48</v>
      </c>
      <c r="R17811" s="36" t="s">
        <v>48</v>
      </c>
    </row>
    <row r="17812">
      <c r="H17812" s="50"/>
      <c r="I17812" s="50"/>
      <c r="O17812" s="36" t="s">
        <v>48</v>
      </c>
      <c r="R17812" s="36" t="s">
        <v>48</v>
      </c>
    </row>
    <row r="17813">
      <c r="H17813" s="50"/>
      <c r="I17813" s="50"/>
      <c r="O17813" s="36" t="s">
        <v>48</v>
      </c>
      <c r="R17813" s="36" t="s">
        <v>48</v>
      </c>
    </row>
    <row r="17814">
      <c r="H17814" s="50"/>
      <c r="I17814" s="50"/>
      <c r="O17814" s="36" t="s">
        <v>48</v>
      </c>
      <c r="R17814" s="36" t="s">
        <v>48</v>
      </c>
    </row>
    <row r="17815">
      <c r="H17815" s="50"/>
      <c r="I17815" s="50"/>
      <c r="O17815" s="36" t="s">
        <v>48</v>
      </c>
      <c r="R17815" s="36" t="s">
        <v>48</v>
      </c>
    </row>
    <row r="17816">
      <c r="H17816" s="50"/>
      <c r="I17816" s="50"/>
      <c r="O17816" s="36" t="s">
        <v>48</v>
      </c>
      <c r="R17816" s="36" t="s">
        <v>48</v>
      </c>
    </row>
    <row r="17817">
      <c r="H17817" s="50"/>
      <c r="I17817" s="50"/>
      <c r="O17817" s="36" t="s">
        <v>48</v>
      </c>
      <c r="R17817" s="36" t="s">
        <v>48</v>
      </c>
    </row>
    <row r="17818">
      <c r="H17818" s="50"/>
      <c r="I17818" s="50"/>
      <c r="O17818" s="36" t="s">
        <v>48</v>
      </c>
      <c r="R17818" s="36" t="s">
        <v>48</v>
      </c>
    </row>
    <row r="17819">
      <c r="H17819" s="50"/>
      <c r="I17819" s="50"/>
      <c r="O17819" s="36" t="s">
        <v>48</v>
      </c>
      <c r="R17819" s="36" t="s">
        <v>48</v>
      </c>
    </row>
    <row r="17820">
      <c r="H17820" s="50"/>
      <c r="I17820" s="50"/>
      <c r="O17820" s="36" t="s">
        <v>48</v>
      </c>
      <c r="R17820" s="36" t="s">
        <v>48</v>
      </c>
    </row>
    <row r="17821">
      <c r="H17821" s="50"/>
      <c r="I17821" s="50"/>
      <c r="O17821" s="36" t="s">
        <v>48</v>
      </c>
      <c r="R17821" s="36" t="s">
        <v>48</v>
      </c>
    </row>
    <row r="17822">
      <c r="H17822" s="50"/>
      <c r="I17822" s="50"/>
      <c r="O17822" s="36" t="s">
        <v>48</v>
      </c>
      <c r="R17822" s="36" t="s">
        <v>48</v>
      </c>
    </row>
    <row r="17823">
      <c r="H17823" s="50"/>
      <c r="I17823" s="50"/>
      <c r="O17823" s="36" t="s">
        <v>48</v>
      </c>
      <c r="R17823" s="36" t="s">
        <v>48</v>
      </c>
    </row>
    <row r="17824">
      <c r="H17824" s="50"/>
      <c r="I17824" s="50"/>
      <c r="O17824" s="36" t="s">
        <v>48</v>
      </c>
      <c r="R17824" s="36" t="s">
        <v>48</v>
      </c>
    </row>
    <row r="17825">
      <c r="H17825" s="50"/>
      <c r="I17825" s="50"/>
      <c r="O17825" s="36" t="s">
        <v>48</v>
      </c>
      <c r="R17825" s="36" t="s">
        <v>48</v>
      </c>
    </row>
    <row r="17826">
      <c r="H17826" s="50"/>
      <c r="I17826" s="50"/>
      <c r="O17826" s="36" t="s">
        <v>48</v>
      </c>
      <c r="R17826" s="36" t="s">
        <v>48</v>
      </c>
    </row>
    <row r="17827">
      <c r="H17827" s="50"/>
      <c r="I17827" s="50"/>
      <c r="O17827" s="36" t="s">
        <v>48</v>
      </c>
      <c r="R17827" s="36" t="s">
        <v>48</v>
      </c>
    </row>
    <row r="17828">
      <c r="H17828" s="50"/>
      <c r="I17828" s="50"/>
      <c r="O17828" s="36" t="s">
        <v>48</v>
      </c>
      <c r="R17828" s="36" t="s">
        <v>48</v>
      </c>
    </row>
    <row r="17829">
      <c r="H17829" s="50"/>
      <c r="I17829" s="50"/>
      <c r="O17829" s="36" t="s">
        <v>48</v>
      </c>
      <c r="R17829" s="36" t="s">
        <v>48</v>
      </c>
    </row>
    <row r="17830">
      <c r="H17830" s="50"/>
      <c r="I17830" s="50"/>
      <c r="O17830" s="36" t="s">
        <v>48</v>
      </c>
      <c r="R17830" s="36" t="s">
        <v>48</v>
      </c>
    </row>
    <row r="17831">
      <c r="H17831" s="50"/>
      <c r="I17831" s="50"/>
      <c r="O17831" s="36" t="s">
        <v>48</v>
      </c>
      <c r="R17831" s="36" t="s">
        <v>48</v>
      </c>
    </row>
    <row r="17832">
      <c r="H17832" s="50"/>
      <c r="I17832" s="50"/>
      <c r="O17832" s="36" t="s">
        <v>48</v>
      </c>
      <c r="R17832" s="36" t="s">
        <v>48</v>
      </c>
    </row>
    <row r="17833">
      <c r="H17833" s="50"/>
      <c r="I17833" s="50"/>
      <c r="O17833" s="36" t="s">
        <v>48</v>
      </c>
      <c r="R17833" s="36" t="s">
        <v>48</v>
      </c>
    </row>
    <row r="17834">
      <c r="H17834" s="50"/>
      <c r="I17834" s="50"/>
      <c r="O17834" s="36" t="s">
        <v>48</v>
      </c>
      <c r="R17834" s="36" t="s">
        <v>48</v>
      </c>
    </row>
    <row r="17835">
      <c r="H17835" s="50"/>
      <c r="I17835" s="50"/>
      <c r="O17835" s="36" t="s">
        <v>48</v>
      </c>
      <c r="R17835" s="36" t="s">
        <v>48</v>
      </c>
    </row>
    <row r="17836">
      <c r="H17836" s="50"/>
      <c r="I17836" s="50"/>
      <c r="O17836" s="36" t="s">
        <v>48</v>
      </c>
      <c r="R17836" s="36" t="s">
        <v>48</v>
      </c>
    </row>
    <row r="17837">
      <c r="H17837" s="50"/>
      <c r="I17837" s="50"/>
      <c r="O17837" s="36" t="s">
        <v>48</v>
      </c>
      <c r="R17837" s="36" t="s">
        <v>48</v>
      </c>
    </row>
    <row r="17838">
      <c r="H17838" s="50"/>
      <c r="I17838" s="50"/>
      <c r="O17838" s="36" t="s">
        <v>48</v>
      </c>
      <c r="R17838" s="36" t="s">
        <v>48</v>
      </c>
    </row>
    <row r="17839">
      <c r="H17839" s="50"/>
      <c r="I17839" s="50"/>
      <c r="O17839" s="36" t="s">
        <v>48</v>
      </c>
      <c r="R17839" s="36" t="s">
        <v>48</v>
      </c>
    </row>
    <row r="17840">
      <c r="H17840" s="50"/>
      <c r="I17840" s="50"/>
      <c r="O17840" s="36" t="s">
        <v>48</v>
      </c>
      <c r="R17840" s="36" t="s">
        <v>48</v>
      </c>
    </row>
    <row r="17841">
      <c r="H17841" s="50"/>
      <c r="I17841" s="50"/>
      <c r="O17841" s="36" t="s">
        <v>48</v>
      </c>
      <c r="R17841" s="36" t="s">
        <v>48</v>
      </c>
    </row>
    <row r="17842">
      <c r="H17842" s="50"/>
      <c r="I17842" s="50"/>
      <c r="O17842" s="36" t="s">
        <v>48</v>
      </c>
      <c r="R17842" s="36" t="s">
        <v>48</v>
      </c>
    </row>
    <row r="17843">
      <c r="H17843" s="50"/>
      <c r="I17843" s="50"/>
      <c r="O17843" s="36" t="s">
        <v>48</v>
      </c>
      <c r="R17843" s="36" t="s">
        <v>48</v>
      </c>
    </row>
    <row r="17844">
      <c r="H17844" s="50"/>
      <c r="I17844" s="50"/>
      <c r="O17844" s="36" t="s">
        <v>48</v>
      </c>
      <c r="R17844" s="36" t="s">
        <v>48</v>
      </c>
    </row>
    <row r="17845">
      <c r="H17845" s="50"/>
      <c r="I17845" s="50"/>
      <c r="O17845" s="36" t="s">
        <v>48</v>
      </c>
      <c r="R17845" s="36" t="s">
        <v>48</v>
      </c>
    </row>
    <row r="17846">
      <c r="H17846" s="50"/>
      <c r="I17846" s="50"/>
      <c r="O17846" s="36" t="s">
        <v>48</v>
      </c>
      <c r="R17846" s="36" t="s">
        <v>48</v>
      </c>
    </row>
    <row r="17847">
      <c r="H17847" s="50"/>
      <c r="I17847" s="50"/>
      <c r="O17847" s="36" t="s">
        <v>48</v>
      </c>
      <c r="R17847" s="36" t="s">
        <v>48</v>
      </c>
    </row>
    <row r="17848">
      <c r="H17848" s="50"/>
      <c r="I17848" s="50"/>
      <c r="O17848" s="36" t="s">
        <v>48</v>
      </c>
      <c r="R17848" s="36" t="s">
        <v>48</v>
      </c>
    </row>
    <row r="17849">
      <c r="H17849" s="50"/>
      <c r="I17849" s="50"/>
      <c r="O17849" s="36" t="s">
        <v>48</v>
      </c>
      <c r="R17849" s="36" t="s">
        <v>48</v>
      </c>
    </row>
    <row r="17850">
      <c r="H17850" s="50"/>
      <c r="I17850" s="50"/>
      <c r="O17850" s="36" t="s">
        <v>48</v>
      </c>
      <c r="R17850" s="36" t="s">
        <v>48</v>
      </c>
    </row>
    <row r="17851">
      <c r="H17851" s="50"/>
      <c r="I17851" s="50"/>
      <c r="O17851" s="36" t="s">
        <v>48</v>
      </c>
      <c r="R17851" s="36" t="s">
        <v>48</v>
      </c>
    </row>
    <row r="17852">
      <c r="H17852" s="50"/>
      <c r="I17852" s="50"/>
      <c r="O17852" s="36" t="s">
        <v>48</v>
      </c>
      <c r="R17852" s="36" t="s">
        <v>48</v>
      </c>
    </row>
    <row r="17853">
      <c r="H17853" s="50"/>
      <c r="I17853" s="50"/>
      <c r="O17853" s="36" t="s">
        <v>48</v>
      </c>
      <c r="R17853" s="36" t="s">
        <v>48</v>
      </c>
    </row>
    <row r="17854">
      <c r="H17854" s="50"/>
      <c r="I17854" s="50"/>
      <c r="O17854" s="36" t="s">
        <v>48</v>
      </c>
      <c r="R17854" s="36" t="s">
        <v>48</v>
      </c>
    </row>
    <row r="17855">
      <c r="H17855" s="50"/>
      <c r="I17855" s="50"/>
      <c r="O17855" s="36" t="s">
        <v>48</v>
      </c>
      <c r="R17855" s="36" t="s">
        <v>48</v>
      </c>
    </row>
    <row r="17856">
      <c r="H17856" s="50"/>
      <c r="I17856" s="50"/>
      <c r="O17856" s="36" t="s">
        <v>48</v>
      </c>
      <c r="R17856" s="36" t="s">
        <v>48</v>
      </c>
    </row>
    <row r="17857">
      <c r="H17857" s="50"/>
      <c r="I17857" s="50"/>
      <c r="O17857" s="36" t="s">
        <v>48</v>
      </c>
      <c r="R17857" s="36" t="s">
        <v>48</v>
      </c>
    </row>
    <row r="17858">
      <c r="H17858" s="50"/>
      <c r="I17858" s="50"/>
      <c r="O17858" s="36" t="s">
        <v>48</v>
      </c>
      <c r="R17858" s="36" t="s">
        <v>48</v>
      </c>
    </row>
    <row r="17859">
      <c r="H17859" s="50"/>
      <c r="I17859" s="50"/>
      <c r="O17859" s="36" t="s">
        <v>48</v>
      </c>
      <c r="R17859" s="36" t="s">
        <v>48</v>
      </c>
    </row>
    <row r="17860">
      <c r="H17860" s="50"/>
      <c r="I17860" s="50"/>
      <c r="O17860" s="36" t="s">
        <v>48</v>
      </c>
      <c r="R17860" s="36" t="s">
        <v>48</v>
      </c>
    </row>
    <row r="17861">
      <c r="H17861" s="50"/>
      <c r="I17861" s="50"/>
      <c r="O17861" s="36" t="s">
        <v>48</v>
      </c>
      <c r="R17861" s="36" t="s">
        <v>48</v>
      </c>
    </row>
    <row r="17862">
      <c r="H17862" s="50"/>
      <c r="I17862" s="50"/>
      <c r="O17862" s="36" t="s">
        <v>48</v>
      </c>
      <c r="R17862" s="36" t="s">
        <v>48</v>
      </c>
    </row>
    <row r="17863">
      <c r="H17863" s="50"/>
      <c r="I17863" s="50"/>
      <c r="O17863" s="36" t="s">
        <v>48</v>
      </c>
      <c r="R17863" s="36" t="s">
        <v>48</v>
      </c>
    </row>
    <row r="17864">
      <c r="H17864" s="50"/>
      <c r="I17864" s="50"/>
      <c r="O17864" s="36" t="s">
        <v>48</v>
      </c>
      <c r="R17864" s="36" t="s">
        <v>48</v>
      </c>
    </row>
    <row r="17865">
      <c r="H17865" s="50"/>
      <c r="I17865" s="50"/>
      <c r="O17865" s="36" t="s">
        <v>48</v>
      </c>
      <c r="R17865" s="36" t="s">
        <v>48</v>
      </c>
    </row>
    <row r="17866">
      <c r="H17866" s="50"/>
      <c r="I17866" s="50"/>
      <c r="O17866" s="36" t="s">
        <v>48</v>
      </c>
      <c r="R17866" s="36" t="s">
        <v>48</v>
      </c>
    </row>
    <row r="17867">
      <c r="H17867" s="50"/>
      <c r="I17867" s="50"/>
      <c r="O17867" s="36" t="s">
        <v>48</v>
      </c>
      <c r="R17867" s="36" t="s">
        <v>48</v>
      </c>
    </row>
    <row r="17868">
      <c r="H17868" s="50"/>
      <c r="I17868" s="50"/>
      <c r="O17868" s="36" t="s">
        <v>48</v>
      </c>
      <c r="R17868" s="36" t="s">
        <v>48</v>
      </c>
    </row>
    <row r="17869">
      <c r="H17869" s="50"/>
      <c r="I17869" s="50"/>
      <c r="O17869" s="36" t="s">
        <v>48</v>
      </c>
      <c r="R17869" s="36" t="s">
        <v>48</v>
      </c>
    </row>
    <row r="17870">
      <c r="H17870" s="50"/>
      <c r="I17870" s="50"/>
      <c r="O17870" s="36" t="s">
        <v>48</v>
      </c>
      <c r="R17870" s="36" t="s">
        <v>48</v>
      </c>
    </row>
    <row r="17871">
      <c r="H17871" s="50"/>
      <c r="I17871" s="50"/>
      <c r="O17871" s="36" t="s">
        <v>48</v>
      </c>
      <c r="R17871" s="36" t="s">
        <v>48</v>
      </c>
    </row>
    <row r="17872">
      <c r="H17872" s="50"/>
      <c r="I17872" s="50"/>
      <c r="O17872" s="36" t="s">
        <v>48</v>
      </c>
      <c r="R17872" s="36" t="s">
        <v>48</v>
      </c>
    </row>
    <row r="17873">
      <c r="H17873" s="50"/>
      <c r="I17873" s="50"/>
      <c r="O17873" s="36" t="s">
        <v>48</v>
      </c>
      <c r="R17873" s="36" t="s">
        <v>48</v>
      </c>
    </row>
    <row r="17874">
      <c r="H17874" s="50"/>
      <c r="I17874" s="50"/>
      <c r="O17874" s="36" t="s">
        <v>48</v>
      </c>
      <c r="R17874" s="36" t="s">
        <v>48</v>
      </c>
    </row>
    <row r="17875">
      <c r="H17875" s="50"/>
      <c r="I17875" s="50"/>
      <c r="O17875" s="36" t="s">
        <v>48</v>
      </c>
      <c r="R17875" s="36" t="s">
        <v>48</v>
      </c>
    </row>
    <row r="17876">
      <c r="H17876" s="50"/>
      <c r="I17876" s="50"/>
      <c r="O17876" s="36" t="s">
        <v>48</v>
      </c>
      <c r="R17876" s="36" t="s">
        <v>48</v>
      </c>
    </row>
    <row r="17877">
      <c r="H17877" s="50"/>
      <c r="I17877" s="50"/>
      <c r="O17877" s="36" t="s">
        <v>48</v>
      </c>
      <c r="R17877" s="36" t="s">
        <v>48</v>
      </c>
    </row>
    <row r="17878">
      <c r="H17878" s="50"/>
      <c r="I17878" s="50"/>
      <c r="O17878" s="36" t="s">
        <v>48</v>
      </c>
      <c r="R17878" s="36" t="s">
        <v>48</v>
      </c>
    </row>
    <row r="17879">
      <c r="H17879" s="50"/>
      <c r="I17879" s="50"/>
      <c r="O17879" s="36" t="s">
        <v>48</v>
      </c>
      <c r="R17879" s="36" t="s">
        <v>48</v>
      </c>
    </row>
    <row r="17880">
      <c r="H17880" s="50"/>
      <c r="I17880" s="50"/>
      <c r="O17880" s="36" t="s">
        <v>48</v>
      </c>
      <c r="R17880" s="36" t="s">
        <v>48</v>
      </c>
    </row>
    <row r="17881">
      <c r="H17881" s="50"/>
      <c r="I17881" s="50"/>
      <c r="O17881" s="36" t="s">
        <v>48</v>
      </c>
      <c r="R17881" s="36" t="s">
        <v>48</v>
      </c>
    </row>
    <row r="17882">
      <c r="H17882" s="50"/>
      <c r="I17882" s="50"/>
      <c r="O17882" s="36" t="s">
        <v>48</v>
      </c>
      <c r="R17882" s="36" t="s">
        <v>48</v>
      </c>
    </row>
    <row r="17883">
      <c r="H17883" s="50"/>
      <c r="I17883" s="50"/>
      <c r="O17883" s="36" t="s">
        <v>48</v>
      </c>
      <c r="R17883" s="36" t="s">
        <v>48</v>
      </c>
    </row>
    <row r="17884">
      <c r="H17884" s="50"/>
      <c r="I17884" s="50"/>
      <c r="O17884" s="36" t="s">
        <v>48</v>
      </c>
      <c r="R17884" s="36" t="s">
        <v>48</v>
      </c>
    </row>
    <row r="17885">
      <c r="H17885" s="50"/>
      <c r="I17885" s="50"/>
      <c r="O17885" s="36" t="s">
        <v>48</v>
      </c>
      <c r="R17885" s="36" t="s">
        <v>48</v>
      </c>
    </row>
    <row r="17886">
      <c r="H17886" s="50"/>
      <c r="I17886" s="50"/>
      <c r="O17886" s="36" t="s">
        <v>48</v>
      </c>
      <c r="R17886" s="36" t="s">
        <v>48</v>
      </c>
    </row>
    <row r="17887">
      <c r="H17887" s="50"/>
      <c r="I17887" s="50"/>
      <c r="O17887" s="36" t="s">
        <v>48</v>
      </c>
      <c r="R17887" s="36" t="s">
        <v>48</v>
      </c>
    </row>
    <row r="17888">
      <c r="H17888" s="50"/>
      <c r="I17888" s="50"/>
      <c r="O17888" s="36" t="s">
        <v>48</v>
      </c>
      <c r="R17888" s="36" t="s">
        <v>48</v>
      </c>
    </row>
    <row r="17889">
      <c r="H17889" s="50"/>
      <c r="I17889" s="50"/>
      <c r="O17889" s="36" t="s">
        <v>48</v>
      </c>
      <c r="R17889" s="36" t="s">
        <v>48</v>
      </c>
    </row>
    <row r="17890">
      <c r="H17890" s="50"/>
      <c r="I17890" s="50"/>
      <c r="O17890" s="36" t="s">
        <v>48</v>
      </c>
      <c r="R17890" s="36" t="s">
        <v>48</v>
      </c>
    </row>
    <row r="17891">
      <c r="H17891" s="50"/>
      <c r="I17891" s="50"/>
      <c r="O17891" s="36" t="s">
        <v>48</v>
      </c>
      <c r="R17891" s="36" t="s">
        <v>48</v>
      </c>
    </row>
    <row r="17892">
      <c r="H17892" s="50"/>
      <c r="I17892" s="50"/>
      <c r="O17892" s="36" t="s">
        <v>48</v>
      </c>
      <c r="R17892" s="36" t="s">
        <v>48</v>
      </c>
    </row>
    <row r="17893">
      <c r="H17893" s="50"/>
      <c r="I17893" s="50"/>
      <c r="O17893" s="36" t="s">
        <v>48</v>
      </c>
      <c r="R17893" s="36" t="s">
        <v>48</v>
      </c>
    </row>
    <row r="17894">
      <c r="H17894" s="50"/>
      <c r="I17894" s="50"/>
      <c r="O17894" s="36" t="s">
        <v>48</v>
      </c>
      <c r="R17894" s="36" t="s">
        <v>48</v>
      </c>
    </row>
    <row r="17895">
      <c r="H17895" s="50"/>
      <c r="I17895" s="50"/>
      <c r="O17895" s="36" t="s">
        <v>48</v>
      </c>
      <c r="R17895" s="36" t="s">
        <v>48</v>
      </c>
    </row>
    <row r="17896">
      <c r="H17896" s="50"/>
      <c r="I17896" s="50"/>
      <c r="O17896" s="36" t="s">
        <v>48</v>
      </c>
      <c r="R17896" s="36" t="s">
        <v>48</v>
      </c>
    </row>
    <row r="17897">
      <c r="H17897" s="50"/>
      <c r="I17897" s="50"/>
      <c r="O17897" s="36" t="s">
        <v>48</v>
      </c>
      <c r="R17897" s="36" t="s">
        <v>48</v>
      </c>
    </row>
    <row r="17898">
      <c r="H17898" s="50"/>
      <c r="I17898" s="50"/>
      <c r="O17898" s="36" t="s">
        <v>48</v>
      </c>
      <c r="R17898" s="36" t="s">
        <v>48</v>
      </c>
    </row>
    <row r="17899">
      <c r="H17899" s="50"/>
      <c r="I17899" s="50"/>
      <c r="O17899" s="36" t="s">
        <v>48</v>
      </c>
      <c r="R17899" s="36" t="s">
        <v>48</v>
      </c>
    </row>
    <row r="17900">
      <c r="H17900" s="50"/>
      <c r="I17900" s="50"/>
      <c r="O17900" s="36" t="s">
        <v>48</v>
      </c>
      <c r="R17900" s="36" t="s">
        <v>48</v>
      </c>
    </row>
    <row r="17901">
      <c r="H17901" s="50"/>
      <c r="I17901" s="50"/>
      <c r="O17901" s="36" t="s">
        <v>48</v>
      </c>
      <c r="R17901" s="36" t="s">
        <v>48</v>
      </c>
    </row>
    <row r="17902">
      <c r="H17902" s="50"/>
      <c r="I17902" s="50"/>
      <c r="O17902" s="36" t="s">
        <v>48</v>
      </c>
      <c r="R17902" s="36" t="s">
        <v>48</v>
      </c>
    </row>
    <row r="17903">
      <c r="H17903" s="50"/>
      <c r="I17903" s="50"/>
      <c r="O17903" s="36" t="s">
        <v>48</v>
      </c>
      <c r="R17903" s="36" t="s">
        <v>48</v>
      </c>
    </row>
    <row r="17904">
      <c r="H17904" s="50"/>
      <c r="I17904" s="50"/>
      <c r="O17904" s="36" t="s">
        <v>48</v>
      </c>
      <c r="R17904" s="36" t="s">
        <v>48</v>
      </c>
    </row>
    <row r="17905">
      <c r="H17905" s="50"/>
      <c r="I17905" s="50"/>
      <c r="O17905" s="36" t="s">
        <v>48</v>
      </c>
      <c r="R17905" s="36" t="s">
        <v>48</v>
      </c>
    </row>
    <row r="17906">
      <c r="H17906" s="50"/>
      <c r="I17906" s="50"/>
      <c r="O17906" s="36" t="s">
        <v>48</v>
      </c>
      <c r="R17906" s="36" t="s">
        <v>48</v>
      </c>
    </row>
    <row r="17907">
      <c r="H17907" s="50"/>
      <c r="I17907" s="50"/>
      <c r="O17907" s="36" t="s">
        <v>48</v>
      </c>
      <c r="R17907" s="36" t="s">
        <v>48</v>
      </c>
    </row>
    <row r="17908">
      <c r="H17908" s="50"/>
      <c r="I17908" s="50"/>
      <c r="O17908" s="36" t="s">
        <v>48</v>
      </c>
      <c r="R17908" s="36" t="s">
        <v>48</v>
      </c>
    </row>
    <row r="17909">
      <c r="H17909" s="50"/>
      <c r="I17909" s="50"/>
      <c r="O17909" s="36" t="s">
        <v>48</v>
      </c>
      <c r="R17909" s="36" t="s">
        <v>48</v>
      </c>
    </row>
    <row r="17910">
      <c r="H17910" s="50"/>
      <c r="I17910" s="50"/>
      <c r="O17910" s="36" t="s">
        <v>48</v>
      </c>
      <c r="R17910" s="36" t="s">
        <v>48</v>
      </c>
    </row>
    <row r="17911">
      <c r="H17911" s="50"/>
      <c r="I17911" s="50"/>
      <c r="O17911" s="36" t="s">
        <v>48</v>
      </c>
      <c r="R17911" s="36" t="s">
        <v>48</v>
      </c>
    </row>
    <row r="17912">
      <c r="H17912" s="50"/>
      <c r="I17912" s="50"/>
      <c r="O17912" s="36" t="s">
        <v>48</v>
      </c>
      <c r="R17912" s="36" t="s">
        <v>48</v>
      </c>
    </row>
    <row r="17913">
      <c r="H17913" s="50"/>
      <c r="I17913" s="50"/>
      <c r="O17913" s="36" t="s">
        <v>48</v>
      </c>
      <c r="R17913" s="36" t="s">
        <v>48</v>
      </c>
    </row>
    <row r="17914">
      <c r="H17914" s="50"/>
      <c r="I17914" s="50"/>
      <c r="O17914" s="36" t="s">
        <v>48</v>
      </c>
      <c r="R17914" s="36" t="s">
        <v>48</v>
      </c>
    </row>
    <row r="17915">
      <c r="H17915" s="50"/>
      <c r="I17915" s="50"/>
      <c r="O17915" s="36" t="s">
        <v>48</v>
      </c>
      <c r="R17915" s="36" t="s">
        <v>48</v>
      </c>
    </row>
    <row r="17916">
      <c r="H17916" s="50"/>
      <c r="I17916" s="50"/>
      <c r="O17916" s="36" t="s">
        <v>48</v>
      </c>
      <c r="R17916" s="36" t="s">
        <v>48</v>
      </c>
    </row>
    <row r="17917">
      <c r="H17917" s="50"/>
      <c r="I17917" s="50"/>
      <c r="O17917" s="36" t="s">
        <v>48</v>
      </c>
      <c r="R17917" s="36" t="s">
        <v>48</v>
      </c>
    </row>
    <row r="17918">
      <c r="H17918" s="50"/>
      <c r="I17918" s="50"/>
      <c r="O17918" s="36" t="s">
        <v>48</v>
      </c>
      <c r="R17918" s="36" t="s">
        <v>48</v>
      </c>
    </row>
    <row r="17919">
      <c r="H17919" s="50"/>
      <c r="I17919" s="50"/>
      <c r="O17919" s="36" t="s">
        <v>48</v>
      </c>
      <c r="R17919" s="36" t="s">
        <v>48</v>
      </c>
    </row>
    <row r="17920">
      <c r="H17920" s="50"/>
      <c r="I17920" s="50"/>
      <c r="O17920" s="36" t="s">
        <v>48</v>
      </c>
      <c r="R17920" s="36" t="s">
        <v>48</v>
      </c>
    </row>
    <row r="17921">
      <c r="H17921" s="50"/>
      <c r="I17921" s="50"/>
      <c r="O17921" s="36" t="s">
        <v>48</v>
      </c>
      <c r="R17921" s="36" t="s">
        <v>48</v>
      </c>
    </row>
    <row r="17922">
      <c r="H17922" s="50"/>
      <c r="I17922" s="50"/>
      <c r="O17922" s="36" t="s">
        <v>48</v>
      </c>
      <c r="R17922" s="36" t="s">
        <v>48</v>
      </c>
    </row>
    <row r="17923">
      <c r="H17923" s="50"/>
      <c r="I17923" s="50"/>
      <c r="O17923" s="36" t="s">
        <v>48</v>
      </c>
      <c r="R17923" s="36" t="s">
        <v>48</v>
      </c>
    </row>
    <row r="17924">
      <c r="H17924" s="50"/>
      <c r="I17924" s="50"/>
      <c r="O17924" s="36" t="s">
        <v>48</v>
      </c>
      <c r="R17924" s="36" t="s">
        <v>48</v>
      </c>
    </row>
    <row r="17925">
      <c r="H17925" s="50"/>
      <c r="I17925" s="50"/>
      <c r="O17925" s="36" t="s">
        <v>48</v>
      </c>
      <c r="R17925" s="36" t="s">
        <v>48</v>
      </c>
    </row>
    <row r="17926">
      <c r="H17926" s="50"/>
      <c r="I17926" s="50"/>
      <c r="O17926" s="36" t="s">
        <v>48</v>
      </c>
      <c r="R17926" s="36" t="s">
        <v>48</v>
      </c>
    </row>
    <row r="17927">
      <c r="H17927" s="50"/>
      <c r="I17927" s="50"/>
      <c r="O17927" s="36" t="s">
        <v>48</v>
      </c>
      <c r="R17927" s="36" t="s">
        <v>48</v>
      </c>
    </row>
    <row r="17928">
      <c r="H17928" s="50"/>
      <c r="I17928" s="50"/>
      <c r="O17928" s="36" t="s">
        <v>48</v>
      </c>
      <c r="R17928" s="36" t="s">
        <v>48</v>
      </c>
    </row>
    <row r="17929">
      <c r="H17929" s="50"/>
      <c r="I17929" s="50"/>
      <c r="O17929" s="36" t="s">
        <v>48</v>
      </c>
      <c r="R17929" s="36" t="s">
        <v>48</v>
      </c>
    </row>
    <row r="17930">
      <c r="H17930" s="50"/>
      <c r="I17930" s="50"/>
      <c r="O17930" s="36" t="s">
        <v>48</v>
      </c>
      <c r="R17930" s="36" t="s">
        <v>48</v>
      </c>
    </row>
    <row r="17931">
      <c r="H17931" s="50"/>
      <c r="I17931" s="50"/>
      <c r="O17931" s="36" t="s">
        <v>48</v>
      </c>
      <c r="R17931" s="36" t="s">
        <v>48</v>
      </c>
    </row>
    <row r="17932">
      <c r="H17932" s="50"/>
      <c r="I17932" s="50"/>
      <c r="O17932" s="36" t="s">
        <v>48</v>
      </c>
      <c r="R17932" s="36" t="s">
        <v>48</v>
      </c>
    </row>
    <row r="17933">
      <c r="H17933" s="50"/>
      <c r="I17933" s="50"/>
      <c r="O17933" s="36" t="s">
        <v>48</v>
      </c>
      <c r="R17933" s="36" t="s">
        <v>48</v>
      </c>
    </row>
    <row r="17934">
      <c r="H17934" s="50"/>
      <c r="I17934" s="50"/>
      <c r="O17934" s="36" t="s">
        <v>48</v>
      </c>
      <c r="R17934" s="36" t="s">
        <v>48</v>
      </c>
    </row>
    <row r="17935">
      <c r="H17935" s="50"/>
      <c r="I17935" s="50"/>
      <c r="O17935" s="36" t="s">
        <v>48</v>
      </c>
      <c r="R17935" s="36" t="s">
        <v>48</v>
      </c>
    </row>
    <row r="17936">
      <c r="H17936" s="50"/>
      <c r="I17936" s="50"/>
      <c r="O17936" s="36" t="s">
        <v>48</v>
      </c>
      <c r="R17936" s="36" t="s">
        <v>48</v>
      </c>
    </row>
    <row r="17937">
      <c r="H17937" s="50"/>
      <c r="I17937" s="50"/>
      <c r="O17937" s="36" t="s">
        <v>48</v>
      </c>
      <c r="R17937" s="36" t="s">
        <v>48</v>
      </c>
    </row>
    <row r="17938">
      <c r="H17938" s="50"/>
      <c r="I17938" s="50"/>
      <c r="O17938" s="36" t="s">
        <v>48</v>
      </c>
      <c r="R17938" s="36" t="s">
        <v>48</v>
      </c>
    </row>
    <row r="17939">
      <c r="H17939" s="50"/>
      <c r="I17939" s="50"/>
      <c r="O17939" s="36" t="s">
        <v>48</v>
      </c>
      <c r="R17939" s="36" t="s">
        <v>48</v>
      </c>
    </row>
    <row r="17940">
      <c r="H17940" s="50"/>
      <c r="I17940" s="50"/>
      <c r="O17940" s="36" t="s">
        <v>48</v>
      </c>
      <c r="R17940" s="36" t="s">
        <v>48</v>
      </c>
    </row>
    <row r="17941">
      <c r="H17941" s="50"/>
      <c r="I17941" s="50"/>
      <c r="O17941" s="36" t="s">
        <v>48</v>
      </c>
      <c r="R17941" s="36" t="s">
        <v>48</v>
      </c>
    </row>
    <row r="17942">
      <c r="H17942" s="50"/>
      <c r="I17942" s="50"/>
      <c r="O17942" s="36" t="s">
        <v>48</v>
      </c>
      <c r="R17942" s="36" t="s">
        <v>48</v>
      </c>
    </row>
    <row r="17943">
      <c r="H17943" s="50"/>
      <c r="I17943" s="50"/>
      <c r="O17943" s="36" t="s">
        <v>48</v>
      </c>
      <c r="R17943" s="36" t="s">
        <v>48</v>
      </c>
    </row>
    <row r="17944">
      <c r="H17944" s="50"/>
      <c r="I17944" s="50"/>
      <c r="O17944" s="36" t="s">
        <v>48</v>
      </c>
      <c r="R17944" s="36" t="s">
        <v>48</v>
      </c>
    </row>
    <row r="17945">
      <c r="H17945" s="50"/>
      <c r="I17945" s="50"/>
      <c r="O17945" s="36" t="s">
        <v>48</v>
      </c>
      <c r="R17945" s="36" t="s">
        <v>48</v>
      </c>
    </row>
    <row r="17946">
      <c r="H17946" s="50"/>
      <c r="I17946" s="50"/>
      <c r="O17946" s="36" t="s">
        <v>48</v>
      </c>
      <c r="R17946" s="36" t="s">
        <v>48</v>
      </c>
    </row>
    <row r="17947">
      <c r="H17947" s="50"/>
      <c r="I17947" s="50"/>
      <c r="O17947" s="36" t="s">
        <v>48</v>
      </c>
      <c r="R17947" s="36" t="s">
        <v>48</v>
      </c>
    </row>
    <row r="17948">
      <c r="H17948" s="50"/>
      <c r="I17948" s="50"/>
      <c r="O17948" s="36" t="s">
        <v>48</v>
      </c>
      <c r="R17948" s="36" t="s">
        <v>48</v>
      </c>
    </row>
    <row r="17949">
      <c r="H17949" s="50"/>
      <c r="I17949" s="50"/>
      <c r="O17949" s="36" t="s">
        <v>48</v>
      </c>
      <c r="R17949" s="36" t="s">
        <v>48</v>
      </c>
    </row>
    <row r="17950">
      <c r="H17950" s="50"/>
      <c r="I17950" s="50"/>
      <c r="O17950" s="36" t="s">
        <v>48</v>
      </c>
      <c r="R17950" s="36" t="s">
        <v>48</v>
      </c>
    </row>
    <row r="17951">
      <c r="H17951" s="50"/>
      <c r="I17951" s="50"/>
      <c r="O17951" s="36" t="s">
        <v>48</v>
      </c>
      <c r="R17951" s="36" t="s">
        <v>48</v>
      </c>
    </row>
    <row r="17952">
      <c r="H17952" s="50"/>
      <c r="I17952" s="50"/>
      <c r="O17952" s="36" t="s">
        <v>48</v>
      </c>
      <c r="R17952" s="36" t="s">
        <v>48</v>
      </c>
    </row>
    <row r="17953">
      <c r="H17953" s="50"/>
      <c r="I17953" s="50"/>
      <c r="O17953" s="36" t="s">
        <v>48</v>
      </c>
      <c r="R17953" s="36" t="s">
        <v>48</v>
      </c>
    </row>
    <row r="17954">
      <c r="H17954" s="50"/>
      <c r="I17954" s="50"/>
      <c r="O17954" s="36" t="s">
        <v>48</v>
      </c>
      <c r="R17954" s="36" t="s">
        <v>48</v>
      </c>
    </row>
    <row r="17955">
      <c r="H17955" s="50"/>
      <c r="I17955" s="50"/>
      <c r="O17955" s="36" t="s">
        <v>48</v>
      </c>
      <c r="R17955" s="36" t="s">
        <v>48</v>
      </c>
    </row>
    <row r="17956">
      <c r="H17956" s="50"/>
      <c r="I17956" s="50"/>
      <c r="O17956" s="36" t="s">
        <v>48</v>
      </c>
      <c r="R17956" s="36" t="s">
        <v>48</v>
      </c>
    </row>
    <row r="17957">
      <c r="H17957" s="50"/>
      <c r="I17957" s="50"/>
      <c r="O17957" s="36" t="s">
        <v>48</v>
      </c>
      <c r="R17957" s="36" t="s">
        <v>48</v>
      </c>
    </row>
    <row r="17958">
      <c r="H17958" s="50"/>
      <c r="I17958" s="50"/>
      <c r="O17958" s="36" t="s">
        <v>48</v>
      </c>
      <c r="R17958" s="36" t="s">
        <v>48</v>
      </c>
    </row>
    <row r="17959">
      <c r="H17959" s="50"/>
      <c r="I17959" s="50"/>
      <c r="O17959" s="36" t="s">
        <v>48</v>
      </c>
      <c r="R17959" s="36" t="s">
        <v>48</v>
      </c>
    </row>
    <row r="17960">
      <c r="H17960" s="50"/>
      <c r="I17960" s="50"/>
      <c r="O17960" s="36" t="s">
        <v>48</v>
      </c>
      <c r="R17960" s="36" t="s">
        <v>48</v>
      </c>
    </row>
    <row r="17961">
      <c r="H17961" s="50"/>
      <c r="I17961" s="50"/>
      <c r="O17961" s="36" t="s">
        <v>48</v>
      </c>
      <c r="R17961" s="36" t="s">
        <v>48</v>
      </c>
    </row>
    <row r="17962">
      <c r="H17962" s="50"/>
      <c r="I17962" s="50"/>
      <c r="O17962" s="36" t="s">
        <v>48</v>
      </c>
      <c r="R17962" s="36" t="s">
        <v>48</v>
      </c>
    </row>
    <row r="17963">
      <c r="H17963" s="50"/>
      <c r="I17963" s="50"/>
      <c r="O17963" s="36" t="s">
        <v>48</v>
      </c>
      <c r="R17963" s="36" t="s">
        <v>48</v>
      </c>
    </row>
    <row r="17964">
      <c r="H17964" s="50"/>
      <c r="I17964" s="50"/>
      <c r="O17964" s="36" t="s">
        <v>48</v>
      </c>
      <c r="R17964" s="36" t="s">
        <v>48</v>
      </c>
    </row>
    <row r="17965">
      <c r="H17965" s="50"/>
      <c r="I17965" s="50"/>
      <c r="O17965" s="36" t="s">
        <v>48</v>
      </c>
      <c r="R17965" s="36" t="s">
        <v>48</v>
      </c>
    </row>
    <row r="17966">
      <c r="H17966" s="50"/>
      <c r="I17966" s="50"/>
      <c r="O17966" s="36" t="s">
        <v>48</v>
      </c>
      <c r="R17966" s="36" t="s">
        <v>48</v>
      </c>
    </row>
    <row r="17967">
      <c r="H17967" s="50"/>
      <c r="I17967" s="50"/>
      <c r="O17967" s="36" t="s">
        <v>48</v>
      </c>
      <c r="R17967" s="36" t="s">
        <v>48</v>
      </c>
    </row>
    <row r="17968">
      <c r="H17968" s="50"/>
      <c r="I17968" s="50"/>
      <c r="O17968" s="36" t="s">
        <v>48</v>
      </c>
      <c r="R17968" s="36" t="s">
        <v>48</v>
      </c>
    </row>
    <row r="17969">
      <c r="H17969" s="50"/>
      <c r="I17969" s="50"/>
      <c r="O17969" s="36" t="s">
        <v>48</v>
      </c>
      <c r="R17969" s="36" t="s">
        <v>48</v>
      </c>
    </row>
    <row r="17970">
      <c r="H17970" s="50"/>
      <c r="I17970" s="50"/>
      <c r="O17970" s="36" t="s">
        <v>48</v>
      </c>
      <c r="R17970" s="36" t="s">
        <v>48</v>
      </c>
    </row>
    <row r="17971">
      <c r="H17971" s="50"/>
      <c r="I17971" s="50"/>
      <c r="O17971" s="36" t="s">
        <v>48</v>
      </c>
      <c r="R17971" s="36" t="s">
        <v>48</v>
      </c>
    </row>
    <row r="17972">
      <c r="H17972" s="50"/>
      <c r="I17972" s="50"/>
      <c r="O17972" s="36" t="s">
        <v>48</v>
      </c>
      <c r="R17972" s="36" t="s">
        <v>48</v>
      </c>
    </row>
    <row r="17973">
      <c r="H17973" s="50"/>
      <c r="I17973" s="50"/>
      <c r="O17973" s="36" t="s">
        <v>48</v>
      </c>
      <c r="R17973" s="36" t="s">
        <v>48</v>
      </c>
    </row>
    <row r="17974">
      <c r="H17974" s="50"/>
      <c r="I17974" s="50"/>
      <c r="O17974" s="36" t="s">
        <v>48</v>
      </c>
      <c r="R17974" s="36" t="s">
        <v>48</v>
      </c>
    </row>
    <row r="17975">
      <c r="H17975" s="50"/>
      <c r="I17975" s="50"/>
      <c r="O17975" s="36" t="s">
        <v>48</v>
      </c>
      <c r="R17975" s="36" t="s">
        <v>48</v>
      </c>
    </row>
    <row r="17976">
      <c r="H17976" s="50"/>
      <c r="I17976" s="50"/>
      <c r="O17976" s="36" t="s">
        <v>48</v>
      </c>
      <c r="R17976" s="36" t="s">
        <v>48</v>
      </c>
    </row>
    <row r="17977">
      <c r="H17977" s="50"/>
      <c r="I17977" s="50"/>
      <c r="O17977" s="36" t="s">
        <v>48</v>
      </c>
      <c r="R17977" s="36" t="s">
        <v>48</v>
      </c>
    </row>
    <row r="17978">
      <c r="H17978" s="50"/>
      <c r="I17978" s="50"/>
      <c r="O17978" s="36" t="s">
        <v>48</v>
      </c>
      <c r="R17978" s="36" t="s">
        <v>48</v>
      </c>
    </row>
    <row r="17979">
      <c r="H17979" s="50"/>
      <c r="I17979" s="50"/>
      <c r="O17979" s="36" t="s">
        <v>48</v>
      </c>
      <c r="R17979" s="36" t="s">
        <v>48</v>
      </c>
    </row>
    <row r="17980">
      <c r="H17980" s="50"/>
      <c r="I17980" s="50"/>
      <c r="O17980" s="36" t="s">
        <v>48</v>
      </c>
      <c r="R17980" s="36" t="s">
        <v>48</v>
      </c>
    </row>
    <row r="17981">
      <c r="H17981" s="50"/>
      <c r="I17981" s="50"/>
      <c r="O17981" s="36" t="s">
        <v>48</v>
      </c>
      <c r="R17981" s="36" t="s">
        <v>48</v>
      </c>
    </row>
    <row r="17982">
      <c r="H17982" s="50"/>
      <c r="I17982" s="50"/>
      <c r="O17982" s="36" t="s">
        <v>48</v>
      </c>
      <c r="R17982" s="36" t="s">
        <v>48</v>
      </c>
    </row>
    <row r="17983">
      <c r="H17983" s="50"/>
      <c r="I17983" s="50"/>
      <c r="O17983" s="36" t="s">
        <v>48</v>
      </c>
      <c r="R17983" s="36" t="s">
        <v>48</v>
      </c>
    </row>
    <row r="17984">
      <c r="H17984" s="50"/>
      <c r="I17984" s="50"/>
      <c r="O17984" s="36" t="s">
        <v>48</v>
      </c>
      <c r="R17984" s="36" t="s">
        <v>48</v>
      </c>
    </row>
    <row r="17985">
      <c r="H17985" s="50"/>
      <c r="I17985" s="50"/>
      <c r="O17985" s="36" t="s">
        <v>48</v>
      </c>
      <c r="R17985" s="36" t="s">
        <v>48</v>
      </c>
    </row>
    <row r="17986">
      <c r="H17986" s="50"/>
      <c r="I17986" s="50"/>
      <c r="O17986" s="36" t="s">
        <v>48</v>
      </c>
      <c r="R17986" s="36" t="s">
        <v>48</v>
      </c>
    </row>
    <row r="17987">
      <c r="H17987" s="50"/>
      <c r="I17987" s="50"/>
      <c r="O17987" s="36" t="s">
        <v>48</v>
      </c>
      <c r="R17987" s="36" t="s">
        <v>48</v>
      </c>
    </row>
    <row r="17988">
      <c r="H17988" s="50"/>
      <c r="I17988" s="50"/>
      <c r="O17988" s="36" t="s">
        <v>48</v>
      </c>
      <c r="R17988" s="36" t="s">
        <v>48</v>
      </c>
    </row>
    <row r="17989">
      <c r="H17989" s="50"/>
      <c r="I17989" s="50"/>
      <c r="O17989" s="36" t="s">
        <v>48</v>
      </c>
      <c r="R17989" s="36" t="s">
        <v>48</v>
      </c>
    </row>
    <row r="17990">
      <c r="H17990" s="50"/>
      <c r="I17990" s="50"/>
      <c r="O17990" s="36" t="s">
        <v>48</v>
      </c>
      <c r="R17990" s="36" t="s">
        <v>48</v>
      </c>
    </row>
    <row r="17991">
      <c r="H17991" s="50"/>
      <c r="I17991" s="50"/>
      <c r="O17991" s="36" t="s">
        <v>48</v>
      </c>
      <c r="R17991" s="36" t="s">
        <v>48</v>
      </c>
    </row>
    <row r="17992">
      <c r="H17992" s="50"/>
      <c r="I17992" s="50"/>
      <c r="O17992" s="36" t="s">
        <v>48</v>
      </c>
      <c r="R17992" s="36" t="s">
        <v>48</v>
      </c>
    </row>
    <row r="17993">
      <c r="H17993" s="50"/>
      <c r="I17993" s="50"/>
      <c r="O17993" s="36" t="s">
        <v>48</v>
      </c>
      <c r="R17993" s="36" t="s">
        <v>48</v>
      </c>
    </row>
    <row r="17994">
      <c r="H17994" s="50"/>
      <c r="I17994" s="50"/>
      <c r="O17994" s="36" t="s">
        <v>48</v>
      </c>
      <c r="R17994" s="36" t="s">
        <v>48</v>
      </c>
    </row>
    <row r="17995">
      <c r="H17995" s="50"/>
      <c r="I17995" s="50"/>
      <c r="O17995" s="36" t="s">
        <v>48</v>
      </c>
      <c r="R17995" s="36" t="s">
        <v>48</v>
      </c>
    </row>
    <row r="17996">
      <c r="H17996" s="50"/>
      <c r="I17996" s="50"/>
      <c r="O17996" s="36" t="s">
        <v>48</v>
      </c>
      <c r="R17996" s="36" t="s">
        <v>48</v>
      </c>
    </row>
    <row r="17997">
      <c r="H17997" s="50"/>
      <c r="I17997" s="50"/>
      <c r="O17997" s="36" t="s">
        <v>48</v>
      </c>
      <c r="R17997" s="36" t="s">
        <v>48</v>
      </c>
    </row>
    <row r="17998">
      <c r="H17998" s="50"/>
      <c r="I17998" s="50"/>
      <c r="O17998" s="36" t="s">
        <v>48</v>
      </c>
      <c r="R17998" s="36" t="s">
        <v>48</v>
      </c>
    </row>
    <row r="17999">
      <c r="H17999" s="50"/>
      <c r="I17999" s="50"/>
      <c r="O17999" s="36" t="s">
        <v>48</v>
      </c>
      <c r="R17999" s="36" t="s">
        <v>48</v>
      </c>
    </row>
    <row r="18000">
      <c r="H18000" s="50"/>
      <c r="I18000" s="50"/>
      <c r="O18000" s="36" t="s">
        <v>48</v>
      </c>
      <c r="R18000" s="36" t="s">
        <v>48</v>
      </c>
    </row>
    <row r="18001">
      <c r="H18001" s="50"/>
      <c r="I18001" s="50"/>
      <c r="O18001" s="36" t="s">
        <v>48</v>
      </c>
      <c r="R18001" s="36" t="s">
        <v>48</v>
      </c>
    </row>
    <row r="18002">
      <c r="H18002" s="50"/>
      <c r="I18002" s="50"/>
      <c r="O18002" s="36" t="s">
        <v>48</v>
      </c>
      <c r="R18002" s="36" t="s">
        <v>48</v>
      </c>
    </row>
    <row r="18003">
      <c r="H18003" s="50"/>
      <c r="I18003" s="50"/>
      <c r="O18003" s="36" t="s">
        <v>48</v>
      </c>
      <c r="R18003" s="36" t="s">
        <v>48</v>
      </c>
    </row>
    <row r="18004">
      <c r="H18004" s="50"/>
      <c r="I18004" s="50"/>
      <c r="O18004" s="36" t="s">
        <v>48</v>
      </c>
      <c r="R18004" s="36" t="s">
        <v>48</v>
      </c>
    </row>
    <row r="18005">
      <c r="H18005" s="50"/>
      <c r="I18005" s="50"/>
      <c r="O18005" s="36" t="s">
        <v>48</v>
      </c>
      <c r="R18005" s="36" t="s">
        <v>48</v>
      </c>
    </row>
    <row r="18006">
      <c r="H18006" s="50"/>
      <c r="I18006" s="50"/>
      <c r="O18006" s="36" t="s">
        <v>48</v>
      </c>
      <c r="R18006" s="36" t="s">
        <v>48</v>
      </c>
    </row>
    <row r="18007">
      <c r="H18007" s="50"/>
      <c r="I18007" s="50"/>
      <c r="O18007" s="36" t="s">
        <v>48</v>
      </c>
      <c r="R18007" s="36" t="s">
        <v>48</v>
      </c>
    </row>
    <row r="18008">
      <c r="H18008" s="50"/>
      <c r="I18008" s="50"/>
      <c r="O18008" s="36" t="s">
        <v>48</v>
      </c>
      <c r="R18008" s="36" t="s">
        <v>48</v>
      </c>
    </row>
    <row r="18009">
      <c r="H18009" s="50"/>
      <c r="I18009" s="50"/>
      <c r="O18009" s="36" t="s">
        <v>48</v>
      </c>
      <c r="R18009" s="36" t="s">
        <v>48</v>
      </c>
    </row>
    <row r="18010">
      <c r="H18010" s="50"/>
      <c r="I18010" s="50"/>
      <c r="O18010" s="36" t="s">
        <v>48</v>
      </c>
      <c r="R18010" s="36" t="s">
        <v>48</v>
      </c>
    </row>
    <row r="18011">
      <c r="H18011" s="50"/>
      <c r="I18011" s="50"/>
      <c r="O18011" s="36" t="s">
        <v>48</v>
      </c>
      <c r="R18011" s="36" t="s">
        <v>48</v>
      </c>
    </row>
    <row r="18012">
      <c r="H18012" s="50"/>
      <c r="I18012" s="50"/>
      <c r="O18012" s="36" t="s">
        <v>48</v>
      </c>
      <c r="R18012" s="36" t="s">
        <v>48</v>
      </c>
    </row>
    <row r="18013">
      <c r="H18013" s="50"/>
      <c r="I18013" s="50"/>
      <c r="O18013" s="36" t="s">
        <v>48</v>
      </c>
      <c r="R18013" s="36" t="s">
        <v>48</v>
      </c>
    </row>
    <row r="18014">
      <c r="H18014" s="50"/>
      <c r="I18014" s="50"/>
      <c r="O18014" s="36" t="s">
        <v>48</v>
      </c>
      <c r="R18014" s="36" t="s">
        <v>48</v>
      </c>
    </row>
    <row r="18015">
      <c r="H18015" s="50"/>
      <c r="I18015" s="50"/>
      <c r="O18015" s="36" t="s">
        <v>48</v>
      </c>
      <c r="R18015" s="36" t="s">
        <v>48</v>
      </c>
    </row>
    <row r="18016">
      <c r="H18016" s="50"/>
      <c r="I18016" s="50"/>
      <c r="O18016" s="36" t="s">
        <v>48</v>
      </c>
      <c r="R18016" s="36" t="s">
        <v>48</v>
      </c>
    </row>
    <row r="18017">
      <c r="H18017" s="50"/>
      <c r="I18017" s="50"/>
      <c r="O18017" s="36" t="s">
        <v>48</v>
      </c>
      <c r="R18017" s="36" t="s">
        <v>48</v>
      </c>
    </row>
    <row r="18018">
      <c r="H18018" s="50"/>
      <c r="I18018" s="50"/>
      <c r="O18018" s="36" t="s">
        <v>48</v>
      </c>
      <c r="R18018" s="36" t="s">
        <v>48</v>
      </c>
    </row>
    <row r="18019">
      <c r="H18019" s="50"/>
      <c r="I18019" s="50"/>
      <c r="O18019" s="36" t="s">
        <v>48</v>
      </c>
      <c r="R18019" s="36" t="s">
        <v>48</v>
      </c>
    </row>
    <row r="18020">
      <c r="H18020" s="50"/>
      <c r="I18020" s="50"/>
      <c r="O18020" s="36" t="s">
        <v>48</v>
      </c>
      <c r="R18020" s="36" t="s">
        <v>48</v>
      </c>
    </row>
    <row r="18021">
      <c r="H18021" s="50"/>
      <c r="I18021" s="50"/>
      <c r="O18021" s="36" t="s">
        <v>48</v>
      </c>
      <c r="R18021" s="36" t="s">
        <v>48</v>
      </c>
    </row>
    <row r="18022">
      <c r="H18022" s="50"/>
      <c r="I18022" s="50"/>
      <c r="O18022" s="36" t="s">
        <v>48</v>
      </c>
      <c r="R18022" s="36" t="s">
        <v>48</v>
      </c>
    </row>
    <row r="18023">
      <c r="H18023" s="50"/>
      <c r="I18023" s="50"/>
      <c r="O18023" s="36" t="s">
        <v>48</v>
      </c>
      <c r="R18023" s="36" t="s">
        <v>48</v>
      </c>
    </row>
    <row r="18024">
      <c r="H18024" s="50"/>
      <c r="I18024" s="50"/>
      <c r="O18024" s="36" t="s">
        <v>48</v>
      </c>
      <c r="R18024" s="36" t="s">
        <v>48</v>
      </c>
    </row>
    <row r="18025">
      <c r="H18025" s="50"/>
      <c r="I18025" s="50"/>
      <c r="O18025" s="36" t="s">
        <v>48</v>
      </c>
      <c r="R18025" s="36" t="s">
        <v>48</v>
      </c>
    </row>
    <row r="18026">
      <c r="H18026" s="50"/>
      <c r="I18026" s="50"/>
      <c r="O18026" s="36" t="s">
        <v>48</v>
      </c>
      <c r="R18026" s="36" t="s">
        <v>48</v>
      </c>
    </row>
    <row r="18027">
      <c r="H18027" s="50"/>
      <c r="I18027" s="50"/>
      <c r="O18027" s="36" t="s">
        <v>48</v>
      </c>
      <c r="R18027" s="36" t="s">
        <v>48</v>
      </c>
    </row>
    <row r="18028">
      <c r="H18028" s="50"/>
      <c r="I18028" s="50"/>
      <c r="O18028" s="36" t="s">
        <v>48</v>
      </c>
      <c r="R18028" s="36" t="s">
        <v>48</v>
      </c>
    </row>
    <row r="18029">
      <c r="H18029" s="50"/>
      <c r="I18029" s="50"/>
      <c r="O18029" s="36" t="s">
        <v>48</v>
      </c>
      <c r="R18029" s="36" t="s">
        <v>48</v>
      </c>
    </row>
    <row r="18030">
      <c r="H18030" s="50"/>
      <c r="I18030" s="50"/>
      <c r="O18030" s="36" t="s">
        <v>48</v>
      </c>
      <c r="R18030" s="36" t="s">
        <v>48</v>
      </c>
    </row>
    <row r="18031">
      <c r="H18031" s="50"/>
      <c r="I18031" s="50"/>
      <c r="O18031" s="36" t="s">
        <v>48</v>
      </c>
      <c r="R18031" s="36" t="s">
        <v>48</v>
      </c>
    </row>
    <row r="18032">
      <c r="H18032" s="50"/>
      <c r="I18032" s="50"/>
      <c r="O18032" s="36" t="s">
        <v>48</v>
      </c>
      <c r="R18032" s="36" t="s">
        <v>48</v>
      </c>
    </row>
    <row r="18033">
      <c r="H18033" s="50"/>
      <c r="I18033" s="50"/>
      <c r="O18033" s="36" t="s">
        <v>48</v>
      </c>
      <c r="R18033" s="36" t="s">
        <v>48</v>
      </c>
    </row>
    <row r="18034">
      <c r="H18034" s="50"/>
      <c r="I18034" s="50"/>
      <c r="O18034" s="36" t="s">
        <v>48</v>
      </c>
      <c r="R18034" s="36" t="s">
        <v>48</v>
      </c>
    </row>
    <row r="18035">
      <c r="H18035" s="50"/>
      <c r="I18035" s="50"/>
      <c r="O18035" s="36" t="s">
        <v>48</v>
      </c>
      <c r="R18035" s="36" t="s">
        <v>48</v>
      </c>
    </row>
    <row r="18036">
      <c r="H18036" s="50"/>
      <c r="I18036" s="50"/>
      <c r="O18036" s="36" t="s">
        <v>48</v>
      </c>
      <c r="R18036" s="36" t="s">
        <v>48</v>
      </c>
    </row>
    <row r="18037">
      <c r="H18037" s="50"/>
      <c r="I18037" s="50"/>
      <c r="O18037" s="36" t="s">
        <v>48</v>
      </c>
      <c r="R18037" s="36" t="s">
        <v>48</v>
      </c>
    </row>
    <row r="18038">
      <c r="H18038" s="50"/>
      <c r="I18038" s="50"/>
      <c r="O18038" s="36" t="s">
        <v>48</v>
      </c>
      <c r="R18038" s="36" t="s">
        <v>48</v>
      </c>
    </row>
    <row r="18039">
      <c r="H18039" s="50"/>
      <c r="I18039" s="50"/>
      <c r="O18039" s="36" t="s">
        <v>48</v>
      </c>
      <c r="R18039" s="36" t="s">
        <v>48</v>
      </c>
    </row>
    <row r="18040">
      <c r="H18040" s="50"/>
      <c r="I18040" s="50"/>
      <c r="O18040" s="36" t="s">
        <v>48</v>
      </c>
      <c r="R18040" s="36" t="s">
        <v>48</v>
      </c>
    </row>
    <row r="18041">
      <c r="H18041" s="50"/>
      <c r="I18041" s="50"/>
      <c r="O18041" s="36" t="s">
        <v>48</v>
      </c>
      <c r="R18041" s="36" t="s">
        <v>48</v>
      </c>
    </row>
    <row r="18042">
      <c r="H18042" s="50"/>
      <c r="I18042" s="50"/>
      <c r="O18042" s="36" t="s">
        <v>48</v>
      </c>
      <c r="R18042" s="36" t="s">
        <v>48</v>
      </c>
    </row>
    <row r="18043">
      <c r="H18043" s="50"/>
      <c r="I18043" s="50"/>
      <c r="O18043" s="36" t="s">
        <v>48</v>
      </c>
      <c r="R18043" s="36" t="s">
        <v>48</v>
      </c>
    </row>
    <row r="18044">
      <c r="H18044" s="50"/>
      <c r="I18044" s="50"/>
      <c r="O18044" s="36" t="s">
        <v>48</v>
      </c>
      <c r="R18044" s="36" t="s">
        <v>48</v>
      </c>
    </row>
    <row r="18045">
      <c r="H18045" s="50"/>
      <c r="I18045" s="50"/>
      <c r="O18045" s="36" t="s">
        <v>48</v>
      </c>
      <c r="R18045" s="36" t="s">
        <v>48</v>
      </c>
    </row>
    <row r="18046">
      <c r="H18046" s="50"/>
      <c r="I18046" s="50"/>
      <c r="O18046" s="36" t="s">
        <v>48</v>
      </c>
      <c r="R18046" s="36" t="s">
        <v>48</v>
      </c>
    </row>
    <row r="18047">
      <c r="H18047" s="50"/>
      <c r="I18047" s="50"/>
      <c r="O18047" s="36" t="s">
        <v>48</v>
      </c>
      <c r="R18047" s="36" t="s">
        <v>48</v>
      </c>
    </row>
    <row r="18048">
      <c r="H18048" s="50"/>
      <c r="I18048" s="50"/>
      <c r="O18048" s="36" t="s">
        <v>48</v>
      </c>
      <c r="R18048" s="36" t="s">
        <v>48</v>
      </c>
    </row>
    <row r="18049">
      <c r="H18049" s="50"/>
      <c r="I18049" s="50"/>
      <c r="O18049" s="36" t="s">
        <v>48</v>
      </c>
      <c r="R18049" s="36" t="s">
        <v>48</v>
      </c>
    </row>
    <row r="18050">
      <c r="H18050" s="50"/>
      <c r="I18050" s="50"/>
      <c r="O18050" s="36" t="s">
        <v>48</v>
      </c>
      <c r="R18050" s="36" t="s">
        <v>48</v>
      </c>
    </row>
    <row r="18051">
      <c r="H18051" s="50"/>
      <c r="I18051" s="50"/>
      <c r="O18051" s="36" t="s">
        <v>48</v>
      </c>
      <c r="R18051" s="36" t="s">
        <v>48</v>
      </c>
    </row>
    <row r="18052">
      <c r="H18052" s="50"/>
      <c r="I18052" s="50"/>
      <c r="O18052" s="36" t="s">
        <v>48</v>
      </c>
      <c r="R18052" s="36" t="s">
        <v>48</v>
      </c>
    </row>
    <row r="18053">
      <c r="H18053" s="50"/>
      <c r="I18053" s="50"/>
      <c r="O18053" s="36" t="s">
        <v>48</v>
      </c>
      <c r="R18053" s="36" t="s">
        <v>48</v>
      </c>
    </row>
    <row r="18054">
      <c r="H18054" s="50"/>
      <c r="I18054" s="50"/>
      <c r="O18054" s="36" t="s">
        <v>48</v>
      </c>
      <c r="R18054" s="36" t="s">
        <v>48</v>
      </c>
    </row>
    <row r="18055">
      <c r="H18055" s="50"/>
      <c r="I18055" s="50"/>
      <c r="O18055" s="36" t="s">
        <v>48</v>
      </c>
      <c r="R18055" s="36" t="s">
        <v>48</v>
      </c>
    </row>
    <row r="18056">
      <c r="H18056" s="50"/>
      <c r="I18056" s="50"/>
      <c r="O18056" s="36" t="s">
        <v>48</v>
      </c>
      <c r="R18056" s="36" t="s">
        <v>48</v>
      </c>
    </row>
    <row r="18057">
      <c r="H18057" s="50"/>
      <c r="I18057" s="50"/>
      <c r="O18057" s="36" t="s">
        <v>48</v>
      </c>
      <c r="R18057" s="36" t="s">
        <v>48</v>
      </c>
    </row>
    <row r="18058">
      <c r="H18058" s="50"/>
      <c r="I18058" s="50"/>
      <c r="O18058" s="36" t="s">
        <v>48</v>
      </c>
      <c r="R18058" s="36" t="s">
        <v>48</v>
      </c>
    </row>
    <row r="18059">
      <c r="H18059" s="50"/>
      <c r="I18059" s="50"/>
      <c r="O18059" s="36" t="s">
        <v>48</v>
      </c>
      <c r="R18059" s="36" t="s">
        <v>48</v>
      </c>
    </row>
    <row r="18060">
      <c r="H18060" s="50"/>
      <c r="I18060" s="50"/>
      <c r="O18060" s="36" t="s">
        <v>48</v>
      </c>
      <c r="R18060" s="36" t="s">
        <v>48</v>
      </c>
    </row>
    <row r="18061">
      <c r="H18061" s="50"/>
      <c r="I18061" s="50"/>
      <c r="O18061" s="36" t="s">
        <v>48</v>
      </c>
      <c r="R18061" s="36" t="s">
        <v>48</v>
      </c>
    </row>
    <row r="18062">
      <c r="H18062" s="50"/>
      <c r="I18062" s="50"/>
      <c r="O18062" s="36" t="s">
        <v>48</v>
      </c>
      <c r="R18062" s="36" t="s">
        <v>48</v>
      </c>
    </row>
    <row r="18063">
      <c r="H18063" s="50"/>
      <c r="I18063" s="50"/>
      <c r="O18063" s="36" t="s">
        <v>48</v>
      </c>
      <c r="R18063" s="36" t="s">
        <v>48</v>
      </c>
    </row>
    <row r="18064">
      <c r="H18064" s="50"/>
      <c r="I18064" s="50"/>
      <c r="O18064" s="36" t="s">
        <v>48</v>
      </c>
      <c r="R18064" s="36" t="s">
        <v>48</v>
      </c>
    </row>
    <row r="18065">
      <c r="H18065" s="50"/>
      <c r="I18065" s="50"/>
      <c r="O18065" s="36" t="s">
        <v>48</v>
      </c>
      <c r="R18065" s="36" t="s">
        <v>48</v>
      </c>
    </row>
    <row r="18066">
      <c r="H18066" s="50"/>
      <c r="I18066" s="50"/>
      <c r="O18066" s="36" t="s">
        <v>48</v>
      </c>
      <c r="R18066" s="36" t="s">
        <v>48</v>
      </c>
    </row>
    <row r="18067">
      <c r="H18067" s="50"/>
      <c r="I18067" s="50"/>
      <c r="O18067" s="36" t="s">
        <v>48</v>
      </c>
      <c r="R18067" s="36" t="s">
        <v>48</v>
      </c>
    </row>
    <row r="18068">
      <c r="H18068" s="50"/>
      <c r="I18068" s="50"/>
      <c r="O18068" s="36" t="s">
        <v>48</v>
      </c>
      <c r="R18068" s="36" t="s">
        <v>48</v>
      </c>
    </row>
    <row r="18069">
      <c r="H18069" s="50"/>
      <c r="I18069" s="50"/>
      <c r="O18069" s="36" t="s">
        <v>48</v>
      </c>
      <c r="R18069" s="36" t="s">
        <v>48</v>
      </c>
    </row>
    <row r="18070">
      <c r="H18070" s="50"/>
      <c r="I18070" s="50"/>
      <c r="O18070" s="36" t="s">
        <v>48</v>
      </c>
      <c r="R18070" s="36" t="s">
        <v>48</v>
      </c>
    </row>
    <row r="18071">
      <c r="H18071" s="50"/>
      <c r="I18071" s="50"/>
      <c r="O18071" s="36" t="s">
        <v>48</v>
      </c>
      <c r="R18071" s="36" t="s">
        <v>48</v>
      </c>
    </row>
    <row r="18072">
      <c r="H18072" s="50"/>
      <c r="I18072" s="50"/>
      <c r="O18072" s="36" t="s">
        <v>48</v>
      </c>
      <c r="R18072" s="36" t="s">
        <v>48</v>
      </c>
    </row>
    <row r="18073">
      <c r="H18073" s="50"/>
      <c r="I18073" s="50"/>
      <c r="O18073" s="36" t="s">
        <v>48</v>
      </c>
      <c r="R18073" s="36" t="s">
        <v>48</v>
      </c>
    </row>
    <row r="18074">
      <c r="H18074" s="50"/>
      <c r="I18074" s="50"/>
      <c r="O18074" s="36" t="s">
        <v>48</v>
      </c>
      <c r="R18074" s="36" t="s">
        <v>48</v>
      </c>
    </row>
    <row r="18075">
      <c r="H18075" s="50"/>
      <c r="I18075" s="50"/>
      <c r="O18075" s="36" t="s">
        <v>48</v>
      </c>
      <c r="R18075" s="36" t="s">
        <v>48</v>
      </c>
    </row>
    <row r="18076">
      <c r="H18076" s="50"/>
      <c r="I18076" s="50"/>
      <c r="O18076" s="36" t="s">
        <v>48</v>
      </c>
      <c r="R18076" s="36" t="s">
        <v>48</v>
      </c>
    </row>
    <row r="18077">
      <c r="H18077" s="50"/>
      <c r="I18077" s="50"/>
      <c r="O18077" s="36" t="s">
        <v>48</v>
      </c>
      <c r="R18077" s="36" t="s">
        <v>48</v>
      </c>
    </row>
    <row r="18078">
      <c r="H18078" s="50"/>
      <c r="I18078" s="50"/>
      <c r="O18078" s="36" t="s">
        <v>48</v>
      </c>
      <c r="R18078" s="36" t="s">
        <v>48</v>
      </c>
    </row>
    <row r="18079">
      <c r="H18079" s="50"/>
      <c r="I18079" s="50"/>
      <c r="O18079" s="36" t="s">
        <v>48</v>
      </c>
      <c r="R18079" s="36" t="s">
        <v>48</v>
      </c>
    </row>
    <row r="18080">
      <c r="H18080" s="50"/>
      <c r="I18080" s="50"/>
      <c r="O18080" s="36" t="s">
        <v>48</v>
      </c>
      <c r="R18080" s="36" t="s">
        <v>48</v>
      </c>
    </row>
    <row r="18081">
      <c r="H18081" s="50"/>
      <c r="I18081" s="50"/>
      <c r="O18081" s="36" t="s">
        <v>48</v>
      </c>
      <c r="R18081" s="36" t="s">
        <v>48</v>
      </c>
    </row>
    <row r="18082">
      <c r="H18082" s="50"/>
      <c r="I18082" s="50"/>
      <c r="O18082" s="36" t="s">
        <v>48</v>
      </c>
      <c r="R18082" s="36" t="s">
        <v>48</v>
      </c>
    </row>
    <row r="18083">
      <c r="H18083" s="50"/>
      <c r="I18083" s="50"/>
      <c r="O18083" s="36" t="s">
        <v>48</v>
      </c>
      <c r="R18083" s="36" t="s">
        <v>48</v>
      </c>
    </row>
    <row r="18084">
      <c r="H18084" s="50"/>
      <c r="I18084" s="50"/>
      <c r="O18084" s="36" t="s">
        <v>48</v>
      </c>
      <c r="R18084" s="36" t="s">
        <v>48</v>
      </c>
    </row>
    <row r="18085">
      <c r="H18085" s="50"/>
      <c r="I18085" s="50"/>
      <c r="O18085" s="36" t="s">
        <v>48</v>
      </c>
      <c r="R18085" s="36" t="s">
        <v>48</v>
      </c>
    </row>
    <row r="18086">
      <c r="H18086" s="50"/>
      <c r="I18086" s="50"/>
      <c r="O18086" s="36" t="s">
        <v>48</v>
      </c>
      <c r="R18086" s="36" t="s">
        <v>48</v>
      </c>
    </row>
    <row r="18087">
      <c r="H18087" s="50"/>
      <c r="I18087" s="50"/>
      <c r="O18087" s="36" t="s">
        <v>48</v>
      </c>
      <c r="R18087" s="36" t="s">
        <v>48</v>
      </c>
    </row>
    <row r="18088">
      <c r="H18088" s="50"/>
      <c r="I18088" s="50"/>
      <c r="O18088" s="36" t="s">
        <v>48</v>
      </c>
      <c r="R18088" s="36" t="s">
        <v>48</v>
      </c>
    </row>
    <row r="18089">
      <c r="H18089" s="50"/>
      <c r="I18089" s="50"/>
      <c r="O18089" s="36" t="s">
        <v>48</v>
      </c>
      <c r="R18089" s="36" t="s">
        <v>48</v>
      </c>
    </row>
    <row r="18090">
      <c r="H18090" s="50"/>
      <c r="I18090" s="50"/>
      <c r="O18090" s="36" t="s">
        <v>48</v>
      </c>
      <c r="R18090" s="36" t="s">
        <v>48</v>
      </c>
    </row>
    <row r="18091">
      <c r="H18091" s="50"/>
      <c r="I18091" s="50"/>
      <c r="O18091" s="36" t="s">
        <v>48</v>
      </c>
      <c r="R18091" s="36" t="s">
        <v>48</v>
      </c>
    </row>
    <row r="18092">
      <c r="H18092" s="50"/>
      <c r="I18092" s="50"/>
      <c r="O18092" s="36" t="s">
        <v>48</v>
      </c>
      <c r="R18092" s="36" t="s">
        <v>48</v>
      </c>
    </row>
    <row r="18093">
      <c r="H18093" s="50"/>
      <c r="I18093" s="50"/>
      <c r="O18093" s="36" t="s">
        <v>48</v>
      </c>
      <c r="R18093" s="36" t="s">
        <v>48</v>
      </c>
    </row>
    <row r="18094">
      <c r="H18094" s="50"/>
      <c r="I18094" s="50"/>
      <c r="O18094" s="36" t="s">
        <v>48</v>
      </c>
      <c r="R18094" s="36" t="s">
        <v>48</v>
      </c>
    </row>
    <row r="18095">
      <c r="H18095" s="50"/>
      <c r="I18095" s="50"/>
      <c r="O18095" s="36" t="s">
        <v>48</v>
      </c>
      <c r="R18095" s="36" t="s">
        <v>48</v>
      </c>
    </row>
    <row r="18096">
      <c r="H18096" s="50"/>
      <c r="I18096" s="50"/>
      <c r="O18096" s="36" t="s">
        <v>48</v>
      </c>
      <c r="R18096" s="36" t="s">
        <v>48</v>
      </c>
    </row>
    <row r="18097">
      <c r="H18097" s="50"/>
      <c r="I18097" s="50"/>
      <c r="O18097" s="36" t="s">
        <v>48</v>
      </c>
      <c r="R18097" s="36" t="s">
        <v>48</v>
      </c>
    </row>
    <row r="18098">
      <c r="H18098" s="50"/>
      <c r="I18098" s="50"/>
      <c r="O18098" s="36" t="s">
        <v>48</v>
      </c>
      <c r="R18098" s="36" t="s">
        <v>48</v>
      </c>
    </row>
    <row r="18099">
      <c r="H18099" s="50"/>
      <c r="I18099" s="50"/>
      <c r="O18099" s="36" t="s">
        <v>48</v>
      </c>
      <c r="R18099" s="36" t="s">
        <v>48</v>
      </c>
    </row>
    <row r="18100">
      <c r="H18100" s="50"/>
      <c r="I18100" s="50"/>
      <c r="O18100" s="36" t="s">
        <v>48</v>
      </c>
      <c r="R18100" s="36" t="s">
        <v>48</v>
      </c>
    </row>
    <row r="18101">
      <c r="H18101" s="50"/>
      <c r="I18101" s="50"/>
      <c r="O18101" s="36" t="s">
        <v>48</v>
      </c>
      <c r="R18101" s="36" t="s">
        <v>48</v>
      </c>
    </row>
    <row r="18102">
      <c r="H18102" s="50"/>
      <c r="I18102" s="50"/>
      <c r="O18102" s="36" t="s">
        <v>48</v>
      </c>
      <c r="R18102" s="36" t="s">
        <v>48</v>
      </c>
    </row>
    <row r="18103">
      <c r="H18103" s="50"/>
      <c r="I18103" s="50"/>
      <c r="O18103" s="36" t="s">
        <v>48</v>
      </c>
      <c r="R18103" s="36" t="s">
        <v>48</v>
      </c>
    </row>
    <row r="18104">
      <c r="H18104" s="50"/>
      <c r="I18104" s="50"/>
      <c r="O18104" s="36" t="s">
        <v>48</v>
      </c>
      <c r="R18104" s="36" t="s">
        <v>48</v>
      </c>
    </row>
    <row r="18105">
      <c r="H18105" s="50"/>
      <c r="I18105" s="50"/>
      <c r="O18105" s="36" t="s">
        <v>48</v>
      </c>
      <c r="R18105" s="36" t="s">
        <v>48</v>
      </c>
    </row>
    <row r="18106">
      <c r="H18106" s="50"/>
      <c r="I18106" s="50"/>
      <c r="O18106" s="36" t="s">
        <v>48</v>
      </c>
      <c r="R18106" s="36" t="s">
        <v>48</v>
      </c>
    </row>
    <row r="18107">
      <c r="H18107" s="50"/>
      <c r="I18107" s="50"/>
      <c r="O18107" s="36" t="s">
        <v>48</v>
      </c>
      <c r="R18107" s="36" t="s">
        <v>48</v>
      </c>
    </row>
    <row r="18108">
      <c r="H18108" s="50"/>
      <c r="I18108" s="50"/>
      <c r="O18108" s="36" t="s">
        <v>48</v>
      </c>
      <c r="R18108" s="36" t="s">
        <v>48</v>
      </c>
    </row>
    <row r="18109">
      <c r="H18109" s="50"/>
      <c r="I18109" s="50"/>
      <c r="O18109" s="36" t="s">
        <v>48</v>
      </c>
      <c r="R18109" s="36" t="s">
        <v>48</v>
      </c>
    </row>
    <row r="18110">
      <c r="H18110" s="50"/>
      <c r="I18110" s="50"/>
      <c r="O18110" s="36" t="s">
        <v>48</v>
      </c>
      <c r="R18110" s="36" t="s">
        <v>48</v>
      </c>
    </row>
    <row r="18111">
      <c r="H18111" s="50"/>
      <c r="I18111" s="50"/>
      <c r="O18111" s="36" t="s">
        <v>48</v>
      </c>
      <c r="R18111" s="36" t="s">
        <v>48</v>
      </c>
    </row>
    <row r="18112">
      <c r="H18112" s="50"/>
      <c r="I18112" s="50"/>
      <c r="O18112" s="36" t="s">
        <v>48</v>
      </c>
      <c r="R18112" s="36" t="s">
        <v>48</v>
      </c>
    </row>
    <row r="18113">
      <c r="H18113" s="50"/>
      <c r="I18113" s="50"/>
      <c r="O18113" s="36" t="s">
        <v>48</v>
      </c>
      <c r="R18113" s="36" t="s">
        <v>48</v>
      </c>
    </row>
    <row r="18114">
      <c r="H18114" s="50"/>
      <c r="I18114" s="50"/>
      <c r="O18114" s="36" t="s">
        <v>48</v>
      </c>
      <c r="R18114" s="36" t="s">
        <v>48</v>
      </c>
    </row>
    <row r="18115">
      <c r="H18115" s="50"/>
      <c r="I18115" s="50"/>
      <c r="O18115" s="36" t="s">
        <v>48</v>
      </c>
      <c r="R18115" s="36" t="s">
        <v>48</v>
      </c>
    </row>
    <row r="18116">
      <c r="H18116" s="50"/>
      <c r="I18116" s="50"/>
      <c r="O18116" s="36" t="s">
        <v>48</v>
      </c>
      <c r="R18116" s="36" t="s">
        <v>48</v>
      </c>
    </row>
    <row r="18117">
      <c r="H18117" s="50"/>
      <c r="I18117" s="50"/>
      <c r="O18117" s="36" t="s">
        <v>48</v>
      </c>
      <c r="R18117" s="36" t="s">
        <v>48</v>
      </c>
    </row>
    <row r="18118">
      <c r="H18118" s="50"/>
      <c r="I18118" s="50"/>
      <c r="O18118" s="36" t="s">
        <v>48</v>
      </c>
      <c r="R18118" s="36" t="s">
        <v>48</v>
      </c>
    </row>
    <row r="18119">
      <c r="H18119" s="50"/>
      <c r="I18119" s="50"/>
      <c r="O18119" s="36" t="s">
        <v>48</v>
      </c>
      <c r="R18119" s="36" t="s">
        <v>48</v>
      </c>
    </row>
    <row r="18120">
      <c r="H18120" s="50"/>
      <c r="I18120" s="50"/>
      <c r="O18120" s="36" t="s">
        <v>48</v>
      </c>
      <c r="R18120" s="36" t="s">
        <v>48</v>
      </c>
    </row>
    <row r="18121">
      <c r="H18121" s="50"/>
      <c r="I18121" s="50"/>
      <c r="O18121" s="36" t="s">
        <v>48</v>
      </c>
      <c r="R18121" s="36" t="s">
        <v>48</v>
      </c>
    </row>
    <row r="18122">
      <c r="H18122" s="50"/>
      <c r="I18122" s="50"/>
      <c r="O18122" s="36" t="s">
        <v>48</v>
      </c>
      <c r="R18122" s="36" t="s">
        <v>48</v>
      </c>
    </row>
    <row r="18123">
      <c r="H18123" s="50"/>
      <c r="I18123" s="50"/>
      <c r="O18123" s="36" t="s">
        <v>48</v>
      </c>
      <c r="R18123" s="36" t="s">
        <v>48</v>
      </c>
    </row>
    <row r="18124">
      <c r="H18124" s="50"/>
      <c r="I18124" s="50"/>
      <c r="O18124" s="36" t="s">
        <v>48</v>
      </c>
      <c r="R18124" s="36" t="s">
        <v>48</v>
      </c>
    </row>
    <row r="18125">
      <c r="H18125" s="50"/>
      <c r="I18125" s="50"/>
      <c r="O18125" s="36" t="s">
        <v>48</v>
      </c>
      <c r="R18125" s="36" t="s">
        <v>48</v>
      </c>
    </row>
    <row r="18126">
      <c r="H18126" s="50"/>
      <c r="I18126" s="50"/>
      <c r="O18126" s="36" t="s">
        <v>48</v>
      </c>
      <c r="R18126" s="36" t="s">
        <v>48</v>
      </c>
    </row>
    <row r="18127">
      <c r="H18127" s="50"/>
      <c r="I18127" s="50"/>
      <c r="O18127" s="36" t="s">
        <v>48</v>
      </c>
      <c r="R18127" s="36" t="s">
        <v>48</v>
      </c>
    </row>
    <row r="18128">
      <c r="H18128" s="50"/>
      <c r="I18128" s="50"/>
      <c r="O18128" s="36" t="s">
        <v>48</v>
      </c>
      <c r="R18128" s="36" t="s">
        <v>48</v>
      </c>
    </row>
    <row r="18129">
      <c r="H18129" s="50"/>
      <c r="I18129" s="50"/>
      <c r="O18129" s="36" t="s">
        <v>48</v>
      </c>
      <c r="R18129" s="36" t="s">
        <v>48</v>
      </c>
    </row>
    <row r="18130">
      <c r="H18130" s="50"/>
      <c r="I18130" s="50"/>
      <c r="O18130" s="36" t="s">
        <v>48</v>
      </c>
      <c r="R18130" s="36" t="s">
        <v>48</v>
      </c>
    </row>
    <row r="18131">
      <c r="H18131" s="50"/>
      <c r="I18131" s="50"/>
      <c r="O18131" s="36" t="s">
        <v>48</v>
      </c>
      <c r="R18131" s="36" t="s">
        <v>48</v>
      </c>
    </row>
    <row r="18132">
      <c r="H18132" s="50"/>
      <c r="I18132" s="50"/>
      <c r="O18132" s="36" t="s">
        <v>48</v>
      </c>
      <c r="R18132" s="36" t="s">
        <v>48</v>
      </c>
    </row>
    <row r="18133">
      <c r="H18133" s="50"/>
      <c r="I18133" s="50"/>
      <c r="O18133" s="36" t="s">
        <v>48</v>
      </c>
      <c r="R18133" s="36" t="s">
        <v>48</v>
      </c>
    </row>
    <row r="18134">
      <c r="H18134" s="50"/>
      <c r="I18134" s="50"/>
      <c r="O18134" s="36" t="s">
        <v>48</v>
      </c>
      <c r="R18134" s="36" t="s">
        <v>48</v>
      </c>
    </row>
    <row r="18135">
      <c r="H18135" s="50"/>
      <c r="I18135" s="50"/>
      <c r="O18135" s="36" t="s">
        <v>48</v>
      </c>
      <c r="R18135" s="36" t="s">
        <v>48</v>
      </c>
    </row>
    <row r="18136">
      <c r="H18136" s="50"/>
      <c r="I18136" s="50"/>
      <c r="O18136" s="36" t="s">
        <v>48</v>
      </c>
      <c r="R18136" s="36" t="s">
        <v>48</v>
      </c>
    </row>
    <row r="18137">
      <c r="H18137" s="50"/>
      <c r="I18137" s="50"/>
      <c r="O18137" s="36" t="s">
        <v>48</v>
      </c>
      <c r="R18137" s="36" t="s">
        <v>48</v>
      </c>
    </row>
    <row r="18138">
      <c r="H18138" s="50"/>
      <c r="I18138" s="50"/>
      <c r="O18138" s="36" t="s">
        <v>48</v>
      </c>
      <c r="R18138" s="36" t="s">
        <v>48</v>
      </c>
    </row>
    <row r="18139">
      <c r="H18139" s="50"/>
      <c r="I18139" s="50"/>
      <c r="O18139" s="36" t="s">
        <v>48</v>
      </c>
      <c r="R18139" s="36" t="s">
        <v>48</v>
      </c>
    </row>
    <row r="18140">
      <c r="H18140" s="50"/>
      <c r="I18140" s="50"/>
      <c r="O18140" s="36" t="s">
        <v>48</v>
      </c>
      <c r="R18140" s="36" t="s">
        <v>48</v>
      </c>
    </row>
    <row r="18141">
      <c r="H18141" s="50"/>
      <c r="I18141" s="50"/>
      <c r="O18141" s="36" t="s">
        <v>48</v>
      </c>
      <c r="R18141" s="36" t="s">
        <v>48</v>
      </c>
    </row>
    <row r="18142">
      <c r="H18142" s="50"/>
      <c r="I18142" s="50"/>
      <c r="O18142" s="36" t="s">
        <v>48</v>
      </c>
      <c r="R18142" s="36" t="s">
        <v>48</v>
      </c>
    </row>
    <row r="18143">
      <c r="H18143" s="50"/>
      <c r="I18143" s="50"/>
      <c r="O18143" s="36" t="s">
        <v>48</v>
      </c>
      <c r="R18143" s="36" t="s">
        <v>48</v>
      </c>
    </row>
    <row r="18144">
      <c r="H18144" s="50"/>
      <c r="I18144" s="50"/>
      <c r="O18144" s="36" t="s">
        <v>48</v>
      </c>
      <c r="R18144" s="36" t="s">
        <v>48</v>
      </c>
    </row>
    <row r="18145">
      <c r="H18145" s="50"/>
      <c r="I18145" s="50"/>
      <c r="O18145" s="36" t="s">
        <v>48</v>
      </c>
      <c r="R18145" s="36" t="s">
        <v>48</v>
      </c>
    </row>
    <row r="18146">
      <c r="H18146" s="50"/>
      <c r="I18146" s="50"/>
      <c r="O18146" s="36" t="s">
        <v>48</v>
      </c>
      <c r="R18146" s="36" t="s">
        <v>48</v>
      </c>
    </row>
    <row r="18147">
      <c r="H18147" s="50"/>
      <c r="I18147" s="50"/>
      <c r="O18147" s="36" t="s">
        <v>48</v>
      </c>
      <c r="R18147" s="36" t="s">
        <v>48</v>
      </c>
    </row>
    <row r="18148">
      <c r="H18148" s="50"/>
      <c r="I18148" s="50"/>
      <c r="O18148" s="36" t="s">
        <v>48</v>
      </c>
      <c r="R18148" s="36" t="s">
        <v>48</v>
      </c>
    </row>
    <row r="18149">
      <c r="H18149" s="50"/>
      <c r="I18149" s="50"/>
      <c r="O18149" s="36" t="s">
        <v>48</v>
      </c>
      <c r="R18149" s="36" t="s">
        <v>48</v>
      </c>
    </row>
    <row r="18150">
      <c r="H18150" s="50"/>
      <c r="I18150" s="50"/>
      <c r="O18150" s="36" t="s">
        <v>48</v>
      </c>
      <c r="R18150" s="36" t="s">
        <v>48</v>
      </c>
    </row>
    <row r="18151">
      <c r="H18151" s="50"/>
      <c r="I18151" s="50"/>
      <c r="O18151" s="36" t="s">
        <v>48</v>
      </c>
      <c r="R18151" s="36" t="s">
        <v>48</v>
      </c>
    </row>
    <row r="18152">
      <c r="H18152" s="50"/>
      <c r="I18152" s="50"/>
      <c r="O18152" s="36" t="s">
        <v>48</v>
      </c>
      <c r="R18152" s="36" t="s">
        <v>48</v>
      </c>
    </row>
    <row r="18153">
      <c r="H18153" s="50"/>
      <c r="I18153" s="50"/>
      <c r="O18153" s="36" t="s">
        <v>48</v>
      </c>
      <c r="R18153" s="36" t="s">
        <v>48</v>
      </c>
    </row>
    <row r="18154">
      <c r="H18154" s="50"/>
      <c r="I18154" s="50"/>
      <c r="O18154" s="36" t="s">
        <v>48</v>
      </c>
      <c r="R18154" s="36" t="s">
        <v>48</v>
      </c>
    </row>
    <row r="18155">
      <c r="H18155" s="50"/>
      <c r="I18155" s="50"/>
      <c r="O18155" s="36" t="s">
        <v>48</v>
      </c>
      <c r="R18155" s="36" t="s">
        <v>48</v>
      </c>
    </row>
    <row r="18156">
      <c r="H18156" s="50"/>
      <c r="I18156" s="50"/>
      <c r="O18156" s="36" t="s">
        <v>48</v>
      </c>
      <c r="R18156" s="36" t="s">
        <v>48</v>
      </c>
    </row>
    <row r="18157">
      <c r="H18157" s="50"/>
      <c r="I18157" s="50"/>
      <c r="O18157" s="36" t="s">
        <v>48</v>
      </c>
      <c r="R18157" s="36" t="s">
        <v>48</v>
      </c>
    </row>
    <row r="18158">
      <c r="H18158" s="50"/>
      <c r="I18158" s="50"/>
      <c r="O18158" s="36" t="s">
        <v>48</v>
      </c>
      <c r="R18158" s="36" t="s">
        <v>48</v>
      </c>
    </row>
    <row r="18159">
      <c r="H18159" s="50"/>
      <c r="I18159" s="50"/>
      <c r="O18159" s="36" t="s">
        <v>48</v>
      </c>
      <c r="R18159" s="36" t="s">
        <v>48</v>
      </c>
    </row>
    <row r="18160">
      <c r="H18160" s="50"/>
      <c r="I18160" s="50"/>
      <c r="O18160" s="36" t="s">
        <v>48</v>
      </c>
      <c r="R18160" s="36" t="s">
        <v>48</v>
      </c>
    </row>
    <row r="18161">
      <c r="H18161" s="50"/>
      <c r="I18161" s="50"/>
      <c r="O18161" s="36" t="s">
        <v>48</v>
      </c>
      <c r="R18161" s="36" t="s">
        <v>48</v>
      </c>
    </row>
    <row r="18162">
      <c r="H18162" s="50"/>
      <c r="I18162" s="50"/>
      <c r="O18162" s="36" t="s">
        <v>48</v>
      </c>
      <c r="R18162" s="36" t="s">
        <v>48</v>
      </c>
    </row>
    <row r="18163">
      <c r="H18163" s="50"/>
      <c r="I18163" s="50"/>
      <c r="O18163" s="36" t="s">
        <v>48</v>
      </c>
      <c r="R18163" s="36" t="s">
        <v>48</v>
      </c>
    </row>
    <row r="18164">
      <c r="H18164" s="50"/>
      <c r="I18164" s="50"/>
      <c r="O18164" s="36" t="s">
        <v>48</v>
      </c>
      <c r="R18164" s="36" t="s">
        <v>48</v>
      </c>
    </row>
    <row r="18165">
      <c r="H18165" s="50"/>
      <c r="I18165" s="50"/>
      <c r="O18165" s="36" t="s">
        <v>48</v>
      </c>
      <c r="R18165" s="36" t="s">
        <v>48</v>
      </c>
    </row>
    <row r="18166">
      <c r="H18166" s="50"/>
      <c r="I18166" s="50"/>
      <c r="O18166" s="36" t="s">
        <v>48</v>
      </c>
      <c r="R18166" s="36" t="s">
        <v>48</v>
      </c>
    </row>
    <row r="18167">
      <c r="H18167" s="50"/>
      <c r="I18167" s="50"/>
      <c r="O18167" s="36" t="s">
        <v>48</v>
      </c>
      <c r="R18167" s="36" t="s">
        <v>48</v>
      </c>
    </row>
    <row r="18168">
      <c r="H18168" s="50"/>
      <c r="I18168" s="50"/>
      <c r="O18168" s="36" t="s">
        <v>48</v>
      </c>
      <c r="R18168" s="36" t="s">
        <v>48</v>
      </c>
    </row>
    <row r="18169">
      <c r="H18169" s="50"/>
      <c r="I18169" s="50"/>
      <c r="O18169" s="36" t="s">
        <v>48</v>
      </c>
      <c r="R18169" s="36" t="s">
        <v>48</v>
      </c>
    </row>
    <row r="18170">
      <c r="H18170" s="50"/>
      <c r="I18170" s="50"/>
      <c r="O18170" s="36" t="s">
        <v>48</v>
      </c>
      <c r="R18170" s="36" t="s">
        <v>48</v>
      </c>
    </row>
    <row r="18171">
      <c r="H18171" s="50"/>
      <c r="I18171" s="50"/>
      <c r="O18171" s="36" t="s">
        <v>48</v>
      </c>
      <c r="R18171" s="36" t="s">
        <v>48</v>
      </c>
    </row>
    <row r="18172">
      <c r="H18172" s="50"/>
      <c r="I18172" s="50"/>
      <c r="O18172" s="36" t="s">
        <v>48</v>
      </c>
      <c r="R18172" s="36" t="s">
        <v>48</v>
      </c>
    </row>
    <row r="18173">
      <c r="H18173" s="50"/>
      <c r="I18173" s="50"/>
      <c r="O18173" s="36" t="s">
        <v>48</v>
      </c>
      <c r="R18173" s="36" t="s">
        <v>48</v>
      </c>
    </row>
    <row r="18174">
      <c r="H18174" s="50"/>
      <c r="I18174" s="50"/>
      <c r="O18174" s="36" t="s">
        <v>48</v>
      </c>
      <c r="R18174" s="36" t="s">
        <v>48</v>
      </c>
    </row>
    <row r="18175">
      <c r="H18175" s="50"/>
      <c r="I18175" s="50"/>
      <c r="O18175" s="36" t="s">
        <v>48</v>
      </c>
      <c r="R18175" s="36" t="s">
        <v>48</v>
      </c>
    </row>
    <row r="18176">
      <c r="H18176" s="50"/>
      <c r="I18176" s="50"/>
      <c r="O18176" s="36" t="s">
        <v>48</v>
      </c>
      <c r="R18176" s="36" t="s">
        <v>48</v>
      </c>
    </row>
    <row r="18177">
      <c r="H18177" s="50"/>
      <c r="I18177" s="50"/>
      <c r="O18177" s="36" t="s">
        <v>48</v>
      </c>
      <c r="R18177" s="36" t="s">
        <v>48</v>
      </c>
    </row>
    <row r="18178">
      <c r="H18178" s="50"/>
      <c r="I18178" s="50"/>
      <c r="O18178" s="36" t="s">
        <v>48</v>
      </c>
      <c r="R18178" s="36" t="s">
        <v>48</v>
      </c>
    </row>
    <row r="18179">
      <c r="H18179" s="50"/>
      <c r="I18179" s="50"/>
      <c r="O18179" s="36" t="s">
        <v>48</v>
      </c>
      <c r="R18179" s="36" t="s">
        <v>48</v>
      </c>
    </row>
    <row r="18180">
      <c r="H18180" s="50"/>
      <c r="I18180" s="50"/>
      <c r="O18180" s="36" t="s">
        <v>48</v>
      </c>
      <c r="R18180" s="36" t="s">
        <v>48</v>
      </c>
    </row>
    <row r="18181">
      <c r="H18181" s="50"/>
      <c r="I18181" s="50"/>
      <c r="O18181" s="36" t="s">
        <v>48</v>
      </c>
      <c r="R18181" s="36" t="s">
        <v>48</v>
      </c>
    </row>
    <row r="18182">
      <c r="H18182" s="50"/>
      <c r="I18182" s="50"/>
      <c r="O18182" s="36" t="s">
        <v>48</v>
      </c>
      <c r="R18182" s="36" t="s">
        <v>48</v>
      </c>
    </row>
    <row r="18183">
      <c r="H18183" s="50"/>
      <c r="I18183" s="50"/>
      <c r="O18183" s="36" t="s">
        <v>48</v>
      </c>
      <c r="R18183" s="36" t="s">
        <v>48</v>
      </c>
    </row>
    <row r="18184">
      <c r="H18184" s="50"/>
      <c r="I18184" s="50"/>
      <c r="O18184" s="36" t="s">
        <v>48</v>
      </c>
      <c r="R18184" s="36" t="s">
        <v>48</v>
      </c>
    </row>
    <row r="18185">
      <c r="H18185" s="50"/>
      <c r="I18185" s="50"/>
      <c r="O18185" s="36" t="s">
        <v>48</v>
      </c>
      <c r="R18185" s="36" t="s">
        <v>48</v>
      </c>
    </row>
    <row r="18186">
      <c r="H18186" s="50"/>
      <c r="I18186" s="50"/>
      <c r="O18186" s="36" t="s">
        <v>48</v>
      </c>
      <c r="R18186" s="36" t="s">
        <v>48</v>
      </c>
    </row>
    <row r="18187">
      <c r="H18187" s="50"/>
      <c r="I18187" s="50"/>
      <c r="O18187" s="36" t="s">
        <v>48</v>
      </c>
      <c r="R18187" s="36" t="s">
        <v>48</v>
      </c>
    </row>
    <row r="18188">
      <c r="H18188" s="50"/>
      <c r="I18188" s="50"/>
      <c r="O18188" s="36" t="s">
        <v>48</v>
      </c>
      <c r="R18188" s="36" t="s">
        <v>48</v>
      </c>
    </row>
    <row r="18189">
      <c r="H18189" s="50"/>
      <c r="I18189" s="50"/>
      <c r="O18189" s="36" t="s">
        <v>48</v>
      </c>
      <c r="R18189" s="36" t="s">
        <v>48</v>
      </c>
    </row>
    <row r="18190">
      <c r="H18190" s="50"/>
      <c r="I18190" s="50"/>
      <c r="O18190" s="36" t="s">
        <v>48</v>
      </c>
      <c r="R18190" s="36" t="s">
        <v>48</v>
      </c>
    </row>
    <row r="18191">
      <c r="H18191" s="50"/>
      <c r="I18191" s="50"/>
      <c r="O18191" s="36" t="s">
        <v>48</v>
      </c>
      <c r="R18191" s="36" t="s">
        <v>48</v>
      </c>
    </row>
    <row r="18192">
      <c r="H18192" s="50"/>
      <c r="I18192" s="50"/>
      <c r="O18192" s="36" t="s">
        <v>48</v>
      </c>
      <c r="R18192" s="36" t="s">
        <v>48</v>
      </c>
    </row>
    <row r="18193">
      <c r="H18193" s="50"/>
      <c r="I18193" s="50"/>
      <c r="O18193" s="36" t="s">
        <v>48</v>
      </c>
      <c r="R18193" s="36" t="s">
        <v>48</v>
      </c>
    </row>
    <row r="18194">
      <c r="H18194" s="50"/>
      <c r="I18194" s="50"/>
      <c r="O18194" s="36" t="s">
        <v>48</v>
      </c>
      <c r="R18194" s="36" t="s">
        <v>48</v>
      </c>
    </row>
    <row r="18195">
      <c r="H18195" s="50"/>
      <c r="I18195" s="50"/>
      <c r="O18195" s="36" t="s">
        <v>48</v>
      </c>
      <c r="R18195" s="36" t="s">
        <v>48</v>
      </c>
    </row>
    <row r="18196">
      <c r="H18196" s="50"/>
      <c r="I18196" s="50"/>
      <c r="O18196" s="36" t="s">
        <v>48</v>
      </c>
      <c r="R18196" s="36" t="s">
        <v>48</v>
      </c>
    </row>
    <row r="18197">
      <c r="H18197" s="50"/>
      <c r="I18197" s="50"/>
      <c r="O18197" s="36" t="s">
        <v>48</v>
      </c>
      <c r="R18197" s="36" t="s">
        <v>48</v>
      </c>
    </row>
    <row r="18198">
      <c r="H18198" s="50"/>
      <c r="I18198" s="50"/>
      <c r="O18198" s="36" t="s">
        <v>48</v>
      </c>
      <c r="R18198" s="36" t="s">
        <v>48</v>
      </c>
    </row>
    <row r="18199">
      <c r="H18199" s="50"/>
      <c r="I18199" s="50"/>
      <c r="O18199" s="36" t="s">
        <v>48</v>
      </c>
      <c r="R18199" s="36" t="s">
        <v>48</v>
      </c>
    </row>
    <row r="18200">
      <c r="H18200" s="50"/>
      <c r="I18200" s="50"/>
      <c r="O18200" s="36" t="s">
        <v>48</v>
      </c>
      <c r="R18200" s="36" t="s">
        <v>48</v>
      </c>
    </row>
    <row r="18201">
      <c r="H18201" s="50"/>
      <c r="I18201" s="50"/>
      <c r="O18201" s="36" t="s">
        <v>48</v>
      </c>
      <c r="R18201" s="36" t="s">
        <v>48</v>
      </c>
    </row>
    <row r="18202">
      <c r="H18202" s="50"/>
      <c r="I18202" s="50"/>
      <c r="O18202" s="36" t="s">
        <v>48</v>
      </c>
      <c r="R18202" s="36" t="s">
        <v>48</v>
      </c>
    </row>
    <row r="18203">
      <c r="H18203" s="50"/>
      <c r="I18203" s="50"/>
      <c r="O18203" s="36" t="s">
        <v>48</v>
      </c>
      <c r="R18203" s="36" t="s">
        <v>48</v>
      </c>
    </row>
    <row r="18204">
      <c r="H18204" s="50"/>
      <c r="I18204" s="50"/>
      <c r="O18204" s="36" t="s">
        <v>48</v>
      </c>
      <c r="R18204" s="36" t="s">
        <v>48</v>
      </c>
    </row>
    <row r="18205">
      <c r="H18205" s="50"/>
      <c r="I18205" s="50"/>
      <c r="O18205" s="36" t="s">
        <v>48</v>
      </c>
      <c r="R18205" s="36" t="s">
        <v>48</v>
      </c>
    </row>
    <row r="18206">
      <c r="H18206" s="50"/>
      <c r="I18206" s="50"/>
      <c r="O18206" s="36" t="s">
        <v>48</v>
      </c>
      <c r="R18206" s="36" t="s">
        <v>48</v>
      </c>
    </row>
    <row r="18207">
      <c r="H18207" s="50"/>
      <c r="I18207" s="50"/>
      <c r="O18207" s="36" t="s">
        <v>48</v>
      </c>
      <c r="R18207" s="36" t="s">
        <v>48</v>
      </c>
    </row>
    <row r="18208">
      <c r="H18208" s="50"/>
      <c r="I18208" s="50"/>
      <c r="O18208" s="36" t="s">
        <v>48</v>
      </c>
      <c r="R18208" s="36" t="s">
        <v>48</v>
      </c>
    </row>
    <row r="18209">
      <c r="H18209" s="50"/>
      <c r="I18209" s="50"/>
      <c r="O18209" s="36" t="s">
        <v>48</v>
      </c>
      <c r="R18209" s="36" t="s">
        <v>48</v>
      </c>
    </row>
    <row r="18210">
      <c r="H18210" s="50"/>
      <c r="I18210" s="50"/>
      <c r="O18210" s="36" t="s">
        <v>48</v>
      </c>
      <c r="R18210" s="36" t="s">
        <v>48</v>
      </c>
    </row>
    <row r="18211">
      <c r="H18211" s="50"/>
      <c r="I18211" s="50"/>
      <c r="O18211" s="36" t="s">
        <v>48</v>
      </c>
      <c r="R18211" s="36" t="s">
        <v>48</v>
      </c>
    </row>
    <row r="18212">
      <c r="H18212" s="50"/>
      <c r="I18212" s="50"/>
      <c r="O18212" s="36" t="s">
        <v>48</v>
      </c>
      <c r="R18212" s="36" t="s">
        <v>48</v>
      </c>
    </row>
    <row r="18213">
      <c r="H18213" s="50"/>
      <c r="I18213" s="50"/>
      <c r="O18213" s="36" t="s">
        <v>48</v>
      </c>
      <c r="R18213" s="36" t="s">
        <v>48</v>
      </c>
    </row>
    <row r="18214">
      <c r="H18214" s="50"/>
      <c r="I18214" s="50"/>
      <c r="O18214" s="36" t="s">
        <v>48</v>
      </c>
      <c r="R18214" s="36" t="s">
        <v>48</v>
      </c>
    </row>
    <row r="18215">
      <c r="H18215" s="50"/>
      <c r="I18215" s="50"/>
      <c r="O18215" s="36" t="s">
        <v>48</v>
      </c>
      <c r="R18215" s="36" t="s">
        <v>48</v>
      </c>
    </row>
    <row r="18216">
      <c r="H18216" s="50"/>
      <c r="I18216" s="50"/>
      <c r="O18216" s="36" t="s">
        <v>48</v>
      </c>
      <c r="R18216" s="36" t="s">
        <v>48</v>
      </c>
    </row>
    <row r="18217">
      <c r="H18217" s="50"/>
      <c r="I18217" s="50"/>
      <c r="O18217" s="36" t="s">
        <v>48</v>
      </c>
      <c r="R18217" s="36" t="s">
        <v>48</v>
      </c>
    </row>
    <row r="18218">
      <c r="H18218" s="50"/>
      <c r="I18218" s="50"/>
      <c r="O18218" s="36" t="s">
        <v>48</v>
      </c>
      <c r="R18218" s="36" t="s">
        <v>48</v>
      </c>
    </row>
    <row r="18219">
      <c r="H18219" s="50"/>
      <c r="I18219" s="50"/>
      <c r="O18219" s="36" t="s">
        <v>48</v>
      </c>
      <c r="R18219" s="36" t="s">
        <v>48</v>
      </c>
    </row>
    <row r="18220">
      <c r="H18220" s="50"/>
      <c r="I18220" s="50"/>
      <c r="O18220" s="36" t="s">
        <v>48</v>
      </c>
      <c r="R18220" s="36" t="s">
        <v>48</v>
      </c>
    </row>
    <row r="18221">
      <c r="H18221" s="50"/>
      <c r="I18221" s="50"/>
      <c r="O18221" s="36" t="s">
        <v>48</v>
      </c>
      <c r="R18221" s="36" t="s">
        <v>48</v>
      </c>
    </row>
    <row r="18222">
      <c r="H18222" s="50"/>
      <c r="I18222" s="50"/>
      <c r="O18222" s="36" t="s">
        <v>48</v>
      </c>
      <c r="R18222" s="36" t="s">
        <v>48</v>
      </c>
    </row>
    <row r="18223">
      <c r="H18223" s="50"/>
      <c r="I18223" s="50"/>
      <c r="O18223" s="36" t="s">
        <v>48</v>
      </c>
      <c r="R18223" s="36" t="s">
        <v>48</v>
      </c>
    </row>
    <row r="18224">
      <c r="H18224" s="50"/>
      <c r="I18224" s="50"/>
      <c r="O18224" s="36" t="s">
        <v>48</v>
      </c>
      <c r="R18224" s="36" t="s">
        <v>48</v>
      </c>
    </row>
    <row r="18225">
      <c r="H18225" s="50"/>
      <c r="I18225" s="50"/>
      <c r="O18225" s="36" t="s">
        <v>48</v>
      </c>
      <c r="R18225" s="36" t="s">
        <v>48</v>
      </c>
    </row>
    <row r="18226">
      <c r="H18226" s="50"/>
      <c r="I18226" s="50"/>
      <c r="O18226" s="36" t="s">
        <v>48</v>
      </c>
      <c r="R18226" s="36" t="s">
        <v>48</v>
      </c>
    </row>
    <row r="18227">
      <c r="H18227" s="50"/>
      <c r="I18227" s="50"/>
      <c r="O18227" s="36" t="s">
        <v>48</v>
      </c>
      <c r="R18227" s="36" t="s">
        <v>48</v>
      </c>
    </row>
    <row r="18228">
      <c r="H18228" s="50"/>
      <c r="I18228" s="50"/>
      <c r="O18228" s="36" t="s">
        <v>48</v>
      </c>
      <c r="R18228" s="36" t="s">
        <v>48</v>
      </c>
    </row>
    <row r="18229">
      <c r="H18229" s="50"/>
      <c r="I18229" s="50"/>
      <c r="O18229" s="36" t="s">
        <v>48</v>
      </c>
      <c r="R18229" s="36" t="s">
        <v>48</v>
      </c>
    </row>
    <row r="18230">
      <c r="H18230" s="50"/>
      <c r="I18230" s="50"/>
      <c r="O18230" s="36" t="s">
        <v>48</v>
      </c>
      <c r="R18230" s="36" t="s">
        <v>48</v>
      </c>
    </row>
    <row r="18231">
      <c r="H18231" s="50"/>
      <c r="I18231" s="50"/>
      <c r="O18231" s="36" t="s">
        <v>48</v>
      </c>
      <c r="R18231" s="36" t="s">
        <v>48</v>
      </c>
    </row>
    <row r="18232">
      <c r="H18232" s="50"/>
      <c r="I18232" s="50"/>
      <c r="O18232" s="36" t="s">
        <v>48</v>
      </c>
      <c r="R18232" s="36" t="s">
        <v>48</v>
      </c>
    </row>
    <row r="18233">
      <c r="H18233" s="50"/>
      <c r="I18233" s="50"/>
      <c r="O18233" s="36" t="s">
        <v>48</v>
      </c>
      <c r="R18233" s="36" t="s">
        <v>48</v>
      </c>
    </row>
    <row r="18234">
      <c r="H18234" s="50"/>
      <c r="I18234" s="50"/>
      <c r="O18234" s="36" t="s">
        <v>48</v>
      </c>
      <c r="R18234" s="36" t="s">
        <v>48</v>
      </c>
    </row>
    <row r="18235">
      <c r="H18235" s="50"/>
      <c r="I18235" s="50"/>
      <c r="O18235" s="36" t="s">
        <v>48</v>
      </c>
      <c r="R18235" s="36" t="s">
        <v>48</v>
      </c>
    </row>
    <row r="18236">
      <c r="H18236" s="50"/>
      <c r="I18236" s="50"/>
      <c r="O18236" s="36" t="s">
        <v>48</v>
      </c>
      <c r="R18236" s="36" t="s">
        <v>48</v>
      </c>
    </row>
    <row r="18237">
      <c r="H18237" s="50"/>
      <c r="I18237" s="50"/>
      <c r="O18237" s="36" t="s">
        <v>48</v>
      </c>
      <c r="R18237" s="36" t="s">
        <v>48</v>
      </c>
    </row>
    <row r="18238">
      <c r="H18238" s="50"/>
      <c r="I18238" s="50"/>
      <c r="O18238" s="36" t="s">
        <v>48</v>
      </c>
      <c r="R18238" s="36" t="s">
        <v>48</v>
      </c>
    </row>
    <row r="18239">
      <c r="H18239" s="50"/>
      <c r="I18239" s="50"/>
      <c r="O18239" s="36" t="s">
        <v>48</v>
      </c>
      <c r="R18239" s="36" t="s">
        <v>48</v>
      </c>
    </row>
    <row r="18240">
      <c r="H18240" s="50"/>
      <c r="I18240" s="50"/>
      <c r="O18240" s="36" t="s">
        <v>48</v>
      </c>
      <c r="R18240" s="36" t="s">
        <v>48</v>
      </c>
    </row>
    <row r="18241">
      <c r="H18241" s="50"/>
      <c r="I18241" s="50"/>
      <c r="O18241" s="36" t="s">
        <v>48</v>
      </c>
      <c r="R18241" s="36" t="s">
        <v>48</v>
      </c>
    </row>
    <row r="18242">
      <c r="H18242" s="50"/>
      <c r="I18242" s="50"/>
      <c r="O18242" s="36" t="s">
        <v>48</v>
      </c>
      <c r="R18242" s="36" t="s">
        <v>48</v>
      </c>
    </row>
    <row r="18243">
      <c r="H18243" s="50"/>
      <c r="I18243" s="50"/>
      <c r="O18243" s="36" t="s">
        <v>48</v>
      </c>
      <c r="R18243" s="36" t="s">
        <v>48</v>
      </c>
    </row>
    <row r="18244">
      <c r="H18244" s="50"/>
      <c r="I18244" s="50"/>
      <c r="O18244" s="36" t="s">
        <v>48</v>
      </c>
      <c r="R18244" s="36" t="s">
        <v>48</v>
      </c>
    </row>
    <row r="18245">
      <c r="H18245" s="50"/>
      <c r="I18245" s="50"/>
      <c r="O18245" s="36" t="s">
        <v>48</v>
      </c>
      <c r="R18245" s="36" t="s">
        <v>48</v>
      </c>
    </row>
    <row r="18246">
      <c r="H18246" s="50"/>
      <c r="I18246" s="50"/>
      <c r="O18246" s="36" t="s">
        <v>48</v>
      </c>
      <c r="R18246" s="36" t="s">
        <v>48</v>
      </c>
    </row>
    <row r="18247">
      <c r="H18247" s="50"/>
      <c r="I18247" s="50"/>
      <c r="O18247" s="36" t="s">
        <v>48</v>
      </c>
      <c r="R18247" s="36" t="s">
        <v>48</v>
      </c>
    </row>
    <row r="18248">
      <c r="H18248" s="50"/>
      <c r="I18248" s="50"/>
      <c r="O18248" s="36" t="s">
        <v>48</v>
      </c>
      <c r="R18248" s="36" t="s">
        <v>48</v>
      </c>
    </row>
    <row r="18249">
      <c r="H18249" s="50"/>
      <c r="I18249" s="50"/>
      <c r="O18249" s="36" t="s">
        <v>48</v>
      </c>
      <c r="R18249" s="36" t="s">
        <v>48</v>
      </c>
    </row>
    <row r="18250">
      <c r="H18250" s="50"/>
      <c r="I18250" s="50"/>
      <c r="O18250" s="36" t="s">
        <v>48</v>
      </c>
      <c r="R18250" s="36" t="s">
        <v>48</v>
      </c>
    </row>
    <row r="18251">
      <c r="H18251" s="50"/>
      <c r="I18251" s="50"/>
      <c r="O18251" s="36" t="s">
        <v>48</v>
      </c>
      <c r="R18251" s="36" t="s">
        <v>48</v>
      </c>
    </row>
    <row r="18252">
      <c r="H18252" s="50"/>
      <c r="I18252" s="50"/>
      <c r="O18252" s="36" t="s">
        <v>48</v>
      </c>
      <c r="R18252" s="36" t="s">
        <v>48</v>
      </c>
    </row>
    <row r="18253">
      <c r="H18253" s="50"/>
      <c r="I18253" s="50"/>
      <c r="O18253" s="36" t="s">
        <v>48</v>
      </c>
      <c r="R18253" s="36" t="s">
        <v>48</v>
      </c>
    </row>
    <row r="18254">
      <c r="H18254" s="50"/>
      <c r="I18254" s="50"/>
      <c r="O18254" s="36" t="s">
        <v>48</v>
      </c>
      <c r="R18254" s="36" t="s">
        <v>48</v>
      </c>
    </row>
    <row r="18255">
      <c r="H18255" s="50"/>
      <c r="I18255" s="50"/>
      <c r="O18255" s="36" t="s">
        <v>48</v>
      </c>
      <c r="R18255" s="36" t="s">
        <v>48</v>
      </c>
    </row>
    <row r="18256">
      <c r="H18256" s="50"/>
      <c r="I18256" s="50"/>
      <c r="O18256" s="36" t="s">
        <v>48</v>
      </c>
      <c r="R18256" s="36" t="s">
        <v>48</v>
      </c>
    </row>
    <row r="18257">
      <c r="H18257" s="50"/>
      <c r="I18257" s="50"/>
      <c r="O18257" s="36" t="s">
        <v>48</v>
      </c>
      <c r="R18257" s="36" t="s">
        <v>48</v>
      </c>
    </row>
    <row r="18258">
      <c r="H18258" s="50"/>
      <c r="I18258" s="50"/>
      <c r="O18258" s="36" t="s">
        <v>48</v>
      </c>
      <c r="R18258" s="36" t="s">
        <v>48</v>
      </c>
    </row>
    <row r="18259">
      <c r="H18259" s="50"/>
      <c r="I18259" s="50"/>
      <c r="O18259" s="36" t="s">
        <v>48</v>
      </c>
      <c r="R18259" s="36" t="s">
        <v>48</v>
      </c>
    </row>
    <row r="18260">
      <c r="H18260" s="50"/>
      <c r="I18260" s="50"/>
      <c r="O18260" s="36" t="s">
        <v>48</v>
      </c>
      <c r="R18260" s="36" t="s">
        <v>48</v>
      </c>
    </row>
    <row r="18261">
      <c r="H18261" s="50"/>
      <c r="I18261" s="50"/>
      <c r="O18261" s="36" t="s">
        <v>48</v>
      </c>
      <c r="R18261" s="36" t="s">
        <v>48</v>
      </c>
    </row>
    <row r="18262">
      <c r="H18262" s="50"/>
      <c r="I18262" s="50"/>
      <c r="O18262" s="36" t="s">
        <v>48</v>
      </c>
      <c r="R18262" s="36" t="s">
        <v>48</v>
      </c>
    </row>
    <row r="18263">
      <c r="H18263" s="50"/>
      <c r="I18263" s="50"/>
      <c r="O18263" s="36" t="s">
        <v>48</v>
      </c>
      <c r="R18263" s="36" t="s">
        <v>48</v>
      </c>
    </row>
    <row r="18264">
      <c r="H18264" s="50"/>
      <c r="I18264" s="50"/>
      <c r="O18264" s="36" t="s">
        <v>48</v>
      </c>
      <c r="R18264" s="36" t="s">
        <v>48</v>
      </c>
    </row>
    <row r="18265">
      <c r="H18265" s="50"/>
      <c r="I18265" s="50"/>
      <c r="O18265" s="36" t="s">
        <v>48</v>
      </c>
      <c r="R18265" s="36" t="s">
        <v>48</v>
      </c>
    </row>
    <row r="18266">
      <c r="H18266" s="50"/>
      <c r="I18266" s="50"/>
      <c r="O18266" s="36" t="s">
        <v>48</v>
      </c>
      <c r="R18266" s="36" t="s">
        <v>48</v>
      </c>
    </row>
    <row r="18267">
      <c r="H18267" s="50"/>
      <c r="I18267" s="50"/>
      <c r="O18267" s="36" t="s">
        <v>48</v>
      </c>
      <c r="R18267" s="36" t="s">
        <v>48</v>
      </c>
    </row>
    <row r="18268">
      <c r="H18268" s="50"/>
      <c r="I18268" s="50"/>
      <c r="O18268" s="36" t="s">
        <v>48</v>
      </c>
      <c r="R18268" s="36" t="s">
        <v>48</v>
      </c>
    </row>
    <row r="18269">
      <c r="H18269" s="50"/>
      <c r="I18269" s="50"/>
      <c r="O18269" s="36" t="s">
        <v>48</v>
      </c>
      <c r="R18269" s="36" t="s">
        <v>48</v>
      </c>
    </row>
    <row r="18270">
      <c r="H18270" s="50"/>
      <c r="I18270" s="50"/>
      <c r="O18270" s="36" t="s">
        <v>48</v>
      </c>
      <c r="R18270" s="36" t="s">
        <v>48</v>
      </c>
    </row>
    <row r="18271">
      <c r="H18271" s="50"/>
      <c r="I18271" s="50"/>
      <c r="O18271" s="36" t="s">
        <v>48</v>
      </c>
      <c r="R18271" s="36" t="s">
        <v>48</v>
      </c>
    </row>
    <row r="18272">
      <c r="H18272" s="50"/>
      <c r="I18272" s="50"/>
      <c r="O18272" s="36" t="s">
        <v>48</v>
      </c>
      <c r="R18272" s="36" t="s">
        <v>48</v>
      </c>
    </row>
    <row r="18273">
      <c r="H18273" s="50"/>
      <c r="I18273" s="50"/>
      <c r="O18273" s="36" t="s">
        <v>48</v>
      </c>
      <c r="R18273" s="36" t="s">
        <v>48</v>
      </c>
    </row>
    <row r="18274">
      <c r="H18274" s="50"/>
      <c r="I18274" s="50"/>
      <c r="O18274" s="36" t="s">
        <v>48</v>
      </c>
      <c r="R18274" s="36" t="s">
        <v>48</v>
      </c>
    </row>
    <row r="18275">
      <c r="H18275" s="50"/>
      <c r="I18275" s="50"/>
      <c r="O18275" s="36" t="s">
        <v>48</v>
      </c>
      <c r="R18275" s="36" t="s">
        <v>48</v>
      </c>
    </row>
    <row r="18276">
      <c r="H18276" s="50"/>
      <c r="I18276" s="50"/>
      <c r="O18276" s="36" t="s">
        <v>48</v>
      </c>
      <c r="R18276" s="36" t="s">
        <v>48</v>
      </c>
    </row>
    <row r="18277">
      <c r="H18277" s="50"/>
      <c r="I18277" s="50"/>
      <c r="O18277" s="36" t="s">
        <v>48</v>
      </c>
      <c r="R18277" s="36" t="s">
        <v>48</v>
      </c>
    </row>
    <row r="18278">
      <c r="H18278" s="50"/>
      <c r="I18278" s="50"/>
      <c r="O18278" s="36" t="s">
        <v>48</v>
      </c>
      <c r="R18278" s="36" t="s">
        <v>48</v>
      </c>
    </row>
    <row r="18279">
      <c r="H18279" s="50"/>
      <c r="I18279" s="50"/>
      <c r="O18279" s="36" t="s">
        <v>48</v>
      </c>
      <c r="R18279" s="36" t="s">
        <v>48</v>
      </c>
    </row>
    <row r="18280">
      <c r="H18280" s="50"/>
      <c r="I18280" s="50"/>
      <c r="O18280" s="36" t="s">
        <v>48</v>
      </c>
      <c r="R18280" s="36" t="s">
        <v>48</v>
      </c>
    </row>
    <row r="18281">
      <c r="H18281" s="50"/>
      <c r="I18281" s="50"/>
      <c r="O18281" s="36" t="s">
        <v>48</v>
      </c>
      <c r="R18281" s="36" t="s">
        <v>48</v>
      </c>
    </row>
    <row r="18282">
      <c r="H18282" s="50"/>
      <c r="I18282" s="50"/>
      <c r="O18282" s="36" t="s">
        <v>48</v>
      </c>
      <c r="R18282" s="36" t="s">
        <v>48</v>
      </c>
    </row>
    <row r="18283">
      <c r="H18283" s="50"/>
      <c r="I18283" s="50"/>
      <c r="O18283" s="36" t="s">
        <v>48</v>
      </c>
      <c r="R18283" s="36" t="s">
        <v>48</v>
      </c>
    </row>
    <row r="18284">
      <c r="H18284" s="50"/>
      <c r="I18284" s="50"/>
      <c r="O18284" s="36" t="s">
        <v>48</v>
      </c>
      <c r="R18284" s="36" t="s">
        <v>48</v>
      </c>
    </row>
    <row r="18285">
      <c r="H18285" s="50"/>
      <c r="I18285" s="50"/>
      <c r="O18285" s="36" t="s">
        <v>48</v>
      </c>
      <c r="R18285" s="36" t="s">
        <v>48</v>
      </c>
    </row>
    <row r="18286">
      <c r="H18286" s="50"/>
      <c r="I18286" s="50"/>
      <c r="O18286" s="36" t="s">
        <v>48</v>
      </c>
      <c r="R18286" s="36" t="s">
        <v>48</v>
      </c>
    </row>
    <row r="18287">
      <c r="H18287" s="50"/>
      <c r="I18287" s="50"/>
      <c r="O18287" s="36" t="s">
        <v>48</v>
      </c>
      <c r="R18287" s="36" t="s">
        <v>48</v>
      </c>
    </row>
    <row r="18288">
      <c r="H18288" s="50"/>
      <c r="I18288" s="50"/>
      <c r="O18288" s="36" t="s">
        <v>48</v>
      </c>
      <c r="R18288" s="36" t="s">
        <v>48</v>
      </c>
    </row>
    <row r="18289">
      <c r="H18289" s="50"/>
      <c r="I18289" s="50"/>
      <c r="O18289" s="36" t="s">
        <v>48</v>
      </c>
      <c r="R18289" s="36" t="s">
        <v>48</v>
      </c>
    </row>
    <row r="18290">
      <c r="H18290" s="50"/>
      <c r="I18290" s="50"/>
      <c r="O18290" s="36" t="s">
        <v>48</v>
      </c>
      <c r="R18290" s="36" t="s">
        <v>48</v>
      </c>
    </row>
    <row r="18291">
      <c r="H18291" s="50"/>
      <c r="I18291" s="50"/>
      <c r="O18291" s="36" t="s">
        <v>48</v>
      </c>
      <c r="R18291" s="36" t="s">
        <v>48</v>
      </c>
    </row>
    <row r="18292">
      <c r="H18292" s="50"/>
      <c r="I18292" s="50"/>
      <c r="O18292" s="36" t="s">
        <v>48</v>
      </c>
      <c r="R18292" s="36" t="s">
        <v>48</v>
      </c>
    </row>
    <row r="18293">
      <c r="H18293" s="50"/>
      <c r="I18293" s="50"/>
      <c r="O18293" s="36" t="s">
        <v>48</v>
      </c>
      <c r="R18293" s="36" t="s">
        <v>48</v>
      </c>
    </row>
    <row r="18294">
      <c r="H18294" s="50"/>
      <c r="I18294" s="50"/>
      <c r="O18294" s="36" t="s">
        <v>48</v>
      </c>
      <c r="R18294" s="36" t="s">
        <v>48</v>
      </c>
    </row>
    <row r="18295">
      <c r="H18295" s="50"/>
      <c r="I18295" s="50"/>
      <c r="O18295" s="36" t="s">
        <v>48</v>
      </c>
      <c r="R18295" s="36" t="s">
        <v>48</v>
      </c>
    </row>
    <row r="18296">
      <c r="H18296" s="50"/>
      <c r="I18296" s="50"/>
      <c r="O18296" s="36" t="s">
        <v>48</v>
      </c>
      <c r="R18296" s="36" t="s">
        <v>48</v>
      </c>
    </row>
    <row r="18297">
      <c r="H18297" s="50"/>
      <c r="I18297" s="50"/>
      <c r="O18297" s="36" t="s">
        <v>48</v>
      </c>
      <c r="R18297" s="36" t="s">
        <v>48</v>
      </c>
    </row>
    <row r="18298">
      <c r="H18298" s="50"/>
      <c r="I18298" s="50"/>
      <c r="O18298" s="36" t="s">
        <v>48</v>
      </c>
      <c r="R18298" s="36" t="s">
        <v>48</v>
      </c>
    </row>
    <row r="18299">
      <c r="H18299" s="50"/>
      <c r="I18299" s="50"/>
      <c r="O18299" s="36" t="s">
        <v>48</v>
      </c>
      <c r="R18299" s="36" t="s">
        <v>48</v>
      </c>
    </row>
    <row r="18300">
      <c r="H18300" s="50"/>
      <c r="I18300" s="50"/>
      <c r="O18300" s="36" t="s">
        <v>48</v>
      </c>
      <c r="R18300" s="36" t="s">
        <v>48</v>
      </c>
    </row>
    <row r="18301">
      <c r="H18301" s="50"/>
      <c r="I18301" s="50"/>
      <c r="O18301" s="36" t="s">
        <v>48</v>
      </c>
      <c r="R18301" s="36" t="s">
        <v>48</v>
      </c>
    </row>
    <row r="18302">
      <c r="H18302" s="50"/>
      <c r="I18302" s="50"/>
      <c r="O18302" s="36" t="s">
        <v>48</v>
      </c>
      <c r="R18302" s="36" t="s">
        <v>48</v>
      </c>
    </row>
    <row r="18303">
      <c r="H18303" s="50"/>
      <c r="I18303" s="50"/>
      <c r="O18303" s="36" t="s">
        <v>48</v>
      </c>
      <c r="R18303" s="36" t="s">
        <v>48</v>
      </c>
    </row>
    <row r="18304">
      <c r="H18304" s="50"/>
      <c r="I18304" s="50"/>
      <c r="O18304" s="36" t="s">
        <v>48</v>
      </c>
      <c r="R18304" s="36" t="s">
        <v>48</v>
      </c>
    </row>
    <row r="18305">
      <c r="H18305" s="50"/>
      <c r="I18305" s="50"/>
      <c r="O18305" s="36" t="s">
        <v>48</v>
      </c>
      <c r="R18305" s="36" t="s">
        <v>48</v>
      </c>
    </row>
    <row r="18306">
      <c r="H18306" s="50"/>
      <c r="I18306" s="50"/>
      <c r="O18306" s="36" t="s">
        <v>48</v>
      </c>
      <c r="R18306" s="36" t="s">
        <v>48</v>
      </c>
    </row>
    <row r="18307">
      <c r="H18307" s="50"/>
      <c r="I18307" s="50"/>
      <c r="O18307" s="36" t="s">
        <v>48</v>
      </c>
      <c r="R18307" s="36" t="s">
        <v>48</v>
      </c>
    </row>
    <row r="18308">
      <c r="H18308" s="50"/>
      <c r="I18308" s="50"/>
      <c r="O18308" s="36" t="s">
        <v>48</v>
      </c>
      <c r="R18308" s="36" t="s">
        <v>48</v>
      </c>
    </row>
    <row r="18309">
      <c r="H18309" s="50"/>
      <c r="I18309" s="50"/>
      <c r="O18309" s="36" t="s">
        <v>48</v>
      </c>
      <c r="R18309" s="36" t="s">
        <v>48</v>
      </c>
    </row>
    <row r="18310">
      <c r="H18310" s="50"/>
      <c r="I18310" s="50"/>
      <c r="O18310" s="36" t="s">
        <v>48</v>
      </c>
      <c r="R18310" s="36" t="s">
        <v>48</v>
      </c>
    </row>
    <row r="18311">
      <c r="H18311" s="50"/>
      <c r="I18311" s="50"/>
      <c r="O18311" s="36" t="s">
        <v>48</v>
      </c>
      <c r="R18311" s="36" t="s">
        <v>48</v>
      </c>
    </row>
    <row r="18312">
      <c r="H18312" s="50"/>
      <c r="I18312" s="50"/>
      <c r="O18312" s="36" t="s">
        <v>48</v>
      </c>
      <c r="R18312" s="36" t="s">
        <v>48</v>
      </c>
    </row>
    <row r="18313">
      <c r="H18313" s="50"/>
      <c r="I18313" s="50"/>
      <c r="O18313" s="36" t="s">
        <v>48</v>
      </c>
      <c r="R18313" s="36" t="s">
        <v>48</v>
      </c>
    </row>
    <row r="18314">
      <c r="H18314" s="50"/>
      <c r="I18314" s="50"/>
      <c r="O18314" s="36" t="s">
        <v>48</v>
      </c>
      <c r="R18314" s="36" t="s">
        <v>48</v>
      </c>
    </row>
    <row r="18315">
      <c r="H18315" s="50"/>
      <c r="I18315" s="50"/>
      <c r="O18315" s="36" t="s">
        <v>48</v>
      </c>
      <c r="R18315" s="36" t="s">
        <v>48</v>
      </c>
    </row>
    <row r="18316">
      <c r="H18316" s="50"/>
      <c r="I18316" s="50"/>
      <c r="O18316" s="36" t="s">
        <v>48</v>
      </c>
      <c r="R18316" s="36" t="s">
        <v>48</v>
      </c>
    </row>
    <row r="18317">
      <c r="H18317" s="50"/>
      <c r="I18317" s="50"/>
      <c r="O18317" s="36" t="s">
        <v>48</v>
      </c>
      <c r="R18317" s="36" t="s">
        <v>48</v>
      </c>
    </row>
    <row r="18318">
      <c r="H18318" s="50"/>
      <c r="I18318" s="50"/>
      <c r="O18318" s="36" t="s">
        <v>48</v>
      </c>
      <c r="R18318" s="36" t="s">
        <v>48</v>
      </c>
    </row>
    <row r="18319">
      <c r="H18319" s="50"/>
      <c r="I18319" s="50"/>
      <c r="O18319" s="36" t="s">
        <v>48</v>
      </c>
      <c r="R18319" s="36" t="s">
        <v>48</v>
      </c>
    </row>
    <row r="18320">
      <c r="H18320" s="50"/>
      <c r="I18320" s="50"/>
      <c r="O18320" s="36" t="s">
        <v>48</v>
      </c>
      <c r="R18320" s="36" t="s">
        <v>48</v>
      </c>
    </row>
    <row r="18321">
      <c r="H18321" s="50"/>
      <c r="I18321" s="50"/>
      <c r="O18321" s="36" t="s">
        <v>48</v>
      </c>
      <c r="R18321" s="36" t="s">
        <v>48</v>
      </c>
    </row>
    <row r="18322">
      <c r="H18322" s="50"/>
      <c r="I18322" s="50"/>
      <c r="O18322" s="36" t="s">
        <v>48</v>
      </c>
      <c r="R18322" s="36" t="s">
        <v>48</v>
      </c>
    </row>
    <row r="18323">
      <c r="H18323" s="50"/>
      <c r="I18323" s="50"/>
      <c r="O18323" s="36" t="s">
        <v>48</v>
      </c>
      <c r="R18323" s="36" t="s">
        <v>48</v>
      </c>
    </row>
    <row r="18324">
      <c r="H18324" s="50"/>
      <c r="I18324" s="50"/>
      <c r="O18324" s="36" t="s">
        <v>48</v>
      </c>
      <c r="R18324" s="36" t="s">
        <v>48</v>
      </c>
    </row>
    <row r="18325">
      <c r="H18325" s="50"/>
      <c r="I18325" s="50"/>
      <c r="O18325" s="36" t="s">
        <v>48</v>
      </c>
      <c r="R18325" s="36" t="s">
        <v>48</v>
      </c>
    </row>
    <row r="18326">
      <c r="H18326" s="50"/>
      <c r="I18326" s="50"/>
      <c r="O18326" s="36" t="s">
        <v>48</v>
      </c>
      <c r="R18326" s="36" t="s">
        <v>48</v>
      </c>
    </row>
    <row r="18327">
      <c r="H18327" s="50"/>
      <c r="I18327" s="50"/>
      <c r="O18327" s="36" t="s">
        <v>48</v>
      </c>
      <c r="R18327" s="36" t="s">
        <v>48</v>
      </c>
    </row>
    <row r="18328">
      <c r="H18328" s="50"/>
      <c r="I18328" s="50"/>
      <c r="O18328" s="36" t="s">
        <v>48</v>
      </c>
      <c r="R18328" s="36" t="s">
        <v>48</v>
      </c>
    </row>
    <row r="18329">
      <c r="H18329" s="50"/>
      <c r="I18329" s="50"/>
      <c r="O18329" s="36" t="s">
        <v>48</v>
      </c>
      <c r="R18329" s="36" t="s">
        <v>48</v>
      </c>
    </row>
    <row r="18330">
      <c r="H18330" s="50"/>
      <c r="I18330" s="50"/>
      <c r="O18330" s="36" t="s">
        <v>48</v>
      </c>
      <c r="R18330" s="36" t="s">
        <v>48</v>
      </c>
    </row>
    <row r="18331">
      <c r="H18331" s="50"/>
      <c r="I18331" s="50"/>
      <c r="O18331" s="36" t="s">
        <v>48</v>
      </c>
      <c r="R18331" s="36" t="s">
        <v>48</v>
      </c>
    </row>
    <row r="18332">
      <c r="H18332" s="50"/>
      <c r="I18332" s="50"/>
      <c r="O18332" s="36" t="s">
        <v>48</v>
      </c>
      <c r="R18332" s="36" t="s">
        <v>48</v>
      </c>
    </row>
    <row r="18333">
      <c r="H18333" s="50"/>
      <c r="I18333" s="50"/>
      <c r="O18333" s="36" t="s">
        <v>48</v>
      </c>
      <c r="R18333" s="36" t="s">
        <v>48</v>
      </c>
    </row>
    <row r="18334">
      <c r="H18334" s="50"/>
      <c r="I18334" s="50"/>
      <c r="O18334" s="36" t="s">
        <v>48</v>
      </c>
      <c r="R18334" s="36" t="s">
        <v>48</v>
      </c>
    </row>
    <row r="18335">
      <c r="H18335" s="50"/>
      <c r="I18335" s="50"/>
      <c r="O18335" s="36" t="s">
        <v>48</v>
      </c>
      <c r="R18335" s="36" t="s">
        <v>48</v>
      </c>
    </row>
    <row r="18336">
      <c r="H18336" s="50"/>
      <c r="I18336" s="50"/>
      <c r="O18336" s="36" t="s">
        <v>48</v>
      </c>
      <c r="R18336" s="36" t="s">
        <v>48</v>
      </c>
    </row>
    <row r="18337">
      <c r="H18337" s="50"/>
      <c r="I18337" s="50"/>
      <c r="O18337" s="36" t="s">
        <v>48</v>
      </c>
      <c r="R18337" s="36" t="s">
        <v>48</v>
      </c>
    </row>
    <row r="18338">
      <c r="H18338" s="50"/>
      <c r="I18338" s="50"/>
      <c r="O18338" s="36" t="s">
        <v>48</v>
      </c>
      <c r="R18338" s="36" t="s">
        <v>48</v>
      </c>
    </row>
    <row r="18339">
      <c r="H18339" s="50"/>
      <c r="I18339" s="50"/>
      <c r="O18339" s="36" t="s">
        <v>48</v>
      </c>
      <c r="R18339" s="36" t="s">
        <v>48</v>
      </c>
    </row>
    <row r="18340">
      <c r="H18340" s="50"/>
      <c r="I18340" s="50"/>
      <c r="O18340" s="36" t="s">
        <v>48</v>
      </c>
      <c r="R18340" s="36" t="s">
        <v>48</v>
      </c>
    </row>
    <row r="18341">
      <c r="H18341" s="50"/>
      <c r="I18341" s="50"/>
      <c r="O18341" s="36" t="s">
        <v>48</v>
      </c>
      <c r="R18341" s="36" t="s">
        <v>48</v>
      </c>
    </row>
    <row r="18342">
      <c r="H18342" s="50"/>
      <c r="I18342" s="50"/>
      <c r="O18342" s="36" t="s">
        <v>48</v>
      </c>
      <c r="R18342" s="36" t="s">
        <v>48</v>
      </c>
    </row>
    <row r="18343">
      <c r="H18343" s="50"/>
      <c r="I18343" s="50"/>
      <c r="O18343" s="36" t="s">
        <v>48</v>
      </c>
      <c r="R18343" s="36" t="s">
        <v>48</v>
      </c>
    </row>
    <row r="18344">
      <c r="H18344" s="50"/>
      <c r="I18344" s="50"/>
      <c r="O18344" s="36" t="s">
        <v>48</v>
      </c>
      <c r="R18344" s="36" t="s">
        <v>48</v>
      </c>
    </row>
    <row r="18345">
      <c r="H18345" s="50"/>
      <c r="I18345" s="50"/>
      <c r="O18345" s="36" t="s">
        <v>48</v>
      </c>
      <c r="R18345" s="36" t="s">
        <v>48</v>
      </c>
    </row>
    <row r="18346">
      <c r="H18346" s="50"/>
      <c r="I18346" s="50"/>
      <c r="O18346" s="36" t="s">
        <v>48</v>
      </c>
      <c r="R18346" s="36" t="s">
        <v>48</v>
      </c>
    </row>
    <row r="18347">
      <c r="H18347" s="50"/>
      <c r="I18347" s="50"/>
      <c r="O18347" s="36" t="s">
        <v>48</v>
      </c>
      <c r="R18347" s="36" t="s">
        <v>48</v>
      </c>
    </row>
    <row r="18348">
      <c r="H18348" s="50"/>
      <c r="I18348" s="50"/>
      <c r="O18348" s="36" t="s">
        <v>48</v>
      </c>
      <c r="R18348" s="36" t="s">
        <v>48</v>
      </c>
    </row>
    <row r="18349">
      <c r="H18349" s="50"/>
      <c r="I18349" s="50"/>
      <c r="O18349" s="36" t="s">
        <v>48</v>
      </c>
      <c r="R18349" s="36" t="s">
        <v>48</v>
      </c>
    </row>
    <row r="18350">
      <c r="H18350" s="50"/>
      <c r="I18350" s="50"/>
      <c r="O18350" s="36" t="s">
        <v>48</v>
      </c>
      <c r="R18350" s="36" t="s">
        <v>48</v>
      </c>
    </row>
    <row r="18351">
      <c r="H18351" s="50"/>
      <c r="I18351" s="50"/>
      <c r="O18351" s="36" t="s">
        <v>48</v>
      </c>
      <c r="R18351" s="36" t="s">
        <v>48</v>
      </c>
    </row>
    <row r="18352">
      <c r="H18352" s="50"/>
      <c r="I18352" s="50"/>
      <c r="O18352" s="36" t="s">
        <v>48</v>
      </c>
      <c r="R18352" s="36" t="s">
        <v>48</v>
      </c>
    </row>
    <row r="18353">
      <c r="H18353" s="50"/>
      <c r="I18353" s="50"/>
      <c r="O18353" s="36" t="s">
        <v>48</v>
      </c>
      <c r="R18353" s="36" t="s">
        <v>48</v>
      </c>
    </row>
    <row r="18354">
      <c r="H18354" s="50"/>
      <c r="I18354" s="50"/>
      <c r="O18354" s="36" t="s">
        <v>48</v>
      </c>
      <c r="R18354" s="36" t="s">
        <v>48</v>
      </c>
    </row>
    <row r="18355">
      <c r="H18355" s="50"/>
      <c r="I18355" s="50"/>
      <c r="O18355" s="36" t="s">
        <v>48</v>
      </c>
      <c r="R18355" s="36" t="s">
        <v>48</v>
      </c>
    </row>
    <row r="18356">
      <c r="H18356" s="50"/>
      <c r="I18356" s="50"/>
      <c r="O18356" s="36" t="s">
        <v>48</v>
      </c>
      <c r="R18356" s="36" t="s">
        <v>48</v>
      </c>
    </row>
    <row r="18357">
      <c r="H18357" s="50"/>
      <c r="I18357" s="50"/>
      <c r="O18357" s="36" t="s">
        <v>48</v>
      </c>
      <c r="R18357" s="36" t="s">
        <v>48</v>
      </c>
    </row>
    <row r="18358">
      <c r="H18358" s="50"/>
      <c r="I18358" s="50"/>
      <c r="O18358" s="36" t="s">
        <v>48</v>
      </c>
      <c r="R18358" s="36" t="s">
        <v>48</v>
      </c>
    </row>
    <row r="18359">
      <c r="H18359" s="50"/>
      <c r="I18359" s="50"/>
      <c r="O18359" s="36" t="s">
        <v>48</v>
      </c>
      <c r="R18359" s="36" t="s">
        <v>48</v>
      </c>
    </row>
    <row r="18360">
      <c r="H18360" s="50"/>
      <c r="I18360" s="50"/>
      <c r="O18360" s="36" t="s">
        <v>48</v>
      </c>
      <c r="R18360" s="36" t="s">
        <v>48</v>
      </c>
    </row>
    <row r="18361">
      <c r="H18361" s="50"/>
      <c r="I18361" s="50"/>
      <c r="O18361" s="36" t="s">
        <v>48</v>
      </c>
      <c r="R18361" s="36" t="s">
        <v>48</v>
      </c>
    </row>
    <row r="18362">
      <c r="H18362" s="50"/>
      <c r="I18362" s="50"/>
      <c r="O18362" s="36" t="s">
        <v>48</v>
      </c>
      <c r="R18362" s="36" t="s">
        <v>48</v>
      </c>
    </row>
    <row r="18363">
      <c r="H18363" s="50"/>
      <c r="I18363" s="50"/>
      <c r="O18363" s="36" t="s">
        <v>48</v>
      </c>
      <c r="R18363" s="36" t="s">
        <v>48</v>
      </c>
    </row>
    <row r="18364">
      <c r="H18364" s="50"/>
      <c r="I18364" s="50"/>
      <c r="O18364" s="36" t="s">
        <v>48</v>
      </c>
      <c r="R18364" s="36" t="s">
        <v>48</v>
      </c>
    </row>
    <row r="18365">
      <c r="H18365" s="50"/>
      <c r="I18365" s="50"/>
      <c r="O18365" s="36" t="s">
        <v>48</v>
      </c>
      <c r="R18365" s="36" t="s">
        <v>48</v>
      </c>
    </row>
    <row r="18366">
      <c r="H18366" s="50"/>
      <c r="I18366" s="50"/>
      <c r="O18366" s="36" t="s">
        <v>48</v>
      </c>
      <c r="R18366" s="36" t="s">
        <v>48</v>
      </c>
    </row>
    <row r="18367">
      <c r="H18367" s="50"/>
      <c r="I18367" s="50"/>
      <c r="O18367" s="36" t="s">
        <v>48</v>
      </c>
      <c r="R18367" s="36" t="s">
        <v>48</v>
      </c>
    </row>
    <row r="18368">
      <c r="H18368" s="50"/>
      <c r="I18368" s="50"/>
      <c r="O18368" s="36" t="s">
        <v>48</v>
      </c>
      <c r="R18368" s="36" t="s">
        <v>48</v>
      </c>
    </row>
    <row r="18369">
      <c r="H18369" s="50"/>
      <c r="I18369" s="50"/>
      <c r="O18369" s="36" t="s">
        <v>48</v>
      </c>
      <c r="R18369" s="36" t="s">
        <v>48</v>
      </c>
    </row>
    <row r="18370">
      <c r="H18370" s="50"/>
      <c r="I18370" s="50"/>
      <c r="O18370" s="36" t="s">
        <v>48</v>
      </c>
      <c r="R18370" s="36" t="s">
        <v>48</v>
      </c>
    </row>
    <row r="18371">
      <c r="H18371" s="50"/>
      <c r="I18371" s="50"/>
      <c r="O18371" s="36" t="s">
        <v>48</v>
      </c>
      <c r="R18371" s="36" t="s">
        <v>48</v>
      </c>
    </row>
    <row r="18372">
      <c r="H18372" s="50"/>
      <c r="I18372" s="50"/>
      <c r="O18372" s="36" t="s">
        <v>48</v>
      </c>
      <c r="R18372" s="36" t="s">
        <v>48</v>
      </c>
    </row>
    <row r="18373">
      <c r="H18373" s="50"/>
      <c r="I18373" s="50"/>
      <c r="O18373" s="36" t="s">
        <v>48</v>
      </c>
      <c r="R18373" s="36" t="s">
        <v>48</v>
      </c>
    </row>
    <row r="18374">
      <c r="H18374" s="50"/>
      <c r="I18374" s="50"/>
      <c r="O18374" s="36" t="s">
        <v>48</v>
      </c>
      <c r="R18374" s="36" t="s">
        <v>48</v>
      </c>
    </row>
    <row r="18375">
      <c r="H18375" s="50"/>
      <c r="I18375" s="50"/>
      <c r="O18375" s="36" t="s">
        <v>48</v>
      </c>
      <c r="R18375" s="36" t="s">
        <v>48</v>
      </c>
    </row>
    <row r="18376">
      <c r="H18376" s="50"/>
      <c r="I18376" s="50"/>
      <c r="O18376" s="36" t="s">
        <v>48</v>
      </c>
      <c r="R18376" s="36" t="s">
        <v>48</v>
      </c>
    </row>
    <row r="18377">
      <c r="H18377" s="50"/>
      <c r="I18377" s="50"/>
      <c r="O18377" s="36" t="s">
        <v>48</v>
      </c>
      <c r="R18377" s="36" t="s">
        <v>48</v>
      </c>
    </row>
    <row r="18378">
      <c r="H18378" s="50"/>
      <c r="I18378" s="50"/>
      <c r="O18378" s="36" t="s">
        <v>48</v>
      </c>
      <c r="R18378" s="36" t="s">
        <v>48</v>
      </c>
    </row>
    <row r="18379">
      <c r="H18379" s="50"/>
      <c r="I18379" s="50"/>
      <c r="O18379" s="36" t="s">
        <v>48</v>
      </c>
      <c r="R18379" s="36" t="s">
        <v>48</v>
      </c>
    </row>
    <row r="18380">
      <c r="H18380" s="50"/>
      <c r="I18380" s="50"/>
      <c r="O18380" s="36" t="s">
        <v>48</v>
      </c>
      <c r="R18380" s="36" t="s">
        <v>48</v>
      </c>
    </row>
    <row r="18381">
      <c r="H18381" s="50"/>
      <c r="I18381" s="50"/>
      <c r="O18381" s="36" t="s">
        <v>48</v>
      </c>
      <c r="R18381" s="36" t="s">
        <v>48</v>
      </c>
    </row>
    <row r="18382">
      <c r="H18382" s="50"/>
      <c r="I18382" s="50"/>
      <c r="O18382" s="36" t="s">
        <v>48</v>
      </c>
      <c r="R18382" s="36" t="s">
        <v>48</v>
      </c>
    </row>
    <row r="18383">
      <c r="H18383" s="50"/>
      <c r="I18383" s="50"/>
      <c r="O18383" s="36" t="s">
        <v>48</v>
      </c>
      <c r="R18383" s="36" t="s">
        <v>48</v>
      </c>
    </row>
    <row r="18384">
      <c r="H18384" s="50"/>
      <c r="I18384" s="50"/>
      <c r="O18384" s="36" t="s">
        <v>48</v>
      </c>
      <c r="R18384" s="36" t="s">
        <v>48</v>
      </c>
    </row>
    <row r="18385">
      <c r="H18385" s="50"/>
      <c r="I18385" s="50"/>
      <c r="O18385" s="36" t="s">
        <v>48</v>
      </c>
      <c r="R18385" s="36" t="s">
        <v>48</v>
      </c>
    </row>
    <row r="18386">
      <c r="H18386" s="50"/>
      <c r="I18386" s="50"/>
      <c r="O18386" s="36" t="s">
        <v>48</v>
      </c>
      <c r="R18386" s="36" t="s">
        <v>48</v>
      </c>
    </row>
    <row r="18387">
      <c r="H18387" s="50"/>
      <c r="I18387" s="50"/>
      <c r="O18387" s="36" t="s">
        <v>48</v>
      </c>
      <c r="R18387" s="36" t="s">
        <v>48</v>
      </c>
    </row>
    <row r="18388">
      <c r="H18388" s="50"/>
      <c r="I18388" s="50"/>
      <c r="O18388" s="36" t="s">
        <v>48</v>
      </c>
      <c r="R18388" s="36" t="s">
        <v>48</v>
      </c>
    </row>
    <row r="18389">
      <c r="H18389" s="50"/>
      <c r="I18389" s="50"/>
      <c r="O18389" s="36" t="s">
        <v>48</v>
      </c>
      <c r="R18389" s="36" t="s">
        <v>48</v>
      </c>
    </row>
    <row r="18390">
      <c r="H18390" s="50"/>
      <c r="I18390" s="50"/>
      <c r="O18390" s="36" t="s">
        <v>48</v>
      </c>
      <c r="R18390" s="36" t="s">
        <v>48</v>
      </c>
    </row>
    <row r="18391">
      <c r="H18391" s="50"/>
      <c r="I18391" s="50"/>
      <c r="O18391" s="36" t="s">
        <v>48</v>
      </c>
      <c r="R18391" s="36" t="s">
        <v>48</v>
      </c>
    </row>
    <row r="18392">
      <c r="H18392" s="50"/>
      <c r="I18392" s="50"/>
      <c r="O18392" s="36" t="s">
        <v>48</v>
      </c>
      <c r="R18392" s="36" t="s">
        <v>48</v>
      </c>
    </row>
    <row r="18393">
      <c r="H18393" s="50"/>
      <c r="I18393" s="50"/>
      <c r="O18393" s="36" t="s">
        <v>48</v>
      </c>
      <c r="R18393" s="36" t="s">
        <v>48</v>
      </c>
    </row>
    <row r="18394">
      <c r="H18394" s="50"/>
      <c r="I18394" s="50"/>
      <c r="O18394" s="36" t="s">
        <v>48</v>
      </c>
      <c r="R18394" s="36" t="s">
        <v>48</v>
      </c>
    </row>
    <row r="18395">
      <c r="H18395" s="50"/>
      <c r="I18395" s="50"/>
      <c r="O18395" s="36" t="s">
        <v>48</v>
      </c>
      <c r="R18395" s="36" t="s">
        <v>48</v>
      </c>
    </row>
    <row r="18396">
      <c r="H18396" s="50"/>
      <c r="I18396" s="50"/>
      <c r="O18396" s="36" t="s">
        <v>48</v>
      </c>
      <c r="R18396" s="36" t="s">
        <v>48</v>
      </c>
    </row>
    <row r="18397">
      <c r="H18397" s="50"/>
      <c r="I18397" s="50"/>
      <c r="O18397" s="36" t="s">
        <v>48</v>
      </c>
      <c r="R18397" s="36" t="s">
        <v>48</v>
      </c>
    </row>
    <row r="18398">
      <c r="H18398" s="50"/>
      <c r="I18398" s="50"/>
      <c r="O18398" s="36" t="s">
        <v>48</v>
      </c>
      <c r="R18398" s="36" t="s">
        <v>48</v>
      </c>
    </row>
    <row r="18399">
      <c r="H18399" s="50"/>
      <c r="I18399" s="50"/>
      <c r="O18399" s="36" t="s">
        <v>48</v>
      </c>
      <c r="R18399" s="36" t="s">
        <v>48</v>
      </c>
    </row>
    <row r="18400">
      <c r="H18400" s="50"/>
      <c r="I18400" s="50"/>
      <c r="O18400" s="36" t="s">
        <v>48</v>
      </c>
      <c r="R18400" s="36" t="s">
        <v>48</v>
      </c>
    </row>
    <row r="18401">
      <c r="H18401" s="50"/>
      <c r="I18401" s="50"/>
      <c r="O18401" s="36" t="s">
        <v>48</v>
      </c>
      <c r="R18401" s="36" t="s">
        <v>48</v>
      </c>
    </row>
    <row r="18402">
      <c r="H18402" s="50"/>
      <c r="I18402" s="50"/>
      <c r="O18402" s="36" t="s">
        <v>48</v>
      </c>
      <c r="R18402" s="36" t="s">
        <v>48</v>
      </c>
    </row>
    <row r="18403">
      <c r="H18403" s="50"/>
      <c r="I18403" s="50"/>
      <c r="O18403" s="36" t="s">
        <v>48</v>
      </c>
      <c r="R18403" s="36" t="s">
        <v>48</v>
      </c>
    </row>
    <row r="18404">
      <c r="H18404" s="50"/>
      <c r="I18404" s="50"/>
      <c r="O18404" s="36" t="s">
        <v>48</v>
      </c>
      <c r="R18404" s="36" t="s">
        <v>48</v>
      </c>
    </row>
    <row r="18405">
      <c r="H18405" s="50"/>
      <c r="I18405" s="50"/>
      <c r="O18405" s="36" t="s">
        <v>48</v>
      </c>
      <c r="R18405" s="36" t="s">
        <v>48</v>
      </c>
    </row>
    <row r="18406">
      <c r="H18406" s="50"/>
      <c r="I18406" s="50"/>
      <c r="O18406" s="36" t="s">
        <v>48</v>
      </c>
      <c r="R18406" s="36" t="s">
        <v>48</v>
      </c>
    </row>
    <row r="18407">
      <c r="H18407" s="50"/>
      <c r="I18407" s="50"/>
      <c r="O18407" s="36" t="s">
        <v>48</v>
      </c>
      <c r="R18407" s="36" t="s">
        <v>48</v>
      </c>
    </row>
    <row r="18408">
      <c r="H18408" s="50"/>
      <c r="I18408" s="50"/>
      <c r="O18408" s="36" t="s">
        <v>48</v>
      </c>
      <c r="R18408" s="36" t="s">
        <v>48</v>
      </c>
    </row>
    <row r="18409">
      <c r="H18409" s="50"/>
      <c r="I18409" s="50"/>
      <c r="O18409" s="36" t="s">
        <v>48</v>
      </c>
      <c r="R18409" s="36" t="s">
        <v>48</v>
      </c>
    </row>
    <row r="18410">
      <c r="H18410" s="50"/>
      <c r="I18410" s="50"/>
      <c r="O18410" s="36" t="s">
        <v>48</v>
      </c>
      <c r="R18410" s="36" t="s">
        <v>48</v>
      </c>
    </row>
    <row r="18411">
      <c r="H18411" s="50"/>
      <c r="I18411" s="50"/>
      <c r="O18411" s="36" t="s">
        <v>48</v>
      </c>
      <c r="R18411" s="36" t="s">
        <v>48</v>
      </c>
    </row>
    <row r="18412">
      <c r="H18412" s="50"/>
      <c r="I18412" s="50"/>
      <c r="O18412" s="36" t="s">
        <v>48</v>
      </c>
      <c r="R18412" s="36" t="s">
        <v>48</v>
      </c>
    </row>
    <row r="18413">
      <c r="H18413" s="50"/>
      <c r="I18413" s="50"/>
      <c r="O18413" s="36" t="s">
        <v>48</v>
      </c>
      <c r="R18413" s="36" t="s">
        <v>48</v>
      </c>
    </row>
    <row r="18414">
      <c r="H18414" s="50"/>
      <c r="I18414" s="50"/>
      <c r="O18414" s="36" t="s">
        <v>48</v>
      </c>
      <c r="R18414" s="36" t="s">
        <v>48</v>
      </c>
    </row>
    <row r="18415">
      <c r="H18415" s="50"/>
      <c r="I18415" s="50"/>
      <c r="O18415" s="36" t="s">
        <v>48</v>
      </c>
      <c r="R18415" s="36" t="s">
        <v>48</v>
      </c>
    </row>
    <row r="18416">
      <c r="H18416" s="50"/>
      <c r="I18416" s="50"/>
      <c r="O18416" s="36" t="s">
        <v>48</v>
      </c>
      <c r="R18416" s="36" t="s">
        <v>48</v>
      </c>
    </row>
    <row r="18417">
      <c r="H18417" s="50"/>
      <c r="I18417" s="50"/>
      <c r="O18417" s="36" t="s">
        <v>48</v>
      </c>
      <c r="R18417" s="36" t="s">
        <v>48</v>
      </c>
    </row>
    <row r="18418">
      <c r="H18418" s="50"/>
      <c r="I18418" s="50"/>
      <c r="O18418" s="36" t="s">
        <v>48</v>
      </c>
      <c r="R18418" s="36" t="s">
        <v>48</v>
      </c>
    </row>
    <row r="18419">
      <c r="H18419" s="50"/>
      <c r="I18419" s="50"/>
      <c r="O18419" s="36" t="s">
        <v>48</v>
      </c>
      <c r="R18419" s="36" t="s">
        <v>48</v>
      </c>
    </row>
    <row r="18420">
      <c r="H18420" s="50"/>
      <c r="I18420" s="50"/>
      <c r="O18420" s="36" t="s">
        <v>48</v>
      </c>
      <c r="R18420" s="36" t="s">
        <v>48</v>
      </c>
    </row>
    <row r="18421">
      <c r="H18421" s="50"/>
      <c r="I18421" s="50"/>
      <c r="O18421" s="36" t="s">
        <v>48</v>
      </c>
      <c r="R18421" s="36" t="s">
        <v>48</v>
      </c>
    </row>
    <row r="18422">
      <c r="H18422" s="50"/>
      <c r="I18422" s="50"/>
      <c r="O18422" s="36" t="s">
        <v>48</v>
      </c>
      <c r="R18422" s="36" t="s">
        <v>48</v>
      </c>
    </row>
    <row r="18423">
      <c r="H18423" s="50"/>
      <c r="I18423" s="50"/>
      <c r="O18423" s="36" t="s">
        <v>48</v>
      </c>
      <c r="R18423" s="36" t="s">
        <v>48</v>
      </c>
    </row>
    <row r="18424">
      <c r="H18424" s="50"/>
      <c r="I18424" s="50"/>
      <c r="O18424" s="36" t="s">
        <v>48</v>
      </c>
      <c r="R18424" s="36" t="s">
        <v>48</v>
      </c>
    </row>
    <row r="18425">
      <c r="H18425" s="50"/>
      <c r="I18425" s="50"/>
      <c r="O18425" s="36" t="s">
        <v>48</v>
      </c>
      <c r="R18425" s="36" t="s">
        <v>48</v>
      </c>
    </row>
    <row r="18426">
      <c r="H18426" s="50"/>
      <c r="I18426" s="50"/>
      <c r="O18426" s="36" t="s">
        <v>48</v>
      </c>
      <c r="R18426" s="36" t="s">
        <v>48</v>
      </c>
    </row>
    <row r="18427">
      <c r="H18427" s="50"/>
      <c r="I18427" s="50"/>
      <c r="O18427" s="36" t="s">
        <v>48</v>
      </c>
      <c r="R18427" s="36" t="s">
        <v>48</v>
      </c>
    </row>
    <row r="18428">
      <c r="H18428" s="50"/>
      <c r="I18428" s="50"/>
      <c r="O18428" s="36" t="s">
        <v>48</v>
      </c>
      <c r="R18428" s="36" t="s">
        <v>48</v>
      </c>
    </row>
    <row r="18429">
      <c r="H18429" s="50"/>
      <c r="I18429" s="50"/>
      <c r="O18429" s="36" t="s">
        <v>48</v>
      </c>
      <c r="R18429" s="36" t="s">
        <v>48</v>
      </c>
    </row>
    <row r="18430">
      <c r="H18430" s="50"/>
      <c r="I18430" s="50"/>
      <c r="O18430" s="36" t="s">
        <v>48</v>
      </c>
      <c r="R18430" s="36" t="s">
        <v>48</v>
      </c>
    </row>
    <row r="18431">
      <c r="H18431" s="50"/>
      <c r="I18431" s="50"/>
      <c r="O18431" s="36" t="s">
        <v>48</v>
      </c>
      <c r="R18431" s="36" t="s">
        <v>48</v>
      </c>
    </row>
    <row r="18432">
      <c r="H18432" s="50"/>
      <c r="I18432" s="50"/>
      <c r="O18432" s="36" t="s">
        <v>48</v>
      </c>
      <c r="R18432" s="36" t="s">
        <v>48</v>
      </c>
    </row>
    <row r="18433">
      <c r="H18433" s="50"/>
      <c r="I18433" s="50"/>
      <c r="O18433" s="36" t="s">
        <v>48</v>
      </c>
      <c r="R18433" s="36" t="s">
        <v>48</v>
      </c>
    </row>
    <row r="18434">
      <c r="H18434" s="50"/>
      <c r="I18434" s="50"/>
      <c r="O18434" s="36" t="s">
        <v>48</v>
      </c>
      <c r="R18434" s="36" t="s">
        <v>48</v>
      </c>
    </row>
    <row r="18435">
      <c r="H18435" s="50"/>
      <c r="I18435" s="50"/>
      <c r="O18435" s="36" t="s">
        <v>48</v>
      </c>
      <c r="R18435" s="36" t="s">
        <v>48</v>
      </c>
    </row>
    <row r="18436">
      <c r="H18436" s="50"/>
      <c r="I18436" s="50"/>
      <c r="O18436" s="36" t="s">
        <v>48</v>
      </c>
      <c r="R18436" s="36" t="s">
        <v>48</v>
      </c>
    </row>
    <row r="18437">
      <c r="H18437" s="50"/>
      <c r="I18437" s="50"/>
      <c r="O18437" s="36" t="s">
        <v>48</v>
      </c>
      <c r="R18437" s="36" t="s">
        <v>48</v>
      </c>
    </row>
    <row r="18438">
      <c r="H18438" s="50"/>
      <c r="I18438" s="50"/>
      <c r="O18438" s="36" t="s">
        <v>48</v>
      </c>
      <c r="R18438" s="36" t="s">
        <v>48</v>
      </c>
    </row>
    <row r="18439">
      <c r="H18439" s="50"/>
      <c r="I18439" s="50"/>
      <c r="O18439" s="36" t="s">
        <v>48</v>
      </c>
      <c r="R18439" s="36" t="s">
        <v>48</v>
      </c>
    </row>
    <row r="18440">
      <c r="H18440" s="50"/>
      <c r="I18440" s="50"/>
      <c r="O18440" s="36" t="s">
        <v>48</v>
      </c>
      <c r="R18440" s="36" t="s">
        <v>48</v>
      </c>
    </row>
    <row r="18441">
      <c r="H18441" s="50"/>
      <c r="I18441" s="50"/>
      <c r="O18441" s="36" t="s">
        <v>48</v>
      </c>
      <c r="R18441" s="36" t="s">
        <v>48</v>
      </c>
    </row>
    <row r="18442">
      <c r="H18442" s="50"/>
      <c r="I18442" s="50"/>
      <c r="O18442" s="36" t="s">
        <v>48</v>
      </c>
      <c r="R18442" s="36" t="s">
        <v>48</v>
      </c>
    </row>
    <row r="18443">
      <c r="H18443" s="50"/>
      <c r="I18443" s="50"/>
      <c r="O18443" s="36" t="s">
        <v>48</v>
      </c>
      <c r="R18443" s="36" t="s">
        <v>48</v>
      </c>
    </row>
    <row r="18444">
      <c r="H18444" s="50"/>
      <c r="I18444" s="50"/>
      <c r="O18444" s="36" t="s">
        <v>48</v>
      </c>
      <c r="R18444" s="36" t="s">
        <v>48</v>
      </c>
    </row>
    <row r="18445">
      <c r="H18445" s="50"/>
      <c r="I18445" s="50"/>
      <c r="O18445" s="36" t="s">
        <v>48</v>
      </c>
      <c r="R18445" s="36" t="s">
        <v>48</v>
      </c>
    </row>
    <row r="18446">
      <c r="H18446" s="50"/>
      <c r="I18446" s="50"/>
      <c r="O18446" s="36" t="s">
        <v>48</v>
      </c>
      <c r="R18446" s="36" t="s">
        <v>48</v>
      </c>
    </row>
    <row r="18447">
      <c r="H18447" s="50"/>
      <c r="I18447" s="50"/>
      <c r="O18447" s="36" t="s">
        <v>48</v>
      </c>
      <c r="R18447" s="36" t="s">
        <v>48</v>
      </c>
    </row>
    <row r="18448">
      <c r="H18448" s="50"/>
      <c r="I18448" s="50"/>
      <c r="O18448" s="36" t="s">
        <v>48</v>
      </c>
      <c r="R18448" s="36" t="s">
        <v>48</v>
      </c>
    </row>
    <row r="18449">
      <c r="H18449" s="50"/>
      <c r="I18449" s="50"/>
      <c r="O18449" s="36" t="s">
        <v>48</v>
      </c>
      <c r="R18449" s="36" t="s">
        <v>48</v>
      </c>
    </row>
    <row r="18450">
      <c r="H18450" s="50"/>
      <c r="I18450" s="50"/>
      <c r="O18450" s="36" t="s">
        <v>48</v>
      </c>
      <c r="R18450" s="36" t="s">
        <v>48</v>
      </c>
    </row>
    <row r="18451">
      <c r="H18451" s="50"/>
      <c r="I18451" s="50"/>
      <c r="O18451" s="36" t="s">
        <v>48</v>
      </c>
      <c r="R18451" s="36" t="s">
        <v>48</v>
      </c>
    </row>
    <row r="18452">
      <c r="H18452" s="50"/>
      <c r="I18452" s="50"/>
      <c r="O18452" s="36" t="s">
        <v>48</v>
      </c>
      <c r="R18452" s="36" t="s">
        <v>48</v>
      </c>
    </row>
    <row r="18453">
      <c r="H18453" s="50"/>
      <c r="I18453" s="50"/>
      <c r="O18453" s="36" t="s">
        <v>48</v>
      </c>
      <c r="R18453" s="36" t="s">
        <v>48</v>
      </c>
    </row>
    <row r="18454">
      <c r="H18454" s="50"/>
      <c r="I18454" s="50"/>
      <c r="O18454" s="36" t="s">
        <v>48</v>
      </c>
      <c r="R18454" s="36" t="s">
        <v>48</v>
      </c>
    </row>
    <row r="18455">
      <c r="H18455" s="50"/>
      <c r="I18455" s="50"/>
      <c r="O18455" s="36" t="s">
        <v>48</v>
      </c>
      <c r="R18455" s="36" t="s">
        <v>48</v>
      </c>
    </row>
    <row r="18456">
      <c r="H18456" s="50"/>
      <c r="I18456" s="50"/>
      <c r="O18456" s="36" t="s">
        <v>48</v>
      </c>
      <c r="R18456" s="36" t="s">
        <v>48</v>
      </c>
    </row>
    <row r="18457">
      <c r="H18457" s="50"/>
      <c r="I18457" s="50"/>
      <c r="O18457" s="36" t="s">
        <v>48</v>
      </c>
      <c r="R18457" s="36" t="s">
        <v>48</v>
      </c>
    </row>
    <row r="18458">
      <c r="H18458" s="50"/>
      <c r="I18458" s="50"/>
      <c r="O18458" s="36" t="s">
        <v>48</v>
      </c>
      <c r="R18458" s="36" t="s">
        <v>48</v>
      </c>
    </row>
    <row r="18459">
      <c r="H18459" s="50"/>
      <c r="I18459" s="50"/>
      <c r="O18459" s="36" t="s">
        <v>48</v>
      </c>
      <c r="R18459" s="36" t="s">
        <v>48</v>
      </c>
    </row>
    <row r="18460">
      <c r="H18460" s="50"/>
      <c r="I18460" s="50"/>
      <c r="O18460" s="36" t="s">
        <v>48</v>
      </c>
      <c r="R18460" s="36" t="s">
        <v>48</v>
      </c>
    </row>
    <row r="18461">
      <c r="H18461" s="50"/>
      <c r="I18461" s="50"/>
      <c r="O18461" s="36" t="s">
        <v>48</v>
      </c>
      <c r="R18461" s="36" t="s">
        <v>48</v>
      </c>
    </row>
    <row r="18462">
      <c r="H18462" s="50"/>
      <c r="I18462" s="50"/>
      <c r="O18462" s="36" t="s">
        <v>48</v>
      </c>
      <c r="R18462" s="36" t="s">
        <v>48</v>
      </c>
    </row>
    <row r="18463">
      <c r="H18463" s="50"/>
      <c r="I18463" s="50"/>
      <c r="O18463" s="36" t="s">
        <v>48</v>
      </c>
      <c r="R18463" s="36" t="s">
        <v>48</v>
      </c>
    </row>
    <row r="18464">
      <c r="H18464" s="50"/>
      <c r="I18464" s="50"/>
      <c r="O18464" s="36" t="s">
        <v>48</v>
      </c>
      <c r="R18464" s="36" t="s">
        <v>48</v>
      </c>
    </row>
    <row r="18465">
      <c r="H18465" s="50"/>
      <c r="I18465" s="50"/>
      <c r="O18465" s="36" t="s">
        <v>48</v>
      </c>
      <c r="R18465" s="36" t="s">
        <v>48</v>
      </c>
    </row>
    <row r="18466">
      <c r="H18466" s="50"/>
      <c r="I18466" s="50"/>
      <c r="O18466" s="36" t="s">
        <v>48</v>
      </c>
      <c r="R18466" s="36" t="s">
        <v>48</v>
      </c>
    </row>
    <row r="18467">
      <c r="H18467" s="50"/>
      <c r="I18467" s="50"/>
      <c r="O18467" s="36" t="s">
        <v>48</v>
      </c>
      <c r="R18467" s="36" t="s">
        <v>48</v>
      </c>
    </row>
    <row r="18468">
      <c r="H18468" s="50"/>
      <c r="I18468" s="50"/>
      <c r="O18468" s="36" t="s">
        <v>48</v>
      </c>
      <c r="R18468" s="36" t="s">
        <v>48</v>
      </c>
    </row>
    <row r="18469">
      <c r="H18469" s="50"/>
      <c r="I18469" s="50"/>
      <c r="O18469" s="36" t="s">
        <v>48</v>
      </c>
      <c r="R18469" s="36" t="s">
        <v>48</v>
      </c>
    </row>
    <row r="18470">
      <c r="H18470" s="50"/>
      <c r="I18470" s="50"/>
      <c r="O18470" s="36" t="s">
        <v>48</v>
      </c>
      <c r="R18470" s="36" t="s">
        <v>48</v>
      </c>
    </row>
    <row r="18471">
      <c r="H18471" s="50"/>
      <c r="I18471" s="50"/>
      <c r="O18471" s="36" t="s">
        <v>48</v>
      </c>
      <c r="R18471" s="36" t="s">
        <v>48</v>
      </c>
    </row>
    <row r="18472">
      <c r="H18472" s="50"/>
      <c r="I18472" s="50"/>
      <c r="O18472" s="36" t="s">
        <v>48</v>
      </c>
      <c r="R18472" s="36" t="s">
        <v>48</v>
      </c>
    </row>
    <row r="18473">
      <c r="H18473" s="50"/>
      <c r="I18473" s="50"/>
      <c r="O18473" s="36" t="s">
        <v>48</v>
      </c>
      <c r="R18473" s="36" t="s">
        <v>48</v>
      </c>
    </row>
    <row r="18474">
      <c r="H18474" s="50"/>
      <c r="I18474" s="50"/>
      <c r="O18474" s="36" t="s">
        <v>48</v>
      </c>
      <c r="R18474" s="36" t="s">
        <v>48</v>
      </c>
    </row>
    <row r="18475">
      <c r="H18475" s="50"/>
      <c r="I18475" s="50"/>
      <c r="O18475" s="36" t="s">
        <v>48</v>
      </c>
      <c r="R18475" s="36" t="s">
        <v>48</v>
      </c>
    </row>
    <row r="18476">
      <c r="H18476" s="50"/>
      <c r="I18476" s="50"/>
      <c r="O18476" s="36" t="s">
        <v>48</v>
      </c>
      <c r="R18476" s="36" t="s">
        <v>48</v>
      </c>
    </row>
    <row r="18477">
      <c r="H18477" s="50"/>
      <c r="I18477" s="50"/>
      <c r="O18477" s="36" t="s">
        <v>48</v>
      </c>
      <c r="R18477" s="36" t="s">
        <v>48</v>
      </c>
    </row>
    <row r="18478">
      <c r="H18478" s="50"/>
      <c r="I18478" s="50"/>
      <c r="O18478" s="36" t="s">
        <v>48</v>
      </c>
      <c r="R18478" s="36" t="s">
        <v>48</v>
      </c>
    </row>
    <row r="18479">
      <c r="H18479" s="50"/>
      <c r="I18479" s="50"/>
      <c r="O18479" s="36" t="s">
        <v>48</v>
      </c>
      <c r="R18479" s="36" t="s">
        <v>48</v>
      </c>
    </row>
    <row r="18480">
      <c r="H18480" s="50"/>
      <c r="I18480" s="50"/>
      <c r="O18480" s="36" t="s">
        <v>48</v>
      </c>
      <c r="R18480" s="36" t="s">
        <v>48</v>
      </c>
    </row>
    <row r="18481">
      <c r="H18481" s="50"/>
      <c r="I18481" s="50"/>
      <c r="O18481" s="36" t="s">
        <v>48</v>
      </c>
      <c r="R18481" s="36" t="s">
        <v>48</v>
      </c>
    </row>
    <row r="18482">
      <c r="H18482" s="50"/>
      <c r="I18482" s="50"/>
      <c r="O18482" s="36" t="s">
        <v>48</v>
      </c>
      <c r="R18482" s="36" t="s">
        <v>48</v>
      </c>
    </row>
    <row r="18483">
      <c r="H18483" s="50"/>
      <c r="I18483" s="50"/>
      <c r="O18483" s="36" t="s">
        <v>48</v>
      </c>
      <c r="R18483" s="36" t="s">
        <v>48</v>
      </c>
    </row>
    <row r="18484">
      <c r="H18484" s="50"/>
      <c r="I18484" s="50"/>
      <c r="O18484" s="36" t="s">
        <v>48</v>
      </c>
      <c r="R18484" s="36" t="s">
        <v>48</v>
      </c>
    </row>
    <row r="18485">
      <c r="H18485" s="50"/>
      <c r="I18485" s="50"/>
      <c r="O18485" s="36" t="s">
        <v>48</v>
      </c>
      <c r="R18485" s="36" t="s">
        <v>48</v>
      </c>
    </row>
    <row r="18486">
      <c r="H18486" s="50"/>
      <c r="I18486" s="50"/>
      <c r="O18486" s="36" t="s">
        <v>48</v>
      </c>
      <c r="R18486" s="36" t="s">
        <v>48</v>
      </c>
    </row>
    <row r="18487">
      <c r="H18487" s="50"/>
      <c r="I18487" s="50"/>
      <c r="O18487" s="36" t="s">
        <v>48</v>
      </c>
      <c r="R18487" s="36" t="s">
        <v>48</v>
      </c>
    </row>
    <row r="18488">
      <c r="H18488" s="50"/>
      <c r="I18488" s="50"/>
      <c r="O18488" s="36" t="s">
        <v>48</v>
      </c>
      <c r="R18488" s="36" t="s">
        <v>48</v>
      </c>
    </row>
    <row r="18489">
      <c r="H18489" s="50"/>
      <c r="I18489" s="50"/>
      <c r="O18489" s="36" t="s">
        <v>48</v>
      </c>
      <c r="R18489" s="36" t="s">
        <v>48</v>
      </c>
    </row>
    <row r="18490">
      <c r="H18490" s="50"/>
      <c r="I18490" s="50"/>
      <c r="O18490" s="36" t="s">
        <v>48</v>
      </c>
      <c r="R18490" s="36" t="s">
        <v>48</v>
      </c>
    </row>
    <row r="18491">
      <c r="H18491" s="50"/>
      <c r="I18491" s="50"/>
      <c r="O18491" s="36" t="s">
        <v>48</v>
      </c>
      <c r="R18491" s="36" t="s">
        <v>48</v>
      </c>
    </row>
    <row r="18492">
      <c r="H18492" s="50"/>
      <c r="I18492" s="50"/>
      <c r="O18492" s="36" t="s">
        <v>48</v>
      </c>
      <c r="R18492" s="36" t="s">
        <v>48</v>
      </c>
    </row>
    <row r="18493">
      <c r="H18493" s="50"/>
      <c r="I18493" s="50"/>
      <c r="O18493" s="36" t="s">
        <v>48</v>
      </c>
      <c r="R18493" s="36" t="s">
        <v>48</v>
      </c>
    </row>
    <row r="18494">
      <c r="H18494" s="50"/>
      <c r="I18494" s="50"/>
      <c r="O18494" s="36" t="s">
        <v>48</v>
      </c>
      <c r="R18494" s="36" t="s">
        <v>48</v>
      </c>
    </row>
    <row r="18495">
      <c r="H18495" s="50"/>
      <c r="I18495" s="50"/>
      <c r="O18495" s="36" t="s">
        <v>48</v>
      </c>
      <c r="R18495" s="36" t="s">
        <v>48</v>
      </c>
    </row>
    <row r="18496">
      <c r="H18496" s="50"/>
      <c r="I18496" s="50"/>
      <c r="O18496" s="36" t="s">
        <v>48</v>
      </c>
      <c r="R18496" s="36" t="s">
        <v>48</v>
      </c>
    </row>
    <row r="18497">
      <c r="H18497" s="50"/>
      <c r="I18497" s="50"/>
      <c r="O18497" s="36" t="s">
        <v>48</v>
      </c>
      <c r="R18497" s="36" t="s">
        <v>48</v>
      </c>
    </row>
    <row r="18498">
      <c r="H18498" s="50"/>
      <c r="I18498" s="50"/>
      <c r="O18498" s="36" t="s">
        <v>48</v>
      </c>
      <c r="R18498" s="36" t="s">
        <v>48</v>
      </c>
    </row>
    <row r="18499">
      <c r="H18499" s="50"/>
      <c r="I18499" s="50"/>
      <c r="O18499" s="36" t="s">
        <v>48</v>
      </c>
      <c r="R18499" s="36" t="s">
        <v>48</v>
      </c>
    </row>
    <row r="18500">
      <c r="H18500" s="50"/>
      <c r="I18500" s="50"/>
      <c r="O18500" s="36" t="s">
        <v>48</v>
      </c>
      <c r="R18500" s="36" t="s">
        <v>48</v>
      </c>
    </row>
    <row r="18501">
      <c r="H18501" s="50"/>
      <c r="I18501" s="50"/>
      <c r="O18501" s="36" t="s">
        <v>48</v>
      </c>
      <c r="R18501" s="36" t="s">
        <v>48</v>
      </c>
    </row>
    <row r="18502">
      <c r="H18502" s="50"/>
      <c r="I18502" s="50"/>
      <c r="O18502" s="36" t="s">
        <v>48</v>
      </c>
      <c r="R18502" s="36" t="s">
        <v>48</v>
      </c>
    </row>
    <row r="18503">
      <c r="H18503" s="50"/>
      <c r="I18503" s="50"/>
      <c r="O18503" s="36" t="s">
        <v>48</v>
      </c>
      <c r="R18503" s="36" t="s">
        <v>48</v>
      </c>
    </row>
    <row r="18504">
      <c r="H18504" s="50"/>
      <c r="I18504" s="50"/>
      <c r="O18504" s="36" t="s">
        <v>48</v>
      </c>
      <c r="R18504" s="36" t="s">
        <v>48</v>
      </c>
    </row>
    <row r="18505">
      <c r="H18505" s="50"/>
      <c r="I18505" s="50"/>
      <c r="O18505" s="36" t="s">
        <v>48</v>
      </c>
      <c r="R18505" s="36" t="s">
        <v>48</v>
      </c>
    </row>
    <row r="18506">
      <c r="H18506" s="50"/>
      <c r="I18506" s="50"/>
      <c r="O18506" s="36" t="s">
        <v>48</v>
      </c>
      <c r="R18506" s="36" t="s">
        <v>48</v>
      </c>
    </row>
    <row r="18507">
      <c r="H18507" s="50"/>
      <c r="I18507" s="50"/>
      <c r="O18507" s="36" t="s">
        <v>48</v>
      </c>
      <c r="R18507" s="36" t="s">
        <v>48</v>
      </c>
    </row>
    <row r="18508">
      <c r="H18508" s="50"/>
      <c r="I18508" s="50"/>
      <c r="O18508" s="36" t="s">
        <v>48</v>
      </c>
      <c r="R18508" s="36" t="s">
        <v>48</v>
      </c>
    </row>
    <row r="18509">
      <c r="H18509" s="50"/>
      <c r="I18509" s="50"/>
      <c r="O18509" s="36" t="s">
        <v>48</v>
      </c>
      <c r="R18509" s="36" t="s">
        <v>48</v>
      </c>
    </row>
    <row r="18510">
      <c r="H18510" s="50"/>
      <c r="I18510" s="50"/>
      <c r="O18510" s="36" t="s">
        <v>48</v>
      </c>
      <c r="R18510" s="36" t="s">
        <v>48</v>
      </c>
    </row>
    <row r="18511">
      <c r="H18511" s="50"/>
      <c r="I18511" s="50"/>
      <c r="O18511" s="36" t="s">
        <v>48</v>
      </c>
      <c r="R18511" s="36" t="s">
        <v>48</v>
      </c>
    </row>
    <row r="18512">
      <c r="H18512" s="50"/>
      <c r="I18512" s="50"/>
      <c r="O18512" s="36" t="s">
        <v>48</v>
      </c>
      <c r="R18512" s="36" t="s">
        <v>48</v>
      </c>
    </row>
    <row r="18513">
      <c r="H18513" s="50"/>
      <c r="I18513" s="50"/>
      <c r="O18513" s="36" t="s">
        <v>48</v>
      </c>
      <c r="R18513" s="36" t="s">
        <v>48</v>
      </c>
    </row>
    <row r="18514">
      <c r="H18514" s="50"/>
      <c r="I18514" s="50"/>
      <c r="O18514" s="36" t="s">
        <v>48</v>
      </c>
      <c r="R18514" s="36" t="s">
        <v>48</v>
      </c>
    </row>
    <row r="18515">
      <c r="H18515" s="50"/>
      <c r="I18515" s="50"/>
      <c r="O18515" s="36" t="s">
        <v>48</v>
      </c>
      <c r="R18515" s="36" t="s">
        <v>48</v>
      </c>
    </row>
    <row r="18516">
      <c r="H18516" s="50"/>
      <c r="I18516" s="50"/>
      <c r="O18516" s="36" t="s">
        <v>48</v>
      </c>
      <c r="R18516" s="36" t="s">
        <v>48</v>
      </c>
    </row>
    <row r="18517">
      <c r="H18517" s="50"/>
      <c r="I18517" s="50"/>
      <c r="O18517" s="36" t="s">
        <v>48</v>
      </c>
      <c r="R18517" s="36" t="s">
        <v>48</v>
      </c>
    </row>
    <row r="18518">
      <c r="H18518" s="50"/>
      <c r="I18518" s="50"/>
      <c r="O18518" s="36" t="s">
        <v>48</v>
      </c>
      <c r="R18518" s="36" t="s">
        <v>48</v>
      </c>
    </row>
    <row r="18519">
      <c r="H18519" s="50"/>
      <c r="I18519" s="50"/>
      <c r="O18519" s="36" t="s">
        <v>48</v>
      </c>
      <c r="R18519" s="36" t="s">
        <v>48</v>
      </c>
    </row>
    <row r="18520">
      <c r="H18520" s="50"/>
      <c r="I18520" s="50"/>
      <c r="O18520" s="36" t="s">
        <v>48</v>
      </c>
      <c r="R18520" s="36" t="s">
        <v>48</v>
      </c>
    </row>
    <row r="18521">
      <c r="H18521" s="50"/>
      <c r="I18521" s="50"/>
      <c r="O18521" s="36" t="s">
        <v>48</v>
      </c>
      <c r="R18521" s="36" t="s">
        <v>48</v>
      </c>
    </row>
    <row r="18522">
      <c r="H18522" s="50"/>
      <c r="I18522" s="50"/>
      <c r="O18522" s="36" t="s">
        <v>48</v>
      </c>
      <c r="R18522" s="36" t="s">
        <v>48</v>
      </c>
    </row>
    <row r="18523">
      <c r="H18523" s="50"/>
      <c r="I18523" s="50"/>
      <c r="O18523" s="36" t="s">
        <v>48</v>
      </c>
      <c r="R18523" s="36" t="s">
        <v>48</v>
      </c>
    </row>
    <row r="18524">
      <c r="H18524" s="50"/>
      <c r="I18524" s="50"/>
      <c r="O18524" s="36" t="s">
        <v>48</v>
      </c>
      <c r="R18524" s="36" t="s">
        <v>48</v>
      </c>
    </row>
    <row r="18525">
      <c r="H18525" s="50"/>
      <c r="I18525" s="50"/>
      <c r="O18525" s="36" t="s">
        <v>48</v>
      </c>
      <c r="R18525" s="36" t="s">
        <v>48</v>
      </c>
    </row>
    <row r="18526">
      <c r="H18526" s="50"/>
      <c r="I18526" s="50"/>
      <c r="O18526" s="36" t="s">
        <v>48</v>
      </c>
      <c r="R18526" s="36" t="s">
        <v>48</v>
      </c>
    </row>
    <row r="18527">
      <c r="H18527" s="50"/>
      <c r="I18527" s="50"/>
      <c r="O18527" s="36" t="s">
        <v>48</v>
      </c>
      <c r="R18527" s="36" t="s">
        <v>48</v>
      </c>
    </row>
    <row r="18528">
      <c r="H18528" s="50"/>
      <c r="I18528" s="50"/>
      <c r="O18528" s="36" t="s">
        <v>48</v>
      </c>
      <c r="R18528" s="36" t="s">
        <v>48</v>
      </c>
    </row>
    <row r="18529">
      <c r="H18529" s="50"/>
      <c r="I18529" s="50"/>
      <c r="O18529" s="36" t="s">
        <v>48</v>
      </c>
      <c r="R18529" s="36" t="s">
        <v>48</v>
      </c>
    </row>
    <row r="18530">
      <c r="H18530" s="50"/>
      <c r="I18530" s="50"/>
      <c r="O18530" s="36" t="s">
        <v>48</v>
      </c>
      <c r="R18530" s="36" t="s">
        <v>48</v>
      </c>
    </row>
    <row r="18531">
      <c r="H18531" s="50"/>
      <c r="I18531" s="50"/>
      <c r="O18531" s="36" t="s">
        <v>48</v>
      </c>
      <c r="R18531" s="36" t="s">
        <v>48</v>
      </c>
    </row>
    <row r="18532">
      <c r="H18532" s="50"/>
      <c r="I18532" s="50"/>
      <c r="O18532" s="36" t="s">
        <v>48</v>
      </c>
      <c r="R18532" s="36" t="s">
        <v>48</v>
      </c>
    </row>
    <row r="18533">
      <c r="H18533" s="50"/>
      <c r="I18533" s="50"/>
      <c r="O18533" s="36" t="s">
        <v>48</v>
      </c>
      <c r="R18533" s="36" t="s">
        <v>48</v>
      </c>
    </row>
    <row r="18534">
      <c r="H18534" s="50"/>
      <c r="I18534" s="50"/>
      <c r="O18534" s="36" t="s">
        <v>48</v>
      </c>
      <c r="R18534" s="36" t="s">
        <v>48</v>
      </c>
    </row>
    <row r="18535">
      <c r="H18535" s="50"/>
      <c r="I18535" s="50"/>
      <c r="O18535" s="36" t="s">
        <v>48</v>
      </c>
      <c r="R18535" s="36" t="s">
        <v>48</v>
      </c>
    </row>
    <row r="18536">
      <c r="H18536" s="50"/>
      <c r="I18536" s="50"/>
      <c r="O18536" s="36" t="s">
        <v>48</v>
      </c>
      <c r="R18536" s="36" t="s">
        <v>48</v>
      </c>
    </row>
    <row r="18537">
      <c r="H18537" s="50"/>
      <c r="I18537" s="50"/>
      <c r="O18537" s="36" t="s">
        <v>48</v>
      </c>
      <c r="R18537" s="36" t="s">
        <v>48</v>
      </c>
    </row>
    <row r="18538">
      <c r="H18538" s="50"/>
      <c r="I18538" s="50"/>
      <c r="O18538" s="36" t="s">
        <v>48</v>
      </c>
      <c r="R18538" s="36" t="s">
        <v>48</v>
      </c>
    </row>
    <row r="18539">
      <c r="H18539" s="50"/>
      <c r="I18539" s="50"/>
      <c r="O18539" s="36" t="s">
        <v>48</v>
      </c>
      <c r="R18539" s="36" t="s">
        <v>48</v>
      </c>
    </row>
    <row r="18540">
      <c r="H18540" s="50"/>
      <c r="I18540" s="50"/>
      <c r="O18540" s="36" t="s">
        <v>48</v>
      </c>
      <c r="R18540" s="36" t="s">
        <v>48</v>
      </c>
    </row>
    <row r="18541">
      <c r="H18541" s="50"/>
      <c r="I18541" s="50"/>
      <c r="O18541" s="36" t="s">
        <v>48</v>
      </c>
      <c r="R18541" s="36" t="s">
        <v>48</v>
      </c>
    </row>
    <row r="18542">
      <c r="H18542" s="50"/>
      <c r="I18542" s="50"/>
      <c r="O18542" s="36" t="s">
        <v>48</v>
      </c>
      <c r="R18542" s="36" t="s">
        <v>48</v>
      </c>
    </row>
    <row r="18543">
      <c r="H18543" s="50"/>
      <c r="I18543" s="50"/>
      <c r="O18543" s="36" t="s">
        <v>48</v>
      </c>
      <c r="R18543" s="36" t="s">
        <v>48</v>
      </c>
    </row>
    <row r="18544">
      <c r="H18544" s="50"/>
      <c r="I18544" s="50"/>
      <c r="O18544" s="36" t="s">
        <v>48</v>
      </c>
      <c r="R18544" s="36" t="s">
        <v>48</v>
      </c>
    </row>
    <row r="18545">
      <c r="H18545" s="50"/>
      <c r="I18545" s="50"/>
      <c r="O18545" s="36" t="s">
        <v>48</v>
      </c>
      <c r="R18545" s="36" t="s">
        <v>48</v>
      </c>
    </row>
    <row r="18546">
      <c r="H18546" s="50"/>
      <c r="I18546" s="50"/>
      <c r="O18546" s="36" t="s">
        <v>48</v>
      </c>
      <c r="R18546" s="36" t="s">
        <v>48</v>
      </c>
    </row>
    <row r="18547">
      <c r="H18547" s="50"/>
      <c r="I18547" s="50"/>
      <c r="O18547" s="36" t="s">
        <v>48</v>
      </c>
      <c r="R18547" s="36" t="s">
        <v>48</v>
      </c>
    </row>
    <row r="18548">
      <c r="H18548" s="50"/>
      <c r="I18548" s="50"/>
      <c r="O18548" s="36" t="s">
        <v>48</v>
      </c>
      <c r="R18548" s="36" t="s">
        <v>48</v>
      </c>
    </row>
    <row r="18549">
      <c r="H18549" s="50"/>
      <c r="I18549" s="50"/>
      <c r="O18549" s="36" t="s">
        <v>48</v>
      </c>
      <c r="R18549" s="36" t="s">
        <v>48</v>
      </c>
    </row>
    <row r="18550">
      <c r="H18550" s="50"/>
      <c r="I18550" s="50"/>
      <c r="O18550" s="36" t="s">
        <v>48</v>
      </c>
      <c r="R18550" s="36" t="s">
        <v>48</v>
      </c>
    </row>
    <row r="18551">
      <c r="H18551" s="50"/>
      <c r="I18551" s="50"/>
      <c r="O18551" s="36" t="s">
        <v>48</v>
      </c>
      <c r="R18551" s="36" t="s">
        <v>48</v>
      </c>
    </row>
    <row r="18552">
      <c r="H18552" s="50"/>
      <c r="I18552" s="50"/>
      <c r="O18552" s="36" t="s">
        <v>48</v>
      </c>
      <c r="R18552" s="36" t="s">
        <v>48</v>
      </c>
    </row>
    <row r="18553">
      <c r="H18553" s="50"/>
      <c r="I18553" s="50"/>
      <c r="O18553" s="36" t="s">
        <v>48</v>
      </c>
      <c r="R18553" s="36" t="s">
        <v>48</v>
      </c>
    </row>
    <row r="18554">
      <c r="H18554" s="50"/>
      <c r="I18554" s="50"/>
      <c r="O18554" s="36" t="s">
        <v>48</v>
      </c>
      <c r="R18554" s="36" t="s">
        <v>48</v>
      </c>
    </row>
    <row r="18555">
      <c r="H18555" s="50"/>
      <c r="I18555" s="50"/>
      <c r="O18555" s="36" t="s">
        <v>48</v>
      </c>
      <c r="R18555" s="36" t="s">
        <v>48</v>
      </c>
    </row>
    <row r="18556">
      <c r="H18556" s="50"/>
      <c r="I18556" s="50"/>
      <c r="O18556" s="36" t="s">
        <v>48</v>
      </c>
      <c r="R18556" s="36" t="s">
        <v>48</v>
      </c>
    </row>
    <row r="18557">
      <c r="H18557" s="50"/>
      <c r="I18557" s="50"/>
      <c r="O18557" s="36" t="s">
        <v>48</v>
      </c>
      <c r="R18557" s="36" t="s">
        <v>48</v>
      </c>
    </row>
    <row r="18558">
      <c r="H18558" s="50"/>
      <c r="I18558" s="50"/>
      <c r="O18558" s="36" t="s">
        <v>48</v>
      </c>
      <c r="R18558" s="36" t="s">
        <v>48</v>
      </c>
    </row>
    <row r="18559">
      <c r="H18559" s="50"/>
      <c r="I18559" s="50"/>
      <c r="O18559" s="36" t="s">
        <v>48</v>
      </c>
      <c r="R18559" s="36" t="s">
        <v>48</v>
      </c>
    </row>
    <row r="18560">
      <c r="H18560" s="50"/>
      <c r="I18560" s="50"/>
      <c r="O18560" s="36" t="s">
        <v>48</v>
      </c>
      <c r="R18560" s="36" t="s">
        <v>48</v>
      </c>
    </row>
    <row r="18561">
      <c r="H18561" s="50"/>
      <c r="I18561" s="50"/>
      <c r="O18561" s="36" t="s">
        <v>48</v>
      </c>
      <c r="R18561" s="36" t="s">
        <v>48</v>
      </c>
    </row>
    <row r="18562">
      <c r="H18562" s="50"/>
      <c r="I18562" s="50"/>
      <c r="O18562" s="36" t="s">
        <v>48</v>
      </c>
      <c r="R18562" s="36" t="s">
        <v>48</v>
      </c>
    </row>
    <row r="18563">
      <c r="H18563" s="50"/>
      <c r="I18563" s="50"/>
      <c r="O18563" s="36" t="s">
        <v>48</v>
      </c>
      <c r="R18563" s="36" t="s">
        <v>48</v>
      </c>
    </row>
    <row r="18564">
      <c r="H18564" s="50"/>
      <c r="I18564" s="50"/>
      <c r="O18564" s="36" t="s">
        <v>48</v>
      </c>
      <c r="R18564" s="36" t="s">
        <v>48</v>
      </c>
    </row>
    <row r="18565">
      <c r="H18565" s="50"/>
      <c r="I18565" s="50"/>
      <c r="O18565" s="36" t="s">
        <v>48</v>
      </c>
      <c r="R18565" s="36" t="s">
        <v>48</v>
      </c>
    </row>
    <row r="18566">
      <c r="H18566" s="50"/>
      <c r="I18566" s="50"/>
      <c r="O18566" s="36" t="s">
        <v>48</v>
      </c>
      <c r="R18566" s="36" t="s">
        <v>48</v>
      </c>
    </row>
    <row r="18567">
      <c r="H18567" s="50"/>
      <c r="I18567" s="50"/>
      <c r="O18567" s="36" t="s">
        <v>48</v>
      </c>
      <c r="R18567" s="36" t="s">
        <v>48</v>
      </c>
    </row>
    <row r="18568">
      <c r="H18568" s="50"/>
      <c r="I18568" s="50"/>
      <c r="O18568" s="36" t="s">
        <v>48</v>
      </c>
      <c r="R18568" s="36" t="s">
        <v>48</v>
      </c>
    </row>
    <row r="18569">
      <c r="H18569" s="50"/>
      <c r="I18569" s="50"/>
      <c r="O18569" s="36" t="s">
        <v>48</v>
      </c>
      <c r="R18569" s="36" t="s">
        <v>48</v>
      </c>
    </row>
    <row r="18570">
      <c r="H18570" s="50"/>
      <c r="I18570" s="50"/>
      <c r="O18570" s="36" t="s">
        <v>48</v>
      </c>
      <c r="R18570" s="36" t="s">
        <v>48</v>
      </c>
    </row>
    <row r="18571">
      <c r="H18571" s="50"/>
      <c r="I18571" s="50"/>
      <c r="O18571" s="36" t="s">
        <v>48</v>
      </c>
      <c r="R18571" s="36" t="s">
        <v>48</v>
      </c>
    </row>
    <row r="18572">
      <c r="H18572" s="50"/>
      <c r="I18572" s="50"/>
      <c r="O18572" s="36" t="s">
        <v>48</v>
      </c>
      <c r="R18572" s="36" t="s">
        <v>48</v>
      </c>
    </row>
    <row r="18573">
      <c r="H18573" s="50"/>
      <c r="I18573" s="50"/>
      <c r="O18573" s="36" t="s">
        <v>48</v>
      </c>
      <c r="R18573" s="36" t="s">
        <v>48</v>
      </c>
    </row>
    <row r="18574">
      <c r="H18574" s="50"/>
      <c r="I18574" s="50"/>
      <c r="O18574" s="36" t="s">
        <v>48</v>
      </c>
      <c r="R18574" s="36" t="s">
        <v>48</v>
      </c>
    </row>
    <row r="18575">
      <c r="H18575" s="50"/>
      <c r="I18575" s="50"/>
      <c r="O18575" s="36" t="s">
        <v>48</v>
      </c>
      <c r="R18575" s="36" t="s">
        <v>48</v>
      </c>
    </row>
    <row r="18576">
      <c r="H18576" s="50"/>
      <c r="I18576" s="50"/>
      <c r="O18576" s="36" t="s">
        <v>48</v>
      </c>
      <c r="R18576" s="36" t="s">
        <v>48</v>
      </c>
    </row>
    <row r="18577">
      <c r="H18577" s="50"/>
      <c r="I18577" s="50"/>
      <c r="O18577" s="36" t="s">
        <v>48</v>
      </c>
      <c r="R18577" s="36" t="s">
        <v>48</v>
      </c>
    </row>
    <row r="18578">
      <c r="H18578" s="50"/>
      <c r="I18578" s="50"/>
      <c r="O18578" s="36" t="s">
        <v>48</v>
      </c>
      <c r="R18578" s="36" t="s">
        <v>48</v>
      </c>
    </row>
    <row r="18579">
      <c r="H18579" s="50"/>
      <c r="I18579" s="50"/>
      <c r="O18579" s="36" t="s">
        <v>48</v>
      </c>
      <c r="R18579" s="36" t="s">
        <v>48</v>
      </c>
    </row>
    <row r="18580">
      <c r="H18580" s="50"/>
      <c r="I18580" s="50"/>
      <c r="O18580" s="36" t="s">
        <v>48</v>
      </c>
      <c r="R18580" s="36" t="s">
        <v>48</v>
      </c>
    </row>
    <row r="18581">
      <c r="H18581" s="50"/>
      <c r="I18581" s="50"/>
      <c r="O18581" s="36" t="s">
        <v>48</v>
      </c>
      <c r="R18581" s="36" t="s">
        <v>48</v>
      </c>
    </row>
    <row r="18582">
      <c r="H18582" s="50"/>
      <c r="I18582" s="50"/>
      <c r="O18582" s="36" t="s">
        <v>48</v>
      </c>
      <c r="R18582" s="36" t="s">
        <v>48</v>
      </c>
    </row>
    <row r="18583">
      <c r="H18583" s="50"/>
      <c r="I18583" s="50"/>
      <c r="O18583" s="36" t="s">
        <v>48</v>
      </c>
      <c r="R18583" s="36" t="s">
        <v>48</v>
      </c>
    </row>
    <row r="18584">
      <c r="H18584" s="50"/>
      <c r="I18584" s="50"/>
      <c r="O18584" s="36" t="s">
        <v>48</v>
      </c>
      <c r="R18584" s="36" t="s">
        <v>48</v>
      </c>
    </row>
    <row r="18585">
      <c r="H18585" s="50"/>
      <c r="I18585" s="50"/>
      <c r="O18585" s="36" t="s">
        <v>48</v>
      </c>
      <c r="R18585" s="36" t="s">
        <v>48</v>
      </c>
    </row>
    <row r="18586">
      <c r="H18586" s="50"/>
      <c r="I18586" s="50"/>
      <c r="O18586" s="36" t="s">
        <v>48</v>
      </c>
      <c r="R18586" s="36" t="s">
        <v>48</v>
      </c>
    </row>
    <row r="18587">
      <c r="H18587" s="50"/>
      <c r="I18587" s="50"/>
      <c r="O18587" s="36" t="s">
        <v>48</v>
      </c>
      <c r="R18587" s="36" t="s">
        <v>48</v>
      </c>
    </row>
    <row r="18588">
      <c r="H18588" s="50"/>
      <c r="I18588" s="50"/>
      <c r="O18588" s="36" t="s">
        <v>48</v>
      </c>
      <c r="R18588" s="36" t="s">
        <v>48</v>
      </c>
    </row>
    <row r="18589">
      <c r="H18589" s="50"/>
      <c r="I18589" s="50"/>
      <c r="O18589" s="36" t="s">
        <v>48</v>
      </c>
      <c r="R18589" s="36" t="s">
        <v>48</v>
      </c>
    </row>
    <row r="18590">
      <c r="H18590" s="50"/>
      <c r="I18590" s="50"/>
      <c r="O18590" s="36" t="s">
        <v>48</v>
      </c>
      <c r="R18590" s="36" t="s">
        <v>48</v>
      </c>
    </row>
    <row r="18591">
      <c r="H18591" s="50"/>
      <c r="I18591" s="50"/>
      <c r="O18591" s="36" t="s">
        <v>48</v>
      </c>
      <c r="R18591" s="36" t="s">
        <v>48</v>
      </c>
    </row>
    <row r="18592">
      <c r="H18592" s="50"/>
      <c r="I18592" s="50"/>
      <c r="O18592" s="36" t="s">
        <v>48</v>
      </c>
      <c r="R18592" s="36" t="s">
        <v>48</v>
      </c>
    </row>
    <row r="18593">
      <c r="H18593" s="50"/>
      <c r="I18593" s="50"/>
      <c r="O18593" s="36" t="s">
        <v>48</v>
      </c>
      <c r="R18593" s="36" t="s">
        <v>48</v>
      </c>
    </row>
    <row r="18594">
      <c r="H18594" s="50"/>
      <c r="I18594" s="50"/>
      <c r="O18594" s="36" t="s">
        <v>48</v>
      </c>
      <c r="R18594" s="36" t="s">
        <v>48</v>
      </c>
    </row>
    <row r="18595">
      <c r="H18595" s="50"/>
      <c r="I18595" s="50"/>
      <c r="O18595" s="36" t="s">
        <v>48</v>
      </c>
      <c r="R18595" s="36" t="s">
        <v>48</v>
      </c>
    </row>
    <row r="18596">
      <c r="H18596" s="50"/>
      <c r="I18596" s="50"/>
      <c r="O18596" s="36" t="s">
        <v>48</v>
      </c>
      <c r="R18596" s="36" t="s">
        <v>48</v>
      </c>
    </row>
    <row r="18597">
      <c r="H18597" s="50"/>
      <c r="I18597" s="50"/>
      <c r="O18597" s="36" t="s">
        <v>48</v>
      </c>
      <c r="R18597" s="36" t="s">
        <v>48</v>
      </c>
    </row>
    <row r="18598">
      <c r="H18598" s="50"/>
      <c r="I18598" s="50"/>
      <c r="O18598" s="36" t="s">
        <v>48</v>
      </c>
      <c r="R18598" s="36" t="s">
        <v>48</v>
      </c>
    </row>
    <row r="18599">
      <c r="H18599" s="50"/>
      <c r="I18599" s="50"/>
      <c r="O18599" s="36" t="s">
        <v>48</v>
      </c>
      <c r="R18599" s="36" t="s">
        <v>48</v>
      </c>
    </row>
    <row r="18600">
      <c r="H18600" s="50"/>
      <c r="I18600" s="50"/>
      <c r="O18600" s="36" t="s">
        <v>48</v>
      </c>
      <c r="R18600" s="36" t="s">
        <v>48</v>
      </c>
    </row>
    <row r="18601">
      <c r="H18601" s="50"/>
      <c r="I18601" s="50"/>
      <c r="O18601" s="36" t="s">
        <v>48</v>
      </c>
      <c r="R18601" s="36" t="s">
        <v>48</v>
      </c>
    </row>
    <row r="18602">
      <c r="H18602" s="50"/>
      <c r="I18602" s="50"/>
      <c r="O18602" s="36" t="s">
        <v>48</v>
      </c>
      <c r="R18602" s="36" t="s">
        <v>48</v>
      </c>
    </row>
    <row r="18603">
      <c r="H18603" s="50"/>
      <c r="I18603" s="50"/>
      <c r="O18603" s="36" t="s">
        <v>48</v>
      </c>
      <c r="R18603" s="36" t="s">
        <v>48</v>
      </c>
    </row>
    <row r="18604">
      <c r="H18604" s="50"/>
      <c r="I18604" s="50"/>
      <c r="O18604" s="36" t="s">
        <v>48</v>
      </c>
      <c r="R18604" s="36" t="s">
        <v>48</v>
      </c>
    </row>
    <row r="18605">
      <c r="H18605" s="50"/>
      <c r="I18605" s="50"/>
      <c r="O18605" s="36" t="s">
        <v>48</v>
      </c>
      <c r="R18605" s="36" t="s">
        <v>48</v>
      </c>
    </row>
    <row r="18606">
      <c r="H18606" s="50"/>
      <c r="I18606" s="50"/>
      <c r="O18606" s="36" t="s">
        <v>48</v>
      </c>
      <c r="R18606" s="36" t="s">
        <v>48</v>
      </c>
    </row>
    <row r="18607">
      <c r="H18607" s="50"/>
      <c r="I18607" s="50"/>
      <c r="O18607" s="36" t="s">
        <v>48</v>
      </c>
      <c r="R18607" s="36" t="s">
        <v>48</v>
      </c>
    </row>
    <row r="18608">
      <c r="H18608" s="50"/>
      <c r="I18608" s="50"/>
      <c r="O18608" s="36" t="s">
        <v>48</v>
      </c>
      <c r="R18608" s="36" t="s">
        <v>48</v>
      </c>
    </row>
    <row r="18609">
      <c r="H18609" s="50"/>
      <c r="I18609" s="50"/>
      <c r="O18609" s="36" t="s">
        <v>48</v>
      </c>
      <c r="R18609" s="36" t="s">
        <v>48</v>
      </c>
    </row>
    <row r="18610">
      <c r="H18610" s="50"/>
      <c r="I18610" s="50"/>
      <c r="O18610" s="36" t="s">
        <v>48</v>
      </c>
      <c r="R18610" s="36" t="s">
        <v>48</v>
      </c>
    </row>
    <row r="18611">
      <c r="H18611" s="50"/>
      <c r="I18611" s="50"/>
      <c r="O18611" s="36" t="s">
        <v>48</v>
      </c>
      <c r="R18611" s="36" t="s">
        <v>48</v>
      </c>
    </row>
    <row r="18612">
      <c r="H18612" s="50"/>
      <c r="I18612" s="50"/>
      <c r="O18612" s="36" t="s">
        <v>48</v>
      </c>
      <c r="R18612" s="36" t="s">
        <v>48</v>
      </c>
    </row>
    <row r="18613">
      <c r="H18613" s="50"/>
      <c r="I18613" s="50"/>
      <c r="O18613" s="36" t="s">
        <v>48</v>
      </c>
      <c r="R18613" s="36" t="s">
        <v>48</v>
      </c>
    </row>
    <row r="18614">
      <c r="H18614" s="50"/>
      <c r="I18614" s="50"/>
      <c r="O18614" s="36" t="s">
        <v>48</v>
      </c>
      <c r="R18614" s="36" t="s">
        <v>48</v>
      </c>
    </row>
    <row r="18615">
      <c r="H18615" s="50"/>
      <c r="I18615" s="50"/>
      <c r="O18615" s="36" t="s">
        <v>48</v>
      </c>
      <c r="R18615" s="36" t="s">
        <v>48</v>
      </c>
    </row>
    <row r="18616">
      <c r="H18616" s="50"/>
      <c r="I18616" s="50"/>
      <c r="O18616" s="36" t="s">
        <v>48</v>
      </c>
      <c r="R18616" s="36" t="s">
        <v>48</v>
      </c>
    </row>
    <row r="18617">
      <c r="H18617" s="50"/>
      <c r="I18617" s="50"/>
      <c r="O18617" s="36" t="s">
        <v>48</v>
      </c>
      <c r="R18617" s="36" t="s">
        <v>48</v>
      </c>
    </row>
    <row r="18618">
      <c r="H18618" s="50"/>
      <c r="I18618" s="50"/>
      <c r="O18618" s="36" t="s">
        <v>48</v>
      </c>
      <c r="R18618" s="36" t="s">
        <v>48</v>
      </c>
    </row>
    <row r="18619">
      <c r="H18619" s="50"/>
      <c r="I18619" s="50"/>
      <c r="O18619" s="36" t="s">
        <v>48</v>
      </c>
      <c r="R18619" s="36" t="s">
        <v>48</v>
      </c>
    </row>
    <row r="18620">
      <c r="H18620" s="50"/>
      <c r="I18620" s="50"/>
      <c r="O18620" s="36" t="s">
        <v>48</v>
      </c>
      <c r="R18620" s="36" t="s">
        <v>48</v>
      </c>
    </row>
    <row r="18621">
      <c r="H18621" s="50"/>
      <c r="I18621" s="50"/>
      <c r="O18621" s="36" t="s">
        <v>48</v>
      </c>
      <c r="R18621" s="36" t="s">
        <v>48</v>
      </c>
    </row>
    <row r="18622">
      <c r="H18622" s="50"/>
      <c r="I18622" s="50"/>
      <c r="O18622" s="36" t="s">
        <v>48</v>
      </c>
      <c r="R18622" s="36" t="s">
        <v>48</v>
      </c>
    </row>
    <row r="18623">
      <c r="H18623" s="50"/>
      <c r="I18623" s="50"/>
      <c r="O18623" s="36" t="s">
        <v>48</v>
      </c>
      <c r="R18623" s="36" t="s">
        <v>48</v>
      </c>
    </row>
    <row r="18624">
      <c r="H18624" s="50"/>
      <c r="I18624" s="50"/>
      <c r="O18624" s="36" t="s">
        <v>48</v>
      </c>
      <c r="R18624" s="36" t="s">
        <v>48</v>
      </c>
    </row>
    <row r="18625">
      <c r="H18625" s="50"/>
      <c r="I18625" s="50"/>
      <c r="O18625" s="36" t="s">
        <v>48</v>
      </c>
      <c r="R18625" s="36" t="s">
        <v>48</v>
      </c>
    </row>
    <row r="18626">
      <c r="H18626" s="50"/>
      <c r="I18626" s="50"/>
      <c r="O18626" s="36" t="s">
        <v>48</v>
      </c>
      <c r="R18626" s="36" t="s">
        <v>48</v>
      </c>
    </row>
    <row r="18627">
      <c r="H18627" s="50"/>
      <c r="I18627" s="50"/>
      <c r="O18627" s="36" t="s">
        <v>48</v>
      </c>
      <c r="R18627" s="36" t="s">
        <v>48</v>
      </c>
    </row>
    <row r="18628">
      <c r="H18628" s="50"/>
      <c r="I18628" s="50"/>
      <c r="O18628" s="36" t="s">
        <v>48</v>
      </c>
      <c r="R18628" s="36" t="s">
        <v>48</v>
      </c>
    </row>
    <row r="18629">
      <c r="H18629" s="50"/>
      <c r="I18629" s="50"/>
      <c r="O18629" s="36" t="s">
        <v>48</v>
      </c>
      <c r="R18629" s="36" t="s">
        <v>48</v>
      </c>
    </row>
    <row r="18630">
      <c r="H18630" s="50"/>
      <c r="I18630" s="50"/>
      <c r="O18630" s="36" t="s">
        <v>48</v>
      </c>
      <c r="R18630" s="36" t="s">
        <v>48</v>
      </c>
    </row>
    <row r="18631">
      <c r="H18631" s="50"/>
      <c r="I18631" s="50"/>
      <c r="O18631" s="36" t="s">
        <v>48</v>
      </c>
      <c r="R18631" s="36" t="s">
        <v>48</v>
      </c>
    </row>
    <row r="18632">
      <c r="H18632" s="50"/>
      <c r="I18632" s="50"/>
      <c r="O18632" s="36" t="s">
        <v>48</v>
      </c>
      <c r="R18632" s="36" t="s">
        <v>48</v>
      </c>
    </row>
    <row r="18633">
      <c r="H18633" s="50"/>
      <c r="I18633" s="50"/>
      <c r="O18633" s="36" t="s">
        <v>48</v>
      </c>
      <c r="R18633" s="36" t="s">
        <v>48</v>
      </c>
    </row>
    <row r="18634">
      <c r="H18634" s="50"/>
      <c r="I18634" s="50"/>
      <c r="O18634" s="36" t="s">
        <v>48</v>
      </c>
      <c r="R18634" s="36" t="s">
        <v>48</v>
      </c>
    </row>
    <row r="18635">
      <c r="H18635" s="50"/>
      <c r="I18635" s="50"/>
      <c r="O18635" s="36" t="s">
        <v>48</v>
      </c>
      <c r="R18635" s="36" t="s">
        <v>48</v>
      </c>
    </row>
    <row r="18636">
      <c r="H18636" s="50"/>
      <c r="I18636" s="50"/>
      <c r="O18636" s="36" t="s">
        <v>48</v>
      </c>
      <c r="R18636" s="36" t="s">
        <v>48</v>
      </c>
    </row>
    <row r="18637">
      <c r="H18637" s="50"/>
      <c r="I18637" s="50"/>
      <c r="O18637" s="36" t="s">
        <v>48</v>
      </c>
      <c r="R18637" s="36" t="s">
        <v>48</v>
      </c>
    </row>
    <row r="18638">
      <c r="H18638" s="50"/>
      <c r="I18638" s="50"/>
      <c r="O18638" s="36" t="s">
        <v>48</v>
      </c>
      <c r="R18638" s="36" t="s">
        <v>48</v>
      </c>
    </row>
    <row r="18639">
      <c r="H18639" s="50"/>
      <c r="I18639" s="50"/>
      <c r="O18639" s="36" t="s">
        <v>48</v>
      </c>
      <c r="R18639" s="36" t="s">
        <v>48</v>
      </c>
    </row>
    <row r="18640">
      <c r="H18640" s="50"/>
      <c r="I18640" s="50"/>
      <c r="O18640" s="36" t="s">
        <v>48</v>
      </c>
      <c r="R18640" s="36" t="s">
        <v>48</v>
      </c>
    </row>
    <row r="18641">
      <c r="H18641" s="50"/>
      <c r="I18641" s="50"/>
      <c r="O18641" s="36" t="s">
        <v>48</v>
      </c>
      <c r="R18641" s="36" t="s">
        <v>48</v>
      </c>
    </row>
    <row r="18642">
      <c r="H18642" s="50"/>
      <c r="I18642" s="50"/>
      <c r="O18642" s="36" t="s">
        <v>48</v>
      </c>
      <c r="R18642" s="36" t="s">
        <v>48</v>
      </c>
    </row>
    <row r="18643">
      <c r="H18643" s="50"/>
      <c r="I18643" s="50"/>
      <c r="O18643" s="36" t="s">
        <v>48</v>
      </c>
      <c r="R18643" s="36" t="s">
        <v>48</v>
      </c>
    </row>
    <row r="18644">
      <c r="H18644" s="50"/>
      <c r="I18644" s="50"/>
      <c r="O18644" s="36" t="s">
        <v>48</v>
      </c>
      <c r="R18644" s="36" t="s">
        <v>48</v>
      </c>
    </row>
    <row r="18645">
      <c r="H18645" s="50"/>
      <c r="I18645" s="50"/>
      <c r="O18645" s="36" t="s">
        <v>48</v>
      </c>
      <c r="R18645" s="36" t="s">
        <v>48</v>
      </c>
    </row>
    <row r="18646">
      <c r="H18646" s="50"/>
      <c r="I18646" s="50"/>
      <c r="O18646" s="36" t="s">
        <v>48</v>
      </c>
      <c r="R18646" s="36" t="s">
        <v>48</v>
      </c>
    </row>
    <row r="18647">
      <c r="H18647" s="50"/>
      <c r="I18647" s="50"/>
      <c r="O18647" s="36" t="s">
        <v>48</v>
      </c>
      <c r="R18647" s="36" t="s">
        <v>48</v>
      </c>
    </row>
    <row r="18648">
      <c r="H18648" s="50"/>
      <c r="I18648" s="50"/>
      <c r="O18648" s="36" t="s">
        <v>48</v>
      </c>
      <c r="R18648" s="36" t="s">
        <v>48</v>
      </c>
    </row>
    <row r="18649">
      <c r="H18649" s="50"/>
      <c r="I18649" s="50"/>
      <c r="O18649" s="36" t="s">
        <v>48</v>
      </c>
      <c r="R18649" s="36" t="s">
        <v>48</v>
      </c>
    </row>
    <row r="18650">
      <c r="H18650" s="50"/>
      <c r="I18650" s="50"/>
      <c r="O18650" s="36" t="s">
        <v>48</v>
      </c>
      <c r="R18650" s="36" t="s">
        <v>48</v>
      </c>
    </row>
    <row r="18651">
      <c r="H18651" s="50"/>
      <c r="I18651" s="50"/>
      <c r="O18651" s="36" t="s">
        <v>48</v>
      </c>
      <c r="R18651" s="36" t="s">
        <v>48</v>
      </c>
    </row>
    <row r="18652">
      <c r="H18652" s="50"/>
      <c r="I18652" s="50"/>
      <c r="O18652" s="36" t="s">
        <v>48</v>
      </c>
      <c r="R18652" s="36" t="s">
        <v>48</v>
      </c>
    </row>
    <row r="18653">
      <c r="H18653" s="50"/>
      <c r="I18653" s="50"/>
      <c r="O18653" s="36" t="s">
        <v>48</v>
      </c>
      <c r="R18653" s="36" t="s">
        <v>48</v>
      </c>
    </row>
    <row r="18654">
      <c r="H18654" s="50"/>
      <c r="I18654" s="50"/>
      <c r="O18654" s="36" t="s">
        <v>48</v>
      </c>
      <c r="R18654" s="36" t="s">
        <v>48</v>
      </c>
    </row>
    <row r="18655">
      <c r="H18655" s="50"/>
      <c r="I18655" s="50"/>
      <c r="O18655" s="36" t="s">
        <v>48</v>
      </c>
      <c r="R18655" s="36" t="s">
        <v>48</v>
      </c>
    </row>
    <row r="18656">
      <c r="H18656" s="50"/>
      <c r="I18656" s="50"/>
      <c r="O18656" s="36" t="s">
        <v>48</v>
      </c>
      <c r="R18656" s="36" t="s">
        <v>48</v>
      </c>
    </row>
    <row r="18657">
      <c r="H18657" s="50"/>
      <c r="I18657" s="50"/>
      <c r="O18657" s="36" t="s">
        <v>48</v>
      </c>
      <c r="R18657" s="36" t="s">
        <v>48</v>
      </c>
    </row>
    <row r="18658">
      <c r="H18658" s="50"/>
      <c r="I18658" s="50"/>
      <c r="O18658" s="36" t="s">
        <v>48</v>
      </c>
      <c r="R18658" s="36" t="s">
        <v>48</v>
      </c>
    </row>
    <row r="18659">
      <c r="H18659" s="50"/>
      <c r="I18659" s="50"/>
      <c r="O18659" s="36" t="s">
        <v>48</v>
      </c>
      <c r="R18659" s="36" t="s">
        <v>48</v>
      </c>
    </row>
    <row r="18660">
      <c r="H18660" s="50"/>
      <c r="I18660" s="50"/>
      <c r="O18660" s="36" t="s">
        <v>48</v>
      </c>
      <c r="R18660" s="36" t="s">
        <v>48</v>
      </c>
    </row>
    <row r="18661">
      <c r="H18661" s="50"/>
      <c r="I18661" s="50"/>
      <c r="O18661" s="36" t="s">
        <v>48</v>
      </c>
      <c r="R18661" s="36" t="s">
        <v>48</v>
      </c>
    </row>
    <row r="18662">
      <c r="H18662" s="50"/>
      <c r="I18662" s="50"/>
      <c r="O18662" s="36" t="s">
        <v>48</v>
      </c>
      <c r="R18662" s="36" t="s">
        <v>48</v>
      </c>
    </row>
    <row r="18663">
      <c r="H18663" s="50"/>
      <c r="I18663" s="50"/>
      <c r="O18663" s="36" t="s">
        <v>48</v>
      </c>
      <c r="R18663" s="36" t="s">
        <v>48</v>
      </c>
    </row>
    <row r="18664">
      <c r="H18664" s="50"/>
      <c r="I18664" s="50"/>
      <c r="O18664" s="36" t="s">
        <v>48</v>
      </c>
      <c r="R18664" s="36" t="s">
        <v>48</v>
      </c>
    </row>
    <row r="18665">
      <c r="H18665" s="50"/>
      <c r="I18665" s="50"/>
      <c r="O18665" s="36" t="s">
        <v>48</v>
      </c>
      <c r="R18665" s="36" t="s">
        <v>48</v>
      </c>
    </row>
    <row r="18666">
      <c r="H18666" s="50"/>
      <c r="I18666" s="50"/>
      <c r="O18666" s="36" t="s">
        <v>48</v>
      </c>
      <c r="R18666" s="36" t="s">
        <v>48</v>
      </c>
    </row>
    <row r="18667">
      <c r="H18667" s="50"/>
      <c r="I18667" s="50"/>
      <c r="O18667" s="36" t="s">
        <v>48</v>
      </c>
      <c r="R18667" s="36" t="s">
        <v>48</v>
      </c>
    </row>
    <row r="18668">
      <c r="H18668" s="50"/>
      <c r="I18668" s="50"/>
      <c r="O18668" s="36" t="s">
        <v>48</v>
      </c>
      <c r="R18668" s="36" t="s">
        <v>48</v>
      </c>
    </row>
    <row r="18669">
      <c r="H18669" s="50"/>
      <c r="I18669" s="50"/>
      <c r="O18669" s="36" t="s">
        <v>48</v>
      </c>
      <c r="R18669" s="36" t="s">
        <v>48</v>
      </c>
    </row>
    <row r="18670">
      <c r="H18670" s="50"/>
      <c r="I18670" s="50"/>
      <c r="O18670" s="36" t="s">
        <v>48</v>
      </c>
      <c r="R18670" s="36" t="s">
        <v>48</v>
      </c>
    </row>
    <row r="18671">
      <c r="H18671" s="50"/>
      <c r="I18671" s="50"/>
      <c r="O18671" s="36" t="s">
        <v>48</v>
      </c>
      <c r="R18671" s="36" t="s">
        <v>48</v>
      </c>
    </row>
    <row r="18672">
      <c r="H18672" s="50"/>
      <c r="I18672" s="50"/>
      <c r="O18672" s="36" t="s">
        <v>48</v>
      </c>
      <c r="R18672" s="36" t="s">
        <v>48</v>
      </c>
    </row>
    <row r="18673">
      <c r="H18673" s="50"/>
      <c r="I18673" s="50"/>
      <c r="O18673" s="36" t="s">
        <v>48</v>
      </c>
      <c r="R18673" s="36" t="s">
        <v>48</v>
      </c>
    </row>
    <row r="18674">
      <c r="H18674" s="50"/>
      <c r="I18674" s="50"/>
      <c r="O18674" s="36" t="s">
        <v>48</v>
      </c>
      <c r="R18674" s="36" t="s">
        <v>48</v>
      </c>
    </row>
    <row r="18675">
      <c r="H18675" s="50"/>
      <c r="I18675" s="50"/>
      <c r="O18675" s="36" t="s">
        <v>48</v>
      </c>
      <c r="R18675" s="36" t="s">
        <v>48</v>
      </c>
    </row>
    <row r="18676">
      <c r="H18676" s="50"/>
      <c r="I18676" s="50"/>
      <c r="O18676" s="36" t="s">
        <v>48</v>
      </c>
      <c r="R18676" s="36" t="s">
        <v>48</v>
      </c>
    </row>
    <row r="18677">
      <c r="H18677" s="50"/>
      <c r="I18677" s="50"/>
      <c r="O18677" s="36" t="s">
        <v>48</v>
      </c>
      <c r="R18677" s="36" t="s">
        <v>48</v>
      </c>
    </row>
    <row r="18678">
      <c r="H18678" s="50"/>
      <c r="I18678" s="50"/>
      <c r="O18678" s="36" t="s">
        <v>48</v>
      </c>
      <c r="R18678" s="36" t="s">
        <v>48</v>
      </c>
    </row>
    <row r="18679">
      <c r="H18679" s="50"/>
      <c r="I18679" s="50"/>
      <c r="O18679" s="36" t="s">
        <v>48</v>
      </c>
      <c r="R18679" s="36" t="s">
        <v>48</v>
      </c>
    </row>
    <row r="18680">
      <c r="H18680" s="50"/>
      <c r="I18680" s="50"/>
      <c r="O18680" s="36" t="s">
        <v>48</v>
      </c>
      <c r="R18680" s="36" t="s">
        <v>48</v>
      </c>
    </row>
    <row r="18681">
      <c r="H18681" s="50"/>
      <c r="I18681" s="50"/>
      <c r="O18681" s="36" t="s">
        <v>48</v>
      </c>
      <c r="R18681" s="36" t="s">
        <v>48</v>
      </c>
    </row>
    <row r="18682">
      <c r="H18682" s="50"/>
      <c r="I18682" s="50"/>
      <c r="O18682" s="36" t="s">
        <v>48</v>
      </c>
      <c r="R18682" s="36" t="s">
        <v>48</v>
      </c>
    </row>
    <row r="18683">
      <c r="H18683" s="50"/>
      <c r="I18683" s="50"/>
      <c r="O18683" s="36" t="s">
        <v>48</v>
      </c>
      <c r="R18683" s="36" t="s">
        <v>48</v>
      </c>
    </row>
    <row r="18684">
      <c r="H18684" s="50"/>
      <c r="I18684" s="50"/>
      <c r="O18684" s="36" t="s">
        <v>48</v>
      </c>
      <c r="R18684" s="36" t="s">
        <v>48</v>
      </c>
    </row>
    <row r="18685">
      <c r="H18685" s="50"/>
      <c r="I18685" s="50"/>
      <c r="O18685" s="36" t="s">
        <v>48</v>
      </c>
      <c r="R18685" s="36" t="s">
        <v>48</v>
      </c>
    </row>
    <row r="18686">
      <c r="H18686" s="50"/>
      <c r="I18686" s="50"/>
      <c r="O18686" s="36" t="s">
        <v>48</v>
      </c>
      <c r="R18686" s="36" t="s">
        <v>48</v>
      </c>
    </row>
    <row r="18687">
      <c r="H18687" s="50"/>
      <c r="I18687" s="50"/>
      <c r="O18687" s="36" t="s">
        <v>48</v>
      </c>
      <c r="R18687" s="36" t="s">
        <v>48</v>
      </c>
    </row>
    <row r="18688">
      <c r="H18688" s="50"/>
      <c r="I18688" s="50"/>
      <c r="O18688" s="36" t="s">
        <v>48</v>
      </c>
      <c r="R18688" s="36" t="s">
        <v>48</v>
      </c>
    </row>
    <row r="18689">
      <c r="H18689" s="50"/>
      <c r="I18689" s="50"/>
      <c r="O18689" s="36" t="s">
        <v>48</v>
      </c>
      <c r="R18689" s="36" t="s">
        <v>48</v>
      </c>
    </row>
    <row r="18690">
      <c r="H18690" s="50"/>
      <c r="I18690" s="50"/>
      <c r="O18690" s="36" t="s">
        <v>48</v>
      </c>
      <c r="R18690" s="36" t="s">
        <v>48</v>
      </c>
    </row>
    <row r="18691">
      <c r="H18691" s="50"/>
      <c r="I18691" s="50"/>
      <c r="O18691" s="36" t="s">
        <v>48</v>
      </c>
      <c r="R18691" s="36" t="s">
        <v>48</v>
      </c>
    </row>
    <row r="18692">
      <c r="H18692" s="50"/>
      <c r="I18692" s="50"/>
      <c r="O18692" s="36" t="s">
        <v>48</v>
      </c>
      <c r="R18692" s="36" t="s">
        <v>48</v>
      </c>
    </row>
    <row r="18693">
      <c r="H18693" s="50"/>
      <c r="I18693" s="50"/>
      <c r="O18693" s="36" t="s">
        <v>48</v>
      </c>
      <c r="R18693" s="36" t="s">
        <v>48</v>
      </c>
    </row>
    <row r="18694">
      <c r="H18694" s="50"/>
      <c r="I18694" s="50"/>
      <c r="O18694" s="36" t="s">
        <v>48</v>
      </c>
      <c r="R18694" s="36" t="s">
        <v>48</v>
      </c>
    </row>
    <row r="18695">
      <c r="H18695" s="50"/>
      <c r="I18695" s="50"/>
      <c r="O18695" s="36" t="s">
        <v>48</v>
      </c>
      <c r="R18695" s="36" t="s">
        <v>48</v>
      </c>
    </row>
    <row r="18696">
      <c r="H18696" s="50"/>
      <c r="I18696" s="50"/>
      <c r="O18696" s="36" t="s">
        <v>48</v>
      </c>
      <c r="R18696" s="36" t="s">
        <v>48</v>
      </c>
    </row>
    <row r="18697">
      <c r="H18697" s="50"/>
      <c r="I18697" s="50"/>
      <c r="O18697" s="36" t="s">
        <v>48</v>
      </c>
      <c r="R18697" s="36" t="s">
        <v>48</v>
      </c>
    </row>
    <row r="18698">
      <c r="H18698" s="50"/>
      <c r="I18698" s="50"/>
      <c r="O18698" s="36" t="s">
        <v>48</v>
      </c>
      <c r="R18698" s="36" t="s">
        <v>48</v>
      </c>
    </row>
    <row r="18699">
      <c r="H18699" s="50"/>
      <c r="I18699" s="50"/>
      <c r="O18699" s="36" t="s">
        <v>48</v>
      </c>
      <c r="R18699" s="36" t="s">
        <v>48</v>
      </c>
    </row>
    <row r="18700">
      <c r="H18700" s="50"/>
      <c r="I18700" s="50"/>
      <c r="O18700" s="36" t="s">
        <v>48</v>
      </c>
      <c r="R18700" s="36" t="s">
        <v>48</v>
      </c>
    </row>
    <row r="18701">
      <c r="H18701" s="50"/>
      <c r="I18701" s="50"/>
      <c r="O18701" s="36" t="s">
        <v>48</v>
      </c>
      <c r="R18701" s="36" t="s">
        <v>48</v>
      </c>
    </row>
    <row r="18702">
      <c r="H18702" s="50"/>
      <c r="I18702" s="50"/>
      <c r="O18702" s="36" t="s">
        <v>48</v>
      </c>
      <c r="R18702" s="36" t="s">
        <v>48</v>
      </c>
    </row>
    <row r="18703">
      <c r="H18703" s="50"/>
      <c r="I18703" s="50"/>
      <c r="O18703" s="36" t="s">
        <v>48</v>
      </c>
      <c r="R18703" s="36" t="s">
        <v>48</v>
      </c>
    </row>
    <row r="18704">
      <c r="H18704" s="50"/>
      <c r="I18704" s="50"/>
      <c r="O18704" s="36" t="s">
        <v>48</v>
      </c>
      <c r="R18704" s="36" t="s">
        <v>48</v>
      </c>
    </row>
    <row r="18705">
      <c r="H18705" s="50"/>
      <c r="I18705" s="50"/>
      <c r="O18705" s="36" t="s">
        <v>48</v>
      </c>
      <c r="R18705" s="36" t="s">
        <v>48</v>
      </c>
    </row>
    <row r="18706">
      <c r="H18706" s="50"/>
      <c r="I18706" s="50"/>
      <c r="O18706" s="36" t="s">
        <v>48</v>
      </c>
      <c r="R18706" s="36" t="s">
        <v>48</v>
      </c>
    </row>
    <row r="18707">
      <c r="H18707" s="50"/>
      <c r="I18707" s="50"/>
      <c r="O18707" s="36" t="s">
        <v>48</v>
      </c>
      <c r="R18707" s="36" t="s">
        <v>48</v>
      </c>
    </row>
    <row r="18708">
      <c r="H18708" s="50"/>
      <c r="I18708" s="50"/>
      <c r="O18708" s="36" t="s">
        <v>48</v>
      </c>
      <c r="R18708" s="36" t="s">
        <v>48</v>
      </c>
    </row>
    <row r="18709">
      <c r="H18709" s="50"/>
      <c r="I18709" s="50"/>
      <c r="O18709" s="36" t="s">
        <v>48</v>
      </c>
      <c r="R18709" s="36" t="s">
        <v>48</v>
      </c>
    </row>
    <row r="18710">
      <c r="H18710" s="50"/>
      <c r="I18710" s="50"/>
      <c r="O18710" s="36" t="s">
        <v>48</v>
      </c>
      <c r="R18710" s="36" t="s">
        <v>48</v>
      </c>
    </row>
    <row r="18711">
      <c r="H18711" s="50"/>
      <c r="I18711" s="50"/>
      <c r="O18711" s="36" t="s">
        <v>48</v>
      </c>
      <c r="R18711" s="36" t="s">
        <v>48</v>
      </c>
    </row>
    <row r="18712">
      <c r="H18712" s="50"/>
      <c r="I18712" s="50"/>
      <c r="O18712" s="36" t="s">
        <v>48</v>
      </c>
      <c r="R18712" s="36" t="s">
        <v>48</v>
      </c>
    </row>
    <row r="18713">
      <c r="H18713" s="50"/>
      <c r="I18713" s="50"/>
      <c r="O18713" s="36" t="s">
        <v>48</v>
      </c>
      <c r="R18713" s="36" t="s">
        <v>48</v>
      </c>
    </row>
    <row r="18714">
      <c r="H18714" s="50"/>
      <c r="I18714" s="50"/>
      <c r="O18714" s="36" t="s">
        <v>48</v>
      </c>
      <c r="R18714" s="36" t="s">
        <v>48</v>
      </c>
    </row>
    <row r="18715">
      <c r="H18715" s="50"/>
      <c r="I18715" s="50"/>
      <c r="O18715" s="36" t="s">
        <v>48</v>
      </c>
      <c r="R18715" s="36" t="s">
        <v>48</v>
      </c>
    </row>
    <row r="18716">
      <c r="H18716" s="50"/>
      <c r="I18716" s="50"/>
      <c r="O18716" s="36" t="s">
        <v>48</v>
      </c>
      <c r="R18716" s="36" t="s">
        <v>48</v>
      </c>
    </row>
    <row r="18717">
      <c r="H18717" s="50"/>
      <c r="I18717" s="50"/>
      <c r="O18717" s="36" t="s">
        <v>48</v>
      </c>
      <c r="R18717" s="36" t="s">
        <v>48</v>
      </c>
    </row>
    <row r="18718">
      <c r="H18718" s="50"/>
      <c r="I18718" s="50"/>
      <c r="O18718" s="36" t="s">
        <v>48</v>
      </c>
      <c r="R18718" s="36" t="s">
        <v>48</v>
      </c>
    </row>
    <row r="18719">
      <c r="H18719" s="50"/>
      <c r="I18719" s="50"/>
      <c r="O18719" s="36" t="s">
        <v>48</v>
      </c>
      <c r="R18719" s="36" t="s">
        <v>48</v>
      </c>
    </row>
    <row r="18720">
      <c r="H18720" s="50"/>
      <c r="I18720" s="50"/>
      <c r="O18720" s="36" t="s">
        <v>48</v>
      </c>
      <c r="R18720" s="36" t="s">
        <v>48</v>
      </c>
    </row>
    <row r="18721">
      <c r="H18721" s="50"/>
      <c r="I18721" s="50"/>
      <c r="O18721" s="36" t="s">
        <v>48</v>
      </c>
      <c r="R18721" s="36" t="s">
        <v>48</v>
      </c>
    </row>
    <row r="18722">
      <c r="H18722" s="50"/>
      <c r="I18722" s="50"/>
      <c r="O18722" s="36" t="s">
        <v>48</v>
      </c>
      <c r="R18722" s="36" t="s">
        <v>48</v>
      </c>
    </row>
    <row r="18723">
      <c r="H18723" s="50"/>
      <c r="I18723" s="50"/>
      <c r="O18723" s="36" t="s">
        <v>48</v>
      </c>
      <c r="R18723" s="36" t="s">
        <v>48</v>
      </c>
    </row>
    <row r="18724">
      <c r="H18724" s="50"/>
      <c r="I18724" s="50"/>
      <c r="O18724" s="36" t="s">
        <v>48</v>
      </c>
      <c r="R18724" s="36" t="s">
        <v>48</v>
      </c>
    </row>
    <row r="18725">
      <c r="H18725" s="50"/>
      <c r="I18725" s="50"/>
      <c r="O18725" s="36" t="s">
        <v>48</v>
      </c>
      <c r="R18725" s="36" t="s">
        <v>48</v>
      </c>
    </row>
    <row r="18726">
      <c r="H18726" s="50"/>
      <c r="I18726" s="50"/>
      <c r="O18726" s="36" t="s">
        <v>48</v>
      </c>
      <c r="R18726" s="36" t="s">
        <v>48</v>
      </c>
    </row>
    <row r="18727">
      <c r="H18727" s="50"/>
      <c r="I18727" s="50"/>
      <c r="O18727" s="36" t="s">
        <v>48</v>
      </c>
      <c r="R18727" s="36" t="s">
        <v>48</v>
      </c>
    </row>
    <row r="18728">
      <c r="H18728" s="50"/>
      <c r="I18728" s="50"/>
      <c r="O18728" s="36" t="s">
        <v>48</v>
      </c>
      <c r="R18728" s="36" t="s">
        <v>48</v>
      </c>
    </row>
    <row r="18729">
      <c r="H18729" s="50"/>
      <c r="I18729" s="50"/>
      <c r="O18729" s="36" t="s">
        <v>48</v>
      </c>
      <c r="R18729" s="36" t="s">
        <v>48</v>
      </c>
    </row>
    <row r="18730">
      <c r="H18730" s="50"/>
      <c r="I18730" s="50"/>
      <c r="O18730" s="36" t="s">
        <v>48</v>
      </c>
      <c r="R18730" s="36" t="s">
        <v>48</v>
      </c>
    </row>
    <row r="18731">
      <c r="H18731" s="50"/>
      <c r="I18731" s="50"/>
      <c r="O18731" s="36" t="s">
        <v>48</v>
      </c>
      <c r="R18731" s="36" t="s">
        <v>48</v>
      </c>
    </row>
    <row r="18732">
      <c r="H18732" s="50"/>
      <c r="I18732" s="50"/>
      <c r="O18732" s="36" t="s">
        <v>48</v>
      </c>
      <c r="R18732" s="36" t="s">
        <v>48</v>
      </c>
    </row>
    <row r="18733">
      <c r="H18733" s="50"/>
      <c r="I18733" s="50"/>
      <c r="O18733" s="36" t="s">
        <v>48</v>
      </c>
      <c r="R18733" s="36" t="s">
        <v>48</v>
      </c>
    </row>
    <row r="18734">
      <c r="H18734" s="50"/>
      <c r="I18734" s="50"/>
      <c r="O18734" s="36" t="s">
        <v>48</v>
      </c>
      <c r="R18734" s="36" t="s">
        <v>48</v>
      </c>
    </row>
    <row r="18735">
      <c r="H18735" s="50"/>
      <c r="I18735" s="50"/>
      <c r="O18735" s="36" t="s">
        <v>48</v>
      </c>
      <c r="R18735" s="36" t="s">
        <v>48</v>
      </c>
    </row>
    <row r="18736">
      <c r="H18736" s="50"/>
      <c r="I18736" s="50"/>
      <c r="O18736" s="36" t="s">
        <v>48</v>
      </c>
      <c r="R18736" s="36" t="s">
        <v>48</v>
      </c>
    </row>
    <row r="18737">
      <c r="H18737" s="50"/>
      <c r="I18737" s="50"/>
      <c r="O18737" s="36" t="s">
        <v>48</v>
      </c>
      <c r="R18737" s="36" t="s">
        <v>48</v>
      </c>
    </row>
    <row r="18738">
      <c r="H18738" s="50"/>
      <c r="I18738" s="50"/>
      <c r="O18738" s="36" t="s">
        <v>48</v>
      </c>
      <c r="R18738" s="36" t="s">
        <v>48</v>
      </c>
    </row>
    <row r="18739">
      <c r="H18739" s="50"/>
      <c r="I18739" s="50"/>
      <c r="O18739" s="36" t="s">
        <v>48</v>
      </c>
      <c r="R18739" s="36" t="s">
        <v>48</v>
      </c>
    </row>
    <row r="18740">
      <c r="H18740" s="50"/>
      <c r="I18740" s="50"/>
      <c r="O18740" s="36" t="s">
        <v>48</v>
      </c>
      <c r="R18740" s="36" t="s">
        <v>48</v>
      </c>
    </row>
    <row r="18741">
      <c r="H18741" s="50"/>
      <c r="I18741" s="50"/>
      <c r="O18741" s="36" t="s">
        <v>48</v>
      </c>
      <c r="R18741" s="36" t="s">
        <v>48</v>
      </c>
    </row>
    <row r="18742">
      <c r="H18742" s="50"/>
      <c r="I18742" s="50"/>
      <c r="O18742" s="36" t="s">
        <v>48</v>
      </c>
      <c r="R18742" s="36" t="s">
        <v>48</v>
      </c>
    </row>
    <row r="18743">
      <c r="H18743" s="50"/>
      <c r="I18743" s="50"/>
      <c r="O18743" s="36" t="s">
        <v>48</v>
      </c>
      <c r="R18743" s="36" t="s">
        <v>48</v>
      </c>
    </row>
    <row r="18744">
      <c r="H18744" s="50"/>
      <c r="I18744" s="50"/>
      <c r="O18744" s="36" t="s">
        <v>48</v>
      </c>
      <c r="R18744" s="36" t="s">
        <v>48</v>
      </c>
    </row>
    <row r="18745">
      <c r="H18745" s="50"/>
      <c r="I18745" s="50"/>
      <c r="O18745" s="36" t="s">
        <v>48</v>
      </c>
      <c r="R18745" s="36" t="s">
        <v>48</v>
      </c>
    </row>
    <row r="18746">
      <c r="H18746" s="50"/>
      <c r="I18746" s="50"/>
      <c r="O18746" s="36" t="s">
        <v>48</v>
      </c>
      <c r="R18746" s="36" t="s">
        <v>48</v>
      </c>
    </row>
    <row r="18747">
      <c r="H18747" s="50"/>
      <c r="I18747" s="50"/>
      <c r="O18747" s="36" t="s">
        <v>48</v>
      </c>
      <c r="R18747" s="36" t="s">
        <v>48</v>
      </c>
    </row>
    <row r="18748">
      <c r="H18748" s="50"/>
      <c r="I18748" s="50"/>
      <c r="O18748" s="36" t="s">
        <v>48</v>
      </c>
      <c r="R18748" s="36" t="s">
        <v>48</v>
      </c>
    </row>
    <row r="18749">
      <c r="H18749" s="50"/>
      <c r="I18749" s="50"/>
      <c r="O18749" s="36" t="s">
        <v>48</v>
      </c>
      <c r="R18749" s="36" t="s">
        <v>48</v>
      </c>
    </row>
    <row r="18750">
      <c r="H18750" s="50"/>
      <c r="I18750" s="50"/>
      <c r="O18750" s="36" t="s">
        <v>48</v>
      </c>
      <c r="R18750" s="36" t="s">
        <v>48</v>
      </c>
    </row>
    <row r="18751">
      <c r="H18751" s="50"/>
      <c r="I18751" s="50"/>
      <c r="O18751" s="36" t="s">
        <v>48</v>
      </c>
      <c r="R18751" s="36" t="s">
        <v>48</v>
      </c>
    </row>
    <row r="18752">
      <c r="H18752" s="50"/>
      <c r="I18752" s="50"/>
      <c r="O18752" s="36" t="s">
        <v>48</v>
      </c>
      <c r="R18752" s="36" t="s">
        <v>48</v>
      </c>
    </row>
    <row r="18753">
      <c r="H18753" s="50"/>
      <c r="I18753" s="50"/>
      <c r="O18753" s="36" t="s">
        <v>48</v>
      </c>
      <c r="R18753" s="36" t="s">
        <v>48</v>
      </c>
    </row>
    <row r="18754">
      <c r="H18754" s="50"/>
      <c r="I18754" s="50"/>
      <c r="O18754" s="36" t="s">
        <v>48</v>
      </c>
      <c r="R18754" s="36" t="s">
        <v>48</v>
      </c>
    </row>
    <row r="18755">
      <c r="H18755" s="50"/>
      <c r="I18755" s="50"/>
      <c r="O18755" s="36" t="s">
        <v>48</v>
      </c>
      <c r="R18755" s="36" t="s">
        <v>48</v>
      </c>
    </row>
    <row r="18756">
      <c r="H18756" s="50"/>
      <c r="I18756" s="50"/>
      <c r="O18756" s="36" t="s">
        <v>48</v>
      </c>
      <c r="R18756" s="36" t="s">
        <v>48</v>
      </c>
    </row>
    <row r="18757">
      <c r="H18757" s="50"/>
      <c r="I18757" s="50"/>
      <c r="O18757" s="36" t="s">
        <v>48</v>
      </c>
      <c r="R18757" s="36" t="s">
        <v>48</v>
      </c>
    </row>
    <row r="18758">
      <c r="H18758" s="50"/>
      <c r="I18758" s="50"/>
      <c r="O18758" s="36" t="s">
        <v>48</v>
      </c>
      <c r="R18758" s="36" t="s">
        <v>48</v>
      </c>
    </row>
    <row r="18759">
      <c r="H18759" s="50"/>
      <c r="I18759" s="50"/>
      <c r="O18759" s="36" t="s">
        <v>48</v>
      </c>
      <c r="R18759" s="36" t="s">
        <v>48</v>
      </c>
    </row>
    <row r="18760">
      <c r="H18760" s="50"/>
      <c r="I18760" s="50"/>
      <c r="O18760" s="36" t="s">
        <v>48</v>
      </c>
      <c r="R18760" s="36" t="s">
        <v>48</v>
      </c>
    </row>
    <row r="18761">
      <c r="H18761" s="50"/>
      <c r="I18761" s="50"/>
      <c r="O18761" s="36" t="s">
        <v>48</v>
      </c>
      <c r="R18761" s="36" t="s">
        <v>48</v>
      </c>
    </row>
    <row r="18762">
      <c r="H18762" s="50"/>
      <c r="I18762" s="50"/>
      <c r="O18762" s="36" t="s">
        <v>48</v>
      </c>
      <c r="R18762" s="36" t="s">
        <v>48</v>
      </c>
    </row>
    <row r="18763">
      <c r="H18763" s="50"/>
      <c r="I18763" s="50"/>
      <c r="O18763" s="36" t="s">
        <v>48</v>
      </c>
      <c r="R18763" s="36" t="s">
        <v>48</v>
      </c>
    </row>
    <row r="18764">
      <c r="H18764" s="50"/>
      <c r="I18764" s="50"/>
      <c r="O18764" s="36" t="s">
        <v>48</v>
      </c>
      <c r="R18764" s="36" t="s">
        <v>48</v>
      </c>
    </row>
    <row r="18765">
      <c r="H18765" s="50"/>
      <c r="I18765" s="50"/>
      <c r="O18765" s="36" t="s">
        <v>48</v>
      </c>
      <c r="R18765" s="36" t="s">
        <v>48</v>
      </c>
    </row>
    <row r="18766">
      <c r="H18766" s="50"/>
      <c r="I18766" s="50"/>
      <c r="O18766" s="36" t="s">
        <v>48</v>
      </c>
      <c r="R18766" s="36" t="s">
        <v>48</v>
      </c>
    </row>
    <row r="18767">
      <c r="H18767" s="50"/>
      <c r="I18767" s="50"/>
      <c r="O18767" s="36" t="s">
        <v>48</v>
      </c>
      <c r="R18767" s="36" t="s">
        <v>48</v>
      </c>
    </row>
    <row r="18768">
      <c r="H18768" s="50"/>
      <c r="I18768" s="50"/>
      <c r="O18768" s="36" t="s">
        <v>48</v>
      </c>
      <c r="R18768" s="36" t="s">
        <v>48</v>
      </c>
    </row>
    <row r="18769">
      <c r="H18769" s="50"/>
      <c r="I18769" s="50"/>
      <c r="O18769" s="36" t="s">
        <v>48</v>
      </c>
      <c r="R18769" s="36" t="s">
        <v>48</v>
      </c>
    </row>
    <row r="18770">
      <c r="H18770" s="50"/>
      <c r="I18770" s="50"/>
      <c r="O18770" s="36" t="s">
        <v>48</v>
      </c>
      <c r="R18770" s="36" t="s">
        <v>48</v>
      </c>
    </row>
    <row r="18771">
      <c r="H18771" s="50"/>
      <c r="I18771" s="50"/>
      <c r="O18771" s="36" t="s">
        <v>48</v>
      </c>
      <c r="R18771" s="36" t="s">
        <v>48</v>
      </c>
    </row>
    <row r="18772">
      <c r="H18772" s="50"/>
      <c r="I18772" s="50"/>
      <c r="O18772" s="36" t="s">
        <v>48</v>
      </c>
      <c r="R18772" s="36" t="s">
        <v>48</v>
      </c>
    </row>
    <row r="18773">
      <c r="H18773" s="50"/>
      <c r="I18773" s="50"/>
      <c r="O18773" s="36" t="s">
        <v>48</v>
      </c>
      <c r="R18773" s="36" t="s">
        <v>48</v>
      </c>
    </row>
    <row r="18774">
      <c r="H18774" s="50"/>
      <c r="I18774" s="50"/>
      <c r="O18774" s="36" t="s">
        <v>48</v>
      </c>
      <c r="R18774" s="36" t="s">
        <v>48</v>
      </c>
    </row>
    <row r="18775">
      <c r="H18775" s="50"/>
      <c r="I18775" s="50"/>
      <c r="O18775" s="36" t="s">
        <v>48</v>
      </c>
      <c r="R18775" s="36" t="s">
        <v>48</v>
      </c>
    </row>
    <row r="18776">
      <c r="H18776" s="50"/>
      <c r="I18776" s="50"/>
      <c r="O18776" s="36" t="s">
        <v>48</v>
      </c>
      <c r="R18776" s="36" t="s">
        <v>48</v>
      </c>
    </row>
    <row r="18777">
      <c r="H18777" s="50"/>
      <c r="I18777" s="50"/>
      <c r="O18777" s="36" t="s">
        <v>48</v>
      </c>
      <c r="R18777" s="36" t="s">
        <v>48</v>
      </c>
    </row>
    <row r="18778">
      <c r="H18778" s="50"/>
      <c r="I18778" s="50"/>
      <c r="O18778" s="36" t="s">
        <v>48</v>
      </c>
      <c r="R18778" s="36" t="s">
        <v>48</v>
      </c>
    </row>
    <row r="18779">
      <c r="H18779" s="50"/>
      <c r="I18779" s="50"/>
      <c r="O18779" s="36" t="s">
        <v>48</v>
      </c>
      <c r="R18779" s="36" t="s">
        <v>48</v>
      </c>
    </row>
    <row r="18780">
      <c r="H18780" s="50"/>
      <c r="I18780" s="50"/>
      <c r="O18780" s="36" t="s">
        <v>48</v>
      </c>
      <c r="R18780" s="36" t="s">
        <v>48</v>
      </c>
    </row>
    <row r="18781">
      <c r="H18781" s="50"/>
      <c r="I18781" s="50"/>
      <c r="O18781" s="36" t="s">
        <v>48</v>
      </c>
      <c r="R18781" s="36" t="s">
        <v>48</v>
      </c>
    </row>
    <row r="18782">
      <c r="H18782" s="50"/>
      <c r="I18782" s="50"/>
      <c r="O18782" s="36" t="s">
        <v>48</v>
      </c>
      <c r="R18782" s="36" t="s">
        <v>48</v>
      </c>
    </row>
    <row r="18783">
      <c r="H18783" s="50"/>
      <c r="I18783" s="50"/>
      <c r="O18783" s="36" t="s">
        <v>48</v>
      </c>
      <c r="R18783" s="36" t="s">
        <v>48</v>
      </c>
    </row>
    <row r="18784">
      <c r="H18784" s="50"/>
      <c r="I18784" s="50"/>
      <c r="O18784" s="36" t="s">
        <v>48</v>
      </c>
      <c r="R18784" s="36" t="s">
        <v>48</v>
      </c>
    </row>
    <row r="18785">
      <c r="H18785" s="50"/>
      <c r="I18785" s="50"/>
      <c r="O18785" s="36" t="s">
        <v>48</v>
      </c>
      <c r="R18785" s="36" t="s">
        <v>48</v>
      </c>
    </row>
    <row r="18786">
      <c r="H18786" s="50"/>
      <c r="I18786" s="50"/>
      <c r="O18786" s="36" t="s">
        <v>48</v>
      </c>
      <c r="R18786" s="36" t="s">
        <v>48</v>
      </c>
    </row>
    <row r="18787">
      <c r="H18787" s="50"/>
      <c r="I18787" s="50"/>
      <c r="O18787" s="36" t="s">
        <v>48</v>
      </c>
      <c r="R18787" s="36" t="s">
        <v>48</v>
      </c>
    </row>
    <row r="18788">
      <c r="H18788" s="50"/>
      <c r="I18788" s="50"/>
      <c r="O18788" s="36" t="s">
        <v>48</v>
      </c>
      <c r="R18788" s="36" t="s">
        <v>48</v>
      </c>
    </row>
    <row r="18789">
      <c r="H18789" s="50"/>
      <c r="I18789" s="50"/>
      <c r="O18789" s="36" t="s">
        <v>48</v>
      </c>
      <c r="R18789" s="36" t="s">
        <v>48</v>
      </c>
    </row>
    <row r="18790">
      <c r="H18790" s="50"/>
      <c r="I18790" s="50"/>
      <c r="O18790" s="36" t="s">
        <v>48</v>
      </c>
      <c r="R18790" s="36" t="s">
        <v>48</v>
      </c>
    </row>
    <row r="18791">
      <c r="H18791" s="50"/>
      <c r="I18791" s="50"/>
      <c r="O18791" s="36" t="s">
        <v>48</v>
      </c>
      <c r="R18791" s="36" t="s">
        <v>48</v>
      </c>
    </row>
    <row r="18792">
      <c r="H18792" s="50"/>
      <c r="I18792" s="50"/>
      <c r="O18792" s="36" t="s">
        <v>48</v>
      </c>
      <c r="R18792" s="36" t="s">
        <v>48</v>
      </c>
    </row>
    <row r="18793">
      <c r="H18793" s="50"/>
      <c r="I18793" s="50"/>
      <c r="O18793" s="36" t="s">
        <v>48</v>
      </c>
      <c r="R18793" s="36" t="s">
        <v>48</v>
      </c>
    </row>
    <row r="18794">
      <c r="H18794" s="50"/>
      <c r="I18794" s="50"/>
      <c r="O18794" s="36" t="s">
        <v>48</v>
      </c>
      <c r="R18794" s="36" t="s">
        <v>48</v>
      </c>
    </row>
    <row r="18795">
      <c r="H18795" s="50"/>
      <c r="I18795" s="50"/>
      <c r="O18795" s="36" t="s">
        <v>48</v>
      </c>
      <c r="R18795" s="36" t="s">
        <v>48</v>
      </c>
    </row>
    <row r="18796">
      <c r="H18796" s="50"/>
      <c r="I18796" s="50"/>
      <c r="O18796" s="36" t="s">
        <v>48</v>
      </c>
      <c r="R18796" s="36" t="s">
        <v>48</v>
      </c>
    </row>
    <row r="18797">
      <c r="H18797" s="50"/>
      <c r="I18797" s="50"/>
      <c r="O18797" s="36" t="s">
        <v>48</v>
      </c>
      <c r="R18797" s="36" t="s">
        <v>48</v>
      </c>
    </row>
    <row r="18798">
      <c r="H18798" s="50"/>
      <c r="I18798" s="50"/>
      <c r="O18798" s="36" t="s">
        <v>48</v>
      </c>
      <c r="R18798" s="36" t="s">
        <v>48</v>
      </c>
    </row>
    <row r="18799">
      <c r="H18799" s="50"/>
      <c r="I18799" s="50"/>
      <c r="O18799" s="36" t="s">
        <v>48</v>
      </c>
      <c r="R18799" s="36" t="s">
        <v>48</v>
      </c>
    </row>
    <row r="18800">
      <c r="H18800" s="50"/>
      <c r="I18800" s="50"/>
      <c r="O18800" s="36" t="s">
        <v>48</v>
      </c>
      <c r="R18800" s="36" t="s">
        <v>48</v>
      </c>
    </row>
    <row r="18801">
      <c r="H18801" s="50"/>
      <c r="I18801" s="50"/>
      <c r="O18801" s="36" t="s">
        <v>48</v>
      </c>
      <c r="R18801" s="36" t="s">
        <v>48</v>
      </c>
    </row>
    <row r="18802">
      <c r="H18802" s="50"/>
      <c r="I18802" s="50"/>
      <c r="O18802" s="36" t="s">
        <v>48</v>
      </c>
      <c r="R18802" s="36" t="s">
        <v>48</v>
      </c>
    </row>
    <row r="18803">
      <c r="H18803" s="50"/>
      <c r="I18803" s="50"/>
      <c r="O18803" s="36" t="s">
        <v>48</v>
      </c>
      <c r="R18803" s="36" t="s">
        <v>48</v>
      </c>
    </row>
    <row r="18804">
      <c r="H18804" s="50"/>
      <c r="I18804" s="50"/>
      <c r="O18804" s="36" t="s">
        <v>48</v>
      </c>
      <c r="R18804" s="36" t="s">
        <v>48</v>
      </c>
    </row>
    <row r="18805">
      <c r="H18805" s="50"/>
      <c r="I18805" s="50"/>
      <c r="O18805" s="36" t="s">
        <v>48</v>
      </c>
      <c r="R18805" s="36" t="s">
        <v>48</v>
      </c>
    </row>
    <row r="18806">
      <c r="H18806" s="50"/>
      <c r="I18806" s="50"/>
      <c r="O18806" s="36" t="s">
        <v>48</v>
      </c>
      <c r="R18806" s="36" t="s">
        <v>48</v>
      </c>
    </row>
    <row r="18807">
      <c r="H18807" s="50"/>
      <c r="I18807" s="50"/>
      <c r="O18807" s="36" t="s">
        <v>48</v>
      </c>
      <c r="R18807" s="36" t="s">
        <v>48</v>
      </c>
    </row>
    <row r="18808">
      <c r="H18808" s="50"/>
      <c r="I18808" s="50"/>
      <c r="O18808" s="36" t="s">
        <v>48</v>
      </c>
      <c r="R18808" s="36" t="s">
        <v>48</v>
      </c>
    </row>
    <row r="18809">
      <c r="H18809" s="50"/>
      <c r="I18809" s="50"/>
      <c r="O18809" s="36" t="s">
        <v>48</v>
      </c>
      <c r="R18809" s="36" t="s">
        <v>48</v>
      </c>
    </row>
    <row r="18810">
      <c r="H18810" s="50"/>
      <c r="I18810" s="50"/>
      <c r="O18810" s="36" t="s">
        <v>48</v>
      </c>
      <c r="R18810" s="36" t="s">
        <v>48</v>
      </c>
    </row>
    <row r="18811">
      <c r="H18811" s="50"/>
      <c r="I18811" s="50"/>
      <c r="O18811" s="36" t="s">
        <v>48</v>
      </c>
      <c r="R18811" s="36" t="s">
        <v>48</v>
      </c>
    </row>
    <row r="18812">
      <c r="H18812" s="50"/>
      <c r="I18812" s="50"/>
      <c r="O18812" s="36" t="s">
        <v>48</v>
      </c>
      <c r="R18812" s="36" t="s">
        <v>48</v>
      </c>
    </row>
    <row r="18813">
      <c r="H18813" s="50"/>
      <c r="I18813" s="50"/>
      <c r="O18813" s="36" t="s">
        <v>48</v>
      </c>
      <c r="R18813" s="36" t="s">
        <v>48</v>
      </c>
    </row>
    <row r="18814">
      <c r="H18814" s="50"/>
      <c r="I18814" s="50"/>
      <c r="O18814" s="36" t="s">
        <v>48</v>
      </c>
      <c r="R18814" s="36" t="s">
        <v>48</v>
      </c>
    </row>
    <row r="18815">
      <c r="H18815" s="50"/>
      <c r="I18815" s="50"/>
      <c r="O18815" s="36" t="s">
        <v>48</v>
      </c>
      <c r="R18815" s="36" t="s">
        <v>48</v>
      </c>
    </row>
    <row r="18816">
      <c r="H18816" s="50"/>
      <c r="I18816" s="50"/>
      <c r="O18816" s="36" t="s">
        <v>48</v>
      </c>
      <c r="R18816" s="36" t="s">
        <v>48</v>
      </c>
    </row>
    <row r="18817">
      <c r="H18817" s="50"/>
      <c r="I18817" s="50"/>
      <c r="O18817" s="36" t="s">
        <v>48</v>
      </c>
      <c r="R18817" s="36" t="s">
        <v>48</v>
      </c>
    </row>
    <row r="18818">
      <c r="H18818" s="50"/>
      <c r="I18818" s="50"/>
      <c r="O18818" s="36" t="s">
        <v>48</v>
      </c>
      <c r="R18818" s="36" t="s">
        <v>48</v>
      </c>
    </row>
    <row r="18819">
      <c r="H18819" s="50"/>
      <c r="I18819" s="50"/>
      <c r="O18819" s="36" t="s">
        <v>48</v>
      </c>
      <c r="R18819" s="36" t="s">
        <v>48</v>
      </c>
    </row>
    <row r="18820">
      <c r="H18820" s="50"/>
      <c r="I18820" s="50"/>
      <c r="O18820" s="36" t="s">
        <v>48</v>
      </c>
      <c r="R18820" s="36" t="s">
        <v>48</v>
      </c>
    </row>
    <row r="18821">
      <c r="H18821" s="50"/>
      <c r="I18821" s="50"/>
      <c r="O18821" s="36" t="s">
        <v>48</v>
      </c>
      <c r="R18821" s="36" t="s">
        <v>48</v>
      </c>
    </row>
    <row r="18822">
      <c r="H18822" s="50"/>
      <c r="I18822" s="50"/>
      <c r="O18822" s="36" t="s">
        <v>48</v>
      </c>
      <c r="R18822" s="36" t="s">
        <v>48</v>
      </c>
    </row>
    <row r="18823">
      <c r="H18823" s="50"/>
      <c r="I18823" s="50"/>
      <c r="O18823" s="36" t="s">
        <v>48</v>
      </c>
      <c r="R18823" s="36" t="s">
        <v>48</v>
      </c>
    </row>
    <row r="18824">
      <c r="H18824" s="50"/>
      <c r="I18824" s="50"/>
      <c r="O18824" s="36" t="s">
        <v>48</v>
      </c>
      <c r="R18824" s="36" t="s">
        <v>48</v>
      </c>
    </row>
    <row r="18825">
      <c r="H18825" s="50"/>
      <c r="I18825" s="50"/>
      <c r="O18825" s="36" t="s">
        <v>48</v>
      </c>
      <c r="R18825" s="36" t="s">
        <v>48</v>
      </c>
    </row>
    <row r="18826">
      <c r="H18826" s="50"/>
      <c r="I18826" s="50"/>
      <c r="O18826" s="36" t="s">
        <v>48</v>
      </c>
      <c r="R18826" s="36" t="s">
        <v>48</v>
      </c>
    </row>
    <row r="18827">
      <c r="H18827" s="50"/>
      <c r="I18827" s="50"/>
      <c r="O18827" s="36" t="s">
        <v>48</v>
      </c>
      <c r="R18827" s="36" t="s">
        <v>48</v>
      </c>
    </row>
    <row r="18828">
      <c r="H18828" s="50"/>
      <c r="I18828" s="50"/>
      <c r="O18828" s="36" t="s">
        <v>48</v>
      </c>
      <c r="R18828" s="36" t="s">
        <v>48</v>
      </c>
    </row>
    <row r="18829">
      <c r="H18829" s="50"/>
      <c r="I18829" s="50"/>
      <c r="O18829" s="36" t="s">
        <v>48</v>
      </c>
      <c r="R18829" s="36" t="s">
        <v>48</v>
      </c>
    </row>
    <row r="18830">
      <c r="H18830" s="50"/>
      <c r="I18830" s="50"/>
      <c r="O18830" s="36" t="s">
        <v>48</v>
      </c>
      <c r="R18830" s="36" t="s">
        <v>48</v>
      </c>
    </row>
    <row r="18831">
      <c r="H18831" s="50"/>
      <c r="I18831" s="50"/>
      <c r="O18831" s="36" t="s">
        <v>48</v>
      </c>
      <c r="R18831" s="36" t="s">
        <v>48</v>
      </c>
    </row>
    <row r="18832">
      <c r="H18832" s="50"/>
      <c r="I18832" s="50"/>
      <c r="O18832" s="36" t="s">
        <v>48</v>
      </c>
      <c r="R18832" s="36" t="s">
        <v>48</v>
      </c>
    </row>
    <row r="18833">
      <c r="H18833" s="50"/>
      <c r="I18833" s="50"/>
      <c r="O18833" s="36" t="s">
        <v>48</v>
      </c>
      <c r="R18833" s="36" t="s">
        <v>48</v>
      </c>
    </row>
    <row r="18834">
      <c r="H18834" s="50"/>
      <c r="I18834" s="50"/>
      <c r="O18834" s="36" t="s">
        <v>48</v>
      </c>
      <c r="R18834" s="36" t="s">
        <v>48</v>
      </c>
    </row>
    <row r="18835">
      <c r="H18835" s="50"/>
      <c r="I18835" s="50"/>
      <c r="O18835" s="36" t="s">
        <v>48</v>
      </c>
      <c r="R18835" s="36" t="s">
        <v>48</v>
      </c>
    </row>
    <row r="18836">
      <c r="H18836" s="50"/>
      <c r="I18836" s="50"/>
      <c r="O18836" s="36" t="s">
        <v>48</v>
      </c>
      <c r="R18836" s="36" t="s">
        <v>48</v>
      </c>
    </row>
    <row r="18837">
      <c r="H18837" s="50"/>
      <c r="I18837" s="50"/>
      <c r="O18837" s="36" t="s">
        <v>48</v>
      </c>
      <c r="R18837" s="36" t="s">
        <v>48</v>
      </c>
    </row>
    <row r="18838">
      <c r="H18838" s="50"/>
      <c r="I18838" s="50"/>
      <c r="O18838" s="36" t="s">
        <v>48</v>
      </c>
      <c r="R18838" s="36" t="s">
        <v>48</v>
      </c>
    </row>
    <row r="18839">
      <c r="H18839" s="50"/>
      <c r="I18839" s="50"/>
      <c r="O18839" s="36" t="s">
        <v>48</v>
      </c>
      <c r="R18839" s="36" t="s">
        <v>48</v>
      </c>
    </row>
    <row r="18840">
      <c r="H18840" s="50"/>
      <c r="I18840" s="50"/>
      <c r="O18840" s="36" t="s">
        <v>48</v>
      </c>
      <c r="R18840" s="36" t="s">
        <v>48</v>
      </c>
    </row>
    <row r="18841">
      <c r="H18841" s="50"/>
      <c r="I18841" s="50"/>
      <c r="O18841" s="36" t="s">
        <v>48</v>
      </c>
      <c r="R18841" s="36" t="s">
        <v>48</v>
      </c>
    </row>
    <row r="18842">
      <c r="H18842" s="50"/>
      <c r="I18842" s="50"/>
      <c r="O18842" s="36" t="s">
        <v>48</v>
      </c>
      <c r="R18842" s="36" t="s">
        <v>48</v>
      </c>
    </row>
    <row r="18843">
      <c r="H18843" s="50"/>
      <c r="I18843" s="50"/>
      <c r="O18843" s="36" t="s">
        <v>48</v>
      </c>
      <c r="R18843" s="36" t="s">
        <v>48</v>
      </c>
    </row>
    <row r="18844">
      <c r="H18844" s="50"/>
      <c r="I18844" s="50"/>
      <c r="O18844" s="36" t="s">
        <v>48</v>
      </c>
      <c r="R18844" s="36" t="s">
        <v>48</v>
      </c>
    </row>
    <row r="18845">
      <c r="H18845" s="50"/>
      <c r="I18845" s="50"/>
      <c r="O18845" s="36" t="s">
        <v>48</v>
      </c>
      <c r="R18845" s="36" t="s">
        <v>48</v>
      </c>
    </row>
    <row r="18846">
      <c r="H18846" s="50"/>
      <c r="I18846" s="50"/>
      <c r="O18846" s="36" t="s">
        <v>48</v>
      </c>
      <c r="R18846" s="36" t="s">
        <v>48</v>
      </c>
    </row>
    <row r="18847">
      <c r="H18847" s="50"/>
      <c r="I18847" s="50"/>
      <c r="O18847" s="36" t="s">
        <v>48</v>
      </c>
      <c r="R18847" s="36" t="s">
        <v>48</v>
      </c>
    </row>
    <row r="18848">
      <c r="H18848" s="50"/>
      <c r="I18848" s="50"/>
      <c r="O18848" s="36" t="s">
        <v>48</v>
      </c>
      <c r="R18848" s="36" t="s">
        <v>48</v>
      </c>
    </row>
    <row r="18849">
      <c r="H18849" s="50"/>
      <c r="I18849" s="50"/>
      <c r="O18849" s="36" t="s">
        <v>48</v>
      </c>
      <c r="R18849" s="36" t="s">
        <v>48</v>
      </c>
    </row>
    <row r="18850">
      <c r="H18850" s="50"/>
      <c r="I18850" s="50"/>
      <c r="O18850" s="36" t="s">
        <v>48</v>
      </c>
      <c r="R18850" s="36" t="s">
        <v>48</v>
      </c>
    </row>
    <row r="18851">
      <c r="H18851" s="50"/>
      <c r="I18851" s="50"/>
      <c r="O18851" s="36" t="s">
        <v>48</v>
      </c>
      <c r="R18851" s="36" t="s">
        <v>48</v>
      </c>
    </row>
    <row r="18852">
      <c r="H18852" s="50"/>
      <c r="I18852" s="50"/>
      <c r="O18852" s="36" t="s">
        <v>48</v>
      </c>
      <c r="R18852" s="36" t="s">
        <v>48</v>
      </c>
    </row>
    <row r="18853">
      <c r="H18853" s="50"/>
      <c r="I18853" s="50"/>
      <c r="O18853" s="36" t="s">
        <v>48</v>
      </c>
      <c r="R18853" s="36" t="s">
        <v>48</v>
      </c>
    </row>
    <row r="18854">
      <c r="H18854" s="50"/>
      <c r="I18854" s="50"/>
      <c r="O18854" s="36" t="s">
        <v>48</v>
      </c>
      <c r="R18854" s="36" t="s">
        <v>48</v>
      </c>
    </row>
    <row r="18855">
      <c r="H18855" s="50"/>
      <c r="I18855" s="50"/>
      <c r="O18855" s="36" t="s">
        <v>48</v>
      </c>
      <c r="R18855" s="36" t="s">
        <v>48</v>
      </c>
    </row>
    <row r="18856">
      <c r="H18856" s="50"/>
      <c r="I18856" s="50"/>
      <c r="O18856" s="36" t="s">
        <v>48</v>
      </c>
      <c r="R18856" s="36" t="s">
        <v>48</v>
      </c>
    </row>
    <row r="18857">
      <c r="H18857" s="50"/>
      <c r="I18857" s="50"/>
      <c r="O18857" s="36" t="s">
        <v>48</v>
      </c>
      <c r="R18857" s="36" t="s">
        <v>48</v>
      </c>
    </row>
    <row r="18858">
      <c r="H18858" s="50"/>
      <c r="I18858" s="50"/>
      <c r="O18858" s="36" t="s">
        <v>48</v>
      </c>
      <c r="R18858" s="36" t="s">
        <v>48</v>
      </c>
    </row>
    <row r="18859">
      <c r="H18859" s="50"/>
      <c r="I18859" s="50"/>
      <c r="O18859" s="36" t="s">
        <v>48</v>
      </c>
      <c r="R18859" s="36" t="s">
        <v>48</v>
      </c>
    </row>
    <row r="18860">
      <c r="H18860" s="50"/>
      <c r="I18860" s="50"/>
      <c r="O18860" s="36" t="s">
        <v>48</v>
      </c>
      <c r="R18860" s="36" t="s">
        <v>48</v>
      </c>
    </row>
    <row r="18861">
      <c r="H18861" s="50"/>
      <c r="I18861" s="50"/>
      <c r="O18861" s="36" t="s">
        <v>48</v>
      </c>
      <c r="R18861" s="36" t="s">
        <v>48</v>
      </c>
    </row>
    <row r="18862">
      <c r="H18862" s="50"/>
      <c r="I18862" s="50"/>
      <c r="O18862" s="36" t="s">
        <v>48</v>
      </c>
      <c r="R18862" s="36" t="s">
        <v>48</v>
      </c>
    </row>
    <row r="18863">
      <c r="H18863" s="50"/>
      <c r="I18863" s="50"/>
      <c r="O18863" s="36" t="s">
        <v>48</v>
      </c>
      <c r="R18863" s="36" t="s">
        <v>48</v>
      </c>
    </row>
    <row r="18864">
      <c r="H18864" s="50"/>
      <c r="I18864" s="50"/>
      <c r="O18864" s="36" t="s">
        <v>48</v>
      </c>
      <c r="R18864" s="36" t="s">
        <v>48</v>
      </c>
    </row>
    <row r="18865">
      <c r="H18865" s="50"/>
      <c r="I18865" s="50"/>
      <c r="O18865" s="36" t="s">
        <v>48</v>
      </c>
      <c r="R18865" s="36" t="s">
        <v>48</v>
      </c>
    </row>
    <row r="18866">
      <c r="H18866" s="50"/>
      <c r="I18866" s="50"/>
      <c r="O18866" s="36" t="s">
        <v>48</v>
      </c>
      <c r="R18866" s="36" t="s">
        <v>48</v>
      </c>
    </row>
    <row r="18867">
      <c r="H18867" s="50"/>
      <c r="I18867" s="50"/>
      <c r="O18867" s="36" t="s">
        <v>48</v>
      </c>
      <c r="R18867" s="36" t="s">
        <v>48</v>
      </c>
    </row>
    <row r="18868">
      <c r="H18868" s="50"/>
      <c r="I18868" s="50"/>
      <c r="O18868" s="36" t="s">
        <v>48</v>
      </c>
      <c r="R18868" s="36" t="s">
        <v>48</v>
      </c>
    </row>
    <row r="18869">
      <c r="H18869" s="50"/>
      <c r="I18869" s="50"/>
      <c r="O18869" s="36" t="s">
        <v>48</v>
      </c>
      <c r="R18869" s="36" t="s">
        <v>48</v>
      </c>
    </row>
    <row r="18870">
      <c r="H18870" s="50"/>
      <c r="I18870" s="50"/>
      <c r="O18870" s="36" t="s">
        <v>48</v>
      </c>
      <c r="R18870" s="36" t="s">
        <v>48</v>
      </c>
    </row>
    <row r="18871">
      <c r="H18871" s="50"/>
      <c r="I18871" s="50"/>
      <c r="O18871" s="36" t="s">
        <v>48</v>
      </c>
      <c r="R18871" s="36" t="s">
        <v>48</v>
      </c>
    </row>
    <row r="18872">
      <c r="H18872" s="50"/>
      <c r="I18872" s="50"/>
      <c r="O18872" s="36" t="s">
        <v>48</v>
      </c>
      <c r="R18872" s="36" t="s">
        <v>48</v>
      </c>
    </row>
    <row r="18873">
      <c r="H18873" s="50"/>
      <c r="I18873" s="50"/>
      <c r="O18873" s="36" t="s">
        <v>48</v>
      </c>
      <c r="R18873" s="36" t="s">
        <v>48</v>
      </c>
    </row>
    <row r="18874">
      <c r="H18874" s="50"/>
      <c r="I18874" s="50"/>
      <c r="O18874" s="36" t="s">
        <v>48</v>
      </c>
      <c r="R18874" s="36" t="s">
        <v>48</v>
      </c>
    </row>
    <row r="18875">
      <c r="H18875" s="50"/>
      <c r="I18875" s="50"/>
      <c r="O18875" s="36" t="s">
        <v>48</v>
      </c>
      <c r="R18875" s="36" t="s">
        <v>48</v>
      </c>
    </row>
    <row r="18876">
      <c r="H18876" s="50"/>
      <c r="I18876" s="50"/>
      <c r="O18876" s="36" t="s">
        <v>48</v>
      </c>
      <c r="R18876" s="36" t="s">
        <v>48</v>
      </c>
    </row>
    <row r="18877">
      <c r="H18877" s="50"/>
      <c r="I18877" s="50"/>
      <c r="O18877" s="36" t="s">
        <v>48</v>
      </c>
      <c r="R18877" s="36" t="s">
        <v>48</v>
      </c>
    </row>
    <row r="18878">
      <c r="H18878" s="50"/>
      <c r="I18878" s="50"/>
      <c r="O18878" s="36" t="s">
        <v>48</v>
      </c>
      <c r="R18878" s="36" t="s">
        <v>48</v>
      </c>
    </row>
    <row r="18879">
      <c r="H18879" s="50"/>
      <c r="I18879" s="50"/>
      <c r="O18879" s="36" t="s">
        <v>48</v>
      </c>
      <c r="R18879" s="36" t="s">
        <v>48</v>
      </c>
    </row>
    <row r="18880">
      <c r="H18880" s="50"/>
      <c r="I18880" s="50"/>
      <c r="O18880" s="36" t="s">
        <v>48</v>
      </c>
      <c r="R18880" s="36" t="s">
        <v>48</v>
      </c>
    </row>
    <row r="18881">
      <c r="H18881" s="50"/>
      <c r="I18881" s="50"/>
      <c r="O18881" s="36" t="s">
        <v>48</v>
      </c>
      <c r="R18881" s="36" t="s">
        <v>48</v>
      </c>
    </row>
    <row r="18882">
      <c r="H18882" s="50"/>
      <c r="I18882" s="50"/>
      <c r="O18882" s="36" t="s">
        <v>48</v>
      </c>
      <c r="R18882" s="36" t="s">
        <v>48</v>
      </c>
    </row>
    <row r="18883">
      <c r="H18883" s="50"/>
      <c r="I18883" s="50"/>
      <c r="O18883" s="36" t="s">
        <v>48</v>
      </c>
      <c r="R18883" s="36" t="s">
        <v>48</v>
      </c>
    </row>
    <row r="18884">
      <c r="H18884" s="50"/>
      <c r="I18884" s="50"/>
      <c r="O18884" s="36" t="s">
        <v>48</v>
      </c>
      <c r="R18884" s="36" t="s">
        <v>48</v>
      </c>
    </row>
    <row r="18885">
      <c r="H18885" s="50"/>
      <c r="I18885" s="50"/>
      <c r="O18885" s="36" t="s">
        <v>48</v>
      </c>
      <c r="R18885" s="36" t="s">
        <v>48</v>
      </c>
    </row>
    <row r="18886">
      <c r="H18886" s="50"/>
      <c r="I18886" s="50"/>
      <c r="O18886" s="36" t="s">
        <v>48</v>
      </c>
      <c r="R18886" s="36" t="s">
        <v>48</v>
      </c>
    </row>
    <row r="18887">
      <c r="H18887" s="50"/>
      <c r="I18887" s="50"/>
      <c r="O18887" s="36" t="s">
        <v>48</v>
      </c>
      <c r="R18887" s="36" t="s">
        <v>48</v>
      </c>
    </row>
    <row r="18888">
      <c r="H18888" s="50"/>
      <c r="I18888" s="50"/>
      <c r="O18888" s="36" t="s">
        <v>48</v>
      </c>
      <c r="R18888" s="36" t="s">
        <v>48</v>
      </c>
    </row>
    <row r="18889">
      <c r="H18889" s="50"/>
      <c r="I18889" s="50"/>
      <c r="O18889" s="36" t="s">
        <v>48</v>
      </c>
      <c r="R18889" s="36" t="s">
        <v>48</v>
      </c>
    </row>
    <row r="18890">
      <c r="H18890" s="50"/>
      <c r="I18890" s="50"/>
      <c r="O18890" s="36" t="s">
        <v>48</v>
      </c>
      <c r="R18890" s="36" t="s">
        <v>48</v>
      </c>
    </row>
    <row r="18891">
      <c r="H18891" s="50"/>
      <c r="I18891" s="50"/>
      <c r="O18891" s="36" t="s">
        <v>48</v>
      </c>
      <c r="R18891" s="36" t="s">
        <v>48</v>
      </c>
    </row>
    <row r="18892">
      <c r="H18892" s="50"/>
      <c r="I18892" s="50"/>
      <c r="O18892" s="36" t="s">
        <v>48</v>
      </c>
      <c r="R18892" s="36" t="s">
        <v>48</v>
      </c>
    </row>
    <row r="18893">
      <c r="H18893" s="50"/>
      <c r="I18893" s="50"/>
      <c r="O18893" s="36" t="s">
        <v>48</v>
      </c>
      <c r="R18893" s="36" t="s">
        <v>48</v>
      </c>
    </row>
    <row r="18894">
      <c r="H18894" s="50"/>
      <c r="I18894" s="50"/>
      <c r="O18894" s="36" t="s">
        <v>48</v>
      </c>
      <c r="R18894" s="36" t="s">
        <v>48</v>
      </c>
    </row>
    <row r="18895">
      <c r="H18895" s="50"/>
      <c r="I18895" s="50"/>
      <c r="O18895" s="36" t="s">
        <v>48</v>
      </c>
      <c r="R18895" s="36" t="s">
        <v>48</v>
      </c>
    </row>
    <row r="18896">
      <c r="H18896" s="50"/>
      <c r="I18896" s="50"/>
      <c r="O18896" s="36" t="s">
        <v>48</v>
      </c>
      <c r="R18896" s="36" t="s">
        <v>48</v>
      </c>
    </row>
    <row r="18897">
      <c r="H18897" s="50"/>
      <c r="I18897" s="50"/>
      <c r="O18897" s="36" t="s">
        <v>48</v>
      </c>
      <c r="R18897" s="36" t="s">
        <v>48</v>
      </c>
    </row>
    <row r="18898">
      <c r="H18898" s="50"/>
      <c r="I18898" s="50"/>
      <c r="O18898" s="36" t="s">
        <v>48</v>
      </c>
      <c r="R18898" s="36" t="s">
        <v>48</v>
      </c>
    </row>
    <row r="18899">
      <c r="H18899" s="50"/>
      <c r="I18899" s="50"/>
      <c r="O18899" s="36" t="s">
        <v>48</v>
      </c>
      <c r="R18899" s="36" t="s">
        <v>48</v>
      </c>
    </row>
    <row r="18900">
      <c r="H18900" s="50"/>
      <c r="I18900" s="50"/>
      <c r="O18900" s="36" t="s">
        <v>48</v>
      </c>
      <c r="R18900" s="36" t="s">
        <v>48</v>
      </c>
    </row>
    <row r="18901">
      <c r="H18901" s="50"/>
      <c r="I18901" s="50"/>
      <c r="O18901" s="36" t="s">
        <v>48</v>
      </c>
      <c r="R18901" s="36" t="s">
        <v>48</v>
      </c>
    </row>
    <row r="18902">
      <c r="H18902" s="50"/>
      <c r="I18902" s="50"/>
      <c r="O18902" s="36" t="s">
        <v>48</v>
      </c>
      <c r="R18902" s="36" t="s">
        <v>48</v>
      </c>
    </row>
    <row r="18903">
      <c r="H18903" s="50"/>
      <c r="I18903" s="50"/>
      <c r="O18903" s="36" t="s">
        <v>48</v>
      </c>
      <c r="R18903" s="36" t="s">
        <v>48</v>
      </c>
    </row>
    <row r="18904">
      <c r="H18904" s="50"/>
      <c r="I18904" s="50"/>
      <c r="O18904" s="36" t="s">
        <v>48</v>
      </c>
      <c r="R18904" s="36" t="s">
        <v>48</v>
      </c>
    </row>
    <row r="18905">
      <c r="H18905" s="50"/>
      <c r="I18905" s="50"/>
      <c r="O18905" s="36" t="s">
        <v>48</v>
      </c>
      <c r="R18905" s="36" t="s">
        <v>48</v>
      </c>
    </row>
    <row r="18906">
      <c r="H18906" s="50"/>
      <c r="I18906" s="50"/>
      <c r="O18906" s="36" t="s">
        <v>48</v>
      </c>
      <c r="R18906" s="36" t="s">
        <v>48</v>
      </c>
    </row>
    <row r="18907">
      <c r="H18907" s="50"/>
      <c r="I18907" s="50"/>
      <c r="O18907" s="36" t="s">
        <v>48</v>
      </c>
      <c r="R18907" s="36" t="s">
        <v>48</v>
      </c>
    </row>
    <row r="18908">
      <c r="H18908" s="50"/>
      <c r="I18908" s="50"/>
      <c r="O18908" s="36" t="s">
        <v>48</v>
      </c>
      <c r="R18908" s="36" t="s">
        <v>48</v>
      </c>
    </row>
    <row r="18909">
      <c r="H18909" s="50"/>
      <c r="I18909" s="50"/>
      <c r="O18909" s="36" t="s">
        <v>48</v>
      </c>
      <c r="R18909" s="36" t="s">
        <v>48</v>
      </c>
    </row>
    <row r="18910">
      <c r="H18910" s="50"/>
      <c r="I18910" s="50"/>
      <c r="O18910" s="36" t="s">
        <v>48</v>
      </c>
      <c r="R18910" s="36" t="s">
        <v>48</v>
      </c>
    </row>
    <row r="18911">
      <c r="H18911" s="50"/>
      <c r="I18911" s="50"/>
      <c r="O18911" s="36" t="s">
        <v>48</v>
      </c>
      <c r="R18911" s="36" t="s">
        <v>48</v>
      </c>
    </row>
    <row r="18912">
      <c r="H18912" s="50"/>
      <c r="I18912" s="50"/>
      <c r="O18912" s="36" t="s">
        <v>48</v>
      </c>
      <c r="R18912" s="36" t="s">
        <v>48</v>
      </c>
    </row>
    <row r="18913">
      <c r="H18913" s="50"/>
      <c r="I18913" s="50"/>
      <c r="O18913" s="36" t="s">
        <v>48</v>
      </c>
      <c r="R18913" s="36" t="s">
        <v>48</v>
      </c>
    </row>
    <row r="18914">
      <c r="H18914" s="50"/>
      <c r="I18914" s="50"/>
      <c r="O18914" s="36" t="s">
        <v>48</v>
      </c>
      <c r="R18914" s="36" t="s">
        <v>48</v>
      </c>
    </row>
    <row r="18915">
      <c r="H18915" s="50"/>
      <c r="I18915" s="50"/>
      <c r="O18915" s="36" t="s">
        <v>48</v>
      </c>
      <c r="R18915" s="36" t="s">
        <v>48</v>
      </c>
    </row>
    <row r="18916">
      <c r="H18916" s="50"/>
      <c r="I18916" s="50"/>
      <c r="O18916" s="36" t="s">
        <v>48</v>
      </c>
      <c r="R18916" s="36" t="s">
        <v>48</v>
      </c>
    </row>
    <row r="18917">
      <c r="H18917" s="50"/>
      <c r="I18917" s="50"/>
      <c r="O18917" s="36" t="s">
        <v>48</v>
      </c>
      <c r="R18917" s="36" t="s">
        <v>48</v>
      </c>
    </row>
    <row r="18918">
      <c r="H18918" s="50"/>
      <c r="I18918" s="50"/>
      <c r="O18918" s="36" t="s">
        <v>48</v>
      </c>
      <c r="R18918" s="36" t="s">
        <v>48</v>
      </c>
    </row>
    <row r="18919">
      <c r="H18919" s="50"/>
      <c r="I18919" s="50"/>
      <c r="O18919" s="36" t="s">
        <v>48</v>
      </c>
      <c r="R18919" s="36" t="s">
        <v>48</v>
      </c>
    </row>
    <row r="18920">
      <c r="H18920" s="50"/>
      <c r="I18920" s="50"/>
      <c r="O18920" s="36" t="s">
        <v>48</v>
      </c>
      <c r="R18920" s="36" t="s">
        <v>48</v>
      </c>
    </row>
    <row r="18921">
      <c r="H18921" s="50"/>
      <c r="I18921" s="50"/>
      <c r="O18921" s="36" t="s">
        <v>48</v>
      </c>
      <c r="R18921" s="36" t="s">
        <v>48</v>
      </c>
    </row>
    <row r="18922">
      <c r="H18922" s="50"/>
      <c r="I18922" s="50"/>
      <c r="O18922" s="36" t="s">
        <v>48</v>
      </c>
      <c r="R18922" s="36" t="s">
        <v>48</v>
      </c>
    </row>
    <row r="18923">
      <c r="H18923" s="50"/>
      <c r="I18923" s="50"/>
      <c r="O18923" s="36" t="s">
        <v>48</v>
      </c>
      <c r="R18923" s="36" t="s">
        <v>48</v>
      </c>
    </row>
    <row r="18924">
      <c r="H18924" s="50"/>
      <c r="I18924" s="50"/>
      <c r="O18924" s="36" t="s">
        <v>48</v>
      </c>
      <c r="R18924" s="36" t="s">
        <v>48</v>
      </c>
    </row>
    <row r="18925">
      <c r="H18925" s="50"/>
      <c r="I18925" s="50"/>
      <c r="O18925" s="36" t="s">
        <v>48</v>
      </c>
      <c r="R18925" s="36" t="s">
        <v>48</v>
      </c>
    </row>
    <row r="18926">
      <c r="H18926" s="50"/>
      <c r="I18926" s="50"/>
      <c r="O18926" s="36" t="s">
        <v>48</v>
      </c>
      <c r="R18926" s="36" t="s">
        <v>48</v>
      </c>
    </row>
    <row r="18927">
      <c r="H18927" s="50"/>
      <c r="I18927" s="50"/>
      <c r="O18927" s="36" t="s">
        <v>48</v>
      </c>
      <c r="R18927" s="36" t="s">
        <v>48</v>
      </c>
    </row>
    <row r="18928">
      <c r="H18928" s="50"/>
      <c r="I18928" s="50"/>
      <c r="O18928" s="36" t="s">
        <v>48</v>
      </c>
      <c r="R18928" s="36" t="s">
        <v>48</v>
      </c>
    </row>
    <row r="18929">
      <c r="H18929" s="50"/>
      <c r="I18929" s="50"/>
      <c r="O18929" s="36" t="s">
        <v>48</v>
      </c>
      <c r="R18929" s="36" t="s">
        <v>48</v>
      </c>
    </row>
    <row r="18930">
      <c r="H18930" s="50"/>
      <c r="I18930" s="50"/>
      <c r="O18930" s="36" t="s">
        <v>48</v>
      </c>
      <c r="R18930" s="36" t="s">
        <v>48</v>
      </c>
    </row>
    <row r="18931">
      <c r="H18931" s="50"/>
      <c r="I18931" s="50"/>
      <c r="O18931" s="36" t="s">
        <v>48</v>
      </c>
      <c r="R18931" s="36" t="s">
        <v>48</v>
      </c>
    </row>
    <row r="18932">
      <c r="H18932" s="50"/>
      <c r="I18932" s="50"/>
      <c r="O18932" s="36" t="s">
        <v>48</v>
      </c>
      <c r="R18932" s="36" t="s">
        <v>48</v>
      </c>
    </row>
    <row r="18933">
      <c r="H18933" s="50"/>
      <c r="I18933" s="50"/>
      <c r="O18933" s="36" t="s">
        <v>48</v>
      </c>
      <c r="R18933" s="36" t="s">
        <v>48</v>
      </c>
    </row>
    <row r="18934">
      <c r="H18934" s="50"/>
      <c r="I18934" s="50"/>
      <c r="O18934" s="36" t="s">
        <v>48</v>
      </c>
      <c r="R18934" s="36" t="s">
        <v>48</v>
      </c>
    </row>
    <row r="18935">
      <c r="H18935" s="50"/>
      <c r="I18935" s="50"/>
      <c r="O18935" s="36" t="s">
        <v>48</v>
      </c>
      <c r="R18935" s="36" t="s">
        <v>48</v>
      </c>
    </row>
    <row r="18936">
      <c r="H18936" s="50"/>
      <c r="I18936" s="50"/>
      <c r="O18936" s="36" t="s">
        <v>48</v>
      </c>
      <c r="R18936" s="36" t="s">
        <v>48</v>
      </c>
    </row>
    <row r="18937">
      <c r="H18937" s="50"/>
      <c r="I18937" s="50"/>
      <c r="O18937" s="36" t="s">
        <v>48</v>
      </c>
      <c r="R18937" s="36" t="s">
        <v>48</v>
      </c>
    </row>
    <row r="18938">
      <c r="H18938" s="50"/>
      <c r="I18938" s="50"/>
      <c r="O18938" s="36" t="s">
        <v>48</v>
      </c>
      <c r="R18938" s="36" t="s">
        <v>48</v>
      </c>
    </row>
    <row r="18939">
      <c r="H18939" s="50"/>
      <c r="I18939" s="50"/>
      <c r="O18939" s="36" t="s">
        <v>48</v>
      </c>
      <c r="R18939" s="36" t="s">
        <v>48</v>
      </c>
    </row>
    <row r="18940">
      <c r="H18940" s="50"/>
      <c r="I18940" s="50"/>
      <c r="O18940" s="36" t="s">
        <v>48</v>
      </c>
      <c r="R18940" s="36" t="s">
        <v>48</v>
      </c>
    </row>
    <row r="18941">
      <c r="H18941" s="50"/>
      <c r="I18941" s="50"/>
      <c r="O18941" s="36" t="s">
        <v>48</v>
      </c>
      <c r="R18941" s="36" t="s">
        <v>48</v>
      </c>
    </row>
    <row r="18942">
      <c r="H18942" s="50"/>
      <c r="I18942" s="50"/>
      <c r="O18942" s="36" t="s">
        <v>48</v>
      </c>
      <c r="R18942" s="36" t="s">
        <v>48</v>
      </c>
    </row>
    <row r="18943">
      <c r="H18943" s="50"/>
      <c r="I18943" s="50"/>
      <c r="O18943" s="36" t="s">
        <v>48</v>
      </c>
      <c r="R18943" s="36" t="s">
        <v>48</v>
      </c>
    </row>
    <row r="18944">
      <c r="H18944" s="50"/>
      <c r="I18944" s="50"/>
      <c r="O18944" s="36" t="s">
        <v>48</v>
      </c>
      <c r="R18944" s="36" t="s">
        <v>48</v>
      </c>
    </row>
    <row r="18945">
      <c r="H18945" s="50"/>
      <c r="I18945" s="50"/>
      <c r="O18945" s="36" t="s">
        <v>48</v>
      </c>
      <c r="R18945" s="36" t="s">
        <v>48</v>
      </c>
    </row>
    <row r="18946">
      <c r="H18946" s="50"/>
      <c r="I18946" s="50"/>
      <c r="O18946" s="36" t="s">
        <v>48</v>
      </c>
      <c r="R18946" s="36" t="s">
        <v>48</v>
      </c>
    </row>
    <row r="18947">
      <c r="H18947" s="50"/>
      <c r="I18947" s="50"/>
      <c r="O18947" s="36" t="s">
        <v>48</v>
      </c>
      <c r="R18947" s="36" t="s">
        <v>48</v>
      </c>
    </row>
    <row r="18948">
      <c r="H18948" s="50"/>
      <c r="I18948" s="50"/>
      <c r="O18948" s="36" t="s">
        <v>48</v>
      </c>
      <c r="R18948" s="36" t="s">
        <v>48</v>
      </c>
    </row>
    <row r="18949">
      <c r="H18949" s="50"/>
      <c r="I18949" s="50"/>
      <c r="O18949" s="36" t="s">
        <v>48</v>
      </c>
      <c r="R18949" s="36" t="s">
        <v>48</v>
      </c>
    </row>
    <row r="18950">
      <c r="H18950" s="50"/>
      <c r="I18950" s="50"/>
      <c r="O18950" s="36" t="s">
        <v>48</v>
      </c>
      <c r="R18950" s="36" t="s">
        <v>48</v>
      </c>
    </row>
    <row r="18951">
      <c r="H18951" s="50"/>
      <c r="I18951" s="50"/>
      <c r="O18951" s="36" t="s">
        <v>48</v>
      </c>
      <c r="R18951" s="36" t="s">
        <v>48</v>
      </c>
    </row>
    <row r="18952">
      <c r="H18952" s="50"/>
      <c r="I18952" s="50"/>
      <c r="O18952" s="36" t="s">
        <v>48</v>
      </c>
      <c r="R18952" s="36" t="s">
        <v>48</v>
      </c>
    </row>
    <row r="18953">
      <c r="H18953" s="50"/>
      <c r="I18953" s="50"/>
      <c r="O18953" s="36" t="s">
        <v>48</v>
      </c>
      <c r="R18953" s="36" t="s">
        <v>48</v>
      </c>
    </row>
    <row r="18954">
      <c r="H18954" s="50"/>
      <c r="I18954" s="50"/>
      <c r="O18954" s="36" t="s">
        <v>48</v>
      </c>
      <c r="R18954" s="36" t="s">
        <v>48</v>
      </c>
    </row>
    <row r="18955">
      <c r="H18955" s="50"/>
      <c r="I18955" s="50"/>
      <c r="O18955" s="36" t="s">
        <v>48</v>
      </c>
      <c r="R18955" s="36" t="s">
        <v>48</v>
      </c>
    </row>
    <row r="18956">
      <c r="H18956" s="50"/>
      <c r="I18956" s="50"/>
      <c r="O18956" s="36" t="s">
        <v>48</v>
      </c>
      <c r="R18956" s="36" t="s">
        <v>48</v>
      </c>
    </row>
    <row r="18957">
      <c r="H18957" s="50"/>
      <c r="I18957" s="50"/>
      <c r="O18957" s="36" t="s">
        <v>48</v>
      </c>
      <c r="R18957" s="36" t="s">
        <v>48</v>
      </c>
    </row>
    <row r="18958">
      <c r="H18958" s="50"/>
      <c r="I18958" s="50"/>
      <c r="O18958" s="36" t="s">
        <v>48</v>
      </c>
      <c r="R18958" s="36" t="s">
        <v>48</v>
      </c>
    </row>
    <row r="18959">
      <c r="H18959" s="50"/>
      <c r="I18959" s="50"/>
      <c r="O18959" s="36" t="s">
        <v>48</v>
      </c>
      <c r="R18959" s="36" t="s">
        <v>48</v>
      </c>
    </row>
    <row r="18960">
      <c r="H18960" s="50"/>
      <c r="I18960" s="50"/>
      <c r="O18960" s="36" t="s">
        <v>48</v>
      </c>
      <c r="R18960" s="36" t="s">
        <v>48</v>
      </c>
    </row>
    <row r="18961">
      <c r="H18961" s="50"/>
      <c r="I18961" s="50"/>
      <c r="O18961" s="36" t="s">
        <v>48</v>
      </c>
      <c r="R18961" s="36" t="s">
        <v>48</v>
      </c>
    </row>
    <row r="18962">
      <c r="H18962" s="50"/>
      <c r="I18962" s="50"/>
      <c r="O18962" s="36" t="s">
        <v>48</v>
      </c>
      <c r="R18962" s="36" t="s">
        <v>48</v>
      </c>
    </row>
    <row r="18963">
      <c r="H18963" s="50"/>
      <c r="I18963" s="50"/>
      <c r="O18963" s="36" t="s">
        <v>48</v>
      </c>
      <c r="R18963" s="36" t="s">
        <v>48</v>
      </c>
    </row>
    <row r="18964">
      <c r="H18964" s="50"/>
      <c r="I18964" s="50"/>
      <c r="O18964" s="36" t="s">
        <v>48</v>
      </c>
      <c r="R18964" s="36" t="s">
        <v>48</v>
      </c>
    </row>
    <row r="18965">
      <c r="H18965" s="50"/>
      <c r="I18965" s="50"/>
      <c r="O18965" s="36" t="s">
        <v>48</v>
      </c>
      <c r="R18965" s="36" t="s">
        <v>48</v>
      </c>
    </row>
    <row r="18966">
      <c r="H18966" s="50"/>
      <c r="I18966" s="50"/>
      <c r="O18966" s="36" t="s">
        <v>48</v>
      </c>
      <c r="R18966" s="36" t="s">
        <v>48</v>
      </c>
    </row>
    <row r="18967">
      <c r="H18967" s="50"/>
      <c r="I18967" s="50"/>
      <c r="O18967" s="36" t="s">
        <v>48</v>
      </c>
      <c r="R18967" s="36" t="s">
        <v>48</v>
      </c>
    </row>
    <row r="18968">
      <c r="H18968" s="50"/>
      <c r="I18968" s="50"/>
      <c r="O18968" s="36" t="s">
        <v>48</v>
      </c>
      <c r="R18968" s="36" t="s">
        <v>48</v>
      </c>
    </row>
    <row r="18969">
      <c r="H18969" s="50"/>
      <c r="I18969" s="50"/>
      <c r="O18969" s="36" t="s">
        <v>48</v>
      </c>
      <c r="R18969" s="36" t="s">
        <v>48</v>
      </c>
    </row>
    <row r="18970">
      <c r="H18970" s="50"/>
      <c r="I18970" s="50"/>
      <c r="O18970" s="36" t="s">
        <v>48</v>
      </c>
      <c r="R18970" s="36" t="s">
        <v>48</v>
      </c>
    </row>
    <row r="18971">
      <c r="H18971" s="50"/>
      <c r="I18971" s="50"/>
      <c r="O18971" s="36" t="s">
        <v>48</v>
      </c>
      <c r="R18971" s="36" t="s">
        <v>48</v>
      </c>
    </row>
    <row r="18972">
      <c r="H18972" s="50"/>
      <c r="I18972" s="50"/>
      <c r="O18972" s="36" t="s">
        <v>48</v>
      </c>
      <c r="R18972" s="36" t="s">
        <v>48</v>
      </c>
    </row>
    <row r="18973">
      <c r="H18973" s="50"/>
      <c r="I18973" s="50"/>
      <c r="O18973" s="36" t="s">
        <v>48</v>
      </c>
      <c r="R18973" s="36" t="s">
        <v>48</v>
      </c>
    </row>
    <row r="18974">
      <c r="H18974" s="50"/>
      <c r="I18974" s="50"/>
      <c r="O18974" s="36" t="s">
        <v>48</v>
      </c>
      <c r="R18974" s="36" t="s">
        <v>48</v>
      </c>
    </row>
    <row r="18975">
      <c r="H18975" s="50"/>
      <c r="I18975" s="50"/>
      <c r="O18975" s="36" t="s">
        <v>48</v>
      </c>
      <c r="R18975" s="36" t="s">
        <v>48</v>
      </c>
    </row>
    <row r="18976">
      <c r="H18976" s="50"/>
      <c r="I18976" s="50"/>
      <c r="O18976" s="36" t="s">
        <v>48</v>
      </c>
      <c r="R18976" s="36" t="s">
        <v>48</v>
      </c>
    </row>
    <row r="18977">
      <c r="H18977" s="50"/>
      <c r="I18977" s="50"/>
      <c r="O18977" s="36" t="s">
        <v>48</v>
      </c>
      <c r="R18977" s="36" t="s">
        <v>48</v>
      </c>
    </row>
    <row r="18978">
      <c r="H18978" s="50"/>
      <c r="I18978" s="50"/>
      <c r="O18978" s="36" t="s">
        <v>48</v>
      </c>
      <c r="R18978" s="36" t="s">
        <v>48</v>
      </c>
    </row>
    <row r="18979">
      <c r="H18979" s="50"/>
      <c r="I18979" s="50"/>
      <c r="O18979" s="36" t="s">
        <v>48</v>
      </c>
      <c r="R18979" s="36" t="s">
        <v>48</v>
      </c>
    </row>
    <row r="18980">
      <c r="H18980" s="50"/>
      <c r="I18980" s="50"/>
      <c r="O18980" s="36" t="s">
        <v>48</v>
      </c>
      <c r="R18980" s="36" t="s">
        <v>48</v>
      </c>
    </row>
    <row r="18981">
      <c r="H18981" s="50"/>
      <c r="I18981" s="50"/>
      <c r="O18981" s="36" t="s">
        <v>48</v>
      </c>
      <c r="R18981" s="36" t="s">
        <v>48</v>
      </c>
    </row>
    <row r="18982">
      <c r="H18982" s="50"/>
      <c r="I18982" s="50"/>
      <c r="O18982" s="36" t="s">
        <v>48</v>
      </c>
      <c r="R18982" s="36" t="s">
        <v>48</v>
      </c>
    </row>
    <row r="18983">
      <c r="H18983" s="50"/>
      <c r="I18983" s="50"/>
      <c r="O18983" s="36" t="s">
        <v>48</v>
      </c>
      <c r="R18983" s="36" t="s">
        <v>48</v>
      </c>
    </row>
    <row r="18984">
      <c r="H18984" s="50"/>
      <c r="I18984" s="50"/>
      <c r="O18984" s="36" t="s">
        <v>48</v>
      </c>
      <c r="R18984" s="36" t="s">
        <v>48</v>
      </c>
    </row>
    <row r="18985">
      <c r="H18985" s="50"/>
      <c r="I18985" s="50"/>
      <c r="O18985" s="36" t="s">
        <v>48</v>
      </c>
      <c r="R18985" s="36" t="s">
        <v>48</v>
      </c>
    </row>
    <row r="18986">
      <c r="H18986" s="50"/>
      <c r="I18986" s="50"/>
      <c r="O18986" s="36" t="s">
        <v>48</v>
      </c>
      <c r="R18986" s="36" t="s">
        <v>48</v>
      </c>
    </row>
    <row r="18987">
      <c r="H18987" s="50"/>
      <c r="I18987" s="50"/>
      <c r="O18987" s="36" t="s">
        <v>48</v>
      </c>
      <c r="R18987" s="36" t="s">
        <v>48</v>
      </c>
    </row>
    <row r="18988">
      <c r="H18988" s="50"/>
      <c r="I18988" s="50"/>
      <c r="O18988" s="36" t="s">
        <v>48</v>
      </c>
      <c r="R18988" s="36" t="s">
        <v>48</v>
      </c>
    </row>
    <row r="18989">
      <c r="H18989" s="50"/>
      <c r="I18989" s="50"/>
      <c r="O18989" s="36" t="s">
        <v>48</v>
      </c>
      <c r="R18989" s="36" t="s">
        <v>48</v>
      </c>
    </row>
    <row r="18990">
      <c r="H18990" s="50"/>
      <c r="I18990" s="50"/>
      <c r="O18990" s="36" t="s">
        <v>48</v>
      </c>
      <c r="R18990" s="36" t="s">
        <v>48</v>
      </c>
    </row>
    <row r="18991">
      <c r="H18991" s="50"/>
      <c r="I18991" s="50"/>
      <c r="O18991" s="36" t="s">
        <v>48</v>
      </c>
      <c r="R18991" s="36" t="s">
        <v>48</v>
      </c>
    </row>
    <row r="18992">
      <c r="H18992" s="50"/>
      <c r="I18992" s="50"/>
      <c r="O18992" s="36" t="s">
        <v>48</v>
      </c>
      <c r="R18992" s="36" t="s">
        <v>48</v>
      </c>
    </row>
    <row r="18993">
      <c r="H18993" s="50"/>
      <c r="I18993" s="50"/>
      <c r="O18993" s="36" t="s">
        <v>48</v>
      </c>
      <c r="R18993" s="36" t="s">
        <v>48</v>
      </c>
    </row>
    <row r="18994">
      <c r="H18994" s="50"/>
      <c r="I18994" s="50"/>
      <c r="O18994" s="36" t="s">
        <v>48</v>
      </c>
      <c r="R18994" s="36" t="s">
        <v>48</v>
      </c>
    </row>
    <row r="18995">
      <c r="H18995" s="50"/>
      <c r="I18995" s="50"/>
      <c r="O18995" s="36" t="s">
        <v>48</v>
      </c>
      <c r="R18995" s="36" t="s">
        <v>48</v>
      </c>
    </row>
    <row r="18996">
      <c r="H18996" s="50"/>
      <c r="I18996" s="50"/>
      <c r="O18996" s="36" t="s">
        <v>48</v>
      </c>
      <c r="R18996" s="36" t="s">
        <v>48</v>
      </c>
    </row>
    <row r="18997">
      <c r="H18997" s="50"/>
      <c r="I18997" s="50"/>
      <c r="O18997" s="36" t="s">
        <v>48</v>
      </c>
      <c r="R18997" s="36" t="s">
        <v>48</v>
      </c>
    </row>
    <row r="18998">
      <c r="H18998" s="50"/>
      <c r="I18998" s="50"/>
      <c r="O18998" s="36" t="s">
        <v>48</v>
      </c>
      <c r="R18998" s="36" t="s">
        <v>48</v>
      </c>
    </row>
    <row r="18999">
      <c r="H18999" s="50"/>
      <c r="I18999" s="50"/>
      <c r="O18999" s="36" t="s">
        <v>48</v>
      </c>
      <c r="R18999" s="36" t="s">
        <v>48</v>
      </c>
    </row>
    <row r="19000">
      <c r="H19000" s="50"/>
      <c r="I19000" s="50"/>
      <c r="O19000" s="36" t="s">
        <v>48</v>
      </c>
      <c r="R19000" s="36" t="s">
        <v>48</v>
      </c>
    </row>
    <row r="19001">
      <c r="H19001" s="50"/>
      <c r="I19001" s="50"/>
      <c r="O19001" s="36" t="s">
        <v>48</v>
      </c>
      <c r="R19001" s="36" t="s">
        <v>48</v>
      </c>
    </row>
    <row r="19002">
      <c r="H19002" s="50"/>
      <c r="I19002" s="50"/>
      <c r="O19002" s="36" t="s">
        <v>48</v>
      </c>
      <c r="R19002" s="36" t="s">
        <v>48</v>
      </c>
    </row>
    <row r="19003">
      <c r="H19003" s="50"/>
      <c r="I19003" s="50"/>
      <c r="O19003" s="36" t="s">
        <v>48</v>
      </c>
      <c r="R19003" s="36" t="s">
        <v>48</v>
      </c>
    </row>
    <row r="19004">
      <c r="H19004" s="50"/>
      <c r="I19004" s="50"/>
      <c r="O19004" s="36" t="s">
        <v>48</v>
      </c>
      <c r="R19004" s="36" t="s">
        <v>48</v>
      </c>
    </row>
    <row r="19005">
      <c r="H19005" s="50"/>
      <c r="I19005" s="50"/>
      <c r="O19005" s="36" t="s">
        <v>48</v>
      </c>
      <c r="R19005" s="36" t="s">
        <v>48</v>
      </c>
    </row>
    <row r="19006">
      <c r="H19006" s="50"/>
      <c r="I19006" s="50"/>
      <c r="O19006" s="36" t="s">
        <v>48</v>
      </c>
      <c r="R19006" s="36" t="s">
        <v>48</v>
      </c>
    </row>
    <row r="19007">
      <c r="H19007" s="50"/>
      <c r="I19007" s="50"/>
      <c r="O19007" s="36" t="s">
        <v>48</v>
      </c>
      <c r="R19007" s="36" t="s">
        <v>48</v>
      </c>
    </row>
    <row r="19008">
      <c r="H19008" s="50"/>
      <c r="I19008" s="50"/>
      <c r="O19008" s="36" t="s">
        <v>48</v>
      </c>
      <c r="R19008" s="36" t="s">
        <v>48</v>
      </c>
    </row>
    <row r="19009">
      <c r="H19009" s="50"/>
      <c r="I19009" s="50"/>
      <c r="O19009" s="36" t="s">
        <v>48</v>
      </c>
      <c r="R19009" s="36" t="s">
        <v>48</v>
      </c>
    </row>
    <row r="19010">
      <c r="H19010" s="50"/>
      <c r="I19010" s="50"/>
      <c r="O19010" s="36" t="s">
        <v>48</v>
      </c>
      <c r="R19010" s="36" t="s">
        <v>48</v>
      </c>
    </row>
    <row r="19011">
      <c r="H19011" s="50"/>
      <c r="I19011" s="50"/>
      <c r="O19011" s="36" t="s">
        <v>48</v>
      </c>
      <c r="R19011" s="36" t="s">
        <v>48</v>
      </c>
    </row>
    <row r="19012">
      <c r="H19012" s="50"/>
      <c r="I19012" s="50"/>
      <c r="O19012" s="36" t="s">
        <v>48</v>
      </c>
      <c r="R19012" s="36" t="s">
        <v>48</v>
      </c>
    </row>
    <row r="19013">
      <c r="H19013" s="50"/>
      <c r="I19013" s="50"/>
      <c r="O19013" s="36" t="s">
        <v>48</v>
      </c>
      <c r="R19013" s="36" t="s">
        <v>48</v>
      </c>
    </row>
    <row r="19014">
      <c r="H19014" s="50"/>
      <c r="I19014" s="50"/>
      <c r="O19014" s="36" t="s">
        <v>48</v>
      </c>
      <c r="R19014" s="36" t="s">
        <v>48</v>
      </c>
    </row>
    <row r="19015">
      <c r="H19015" s="50"/>
      <c r="I19015" s="50"/>
      <c r="O19015" s="36" t="s">
        <v>48</v>
      </c>
      <c r="R19015" s="36" t="s">
        <v>48</v>
      </c>
    </row>
    <row r="19016">
      <c r="H19016" s="50"/>
      <c r="I19016" s="50"/>
      <c r="O19016" s="36" t="s">
        <v>48</v>
      </c>
      <c r="R19016" s="36" t="s">
        <v>48</v>
      </c>
    </row>
    <row r="19017">
      <c r="H19017" s="50"/>
      <c r="I19017" s="50"/>
      <c r="O19017" s="36" t="s">
        <v>48</v>
      </c>
      <c r="R19017" s="36" t="s">
        <v>48</v>
      </c>
    </row>
    <row r="19018">
      <c r="H19018" s="50"/>
      <c r="I19018" s="50"/>
      <c r="O19018" s="36" t="s">
        <v>48</v>
      </c>
      <c r="R19018" s="36" t="s">
        <v>48</v>
      </c>
    </row>
    <row r="19019">
      <c r="H19019" s="50"/>
      <c r="I19019" s="50"/>
      <c r="O19019" s="36" t="s">
        <v>48</v>
      </c>
      <c r="R19019" s="36" t="s">
        <v>48</v>
      </c>
    </row>
    <row r="19020">
      <c r="H19020" s="50"/>
      <c r="I19020" s="50"/>
      <c r="O19020" s="36" t="s">
        <v>48</v>
      </c>
      <c r="R19020" s="36" t="s">
        <v>48</v>
      </c>
    </row>
    <row r="19021">
      <c r="H19021" s="50"/>
      <c r="I19021" s="50"/>
      <c r="O19021" s="36" t="s">
        <v>48</v>
      </c>
      <c r="R19021" s="36" t="s">
        <v>48</v>
      </c>
    </row>
    <row r="19022">
      <c r="H19022" s="50"/>
      <c r="I19022" s="50"/>
      <c r="O19022" s="36" t="s">
        <v>48</v>
      </c>
      <c r="R19022" s="36" t="s">
        <v>48</v>
      </c>
    </row>
    <row r="19023">
      <c r="H19023" s="50"/>
      <c r="I19023" s="50"/>
      <c r="O19023" s="36" t="s">
        <v>48</v>
      </c>
      <c r="R19023" s="36" t="s">
        <v>48</v>
      </c>
    </row>
    <row r="19024">
      <c r="H19024" s="50"/>
      <c r="I19024" s="50"/>
      <c r="O19024" s="36" t="s">
        <v>48</v>
      </c>
      <c r="R19024" s="36" t="s">
        <v>48</v>
      </c>
    </row>
    <row r="19025">
      <c r="H19025" s="50"/>
      <c r="I19025" s="50"/>
      <c r="O19025" s="36" t="s">
        <v>48</v>
      </c>
      <c r="R19025" s="36" t="s">
        <v>48</v>
      </c>
    </row>
    <row r="19026">
      <c r="H19026" s="50"/>
      <c r="I19026" s="50"/>
      <c r="O19026" s="36" t="s">
        <v>48</v>
      </c>
      <c r="R19026" s="36" t="s">
        <v>48</v>
      </c>
    </row>
    <row r="19027">
      <c r="H19027" s="50"/>
      <c r="I19027" s="50"/>
      <c r="O19027" s="36" t="s">
        <v>48</v>
      </c>
      <c r="R19027" s="36" t="s">
        <v>48</v>
      </c>
    </row>
    <row r="19028">
      <c r="H19028" s="50"/>
      <c r="I19028" s="50"/>
      <c r="O19028" s="36" t="s">
        <v>48</v>
      </c>
      <c r="R19028" s="36" t="s">
        <v>48</v>
      </c>
    </row>
    <row r="19029">
      <c r="H19029" s="50"/>
      <c r="I19029" s="50"/>
      <c r="O19029" s="36" t="s">
        <v>48</v>
      </c>
      <c r="R19029" s="36" t="s">
        <v>48</v>
      </c>
    </row>
    <row r="19030">
      <c r="H19030" s="50"/>
      <c r="I19030" s="50"/>
      <c r="O19030" s="36" t="s">
        <v>48</v>
      </c>
      <c r="R19030" s="36" t="s">
        <v>48</v>
      </c>
    </row>
    <row r="19031">
      <c r="H19031" s="50"/>
      <c r="I19031" s="50"/>
      <c r="O19031" s="36" t="s">
        <v>48</v>
      </c>
      <c r="R19031" s="36" t="s">
        <v>48</v>
      </c>
    </row>
    <row r="19032">
      <c r="H19032" s="50"/>
      <c r="I19032" s="50"/>
      <c r="O19032" s="36" t="s">
        <v>48</v>
      </c>
      <c r="R19032" s="36" t="s">
        <v>48</v>
      </c>
    </row>
    <row r="19033">
      <c r="H19033" s="50"/>
      <c r="I19033" s="50"/>
      <c r="O19033" s="36" t="s">
        <v>48</v>
      </c>
      <c r="R19033" s="36" t="s">
        <v>48</v>
      </c>
    </row>
    <row r="19034">
      <c r="H19034" s="50"/>
      <c r="I19034" s="50"/>
      <c r="O19034" s="36" t="s">
        <v>48</v>
      </c>
      <c r="R19034" s="36" t="s">
        <v>48</v>
      </c>
    </row>
    <row r="19035">
      <c r="H19035" s="50"/>
      <c r="I19035" s="50"/>
      <c r="O19035" s="36" t="s">
        <v>48</v>
      </c>
      <c r="R19035" s="36" t="s">
        <v>48</v>
      </c>
    </row>
    <row r="19036">
      <c r="H19036" s="50"/>
      <c r="I19036" s="50"/>
      <c r="O19036" s="36" t="s">
        <v>48</v>
      </c>
      <c r="R19036" s="36" t="s">
        <v>48</v>
      </c>
    </row>
    <row r="19037">
      <c r="H19037" s="50"/>
      <c r="I19037" s="50"/>
      <c r="O19037" s="36" t="s">
        <v>48</v>
      </c>
      <c r="R19037" s="36" t="s">
        <v>48</v>
      </c>
    </row>
    <row r="19038">
      <c r="H19038" s="50"/>
      <c r="I19038" s="50"/>
      <c r="O19038" s="36" t="s">
        <v>48</v>
      </c>
      <c r="R19038" s="36" t="s">
        <v>48</v>
      </c>
    </row>
    <row r="19039">
      <c r="H19039" s="50"/>
      <c r="I19039" s="50"/>
      <c r="O19039" s="36" t="s">
        <v>48</v>
      </c>
      <c r="R19039" s="36" t="s">
        <v>48</v>
      </c>
    </row>
    <row r="19040">
      <c r="H19040" s="50"/>
      <c r="I19040" s="50"/>
      <c r="O19040" s="36" t="s">
        <v>48</v>
      </c>
      <c r="R19040" s="36" t="s">
        <v>48</v>
      </c>
    </row>
    <row r="19041">
      <c r="H19041" s="50"/>
      <c r="I19041" s="50"/>
      <c r="O19041" s="36" t="s">
        <v>48</v>
      </c>
      <c r="R19041" s="36" t="s">
        <v>48</v>
      </c>
    </row>
    <row r="19042">
      <c r="H19042" s="50"/>
      <c r="I19042" s="50"/>
      <c r="O19042" s="36" t="s">
        <v>48</v>
      </c>
      <c r="R19042" s="36" t="s">
        <v>48</v>
      </c>
    </row>
    <row r="19043">
      <c r="H19043" s="50"/>
      <c r="I19043" s="50"/>
      <c r="O19043" s="36" t="s">
        <v>48</v>
      </c>
      <c r="R19043" s="36" t="s">
        <v>48</v>
      </c>
    </row>
    <row r="19044">
      <c r="H19044" s="50"/>
      <c r="I19044" s="50"/>
      <c r="O19044" s="36" t="s">
        <v>48</v>
      </c>
      <c r="R19044" s="36" t="s">
        <v>48</v>
      </c>
    </row>
    <row r="19045">
      <c r="H19045" s="50"/>
      <c r="I19045" s="50"/>
      <c r="O19045" s="36" t="s">
        <v>48</v>
      </c>
      <c r="R19045" s="36" t="s">
        <v>48</v>
      </c>
    </row>
    <row r="19046">
      <c r="H19046" s="50"/>
      <c r="I19046" s="50"/>
      <c r="O19046" s="36" t="s">
        <v>48</v>
      </c>
      <c r="R19046" s="36" t="s">
        <v>48</v>
      </c>
    </row>
    <row r="19047">
      <c r="H19047" s="50"/>
      <c r="I19047" s="50"/>
      <c r="O19047" s="36" t="s">
        <v>48</v>
      </c>
      <c r="R19047" s="36" t="s">
        <v>48</v>
      </c>
    </row>
    <row r="19048">
      <c r="H19048" s="50"/>
      <c r="I19048" s="50"/>
      <c r="O19048" s="36" t="s">
        <v>48</v>
      </c>
      <c r="R19048" s="36" t="s">
        <v>48</v>
      </c>
    </row>
    <row r="19049">
      <c r="H19049" s="50"/>
      <c r="I19049" s="50"/>
      <c r="O19049" s="36" t="s">
        <v>48</v>
      </c>
      <c r="R19049" s="36" t="s">
        <v>48</v>
      </c>
    </row>
    <row r="19050">
      <c r="H19050" s="50"/>
      <c r="I19050" s="50"/>
      <c r="O19050" s="36" t="s">
        <v>48</v>
      </c>
      <c r="R19050" s="36" t="s">
        <v>48</v>
      </c>
    </row>
    <row r="19051">
      <c r="H19051" s="50"/>
      <c r="I19051" s="50"/>
      <c r="O19051" s="36" t="s">
        <v>48</v>
      </c>
      <c r="R19051" s="36" t="s">
        <v>48</v>
      </c>
    </row>
    <row r="19052">
      <c r="H19052" s="50"/>
      <c r="I19052" s="50"/>
      <c r="O19052" s="36" t="s">
        <v>48</v>
      </c>
      <c r="R19052" s="36" t="s">
        <v>48</v>
      </c>
    </row>
    <row r="19053">
      <c r="H19053" s="50"/>
      <c r="I19053" s="50"/>
      <c r="O19053" s="36" t="s">
        <v>48</v>
      </c>
      <c r="R19053" s="36" t="s">
        <v>48</v>
      </c>
    </row>
    <row r="19054">
      <c r="H19054" s="50"/>
      <c r="I19054" s="50"/>
      <c r="O19054" s="36" t="s">
        <v>48</v>
      </c>
      <c r="R19054" s="36" t="s">
        <v>48</v>
      </c>
    </row>
    <row r="19055">
      <c r="H19055" s="50"/>
      <c r="I19055" s="50"/>
      <c r="O19055" s="36" t="s">
        <v>48</v>
      </c>
      <c r="R19055" s="36" t="s">
        <v>48</v>
      </c>
    </row>
    <row r="19056">
      <c r="H19056" s="50"/>
      <c r="I19056" s="50"/>
      <c r="O19056" s="36" t="s">
        <v>48</v>
      </c>
      <c r="R19056" s="36" t="s">
        <v>48</v>
      </c>
    </row>
    <row r="19057">
      <c r="H19057" s="50"/>
      <c r="I19057" s="50"/>
      <c r="O19057" s="36" t="s">
        <v>48</v>
      </c>
      <c r="R19057" s="36" t="s">
        <v>48</v>
      </c>
    </row>
    <row r="19058">
      <c r="H19058" s="50"/>
      <c r="I19058" s="50"/>
      <c r="O19058" s="36" t="s">
        <v>48</v>
      </c>
      <c r="R19058" s="36" t="s">
        <v>48</v>
      </c>
    </row>
    <row r="19059">
      <c r="H19059" s="50"/>
      <c r="I19059" s="50"/>
      <c r="O19059" s="36" t="s">
        <v>48</v>
      </c>
      <c r="R19059" s="36" t="s">
        <v>48</v>
      </c>
    </row>
    <row r="19060">
      <c r="H19060" s="50"/>
      <c r="I19060" s="50"/>
      <c r="O19060" s="36" t="s">
        <v>48</v>
      </c>
      <c r="R19060" s="36" t="s">
        <v>48</v>
      </c>
    </row>
    <row r="19061">
      <c r="H19061" s="50"/>
      <c r="I19061" s="50"/>
      <c r="O19061" s="36" t="s">
        <v>48</v>
      </c>
      <c r="R19061" s="36" t="s">
        <v>48</v>
      </c>
    </row>
    <row r="19062">
      <c r="H19062" s="50"/>
      <c r="I19062" s="50"/>
      <c r="O19062" s="36" t="s">
        <v>48</v>
      </c>
      <c r="R19062" s="36" t="s">
        <v>48</v>
      </c>
    </row>
    <row r="19063">
      <c r="H19063" s="50"/>
      <c r="I19063" s="50"/>
      <c r="O19063" s="36" t="s">
        <v>48</v>
      </c>
      <c r="R19063" s="36" t="s">
        <v>48</v>
      </c>
    </row>
    <row r="19064">
      <c r="H19064" s="50"/>
      <c r="I19064" s="50"/>
      <c r="O19064" s="36" t="s">
        <v>48</v>
      </c>
      <c r="R19064" s="36" t="s">
        <v>48</v>
      </c>
    </row>
    <row r="19065">
      <c r="H19065" s="50"/>
      <c r="I19065" s="50"/>
      <c r="O19065" s="36" t="s">
        <v>48</v>
      </c>
      <c r="R19065" s="36" t="s">
        <v>48</v>
      </c>
    </row>
    <row r="19066">
      <c r="H19066" s="50"/>
      <c r="I19066" s="50"/>
      <c r="O19066" s="36" t="s">
        <v>48</v>
      </c>
      <c r="R19066" s="36" t="s">
        <v>48</v>
      </c>
    </row>
    <row r="19067">
      <c r="H19067" s="50"/>
      <c r="I19067" s="50"/>
      <c r="O19067" s="36" t="s">
        <v>48</v>
      </c>
      <c r="R19067" s="36" t="s">
        <v>48</v>
      </c>
    </row>
    <row r="19068">
      <c r="H19068" s="50"/>
      <c r="I19068" s="50"/>
      <c r="O19068" s="36" t="s">
        <v>48</v>
      </c>
      <c r="R19068" s="36" t="s">
        <v>48</v>
      </c>
    </row>
    <row r="19069">
      <c r="H19069" s="50"/>
      <c r="I19069" s="50"/>
      <c r="O19069" s="36" t="s">
        <v>48</v>
      </c>
      <c r="R19069" s="36" t="s">
        <v>48</v>
      </c>
    </row>
    <row r="19070">
      <c r="H19070" s="50"/>
      <c r="I19070" s="50"/>
      <c r="O19070" s="36" t="s">
        <v>48</v>
      </c>
      <c r="R19070" s="36" t="s">
        <v>48</v>
      </c>
    </row>
    <row r="19071">
      <c r="H19071" s="50"/>
      <c r="I19071" s="50"/>
      <c r="O19071" s="36" t="s">
        <v>48</v>
      </c>
      <c r="R19071" s="36" t="s">
        <v>48</v>
      </c>
    </row>
    <row r="19072">
      <c r="H19072" s="50"/>
      <c r="I19072" s="50"/>
      <c r="O19072" s="36" t="s">
        <v>48</v>
      </c>
      <c r="R19072" s="36" t="s">
        <v>48</v>
      </c>
    </row>
    <row r="19073">
      <c r="H19073" s="50"/>
      <c r="I19073" s="50"/>
      <c r="O19073" s="36" t="s">
        <v>48</v>
      </c>
      <c r="R19073" s="36" t="s">
        <v>48</v>
      </c>
    </row>
    <row r="19074">
      <c r="H19074" s="50"/>
      <c r="I19074" s="50"/>
      <c r="O19074" s="36" t="s">
        <v>48</v>
      </c>
      <c r="R19074" s="36" t="s">
        <v>48</v>
      </c>
    </row>
    <row r="19075">
      <c r="H19075" s="50"/>
      <c r="I19075" s="50"/>
      <c r="O19075" s="36" t="s">
        <v>48</v>
      </c>
      <c r="R19075" s="36" t="s">
        <v>48</v>
      </c>
    </row>
    <row r="19076">
      <c r="H19076" s="50"/>
      <c r="I19076" s="50"/>
      <c r="O19076" s="36" t="s">
        <v>48</v>
      </c>
      <c r="R19076" s="36" t="s">
        <v>48</v>
      </c>
    </row>
    <row r="19077">
      <c r="H19077" s="50"/>
      <c r="I19077" s="50"/>
      <c r="O19077" s="36" t="s">
        <v>48</v>
      </c>
      <c r="R19077" s="36" t="s">
        <v>48</v>
      </c>
    </row>
    <row r="19078">
      <c r="H19078" s="50"/>
      <c r="I19078" s="50"/>
      <c r="O19078" s="36" t="s">
        <v>48</v>
      </c>
      <c r="R19078" s="36" t="s">
        <v>48</v>
      </c>
    </row>
    <row r="19079">
      <c r="H19079" s="50"/>
      <c r="I19079" s="50"/>
      <c r="O19079" s="36" t="s">
        <v>48</v>
      </c>
      <c r="R19079" s="36" t="s">
        <v>48</v>
      </c>
    </row>
    <row r="19080">
      <c r="H19080" s="50"/>
      <c r="I19080" s="50"/>
      <c r="O19080" s="36" t="s">
        <v>48</v>
      </c>
      <c r="R19080" s="36" t="s">
        <v>48</v>
      </c>
    </row>
    <row r="19081">
      <c r="H19081" s="50"/>
      <c r="I19081" s="50"/>
      <c r="O19081" s="36" t="s">
        <v>48</v>
      </c>
      <c r="R19081" s="36" t="s">
        <v>48</v>
      </c>
    </row>
    <row r="19082">
      <c r="H19082" s="50"/>
      <c r="I19082" s="50"/>
      <c r="O19082" s="36" t="s">
        <v>48</v>
      </c>
      <c r="R19082" s="36" t="s">
        <v>48</v>
      </c>
    </row>
    <row r="19083">
      <c r="H19083" s="50"/>
      <c r="I19083" s="50"/>
      <c r="O19083" s="36" t="s">
        <v>48</v>
      </c>
      <c r="R19083" s="36" t="s">
        <v>48</v>
      </c>
    </row>
    <row r="19084">
      <c r="H19084" s="50"/>
      <c r="I19084" s="50"/>
      <c r="O19084" s="36" t="s">
        <v>48</v>
      </c>
      <c r="R19084" s="36" t="s">
        <v>48</v>
      </c>
    </row>
    <row r="19085">
      <c r="H19085" s="50"/>
      <c r="I19085" s="50"/>
      <c r="O19085" s="36" t="s">
        <v>48</v>
      </c>
      <c r="R19085" s="36" t="s">
        <v>48</v>
      </c>
    </row>
    <row r="19086">
      <c r="H19086" s="50"/>
      <c r="I19086" s="50"/>
      <c r="O19086" s="36" t="s">
        <v>48</v>
      </c>
      <c r="R19086" s="36" t="s">
        <v>48</v>
      </c>
    </row>
    <row r="19087">
      <c r="H19087" s="50"/>
      <c r="I19087" s="50"/>
      <c r="O19087" s="36" t="s">
        <v>48</v>
      </c>
      <c r="R19087" s="36" t="s">
        <v>48</v>
      </c>
    </row>
    <row r="19088">
      <c r="H19088" s="50"/>
      <c r="I19088" s="50"/>
      <c r="O19088" s="36" t="s">
        <v>48</v>
      </c>
      <c r="R19088" s="36" t="s">
        <v>48</v>
      </c>
    </row>
    <row r="19089">
      <c r="H19089" s="50"/>
      <c r="I19089" s="50"/>
      <c r="O19089" s="36" t="s">
        <v>48</v>
      </c>
      <c r="R19089" s="36" t="s">
        <v>48</v>
      </c>
    </row>
    <row r="19090">
      <c r="H19090" s="50"/>
      <c r="I19090" s="50"/>
      <c r="O19090" s="36" t="s">
        <v>48</v>
      </c>
      <c r="R19090" s="36" t="s">
        <v>48</v>
      </c>
    </row>
    <row r="19091">
      <c r="H19091" s="50"/>
      <c r="I19091" s="50"/>
      <c r="O19091" s="36" t="s">
        <v>48</v>
      </c>
      <c r="R19091" s="36" t="s">
        <v>48</v>
      </c>
    </row>
    <row r="19092">
      <c r="H19092" s="50"/>
      <c r="I19092" s="50"/>
      <c r="O19092" s="36" t="s">
        <v>48</v>
      </c>
      <c r="R19092" s="36" t="s">
        <v>48</v>
      </c>
    </row>
    <row r="19093">
      <c r="H19093" s="50"/>
      <c r="I19093" s="50"/>
      <c r="O19093" s="36" t="s">
        <v>48</v>
      </c>
      <c r="R19093" s="36" t="s">
        <v>48</v>
      </c>
    </row>
    <row r="19094">
      <c r="H19094" s="50"/>
      <c r="I19094" s="50"/>
      <c r="O19094" s="36" t="s">
        <v>48</v>
      </c>
      <c r="R19094" s="36" t="s">
        <v>48</v>
      </c>
    </row>
    <row r="19095">
      <c r="H19095" s="50"/>
      <c r="I19095" s="50"/>
      <c r="O19095" s="36" t="s">
        <v>48</v>
      </c>
      <c r="R19095" s="36" t="s">
        <v>48</v>
      </c>
    </row>
    <row r="19096">
      <c r="H19096" s="50"/>
      <c r="I19096" s="50"/>
      <c r="O19096" s="36" t="s">
        <v>48</v>
      </c>
      <c r="R19096" s="36" t="s">
        <v>48</v>
      </c>
    </row>
    <row r="19097">
      <c r="H19097" s="50"/>
      <c r="I19097" s="50"/>
      <c r="O19097" s="36" t="s">
        <v>48</v>
      </c>
      <c r="R19097" s="36" t="s">
        <v>48</v>
      </c>
    </row>
    <row r="19098">
      <c r="H19098" s="50"/>
      <c r="I19098" s="50"/>
      <c r="O19098" s="36" t="s">
        <v>48</v>
      </c>
      <c r="R19098" s="36" t="s">
        <v>48</v>
      </c>
    </row>
    <row r="19099">
      <c r="H19099" s="50"/>
      <c r="I19099" s="50"/>
      <c r="O19099" s="36" t="s">
        <v>48</v>
      </c>
      <c r="R19099" s="36" t="s">
        <v>48</v>
      </c>
    </row>
    <row r="19100">
      <c r="H19100" s="50"/>
      <c r="I19100" s="50"/>
      <c r="O19100" s="36" t="s">
        <v>48</v>
      </c>
      <c r="R19100" s="36" t="s">
        <v>48</v>
      </c>
    </row>
    <row r="19101">
      <c r="H19101" s="50"/>
      <c r="I19101" s="50"/>
      <c r="O19101" s="36" t="s">
        <v>48</v>
      </c>
      <c r="R19101" s="36" t="s">
        <v>48</v>
      </c>
    </row>
    <row r="19102">
      <c r="H19102" s="50"/>
      <c r="I19102" s="50"/>
      <c r="O19102" s="36" t="s">
        <v>48</v>
      </c>
      <c r="R19102" s="36" t="s">
        <v>48</v>
      </c>
    </row>
    <row r="19103">
      <c r="H19103" s="50"/>
      <c r="I19103" s="50"/>
      <c r="O19103" s="36" t="s">
        <v>48</v>
      </c>
      <c r="R19103" s="36" t="s">
        <v>48</v>
      </c>
    </row>
    <row r="19104">
      <c r="H19104" s="50"/>
      <c r="I19104" s="50"/>
      <c r="O19104" s="36" t="s">
        <v>48</v>
      </c>
      <c r="R19104" s="36" t="s">
        <v>48</v>
      </c>
    </row>
    <row r="19105">
      <c r="H19105" s="50"/>
      <c r="I19105" s="50"/>
      <c r="O19105" s="36" t="s">
        <v>48</v>
      </c>
      <c r="R19105" s="36" t="s">
        <v>48</v>
      </c>
    </row>
    <row r="19106">
      <c r="H19106" s="50"/>
      <c r="I19106" s="50"/>
      <c r="O19106" s="36" t="s">
        <v>48</v>
      </c>
      <c r="R19106" s="36" t="s">
        <v>48</v>
      </c>
    </row>
    <row r="19107">
      <c r="H19107" s="50"/>
      <c r="I19107" s="50"/>
      <c r="O19107" s="36" t="s">
        <v>48</v>
      </c>
      <c r="R19107" s="36" t="s">
        <v>48</v>
      </c>
    </row>
    <row r="19108">
      <c r="H19108" s="50"/>
      <c r="I19108" s="50"/>
      <c r="O19108" s="36" t="s">
        <v>48</v>
      </c>
      <c r="R19108" s="36" t="s">
        <v>48</v>
      </c>
    </row>
    <row r="19109">
      <c r="H19109" s="50"/>
      <c r="I19109" s="50"/>
      <c r="O19109" s="36" t="s">
        <v>48</v>
      </c>
      <c r="R19109" s="36" t="s">
        <v>48</v>
      </c>
    </row>
    <row r="19110">
      <c r="H19110" s="50"/>
      <c r="I19110" s="50"/>
      <c r="O19110" s="36" t="s">
        <v>48</v>
      </c>
      <c r="R19110" s="36" t="s">
        <v>48</v>
      </c>
    </row>
    <row r="19111">
      <c r="H19111" s="50"/>
      <c r="I19111" s="50"/>
      <c r="O19111" s="36" t="s">
        <v>48</v>
      </c>
      <c r="R19111" s="36" t="s">
        <v>48</v>
      </c>
    </row>
    <row r="19112">
      <c r="H19112" s="50"/>
      <c r="I19112" s="50"/>
      <c r="O19112" s="36" t="s">
        <v>48</v>
      </c>
      <c r="R19112" s="36" t="s">
        <v>48</v>
      </c>
    </row>
    <row r="19113">
      <c r="H19113" s="50"/>
      <c r="I19113" s="50"/>
      <c r="O19113" s="36" t="s">
        <v>48</v>
      </c>
      <c r="R19113" s="36" t="s">
        <v>48</v>
      </c>
    </row>
    <row r="19114">
      <c r="H19114" s="50"/>
      <c r="I19114" s="50"/>
      <c r="O19114" s="36" t="s">
        <v>48</v>
      </c>
      <c r="R19114" s="36" t="s">
        <v>48</v>
      </c>
    </row>
    <row r="19115">
      <c r="H19115" s="50"/>
      <c r="I19115" s="50"/>
      <c r="O19115" s="36" t="s">
        <v>48</v>
      </c>
      <c r="R19115" s="36" t="s">
        <v>48</v>
      </c>
    </row>
    <row r="19116">
      <c r="H19116" s="50"/>
      <c r="I19116" s="50"/>
      <c r="O19116" s="36" t="s">
        <v>48</v>
      </c>
      <c r="R19116" s="36" t="s">
        <v>48</v>
      </c>
    </row>
    <row r="19117">
      <c r="H19117" s="50"/>
      <c r="I19117" s="50"/>
      <c r="O19117" s="36" t="s">
        <v>48</v>
      </c>
      <c r="R19117" s="36" t="s">
        <v>48</v>
      </c>
    </row>
    <row r="19118">
      <c r="H19118" s="50"/>
      <c r="I19118" s="50"/>
      <c r="O19118" s="36" t="s">
        <v>48</v>
      </c>
      <c r="R19118" s="36" t="s">
        <v>48</v>
      </c>
    </row>
    <row r="19119">
      <c r="H19119" s="50"/>
      <c r="I19119" s="50"/>
      <c r="O19119" s="36" t="s">
        <v>48</v>
      </c>
      <c r="R19119" s="36" t="s">
        <v>48</v>
      </c>
    </row>
    <row r="19120">
      <c r="H19120" s="50"/>
      <c r="I19120" s="50"/>
      <c r="O19120" s="36" t="s">
        <v>48</v>
      </c>
      <c r="R19120" s="36" t="s">
        <v>48</v>
      </c>
    </row>
    <row r="19121">
      <c r="H19121" s="50"/>
      <c r="I19121" s="50"/>
      <c r="O19121" s="36" t="s">
        <v>48</v>
      </c>
      <c r="R19121" s="36" t="s">
        <v>48</v>
      </c>
    </row>
    <row r="19122">
      <c r="H19122" s="50"/>
      <c r="I19122" s="50"/>
      <c r="O19122" s="36" t="s">
        <v>48</v>
      </c>
      <c r="R19122" s="36" t="s">
        <v>48</v>
      </c>
    </row>
    <row r="19123">
      <c r="H19123" s="50"/>
      <c r="I19123" s="50"/>
      <c r="O19123" s="36" t="s">
        <v>48</v>
      </c>
      <c r="R19123" s="36" t="s">
        <v>48</v>
      </c>
    </row>
    <row r="19124">
      <c r="H19124" s="50"/>
      <c r="I19124" s="50"/>
      <c r="O19124" s="36" t="s">
        <v>48</v>
      </c>
      <c r="R19124" s="36" t="s">
        <v>48</v>
      </c>
    </row>
    <row r="19125">
      <c r="H19125" s="50"/>
      <c r="I19125" s="50"/>
      <c r="O19125" s="36" t="s">
        <v>48</v>
      </c>
      <c r="R19125" s="36" t="s">
        <v>48</v>
      </c>
    </row>
    <row r="19126">
      <c r="H19126" s="50"/>
      <c r="I19126" s="50"/>
      <c r="O19126" s="36" t="s">
        <v>48</v>
      </c>
      <c r="R19126" s="36" t="s">
        <v>48</v>
      </c>
    </row>
    <row r="19127">
      <c r="H19127" s="50"/>
      <c r="I19127" s="50"/>
      <c r="O19127" s="36" t="s">
        <v>48</v>
      </c>
      <c r="R19127" s="36" t="s">
        <v>48</v>
      </c>
    </row>
    <row r="19128">
      <c r="H19128" s="50"/>
      <c r="I19128" s="50"/>
      <c r="O19128" s="36" t="s">
        <v>48</v>
      </c>
      <c r="R19128" s="36" t="s">
        <v>48</v>
      </c>
    </row>
    <row r="19129">
      <c r="H19129" s="50"/>
      <c r="I19129" s="50"/>
      <c r="O19129" s="36" t="s">
        <v>48</v>
      </c>
      <c r="R19129" s="36" t="s">
        <v>48</v>
      </c>
    </row>
    <row r="19130">
      <c r="H19130" s="50"/>
      <c r="I19130" s="50"/>
      <c r="O19130" s="36" t="s">
        <v>48</v>
      </c>
      <c r="R19130" s="36" t="s">
        <v>48</v>
      </c>
    </row>
    <row r="19131">
      <c r="H19131" s="50"/>
      <c r="I19131" s="50"/>
      <c r="O19131" s="36" t="s">
        <v>48</v>
      </c>
      <c r="R19131" s="36" t="s">
        <v>48</v>
      </c>
    </row>
    <row r="19132">
      <c r="H19132" s="50"/>
      <c r="I19132" s="50"/>
      <c r="O19132" s="36" t="s">
        <v>48</v>
      </c>
      <c r="R19132" s="36" t="s">
        <v>48</v>
      </c>
    </row>
    <row r="19133">
      <c r="H19133" s="50"/>
      <c r="I19133" s="50"/>
      <c r="O19133" s="36" t="s">
        <v>48</v>
      </c>
      <c r="R19133" s="36" t="s">
        <v>48</v>
      </c>
    </row>
    <row r="19134">
      <c r="H19134" s="50"/>
      <c r="I19134" s="50"/>
      <c r="O19134" s="36" t="s">
        <v>48</v>
      </c>
      <c r="R19134" s="36" t="s">
        <v>48</v>
      </c>
    </row>
    <row r="19135">
      <c r="H19135" s="50"/>
      <c r="I19135" s="50"/>
      <c r="O19135" s="36" t="s">
        <v>48</v>
      </c>
      <c r="R19135" s="36" t="s">
        <v>48</v>
      </c>
    </row>
    <row r="19136">
      <c r="H19136" s="50"/>
      <c r="I19136" s="50"/>
      <c r="O19136" s="36" t="s">
        <v>48</v>
      </c>
      <c r="R19136" s="36" t="s">
        <v>48</v>
      </c>
    </row>
    <row r="19137">
      <c r="H19137" s="50"/>
      <c r="I19137" s="50"/>
      <c r="O19137" s="36" t="s">
        <v>48</v>
      </c>
      <c r="R19137" s="36" t="s">
        <v>48</v>
      </c>
    </row>
    <row r="19138">
      <c r="H19138" s="50"/>
      <c r="I19138" s="50"/>
      <c r="O19138" s="36" t="s">
        <v>48</v>
      </c>
      <c r="R19138" s="36" t="s">
        <v>48</v>
      </c>
    </row>
    <row r="19139">
      <c r="H19139" s="50"/>
      <c r="I19139" s="50"/>
      <c r="O19139" s="36" t="s">
        <v>48</v>
      </c>
      <c r="R19139" s="36" t="s">
        <v>48</v>
      </c>
    </row>
    <row r="19140">
      <c r="H19140" s="50"/>
      <c r="I19140" s="50"/>
      <c r="O19140" s="36" t="s">
        <v>48</v>
      </c>
      <c r="R19140" s="36" t="s">
        <v>48</v>
      </c>
    </row>
    <row r="19141">
      <c r="H19141" s="50"/>
      <c r="I19141" s="50"/>
      <c r="O19141" s="36" t="s">
        <v>48</v>
      </c>
      <c r="R19141" s="36" t="s">
        <v>48</v>
      </c>
    </row>
    <row r="19142">
      <c r="H19142" s="50"/>
      <c r="I19142" s="50"/>
      <c r="O19142" s="36" t="s">
        <v>48</v>
      </c>
      <c r="R19142" s="36" t="s">
        <v>48</v>
      </c>
    </row>
    <row r="19143">
      <c r="H19143" s="50"/>
      <c r="I19143" s="50"/>
      <c r="O19143" s="36" t="s">
        <v>48</v>
      </c>
      <c r="R19143" s="36" t="s">
        <v>48</v>
      </c>
    </row>
    <row r="19144">
      <c r="H19144" s="50"/>
      <c r="I19144" s="50"/>
      <c r="O19144" s="36" t="s">
        <v>48</v>
      </c>
      <c r="R19144" s="36" t="s">
        <v>48</v>
      </c>
    </row>
    <row r="19145">
      <c r="H19145" s="50"/>
      <c r="I19145" s="50"/>
      <c r="O19145" s="36" t="s">
        <v>48</v>
      </c>
      <c r="R19145" s="36" t="s">
        <v>48</v>
      </c>
    </row>
    <row r="19146">
      <c r="H19146" s="50"/>
      <c r="I19146" s="50"/>
      <c r="O19146" s="36" t="s">
        <v>48</v>
      </c>
      <c r="R19146" s="36" t="s">
        <v>48</v>
      </c>
    </row>
    <row r="19147">
      <c r="H19147" s="50"/>
      <c r="I19147" s="50"/>
      <c r="O19147" s="36" t="s">
        <v>48</v>
      </c>
      <c r="R19147" s="36" t="s">
        <v>48</v>
      </c>
    </row>
    <row r="19148">
      <c r="H19148" s="50"/>
      <c r="I19148" s="50"/>
      <c r="O19148" s="36" t="s">
        <v>48</v>
      </c>
      <c r="R19148" s="36" t="s">
        <v>48</v>
      </c>
    </row>
    <row r="19149">
      <c r="H19149" s="50"/>
      <c r="I19149" s="50"/>
      <c r="O19149" s="36" t="s">
        <v>48</v>
      </c>
      <c r="R19149" s="36" t="s">
        <v>48</v>
      </c>
    </row>
    <row r="19150">
      <c r="H19150" s="50"/>
      <c r="I19150" s="50"/>
      <c r="O19150" s="36" t="s">
        <v>48</v>
      </c>
      <c r="R19150" s="36" t="s">
        <v>48</v>
      </c>
    </row>
    <row r="19151">
      <c r="H19151" s="50"/>
      <c r="I19151" s="50"/>
      <c r="O19151" s="36" t="s">
        <v>48</v>
      </c>
      <c r="R19151" s="36" t="s">
        <v>48</v>
      </c>
    </row>
    <row r="19152">
      <c r="H19152" s="50"/>
      <c r="I19152" s="50"/>
      <c r="O19152" s="36" t="s">
        <v>48</v>
      </c>
      <c r="R19152" s="36" t="s">
        <v>48</v>
      </c>
    </row>
    <row r="19153">
      <c r="H19153" s="50"/>
      <c r="I19153" s="50"/>
      <c r="O19153" s="36" t="s">
        <v>48</v>
      </c>
      <c r="R19153" s="36" t="s">
        <v>48</v>
      </c>
    </row>
    <row r="19154">
      <c r="H19154" s="50"/>
      <c r="I19154" s="50"/>
      <c r="O19154" s="36" t="s">
        <v>48</v>
      </c>
      <c r="R19154" s="36" t="s">
        <v>48</v>
      </c>
    </row>
    <row r="19155">
      <c r="H19155" s="50"/>
      <c r="I19155" s="50"/>
      <c r="O19155" s="36" t="s">
        <v>48</v>
      </c>
      <c r="R19155" s="36" t="s">
        <v>48</v>
      </c>
    </row>
    <row r="19156">
      <c r="H19156" s="50"/>
      <c r="I19156" s="50"/>
      <c r="O19156" s="36" t="s">
        <v>48</v>
      </c>
      <c r="R19156" s="36" t="s">
        <v>48</v>
      </c>
    </row>
    <row r="19157">
      <c r="H19157" s="50"/>
      <c r="I19157" s="50"/>
      <c r="O19157" s="36" t="s">
        <v>48</v>
      </c>
      <c r="R19157" s="36" t="s">
        <v>48</v>
      </c>
    </row>
    <row r="19158">
      <c r="H19158" s="50"/>
      <c r="I19158" s="50"/>
      <c r="O19158" s="36" t="s">
        <v>48</v>
      </c>
      <c r="R19158" s="36" t="s">
        <v>48</v>
      </c>
    </row>
    <row r="19159">
      <c r="H19159" s="50"/>
      <c r="I19159" s="50"/>
      <c r="O19159" s="36" t="s">
        <v>48</v>
      </c>
      <c r="R19159" s="36" t="s">
        <v>48</v>
      </c>
    </row>
    <row r="19160">
      <c r="H19160" s="50"/>
      <c r="I19160" s="50"/>
      <c r="O19160" s="36" t="s">
        <v>48</v>
      </c>
      <c r="R19160" s="36" t="s">
        <v>48</v>
      </c>
    </row>
    <row r="19161">
      <c r="H19161" s="50"/>
      <c r="I19161" s="50"/>
      <c r="O19161" s="36" t="s">
        <v>48</v>
      </c>
      <c r="R19161" s="36" t="s">
        <v>48</v>
      </c>
    </row>
    <row r="19162">
      <c r="H19162" s="50"/>
      <c r="I19162" s="50"/>
      <c r="O19162" s="36" t="s">
        <v>48</v>
      </c>
      <c r="R19162" s="36" t="s">
        <v>48</v>
      </c>
    </row>
    <row r="19163">
      <c r="H19163" s="50"/>
      <c r="I19163" s="50"/>
      <c r="O19163" s="36" t="s">
        <v>48</v>
      </c>
      <c r="R19163" s="36" t="s">
        <v>48</v>
      </c>
    </row>
    <row r="19164">
      <c r="H19164" s="50"/>
      <c r="I19164" s="50"/>
      <c r="O19164" s="36" t="s">
        <v>48</v>
      </c>
      <c r="R19164" s="36" t="s">
        <v>48</v>
      </c>
    </row>
    <row r="19165">
      <c r="H19165" s="50"/>
      <c r="I19165" s="50"/>
      <c r="O19165" s="36" t="s">
        <v>48</v>
      </c>
      <c r="R19165" s="36" t="s">
        <v>48</v>
      </c>
    </row>
    <row r="19166">
      <c r="H19166" s="50"/>
      <c r="I19166" s="50"/>
      <c r="O19166" s="36" t="s">
        <v>48</v>
      </c>
      <c r="R19166" s="36" t="s">
        <v>48</v>
      </c>
    </row>
    <row r="19167">
      <c r="H19167" s="50"/>
      <c r="I19167" s="50"/>
      <c r="O19167" s="36" t="s">
        <v>48</v>
      </c>
      <c r="R19167" s="36" t="s">
        <v>48</v>
      </c>
    </row>
    <row r="19168">
      <c r="H19168" s="50"/>
      <c r="I19168" s="50"/>
      <c r="O19168" s="36" t="s">
        <v>48</v>
      </c>
      <c r="R19168" s="36" t="s">
        <v>48</v>
      </c>
    </row>
    <row r="19169">
      <c r="H19169" s="50"/>
      <c r="I19169" s="50"/>
      <c r="O19169" s="36" t="s">
        <v>48</v>
      </c>
      <c r="R19169" s="36" t="s">
        <v>48</v>
      </c>
    </row>
    <row r="19170">
      <c r="H19170" s="50"/>
      <c r="I19170" s="50"/>
      <c r="O19170" s="36" t="s">
        <v>48</v>
      </c>
      <c r="R19170" s="36" t="s">
        <v>48</v>
      </c>
    </row>
    <row r="19171">
      <c r="H19171" s="50"/>
      <c r="I19171" s="50"/>
      <c r="O19171" s="36" t="s">
        <v>48</v>
      </c>
      <c r="R19171" s="36" t="s">
        <v>48</v>
      </c>
    </row>
    <row r="19172">
      <c r="H19172" s="50"/>
      <c r="I19172" s="50"/>
      <c r="O19172" s="36" t="s">
        <v>48</v>
      </c>
      <c r="R19172" s="36" t="s">
        <v>48</v>
      </c>
    </row>
    <row r="19173">
      <c r="H19173" s="50"/>
      <c r="I19173" s="50"/>
      <c r="O19173" s="36" t="s">
        <v>48</v>
      </c>
      <c r="R19173" s="36" t="s">
        <v>48</v>
      </c>
    </row>
    <row r="19174">
      <c r="H19174" s="50"/>
      <c r="I19174" s="50"/>
      <c r="O19174" s="36" t="s">
        <v>48</v>
      </c>
      <c r="R19174" s="36" t="s">
        <v>48</v>
      </c>
    </row>
    <row r="19175">
      <c r="H19175" s="50"/>
      <c r="I19175" s="50"/>
      <c r="O19175" s="36" t="s">
        <v>48</v>
      </c>
      <c r="R19175" s="36" t="s">
        <v>48</v>
      </c>
    </row>
    <row r="19176">
      <c r="H19176" s="50"/>
      <c r="I19176" s="50"/>
      <c r="O19176" s="36" t="s">
        <v>48</v>
      </c>
      <c r="R19176" s="36" t="s">
        <v>48</v>
      </c>
    </row>
    <row r="19177">
      <c r="H19177" s="50"/>
      <c r="I19177" s="50"/>
      <c r="O19177" s="36" t="s">
        <v>48</v>
      </c>
      <c r="R19177" s="36" t="s">
        <v>48</v>
      </c>
    </row>
    <row r="19178">
      <c r="H19178" s="50"/>
      <c r="I19178" s="50"/>
      <c r="O19178" s="36" t="s">
        <v>48</v>
      </c>
      <c r="R19178" s="36" t="s">
        <v>48</v>
      </c>
    </row>
    <row r="19179">
      <c r="H19179" s="50"/>
      <c r="I19179" s="50"/>
      <c r="O19179" s="36" t="s">
        <v>48</v>
      </c>
      <c r="R19179" s="36" t="s">
        <v>48</v>
      </c>
    </row>
    <row r="19180">
      <c r="H19180" s="50"/>
      <c r="I19180" s="50"/>
      <c r="O19180" s="36" t="s">
        <v>48</v>
      </c>
      <c r="R19180" s="36" t="s">
        <v>48</v>
      </c>
    </row>
    <row r="19181">
      <c r="H19181" s="50"/>
      <c r="I19181" s="50"/>
      <c r="O19181" s="36" t="s">
        <v>48</v>
      </c>
      <c r="R19181" s="36" t="s">
        <v>48</v>
      </c>
    </row>
    <row r="19182">
      <c r="H19182" s="50"/>
      <c r="I19182" s="50"/>
      <c r="O19182" s="36" t="s">
        <v>48</v>
      </c>
      <c r="R19182" s="36" t="s">
        <v>48</v>
      </c>
    </row>
    <row r="19183">
      <c r="H19183" s="50"/>
      <c r="I19183" s="50"/>
      <c r="O19183" s="36" t="s">
        <v>48</v>
      </c>
      <c r="R19183" s="36" t="s">
        <v>48</v>
      </c>
    </row>
    <row r="19184">
      <c r="H19184" s="50"/>
      <c r="I19184" s="50"/>
      <c r="O19184" s="36" t="s">
        <v>48</v>
      </c>
      <c r="R19184" s="36" t="s">
        <v>48</v>
      </c>
    </row>
    <row r="19185">
      <c r="H19185" s="50"/>
      <c r="I19185" s="50"/>
      <c r="O19185" s="36" t="s">
        <v>48</v>
      </c>
      <c r="R19185" s="36" t="s">
        <v>48</v>
      </c>
    </row>
    <row r="19186">
      <c r="H19186" s="50"/>
      <c r="I19186" s="50"/>
      <c r="O19186" s="36" t="s">
        <v>48</v>
      </c>
      <c r="R19186" s="36" t="s">
        <v>48</v>
      </c>
    </row>
    <row r="19187">
      <c r="H19187" s="50"/>
      <c r="I19187" s="50"/>
      <c r="O19187" s="36" t="s">
        <v>48</v>
      </c>
      <c r="R19187" s="36" t="s">
        <v>48</v>
      </c>
    </row>
    <row r="19188">
      <c r="H19188" s="50"/>
      <c r="I19188" s="50"/>
      <c r="O19188" s="36" t="s">
        <v>48</v>
      </c>
      <c r="R19188" s="36" t="s">
        <v>48</v>
      </c>
    </row>
    <row r="19189">
      <c r="H19189" s="50"/>
      <c r="I19189" s="50"/>
      <c r="O19189" s="36" t="s">
        <v>48</v>
      </c>
      <c r="R19189" s="36" t="s">
        <v>48</v>
      </c>
    </row>
    <row r="19190">
      <c r="H19190" s="50"/>
      <c r="I19190" s="50"/>
      <c r="O19190" s="36" t="s">
        <v>48</v>
      </c>
      <c r="R19190" s="36" t="s">
        <v>48</v>
      </c>
    </row>
    <row r="19191">
      <c r="H19191" s="50"/>
      <c r="I19191" s="50"/>
      <c r="O19191" s="36" t="s">
        <v>48</v>
      </c>
      <c r="R19191" s="36" t="s">
        <v>48</v>
      </c>
    </row>
    <row r="19192">
      <c r="H19192" s="50"/>
      <c r="I19192" s="50"/>
      <c r="O19192" s="36" t="s">
        <v>48</v>
      </c>
      <c r="R19192" s="36" t="s">
        <v>48</v>
      </c>
    </row>
    <row r="19193">
      <c r="H19193" s="50"/>
      <c r="I19193" s="50"/>
      <c r="O19193" s="36" t="s">
        <v>48</v>
      </c>
      <c r="R19193" s="36" t="s">
        <v>48</v>
      </c>
    </row>
    <row r="19194">
      <c r="H19194" s="50"/>
      <c r="I19194" s="50"/>
      <c r="O19194" s="36" t="s">
        <v>48</v>
      </c>
      <c r="R19194" s="36" t="s">
        <v>48</v>
      </c>
    </row>
    <row r="19195">
      <c r="H19195" s="50"/>
      <c r="I19195" s="50"/>
      <c r="O19195" s="36" t="s">
        <v>48</v>
      </c>
      <c r="R19195" s="36" t="s">
        <v>48</v>
      </c>
    </row>
    <row r="19196">
      <c r="H19196" s="50"/>
      <c r="I19196" s="50"/>
      <c r="O19196" s="36" t="s">
        <v>48</v>
      </c>
      <c r="R19196" s="36" t="s">
        <v>48</v>
      </c>
    </row>
    <row r="19197">
      <c r="H19197" s="50"/>
      <c r="I19197" s="50"/>
      <c r="O19197" s="36" t="s">
        <v>48</v>
      </c>
      <c r="R19197" s="36" t="s">
        <v>48</v>
      </c>
    </row>
    <row r="19198">
      <c r="H19198" s="50"/>
      <c r="I19198" s="50"/>
      <c r="O19198" s="36" t="s">
        <v>48</v>
      </c>
      <c r="R19198" s="36" t="s">
        <v>48</v>
      </c>
    </row>
    <row r="19199">
      <c r="H19199" s="50"/>
      <c r="I19199" s="50"/>
      <c r="O19199" s="36" t="s">
        <v>48</v>
      </c>
      <c r="R19199" s="36" t="s">
        <v>48</v>
      </c>
    </row>
    <row r="19200">
      <c r="H19200" s="50"/>
      <c r="I19200" s="50"/>
      <c r="O19200" s="36" t="s">
        <v>48</v>
      </c>
      <c r="R19200" s="36" t="s">
        <v>48</v>
      </c>
    </row>
    <row r="19201">
      <c r="H19201" s="50"/>
      <c r="I19201" s="50"/>
      <c r="O19201" s="36" t="s">
        <v>48</v>
      </c>
      <c r="R19201" s="36" t="s">
        <v>48</v>
      </c>
    </row>
    <row r="19202">
      <c r="H19202" s="50"/>
      <c r="I19202" s="50"/>
      <c r="O19202" s="36" t="s">
        <v>48</v>
      </c>
      <c r="R19202" s="36" t="s">
        <v>48</v>
      </c>
    </row>
    <row r="19203">
      <c r="H19203" s="50"/>
      <c r="I19203" s="50"/>
      <c r="O19203" s="36" t="s">
        <v>48</v>
      </c>
      <c r="R19203" s="36" t="s">
        <v>48</v>
      </c>
    </row>
    <row r="19204">
      <c r="H19204" s="50"/>
      <c r="I19204" s="50"/>
      <c r="O19204" s="36" t="s">
        <v>48</v>
      </c>
      <c r="R19204" s="36" t="s">
        <v>48</v>
      </c>
    </row>
    <row r="19205">
      <c r="H19205" s="50"/>
      <c r="I19205" s="50"/>
      <c r="O19205" s="36" t="s">
        <v>48</v>
      </c>
      <c r="R19205" s="36" t="s">
        <v>48</v>
      </c>
    </row>
    <row r="19206">
      <c r="H19206" s="50"/>
      <c r="I19206" s="50"/>
      <c r="O19206" s="36" t="s">
        <v>48</v>
      </c>
      <c r="R19206" s="36" t="s">
        <v>48</v>
      </c>
    </row>
    <row r="19207">
      <c r="H19207" s="50"/>
      <c r="I19207" s="50"/>
      <c r="O19207" s="36" t="s">
        <v>48</v>
      </c>
      <c r="R19207" s="36" t="s">
        <v>48</v>
      </c>
    </row>
    <row r="19208">
      <c r="H19208" s="50"/>
      <c r="I19208" s="50"/>
      <c r="O19208" s="36" t="s">
        <v>48</v>
      </c>
      <c r="R19208" s="36" t="s">
        <v>48</v>
      </c>
    </row>
    <row r="19209">
      <c r="H19209" s="50"/>
      <c r="I19209" s="50"/>
      <c r="O19209" s="36" t="s">
        <v>48</v>
      </c>
      <c r="R19209" s="36" t="s">
        <v>48</v>
      </c>
    </row>
    <row r="19210">
      <c r="H19210" s="50"/>
      <c r="I19210" s="50"/>
      <c r="O19210" s="36" t="s">
        <v>48</v>
      </c>
      <c r="R19210" s="36" t="s">
        <v>48</v>
      </c>
    </row>
    <row r="19211">
      <c r="H19211" s="50"/>
      <c r="I19211" s="50"/>
      <c r="O19211" s="36" t="s">
        <v>48</v>
      </c>
      <c r="R19211" s="36" t="s">
        <v>48</v>
      </c>
    </row>
    <row r="19212">
      <c r="H19212" s="50"/>
      <c r="I19212" s="50"/>
      <c r="O19212" s="36" t="s">
        <v>48</v>
      </c>
      <c r="R19212" s="36" t="s">
        <v>48</v>
      </c>
    </row>
    <row r="19213">
      <c r="H19213" s="50"/>
      <c r="I19213" s="50"/>
      <c r="O19213" s="36" t="s">
        <v>48</v>
      </c>
      <c r="R19213" s="36" t="s">
        <v>48</v>
      </c>
    </row>
    <row r="19214">
      <c r="H19214" s="50"/>
      <c r="I19214" s="50"/>
      <c r="O19214" s="36" t="s">
        <v>48</v>
      </c>
      <c r="R19214" s="36" t="s">
        <v>48</v>
      </c>
    </row>
    <row r="19215">
      <c r="H19215" s="50"/>
      <c r="I19215" s="50"/>
      <c r="O19215" s="36" t="s">
        <v>48</v>
      </c>
      <c r="R19215" s="36" t="s">
        <v>48</v>
      </c>
    </row>
    <row r="19216">
      <c r="H19216" s="50"/>
      <c r="I19216" s="50"/>
      <c r="O19216" s="36" t="s">
        <v>48</v>
      </c>
      <c r="R19216" s="36" t="s">
        <v>48</v>
      </c>
    </row>
    <row r="19217">
      <c r="H19217" s="50"/>
      <c r="I19217" s="50"/>
      <c r="O19217" s="36" t="s">
        <v>48</v>
      </c>
      <c r="R19217" s="36" t="s">
        <v>48</v>
      </c>
    </row>
    <row r="19218">
      <c r="H19218" s="50"/>
      <c r="I19218" s="50"/>
      <c r="O19218" s="36" t="s">
        <v>48</v>
      </c>
      <c r="R19218" s="36" t="s">
        <v>48</v>
      </c>
    </row>
    <row r="19219">
      <c r="H19219" s="50"/>
      <c r="I19219" s="50"/>
      <c r="O19219" s="36" t="s">
        <v>48</v>
      </c>
      <c r="R19219" s="36" t="s">
        <v>48</v>
      </c>
    </row>
    <row r="19220">
      <c r="H19220" s="50"/>
      <c r="I19220" s="50"/>
      <c r="O19220" s="36" t="s">
        <v>48</v>
      </c>
      <c r="R19220" s="36" t="s">
        <v>48</v>
      </c>
    </row>
    <row r="19221">
      <c r="H19221" s="50"/>
      <c r="I19221" s="50"/>
      <c r="O19221" s="36" t="s">
        <v>48</v>
      </c>
      <c r="R19221" s="36" t="s">
        <v>48</v>
      </c>
    </row>
    <row r="19222">
      <c r="H19222" s="50"/>
      <c r="I19222" s="50"/>
      <c r="O19222" s="36" t="s">
        <v>48</v>
      </c>
      <c r="R19222" s="36" t="s">
        <v>48</v>
      </c>
    </row>
    <row r="19223">
      <c r="H19223" s="50"/>
      <c r="I19223" s="50"/>
      <c r="O19223" s="36" t="s">
        <v>48</v>
      </c>
      <c r="R19223" s="36" t="s">
        <v>48</v>
      </c>
    </row>
    <row r="19224">
      <c r="H19224" s="50"/>
      <c r="I19224" s="50"/>
      <c r="O19224" s="36" t="s">
        <v>48</v>
      </c>
      <c r="R19224" s="36" t="s">
        <v>48</v>
      </c>
    </row>
    <row r="19225">
      <c r="H19225" s="50"/>
      <c r="I19225" s="50"/>
      <c r="O19225" s="36" t="s">
        <v>48</v>
      </c>
      <c r="R19225" s="36" t="s">
        <v>48</v>
      </c>
    </row>
    <row r="19226">
      <c r="H19226" s="50"/>
      <c r="I19226" s="50"/>
      <c r="O19226" s="36" t="s">
        <v>48</v>
      </c>
      <c r="R19226" s="36" t="s">
        <v>48</v>
      </c>
    </row>
    <row r="19227">
      <c r="H19227" s="50"/>
      <c r="I19227" s="50"/>
      <c r="O19227" s="36" t="s">
        <v>48</v>
      </c>
      <c r="R19227" s="36" t="s">
        <v>48</v>
      </c>
    </row>
    <row r="19228">
      <c r="H19228" s="50"/>
      <c r="I19228" s="50"/>
      <c r="O19228" s="36" t="s">
        <v>48</v>
      </c>
      <c r="R19228" s="36" t="s">
        <v>48</v>
      </c>
    </row>
    <row r="19229">
      <c r="H19229" s="50"/>
      <c r="I19229" s="50"/>
      <c r="O19229" s="36" t="s">
        <v>48</v>
      </c>
      <c r="R19229" s="36" t="s">
        <v>48</v>
      </c>
    </row>
    <row r="19230">
      <c r="H19230" s="50"/>
      <c r="I19230" s="50"/>
      <c r="O19230" s="36" t="s">
        <v>48</v>
      </c>
      <c r="R19230" s="36" t="s">
        <v>48</v>
      </c>
    </row>
    <row r="19231">
      <c r="H19231" s="50"/>
      <c r="I19231" s="50"/>
      <c r="O19231" s="36" t="s">
        <v>48</v>
      </c>
      <c r="R19231" s="36" t="s">
        <v>48</v>
      </c>
    </row>
    <row r="19232">
      <c r="H19232" s="50"/>
      <c r="I19232" s="50"/>
      <c r="O19232" s="36" t="s">
        <v>48</v>
      </c>
      <c r="R19232" s="36" t="s">
        <v>48</v>
      </c>
    </row>
    <row r="19233">
      <c r="H19233" s="50"/>
      <c r="I19233" s="50"/>
      <c r="O19233" s="36" t="s">
        <v>48</v>
      </c>
      <c r="R19233" s="36" t="s">
        <v>48</v>
      </c>
    </row>
    <row r="19234">
      <c r="H19234" s="50"/>
      <c r="I19234" s="50"/>
      <c r="O19234" s="36" t="s">
        <v>48</v>
      </c>
      <c r="R19234" s="36" t="s">
        <v>48</v>
      </c>
    </row>
    <row r="19235">
      <c r="H19235" s="50"/>
      <c r="I19235" s="50"/>
      <c r="O19235" s="36" t="s">
        <v>48</v>
      </c>
      <c r="R19235" s="36" t="s">
        <v>48</v>
      </c>
    </row>
    <row r="19236">
      <c r="H19236" s="50"/>
      <c r="I19236" s="50"/>
      <c r="O19236" s="36" t="s">
        <v>48</v>
      </c>
      <c r="R19236" s="36" t="s">
        <v>48</v>
      </c>
    </row>
    <row r="19237">
      <c r="H19237" s="50"/>
      <c r="I19237" s="50"/>
      <c r="O19237" s="36" t="s">
        <v>48</v>
      </c>
      <c r="R19237" s="36" t="s">
        <v>48</v>
      </c>
    </row>
    <row r="19238">
      <c r="H19238" s="50"/>
      <c r="I19238" s="50"/>
      <c r="O19238" s="36" t="s">
        <v>48</v>
      </c>
      <c r="R19238" s="36" t="s">
        <v>48</v>
      </c>
    </row>
    <row r="19239">
      <c r="H19239" s="50"/>
      <c r="I19239" s="50"/>
      <c r="O19239" s="36" t="s">
        <v>48</v>
      </c>
      <c r="R19239" s="36" t="s">
        <v>48</v>
      </c>
    </row>
    <row r="19240">
      <c r="H19240" s="50"/>
      <c r="I19240" s="50"/>
      <c r="O19240" s="36" t="s">
        <v>48</v>
      </c>
      <c r="R19240" s="36" t="s">
        <v>48</v>
      </c>
    </row>
    <row r="19241">
      <c r="H19241" s="50"/>
      <c r="I19241" s="50"/>
      <c r="O19241" s="36" t="s">
        <v>48</v>
      </c>
      <c r="R19241" s="36" t="s">
        <v>48</v>
      </c>
    </row>
    <row r="19242">
      <c r="H19242" s="50"/>
      <c r="I19242" s="50"/>
      <c r="O19242" s="36" t="s">
        <v>48</v>
      </c>
      <c r="R19242" s="36" t="s">
        <v>48</v>
      </c>
    </row>
    <row r="19243">
      <c r="H19243" s="50"/>
      <c r="I19243" s="50"/>
      <c r="O19243" s="36" t="s">
        <v>48</v>
      </c>
      <c r="R19243" s="36" t="s">
        <v>48</v>
      </c>
    </row>
    <row r="19244">
      <c r="H19244" s="50"/>
      <c r="I19244" s="50"/>
      <c r="O19244" s="36" t="s">
        <v>48</v>
      </c>
      <c r="R19244" s="36" t="s">
        <v>48</v>
      </c>
    </row>
    <row r="19245">
      <c r="H19245" s="50"/>
      <c r="I19245" s="50"/>
      <c r="O19245" s="36" t="s">
        <v>48</v>
      </c>
      <c r="R19245" s="36" t="s">
        <v>48</v>
      </c>
    </row>
    <row r="19246">
      <c r="H19246" s="50"/>
      <c r="I19246" s="50"/>
      <c r="O19246" s="36" t="s">
        <v>48</v>
      </c>
      <c r="R19246" s="36" t="s">
        <v>48</v>
      </c>
    </row>
    <row r="19247">
      <c r="H19247" s="50"/>
      <c r="I19247" s="50"/>
      <c r="O19247" s="36" t="s">
        <v>48</v>
      </c>
      <c r="R19247" s="36" t="s">
        <v>48</v>
      </c>
    </row>
    <row r="19248">
      <c r="H19248" s="50"/>
      <c r="I19248" s="50"/>
      <c r="O19248" s="36" t="s">
        <v>48</v>
      </c>
      <c r="R19248" s="36" t="s">
        <v>48</v>
      </c>
    </row>
    <row r="19249">
      <c r="H19249" s="50"/>
      <c r="I19249" s="50"/>
      <c r="O19249" s="36" t="s">
        <v>48</v>
      </c>
      <c r="R19249" s="36" t="s">
        <v>48</v>
      </c>
    </row>
    <row r="19250">
      <c r="H19250" s="50"/>
      <c r="I19250" s="50"/>
      <c r="O19250" s="36" t="s">
        <v>48</v>
      </c>
      <c r="R19250" s="36" t="s">
        <v>48</v>
      </c>
    </row>
    <row r="19251">
      <c r="H19251" s="50"/>
      <c r="I19251" s="50"/>
      <c r="O19251" s="36" t="s">
        <v>48</v>
      </c>
      <c r="R19251" s="36" t="s">
        <v>48</v>
      </c>
    </row>
    <row r="19252">
      <c r="H19252" s="50"/>
      <c r="I19252" s="50"/>
      <c r="O19252" s="36" t="s">
        <v>48</v>
      </c>
      <c r="R19252" s="36" t="s">
        <v>48</v>
      </c>
    </row>
    <row r="19253">
      <c r="H19253" s="50"/>
      <c r="I19253" s="50"/>
      <c r="O19253" s="36" t="s">
        <v>48</v>
      </c>
      <c r="R19253" s="36" t="s">
        <v>48</v>
      </c>
    </row>
    <row r="19254">
      <c r="H19254" s="50"/>
      <c r="I19254" s="50"/>
      <c r="O19254" s="36" t="s">
        <v>48</v>
      </c>
      <c r="R19254" s="36" t="s">
        <v>48</v>
      </c>
    </row>
    <row r="19255">
      <c r="H19255" s="50"/>
      <c r="I19255" s="50"/>
      <c r="O19255" s="36" t="s">
        <v>48</v>
      </c>
      <c r="R19255" s="36" t="s">
        <v>48</v>
      </c>
    </row>
    <row r="19256">
      <c r="H19256" s="50"/>
      <c r="I19256" s="50"/>
      <c r="O19256" s="36" t="s">
        <v>48</v>
      </c>
      <c r="R19256" s="36" t="s">
        <v>48</v>
      </c>
    </row>
    <row r="19257">
      <c r="H19257" s="50"/>
      <c r="I19257" s="50"/>
      <c r="O19257" s="36" t="s">
        <v>48</v>
      </c>
      <c r="R19257" s="36" t="s">
        <v>48</v>
      </c>
    </row>
    <row r="19258">
      <c r="H19258" s="50"/>
      <c r="I19258" s="50"/>
      <c r="O19258" s="36" t="s">
        <v>48</v>
      </c>
      <c r="R19258" s="36" t="s">
        <v>48</v>
      </c>
    </row>
    <row r="19259">
      <c r="H19259" s="50"/>
      <c r="I19259" s="50"/>
      <c r="O19259" s="36" t="s">
        <v>48</v>
      </c>
      <c r="R19259" s="36" t="s">
        <v>48</v>
      </c>
    </row>
    <row r="19260">
      <c r="H19260" s="50"/>
      <c r="I19260" s="50"/>
      <c r="O19260" s="36" t="s">
        <v>48</v>
      </c>
      <c r="R19260" s="36" t="s">
        <v>48</v>
      </c>
    </row>
    <row r="19261">
      <c r="H19261" s="50"/>
      <c r="I19261" s="50"/>
      <c r="O19261" s="36" t="s">
        <v>48</v>
      </c>
      <c r="R19261" s="36" t="s">
        <v>48</v>
      </c>
    </row>
    <row r="19262">
      <c r="H19262" s="50"/>
      <c r="I19262" s="50"/>
      <c r="O19262" s="36" t="s">
        <v>48</v>
      </c>
      <c r="R19262" s="36" t="s">
        <v>48</v>
      </c>
    </row>
    <row r="19263">
      <c r="H19263" s="50"/>
      <c r="I19263" s="50"/>
      <c r="O19263" s="36" t="s">
        <v>48</v>
      </c>
      <c r="R19263" s="36" t="s">
        <v>48</v>
      </c>
    </row>
    <row r="19264">
      <c r="H19264" s="50"/>
      <c r="I19264" s="50"/>
      <c r="O19264" s="36" t="s">
        <v>48</v>
      </c>
      <c r="R19264" s="36" t="s">
        <v>48</v>
      </c>
    </row>
    <row r="19265">
      <c r="H19265" s="50"/>
      <c r="I19265" s="50"/>
      <c r="O19265" s="36" t="s">
        <v>48</v>
      </c>
      <c r="R19265" s="36" t="s">
        <v>48</v>
      </c>
    </row>
    <row r="19266">
      <c r="H19266" s="50"/>
      <c r="I19266" s="50"/>
      <c r="O19266" s="36" t="s">
        <v>48</v>
      </c>
      <c r="R19266" s="36" t="s">
        <v>48</v>
      </c>
    </row>
    <row r="19267">
      <c r="H19267" s="50"/>
      <c r="I19267" s="50"/>
      <c r="O19267" s="36" t="s">
        <v>48</v>
      </c>
      <c r="R19267" s="36" t="s">
        <v>48</v>
      </c>
    </row>
    <row r="19268">
      <c r="H19268" s="50"/>
      <c r="I19268" s="50"/>
      <c r="O19268" s="36" t="s">
        <v>48</v>
      </c>
      <c r="R19268" s="36" t="s">
        <v>48</v>
      </c>
    </row>
    <row r="19269">
      <c r="H19269" s="50"/>
      <c r="I19269" s="50"/>
      <c r="O19269" s="36" t="s">
        <v>48</v>
      </c>
      <c r="R19269" s="36" t="s">
        <v>48</v>
      </c>
    </row>
    <row r="19270">
      <c r="H19270" s="50"/>
      <c r="I19270" s="50"/>
      <c r="O19270" s="36" t="s">
        <v>48</v>
      </c>
      <c r="R19270" s="36" t="s">
        <v>48</v>
      </c>
    </row>
    <row r="19271">
      <c r="H19271" s="50"/>
      <c r="I19271" s="50"/>
      <c r="O19271" s="36" t="s">
        <v>48</v>
      </c>
      <c r="R19271" s="36" t="s">
        <v>48</v>
      </c>
    </row>
    <row r="19272">
      <c r="H19272" s="50"/>
      <c r="I19272" s="50"/>
      <c r="O19272" s="36" t="s">
        <v>48</v>
      </c>
      <c r="R19272" s="36" t="s">
        <v>48</v>
      </c>
    </row>
    <row r="19273">
      <c r="H19273" s="50"/>
      <c r="I19273" s="50"/>
      <c r="O19273" s="36" t="s">
        <v>48</v>
      </c>
      <c r="R19273" s="36" t="s">
        <v>48</v>
      </c>
    </row>
    <row r="19274">
      <c r="H19274" s="50"/>
      <c r="I19274" s="50"/>
      <c r="O19274" s="36" t="s">
        <v>48</v>
      </c>
      <c r="R19274" s="36" t="s">
        <v>48</v>
      </c>
    </row>
    <row r="19275">
      <c r="H19275" s="50"/>
      <c r="I19275" s="50"/>
      <c r="O19275" s="36" t="s">
        <v>48</v>
      </c>
      <c r="R19275" s="36" t="s">
        <v>48</v>
      </c>
    </row>
    <row r="19276">
      <c r="H19276" s="50"/>
      <c r="I19276" s="50"/>
      <c r="O19276" s="36" t="s">
        <v>48</v>
      </c>
      <c r="R19276" s="36" t="s">
        <v>48</v>
      </c>
    </row>
    <row r="19277">
      <c r="H19277" s="50"/>
      <c r="I19277" s="50"/>
      <c r="O19277" s="36" t="s">
        <v>48</v>
      </c>
      <c r="R19277" s="36" t="s">
        <v>48</v>
      </c>
    </row>
    <row r="19278">
      <c r="H19278" s="50"/>
      <c r="I19278" s="50"/>
      <c r="O19278" s="36" t="s">
        <v>48</v>
      </c>
      <c r="R19278" s="36" t="s">
        <v>48</v>
      </c>
    </row>
    <row r="19279">
      <c r="H19279" s="50"/>
      <c r="I19279" s="50"/>
      <c r="O19279" s="36" t="s">
        <v>48</v>
      </c>
      <c r="R19279" s="36" t="s">
        <v>48</v>
      </c>
    </row>
    <row r="19280">
      <c r="H19280" s="50"/>
      <c r="I19280" s="50"/>
      <c r="O19280" s="36" t="s">
        <v>48</v>
      </c>
      <c r="R19280" s="36" t="s">
        <v>48</v>
      </c>
    </row>
    <row r="19281">
      <c r="H19281" s="50"/>
      <c r="I19281" s="50"/>
      <c r="O19281" s="36" t="s">
        <v>48</v>
      </c>
      <c r="R19281" s="36" t="s">
        <v>48</v>
      </c>
    </row>
    <row r="19282">
      <c r="H19282" s="50"/>
      <c r="I19282" s="50"/>
      <c r="O19282" s="36" t="s">
        <v>48</v>
      </c>
      <c r="R19282" s="36" t="s">
        <v>48</v>
      </c>
    </row>
    <row r="19283">
      <c r="H19283" s="50"/>
      <c r="I19283" s="50"/>
      <c r="O19283" s="36" t="s">
        <v>48</v>
      </c>
      <c r="R19283" s="36" t="s">
        <v>48</v>
      </c>
    </row>
    <row r="19284">
      <c r="H19284" s="50"/>
      <c r="I19284" s="50"/>
      <c r="O19284" s="36" t="s">
        <v>48</v>
      </c>
      <c r="R19284" s="36" t="s">
        <v>48</v>
      </c>
    </row>
    <row r="19285">
      <c r="H19285" s="50"/>
      <c r="I19285" s="50"/>
      <c r="O19285" s="36" t="s">
        <v>48</v>
      </c>
      <c r="R19285" s="36" t="s">
        <v>48</v>
      </c>
    </row>
    <row r="19286">
      <c r="H19286" s="50"/>
      <c r="I19286" s="50"/>
      <c r="O19286" s="36" t="s">
        <v>48</v>
      </c>
      <c r="R19286" s="36" t="s">
        <v>48</v>
      </c>
    </row>
    <row r="19287">
      <c r="H19287" s="50"/>
      <c r="I19287" s="50"/>
      <c r="O19287" s="36" t="s">
        <v>48</v>
      </c>
      <c r="R19287" s="36" t="s">
        <v>48</v>
      </c>
    </row>
    <row r="19288">
      <c r="H19288" s="50"/>
      <c r="I19288" s="50"/>
      <c r="O19288" s="36" t="s">
        <v>48</v>
      </c>
      <c r="R19288" s="36" t="s">
        <v>48</v>
      </c>
    </row>
    <row r="19289">
      <c r="H19289" s="50"/>
      <c r="I19289" s="50"/>
      <c r="O19289" s="36" t="s">
        <v>48</v>
      </c>
      <c r="R19289" s="36" t="s">
        <v>48</v>
      </c>
    </row>
    <row r="19290">
      <c r="H19290" s="50"/>
      <c r="I19290" s="50"/>
      <c r="O19290" s="36" t="s">
        <v>48</v>
      </c>
      <c r="R19290" s="36" t="s">
        <v>48</v>
      </c>
    </row>
    <row r="19291">
      <c r="H19291" s="50"/>
      <c r="I19291" s="50"/>
      <c r="O19291" s="36" t="s">
        <v>48</v>
      </c>
      <c r="R19291" s="36" t="s">
        <v>48</v>
      </c>
    </row>
    <row r="19292">
      <c r="H19292" s="50"/>
      <c r="I19292" s="50"/>
      <c r="O19292" s="36" t="s">
        <v>48</v>
      </c>
      <c r="R19292" s="36" t="s">
        <v>48</v>
      </c>
    </row>
    <row r="19293">
      <c r="H19293" s="50"/>
      <c r="I19293" s="50"/>
      <c r="O19293" s="36" t="s">
        <v>48</v>
      </c>
      <c r="R19293" s="36" t="s">
        <v>48</v>
      </c>
    </row>
    <row r="19294">
      <c r="H19294" s="50"/>
      <c r="I19294" s="50"/>
      <c r="O19294" s="36" t="s">
        <v>48</v>
      </c>
      <c r="R19294" s="36" t="s">
        <v>48</v>
      </c>
    </row>
    <row r="19295">
      <c r="H19295" s="50"/>
      <c r="I19295" s="50"/>
      <c r="O19295" s="36" t="s">
        <v>48</v>
      </c>
      <c r="R19295" s="36" t="s">
        <v>48</v>
      </c>
    </row>
    <row r="19296">
      <c r="H19296" s="50"/>
      <c r="I19296" s="50"/>
      <c r="O19296" s="36" t="s">
        <v>48</v>
      </c>
      <c r="R19296" s="36" t="s">
        <v>48</v>
      </c>
    </row>
    <row r="19297">
      <c r="H19297" s="50"/>
      <c r="I19297" s="50"/>
      <c r="O19297" s="36" t="s">
        <v>48</v>
      </c>
      <c r="R19297" s="36" t="s">
        <v>48</v>
      </c>
    </row>
    <row r="19298">
      <c r="H19298" s="50"/>
      <c r="I19298" s="50"/>
      <c r="O19298" s="36" t="s">
        <v>48</v>
      </c>
      <c r="R19298" s="36" t="s">
        <v>48</v>
      </c>
    </row>
    <row r="19299">
      <c r="H19299" s="50"/>
      <c r="I19299" s="50"/>
      <c r="O19299" s="36" t="s">
        <v>48</v>
      </c>
      <c r="R19299" s="36" t="s">
        <v>48</v>
      </c>
    </row>
    <row r="19300">
      <c r="H19300" s="50"/>
      <c r="I19300" s="50"/>
      <c r="O19300" s="36" t="s">
        <v>48</v>
      </c>
      <c r="R19300" s="36" t="s">
        <v>48</v>
      </c>
    </row>
    <row r="19301">
      <c r="H19301" s="50"/>
      <c r="I19301" s="50"/>
      <c r="O19301" s="36" t="s">
        <v>48</v>
      </c>
      <c r="R19301" s="36" t="s">
        <v>48</v>
      </c>
    </row>
    <row r="19302">
      <c r="H19302" s="50"/>
      <c r="I19302" s="50"/>
      <c r="O19302" s="36" t="s">
        <v>48</v>
      </c>
      <c r="R19302" s="36" t="s">
        <v>48</v>
      </c>
    </row>
    <row r="19303">
      <c r="H19303" s="50"/>
      <c r="I19303" s="50"/>
      <c r="O19303" s="36" t="s">
        <v>48</v>
      </c>
      <c r="R19303" s="36" t="s">
        <v>48</v>
      </c>
    </row>
    <row r="19304">
      <c r="H19304" s="50"/>
      <c r="I19304" s="50"/>
      <c r="O19304" s="36" t="s">
        <v>48</v>
      </c>
      <c r="R19304" s="36" t="s">
        <v>48</v>
      </c>
    </row>
    <row r="19305">
      <c r="H19305" s="50"/>
      <c r="I19305" s="50"/>
      <c r="O19305" s="36" t="s">
        <v>48</v>
      </c>
      <c r="R19305" s="36" t="s">
        <v>48</v>
      </c>
    </row>
    <row r="19306">
      <c r="H19306" s="50"/>
      <c r="I19306" s="50"/>
      <c r="O19306" s="36" t="s">
        <v>48</v>
      </c>
      <c r="R19306" s="36" t="s">
        <v>48</v>
      </c>
    </row>
    <row r="19307">
      <c r="H19307" s="50"/>
      <c r="I19307" s="50"/>
      <c r="O19307" s="36" t="s">
        <v>48</v>
      </c>
      <c r="R19307" s="36" t="s">
        <v>48</v>
      </c>
    </row>
    <row r="19308">
      <c r="H19308" s="50"/>
      <c r="I19308" s="50"/>
      <c r="O19308" s="36" t="s">
        <v>48</v>
      </c>
      <c r="R19308" s="36" t="s">
        <v>48</v>
      </c>
    </row>
    <row r="19309">
      <c r="H19309" s="50"/>
      <c r="I19309" s="50"/>
      <c r="O19309" s="36" t="s">
        <v>48</v>
      </c>
      <c r="R19309" s="36" t="s">
        <v>48</v>
      </c>
    </row>
    <row r="19310">
      <c r="H19310" s="50"/>
      <c r="I19310" s="50"/>
      <c r="O19310" s="36" t="s">
        <v>48</v>
      </c>
      <c r="R19310" s="36" t="s">
        <v>48</v>
      </c>
    </row>
    <row r="19311">
      <c r="H19311" s="50"/>
      <c r="I19311" s="50"/>
      <c r="O19311" s="36" t="s">
        <v>48</v>
      </c>
      <c r="R19311" s="36" t="s">
        <v>48</v>
      </c>
    </row>
    <row r="19312">
      <c r="H19312" s="50"/>
      <c r="I19312" s="50"/>
      <c r="O19312" s="36" t="s">
        <v>48</v>
      </c>
      <c r="R19312" s="36" t="s">
        <v>48</v>
      </c>
    </row>
    <row r="19313">
      <c r="H19313" s="50"/>
      <c r="I19313" s="50"/>
      <c r="O19313" s="36" t="s">
        <v>48</v>
      </c>
      <c r="R19313" s="36" t="s">
        <v>48</v>
      </c>
    </row>
    <row r="19314">
      <c r="H19314" s="50"/>
      <c r="I19314" s="50"/>
      <c r="O19314" s="36" t="s">
        <v>48</v>
      </c>
      <c r="R19314" s="36" t="s">
        <v>48</v>
      </c>
    </row>
    <row r="19315">
      <c r="H19315" s="50"/>
      <c r="I19315" s="50"/>
      <c r="O19315" s="36" t="s">
        <v>48</v>
      </c>
      <c r="R19315" s="36" t="s">
        <v>48</v>
      </c>
    </row>
    <row r="19316">
      <c r="H19316" s="50"/>
      <c r="I19316" s="50"/>
      <c r="O19316" s="36" t="s">
        <v>48</v>
      </c>
      <c r="R19316" s="36" t="s">
        <v>48</v>
      </c>
    </row>
    <row r="19317">
      <c r="H19317" s="50"/>
      <c r="I19317" s="50"/>
      <c r="O19317" s="36" t="s">
        <v>48</v>
      </c>
      <c r="R19317" s="36" t="s">
        <v>48</v>
      </c>
    </row>
    <row r="19318">
      <c r="H19318" s="50"/>
      <c r="I19318" s="50"/>
      <c r="O19318" s="36" t="s">
        <v>48</v>
      </c>
      <c r="R19318" s="36" t="s">
        <v>48</v>
      </c>
    </row>
    <row r="19319">
      <c r="H19319" s="50"/>
      <c r="I19319" s="50"/>
      <c r="O19319" s="36" t="s">
        <v>48</v>
      </c>
      <c r="R19319" s="36" t="s">
        <v>48</v>
      </c>
    </row>
    <row r="19320">
      <c r="H19320" s="50"/>
      <c r="I19320" s="50"/>
      <c r="O19320" s="36" t="s">
        <v>48</v>
      </c>
      <c r="R19320" s="36" t="s">
        <v>48</v>
      </c>
    </row>
    <row r="19321">
      <c r="H19321" s="50"/>
      <c r="I19321" s="50"/>
      <c r="O19321" s="36" t="s">
        <v>48</v>
      </c>
      <c r="R19321" s="36" t="s">
        <v>48</v>
      </c>
    </row>
    <row r="19322">
      <c r="H19322" s="50"/>
      <c r="I19322" s="50"/>
      <c r="O19322" s="36" t="s">
        <v>48</v>
      </c>
      <c r="R19322" s="36" t="s">
        <v>48</v>
      </c>
    </row>
    <row r="19323">
      <c r="H19323" s="50"/>
      <c r="I19323" s="50"/>
      <c r="O19323" s="36" t="s">
        <v>48</v>
      </c>
      <c r="R19323" s="36" t="s">
        <v>48</v>
      </c>
    </row>
    <row r="19324">
      <c r="H19324" s="50"/>
      <c r="I19324" s="50"/>
      <c r="O19324" s="36" t="s">
        <v>48</v>
      </c>
      <c r="R19324" s="36" t="s">
        <v>48</v>
      </c>
    </row>
    <row r="19325">
      <c r="H19325" s="50"/>
      <c r="I19325" s="50"/>
      <c r="O19325" s="36" t="s">
        <v>48</v>
      </c>
      <c r="R19325" s="36" t="s">
        <v>48</v>
      </c>
    </row>
    <row r="19326">
      <c r="H19326" s="50"/>
      <c r="I19326" s="50"/>
      <c r="O19326" s="36" t="s">
        <v>48</v>
      </c>
      <c r="R19326" s="36" t="s">
        <v>48</v>
      </c>
    </row>
    <row r="19327">
      <c r="H19327" s="50"/>
      <c r="I19327" s="50"/>
      <c r="O19327" s="36" t="s">
        <v>48</v>
      </c>
      <c r="R19327" s="36" t="s">
        <v>48</v>
      </c>
    </row>
    <row r="19328">
      <c r="H19328" s="50"/>
      <c r="I19328" s="50"/>
      <c r="O19328" s="36" t="s">
        <v>48</v>
      </c>
      <c r="R19328" s="36" t="s">
        <v>48</v>
      </c>
    </row>
    <row r="19329">
      <c r="H19329" s="50"/>
      <c r="I19329" s="50"/>
      <c r="O19329" s="36" t="s">
        <v>48</v>
      </c>
      <c r="R19329" s="36" t="s">
        <v>48</v>
      </c>
    </row>
    <row r="19330">
      <c r="H19330" s="50"/>
      <c r="I19330" s="50"/>
      <c r="O19330" s="36" t="s">
        <v>48</v>
      </c>
      <c r="R19330" s="36" t="s">
        <v>48</v>
      </c>
    </row>
    <row r="19331">
      <c r="H19331" s="50"/>
      <c r="I19331" s="50"/>
      <c r="O19331" s="36" t="s">
        <v>48</v>
      </c>
      <c r="R19331" s="36" t="s">
        <v>48</v>
      </c>
    </row>
    <row r="19332">
      <c r="H19332" s="50"/>
      <c r="I19332" s="50"/>
      <c r="O19332" s="36" t="s">
        <v>48</v>
      </c>
      <c r="R19332" s="36" t="s">
        <v>48</v>
      </c>
    </row>
    <row r="19333">
      <c r="H19333" s="50"/>
      <c r="I19333" s="50"/>
      <c r="O19333" s="36" t="s">
        <v>48</v>
      </c>
      <c r="R19333" s="36" t="s">
        <v>48</v>
      </c>
    </row>
    <row r="19334">
      <c r="H19334" s="50"/>
      <c r="I19334" s="50"/>
      <c r="O19334" s="36" t="s">
        <v>48</v>
      </c>
      <c r="R19334" s="36" t="s">
        <v>48</v>
      </c>
    </row>
    <row r="19335">
      <c r="H19335" s="50"/>
      <c r="I19335" s="50"/>
      <c r="O19335" s="36" t="s">
        <v>48</v>
      </c>
      <c r="R19335" s="36" t="s">
        <v>48</v>
      </c>
    </row>
    <row r="19336">
      <c r="H19336" s="50"/>
      <c r="I19336" s="50"/>
      <c r="O19336" s="36" t="s">
        <v>48</v>
      </c>
      <c r="R19336" s="36" t="s">
        <v>48</v>
      </c>
    </row>
    <row r="19337">
      <c r="H19337" s="50"/>
      <c r="I19337" s="50"/>
      <c r="O19337" s="36" t="s">
        <v>48</v>
      </c>
      <c r="R19337" s="36" t="s">
        <v>48</v>
      </c>
    </row>
    <row r="19338">
      <c r="H19338" s="50"/>
      <c r="I19338" s="50"/>
      <c r="O19338" s="36" t="s">
        <v>48</v>
      </c>
      <c r="R19338" s="36" t="s">
        <v>48</v>
      </c>
    </row>
    <row r="19339">
      <c r="H19339" s="50"/>
      <c r="I19339" s="50"/>
      <c r="O19339" s="36" t="s">
        <v>48</v>
      </c>
      <c r="R19339" s="36" t="s">
        <v>48</v>
      </c>
    </row>
    <row r="19340">
      <c r="H19340" s="50"/>
      <c r="I19340" s="50"/>
      <c r="O19340" s="36" t="s">
        <v>48</v>
      </c>
      <c r="R19340" s="36" t="s">
        <v>48</v>
      </c>
    </row>
    <row r="19341">
      <c r="H19341" s="50"/>
      <c r="I19341" s="50"/>
      <c r="O19341" s="36" t="s">
        <v>48</v>
      </c>
      <c r="R19341" s="36" t="s">
        <v>48</v>
      </c>
    </row>
    <row r="19342">
      <c r="H19342" s="50"/>
      <c r="I19342" s="50"/>
      <c r="O19342" s="36" t="s">
        <v>48</v>
      </c>
      <c r="R19342" s="36" t="s">
        <v>48</v>
      </c>
    </row>
    <row r="19343">
      <c r="H19343" s="50"/>
      <c r="I19343" s="50"/>
      <c r="O19343" s="36" t="s">
        <v>48</v>
      </c>
      <c r="R19343" s="36" t="s">
        <v>48</v>
      </c>
    </row>
    <row r="19344">
      <c r="H19344" s="50"/>
      <c r="I19344" s="50"/>
      <c r="O19344" s="36" t="s">
        <v>48</v>
      </c>
      <c r="R19344" s="36" t="s">
        <v>48</v>
      </c>
    </row>
    <row r="19345">
      <c r="H19345" s="50"/>
      <c r="I19345" s="50"/>
      <c r="O19345" s="36" t="s">
        <v>48</v>
      </c>
      <c r="R19345" s="36" t="s">
        <v>48</v>
      </c>
    </row>
    <row r="19346">
      <c r="H19346" s="50"/>
      <c r="I19346" s="50"/>
      <c r="O19346" s="36" t="s">
        <v>48</v>
      </c>
      <c r="R19346" s="36" t="s">
        <v>48</v>
      </c>
    </row>
    <row r="19347">
      <c r="H19347" s="50"/>
      <c r="I19347" s="50"/>
      <c r="O19347" s="36" t="s">
        <v>48</v>
      </c>
      <c r="R19347" s="36" t="s">
        <v>48</v>
      </c>
    </row>
    <row r="19348">
      <c r="H19348" s="50"/>
      <c r="I19348" s="50"/>
      <c r="O19348" s="36" t="s">
        <v>48</v>
      </c>
      <c r="R19348" s="36" t="s">
        <v>48</v>
      </c>
    </row>
    <row r="19349">
      <c r="H19349" s="50"/>
      <c r="I19349" s="50"/>
      <c r="O19349" s="36" t="s">
        <v>48</v>
      </c>
      <c r="R19349" s="36" t="s">
        <v>48</v>
      </c>
    </row>
    <row r="19350">
      <c r="H19350" s="50"/>
      <c r="I19350" s="50"/>
      <c r="O19350" s="36" t="s">
        <v>48</v>
      </c>
      <c r="R19350" s="36" t="s">
        <v>48</v>
      </c>
    </row>
    <row r="19351">
      <c r="H19351" s="50"/>
      <c r="I19351" s="50"/>
      <c r="O19351" s="36" t="s">
        <v>48</v>
      </c>
      <c r="R19351" s="36" t="s">
        <v>48</v>
      </c>
    </row>
    <row r="19352">
      <c r="H19352" s="50"/>
      <c r="I19352" s="50"/>
      <c r="O19352" s="36" t="s">
        <v>48</v>
      </c>
      <c r="R19352" s="36" t="s">
        <v>48</v>
      </c>
    </row>
    <row r="19353">
      <c r="H19353" s="50"/>
      <c r="I19353" s="50"/>
      <c r="O19353" s="36" t="s">
        <v>48</v>
      </c>
      <c r="R19353" s="36" t="s">
        <v>48</v>
      </c>
    </row>
    <row r="19354">
      <c r="H19354" s="50"/>
      <c r="I19354" s="50"/>
      <c r="O19354" s="36" t="s">
        <v>48</v>
      </c>
      <c r="R19354" s="36" t="s">
        <v>48</v>
      </c>
    </row>
    <row r="19355">
      <c r="H19355" s="50"/>
      <c r="I19355" s="50"/>
      <c r="O19355" s="36" t="s">
        <v>48</v>
      </c>
      <c r="R19355" s="36" t="s">
        <v>48</v>
      </c>
    </row>
    <row r="19356">
      <c r="H19356" s="50"/>
      <c r="I19356" s="50"/>
      <c r="O19356" s="36" t="s">
        <v>48</v>
      </c>
      <c r="R19356" s="36" t="s">
        <v>48</v>
      </c>
    </row>
    <row r="19357">
      <c r="H19357" s="50"/>
      <c r="I19357" s="50"/>
      <c r="O19357" s="36" t="s">
        <v>48</v>
      </c>
      <c r="R19357" s="36" t="s">
        <v>48</v>
      </c>
    </row>
    <row r="19358">
      <c r="H19358" s="50"/>
      <c r="I19358" s="50"/>
      <c r="O19358" s="36" t="s">
        <v>48</v>
      </c>
      <c r="R19358" s="36" t="s">
        <v>48</v>
      </c>
    </row>
    <row r="19359">
      <c r="H19359" s="50"/>
      <c r="I19359" s="50"/>
      <c r="O19359" s="36" t="s">
        <v>48</v>
      </c>
      <c r="R19359" s="36" t="s">
        <v>48</v>
      </c>
    </row>
    <row r="19360">
      <c r="H19360" s="50"/>
      <c r="I19360" s="50"/>
      <c r="O19360" s="36" t="s">
        <v>48</v>
      </c>
      <c r="R19360" s="36" t="s">
        <v>48</v>
      </c>
    </row>
    <row r="19361">
      <c r="H19361" s="50"/>
      <c r="I19361" s="50"/>
      <c r="O19361" s="36" t="s">
        <v>48</v>
      </c>
      <c r="R19361" s="36" t="s">
        <v>48</v>
      </c>
    </row>
    <row r="19362">
      <c r="H19362" s="50"/>
      <c r="I19362" s="50"/>
      <c r="O19362" s="36" t="s">
        <v>48</v>
      </c>
      <c r="R19362" s="36" t="s">
        <v>48</v>
      </c>
    </row>
    <row r="19363">
      <c r="H19363" s="50"/>
      <c r="I19363" s="50"/>
      <c r="O19363" s="36" t="s">
        <v>48</v>
      </c>
      <c r="R19363" s="36" t="s">
        <v>48</v>
      </c>
    </row>
    <row r="19364">
      <c r="H19364" s="50"/>
      <c r="I19364" s="50"/>
      <c r="O19364" s="36" t="s">
        <v>48</v>
      </c>
      <c r="R19364" s="36" t="s">
        <v>48</v>
      </c>
    </row>
    <row r="19365">
      <c r="H19365" s="50"/>
      <c r="I19365" s="50"/>
      <c r="O19365" s="36" t="s">
        <v>48</v>
      </c>
      <c r="R19365" s="36" t="s">
        <v>48</v>
      </c>
    </row>
    <row r="19366">
      <c r="H19366" s="50"/>
      <c r="I19366" s="50"/>
      <c r="O19366" s="36" t="s">
        <v>48</v>
      </c>
      <c r="R19366" s="36" t="s">
        <v>48</v>
      </c>
    </row>
    <row r="19367">
      <c r="H19367" s="50"/>
      <c r="I19367" s="50"/>
      <c r="O19367" s="36" t="s">
        <v>48</v>
      </c>
      <c r="R19367" s="36" t="s">
        <v>48</v>
      </c>
    </row>
    <row r="19368">
      <c r="H19368" s="50"/>
      <c r="I19368" s="50"/>
      <c r="O19368" s="36" t="s">
        <v>48</v>
      </c>
      <c r="R19368" s="36" t="s">
        <v>48</v>
      </c>
    </row>
    <row r="19369">
      <c r="H19369" s="50"/>
      <c r="I19369" s="50"/>
      <c r="O19369" s="36" t="s">
        <v>48</v>
      </c>
      <c r="R19369" s="36" t="s">
        <v>48</v>
      </c>
    </row>
    <row r="19370">
      <c r="H19370" s="50"/>
      <c r="I19370" s="50"/>
      <c r="O19370" s="36" t="s">
        <v>48</v>
      </c>
      <c r="R19370" s="36" t="s">
        <v>48</v>
      </c>
    </row>
    <row r="19371">
      <c r="H19371" s="50"/>
      <c r="I19371" s="50"/>
      <c r="O19371" s="36" t="s">
        <v>48</v>
      </c>
      <c r="R19371" s="36" t="s">
        <v>48</v>
      </c>
    </row>
    <row r="19372">
      <c r="H19372" s="50"/>
      <c r="I19372" s="50"/>
      <c r="O19372" s="36" t="s">
        <v>48</v>
      </c>
      <c r="R19372" s="36" t="s">
        <v>48</v>
      </c>
    </row>
    <row r="19373">
      <c r="H19373" s="50"/>
      <c r="I19373" s="50"/>
      <c r="O19373" s="36" t="s">
        <v>48</v>
      </c>
      <c r="R19373" s="36" t="s">
        <v>48</v>
      </c>
    </row>
    <row r="19374">
      <c r="H19374" s="50"/>
      <c r="I19374" s="50"/>
      <c r="O19374" s="36" t="s">
        <v>48</v>
      </c>
      <c r="R19374" s="36" t="s">
        <v>48</v>
      </c>
    </row>
    <row r="19375">
      <c r="H19375" s="50"/>
      <c r="I19375" s="50"/>
      <c r="O19375" s="36" t="s">
        <v>48</v>
      </c>
      <c r="R19375" s="36" t="s">
        <v>48</v>
      </c>
    </row>
    <row r="19376">
      <c r="H19376" s="50"/>
      <c r="I19376" s="50"/>
      <c r="O19376" s="36" t="s">
        <v>48</v>
      </c>
      <c r="R19376" s="36" t="s">
        <v>48</v>
      </c>
    </row>
    <row r="19377">
      <c r="H19377" s="50"/>
      <c r="I19377" s="50"/>
      <c r="O19377" s="36" t="s">
        <v>48</v>
      </c>
      <c r="R19377" s="36" t="s">
        <v>48</v>
      </c>
    </row>
    <row r="19378">
      <c r="H19378" s="50"/>
      <c r="I19378" s="50"/>
      <c r="O19378" s="36" t="s">
        <v>48</v>
      </c>
      <c r="R19378" s="36" t="s">
        <v>48</v>
      </c>
    </row>
    <row r="19379">
      <c r="H19379" s="50"/>
      <c r="I19379" s="50"/>
      <c r="O19379" s="36" t="s">
        <v>48</v>
      </c>
      <c r="R19379" s="36" t="s">
        <v>48</v>
      </c>
    </row>
    <row r="19380">
      <c r="H19380" s="50"/>
      <c r="I19380" s="50"/>
      <c r="O19380" s="36" t="s">
        <v>48</v>
      </c>
      <c r="R19380" s="36" t="s">
        <v>48</v>
      </c>
    </row>
    <row r="19381">
      <c r="H19381" s="50"/>
      <c r="I19381" s="50"/>
      <c r="O19381" s="36" t="s">
        <v>48</v>
      </c>
      <c r="R19381" s="36" t="s">
        <v>48</v>
      </c>
    </row>
    <row r="19382">
      <c r="H19382" s="50"/>
      <c r="I19382" s="50"/>
      <c r="O19382" s="36" t="s">
        <v>48</v>
      </c>
      <c r="R19382" s="36" t="s">
        <v>48</v>
      </c>
    </row>
    <row r="19383">
      <c r="H19383" s="50"/>
      <c r="I19383" s="50"/>
      <c r="O19383" s="36" t="s">
        <v>48</v>
      </c>
      <c r="R19383" s="36" t="s">
        <v>48</v>
      </c>
    </row>
    <row r="19384">
      <c r="H19384" s="50"/>
      <c r="I19384" s="50"/>
      <c r="O19384" s="36" t="s">
        <v>48</v>
      </c>
      <c r="R19384" s="36" t="s">
        <v>48</v>
      </c>
    </row>
    <row r="19385">
      <c r="H19385" s="50"/>
      <c r="I19385" s="50"/>
      <c r="O19385" s="36" t="s">
        <v>48</v>
      </c>
      <c r="R19385" s="36" t="s">
        <v>48</v>
      </c>
    </row>
    <row r="19386">
      <c r="H19386" s="50"/>
      <c r="I19386" s="50"/>
      <c r="O19386" s="36" t="s">
        <v>48</v>
      </c>
      <c r="R19386" s="36" t="s">
        <v>48</v>
      </c>
    </row>
    <row r="19387">
      <c r="H19387" s="50"/>
      <c r="I19387" s="50"/>
      <c r="O19387" s="36" t="s">
        <v>48</v>
      </c>
      <c r="R19387" s="36" t="s">
        <v>48</v>
      </c>
    </row>
    <row r="19388">
      <c r="H19388" s="50"/>
      <c r="I19388" s="50"/>
      <c r="O19388" s="36" t="s">
        <v>48</v>
      </c>
      <c r="R19388" s="36" t="s">
        <v>48</v>
      </c>
    </row>
    <row r="19389">
      <c r="H19389" s="50"/>
      <c r="I19389" s="50"/>
      <c r="O19389" s="36" t="s">
        <v>48</v>
      </c>
      <c r="R19389" s="36" t="s">
        <v>48</v>
      </c>
    </row>
    <row r="19390">
      <c r="H19390" s="50"/>
      <c r="I19390" s="50"/>
      <c r="O19390" s="36" t="s">
        <v>48</v>
      </c>
      <c r="R19390" s="36" t="s">
        <v>48</v>
      </c>
    </row>
    <row r="19391">
      <c r="H19391" s="50"/>
      <c r="I19391" s="50"/>
      <c r="O19391" s="36" t="s">
        <v>48</v>
      </c>
      <c r="R19391" s="36" t="s">
        <v>48</v>
      </c>
    </row>
    <row r="19392">
      <c r="H19392" s="50"/>
      <c r="I19392" s="50"/>
      <c r="O19392" s="36" t="s">
        <v>48</v>
      </c>
      <c r="R19392" s="36" t="s">
        <v>48</v>
      </c>
    </row>
    <row r="19393">
      <c r="H19393" s="50"/>
      <c r="I19393" s="50"/>
      <c r="O19393" s="36" t="s">
        <v>48</v>
      </c>
      <c r="R19393" s="36" t="s">
        <v>48</v>
      </c>
    </row>
    <row r="19394">
      <c r="H19394" s="50"/>
      <c r="I19394" s="50"/>
      <c r="O19394" s="36" t="s">
        <v>48</v>
      </c>
      <c r="R19394" s="36" t="s">
        <v>48</v>
      </c>
    </row>
    <row r="19395">
      <c r="H19395" s="50"/>
      <c r="I19395" s="50"/>
      <c r="O19395" s="36" t="s">
        <v>48</v>
      </c>
      <c r="R19395" s="36" t="s">
        <v>48</v>
      </c>
    </row>
    <row r="19396">
      <c r="H19396" s="50"/>
      <c r="I19396" s="50"/>
      <c r="O19396" s="36" t="s">
        <v>48</v>
      </c>
      <c r="R19396" s="36" t="s">
        <v>48</v>
      </c>
    </row>
    <row r="19397">
      <c r="H19397" s="50"/>
      <c r="I19397" s="50"/>
      <c r="O19397" s="36" t="s">
        <v>48</v>
      </c>
      <c r="R19397" s="36" t="s">
        <v>48</v>
      </c>
    </row>
    <row r="19398">
      <c r="H19398" s="50"/>
      <c r="I19398" s="50"/>
      <c r="O19398" s="36" t="s">
        <v>48</v>
      </c>
      <c r="R19398" s="36" t="s">
        <v>48</v>
      </c>
    </row>
    <row r="19399">
      <c r="H19399" s="50"/>
      <c r="I19399" s="50"/>
      <c r="O19399" s="36" t="s">
        <v>48</v>
      </c>
      <c r="R19399" s="36" t="s">
        <v>48</v>
      </c>
    </row>
    <row r="19400">
      <c r="H19400" s="50"/>
      <c r="I19400" s="50"/>
      <c r="O19400" s="36" t="s">
        <v>48</v>
      </c>
      <c r="R19400" s="36" t="s">
        <v>48</v>
      </c>
    </row>
    <row r="19401">
      <c r="H19401" s="50"/>
      <c r="I19401" s="50"/>
      <c r="O19401" s="36" t="s">
        <v>48</v>
      </c>
      <c r="R19401" s="36" t="s">
        <v>48</v>
      </c>
    </row>
    <row r="19402">
      <c r="H19402" s="50"/>
      <c r="I19402" s="50"/>
      <c r="O19402" s="36" t="s">
        <v>48</v>
      </c>
      <c r="R19402" s="36" t="s">
        <v>48</v>
      </c>
    </row>
    <row r="19403">
      <c r="H19403" s="50"/>
      <c r="I19403" s="50"/>
      <c r="O19403" s="36" t="s">
        <v>48</v>
      </c>
      <c r="R19403" s="36" t="s">
        <v>48</v>
      </c>
    </row>
    <row r="19404">
      <c r="H19404" s="50"/>
      <c r="I19404" s="50"/>
      <c r="O19404" s="36" t="s">
        <v>48</v>
      </c>
      <c r="R19404" s="36" t="s">
        <v>48</v>
      </c>
    </row>
    <row r="19405">
      <c r="H19405" s="50"/>
      <c r="I19405" s="50"/>
      <c r="O19405" s="36" t="s">
        <v>48</v>
      </c>
      <c r="R19405" s="36" t="s">
        <v>48</v>
      </c>
    </row>
    <row r="19406">
      <c r="H19406" s="50"/>
      <c r="I19406" s="50"/>
      <c r="O19406" s="36" t="s">
        <v>48</v>
      </c>
      <c r="R19406" s="36" t="s">
        <v>48</v>
      </c>
    </row>
    <row r="19407">
      <c r="H19407" s="50"/>
      <c r="I19407" s="50"/>
      <c r="O19407" s="36" t="s">
        <v>48</v>
      </c>
      <c r="R19407" s="36" t="s">
        <v>48</v>
      </c>
    </row>
    <row r="19408">
      <c r="H19408" s="50"/>
      <c r="I19408" s="50"/>
      <c r="O19408" s="36" t="s">
        <v>48</v>
      </c>
      <c r="R19408" s="36" t="s">
        <v>48</v>
      </c>
    </row>
    <row r="19409">
      <c r="H19409" s="50"/>
      <c r="I19409" s="50"/>
      <c r="O19409" s="36" t="s">
        <v>48</v>
      </c>
      <c r="R19409" s="36" t="s">
        <v>48</v>
      </c>
    </row>
    <row r="19410">
      <c r="H19410" s="50"/>
      <c r="I19410" s="50"/>
      <c r="O19410" s="36" t="s">
        <v>48</v>
      </c>
      <c r="R19410" s="36" t="s">
        <v>48</v>
      </c>
    </row>
    <row r="19411">
      <c r="H19411" s="50"/>
      <c r="I19411" s="50"/>
      <c r="O19411" s="36" t="s">
        <v>48</v>
      </c>
      <c r="R19411" s="36" t="s">
        <v>48</v>
      </c>
    </row>
    <row r="19412">
      <c r="H19412" s="50"/>
      <c r="I19412" s="50"/>
      <c r="O19412" s="36" t="s">
        <v>48</v>
      </c>
      <c r="R19412" s="36" t="s">
        <v>48</v>
      </c>
    </row>
    <row r="19413">
      <c r="H19413" s="50"/>
      <c r="I19413" s="50"/>
      <c r="O19413" s="36" t="s">
        <v>48</v>
      </c>
      <c r="R19413" s="36" t="s">
        <v>48</v>
      </c>
    </row>
    <row r="19414">
      <c r="H19414" s="50"/>
      <c r="I19414" s="50"/>
      <c r="O19414" s="36" t="s">
        <v>48</v>
      </c>
      <c r="R19414" s="36" t="s">
        <v>48</v>
      </c>
    </row>
    <row r="19415">
      <c r="H19415" s="50"/>
      <c r="I19415" s="50"/>
      <c r="O19415" s="36" t="s">
        <v>48</v>
      </c>
      <c r="R19415" s="36" t="s">
        <v>48</v>
      </c>
    </row>
    <row r="19416">
      <c r="H19416" s="50"/>
      <c r="I19416" s="50"/>
      <c r="O19416" s="36" t="s">
        <v>48</v>
      </c>
      <c r="R19416" s="36" t="s">
        <v>48</v>
      </c>
    </row>
    <row r="19417">
      <c r="H19417" s="50"/>
      <c r="I19417" s="50"/>
      <c r="O19417" s="36" t="s">
        <v>48</v>
      </c>
      <c r="R19417" s="36" t="s">
        <v>48</v>
      </c>
    </row>
    <row r="19418">
      <c r="H19418" s="50"/>
      <c r="I19418" s="50"/>
      <c r="O19418" s="36" t="s">
        <v>48</v>
      </c>
      <c r="R19418" s="36" t="s">
        <v>48</v>
      </c>
    </row>
    <row r="19419">
      <c r="H19419" s="50"/>
      <c r="I19419" s="50"/>
      <c r="O19419" s="36" t="s">
        <v>48</v>
      </c>
      <c r="R19419" s="36" t="s">
        <v>48</v>
      </c>
    </row>
    <row r="19420">
      <c r="H19420" s="50"/>
      <c r="I19420" s="50"/>
      <c r="O19420" s="36" t="s">
        <v>48</v>
      </c>
      <c r="R19420" s="36" t="s">
        <v>48</v>
      </c>
    </row>
    <row r="19421">
      <c r="H19421" s="50"/>
      <c r="I19421" s="50"/>
      <c r="O19421" s="36" t="s">
        <v>48</v>
      </c>
      <c r="R19421" s="36" t="s">
        <v>48</v>
      </c>
    </row>
    <row r="19422">
      <c r="H19422" s="50"/>
      <c r="I19422" s="50"/>
      <c r="O19422" s="36" t="s">
        <v>48</v>
      </c>
      <c r="R19422" s="36" t="s">
        <v>48</v>
      </c>
    </row>
    <row r="19423">
      <c r="H19423" s="50"/>
      <c r="I19423" s="50"/>
      <c r="O19423" s="36" t="s">
        <v>48</v>
      </c>
      <c r="R19423" s="36" t="s">
        <v>48</v>
      </c>
    </row>
    <row r="19424">
      <c r="H19424" s="50"/>
      <c r="I19424" s="50"/>
      <c r="O19424" s="36" t="s">
        <v>48</v>
      </c>
      <c r="R19424" s="36" t="s">
        <v>48</v>
      </c>
    </row>
    <row r="19425">
      <c r="H19425" s="50"/>
      <c r="I19425" s="50"/>
      <c r="O19425" s="36" t="s">
        <v>48</v>
      </c>
      <c r="R19425" s="36" t="s">
        <v>48</v>
      </c>
    </row>
    <row r="19426">
      <c r="H19426" s="50"/>
      <c r="I19426" s="50"/>
      <c r="O19426" s="36" t="s">
        <v>48</v>
      </c>
      <c r="R19426" s="36" t="s">
        <v>48</v>
      </c>
    </row>
    <row r="19427">
      <c r="H19427" s="50"/>
      <c r="I19427" s="50"/>
      <c r="O19427" s="36" t="s">
        <v>48</v>
      </c>
      <c r="R19427" s="36" t="s">
        <v>48</v>
      </c>
    </row>
    <row r="19428">
      <c r="H19428" s="50"/>
      <c r="I19428" s="50"/>
      <c r="O19428" s="36" t="s">
        <v>48</v>
      </c>
      <c r="R19428" s="36" t="s">
        <v>48</v>
      </c>
    </row>
    <row r="19429">
      <c r="H19429" s="50"/>
      <c r="I19429" s="50"/>
      <c r="O19429" s="36" t="s">
        <v>48</v>
      </c>
      <c r="R19429" s="36" t="s">
        <v>48</v>
      </c>
    </row>
    <row r="19430">
      <c r="H19430" s="50"/>
      <c r="I19430" s="50"/>
      <c r="O19430" s="36" t="s">
        <v>48</v>
      </c>
      <c r="R19430" s="36" t="s">
        <v>48</v>
      </c>
    </row>
    <row r="19431">
      <c r="H19431" s="50"/>
      <c r="I19431" s="50"/>
      <c r="O19431" s="36" t="s">
        <v>48</v>
      </c>
      <c r="R19431" s="36" t="s">
        <v>48</v>
      </c>
    </row>
    <row r="19432">
      <c r="H19432" s="50"/>
      <c r="I19432" s="50"/>
      <c r="O19432" s="36" t="s">
        <v>48</v>
      </c>
      <c r="R19432" s="36" t="s">
        <v>48</v>
      </c>
    </row>
    <row r="19433">
      <c r="H19433" s="50"/>
      <c r="I19433" s="50"/>
      <c r="O19433" s="36" t="s">
        <v>48</v>
      </c>
      <c r="R19433" s="36" t="s">
        <v>48</v>
      </c>
    </row>
    <row r="19434">
      <c r="H19434" s="50"/>
      <c r="I19434" s="50"/>
      <c r="O19434" s="36" t="s">
        <v>48</v>
      </c>
      <c r="R19434" s="36" t="s">
        <v>48</v>
      </c>
    </row>
    <row r="19435">
      <c r="H19435" s="50"/>
      <c r="I19435" s="50"/>
      <c r="O19435" s="36" t="s">
        <v>48</v>
      </c>
      <c r="R19435" s="36" t="s">
        <v>48</v>
      </c>
    </row>
    <row r="19436">
      <c r="H19436" s="50"/>
      <c r="I19436" s="50"/>
      <c r="O19436" s="36" t="s">
        <v>48</v>
      </c>
      <c r="R19436" s="36" t="s">
        <v>48</v>
      </c>
    </row>
    <row r="19437">
      <c r="H19437" s="50"/>
      <c r="I19437" s="50"/>
      <c r="O19437" s="36" t="s">
        <v>48</v>
      </c>
      <c r="R19437" s="36" t="s">
        <v>48</v>
      </c>
    </row>
    <row r="19438">
      <c r="H19438" s="50"/>
      <c r="I19438" s="50"/>
      <c r="O19438" s="36" t="s">
        <v>48</v>
      </c>
      <c r="R19438" s="36" t="s">
        <v>48</v>
      </c>
    </row>
    <row r="19439">
      <c r="H19439" s="50"/>
      <c r="I19439" s="50"/>
      <c r="O19439" s="36" t="s">
        <v>48</v>
      </c>
      <c r="R19439" s="36" t="s">
        <v>48</v>
      </c>
    </row>
    <row r="19440">
      <c r="H19440" s="50"/>
      <c r="I19440" s="50"/>
      <c r="O19440" s="36" t="s">
        <v>48</v>
      </c>
      <c r="R19440" s="36" t="s">
        <v>48</v>
      </c>
    </row>
    <row r="19441">
      <c r="H19441" s="50"/>
      <c r="I19441" s="50"/>
      <c r="O19441" s="36" t="s">
        <v>48</v>
      </c>
      <c r="R19441" s="36" t="s">
        <v>48</v>
      </c>
    </row>
    <row r="19442">
      <c r="H19442" s="50"/>
      <c r="I19442" s="50"/>
      <c r="O19442" s="36" t="s">
        <v>48</v>
      </c>
      <c r="R19442" s="36" t="s">
        <v>48</v>
      </c>
    </row>
    <row r="19443">
      <c r="H19443" s="50"/>
      <c r="I19443" s="50"/>
      <c r="O19443" s="36" t="s">
        <v>48</v>
      </c>
      <c r="R19443" s="36" t="s">
        <v>48</v>
      </c>
    </row>
    <row r="19444">
      <c r="H19444" s="50"/>
      <c r="I19444" s="50"/>
      <c r="O19444" s="36" t="s">
        <v>48</v>
      </c>
      <c r="R19444" s="36" t="s">
        <v>48</v>
      </c>
    </row>
    <row r="19445">
      <c r="H19445" s="50"/>
      <c r="I19445" s="50"/>
      <c r="O19445" s="36" t="s">
        <v>48</v>
      </c>
      <c r="R19445" s="36" t="s">
        <v>48</v>
      </c>
    </row>
    <row r="19446">
      <c r="H19446" s="50"/>
      <c r="I19446" s="50"/>
      <c r="O19446" s="36" t="s">
        <v>48</v>
      </c>
      <c r="R19446" s="36" t="s">
        <v>48</v>
      </c>
    </row>
    <row r="19447">
      <c r="H19447" s="50"/>
      <c r="I19447" s="50"/>
      <c r="O19447" s="36" t="s">
        <v>48</v>
      </c>
      <c r="R19447" s="36" t="s">
        <v>48</v>
      </c>
    </row>
    <row r="19448">
      <c r="H19448" s="50"/>
      <c r="I19448" s="50"/>
      <c r="O19448" s="36" t="s">
        <v>48</v>
      </c>
      <c r="R19448" s="36" t="s">
        <v>48</v>
      </c>
    </row>
    <row r="19449">
      <c r="H19449" s="50"/>
      <c r="I19449" s="50"/>
      <c r="O19449" s="36" t="s">
        <v>48</v>
      </c>
      <c r="R19449" s="36" t="s">
        <v>48</v>
      </c>
    </row>
    <row r="19450">
      <c r="H19450" s="50"/>
      <c r="I19450" s="50"/>
      <c r="O19450" s="36" t="s">
        <v>48</v>
      </c>
      <c r="R19450" s="36" t="s">
        <v>48</v>
      </c>
    </row>
    <row r="19451">
      <c r="H19451" s="50"/>
      <c r="I19451" s="50"/>
      <c r="O19451" s="36" t="s">
        <v>48</v>
      </c>
      <c r="R19451" s="36" t="s">
        <v>48</v>
      </c>
    </row>
    <row r="19452">
      <c r="H19452" s="50"/>
      <c r="I19452" s="50"/>
      <c r="O19452" s="36" t="s">
        <v>48</v>
      </c>
      <c r="R19452" s="36" t="s">
        <v>48</v>
      </c>
    </row>
    <row r="19453">
      <c r="H19453" s="50"/>
      <c r="I19453" s="50"/>
      <c r="O19453" s="36" t="s">
        <v>48</v>
      </c>
      <c r="R19453" s="36" t="s">
        <v>48</v>
      </c>
    </row>
    <row r="19454">
      <c r="H19454" s="50"/>
      <c r="I19454" s="50"/>
      <c r="O19454" s="36" t="s">
        <v>48</v>
      </c>
      <c r="R19454" s="36" t="s">
        <v>48</v>
      </c>
    </row>
    <row r="19455">
      <c r="H19455" s="50"/>
      <c r="I19455" s="50"/>
      <c r="O19455" s="36" t="s">
        <v>48</v>
      </c>
      <c r="R19455" s="36" t="s">
        <v>48</v>
      </c>
    </row>
    <row r="19456">
      <c r="H19456" s="50"/>
      <c r="I19456" s="50"/>
      <c r="O19456" s="36" t="s">
        <v>48</v>
      </c>
      <c r="R19456" s="36" t="s">
        <v>48</v>
      </c>
    </row>
    <row r="19457">
      <c r="H19457" s="50"/>
      <c r="I19457" s="50"/>
      <c r="O19457" s="36" t="s">
        <v>48</v>
      </c>
      <c r="R19457" s="36" t="s">
        <v>48</v>
      </c>
    </row>
    <row r="19458">
      <c r="H19458" s="50"/>
      <c r="I19458" s="50"/>
      <c r="O19458" s="36" t="s">
        <v>48</v>
      </c>
      <c r="R19458" s="36" t="s">
        <v>48</v>
      </c>
    </row>
    <row r="19459">
      <c r="H19459" s="50"/>
      <c r="I19459" s="50"/>
      <c r="O19459" s="36" t="s">
        <v>48</v>
      </c>
      <c r="R19459" s="36" t="s">
        <v>48</v>
      </c>
    </row>
    <row r="19460">
      <c r="H19460" s="50"/>
      <c r="I19460" s="50"/>
      <c r="O19460" s="36" t="s">
        <v>48</v>
      </c>
      <c r="R19460" s="36" t="s">
        <v>48</v>
      </c>
    </row>
    <row r="19461">
      <c r="H19461" s="50"/>
      <c r="I19461" s="50"/>
      <c r="O19461" s="36" t="s">
        <v>48</v>
      </c>
      <c r="R19461" s="36" t="s">
        <v>48</v>
      </c>
    </row>
    <row r="19462">
      <c r="H19462" s="50"/>
      <c r="I19462" s="50"/>
      <c r="O19462" s="36" t="s">
        <v>48</v>
      </c>
      <c r="R19462" s="36" t="s">
        <v>48</v>
      </c>
    </row>
    <row r="19463">
      <c r="H19463" s="50"/>
      <c r="I19463" s="50"/>
      <c r="O19463" s="36" t="s">
        <v>48</v>
      </c>
      <c r="R19463" s="36" t="s">
        <v>48</v>
      </c>
    </row>
    <row r="19464">
      <c r="H19464" s="50"/>
      <c r="I19464" s="50"/>
      <c r="O19464" s="36" t="s">
        <v>48</v>
      </c>
      <c r="R19464" s="36" t="s">
        <v>48</v>
      </c>
    </row>
    <row r="19465">
      <c r="H19465" s="50"/>
      <c r="I19465" s="50"/>
      <c r="O19465" s="36" t="s">
        <v>48</v>
      </c>
      <c r="R19465" s="36" t="s">
        <v>48</v>
      </c>
    </row>
    <row r="19466">
      <c r="H19466" s="50"/>
      <c r="I19466" s="50"/>
      <c r="O19466" s="36" t="s">
        <v>48</v>
      </c>
      <c r="R19466" s="36" t="s">
        <v>48</v>
      </c>
    </row>
    <row r="19467">
      <c r="H19467" s="50"/>
      <c r="I19467" s="50"/>
      <c r="O19467" s="36" t="s">
        <v>48</v>
      </c>
      <c r="R19467" s="36" t="s">
        <v>48</v>
      </c>
    </row>
    <row r="19468">
      <c r="H19468" s="50"/>
      <c r="I19468" s="50"/>
      <c r="O19468" s="36" t="s">
        <v>48</v>
      </c>
      <c r="R19468" s="36" t="s">
        <v>48</v>
      </c>
    </row>
    <row r="19469">
      <c r="H19469" s="50"/>
      <c r="I19469" s="50"/>
      <c r="O19469" s="36" t="s">
        <v>48</v>
      </c>
      <c r="R19469" s="36" t="s">
        <v>48</v>
      </c>
    </row>
    <row r="19470">
      <c r="H19470" s="50"/>
      <c r="I19470" s="50"/>
      <c r="O19470" s="36" t="s">
        <v>48</v>
      </c>
      <c r="R19470" s="36" t="s">
        <v>48</v>
      </c>
    </row>
    <row r="19471">
      <c r="H19471" s="50"/>
      <c r="I19471" s="50"/>
      <c r="O19471" s="36" t="s">
        <v>48</v>
      </c>
      <c r="R19471" s="36" t="s">
        <v>48</v>
      </c>
    </row>
    <row r="19472">
      <c r="H19472" s="50"/>
      <c r="I19472" s="50"/>
      <c r="O19472" s="36" t="s">
        <v>48</v>
      </c>
      <c r="R19472" s="36" t="s">
        <v>48</v>
      </c>
    </row>
    <row r="19473">
      <c r="H19473" s="50"/>
      <c r="I19473" s="50"/>
      <c r="O19473" s="36" t="s">
        <v>48</v>
      </c>
      <c r="R19473" s="36" t="s">
        <v>48</v>
      </c>
    </row>
    <row r="19474">
      <c r="H19474" s="50"/>
      <c r="I19474" s="50"/>
      <c r="O19474" s="36" t="s">
        <v>48</v>
      </c>
      <c r="R19474" s="36" t="s">
        <v>48</v>
      </c>
    </row>
    <row r="19475">
      <c r="H19475" s="50"/>
      <c r="I19475" s="50"/>
      <c r="O19475" s="36" t="s">
        <v>48</v>
      </c>
      <c r="R19475" s="36" t="s">
        <v>48</v>
      </c>
    </row>
    <row r="19476">
      <c r="H19476" s="50"/>
      <c r="I19476" s="50"/>
      <c r="O19476" s="36" t="s">
        <v>48</v>
      </c>
      <c r="R19476" s="36" t="s">
        <v>48</v>
      </c>
    </row>
    <row r="19477">
      <c r="H19477" s="50"/>
      <c r="I19477" s="50"/>
      <c r="O19477" s="36" t="s">
        <v>48</v>
      </c>
      <c r="R19477" s="36" t="s">
        <v>48</v>
      </c>
    </row>
    <row r="19478">
      <c r="H19478" s="50"/>
      <c r="I19478" s="50"/>
      <c r="O19478" s="36" t="s">
        <v>48</v>
      </c>
      <c r="R19478" s="36" t="s">
        <v>48</v>
      </c>
    </row>
    <row r="19479">
      <c r="H19479" s="50"/>
      <c r="I19479" s="50"/>
      <c r="O19479" s="36" t="s">
        <v>48</v>
      </c>
      <c r="R19479" s="36" t="s">
        <v>48</v>
      </c>
    </row>
    <row r="19480">
      <c r="H19480" s="50"/>
      <c r="I19480" s="50"/>
      <c r="O19480" s="36" t="s">
        <v>48</v>
      </c>
      <c r="R19480" s="36" t="s">
        <v>48</v>
      </c>
    </row>
    <row r="19481">
      <c r="H19481" s="50"/>
      <c r="I19481" s="50"/>
      <c r="O19481" s="36" t="s">
        <v>48</v>
      </c>
      <c r="R19481" s="36" t="s">
        <v>48</v>
      </c>
    </row>
    <row r="19482">
      <c r="H19482" s="50"/>
      <c r="I19482" s="50"/>
      <c r="O19482" s="36" t="s">
        <v>48</v>
      </c>
      <c r="R19482" s="36" t="s">
        <v>48</v>
      </c>
    </row>
    <row r="19483">
      <c r="H19483" s="50"/>
      <c r="I19483" s="50"/>
      <c r="O19483" s="36" t="s">
        <v>48</v>
      </c>
      <c r="R19483" s="36" t="s">
        <v>48</v>
      </c>
    </row>
    <row r="19484">
      <c r="H19484" s="50"/>
      <c r="I19484" s="50"/>
      <c r="O19484" s="36" t="s">
        <v>48</v>
      </c>
      <c r="R19484" s="36" t="s">
        <v>48</v>
      </c>
    </row>
    <row r="19485">
      <c r="H19485" s="50"/>
      <c r="I19485" s="50"/>
      <c r="O19485" s="36" t="s">
        <v>48</v>
      </c>
      <c r="R19485" s="36" t="s">
        <v>48</v>
      </c>
    </row>
    <row r="19486">
      <c r="H19486" s="50"/>
      <c r="I19486" s="50"/>
      <c r="O19486" s="36" t="s">
        <v>48</v>
      </c>
      <c r="R19486" s="36" t="s">
        <v>48</v>
      </c>
    </row>
    <row r="19487">
      <c r="H19487" s="50"/>
      <c r="I19487" s="50"/>
      <c r="O19487" s="36" t="s">
        <v>48</v>
      </c>
      <c r="R19487" s="36" t="s">
        <v>48</v>
      </c>
    </row>
    <row r="19488">
      <c r="H19488" s="50"/>
      <c r="I19488" s="50"/>
      <c r="O19488" s="36" t="s">
        <v>48</v>
      </c>
      <c r="R19488" s="36" t="s">
        <v>48</v>
      </c>
    </row>
    <row r="19489">
      <c r="H19489" s="50"/>
      <c r="I19489" s="50"/>
      <c r="O19489" s="36" t="s">
        <v>48</v>
      </c>
      <c r="R19489" s="36" t="s">
        <v>48</v>
      </c>
    </row>
    <row r="19490">
      <c r="H19490" s="50"/>
      <c r="I19490" s="50"/>
      <c r="O19490" s="36" t="s">
        <v>48</v>
      </c>
      <c r="R19490" s="36" t="s">
        <v>48</v>
      </c>
    </row>
    <row r="19491">
      <c r="H19491" s="50"/>
      <c r="I19491" s="50"/>
      <c r="O19491" s="36" t="s">
        <v>48</v>
      </c>
      <c r="R19491" s="36" t="s">
        <v>48</v>
      </c>
    </row>
    <row r="19492">
      <c r="H19492" s="50"/>
      <c r="I19492" s="50"/>
      <c r="O19492" s="36" t="s">
        <v>48</v>
      </c>
      <c r="R19492" s="36" t="s">
        <v>48</v>
      </c>
    </row>
    <row r="19493">
      <c r="H19493" s="50"/>
      <c r="I19493" s="50"/>
      <c r="O19493" s="36" t="s">
        <v>48</v>
      </c>
      <c r="R19493" s="36" t="s">
        <v>48</v>
      </c>
    </row>
    <row r="19494">
      <c r="H19494" s="50"/>
      <c r="I19494" s="50"/>
      <c r="O19494" s="36" t="s">
        <v>48</v>
      </c>
      <c r="R19494" s="36" t="s">
        <v>48</v>
      </c>
    </row>
    <row r="19495">
      <c r="H19495" s="50"/>
      <c r="I19495" s="50"/>
      <c r="O19495" s="36" t="s">
        <v>48</v>
      </c>
      <c r="R19495" s="36" t="s">
        <v>48</v>
      </c>
    </row>
    <row r="19496">
      <c r="H19496" s="50"/>
      <c r="I19496" s="50"/>
      <c r="O19496" s="36" t="s">
        <v>48</v>
      </c>
      <c r="R19496" s="36" t="s">
        <v>48</v>
      </c>
    </row>
    <row r="19497">
      <c r="H19497" s="50"/>
      <c r="I19497" s="50"/>
      <c r="O19497" s="36" t="s">
        <v>48</v>
      </c>
      <c r="R19497" s="36" t="s">
        <v>48</v>
      </c>
    </row>
    <row r="19498">
      <c r="H19498" s="50"/>
      <c r="I19498" s="50"/>
      <c r="O19498" s="36" t="s">
        <v>48</v>
      </c>
      <c r="R19498" s="36" t="s">
        <v>48</v>
      </c>
    </row>
    <row r="19499">
      <c r="H19499" s="50"/>
      <c r="I19499" s="50"/>
      <c r="O19499" s="36" t="s">
        <v>48</v>
      </c>
      <c r="R19499" s="36" t="s">
        <v>48</v>
      </c>
    </row>
    <row r="19500">
      <c r="H19500" s="50"/>
      <c r="I19500" s="50"/>
      <c r="O19500" s="36" t="s">
        <v>48</v>
      </c>
      <c r="R19500" s="36" t="s">
        <v>48</v>
      </c>
    </row>
    <row r="19501">
      <c r="H19501" s="50"/>
      <c r="I19501" s="50"/>
      <c r="O19501" s="36" t="s">
        <v>48</v>
      </c>
      <c r="R19501" s="36" t="s">
        <v>48</v>
      </c>
    </row>
    <row r="19502">
      <c r="H19502" s="50"/>
      <c r="I19502" s="50"/>
      <c r="O19502" s="36" t="s">
        <v>48</v>
      </c>
      <c r="R19502" s="36" t="s">
        <v>48</v>
      </c>
    </row>
    <row r="19503">
      <c r="H19503" s="50"/>
      <c r="I19503" s="50"/>
      <c r="O19503" s="36" t="s">
        <v>48</v>
      </c>
      <c r="R19503" s="36" t="s">
        <v>48</v>
      </c>
    </row>
    <row r="19504">
      <c r="H19504" s="50"/>
      <c r="I19504" s="50"/>
      <c r="O19504" s="36" t="s">
        <v>48</v>
      </c>
      <c r="R19504" s="36" t="s">
        <v>48</v>
      </c>
    </row>
    <row r="19505">
      <c r="H19505" s="50"/>
      <c r="I19505" s="50"/>
      <c r="O19505" s="36" t="s">
        <v>48</v>
      </c>
      <c r="R19505" s="36" t="s">
        <v>48</v>
      </c>
    </row>
    <row r="19506">
      <c r="H19506" s="50"/>
      <c r="I19506" s="50"/>
      <c r="O19506" s="36" t="s">
        <v>48</v>
      </c>
      <c r="R19506" s="36" t="s">
        <v>48</v>
      </c>
    </row>
    <row r="19507">
      <c r="H19507" s="50"/>
      <c r="I19507" s="50"/>
      <c r="O19507" s="36" t="s">
        <v>48</v>
      </c>
      <c r="R19507" s="36" t="s">
        <v>48</v>
      </c>
    </row>
    <row r="19508">
      <c r="H19508" s="50"/>
      <c r="I19508" s="50"/>
      <c r="O19508" s="36" t="s">
        <v>48</v>
      </c>
      <c r="R19508" s="36" t="s">
        <v>48</v>
      </c>
    </row>
    <row r="19509">
      <c r="H19509" s="50"/>
      <c r="I19509" s="50"/>
      <c r="O19509" s="36" t="s">
        <v>48</v>
      </c>
      <c r="R19509" s="36" t="s">
        <v>48</v>
      </c>
    </row>
    <row r="19510">
      <c r="H19510" s="50"/>
      <c r="I19510" s="50"/>
      <c r="O19510" s="36" t="s">
        <v>48</v>
      </c>
      <c r="R19510" s="36" t="s">
        <v>48</v>
      </c>
    </row>
    <row r="19511">
      <c r="H19511" s="50"/>
      <c r="I19511" s="50"/>
      <c r="O19511" s="36" t="s">
        <v>48</v>
      </c>
      <c r="R19511" s="36" t="s">
        <v>48</v>
      </c>
    </row>
    <row r="19512">
      <c r="H19512" s="50"/>
      <c r="I19512" s="50"/>
      <c r="O19512" s="36" t="s">
        <v>48</v>
      </c>
      <c r="R19512" s="36" t="s">
        <v>48</v>
      </c>
    </row>
    <row r="19513">
      <c r="H19513" s="50"/>
      <c r="I19513" s="50"/>
      <c r="O19513" s="36" t="s">
        <v>48</v>
      </c>
      <c r="R19513" s="36" t="s">
        <v>48</v>
      </c>
    </row>
    <row r="19514">
      <c r="H19514" s="50"/>
      <c r="I19514" s="50"/>
      <c r="O19514" s="36" t="s">
        <v>48</v>
      </c>
      <c r="R19514" s="36" t="s">
        <v>48</v>
      </c>
    </row>
    <row r="19515">
      <c r="H19515" s="50"/>
      <c r="I19515" s="50"/>
      <c r="O19515" s="36" t="s">
        <v>48</v>
      </c>
      <c r="R19515" s="36" t="s">
        <v>48</v>
      </c>
    </row>
    <row r="19516">
      <c r="H19516" s="50"/>
      <c r="I19516" s="50"/>
      <c r="O19516" s="36" t="s">
        <v>48</v>
      </c>
      <c r="R19516" s="36" t="s">
        <v>48</v>
      </c>
    </row>
    <row r="19517">
      <c r="H19517" s="50"/>
      <c r="I19517" s="50"/>
      <c r="O19517" s="36" t="s">
        <v>48</v>
      </c>
      <c r="R19517" s="36" t="s">
        <v>48</v>
      </c>
    </row>
    <row r="19518">
      <c r="H19518" s="50"/>
      <c r="I19518" s="50"/>
      <c r="O19518" s="36" t="s">
        <v>48</v>
      </c>
      <c r="R19518" s="36" t="s">
        <v>48</v>
      </c>
    </row>
    <row r="19519">
      <c r="H19519" s="50"/>
      <c r="I19519" s="50"/>
      <c r="O19519" s="36" t="s">
        <v>48</v>
      </c>
      <c r="R19519" s="36" t="s">
        <v>48</v>
      </c>
    </row>
    <row r="19520">
      <c r="H19520" s="50"/>
      <c r="I19520" s="50"/>
      <c r="O19520" s="36" t="s">
        <v>48</v>
      </c>
      <c r="R19520" s="36" t="s">
        <v>48</v>
      </c>
    </row>
    <row r="19521">
      <c r="H19521" s="50"/>
      <c r="I19521" s="50"/>
      <c r="O19521" s="36" t="s">
        <v>48</v>
      </c>
      <c r="R19521" s="36" t="s">
        <v>48</v>
      </c>
    </row>
    <row r="19522">
      <c r="H19522" s="50"/>
      <c r="I19522" s="50"/>
      <c r="O19522" s="36" t="s">
        <v>48</v>
      </c>
      <c r="R19522" s="36" t="s">
        <v>48</v>
      </c>
    </row>
    <row r="19523">
      <c r="H19523" s="50"/>
      <c r="I19523" s="50"/>
      <c r="O19523" s="36" t="s">
        <v>48</v>
      </c>
      <c r="R19523" s="36" t="s">
        <v>48</v>
      </c>
    </row>
    <row r="19524">
      <c r="H19524" s="50"/>
      <c r="I19524" s="50"/>
      <c r="O19524" s="36" t="s">
        <v>48</v>
      </c>
      <c r="R19524" s="36" t="s">
        <v>48</v>
      </c>
    </row>
    <row r="19525">
      <c r="H19525" s="50"/>
      <c r="I19525" s="50"/>
      <c r="O19525" s="36" t="s">
        <v>48</v>
      </c>
      <c r="R19525" s="36" t="s">
        <v>48</v>
      </c>
    </row>
    <row r="19526">
      <c r="H19526" s="50"/>
      <c r="I19526" s="50"/>
      <c r="O19526" s="36" t="s">
        <v>48</v>
      </c>
      <c r="R19526" s="36" t="s">
        <v>48</v>
      </c>
    </row>
    <row r="19527">
      <c r="H19527" s="50"/>
      <c r="I19527" s="50"/>
      <c r="O19527" s="36" t="s">
        <v>48</v>
      </c>
      <c r="R19527" s="36" t="s">
        <v>48</v>
      </c>
    </row>
    <row r="19528">
      <c r="H19528" s="50"/>
      <c r="I19528" s="50"/>
      <c r="O19528" s="36" t="s">
        <v>48</v>
      </c>
      <c r="R19528" s="36" t="s">
        <v>48</v>
      </c>
    </row>
    <row r="19529">
      <c r="H19529" s="50"/>
      <c r="I19529" s="50"/>
      <c r="O19529" s="36" t="s">
        <v>48</v>
      </c>
      <c r="R19529" s="36" t="s">
        <v>48</v>
      </c>
    </row>
    <row r="19530">
      <c r="H19530" s="50"/>
      <c r="I19530" s="50"/>
      <c r="O19530" s="36" t="s">
        <v>48</v>
      </c>
      <c r="R19530" s="36" t="s">
        <v>48</v>
      </c>
    </row>
    <row r="19531">
      <c r="H19531" s="50"/>
      <c r="I19531" s="50"/>
      <c r="O19531" s="36" t="s">
        <v>48</v>
      </c>
      <c r="R19531" s="36" t="s">
        <v>48</v>
      </c>
    </row>
    <row r="19532">
      <c r="H19532" s="50"/>
      <c r="I19532" s="50"/>
      <c r="O19532" s="36" t="s">
        <v>48</v>
      </c>
      <c r="R19532" s="36" t="s">
        <v>48</v>
      </c>
    </row>
    <row r="19533">
      <c r="H19533" s="50"/>
      <c r="I19533" s="50"/>
      <c r="O19533" s="36" t="s">
        <v>48</v>
      </c>
      <c r="R19533" s="36" t="s">
        <v>48</v>
      </c>
    </row>
    <row r="19534">
      <c r="H19534" s="50"/>
      <c r="I19534" s="50"/>
      <c r="O19534" s="36" t="s">
        <v>48</v>
      </c>
      <c r="R19534" s="36" t="s">
        <v>48</v>
      </c>
    </row>
    <row r="19535">
      <c r="H19535" s="50"/>
      <c r="I19535" s="50"/>
      <c r="O19535" s="36" t="s">
        <v>48</v>
      </c>
      <c r="R19535" s="36" t="s">
        <v>48</v>
      </c>
    </row>
    <row r="19536">
      <c r="H19536" s="50"/>
      <c r="I19536" s="50"/>
      <c r="O19536" s="36" t="s">
        <v>48</v>
      </c>
      <c r="R19536" s="36" t="s">
        <v>48</v>
      </c>
    </row>
    <row r="19537">
      <c r="H19537" s="50"/>
      <c r="I19537" s="50"/>
      <c r="O19537" s="36" t="s">
        <v>48</v>
      </c>
      <c r="R19537" s="36" t="s">
        <v>48</v>
      </c>
    </row>
    <row r="19538">
      <c r="H19538" s="50"/>
      <c r="I19538" s="50"/>
      <c r="O19538" s="36" t="s">
        <v>48</v>
      </c>
      <c r="R19538" s="36" t="s">
        <v>48</v>
      </c>
    </row>
    <row r="19539">
      <c r="H19539" s="50"/>
      <c r="I19539" s="50"/>
      <c r="O19539" s="36" t="s">
        <v>48</v>
      </c>
      <c r="R19539" s="36" t="s">
        <v>48</v>
      </c>
    </row>
    <row r="19540">
      <c r="H19540" s="50"/>
      <c r="I19540" s="50"/>
      <c r="O19540" s="36" t="s">
        <v>48</v>
      </c>
      <c r="R19540" s="36" t="s">
        <v>48</v>
      </c>
    </row>
    <row r="19541">
      <c r="H19541" s="50"/>
      <c r="I19541" s="50"/>
      <c r="O19541" s="36" t="s">
        <v>48</v>
      </c>
      <c r="R19541" s="36" t="s">
        <v>48</v>
      </c>
    </row>
    <row r="19542">
      <c r="H19542" s="50"/>
      <c r="I19542" s="50"/>
      <c r="O19542" s="36" t="s">
        <v>48</v>
      </c>
      <c r="R19542" s="36" t="s">
        <v>48</v>
      </c>
    </row>
    <row r="19543">
      <c r="H19543" s="50"/>
      <c r="I19543" s="50"/>
      <c r="O19543" s="36" t="s">
        <v>48</v>
      </c>
      <c r="R19543" s="36" t="s">
        <v>48</v>
      </c>
    </row>
    <row r="19544">
      <c r="H19544" s="50"/>
      <c r="I19544" s="50"/>
      <c r="O19544" s="36" t="s">
        <v>48</v>
      </c>
      <c r="R19544" s="36" t="s">
        <v>48</v>
      </c>
    </row>
    <row r="19545">
      <c r="H19545" s="50"/>
      <c r="I19545" s="50"/>
      <c r="O19545" s="36" t="s">
        <v>48</v>
      </c>
      <c r="R19545" s="36" t="s">
        <v>48</v>
      </c>
    </row>
    <row r="19546">
      <c r="H19546" s="50"/>
      <c r="I19546" s="50"/>
      <c r="O19546" s="36" t="s">
        <v>48</v>
      </c>
      <c r="R19546" s="36" t="s">
        <v>48</v>
      </c>
    </row>
    <row r="19547">
      <c r="H19547" s="50"/>
      <c r="I19547" s="50"/>
      <c r="O19547" s="36" t="s">
        <v>48</v>
      </c>
      <c r="R19547" s="36" t="s">
        <v>48</v>
      </c>
    </row>
    <row r="19548">
      <c r="H19548" s="50"/>
      <c r="I19548" s="50"/>
      <c r="O19548" s="36" t="s">
        <v>48</v>
      </c>
      <c r="R19548" s="36" t="s">
        <v>48</v>
      </c>
    </row>
    <row r="19549">
      <c r="H19549" s="50"/>
      <c r="I19549" s="50"/>
      <c r="O19549" s="36" t="s">
        <v>48</v>
      </c>
      <c r="R19549" s="36" t="s">
        <v>48</v>
      </c>
    </row>
    <row r="19550">
      <c r="H19550" s="50"/>
      <c r="I19550" s="50"/>
      <c r="O19550" s="36" t="s">
        <v>48</v>
      </c>
      <c r="R19550" s="36" t="s">
        <v>48</v>
      </c>
    </row>
    <row r="19551">
      <c r="H19551" s="50"/>
      <c r="I19551" s="50"/>
      <c r="O19551" s="36" t="s">
        <v>48</v>
      </c>
      <c r="R19551" s="36" t="s">
        <v>48</v>
      </c>
    </row>
    <row r="19552">
      <c r="H19552" s="50"/>
      <c r="I19552" s="50"/>
      <c r="O19552" s="36" t="s">
        <v>48</v>
      </c>
      <c r="R19552" s="36" t="s">
        <v>48</v>
      </c>
    </row>
    <row r="19553">
      <c r="H19553" s="50"/>
      <c r="I19553" s="50"/>
      <c r="O19553" s="36" t="s">
        <v>48</v>
      </c>
      <c r="R19553" s="36" t="s">
        <v>48</v>
      </c>
    </row>
    <row r="19554">
      <c r="H19554" s="50"/>
      <c r="I19554" s="50"/>
      <c r="O19554" s="36" t="s">
        <v>48</v>
      </c>
      <c r="R19554" s="36" t="s">
        <v>48</v>
      </c>
    </row>
    <row r="19555">
      <c r="H19555" s="50"/>
      <c r="I19555" s="50"/>
      <c r="O19555" s="36" t="s">
        <v>48</v>
      </c>
      <c r="R19555" s="36" t="s">
        <v>48</v>
      </c>
    </row>
    <row r="19556">
      <c r="H19556" s="50"/>
      <c r="I19556" s="50"/>
      <c r="O19556" s="36" t="s">
        <v>48</v>
      </c>
      <c r="R19556" s="36" t="s">
        <v>48</v>
      </c>
    </row>
    <row r="19557">
      <c r="H19557" s="50"/>
      <c r="I19557" s="50"/>
      <c r="O19557" s="36" t="s">
        <v>48</v>
      </c>
      <c r="R19557" s="36" t="s">
        <v>48</v>
      </c>
    </row>
    <row r="19558">
      <c r="H19558" s="50"/>
      <c r="I19558" s="50"/>
      <c r="O19558" s="36" t="s">
        <v>48</v>
      </c>
      <c r="R19558" s="36" t="s">
        <v>48</v>
      </c>
    </row>
    <row r="19559">
      <c r="H19559" s="50"/>
      <c r="I19559" s="50"/>
      <c r="O19559" s="36" t="s">
        <v>48</v>
      </c>
      <c r="R19559" s="36" t="s">
        <v>48</v>
      </c>
    </row>
    <row r="19560">
      <c r="H19560" s="50"/>
      <c r="I19560" s="50"/>
      <c r="O19560" s="36" t="s">
        <v>48</v>
      </c>
      <c r="R19560" s="36" t="s">
        <v>48</v>
      </c>
    </row>
    <row r="19561">
      <c r="H19561" s="50"/>
      <c r="I19561" s="50"/>
      <c r="O19561" s="36" t="s">
        <v>48</v>
      </c>
      <c r="R19561" s="36" t="s">
        <v>48</v>
      </c>
    </row>
    <row r="19562">
      <c r="H19562" s="50"/>
      <c r="I19562" s="50"/>
      <c r="O19562" s="36" t="s">
        <v>48</v>
      </c>
      <c r="R19562" s="36" t="s">
        <v>48</v>
      </c>
    </row>
    <row r="19563">
      <c r="H19563" s="50"/>
      <c r="I19563" s="50"/>
      <c r="O19563" s="36" t="s">
        <v>48</v>
      </c>
      <c r="R19563" s="36" t="s">
        <v>48</v>
      </c>
    </row>
    <row r="19564">
      <c r="H19564" s="50"/>
      <c r="I19564" s="50"/>
      <c r="O19564" s="36" t="s">
        <v>48</v>
      </c>
      <c r="R19564" s="36" t="s">
        <v>48</v>
      </c>
    </row>
    <row r="19565">
      <c r="H19565" s="50"/>
      <c r="I19565" s="50"/>
      <c r="O19565" s="36" t="s">
        <v>48</v>
      </c>
      <c r="R19565" s="36" t="s">
        <v>48</v>
      </c>
    </row>
    <row r="19566">
      <c r="H19566" s="50"/>
      <c r="I19566" s="50"/>
      <c r="O19566" s="36" t="s">
        <v>48</v>
      </c>
      <c r="R19566" s="36" t="s">
        <v>48</v>
      </c>
    </row>
    <row r="19567">
      <c r="H19567" s="50"/>
      <c r="I19567" s="50"/>
      <c r="O19567" s="36" t="s">
        <v>48</v>
      </c>
      <c r="R19567" s="36" t="s">
        <v>48</v>
      </c>
    </row>
    <row r="19568">
      <c r="H19568" s="50"/>
      <c r="I19568" s="50"/>
      <c r="O19568" s="36" t="s">
        <v>48</v>
      </c>
      <c r="R19568" s="36" t="s">
        <v>48</v>
      </c>
    </row>
    <row r="19569">
      <c r="H19569" s="50"/>
      <c r="I19569" s="50"/>
      <c r="O19569" s="36" t="s">
        <v>48</v>
      </c>
      <c r="R19569" s="36" t="s">
        <v>48</v>
      </c>
    </row>
    <row r="19570">
      <c r="H19570" s="50"/>
      <c r="I19570" s="50"/>
      <c r="O19570" s="36" t="s">
        <v>48</v>
      </c>
      <c r="R19570" s="36" t="s">
        <v>48</v>
      </c>
    </row>
    <row r="19571">
      <c r="H19571" s="50"/>
      <c r="I19571" s="50"/>
      <c r="O19571" s="36" t="s">
        <v>48</v>
      </c>
      <c r="R19571" s="36" t="s">
        <v>48</v>
      </c>
    </row>
    <row r="19572">
      <c r="H19572" s="50"/>
      <c r="I19572" s="50"/>
      <c r="O19572" s="36" t="s">
        <v>48</v>
      </c>
      <c r="R19572" s="36" t="s">
        <v>48</v>
      </c>
    </row>
    <row r="19573">
      <c r="H19573" s="50"/>
      <c r="I19573" s="50"/>
      <c r="O19573" s="36" t="s">
        <v>48</v>
      </c>
      <c r="R19573" s="36" t="s">
        <v>48</v>
      </c>
    </row>
    <row r="19574">
      <c r="H19574" s="50"/>
      <c r="I19574" s="50"/>
      <c r="O19574" s="36" t="s">
        <v>48</v>
      </c>
      <c r="R19574" s="36" t="s">
        <v>48</v>
      </c>
    </row>
    <row r="19575">
      <c r="H19575" s="50"/>
      <c r="I19575" s="50"/>
      <c r="O19575" s="36" t="s">
        <v>48</v>
      </c>
      <c r="R19575" s="36" t="s">
        <v>48</v>
      </c>
    </row>
    <row r="19576">
      <c r="H19576" s="50"/>
      <c r="I19576" s="50"/>
      <c r="O19576" s="36" t="s">
        <v>48</v>
      </c>
      <c r="R19576" s="36" t="s">
        <v>48</v>
      </c>
    </row>
    <row r="19577">
      <c r="H19577" s="50"/>
      <c r="I19577" s="50"/>
      <c r="O19577" s="36" t="s">
        <v>48</v>
      </c>
      <c r="R19577" s="36" t="s">
        <v>48</v>
      </c>
    </row>
    <row r="19578">
      <c r="H19578" s="50"/>
      <c r="I19578" s="50"/>
      <c r="O19578" s="36" t="s">
        <v>48</v>
      </c>
      <c r="R19578" s="36" t="s">
        <v>48</v>
      </c>
    </row>
    <row r="19579">
      <c r="H19579" s="50"/>
      <c r="I19579" s="50"/>
      <c r="O19579" s="36" t="s">
        <v>48</v>
      </c>
      <c r="R19579" s="36" t="s">
        <v>48</v>
      </c>
    </row>
    <row r="19580">
      <c r="H19580" s="50"/>
      <c r="I19580" s="50"/>
      <c r="O19580" s="36" t="s">
        <v>48</v>
      </c>
      <c r="R19580" s="36" t="s">
        <v>48</v>
      </c>
    </row>
    <row r="19581">
      <c r="H19581" s="50"/>
      <c r="I19581" s="50"/>
      <c r="O19581" s="36" t="s">
        <v>48</v>
      </c>
      <c r="R19581" s="36" t="s">
        <v>48</v>
      </c>
    </row>
    <row r="19582">
      <c r="H19582" s="50"/>
      <c r="I19582" s="50"/>
      <c r="O19582" s="36" t="s">
        <v>48</v>
      </c>
      <c r="R19582" s="36" t="s">
        <v>48</v>
      </c>
    </row>
    <row r="19583">
      <c r="H19583" s="50"/>
      <c r="I19583" s="50"/>
      <c r="O19583" s="36" t="s">
        <v>48</v>
      </c>
      <c r="R19583" s="36" t="s">
        <v>48</v>
      </c>
    </row>
    <row r="19584">
      <c r="H19584" s="50"/>
      <c r="I19584" s="50"/>
      <c r="O19584" s="36" t="s">
        <v>48</v>
      </c>
      <c r="R19584" s="36" t="s">
        <v>48</v>
      </c>
    </row>
    <row r="19585">
      <c r="H19585" s="50"/>
      <c r="I19585" s="50"/>
      <c r="O19585" s="36" t="s">
        <v>48</v>
      </c>
      <c r="R19585" s="36" t="s">
        <v>48</v>
      </c>
    </row>
    <row r="19586">
      <c r="H19586" s="50"/>
      <c r="I19586" s="50"/>
      <c r="O19586" s="36" t="s">
        <v>48</v>
      </c>
      <c r="R19586" s="36" t="s">
        <v>48</v>
      </c>
    </row>
    <row r="19587">
      <c r="H19587" s="50"/>
      <c r="I19587" s="50"/>
      <c r="O19587" s="36" t="s">
        <v>48</v>
      </c>
      <c r="R19587" s="36" t="s">
        <v>48</v>
      </c>
    </row>
    <row r="19588">
      <c r="H19588" s="50"/>
      <c r="I19588" s="50"/>
      <c r="O19588" s="36" t="s">
        <v>48</v>
      </c>
      <c r="R19588" s="36" t="s">
        <v>48</v>
      </c>
    </row>
    <row r="19589">
      <c r="H19589" s="50"/>
      <c r="I19589" s="50"/>
      <c r="O19589" s="36" t="s">
        <v>48</v>
      </c>
      <c r="R19589" s="36" t="s">
        <v>48</v>
      </c>
    </row>
    <row r="19590">
      <c r="H19590" s="50"/>
      <c r="I19590" s="50"/>
      <c r="O19590" s="36" t="s">
        <v>48</v>
      </c>
      <c r="R19590" s="36" t="s">
        <v>48</v>
      </c>
    </row>
    <row r="19591">
      <c r="H19591" s="50"/>
      <c r="I19591" s="50"/>
      <c r="O19591" s="36" t="s">
        <v>48</v>
      </c>
      <c r="R19591" s="36" t="s">
        <v>48</v>
      </c>
    </row>
    <row r="19592">
      <c r="H19592" s="50"/>
      <c r="I19592" s="50"/>
      <c r="O19592" s="36" t="s">
        <v>48</v>
      </c>
      <c r="R19592" s="36" t="s">
        <v>48</v>
      </c>
    </row>
    <row r="19593">
      <c r="H19593" s="50"/>
      <c r="I19593" s="50"/>
      <c r="O19593" s="36" t="s">
        <v>48</v>
      </c>
      <c r="R19593" s="36" t="s">
        <v>48</v>
      </c>
    </row>
    <row r="19594">
      <c r="H19594" s="50"/>
      <c r="I19594" s="50"/>
      <c r="O19594" s="36" t="s">
        <v>48</v>
      </c>
      <c r="R19594" s="36" t="s">
        <v>48</v>
      </c>
    </row>
    <row r="19595">
      <c r="H19595" s="50"/>
      <c r="I19595" s="50"/>
      <c r="O19595" s="36" t="s">
        <v>48</v>
      </c>
      <c r="R19595" s="36" t="s">
        <v>48</v>
      </c>
    </row>
    <row r="19596">
      <c r="H19596" s="50"/>
      <c r="I19596" s="50"/>
      <c r="O19596" s="36" t="s">
        <v>48</v>
      </c>
      <c r="R19596" s="36" t="s">
        <v>48</v>
      </c>
    </row>
    <row r="19597">
      <c r="H19597" s="50"/>
      <c r="I19597" s="50"/>
      <c r="O19597" s="36" t="s">
        <v>48</v>
      </c>
      <c r="R19597" s="36" t="s">
        <v>48</v>
      </c>
    </row>
    <row r="19598">
      <c r="H19598" s="50"/>
      <c r="I19598" s="50"/>
      <c r="O19598" s="36" t="s">
        <v>48</v>
      </c>
      <c r="R19598" s="36" t="s">
        <v>48</v>
      </c>
    </row>
    <row r="19599">
      <c r="H19599" s="50"/>
      <c r="I19599" s="50"/>
      <c r="O19599" s="36" t="s">
        <v>48</v>
      </c>
      <c r="R19599" s="36" t="s">
        <v>48</v>
      </c>
    </row>
    <row r="19600">
      <c r="H19600" s="50"/>
      <c r="I19600" s="50"/>
      <c r="O19600" s="36" t="s">
        <v>48</v>
      </c>
      <c r="R19600" s="36" t="s">
        <v>48</v>
      </c>
    </row>
    <row r="19601">
      <c r="H19601" s="50"/>
      <c r="I19601" s="50"/>
      <c r="O19601" s="36" t="s">
        <v>48</v>
      </c>
      <c r="R19601" s="36" t="s">
        <v>48</v>
      </c>
    </row>
    <row r="19602">
      <c r="H19602" s="50"/>
      <c r="I19602" s="50"/>
      <c r="O19602" s="36" t="s">
        <v>48</v>
      </c>
      <c r="R19602" s="36" t="s">
        <v>48</v>
      </c>
    </row>
    <row r="19603">
      <c r="H19603" s="50"/>
      <c r="I19603" s="50"/>
      <c r="O19603" s="36" t="s">
        <v>48</v>
      </c>
      <c r="R19603" s="36" t="s">
        <v>48</v>
      </c>
    </row>
    <row r="19604">
      <c r="H19604" s="50"/>
      <c r="I19604" s="50"/>
      <c r="O19604" s="36" t="s">
        <v>48</v>
      </c>
      <c r="R19604" s="36" t="s">
        <v>48</v>
      </c>
    </row>
    <row r="19605">
      <c r="H19605" s="50"/>
      <c r="I19605" s="50"/>
      <c r="O19605" s="36" t="s">
        <v>48</v>
      </c>
      <c r="R19605" s="36" t="s">
        <v>48</v>
      </c>
    </row>
    <row r="19606">
      <c r="H19606" s="50"/>
      <c r="I19606" s="50"/>
      <c r="O19606" s="36" t="s">
        <v>48</v>
      </c>
      <c r="R19606" s="36" t="s">
        <v>48</v>
      </c>
    </row>
    <row r="19607">
      <c r="H19607" s="50"/>
      <c r="I19607" s="50"/>
      <c r="O19607" s="36" t="s">
        <v>48</v>
      </c>
      <c r="R19607" s="36" t="s">
        <v>48</v>
      </c>
    </row>
    <row r="19608">
      <c r="H19608" s="50"/>
      <c r="I19608" s="50"/>
      <c r="O19608" s="36" t="s">
        <v>48</v>
      </c>
      <c r="R19608" s="36" t="s">
        <v>48</v>
      </c>
    </row>
    <row r="19609">
      <c r="H19609" s="50"/>
      <c r="I19609" s="50"/>
      <c r="O19609" s="36" t="s">
        <v>48</v>
      </c>
      <c r="R19609" s="36" t="s">
        <v>48</v>
      </c>
    </row>
    <row r="19610">
      <c r="H19610" s="50"/>
      <c r="I19610" s="50"/>
      <c r="O19610" s="36" t="s">
        <v>48</v>
      </c>
      <c r="R19610" s="36" t="s">
        <v>48</v>
      </c>
    </row>
    <row r="19611">
      <c r="H19611" s="50"/>
      <c r="I19611" s="50"/>
      <c r="O19611" s="36" t="s">
        <v>48</v>
      </c>
      <c r="R19611" s="36" t="s">
        <v>48</v>
      </c>
    </row>
    <row r="19612">
      <c r="H19612" s="50"/>
      <c r="I19612" s="50"/>
      <c r="O19612" s="36" t="s">
        <v>48</v>
      </c>
      <c r="R19612" s="36" t="s">
        <v>48</v>
      </c>
    </row>
    <row r="19613">
      <c r="H19613" s="50"/>
      <c r="I19613" s="50"/>
      <c r="O19613" s="36" t="s">
        <v>48</v>
      </c>
      <c r="R19613" s="36" t="s">
        <v>48</v>
      </c>
    </row>
    <row r="19614">
      <c r="H19614" s="50"/>
      <c r="I19614" s="50"/>
      <c r="O19614" s="36" t="s">
        <v>48</v>
      </c>
      <c r="R19614" s="36" t="s">
        <v>48</v>
      </c>
    </row>
    <row r="19615">
      <c r="H19615" s="50"/>
      <c r="I19615" s="50"/>
      <c r="O19615" s="36" t="s">
        <v>48</v>
      </c>
      <c r="R19615" s="36" t="s">
        <v>48</v>
      </c>
    </row>
    <row r="19616">
      <c r="H19616" s="50"/>
      <c r="I19616" s="50"/>
      <c r="O19616" s="36" t="s">
        <v>48</v>
      </c>
      <c r="R19616" s="36" t="s">
        <v>48</v>
      </c>
    </row>
    <row r="19617">
      <c r="H19617" s="50"/>
      <c r="I19617" s="50"/>
      <c r="O19617" s="36" t="s">
        <v>48</v>
      </c>
      <c r="R19617" s="36" t="s">
        <v>48</v>
      </c>
    </row>
    <row r="19618">
      <c r="H19618" s="50"/>
      <c r="I19618" s="50"/>
      <c r="O19618" s="36" t="s">
        <v>48</v>
      </c>
      <c r="R19618" s="36" t="s">
        <v>48</v>
      </c>
    </row>
    <row r="19619">
      <c r="H19619" s="50"/>
      <c r="I19619" s="50"/>
      <c r="O19619" s="36" t="s">
        <v>48</v>
      </c>
      <c r="R19619" s="36" t="s">
        <v>48</v>
      </c>
    </row>
    <row r="19620">
      <c r="H19620" s="50"/>
      <c r="I19620" s="50"/>
      <c r="O19620" s="36" t="s">
        <v>48</v>
      </c>
      <c r="R19620" s="36" t="s">
        <v>48</v>
      </c>
    </row>
    <row r="19621">
      <c r="H19621" s="50"/>
      <c r="I19621" s="50"/>
      <c r="O19621" s="36" t="s">
        <v>48</v>
      </c>
      <c r="R19621" s="36" t="s">
        <v>48</v>
      </c>
    </row>
    <row r="19622">
      <c r="H19622" s="50"/>
      <c r="I19622" s="50"/>
      <c r="O19622" s="36" t="s">
        <v>48</v>
      </c>
      <c r="R19622" s="36" t="s">
        <v>48</v>
      </c>
    </row>
    <row r="19623">
      <c r="H19623" s="50"/>
      <c r="I19623" s="50"/>
      <c r="O19623" s="36" t="s">
        <v>48</v>
      </c>
      <c r="R19623" s="36" t="s">
        <v>48</v>
      </c>
    </row>
    <row r="19624">
      <c r="H19624" s="50"/>
      <c r="I19624" s="50"/>
      <c r="O19624" s="36" t="s">
        <v>48</v>
      </c>
      <c r="R19624" s="36" t="s">
        <v>48</v>
      </c>
    </row>
    <row r="19625">
      <c r="H19625" s="50"/>
      <c r="I19625" s="50"/>
      <c r="O19625" s="36" t="s">
        <v>48</v>
      </c>
      <c r="R19625" s="36" t="s">
        <v>48</v>
      </c>
    </row>
    <row r="19626">
      <c r="H19626" s="50"/>
      <c r="I19626" s="50"/>
      <c r="O19626" s="36" t="s">
        <v>48</v>
      </c>
      <c r="R19626" s="36" t="s">
        <v>48</v>
      </c>
    </row>
    <row r="19627">
      <c r="H19627" s="50"/>
      <c r="I19627" s="50"/>
      <c r="O19627" s="36" t="s">
        <v>48</v>
      </c>
      <c r="R19627" s="36" t="s">
        <v>48</v>
      </c>
    </row>
    <row r="19628">
      <c r="H19628" s="50"/>
      <c r="I19628" s="50"/>
      <c r="O19628" s="36" t="s">
        <v>48</v>
      </c>
      <c r="R19628" s="36" t="s">
        <v>48</v>
      </c>
    </row>
    <row r="19629">
      <c r="H19629" s="50"/>
      <c r="I19629" s="50"/>
      <c r="O19629" s="36" t="s">
        <v>48</v>
      </c>
      <c r="R19629" s="36" t="s">
        <v>48</v>
      </c>
    </row>
    <row r="19630">
      <c r="H19630" s="50"/>
      <c r="I19630" s="50"/>
      <c r="O19630" s="36" t="s">
        <v>48</v>
      </c>
      <c r="R19630" s="36" t="s">
        <v>48</v>
      </c>
    </row>
    <row r="19631">
      <c r="H19631" s="50"/>
      <c r="I19631" s="50"/>
      <c r="O19631" s="36" t="s">
        <v>48</v>
      </c>
      <c r="R19631" s="36" t="s">
        <v>48</v>
      </c>
    </row>
    <row r="19632">
      <c r="H19632" s="50"/>
      <c r="I19632" s="50"/>
      <c r="O19632" s="36" t="s">
        <v>48</v>
      </c>
      <c r="R19632" s="36" t="s">
        <v>48</v>
      </c>
    </row>
    <row r="19633">
      <c r="H19633" s="50"/>
      <c r="I19633" s="50"/>
      <c r="O19633" s="36" t="s">
        <v>48</v>
      </c>
      <c r="R19633" s="36" t="s">
        <v>48</v>
      </c>
    </row>
    <row r="19634">
      <c r="H19634" s="50"/>
      <c r="I19634" s="50"/>
      <c r="O19634" s="36" t="s">
        <v>48</v>
      </c>
      <c r="R19634" s="36" t="s">
        <v>48</v>
      </c>
    </row>
    <row r="19635">
      <c r="H19635" s="50"/>
      <c r="I19635" s="50"/>
      <c r="O19635" s="36" t="s">
        <v>48</v>
      </c>
      <c r="R19635" s="36" t="s">
        <v>48</v>
      </c>
    </row>
    <row r="19636">
      <c r="H19636" s="50"/>
      <c r="I19636" s="50"/>
      <c r="O19636" s="36" t="s">
        <v>48</v>
      </c>
      <c r="R19636" s="36" t="s">
        <v>48</v>
      </c>
    </row>
    <row r="19637">
      <c r="H19637" s="50"/>
      <c r="I19637" s="50"/>
      <c r="O19637" s="36" t="s">
        <v>48</v>
      </c>
      <c r="R19637" s="36" t="s">
        <v>48</v>
      </c>
    </row>
    <row r="19638">
      <c r="H19638" s="50"/>
      <c r="I19638" s="50"/>
      <c r="O19638" s="36" t="s">
        <v>48</v>
      </c>
      <c r="R19638" s="36" t="s">
        <v>48</v>
      </c>
    </row>
    <row r="19639">
      <c r="H19639" s="50"/>
      <c r="I19639" s="50"/>
      <c r="O19639" s="36" t="s">
        <v>48</v>
      </c>
      <c r="R19639" s="36" t="s">
        <v>48</v>
      </c>
    </row>
    <row r="19640">
      <c r="H19640" s="50"/>
      <c r="I19640" s="50"/>
      <c r="O19640" s="36" t="s">
        <v>48</v>
      </c>
      <c r="R19640" s="36" t="s">
        <v>48</v>
      </c>
    </row>
    <row r="19641">
      <c r="H19641" s="50"/>
      <c r="I19641" s="50"/>
      <c r="O19641" s="36" t="s">
        <v>48</v>
      </c>
      <c r="R19641" s="36" t="s">
        <v>48</v>
      </c>
    </row>
    <row r="19642">
      <c r="H19642" s="50"/>
      <c r="I19642" s="50"/>
      <c r="O19642" s="36" t="s">
        <v>48</v>
      </c>
      <c r="R19642" s="36" t="s">
        <v>48</v>
      </c>
    </row>
    <row r="19643">
      <c r="H19643" s="50"/>
      <c r="I19643" s="50"/>
      <c r="O19643" s="36" t="s">
        <v>48</v>
      </c>
      <c r="R19643" s="36" t="s">
        <v>48</v>
      </c>
    </row>
    <row r="19644">
      <c r="H19644" s="50"/>
      <c r="I19644" s="50"/>
      <c r="O19644" s="36" t="s">
        <v>48</v>
      </c>
      <c r="R19644" s="36" t="s">
        <v>48</v>
      </c>
    </row>
    <row r="19645">
      <c r="H19645" s="50"/>
      <c r="I19645" s="50"/>
      <c r="O19645" s="36" t="s">
        <v>48</v>
      </c>
      <c r="R19645" s="36" t="s">
        <v>48</v>
      </c>
    </row>
    <row r="19646">
      <c r="H19646" s="50"/>
      <c r="I19646" s="50"/>
      <c r="O19646" s="36" t="s">
        <v>48</v>
      </c>
      <c r="R19646" s="36" t="s">
        <v>48</v>
      </c>
    </row>
    <row r="19647">
      <c r="H19647" s="50"/>
      <c r="I19647" s="50"/>
      <c r="O19647" s="36" t="s">
        <v>48</v>
      </c>
      <c r="R19647" s="36" t="s">
        <v>48</v>
      </c>
    </row>
    <row r="19648">
      <c r="H19648" s="50"/>
      <c r="I19648" s="50"/>
      <c r="O19648" s="36" t="s">
        <v>48</v>
      </c>
      <c r="R19648" s="36" t="s">
        <v>48</v>
      </c>
    </row>
    <row r="19649">
      <c r="H19649" s="50"/>
      <c r="I19649" s="50"/>
      <c r="O19649" s="36" t="s">
        <v>48</v>
      </c>
      <c r="R19649" s="36" t="s">
        <v>48</v>
      </c>
    </row>
    <row r="19650">
      <c r="H19650" s="50"/>
      <c r="I19650" s="50"/>
      <c r="O19650" s="36" t="s">
        <v>48</v>
      </c>
      <c r="R19650" s="36" t="s">
        <v>48</v>
      </c>
    </row>
    <row r="19651">
      <c r="H19651" s="50"/>
      <c r="I19651" s="50"/>
      <c r="O19651" s="36" t="s">
        <v>48</v>
      </c>
      <c r="R19651" s="36" t="s">
        <v>48</v>
      </c>
    </row>
    <row r="19652">
      <c r="H19652" s="50"/>
      <c r="I19652" s="50"/>
      <c r="O19652" s="36" t="s">
        <v>48</v>
      </c>
      <c r="R19652" s="36" t="s">
        <v>48</v>
      </c>
    </row>
    <row r="19653">
      <c r="H19653" s="50"/>
      <c r="I19653" s="50"/>
      <c r="O19653" s="36" t="s">
        <v>48</v>
      </c>
      <c r="R19653" s="36" t="s">
        <v>48</v>
      </c>
    </row>
    <row r="19654">
      <c r="H19654" s="50"/>
      <c r="I19654" s="50"/>
      <c r="O19654" s="36" t="s">
        <v>48</v>
      </c>
      <c r="R19654" s="36" t="s">
        <v>48</v>
      </c>
    </row>
    <row r="19655">
      <c r="H19655" s="50"/>
      <c r="I19655" s="50"/>
      <c r="O19655" s="36" t="s">
        <v>48</v>
      </c>
      <c r="R19655" s="36" t="s">
        <v>48</v>
      </c>
    </row>
    <row r="19656">
      <c r="H19656" s="50"/>
      <c r="I19656" s="50"/>
      <c r="O19656" s="36" t="s">
        <v>48</v>
      </c>
      <c r="R19656" s="36" t="s">
        <v>48</v>
      </c>
    </row>
    <row r="19657">
      <c r="H19657" s="50"/>
      <c r="I19657" s="50"/>
      <c r="O19657" s="36" t="s">
        <v>48</v>
      </c>
      <c r="R19657" s="36" t="s">
        <v>48</v>
      </c>
    </row>
    <row r="19658">
      <c r="H19658" s="50"/>
      <c r="I19658" s="50"/>
      <c r="O19658" s="36" t="s">
        <v>48</v>
      </c>
      <c r="R19658" s="36" t="s">
        <v>48</v>
      </c>
    </row>
    <row r="19659">
      <c r="H19659" s="50"/>
      <c r="I19659" s="50"/>
      <c r="O19659" s="36" t="s">
        <v>48</v>
      </c>
      <c r="R19659" s="36" t="s">
        <v>48</v>
      </c>
    </row>
    <row r="19660">
      <c r="H19660" s="50"/>
      <c r="I19660" s="50"/>
      <c r="O19660" s="36" t="s">
        <v>48</v>
      </c>
      <c r="R19660" s="36" t="s">
        <v>48</v>
      </c>
    </row>
    <row r="19661">
      <c r="H19661" s="50"/>
      <c r="I19661" s="50"/>
      <c r="O19661" s="36" t="s">
        <v>48</v>
      </c>
      <c r="R19661" s="36" t="s">
        <v>48</v>
      </c>
    </row>
    <row r="19662">
      <c r="H19662" s="50"/>
      <c r="I19662" s="50"/>
      <c r="O19662" s="36" t="s">
        <v>48</v>
      </c>
      <c r="R19662" s="36" t="s">
        <v>48</v>
      </c>
    </row>
    <row r="19663">
      <c r="H19663" s="50"/>
      <c r="I19663" s="50"/>
      <c r="O19663" s="36" t="s">
        <v>48</v>
      </c>
      <c r="R19663" s="36" t="s">
        <v>48</v>
      </c>
    </row>
    <row r="19664">
      <c r="H19664" s="50"/>
      <c r="I19664" s="50"/>
      <c r="O19664" s="36" t="s">
        <v>48</v>
      </c>
      <c r="R19664" s="36" t="s">
        <v>48</v>
      </c>
    </row>
    <row r="19665">
      <c r="H19665" s="50"/>
      <c r="I19665" s="50"/>
      <c r="O19665" s="36" t="s">
        <v>48</v>
      </c>
      <c r="R19665" s="36" t="s">
        <v>48</v>
      </c>
    </row>
    <row r="19666">
      <c r="H19666" s="50"/>
      <c r="I19666" s="50"/>
      <c r="O19666" s="36" t="s">
        <v>48</v>
      </c>
      <c r="R19666" s="36" t="s">
        <v>48</v>
      </c>
    </row>
    <row r="19667">
      <c r="H19667" s="50"/>
      <c r="I19667" s="50"/>
      <c r="O19667" s="36" t="s">
        <v>48</v>
      </c>
      <c r="R19667" s="36" t="s">
        <v>48</v>
      </c>
    </row>
    <row r="19668">
      <c r="H19668" s="50"/>
      <c r="I19668" s="50"/>
      <c r="O19668" s="36" t="s">
        <v>48</v>
      </c>
      <c r="R19668" s="36" t="s">
        <v>48</v>
      </c>
    </row>
    <row r="19669">
      <c r="H19669" s="50"/>
      <c r="I19669" s="50"/>
      <c r="O19669" s="36" t="s">
        <v>48</v>
      </c>
      <c r="R19669" s="36" t="s">
        <v>48</v>
      </c>
    </row>
    <row r="19670">
      <c r="H19670" s="50"/>
      <c r="I19670" s="50"/>
      <c r="O19670" s="36" t="s">
        <v>48</v>
      </c>
      <c r="R19670" s="36" t="s">
        <v>48</v>
      </c>
    </row>
    <row r="19671">
      <c r="H19671" s="50"/>
      <c r="I19671" s="50"/>
      <c r="O19671" s="36" t="s">
        <v>48</v>
      </c>
      <c r="R19671" s="36" t="s">
        <v>48</v>
      </c>
    </row>
    <row r="19672">
      <c r="H19672" s="50"/>
      <c r="I19672" s="50"/>
      <c r="O19672" s="36" t="s">
        <v>48</v>
      </c>
      <c r="R19672" s="36" t="s">
        <v>48</v>
      </c>
    </row>
    <row r="19673">
      <c r="H19673" s="50"/>
      <c r="I19673" s="50"/>
      <c r="O19673" s="36" t="s">
        <v>48</v>
      </c>
      <c r="R19673" s="36" t="s">
        <v>48</v>
      </c>
    </row>
    <row r="19674">
      <c r="H19674" s="50"/>
      <c r="I19674" s="50"/>
      <c r="O19674" s="36" t="s">
        <v>48</v>
      </c>
      <c r="R19674" s="36" t="s">
        <v>48</v>
      </c>
    </row>
    <row r="19675">
      <c r="H19675" s="50"/>
      <c r="I19675" s="50"/>
      <c r="O19675" s="36" t="s">
        <v>48</v>
      </c>
      <c r="R19675" s="36" t="s">
        <v>48</v>
      </c>
    </row>
    <row r="19676">
      <c r="H19676" s="50"/>
      <c r="I19676" s="50"/>
      <c r="O19676" s="36" t="s">
        <v>48</v>
      </c>
      <c r="R19676" s="36" t="s">
        <v>48</v>
      </c>
    </row>
    <row r="19677">
      <c r="H19677" s="50"/>
      <c r="I19677" s="50"/>
      <c r="O19677" s="36" t="s">
        <v>48</v>
      </c>
      <c r="R19677" s="36" t="s">
        <v>48</v>
      </c>
    </row>
    <row r="19678">
      <c r="H19678" s="50"/>
      <c r="I19678" s="50"/>
      <c r="O19678" s="36" t="s">
        <v>48</v>
      </c>
      <c r="R19678" s="36" t="s">
        <v>48</v>
      </c>
    </row>
    <row r="19679">
      <c r="H19679" s="50"/>
      <c r="I19679" s="50"/>
      <c r="O19679" s="36" t="s">
        <v>48</v>
      </c>
      <c r="R19679" s="36" t="s">
        <v>48</v>
      </c>
    </row>
    <row r="19680">
      <c r="H19680" s="50"/>
      <c r="I19680" s="50"/>
      <c r="O19680" s="36" t="s">
        <v>48</v>
      </c>
      <c r="R19680" s="36" t="s">
        <v>48</v>
      </c>
    </row>
    <row r="19681">
      <c r="H19681" s="50"/>
      <c r="I19681" s="50"/>
      <c r="O19681" s="36" t="s">
        <v>48</v>
      </c>
      <c r="R19681" s="36" t="s">
        <v>48</v>
      </c>
    </row>
    <row r="19682">
      <c r="H19682" s="50"/>
      <c r="I19682" s="50"/>
      <c r="O19682" s="36" t="s">
        <v>48</v>
      </c>
      <c r="R19682" s="36" t="s">
        <v>48</v>
      </c>
    </row>
    <row r="19683">
      <c r="H19683" s="50"/>
      <c r="I19683" s="50"/>
      <c r="O19683" s="36" t="s">
        <v>48</v>
      </c>
      <c r="R19683" s="36" t="s">
        <v>48</v>
      </c>
    </row>
    <row r="19684">
      <c r="H19684" s="50"/>
      <c r="I19684" s="50"/>
      <c r="O19684" s="36" t="s">
        <v>48</v>
      </c>
      <c r="R19684" s="36" t="s">
        <v>48</v>
      </c>
    </row>
    <row r="19685">
      <c r="H19685" s="50"/>
      <c r="I19685" s="50"/>
      <c r="O19685" s="36" t="s">
        <v>48</v>
      </c>
      <c r="R19685" s="36" t="s">
        <v>48</v>
      </c>
    </row>
    <row r="19686">
      <c r="H19686" s="50"/>
      <c r="I19686" s="50"/>
      <c r="O19686" s="36" t="s">
        <v>48</v>
      </c>
      <c r="R19686" s="36" t="s">
        <v>48</v>
      </c>
    </row>
    <row r="19687">
      <c r="H19687" s="50"/>
      <c r="I19687" s="50"/>
      <c r="O19687" s="36" t="s">
        <v>48</v>
      </c>
      <c r="R19687" s="36" t="s">
        <v>48</v>
      </c>
    </row>
    <row r="19688">
      <c r="H19688" s="50"/>
      <c r="I19688" s="50"/>
      <c r="O19688" s="36" t="s">
        <v>48</v>
      </c>
      <c r="R19688" s="36" t="s">
        <v>48</v>
      </c>
    </row>
    <row r="19689">
      <c r="H19689" s="50"/>
      <c r="I19689" s="50"/>
      <c r="O19689" s="36" t="s">
        <v>48</v>
      </c>
      <c r="R19689" s="36" t="s">
        <v>48</v>
      </c>
    </row>
    <row r="19690">
      <c r="H19690" s="50"/>
      <c r="I19690" s="50"/>
      <c r="O19690" s="36" t="s">
        <v>48</v>
      </c>
      <c r="R19690" s="36" t="s">
        <v>48</v>
      </c>
    </row>
    <row r="19691">
      <c r="H19691" s="50"/>
      <c r="I19691" s="50"/>
      <c r="O19691" s="36" t="s">
        <v>48</v>
      </c>
      <c r="R19691" s="36" t="s">
        <v>48</v>
      </c>
    </row>
    <row r="19692">
      <c r="H19692" s="50"/>
      <c r="I19692" s="50"/>
      <c r="O19692" s="36" t="s">
        <v>48</v>
      </c>
      <c r="R19692" s="36" t="s">
        <v>48</v>
      </c>
    </row>
    <row r="19693">
      <c r="H19693" s="50"/>
      <c r="I19693" s="50"/>
      <c r="O19693" s="36" t="s">
        <v>48</v>
      </c>
      <c r="R19693" s="36" t="s">
        <v>48</v>
      </c>
    </row>
    <row r="19694">
      <c r="H19694" s="50"/>
      <c r="I19694" s="50"/>
      <c r="O19694" s="36" t="s">
        <v>48</v>
      </c>
      <c r="R19694" s="36" t="s">
        <v>48</v>
      </c>
    </row>
    <row r="19695">
      <c r="H19695" s="50"/>
      <c r="I19695" s="50"/>
      <c r="O19695" s="36" t="s">
        <v>48</v>
      </c>
      <c r="R19695" s="36" t="s">
        <v>48</v>
      </c>
    </row>
    <row r="19696">
      <c r="H19696" s="50"/>
      <c r="I19696" s="50"/>
      <c r="O19696" s="36" t="s">
        <v>48</v>
      </c>
      <c r="R19696" s="36" t="s">
        <v>48</v>
      </c>
    </row>
    <row r="19697">
      <c r="H19697" s="50"/>
      <c r="I19697" s="50"/>
      <c r="O19697" s="36" t="s">
        <v>48</v>
      </c>
      <c r="R19697" s="36" t="s">
        <v>48</v>
      </c>
    </row>
    <row r="19698">
      <c r="H19698" s="50"/>
      <c r="I19698" s="50"/>
      <c r="O19698" s="36" t="s">
        <v>48</v>
      </c>
      <c r="R19698" s="36" t="s">
        <v>48</v>
      </c>
    </row>
    <row r="19699">
      <c r="H19699" s="50"/>
      <c r="I19699" s="50"/>
      <c r="O19699" s="36" t="s">
        <v>48</v>
      </c>
      <c r="R19699" s="36" t="s">
        <v>48</v>
      </c>
    </row>
    <row r="19700">
      <c r="H19700" s="50"/>
      <c r="I19700" s="50"/>
      <c r="O19700" s="36" t="s">
        <v>48</v>
      </c>
      <c r="R19700" s="36" t="s">
        <v>48</v>
      </c>
    </row>
    <row r="19701">
      <c r="H19701" s="50"/>
      <c r="I19701" s="50"/>
      <c r="O19701" s="36" t="s">
        <v>48</v>
      </c>
      <c r="R19701" s="36" t="s">
        <v>48</v>
      </c>
    </row>
    <row r="19702">
      <c r="H19702" s="50"/>
      <c r="I19702" s="50"/>
      <c r="O19702" s="36" t="s">
        <v>48</v>
      </c>
      <c r="R19702" s="36" t="s">
        <v>48</v>
      </c>
    </row>
    <row r="19703">
      <c r="H19703" s="50"/>
      <c r="I19703" s="50"/>
      <c r="O19703" s="36" t="s">
        <v>48</v>
      </c>
      <c r="R19703" s="36" t="s">
        <v>48</v>
      </c>
    </row>
    <row r="19704">
      <c r="H19704" s="50"/>
      <c r="I19704" s="50"/>
      <c r="O19704" s="36" t="s">
        <v>48</v>
      </c>
      <c r="R19704" s="36" t="s">
        <v>48</v>
      </c>
    </row>
    <row r="19705">
      <c r="H19705" s="50"/>
      <c r="I19705" s="50"/>
      <c r="O19705" s="36" t="s">
        <v>48</v>
      </c>
      <c r="R19705" s="36" t="s">
        <v>48</v>
      </c>
    </row>
    <row r="19706">
      <c r="H19706" s="50"/>
      <c r="I19706" s="50"/>
      <c r="O19706" s="36" t="s">
        <v>48</v>
      </c>
      <c r="R19706" s="36" t="s">
        <v>48</v>
      </c>
    </row>
    <row r="19707">
      <c r="H19707" s="50"/>
      <c r="I19707" s="50"/>
      <c r="O19707" s="36" t="s">
        <v>48</v>
      </c>
      <c r="R19707" s="36" t="s">
        <v>48</v>
      </c>
    </row>
    <row r="19708">
      <c r="H19708" s="50"/>
      <c r="I19708" s="50"/>
      <c r="O19708" s="36" t="s">
        <v>48</v>
      </c>
      <c r="R19708" s="36" t="s">
        <v>48</v>
      </c>
    </row>
    <row r="19709">
      <c r="H19709" s="50"/>
      <c r="I19709" s="50"/>
      <c r="O19709" s="36" t="s">
        <v>48</v>
      </c>
      <c r="R19709" s="36" t="s">
        <v>48</v>
      </c>
    </row>
    <row r="19710">
      <c r="H19710" s="50"/>
      <c r="I19710" s="50"/>
      <c r="O19710" s="36" t="s">
        <v>48</v>
      </c>
      <c r="R19710" s="36" t="s">
        <v>48</v>
      </c>
    </row>
    <row r="19711">
      <c r="H19711" s="50"/>
      <c r="I19711" s="50"/>
      <c r="O19711" s="36" t="s">
        <v>48</v>
      </c>
      <c r="R19711" s="36" t="s">
        <v>48</v>
      </c>
    </row>
    <row r="19712">
      <c r="H19712" s="50"/>
      <c r="I19712" s="50"/>
      <c r="O19712" s="36" t="s">
        <v>48</v>
      </c>
      <c r="R19712" s="36" t="s">
        <v>48</v>
      </c>
    </row>
    <row r="19713">
      <c r="H19713" s="50"/>
      <c r="I19713" s="50"/>
      <c r="O19713" s="36" t="s">
        <v>48</v>
      </c>
      <c r="R19713" s="36" t="s">
        <v>48</v>
      </c>
    </row>
    <row r="19714">
      <c r="H19714" s="50"/>
      <c r="I19714" s="50"/>
      <c r="O19714" s="36" t="s">
        <v>48</v>
      </c>
      <c r="R19714" s="36" t="s">
        <v>48</v>
      </c>
    </row>
    <row r="19715">
      <c r="H19715" s="50"/>
      <c r="I19715" s="50"/>
      <c r="O19715" s="36" t="s">
        <v>48</v>
      </c>
      <c r="R19715" s="36" t="s">
        <v>48</v>
      </c>
    </row>
    <row r="19716">
      <c r="H19716" s="50"/>
      <c r="I19716" s="50"/>
      <c r="O19716" s="36" t="s">
        <v>48</v>
      </c>
      <c r="R19716" s="36" t="s">
        <v>48</v>
      </c>
    </row>
    <row r="19717">
      <c r="H19717" s="50"/>
      <c r="I19717" s="50"/>
      <c r="O19717" s="36" t="s">
        <v>48</v>
      </c>
      <c r="R19717" s="36" t="s">
        <v>48</v>
      </c>
    </row>
    <row r="19718">
      <c r="H19718" s="50"/>
      <c r="I19718" s="50"/>
      <c r="O19718" s="36" t="s">
        <v>48</v>
      </c>
      <c r="R19718" s="36" t="s">
        <v>48</v>
      </c>
    </row>
    <row r="19719">
      <c r="H19719" s="50"/>
      <c r="I19719" s="50"/>
      <c r="O19719" s="36" t="s">
        <v>48</v>
      </c>
      <c r="R19719" s="36" t="s">
        <v>48</v>
      </c>
    </row>
    <row r="19720">
      <c r="H19720" s="50"/>
      <c r="I19720" s="50"/>
      <c r="O19720" s="36" t="s">
        <v>48</v>
      </c>
      <c r="R19720" s="36" t="s">
        <v>48</v>
      </c>
    </row>
    <row r="19721">
      <c r="H19721" s="50"/>
      <c r="I19721" s="50"/>
      <c r="O19721" s="36" t="s">
        <v>48</v>
      </c>
      <c r="R19721" s="36" t="s">
        <v>48</v>
      </c>
    </row>
    <row r="19722">
      <c r="H19722" s="50"/>
      <c r="I19722" s="50"/>
      <c r="O19722" s="36" t="s">
        <v>48</v>
      </c>
      <c r="R19722" s="36" t="s">
        <v>48</v>
      </c>
    </row>
    <row r="19723">
      <c r="H19723" s="50"/>
      <c r="I19723" s="50"/>
      <c r="O19723" s="36" t="s">
        <v>48</v>
      </c>
      <c r="R19723" s="36" t="s">
        <v>48</v>
      </c>
    </row>
    <row r="19724">
      <c r="H19724" s="50"/>
      <c r="I19724" s="50"/>
      <c r="O19724" s="36" t="s">
        <v>48</v>
      </c>
      <c r="R19724" s="36" t="s">
        <v>48</v>
      </c>
    </row>
    <row r="19725">
      <c r="H19725" s="50"/>
      <c r="I19725" s="50"/>
      <c r="O19725" s="36" t="s">
        <v>48</v>
      </c>
      <c r="R19725" s="36" t="s">
        <v>48</v>
      </c>
    </row>
    <row r="19726">
      <c r="H19726" s="50"/>
      <c r="I19726" s="50"/>
      <c r="O19726" s="36" t="s">
        <v>48</v>
      </c>
      <c r="R19726" s="36" t="s">
        <v>48</v>
      </c>
    </row>
    <row r="19727">
      <c r="H19727" s="50"/>
      <c r="I19727" s="50"/>
      <c r="O19727" s="36" t="s">
        <v>48</v>
      </c>
      <c r="R19727" s="36" t="s">
        <v>48</v>
      </c>
    </row>
    <row r="19728">
      <c r="H19728" s="50"/>
      <c r="I19728" s="50"/>
      <c r="O19728" s="36" t="s">
        <v>48</v>
      </c>
      <c r="R19728" s="36" t="s">
        <v>48</v>
      </c>
    </row>
    <row r="19729">
      <c r="H19729" s="50"/>
      <c r="I19729" s="50"/>
      <c r="O19729" s="36" t="s">
        <v>48</v>
      </c>
      <c r="R19729" s="36" t="s">
        <v>48</v>
      </c>
    </row>
    <row r="19730">
      <c r="H19730" s="50"/>
      <c r="I19730" s="50"/>
      <c r="O19730" s="36" t="s">
        <v>48</v>
      </c>
      <c r="R19730" s="36" t="s">
        <v>48</v>
      </c>
    </row>
    <row r="19731">
      <c r="H19731" s="50"/>
      <c r="I19731" s="50"/>
      <c r="O19731" s="36" t="s">
        <v>48</v>
      </c>
      <c r="R19731" s="36" t="s">
        <v>48</v>
      </c>
    </row>
    <row r="19732">
      <c r="H19732" s="50"/>
      <c r="I19732" s="50"/>
      <c r="O19732" s="36" t="s">
        <v>48</v>
      </c>
      <c r="R19732" s="36" t="s">
        <v>48</v>
      </c>
    </row>
    <row r="19733">
      <c r="H19733" s="50"/>
      <c r="I19733" s="50"/>
      <c r="O19733" s="36" t="s">
        <v>48</v>
      </c>
      <c r="R19733" s="36" t="s">
        <v>48</v>
      </c>
    </row>
    <row r="19734">
      <c r="H19734" s="50"/>
      <c r="I19734" s="50"/>
      <c r="O19734" s="36" t="s">
        <v>48</v>
      </c>
      <c r="R19734" s="36" t="s">
        <v>48</v>
      </c>
    </row>
    <row r="19735">
      <c r="H19735" s="50"/>
      <c r="I19735" s="50"/>
      <c r="O19735" s="36" t="s">
        <v>48</v>
      </c>
      <c r="R19735" s="36" t="s">
        <v>48</v>
      </c>
    </row>
    <row r="19736">
      <c r="H19736" s="50"/>
      <c r="I19736" s="50"/>
      <c r="O19736" s="36" t="s">
        <v>48</v>
      </c>
      <c r="R19736" s="36" t="s">
        <v>48</v>
      </c>
    </row>
    <row r="19737">
      <c r="H19737" s="50"/>
      <c r="I19737" s="50"/>
      <c r="O19737" s="36" t="s">
        <v>48</v>
      </c>
      <c r="R19737" s="36" t="s">
        <v>48</v>
      </c>
    </row>
    <row r="19738">
      <c r="H19738" s="50"/>
      <c r="I19738" s="50"/>
      <c r="O19738" s="36" t="s">
        <v>48</v>
      </c>
      <c r="R19738" s="36" t="s">
        <v>48</v>
      </c>
    </row>
    <row r="19739">
      <c r="H19739" s="50"/>
      <c r="I19739" s="50"/>
      <c r="O19739" s="36" t="s">
        <v>48</v>
      </c>
      <c r="R19739" s="36" t="s">
        <v>48</v>
      </c>
    </row>
    <row r="19740">
      <c r="H19740" s="50"/>
      <c r="I19740" s="50"/>
      <c r="O19740" s="36" t="s">
        <v>48</v>
      </c>
      <c r="R19740" s="36" t="s">
        <v>48</v>
      </c>
    </row>
    <row r="19741">
      <c r="H19741" s="50"/>
      <c r="I19741" s="50"/>
      <c r="O19741" s="36" t="s">
        <v>48</v>
      </c>
      <c r="R19741" s="36" t="s">
        <v>48</v>
      </c>
    </row>
    <row r="19742">
      <c r="H19742" s="50"/>
      <c r="I19742" s="50"/>
      <c r="O19742" s="36" t="s">
        <v>48</v>
      </c>
      <c r="R19742" s="36" t="s">
        <v>48</v>
      </c>
    </row>
    <row r="19743">
      <c r="H19743" s="50"/>
      <c r="I19743" s="50"/>
      <c r="O19743" s="36" t="s">
        <v>48</v>
      </c>
      <c r="R19743" s="36" t="s">
        <v>48</v>
      </c>
    </row>
    <row r="19744">
      <c r="H19744" s="50"/>
      <c r="I19744" s="50"/>
      <c r="O19744" s="36" t="s">
        <v>48</v>
      </c>
      <c r="R19744" s="36" t="s">
        <v>48</v>
      </c>
    </row>
    <row r="19745">
      <c r="H19745" s="50"/>
      <c r="I19745" s="50"/>
      <c r="O19745" s="36" t="s">
        <v>48</v>
      </c>
      <c r="R19745" s="36" t="s">
        <v>48</v>
      </c>
    </row>
    <row r="19746">
      <c r="H19746" s="50"/>
      <c r="I19746" s="50"/>
      <c r="O19746" s="36" t="s">
        <v>48</v>
      </c>
      <c r="R19746" s="36" t="s">
        <v>48</v>
      </c>
    </row>
    <row r="19747">
      <c r="H19747" s="50"/>
      <c r="I19747" s="50"/>
      <c r="O19747" s="36" t="s">
        <v>48</v>
      </c>
      <c r="R19747" s="36" t="s">
        <v>48</v>
      </c>
    </row>
    <row r="19748">
      <c r="H19748" s="50"/>
      <c r="I19748" s="50"/>
      <c r="O19748" s="36" t="s">
        <v>48</v>
      </c>
      <c r="R19748" s="36" t="s">
        <v>48</v>
      </c>
    </row>
    <row r="19749">
      <c r="H19749" s="50"/>
      <c r="I19749" s="50"/>
      <c r="O19749" s="36" t="s">
        <v>48</v>
      </c>
      <c r="R19749" s="36" t="s">
        <v>48</v>
      </c>
    </row>
    <row r="19750">
      <c r="H19750" s="50"/>
      <c r="I19750" s="50"/>
      <c r="O19750" s="36" t="s">
        <v>48</v>
      </c>
      <c r="R19750" s="36" t="s">
        <v>48</v>
      </c>
    </row>
    <row r="19751">
      <c r="H19751" s="50"/>
      <c r="I19751" s="50"/>
      <c r="O19751" s="36" t="s">
        <v>48</v>
      </c>
      <c r="R19751" s="36" t="s">
        <v>48</v>
      </c>
    </row>
    <row r="19752">
      <c r="H19752" s="50"/>
      <c r="I19752" s="50"/>
      <c r="O19752" s="36" t="s">
        <v>48</v>
      </c>
      <c r="R19752" s="36" t="s">
        <v>48</v>
      </c>
    </row>
    <row r="19753">
      <c r="H19753" s="50"/>
      <c r="I19753" s="50"/>
      <c r="O19753" s="36" t="s">
        <v>48</v>
      </c>
      <c r="R19753" s="36" t="s">
        <v>48</v>
      </c>
    </row>
    <row r="19754">
      <c r="H19754" s="50"/>
      <c r="I19754" s="50"/>
      <c r="O19754" s="36" t="s">
        <v>48</v>
      </c>
      <c r="R19754" s="36" t="s">
        <v>48</v>
      </c>
    </row>
    <row r="19755">
      <c r="H19755" s="50"/>
      <c r="I19755" s="50"/>
      <c r="O19755" s="36" t="s">
        <v>48</v>
      </c>
      <c r="R19755" s="36" t="s">
        <v>48</v>
      </c>
    </row>
    <row r="19756">
      <c r="H19756" s="50"/>
      <c r="I19756" s="50"/>
      <c r="O19756" s="36" t="s">
        <v>48</v>
      </c>
      <c r="R19756" s="36" t="s">
        <v>48</v>
      </c>
    </row>
    <row r="19757">
      <c r="H19757" s="50"/>
      <c r="I19757" s="50"/>
      <c r="O19757" s="36" t="s">
        <v>48</v>
      </c>
      <c r="R19757" s="36" t="s">
        <v>48</v>
      </c>
    </row>
    <row r="19758">
      <c r="H19758" s="50"/>
      <c r="I19758" s="50"/>
      <c r="O19758" s="36" t="s">
        <v>48</v>
      </c>
      <c r="R19758" s="36" t="s">
        <v>48</v>
      </c>
    </row>
    <row r="19759">
      <c r="H19759" s="50"/>
      <c r="I19759" s="50"/>
      <c r="O19759" s="36" t="s">
        <v>48</v>
      </c>
      <c r="R19759" s="36" t="s">
        <v>48</v>
      </c>
    </row>
    <row r="19760">
      <c r="H19760" s="50"/>
      <c r="I19760" s="50"/>
      <c r="O19760" s="36" t="s">
        <v>48</v>
      </c>
      <c r="R19760" s="36" t="s">
        <v>48</v>
      </c>
    </row>
    <row r="19761">
      <c r="H19761" s="50"/>
      <c r="I19761" s="50"/>
      <c r="O19761" s="36" t="s">
        <v>48</v>
      </c>
      <c r="R19761" s="36" t="s">
        <v>48</v>
      </c>
    </row>
    <row r="19762">
      <c r="H19762" s="50"/>
      <c r="I19762" s="50"/>
      <c r="O19762" s="36" t="s">
        <v>48</v>
      </c>
      <c r="R19762" s="36" t="s">
        <v>48</v>
      </c>
    </row>
    <row r="19763">
      <c r="H19763" s="50"/>
      <c r="I19763" s="50"/>
      <c r="O19763" s="36" t="s">
        <v>48</v>
      </c>
      <c r="R19763" s="36" t="s">
        <v>48</v>
      </c>
    </row>
    <row r="19764">
      <c r="H19764" s="50"/>
      <c r="I19764" s="50"/>
      <c r="O19764" s="36" t="s">
        <v>48</v>
      </c>
      <c r="R19764" s="36" t="s">
        <v>48</v>
      </c>
    </row>
    <row r="19765">
      <c r="H19765" s="50"/>
      <c r="I19765" s="50"/>
      <c r="O19765" s="36" t="s">
        <v>48</v>
      </c>
      <c r="R19765" s="36" t="s">
        <v>48</v>
      </c>
    </row>
    <row r="19766">
      <c r="H19766" s="50"/>
      <c r="I19766" s="50"/>
      <c r="O19766" s="36" t="s">
        <v>48</v>
      </c>
      <c r="R19766" s="36" t="s">
        <v>48</v>
      </c>
    </row>
    <row r="19767">
      <c r="H19767" s="50"/>
      <c r="I19767" s="50"/>
      <c r="O19767" s="36" t="s">
        <v>48</v>
      </c>
      <c r="R19767" s="36" t="s">
        <v>48</v>
      </c>
    </row>
    <row r="19768">
      <c r="H19768" s="50"/>
      <c r="I19768" s="50"/>
      <c r="O19768" s="36" t="s">
        <v>48</v>
      </c>
      <c r="R19768" s="36" t="s">
        <v>48</v>
      </c>
    </row>
    <row r="19769">
      <c r="H19769" s="50"/>
      <c r="I19769" s="50"/>
      <c r="O19769" s="36" t="s">
        <v>48</v>
      </c>
      <c r="R19769" s="36" t="s">
        <v>48</v>
      </c>
    </row>
    <row r="19770">
      <c r="H19770" s="50"/>
      <c r="I19770" s="50"/>
      <c r="O19770" s="36" t="s">
        <v>48</v>
      </c>
      <c r="R19770" s="36" t="s">
        <v>48</v>
      </c>
    </row>
    <row r="19771">
      <c r="H19771" s="50"/>
      <c r="I19771" s="50"/>
      <c r="O19771" s="36" t="s">
        <v>48</v>
      </c>
      <c r="R19771" s="36" t="s">
        <v>48</v>
      </c>
    </row>
    <row r="19772">
      <c r="H19772" s="50"/>
      <c r="I19772" s="50"/>
      <c r="O19772" s="36" t="s">
        <v>48</v>
      </c>
      <c r="R19772" s="36" t="s">
        <v>48</v>
      </c>
    </row>
    <row r="19773">
      <c r="H19773" s="50"/>
      <c r="I19773" s="50"/>
      <c r="O19773" s="36" t="s">
        <v>48</v>
      </c>
      <c r="R19773" s="36" t="s">
        <v>48</v>
      </c>
    </row>
    <row r="19774">
      <c r="H19774" s="50"/>
      <c r="I19774" s="50"/>
      <c r="O19774" s="36" t="s">
        <v>48</v>
      </c>
      <c r="R19774" s="36" t="s">
        <v>48</v>
      </c>
    </row>
    <row r="19775">
      <c r="H19775" s="50"/>
      <c r="I19775" s="50"/>
      <c r="O19775" s="36" t="s">
        <v>48</v>
      </c>
      <c r="R19775" s="36" t="s">
        <v>48</v>
      </c>
    </row>
    <row r="19776">
      <c r="H19776" s="50"/>
      <c r="I19776" s="50"/>
      <c r="O19776" s="36" t="s">
        <v>48</v>
      </c>
      <c r="R19776" s="36" t="s">
        <v>48</v>
      </c>
    </row>
    <row r="19777">
      <c r="H19777" s="50"/>
      <c r="I19777" s="50"/>
      <c r="O19777" s="36" t="s">
        <v>48</v>
      </c>
      <c r="R19777" s="36" t="s">
        <v>48</v>
      </c>
    </row>
    <row r="19778">
      <c r="H19778" s="50"/>
      <c r="I19778" s="50"/>
      <c r="O19778" s="36" t="s">
        <v>48</v>
      </c>
      <c r="R19778" s="36" t="s">
        <v>48</v>
      </c>
    </row>
    <row r="19779">
      <c r="H19779" s="50"/>
      <c r="I19779" s="50"/>
      <c r="O19779" s="36" t="s">
        <v>48</v>
      </c>
      <c r="R19779" s="36" t="s">
        <v>48</v>
      </c>
    </row>
    <row r="19780">
      <c r="H19780" s="50"/>
      <c r="I19780" s="50"/>
      <c r="O19780" s="36" t="s">
        <v>48</v>
      </c>
      <c r="R19780" s="36" t="s">
        <v>48</v>
      </c>
    </row>
    <row r="19781">
      <c r="H19781" s="50"/>
      <c r="I19781" s="50"/>
      <c r="O19781" s="36" t="s">
        <v>48</v>
      </c>
      <c r="R19781" s="36" t="s">
        <v>48</v>
      </c>
    </row>
    <row r="19782">
      <c r="H19782" s="50"/>
      <c r="I19782" s="50"/>
      <c r="O19782" s="36" t="s">
        <v>48</v>
      </c>
      <c r="R19782" s="36" t="s">
        <v>48</v>
      </c>
    </row>
    <row r="19783">
      <c r="H19783" s="50"/>
      <c r="I19783" s="50"/>
      <c r="O19783" s="36" t="s">
        <v>48</v>
      </c>
      <c r="R19783" s="36" t="s">
        <v>48</v>
      </c>
    </row>
    <row r="19784">
      <c r="H19784" s="50"/>
      <c r="I19784" s="50"/>
      <c r="O19784" s="36" t="s">
        <v>48</v>
      </c>
      <c r="R19784" s="36" t="s">
        <v>48</v>
      </c>
    </row>
    <row r="19785">
      <c r="H19785" s="50"/>
      <c r="I19785" s="50"/>
      <c r="O19785" s="36" t="s">
        <v>48</v>
      </c>
      <c r="R19785" s="36" t="s">
        <v>48</v>
      </c>
    </row>
    <row r="19786">
      <c r="H19786" s="50"/>
      <c r="I19786" s="50"/>
      <c r="O19786" s="36" t="s">
        <v>48</v>
      </c>
      <c r="R19786" s="36" t="s">
        <v>48</v>
      </c>
    </row>
    <row r="19787">
      <c r="H19787" s="50"/>
      <c r="I19787" s="50"/>
      <c r="O19787" s="36" t="s">
        <v>48</v>
      </c>
      <c r="R19787" s="36" t="s">
        <v>48</v>
      </c>
    </row>
    <row r="19788">
      <c r="H19788" s="50"/>
      <c r="I19788" s="50"/>
      <c r="O19788" s="36" t="s">
        <v>48</v>
      </c>
      <c r="R19788" s="36" t="s">
        <v>48</v>
      </c>
    </row>
    <row r="19789">
      <c r="H19789" s="50"/>
      <c r="I19789" s="50"/>
      <c r="O19789" s="36" t="s">
        <v>48</v>
      </c>
      <c r="R19789" s="36" t="s">
        <v>48</v>
      </c>
    </row>
    <row r="19790">
      <c r="H19790" s="50"/>
      <c r="I19790" s="50"/>
      <c r="O19790" s="36" t="s">
        <v>48</v>
      </c>
      <c r="R19790" s="36" t="s">
        <v>48</v>
      </c>
    </row>
    <row r="19791">
      <c r="H19791" s="50"/>
      <c r="I19791" s="50"/>
      <c r="O19791" s="36" t="s">
        <v>48</v>
      </c>
      <c r="R19791" s="36" t="s">
        <v>48</v>
      </c>
    </row>
    <row r="19792">
      <c r="H19792" s="50"/>
      <c r="I19792" s="50"/>
      <c r="O19792" s="36" t="s">
        <v>48</v>
      </c>
      <c r="R19792" s="36" t="s">
        <v>48</v>
      </c>
    </row>
    <row r="19793">
      <c r="H19793" s="50"/>
      <c r="I19793" s="50"/>
      <c r="O19793" s="36" t="s">
        <v>48</v>
      </c>
      <c r="R19793" s="36" t="s">
        <v>48</v>
      </c>
    </row>
    <row r="19794">
      <c r="H19794" s="50"/>
      <c r="I19794" s="50"/>
      <c r="O19794" s="36" t="s">
        <v>48</v>
      </c>
      <c r="R19794" s="36" t="s">
        <v>48</v>
      </c>
    </row>
    <row r="19795">
      <c r="H19795" s="50"/>
      <c r="I19795" s="50"/>
      <c r="O19795" s="36" t="s">
        <v>48</v>
      </c>
      <c r="R19795" s="36" t="s">
        <v>48</v>
      </c>
    </row>
    <row r="19796">
      <c r="H19796" s="50"/>
      <c r="I19796" s="50"/>
      <c r="O19796" s="36" t="s">
        <v>48</v>
      </c>
      <c r="R19796" s="36" t="s">
        <v>48</v>
      </c>
    </row>
    <row r="19797">
      <c r="H19797" s="50"/>
      <c r="I19797" s="50"/>
      <c r="O19797" s="36" t="s">
        <v>48</v>
      </c>
      <c r="R19797" s="36" t="s">
        <v>48</v>
      </c>
    </row>
    <row r="19798">
      <c r="H19798" s="50"/>
      <c r="I19798" s="50"/>
      <c r="O19798" s="36" t="s">
        <v>48</v>
      </c>
      <c r="R19798" s="36" t="s">
        <v>48</v>
      </c>
    </row>
    <row r="19799">
      <c r="H19799" s="50"/>
      <c r="I19799" s="50"/>
      <c r="O19799" s="36" t="s">
        <v>48</v>
      </c>
      <c r="R19799" s="36" t="s">
        <v>48</v>
      </c>
    </row>
    <row r="19800">
      <c r="H19800" s="50"/>
      <c r="I19800" s="50"/>
      <c r="O19800" s="36" t="s">
        <v>48</v>
      </c>
      <c r="R19800" s="36" t="s">
        <v>48</v>
      </c>
    </row>
    <row r="19801">
      <c r="H19801" s="50"/>
      <c r="I19801" s="50"/>
      <c r="O19801" s="36" t="s">
        <v>48</v>
      </c>
      <c r="R19801" s="36" t="s">
        <v>48</v>
      </c>
    </row>
    <row r="19802">
      <c r="H19802" s="50"/>
      <c r="I19802" s="50"/>
      <c r="O19802" s="36" t="s">
        <v>48</v>
      </c>
      <c r="R19802" s="36" t="s">
        <v>48</v>
      </c>
    </row>
    <row r="19803">
      <c r="H19803" s="50"/>
      <c r="I19803" s="50"/>
      <c r="O19803" s="36" t="s">
        <v>48</v>
      </c>
      <c r="R19803" s="36" t="s">
        <v>48</v>
      </c>
    </row>
    <row r="19804">
      <c r="H19804" s="50"/>
      <c r="I19804" s="50"/>
      <c r="O19804" s="36" t="s">
        <v>48</v>
      </c>
      <c r="R19804" s="36" t="s">
        <v>48</v>
      </c>
    </row>
    <row r="19805">
      <c r="H19805" s="50"/>
      <c r="I19805" s="50"/>
      <c r="O19805" s="36" t="s">
        <v>48</v>
      </c>
      <c r="R19805" s="36" t="s">
        <v>48</v>
      </c>
    </row>
    <row r="19806">
      <c r="H19806" s="50"/>
      <c r="I19806" s="50"/>
      <c r="O19806" s="36" t="s">
        <v>48</v>
      </c>
      <c r="R19806" s="36" t="s">
        <v>48</v>
      </c>
    </row>
    <row r="19807">
      <c r="H19807" s="50"/>
      <c r="I19807" s="50"/>
      <c r="O19807" s="36" t="s">
        <v>48</v>
      </c>
      <c r="R19807" s="36" t="s">
        <v>48</v>
      </c>
    </row>
    <row r="19808">
      <c r="H19808" s="50"/>
      <c r="I19808" s="50"/>
      <c r="O19808" s="36" t="s">
        <v>48</v>
      </c>
      <c r="R19808" s="36" t="s">
        <v>48</v>
      </c>
    </row>
    <row r="19809">
      <c r="H19809" s="50"/>
      <c r="I19809" s="50"/>
      <c r="O19809" s="36" t="s">
        <v>48</v>
      </c>
      <c r="R19809" s="36" t="s">
        <v>48</v>
      </c>
    </row>
    <row r="19810">
      <c r="H19810" s="50"/>
      <c r="I19810" s="50"/>
      <c r="O19810" s="36" t="s">
        <v>48</v>
      </c>
      <c r="R19810" s="36" t="s">
        <v>48</v>
      </c>
    </row>
    <row r="19811">
      <c r="H19811" s="50"/>
      <c r="I19811" s="50"/>
      <c r="O19811" s="36" t="s">
        <v>48</v>
      </c>
      <c r="R19811" s="36" t="s">
        <v>48</v>
      </c>
    </row>
    <row r="19812">
      <c r="H19812" s="50"/>
      <c r="I19812" s="50"/>
      <c r="O19812" s="36" t="s">
        <v>48</v>
      </c>
      <c r="R19812" s="36" t="s">
        <v>48</v>
      </c>
    </row>
    <row r="19813">
      <c r="H19813" s="50"/>
      <c r="I19813" s="50"/>
      <c r="O19813" s="36" t="s">
        <v>48</v>
      </c>
      <c r="R19813" s="36" t="s">
        <v>48</v>
      </c>
    </row>
    <row r="19814">
      <c r="H19814" s="50"/>
      <c r="I19814" s="50"/>
      <c r="O19814" s="36" t="s">
        <v>48</v>
      </c>
      <c r="R19814" s="36" t="s">
        <v>48</v>
      </c>
    </row>
    <row r="19815">
      <c r="H19815" s="50"/>
      <c r="I19815" s="50"/>
      <c r="O19815" s="36" t="s">
        <v>48</v>
      </c>
      <c r="R19815" s="36" t="s">
        <v>48</v>
      </c>
    </row>
    <row r="19816">
      <c r="H19816" s="50"/>
      <c r="I19816" s="50"/>
      <c r="O19816" s="36" t="s">
        <v>48</v>
      </c>
      <c r="R19816" s="36" t="s">
        <v>48</v>
      </c>
    </row>
    <row r="19817">
      <c r="H19817" s="50"/>
      <c r="I19817" s="50"/>
      <c r="O19817" s="36" t="s">
        <v>48</v>
      </c>
      <c r="R19817" s="36" t="s">
        <v>48</v>
      </c>
    </row>
    <row r="19818">
      <c r="H19818" s="50"/>
      <c r="I19818" s="50"/>
      <c r="O19818" s="36" t="s">
        <v>48</v>
      </c>
      <c r="R19818" s="36" t="s">
        <v>48</v>
      </c>
    </row>
    <row r="19819">
      <c r="H19819" s="50"/>
      <c r="I19819" s="50"/>
      <c r="O19819" s="36" t="s">
        <v>48</v>
      </c>
      <c r="R19819" s="36" t="s">
        <v>48</v>
      </c>
    </row>
    <row r="19820">
      <c r="H19820" s="50"/>
      <c r="I19820" s="50"/>
      <c r="O19820" s="36" t="s">
        <v>48</v>
      </c>
      <c r="R19820" s="36" t="s">
        <v>48</v>
      </c>
    </row>
    <row r="19821">
      <c r="H19821" s="50"/>
      <c r="I19821" s="50"/>
      <c r="O19821" s="36" t="s">
        <v>48</v>
      </c>
      <c r="R19821" s="36" t="s">
        <v>48</v>
      </c>
    </row>
    <row r="19822">
      <c r="H19822" s="50"/>
      <c r="I19822" s="50"/>
      <c r="O19822" s="36" t="s">
        <v>48</v>
      </c>
      <c r="R19822" s="36" t="s">
        <v>48</v>
      </c>
    </row>
    <row r="19823">
      <c r="H19823" s="50"/>
      <c r="I19823" s="50"/>
      <c r="O19823" s="36" t="s">
        <v>48</v>
      </c>
      <c r="R19823" s="36" t="s">
        <v>48</v>
      </c>
    </row>
    <row r="19824">
      <c r="H19824" s="50"/>
      <c r="I19824" s="50"/>
      <c r="O19824" s="36" t="s">
        <v>48</v>
      </c>
      <c r="R19824" s="36" t="s">
        <v>48</v>
      </c>
    </row>
    <row r="19825">
      <c r="H19825" s="50"/>
      <c r="I19825" s="50"/>
      <c r="O19825" s="36" t="s">
        <v>48</v>
      </c>
      <c r="R19825" s="36" t="s">
        <v>48</v>
      </c>
    </row>
    <row r="19826">
      <c r="H19826" s="50"/>
      <c r="I19826" s="50"/>
      <c r="O19826" s="36" t="s">
        <v>48</v>
      </c>
      <c r="R19826" s="36" t="s">
        <v>48</v>
      </c>
    </row>
    <row r="19827">
      <c r="H19827" s="50"/>
      <c r="I19827" s="50"/>
      <c r="O19827" s="36" t="s">
        <v>48</v>
      </c>
      <c r="R19827" s="36" t="s">
        <v>48</v>
      </c>
    </row>
    <row r="19828">
      <c r="H19828" s="50"/>
      <c r="I19828" s="50"/>
      <c r="O19828" s="36" t="s">
        <v>48</v>
      </c>
      <c r="R19828" s="36" t="s">
        <v>48</v>
      </c>
    </row>
    <row r="19829">
      <c r="H19829" s="50"/>
      <c r="I19829" s="50"/>
      <c r="O19829" s="36" t="s">
        <v>48</v>
      </c>
      <c r="R19829" s="36" t="s">
        <v>48</v>
      </c>
    </row>
    <row r="19830">
      <c r="H19830" s="50"/>
      <c r="I19830" s="50"/>
      <c r="O19830" s="36" t="s">
        <v>48</v>
      </c>
      <c r="R19830" s="36" t="s">
        <v>48</v>
      </c>
    </row>
    <row r="19831">
      <c r="H19831" s="50"/>
      <c r="I19831" s="50"/>
      <c r="O19831" s="36" t="s">
        <v>48</v>
      </c>
      <c r="R19831" s="36" t="s">
        <v>48</v>
      </c>
    </row>
    <row r="19832">
      <c r="H19832" s="50"/>
      <c r="I19832" s="50"/>
      <c r="O19832" s="36" t="s">
        <v>48</v>
      </c>
      <c r="R19832" s="36" t="s">
        <v>48</v>
      </c>
    </row>
    <row r="19833">
      <c r="H19833" s="50"/>
      <c r="I19833" s="50"/>
      <c r="O19833" s="36" t="s">
        <v>48</v>
      </c>
      <c r="R19833" s="36" t="s">
        <v>48</v>
      </c>
    </row>
    <row r="19834">
      <c r="H19834" s="50"/>
      <c r="I19834" s="50"/>
      <c r="O19834" s="36" t="s">
        <v>48</v>
      </c>
      <c r="R19834" s="36" t="s">
        <v>48</v>
      </c>
    </row>
    <row r="19835">
      <c r="H19835" s="50"/>
      <c r="I19835" s="50"/>
      <c r="O19835" s="36" t="s">
        <v>48</v>
      </c>
      <c r="R19835" s="36" t="s">
        <v>48</v>
      </c>
    </row>
    <row r="19836">
      <c r="H19836" s="50"/>
      <c r="I19836" s="50"/>
      <c r="O19836" s="36" t="s">
        <v>48</v>
      </c>
      <c r="R19836" s="36" t="s">
        <v>48</v>
      </c>
    </row>
    <row r="19837">
      <c r="H19837" s="50"/>
      <c r="I19837" s="50"/>
      <c r="O19837" s="36" t="s">
        <v>48</v>
      </c>
      <c r="R19837" s="36" t="s">
        <v>48</v>
      </c>
    </row>
    <row r="19838">
      <c r="H19838" s="50"/>
      <c r="I19838" s="50"/>
      <c r="O19838" s="36" t="s">
        <v>48</v>
      </c>
      <c r="R19838" s="36" t="s">
        <v>48</v>
      </c>
    </row>
    <row r="19839">
      <c r="H19839" s="50"/>
      <c r="I19839" s="50"/>
      <c r="O19839" s="36" t="s">
        <v>48</v>
      </c>
      <c r="R19839" s="36" t="s">
        <v>48</v>
      </c>
    </row>
    <row r="19840">
      <c r="H19840" s="50"/>
      <c r="I19840" s="50"/>
      <c r="O19840" s="36" t="s">
        <v>48</v>
      </c>
      <c r="R19840" s="36" t="s">
        <v>48</v>
      </c>
    </row>
    <row r="19841">
      <c r="H19841" s="50"/>
      <c r="I19841" s="50"/>
      <c r="O19841" s="36" t="s">
        <v>48</v>
      </c>
      <c r="R19841" s="36" t="s">
        <v>48</v>
      </c>
    </row>
    <row r="19842">
      <c r="H19842" s="50"/>
      <c r="I19842" s="50"/>
      <c r="O19842" s="36" t="s">
        <v>48</v>
      </c>
      <c r="R19842" s="36" t="s">
        <v>48</v>
      </c>
    </row>
    <row r="19843">
      <c r="H19843" s="50"/>
      <c r="I19843" s="50"/>
      <c r="O19843" s="36" t="s">
        <v>48</v>
      </c>
      <c r="R19843" s="36" t="s">
        <v>48</v>
      </c>
    </row>
    <row r="19844">
      <c r="H19844" s="50"/>
      <c r="I19844" s="50"/>
      <c r="O19844" s="36" t="s">
        <v>48</v>
      </c>
      <c r="R19844" s="36" t="s">
        <v>48</v>
      </c>
    </row>
    <row r="19845">
      <c r="H19845" s="50"/>
      <c r="I19845" s="50"/>
      <c r="O19845" s="36" t="s">
        <v>48</v>
      </c>
      <c r="R19845" s="36" t="s">
        <v>48</v>
      </c>
    </row>
    <row r="19846">
      <c r="H19846" s="50"/>
      <c r="I19846" s="50"/>
      <c r="O19846" s="36" t="s">
        <v>48</v>
      </c>
      <c r="R19846" s="36" t="s">
        <v>48</v>
      </c>
    </row>
    <row r="19847">
      <c r="H19847" s="50"/>
      <c r="I19847" s="50"/>
      <c r="O19847" s="36" t="s">
        <v>48</v>
      </c>
      <c r="R19847" s="36" t="s">
        <v>48</v>
      </c>
    </row>
    <row r="19848">
      <c r="H19848" s="50"/>
      <c r="I19848" s="50"/>
      <c r="O19848" s="36" t="s">
        <v>48</v>
      </c>
      <c r="R19848" s="36" t="s">
        <v>48</v>
      </c>
    </row>
    <row r="19849">
      <c r="H19849" s="50"/>
      <c r="I19849" s="50"/>
      <c r="O19849" s="36" t="s">
        <v>48</v>
      </c>
      <c r="R19849" s="36" t="s">
        <v>48</v>
      </c>
    </row>
    <row r="19850">
      <c r="H19850" s="50"/>
      <c r="I19850" s="50"/>
      <c r="O19850" s="36" t="s">
        <v>48</v>
      </c>
      <c r="R19850" s="36" t="s">
        <v>48</v>
      </c>
    </row>
    <row r="19851">
      <c r="H19851" s="50"/>
      <c r="I19851" s="50"/>
      <c r="O19851" s="36" t="s">
        <v>48</v>
      </c>
      <c r="R19851" s="36" t="s">
        <v>48</v>
      </c>
    </row>
    <row r="19852">
      <c r="H19852" s="50"/>
      <c r="I19852" s="50"/>
      <c r="O19852" s="36" t="s">
        <v>48</v>
      </c>
      <c r="R19852" s="36" t="s">
        <v>48</v>
      </c>
    </row>
    <row r="19853">
      <c r="H19853" s="50"/>
      <c r="I19853" s="50"/>
      <c r="O19853" s="36" t="s">
        <v>48</v>
      </c>
      <c r="R19853" s="36" t="s">
        <v>48</v>
      </c>
    </row>
    <row r="19854">
      <c r="H19854" s="50"/>
      <c r="I19854" s="50"/>
      <c r="O19854" s="36" t="s">
        <v>48</v>
      </c>
      <c r="R19854" s="36" t="s">
        <v>48</v>
      </c>
    </row>
    <row r="19855">
      <c r="H19855" s="50"/>
      <c r="I19855" s="50"/>
      <c r="O19855" s="36" t="s">
        <v>48</v>
      </c>
      <c r="R19855" s="36" t="s">
        <v>48</v>
      </c>
    </row>
    <row r="19856">
      <c r="H19856" s="50"/>
      <c r="I19856" s="50"/>
      <c r="O19856" s="36" t="s">
        <v>48</v>
      </c>
      <c r="R19856" s="36" t="s">
        <v>48</v>
      </c>
    </row>
    <row r="19857">
      <c r="H19857" s="50"/>
      <c r="I19857" s="50"/>
      <c r="O19857" s="36" t="s">
        <v>48</v>
      </c>
      <c r="R19857" s="36" t="s">
        <v>48</v>
      </c>
    </row>
    <row r="19858">
      <c r="H19858" s="50"/>
      <c r="I19858" s="50"/>
      <c r="O19858" s="36" t="s">
        <v>48</v>
      </c>
      <c r="R19858" s="36" t="s">
        <v>48</v>
      </c>
    </row>
    <row r="19859">
      <c r="H19859" s="50"/>
      <c r="I19859" s="50"/>
      <c r="O19859" s="36" t="s">
        <v>48</v>
      </c>
      <c r="R19859" s="36" t="s">
        <v>48</v>
      </c>
    </row>
    <row r="19860">
      <c r="H19860" s="50"/>
      <c r="I19860" s="50"/>
      <c r="O19860" s="36" t="s">
        <v>48</v>
      </c>
      <c r="R19860" s="36" t="s">
        <v>48</v>
      </c>
    </row>
    <row r="19861">
      <c r="H19861" s="50"/>
      <c r="I19861" s="50"/>
      <c r="O19861" s="36" t="s">
        <v>48</v>
      </c>
      <c r="R19861" s="36" t="s">
        <v>48</v>
      </c>
    </row>
    <row r="19862">
      <c r="H19862" s="50"/>
      <c r="I19862" s="50"/>
      <c r="O19862" s="36" t="s">
        <v>48</v>
      </c>
      <c r="R19862" s="36" t="s">
        <v>48</v>
      </c>
    </row>
    <row r="19863">
      <c r="H19863" s="50"/>
      <c r="I19863" s="50"/>
      <c r="O19863" s="36" t="s">
        <v>48</v>
      </c>
      <c r="R19863" s="36" t="s">
        <v>48</v>
      </c>
    </row>
    <row r="19864">
      <c r="H19864" s="50"/>
      <c r="I19864" s="50"/>
      <c r="O19864" s="36" t="s">
        <v>48</v>
      </c>
      <c r="R19864" s="36" t="s">
        <v>48</v>
      </c>
    </row>
    <row r="19865">
      <c r="H19865" s="50"/>
      <c r="I19865" s="50"/>
      <c r="O19865" s="36" t="s">
        <v>48</v>
      </c>
      <c r="R19865" s="36" t="s">
        <v>48</v>
      </c>
    </row>
    <row r="19866">
      <c r="H19866" s="50"/>
      <c r="I19866" s="50"/>
      <c r="O19866" s="36" t="s">
        <v>48</v>
      </c>
      <c r="R19866" s="36" t="s">
        <v>48</v>
      </c>
    </row>
    <row r="19867">
      <c r="H19867" s="50"/>
      <c r="I19867" s="50"/>
      <c r="O19867" s="36" t="s">
        <v>48</v>
      </c>
      <c r="R19867" s="36" t="s">
        <v>48</v>
      </c>
    </row>
    <row r="19868">
      <c r="H19868" s="50"/>
      <c r="I19868" s="50"/>
      <c r="O19868" s="36" t="s">
        <v>48</v>
      </c>
      <c r="R19868" s="36" t="s">
        <v>48</v>
      </c>
    </row>
    <row r="19869">
      <c r="H19869" s="50"/>
      <c r="I19869" s="50"/>
      <c r="O19869" s="36" t="s">
        <v>48</v>
      </c>
      <c r="R19869" s="36" t="s">
        <v>48</v>
      </c>
    </row>
    <row r="19870">
      <c r="H19870" s="50"/>
      <c r="I19870" s="50"/>
      <c r="O19870" s="36" t="s">
        <v>48</v>
      </c>
      <c r="R19870" s="36" t="s">
        <v>48</v>
      </c>
    </row>
    <row r="19871">
      <c r="H19871" s="50"/>
      <c r="I19871" s="50"/>
      <c r="O19871" s="36" t="s">
        <v>48</v>
      </c>
      <c r="R19871" s="36" t="s">
        <v>48</v>
      </c>
    </row>
    <row r="19872">
      <c r="H19872" s="50"/>
      <c r="I19872" s="50"/>
      <c r="O19872" s="36" t="s">
        <v>48</v>
      </c>
      <c r="R19872" s="36" t="s">
        <v>48</v>
      </c>
    </row>
    <row r="19873">
      <c r="H19873" s="50"/>
      <c r="I19873" s="50"/>
      <c r="O19873" s="36" t="s">
        <v>48</v>
      </c>
      <c r="R19873" s="36" t="s">
        <v>48</v>
      </c>
    </row>
    <row r="19874">
      <c r="H19874" s="50"/>
      <c r="I19874" s="50"/>
      <c r="O19874" s="36" t="s">
        <v>48</v>
      </c>
      <c r="R19874" s="36" t="s">
        <v>48</v>
      </c>
    </row>
    <row r="19875">
      <c r="H19875" s="50"/>
      <c r="I19875" s="50"/>
      <c r="O19875" s="36" t="s">
        <v>48</v>
      </c>
      <c r="R19875" s="36" t="s">
        <v>48</v>
      </c>
    </row>
    <row r="19876">
      <c r="H19876" s="50"/>
      <c r="I19876" s="50"/>
      <c r="O19876" s="36" t="s">
        <v>48</v>
      </c>
      <c r="R19876" s="36" t="s">
        <v>48</v>
      </c>
    </row>
    <row r="19877">
      <c r="H19877" s="50"/>
      <c r="I19877" s="50"/>
      <c r="O19877" s="36" t="s">
        <v>48</v>
      </c>
      <c r="R19877" s="36" t="s">
        <v>48</v>
      </c>
    </row>
    <row r="19878">
      <c r="H19878" s="50"/>
      <c r="I19878" s="50"/>
      <c r="O19878" s="36" t="s">
        <v>48</v>
      </c>
      <c r="R19878" s="36" t="s">
        <v>48</v>
      </c>
    </row>
    <row r="19879">
      <c r="H19879" s="50"/>
      <c r="I19879" s="50"/>
      <c r="O19879" s="36" t="s">
        <v>48</v>
      </c>
      <c r="R19879" s="36" t="s">
        <v>48</v>
      </c>
    </row>
    <row r="19880">
      <c r="H19880" s="50"/>
      <c r="I19880" s="50"/>
      <c r="O19880" s="36" t="s">
        <v>48</v>
      </c>
      <c r="R19880" s="36" t="s">
        <v>48</v>
      </c>
    </row>
    <row r="19881">
      <c r="H19881" s="50"/>
      <c r="I19881" s="50"/>
      <c r="O19881" s="36" t="s">
        <v>48</v>
      </c>
      <c r="R19881" s="36" t="s">
        <v>48</v>
      </c>
    </row>
    <row r="19882">
      <c r="H19882" s="50"/>
      <c r="I19882" s="50"/>
      <c r="O19882" s="36" t="s">
        <v>48</v>
      </c>
      <c r="R19882" s="36" t="s">
        <v>48</v>
      </c>
    </row>
    <row r="19883">
      <c r="H19883" s="50"/>
      <c r="I19883" s="50"/>
      <c r="O19883" s="36" t="s">
        <v>48</v>
      </c>
      <c r="R19883" s="36" t="s">
        <v>48</v>
      </c>
    </row>
    <row r="19884">
      <c r="H19884" s="50"/>
      <c r="I19884" s="50"/>
      <c r="O19884" s="36" t="s">
        <v>48</v>
      </c>
      <c r="R19884" s="36" t="s">
        <v>48</v>
      </c>
    </row>
    <row r="19885">
      <c r="H19885" s="50"/>
      <c r="I19885" s="50"/>
      <c r="O19885" s="36" t="s">
        <v>48</v>
      </c>
      <c r="R19885" s="36" t="s">
        <v>48</v>
      </c>
    </row>
    <row r="19886">
      <c r="H19886" s="50"/>
      <c r="I19886" s="50"/>
      <c r="O19886" s="36" t="s">
        <v>48</v>
      </c>
      <c r="R19886" s="36" t="s">
        <v>48</v>
      </c>
    </row>
    <row r="19887">
      <c r="H19887" s="50"/>
      <c r="I19887" s="50"/>
      <c r="O19887" s="36" t="s">
        <v>48</v>
      </c>
      <c r="R19887" s="36" t="s">
        <v>48</v>
      </c>
    </row>
    <row r="19888">
      <c r="H19888" s="50"/>
      <c r="I19888" s="50"/>
      <c r="O19888" s="36" t="s">
        <v>48</v>
      </c>
      <c r="R19888" s="36" t="s">
        <v>48</v>
      </c>
    </row>
    <row r="19889">
      <c r="H19889" s="50"/>
      <c r="I19889" s="50"/>
      <c r="O19889" s="36" t="s">
        <v>48</v>
      </c>
      <c r="R19889" s="36" t="s">
        <v>48</v>
      </c>
    </row>
    <row r="19890">
      <c r="H19890" s="50"/>
      <c r="I19890" s="50"/>
      <c r="O19890" s="36" t="s">
        <v>48</v>
      </c>
      <c r="R19890" s="36" t="s">
        <v>48</v>
      </c>
    </row>
    <row r="19891">
      <c r="H19891" s="50"/>
      <c r="I19891" s="50"/>
      <c r="O19891" s="36" t="s">
        <v>48</v>
      </c>
      <c r="R19891" s="36" t="s">
        <v>48</v>
      </c>
    </row>
    <row r="19892">
      <c r="H19892" s="50"/>
      <c r="I19892" s="50"/>
      <c r="O19892" s="36" t="s">
        <v>48</v>
      </c>
      <c r="R19892" s="36" t="s">
        <v>48</v>
      </c>
    </row>
    <row r="19893">
      <c r="H19893" s="50"/>
      <c r="I19893" s="50"/>
      <c r="O19893" s="36" t="s">
        <v>48</v>
      </c>
      <c r="R19893" s="36" t="s">
        <v>48</v>
      </c>
    </row>
    <row r="19894">
      <c r="H19894" s="50"/>
      <c r="I19894" s="50"/>
      <c r="O19894" s="36" t="s">
        <v>48</v>
      </c>
      <c r="R19894" s="36" t="s">
        <v>48</v>
      </c>
    </row>
    <row r="19895">
      <c r="H19895" s="50"/>
      <c r="I19895" s="50"/>
      <c r="O19895" s="36" t="s">
        <v>48</v>
      </c>
      <c r="R19895" s="36" t="s">
        <v>48</v>
      </c>
    </row>
    <row r="19896">
      <c r="H19896" s="50"/>
      <c r="I19896" s="50"/>
      <c r="O19896" s="36" t="s">
        <v>48</v>
      </c>
      <c r="R19896" s="36" t="s">
        <v>48</v>
      </c>
    </row>
    <row r="19897">
      <c r="H19897" s="50"/>
      <c r="I19897" s="50"/>
      <c r="O19897" s="36" t="s">
        <v>48</v>
      </c>
      <c r="R19897" s="36" t="s">
        <v>48</v>
      </c>
    </row>
    <row r="19898">
      <c r="H19898" s="50"/>
      <c r="I19898" s="50"/>
      <c r="O19898" s="36" t="s">
        <v>48</v>
      </c>
      <c r="R19898" s="36" t="s">
        <v>48</v>
      </c>
    </row>
    <row r="19899">
      <c r="H19899" s="50"/>
      <c r="I19899" s="50"/>
      <c r="O19899" s="36" t="s">
        <v>48</v>
      </c>
      <c r="R19899" s="36" t="s">
        <v>48</v>
      </c>
    </row>
    <row r="19900">
      <c r="H19900" s="50"/>
      <c r="I19900" s="50"/>
      <c r="O19900" s="36" t="s">
        <v>48</v>
      </c>
      <c r="R19900" s="36" t="s">
        <v>48</v>
      </c>
    </row>
    <row r="19901">
      <c r="H19901" s="50"/>
      <c r="I19901" s="50"/>
      <c r="O19901" s="36" t="s">
        <v>48</v>
      </c>
      <c r="R19901" s="36" t="s">
        <v>48</v>
      </c>
    </row>
    <row r="19902">
      <c r="H19902" s="50"/>
      <c r="I19902" s="50"/>
      <c r="O19902" s="36" t="s">
        <v>48</v>
      </c>
      <c r="R19902" s="36" t="s">
        <v>48</v>
      </c>
    </row>
    <row r="19903">
      <c r="H19903" s="50"/>
      <c r="I19903" s="50"/>
      <c r="O19903" s="36" t="s">
        <v>48</v>
      </c>
      <c r="R19903" s="36" t="s">
        <v>48</v>
      </c>
    </row>
    <row r="19904">
      <c r="H19904" s="50"/>
      <c r="I19904" s="50"/>
      <c r="O19904" s="36" t="s">
        <v>48</v>
      </c>
      <c r="R19904" s="36" t="s">
        <v>48</v>
      </c>
    </row>
    <row r="19905">
      <c r="H19905" s="50"/>
      <c r="I19905" s="50"/>
      <c r="O19905" s="36" t="s">
        <v>48</v>
      </c>
      <c r="R19905" s="36" t="s">
        <v>48</v>
      </c>
    </row>
    <row r="19906">
      <c r="H19906" s="50"/>
      <c r="I19906" s="50"/>
      <c r="O19906" s="36" t="s">
        <v>48</v>
      </c>
      <c r="R19906" s="36" t="s">
        <v>48</v>
      </c>
    </row>
    <row r="19907">
      <c r="H19907" s="50"/>
      <c r="I19907" s="50"/>
      <c r="O19907" s="36" t="s">
        <v>48</v>
      </c>
      <c r="R19907" s="36" t="s">
        <v>48</v>
      </c>
    </row>
    <row r="19908">
      <c r="H19908" s="50"/>
      <c r="I19908" s="50"/>
      <c r="O19908" s="36" t="s">
        <v>48</v>
      </c>
      <c r="R19908" s="36" t="s">
        <v>48</v>
      </c>
    </row>
    <row r="19909">
      <c r="H19909" s="50"/>
      <c r="I19909" s="50"/>
      <c r="O19909" s="36" t="s">
        <v>48</v>
      </c>
      <c r="R19909" s="36" t="s">
        <v>48</v>
      </c>
    </row>
    <row r="19910">
      <c r="H19910" s="50"/>
      <c r="I19910" s="50"/>
      <c r="O19910" s="36" t="s">
        <v>48</v>
      </c>
      <c r="R19910" s="36" t="s">
        <v>48</v>
      </c>
    </row>
    <row r="19911">
      <c r="H19911" s="50"/>
      <c r="I19911" s="50"/>
      <c r="O19911" s="36" t="s">
        <v>48</v>
      </c>
      <c r="R19911" s="36" t="s">
        <v>48</v>
      </c>
    </row>
    <row r="19912">
      <c r="H19912" s="50"/>
      <c r="I19912" s="50"/>
      <c r="O19912" s="36" t="s">
        <v>48</v>
      </c>
      <c r="R19912" s="36" t="s">
        <v>48</v>
      </c>
    </row>
    <row r="19913">
      <c r="H19913" s="50"/>
      <c r="I19913" s="50"/>
      <c r="O19913" s="36" t="s">
        <v>48</v>
      </c>
      <c r="R19913" s="36" t="s">
        <v>48</v>
      </c>
    </row>
    <row r="19914">
      <c r="H19914" s="50"/>
      <c r="I19914" s="50"/>
      <c r="O19914" s="36" t="s">
        <v>48</v>
      </c>
      <c r="R19914" s="36" t="s">
        <v>48</v>
      </c>
    </row>
    <row r="19915">
      <c r="H19915" s="50"/>
      <c r="I19915" s="50"/>
      <c r="O19915" s="36" t="s">
        <v>48</v>
      </c>
      <c r="R19915" s="36" t="s">
        <v>48</v>
      </c>
    </row>
    <row r="19916">
      <c r="H19916" s="50"/>
      <c r="I19916" s="50"/>
      <c r="O19916" s="36" t="s">
        <v>48</v>
      </c>
      <c r="R19916" s="36" t="s">
        <v>48</v>
      </c>
    </row>
    <row r="19917">
      <c r="H19917" s="50"/>
      <c r="I19917" s="50"/>
      <c r="O19917" s="36" t="s">
        <v>48</v>
      </c>
      <c r="R19917" s="36" t="s">
        <v>48</v>
      </c>
    </row>
    <row r="19918">
      <c r="H19918" s="50"/>
      <c r="I19918" s="50"/>
      <c r="O19918" s="36" t="s">
        <v>48</v>
      </c>
      <c r="R19918" s="36" t="s">
        <v>48</v>
      </c>
    </row>
    <row r="19919">
      <c r="H19919" s="50"/>
      <c r="I19919" s="50"/>
      <c r="O19919" s="36" t="s">
        <v>48</v>
      </c>
      <c r="R19919" s="36" t="s">
        <v>48</v>
      </c>
    </row>
    <row r="19920">
      <c r="H19920" s="50"/>
      <c r="I19920" s="50"/>
      <c r="O19920" s="36" t="s">
        <v>48</v>
      </c>
      <c r="R19920" s="36" t="s">
        <v>48</v>
      </c>
    </row>
    <row r="19921">
      <c r="H19921" s="50"/>
      <c r="I19921" s="50"/>
      <c r="O19921" s="36" t="s">
        <v>48</v>
      </c>
      <c r="R19921" s="36" t="s">
        <v>48</v>
      </c>
    </row>
    <row r="19922">
      <c r="H19922" s="50"/>
      <c r="I19922" s="50"/>
      <c r="O19922" s="36" t="s">
        <v>48</v>
      </c>
      <c r="R19922" s="36" t="s">
        <v>48</v>
      </c>
    </row>
    <row r="19923">
      <c r="H19923" s="50"/>
      <c r="I19923" s="50"/>
      <c r="O19923" s="36" t="s">
        <v>48</v>
      </c>
      <c r="R19923" s="36" t="s">
        <v>48</v>
      </c>
    </row>
    <row r="19924">
      <c r="H19924" s="50"/>
      <c r="I19924" s="50"/>
      <c r="O19924" s="36" t="s">
        <v>48</v>
      </c>
      <c r="R19924" s="36" t="s">
        <v>48</v>
      </c>
    </row>
    <row r="19925">
      <c r="H19925" s="50"/>
      <c r="I19925" s="50"/>
      <c r="O19925" s="36" t="s">
        <v>48</v>
      </c>
      <c r="R19925" s="36" t="s">
        <v>48</v>
      </c>
    </row>
    <row r="19926">
      <c r="H19926" s="50"/>
      <c r="I19926" s="50"/>
      <c r="O19926" s="36" t="s">
        <v>48</v>
      </c>
      <c r="R19926" s="36" t="s">
        <v>48</v>
      </c>
    </row>
    <row r="19927">
      <c r="H19927" s="50"/>
      <c r="I19927" s="50"/>
      <c r="O19927" s="36" t="s">
        <v>48</v>
      </c>
      <c r="R19927" s="36" t="s">
        <v>48</v>
      </c>
    </row>
    <row r="19928">
      <c r="H19928" s="50"/>
      <c r="I19928" s="50"/>
      <c r="O19928" s="36" t="s">
        <v>48</v>
      </c>
      <c r="R19928" s="36" t="s">
        <v>48</v>
      </c>
    </row>
    <row r="19929">
      <c r="H19929" s="50"/>
      <c r="I19929" s="50"/>
      <c r="O19929" s="36" t="s">
        <v>48</v>
      </c>
      <c r="R19929" s="36" t="s">
        <v>48</v>
      </c>
    </row>
    <row r="19930">
      <c r="H19930" s="50"/>
      <c r="I19930" s="50"/>
      <c r="O19930" s="36" t="s">
        <v>48</v>
      </c>
      <c r="R19930" s="36" t="s">
        <v>48</v>
      </c>
    </row>
    <row r="19931">
      <c r="H19931" s="50"/>
      <c r="I19931" s="50"/>
      <c r="O19931" s="36" t="s">
        <v>48</v>
      </c>
      <c r="R19931" s="36" t="s">
        <v>48</v>
      </c>
    </row>
    <row r="19932">
      <c r="H19932" s="50"/>
      <c r="I19932" s="50"/>
      <c r="O19932" s="36" t="s">
        <v>48</v>
      </c>
      <c r="R19932" s="36" t="s">
        <v>48</v>
      </c>
    </row>
    <row r="19933">
      <c r="H19933" s="50"/>
      <c r="I19933" s="50"/>
      <c r="O19933" s="36" t="s">
        <v>48</v>
      </c>
      <c r="R19933" s="36" t="s">
        <v>48</v>
      </c>
    </row>
    <row r="19934">
      <c r="H19934" s="50"/>
      <c r="I19934" s="50"/>
      <c r="O19934" s="36" t="s">
        <v>48</v>
      </c>
      <c r="R19934" s="36" t="s">
        <v>48</v>
      </c>
    </row>
    <row r="19935">
      <c r="H19935" s="50"/>
      <c r="I19935" s="50"/>
      <c r="O19935" s="36" t="s">
        <v>48</v>
      </c>
      <c r="R19935" s="36" t="s">
        <v>48</v>
      </c>
    </row>
    <row r="19936">
      <c r="H19936" s="50"/>
      <c r="I19936" s="50"/>
      <c r="O19936" s="36" t="s">
        <v>48</v>
      </c>
      <c r="R19936" s="36" t="s">
        <v>48</v>
      </c>
    </row>
    <row r="19937">
      <c r="H19937" s="50"/>
      <c r="I19937" s="50"/>
      <c r="O19937" s="36" t="s">
        <v>48</v>
      </c>
      <c r="R19937" s="36" t="s">
        <v>48</v>
      </c>
    </row>
    <row r="19938">
      <c r="H19938" s="50"/>
      <c r="I19938" s="50"/>
      <c r="O19938" s="36" t="s">
        <v>48</v>
      </c>
      <c r="R19938" s="36" t="s">
        <v>48</v>
      </c>
    </row>
    <row r="19939">
      <c r="H19939" s="50"/>
      <c r="I19939" s="50"/>
      <c r="O19939" s="36" t="s">
        <v>48</v>
      </c>
      <c r="R19939" s="36" t="s">
        <v>48</v>
      </c>
    </row>
    <row r="19940">
      <c r="H19940" s="50"/>
      <c r="I19940" s="50"/>
      <c r="O19940" s="36" t="s">
        <v>48</v>
      </c>
      <c r="R19940" s="36" t="s">
        <v>48</v>
      </c>
    </row>
    <row r="19941">
      <c r="H19941" s="50"/>
      <c r="I19941" s="50"/>
      <c r="O19941" s="36" t="s">
        <v>48</v>
      </c>
      <c r="R19941" s="36" t="s">
        <v>48</v>
      </c>
    </row>
    <row r="19942">
      <c r="H19942" s="50"/>
      <c r="I19942" s="50"/>
      <c r="O19942" s="36" t="s">
        <v>48</v>
      </c>
      <c r="R19942" s="36" t="s">
        <v>48</v>
      </c>
    </row>
    <row r="19943">
      <c r="H19943" s="50"/>
      <c r="I19943" s="50"/>
      <c r="O19943" s="36" t="s">
        <v>48</v>
      </c>
      <c r="R19943" s="36" t="s">
        <v>48</v>
      </c>
    </row>
    <row r="19944">
      <c r="H19944" s="50"/>
      <c r="I19944" s="50"/>
      <c r="O19944" s="36" t="s">
        <v>48</v>
      </c>
      <c r="R19944" s="36" t="s">
        <v>48</v>
      </c>
    </row>
    <row r="19945">
      <c r="H19945" s="50"/>
      <c r="I19945" s="50"/>
      <c r="O19945" s="36" t="s">
        <v>48</v>
      </c>
      <c r="R19945" s="36" t="s">
        <v>48</v>
      </c>
    </row>
    <row r="19946">
      <c r="H19946" s="50"/>
      <c r="I19946" s="50"/>
      <c r="O19946" s="36" t="s">
        <v>48</v>
      </c>
      <c r="R19946" s="36" t="s">
        <v>48</v>
      </c>
    </row>
    <row r="19947">
      <c r="H19947" s="50"/>
      <c r="I19947" s="50"/>
      <c r="O19947" s="36" t="s">
        <v>48</v>
      </c>
      <c r="R19947" s="36" t="s">
        <v>48</v>
      </c>
    </row>
    <row r="19948">
      <c r="H19948" s="50"/>
      <c r="I19948" s="50"/>
      <c r="O19948" s="36" t="s">
        <v>48</v>
      </c>
      <c r="R19948" s="36" t="s">
        <v>48</v>
      </c>
    </row>
    <row r="19949">
      <c r="H19949" s="50"/>
      <c r="I19949" s="50"/>
      <c r="O19949" s="36" t="s">
        <v>48</v>
      </c>
      <c r="R19949" s="36" t="s">
        <v>48</v>
      </c>
    </row>
    <row r="19950">
      <c r="H19950" s="50"/>
      <c r="I19950" s="50"/>
      <c r="O19950" s="36" t="s">
        <v>48</v>
      </c>
      <c r="R19950" s="36" t="s">
        <v>48</v>
      </c>
    </row>
    <row r="19951">
      <c r="H19951" s="50"/>
      <c r="I19951" s="50"/>
      <c r="O19951" s="36" t="s">
        <v>48</v>
      </c>
      <c r="R19951" s="36" t="s">
        <v>48</v>
      </c>
    </row>
    <row r="19952">
      <c r="H19952" s="50"/>
      <c r="I19952" s="50"/>
      <c r="O19952" s="36" t="s">
        <v>48</v>
      </c>
      <c r="R19952" s="36" t="s">
        <v>48</v>
      </c>
    </row>
    <row r="19953">
      <c r="H19953" s="50"/>
      <c r="I19953" s="50"/>
      <c r="O19953" s="36" t="s">
        <v>48</v>
      </c>
      <c r="R19953" s="36" t="s">
        <v>48</v>
      </c>
    </row>
    <row r="19954">
      <c r="H19954" s="50"/>
      <c r="I19954" s="50"/>
      <c r="O19954" s="36" t="s">
        <v>48</v>
      </c>
      <c r="R19954" s="36" t="s">
        <v>48</v>
      </c>
    </row>
    <row r="19955">
      <c r="H19955" s="50"/>
      <c r="I19955" s="50"/>
      <c r="O19955" s="36" t="s">
        <v>48</v>
      </c>
      <c r="R19955" s="36" t="s">
        <v>48</v>
      </c>
    </row>
    <row r="19956">
      <c r="H19956" s="50"/>
      <c r="I19956" s="50"/>
      <c r="O19956" s="36" t="s">
        <v>48</v>
      </c>
      <c r="R19956" s="36" t="s">
        <v>48</v>
      </c>
    </row>
    <row r="19957">
      <c r="H19957" s="50"/>
      <c r="I19957" s="50"/>
      <c r="O19957" s="36" t="s">
        <v>48</v>
      </c>
      <c r="R19957" s="36" t="s">
        <v>48</v>
      </c>
    </row>
    <row r="19958">
      <c r="H19958" s="50"/>
      <c r="I19958" s="50"/>
      <c r="O19958" s="36" t="s">
        <v>48</v>
      </c>
      <c r="R19958" s="36" t="s">
        <v>48</v>
      </c>
    </row>
    <row r="19959">
      <c r="H19959" s="50"/>
      <c r="I19959" s="50"/>
      <c r="O19959" s="36" t="s">
        <v>48</v>
      </c>
      <c r="R19959" s="36" t="s">
        <v>48</v>
      </c>
    </row>
    <row r="19960">
      <c r="H19960" s="50"/>
      <c r="I19960" s="50"/>
      <c r="O19960" s="36" t="s">
        <v>48</v>
      </c>
      <c r="R19960" s="36" t="s">
        <v>48</v>
      </c>
    </row>
    <row r="19961">
      <c r="H19961" s="50"/>
      <c r="I19961" s="50"/>
      <c r="O19961" s="36" t="s">
        <v>48</v>
      </c>
      <c r="R19961" s="36" t="s">
        <v>48</v>
      </c>
    </row>
    <row r="19962">
      <c r="H19962" s="50"/>
      <c r="I19962" s="50"/>
      <c r="O19962" s="36" t="s">
        <v>48</v>
      </c>
      <c r="R19962" s="36" t="s">
        <v>48</v>
      </c>
    </row>
    <row r="19963">
      <c r="H19963" s="50"/>
      <c r="I19963" s="50"/>
      <c r="O19963" s="36" t="s">
        <v>48</v>
      </c>
      <c r="R19963" s="36" t="s">
        <v>48</v>
      </c>
    </row>
    <row r="19964">
      <c r="H19964" s="50"/>
      <c r="I19964" s="50"/>
      <c r="O19964" s="36" t="s">
        <v>48</v>
      </c>
      <c r="R19964" s="36" t="s">
        <v>48</v>
      </c>
    </row>
    <row r="19965">
      <c r="H19965" s="50"/>
      <c r="I19965" s="50"/>
      <c r="O19965" s="36" t="s">
        <v>48</v>
      </c>
      <c r="R19965" s="36" t="s">
        <v>48</v>
      </c>
    </row>
    <row r="19966">
      <c r="H19966" s="50"/>
      <c r="I19966" s="50"/>
      <c r="O19966" s="36" t="s">
        <v>48</v>
      </c>
      <c r="R19966" s="36" t="s">
        <v>48</v>
      </c>
    </row>
    <row r="19967">
      <c r="H19967" s="50"/>
      <c r="I19967" s="50"/>
      <c r="O19967" s="36" t="s">
        <v>48</v>
      </c>
      <c r="R19967" s="36" t="s">
        <v>48</v>
      </c>
    </row>
    <row r="19968">
      <c r="H19968" s="50"/>
      <c r="I19968" s="50"/>
      <c r="O19968" s="36" t="s">
        <v>48</v>
      </c>
      <c r="R19968" s="36" t="s">
        <v>48</v>
      </c>
    </row>
    <row r="19969">
      <c r="H19969" s="50"/>
      <c r="I19969" s="50"/>
      <c r="O19969" s="36" t="s">
        <v>48</v>
      </c>
      <c r="R19969" s="36" t="s">
        <v>48</v>
      </c>
    </row>
    <row r="19970">
      <c r="H19970" s="50"/>
      <c r="I19970" s="50"/>
      <c r="O19970" s="36" t="s">
        <v>48</v>
      </c>
      <c r="R19970" s="36" t="s">
        <v>48</v>
      </c>
    </row>
    <row r="19971">
      <c r="H19971" s="50"/>
      <c r="I19971" s="50"/>
      <c r="O19971" s="36" t="s">
        <v>48</v>
      </c>
      <c r="R19971" s="36" t="s">
        <v>48</v>
      </c>
    </row>
    <row r="19972">
      <c r="H19972" s="50"/>
      <c r="I19972" s="50"/>
      <c r="O19972" s="36" t="s">
        <v>48</v>
      </c>
      <c r="R19972" s="36" t="s">
        <v>48</v>
      </c>
    </row>
    <row r="19973">
      <c r="H19973" s="50"/>
      <c r="I19973" s="50"/>
      <c r="O19973" s="36" t="s">
        <v>48</v>
      </c>
      <c r="R19973" s="36" t="s">
        <v>48</v>
      </c>
    </row>
    <row r="19974">
      <c r="H19974" s="50"/>
      <c r="I19974" s="50"/>
      <c r="O19974" s="36" t="s">
        <v>48</v>
      </c>
      <c r="R19974" s="36" t="s">
        <v>48</v>
      </c>
    </row>
    <row r="19975">
      <c r="H19975" s="50"/>
      <c r="I19975" s="50"/>
      <c r="O19975" s="36" t="s">
        <v>48</v>
      </c>
      <c r="R19975" s="36" t="s">
        <v>48</v>
      </c>
    </row>
    <row r="19976">
      <c r="H19976" s="50"/>
      <c r="I19976" s="50"/>
      <c r="O19976" s="36" t="s">
        <v>48</v>
      </c>
      <c r="R19976" s="36" t="s">
        <v>48</v>
      </c>
    </row>
    <row r="19977">
      <c r="H19977" s="50"/>
      <c r="I19977" s="50"/>
      <c r="O19977" s="36" t="s">
        <v>48</v>
      </c>
      <c r="R19977" s="36" t="s">
        <v>48</v>
      </c>
    </row>
    <row r="19978">
      <c r="H19978" s="50"/>
      <c r="I19978" s="50"/>
      <c r="O19978" s="36" t="s">
        <v>48</v>
      </c>
      <c r="R19978" s="36" t="s">
        <v>48</v>
      </c>
    </row>
    <row r="19979">
      <c r="H19979" s="50"/>
      <c r="I19979" s="50"/>
      <c r="O19979" s="36" t="s">
        <v>48</v>
      </c>
      <c r="R19979" s="36" t="s">
        <v>48</v>
      </c>
    </row>
    <row r="19980">
      <c r="H19980" s="50"/>
      <c r="I19980" s="50"/>
      <c r="O19980" s="36" t="s">
        <v>48</v>
      </c>
      <c r="R19980" s="36" t="s">
        <v>48</v>
      </c>
    </row>
    <row r="19981">
      <c r="H19981" s="50"/>
      <c r="I19981" s="50"/>
      <c r="O19981" s="36" t="s">
        <v>48</v>
      </c>
      <c r="R19981" s="36" t="s">
        <v>48</v>
      </c>
    </row>
    <row r="19982">
      <c r="H19982" s="50"/>
      <c r="I19982" s="50"/>
      <c r="O19982" s="36" t="s">
        <v>48</v>
      </c>
      <c r="R19982" s="36" t="s">
        <v>48</v>
      </c>
    </row>
    <row r="19983">
      <c r="H19983" s="50"/>
      <c r="I19983" s="50"/>
      <c r="O19983" s="36" t="s">
        <v>48</v>
      </c>
      <c r="R19983" s="36" t="s">
        <v>48</v>
      </c>
    </row>
    <row r="19984">
      <c r="H19984" s="50"/>
      <c r="I19984" s="50"/>
      <c r="O19984" s="36" t="s">
        <v>48</v>
      </c>
      <c r="R19984" s="36" t="s">
        <v>48</v>
      </c>
    </row>
    <row r="19985">
      <c r="H19985" s="50"/>
      <c r="I19985" s="50"/>
      <c r="O19985" s="36" t="s">
        <v>48</v>
      </c>
      <c r="R19985" s="36" t="s">
        <v>48</v>
      </c>
    </row>
    <row r="19986">
      <c r="H19986" s="50"/>
      <c r="I19986" s="50"/>
      <c r="O19986" s="36" t="s">
        <v>48</v>
      </c>
      <c r="R19986" s="36" t="s">
        <v>48</v>
      </c>
    </row>
    <row r="19987">
      <c r="H19987" s="50"/>
      <c r="I19987" s="50"/>
      <c r="O19987" s="36" t="s">
        <v>48</v>
      </c>
      <c r="R19987" s="36" t="s">
        <v>48</v>
      </c>
    </row>
    <row r="19988">
      <c r="H19988" s="50"/>
      <c r="I19988" s="50"/>
      <c r="O19988" s="36" t="s">
        <v>48</v>
      </c>
      <c r="R19988" s="36" t="s">
        <v>48</v>
      </c>
    </row>
    <row r="19989">
      <c r="H19989" s="50"/>
      <c r="I19989" s="50"/>
      <c r="O19989" s="36" t="s">
        <v>48</v>
      </c>
      <c r="R19989" s="36" t="s">
        <v>48</v>
      </c>
    </row>
    <row r="19990">
      <c r="H19990" s="50"/>
      <c r="I19990" s="50"/>
      <c r="O19990" s="36" t="s">
        <v>48</v>
      </c>
      <c r="R19990" s="36" t="s">
        <v>48</v>
      </c>
    </row>
    <row r="19991">
      <c r="H19991" s="50"/>
      <c r="I19991" s="50"/>
      <c r="O19991" s="36" t="s">
        <v>48</v>
      </c>
      <c r="R19991" s="36" t="s">
        <v>48</v>
      </c>
    </row>
    <row r="19992">
      <c r="H19992" s="50"/>
      <c r="I19992" s="50"/>
      <c r="O19992" s="36" t="s">
        <v>48</v>
      </c>
      <c r="R19992" s="36" t="s">
        <v>48</v>
      </c>
    </row>
    <row r="19993">
      <c r="H19993" s="50"/>
      <c r="I19993" s="50"/>
      <c r="O19993" s="36" t="s">
        <v>48</v>
      </c>
      <c r="R19993" s="36" t="s">
        <v>48</v>
      </c>
    </row>
    <row r="19994">
      <c r="H19994" s="50"/>
      <c r="I19994" s="50"/>
      <c r="O19994" s="36" t="s">
        <v>48</v>
      </c>
      <c r="R19994" s="36" t="s">
        <v>48</v>
      </c>
    </row>
    <row r="19995">
      <c r="H19995" s="50"/>
      <c r="I19995" s="50"/>
      <c r="O19995" s="36" t="s">
        <v>48</v>
      </c>
      <c r="R19995" s="36" t="s">
        <v>48</v>
      </c>
    </row>
    <row r="19996">
      <c r="H19996" s="50"/>
      <c r="I19996" s="50"/>
      <c r="O19996" s="36" t="s">
        <v>48</v>
      </c>
      <c r="R19996" s="36" t="s">
        <v>48</v>
      </c>
    </row>
    <row r="19997">
      <c r="H19997" s="50"/>
      <c r="I19997" s="50"/>
      <c r="O19997" s="36" t="s">
        <v>48</v>
      </c>
      <c r="R19997" s="36" t="s">
        <v>48</v>
      </c>
    </row>
    <row r="19998">
      <c r="H19998" s="50"/>
      <c r="I19998" s="50"/>
      <c r="O19998" s="36" t="s">
        <v>48</v>
      </c>
      <c r="R19998" s="36" t="s">
        <v>48</v>
      </c>
    </row>
    <row r="19999">
      <c r="H19999" s="50"/>
      <c r="I19999" s="50"/>
      <c r="O19999" s="36" t="s">
        <v>48</v>
      </c>
      <c r="R19999" s="36" t="s">
        <v>48</v>
      </c>
    </row>
    <row r="20000">
      <c r="H20000" s="50"/>
      <c r="I20000" s="50"/>
      <c r="O20000" s="36" t="s">
        <v>48</v>
      </c>
      <c r="R20000" s="36" t="s">
        <v>48</v>
      </c>
    </row>
    <row r="20001">
      <c r="H20001" s="50"/>
      <c r="I20001" s="50"/>
      <c r="O20001" s="36" t="s">
        <v>48</v>
      </c>
      <c r="R20001" s="36" t="s">
        <v>48</v>
      </c>
    </row>
    <row r="20002">
      <c r="H20002" s="50"/>
      <c r="I20002" s="50"/>
      <c r="O20002" s="36" t="s">
        <v>48</v>
      </c>
      <c r="R20002" s="36" t="s">
        <v>48</v>
      </c>
    </row>
    <row r="20003">
      <c r="H20003" s="50"/>
      <c r="I20003" s="50"/>
      <c r="O20003" s="36" t="s">
        <v>48</v>
      </c>
      <c r="R20003" s="36" t="s">
        <v>48</v>
      </c>
    </row>
    <row r="20004">
      <c r="H20004" s="50"/>
      <c r="I20004" s="50"/>
      <c r="O20004" s="36" t="s">
        <v>48</v>
      </c>
      <c r="R20004" s="36" t="s">
        <v>48</v>
      </c>
    </row>
    <row r="20005">
      <c r="H20005" s="50"/>
      <c r="I20005" s="50"/>
      <c r="O20005" s="36" t="s">
        <v>48</v>
      </c>
      <c r="R20005" s="36" t="s">
        <v>48</v>
      </c>
    </row>
    <row r="20006">
      <c r="H20006" s="50"/>
      <c r="I20006" s="50"/>
      <c r="O20006" s="36" t="s">
        <v>48</v>
      </c>
      <c r="R20006" s="36" t="s">
        <v>48</v>
      </c>
    </row>
    <row r="20007">
      <c r="H20007" s="50"/>
      <c r="I20007" s="50"/>
      <c r="O20007" s="36" t="s">
        <v>48</v>
      </c>
      <c r="R20007" s="36" t="s">
        <v>48</v>
      </c>
    </row>
    <row r="20008">
      <c r="H20008" s="50"/>
      <c r="I20008" s="50"/>
      <c r="O20008" s="36" t="s">
        <v>48</v>
      </c>
      <c r="R20008" s="36" t="s">
        <v>48</v>
      </c>
    </row>
    <row r="20009">
      <c r="H20009" s="50"/>
      <c r="I20009" s="50"/>
      <c r="O20009" s="36" t="s">
        <v>48</v>
      </c>
      <c r="R20009" s="36" t="s">
        <v>48</v>
      </c>
    </row>
    <row r="20010">
      <c r="H20010" s="50"/>
      <c r="I20010" s="50"/>
      <c r="O20010" s="36" t="s">
        <v>48</v>
      </c>
      <c r="R20010" s="36" t="s">
        <v>48</v>
      </c>
    </row>
    <row r="20011">
      <c r="H20011" s="50"/>
      <c r="I20011" s="50"/>
      <c r="O20011" s="36" t="s">
        <v>48</v>
      </c>
      <c r="R20011" s="36" t="s">
        <v>48</v>
      </c>
    </row>
    <row r="20012">
      <c r="H20012" s="50"/>
      <c r="I20012" s="50"/>
      <c r="O20012" s="36" t="s">
        <v>48</v>
      </c>
      <c r="R20012" s="36" t="s">
        <v>48</v>
      </c>
    </row>
    <row r="20013">
      <c r="H20013" s="50"/>
      <c r="I20013" s="50"/>
      <c r="O20013" s="36" t="s">
        <v>48</v>
      </c>
      <c r="R20013" s="36" t="s">
        <v>48</v>
      </c>
    </row>
    <row r="20014">
      <c r="H20014" s="50"/>
      <c r="I20014" s="50"/>
      <c r="O20014" s="36" t="s">
        <v>48</v>
      </c>
      <c r="R20014" s="36" t="s">
        <v>48</v>
      </c>
    </row>
    <row r="20015">
      <c r="H20015" s="50"/>
      <c r="I20015" s="50"/>
      <c r="O20015" s="36" t="s">
        <v>48</v>
      </c>
      <c r="R20015" s="36" t="s">
        <v>48</v>
      </c>
    </row>
    <row r="20016">
      <c r="H20016" s="50"/>
      <c r="I20016" s="50"/>
      <c r="O20016" s="36" t="s">
        <v>48</v>
      </c>
      <c r="R20016" s="36" t="s">
        <v>48</v>
      </c>
    </row>
    <row r="20017">
      <c r="H20017" s="50"/>
      <c r="I20017" s="50"/>
      <c r="O20017" s="36" t="s">
        <v>48</v>
      </c>
      <c r="R20017" s="36" t="s">
        <v>48</v>
      </c>
    </row>
    <row r="20018">
      <c r="H20018" s="50"/>
      <c r="I20018" s="50"/>
      <c r="O20018" s="36" t="s">
        <v>48</v>
      </c>
      <c r="R20018" s="36" t="s">
        <v>48</v>
      </c>
    </row>
    <row r="20019">
      <c r="H20019" s="50"/>
      <c r="I20019" s="50"/>
      <c r="O20019" s="36" t="s">
        <v>48</v>
      </c>
      <c r="R20019" s="36" t="s">
        <v>48</v>
      </c>
    </row>
    <row r="20020">
      <c r="H20020" s="50"/>
      <c r="I20020" s="50"/>
      <c r="O20020" s="36" t="s">
        <v>48</v>
      </c>
      <c r="R20020" s="36" t="s">
        <v>48</v>
      </c>
    </row>
    <row r="20021">
      <c r="H20021" s="50"/>
      <c r="I20021" s="50"/>
      <c r="O20021" s="36" t="s">
        <v>48</v>
      </c>
      <c r="R20021" s="36" t="s">
        <v>48</v>
      </c>
    </row>
    <row r="20022">
      <c r="H20022" s="50"/>
      <c r="I20022" s="50"/>
      <c r="O20022" s="36" t="s">
        <v>48</v>
      </c>
      <c r="R20022" s="36" t="s">
        <v>48</v>
      </c>
    </row>
    <row r="20023">
      <c r="H20023" s="50"/>
      <c r="I20023" s="50"/>
      <c r="O20023" s="36" t="s">
        <v>48</v>
      </c>
      <c r="R20023" s="36" t="s">
        <v>48</v>
      </c>
    </row>
    <row r="20024">
      <c r="H20024" s="50"/>
      <c r="I20024" s="50"/>
      <c r="O20024" s="36" t="s">
        <v>48</v>
      </c>
      <c r="R20024" s="36" t="s">
        <v>48</v>
      </c>
    </row>
    <row r="20025">
      <c r="H20025" s="50"/>
      <c r="I20025" s="50"/>
      <c r="O20025" s="36" t="s">
        <v>48</v>
      </c>
      <c r="R20025" s="36" t="s">
        <v>48</v>
      </c>
    </row>
    <row r="20026">
      <c r="H20026" s="50"/>
      <c r="I20026" s="50"/>
      <c r="O20026" s="36" t="s">
        <v>48</v>
      </c>
      <c r="R20026" s="36" t="s">
        <v>48</v>
      </c>
    </row>
    <row r="20027">
      <c r="H20027" s="50"/>
      <c r="I20027" s="50"/>
      <c r="O20027" s="36" t="s">
        <v>48</v>
      </c>
      <c r="R20027" s="36" t="s">
        <v>48</v>
      </c>
    </row>
    <row r="20028">
      <c r="H20028" s="50"/>
      <c r="I20028" s="50"/>
      <c r="O20028" s="36" t="s">
        <v>48</v>
      </c>
      <c r="R20028" s="36" t="s">
        <v>48</v>
      </c>
    </row>
    <row r="20029">
      <c r="H20029" s="50"/>
      <c r="I20029" s="50"/>
      <c r="O20029" s="36" t="s">
        <v>48</v>
      </c>
      <c r="R20029" s="36" t="s">
        <v>48</v>
      </c>
    </row>
    <row r="20030">
      <c r="H20030" s="50"/>
      <c r="I20030" s="50"/>
      <c r="O20030" s="36" t="s">
        <v>48</v>
      </c>
      <c r="R20030" s="36" t="s">
        <v>48</v>
      </c>
    </row>
    <row r="20031">
      <c r="H20031" s="50"/>
      <c r="I20031" s="50"/>
      <c r="O20031" s="36" t="s">
        <v>48</v>
      </c>
      <c r="R20031" s="36" t="s">
        <v>48</v>
      </c>
    </row>
    <row r="20032">
      <c r="H20032" s="50"/>
      <c r="I20032" s="50"/>
      <c r="O20032" s="36" t="s">
        <v>48</v>
      </c>
      <c r="R20032" s="36" t="s">
        <v>48</v>
      </c>
    </row>
    <row r="20033">
      <c r="H20033" s="50"/>
      <c r="I20033" s="50"/>
      <c r="O20033" s="36" t="s">
        <v>48</v>
      </c>
      <c r="R20033" s="36" t="s">
        <v>48</v>
      </c>
    </row>
    <row r="20034">
      <c r="H20034" s="50"/>
      <c r="I20034" s="50"/>
      <c r="O20034" s="36" t="s">
        <v>48</v>
      </c>
      <c r="R20034" s="36" t="s">
        <v>48</v>
      </c>
    </row>
    <row r="20035">
      <c r="H20035" s="50"/>
      <c r="I20035" s="50"/>
      <c r="O20035" s="36" t="s">
        <v>48</v>
      </c>
      <c r="R20035" s="36" t="s">
        <v>48</v>
      </c>
    </row>
    <row r="20036">
      <c r="H20036" s="50"/>
      <c r="I20036" s="50"/>
      <c r="O20036" s="36" t="s">
        <v>48</v>
      </c>
      <c r="R20036" s="36" t="s">
        <v>48</v>
      </c>
    </row>
    <row r="20037">
      <c r="H20037" s="50"/>
      <c r="I20037" s="50"/>
      <c r="O20037" s="36" t="s">
        <v>48</v>
      </c>
      <c r="R20037" s="36" t="s">
        <v>48</v>
      </c>
    </row>
    <row r="20038">
      <c r="H20038" s="50"/>
      <c r="I20038" s="50"/>
      <c r="O20038" s="36" t="s">
        <v>48</v>
      </c>
      <c r="R20038" s="36" t="s">
        <v>48</v>
      </c>
    </row>
    <row r="20039">
      <c r="H20039" s="50"/>
      <c r="I20039" s="50"/>
      <c r="O20039" s="36" t="s">
        <v>48</v>
      </c>
      <c r="R20039" s="36" t="s">
        <v>48</v>
      </c>
    </row>
    <row r="20040">
      <c r="H20040" s="50"/>
      <c r="I20040" s="50"/>
      <c r="O20040" s="36" t="s">
        <v>48</v>
      </c>
      <c r="R20040" s="36" t="s">
        <v>48</v>
      </c>
    </row>
    <row r="20041">
      <c r="H20041" s="50"/>
      <c r="I20041" s="50"/>
      <c r="O20041" s="36" t="s">
        <v>48</v>
      </c>
      <c r="R20041" s="36" t="s">
        <v>48</v>
      </c>
    </row>
    <row r="20042">
      <c r="H20042" s="50"/>
      <c r="I20042" s="50"/>
      <c r="O20042" s="36" t="s">
        <v>48</v>
      </c>
      <c r="R20042" s="36" t="s">
        <v>48</v>
      </c>
    </row>
    <row r="20043">
      <c r="H20043" s="50"/>
      <c r="I20043" s="50"/>
      <c r="O20043" s="36" t="s">
        <v>48</v>
      </c>
      <c r="R20043" s="36" t="s">
        <v>48</v>
      </c>
    </row>
    <row r="20044">
      <c r="H20044" s="50"/>
      <c r="I20044" s="50"/>
      <c r="O20044" s="36" t="s">
        <v>48</v>
      </c>
      <c r="R20044" s="36" t="s">
        <v>48</v>
      </c>
    </row>
    <row r="20045">
      <c r="H20045" s="50"/>
      <c r="I20045" s="50"/>
      <c r="O20045" s="36" t="s">
        <v>48</v>
      </c>
      <c r="R20045" s="36" t="s">
        <v>48</v>
      </c>
    </row>
    <row r="20046">
      <c r="H20046" s="50"/>
      <c r="I20046" s="50"/>
      <c r="O20046" s="36" t="s">
        <v>48</v>
      </c>
      <c r="R20046" s="36" t="s">
        <v>48</v>
      </c>
    </row>
    <row r="20047">
      <c r="H20047" s="50"/>
      <c r="I20047" s="50"/>
      <c r="O20047" s="36" t="s">
        <v>48</v>
      </c>
      <c r="R20047" s="36" t="s">
        <v>48</v>
      </c>
    </row>
    <row r="20048">
      <c r="H20048" s="50"/>
      <c r="I20048" s="50"/>
      <c r="O20048" s="36" t="s">
        <v>48</v>
      </c>
      <c r="R20048" s="36" t="s">
        <v>48</v>
      </c>
    </row>
    <row r="20049">
      <c r="H20049" s="50"/>
      <c r="I20049" s="50"/>
      <c r="O20049" s="36" t="s">
        <v>48</v>
      </c>
      <c r="R20049" s="36" t="s">
        <v>48</v>
      </c>
    </row>
    <row r="20050">
      <c r="H20050" s="50"/>
      <c r="I20050" s="50"/>
      <c r="O20050" s="36" t="s">
        <v>48</v>
      </c>
      <c r="R20050" s="36" t="s">
        <v>48</v>
      </c>
    </row>
    <row r="20051">
      <c r="H20051" s="50"/>
      <c r="I20051" s="50"/>
      <c r="O20051" s="36" t="s">
        <v>48</v>
      </c>
      <c r="R20051" s="36" t="s">
        <v>48</v>
      </c>
    </row>
    <row r="20052">
      <c r="H20052" s="50"/>
      <c r="I20052" s="50"/>
      <c r="O20052" s="36" t="s">
        <v>48</v>
      </c>
      <c r="R20052" s="36" t="s">
        <v>48</v>
      </c>
    </row>
    <row r="20053">
      <c r="H20053" s="50"/>
      <c r="I20053" s="50"/>
      <c r="O20053" s="36" t="s">
        <v>48</v>
      </c>
      <c r="R20053" s="36" t="s">
        <v>48</v>
      </c>
    </row>
    <row r="20054">
      <c r="H20054" s="50"/>
      <c r="I20054" s="50"/>
      <c r="O20054" s="36" t="s">
        <v>48</v>
      </c>
      <c r="R20054" s="36" t="s">
        <v>48</v>
      </c>
    </row>
    <row r="20055">
      <c r="H20055" s="50"/>
      <c r="I20055" s="50"/>
      <c r="O20055" s="36" t="s">
        <v>48</v>
      </c>
      <c r="R20055" s="36" t="s">
        <v>48</v>
      </c>
    </row>
    <row r="20056">
      <c r="H20056" s="50"/>
      <c r="I20056" s="50"/>
      <c r="O20056" s="36" t="s">
        <v>48</v>
      </c>
      <c r="R20056" s="36" t="s">
        <v>48</v>
      </c>
    </row>
    <row r="20057">
      <c r="H20057" s="50"/>
      <c r="I20057" s="50"/>
      <c r="O20057" s="36" t="s">
        <v>48</v>
      </c>
      <c r="R20057" s="36" t="s">
        <v>48</v>
      </c>
    </row>
    <row r="20058">
      <c r="H20058" s="50"/>
      <c r="I20058" s="50"/>
      <c r="O20058" s="36" t="s">
        <v>48</v>
      </c>
      <c r="R20058" s="36" t="s">
        <v>48</v>
      </c>
    </row>
    <row r="20059">
      <c r="H20059" s="50"/>
      <c r="I20059" s="50"/>
      <c r="O20059" s="36" t="s">
        <v>48</v>
      </c>
      <c r="R20059" s="36" t="s">
        <v>48</v>
      </c>
    </row>
    <row r="20060">
      <c r="H20060" s="50"/>
      <c r="I20060" s="50"/>
      <c r="O20060" s="36" t="s">
        <v>48</v>
      </c>
      <c r="R20060" s="36" t="s">
        <v>48</v>
      </c>
    </row>
    <row r="20061">
      <c r="H20061" s="50"/>
      <c r="I20061" s="50"/>
      <c r="O20061" s="36" t="s">
        <v>48</v>
      </c>
      <c r="R20061" s="36" t="s">
        <v>48</v>
      </c>
    </row>
    <row r="20062">
      <c r="H20062" s="50"/>
      <c r="I20062" s="50"/>
      <c r="O20062" s="36" t="s">
        <v>48</v>
      </c>
      <c r="R20062" s="36" t="s">
        <v>48</v>
      </c>
    </row>
    <row r="20063">
      <c r="H20063" s="50"/>
      <c r="I20063" s="50"/>
      <c r="O20063" s="36" t="s">
        <v>48</v>
      </c>
      <c r="R20063" s="36" t="s">
        <v>48</v>
      </c>
    </row>
    <row r="20064">
      <c r="H20064" s="50"/>
      <c r="I20064" s="50"/>
      <c r="O20064" s="36" t="s">
        <v>48</v>
      </c>
      <c r="R20064" s="36" t="s">
        <v>48</v>
      </c>
    </row>
    <row r="20065">
      <c r="H20065" s="50"/>
      <c r="I20065" s="50"/>
      <c r="O20065" s="36" t="s">
        <v>48</v>
      </c>
      <c r="R20065" s="36" t="s">
        <v>48</v>
      </c>
    </row>
    <row r="20066">
      <c r="H20066" s="50"/>
      <c r="I20066" s="50"/>
      <c r="O20066" s="36" t="s">
        <v>48</v>
      </c>
      <c r="R20066" s="36" t="s">
        <v>48</v>
      </c>
    </row>
    <row r="20067">
      <c r="H20067" s="50"/>
      <c r="I20067" s="50"/>
      <c r="O20067" s="36" t="s">
        <v>48</v>
      </c>
      <c r="R20067" s="36" t="s">
        <v>48</v>
      </c>
    </row>
    <row r="20068">
      <c r="H20068" s="50"/>
      <c r="I20068" s="50"/>
      <c r="O20068" s="36" t="s">
        <v>48</v>
      </c>
      <c r="R20068" s="36" t="s">
        <v>48</v>
      </c>
    </row>
    <row r="20069">
      <c r="H20069" s="50"/>
      <c r="I20069" s="50"/>
      <c r="O20069" s="36" t="s">
        <v>48</v>
      </c>
      <c r="R20069" s="36" t="s">
        <v>48</v>
      </c>
    </row>
    <row r="20070">
      <c r="H20070" s="50"/>
      <c r="I20070" s="50"/>
      <c r="O20070" s="36" t="s">
        <v>48</v>
      </c>
      <c r="R20070" s="36" t="s">
        <v>48</v>
      </c>
    </row>
    <row r="20071">
      <c r="H20071" s="50"/>
      <c r="I20071" s="50"/>
      <c r="O20071" s="36" t="s">
        <v>48</v>
      </c>
      <c r="R20071" s="36" t="s">
        <v>48</v>
      </c>
    </row>
    <row r="20072">
      <c r="H20072" s="50"/>
      <c r="I20072" s="50"/>
      <c r="O20072" s="36" t="s">
        <v>48</v>
      </c>
      <c r="R20072" s="36" t="s">
        <v>48</v>
      </c>
    </row>
    <row r="20073">
      <c r="H20073" s="50"/>
      <c r="I20073" s="50"/>
      <c r="O20073" s="36" t="s">
        <v>48</v>
      </c>
      <c r="R20073" s="36" t="s">
        <v>48</v>
      </c>
    </row>
    <row r="20074">
      <c r="H20074" s="50"/>
      <c r="I20074" s="50"/>
      <c r="O20074" s="36" t="s">
        <v>48</v>
      </c>
      <c r="R20074" s="36" t="s">
        <v>48</v>
      </c>
    </row>
    <row r="20075">
      <c r="H20075" s="50"/>
      <c r="I20075" s="50"/>
      <c r="O20075" s="36" t="s">
        <v>48</v>
      </c>
      <c r="R20075" s="36" t="s">
        <v>48</v>
      </c>
    </row>
    <row r="20076">
      <c r="H20076" s="50"/>
      <c r="I20076" s="50"/>
      <c r="O20076" s="36" t="s">
        <v>48</v>
      </c>
      <c r="R20076" s="36" t="s">
        <v>48</v>
      </c>
    </row>
    <row r="20077">
      <c r="H20077" s="50"/>
      <c r="I20077" s="50"/>
      <c r="O20077" s="36" t="s">
        <v>48</v>
      </c>
      <c r="R20077" s="36" t="s">
        <v>48</v>
      </c>
    </row>
    <row r="20078">
      <c r="H20078" s="50"/>
      <c r="I20078" s="50"/>
      <c r="O20078" s="36" t="s">
        <v>48</v>
      </c>
      <c r="R20078" s="36" t="s">
        <v>48</v>
      </c>
    </row>
    <row r="20079">
      <c r="H20079" s="50"/>
      <c r="I20079" s="50"/>
      <c r="O20079" s="36" t="s">
        <v>48</v>
      </c>
      <c r="R20079" s="36" t="s">
        <v>48</v>
      </c>
    </row>
    <row r="20080">
      <c r="H20080" s="50"/>
      <c r="I20080" s="50"/>
      <c r="O20080" s="36" t="s">
        <v>48</v>
      </c>
      <c r="R20080" s="36" t="s">
        <v>48</v>
      </c>
    </row>
    <row r="20081">
      <c r="H20081" s="50"/>
      <c r="I20081" s="50"/>
      <c r="O20081" s="36" t="s">
        <v>48</v>
      </c>
      <c r="R20081" s="36" t="s">
        <v>48</v>
      </c>
    </row>
    <row r="20082">
      <c r="H20082" s="50"/>
      <c r="I20082" s="50"/>
      <c r="O20082" s="36" t="s">
        <v>48</v>
      </c>
      <c r="R20082" s="36" t="s">
        <v>48</v>
      </c>
    </row>
    <row r="20083">
      <c r="H20083" s="50"/>
      <c r="I20083" s="50"/>
      <c r="O20083" s="36" t="s">
        <v>48</v>
      </c>
      <c r="R20083" s="36" t="s">
        <v>48</v>
      </c>
    </row>
    <row r="20084">
      <c r="H20084" s="50"/>
      <c r="I20084" s="50"/>
      <c r="O20084" s="36" t="s">
        <v>48</v>
      </c>
      <c r="R20084" s="36" t="s">
        <v>48</v>
      </c>
    </row>
    <row r="20085">
      <c r="H20085" s="50"/>
      <c r="I20085" s="50"/>
      <c r="O20085" s="36" t="s">
        <v>48</v>
      </c>
      <c r="R20085" s="36" t="s">
        <v>48</v>
      </c>
    </row>
    <row r="20086">
      <c r="H20086" s="50"/>
      <c r="I20086" s="50"/>
      <c r="O20086" s="36" t="s">
        <v>48</v>
      </c>
      <c r="R20086" s="36" t="s">
        <v>48</v>
      </c>
    </row>
    <row r="20087">
      <c r="H20087" s="50"/>
      <c r="I20087" s="50"/>
      <c r="O20087" s="36" t="s">
        <v>48</v>
      </c>
      <c r="R20087" s="36" t="s">
        <v>48</v>
      </c>
    </row>
    <row r="20088">
      <c r="H20088" s="50"/>
      <c r="I20088" s="50"/>
      <c r="O20088" s="36" t="s">
        <v>48</v>
      </c>
      <c r="R20088" s="36" t="s">
        <v>48</v>
      </c>
    </row>
    <row r="20089">
      <c r="H20089" s="50"/>
      <c r="I20089" s="50"/>
      <c r="O20089" s="36" t="s">
        <v>48</v>
      </c>
      <c r="R20089" s="36" t="s">
        <v>48</v>
      </c>
    </row>
    <row r="20090">
      <c r="H20090" s="50"/>
      <c r="I20090" s="50"/>
      <c r="O20090" s="36" t="s">
        <v>48</v>
      </c>
      <c r="R20090" s="36" t="s">
        <v>48</v>
      </c>
    </row>
    <row r="20091">
      <c r="H20091" s="50"/>
      <c r="I20091" s="50"/>
      <c r="O20091" s="36" t="s">
        <v>48</v>
      </c>
      <c r="R20091" s="36" t="s">
        <v>48</v>
      </c>
    </row>
    <row r="20092">
      <c r="H20092" s="50"/>
      <c r="I20092" s="50"/>
      <c r="O20092" s="36" t="s">
        <v>48</v>
      </c>
      <c r="R20092" s="36" t="s">
        <v>48</v>
      </c>
    </row>
    <row r="20093">
      <c r="H20093" s="50"/>
      <c r="I20093" s="50"/>
      <c r="O20093" s="36" t="s">
        <v>48</v>
      </c>
      <c r="R20093" s="36" t="s">
        <v>48</v>
      </c>
    </row>
    <row r="20094">
      <c r="H20094" s="50"/>
      <c r="I20094" s="50"/>
      <c r="O20094" s="36" t="s">
        <v>48</v>
      </c>
      <c r="R20094" s="36" t="s">
        <v>48</v>
      </c>
    </row>
    <row r="20095">
      <c r="H20095" s="50"/>
      <c r="I20095" s="50"/>
      <c r="O20095" s="36" t="s">
        <v>48</v>
      </c>
      <c r="R20095" s="36" t="s">
        <v>48</v>
      </c>
    </row>
    <row r="20096">
      <c r="H20096" s="50"/>
      <c r="I20096" s="50"/>
      <c r="O20096" s="36" t="s">
        <v>48</v>
      </c>
      <c r="R20096" s="36" t="s">
        <v>48</v>
      </c>
    </row>
    <row r="20097">
      <c r="H20097" s="50"/>
      <c r="I20097" s="50"/>
      <c r="O20097" s="36" t="s">
        <v>48</v>
      </c>
      <c r="R20097" s="36" t="s">
        <v>48</v>
      </c>
    </row>
    <row r="20098">
      <c r="H20098" s="50"/>
      <c r="I20098" s="50"/>
      <c r="O20098" s="36" t="s">
        <v>48</v>
      </c>
      <c r="R20098" s="36" t="s">
        <v>48</v>
      </c>
    </row>
    <row r="20099">
      <c r="H20099" s="50"/>
      <c r="I20099" s="50"/>
      <c r="O20099" s="36" t="s">
        <v>48</v>
      </c>
      <c r="R20099" s="36" t="s">
        <v>48</v>
      </c>
    </row>
    <row r="20100">
      <c r="H20100" s="50"/>
      <c r="I20100" s="50"/>
      <c r="O20100" s="36" t="s">
        <v>48</v>
      </c>
      <c r="R20100" s="36" t="s">
        <v>48</v>
      </c>
    </row>
    <row r="20101">
      <c r="H20101" s="50"/>
      <c r="I20101" s="50"/>
      <c r="O20101" s="36" t="s">
        <v>48</v>
      </c>
      <c r="R20101" s="36" t="s">
        <v>48</v>
      </c>
    </row>
    <row r="20102">
      <c r="H20102" s="50"/>
      <c r="I20102" s="50"/>
      <c r="O20102" s="36" t="s">
        <v>48</v>
      </c>
      <c r="R20102" s="36" t="s">
        <v>48</v>
      </c>
    </row>
    <row r="20103">
      <c r="H20103" s="50"/>
      <c r="I20103" s="50"/>
      <c r="O20103" s="36" t="s">
        <v>48</v>
      </c>
      <c r="R20103" s="36" t="s">
        <v>48</v>
      </c>
    </row>
    <row r="20104">
      <c r="H20104" s="50"/>
      <c r="I20104" s="50"/>
      <c r="O20104" s="36" t="s">
        <v>48</v>
      </c>
      <c r="R20104" s="36" t="s">
        <v>48</v>
      </c>
    </row>
    <row r="20105">
      <c r="H20105" s="50"/>
      <c r="I20105" s="50"/>
      <c r="O20105" s="36" t="s">
        <v>48</v>
      </c>
      <c r="R20105" s="36" t="s">
        <v>48</v>
      </c>
    </row>
    <row r="20106">
      <c r="H20106" s="50"/>
      <c r="I20106" s="50"/>
      <c r="O20106" s="36" t="s">
        <v>48</v>
      </c>
      <c r="R20106" s="36" t="s">
        <v>48</v>
      </c>
    </row>
    <row r="20107">
      <c r="H20107" s="50"/>
      <c r="I20107" s="50"/>
      <c r="O20107" s="36" t="s">
        <v>48</v>
      </c>
      <c r="R20107" s="36" t="s">
        <v>48</v>
      </c>
    </row>
    <row r="20108">
      <c r="H20108" s="50"/>
      <c r="I20108" s="50"/>
      <c r="O20108" s="36" t="s">
        <v>48</v>
      </c>
      <c r="R20108" s="36" t="s">
        <v>48</v>
      </c>
    </row>
    <row r="20109">
      <c r="H20109" s="50"/>
      <c r="I20109" s="50"/>
      <c r="O20109" s="36" t="s">
        <v>48</v>
      </c>
      <c r="R20109" s="36" t="s">
        <v>48</v>
      </c>
    </row>
    <row r="20110">
      <c r="H20110" s="50"/>
      <c r="I20110" s="50"/>
      <c r="O20110" s="36" t="s">
        <v>48</v>
      </c>
      <c r="R20110" s="36" t="s">
        <v>48</v>
      </c>
    </row>
    <row r="20111">
      <c r="H20111" s="50"/>
      <c r="I20111" s="50"/>
      <c r="O20111" s="36" t="s">
        <v>48</v>
      </c>
      <c r="R20111" s="36" t="s">
        <v>48</v>
      </c>
    </row>
    <row r="20112">
      <c r="H20112" s="50"/>
      <c r="I20112" s="50"/>
      <c r="O20112" s="36" t="s">
        <v>48</v>
      </c>
      <c r="R20112" s="36" t="s">
        <v>48</v>
      </c>
    </row>
    <row r="20113">
      <c r="H20113" s="50"/>
      <c r="I20113" s="50"/>
      <c r="O20113" s="36" t="s">
        <v>48</v>
      </c>
      <c r="R20113" s="36" t="s">
        <v>48</v>
      </c>
    </row>
    <row r="20114">
      <c r="H20114" s="50"/>
      <c r="I20114" s="50"/>
      <c r="O20114" s="36" t="s">
        <v>48</v>
      </c>
      <c r="R20114" s="36" t="s">
        <v>48</v>
      </c>
    </row>
    <row r="20115">
      <c r="H20115" s="50"/>
      <c r="I20115" s="50"/>
      <c r="O20115" s="36" t="s">
        <v>48</v>
      </c>
      <c r="R20115" s="36" t="s">
        <v>48</v>
      </c>
    </row>
    <row r="20116">
      <c r="H20116" s="50"/>
      <c r="I20116" s="50"/>
      <c r="O20116" s="36" t="s">
        <v>48</v>
      </c>
      <c r="R20116" s="36" t="s">
        <v>48</v>
      </c>
    </row>
    <row r="20117">
      <c r="H20117" s="50"/>
      <c r="I20117" s="50"/>
      <c r="O20117" s="36" t="s">
        <v>48</v>
      </c>
      <c r="R20117" s="36" t="s">
        <v>48</v>
      </c>
    </row>
    <row r="20118">
      <c r="H20118" s="50"/>
      <c r="I20118" s="50"/>
      <c r="O20118" s="36" t="s">
        <v>48</v>
      </c>
      <c r="R20118" s="36" t="s">
        <v>48</v>
      </c>
    </row>
    <row r="20119">
      <c r="H20119" s="50"/>
      <c r="I20119" s="50"/>
      <c r="O20119" s="36" t="s">
        <v>48</v>
      </c>
      <c r="R20119" s="36" t="s">
        <v>48</v>
      </c>
    </row>
    <row r="20120">
      <c r="H20120" s="50"/>
      <c r="I20120" s="50"/>
      <c r="O20120" s="36" t="s">
        <v>48</v>
      </c>
      <c r="R20120" s="36" t="s">
        <v>48</v>
      </c>
    </row>
    <row r="20121">
      <c r="H20121" s="50"/>
      <c r="I20121" s="50"/>
      <c r="O20121" s="36" t="s">
        <v>48</v>
      </c>
      <c r="R20121" s="36" t="s">
        <v>48</v>
      </c>
    </row>
    <row r="20122">
      <c r="H20122" s="50"/>
      <c r="I20122" s="50"/>
      <c r="O20122" s="36" t="s">
        <v>48</v>
      </c>
      <c r="R20122" s="36" t="s">
        <v>48</v>
      </c>
    </row>
    <row r="20123">
      <c r="H20123" s="50"/>
      <c r="I20123" s="50"/>
      <c r="O20123" s="36" t="s">
        <v>48</v>
      </c>
      <c r="R20123" s="36" t="s">
        <v>48</v>
      </c>
    </row>
    <row r="20124">
      <c r="H20124" s="50"/>
      <c r="I20124" s="50"/>
      <c r="O20124" s="36" t="s">
        <v>48</v>
      </c>
      <c r="R20124" s="36" t="s">
        <v>48</v>
      </c>
    </row>
    <row r="20125">
      <c r="H20125" s="50"/>
      <c r="I20125" s="50"/>
      <c r="O20125" s="36" t="s">
        <v>48</v>
      </c>
      <c r="R20125" s="36" t="s">
        <v>48</v>
      </c>
    </row>
    <row r="20126">
      <c r="H20126" s="50"/>
      <c r="I20126" s="50"/>
      <c r="O20126" s="36" t="s">
        <v>48</v>
      </c>
      <c r="R20126" s="36" t="s">
        <v>48</v>
      </c>
    </row>
    <row r="20127">
      <c r="H20127" s="50"/>
      <c r="I20127" s="50"/>
      <c r="O20127" s="36" t="s">
        <v>48</v>
      </c>
      <c r="R20127" s="36" t="s">
        <v>48</v>
      </c>
    </row>
    <row r="20128">
      <c r="H20128" s="50"/>
      <c r="I20128" s="50"/>
      <c r="O20128" s="36" t="s">
        <v>48</v>
      </c>
      <c r="R20128" s="36" t="s">
        <v>48</v>
      </c>
    </row>
    <row r="20129">
      <c r="H20129" s="50"/>
      <c r="I20129" s="50"/>
      <c r="O20129" s="36" t="s">
        <v>48</v>
      </c>
      <c r="R20129" s="36" t="s">
        <v>48</v>
      </c>
    </row>
    <row r="20130">
      <c r="H20130" s="50"/>
      <c r="I20130" s="50"/>
      <c r="O20130" s="36" t="s">
        <v>48</v>
      </c>
      <c r="R20130" s="36" t="s">
        <v>48</v>
      </c>
    </row>
    <row r="20131">
      <c r="H20131" s="50"/>
      <c r="I20131" s="50"/>
      <c r="O20131" s="36" t="s">
        <v>48</v>
      </c>
      <c r="R20131" s="36" t="s">
        <v>48</v>
      </c>
    </row>
    <row r="20132">
      <c r="H20132" s="50"/>
      <c r="I20132" s="50"/>
      <c r="O20132" s="36" t="s">
        <v>48</v>
      </c>
      <c r="R20132" s="36" t="s">
        <v>48</v>
      </c>
    </row>
    <row r="20133">
      <c r="H20133" s="50"/>
      <c r="I20133" s="50"/>
      <c r="O20133" s="36" t="s">
        <v>48</v>
      </c>
      <c r="R20133" s="36" t="s">
        <v>48</v>
      </c>
    </row>
    <row r="20134">
      <c r="H20134" s="50"/>
      <c r="I20134" s="50"/>
      <c r="O20134" s="36" t="s">
        <v>48</v>
      </c>
      <c r="R20134" s="36" t="s">
        <v>48</v>
      </c>
    </row>
    <row r="20135">
      <c r="H20135" s="50"/>
      <c r="I20135" s="50"/>
      <c r="O20135" s="36" t="s">
        <v>48</v>
      </c>
      <c r="R20135" s="36" t="s">
        <v>48</v>
      </c>
    </row>
    <row r="20136">
      <c r="H20136" s="50"/>
      <c r="I20136" s="50"/>
      <c r="O20136" s="36" t="s">
        <v>48</v>
      </c>
      <c r="R20136" s="36" t="s">
        <v>48</v>
      </c>
    </row>
    <row r="20137">
      <c r="H20137" s="50"/>
      <c r="I20137" s="50"/>
      <c r="O20137" s="36" t="s">
        <v>48</v>
      </c>
      <c r="R20137" s="36" t="s">
        <v>48</v>
      </c>
    </row>
    <row r="20138">
      <c r="H20138" s="50"/>
      <c r="I20138" s="50"/>
      <c r="O20138" s="36" t="s">
        <v>48</v>
      </c>
      <c r="R20138" s="36" t="s">
        <v>48</v>
      </c>
    </row>
    <row r="20139">
      <c r="H20139" s="50"/>
      <c r="I20139" s="50"/>
      <c r="O20139" s="36" t="s">
        <v>48</v>
      </c>
      <c r="R20139" s="36" t="s">
        <v>48</v>
      </c>
    </row>
    <row r="20140">
      <c r="H20140" s="50"/>
      <c r="I20140" s="50"/>
      <c r="O20140" s="36" t="s">
        <v>48</v>
      </c>
      <c r="R20140" s="36" t="s">
        <v>48</v>
      </c>
    </row>
    <row r="20141">
      <c r="H20141" s="50"/>
      <c r="I20141" s="50"/>
      <c r="O20141" s="36" t="s">
        <v>48</v>
      </c>
      <c r="R20141" s="36" t="s">
        <v>48</v>
      </c>
    </row>
    <row r="20142">
      <c r="H20142" s="50"/>
      <c r="I20142" s="50"/>
      <c r="O20142" s="36" t="s">
        <v>48</v>
      </c>
      <c r="R20142" s="36" t="s">
        <v>48</v>
      </c>
    </row>
    <row r="20143">
      <c r="H20143" s="50"/>
      <c r="I20143" s="50"/>
      <c r="O20143" s="36" t="s">
        <v>48</v>
      </c>
      <c r="R20143" s="36" t="s">
        <v>48</v>
      </c>
    </row>
    <row r="20144">
      <c r="H20144" s="50"/>
      <c r="I20144" s="50"/>
      <c r="O20144" s="36" t="s">
        <v>48</v>
      </c>
      <c r="R20144" s="36" t="s">
        <v>48</v>
      </c>
    </row>
    <row r="20145">
      <c r="H20145" s="50"/>
      <c r="I20145" s="50"/>
      <c r="O20145" s="36" t="s">
        <v>48</v>
      </c>
      <c r="R20145" s="36" t="s">
        <v>48</v>
      </c>
    </row>
    <row r="20146">
      <c r="H20146" s="50"/>
      <c r="I20146" s="50"/>
      <c r="O20146" s="36" t="s">
        <v>48</v>
      </c>
      <c r="R20146" s="36" t="s">
        <v>48</v>
      </c>
    </row>
    <row r="20147">
      <c r="H20147" s="50"/>
      <c r="I20147" s="50"/>
      <c r="O20147" s="36" t="s">
        <v>48</v>
      </c>
      <c r="R20147" s="36" t="s">
        <v>48</v>
      </c>
    </row>
    <row r="20148">
      <c r="H20148" s="50"/>
      <c r="I20148" s="50"/>
      <c r="O20148" s="36" t="s">
        <v>48</v>
      </c>
      <c r="R20148" s="36" t="s">
        <v>48</v>
      </c>
    </row>
    <row r="20149">
      <c r="H20149" s="50"/>
      <c r="I20149" s="50"/>
      <c r="O20149" s="36" t="s">
        <v>48</v>
      </c>
      <c r="R20149" s="36" t="s">
        <v>48</v>
      </c>
    </row>
    <row r="20150">
      <c r="H20150" s="50"/>
      <c r="I20150" s="50"/>
      <c r="O20150" s="36" t="s">
        <v>48</v>
      </c>
      <c r="R20150" s="36" t="s">
        <v>48</v>
      </c>
    </row>
    <row r="20151">
      <c r="H20151" s="50"/>
      <c r="I20151" s="50"/>
      <c r="O20151" s="36" t="s">
        <v>48</v>
      </c>
      <c r="R20151" s="36" t="s">
        <v>48</v>
      </c>
    </row>
    <row r="20152">
      <c r="H20152" s="50"/>
      <c r="I20152" s="50"/>
      <c r="O20152" s="36" t="s">
        <v>48</v>
      </c>
      <c r="R20152" s="36" t="s">
        <v>48</v>
      </c>
    </row>
    <row r="20153">
      <c r="H20153" s="50"/>
      <c r="I20153" s="50"/>
      <c r="O20153" s="36" t="s">
        <v>48</v>
      </c>
      <c r="R20153" s="36" t="s">
        <v>48</v>
      </c>
    </row>
    <row r="20154">
      <c r="H20154" s="50"/>
      <c r="I20154" s="50"/>
      <c r="O20154" s="36" t="s">
        <v>48</v>
      </c>
      <c r="R20154" s="36" t="s">
        <v>48</v>
      </c>
    </row>
    <row r="20155">
      <c r="H20155" s="50"/>
      <c r="I20155" s="50"/>
      <c r="O20155" s="36" t="s">
        <v>48</v>
      </c>
      <c r="R20155" s="36" t="s">
        <v>48</v>
      </c>
    </row>
    <row r="20156">
      <c r="H20156" s="50"/>
      <c r="I20156" s="50"/>
      <c r="O20156" s="36" t="s">
        <v>48</v>
      </c>
      <c r="R20156" s="36" t="s">
        <v>48</v>
      </c>
    </row>
    <row r="20157">
      <c r="H20157" s="50"/>
      <c r="I20157" s="50"/>
      <c r="O20157" s="36" t="s">
        <v>48</v>
      </c>
      <c r="R20157" s="36" t="s">
        <v>48</v>
      </c>
    </row>
    <row r="20158">
      <c r="H20158" s="50"/>
      <c r="I20158" s="50"/>
      <c r="O20158" s="36" t="s">
        <v>48</v>
      </c>
      <c r="R20158" s="36" t="s">
        <v>48</v>
      </c>
    </row>
    <row r="20159">
      <c r="H20159" s="50"/>
      <c r="I20159" s="50"/>
      <c r="O20159" s="36" t="s">
        <v>48</v>
      </c>
      <c r="R20159" s="36" t="s">
        <v>48</v>
      </c>
    </row>
    <row r="20160">
      <c r="H20160" s="50"/>
      <c r="I20160" s="50"/>
      <c r="O20160" s="36" t="s">
        <v>48</v>
      </c>
      <c r="R20160" s="36" t="s">
        <v>48</v>
      </c>
    </row>
    <row r="20161">
      <c r="H20161" s="50"/>
      <c r="I20161" s="50"/>
      <c r="O20161" s="36" t="s">
        <v>48</v>
      </c>
      <c r="R20161" s="36" t="s">
        <v>48</v>
      </c>
    </row>
    <row r="20162">
      <c r="H20162" s="50"/>
      <c r="I20162" s="50"/>
      <c r="O20162" s="36" t="s">
        <v>48</v>
      </c>
      <c r="R20162" s="36" t="s">
        <v>48</v>
      </c>
    </row>
    <row r="20163">
      <c r="H20163" s="50"/>
      <c r="I20163" s="50"/>
      <c r="O20163" s="36" t="s">
        <v>48</v>
      </c>
      <c r="R20163" s="36" t="s">
        <v>48</v>
      </c>
    </row>
    <row r="20164">
      <c r="H20164" s="50"/>
      <c r="I20164" s="50"/>
      <c r="O20164" s="36" t="s">
        <v>48</v>
      </c>
      <c r="R20164" s="36" t="s">
        <v>48</v>
      </c>
    </row>
    <row r="20165">
      <c r="H20165" s="50"/>
      <c r="I20165" s="50"/>
      <c r="O20165" s="36" t="s">
        <v>48</v>
      </c>
      <c r="R20165" s="36" t="s">
        <v>48</v>
      </c>
    </row>
    <row r="20166">
      <c r="H20166" s="50"/>
      <c r="I20166" s="50"/>
      <c r="O20166" s="36" t="s">
        <v>48</v>
      </c>
      <c r="R20166" s="36" t="s">
        <v>48</v>
      </c>
    </row>
    <row r="20167">
      <c r="H20167" s="50"/>
      <c r="I20167" s="50"/>
      <c r="O20167" s="36" t="s">
        <v>48</v>
      </c>
      <c r="R20167" s="36" t="s">
        <v>48</v>
      </c>
    </row>
    <row r="20168">
      <c r="H20168" s="50"/>
      <c r="I20168" s="50"/>
      <c r="O20168" s="36" t="s">
        <v>48</v>
      </c>
      <c r="R20168" s="36" t="s">
        <v>48</v>
      </c>
    </row>
    <row r="20169">
      <c r="H20169" s="50"/>
      <c r="I20169" s="50"/>
      <c r="O20169" s="36" t="s">
        <v>48</v>
      </c>
      <c r="R20169" s="36" t="s">
        <v>48</v>
      </c>
    </row>
    <row r="20170">
      <c r="H20170" s="50"/>
      <c r="I20170" s="50"/>
      <c r="O20170" s="36" t="s">
        <v>48</v>
      </c>
      <c r="R20170" s="36" t="s">
        <v>48</v>
      </c>
    </row>
    <row r="20171">
      <c r="H20171" s="50"/>
      <c r="I20171" s="50"/>
      <c r="O20171" s="36" t="s">
        <v>48</v>
      </c>
      <c r="R20171" s="36" t="s">
        <v>48</v>
      </c>
    </row>
    <row r="20172">
      <c r="H20172" s="50"/>
      <c r="I20172" s="50"/>
      <c r="O20172" s="36" t="s">
        <v>48</v>
      </c>
      <c r="R20172" s="36" t="s">
        <v>48</v>
      </c>
    </row>
    <row r="20173">
      <c r="H20173" s="50"/>
      <c r="I20173" s="50"/>
      <c r="O20173" s="36" t="s">
        <v>48</v>
      </c>
      <c r="R20173" s="36" t="s">
        <v>48</v>
      </c>
    </row>
    <row r="20174">
      <c r="H20174" s="50"/>
      <c r="I20174" s="50"/>
      <c r="O20174" s="36" t="s">
        <v>48</v>
      </c>
      <c r="R20174" s="36" t="s">
        <v>48</v>
      </c>
    </row>
    <row r="20175">
      <c r="H20175" s="50"/>
      <c r="I20175" s="50"/>
      <c r="O20175" s="36" t="s">
        <v>48</v>
      </c>
      <c r="R20175" s="36" t="s">
        <v>48</v>
      </c>
    </row>
    <row r="20176">
      <c r="H20176" s="50"/>
      <c r="I20176" s="50"/>
      <c r="O20176" s="36" t="s">
        <v>48</v>
      </c>
      <c r="R20176" s="36" t="s">
        <v>48</v>
      </c>
    </row>
    <row r="20177">
      <c r="H20177" s="50"/>
      <c r="I20177" s="50"/>
      <c r="O20177" s="36" t="s">
        <v>48</v>
      </c>
      <c r="R20177" s="36" t="s">
        <v>48</v>
      </c>
    </row>
    <row r="20178">
      <c r="H20178" s="50"/>
      <c r="I20178" s="50"/>
      <c r="O20178" s="36" t="s">
        <v>48</v>
      </c>
      <c r="R20178" s="36" t="s">
        <v>48</v>
      </c>
    </row>
    <row r="20179">
      <c r="H20179" s="50"/>
      <c r="I20179" s="50"/>
      <c r="O20179" s="36" t="s">
        <v>48</v>
      </c>
      <c r="R20179" s="36" t="s">
        <v>48</v>
      </c>
    </row>
    <row r="20180">
      <c r="H20180" s="50"/>
      <c r="I20180" s="50"/>
      <c r="O20180" s="36" t="s">
        <v>48</v>
      </c>
      <c r="R20180" s="36" t="s">
        <v>48</v>
      </c>
    </row>
    <row r="20181">
      <c r="H20181" s="50"/>
      <c r="I20181" s="50"/>
      <c r="O20181" s="36" t="s">
        <v>48</v>
      </c>
      <c r="R20181" s="36" t="s">
        <v>48</v>
      </c>
    </row>
    <row r="20182">
      <c r="H20182" s="50"/>
      <c r="I20182" s="50"/>
      <c r="O20182" s="36" t="s">
        <v>48</v>
      </c>
      <c r="R20182" s="36" t="s">
        <v>48</v>
      </c>
    </row>
    <row r="20183">
      <c r="H20183" s="50"/>
      <c r="I20183" s="50"/>
      <c r="O20183" s="36" t="s">
        <v>48</v>
      </c>
      <c r="R20183" s="36" t="s">
        <v>48</v>
      </c>
    </row>
    <row r="20184">
      <c r="H20184" s="50"/>
      <c r="I20184" s="50"/>
      <c r="O20184" s="36" t="s">
        <v>48</v>
      </c>
      <c r="R20184" s="36" t="s">
        <v>48</v>
      </c>
    </row>
    <row r="20185">
      <c r="H20185" s="50"/>
      <c r="I20185" s="50"/>
      <c r="O20185" s="36" t="s">
        <v>48</v>
      </c>
      <c r="R20185" s="36" t="s">
        <v>48</v>
      </c>
    </row>
    <row r="20186">
      <c r="H20186" s="50"/>
      <c r="I20186" s="50"/>
      <c r="O20186" s="36" t="s">
        <v>48</v>
      </c>
      <c r="R20186" s="36" t="s">
        <v>48</v>
      </c>
    </row>
    <row r="20187">
      <c r="H20187" s="50"/>
      <c r="I20187" s="50"/>
      <c r="O20187" s="36" t="s">
        <v>48</v>
      </c>
      <c r="R20187" s="36" t="s">
        <v>48</v>
      </c>
    </row>
    <row r="20188">
      <c r="H20188" s="50"/>
      <c r="I20188" s="50"/>
      <c r="O20188" s="36" t="s">
        <v>48</v>
      </c>
      <c r="R20188" s="36" t="s">
        <v>48</v>
      </c>
    </row>
    <row r="20189">
      <c r="H20189" s="50"/>
      <c r="I20189" s="50"/>
      <c r="O20189" s="36" t="s">
        <v>48</v>
      </c>
      <c r="R20189" s="36" t="s">
        <v>48</v>
      </c>
    </row>
    <row r="20190">
      <c r="H20190" s="50"/>
      <c r="I20190" s="50"/>
      <c r="O20190" s="36" t="s">
        <v>48</v>
      </c>
      <c r="R20190" s="36" t="s">
        <v>48</v>
      </c>
    </row>
    <row r="20191">
      <c r="H20191" s="50"/>
      <c r="I20191" s="50"/>
      <c r="O20191" s="36" t="s">
        <v>48</v>
      </c>
      <c r="R20191" s="36" t="s">
        <v>48</v>
      </c>
    </row>
    <row r="20192">
      <c r="H20192" s="50"/>
      <c r="I20192" s="50"/>
      <c r="O20192" s="36" t="s">
        <v>48</v>
      </c>
      <c r="R20192" s="36" t="s">
        <v>48</v>
      </c>
    </row>
    <row r="20193">
      <c r="H20193" s="50"/>
      <c r="I20193" s="50"/>
      <c r="O20193" s="36" t="s">
        <v>48</v>
      </c>
      <c r="R20193" s="36" t="s">
        <v>48</v>
      </c>
    </row>
    <row r="20194">
      <c r="H20194" s="50"/>
      <c r="I20194" s="50"/>
      <c r="O20194" s="36" t="s">
        <v>48</v>
      </c>
      <c r="R20194" s="36" t="s">
        <v>48</v>
      </c>
    </row>
    <row r="20195">
      <c r="H20195" s="50"/>
      <c r="I20195" s="50"/>
      <c r="O20195" s="36" t="s">
        <v>48</v>
      </c>
      <c r="R20195" s="36" t="s">
        <v>48</v>
      </c>
    </row>
    <row r="20196">
      <c r="H20196" s="50"/>
      <c r="I20196" s="50"/>
      <c r="O20196" s="36" t="s">
        <v>48</v>
      </c>
      <c r="R20196" s="36" t="s">
        <v>48</v>
      </c>
    </row>
    <row r="20197">
      <c r="H20197" s="50"/>
      <c r="I20197" s="50"/>
      <c r="O20197" s="36" t="s">
        <v>48</v>
      </c>
      <c r="R20197" s="36" t="s">
        <v>48</v>
      </c>
    </row>
    <row r="20198">
      <c r="H20198" s="50"/>
      <c r="I20198" s="50"/>
      <c r="O20198" s="36" t="s">
        <v>48</v>
      </c>
      <c r="R20198" s="36" t="s">
        <v>48</v>
      </c>
    </row>
    <row r="20199">
      <c r="H20199" s="50"/>
      <c r="I20199" s="50"/>
      <c r="O20199" s="36" t="s">
        <v>48</v>
      </c>
      <c r="R20199" s="36" t="s">
        <v>48</v>
      </c>
    </row>
    <row r="20200">
      <c r="H20200" s="50"/>
      <c r="I20200" s="50"/>
      <c r="O20200" s="36" t="s">
        <v>48</v>
      </c>
      <c r="R20200" s="36" t="s">
        <v>48</v>
      </c>
    </row>
    <row r="20201">
      <c r="H20201" s="50"/>
      <c r="I20201" s="50"/>
      <c r="O20201" s="36" t="s">
        <v>48</v>
      </c>
      <c r="R20201" s="36" t="s">
        <v>48</v>
      </c>
    </row>
    <row r="20202">
      <c r="H20202" s="50"/>
      <c r="I20202" s="50"/>
      <c r="O20202" s="36" t="s">
        <v>48</v>
      </c>
      <c r="R20202" s="36" t="s">
        <v>48</v>
      </c>
    </row>
    <row r="20203">
      <c r="H20203" s="50"/>
      <c r="I20203" s="50"/>
      <c r="O20203" s="36" t="s">
        <v>48</v>
      </c>
      <c r="R20203" s="36" t="s">
        <v>48</v>
      </c>
    </row>
    <row r="20204">
      <c r="H20204" s="50"/>
      <c r="I20204" s="50"/>
      <c r="O20204" s="36" t="s">
        <v>48</v>
      </c>
      <c r="R20204" s="36" t="s">
        <v>48</v>
      </c>
    </row>
    <row r="20205">
      <c r="H20205" s="50"/>
      <c r="I20205" s="50"/>
      <c r="O20205" s="36" t="s">
        <v>48</v>
      </c>
      <c r="R20205" s="36" t="s">
        <v>48</v>
      </c>
    </row>
    <row r="20206">
      <c r="H20206" s="50"/>
      <c r="I20206" s="50"/>
      <c r="O20206" s="36" t="s">
        <v>48</v>
      </c>
      <c r="R20206" s="36" t="s">
        <v>48</v>
      </c>
    </row>
    <row r="20207">
      <c r="H20207" s="50"/>
      <c r="I20207" s="50"/>
      <c r="O20207" s="36" t="s">
        <v>48</v>
      </c>
      <c r="R20207" s="36" t="s">
        <v>48</v>
      </c>
    </row>
    <row r="20208">
      <c r="H20208" s="50"/>
      <c r="I20208" s="50"/>
      <c r="O20208" s="36" t="s">
        <v>48</v>
      </c>
      <c r="R20208" s="36" t="s">
        <v>48</v>
      </c>
    </row>
    <row r="20209">
      <c r="H20209" s="50"/>
      <c r="I20209" s="50"/>
      <c r="O20209" s="36" t="s">
        <v>48</v>
      </c>
      <c r="R20209" s="36" t="s">
        <v>48</v>
      </c>
    </row>
    <row r="20210">
      <c r="H20210" s="50"/>
      <c r="I20210" s="50"/>
      <c r="O20210" s="36" t="s">
        <v>48</v>
      </c>
      <c r="R20210" s="36" t="s">
        <v>48</v>
      </c>
    </row>
    <row r="20211">
      <c r="H20211" s="50"/>
      <c r="I20211" s="50"/>
      <c r="O20211" s="36" t="s">
        <v>48</v>
      </c>
      <c r="R20211" s="36" t="s">
        <v>48</v>
      </c>
    </row>
    <row r="20212">
      <c r="H20212" s="50"/>
      <c r="I20212" s="50"/>
      <c r="O20212" s="36" t="s">
        <v>48</v>
      </c>
      <c r="R20212" s="36" t="s">
        <v>48</v>
      </c>
    </row>
    <row r="20213">
      <c r="H20213" s="50"/>
      <c r="I20213" s="50"/>
      <c r="O20213" s="36" t="s">
        <v>48</v>
      </c>
      <c r="R20213" s="36" t="s">
        <v>48</v>
      </c>
    </row>
    <row r="20214">
      <c r="H20214" s="50"/>
      <c r="I20214" s="50"/>
      <c r="O20214" s="36" t="s">
        <v>48</v>
      </c>
      <c r="R20214" s="36" t="s">
        <v>48</v>
      </c>
    </row>
    <row r="20215">
      <c r="H20215" s="50"/>
      <c r="I20215" s="50"/>
      <c r="O20215" s="36" t="s">
        <v>48</v>
      </c>
      <c r="R20215" s="36" t="s">
        <v>48</v>
      </c>
    </row>
    <row r="20216">
      <c r="H20216" s="50"/>
      <c r="I20216" s="50"/>
      <c r="O20216" s="36" t="s">
        <v>48</v>
      </c>
      <c r="R20216" s="36" t="s">
        <v>48</v>
      </c>
    </row>
    <row r="20217">
      <c r="H20217" s="50"/>
      <c r="I20217" s="50"/>
      <c r="O20217" s="36" t="s">
        <v>48</v>
      </c>
      <c r="R20217" s="36" t="s">
        <v>48</v>
      </c>
    </row>
    <row r="20218">
      <c r="H20218" s="50"/>
      <c r="I20218" s="50"/>
      <c r="O20218" s="36" t="s">
        <v>48</v>
      </c>
      <c r="R20218" s="36" t="s">
        <v>48</v>
      </c>
    </row>
    <row r="20219">
      <c r="H20219" s="50"/>
      <c r="I20219" s="50"/>
      <c r="O20219" s="36" t="s">
        <v>48</v>
      </c>
      <c r="R20219" s="36" t="s">
        <v>48</v>
      </c>
    </row>
    <row r="20220">
      <c r="H20220" s="50"/>
      <c r="I20220" s="50"/>
      <c r="O20220" s="36" t="s">
        <v>48</v>
      </c>
      <c r="R20220" s="36" t="s">
        <v>48</v>
      </c>
    </row>
    <row r="20221">
      <c r="H20221" s="50"/>
      <c r="I20221" s="50"/>
      <c r="O20221" s="36" t="s">
        <v>48</v>
      </c>
      <c r="R20221" s="36" t="s">
        <v>48</v>
      </c>
    </row>
    <row r="20222">
      <c r="H20222" s="50"/>
      <c r="I20222" s="50"/>
      <c r="O20222" s="36" t="s">
        <v>48</v>
      </c>
      <c r="R20222" s="36" t="s">
        <v>48</v>
      </c>
    </row>
    <row r="20223">
      <c r="H20223" s="50"/>
      <c r="I20223" s="50"/>
      <c r="O20223" s="36" t="s">
        <v>48</v>
      </c>
      <c r="R20223" s="36" t="s">
        <v>48</v>
      </c>
    </row>
    <row r="20224">
      <c r="H20224" s="50"/>
      <c r="I20224" s="50"/>
      <c r="O20224" s="36" t="s">
        <v>48</v>
      </c>
      <c r="R20224" s="36" t="s">
        <v>48</v>
      </c>
    </row>
    <row r="20225">
      <c r="H20225" s="50"/>
      <c r="I20225" s="50"/>
      <c r="O20225" s="36" t="s">
        <v>48</v>
      </c>
      <c r="R20225" s="36" t="s">
        <v>48</v>
      </c>
    </row>
    <row r="20226">
      <c r="H20226" s="50"/>
      <c r="I20226" s="50"/>
      <c r="O20226" s="36" t="s">
        <v>48</v>
      </c>
      <c r="R20226" s="36" t="s">
        <v>48</v>
      </c>
    </row>
    <row r="20227">
      <c r="H20227" s="50"/>
      <c r="I20227" s="50"/>
      <c r="O20227" s="36" t="s">
        <v>48</v>
      </c>
      <c r="R20227" s="36" t="s">
        <v>48</v>
      </c>
    </row>
    <row r="20228">
      <c r="H20228" s="50"/>
      <c r="I20228" s="50"/>
      <c r="O20228" s="36" t="s">
        <v>48</v>
      </c>
      <c r="R20228" s="36" t="s">
        <v>48</v>
      </c>
    </row>
    <row r="20229">
      <c r="H20229" s="50"/>
      <c r="I20229" s="50"/>
      <c r="O20229" s="36" t="s">
        <v>48</v>
      </c>
      <c r="R20229" s="36" t="s">
        <v>48</v>
      </c>
    </row>
    <row r="20230">
      <c r="H20230" s="50"/>
      <c r="I20230" s="50"/>
      <c r="O20230" s="36" t="s">
        <v>48</v>
      </c>
      <c r="R20230" s="36" t="s">
        <v>48</v>
      </c>
    </row>
    <row r="20231">
      <c r="H20231" s="50"/>
      <c r="I20231" s="50"/>
      <c r="O20231" s="36" t="s">
        <v>48</v>
      </c>
      <c r="R20231" s="36" t="s">
        <v>48</v>
      </c>
    </row>
    <row r="20232">
      <c r="H20232" s="50"/>
      <c r="I20232" s="50"/>
      <c r="O20232" s="36" t="s">
        <v>48</v>
      </c>
      <c r="R20232" s="36" t="s">
        <v>48</v>
      </c>
    </row>
    <row r="20233">
      <c r="H20233" s="50"/>
      <c r="I20233" s="50"/>
      <c r="O20233" s="36" t="s">
        <v>48</v>
      </c>
      <c r="R20233" s="36" t="s">
        <v>48</v>
      </c>
    </row>
    <row r="20234">
      <c r="H20234" s="50"/>
      <c r="I20234" s="50"/>
      <c r="O20234" s="36" t="s">
        <v>48</v>
      </c>
      <c r="R20234" s="36" t="s">
        <v>48</v>
      </c>
    </row>
    <row r="20235">
      <c r="H20235" s="50"/>
      <c r="I20235" s="50"/>
      <c r="O20235" s="36" t="s">
        <v>48</v>
      </c>
      <c r="R20235" s="36" t="s">
        <v>48</v>
      </c>
    </row>
    <row r="20236">
      <c r="H20236" s="50"/>
      <c r="I20236" s="50"/>
      <c r="O20236" s="36" t="s">
        <v>48</v>
      </c>
      <c r="R20236" s="36" t="s">
        <v>48</v>
      </c>
    </row>
    <row r="20237">
      <c r="H20237" s="50"/>
      <c r="I20237" s="50"/>
      <c r="O20237" s="36" t="s">
        <v>48</v>
      </c>
      <c r="R20237" s="36" t="s">
        <v>48</v>
      </c>
    </row>
    <row r="20238">
      <c r="H20238" s="50"/>
      <c r="I20238" s="50"/>
      <c r="O20238" s="36" t="s">
        <v>48</v>
      </c>
      <c r="R20238" s="36" t="s">
        <v>48</v>
      </c>
    </row>
    <row r="20239">
      <c r="H20239" s="50"/>
      <c r="I20239" s="50"/>
      <c r="O20239" s="36" t="s">
        <v>48</v>
      </c>
      <c r="R20239" s="36" t="s">
        <v>48</v>
      </c>
    </row>
    <row r="20240">
      <c r="H20240" s="50"/>
      <c r="I20240" s="50"/>
      <c r="O20240" s="36" t="s">
        <v>48</v>
      </c>
      <c r="R20240" s="36" t="s">
        <v>48</v>
      </c>
    </row>
    <row r="20241">
      <c r="H20241" s="50"/>
      <c r="I20241" s="50"/>
      <c r="O20241" s="36" t="s">
        <v>48</v>
      </c>
      <c r="R20241" s="36" t="s">
        <v>48</v>
      </c>
    </row>
    <row r="20242">
      <c r="H20242" s="50"/>
      <c r="I20242" s="50"/>
      <c r="O20242" s="36" t="s">
        <v>48</v>
      </c>
      <c r="R20242" s="36" t="s">
        <v>48</v>
      </c>
    </row>
    <row r="20243">
      <c r="H20243" s="50"/>
      <c r="I20243" s="50"/>
      <c r="O20243" s="36" t="s">
        <v>48</v>
      </c>
      <c r="R20243" s="36" t="s">
        <v>48</v>
      </c>
    </row>
    <row r="20244">
      <c r="H20244" s="50"/>
      <c r="I20244" s="50"/>
      <c r="O20244" s="36" t="s">
        <v>48</v>
      </c>
      <c r="R20244" s="36" t="s">
        <v>48</v>
      </c>
    </row>
    <row r="20245">
      <c r="H20245" s="50"/>
      <c r="I20245" s="50"/>
      <c r="O20245" s="36" t="s">
        <v>48</v>
      </c>
      <c r="R20245" s="36" t="s">
        <v>48</v>
      </c>
    </row>
    <row r="20246">
      <c r="H20246" s="50"/>
      <c r="I20246" s="50"/>
      <c r="O20246" s="36" t="s">
        <v>48</v>
      </c>
      <c r="R20246" s="36" t="s">
        <v>48</v>
      </c>
    </row>
    <row r="20247">
      <c r="H20247" s="50"/>
      <c r="I20247" s="50"/>
      <c r="O20247" s="36" t="s">
        <v>48</v>
      </c>
      <c r="R20247" s="36" t="s">
        <v>48</v>
      </c>
    </row>
    <row r="20248">
      <c r="H20248" s="50"/>
      <c r="I20248" s="50"/>
      <c r="O20248" s="36" t="s">
        <v>48</v>
      </c>
      <c r="R20248" s="36" t="s">
        <v>48</v>
      </c>
    </row>
    <row r="20249">
      <c r="H20249" s="50"/>
      <c r="I20249" s="50"/>
      <c r="O20249" s="36" t="s">
        <v>48</v>
      </c>
      <c r="R20249" s="36" t="s">
        <v>48</v>
      </c>
    </row>
    <row r="20250">
      <c r="H20250" s="50"/>
      <c r="I20250" s="50"/>
      <c r="O20250" s="36" t="s">
        <v>48</v>
      </c>
      <c r="R20250" s="36" t="s">
        <v>48</v>
      </c>
    </row>
    <row r="20251">
      <c r="H20251" s="50"/>
      <c r="I20251" s="50"/>
      <c r="O20251" s="36" t="s">
        <v>48</v>
      </c>
      <c r="R20251" s="36" t="s">
        <v>48</v>
      </c>
    </row>
    <row r="20252">
      <c r="H20252" s="50"/>
      <c r="I20252" s="50"/>
      <c r="O20252" s="36" t="s">
        <v>48</v>
      </c>
      <c r="R20252" s="36" t="s">
        <v>48</v>
      </c>
    </row>
    <row r="20253">
      <c r="H20253" s="50"/>
      <c r="I20253" s="50"/>
      <c r="O20253" s="36" t="s">
        <v>48</v>
      </c>
      <c r="R20253" s="36" t="s">
        <v>48</v>
      </c>
    </row>
    <row r="20254">
      <c r="H20254" s="50"/>
      <c r="I20254" s="50"/>
      <c r="O20254" s="36" t="s">
        <v>48</v>
      </c>
      <c r="R20254" s="36" t="s">
        <v>48</v>
      </c>
    </row>
    <row r="20255">
      <c r="H20255" s="50"/>
      <c r="I20255" s="50"/>
      <c r="O20255" s="36" t="s">
        <v>48</v>
      </c>
      <c r="R20255" s="36" t="s">
        <v>48</v>
      </c>
    </row>
    <row r="20256">
      <c r="H20256" s="50"/>
      <c r="I20256" s="50"/>
      <c r="O20256" s="36" t="s">
        <v>48</v>
      </c>
      <c r="R20256" s="36" t="s">
        <v>48</v>
      </c>
    </row>
    <row r="20257">
      <c r="H20257" s="50"/>
      <c r="I20257" s="50"/>
      <c r="O20257" s="36" t="s">
        <v>48</v>
      </c>
      <c r="R20257" s="36" t="s">
        <v>48</v>
      </c>
    </row>
    <row r="20258">
      <c r="H20258" s="50"/>
      <c r="I20258" s="50"/>
      <c r="O20258" s="36" t="s">
        <v>48</v>
      </c>
      <c r="R20258" s="36" t="s">
        <v>48</v>
      </c>
    </row>
    <row r="20259">
      <c r="H20259" s="50"/>
      <c r="I20259" s="50"/>
      <c r="O20259" s="36" t="s">
        <v>48</v>
      </c>
      <c r="R20259" s="36" t="s">
        <v>48</v>
      </c>
    </row>
    <row r="20260">
      <c r="H20260" s="50"/>
      <c r="I20260" s="50"/>
      <c r="O20260" s="36" t="s">
        <v>48</v>
      </c>
      <c r="R20260" s="36" t="s">
        <v>48</v>
      </c>
    </row>
    <row r="20261">
      <c r="H20261" s="50"/>
      <c r="I20261" s="50"/>
      <c r="O20261" s="36" t="s">
        <v>48</v>
      </c>
      <c r="R20261" s="36" t="s">
        <v>48</v>
      </c>
    </row>
    <row r="20262">
      <c r="H20262" s="50"/>
      <c r="I20262" s="50"/>
      <c r="O20262" s="36" t="s">
        <v>48</v>
      </c>
      <c r="R20262" s="36" t="s">
        <v>48</v>
      </c>
    </row>
    <row r="20263">
      <c r="H20263" s="50"/>
      <c r="I20263" s="50"/>
      <c r="O20263" s="36" t="s">
        <v>48</v>
      </c>
      <c r="R20263" s="36" t="s">
        <v>48</v>
      </c>
    </row>
    <row r="20264">
      <c r="H20264" s="50"/>
      <c r="I20264" s="50"/>
      <c r="O20264" s="36" t="s">
        <v>48</v>
      </c>
      <c r="R20264" s="36" t="s">
        <v>48</v>
      </c>
    </row>
    <row r="20265">
      <c r="H20265" s="50"/>
      <c r="I20265" s="50"/>
      <c r="O20265" s="36" t="s">
        <v>48</v>
      </c>
      <c r="R20265" s="36" t="s">
        <v>48</v>
      </c>
    </row>
    <row r="20266">
      <c r="H20266" s="50"/>
      <c r="I20266" s="50"/>
      <c r="O20266" s="36" t="s">
        <v>48</v>
      </c>
      <c r="R20266" s="36" t="s">
        <v>48</v>
      </c>
    </row>
    <row r="20267">
      <c r="H20267" s="50"/>
      <c r="I20267" s="50"/>
      <c r="O20267" s="36" t="s">
        <v>48</v>
      </c>
      <c r="R20267" s="36" t="s">
        <v>48</v>
      </c>
    </row>
    <row r="20268">
      <c r="H20268" s="50"/>
      <c r="I20268" s="50"/>
      <c r="O20268" s="36" t="s">
        <v>48</v>
      </c>
      <c r="R20268" s="36" t="s">
        <v>48</v>
      </c>
    </row>
    <row r="20269">
      <c r="H20269" s="50"/>
      <c r="I20269" s="50"/>
      <c r="O20269" s="36" t="s">
        <v>48</v>
      </c>
      <c r="R20269" s="36" t="s">
        <v>48</v>
      </c>
    </row>
    <row r="20270">
      <c r="H20270" s="50"/>
      <c r="I20270" s="50"/>
      <c r="O20270" s="36" t="s">
        <v>48</v>
      </c>
      <c r="R20270" s="36" t="s">
        <v>48</v>
      </c>
    </row>
    <row r="20271">
      <c r="H20271" s="50"/>
      <c r="I20271" s="50"/>
      <c r="O20271" s="36" t="s">
        <v>48</v>
      </c>
      <c r="R20271" s="36" t="s">
        <v>48</v>
      </c>
    </row>
    <row r="20272">
      <c r="H20272" s="50"/>
      <c r="I20272" s="50"/>
      <c r="O20272" s="36" t="s">
        <v>48</v>
      </c>
      <c r="R20272" s="36" t="s">
        <v>48</v>
      </c>
    </row>
    <row r="20273">
      <c r="H20273" s="50"/>
      <c r="I20273" s="50"/>
      <c r="O20273" s="36" t="s">
        <v>48</v>
      </c>
      <c r="R20273" s="36" t="s">
        <v>48</v>
      </c>
    </row>
    <row r="20274">
      <c r="H20274" s="50"/>
      <c r="I20274" s="50"/>
      <c r="O20274" s="36" t="s">
        <v>48</v>
      </c>
      <c r="R20274" s="36" t="s">
        <v>48</v>
      </c>
    </row>
    <row r="20275">
      <c r="H20275" s="50"/>
      <c r="I20275" s="50"/>
      <c r="O20275" s="36" t="s">
        <v>48</v>
      </c>
      <c r="R20275" s="36" t="s">
        <v>48</v>
      </c>
    </row>
    <row r="20276">
      <c r="H20276" s="50"/>
      <c r="I20276" s="50"/>
      <c r="O20276" s="36" t="s">
        <v>48</v>
      </c>
      <c r="R20276" s="36" t="s">
        <v>48</v>
      </c>
    </row>
    <row r="20277">
      <c r="H20277" s="50"/>
      <c r="I20277" s="50"/>
      <c r="O20277" s="36" t="s">
        <v>48</v>
      </c>
      <c r="R20277" s="36" t="s">
        <v>48</v>
      </c>
    </row>
    <row r="20278">
      <c r="H20278" s="50"/>
      <c r="I20278" s="50"/>
      <c r="O20278" s="36" t="s">
        <v>48</v>
      </c>
      <c r="R20278" s="36" t="s">
        <v>48</v>
      </c>
    </row>
    <row r="20279">
      <c r="H20279" s="50"/>
      <c r="I20279" s="50"/>
      <c r="O20279" s="36" t="s">
        <v>48</v>
      </c>
      <c r="R20279" s="36" t="s">
        <v>48</v>
      </c>
    </row>
    <row r="20280">
      <c r="H20280" s="50"/>
      <c r="I20280" s="50"/>
      <c r="O20280" s="36" t="s">
        <v>48</v>
      </c>
      <c r="R20280" s="36" t="s">
        <v>48</v>
      </c>
    </row>
    <row r="20281">
      <c r="H20281" s="50"/>
      <c r="I20281" s="50"/>
      <c r="O20281" s="36" t="s">
        <v>48</v>
      </c>
      <c r="R20281" s="36" t="s">
        <v>48</v>
      </c>
    </row>
    <row r="20282">
      <c r="H20282" s="50"/>
      <c r="I20282" s="50"/>
      <c r="O20282" s="36" t="s">
        <v>48</v>
      </c>
      <c r="R20282" s="36" t="s">
        <v>48</v>
      </c>
    </row>
    <row r="20283">
      <c r="H20283" s="50"/>
      <c r="I20283" s="50"/>
      <c r="O20283" s="36" t="s">
        <v>48</v>
      </c>
      <c r="R20283" s="36" t="s">
        <v>48</v>
      </c>
    </row>
    <row r="20284">
      <c r="H20284" s="50"/>
      <c r="I20284" s="50"/>
      <c r="O20284" s="36" t="s">
        <v>48</v>
      </c>
      <c r="R20284" s="36" t="s">
        <v>48</v>
      </c>
    </row>
    <row r="20285">
      <c r="H20285" s="50"/>
      <c r="I20285" s="50"/>
      <c r="O20285" s="36" t="s">
        <v>48</v>
      </c>
      <c r="R20285" s="36" t="s">
        <v>48</v>
      </c>
    </row>
    <row r="20286">
      <c r="H20286" s="50"/>
      <c r="I20286" s="50"/>
      <c r="O20286" s="36" t="s">
        <v>48</v>
      </c>
      <c r="R20286" s="36" t="s">
        <v>48</v>
      </c>
    </row>
    <row r="20287">
      <c r="H20287" s="50"/>
      <c r="I20287" s="50"/>
      <c r="O20287" s="36" t="s">
        <v>48</v>
      </c>
      <c r="R20287" s="36" t="s">
        <v>48</v>
      </c>
    </row>
    <row r="20288">
      <c r="H20288" s="50"/>
      <c r="I20288" s="50"/>
      <c r="O20288" s="36" t="s">
        <v>48</v>
      </c>
      <c r="R20288" s="36" t="s">
        <v>48</v>
      </c>
    </row>
    <row r="20289">
      <c r="H20289" s="50"/>
      <c r="I20289" s="50"/>
      <c r="O20289" s="36" t="s">
        <v>48</v>
      </c>
      <c r="R20289" s="36" t="s">
        <v>48</v>
      </c>
    </row>
    <row r="20290">
      <c r="H20290" s="50"/>
      <c r="I20290" s="50"/>
      <c r="O20290" s="36" t="s">
        <v>48</v>
      </c>
      <c r="R20290" s="36" t="s">
        <v>48</v>
      </c>
    </row>
    <row r="20291">
      <c r="H20291" s="50"/>
      <c r="I20291" s="50"/>
      <c r="O20291" s="36" t="s">
        <v>48</v>
      </c>
      <c r="R20291" s="36" t="s">
        <v>48</v>
      </c>
    </row>
    <row r="20292">
      <c r="H20292" s="50"/>
      <c r="I20292" s="50"/>
      <c r="O20292" s="36" t="s">
        <v>48</v>
      </c>
      <c r="R20292" s="36" t="s">
        <v>48</v>
      </c>
    </row>
    <row r="20293">
      <c r="H20293" s="50"/>
      <c r="I20293" s="50"/>
      <c r="O20293" s="36" t="s">
        <v>48</v>
      </c>
      <c r="R20293" s="36" t="s">
        <v>48</v>
      </c>
    </row>
    <row r="20294">
      <c r="H20294" s="50"/>
      <c r="I20294" s="50"/>
      <c r="O20294" s="36" t="s">
        <v>48</v>
      </c>
      <c r="R20294" s="36" t="s">
        <v>48</v>
      </c>
    </row>
    <row r="20295">
      <c r="H20295" s="50"/>
      <c r="I20295" s="50"/>
      <c r="O20295" s="36" t="s">
        <v>48</v>
      </c>
      <c r="R20295" s="36" t="s">
        <v>48</v>
      </c>
    </row>
    <row r="20296">
      <c r="H20296" s="50"/>
      <c r="I20296" s="50"/>
      <c r="O20296" s="36" t="s">
        <v>48</v>
      </c>
      <c r="R20296" s="36" t="s">
        <v>48</v>
      </c>
    </row>
    <row r="20297">
      <c r="H20297" s="50"/>
      <c r="I20297" s="50"/>
      <c r="O20297" s="36" t="s">
        <v>48</v>
      </c>
      <c r="R20297" s="36" t="s">
        <v>48</v>
      </c>
    </row>
    <row r="20298">
      <c r="H20298" s="50"/>
      <c r="I20298" s="50"/>
      <c r="O20298" s="36" t="s">
        <v>48</v>
      </c>
      <c r="R20298" s="36" t="s">
        <v>48</v>
      </c>
    </row>
    <row r="20299">
      <c r="H20299" s="50"/>
      <c r="I20299" s="50"/>
      <c r="O20299" s="36" t="s">
        <v>48</v>
      </c>
      <c r="R20299" s="36" t="s">
        <v>48</v>
      </c>
    </row>
    <row r="20300">
      <c r="H20300" s="50"/>
      <c r="I20300" s="50"/>
      <c r="O20300" s="36" t="s">
        <v>48</v>
      </c>
      <c r="R20300" s="36" t="s">
        <v>48</v>
      </c>
    </row>
    <row r="20301">
      <c r="H20301" s="50"/>
      <c r="I20301" s="50"/>
      <c r="O20301" s="36" t="s">
        <v>48</v>
      </c>
      <c r="R20301" s="36" t="s">
        <v>48</v>
      </c>
    </row>
    <row r="20302">
      <c r="H20302" s="50"/>
      <c r="I20302" s="50"/>
      <c r="O20302" s="36" t="s">
        <v>48</v>
      </c>
      <c r="R20302" s="36" t="s">
        <v>48</v>
      </c>
    </row>
    <row r="20303">
      <c r="H20303" s="50"/>
      <c r="I20303" s="50"/>
      <c r="O20303" s="36" t="s">
        <v>48</v>
      </c>
      <c r="R20303" s="36" t="s">
        <v>48</v>
      </c>
    </row>
    <row r="20304">
      <c r="H20304" s="50"/>
      <c r="I20304" s="50"/>
      <c r="O20304" s="36" t="s">
        <v>48</v>
      </c>
      <c r="R20304" s="36" t="s">
        <v>48</v>
      </c>
    </row>
    <row r="20305">
      <c r="H20305" s="50"/>
      <c r="I20305" s="50"/>
      <c r="O20305" s="36" t="s">
        <v>48</v>
      </c>
      <c r="R20305" s="36" t="s">
        <v>48</v>
      </c>
    </row>
    <row r="20306">
      <c r="H20306" s="50"/>
      <c r="I20306" s="50"/>
      <c r="O20306" s="36" t="s">
        <v>48</v>
      </c>
      <c r="R20306" s="36" t="s">
        <v>48</v>
      </c>
    </row>
    <row r="20307">
      <c r="H20307" s="50"/>
      <c r="I20307" s="50"/>
      <c r="O20307" s="36" t="s">
        <v>48</v>
      </c>
      <c r="R20307" s="36" t="s">
        <v>48</v>
      </c>
    </row>
    <row r="20308">
      <c r="H20308" s="50"/>
      <c r="I20308" s="50"/>
      <c r="O20308" s="36" t="s">
        <v>48</v>
      </c>
      <c r="R20308" s="36" t="s">
        <v>48</v>
      </c>
    </row>
    <row r="20309">
      <c r="H20309" s="50"/>
      <c r="I20309" s="50"/>
      <c r="O20309" s="36" t="s">
        <v>48</v>
      </c>
      <c r="R20309" s="36" t="s">
        <v>48</v>
      </c>
    </row>
    <row r="20310">
      <c r="H20310" s="50"/>
      <c r="I20310" s="50"/>
      <c r="O20310" s="36" t="s">
        <v>48</v>
      </c>
      <c r="R20310" s="36" t="s">
        <v>48</v>
      </c>
    </row>
    <row r="20311">
      <c r="H20311" s="50"/>
      <c r="I20311" s="50"/>
      <c r="O20311" s="36" t="s">
        <v>48</v>
      </c>
      <c r="R20311" s="36" t="s">
        <v>48</v>
      </c>
    </row>
    <row r="20312">
      <c r="H20312" s="50"/>
      <c r="I20312" s="50"/>
      <c r="O20312" s="36" t="s">
        <v>48</v>
      </c>
      <c r="R20312" s="36" t="s">
        <v>48</v>
      </c>
    </row>
    <row r="20313">
      <c r="H20313" s="50"/>
      <c r="I20313" s="50"/>
      <c r="O20313" s="36" t="s">
        <v>48</v>
      </c>
      <c r="R20313" s="36" t="s">
        <v>48</v>
      </c>
    </row>
    <row r="20314">
      <c r="H20314" s="50"/>
      <c r="I20314" s="50"/>
      <c r="O20314" s="36" t="s">
        <v>48</v>
      </c>
      <c r="R20314" s="36" t="s">
        <v>48</v>
      </c>
    </row>
    <row r="20315">
      <c r="H20315" s="50"/>
      <c r="I20315" s="50"/>
      <c r="O20315" s="36" t="s">
        <v>48</v>
      </c>
      <c r="R20315" s="36" t="s">
        <v>48</v>
      </c>
    </row>
    <row r="20316">
      <c r="H20316" s="50"/>
      <c r="I20316" s="50"/>
      <c r="O20316" s="36" t="s">
        <v>48</v>
      </c>
      <c r="R20316" s="36" t="s">
        <v>48</v>
      </c>
    </row>
    <row r="20317">
      <c r="H20317" s="50"/>
      <c r="I20317" s="50"/>
      <c r="O20317" s="36" t="s">
        <v>48</v>
      </c>
      <c r="R20317" s="36" t="s">
        <v>48</v>
      </c>
    </row>
    <row r="20318">
      <c r="H20318" s="50"/>
      <c r="I20318" s="50"/>
      <c r="O20318" s="36" t="s">
        <v>48</v>
      </c>
      <c r="R20318" s="36" t="s">
        <v>48</v>
      </c>
    </row>
    <row r="20319">
      <c r="H20319" s="50"/>
      <c r="I20319" s="50"/>
      <c r="O20319" s="36" t="s">
        <v>48</v>
      </c>
      <c r="R20319" s="36" t="s">
        <v>48</v>
      </c>
    </row>
    <row r="20320">
      <c r="H20320" s="50"/>
      <c r="I20320" s="50"/>
      <c r="O20320" s="36" t="s">
        <v>48</v>
      </c>
      <c r="R20320" s="36" t="s">
        <v>48</v>
      </c>
    </row>
    <row r="20321">
      <c r="H20321" s="50"/>
      <c r="I20321" s="50"/>
      <c r="O20321" s="36" t="s">
        <v>48</v>
      </c>
      <c r="R20321" s="36" t="s">
        <v>48</v>
      </c>
    </row>
    <row r="20322">
      <c r="H20322" s="50"/>
      <c r="I20322" s="50"/>
      <c r="O20322" s="36" t="s">
        <v>48</v>
      </c>
      <c r="R20322" s="36" t="s">
        <v>48</v>
      </c>
    </row>
    <row r="20323">
      <c r="H20323" s="50"/>
      <c r="I20323" s="50"/>
      <c r="O20323" s="36" t="s">
        <v>48</v>
      </c>
      <c r="R20323" s="36" t="s">
        <v>48</v>
      </c>
    </row>
    <row r="20324">
      <c r="H20324" s="50"/>
      <c r="I20324" s="50"/>
      <c r="O20324" s="36" t="s">
        <v>48</v>
      </c>
      <c r="R20324" s="36" t="s">
        <v>48</v>
      </c>
    </row>
    <row r="20325">
      <c r="H20325" s="50"/>
      <c r="I20325" s="50"/>
      <c r="O20325" s="36" t="s">
        <v>48</v>
      </c>
      <c r="R20325" s="36" t="s">
        <v>48</v>
      </c>
    </row>
    <row r="20326">
      <c r="H20326" s="50"/>
      <c r="I20326" s="50"/>
      <c r="O20326" s="36" t="s">
        <v>48</v>
      </c>
      <c r="R20326" s="36" t="s">
        <v>48</v>
      </c>
    </row>
    <row r="20327">
      <c r="H20327" s="50"/>
      <c r="I20327" s="50"/>
      <c r="O20327" s="36" t="s">
        <v>48</v>
      </c>
      <c r="R20327" s="36" t="s">
        <v>48</v>
      </c>
    </row>
    <row r="20328">
      <c r="H20328" s="50"/>
      <c r="I20328" s="50"/>
      <c r="O20328" s="36" t="s">
        <v>48</v>
      </c>
      <c r="R20328" s="36" t="s">
        <v>48</v>
      </c>
    </row>
    <row r="20329">
      <c r="H20329" s="50"/>
      <c r="I20329" s="50"/>
      <c r="O20329" s="36" t="s">
        <v>48</v>
      </c>
      <c r="R20329" s="36" t="s">
        <v>48</v>
      </c>
    </row>
    <row r="20330">
      <c r="H20330" s="50"/>
      <c r="I20330" s="50"/>
      <c r="O20330" s="36" t="s">
        <v>48</v>
      </c>
      <c r="R20330" s="36" t="s">
        <v>48</v>
      </c>
    </row>
    <row r="20331">
      <c r="H20331" s="50"/>
      <c r="I20331" s="50"/>
      <c r="O20331" s="36" t="s">
        <v>48</v>
      </c>
      <c r="R20331" s="36" t="s">
        <v>48</v>
      </c>
    </row>
    <row r="20332">
      <c r="H20332" s="50"/>
      <c r="I20332" s="50"/>
      <c r="O20332" s="36" t="s">
        <v>48</v>
      </c>
      <c r="R20332" s="36" t="s">
        <v>48</v>
      </c>
    </row>
    <row r="20333">
      <c r="H20333" s="50"/>
      <c r="I20333" s="50"/>
      <c r="O20333" s="36" t="s">
        <v>48</v>
      </c>
      <c r="R20333" s="36" t="s">
        <v>48</v>
      </c>
    </row>
    <row r="20334">
      <c r="H20334" s="50"/>
      <c r="I20334" s="50"/>
      <c r="O20334" s="36" t="s">
        <v>48</v>
      </c>
      <c r="R20334" s="36" t="s">
        <v>48</v>
      </c>
    </row>
    <row r="20335">
      <c r="H20335" s="50"/>
      <c r="I20335" s="50"/>
      <c r="O20335" s="36" t="s">
        <v>48</v>
      </c>
      <c r="R20335" s="36" t="s">
        <v>48</v>
      </c>
    </row>
    <row r="20336">
      <c r="H20336" s="50"/>
      <c r="I20336" s="50"/>
      <c r="O20336" s="36" t="s">
        <v>48</v>
      </c>
      <c r="R20336" s="36" t="s">
        <v>48</v>
      </c>
    </row>
    <row r="20337">
      <c r="H20337" s="50"/>
      <c r="I20337" s="50"/>
      <c r="O20337" s="36" t="s">
        <v>48</v>
      </c>
      <c r="R20337" s="36" t="s">
        <v>48</v>
      </c>
    </row>
    <row r="20338">
      <c r="H20338" s="50"/>
      <c r="I20338" s="50"/>
      <c r="O20338" s="36" t="s">
        <v>48</v>
      </c>
      <c r="R20338" s="36" t="s">
        <v>48</v>
      </c>
    </row>
    <row r="20339">
      <c r="H20339" s="50"/>
      <c r="I20339" s="50"/>
      <c r="O20339" s="36" t="s">
        <v>48</v>
      </c>
      <c r="R20339" s="36" t="s">
        <v>48</v>
      </c>
    </row>
    <row r="20340">
      <c r="H20340" s="50"/>
      <c r="I20340" s="50"/>
      <c r="O20340" s="36" t="s">
        <v>48</v>
      </c>
      <c r="R20340" s="36" t="s">
        <v>48</v>
      </c>
    </row>
    <row r="20341">
      <c r="H20341" s="50"/>
      <c r="I20341" s="50"/>
      <c r="O20341" s="36" t="s">
        <v>48</v>
      </c>
      <c r="R20341" s="36" t="s">
        <v>48</v>
      </c>
    </row>
    <row r="20342">
      <c r="H20342" s="50"/>
      <c r="I20342" s="50"/>
      <c r="O20342" s="36" t="s">
        <v>48</v>
      </c>
      <c r="R20342" s="36" t="s">
        <v>48</v>
      </c>
    </row>
    <row r="20343">
      <c r="H20343" s="50"/>
      <c r="I20343" s="50"/>
      <c r="O20343" s="36" t="s">
        <v>48</v>
      </c>
      <c r="R20343" s="36" t="s">
        <v>48</v>
      </c>
    </row>
    <row r="20344">
      <c r="H20344" s="50"/>
      <c r="I20344" s="50"/>
      <c r="O20344" s="36" t="s">
        <v>48</v>
      </c>
      <c r="R20344" s="36" t="s">
        <v>48</v>
      </c>
    </row>
    <row r="20345">
      <c r="H20345" s="50"/>
      <c r="I20345" s="50"/>
      <c r="O20345" s="36" t="s">
        <v>48</v>
      </c>
      <c r="R20345" s="36" t="s">
        <v>48</v>
      </c>
    </row>
    <row r="20346">
      <c r="H20346" s="50"/>
      <c r="I20346" s="50"/>
      <c r="O20346" s="36" t="s">
        <v>48</v>
      </c>
      <c r="R20346" s="36" t="s">
        <v>48</v>
      </c>
    </row>
    <row r="20347">
      <c r="H20347" s="50"/>
      <c r="I20347" s="50"/>
      <c r="O20347" s="36" t="s">
        <v>48</v>
      </c>
      <c r="R20347" s="36" t="s">
        <v>48</v>
      </c>
    </row>
    <row r="20348">
      <c r="H20348" s="50"/>
      <c r="I20348" s="50"/>
      <c r="O20348" s="36" t="s">
        <v>48</v>
      </c>
      <c r="R20348" s="36" t="s">
        <v>48</v>
      </c>
    </row>
    <row r="20349">
      <c r="H20349" s="50"/>
      <c r="I20349" s="50"/>
      <c r="O20349" s="36" t="s">
        <v>48</v>
      </c>
      <c r="R20349" s="36" t="s">
        <v>48</v>
      </c>
    </row>
    <row r="20350">
      <c r="H20350" s="50"/>
      <c r="I20350" s="50"/>
      <c r="O20350" s="36" t="s">
        <v>48</v>
      </c>
      <c r="R20350" s="36" t="s">
        <v>48</v>
      </c>
    </row>
    <row r="20351">
      <c r="H20351" s="50"/>
      <c r="I20351" s="50"/>
      <c r="O20351" s="36" t="s">
        <v>48</v>
      </c>
      <c r="R20351" s="36" t="s">
        <v>48</v>
      </c>
    </row>
    <row r="20352">
      <c r="H20352" s="50"/>
      <c r="I20352" s="50"/>
      <c r="O20352" s="36" t="s">
        <v>48</v>
      </c>
      <c r="R20352" s="36" t="s">
        <v>48</v>
      </c>
    </row>
    <row r="20353">
      <c r="H20353" s="50"/>
      <c r="I20353" s="50"/>
      <c r="O20353" s="36" t="s">
        <v>48</v>
      </c>
      <c r="R20353" s="36" t="s">
        <v>48</v>
      </c>
    </row>
    <row r="20354">
      <c r="H20354" s="50"/>
      <c r="I20354" s="50"/>
      <c r="O20354" s="36" t="s">
        <v>48</v>
      </c>
      <c r="R20354" s="36" t="s">
        <v>48</v>
      </c>
    </row>
    <row r="20355">
      <c r="H20355" s="50"/>
      <c r="I20355" s="50"/>
      <c r="O20355" s="36" t="s">
        <v>48</v>
      </c>
      <c r="R20355" s="36" t="s">
        <v>48</v>
      </c>
    </row>
    <row r="20356">
      <c r="H20356" s="50"/>
      <c r="I20356" s="50"/>
      <c r="O20356" s="36" t="s">
        <v>48</v>
      </c>
      <c r="R20356" s="36" t="s">
        <v>48</v>
      </c>
    </row>
    <row r="20357">
      <c r="H20357" s="50"/>
      <c r="I20357" s="50"/>
      <c r="O20357" s="36" t="s">
        <v>48</v>
      </c>
      <c r="R20357" s="36" t="s">
        <v>48</v>
      </c>
    </row>
    <row r="20358">
      <c r="H20358" s="50"/>
      <c r="I20358" s="50"/>
      <c r="O20358" s="36" t="s">
        <v>48</v>
      </c>
      <c r="R20358" s="36" t="s">
        <v>48</v>
      </c>
    </row>
    <row r="20359">
      <c r="H20359" s="50"/>
      <c r="I20359" s="50"/>
      <c r="O20359" s="36" t="s">
        <v>48</v>
      </c>
      <c r="R20359" s="36" t="s">
        <v>48</v>
      </c>
    </row>
    <row r="20360">
      <c r="H20360" s="50"/>
      <c r="I20360" s="50"/>
      <c r="O20360" s="36" t="s">
        <v>48</v>
      </c>
      <c r="R20360" s="36" t="s">
        <v>48</v>
      </c>
    </row>
    <row r="20361">
      <c r="H20361" s="50"/>
      <c r="I20361" s="50"/>
      <c r="O20361" s="36" t="s">
        <v>48</v>
      </c>
      <c r="R20361" s="36" t="s">
        <v>48</v>
      </c>
    </row>
    <row r="20362">
      <c r="H20362" s="50"/>
      <c r="I20362" s="50"/>
      <c r="O20362" s="36" t="s">
        <v>48</v>
      </c>
      <c r="R20362" s="36" t="s">
        <v>48</v>
      </c>
    </row>
    <row r="20363">
      <c r="H20363" s="50"/>
      <c r="I20363" s="50"/>
      <c r="O20363" s="36" t="s">
        <v>48</v>
      </c>
      <c r="R20363" s="36" t="s">
        <v>48</v>
      </c>
    </row>
    <row r="20364">
      <c r="H20364" s="50"/>
      <c r="I20364" s="50"/>
      <c r="O20364" s="36" t="s">
        <v>48</v>
      </c>
      <c r="R20364" s="36" t="s">
        <v>48</v>
      </c>
    </row>
    <row r="20365">
      <c r="H20365" s="50"/>
      <c r="I20365" s="50"/>
      <c r="O20365" s="36" t="s">
        <v>48</v>
      </c>
      <c r="R20365" s="36" t="s">
        <v>48</v>
      </c>
    </row>
    <row r="20366">
      <c r="H20366" s="50"/>
      <c r="I20366" s="50"/>
      <c r="O20366" s="36" t="s">
        <v>48</v>
      </c>
      <c r="R20366" s="36" t="s">
        <v>48</v>
      </c>
    </row>
    <row r="20367">
      <c r="H20367" s="50"/>
      <c r="I20367" s="50"/>
      <c r="O20367" s="36" t="s">
        <v>48</v>
      </c>
      <c r="R20367" s="36" t="s">
        <v>48</v>
      </c>
    </row>
    <row r="20368">
      <c r="H20368" s="50"/>
      <c r="I20368" s="50"/>
      <c r="O20368" s="36" t="s">
        <v>48</v>
      </c>
      <c r="R20368" s="36" t="s">
        <v>48</v>
      </c>
    </row>
    <row r="20369">
      <c r="H20369" s="50"/>
      <c r="I20369" s="50"/>
      <c r="O20369" s="36" t="s">
        <v>48</v>
      </c>
      <c r="R20369" s="36" t="s">
        <v>48</v>
      </c>
    </row>
    <row r="20370">
      <c r="H20370" s="50"/>
      <c r="I20370" s="50"/>
      <c r="O20370" s="36" t="s">
        <v>48</v>
      </c>
      <c r="R20370" s="36" t="s">
        <v>48</v>
      </c>
    </row>
    <row r="20371">
      <c r="H20371" s="50"/>
      <c r="I20371" s="50"/>
      <c r="O20371" s="36" t="s">
        <v>48</v>
      </c>
      <c r="R20371" s="36" t="s">
        <v>48</v>
      </c>
    </row>
    <row r="20372">
      <c r="H20372" s="50"/>
      <c r="I20372" s="50"/>
      <c r="O20372" s="36" t="s">
        <v>48</v>
      </c>
      <c r="R20372" s="36" t="s">
        <v>48</v>
      </c>
    </row>
    <row r="20373">
      <c r="H20373" s="50"/>
      <c r="I20373" s="50"/>
      <c r="O20373" s="36" t="s">
        <v>48</v>
      </c>
      <c r="R20373" s="36" t="s">
        <v>48</v>
      </c>
    </row>
    <row r="20374">
      <c r="H20374" s="50"/>
      <c r="I20374" s="50"/>
      <c r="O20374" s="36" t="s">
        <v>48</v>
      </c>
      <c r="R20374" s="36" t="s">
        <v>48</v>
      </c>
    </row>
    <row r="20375">
      <c r="H20375" s="50"/>
      <c r="I20375" s="50"/>
      <c r="O20375" s="36" t="s">
        <v>48</v>
      </c>
      <c r="R20375" s="36" t="s">
        <v>48</v>
      </c>
    </row>
    <row r="20376">
      <c r="H20376" s="50"/>
      <c r="I20376" s="50"/>
      <c r="O20376" s="36" t="s">
        <v>48</v>
      </c>
      <c r="R20376" s="36" t="s">
        <v>48</v>
      </c>
    </row>
    <row r="20377">
      <c r="H20377" s="50"/>
      <c r="I20377" s="50"/>
      <c r="O20377" s="36" t="s">
        <v>48</v>
      </c>
      <c r="R20377" s="36" t="s">
        <v>48</v>
      </c>
    </row>
    <row r="20378">
      <c r="H20378" s="50"/>
      <c r="I20378" s="50"/>
      <c r="O20378" s="36" t="s">
        <v>48</v>
      </c>
      <c r="R20378" s="36" t="s">
        <v>48</v>
      </c>
    </row>
    <row r="20379">
      <c r="H20379" s="50"/>
      <c r="I20379" s="50"/>
      <c r="O20379" s="36" t="s">
        <v>48</v>
      </c>
      <c r="R20379" s="36" t="s">
        <v>48</v>
      </c>
    </row>
    <row r="20380">
      <c r="H20380" s="50"/>
      <c r="I20380" s="50"/>
      <c r="O20380" s="36" t="s">
        <v>48</v>
      </c>
      <c r="R20380" s="36" t="s">
        <v>48</v>
      </c>
    </row>
    <row r="20381">
      <c r="H20381" s="50"/>
      <c r="I20381" s="50"/>
      <c r="O20381" s="36" t="s">
        <v>48</v>
      </c>
      <c r="R20381" s="36" t="s">
        <v>48</v>
      </c>
    </row>
    <row r="20382">
      <c r="H20382" s="50"/>
      <c r="I20382" s="50"/>
      <c r="O20382" s="36" t="s">
        <v>48</v>
      </c>
      <c r="R20382" s="36" t="s">
        <v>48</v>
      </c>
    </row>
    <row r="20383">
      <c r="H20383" s="50"/>
      <c r="I20383" s="50"/>
      <c r="O20383" s="36" t="s">
        <v>48</v>
      </c>
      <c r="R20383" s="36" t="s">
        <v>48</v>
      </c>
    </row>
    <row r="20384">
      <c r="H20384" s="50"/>
      <c r="I20384" s="50"/>
      <c r="O20384" s="36" t="s">
        <v>48</v>
      </c>
      <c r="R20384" s="36" t="s">
        <v>48</v>
      </c>
    </row>
    <row r="20385">
      <c r="H20385" s="50"/>
      <c r="I20385" s="50"/>
      <c r="O20385" s="36" t="s">
        <v>48</v>
      </c>
      <c r="R20385" s="36" t="s">
        <v>48</v>
      </c>
    </row>
    <row r="20386">
      <c r="H20386" s="50"/>
      <c r="I20386" s="50"/>
      <c r="O20386" s="36" t="s">
        <v>48</v>
      </c>
      <c r="R20386" s="36" t="s">
        <v>48</v>
      </c>
    </row>
    <row r="20387">
      <c r="H20387" s="50"/>
      <c r="I20387" s="50"/>
      <c r="O20387" s="36" t="s">
        <v>48</v>
      </c>
      <c r="R20387" s="36" t="s">
        <v>48</v>
      </c>
    </row>
    <row r="20388">
      <c r="H20388" s="50"/>
      <c r="I20388" s="50"/>
      <c r="O20388" s="36" t="s">
        <v>48</v>
      </c>
      <c r="R20388" s="36" t="s">
        <v>48</v>
      </c>
    </row>
    <row r="20389">
      <c r="H20389" s="50"/>
      <c r="I20389" s="50"/>
      <c r="O20389" s="36" t="s">
        <v>48</v>
      </c>
      <c r="R20389" s="36" t="s">
        <v>48</v>
      </c>
    </row>
    <row r="20390">
      <c r="H20390" s="50"/>
      <c r="I20390" s="50"/>
      <c r="O20390" s="36" t="s">
        <v>48</v>
      </c>
      <c r="R20390" s="36" t="s">
        <v>48</v>
      </c>
    </row>
    <row r="20391">
      <c r="H20391" s="50"/>
      <c r="I20391" s="50"/>
      <c r="O20391" s="36" t="s">
        <v>48</v>
      </c>
      <c r="R20391" s="36" t="s">
        <v>48</v>
      </c>
    </row>
    <row r="20392">
      <c r="H20392" s="50"/>
      <c r="I20392" s="50"/>
      <c r="O20392" s="36" t="s">
        <v>48</v>
      </c>
      <c r="R20392" s="36" t="s">
        <v>48</v>
      </c>
    </row>
    <row r="20393">
      <c r="H20393" s="50"/>
      <c r="I20393" s="50"/>
      <c r="O20393" s="36" t="s">
        <v>48</v>
      </c>
      <c r="R20393" s="36" t="s">
        <v>48</v>
      </c>
    </row>
    <row r="20394">
      <c r="H20394" s="50"/>
      <c r="I20394" s="50"/>
      <c r="O20394" s="36" t="s">
        <v>48</v>
      </c>
      <c r="R20394" s="36" t="s">
        <v>48</v>
      </c>
    </row>
    <row r="20395">
      <c r="H20395" s="50"/>
      <c r="I20395" s="50"/>
      <c r="O20395" s="36" t="s">
        <v>48</v>
      </c>
      <c r="R20395" s="36" t="s">
        <v>48</v>
      </c>
    </row>
    <row r="20396">
      <c r="H20396" s="50"/>
      <c r="I20396" s="50"/>
      <c r="O20396" s="36" t="s">
        <v>48</v>
      </c>
      <c r="R20396" s="36" t="s">
        <v>48</v>
      </c>
    </row>
    <row r="20397">
      <c r="H20397" s="50"/>
      <c r="I20397" s="50"/>
      <c r="O20397" s="36" t="s">
        <v>48</v>
      </c>
      <c r="R20397" s="36" t="s">
        <v>48</v>
      </c>
    </row>
    <row r="20398">
      <c r="H20398" s="50"/>
      <c r="I20398" s="50"/>
      <c r="O20398" s="36" t="s">
        <v>48</v>
      </c>
      <c r="R20398" s="36" t="s">
        <v>48</v>
      </c>
    </row>
    <row r="20399">
      <c r="H20399" s="50"/>
      <c r="I20399" s="50"/>
      <c r="O20399" s="36" t="s">
        <v>48</v>
      </c>
      <c r="R20399" s="36" t="s">
        <v>48</v>
      </c>
    </row>
    <row r="20400">
      <c r="H20400" s="50"/>
      <c r="I20400" s="50"/>
      <c r="O20400" s="36" t="s">
        <v>48</v>
      </c>
      <c r="R20400" s="36" t="s">
        <v>48</v>
      </c>
    </row>
    <row r="20401">
      <c r="H20401" s="50"/>
      <c r="I20401" s="50"/>
      <c r="O20401" s="36" t="s">
        <v>48</v>
      </c>
      <c r="R20401" s="36" t="s">
        <v>48</v>
      </c>
    </row>
    <row r="20402">
      <c r="H20402" s="50"/>
      <c r="I20402" s="50"/>
      <c r="O20402" s="36" t="s">
        <v>48</v>
      </c>
      <c r="R20402" s="36" t="s">
        <v>48</v>
      </c>
    </row>
    <row r="20403">
      <c r="H20403" s="50"/>
      <c r="I20403" s="50"/>
      <c r="O20403" s="36" t="s">
        <v>48</v>
      </c>
      <c r="R20403" s="36" t="s">
        <v>48</v>
      </c>
    </row>
    <row r="20404">
      <c r="H20404" s="50"/>
      <c r="I20404" s="50"/>
      <c r="O20404" s="36" t="s">
        <v>48</v>
      </c>
      <c r="R20404" s="36" t="s">
        <v>48</v>
      </c>
    </row>
    <row r="20405">
      <c r="H20405" s="50"/>
      <c r="I20405" s="50"/>
      <c r="O20405" s="36" t="s">
        <v>48</v>
      </c>
      <c r="R20405" s="36" t="s">
        <v>48</v>
      </c>
    </row>
    <row r="20406">
      <c r="H20406" s="50"/>
      <c r="I20406" s="50"/>
      <c r="O20406" s="36" t="s">
        <v>48</v>
      </c>
      <c r="R20406" s="36" t="s">
        <v>48</v>
      </c>
    </row>
    <row r="20407">
      <c r="H20407" s="50"/>
      <c r="I20407" s="50"/>
      <c r="O20407" s="36" t="s">
        <v>48</v>
      </c>
      <c r="R20407" s="36" t="s">
        <v>48</v>
      </c>
    </row>
    <row r="20408">
      <c r="H20408" s="50"/>
      <c r="I20408" s="50"/>
      <c r="O20408" s="36" t="s">
        <v>48</v>
      </c>
      <c r="R20408" s="36" t="s">
        <v>48</v>
      </c>
    </row>
    <row r="20409">
      <c r="H20409" s="50"/>
      <c r="I20409" s="50"/>
      <c r="O20409" s="36" t="s">
        <v>48</v>
      </c>
      <c r="R20409" s="36" t="s">
        <v>48</v>
      </c>
    </row>
    <row r="20410">
      <c r="H20410" s="50"/>
      <c r="I20410" s="50"/>
      <c r="O20410" s="36" t="s">
        <v>48</v>
      </c>
      <c r="R20410" s="36" t="s">
        <v>48</v>
      </c>
    </row>
    <row r="20411">
      <c r="H20411" s="50"/>
      <c r="I20411" s="50"/>
      <c r="O20411" s="36" t="s">
        <v>48</v>
      </c>
      <c r="R20411" s="36" t="s">
        <v>48</v>
      </c>
    </row>
    <row r="20412">
      <c r="H20412" s="50"/>
      <c r="I20412" s="50"/>
      <c r="O20412" s="36" t="s">
        <v>48</v>
      </c>
      <c r="R20412" s="36" t="s">
        <v>48</v>
      </c>
    </row>
    <row r="20413">
      <c r="H20413" s="50"/>
      <c r="I20413" s="50"/>
      <c r="O20413" s="36" t="s">
        <v>48</v>
      </c>
      <c r="R20413" s="36" t="s">
        <v>48</v>
      </c>
    </row>
    <row r="20414">
      <c r="H20414" s="50"/>
      <c r="I20414" s="50"/>
      <c r="O20414" s="36" t="s">
        <v>48</v>
      </c>
      <c r="R20414" s="36" t="s">
        <v>48</v>
      </c>
    </row>
    <row r="20415">
      <c r="H20415" s="50"/>
      <c r="I20415" s="50"/>
      <c r="O20415" s="36" t="s">
        <v>48</v>
      </c>
      <c r="R20415" s="36" t="s">
        <v>48</v>
      </c>
    </row>
    <row r="20416">
      <c r="H20416" s="50"/>
      <c r="I20416" s="50"/>
      <c r="O20416" s="36" t="s">
        <v>48</v>
      </c>
      <c r="R20416" s="36" t="s">
        <v>48</v>
      </c>
    </row>
    <row r="20417">
      <c r="H20417" s="50"/>
      <c r="I20417" s="50"/>
      <c r="O20417" s="36" t="s">
        <v>48</v>
      </c>
      <c r="R20417" s="36" t="s">
        <v>48</v>
      </c>
    </row>
    <row r="20418">
      <c r="H20418" s="50"/>
      <c r="I20418" s="50"/>
      <c r="O20418" s="36" t="s">
        <v>48</v>
      </c>
      <c r="R20418" s="36" t="s">
        <v>48</v>
      </c>
    </row>
    <row r="20419">
      <c r="H20419" s="50"/>
      <c r="I20419" s="50"/>
      <c r="O20419" s="36" t="s">
        <v>48</v>
      </c>
      <c r="R20419" s="36" t="s">
        <v>48</v>
      </c>
    </row>
    <row r="20420">
      <c r="H20420" s="50"/>
      <c r="I20420" s="50"/>
      <c r="O20420" s="36" t="s">
        <v>48</v>
      </c>
      <c r="R20420" s="36" t="s">
        <v>48</v>
      </c>
    </row>
    <row r="20421">
      <c r="H20421" s="50"/>
      <c r="I20421" s="50"/>
      <c r="O20421" s="36" t="s">
        <v>48</v>
      </c>
      <c r="R20421" s="36" t="s">
        <v>48</v>
      </c>
    </row>
    <row r="20422">
      <c r="H20422" s="50"/>
      <c r="I20422" s="50"/>
      <c r="O20422" s="36" t="s">
        <v>48</v>
      </c>
      <c r="R20422" s="36" t="s">
        <v>48</v>
      </c>
    </row>
    <row r="20423">
      <c r="H20423" s="50"/>
      <c r="I20423" s="50"/>
      <c r="O20423" s="36" t="s">
        <v>48</v>
      </c>
      <c r="R20423" s="36" t="s">
        <v>48</v>
      </c>
    </row>
    <row r="20424">
      <c r="H20424" s="50"/>
      <c r="I20424" s="50"/>
      <c r="O20424" s="36" t="s">
        <v>48</v>
      </c>
      <c r="R20424" s="36" t="s">
        <v>48</v>
      </c>
    </row>
    <row r="20425">
      <c r="H20425" s="50"/>
      <c r="I20425" s="50"/>
      <c r="O20425" s="36" t="s">
        <v>48</v>
      </c>
      <c r="R20425" s="36" t="s">
        <v>48</v>
      </c>
    </row>
    <row r="20426">
      <c r="H20426" s="50"/>
      <c r="I20426" s="50"/>
      <c r="O20426" s="36" t="s">
        <v>48</v>
      </c>
      <c r="R20426" s="36" t="s">
        <v>48</v>
      </c>
    </row>
    <row r="20427">
      <c r="H20427" s="50"/>
      <c r="I20427" s="50"/>
      <c r="O20427" s="36" t="s">
        <v>48</v>
      </c>
      <c r="R20427" s="36" t="s">
        <v>48</v>
      </c>
    </row>
    <row r="20428">
      <c r="H20428" s="50"/>
      <c r="I20428" s="50"/>
      <c r="O20428" s="36" t="s">
        <v>48</v>
      </c>
      <c r="R20428" s="36" t="s">
        <v>48</v>
      </c>
    </row>
    <row r="20429">
      <c r="H20429" s="50"/>
      <c r="I20429" s="50"/>
      <c r="O20429" s="36" t="s">
        <v>48</v>
      </c>
      <c r="R20429" s="36" t="s">
        <v>48</v>
      </c>
    </row>
    <row r="20430">
      <c r="H20430" s="50"/>
      <c r="I20430" s="50"/>
      <c r="O20430" s="36" t="s">
        <v>48</v>
      </c>
      <c r="R20430" s="36" t="s">
        <v>48</v>
      </c>
    </row>
    <row r="20431">
      <c r="H20431" s="50"/>
      <c r="I20431" s="50"/>
      <c r="O20431" s="36" t="s">
        <v>48</v>
      </c>
      <c r="R20431" s="36" t="s">
        <v>48</v>
      </c>
    </row>
    <row r="20432">
      <c r="H20432" s="50"/>
      <c r="I20432" s="50"/>
      <c r="O20432" s="36" t="s">
        <v>48</v>
      </c>
      <c r="R20432" s="36" t="s">
        <v>48</v>
      </c>
    </row>
    <row r="20433">
      <c r="H20433" s="50"/>
      <c r="I20433" s="50"/>
      <c r="O20433" s="36" t="s">
        <v>48</v>
      </c>
      <c r="R20433" s="36" t="s">
        <v>48</v>
      </c>
    </row>
    <row r="20434">
      <c r="H20434" s="50"/>
      <c r="I20434" s="50"/>
      <c r="O20434" s="36" t="s">
        <v>48</v>
      </c>
      <c r="R20434" s="36" t="s">
        <v>48</v>
      </c>
    </row>
    <row r="20435">
      <c r="H20435" s="50"/>
      <c r="I20435" s="50"/>
      <c r="O20435" s="36" t="s">
        <v>48</v>
      </c>
      <c r="R20435" s="36" t="s">
        <v>48</v>
      </c>
    </row>
    <row r="20436">
      <c r="H20436" s="50"/>
      <c r="I20436" s="50"/>
      <c r="O20436" s="36" t="s">
        <v>48</v>
      </c>
      <c r="R20436" s="36" t="s">
        <v>48</v>
      </c>
    </row>
    <row r="20437">
      <c r="H20437" s="50"/>
      <c r="I20437" s="50"/>
      <c r="O20437" s="36" t="s">
        <v>48</v>
      </c>
      <c r="R20437" s="36" t="s">
        <v>48</v>
      </c>
    </row>
    <row r="20438">
      <c r="H20438" s="50"/>
      <c r="I20438" s="50"/>
      <c r="O20438" s="36" t="s">
        <v>48</v>
      </c>
      <c r="R20438" s="36" t="s">
        <v>48</v>
      </c>
    </row>
    <row r="20439">
      <c r="H20439" s="50"/>
      <c r="I20439" s="50"/>
      <c r="O20439" s="36" t="s">
        <v>48</v>
      </c>
      <c r="R20439" s="36" t="s">
        <v>48</v>
      </c>
    </row>
    <row r="20440">
      <c r="H20440" s="50"/>
      <c r="I20440" s="50"/>
      <c r="O20440" s="36" t="s">
        <v>48</v>
      </c>
      <c r="R20440" s="36" t="s">
        <v>48</v>
      </c>
    </row>
    <row r="20441">
      <c r="H20441" s="50"/>
      <c r="I20441" s="50"/>
      <c r="O20441" s="36" t="s">
        <v>48</v>
      </c>
      <c r="R20441" s="36" t="s">
        <v>48</v>
      </c>
    </row>
    <row r="20442">
      <c r="H20442" s="50"/>
      <c r="I20442" s="50"/>
      <c r="O20442" s="36" t="s">
        <v>48</v>
      </c>
      <c r="R20442" s="36" t="s">
        <v>48</v>
      </c>
    </row>
    <row r="20443">
      <c r="H20443" s="50"/>
      <c r="I20443" s="50"/>
      <c r="O20443" s="36" t="s">
        <v>48</v>
      </c>
      <c r="R20443" s="36" t="s">
        <v>48</v>
      </c>
    </row>
    <row r="20444">
      <c r="H20444" s="50"/>
      <c r="I20444" s="50"/>
      <c r="O20444" s="36" t="s">
        <v>48</v>
      </c>
      <c r="R20444" s="36" t="s">
        <v>48</v>
      </c>
    </row>
    <row r="20445">
      <c r="H20445" s="50"/>
      <c r="I20445" s="50"/>
      <c r="O20445" s="36" t="s">
        <v>48</v>
      </c>
      <c r="R20445" s="36" t="s">
        <v>48</v>
      </c>
    </row>
    <row r="20446">
      <c r="H20446" s="50"/>
      <c r="I20446" s="50"/>
      <c r="O20446" s="36" t="s">
        <v>48</v>
      </c>
      <c r="R20446" s="36" t="s">
        <v>48</v>
      </c>
    </row>
    <row r="20447">
      <c r="H20447" s="50"/>
      <c r="I20447" s="50"/>
      <c r="O20447" s="36" t="s">
        <v>48</v>
      </c>
      <c r="R20447" s="36" t="s">
        <v>48</v>
      </c>
    </row>
    <row r="20448">
      <c r="H20448" s="50"/>
      <c r="I20448" s="50"/>
      <c r="O20448" s="36" t="s">
        <v>48</v>
      </c>
      <c r="R20448" s="36" t="s">
        <v>48</v>
      </c>
    </row>
    <row r="20449">
      <c r="H20449" s="50"/>
      <c r="I20449" s="50"/>
      <c r="O20449" s="36" t="s">
        <v>48</v>
      </c>
      <c r="R20449" s="36" t="s">
        <v>48</v>
      </c>
    </row>
    <row r="20450">
      <c r="H20450" s="50"/>
      <c r="I20450" s="50"/>
      <c r="O20450" s="36" t="s">
        <v>48</v>
      </c>
      <c r="R20450" s="36" t="s">
        <v>48</v>
      </c>
    </row>
    <row r="20451">
      <c r="H20451" s="50"/>
      <c r="I20451" s="50"/>
      <c r="O20451" s="36" t="s">
        <v>48</v>
      </c>
      <c r="R20451" s="36" t="s">
        <v>48</v>
      </c>
    </row>
    <row r="20452">
      <c r="H20452" s="50"/>
      <c r="I20452" s="50"/>
      <c r="O20452" s="36" t="s">
        <v>48</v>
      </c>
      <c r="R20452" s="36" t="s">
        <v>48</v>
      </c>
    </row>
    <row r="20453">
      <c r="H20453" s="50"/>
      <c r="I20453" s="50"/>
      <c r="O20453" s="36" t="s">
        <v>48</v>
      </c>
      <c r="R20453" s="36" t="s">
        <v>48</v>
      </c>
    </row>
    <row r="20454">
      <c r="H20454" s="50"/>
      <c r="I20454" s="50"/>
      <c r="O20454" s="36" t="s">
        <v>48</v>
      </c>
      <c r="R20454" s="36" t="s">
        <v>48</v>
      </c>
    </row>
    <row r="20455">
      <c r="H20455" s="50"/>
      <c r="I20455" s="50"/>
      <c r="O20455" s="36" t="s">
        <v>48</v>
      </c>
      <c r="R20455" s="36" t="s">
        <v>48</v>
      </c>
    </row>
    <row r="20456">
      <c r="H20456" s="50"/>
      <c r="I20456" s="50"/>
      <c r="O20456" s="36" t="s">
        <v>48</v>
      </c>
      <c r="R20456" s="36" t="s">
        <v>48</v>
      </c>
    </row>
    <row r="20457">
      <c r="H20457" s="50"/>
      <c r="I20457" s="50"/>
      <c r="O20457" s="36" t="s">
        <v>48</v>
      </c>
      <c r="R20457" s="36" t="s">
        <v>48</v>
      </c>
    </row>
    <row r="20458">
      <c r="H20458" s="50"/>
      <c r="I20458" s="50"/>
      <c r="O20458" s="36" t="s">
        <v>48</v>
      </c>
      <c r="R20458" s="36" t="s">
        <v>48</v>
      </c>
    </row>
    <row r="20459">
      <c r="H20459" s="50"/>
      <c r="I20459" s="50"/>
      <c r="O20459" s="36" t="s">
        <v>48</v>
      </c>
      <c r="R20459" s="36" t="s">
        <v>48</v>
      </c>
    </row>
    <row r="20460">
      <c r="H20460" s="50"/>
      <c r="I20460" s="50"/>
      <c r="O20460" s="36" t="s">
        <v>48</v>
      </c>
      <c r="R20460" s="36" t="s">
        <v>48</v>
      </c>
    </row>
    <row r="20461">
      <c r="H20461" s="50"/>
      <c r="I20461" s="50"/>
      <c r="O20461" s="36" t="s">
        <v>48</v>
      </c>
      <c r="R20461" s="36" t="s">
        <v>48</v>
      </c>
    </row>
    <row r="20462">
      <c r="H20462" s="50"/>
      <c r="I20462" s="50"/>
      <c r="O20462" s="36" t="s">
        <v>48</v>
      </c>
      <c r="R20462" s="36" t="s">
        <v>48</v>
      </c>
    </row>
    <row r="20463">
      <c r="H20463" s="50"/>
      <c r="I20463" s="50"/>
      <c r="O20463" s="36" t="s">
        <v>48</v>
      </c>
      <c r="R20463" s="36" t="s">
        <v>48</v>
      </c>
    </row>
    <row r="20464">
      <c r="H20464" s="50"/>
      <c r="I20464" s="50"/>
      <c r="O20464" s="36" t="s">
        <v>48</v>
      </c>
      <c r="R20464" s="36" t="s">
        <v>48</v>
      </c>
    </row>
    <row r="20465">
      <c r="H20465" s="50"/>
      <c r="I20465" s="50"/>
      <c r="O20465" s="36" t="s">
        <v>48</v>
      </c>
      <c r="R20465" s="36" t="s">
        <v>48</v>
      </c>
    </row>
    <row r="20466">
      <c r="H20466" s="50"/>
      <c r="I20466" s="50"/>
      <c r="O20466" s="36" t="s">
        <v>48</v>
      </c>
      <c r="R20466" s="36" t="s">
        <v>48</v>
      </c>
    </row>
    <row r="20467">
      <c r="H20467" s="50"/>
      <c r="I20467" s="50"/>
      <c r="O20467" s="36" t="s">
        <v>48</v>
      </c>
      <c r="R20467" s="36" t="s">
        <v>48</v>
      </c>
    </row>
    <row r="20468">
      <c r="H20468" s="50"/>
      <c r="I20468" s="50"/>
      <c r="O20468" s="36" t="s">
        <v>48</v>
      </c>
      <c r="R20468" s="36" t="s">
        <v>48</v>
      </c>
    </row>
    <row r="20469">
      <c r="H20469" s="50"/>
      <c r="I20469" s="50"/>
      <c r="O20469" s="36" t="s">
        <v>48</v>
      </c>
      <c r="R20469" s="36" t="s">
        <v>48</v>
      </c>
    </row>
    <row r="20470">
      <c r="H20470" s="50"/>
      <c r="I20470" s="50"/>
      <c r="O20470" s="36" t="s">
        <v>48</v>
      </c>
      <c r="R20470" s="36" t="s">
        <v>48</v>
      </c>
    </row>
    <row r="20471">
      <c r="H20471" s="50"/>
      <c r="I20471" s="50"/>
      <c r="O20471" s="36" t="s">
        <v>48</v>
      </c>
      <c r="R20471" s="36" t="s">
        <v>48</v>
      </c>
    </row>
    <row r="20472">
      <c r="H20472" s="50"/>
      <c r="I20472" s="50"/>
      <c r="O20472" s="36" t="s">
        <v>48</v>
      </c>
      <c r="R20472" s="36" t="s">
        <v>48</v>
      </c>
    </row>
    <row r="20473">
      <c r="H20473" s="50"/>
      <c r="I20473" s="50"/>
      <c r="O20473" s="36" t="s">
        <v>48</v>
      </c>
      <c r="R20473" s="36" t="s">
        <v>48</v>
      </c>
    </row>
    <row r="20474">
      <c r="H20474" s="50"/>
      <c r="I20474" s="50"/>
      <c r="O20474" s="36" t="s">
        <v>48</v>
      </c>
      <c r="R20474" s="36" t="s">
        <v>48</v>
      </c>
    </row>
    <row r="20475">
      <c r="H20475" s="50"/>
      <c r="I20475" s="50"/>
      <c r="O20475" s="36" t="s">
        <v>48</v>
      </c>
      <c r="R20475" s="36" t="s">
        <v>48</v>
      </c>
    </row>
    <row r="20476">
      <c r="H20476" s="50"/>
      <c r="I20476" s="50"/>
      <c r="O20476" s="36" t="s">
        <v>48</v>
      </c>
      <c r="R20476" s="36" t="s">
        <v>48</v>
      </c>
    </row>
    <row r="20477">
      <c r="H20477" s="50"/>
      <c r="I20477" s="50"/>
      <c r="O20477" s="36" t="s">
        <v>48</v>
      </c>
      <c r="R20477" s="36" t="s">
        <v>48</v>
      </c>
    </row>
    <row r="20478">
      <c r="H20478" s="50"/>
      <c r="I20478" s="50"/>
      <c r="O20478" s="36" t="s">
        <v>48</v>
      </c>
      <c r="R20478" s="36" t="s">
        <v>48</v>
      </c>
    </row>
    <row r="20479">
      <c r="H20479" s="50"/>
      <c r="I20479" s="50"/>
      <c r="O20479" s="36" t="s">
        <v>48</v>
      </c>
      <c r="R20479" s="36" t="s">
        <v>48</v>
      </c>
    </row>
    <row r="20480">
      <c r="H20480" s="50"/>
      <c r="I20480" s="50"/>
      <c r="O20480" s="36" t="s">
        <v>48</v>
      </c>
      <c r="R20480" s="36" t="s">
        <v>48</v>
      </c>
    </row>
    <row r="20481">
      <c r="H20481" s="50"/>
      <c r="I20481" s="50"/>
      <c r="O20481" s="36" t="s">
        <v>48</v>
      </c>
      <c r="R20481" s="36" t="s">
        <v>48</v>
      </c>
    </row>
    <row r="20482">
      <c r="H20482" s="50"/>
      <c r="I20482" s="50"/>
      <c r="O20482" s="36" t="s">
        <v>48</v>
      </c>
      <c r="R20482" s="36" t="s">
        <v>48</v>
      </c>
    </row>
    <row r="20483">
      <c r="H20483" s="50"/>
      <c r="I20483" s="50"/>
      <c r="O20483" s="36" t="s">
        <v>48</v>
      </c>
      <c r="R20483" s="36" t="s">
        <v>48</v>
      </c>
    </row>
    <row r="20484">
      <c r="H20484" s="50"/>
      <c r="I20484" s="50"/>
      <c r="O20484" s="36" t="s">
        <v>48</v>
      </c>
      <c r="R20484" s="36" t="s">
        <v>48</v>
      </c>
    </row>
    <row r="20485">
      <c r="H20485" s="50"/>
      <c r="I20485" s="50"/>
      <c r="O20485" s="36" t="s">
        <v>48</v>
      </c>
      <c r="R20485" s="36" t="s">
        <v>48</v>
      </c>
    </row>
    <row r="20486">
      <c r="H20486" s="50"/>
      <c r="I20486" s="50"/>
      <c r="O20486" s="36" t="s">
        <v>48</v>
      </c>
      <c r="R20486" s="36" t="s">
        <v>48</v>
      </c>
    </row>
    <row r="20487">
      <c r="H20487" s="50"/>
      <c r="I20487" s="50"/>
      <c r="O20487" s="36" t="s">
        <v>48</v>
      </c>
      <c r="R20487" s="36" t="s">
        <v>48</v>
      </c>
    </row>
    <row r="20488">
      <c r="H20488" s="50"/>
      <c r="I20488" s="50"/>
      <c r="O20488" s="36" t="s">
        <v>48</v>
      </c>
      <c r="R20488" s="36" t="s">
        <v>48</v>
      </c>
    </row>
    <row r="20489">
      <c r="H20489" s="50"/>
      <c r="I20489" s="50"/>
      <c r="O20489" s="36" t="s">
        <v>48</v>
      </c>
      <c r="R20489" s="36" t="s">
        <v>48</v>
      </c>
    </row>
    <row r="20490">
      <c r="H20490" s="50"/>
      <c r="I20490" s="50"/>
      <c r="O20490" s="36" t="s">
        <v>48</v>
      </c>
      <c r="R20490" s="36" t="s">
        <v>48</v>
      </c>
    </row>
    <row r="20491">
      <c r="H20491" s="50"/>
      <c r="I20491" s="50"/>
      <c r="O20491" s="36" t="s">
        <v>48</v>
      </c>
      <c r="R20491" s="36" t="s">
        <v>48</v>
      </c>
    </row>
    <row r="20492">
      <c r="H20492" s="50"/>
      <c r="I20492" s="50"/>
      <c r="O20492" s="36" t="s">
        <v>48</v>
      </c>
      <c r="R20492" s="36" t="s">
        <v>48</v>
      </c>
    </row>
    <row r="20493">
      <c r="H20493" s="50"/>
      <c r="I20493" s="50"/>
      <c r="O20493" s="36" t="s">
        <v>48</v>
      </c>
      <c r="R20493" s="36" t="s">
        <v>48</v>
      </c>
    </row>
    <row r="20494">
      <c r="H20494" s="50"/>
      <c r="I20494" s="50"/>
      <c r="O20494" s="36" t="s">
        <v>48</v>
      </c>
      <c r="R20494" s="36" t="s">
        <v>48</v>
      </c>
    </row>
    <row r="20495">
      <c r="H20495" s="50"/>
      <c r="I20495" s="50"/>
      <c r="O20495" s="36" t="s">
        <v>48</v>
      </c>
      <c r="R20495" s="36" t="s">
        <v>48</v>
      </c>
    </row>
    <row r="20496">
      <c r="H20496" s="50"/>
      <c r="I20496" s="50"/>
      <c r="O20496" s="36" t="s">
        <v>48</v>
      </c>
      <c r="R20496" s="36" t="s">
        <v>48</v>
      </c>
    </row>
    <row r="20497">
      <c r="H20497" s="50"/>
      <c r="I20497" s="50"/>
      <c r="O20497" s="36" t="s">
        <v>48</v>
      </c>
      <c r="R20497" s="36" t="s">
        <v>48</v>
      </c>
    </row>
    <row r="20498">
      <c r="H20498" s="50"/>
      <c r="I20498" s="50"/>
      <c r="O20498" s="36" t="s">
        <v>48</v>
      </c>
      <c r="R20498" s="36" t="s">
        <v>48</v>
      </c>
    </row>
    <row r="20499">
      <c r="H20499" s="50"/>
      <c r="I20499" s="50"/>
      <c r="O20499" s="36" t="s">
        <v>48</v>
      </c>
      <c r="R20499" s="36" t="s">
        <v>48</v>
      </c>
    </row>
    <row r="20500">
      <c r="H20500" s="50"/>
      <c r="I20500" s="50"/>
      <c r="O20500" s="36" t="s">
        <v>48</v>
      </c>
      <c r="R20500" s="36" t="s">
        <v>48</v>
      </c>
    </row>
    <row r="20501">
      <c r="H20501" s="50"/>
      <c r="I20501" s="50"/>
      <c r="O20501" s="36" t="s">
        <v>48</v>
      </c>
      <c r="R20501" s="36" t="s">
        <v>48</v>
      </c>
    </row>
    <row r="20502">
      <c r="H20502" s="50"/>
      <c r="I20502" s="50"/>
      <c r="O20502" s="36" t="s">
        <v>48</v>
      </c>
      <c r="R20502" s="36" t="s">
        <v>48</v>
      </c>
    </row>
    <row r="20503">
      <c r="H20503" s="50"/>
      <c r="I20503" s="50"/>
      <c r="O20503" s="36" t="s">
        <v>48</v>
      </c>
      <c r="R20503" s="36" t="s">
        <v>48</v>
      </c>
    </row>
    <row r="20504">
      <c r="H20504" s="50"/>
      <c r="I20504" s="50"/>
      <c r="O20504" s="36" t="s">
        <v>48</v>
      </c>
      <c r="R20504" s="36" t="s">
        <v>48</v>
      </c>
    </row>
    <row r="20505">
      <c r="H20505" s="50"/>
      <c r="I20505" s="50"/>
      <c r="O20505" s="36" t="s">
        <v>48</v>
      </c>
      <c r="R20505" s="36" t="s">
        <v>48</v>
      </c>
    </row>
    <row r="20506">
      <c r="H20506" s="50"/>
      <c r="I20506" s="50"/>
      <c r="O20506" s="36" t="s">
        <v>48</v>
      </c>
      <c r="R20506" s="36" t="s">
        <v>48</v>
      </c>
    </row>
    <row r="20507">
      <c r="H20507" s="50"/>
      <c r="I20507" s="50"/>
      <c r="O20507" s="36" t="s">
        <v>48</v>
      </c>
      <c r="R20507" s="36" t="s">
        <v>48</v>
      </c>
    </row>
    <row r="20508">
      <c r="H20508" s="50"/>
      <c r="I20508" s="50"/>
      <c r="O20508" s="36" t="s">
        <v>48</v>
      </c>
      <c r="R20508" s="36" t="s">
        <v>48</v>
      </c>
    </row>
    <row r="20509">
      <c r="H20509" s="50"/>
      <c r="I20509" s="50"/>
      <c r="O20509" s="36" t="s">
        <v>48</v>
      </c>
      <c r="R20509" s="36" t="s">
        <v>48</v>
      </c>
    </row>
    <row r="20510">
      <c r="H20510" s="50"/>
      <c r="I20510" s="50"/>
      <c r="O20510" s="36" t="s">
        <v>48</v>
      </c>
      <c r="R20510" s="36" t="s">
        <v>48</v>
      </c>
    </row>
    <row r="20511">
      <c r="H20511" s="50"/>
      <c r="I20511" s="50"/>
      <c r="O20511" s="36" t="s">
        <v>48</v>
      </c>
      <c r="R20511" s="36" t="s">
        <v>48</v>
      </c>
    </row>
    <row r="20512">
      <c r="H20512" s="50"/>
      <c r="I20512" s="50"/>
      <c r="O20512" s="36" t="s">
        <v>48</v>
      </c>
      <c r="R20512" s="36" t="s">
        <v>48</v>
      </c>
    </row>
    <row r="20513">
      <c r="H20513" s="50"/>
      <c r="I20513" s="50"/>
      <c r="O20513" s="36" t="s">
        <v>48</v>
      </c>
      <c r="R20513" s="36" t="s">
        <v>48</v>
      </c>
    </row>
    <row r="20514">
      <c r="H20514" s="50"/>
      <c r="I20514" s="50"/>
      <c r="O20514" s="36" t="s">
        <v>48</v>
      </c>
      <c r="R20514" s="36" t="s">
        <v>48</v>
      </c>
    </row>
    <row r="20515">
      <c r="H20515" s="50"/>
      <c r="I20515" s="50"/>
      <c r="O20515" s="36" t="s">
        <v>48</v>
      </c>
      <c r="R20515" s="36" t="s">
        <v>48</v>
      </c>
    </row>
    <row r="20516">
      <c r="H20516" s="50"/>
      <c r="I20516" s="50"/>
      <c r="O20516" s="36" t="s">
        <v>48</v>
      </c>
      <c r="R20516" s="36" t="s">
        <v>48</v>
      </c>
    </row>
    <row r="20517">
      <c r="H20517" s="50"/>
      <c r="I20517" s="50"/>
      <c r="O20517" s="36" t="s">
        <v>48</v>
      </c>
      <c r="R20517" s="36" t="s">
        <v>48</v>
      </c>
    </row>
    <row r="20518">
      <c r="H20518" s="50"/>
      <c r="I20518" s="50"/>
      <c r="O20518" s="36" t="s">
        <v>48</v>
      </c>
      <c r="R20518" s="36" t="s">
        <v>48</v>
      </c>
    </row>
    <row r="20519">
      <c r="H20519" s="50"/>
      <c r="I20519" s="50"/>
      <c r="O20519" s="36" t="s">
        <v>48</v>
      </c>
      <c r="R20519" s="36" t="s">
        <v>48</v>
      </c>
    </row>
    <row r="20520">
      <c r="H20520" s="50"/>
      <c r="I20520" s="50"/>
      <c r="O20520" s="36" t="s">
        <v>48</v>
      </c>
      <c r="R20520" s="36" t="s">
        <v>48</v>
      </c>
    </row>
    <row r="20521">
      <c r="H20521" s="50"/>
      <c r="I20521" s="50"/>
      <c r="O20521" s="36" t="s">
        <v>48</v>
      </c>
      <c r="R20521" s="36" t="s">
        <v>48</v>
      </c>
    </row>
    <row r="20522">
      <c r="H20522" s="50"/>
      <c r="I20522" s="50"/>
      <c r="O20522" s="36" t="s">
        <v>48</v>
      </c>
      <c r="R20522" s="36" t="s">
        <v>48</v>
      </c>
    </row>
    <row r="20523">
      <c r="H20523" s="50"/>
      <c r="I20523" s="50"/>
      <c r="O20523" s="36" t="s">
        <v>48</v>
      </c>
      <c r="R20523" s="36" t="s">
        <v>48</v>
      </c>
    </row>
    <row r="20524">
      <c r="H20524" s="50"/>
      <c r="I20524" s="50"/>
      <c r="O20524" s="36" t="s">
        <v>48</v>
      </c>
      <c r="R20524" s="36" t="s">
        <v>48</v>
      </c>
    </row>
    <row r="20525">
      <c r="H20525" s="50"/>
      <c r="I20525" s="50"/>
      <c r="O20525" s="36" t="s">
        <v>48</v>
      </c>
      <c r="R20525" s="36" t="s">
        <v>48</v>
      </c>
    </row>
    <row r="20526">
      <c r="H20526" s="50"/>
      <c r="I20526" s="50"/>
      <c r="O20526" s="36" t="s">
        <v>48</v>
      </c>
      <c r="R20526" s="36" t="s">
        <v>48</v>
      </c>
    </row>
    <row r="20527">
      <c r="H20527" s="50"/>
      <c r="I20527" s="50"/>
      <c r="O20527" s="36" t="s">
        <v>48</v>
      </c>
      <c r="R20527" s="36" t="s">
        <v>48</v>
      </c>
    </row>
    <row r="20528">
      <c r="H20528" s="50"/>
      <c r="I20528" s="50"/>
      <c r="O20528" s="36" t="s">
        <v>48</v>
      </c>
      <c r="R20528" s="36" t="s">
        <v>48</v>
      </c>
    </row>
    <row r="20529">
      <c r="H20529" s="50"/>
      <c r="I20529" s="50"/>
      <c r="O20529" s="36" t="s">
        <v>48</v>
      </c>
      <c r="R20529" s="36" t="s">
        <v>48</v>
      </c>
    </row>
    <row r="20530">
      <c r="H20530" s="50"/>
      <c r="I20530" s="50"/>
      <c r="O20530" s="36" t="s">
        <v>48</v>
      </c>
      <c r="R20530" s="36" t="s">
        <v>48</v>
      </c>
    </row>
    <row r="20531">
      <c r="H20531" s="50"/>
      <c r="I20531" s="50"/>
      <c r="O20531" s="36" t="s">
        <v>48</v>
      </c>
      <c r="R20531" s="36" t="s">
        <v>48</v>
      </c>
    </row>
    <row r="20532">
      <c r="H20532" s="50"/>
      <c r="I20532" s="50"/>
      <c r="O20532" s="36" t="s">
        <v>48</v>
      </c>
      <c r="R20532" s="36" t="s">
        <v>48</v>
      </c>
    </row>
    <row r="20533">
      <c r="H20533" s="50"/>
      <c r="I20533" s="50"/>
      <c r="O20533" s="36" t="s">
        <v>48</v>
      </c>
      <c r="R20533" s="36" t="s">
        <v>48</v>
      </c>
    </row>
    <row r="20534">
      <c r="H20534" s="50"/>
      <c r="I20534" s="50"/>
      <c r="O20534" s="36" t="s">
        <v>48</v>
      </c>
      <c r="R20534" s="36" t="s">
        <v>48</v>
      </c>
    </row>
    <row r="20535">
      <c r="H20535" s="50"/>
      <c r="I20535" s="50"/>
      <c r="O20535" s="36" t="s">
        <v>48</v>
      </c>
      <c r="R20535" s="36" t="s">
        <v>48</v>
      </c>
    </row>
    <row r="20536">
      <c r="H20536" s="50"/>
      <c r="I20536" s="50"/>
      <c r="O20536" s="36" t="s">
        <v>48</v>
      </c>
      <c r="R20536" s="36" t="s">
        <v>48</v>
      </c>
    </row>
    <row r="20537">
      <c r="H20537" s="50"/>
      <c r="I20537" s="50"/>
      <c r="O20537" s="36" t="s">
        <v>48</v>
      </c>
      <c r="R20537" s="36" t="s">
        <v>48</v>
      </c>
    </row>
    <row r="20538">
      <c r="H20538" s="50"/>
      <c r="I20538" s="50"/>
      <c r="O20538" s="36" t="s">
        <v>48</v>
      </c>
      <c r="R20538" s="36" t="s">
        <v>48</v>
      </c>
    </row>
    <row r="20539">
      <c r="H20539" s="50"/>
      <c r="I20539" s="50"/>
      <c r="O20539" s="36" t="s">
        <v>48</v>
      </c>
      <c r="R20539" s="36" t="s">
        <v>48</v>
      </c>
    </row>
    <row r="20540">
      <c r="H20540" s="50"/>
      <c r="I20540" s="50"/>
      <c r="O20540" s="36" t="s">
        <v>48</v>
      </c>
      <c r="R20540" s="36" t="s">
        <v>48</v>
      </c>
    </row>
    <row r="20541">
      <c r="H20541" s="50"/>
      <c r="I20541" s="50"/>
      <c r="O20541" s="36" t="s">
        <v>48</v>
      </c>
      <c r="R20541" s="36" t="s">
        <v>48</v>
      </c>
    </row>
    <row r="20542">
      <c r="H20542" s="50"/>
      <c r="I20542" s="50"/>
      <c r="O20542" s="36" t="s">
        <v>48</v>
      </c>
      <c r="R20542" s="36" t="s">
        <v>48</v>
      </c>
    </row>
    <row r="20543">
      <c r="H20543" s="50"/>
      <c r="I20543" s="50"/>
      <c r="O20543" s="36" t="s">
        <v>48</v>
      </c>
      <c r="R20543" s="36" t="s">
        <v>48</v>
      </c>
    </row>
    <row r="20544">
      <c r="H20544" s="50"/>
      <c r="I20544" s="50"/>
      <c r="O20544" s="36" t="s">
        <v>48</v>
      </c>
      <c r="R20544" s="36" t="s">
        <v>48</v>
      </c>
    </row>
    <row r="20545">
      <c r="H20545" s="50"/>
      <c r="I20545" s="50"/>
      <c r="O20545" s="36" t="s">
        <v>48</v>
      </c>
      <c r="R20545" s="36" t="s">
        <v>48</v>
      </c>
    </row>
    <row r="20546">
      <c r="H20546" s="50"/>
      <c r="I20546" s="50"/>
      <c r="O20546" s="36" t="s">
        <v>48</v>
      </c>
      <c r="R20546" s="36" t="s">
        <v>48</v>
      </c>
    </row>
    <row r="20547">
      <c r="H20547" s="50"/>
      <c r="I20547" s="50"/>
      <c r="O20547" s="36" t="s">
        <v>48</v>
      </c>
      <c r="R20547" s="36" t="s">
        <v>48</v>
      </c>
    </row>
    <row r="20548">
      <c r="H20548" s="50"/>
      <c r="I20548" s="50"/>
      <c r="O20548" s="36" t="s">
        <v>48</v>
      </c>
      <c r="R20548" s="36" t="s">
        <v>48</v>
      </c>
    </row>
    <row r="20549">
      <c r="H20549" s="50"/>
      <c r="I20549" s="50"/>
      <c r="O20549" s="36" t="s">
        <v>48</v>
      </c>
      <c r="R20549" s="36" t="s">
        <v>48</v>
      </c>
    </row>
    <row r="20550">
      <c r="H20550" s="50"/>
      <c r="I20550" s="50"/>
      <c r="O20550" s="36" t="s">
        <v>48</v>
      </c>
      <c r="R20550" s="36" t="s">
        <v>48</v>
      </c>
    </row>
    <row r="20551">
      <c r="H20551" s="50"/>
      <c r="I20551" s="50"/>
      <c r="O20551" s="36" t="s">
        <v>48</v>
      </c>
      <c r="R20551" s="36" t="s">
        <v>48</v>
      </c>
    </row>
    <row r="20552">
      <c r="H20552" s="50"/>
      <c r="I20552" s="50"/>
      <c r="O20552" s="36" t="s">
        <v>48</v>
      </c>
      <c r="R20552" s="36" t="s">
        <v>48</v>
      </c>
    </row>
    <row r="20553">
      <c r="H20553" s="50"/>
      <c r="I20553" s="50"/>
      <c r="O20553" s="36" t="s">
        <v>48</v>
      </c>
      <c r="R20553" s="36" t="s">
        <v>48</v>
      </c>
    </row>
    <row r="20554">
      <c r="H20554" s="50"/>
      <c r="I20554" s="50"/>
      <c r="O20554" s="36" t="s">
        <v>48</v>
      </c>
      <c r="R20554" s="36" t="s">
        <v>48</v>
      </c>
    </row>
    <row r="20555">
      <c r="H20555" s="50"/>
      <c r="I20555" s="50"/>
      <c r="O20555" s="36" t="s">
        <v>48</v>
      </c>
      <c r="R20555" s="36" t="s">
        <v>48</v>
      </c>
    </row>
    <row r="20556">
      <c r="H20556" s="50"/>
      <c r="I20556" s="50"/>
      <c r="O20556" s="36" t="s">
        <v>48</v>
      </c>
      <c r="R20556" s="36" t="s">
        <v>48</v>
      </c>
    </row>
    <row r="20557">
      <c r="H20557" s="50"/>
      <c r="I20557" s="50"/>
      <c r="O20557" s="36" t="s">
        <v>48</v>
      </c>
      <c r="R20557" s="36" t="s">
        <v>48</v>
      </c>
    </row>
    <row r="20558">
      <c r="H20558" s="50"/>
      <c r="I20558" s="50"/>
      <c r="O20558" s="36" t="s">
        <v>48</v>
      </c>
      <c r="R20558" s="36" t="s">
        <v>48</v>
      </c>
    </row>
    <row r="20559">
      <c r="H20559" s="50"/>
      <c r="I20559" s="50"/>
      <c r="O20559" s="36" t="s">
        <v>48</v>
      </c>
      <c r="R20559" s="36" t="s">
        <v>48</v>
      </c>
    </row>
    <row r="20560">
      <c r="H20560" s="50"/>
      <c r="I20560" s="50"/>
      <c r="O20560" s="36" t="s">
        <v>48</v>
      </c>
      <c r="R20560" s="36" t="s">
        <v>48</v>
      </c>
    </row>
    <row r="20561">
      <c r="H20561" s="50"/>
      <c r="I20561" s="50"/>
      <c r="O20561" s="36" t="s">
        <v>48</v>
      </c>
      <c r="R20561" s="36" t="s">
        <v>48</v>
      </c>
    </row>
    <row r="20562">
      <c r="H20562" s="50"/>
      <c r="I20562" s="50"/>
      <c r="O20562" s="36" t="s">
        <v>48</v>
      </c>
      <c r="R20562" s="36" t="s">
        <v>48</v>
      </c>
    </row>
    <row r="20563">
      <c r="H20563" s="50"/>
      <c r="I20563" s="50"/>
      <c r="O20563" s="36" t="s">
        <v>48</v>
      </c>
      <c r="R20563" s="36" t="s">
        <v>48</v>
      </c>
    </row>
    <row r="20564">
      <c r="H20564" s="50"/>
      <c r="I20564" s="50"/>
      <c r="O20564" s="36" t="s">
        <v>48</v>
      </c>
      <c r="R20564" s="36" t="s">
        <v>48</v>
      </c>
    </row>
    <row r="20565">
      <c r="H20565" s="50"/>
      <c r="I20565" s="50"/>
      <c r="O20565" s="36" t="s">
        <v>48</v>
      </c>
      <c r="R20565" s="36" t="s">
        <v>48</v>
      </c>
    </row>
    <row r="20566">
      <c r="H20566" s="50"/>
      <c r="I20566" s="50"/>
      <c r="O20566" s="36" t="s">
        <v>48</v>
      </c>
      <c r="R20566" s="36" t="s">
        <v>48</v>
      </c>
    </row>
    <row r="20567">
      <c r="H20567" s="50"/>
      <c r="I20567" s="50"/>
      <c r="O20567" s="36" t="s">
        <v>48</v>
      </c>
      <c r="R20567" s="36" t="s">
        <v>48</v>
      </c>
    </row>
    <row r="20568">
      <c r="H20568" s="50"/>
      <c r="I20568" s="50"/>
      <c r="O20568" s="36" t="s">
        <v>48</v>
      </c>
      <c r="R20568" s="36" t="s">
        <v>48</v>
      </c>
    </row>
    <row r="20569">
      <c r="H20569" s="50"/>
      <c r="I20569" s="50"/>
      <c r="O20569" s="36" t="s">
        <v>48</v>
      </c>
      <c r="R20569" s="36" t="s">
        <v>48</v>
      </c>
    </row>
    <row r="20570">
      <c r="H20570" s="50"/>
      <c r="I20570" s="50"/>
      <c r="O20570" s="36" t="s">
        <v>48</v>
      </c>
      <c r="R20570" s="36" t="s">
        <v>48</v>
      </c>
    </row>
    <row r="20571">
      <c r="H20571" s="50"/>
      <c r="I20571" s="50"/>
      <c r="O20571" s="36" t="s">
        <v>48</v>
      </c>
      <c r="R20571" s="36" t="s">
        <v>48</v>
      </c>
    </row>
    <row r="20572">
      <c r="H20572" s="50"/>
      <c r="I20572" s="50"/>
      <c r="O20572" s="36" t="s">
        <v>48</v>
      </c>
      <c r="R20572" s="36" t="s">
        <v>48</v>
      </c>
    </row>
    <row r="20573">
      <c r="H20573" s="50"/>
      <c r="I20573" s="50"/>
      <c r="O20573" s="36" t="s">
        <v>48</v>
      </c>
      <c r="R20573" s="36" t="s">
        <v>48</v>
      </c>
    </row>
    <row r="20574">
      <c r="H20574" s="50"/>
      <c r="I20574" s="50"/>
      <c r="O20574" s="36" t="s">
        <v>48</v>
      </c>
      <c r="R20574" s="36" t="s">
        <v>48</v>
      </c>
    </row>
    <row r="20575">
      <c r="H20575" s="50"/>
      <c r="I20575" s="50"/>
      <c r="O20575" s="36" t="s">
        <v>48</v>
      </c>
      <c r="R20575" s="36" t="s">
        <v>48</v>
      </c>
    </row>
    <row r="20576">
      <c r="H20576" s="50"/>
      <c r="I20576" s="50"/>
      <c r="O20576" s="36" t="s">
        <v>48</v>
      </c>
      <c r="R20576" s="36" t="s">
        <v>48</v>
      </c>
    </row>
    <row r="20577">
      <c r="H20577" s="50"/>
      <c r="I20577" s="50"/>
      <c r="O20577" s="36" t="s">
        <v>48</v>
      </c>
      <c r="R20577" s="36" t="s">
        <v>48</v>
      </c>
    </row>
    <row r="20578">
      <c r="H20578" s="50"/>
      <c r="I20578" s="50"/>
      <c r="O20578" s="36" t="s">
        <v>48</v>
      </c>
      <c r="R20578" s="36" t="s">
        <v>48</v>
      </c>
    </row>
    <row r="20579">
      <c r="H20579" s="50"/>
      <c r="I20579" s="50"/>
      <c r="O20579" s="36" t="s">
        <v>48</v>
      </c>
      <c r="R20579" s="36" t="s">
        <v>48</v>
      </c>
    </row>
    <row r="20580">
      <c r="H20580" s="50"/>
      <c r="I20580" s="50"/>
      <c r="O20580" s="36" t="s">
        <v>48</v>
      </c>
      <c r="R20580" s="36" t="s">
        <v>48</v>
      </c>
    </row>
    <row r="20581">
      <c r="H20581" s="50"/>
      <c r="I20581" s="50"/>
      <c r="O20581" s="36" t="s">
        <v>48</v>
      </c>
      <c r="R20581" s="36" t="s">
        <v>48</v>
      </c>
    </row>
    <row r="20582">
      <c r="H20582" s="50"/>
      <c r="I20582" s="50"/>
      <c r="O20582" s="36" t="s">
        <v>48</v>
      </c>
      <c r="R20582" s="36" t="s">
        <v>48</v>
      </c>
    </row>
    <row r="20583">
      <c r="H20583" s="50"/>
      <c r="I20583" s="50"/>
      <c r="O20583" s="36" t="s">
        <v>48</v>
      </c>
      <c r="R20583" s="36" t="s">
        <v>48</v>
      </c>
    </row>
    <row r="20584">
      <c r="H20584" s="50"/>
      <c r="I20584" s="50"/>
      <c r="O20584" s="36" t="s">
        <v>48</v>
      </c>
      <c r="R20584" s="36" t="s">
        <v>48</v>
      </c>
    </row>
    <row r="20585">
      <c r="H20585" s="50"/>
      <c r="I20585" s="50"/>
      <c r="O20585" s="36" t="s">
        <v>48</v>
      </c>
      <c r="R20585" s="36" t="s">
        <v>48</v>
      </c>
    </row>
    <row r="20586">
      <c r="H20586" s="50"/>
      <c r="I20586" s="50"/>
      <c r="O20586" s="36" t="s">
        <v>48</v>
      </c>
      <c r="R20586" s="36" t="s">
        <v>48</v>
      </c>
    </row>
    <row r="20587">
      <c r="H20587" s="50"/>
      <c r="I20587" s="50"/>
      <c r="O20587" s="36" t="s">
        <v>48</v>
      </c>
      <c r="R20587" s="36" t="s">
        <v>48</v>
      </c>
    </row>
    <row r="20588">
      <c r="H20588" s="50"/>
      <c r="I20588" s="50"/>
      <c r="O20588" s="36" t="s">
        <v>48</v>
      </c>
      <c r="R20588" s="36" t="s">
        <v>48</v>
      </c>
    </row>
    <row r="20589">
      <c r="H20589" s="50"/>
      <c r="I20589" s="50"/>
      <c r="O20589" s="36" t="s">
        <v>48</v>
      </c>
      <c r="R20589" s="36" t="s">
        <v>48</v>
      </c>
    </row>
    <row r="20590">
      <c r="H20590" s="50"/>
      <c r="I20590" s="50"/>
      <c r="O20590" s="36" t="s">
        <v>48</v>
      </c>
      <c r="R20590" s="36" t="s">
        <v>48</v>
      </c>
    </row>
    <row r="20591">
      <c r="H20591" s="50"/>
      <c r="I20591" s="50"/>
      <c r="O20591" s="36" t="s">
        <v>48</v>
      </c>
      <c r="R20591" s="36" t="s">
        <v>48</v>
      </c>
    </row>
    <row r="20592">
      <c r="H20592" s="50"/>
      <c r="I20592" s="50"/>
      <c r="O20592" s="36" t="s">
        <v>48</v>
      </c>
      <c r="R20592" s="36" t="s">
        <v>48</v>
      </c>
    </row>
    <row r="20593">
      <c r="H20593" s="50"/>
      <c r="I20593" s="50"/>
      <c r="O20593" s="36" t="s">
        <v>48</v>
      </c>
      <c r="R20593" s="36" t="s">
        <v>48</v>
      </c>
    </row>
    <row r="20594">
      <c r="H20594" s="50"/>
      <c r="I20594" s="50"/>
      <c r="O20594" s="36" t="s">
        <v>48</v>
      </c>
      <c r="R20594" s="36" t="s">
        <v>48</v>
      </c>
    </row>
    <row r="20595">
      <c r="H20595" s="50"/>
      <c r="I20595" s="50"/>
      <c r="O20595" s="36" t="s">
        <v>48</v>
      </c>
      <c r="R20595" s="36" t="s">
        <v>48</v>
      </c>
    </row>
    <row r="20596">
      <c r="H20596" s="50"/>
      <c r="I20596" s="50"/>
      <c r="O20596" s="36" t="s">
        <v>48</v>
      </c>
      <c r="R20596" s="36" t="s">
        <v>48</v>
      </c>
    </row>
    <row r="20597">
      <c r="H20597" s="50"/>
      <c r="I20597" s="50"/>
      <c r="O20597" s="36" t="s">
        <v>48</v>
      </c>
      <c r="R20597" s="36" t="s">
        <v>48</v>
      </c>
    </row>
    <row r="20598">
      <c r="H20598" s="50"/>
      <c r="I20598" s="50"/>
      <c r="O20598" s="36" t="s">
        <v>48</v>
      </c>
      <c r="R20598" s="36" t="s">
        <v>48</v>
      </c>
    </row>
    <row r="20599">
      <c r="H20599" s="50"/>
      <c r="I20599" s="50"/>
      <c r="O20599" s="36" t="s">
        <v>48</v>
      </c>
      <c r="R20599" s="36" t="s">
        <v>48</v>
      </c>
    </row>
    <row r="20600">
      <c r="H20600" s="50"/>
      <c r="I20600" s="50"/>
      <c r="O20600" s="36" t="s">
        <v>48</v>
      </c>
      <c r="R20600" s="36" t="s">
        <v>48</v>
      </c>
    </row>
    <row r="20601">
      <c r="H20601" s="50"/>
      <c r="I20601" s="50"/>
      <c r="O20601" s="36" t="s">
        <v>48</v>
      </c>
      <c r="R20601" s="36" t="s">
        <v>48</v>
      </c>
    </row>
    <row r="20602">
      <c r="H20602" s="50"/>
      <c r="I20602" s="50"/>
      <c r="O20602" s="36" t="s">
        <v>48</v>
      </c>
      <c r="R20602" s="36" t="s">
        <v>48</v>
      </c>
    </row>
    <row r="20603">
      <c r="H20603" s="50"/>
      <c r="I20603" s="50"/>
      <c r="O20603" s="36" t="s">
        <v>48</v>
      </c>
      <c r="R20603" s="36" t="s">
        <v>48</v>
      </c>
    </row>
    <row r="20604">
      <c r="H20604" s="50"/>
      <c r="I20604" s="50"/>
      <c r="O20604" s="36" t="s">
        <v>48</v>
      </c>
      <c r="R20604" s="36" t="s">
        <v>48</v>
      </c>
    </row>
    <row r="20605">
      <c r="H20605" s="50"/>
      <c r="I20605" s="50"/>
      <c r="O20605" s="36" t="s">
        <v>48</v>
      </c>
      <c r="R20605" s="36" t="s">
        <v>48</v>
      </c>
    </row>
    <row r="20606">
      <c r="H20606" s="50"/>
      <c r="I20606" s="50"/>
      <c r="O20606" s="36" t="s">
        <v>48</v>
      </c>
      <c r="R20606" s="36" t="s">
        <v>48</v>
      </c>
    </row>
    <row r="20607">
      <c r="H20607" s="50"/>
      <c r="I20607" s="50"/>
      <c r="O20607" s="36" t="s">
        <v>48</v>
      </c>
      <c r="R20607" s="36" t="s">
        <v>48</v>
      </c>
    </row>
    <row r="20608">
      <c r="H20608" s="50"/>
      <c r="I20608" s="50"/>
      <c r="O20608" s="36" t="s">
        <v>48</v>
      </c>
      <c r="R20608" s="36" t="s">
        <v>48</v>
      </c>
    </row>
    <row r="20609">
      <c r="H20609" s="50"/>
      <c r="I20609" s="50"/>
      <c r="O20609" s="36" t="s">
        <v>48</v>
      </c>
      <c r="R20609" s="36" t="s">
        <v>48</v>
      </c>
    </row>
    <row r="20610">
      <c r="H20610" s="50"/>
      <c r="I20610" s="50"/>
      <c r="O20610" s="36" t="s">
        <v>48</v>
      </c>
      <c r="R20610" s="36" t="s">
        <v>48</v>
      </c>
    </row>
    <row r="20611">
      <c r="H20611" s="50"/>
      <c r="I20611" s="50"/>
      <c r="O20611" s="36" t="s">
        <v>48</v>
      </c>
      <c r="R20611" s="36" t="s">
        <v>48</v>
      </c>
    </row>
    <row r="20612">
      <c r="H20612" s="50"/>
      <c r="I20612" s="50"/>
      <c r="O20612" s="36" t="s">
        <v>48</v>
      </c>
      <c r="R20612" s="36" t="s">
        <v>48</v>
      </c>
    </row>
    <row r="20613">
      <c r="H20613" s="50"/>
      <c r="I20613" s="50"/>
      <c r="O20613" s="36" t="s">
        <v>48</v>
      </c>
      <c r="R20613" s="36" t="s">
        <v>48</v>
      </c>
    </row>
    <row r="20614">
      <c r="H20614" s="50"/>
      <c r="I20614" s="50"/>
      <c r="O20614" s="36" t="s">
        <v>48</v>
      </c>
      <c r="R20614" s="36" t="s">
        <v>48</v>
      </c>
    </row>
    <row r="20615">
      <c r="H20615" s="50"/>
      <c r="I20615" s="50"/>
      <c r="O20615" s="36" t="s">
        <v>48</v>
      </c>
      <c r="R20615" s="36" t="s">
        <v>48</v>
      </c>
    </row>
    <row r="20616">
      <c r="H20616" s="50"/>
      <c r="I20616" s="50"/>
      <c r="O20616" s="36" t="s">
        <v>48</v>
      </c>
      <c r="R20616" s="36" t="s">
        <v>48</v>
      </c>
    </row>
    <row r="20617">
      <c r="H20617" s="50"/>
      <c r="I20617" s="50"/>
      <c r="O20617" s="36" t="s">
        <v>48</v>
      </c>
      <c r="R20617" s="36" t="s">
        <v>48</v>
      </c>
    </row>
    <row r="20618">
      <c r="H20618" s="50"/>
      <c r="I20618" s="50"/>
      <c r="O20618" s="36" t="s">
        <v>48</v>
      </c>
      <c r="R20618" s="36" t="s">
        <v>48</v>
      </c>
    </row>
    <row r="20619">
      <c r="H20619" s="50"/>
      <c r="I20619" s="50"/>
      <c r="O20619" s="36" t="s">
        <v>48</v>
      </c>
      <c r="R20619" s="36" t="s">
        <v>48</v>
      </c>
    </row>
    <row r="20620">
      <c r="H20620" s="50"/>
      <c r="I20620" s="50"/>
      <c r="O20620" s="36" t="s">
        <v>48</v>
      </c>
      <c r="R20620" s="36" t="s">
        <v>48</v>
      </c>
    </row>
    <row r="20621">
      <c r="H20621" s="50"/>
      <c r="I20621" s="50"/>
      <c r="O20621" s="36" t="s">
        <v>48</v>
      </c>
      <c r="R20621" s="36" t="s">
        <v>48</v>
      </c>
    </row>
    <row r="20622">
      <c r="H20622" s="50"/>
      <c r="I20622" s="50"/>
      <c r="O20622" s="36" t="s">
        <v>48</v>
      </c>
      <c r="R20622" s="36" t="s">
        <v>48</v>
      </c>
    </row>
    <row r="20623">
      <c r="H20623" s="50"/>
      <c r="I20623" s="50"/>
      <c r="O20623" s="36" t="s">
        <v>48</v>
      </c>
      <c r="R20623" s="36" t="s">
        <v>48</v>
      </c>
    </row>
    <row r="20624">
      <c r="H20624" s="50"/>
      <c r="I20624" s="50"/>
      <c r="O20624" s="36" t="s">
        <v>48</v>
      </c>
      <c r="R20624" s="36" t="s">
        <v>48</v>
      </c>
    </row>
    <row r="20625">
      <c r="H20625" s="50"/>
      <c r="I20625" s="50"/>
      <c r="O20625" s="36" t="s">
        <v>48</v>
      </c>
      <c r="R20625" s="36" t="s">
        <v>48</v>
      </c>
    </row>
    <row r="20626">
      <c r="H20626" s="50"/>
      <c r="I20626" s="50"/>
      <c r="O20626" s="36" t="s">
        <v>48</v>
      </c>
      <c r="R20626" s="36" t="s">
        <v>48</v>
      </c>
    </row>
    <row r="20627">
      <c r="H20627" s="50"/>
      <c r="I20627" s="50"/>
      <c r="O20627" s="36" t="s">
        <v>48</v>
      </c>
      <c r="R20627" s="36" t="s">
        <v>48</v>
      </c>
    </row>
    <row r="20628">
      <c r="H20628" s="50"/>
      <c r="I20628" s="50"/>
      <c r="O20628" s="36" t="s">
        <v>48</v>
      </c>
      <c r="R20628" s="36" t="s">
        <v>48</v>
      </c>
    </row>
    <row r="20629">
      <c r="H20629" s="50"/>
      <c r="I20629" s="50"/>
      <c r="O20629" s="36" t="s">
        <v>48</v>
      </c>
      <c r="R20629" s="36" t="s">
        <v>48</v>
      </c>
    </row>
    <row r="20630">
      <c r="H20630" s="50"/>
      <c r="I20630" s="50"/>
      <c r="O20630" s="36" t="s">
        <v>48</v>
      </c>
      <c r="R20630" s="36" t="s">
        <v>48</v>
      </c>
    </row>
    <row r="20631">
      <c r="H20631" s="50"/>
      <c r="I20631" s="50"/>
      <c r="O20631" s="36" t="s">
        <v>48</v>
      </c>
      <c r="R20631" s="36" t="s">
        <v>48</v>
      </c>
    </row>
    <row r="20632">
      <c r="H20632" s="50"/>
      <c r="I20632" s="50"/>
      <c r="O20632" s="36" t="s">
        <v>48</v>
      </c>
      <c r="R20632" s="36" t="s">
        <v>48</v>
      </c>
    </row>
    <row r="20633">
      <c r="H20633" s="50"/>
      <c r="I20633" s="50"/>
      <c r="O20633" s="36" t="s">
        <v>48</v>
      </c>
      <c r="R20633" s="36" t="s">
        <v>48</v>
      </c>
    </row>
    <row r="20634">
      <c r="H20634" s="50"/>
      <c r="I20634" s="50"/>
      <c r="O20634" s="36" t="s">
        <v>48</v>
      </c>
      <c r="R20634" s="36" t="s">
        <v>48</v>
      </c>
    </row>
    <row r="20635">
      <c r="H20635" s="50"/>
      <c r="I20635" s="50"/>
      <c r="O20635" s="36" t="s">
        <v>48</v>
      </c>
      <c r="R20635" s="36" t="s">
        <v>48</v>
      </c>
    </row>
    <row r="20636">
      <c r="H20636" s="50"/>
      <c r="I20636" s="50"/>
      <c r="O20636" s="36" t="s">
        <v>48</v>
      </c>
      <c r="R20636" s="36" t="s">
        <v>48</v>
      </c>
    </row>
    <row r="20637">
      <c r="H20637" s="50"/>
      <c r="I20637" s="50"/>
      <c r="O20637" s="36" t="s">
        <v>48</v>
      </c>
      <c r="R20637" s="36" t="s">
        <v>48</v>
      </c>
    </row>
    <row r="20638">
      <c r="H20638" s="50"/>
      <c r="I20638" s="50"/>
      <c r="O20638" s="36" t="s">
        <v>48</v>
      </c>
      <c r="R20638" s="36" t="s">
        <v>48</v>
      </c>
    </row>
    <row r="20639">
      <c r="H20639" s="50"/>
      <c r="I20639" s="50"/>
      <c r="O20639" s="36" t="s">
        <v>48</v>
      </c>
      <c r="R20639" s="36" t="s">
        <v>48</v>
      </c>
    </row>
    <row r="20640">
      <c r="H20640" s="50"/>
      <c r="I20640" s="50"/>
      <c r="O20640" s="36" t="s">
        <v>48</v>
      </c>
      <c r="R20640" s="36" t="s">
        <v>48</v>
      </c>
    </row>
    <row r="20641">
      <c r="H20641" s="50"/>
      <c r="I20641" s="50"/>
      <c r="O20641" s="36" t="s">
        <v>48</v>
      </c>
      <c r="R20641" s="36" t="s">
        <v>48</v>
      </c>
    </row>
    <row r="20642">
      <c r="H20642" s="50"/>
      <c r="I20642" s="50"/>
      <c r="O20642" s="36" t="s">
        <v>48</v>
      </c>
      <c r="R20642" s="36" t="s">
        <v>48</v>
      </c>
    </row>
    <row r="20643">
      <c r="H20643" s="50"/>
      <c r="I20643" s="50"/>
      <c r="O20643" s="36" t="s">
        <v>48</v>
      </c>
      <c r="R20643" s="36" t="s">
        <v>48</v>
      </c>
    </row>
    <row r="20644">
      <c r="H20644" s="50"/>
      <c r="I20644" s="50"/>
      <c r="O20644" s="36" t="s">
        <v>48</v>
      </c>
      <c r="R20644" s="36" t="s">
        <v>48</v>
      </c>
    </row>
    <row r="20645">
      <c r="H20645" s="50"/>
      <c r="I20645" s="50"/>
      <c r="O20645" s="36" t="s">
        <v>48</v>
      </c>
      <c r="R20645" s="36" t="s">
        <v>48</v>
      </c>
    </row>
    <row r="20646">
      <c r="H20646" s="50"/>
      <c r="I20646" s="50"/>
      <c r="O20646" s="36" t="s">
        <v>48</v>
      </c>
      <c r="R20646" s="36" t="s">
        <v>48</v>
      </c>
    </row>
    <row r="20647">
      <c r="H20647" s="50"/>
      <c r="I20647" s="50"/>
      <c r="O20647" s="36" t="s">
        <v>48</v>
      </c>
      <c r="R20647" s="36" t="s">
        <v>48</v>
      </c>
    </row>
    <row r="20648">
      <c r="H20648" s="50"/>
      <c r="I20648" s="50"/>
      <c r="O20648" s="36" t="s">
        <v>48</v>
      </c>
      <c r="R20648" s="36" t="s">
        <v>48</v>
      </c>
    </row>
    <row r="20649">
      <c r="H20649" s="50"/>
      <c r="I20649" s="50"/>
      <c r="O20649" s="36" t="s">
        <v>48</v>
      </c>
      <c r="R20649" s="36" t="s">
        <v>48</v>
      </c>
    </row>
    <row r="20650">
      <c r="H20650" s="50"/>
      <c r="I20650" s="50"/>
      <c r="O20650" s="36" t="s">
        <v>48</v>
      </c>
      <c r="R20650" s="36" t="s">
        <v>48</v>
      </c>
    </row>
    <row r="20651">
      <c r="H20651" s="50"/>
      <c r="I20651" s="50"/>
      <c r="O20651" s="36" t="s">
        <v>48</v>
      </c>
      <c r="R20651" s="36" t="s">
        <v>48</v>
      </c>
    </row>
    <row r="20652">
      <c r="H20652" s="50"/>
      <c r="I20652" s="50"/>
      <c r="O20652" s="36" t="s">
        <v>48</v>
      </c>
      <c r="R20652" s="36" t="s">
        <v>48</v>
      </c>
    </row>
    <row r="20653">
      <c r="H20653" s="50"/>
      <c r="I20653" s="50"/>
      <c r="O20653" s="36" t="s">
        <v>48</v>
      </c>
      <c r="R20653" s="36" t="s">
        <v>48</v>
      </c>
    </row>
    <row r="20654">
      <c r="H20654" s="50"/>
      <c r="I20654" s="50"/>
      <c r="O20654" s="36" t="s">
        <v>48</v>
      </c>
      <c r="R20654" s="36" t="s">
        <v>48</v>
      </c>
    </row>
    <row r="20655">
      <c r="H20655" s="50"/>
      <c r="I20655" s="50"/>
      <c r="O20655" s="36" t="s">
        <v>48</v>
      </c>
      <c r="R20655" s="36" t="s">
        <v>48</v>
      </c>
    </row>
    <row r="20656">
      <c r="H20656" s="50"/>
      <c r="I20656" s="50"/>
      <c r="O20656" s="36" t="s">
        <v>48</v>
      </c>
      <c r="R20656" s="36" t="s">
        <v>48</v>
      </c>
    </row>
    <row r="20657">
      <c r="H20657" s="50"/>
      <c r="I20657" s="50"/>
      <c r="O20657" s="36" t="s">
        <v>48</v>
      </c>
      <c r="R20657" s="36" t="s">
        <v>48</v>
      </c>
    </row>
    <row r="20658">
      <c r="H20658" s="50"/>
      <c r="I20658" s="50"/>
      <c r="O20658" s="36" t="s">
        <v>48</v>
      </c>
      <c r="R20658" s="36" t="s">
        <v>48</v>
      </c>
    </row>
    <row r="20659">
      <c r="H20659" s="50"/>
      <c r="I20659" s="50"/>
      <c r="O20659" s="36" t="s">
        <v>48</v>
      </c>
      <c r="R20659" s="36" t="s">
        <v>48</v>
      </c>
    </row>
    <row r="20660">
      <c r="H20660" s="50"/>
      <c r="I20660" s="50"/>
      <c r="O20660" s="36" t="s">
        <v>48</v>
      </c>
      <c r="R20660" s="36" t="s">
        <v>48</v>
      </c>
    </row>
    <row r="20661">
      <c r="H20661" s="50"/>
      <c r="I20661" s="50"/>
      <c r="O20661" s="36" t="s">
        <v>48</v>
      </c>
      <c r="R20661" s="36" t="s">
        <v>48</v>
      </c>
    </row>
    <row r="20662">
      <c r="H20662" s="50"/>
      <c r="I20662" s="50"/>
      <c r="O20662" s="36" t="s">
        <v>48</v>
      </c>
      <c r="R20662" s="36" t="s">
        <v>48</v>
      </c>
    </row>
    <row r="20663">
      <c r="H20663" s="50"/>
      <c r="I20663" s="50"/>
      <c r="O20663" s="36" t="s">
        <v>48</v>
      </c>
      <c r="R20663" s="36" t="s">
        <v>48</v>
      </c>
    </row>
    <row r="20664">
      <c r="H20664" s="50"/>
      <c r="I20664" s="50"/>
      <c r="O20664" s="36" t="s">
        <v>48</v>
      </c>
      <c r="R20664" s="36" t="s">
        <v>48</v>
      </c>
    </row>
    <row r="20665">
      <c r="H20665" s="50"/>
      <c r="I20665" s="50"/>
      <c r="O20665" s="36" t="s">
        <v>48</v>
      </c>
      <c r="R20665" s="36" t="s">
        <v>48</v>
      </c>
    </row>
    <row r="20666">
      <c r="H20666" s="50"/>
      <c r="I20666" s="50"/>
      <c r="O20666" s="36" t="s">
        <v>48</v>
      </c>
      <c r="R20666" s="36" t="s">
        <v>48</v>
      </c>
    </row>
    <row r="20667">
      <c r="H20667" s="50"/>
      <c r="I20667" s="50"/>
      <c r="O20667" s="36" t="s">
        <v>48</v>
      </c>
      <c r="R20667" s="36" t="s">
        <v>48</v>
      </c>
    </row>
    <row r="20668">
      <c r="H20668" s="50"/>
      <c r="I20668" s="50"/>
      <c r="O20668" s="36" t="s">
        <v>48</v>
      </c>
      <c r="R20668" s="36" t="s">
        <v>48</v>
      </c>
    </row>
    <row r="20669">
      <c r="H20669" s="50"/>
      <c r="I20669" s="50"/>
      <c r="O20669" s="36" t="s">
        <v>48</v>
      </c>
      <c r="R20669" s="36" t="s">
        <v>48</v>
      </c>
    </row>
    <row r="20670">
      <c r="H20670" s="50"/>
      <c r="I20670" s="50"/>
      <c r="O20670" s="36" t="s">
        <v>48</v>
      </c>
      <c r="R20670" s="36" t="s">
        <v>48</v>
      </c>
    </row>
    <row r="20671">
      <c r="H20671" s="50"/>
      <c r="I20671" s="50"/>
      <c r="O20671" s="36" t="s">
        <v>48</v>
      </c>
      <c r="R20671" s="36" t="s">
        <v>48</v>
      </c>
    </row>
    <row r="20672">
      <c r="H20672" s="50"/>
      <c r="I20672" s="50"/>
      <c r="O20672" s="36" t="s">
        <v>48</v>
      </c>
      <c r="R20672" s="36" t="s">
        <v>48</v>
      </c>
    </row>
    <row r="20673">
      <c r="H20673" s="50"/>
      <c r="I20673" s="50"/>
      <c r="O20673" s="36" t="s">
        <v>48</v>
      </c>
      <c r="R20673" s="36" t="s">
        <v>48</v>
      </c>
    </row>
    <row r="20674">
      <c r="H20674" s="50"/>
      <c r="I20674" s="50"/>
      <c r="O20674" s="36" t="s">
        <v>48</v>
      </c>
      <c r="R20674" s="36" t="s">
        <v>48</v>
      </c>
    </row>
    <row r="20675">
      <c r="H20675" s="50"/>
      <c r="I20675" s="50"/>
      <c r="O20675" s="36" t="s">
        <v>48</v>
      </c>
      <c r="R20675" s="36" t="s">
        <v>48</v>
      </c>
    </row>
    <row r="20676">
      <c r="H20676" s="50"/>
      <c r="I20676" s="50"/>
      <c r="O20676" s="36" t="s">
        <v>48</v>
      </c>
      <c r="R20676" s="36" t="s">
        <v>48</v>
      </c>
    </row>
    <row r="20677">
      <c r="H20677" s="50"/>
      <c r="I20677" s="50"/>
      <c r="O20677" s="36" t="s">
        <v>48</v>
      </c>
      <c r="R20677" s="36" t="s">
        <v>48</v>
      </c>
    </row>
    <row r="20678">
      <c r="H20678" s="50"/>
      <c r="I20678" s="50"/>
      <c r="O20678" s="36" t="s">
        <v>48</v>
      </c>
      <c r="R20678" s="36" t="s">
        <v>48</v>
      </c>
    </row>
    <row r="20679">
      <c r="H20679" s="50"/>
      <c r="I20679" s="50"/>
      <c r="O20679" s="36" t="s">
        <v>48</v>
      </c>
      <c r="R20679" s="36" t="s">
        <v>48</v>
      </c>
    </row>
    <row r="20680">
      <c r="H20680" s="50"/>
      <c r="I20680" s="50"/>
      <c r="O20680" s="36" t="s">
        <v>48</v>
      </c>
      <c r="R20680" s="36" t="s">
        <v>48</v>
      </c>
    </row>
    <row r="20681">
      <c r="H20681" s="50"/>
      <c r="I20681" s="50"/>
      <c r="O20681" s="36" t="s">
        <v>48</v>
      </c>
      <c r="R20681" s="36" t="s">
        <v>48</v>
      </c>
    </row>
    <row r="20682">
      <c r="H20682" s="50"/>
      <c r="I20682" s="50"/>
      <c r="O20682" s="36" t="s">
        <v>48</v>
      </c>
      <c r="R20682" s="36" t="s">
        <v>48</v>
      </c>
    </row>
    <row r="20683">
      <c r="H20683" s="50"/>
      <c r="I20683" s="50"/>
      <c r="O20683" s="36" t="s">
        <v>48</v>
      </c>
      <c r="R20683" s="36" t="s">
        <v>48</v>
      </c>
    </row>
    <row r="20684">
      <c r="H20684" s="50"/>
      <c r="I20684" s="50"/>
      <c r="O20684" s="36" t="s">
        <v>48</v>
      </c>
      <c r="R20684" s="36" t="s">
        <v>48</v>
      </c>
    </row>
    <row r="20685">
      <c r="H20685" s="50"/>
      <c r="I20685" s="50"/>
      <c r="O20685" s="36" t="s">
        <v>48</v>
      </c>
      <c r="R20685" s="36" t="s">
        <v>48</v>
      </c>
    </row>
    <row r="20686">
      <c r="H20686" s="50"/>
      <c r="I20686" s="50"/>
      <c r="O20686" s="36" t="s">
        <v>48</v>
      </c>
      <c r="R20686" s="36" t="s">
        <v>48</v>
      </c>
    </row>
    <row r="20687">
      <c r="H20687" s="50"/>
      <c r="I20687" s="50"/>
      <c r="O20687" s="36" t="s">
        <v>48</v>
      </c>
      <c r="R20687" s="36" t="s">
        <v>48</v>
      </c>
    </row>
    <row r="20688">
      <c r="H20688" s="50"/>
      <c r="I20688" s="50"/>
      <c r="O20688" s="36" t="s">
        <v>48</v>
      </c>
      <c r="R20688" s="36" t="s">
        <v>48</v>
      </c>
    </row>
    <row r="20689">
      <c r="H20689" s="50"/>
      <c r="I20689" s="50"/>
      <c r="O20689" s="36" t="s">
        <v>48</v>
      </c>
      <c r="R20689" s="36" t="s">
        <v>48</v>
      </c>
    </row>
    <row r="20690">
      <c r="H20690" s="50"/>
      <c r="I20690" s="50"/>
      <c r="O20690" s="36" t="s">
        <v>48</v>
      </c>
      <c r="R20690" s="36" t="s">
        <v>48</v>
      </c>
    </row>
    <row r="20691">
      <c r="H20691" s="50"/>
      <c r="I20691" s="50"/>
      <c r="O20691" s="36" t="s">
        <v>48</v>
      </c>
      <c r="R20691" s="36" t="s">
        <v>48</v>
      </c>
    </row>
    <row r="20692">
      <c r="H20692" s="50"/>
      <c r="I20692" s="50"/>
      <c r="O20692" s="36" t="s">
        <v>48</v>
      </c>
      <c r="R20692" s="36" t="s">
        <v>48</v>
      </c>
    </row>
    <row r="20693">
      <c r="H20693" s="50"/>
      <c r="I20693" s="50"/>
      <c r="O20693" s="36" t="s">
        <v>48</v>
      </c>
      <c r="R20693" s="36" t="s">
        <v>48</v>
      </c>
    </row>
    <row r="20694">
      <c r="H20694" s="50"/>
      <c r="I20694" s="50"/>
      <c r="O20694" s="36" t="s">
        <v>48</v>
      </c>
      <c r="R20694" s="36" t="s">
        <v>48</v>
      </c>
    </row>
    <row r="20695">
      <c r="H20695" s="50"/>
      <c r="I20695" s="50"/>
      <c r="O20695" s="36" t="s">
        <v>48</v>
      </c>
      <c r="R20695" s="36" t="s">
        <v>48</v>
      </c>
    </row>
    <row r="20696">
      <c r="H20696" s="50"/>
      <c r="I20696" s="50"/>
      <c r="O20696" s="36" t="s">
        <v>48</v>
      </c>
      <c r="R20696" s="36" t="s">
        <v>48</v>
      </c>
    </row>
    <row r="20697">
      <c r="H20697" s="50"/>
      <c r="I20697" s="50"/>
      <c r="O20697" s="36" t="s">
        <v>48</v>
      </c>
      <c r="R20697" s="36" t="s">
        <v>48</v>
      </c>
    </row>
    <row r="20698">
      <c r="H20698" s="50"/>
      <c r="I20698" s="50"/>
      <c r="O20698" s="36" t="s">
        <v>48</v>
      </c>
      <c r="R20698" s="36" t="s">
        <v>48</v>
      </c>
    </row>
    <row r="20699">
      <c r="H20699" s="50"/>
      <c r="I20699" s="50"/>
      <c r="O20699" s="36" t="s">
        <v>48</v>
      </c>
      <c r="R20699" s="36" t="s">
        <v>48</v>
      </c>
    </row>
    <row r="20700">
      <c r="H20700" s="50"/>
      <c r="I20700" s="50"/>
      <c r="O20700" s="36" t="s">
        <v>48</v>
      </c>
      <c r="R20700" s="36" t="s">
        <v>48</v>
      </c>
    </row>
    <row r="20701">
      <c r="H20701" s="50"/>
      <c r="I20701" s="50"/>
      <c r="O20701" s="36" t="s">
        <v>48</v>
      </c>
      <c r="R20701" s="36" t="s">
        <v>48</v>
      </c>
    </row>
    <row r="20702">
      <c r="H20702" s="50"/>
      <c r="I20702" s="50"/>
      <c r="O20702" s="36" t="s">
        <v>48</v>
      </c>
      <c r="R20702" s="36" t="s">
        <v>48</v>
      </c>
    </row>
    <row r="20703">
      <c r="H20703" s="50"/>
      <c r="I20703" s="50"/>
      <c r="O20703" s="36" t="s">
        <v>48</v>
      </c>
      <c r="R20703" s="36" t="s">
        <v>48</v>
      </c>
    </row>
    <row r="20704">
      <c r="H20704" s="50"/>
      <c r="I20704" s="50"/>
      <c r="O20704" s="36" t="s">
        <v>48</v>
      </c>
      <c r="R20704" s="36" t="s">
        <v>48</v>
      </c>
    </row>
    <row r="20705">
      <c r="H20705" s="50"/>
      <c r="I20705" s="50"/>
      <c r="O20705" s="36" t="s">
        <v>48</v>
      </c>
      <c r="R20705" s="36" t="s">
        <v>48</v>
      </c>
    </row>
    <row r="20706">
      <c r="H20706" s="50"/>
      <c r="I20706" s="50"/>
      <c r="O20706" s="36" t="s">
        <v>48</v>
      </c>
      <c r="R20706" s="36" t="s">
        <v>48</v>
      </c>
    </row>
    <row r="20707">
      <c r="H20707" s="50"/>
      <c r="I20707" s="50"/>
      <c r="O20707" s="36" t="s">
        <v>48</v>
      </c>
      <c r="R20707" s="36" t="s">
        <v>48</v>
      </c>
    </row>
    <row r="20708">
      <c r="H20708" s="50"/>
      <c r="I20708" s="50"/>
      <c r="O20708" s="36" t="s">
        <v>48</v>
      </c>
      <c r="R20708" s="36" t="s">
        <v>48</v>
      </c>
    </row>
    <row r="20709">
      <c r="H20709" s="50"/>
      <c r="I20709" s="50"/>
      <c r="O20709" s="36" t="s">
        <v>48</v>
      </c>
      <c r="R20709" s="36" t="s">
        <v>48</v>
      </c>
    </row>
    <row r="20710">
      <c r="H20710" s="50"/>
      <c r="I20710" s="50"/>
      <c r="O20710" s="36" t="s">
        <v>48</v>
      </c>
      <c r="R20710" s="36" t="s">
        <v>48</v>
      </c>
    </row>
    <row r="20711">
      <c r="H20711" s="50"/>
      <c r="I20711" s="50"/>
      <c r="O20711" s="36" t="s">
        <v>48</v>
      </c>
      <c r="R20711" s="36" t="s">
        <v>48</v>
      </c>
    </row>
    <row r="20712">
      <c r="H20712" s="50"/>
      <c r="I20712" s="50"/>
      <c r="O20712" s="36" t="s">
        <v>48</v>
      </c>
      <c r="R20712" s="36" t="s">
        <v>48</v>
      </c>
    </row>
    <row r="20713">
      <c r="H20713" s="50"/>
      <c r="I20713" s="50"/>
      <c r="O20713" s="36" t="s">
        <v>48</v>
      </c>
      <c r="R20713" s="36" t="s">
        <v>48</v>
      </c>
    </row>
    <row r="20714">
      <c r="H20714" s="50"/>
      <c r="I20714" s="50"/>
      <c r="O20714" s="36" t="s">
        <v>48</v>
      </c>
      <c r="R20714" s="36" t="s">
        <v>48</v>
      </c>
    </row>
    <row r="20715">
      <c r="H20715" s="50"/>
      <c r="I20715" s="50"/>
      <c r="O20715" s="36" t="s">
        <v>48</v>
      </c>
      <c r="R20715" s="36" t="s">
        <v>48</v>
      </c>
    </row>
    <row r="20716">
      <c r="H20716" s="50"/>
      <c r="I20716" s="50"/>
      <c r="O20716" s="36" t="s">
        <v>48</v>
      </c>
      <c r="R20716" s="36" t="s">
        <v>48</v>
      </c>
    </row>
    <row r="20717">
      <c r="H20717" s="50"/>
      <c r="I20717" s="50"/>
      <c r="O20717" s="36" t="s">
        <v>48</v>
      </c>
      <c r="R20717" s="36" t="s">
        <v>48</v>
      </c>
    </row>
    <row r="20718">
      <c r="H20718" s="50"/>
      <c r="I20718" s="50"/>
      <c r="O20718" s="36" t="s">
        <v>48</v>
      </c>
      <c r="R20718" s="36" t="s">
        <v>48</v>
      </c>
    </row>
    <row r="20719">
      <c r="H20719" s="50"/>
      <c r="I20719" s="50"/>
      <c r="O20719" s="36" t="s">
        <v>48</v>
      </c>
      <c r="R20719" s="36" t="s">
        <v>48</v>
      </c>
    </row>
    <row r="20720">
      <c r="H20720" s="50"/>
      <c r="I20720" s="50"/>
      <c r="O20720" s="36" t="s">
        <v>48</v>
      </c>
      <c r="R20720" s="36" t="s">
        <v>48</v>
      </c>
    </row>
    <row r="20721">
      <c r="H20721" s="50"/>
      <c r="I20721" s="50"/>
      <c r="O20721" s="36" t="s">
        <v>48</v>
      </c>
      <c r="R20721" s="36" t="s">
        <v>48</v>
      </c>
    </row>
    <row r="20722">
      <c r="H20722" s="50"/>
      <c r="I20722" s="50"/>
      <c r="O20722" s="36" t="s">
        <v>48</v>
      </c>
      <c r="R20722" s="36" t="s">
        <v>48</v>
      </c>
    </row>
    <row r="20723">
      <c r="H20723" s="50"/>
      <c r="I20723" s="50"/>
      <c r="O20723" s="36" t="s">
        <v>48</v>
      </c>
      <c r="R20723" s="36" t="s">
        <v>48</v>
      </c>
    </row>
    <row r="20724">
      <c r="H20724" s="50"/>
      <c r="I20724" s="50"/>
      <c r="O20724" s="36" t="s">
        <v>48</v>
      </c>
      <c r="R20724" s="36" t="s">
        <v>48</v>
      </c>
    </row>
    <row r="20725">
      <c r="H20725" s="50"/>
      <c r="I20725" s="50"/>
      <c r="O20725" s="36" t="s">
        <v>48</v>
      </c>
      <c r="R20725" s="36" t="s">
        <v>48</v>
      </c>
    </row>
    <row r="20726">
      <c r="H20726" s="50"/>
      <c r="I20726" s="50"/>
      <c r="O20726" s="36" t="s">
        <v>48</v>
      </c>
      <c r="R20726" s="36" t="s">
        <v>48</v>
      </c>
    </row>
    <row r="20727">
      <c r="H20727" s="50"/>
      <c r="I20727" s="50"/>
      <c r="O20727" s="36" t="s">
        <v>48</v>
      </c>
      <c r="R20727" s="36" t="s">
        <v>48</v>
      </c>
    </row>
    <row r="20728">
      <c r="H20728" s="50"/>
      <c r="I20728" s="50"/>
      <c r="O20728" s="36" t="s">
        <v>48</v>
      </c>
      <c r="R20728" s="36" t="s">
        <v>48</v>
      </c>
    </row>
    <row r="20729">
      <c r="H20729" s="50"/>
      <c r="I20729" s="50"/>
      <c r="O20729" s="36" t="s">
        <v>48</v>
      </c>
      <c r="R20729" s="36" t="s">
        <v>48</v>
      </c>
    </row>
    <row r="20730">
      <c r="H20730" s="50"/>
      <c r="I20730" s="50"/>
      <c r="O20730" s="36" t="s">
        <v>48</v>
      </c>
      <c r="R20730" s="36" t="s">
        <v>48</v>
      </c>
    </row>
    <row r="20731">
      <c r="H20731" s="50"/>
      <c r="I20731" s="50"/>
      <c r="O20731" s="36" t="s">
        <v>48</v>
      </c>
      <c r="R20731" s="36" t="s">
        <v>48</v>
      </c>
    </row>
    <row r="20732">
      <c r="H20732" s="50"/>
      <c r="I20732" s="50"/>
      <c r="O20732" s="36" t="s">
        <v>48</v>
      </c>
      <c r="R20732" s="36" t="s">
        <v>48</v>
      </c>
    </row>
    <row r="20733">
      <c r="H20733" s="50"/>
      <c r="I20733" s="50"/>
      <c r="O20733" s="36" t="s">
        <v>48</v>
      </c>
      <c r="R20733" s="36" t="s">
        <v>48</v>
      </c>
    </row>
    <row r="20734">
      <c r="H20734" s="50"/>
      <c r="I20734" s="50"/>
      <c r="O20734" s="36" t="s">
        <v>48</v>
      </c>
      <c r="R20734" s="36" t="s">
        <v>48</v>
      </c>
    </row>
    <row r="20735">
      <c r="H20735" s="50"/>
      <c r="I20735" s="50"/>
      <c r="O20735" s="36" t="s">
        <v>48</v>
      </c>
      <c r="R20735" s="36" t="s">
        <v>48</v>
      </c>
    </row>
    <row r="20736">
      <c r="H20736" s="50"/>
      <c r="I20736" s="50"/>
      <c r="O20736" s="36" t="s">
        <v>48</v>
      </c>
      <c r="R20736" s="36" t="s">
        <v>48</v>
      </c>
    </row>
    <row r="20737">
      <c r="H20737" s="50"/>
      <c r="I20737" s="50"/>
      <c r="O20737" s="36" t="s">
        <v>48</v>
      </c>
      <c r="R20737" s="36" t="s">
        <v>48</v>
      </c>
    </row>
    <row r="20738">
      <c r="H20738" s="50"/>
      <c r="I20738" s="50"/>
      <c r="O20738" s="36" t="s">
        <v>48</v>
      </c>
      <c r="R20738" s="36" t="s">
        <v>48</v>
      </c>
    </row>
    <row r="20739">
      <c r="H20739" s="50"/>
      <c r="I20739" s="50"/>
      <c r="O20739" s="36" t="s">
        <v>48</v>
      </c>
      <c r="R20739" s="36" t="s">
        <v>48</v>
      </c>
    </row>
    <row r="20740">
      <c r="H20740" s="50"/>
      <c r="I20740" s="50"/>
      <c r="O20740" s="36" t="s">
        <v>48</v>
      </c>
      <c r="R20740" s="36" t="s">
        <v>48</v>
      </c>
    </row>
    <row r="20741">
      <c r="H20741" s="50"/>
      <c r="I20741" s="50"/>
      <c r="O20741" s="36" t="s">
        <v>48</v>
      </c>
      <c r="R20741" s="36" t="s">
        <v>48</v>
      </c>
    </row>
    <row r="20742">
      <c r="H20742" s="50"/>
      <c r="I20742" s="50"/>
      <c r="O20742" s="36" t="s">
        <v>48</v>
      </c>
      <c r="R20742" s="36" t="s">
        <v>48</v>
      </c>
    </row>
    <row r="20743">
      <c r="H20743" s="50"/>
      <c r="I20743" s="50"/>
      <c r="O20743" s="36" t="s">
        <v>48</v>
      </c>
      <c r="R20743" s="36" t="s">
        <v>48</v>
      </c>
    </row>
    <row r="20744">
      <c r="H20744" s="50"/>
      <c r="I20744" s="50"/>
      <c r="O20744" s="36" t="s">
        <v>48</v>
      </c>
      <c r="R20744" s="36" t="s">
        <v>48</v>
      </c>
    </row>
    <row r="20745">
      <c r="H20745" s="50"/>
      <c r="I20745" s="50"/>
      <c r="O20745" s="36" t="s">
        <v>48</v>
      </c>
      <c r="R20745" s="36" t="s">
        <v>48</v>
      </c>
    </row>
    <row r="20746">
      <c r="H20746" s="50"/>
      <c r="I20746" s="50"/>
      <c r="O20746" s="36" t="s">
        <v>48</v>
      </c>
      <c r="R20746" s="36" t="s">
        <v>48</v>
      </c>
    </row>
    <row r="20747">
      <c r="H20747" s="50"/>
      <c r="I20747" s="50"/>
      <c r="O20747" s="36" t="s">
        <v>48</v>
      </c>
      <c r="R20747" s="36" t="s">
        <v>48</v>
      </c>
    </row>
    <row r="20748">
      <c r="H20748" s="50"/>
      <c r="I20748" s="50"/>
      <c r="O20748" s="36" t="s">
        <v>48</v>
      </c>
      <c r="R20748" s="36" t="s">
        <v>48</v>
      </c>
    </row>
    <row r="20749">
      <c r="H20749" s="50"/>
      <c r="I20749" s="50"/>
      <c r="O20749" s="36" t="s">
        <v>48</v>
      </c>
      <c r="R20749" s="36" t="s">
        <v>48</v>
      </c>
    </row>
    <row r="20750">
      <c r="H20750" s="50"/>
      <c r="I20750" s="50"/>
      <c r="O20750" s="36" t="s">
        <v>48</v>
      </c>
      <c r="R20750" s="36" t="s">
        <v>48</v>
      </c>
    </row>
    <row r="20751">
      <c r="H20751" s="50"/>
      <c r="I20751" s="50"/>
      <c r="O20751" s="36" t="s">
        <v>48</v>
      </c>
      <c r="R20751" s="36" t="s">
        <v>48</v>
      </c>
    </row>
    <row r="20752">
      <c r="H20752" s="50"/>
      <c r="I20752" s="50"/>
      <c r="O20752" s="36" t="s">
        <v>48</v>
      </c>
      <c r="R20752" s="36" t="s">
        <v>48</v>
      </c>
    </row>
    <row r="20753">
      <c r="H20753" s="50"/>
      <c r="I20753" s="50"/>
      <c r="O20753" s="36" t="s">
        <v>48</v>
      </c>
      <c r="R20753" s="36" t="s">
        <v>48</v>
      </c>
    </row>
    <row r="20754">
      <c r="H20754" s="50"/>
      <c r="I20754" s="50"/>
      <c r="O20754" s="36" t="s">
        <v>48</v>
      </c>
      <c r="R20754" s="36" t="s">
        <v>48</v>
      </c>
    </row>
    <row r="20755">
      <c r="H20755" s="50"/>
      <c r="I20755" s="50"/>
      <c r="O20755" s="36" t="s">
        <v>48</v>
      </c>
      <c r="R20755" s="36" t="s">
        <v>48</v>
      </c>
    </row>
    <row r="20756">
      <c r="H20756" s="50"/>
      <c r="I20756" s="50"/>
      <c r="O20756" s="36" t="s">
        <v>48</v>
      </c>
      <c r="R20756" s="36" t="s">
        <v>48</v>
      </c>
    </row>
    <row r="20757">
      <c r="H20757" s="50"/>
      <c r="I20757" s="50"/>
      <c r="O20757" s="36" t="s">
        <v>48</v>
      </c>
      <c r="R20757" s="36" t="s">
        <v>48</v>
      </c>
    </row>
    <row r="20758">
      <c r="H20758" s="50"/>
      <c r="I20758" s="50"/>
      <c r="O20758" s="36" t="s">
        <v>48</v>
      </c>
      <c r="R20758" s="36" t="s">
        <v>48</v>
      </c>
    </row>
    <row r="20759">
      <c r="H20759" s="50"/>
      <c r="I20759" s="50"/>
      <c r="O20759" s="36" t="s">
        <v>48</v>
      </c>
      <c r="R20759" s="36" t="s">
        <v>48</v>
      </c>
    </row>
    <row r="20760">
      <c r="H20760" s="50"/>
      <c r="I20760" s="50"/>
      <c r="O20760" s="36" t="s">
        <v>48</v>
      </c>
      <c r="R20760" s="36" t="s">
        <v>48</v>
      </c>
    </row>
    <row r="20761">
      <c r="H20761" s="50"/>
      <c r="I20761" s="50"/>
      <c r="O20761" s="36" t="s">
        <v>48</v>
      </c>
      <c r="R20761" s="36" t="s">
        <v>48</v>
      </c>
    </row>
    <row r="20762">
      <c r="H20762" s="50"/>
      <c r="I20762" s="50"/>
      <c r="O20762" s="36" t="s">
        <v>48</v>
      </c>
      <c r="R20762" s="36" t="s">
        <v>48</v>
      </c>
    </row>
    <row r="20763">
      <c r="H20763" s="50"/>
      <c r="I20763" s="50"/>
      <c r="O20763" s="36" t="s">
        <v>48</v>
      </c>
      <c r="R20763" s="36" t="s">
        <v>48</v>
      </c>
    </row>
    <row r="20764">
      <c r="H20764" s="50"/>
      <c r="I20764" s="50"/>
      <c r="O20764" s="36" t="s">
        <v>48</v>
      </c>
      <c r="R20764" s="36" t="s">
        <v>48</v>
      </c>
    </row>
    <row r="20765">
      <c r="H20765" s="50"/>
      <c r="I20765" s="50"/>
      <c r="O20765" s="36" t="s">
        <v>48</v>
      </c>
      <c r="R20765" s="36" t="s">
        <v>48</v>
      </c>
    </row>
    <row r="20766">
      <c r="H20766" s="50"/>
      <c r="I20766" s="50"/>
      <c r="O20766" s="36" t="s">
        <v>48</v>
      </c>
      <c r="R20766" s="36" t="s">
        <v>48</v>
      </c>
    </row>
    <row r="20767">
      <c r="H20767" s="50"/>
      <c r="I20767" s="50"/>
      <c r="O20767" s="36" t="s">
        <v>48</v>
      </c>
      <c r="R20767" s="36" t="s">
        <v>48</v>
      </c>
    </row>
    <row r="20768">
      <c r="H20768" s="50"/>
      <c r="I20768" s="50"/>
      <c r="O20768" s="36" t="s">
        <v>48</v>
      </c>
      <c r="R20768" s="36" t="s">
        <v>48</v>
      </c>
    </row>
    <row r="20769">
      <c r="H20769" s="50"/>
      <c r="I20769" s="50"/>
      <c r="O20769" s="36" t="s">
        <v>48</v>
      </c>
      <c r="R20769" s="36" t="s">
        <v>48</v>
      </c>
    </row>
    <row r="20770">
      <c r="H20770" s="50"/>
      <c r="I20770" s="50"/>
      <c r="O20770" s="36" t="s">
        <v>48</v>
      </c>
      <c r="R20770" s="36" t="s">
        <v>48</v>
      </c>
    </row>
    <row r="20771">
      <c r="H20771" s="50"/>
      <c r="I20771" s="50"/>
      <c r="O20771" s="36" t="s">
        <v>48</v>
      </c>
      <c r="R20771" s="36" t="s">
        <v>48</v>
      </c>
    </row>
    <row r="20772">
      <c r="H20772" s="50"/>
      <c r="I20772" s="50"/>
      <c r="O20772" s="36" t="s">
        <v>48</v>
      </c>
      <c r="R20772" s="36" t="s">
        <v>48</v>
      </c>
    </row>
    <row r="20773">
      <c r="H20773" s="50"/>
      <c r="I20773" s="50"/>
      <c r="O20773" s="36" t="s">
        <v>48</v>
      </c>
      <c r="R20773" s="36" t="s">
        <v>48</v>
      </c>
    </row>
    <row r="20774">
      <c r="H20774" s="50"/>
      <c r="I20774" s="50"/>
      <c r="O20774" s="36" t="s">
        <v>48</v>
      </c>
      <c r="R20774" s="36" t="s">
        <v>48</v>
      </c>
    </row>
    <row r="20775">
      <c r="H20775" s="50"/>
      <c r="I20775" s="50"/>
      <c r="O20775" s="36" t="s">
        <v>48</v>
      </c>
      <c r="R20775" s="36" t="s">
        <v>48</v>
      </c>
    </row>
    <row r="20776">
      <c r="H20776" s="50"/>
      <c r="I20776" s="50"/>
      <c r="O20776" s="36" t="s">
        <v>48</v>
      </c>
      <c r="R20776" s="36" t="s">
        <v>48</v>
      </c>
    </row>
    <row r="20777">
      <c r="H20777" s="50"/>
      <c r="I20777" s="50"/>
      <c r="O20777" s="36" t="s">
        <v>48</v>
      </c>
      <c r="R20777" s="36" t="s">
        <v>48</v>
      </c>
    </row>
    <row r="20778">
      <c r="H20778" s="50"/>
      <c r="I20778" s="50"/>
      <c r="O20778" s="36" t="s">
        <v>48</v>
      </c>
      <c r="R20778" s="36" t="s">
        <v>48</v>
      </c>
    </row>
    <row r="20779">
      <c r="H20779" s="50"/>
      <c r="I20779" s="50"/>
      <c r="O20779" s="36" t="s">
        <v>48</v>
      </c>
      <c r="R20779" s="36" t="s">
        <v>48</v>
      </c>
    </row>
    <row r="20780">
      <c r="H20780" s="50"/>
      <c r="I20780" s="50"/>
      <c r="O20780" s="36" t="s">
        <v>48</v>
      </c>
      <c r="R20780" s="36" t="s">
        <v>48</v>
      </c>
    </row>
    <row r="20781">
      <c r="H20781" s="50"/>
      <c r="I20781" s="50"/>
      <c r="O20781" s="36" t="s">
        <v>48</v>
      </c>
      <c r="R20781" s="36" t="s">
        <v>48</v>
      </c>
    </row>
    <row r="20782">
      <c r="H20782" s="50"/>
      <c r="I20782" s="50"/>
      <c r="O20782" s="36" t="s">
        <v>48</v>
      </c>
      <c r="R20782" s="36" t="s">
        <v>48</v>
      </c>
    </row>
    <row r="20783">
      <c r="H20783" s="50"/>
      <c r="I20783" s="50"/>
      <c r="O20783" s="36" t="s">
        <v>48</v>
      </c>
      <c r="R20783" s="36" t="s">
        <v>48</v>
      </c>
    </row>
    <row r="20784">
      <c r="H20784" s="50"/>
      <c r="I20784" s="50"/>
      <c r="O20784" s="36" t="s">
        <v>48</v>
      </c>
      <c r="R20784" s="36" t="s">
        <v>48</v>
      </c>
    </row>
    <row r="20785">
      <c r="H20785" s="50"/>
      <c r="I20785" s="50"/>
      <c r="O20785" s="36" t="s">
        <v>48</v>
      </c>
      <c r="R20785" s="36" t="s">
        <v>48</v>
      </c>
    </row>
    <row r="20786">
      <c r="H20786" s="50"/>
      <c r="I20786" s="50"/>
      <c r="O20786" s="36" t="s">
        <v>48</v>
      </c>
      <c r="R20786" s="36" t="s">
        <v>48</v>
      </c>
    </row>
    <row r="20787">
      <c r="H20787" s="50"/>
      <c r="I20787" s="50"/>
      <c r="O20787" s="36" t="s">
        <v>48</v>
      </c>
      <c r="R20787" s="36" t="s">
        <v>48</v>
      </c>
    </row>
    <row r="20788">
      <c r="H20788" s="50"/>
      <c r="I20788" s="50"/>
      <c r="O20788" s="36" t="s">
        <v>48</v>
      </c>
      <c r="R20788" s="36" t="s">
        <v>48</v>
      </c>
    </row>
    <row r="20789">
      <c r="H20789" s="50"/>
      <c r="I20789" s="50"/>
      <c r="O20789" s="36" t="s">
        <v>48</v>
      </c>
      <c r="R20789" s="36" t="s">
        <v>48</v>
      </c>
    </row>
    <row r="20790">
      <c r="H20790" s="50"/>
      <c r="I20790" s="50"/>
      <c r="O20790" s="36" t="s">
        <v>48</v>
      </c>
      <c r="R20790" s="36" t="s">
        <v>48</v>
      </c>
    </row>
    <row r="20791">
      <c r="H20791" s="50"/>
      <c r="I20791" s="50"/>
      <c r="O20791" s="36" t="s">
        <v>48</v>
      </c>
      <c r="R20791" s="36" t="s">
        <v>48</v>
      </c>
    </row>
    <row r="20792">
      <c r="H20792" s="50"/>
      <c r="I20792" s="50"/>
      <c r="O20792" s="36" t="s">
        <v>48</v>
      </c>
      <c r="R20792" s="36" t="s">
        <v>48</v>
      </c>
    </row>
    <row r="20793">
      <c r="H20793" s="50"/>
      <c r="I20793" s="50"/>
      <c r="O20793" s="36" t="s">
        <v>48</v>
      </c>
      <c r="R20793" s="36" t="s">
        <v>48</v>
      </c>
    </row>
    <row r="20794">
      <c r="H20794" s="50"/>
      <c r="I20794" s="50"/>
      <c r="O20794" s="36" t="s">
        <v>48</v>
      </c>
      <c r="R20794" s="36" t="s">
        <v>48</v>
      </c>
    </row>
    <row r="20795">
      <c r="H20795" s="50"/>
      <c r="I20795" s="50"/>
      <c r="O20795" s="36" t="s">
        <v>48</v>
      </c>
      <c r="R20795" s="36" t="s">
        <v>48</v>
      </c>
    </row>
    <row r="20796">
      <c r="H20796" s="50"/>
      <c r="I20796" s="50"/>
      <c r="O20796" s="36" t="s">
        <v>48</v>
      </c>
      <c r="R20796" s="36" t="s">
        <v>48</v>
      </c>
    </row>
    <row r="20797">
      <c r="H20797" s="50"/>
      <c r="I20797" s="50"/>
      <c r="O20797" s="36" t="s">
        <v>48</v>
      </c>
      <c r="R20797" s="36" t="s">
        <v>48</v>
      </c>
    </row>
    <row r="20798">
      <c r="H20798" s="50"/>
      <c r="I20798" s="50"/>
      <c r="O20798" s="36" t="s">
        <v>48</v>
      </c>
      <c r="R20798" s="36" t="s">
        <v>48</v>
      </c>
    </row>
    <row r="20799">
      <c r="H20799" s="50"/>
      <c r="I20799" s="50"/>
      <c r="O20799" s="36" t="s">
        <v>48</v>
      </c>
      <c r="R20799" s="36" t="s">
        <v>48</v>
      </c>
    </row>
    <row r="20800">
      <c r="H20800" s="50"/>
      <c r="I20800" s="50"/>
      <c r="O20800" s="36" t="s">
        <v>48</v>
      </c>
      <c r="R20800" s="36" t="s">
        <v>48</v>
      </c>
    </row>
    <row r="20801">
      <c r="H20801" s="50"/>
      <c r="I20801" s="50"/>
      <c r="O20801" s="36" t="s">
        <v>48</v>
      </c>
      <c r="R20801" s="36" t="s">
        <v>48</v>
      </c>
    </row>
    <row r="20802">
      <c r="H20802" s="50"/>
      <c r="I20802" s="50"/>
      <c r="O20802" s="36" t="s">
        <v>48</v>
      </c>
      <c r="R20802" s="36" t="s">
        <v>48</v>
      </c>
    </row>
    <row r="20803">
      <c r="H20803" s="50"/>
      <c r="I20803" s="50"/>
      <c r="O20803" s="36" t="s">
        <v>48</v>
      </c>
      <c r="R20803" s="36" t="s">
        <v>48</v>
      </c>
    </row>
    <row r="20804">
      <c r="H20804" s="50"/>
      <c r="I20804" s="50"/>
      <c r="O20804" s="36" t="s">
        <v>48</v>
      </c>
      <c r="R20804" s="36" t="s">
        <v>48</v>
      </c>
    </row>
    <row r="20805">
      <c r="H20805" s="50"/>
      <c r="I20805" s="50"/>
      <c r="O20805" s="36" t="s">
        <v>48</v>
      </c>
      <c r="R20805" s="36" t="s">
        <v>48</v>
      </c>
    </row>
    <row r="20806">
      <c r="H20806" s="50"/>
      <c r="I20806" s="50"/>
      <c r="O20806" s="36" t="s">
        <v>48</v>
      </c>
      <c r="R20806" s="36" t="s">
        <v>48</v>
      </c>
    </row>
    <row r="20807">
      <c r="H20807" s="50"/>
      <c r="I20807" s="50"/>
      <c r="O20807" s="36" t="s">
        <v>48</v>
      </c>
      <c r="R20807" s="36" t="s">
        <v>48</v>
      </c>
    </row>
    <row r="20808">
      <c r="H20808" s="50"/>
      <c r="I20808" s="50"/>
      <c r="O20808" s="36" t="s">
        <v>48</v>
      </c>
      <c r="R20808" s="36" t="s">
        <v>48</v>
      </c>
    </row>
    <row r="20809">
      <c r="H20809" s="50"/>
      <c r="I20809" s="50"/>
      <c r="O20809" s="36" t="s">
        <v>48</v>
      </c>
      <c r="R20809" s="36" t="s">
        <v>48</v>
      </c>
    </row>
    <row r="20810">
      <c r="H20810" s="50"/>
      <c r="I20810" s="50"/>
      <c r="O20810" s="36" t="s">
        <v>48</v>
      </c>
      <c r="R20810" s="36" t="s">
        <v>48</v>
      </c>
    </row>
    <row r="20811">
      <c r="H20811" s="50"/>
      <c r="I20811" s="50"/>
      <c r="O20811" s="36" t="s">
        <v>48</v>
      </c>
      <c r="R20811" s="36" t="s">
        <v>48</v>
      </c>
    </row>
    <row r="20812">
      <c r="H20812" s="50"/>
      <c r="I20812" s="50"/>
      <c r="O20812" s="36" t="s">
        <v>48</v>
      </c>
      <c r="R20812" s="36" t="s">
        <v>48</v>
      </c>
    </row>
    <row r="20813">
      <c r="H20813" s="50"/>
      <c r="I20813" s="50"/>
      <c r="O20813" s="36" t="s">
        <v>48</v>
      </c>
      <c r="R20813" s="36" t="s">
        <v>48</v>
      </c>
    </row>
    <row r="20814">
      <c r="H20814" s="50"/>
      <c r="I20814" s="50"/>
      <c r="O20814" s="36" t="s">
        <v>48</v>
      </c>
      <c r="R20814" s="36" t="s">
        <v>48</v>
      </c>
    </row>
    <row r="20815">
      <c r="H20815" s="50"/>
      <c r="I20815" s="50"/>
      <c r="O20815" s="36" t="s">
        <v>48</v>
      </c>
      <c r="R20815" s="36" t="s">
        <v>48</v>
      </c>
    </row>
    <row r="20816">
      <c r="H20816" s="50"/>
      <c r="I20816" s="50"/>
      <c r="O20816" s="36" t="s">
        <v>48</v>
      </c>
      <c r="R20816" s="36" t="s">
        <v>48</v>
      </c>
    </row>
    <row r="20817">
      <c r="H20817" s="50"/>
      <c r="I20817" s="50"/>
      <c r="O20817" s="36" t="s">
        <v>48</v>
      </c>
      <c r="R20817" s="36" t="s">
        <v>48</v>
      </c>
    </row>
    <row r="20818">
      <c r="H20818" s="50"/>
      <c r="I20818" s="50"/>
      <c r="O20818" s="36" t="s">
        <v>48</v>
      </c>
      <c r="R20818" s="36" t="s">
        <v>48</v>
      </c>
    </row>
    <row r="20819">
      <c r="H20819" s="50"/>
      <c r="I20819" s="50"/>
      <c r="O20819" s="36" t="s">
        <v>48</v>
      </c>
      <c r="R20819" s="36" t="s">
        <v>48</v>
      </c>
    </row>
    <row r="20820">
      <c r="H20820" s="50"/>
      <c r="I20820" s="50"/>
      <c r="O20820" s="36" t="s">
        <v>48</v>
      </c>
      <c r="R20820" s="36" t="s">
        <v>48</v>
      </c>
    </row>
    <row r="20821">
      <c r="H20821" s="50"/>
      <c r="I20821" s="50"/>
      <c r="O20821" s="36" t="s">
        <v>48</v>
      </c>
      <c r="R20821" s="36" t="s">
        <v>48</v>
      </c>
    </row>
    <row r="20822">
      <c r="H20822" s="50"/>
      <c r="I20822" s="50"/>
      <c r="O20822" s="36" t="s">
        <v>48</v>
      </c>
      <c r="R20822" s="36" t="s">
        <v>48</v>
      </c>
    </row>
    <row r="20823">
      <c r="H20823" s="50"/>
      <c r="I20823" s="50"/>
      <c r="O20823" s="36" t="s">
        <v>48</v>
      </c>
      <c r="R20823" s="36" t="s">
        <v>48</v>
      </c>
    </row>
    <row r="20824">
      <c r="H20824" s="50"/>
      <c r="I20824" s="50"/>
      <c r="O20824" s="36" t="s">
        <v>48</v>
      </c>
      <c r="R20824" s="36" t="s">
        <v>48</v>
      </c>
    </row>
    <row r="20825">
      <c r="H20825" s="50"/>
      <c r="I20825" s="50"/>
      <c r="O20825" s="36" t="s">
        <v>48</v>
      </c>
      <c r="R20825" s="36" t="s">
        <v>48</v>
      </c>
    </row>
    <row r="20826">
      <c r="H20826" s="50"/>
      <c r="I20826" s="50"/>
      <c r="O20826" s="36" t="s">
        <v>48</v>
      </c>
      <c r="R20826" s="36" t="s">
        <v>48</v>
      </c>
    </row>
    <row r="20827">
      <c r="H20827" s="50"/>
      <c r="I20827" s="50"/>
      <c r="O20827" s="36" t="s">
        <v>48</v>
      </c>
      <c r="R20827" s="36" t="s">
        <v>48</v>
      </c>
    </row>
    <row r="20828">
      <c r="H20828" s="50"/>
      <c r="I20828" s="50"/>
      <c r="O20828" s="36" t="s">
        <v>48</v>
      </c>
      <c r="R20828" s="36" t="s">
        <v>48</v>
      </c>
    </row>
    <row r="20829">
      <c r="H20829" s="50"/>
      <c r="I20829" s="50"/>
      <c r="O20829" s="36" t="s">
        <v>48</v>
      </c>
      <c r="R20829" s="36" t="s">
        <v>48</v>
      </c>
    </row>
    <row r="20830">
      <c r="H20830" s="50"/>
      <c r="I20830" s="50"/>
      <c r="O20830" s="36" t="s">
        <v>48</v>
      </c>
      <c r="R20830" s="36" t="s">
        <v>48</v>
      </c>
    </row>
    <row r="20831">
      <c r="H20831" s="50"/>
      <c r="I20831" s="50"/>
      <c r="O20831" s="36" t="s">
        <v>48</v>
      </c>
      <c r="R20831" s="36" t="s">
        <v>48</v>
      </c>
    </row>
    <row r="20832">
      <c r="H20832" s="50"/>
      <c r="I20832" s="50"/>
      <c r="O20832" s="36" t="s">
        <v>48</v>
      </c>
      <c r="R20832" s="36" t="s">
        <v>48</v>
      </c>
    </row>
    <row r="20833">
      <c r="H20833" s="50"/>
      <c r="I20833" s="50"/>
      <c r="O20833" s="36" t="s">
        <v>48</v>
      </c>
      <c r="R20833" s="36" t="s">
        <v>48</v>
      </c>
    </row>
    <row r="20834">
      <c r="H20834" s="50"/>
      <c r="I20834" s="50"/>
      <c r="O20834" s="36" t="s">
        <v>48</v>
      </c>
      <c r="R20834" s="36" t="s">
        <v>48</v>
      </c>
    </row>
    <row r="20835">
      <c r="H20835" s="50"/>
      <c r="I20835" s="50"/>
      <c r="O20835" s="36" t="s">
        <v>48</v>
      </c>
      <c r="R20835" s="36" t="s">
        <v>48</v>
      </c>
    </row>
    <row r="20836">
      <c r="H20836" s="50"/>
      <c r="I20836" s="50"/>
      <c r="O20836" s="36" t="s">
        <v>48</v>
      </c>
      <c r="R20836" s="36" t="s">
        <v>48</v>
      </c>
    </row>
    <row r="20837">
      <c r="H20837" s="50"/>
      <c r="I20837" s="50"/>
      <c r="O20837" s="36" t="s">
        <v>48</v>
      </c>
      <c r="R20837" s="36" t="s">
        <v>48</v>
      </c>
    </row>
    <row r="20838">
      <c r="H20838" s="50"/>
      <c r="I20838" s="50"/>
      <c r="O20838" s="36" t="s">
        <v>48</v>
      </c>
      <c r="R20838" s="36" t="s">
        <v>48</v>
      </c>
    </row>
    <row r="20839">
      <c r="H20839" s="50"/>
      <c r="I20839" s="50"/>
      <c r="O20839" s="36" t="s">
        <v>48</v>
      </c>
      <c r="R20839" s="36" t="s">
        <v>48</v>
      </c>
    </row>
    <row r="20840">
      <c r="H20840" s="50"/>
      <c r="I20840" s="50"/>
      <c r="O20840" s="36" t="s">
        <v>48</v>
      </c>
      <c r="R20840" s="36" t="s">
        <v>48</v>
      </c>
    </row>
    <row r="20841">
      <c r="H20841" s="50"/>
      <c r="I20841" s="50"/>
      <c r="O20841" s="36" t="s">
        <v>48</v>
      </c>
      <c r="R20841" s="36" t="s">
        <v>48</v>
      </c>
    </row>
    <row r="20842">
      <c r="H20842" s="50"/>
      <c r="I20842" s="50"/>
      <c r="O20842" s="36" t="s">
        <v>48</v>
      </c>
      <c r="R20842" s="36" t="s">
        <v>48</v>
      </c>
    </row>
    <row r="20843">
      <c r="H20843" s="50"/>
      <c r="I20843" s="50"/>
      <c r="O20843" s="36" t="s">
        <v>48</v>
      </c>
      <c r="R20843" s="36" t="s">
        <v>48</v>
      </c>
    </row>
    <row r="20844">
      <c r="H20844" s="50"/>
      <c r="I20844" s="50"/>
      <c r="O20844" s="36" t="s">
        <v>48</v>
      </c>
      <c r="R20844" s="36" t="s">
        <v>48</v>
      </c>
    </row>
    <row r="20845">
      <c r="H20845" s="50"/>
      <c r="I20845" s="50"/>
      <c r="O20845" s="36" t="s">
        <v>48</v>
      </c>
      <c r="R20845" s="36" t="s">
        <v>48</v>
      </c>
    </row>
    <row r="20846">
      <c r="H20846" s="50"/>
      <c r="I20846" s="50"/>
      <c r="O20846" s="36" t="s">
        <v>48</v>
      </c>
      <c r="R20846" s="36" t="s">
        <v>48</v>
      </c>
    </row>
    <row r="20847">
      <c r="H20847" s="50"/>
      <c r="I20847" s="50"/>
      <c r="O20847" s="36" t="s">
        <v>48</v>
      </c>
      <c r="R20847" s="36" t="s">
        <v>48</v>
      </c>
    </row>
    <row r="20848">
      <c r="H20848" s="50"/>
      <c r="I20848" s="50"/>
      <c r="O20848" s="36" t="s">
        <v>48</v>
      </c>
      <c r="R20848" s="36" t="s">
        <v>48</v>
      </c>
    </row>
    <row r="20849">
      <c r="H20849" s="50"/>
      <c r="I20849" s="50"/>
      <c r="O20849" s="36" t="s">
        <v>48</v>
      </c>
      <c r="R20849" s="36" t="s">
        <v>48</v>
      </c>
    </row>
    <row r="20850">
      <c r="H20850" s="50"/>
      <c r="I20850" s="50"/>
      <c r="O20850" s="36" t="s">
        <v>48</v>
      </c>
      <c r="R20850" s="36" t="s">
        <v>48</v>
      </c>
    </row>
    <row r="20851">
      <c r="H20851" s="50"/>
      <c r="I20851" s="50"/>
      <c r="O20851" s="36" t="s">
        <v>48</v>
      </c>
      <c r="R20851" s="36" t="s">
        <v>48</v>
      </c>
    </row>
    <row r="20852">
      <c r="H20852" s="50"/>
      <c r="I20852" s="50"/>
      <c r="O20852" s="36" t="s">
        <v>48</v>
      </c>
      <c r="R20852" s="36" t="s">
        <v>48</v>
      </c>
    </row>
    <row r="20853">
      <c r="H20853" s="50"/>
      <c r="I20853" s="50"/>
      <c r="O20853" s="36" t="s">
        <v>48</v>
      </c>
      <c r="R20853" s="36" t="s">
        <v>48</v>
      </c>
    </row>
    <row r="20854">
      <c r="H20854" s="50"/>
      <c r="I20854" s="50"/>
      <c r="O20854" s="36" t="s">
        <v>48</v>
      </c>
      <c r="R20854" s="36" t="s">
        <v>48</v>
      </c>
    </row>
    <row r="20855">
      <c r="H20855" s="50"/>
      <c r="I20855" s="50"/>
      <c r="O20855" s="36" t="s">
        <v>48</v>
      </c>
      <c r="R20855" s="36" t="s">
        <v>48</v>
      </c>
    </row>
    <row r="20856">
      <c r="H20856" s="50"/>
      <c r="I20856" s="50"/>
      <c r="O20856" s="36" t="s">
        <v>48</v>
      </c>
      <c r="R20856" s="36" t="s">
        <v>48</v>
      </c>
    </row>
    <row r="20857">
      <c r="H20857" s="50"/>
      <c r="I20857" s="50"/>
      <c r="O20857" s="36" t="s">
        <v>48</v>
      </c>
      <c r="R20857" s="36" t="s">
        <v>48</v>
      </c>
    </row>
    <row r="20858">
      <c r="H20858" s="50"/>
      <c r="I20858" s="50"/>
      <c r="O20858" s="36" t="s">
        <v>48</v>
      </c>
      <c r="R20858" s="36" t="s">
        <v>48</v>
      </c>
    </row>
    <row r="20859">
      <c r="H20859" s="50"/>
      <c r="I20859" s="50"/>
      <c r="O20859" s="36" t="s">
        <v>48</v>
      </c>
      <c r="R20859" s="36" t="s">
        <v>48</v>
      </c>
    </row>
    <row r="20860">
      <c r="H20860" s="50"/>
      <c r="I20860" s="50"/>
      <c r="O20860" s="36" t="s">
        <v>48</v>
      </c>
      <c r="R20860" s="36" t="s">
        <v>48</v>
      </c>
    </row>
    <row r="20861">
      <c r="H20861" s="50"/>
      <c r="I20861" s="50"/>
      <c r="O20861" s="36" t="s">
        <v>48</v>
      </c>
      <c r="R20861" s="36" t="s">
        <v>48</v>
      </c>
    </row>
    <row r="20862">
      <c r="H20862" s="50"/>
      <c r="I20862" s="50"/>
      <c r="O20862" s="36" t="s">
        <v>48</v>
      </c>
      <c r="R20862" s="36" t="s">
        <v>48</v>
      </c>
    </row>
    <row r="20863">
      <c r="H20863" s="50"/>
      <c r="I20863" s="50"/>
      <c r="O20863" s="36" t="s">
        <v>48</v>
      </c>
      <c r="R20863" s="36" t="s">
        <v>48</v>
      </c>
    </row>
    <row r="20864">
      <c r="H20864" s="50"/>
      <c r="I20864" s="50"/>
      <c r="O20864" s="36" t="s">
        <v>48</v>
      </c>
      <c r="R20864" s="36" t="s">
        <v>48</v>
      </c>
    </row>
    <row r="20865">
      <c r="H20865" s="50"/>
      <c r="I20865" s="50"/>
      <c r="O20865" s="36" t="s">
        <v>48</v>
      </c>
      <c r="R20865" s="36" t="s">
        <v>48</v>
      </c>
    </row>
    <row r="20866">
      <c r="H20866" s="50"/>
      <c r="I20866" s="50"/>
      <c r="O20866" s="36" t="s">
        <v>48</v>
      </c>
      <c r="R20866" s="36" t="s">
        <v>48</v>
      </c>
    </row>
    <row r="20867">
      <c r="H20867" s="50"/>
      <c r="I20867" s="50"/>
      <c r="O20867" s="36" t="s">
        <v>48</v>
      </c>
      <c r="R20867" s="36" t="s">
        <v>48</v>
      </c>
    </row>
    <row r="20868">
      <c r="H20868" s="50"/>
      <c r="I20868" s="50"/>
      <c r="O20868" s="36" t="s">
        <v>48</v>
      </c>
      <c r="R20868" s="36" t="s">
        <v>48</v>
      </c>
    </row>
    <row r="20869">
      <c r="H20869" s="50"/>
      <c r="I20869" s="50"/>
      <c r="O20869" s="36" t="s">
        <v>48</v>
      </c>
      <c r="R20869" s="36" t="s">
        <v>48</v>
      </c>
    </row>
    <row r="20870">
      <c r="H20870" s="50"/>
      <c r="I20870" s="50"/>
      <c r="O20870" s="36" t="s">
        <v>48</v>
      </c>
      <c r="R20870" s="36" t="s">
        <v>48</v>
      </c>
    </row>
    <row r="20871">
      <c r="H20871" s="50"/>
      <c r="I20871" s="50"/>
      <c r="O20871" s="36" t="s">
        <v>48</v>
      </c>
      <c r="R20871" s="36" t="s">
        <v>48</v>
      </c>
    </row>
    <row r="20872">
      <c r="H20872" s="50"/>
      <c r="I20872" s="50"/>
      <c r="O20872" s="36" t="s">
        <v>48</v>
      </c>
      <c r="R20872" s="36" t="s">
        <v>48</v>
      </c>
    </row>
    <row r="20873">
      <c r="H20873" s="50"/>
      <c r="I20873" s="50"/>
      <c r="O20873" s="36" t="s">
        <v>48</v>
      </c>
      <c r="R20873" s="36" t="s">
        <v>48</v>
      </c>
    </row>
    <row r="20874">
      <c r="H20874" s="50"/>
      <c r="I20874" s="50"/>
      <c r="O20874" s="36" t="s">
        <v>48</v>
      </c>
      <c r="R20874" s="36" t="s">
        <v>48</v>
      </c>
    </row>
    <row r="20875">
      <c r="H20875" s="50"/>
      <c r="I20875" s="50"/>
      <c r="O20875" s="36" t="s">
        <v>48</v>
      </c>
      <c r="R20875" s="36" t="s">
        <v>48</v>
      </c>
    </row>
    <row r="20876">
      <c r="H20876" s="50"/>
      <c r="I20876" s="50"/>
      <c r="O20876" s="36" t="s">
        <v>48</v>
      </c>
      <c r="R20876" s="36" t="s">
        <v>48</v>
      </c>
    </row>
    <row r="20877">
      <c r="H20877" s="50"/>
      <c r="I20877" s="50"/>
      <c r="O20877" s="36" t="s">
        <v>48</v>
      </c>
      <c r="R20877" s="36" t="s">
        <v>48</v>
      </c>
    </row>
    <row r="20878">
      <c r="H20878" s="50"/>
      <c r="I20878" s="50"/>
      <c r="O20878" s="36" t="s">
        <v>48</v>
      </c>
      <c r="R20878" s="36" t="s">
        <v>48</v>
      </c>
    </row>
    <row r="20879">
      <c r="H20879" s="50"/>
      <c r="I20879" s="50"/>
      <c r="O20879" s="36" t="s">
        <v>48</v>
      </c>
      <c r="R20879" s="36" t="s">
        <v>48</v>
      </c>
    </row>
    <row r="20880">
      <c r="H20880" s="50"/>
      <c r="I20880" s="50"/>
      <c r="O20880" s="36" t="s">
        <v>48</v>
      </c>
      <c r="R20880" s="36" t="s">
        <v>48</v>
      </c>
    </row>
    <row r="20881">
      <c r="H20881" s="50"/>
      <c r="I20881" s="50"/>
      <c r="O20881" s="36" t="s">
        <v>48</v>
      </c>
      <c r="R20881" s="36" t="s">
        <v>48</v>
      </c>
    </row>
    <row r="20882">
      <c r="H20882" s="50"/>
      <c r="I20882" s="50"/>
      <c r="O20882" s="36" t="s">
        <v>48</v>
      </c>
      <c r="R20882" s="36" t="s">
        <v>48</v>
      </c>
    </row>
    <row r="20883">
      <c r="H20883" s="50"/>
      <c r="I20883" s="50"/>
      <c r="O20883" s="36" t="s">
        <v>48</v>
      </c>
      <c r="R20883" s="36" t="s">
        <v>48</v>
      </c>
    </row>
    <row r="20884">
      <c r="H20884" s="50"/>
      <c r="I20884" s="50"/>
      <c r="O20884" s="36" t="s">
        <v>48</v>
      </c>
      <c r="R20884" s="36" t="s">
        <v>48</v>
      </c>
    </row>
    <row r="20885">
      <c r="H20885" s="50"/>
      <c r="I20885" s="50"/>
      <c r="O20885" s="36" t="s">
        <v>48</v>
      </c>
      <c r="R20885" s="36" t="s">
        <v>48</v>
      </c>
    </row>
    <row r="20886">
      <c r="H20886" s="50"/>
      <c r="I20886" s="50"/>
      <c r="O20886" s="36" t="s">
        <v>48</v>
      </c>
      <c r="R20886" s="36" t="s">
        <v>48</v>
      </c>
    </row>
    <row r="20887">
      <c r="H20887" s="50"/>
      <c r="I20887" s="50"/>
      <c r="O20887" s="36" t="s">
        <v>48</v>
      </c>
      <c r="R20887" s="36" t="s">
        <v>48</v>
      </c>
    </row>
    <row r="20888">
      <c r="H20888" s="50"/>
      <c r="I20888" s="50"/>
      <c r="O20888" s="36" t="s">
        <v>48</v>
      </c>
      <c r="R20888" s="36" t="s">
        <v>48</v>
      </c>
    </row>
    <row r="20889">
      <c r="H20889" s="50"/>
      <c r="I20889" s="50"/>
      <c r="O20889" s="36" t="s">
        <v>48</v>
      </c>
      <c r="R20889" s="36" t="s">
        <v>48</v>
      </c>
    </row>
    <row r="20890">
      <c r="H20890" s="50"/>
      <c r="I20890" s="50"/>
      <c r="O20890" s="36" t="s">
        <v>48</v>
      </c>
      <c r="R20890" s="36" t="s">
        <v>48</v>
      </c>
    </row>
    <row r="20891">
      <c r="H20891" s="50"/>
      <c r="I20891" s="50"/>
      <c r="O20891" s="36" t="s">
        <v>48</v>
      </c>
      <c r="R20891" s="36" t="s">
        <v>48</v>
      </c>
    </row>
    <row r="20892">
      <c r="H20892" s="50"/>
      <c r="I20892" s="50"/>
      <c r="O20892" s="36" t="s">
        <v>48</v>
      </c>
      <c r="R20892" s="36" t="s">
        <v>48</v>
      </c>
    </row>
    <row r="20893">
      <c r="H20893" s="50"/>
      <c r="I20893" s="50"/>
      <c r="O20893" s="36" t="s">
        <v>48</v>
      </c>
      <c r="R20893" s="36" t="s">
        <v>48</v>
      </c>
    </row>
    <row r="20894">
      <c r="H20894" s="50"/>
      <c r="I20894" s="50"/>
      <c r="O20894" s="36" t="s">
        <v>48</v>
      </c>
      <c r="R20894" s="36" t="s">
        <v>48</v>
      </c>
    </row>
    <row r="20895">
      <c r="H20895" s="50"/>
      <c r="I20895" s="50"/>
      <c r="O20895" s="36" t="s">
        <v>48</v>
      </c>
      <c r="R20895" s="36" t="s">
        <v>48</v>
      </c>
    </row>
    <row r="20896">
      <c r="H20896" s="50"/>
      <c r="I20896" s="50"/>
      <c r="O20896" s="36" t="s">
        <v>48</v>
      </c>
      <c r="R20896" s="36" t="s">
        <v>48</v>
      </c>
    </row>
    <row r="20897">
      <c r="H20897" s="50"/>
      <c r="I20897" s="50"/>
      <c r="O20897" s="36" t="s">
        <v>48</v>
      </c>
      <c r="R20897" s="36" t="s">
        <v>48</v>
      </c>
    </row>
    <row r="20898">
      <c r="H20898" s="50"/>
      <c r="I20898" s="50"/>
      <c r="O20898" s="36" t="s">
        <v>48</v>
      </c>
      <c r="R20898" s="36" t="s">
        <v>48</v>
      </c>
    </row>
    <row r="20899">
      <c r="H20899" s="50"/>
      <c r="I20899" s="50"/>
      <c r="O20899" s="36" t="s">
        <v>48</v>
      </c>
      <c r="R20899" s="36" t="s">
        <v>48</v>
      </c>
    </row>
    <row r="20900">
      <c r="H20900" s="50"/>
      <c r="I20900" s="50"/>
      <c r="O20900" s="36" t="s">
        <v>48</v>
      </c>
      <c r="R20900" s="36" t="s">
        <v>48</v>
      </c>
    </row>
    <row r="20901">
      <c r="H20901" s="50"/>
      <c r="I20901" s="50"/>
      <c r="O20901" s="36" t="s">
        <v>48</v>
      </c>
      <c r="R20901" s="36" t="s">
        <v>48</v>
      </c>
    </row>
    <row r="20902">
      <c r="H20902" s="50"/>
      <c r="I20902" s="50"/>
      <c r="O20902" s="36" t="s">
        <v>48</v>
      </c>
      <c r="R20902" s="36" t="s">
        <v>48</v>
      </c>
    </row>
    <row r="20903">
      <c r="H20903" s="50"/>
      <c r="I20903" s="50"/>
      <c r="O20903" s="36" t="s">
        <v>48</v>
      </c>
      <c r="R20903" s="36" t="s">
        <v>48</v>
      </c>
    </row>
    <row r="20904">
      <c r="H20904" s="50"/>
      <c r="I20904" s="50"/>
      <c r="O20904" s="36" t="s">
        <v>48</v>
      </c>
      <c r="R20904" s="36" t="s">
        <v>48</v>
      </c>
    </row>
    <row r="20905">
      <c r="H20905" s="50"/>
      <c r="I20905" s="50"/>
      <c r="O20905" s="36" t="s">
        <v>48</v>
      </c>
      <c r="R20905" s="36" t="s">
        <v>48</v>
      </c>
    </row>
    <row r="20906">
      <c r="H20906" s="50"/>
      <c r="I20906" s="50"/>
      <c r="O20906" s="36" t="s">
        <v>48</v>
      </c>
      <c r="R20906" s="36" t="s">
        <v>48</v>
      </c>
    </row>
    <row r="20907">
      <c r="H20907" s="50"/>
      <c r="I20907" s="50"/>
      <c r="O20907" s="36" t="s">
        <v>48</v>
      </c>
      <c r="R20907" s="36" t="s">
        <v>48</v>
      </c>
    </row>
    <row r="20908">
      <c r="H20908" s="50"/>
      <c r="I20908" s="50"/>
      <c r="O20908" s="36" t="s">
        <v>48</v>
      </c>
      <c r="R20908" s="36" t="s">
        <v>48</v>
      </c>
    </row>
    <row r="20909">
      <c r="H20909" s="50"/>
      <c r="I20909" s="50"/>
      <c r="O20909" s="36" t="s">
        <v>48</v>
      </c>
      <c r="R20909" s="36" t="s">
        <v>48</v>
      </c>
    </row>
    <row r="20910">
      <c r="H20910" s="50"/>
      <c r="I20910" s="50"/>
      <c r="O20910" s="36" t="s">
        <v>48</v>
      </c>
      <c r="R20910" s="36" t="s">
        <v>48</v>
      </c>
    </row>
    <row r="20911">
      <c r="H20911" s="50"/>
      <c r="I20911" s="50"/>
      <c r="O20911" s="36" t="s">
        <v>48</v>
      </c>
      <c r="R20911" s="36" t="s">
        <v>48</v>
      </c>
    </row>
    <row r="20912">
      <c r="H20912" s="50"/>
      <c r="I20912" s="50"/>
      <c r="O20912" s="36" t="s">
        <v>48</v>
      </c>
      <c r="R20912" s="36" t="s">
        <v>48</v>
      </c>
    </row>
    <row r="20913">
      <c r="H20913" s="50"/>
      <c r="I20913" s="50"/>
      <c r="O20913" s="36" t="s">
        <v>48</v>
      </c>
      <c r="R20913" s="36" t="s">
        <v>48</v>
      </c>
    </row>
    <row r="20914">
      <c r="H20914" s="50"/>
      <c r="I20914" s="50"/>
      <c r="O20914" s="36" t="s">
        <v>48</v>
      </c>
      <c r="R20914" s="36" t="s">
        <v>48</v>
      </c>
    </row>
    <row r="20915">
      <c r="H20915" s="50"/>
      <c r="I20915" s="50"/>
      <c r="O20915" s="36" t="s">
        <v>48</v>
      </c>
      <c r="R20915" s="36" t="s">
        <v>48</v>
      </c>
    </row>
    <row r="20916">
      <c r="H20916" s="50"/>
      <c r="I20916" s="50"/>
      <c r="O20916" s="36" t="s">
        <v>48</v>
      </c>
      <c r="R20916" s="36" t="s">
        <v>48</v>
      </c>
    </row>
    <row r="20917">
      <c r="H20917" s="50"/>
      <c r="I20917" s="50"/>
      <c r="O20917" s="36" t="s">
        <v>48</v>
      </c>
      <c r="R20917" s="36" t="s">
        <v>48</v>
      </c>
    </row>
    <row r="20918">
      <c r="H20918" s="50"/>
      <c r="I20918" s="50"/>
      <c r="O20918" s="36" t="s">
        <v>48</v>
      </c>
      <c r="R20918" s="36" t="s">
        <v>48</v>
      </c>
    </row>
    <row r="20919">
      <c r="H20919" s="50"/>
      <c r="I20919" s="50"/>
      <c r="O20919" s="36" t="s">
        <v>48</v>
      </c>
      <c r="R20919" s="36" t="s">
        <v>48</v>
      </c>
    </row>
    <row r="20920">
      <c r="H20920" s="50"/>
      <c r="I20920" s="50"/>
      <c r="O20920" s="36" t="s">
        <v>48</v>
      </c>
      <c r="R20920" s="36" t="s">
        <v>48</v>
      </c>
    </row>
    <row r="20921">
      <c r="H20921" s="50"/>
      <c r="I20921" s="50"/>
      <c r="O20921" s="36" t="s">
        <v>48</v>
      </c>
      <c r="R20921" s="36" t="s">
        <v>48</v>
      </c>
    </row>
    <row r="20922">
      <c r="H20922" s="50"/>
      <c r="I20922" s="50"/>
      <c r="O20922" s="36" t="s">
        <v>48</v>
      </c>
      <c r="R20922" s="36" t="s">
        <v>48</v>
      </c>
    </row>
    <row r="20923">
      <c r="H20923" s="50"/>
      <c r="I20923" s="50"/>
      <c r="O20923" s="36" t="s">
        <v>48</v>
      </c>
      <c r="R20923" s="36" t="s">
        <v>48</v>
      </c>
    </row>
    <row r="20924">
      <c r="H20924" s="50"/>
      <c r="I20924" s="50"/>
      <c r="O20924" s="36" t="s">
        <v>48</v>
      </c>
      <c r="R20924" s="36" t="s">
        <v>48</v>
      </c>
    </row>
    <row r="20925">
      <c r="H20925" s="50"/>
      <c r="I20925" s="50"/>
      <c r="O20925" s="36" t="s">
        <v>48</v>
      </c>
      <c r="R20925" s="36" t="s">
        <v>48</v>
      </c>
    </row>
    <row r="20926">
      <c r="H20926" s="50"/>
      <c r="I20926" s="50"/>
      <c r="O20926" s="36" t="s">
        <v>48</v>
      </c>
      <c r="R20926" s="36" t="s">
        <v>48</v>
      </c>
    </row>
    <row r="20927">
      <c r="H20927" s="50"/>
      <c r="I20927" s="50"/>
      <c r="O20927" s="36" t="s">
        <v>48</v>
      </c>
      <c r="R20927" s="36" t="s">
        <v>48</v>
      </c>
    </row>
    <row r="20928">
      <c r="H20928" s="50"/>
      <c r="I20928" s="50"/>
      <c r="O20928" s="36" t="s">
        <v>48</v>
      </c>
      <c r="R20928" s="36" t="s">
        <v>48</v>
      </c>
    </row>
    <row r="20929">
      <c r="H20929" s="50"/>
      <c r="I20929" s="50"/>
      <c r="O20929" s="36" t="s">
        <v>48</v>
      </c>
      <c r="R20929" s="36" t="s">
        <v>48</v>
      </c>
    </row>
    <row r="20930">
      <c r="H20930" s="50"/>
      <c r="I20930" s="50"/>
      <c r="O20930" s="36" t="s">
        <v>48</v>
      </c>
      <c r="R20930" s="36" t="s">
        <v>48</v>
      </c>
    </row>
    <row r="20931">
      <c r="H20931" s="50"/>
      <c r="I20931" s="50"/>
      <c r="O20931" s="36" t="s">
        <v>48</v>
      </c>
      <c r="R20931" s="36" t="s">
        <v>48</v>
      </c>
    </row>
    <row r="20932">
      <c r="H20932" s="50"/>
      <c r="I20932" s="50"/>
      <c r="O20932" s="36" t="s">
        <v>48</v>
      </c>
      <c r="R20932" s="36" t="s">
        <v>48</v>
      </c>
    </row>
    <row r="20933">
      <c r="H20933" s="50"/>
      <c r="I20933" s="50"/>
      <c r="O20933" s="36" t="s">
        <v>48</v>
      </c>
      <c r="R20933" s="36" t="s">
        <v>48</v>
      </c>
    </row>
    <row r="20934">
      <c r="H20934" s="50"/>
      <c r="I20934" s="50"/>
      <c r="O20934" s="36" t="s">
        <v>48</v>
      </c>
      <c r="R20934" s="36" t="s">
        <v>48</v>
      </c>
    </row>
    <row r="20935">
      <c r="H20935" s="50"/>
      <c r="I20935" s="50"/>
      <c r="O20935" s="36" t="s">
        <v>48</v>
      </c>
      <c r="R20935" s="36" t="s">
        <v>48</v>
      </c>
    </row>
    <row r="20936">
      <c r="H20936" s="50"/>
      <c r="I20936" s="50"/>
      <c r="O20936" s="36" t="s">
        <v>48</v>
      </c>
      <c r="R20936" s="36" t="s">
        <v>48</v>
      </c>
    </row>
    <row r="20937">
      <c r="H20937" s="50"/>
      <c r="I20937" s="50"/>
      <c r="O20937" s="36" t="s">
        <v>48</v>
      </c>
      <c r="R20937" s="36" t="s">
        <v>48</v>
      </c>
    </row>
    <row r="20938">
      <c r="H20938" s="50"/>
      <c r="I20938" s="50"/>
      <c r="O20938" s="36" t="s">
        <v>48</v>
      </c>
      <c r="R20938" s="36" t="s">
        <v>48</v>
      </c>
    </row>
    <row r="20939">
      <c r="H20939" s="50"/>
      <c r="I20939" s="50"/>
      <c r="O20939" s="36" t="s">
        <v>48</v>
      </c>
      <c r="R20939" s="36" t="s">
        <v>48</v>
      </c>
    </row>
    <row r="20940">
      <c r="H20940" s="50"/>
      <c r="I20940" s="50"/>
      <c r="O20940" s="36" t="s">
        <v>48</v>
      </c>
      <c r="R20940" s="36" t="s">
        <v>48</v>
      </c>
    </row>
    <row r="20941">
      <c r="H20941" s="50"/>
      <c r="I20941" s="50"/>
      <c r="O20941" s="36" t="s">
        <v>48</v>
      </c>
      <c r="R20941" s="36" t="s">
        <v>48</v>
      </c>
    </row>
    <row r="20942">
      <c r="H20942" s="50"/>
      <c r="I20942" s="50"/>
      <c r="O20942" s="36" t="s">
        <v>48</v>
      </c>
      <c r="R20942" s="36" t="s">
        <v>48</v>
      </c>
    </row>
    <row r="20943">
      <c r="H20943" s="50"/>
      <c r="I20943" s="50"/>
      <c r="O20943" s="36" t="s">
        <v>48</v>
      </c>
      <c r="R20943" s="36" t="s">
        <v>48</v>
      </c>
    </row>
    <row r="20944">
      <c r="H20944" s="50"/>
      <c r="I20944" s="50"/>
      <c r="O20944" s="36" t="s">
        <v>48</v>
      </c>
      <c r="R20944" s="36" t="s">
        <v>48</v>
      </c>
    </row>
    <row r="20945">
      <c r="H20945" s="50"/>
      <c r="I20945" s="50"/>
      <c r="O20945" s="36" t="s">
        <v>48</v>
      </c>
      <c r="R20945" s="36" t="s">
        <v>48</v>
      </c>
    </row>
    <row r="20946">
      <c r="H20946" s="50"/>
      <c r="I20946" s="50"/>
      <c r="O20946" s="36" t="s">
        <v>48</v>
      </c>
      <c r="R20946" s="36" t="s">
        <v>48</v>
      </c>
    </row>
    <row r="20947">
      <c r="H20947" s="50"/>
      <c r="I20947" s="50"/>
      <c r="O20947" s="36" t="s">
        <v>48</v>
      </c>
      <c r="R20947" s="36" t="s">
        <v>48</v>
      </c>
    </row>
    <row r="20948">
      <c r="H20948" s="50"/>
      <c r="I20948" s="50"/>
      <c r="O20948" s="36" t="s">
        <v>48</v>
      </c>
      <c r="R20948" s="36" t="s">
        <v>48</v>
      </c>
    </row>
    <row r="20949">
      <c r="H20949" s="50"/>
      <c r="I20949" s="50"/>
      <c r="O20949" s="36" t="s">
        <v>48</v>
      </c>
      <c r="R20949" s="36" t="s">
        <v>48</v>
      </c>
    </row>
    <row r="20950">
      <c r="H20950" s="50"/>
      <c r="I20950" s="50"/>
      <c r="O20950" s="36" t="s">
        <v>48</v>
      </c>
      <c r="R20950" s="36" t="s">
        <v>48</v>
      </c>
    </row>
    <row r="20951">
      <c r="H20951" s="50"/>
      <c r="I20951" s="50"/>
      <c r="O20951" s="36" t="s">
        <v>48</v>
      </c>
      <c r="R20951" s="36" t="s">
        <v>48</v>
      </c>
    </row>
    <row r="20952">
      <c r="H20952" s="50"/>
      <c r="I20952" s="50"/>
      <c r="O20952" s="36" t="s">
        <v>48</v>
      </c>
      <c r="R20952" s="36" t="s">
        <v>48</v>
      </c>
    </row>
    <row r="20953">
      <c r="H20953" s="50"/>
      <c r="I20953" s="50"/>
      <c r="O20953" s="36" t="s">
        <v>48</v>
      </c>
      <c r="R20953" s="36" t="s">
        <v>48</v>
      </c>
    </row>
    <row r="20954">
      <c r="H20954" s="50"/>
      <c r="I20954" s="50"/>
      <c r="O20954" s="36" t="s">
        <v>48</v>
      </c>
      <c r="R20954" s="36" t="s">
        <v>48</v>
      </c>
    </row>
    <row r="20955">
      <c r="H20955" s="50"/>
      <c r="I20955" s="50"/>
      <c r="O20955" s="36" t="s">
        <v>48</v>
      </c>
      <c r="R20955" s="36" t="s">
        <v>48</v>
      </c>
    </row>
    <row r="20956">
      <c r="H20956" s="50"/>
      <c r="I20956" s="50"/>
      <c r="O20956" s="36" t="s">
        <v>48</v>
      </c>
      <c r="R20956" s="36" t="s">
        <v>48</v>
      </c>
    </row>
    <row r="20957">
      <c r="H20957" s="50"/>
      <c r="I20957" s="50"/>
      <c r="O20957" s="36" t="s">
        <v>48</v>
      </c>
      <c r="R20957" s="36" t="s">
        <v>48</v>
      </c>
    </row>
    <row r="20958">
      <c r="H20958" s="50"/>
      <c r="I20958" s="50"/>
      <c r="O20958" s="36" t="s">
        <v>48</v>
      </c>
      <c r="R20958" s="36" t="s">
        <v>48</v>
      </c>
    </row>
    <row r="20959">
      <c r="H20959" s="50"/>
      <c r="I20959" s="50"/>
      <c r="O20959" s="36" t="s">
        <v>48</v>
      </c>
      <c r="R20959" s="36" t="s">
        <v>48</v>
      </c>
    </row>
    <row r="20960">
      <c r="H20960" s="50"/>
      <c r="I20960" s="50"/>
      <c r="O20960" s="36" t="s">
        <v>48</v>
      </c>
      <c r="R20960" s="36" t="s">
        <v>48</v>
      </c>
    </row>
    <row r="20961">
      <c r="H20961" s="50"/>
      <c r="I20961" s="50"/>
      <c r="O20961" s="36" t="s">
        <v>48</v>
      </c>
      <c r="R20961" s="36" t="s">
        <v>48</v>
      </c>
    </row>
    <row r="20962">
      <c r="H20962" s="50"/>
      <c r="I20962" s="50"/>
      <c r="O20962" s="36" t="s">
        <v>48</v>
      </c>
      <c r="R20962" s="36" t="s">
        <v>48</v>
      </c>
    </row>
    <row r="20963">
      <c r="H20963" s="50"/>
      <c r="I20963" s="50"/>
      <c r="O20963" s="36" t="s">
        <v>48</v>
      </c>
      <c r="R20963" s="36" t="s">
        <v>48</v>
      </c>
    </row>
    <row r="20964">
      <c r="H20964" s="50"/>
      <c r="I20964" s="50"/>
      <c r="O20964" s="36" t="s">
        <v>48</v>
      </c>
      <c r="R20964" s="36" t="s">
        <v>48</v>
      </c>
    </row>
    <row r="20965">
      <c r="H20965" s="50"/>
      <c r="I20965" s="50"/>
      <c r="O20965" s="36" t="s">
        <v>48</v>
      </c>
      <c r="R20965" s="36" t="s">
        <v>48</v>
      </c>
    </row>
    <row r="20966">
      <c r="H20966" s="50"/>
      <c r="I20966" s="50"/>
      <c r="O20966" s="36" t="s">
        <v>48</v>
      </c>
      <c r="R20966" s="36" t="s">
        <v>48</v>
      </c>
    </row>
    <row r="20967">
      <c r="H20967" s="50"/>
      <c r="I20967" s="50"/>
      <c r="O20967" s="36" t="s">
        <v>48</v>
      </c>
      <c r="R20967" s="36" t="s">
        <v>48</v>
      </c>
    </row>
    <row r="20968">
      <c r="H20968" s="50"/>
      <c r="I20968" s="50"/>
      <c r="O20968" s="36" t="s">
        <v>48</v>
      </c>
      <c r="R20968" s="36" t="s">
        <v>48</v>
      </c>
    </row>
    <row r="20969">
      <c r="H20969" s="50"/>
      <c r="I20969" s="50"/>
      <c r="O20969" s="36" t="s">
        <v>48</v>
      </c>
      <c r="R20969" s="36" t="s">
        <v>48</v>
      </c>
    </row>
    <row r="20970">
      <c r="H20970" s="50"/>
      <c r="I20970" s="50"/>
      <c r="O20970" s="36" t="s">
        <v>48</v>
      </c>
      <c r="R20970" s="36" t="s">
        <v>48</v>
      </c>
    </row>
    <row r="20971">
      <c r="H20971" s="50"/>
      <c r="I20971" s="50"/>
      <c r="O20971" s="36" t="s">
        <v>48</v>
      </c>
      <c r="R20971" s="36" t="s">
        <v>48</v>
      </c>
    </row>
    <row r="20972">
      <c r="H20972" s="50"/>
      <c r="I20972" s="50"/>
      <c r="O20972" s="36" t="s">
        <v>48</v>
      </c>
      <c r="R20972" s="36" t="s">
        <v>48</v>
      </c>
    </row>
    <row r="20973">
      <c r="H20973" s="50"/>
      <c r="I20973" s="50"/>
      <c r="O20973" s="36" t="s">
        <v>48</v>
      </c>
      <c r="R20973" s="36" t="s">
        <v>48</v>
      </c>
    </row>
    <row r="20974">
      <c r="H20974" s="50"/>
      <c r="I20974" s="50"/>
      <c r="O20974" s="36" t="s">
        <v>48</v>
      </c>
      <c r="R20974" s="36" t="s">
        <v>48</v>
      </c>
    </row>
    <row r="20975">
      <c r="H20975" s="50"/>
      <c r="I20975" s="50"/>
      <c r="O20975" s="36" t="s">
        <v>48</v>
      </c>
      <c r="R20975" s="36" t="s">
        <v>48</v>
      </c>
    </row>
    <row r="20976">
      <c r="H20976" s="50"/>
      <c r="I20976" s="50"/>
      <c r="O20976" s="36" t="s">
        <v>48</v>
      </c>
      <c r="R20976" s="36" t="s">
        <v>48</v>
      </c>
    </row>
    <row r="20977">
      <c r="H20977" s="50"/>
      <c r="I20977" s="50"/>
      <c r="O20977" s="36" t="s">
        <v>48</v>
      </c>
      <c r="R20977" s="36" t="s">
        <v>48</v>
      </c>
    </row>
    <row r="20978">
      <c r="H20978" s="50"/>
      <c r="I20978" s="50"/>
      <c r="O20978" s="36" t="s">
        <v>48</v>
      </c>
      <c r="R20978" s="36" t="s">
        <v>48</v>
      </c>
    </row>
    <row r="20979">
      <c r="H20979" s="50"/>
      <c r="I20979" s="50"/>
      <c r="O20979" s="36" t="s">
        <v>48</v>
      </c>
      <c r="R20979" s="36" t="s">
        <v>48</v>
      </c>
    </row>
    <row r="20980">
      <c r="H20980" s="50"/>
      <c r="I20980" s="50"/>
      <c r="O20980" s="36" t="s">
        <v>48</v>
      </c>
      <c r="R20980" s="36" t="s">
        <v>48</v>
      </c>
    </row>
    <row r="20981">
      <c r="H20981" s="50"/>
      <c r="I20981" s="50"/>
      <c r="O20981" s="36" t="s">
        <v>48</v>
      </c>
      <c r="R20981" s="36" t="s">
        <v>48</v>
      </c>
    </row>
    <row r="20982">
      <c r="H20982" s="50"/>
      <c r="I20982" s="50"/>
      <c r="O20982" s="36" t="s">
        <v>48</v>
      </c>
      <c r="R20982" s="36" t="s">
        <v>48</v>
      </c>
    </row>
    <row r="20983">
      <c r="H20983" s="50"/>
      <c r="I20983" s="50"/>
      <c r="O20983" s="36" t="s">
        <v>48</v>
      </c>
      <c r="R20983" s="36" t="s">
        <v>48</v>
      </c>
    </row>
    <row r="20984">
      <c r="H20984" s="50"/>
      <c r="I20984" s="50"/>
      <c r="O20984" s="36" t="s">
        <v>48</v>
      </c>
      <c r="R20984" s="36" t="s">
        <v>48</v>
      </c>
    </row>
    <row r="20985">
      <c r="H20985" s="50"/>
      <c r="I20985" s="50"/>
      <c r="O20985" s="36" t="s">
        <v>48</v>
      </c>
      <c r="R20985" s="36" t="s">
        <v>48</v>
      </c>
    </row>
    <row r="20986">
      <c r="H20986" s="50"/>
      <c r="I20986" s="50"/>
      <c r="O20986" s="36" t="s">
        <v>48</v>
      </c>
      <c r="R20986" s="36" t="s">
        <v>48</v>
      </c>
    </row>
    <row r="20987">
      <c r="H20987" s="50"/>
      <c r="I20987" s="50"/>
      <c r="O20987" s="36" t="s">
        <v>48</v>
      </c>
      <c r="R20987" s="36" t="s">
        <v>48</v>
      </c>
    </row>
    <row r="20988">
      <c r="H20988" s="50"/>
      <c r="I20988" s="50"/>
      <c r="O20988" s="36" t="s">
        <v>48</v>
      </c>
      <c r="R20988" s="36" t="s">
        <v>48</v>
      </c>
    </row>
    <row r="20989">
      <c r="H20989" s="50"/>
      <c r="I20989" s="50"/>
      <c r="O20989" s="36" t="s">
        <v>48</v>
      </c>
      <c r="R20989" s="36" t="s">
        <v>48</v>
      </c>
    </row>
    <row r="20990">
      <c r="H20990" s="50"/>
      <c r="I20990" s="50"/>
      <c r="O20990" s="36" t="s">
        <v>48</v>
      </c>
      <c r="R20990" s="36" t="s">
        <v>48</v>
      </c>
    </row>
    <row r="20991">
      <c r="H20991" s="50"/>
      <c r="I20991" s="50"/>
      <c r="O20991" s="36" t="s">
        <v>48</v>
      </c>
      <c r="R20991" s="36" t="s">
        <v>48</v>
      </c>
    </row>
    <row r="20992">
      <c r="H20992" s="50"/>
      <c r="I20992" s="50"/>
      <c r="O20992" s="36" t="s">
        <v>48</v>
      </c>
      <c r="R20992" s="36" t="s">
        <v>48</v>
      </c>
    </row>
    <row r="20993">
      <c r="H20993" s="50"/>
      <c r="I20993" s="50"/>
      <c r="O20993" s="36" t="s">
        <v>48</v>
      </c>
      <c r="R20993" s="36" t="s">
        <v>48</v>
      </c>
    </row>
    <row r="20994">
      <c r="H20994" s="50"/>
      <c r="I20994" s="50"/>
      <c r="O20994" s="36" t="s">
        <v>48</v>
      </c>
      <c r="R20994" s="36" t="s">
        <v>48</v>
      </c>
    </row>
    <row r="20995">
      <c r="H20995" s="50"/>
      <c r="I20995" s="50"/>
      <c r="O20995" s="36" t="s">
        <v>48</v>
      </c>
      <c r="R20995" s="36" t="s">
        <v>48</v>
      </c>
    </row>
    <row r="20996">
      <c r="H20996" s="50"/>
      <c r="I20996" s="50"/>
      <c r="O20996" s="36" t="s">
        <v>48</v>
      </c>
      <c r="R20996" s="36" t="s">
        <v>48</v>
      </c>
    </row>
    <row r="20997">
      <c r="H20997" s="50"/>
      <c r="I20997" s="50"/>
      <c r="O20997" s="36" t="s">
        <v>48</v>
      </c>
      <c r="R20997" s="36" t="s">
        <v>48</v>
      </c>
    </row>
    <row r="20998">
      <c r="H20998" s="50"/>
      <c r="I20998" s="50"/>
      <c r="O20998" s="36" t="s">
        <v>48</v>
      </c>
      <c r="R20998" s="36" t="s">
        <v>48</v>
      </c>
    </row>
    <row r="20999">
      <c r="H20999" s="50"/>
      <c r="I20999" s="50"/>
      <c r="O20999" s="36" t="s">
        <v>48</v>
      </c>
      <c r="R20999" s="36" t="s">
        <v>48</v>
      </c>
    </row>
    <row r="21000">
      <c r="H21000" s="50"/>
      <c r="I21000" s="50"/>
      <c r="O21000" s="36" t="s">
        <v>48</v>
      </c>
      <c r="R21000" s="36" t="s">
        <v>48</v>
      </c>
    </row>
    <row r="21001">
      <c r="H21001" s="50"/>
      <c r="I21001" s="50"/>
      <c r="O21001" s="36" t="s">
        <v>48</v>
      </c>
      <c r="R21001" s="36" t="s">
        <v>48</v>
      </c>
    </row>
    <row r="21002">
      <c r="H21002" s="50"/>
      <c r="I21002" s="50"/>
      <c r="O21002" s="36" t="s">
        <v>48</v>
      </c>
      <c r="R21002" s="36" t="s">
        <v>48</v>
      </c>
    </row>
    <row r="21003">
      <c r="H21003" s="50"/>
      <c r="I21003" s="50"/>
      <c r="O21003" s="36" t="s">
        <v>48</v>
      </c>
      <c r="R21003" s="36" t="s">
        <v>48</v>
      </c>
    </row>
    <row r="21004">
      <c r="H21004" s="50"/>
      <c r="I21004" s="50"/>
      <c r="O21004" s="36" t="s">
        <v>48</v>
      </c>
      <c r="R21004" s="36" t="s">
        <v>48</v>
      </c>
    </row>
    <row r="21005">
      <c r="H21005" s="50"/>
      <c r="I21005" s="50"/>
      <c r="O21005" s="36" t="s">
        <v>48</v>
      </c>
      <c r="R21005" s="36" t="s">
        <v>48</v>
      </c>
    </row>
    <row r="21006">
      <c r="H21006" s="50"/>
      <c r="I21006" s="50"/>
      <c r="O21006" s="36" t="s">
        <v>48</v>
      </c>
      <c r="R21006" s="36" t="s">
        <v>48</v>
      </c>
    </row>
    <row r="21007">
      <c r="H21007" s="50"/>
      <c r="I21007" s="50"/>
      <c r="O21007" s="36" t="s">
        <v>48</v>
      </c>
      <c r="R21007" s="36" t="s">
        <v>48</v>
      </c>
    </row>
    <row r="21008">
      <c r="H21008" s="50"/>
      <c r="I21008" s="50"/>
      <c r="O21008" s="36" t="s">
        <v>48</v>
      </c>
      <c r="R21008" s="36" t="s">
        <v>48</v>
      </c>
    </row>
    <row r="21009">
      <c r="H21009" s="50"/>
      <c r="I21009" s="50"/>
      <c r="O21009" s="36" t="s">
        <v>48</v>
      </c>
      <c r="R21009" s="36" t="s">
        <v>48</v>
      </c>
    </row>
    <row r="21010">
      <c r="H21010" s="50"/>
      <c r="I21010" s="50"/>
      <c r="O21010" s="36" t="s">
        <v>48</v>
      </c>
      <c r="R21010" s="36" t="s">
        <v>48</v>
      </c>
    </row>
    <row r="21011">
      <c r="H21011" s="50"/>
      <c r="I21011" s="50"/>
      <c r="O21011" s="36" t="s">
        <v>48</v>
      </c>
      <c r="R21011" s="36" t="s">
        <v>48</v>
      </c>
    </row>
    <row r="21012">
      <c r="H21012" s="50"/>
      <c r="I21012" s="50"/>
      <c r="O21012" s="36" t="s">
        <v>48</v>
      </c>
      <c r="R21012" s="36" t="s">
        <v>48</v>
      </c>
    </row>
    <row r="21013">
      <c r="H21013" s="50"/>
      <c r="I21013" s="50"/>
      <c r="O21013" s="36" t="s">
        <v>48</v>
      </c>
      <c r="R21013" s="36" t="s">
        <v>48</v>
      </c>
    </row>
    <row r="21014">
      <c r="H21014" s="50"/>
      <c r="I21014" s="50"/>
      <c r="O21014" s="36" t="s">
        <v>48</v>
      </c>
      <c r="R21014" s="36" t="s">
        <v>48</v>
      </c>
    </row>
    <row r="21015">
      <c r="H21015" s="50"/>
      <c r="I21015" s="50"/>
      <c r="O21015" s="36" t="s">
        <v>48</v>
      </c>
      <c r="R21015" s="36" t="s">
        <v>48</v>
      </c>
    </row>
    <row r="21016">
      <c r="H21016" s="50"/>
      <c r="I21016" s="50"/>
      <c r="O21016" s="36" t="s">
        <v>48</v>
      </c>
      <c r="R21016" s="36" t="s">
        <v>48</v>
      </c>
    </row>
    <row r="21017">
      <c r="H21017" s="50"/>
      <c r="I21017" s="50"/>
      <c r="O21017" s="36" t="s">
        <v>48</v>
      </c>
      <c r="R21017" s="36" t="s">
        <v>48</v>
      </c>
    </row>
    <row r="21018">
      <c r="H21018" s="50"/>
      <c r="I21018" s="50"/>
      <c r="O21018" s="36" t="s">
        <v>48</v>
      </c>
      <c r="R21018" s="36" t="s">
        <v>48</v>
      </c>
    </row>
    <row r="21019">
      <c r="H21019" s="50"/>
      <c r="I21019" s="50"/>
      <c r="O21019" s="36" t="s">
        <v>48</v>
      </c>
      <c r="R21019" s="36" t="s">
        <v>48</v>
      </c>
    </row>
    <row r="21020">
      <c r="H21020" s="50"/>
      <c r="I21020" s="50"/>
      <c r="O21020" s="36" t="s">
        <v>48</v>
      </c>
      <c r="R21020" s="36" t="s">
        <v>48</v>
      </c>
    </row>
    <row r="21021">
      <c r="H21021" s="50"/>
      <c r="I21021" s="50"/>
      <c r="O21021" s="36" t="s">
        <v>48</v>
      </c>
      <c r="R21021" s="36" t="s">
        <v>48</v>
      </c>
    </row>
    <row r="21022">
      <c r="H21022" s="50"/>
      <c r="I21022" s="50"/>
      <c r="O21022" s="36" t="s">
        <v>48</v>
      </c>
      <c r="R21022" s="36" t="s">
        <v>48</v>
      </c>
    </row>
    <row r="21023">
      <c r="H21023" s="50"/>
      <c r="I21023" s="50"/>
      <c r="O21023" s="36" t="s">
        <v>48</v>
      </c>
      <c r="R21023" s="36" t="s">
        <v>48</v>
      </c>
    </row>
    <row r="21024">
      <c r="H21024" s="50"/>
      <c r="I21024" s="50"/>
      <c r="O21024" s="36" t="s">
        <v>48</v>
      </c>
      <c r="R21024" s="36" t="s">
        <v>48</v>
      </c>
    </row>
    <row r="21025">
      <c r="H21025" s="50"/>
      <c r="I21025" s="50"/>
      <c r="O21025" s="36" t="s">
        <v>48</v>
      </c>
      <c r="R21025" s="36" t="s">
        <v>48</v>
      </c>
    </row>
    <row r="21026">
      <c r="H21026" s="50"/>
      <c r="I21026" s="50"/>
      <c r="O21026" s="36" t="s">
        <v>48</v>
      </c>
      <c r="R21026" s="36" t="s">
        <v>48</v>
      </c>
    </row>
    <row r="21027">
      <c r="H21027" s="50"/>
      <c r="I21027" s="50"/>
      <c r="O21027" s="36" t="s">
        <v>48</v>
      </c>
      <c r="R21027" s="36" t="s">
        <v>48</v>
      </c>
    </row>
    <row r="21028">
      <c r="H21028" s="50"/>
      <c r="I21028" s="50"/>
      <c r="O21028" s="36" t="s">
        <v>48</v>
      </c>
      <c r="R21028" s="36" t="s">
        <v>48</v>
      </c>
    </row>
    <row r="21029">
      <c r="H21029" s="50"/>
      <c r="I21029" s="50"/>
      <c r="O21029" s="36" t="s">
        <v>48</v>
      </c>
      <c r="R21029" s="36" t="s">
        <v>48</v>
      </c>
    </row>
    <row r="21030">
      <c r="H21030" s="50"/>
      <c r="I21030" s="50"/>
      <c r="O21030" s="36" t="s">
        <v>48</v>
      </c>
      <c r="R21030" s="36" t="s">
        <v>48</v>
      </c>
    </row>
    <row r="21031">
      <c r="H21031" s="50"/>
      <c r="I21031" s="50"/>
      <c r="O21031" s="36" t="s">
        <v>48</v>
      </c>
      <c r="R21031" s="36" t="s">
        <v>48</v>
      </c>
    </row>
    <row r="21032">
      <c r="H21032" s="50"/>
      <c r="I21032" s="50"/>
      <c r="O21032" s="36" t="s">
        <v>48</v>
      </c>
      <c r="R21032" s="36" t="s">
        <v>48</v>
      </c>
    </row>
    <row r="21033">
      <c r="H21033" s="50"/>
      <c r="I21033" s="50"/>
      <c r="O21033" s="36" t="s">
        <v>48</v>
      </c>
      <c r="R21033" s="36" t="s">
        <v>48</v>
      </c>
    </row>
    <row r="21034">
      <c r="H21034" s="50"/>
      <c r="I21034" s="50"/>
      <c r="O21034" s="36" t="s">
        <v>48</v>
      </c>
      <c r="R21034" s="36" t="s">
        <v>48</v>
      </c>
    </row>
    <row r="21035">
      <c r="H21035" s="50"/>
      <c r="I21035" s="50"/>
      <c r="O21035" s="36" t="s">
        <v>48</v>
      </c>
      <c r="R21035" s="36" t="s">
        <v>48</v>
      </c>
    </row>
    <row r="21036">
      <c r="H21036" s="50"/>
      <c r="I21036" s="50"/>
      <c r="O21036" s="36" t="s">
        <v>48</v>
      </c>
      <c r="R21036" s="36" t="s">
        <v>48</v>
      </c>
    </row>
    <row r="21037">
      <c r="H21037" s="50"/>
      <c r="I21037" s="50"/>
      <c r="O21037" s="36" t="s">
        <v>48</v>
      </c>
      <c r="R21037" s="36" t="s">
        <v>48</v>
      </c>
    </row>
    <row r="21038">
      <c r="H21038" s="50"/>
      <c r="I21038" s="50"/>
      <c r="O21038" s="36" t="s">
        <v>48</v>
      </c>
      <c r="R21038" s="36" t="s">
        <v>48</v>
      </c>
    </row>
    <row r="21039">
      <c r="H21039" s="50"/>
      <c r="I21039" s="50"/>
      <c r="O21039" s="36" t="s">
        <v>48</v>
      </c>
      <c r="R21039" s="36" t="s">
        <v>48</v>
      </c>
    </row>
    <row r="21040">
      <c r="H21040" s="50"/>
      <c r="I21040" s="50"/>
      <c r="O21040" s="36" t="s">
        <v>48</v>
      </c>
      <c r="R21040" s="36" t="s">
        <v>48</v>
      </c>
    </row>
    <row r="21041">
      <c r="H21041" s="50"/>
      <c r="I21041" s="50"/>
      <c r="O21041" s="36" t="s">
        <v>48</v>
      </c>
      <c r="R21041" s="36" t="s">
        <v>48</v>
      </c>
    </row>
    <row r="21042">
      <c r="H21042" s="50"/>
      <c r="I21042" s="50"/>
      <c r="O21042" s="36" t="s">
        <v>48</v>
      </c>
      <c r="R21042" s="36" t="s">
        <v>48</v>
      </c>
    </row>
    <row r="21043">
      <c r="H21043" s="50"/>
      <c r="I21043" s="50"/>
      <c r="O21043" s="36" t="s">
        <v>48</v>
      </c>
      <c r="R21043" s="36" t="s">
        <v>48</v>
      </c>
    </row>
    <row r="21044">
      <c r="H21044" s="50"/>
      <c r="I21044" s="50"/>
      <c r="O21044" s="36" t="s">
        <v>48</v>
      </c>
      <c r="R21044" s="36" t="s">
        <v>48</v>
      </c>
    </row>
    <row r="21045">
      <c r="H21045" s="50"/>
      <c r="I21045" s="50"/>
      <c r="O21045" s="36" t="s">
        <v>48</v>
      </c>
      <c r="R21045" s="36" t="s">
        <v>48</v>
      </c>
    </row>
    <row r="21046">
      <c r="H21046" s="50"/>
      <c r="I21046" s="50"/>
      <c r="O21046" s="36" t="s">
        <v>48</v>
      </c>
      <c r="R21046" s="36" t="s">
        <v>48</v>
      </c>
    </row>
    <row r="21047">
      <c r="H21047" s="50"/>
      <c r="I21047" s="50"/>
      <c r="O21047" s="36" t="s">
        <v>48</v>
      </c>
      <c r="R21047" s="36" t="s">
        <v>48</v>
      </c>
    </row>
    <row r="21048">
      <c r="H21048" s="50"/>
      <c r="I21048" s="50"/>
      <c r="O21048" s="36" t="s">
        <v>48</v>
      </c>
      <c r="R21048" s="36" t="s">
        <v>48</v>
      </c>
    </row>
    <row r="21049">
      <c r="H21049" s="50"/>
      <c r="I21049" s="50"/>
      <c r="O21049" s="36" t="s">
        <v>48</v>
      </c>
      <c r="R21049" s="36" t="s">
        <v>48</v>
      </c>
    </row>
    <row r="21050">
      <c r="H21050" s="50"/>
      <c r="I21050" s="50"/>
      <c r="O21050" s="36" t="s">
        <v>48</v>
      </c>
      <c r="R21050" s="36" t="s">
        <v>48</v>
      </c>
    </row>
    <row r="21051">
      <c r="H21051" s="50"/>
      <c r="I21051" s="50"/>
      <c r="O21051" s="36" t="s">
        <v>48</v>
      </c>
      <c r="R21051" s="36" t="s">
        <v>48</v>
      </c>
    </row>
    <row r="21052">
      <c r="H21052" s="50"/>
      <c r="I21052" s="50"/>
      <c r="O21052" s="36" t="s">
        <v>48</v>
      </c>
      <c r="R21052" s="36" t="s">
        <v>48</v>
      </c>
    </row>
    <row r="21053">
      <c r="H21053" s="50"/>
      <c r="I21053" s="50"/>
      <c r="O21053" s="36" t="s">
        <v>48</v>
      </c>
      <c r="R21053" s="36" t="s">
        <v>48</v>
      </c>
    </row>
    <row r="21054">
      <c r="H21054" s="50"/>
      <c r="I21054" s="50"/>
      <c r="O21054" s="36" t="s">
        <v>48</v>
      </c>
      <c r="R21054" s="36" t="s">
        <v>48</v>
      </c>
    </row>
    <row r="21055">
      <c r="H21055" s="50"/>
      <c r="I21055" s="50"/>
      <c r="O21055" s="36" t="s">
        <v>48</v>
      </c>
      <c r="R21055" s="36" t="s">
        <v>48</v>
      </c>
    </row>
    <row r="21056">
      <c r="H21056" s="50"/>
      <c r="I21056" s="50"/>
      <c r="O21056" s="36" t="s">
        <v>48</v>
      </c>
      <c r="R21056" s="36" t="s">
        <v>48</v>
      </c>
    </row>
    <row r="21057">
      <c r="H21057" s="50"/>
      <c r="I21057" s="50"/>
      <c r="O21057" s="36" t="s">
        <v>48</v>
      </c>
      <c r="R21057" s="36" t="s">
        <v>48</v>
      </c>
    </row>
    <row r="21058">
      <c r="H21058" s="50"/>
      <c r="I21058" s="50"/>
      <c r="O21058" s="36" t="s">
        <v>48</v>
      </c>
      <c r="R21058" s="36" t="s">
        <v>48</v>
      </c>
    </row>
    <row r="21059">
      <c r="H21059" s="50"/>
      <c r="I21059" s="50"/>
      <c r="O21059" s="36" t="s">
        <v>48</v>
      </c>
      <c r="R21059" s="36" t="s">
        <v>48</v>
      </c>
    </row>
    <row r="21060">
      <c r="H21060" s="50"/>
      <c r="I21060" s="50"/>
      <c r="O21060" s="36" t="s">
        <v>48</v>
      </c>
      <c r="R21060" s="36" t="s">
        <v>48</v>
      </c>
    </row>
    <row r="21061">
      <c r="H21061" s="50"/>
      <c r="I21061" s="50"/>
      <c r="O21061" s="36" t="s">
        <v>48</v>
      </c>
      <c r="R21061" s="36" t="s">
        <v>48</v>
      </c>
    </row>
    <row r="21062">
      <c r="H21062" s="50"/>
      <c r="I21062" s="50"/>
      <c r="O21062" s="36" t="s">
        <v>48</v>
      </c>
      <c r="R21062" s="36" t="s">
        <v>48</v>
      </c>
    </row>
    <row r="21063">
      <c r="H21063" s="50"/>
      <c r="I21063" s="50"/>
      <c r="O21063" s="36" t="s">
        <v>48</v>
      </c>
      <c r="R21063" s="36" t="s">
        <v>48</v>
      </c>
    </row>
    <row r="21064">
      <c r="H21064" s="50"/>
      <c r="I21064" s="50"/>
      <c r="O21064" s="36" t="s">
        <v>48</v>
      </c>
      <c r="R21064" s="36" t="s">
        <v>48</v>
      </c>
    </row>
    <row r="21065">
      <c r="H21065" s="50"/>
      <c r="I21065" s="50"/>
      <c r="O21065" s="36" t="s">
        <v>48</v>
      </c>
      <c r="R21065" s="36" t="s">
        <v>48</v>
      </c>
    </row>
    <row r="21066">
      <c r="H21066" s="50"/>
      <c r="I21066" s="50"/>
      <c r="O21066" s="36" t="s">
        <v>48</v>
      </c>
      <c r="R21066" s="36" t="s">
        <v>48</v>
      </c>
    </row>
    <row r="21067">
      <c r="H21067" s="50"/>
      <c r="I21067" s="50"/>
      <c r="O21067" s="36" t="s">
        <v>48</v>
      </c>
      <c r="R21067" s="36" t="s">
        <v>48</v>
      </c>
    </row>
    <row r="21068">
      <c r="H21068" s="50"/>
      <c r="I21068" s="50"/>
      <c r="O21068" s="36" t="s">
        <v>48</v>
      </c>
      <c r="R21068" s="36" t="s">
        <v>48</v>
      </c>
    </row>
    <row r="21069">
      <c r="H21069" s="50"/>
      <c r="I21069" s="50"/>
      <c r="O21069" s="36" t="s">
        <v>48</v>
      </c>
      <c r="R21069" s="36" t="s">
        <v>48</v>
      </c>
    </row>
    <row r="21070">
      <c r="H21070" s="50"/>
      <c r="I21070" s="50"/>
      <c r="O21070" s="36" t="s">
        <v>48</v>
      </c>
      <c r="R21070" s="36" t="s">
        <v>48</v>
      </c>
    </row>
    <row r="21071">
      <c r="H21071" s="50"/>
      <c r="I21071" s="50"/>
      <c r="O21071" s="36" t="s">
        <v>48</v>
      </c>
      <c r="R21071" s="36" t="s">
        <v>48</v>
      </c>
    </row>
    <row r="21072">
      <c r="H21072" s="50"/>
      <c r="I21072" s="50"/>
      <c r="O21072" s="36" t="s">
        <v>48</v>
      </c>
      <c r="R21072" s="36" t="s">
        <v>48</v>
      </c>
    </row>
    <row r="21073">
      <c r="H21073" s="50"/>
      <c r="I21073" s="50"/>
      <c r="O21073" s="36" t="s">
        <v>48</v>
      </c>
      <c r="R21073" s="36" t="s">
        <v>48</v>
      </c>
    </row>
    <row r="21074">
      <c r="H21074" s="50"/>
      <c r="I21074" s="50"/>
      <c r="O21074" s="36" t="s">
        <v>48</v>
      </c>
      <c r="R21074" s="36" t="s">
        <v>48</v>
      </c>
    </row>
    <row r="21075">
      <c r="H21075" s="50"/>
      <c r="I21075" s="50"/>
      <c r="O21075" s="36" t="s">
        <v>48</v>
      </c>
      <c r="R21075" s="36" t="s">
        <v>48</v>
      </c>
    </row>
    <row r="21076">
      <c r="H21076" s="50"/>
      <c r="I21076" s="50"/>
      <c r="O21076" s="36" t="s">
        <v>48</v>
      </c>
      <c r="R21076" s="36" t="s">
        <v>48</v>
      </c>
    </row>
    <row r="21077">
      <c r="H21077" s="50"/>
      <c r="I21077" s="50"/>
      <c r="O21077" s="36" t="s">
        <v>48</v>
      </c>
      <c r="R21077" s="36" t="s">
        <v>48</v>
      </c>
    </row>
    <row r="21078">
      <c r="H21078" s="50"/>
      <c r="I21078" s="50"/>
      <c r="O21078" s="36" t="s">
        <v>48</v>
      </c>
      <c r="R21078" s="36" t="s">
        <v>48</v>
      </c>
    </row>
    <row r="21079">
      <c r="H21079" s="50"/>
      <c r="I21079" s="50"/>
      <c r="O21079" s="36" t="s">
        <v>48</v>
      </c>
      <c r="R21079" s="36" t="s">
        <v>48</v>
      </c>
    </row>
    <row r="21080">
      <c r="H21080" s="50"/>
      <c r="I21080" s="50"/>
      <c r="O21080" s="36" t="s">
        <v>48</v>
      </c>
      <c r="R21080" s="36" t="s">
        <v>48</v>
      </c>
    </row>
    <row r="21081">
      <c r="H21081" s="50"/>
      <c r="I21081" s="50"/>
      <c r="O21081" s="36" t="s">
        <v>48</v>
      </c>
      <c r="R21081" s="36" t="s">
        <v>48</v>
      </c>
    </row>
    <row r="21082">
      <c r="H21082" s="50"/>
      <c r="I21082" s="50"/>
      <c r="O21082" s="36" t="s">
        <v>48</v>
      </c>
      <c r="R21082" s="36" t="s">
        <v>48</v>
      </c>
    </row>
    <row r="21083">
      <c r="H21083" s="50"/>
      <c r="I21083" s="50"/>
      <c r="O21083" s="36" t="s">
        <v>48</v>
      </c>
      <c r="R21083" s="36" t="s">
        <v>48</v>
      </c>
    </row>
    <row r="21084">
      <c r="H21084" s="50"/>
      <c r="I21084" s="50"/>
      <c r="O21084" s="36" t="s">
        <v>48</v>
      </c>
      <c r="R21084" s="36" t="s">
        <v>48</v>
      </c>
    </row>
    <row r="21085">
      <c r="H21085" s="50"/>
      <c r="I21085" s="50"/>
      <c r="O21085" s="36" t="s">
        <v>48</v>
      </c>
      <c r="R21085" s="36" t="s">
        <v>48</v>
      </c>
    </row>
    <row r="21086">
      <c r="H21086" s="50"/>
      <c r="I21086" s="50"/>
      <c r="O21086" s="36" t="s">
        <v>48</v>
      </c>
      <c r="R21086" s="36" t="s">
        <v>48</v>
      </c>
    </row>
    <row r="21087">
      <c r="H21087" s="50"/>
      <c r="I21087" s="50"/>
      <c r="O21087" s="36" t="s">
        <v>48</v>
      </c>
      <c r="R21087" s="36" t="s">
        <v>48</v>
      </c>
    </row>
    <row r="21088">
      <c r="H21088" s="50"/>
      <c r="I21088" s="50"/>
      <c r="O21088" s="36" t="s">
        <v>48</v>
      </c>
      <c r="R21088" s="36" t="s">
        <v>48</v>
      </c>
    </row>
    <row r="21089">
      <c r="H21089" s="50"/>
      <c r="I21089" s="50"/>
      <c r="O21089" s="36" t="s">
        <v>48</v>
      </c>
      <c r="R21089" s="36" t="s">
        <v>48</v>
      </c>
    </row>
    <row r="21090">
      <c r="H21090" s="50"/>
      <c r="I21090" s="50"/>
      <c r="O21090" s="36" t="s">
        <v>48</v>
      </c>
      <c r="R21090" s="36" t="s">
        <v>48</v>
      </c>
    </row>
    <row r="21091">
      <c r="H21091" s="50"/>
      <c r="I21091" s="50"/>
      <c r="O21091" s="36" t="s">
        <v>48</v>
      </c>
      <c r="R21091" s="36" t="s">
        <v>48</v>
      </c>
    </row>
    <row r="21092">
      <c r="H21092" s="50"/>
      <c r="I21092" s="50"/>
      <c r="O21092" s="36" t="s">
        <v>48</v>
      </c>
      <c r="R21092" s="36" t="s">
        <v>48</v>
      </c>
    </row>
    <row r="21093">
      <c r="H21093" s="50"/>
      <c r="I21093" s="50"/>
      <c r="O21093" s="36" t="s">
        <v>48</v>
      </c>
      <c r="R21093" s="36" t="s">
        <v>48</v>
      </c>
    </row>
    <row r="21094">
      <c r="H21094" s="50"/>
      <c r="I21094" s="50"/>
      <c r="O21094" s="36" t="s">
        <v>48</v>
      </c>
      <c r="R21094" s="36" t="s">
        <v>48</v>
      </c>
    </row>
    <row r="21095">
      <c r="H21095" s="50"/>
      <c r="I21095" s="50"/>
      <c r="O21095" s="36" t="s">
        <v>48</v>
      </c>
      <c r="R21095" s="36" t="s">
        <v>48</v>
      </c>
    </row>
    <row r="21096">
      <c r="H21096" s="50"/>
      <c r="I21096" s="50"/>
      <c r="O21096" s="36" t="s">
        <v>48</v>
      </c>
      <c r="R21096" s="36" t="s">
        <v>48</v>
      </c>
    </row>
    <row r="21097">
      <c r="H21097" s="50"/>
      <c r="I21097" s="50"/>
      <c r="O21097" s="36" t="s">
        <v>48</v>
      </c>
      <c r="R21097" s="36" t="s">
        <v>48</v>
      </c>
    </row>
    <row r="21098">
      <c r="H21098" s="50"/>
      <c r="I21098" s="50"/>
      <c r="O21098" s="36" t="s">
        <v>48</v>
      </c>
      <c r="R21098" s="36" t="s">
        <v>48</v>
      </c>
    </row>
    <row r="21099">
      <c r="H21099" s="50"/>
      <c r="I21099" s="50"/>
      <c r="O21099" s="36" t="s">
        <v>48</v>
      </c>
      <c r="R21099" s="36" t="s">
        <v>48</v>
      </c>
    </row>
    <row r="21100">
      <c r="H21100" s="50"/>
      <c r="I21100" s="50"/>
      <c r="O21100" s="36" t="s">
        <v>48</v>
      </c>
      <c r="R21100" s="36" t="s">
        <v>48</v>
      </c>
    </row>
    <row r="21101">
      <c r="H21101" s="50"/>
      <c r="I21101" s="50"/>
      <c r="O21101" s="36" t="s">
        <v>48</v>
      </c>
      <c r="R21101" s="36" t="s">
        <v>48</v>
      </c>
    </row>
    <row r="21102">
      <c r="H21102" s="50"/>
      <c r="I21102" s="50"/>
      <c r="O21102" s="36" t="s">
        <v>48</v>
      </c>
      <c r="R21102" s="36" t="s">
        <v>48</v>
      </c>
    </row>
    <row r="21103">
      <c r="H21103" s="50"/>
      <c r="I21103" s="50"/>
      <c r="O21103" s="36" t="s">
        <v>48</v>
      </c>
      <c r="R21103" s="36" t="s">
        <v>48</v>
      </c>
    </row>
    <row r="21104">
      <c r="H21104" s="50"/>
      <c r="I21104" s="50"/>
      <c r="O21104" s="36" t="s">
        <v>48</v>
      </c>
      <c r="R21104" s="36" t="s">
        <v>48</v>
      </c>
    </row>
    <row r="21105">
      <c r="H21105" s="50"/>
      <c r="I21105" s="50"/>
      <c r="O21105" s="36" t="s">
        <v>48</v>
      </c>
      <c r="R21105" s="36" t="s">
        <v>48</v>
      </c>
    </row>
    <row r="21106">
      <c r="H21106" s="50"/>
      <c r="I21106" s="50"/>
      <c r="O21106" s="36" t="s">
        <v>48</v>
      </c>
      <c r="R21106" s="36" t="s">
        <v>48</v>
      </c>
    </row>
    <row r="21107">
      <c r="H21107" s="50"/>
      <c r="I21107" s="50"/>
      <c r="O21107" s="36" t="s">
        <v>48</v>
      </c>
      <c r="R21107" s="36" t="s">
        <v>48</v>
      </c>
    </row>
    <row r="21108">
      <c r="H21108" s="50"/>
      <c r="I21108" s="50"/>
      <c r="O21108" s="36" t="s">
        <v>48</v>
      </c>
      <c r="R21108" s="36" t="s">
        <v>48</v>
      </c>
    </row>
    <row r="21109">
      <c r="H21109" s="50"/>
      <c r="I21109" s="50"/>
      <c r="O21109" s="36" t="s">
        <v>48</v>
      </c>
      <c r="R21109" s="36" t="s">
        <v>48</v>
      </c>
    </row>
    <row r="21110">
      <c r="H21110" s="50"/>
      <c r="I21110" s="50"/>
      <c r="O21110" s="36" t="s">
        <v>48</v>
      </c>
      <c r="R21110" s="36" t="s">
        <v>48</v>
      </c>
    </row>
    <row r="21111">
      <c r="H21111" s="50"/>
      <c r="I21111" s="50"/>
      <c r="O21111" s="36" t="s">
        <v>48</v>
      </c>
      <c r="R21111" s="36" t="s">
        <v>48</v>
      </c>
    </row>
    <row r="21112">
      <c r="H21112" s="50"/>
      <c r="I21112" s="50"/>
      <c r="O21112" s="36" t="s">
        <v>48</v>
      </c>
      <c r="R21112" s="36" t="s">
        <v>48</v>
      </c>
    </row>
    <row r="21113">
      <c r="H21113" s="50"/>
      <c r="I21113" s="50"/>
      <c r="O21113" s="36" t="s">
        <v>48</v>
      </c>
      <c r="R21113" s="36" t="s">
        <v>48</v>
      </c>
    </row>
    <row r="21114">
      <c r="H21114" s="50"/>
      <c r="I21114" s="50"/>
      <c r="O21114" s="36" t="s">
        <v>48</v>
      </c>
      <c r="R21114" s="36" t="s">
        <v>48</v>
      </c>
    </row>
    <row r="21115">
      <c r="H21115" s="50"/>
      <c r="I21115" s="50"/>
      <c r="O21115" s="36" t="s">
        <v>48</v>
      </c>
      <c r="R21115" s="36" t="s">
        <v>48</v>
      </c>
    </row>
    <row r="21116">
      <c r="H21116" s="50"/>
      <c r="I21116" s="50"/>
      <c r="O21116" s="36" t="s">
        <v>48</v>
      </c>
      <c r="R21116" s="36" t="s">
        <v>48</v>
      </c>
    </row>
    <row r="21117">
      <c r="H21117" s="50"/>
      <c r="I21117" s="50"/>
      <c r="O21117" s="36" t="s">
        <v>48</v>
      </c>
      <c r="R21117" s="36" t="s">
        <v>48</v>
      </c>
    </row>
    <row r="21118">
      <c r="H21118" s="50"/>
      <c r="I21118" s="50"/>
      <c r="O21118" s="36" t="s">
        <v>48</v>
      </c>
      <c r="R21118" s="36" t="s">
        <v>48</v>
      </c>
    </row>
    <row r="21119">
      <c r="H21119" s="50"/>
      <c r="I21119" s="50"/>
      <c r="O21119" s="36" t="s">
        <v>48</v>
      </c>
      <c r="R21119" s="36" t="s">
        <v>48</v>
      </c>
    </row>
    <row r="21120">
      <c r="H21120" s="50"/>
      <c r="I21120" s="50"/>
      <c r="O21120" s="36" t="s">
        <v>48</v>
      </c>
      <c r="R21120" s="36" t="s">
        <v>48</v>
      </c>
    </row>
    <row r="21121">
      <c r="H21121" s="50"/>
      <c r="I21121" s="50"/>
      <c r="O21121" s="36" t="s">
        <v>48</v>
      </c>
      <c r="R21121" s="36" t="s">
        <v>48</v>
      </c>
    </row>
    <row r="21122">
      <c r="H21122" s="50"/>
      <c r="I21122" s="50"/>
      <c r="O21122" s="36" t="s">
        <v>48</v>
      </c>
      <c r="R21122" s="36" t="s">
        <v>48</v>
      </c>
    </row>
    <row r="21123">
      <c r="H21123" s="50"/>
      <c r="I21123" s="50"/>
      <c r="O21123" s="36" t="s">
        <v>48</v>
      </c>
      <c r="R21123" s="36" t="s">
        <v>48</v>
      </c>
    </row>
    <row r="21124">
      <c r="H21124" s="50"/>
      <c r="I21124" s="50"/>
      <c r="O21124" s="36" t="s">
        <v>48</v>
      </c>
      <c r="R21124" s="36" t="s">
        <v>48</v>
      </c>
    </row>
    <row r="21125">
      <c r="H21125" s="50"/>
      <c r="I21125" s="50"/>
      <c r="O21125" s="36" t="s">
        <v>48</v>
      </c>
      <c r="R21125" s="36" t="s">
        <v>48</v>
      </c>
    </row>
    <row r="21126">
      <c r="H21126" s="50"/>
      <c r="I21126" s="50"/>
      <c r="O21126" s="36" t="s">
        <v>48</v>
      </c>
      <c r="R21126" s="36" t="s">
        <v>48</v>
      </c>
    </row>
    <row r="21127">
      <c r="H21127" s="50"/>
      <c r="I21127" s="50"/>
      <c r="O21127" s="36" t="s">
        <v>48</v>
      </c>
      <c r="R21127" s="36" t="s">
        <v>48</v>
      </c>
    </row>
    <row r="21128">
      <c r="H21128" s="50"/>
      <c r="I21128" s="50"/>
      <c r="O21128" s="36" t="s">
        <v>48</v>
      </c>
      <c r="R21128" s="36" t="s">
        <v>48</v>
      </c>
    </row>
    <row r="21129">
      <c r="H21129" s="50"/>
      <c r="I21129" s="50"/>
      <c r="O21129" s="36" t="s">
        <v>48</v>
      </c>
      <c r="R21129" s="36" t="s">
        <v>48</v>
      </c>
    </row>
    <row r="21130">
      <c r="H21130" s="50"/>
      <c r="I21130" s="50"/>
      <c r="O21130" s="36" t="s">
        <v>48</v>
      </c>
      <c r="R21130" s="36" t="s">
        <v>48</v>
      </c>
    </row>
    <row r="21131">
      <c r="H21131" s="50"/>
      <c r="I21131" s="50"/>
      <c r="O21131" s="36" t="s">
        <v>48</v>
      </c>
      <c r="R21131" s="36" t="s">
        <v>48</v>
      </c>
    </row>
    <row r="21132">
      <c r="H21132" s="50"/>
      <c r="I21132" s="50"/>
      <c r="O21132" s="36" t="s">
        <v>48</v>
      </c>
      <c r="R21132" s="36" t="s">
        <v>48</v>
      </c>
    </row>
    <row r="21133">
      <c r="H21133" s="50"/>
      <c r="I21133" s="50"/>
      <c r="O21133" s="36" t="s">
        <v>48</v>
      </c>
      <c r="R21133" s="36" t="s">
        <v>48</v>
      </c>
    </row>
    <row r="21134">
      <c r="H21134" s="50"/>
      <c r="I21134" s="50"/>
      <c r="O21134" s="36" t="s">
        <v>48</v>
      </c>
      <c r="R21134" s="36" t="s">
        <v>48</v>
      </c>
    </row>
    <row r="21135">
      <c r="H21135" s="50"/>
      <c r="I21135" s="50"/>
      <c r="O21135" s="36" t="s">
        <v>48</v>
      </c>
      <c r="R21135" s="36" t="s">
        <v>48</v>
      </c>
    </row>
    <row r="21136">
      <c r="H21136" s="50"/>
      <c r="I21136" s="50"/>
      <c r="O21136" s="36" t="s">
        <v>48</v>
      </c>
      <c r="R21136" s="36" t="s">
        <v>48</v>
      </c>
    </row>
    <row r="21137">
      <c r="H21137" s="50"/>
      <c r="I21137" s="50"/>
      <c r="O21137" s="36" t="s">
        <v>48</v>
      </c>
      <c r="R21137" s="36" t="s">
        <v>48</v>
      </c>
    </row>
    <row r="21138">
      <c r="H21138" s="50"/>
      <c r="I21138" s="50"/>
      <c r="O21138" s="36" t="s">
        <v>48</v>
      </c>
      <c r="R21138" s="36" t="s">
        <v>48</v>
      </c>
    </row>
    <row r="21139">
      <c r="H21139" s="50"/>
      <c r="I21139" s="50"/>
      <c r="O21139" s="36" t="s">
        <v>48</v>
      </c>
      <c r="R21139" s="36" t="s">
        <v>48</v>
      </c>
    </row>
    <row r="21140">
      <c r="H21140" s="50"/>
      <c r="I21140" s="50"/>
      <c r="O21140" s="36" t="s">
        <v>48</v>
      </c>
      <c r="R21140" s="36" t="s">
        <v>48</v>
      </c>
    </row>
    <row r="21141">
      <c r="H21141" s="50"/>
      <c r="I21141" s="50"/>
      <c r="O21141" s="36" t="s">
        <v>48</v>
      </c>
      <c r="R21141" s="36" t="s">
        <v>48</v>
      </c>
    </row>
    <row r="21142">
      <c r="H21142" s="50"/>
      <c r="I21142" s="50"/>
      <c r="O21142" s="36" t="s">
        <v>48</v>
      </c>
      <c r="R21142" s="36" t="s">
        <v>48</v>
      </c>
    </row>
    <row r="21143">
      <c r="H21143" s="50"/>
      <c r="I21143" s="50"/>
      <c r="O21143" s="36" t="s">
        <v>48</v>
      </c>
      <c r="R21143" s="36" t="s">
        <v>48</v>
      </c>
    </row>
    <row r="21144">
      <c r="H21144" s="50"/>
      <c r="I21144" s="50"/>
      <c r="O21144" s="36" t="s">
        <v>48</v>
      </c>
      <c r="R21144" s="36" t="s">
        <v>48</v>
      </c>
    </row>
    <row r="21145">
      <c r="H21145" s="50"/>
      <c r="I21145" s="50"/>
      <c r="O21145" s="36" t="s">
        <v>48</v>
      </c>
      <c r="R21145" s="36" t="s">
        <v>48</v>
      </c>
    </row>
    <row r="21146">
      <c r="H21146" s="50"/>
      <c r="I21146" s="50"/>
      <c r="O21146" s="36" t="s">
        <v>48</v>
      </c>
      <c r="R21146" s="36" t="s">
        <v>48</v>
      </c>
    </row>
    <row r="21147">
      <c r="H21147" s="50"/>
      <c r="I21147" s="50"/>
      <c r="O21147" s="36" t="s">
        <v>48</v>
      </c>
      <c r="R21147" s="36" t="s">
        <v>48</v>
      </c>
    </row>
    <row r="21148">
      <c r="H21148" s="50"/>
      <c r="I21148" s="50"/>
      <c r="O21148" s="36" t="s">
        <v>48</v>
      </c>
      <c r="R21148" s="36" t="s">
        <v>48</v>
      </c>
    </row>
    <row r="21149">
      <c r="H21149" s="50"/>
      <c r="I21149" s="50"/>
      <c r="O21149" s="36" t="s">
        <v>48</v>
      </c>
      <c r="R21149" s="36" t="s">
        <v>48</v>
      </c>
    </row>
    <row r="21150">
      <c r="H21150" s="50"/>
      <c r="I21150" s="50"/>
      <c r="O21150" s="36" t="s">
        <v>48</v>
      </c>
      <c r="R21150" s="36" t="s">
        <v>48</v>
      </c>
    </row>
    <row r="21151">
      <c r="H21151" s="50"/>
      <c r="I21151" s="50"/>
      <c r="O21151" s="36" t="s">
        <v>48</v>
      </c>
      <c r="R21151" s="36" t="s">
        <v>48</v>
      </c>
    </row>
    <row r="21152">
      <c r="H21152" s="50"/>
      <c r="I21152" s="50"/>
      <c r="O21152" s="36" t="s">
        <v>48</v>
      </c>
      <c r="R21152" s="36" t="s">
        <v>48</v>
      </c>
    </row>
    <row r="21153">
      <c r="H21153" s="50"/>
      <c r="I21153" s="50"/>
      <c r="O21153" s="36" t="s">
        <v>48</v>
      </c>
      <c r="R21153" s="36" t="s">
        <v>48</v>
      </c>
    </row>
    <row r="21154">
      <c r="H21154" s="50"/>
      <c r="I21154" s="50"/>
      <c r="O21154" s="36" t="s">
        <v>48</v>
      </c>
      <c r="R21154" s="36" t="s">
        <v>48</v>
      </c>
    </row>
    <row r="21155">
      <c r="H21155" s="50"/>
      <c r="I21155" s="50"/>
      <c r="O21155" s="36" t="s">
        <v>48</v>
      </c>
      <c r="R21155" s="36" t="s">
        <v>48</v>
      </c>
    </row>
    <row r="21156">
      <c r="H21156" s="50"/>
      <c r="I21156" s="50"/>
      <c r="O21156" s="36" t="s">
        <v>48</v>
      </c>
      <c r="R21156" s="36" t="s">
        <v>48</v>
      </c>
    </row>
    <row r="21157">
      <c r="H21157" s="50"/>
      <c r="I21157" s="50"/>
      <c r="O21157" s="36" t="s">
        <v>48</v>
      </c>
      <c r="R21157" s="36" t="s">
        <v>48</v>
      </c>
    </row>
    <row r="21158">
      <c r="H21158" s="50"/>
      <c r="I21158" s="50"/>
      <c r="O21158" s="36" t="s">
        <v>48</v>
      </c>
      <c r="R21158" s="36" t="s">
        <v>48</v>
      </c>
    </row>
    <row r="21159">
      <c r="H21159" s="50"/>
      <c r="I21159" s="50"/>
      <c r="O21159" s="36" t="s">
        <v>48</v>
      </c>
      <c r="R21159" s="36" t="s">
        <v>48</v>
      </c>
    </row>
    <row r="21160">
      <c r="H21160" s="50"/>
      <c r="I21160" s="50"/>
      <c r="O21160" s="36" t="s">
        <v>48</v>
      </c>
      <c r="R21160" s="36" t="s">
        <v>48</v>
      </c>
    </row>
    <row r="21161">
      <c r="H21161" s="50"/>
      <c r="I21161" s="50"/>
      <c r="O21161" s="36" t="s">
        <v>48</v>
      </c>
      <c r="R21161" s="36" t="s">
        <v>48</v>
      </c>
    </row>
    <row r="21162">
      <c r="H21162" s="50"/>
      <c r="I21162" s="50"/>
      <c r="O21162" s="36" t="s">
        <v>48</v>
      </c>
      <c r="R21162" s="36" t="s">
        <v>48</v>
      </c>
    </row>
    <row r="21163">
      <c r="H21163" s="50"/>
      <c r="I21163" s="50"/>
      <c r="O21163" s="36" t="s">
        <v>48</v>
      </c>
      <c r="R21163" s="36" t="s">
        <v>48</v>
      </c>
    </row>
    <row r="21164">
      <c r="H21164" s="50"/>
      <c r="I21164" s="50"/>
      <c r="O21164" s="36" t="s">
        <v>48</v>
      </c>
      <c r="R21164" s="36" t="s">
        <v>48</v>
      </c>
    </row>
    <row r="21165">
      <c r="H21165" s="50"/>
      <c r="I21165" s="50"/>
      <c r="O21165" s="36" t="s">
        <v>48</v>
      </c>
      <c r="R21165" s="36" t="s">
        <v>48</v>
      </c>
    </row>
    <row r="21166">
      <c r="H21166" s="50"/>
      <c r="I21166" s="50"/>
      <c r="O21166" s="36" t="s">
        <v>48</v>
      </c>
      <c r="R21166" s="36" t="s">
        <v>48</v>
      </c>
    </row>
    <row r="21167">
      <c r="H21167" s="50"/>
      <c r="I21167" s="50"/>
      <c r="O21167" s="36" t="s">
        <v>48</v>
      </c>
      <c r="R21167" s="36" t="s">
        <v>48</v>
      </c>
    </row>
    <row r="21168">
      <c r="H21168" s="50"/>
      <c r="I21168" s="50"/>
      <c r="O21168" s="36" t="s">
        <v>48</v>
      </c>
      <c r="R21168" s="36" t="s">
        <v>48</v>
      </c>
    </row>
    <row r="21169">
      <c r="H21169" s="50"/>
      <c r="I21169" s="50"/>
      <c r="O21169" s="36" t="s">
        <v>48</v>
      </c>
      <c r="R21169" s="36" t="s">
        <v>48</v>
      </c>
    </row>
    <row r="21170">
      <c r="H21170" s="50"/>
      <c r="I21170" s="50"/>
      <c r="O21170" s="36" t="s">
        <v>48</v>
      </c>
      <c r="R21170" s="36" t="s">
        <v>48</v>
      </c>
    </row>
    <row r="21171">
      <c r="H21171" s="50"/>
      <c r="I21171" s="50"/>
      <c r="O21171" s="36" t="s">
        <v>48</v>
      </c>
      <c r="R21171" s="36" t="s">
        <v>48</v>
      </c>
    </row>
    <row r="21172">
      <c r="H21172" s="50"/>
      <c r="I21172" s="50"/>
      <c r="O21172" s="36" t="s">
        <v>48</v>
      </c>
      <c r="R21172" s="36" t="s">
        <v>48</v>
      </c>
    </row>
    <row r="21173">
      <c r="H21173" s="50"/>
      <c r="I21173" s="50"/>
      <c r="O21173" s="36" t="s">
        <v>48</v>
      </c>
      <c r="R21173" s="36" t="s">
        <v>48</v>
      </c>
    </row>
    <row r="21174">
      <c r="H21174" s="50"/>
      <c r="I21174" s="50"/>
      <c r="O21174" s="36" t="s">
        <v>48</v>
      </c>
      <c r="R21174" s="36" t="s">
        <v>48</v>
      </c>
    </row>
    <row r="21175">
      <c r="H21175" s="50"/>
      <c r="I21175" s="50"/>
      <c r="O21175" s="36" t="s">
        <v>48</v>
      </c>
      <c r="R21175" s="36" t="s">
        <v>48</v>
      </c>
    </row>
    <row r="21176">
      <c r="H21176" s="50"/>
      <c r="I21176" s="50"/>
      <c r="O21176" s="36" t="s">
        <v>48</v>
      </c>
      <c r="R21176" s="36" t="s">
        <v>48</v>
      </c>
    </row>
    <row r="21177">
      <c r="H21177" s="50"/>
      <c r="I21177" s="50"/>
      <c r="O21177" s="36" t="s">
        <v>48</v>
      </c>
      <c r="R21177" s="36" t="s">
        <v>48</v>
      </c>
    </row>
    <row r="21178">
      <c r="H21178" s="50"/>
      <c r="I21178" s="50"/>
      <c r="O21178" s="36" t="s">
        <v>48</v>
      </c>
      <c r="R21178" s="36" t="s">
        <v>48</v>
      </c>
    </row>
    <row r="21179">
      <c r="H21179" s="50"/>
      <c r="I21179" s="50"/>
      <c r="O21179" s="36" t="s">
        <v>48</v>
      </c>
      <c r="R21179" s="36" t="s">
        <v>48</v>
      </c>
    </row>
    <row r="21180">
      <c r="H21180" s="50"/>
      <c r="I21180" s="50"/>
      <c r="O21180" s="36" t="s">
        <v>48</v>
      </c>
      <c r="R21180" s="36" t="s">
        <v>48</v>
      </c>
    </row>
    <row r="21181">
      <c r="H21181" s="50"/>
      <c r="I21181" s="50"/>
      <c r="O21181" s="36" t="s">
        <v>48</v>
      </c>
      <c r="R21181" s="36" t="s">
        <v>48</v>
      </c>
    </row>
    <row r="21182">
      <c r="H21182" s="50"/>
      <c r="I21182" s="50"/>
      <c r="O21182" s="36" t="s">
        <v>48</v>
      </c>
      <c r="R21182" s="36" t="s">
        <v>48</v>
      </c>
    </row>
    <row r="21183">
      <c r="H21183" s="50"/>
      <c r="I21183" s="50"/>
      <c r="O21183" s="36" t="s">
        <v>48</v>
      </c>
      <c r="R21183" s="36" t="s">
        <v>48</v>
      </c>
    </row>
    <row r="21184">
      <c r="H21184" s="50"/>
      <c r="I21184" s="50"/>
      <c r="O21184" s="36" t="s">
        <v>48</v>
      </c>
      <c r="R21184" s="36" t="s">
        <v>48</v>
      </c>
    </row>
    <row r="21185">
      <c r="H21185" s="50"/>
      <c r="I21185" s="50"/>
      <c r="O21185" s="36" t="s">
        <v>48</v>
      </c>
      <c r="R21185" s="36" t="s">
        <v>48</v>
      </c>
    </row>
    <row r="21186">
      <c r="H21186" s="50"/>
      <c r="I21186" s="50"/>
      <c r="O21186" s="36" t="s">
        <v>48</v>
      </c>
      <c r="R21186" s="36" t="s">
        <v>48</v>
      </c>
    </row>
    <row r="21187">
      <c r="H21187" s="50"/>
      <c r="I21187" s="50"/>
      <c r="O21187" s="36" t="s">
        <v>48</v>
      </c>
      <c r="R21187" s="36" t="s">
        <v>48</v>
      </c>
    </row>
    <row r="21188">
      <c r="H21188" s="50"/>
      <c r="I21188" s="50"/>
      <c r="O21188" s="36" t="s">
        <v>48</v>
      </c>
      <c r="R21188" s="36" t="s">
        <v>48</v>
      </c>
    </row>
    <row r="21189">
      <c r="H21189" s="50"/>
      <c r="I21189" s="50"/>
      <c r="O21189" s="36" t="s">
        <v>48</v>
      </c>
      <c r="R21189" s="36" t="s">
        <v>48</v>
      </c>
    </row>
    <row r="21190">
      <c r="H21190" s="50"/>
      <c r="I21190" s="50"/>
      <c r="O21190" s="36" t="s">
        <v>48</v>
      </c>
      <c r="R21190" s="36" t="s">
        <v>48</v>
      </c>
    </row>
    <row r="21191">
      <c r="H21191" s="50"/>
      <c r="I21191" s="50"/>
      <c r="O21191" s="36" t="s">
        <v>48</v>
      </c>
      <c r="R21191" s="36" t="s">
        <v>48</v>
      </c>
    </row>
    <row r="21192">
      <c r="H21192" s="50"/>
      <c r="I21192" s="50"/>
      <c r="O21192" s="36" t="s">
        <v>48</v>
      </c>
      <c r="R21192" s="36" t="s">
        <v>48</v>
      </c>
    </row>
    <row r="21193">
      <c r="H21193" s="50"/>
      <c r="I21193" s="50"/>
      <c r="O21193" s="36" t="s">
        <v>48</v>
      </c>
      <c r="R21193" s="36" t="s">
        <v>48</v>
      </c>
    </row>
    <row r="21194">
      <c r="H21194" s="50"/>
      <c r="I21194" s="50"/>
      <c r="O21194" s="36" t="s">
        <v>48</v>
      </c>
      <c r="R21194" s="36" t="s">
        <v>48</v>
      </c>
    </row>
    <row r="21195">
      <c r="H21195" s="50"/>
      <c r="I21195" s="50"/>
      <c r="O21195" s="36" t="s">
        <v>48</v>
      </c>
      <c r="R21195" s="36" t="s">
        <v>48</v>
      </c>
    </row>
    <row r="21196">
      <c r="H21196" s="50"/>
      <c r="I21196" s="50"/>
      <c r="O21196" s="36" t="s">
        <v>48</v>
      </c>
      <c r="R21196" s="36" t="s">
        <v>48</v>
      </c>
    </row>
    <row r="21197">
      <c r="H21197" s="50"/>
      <c r="I21197" s="50"/>
      <c r="O21197" s="36" t="s">
        <v>48</v>
      </c>
      <c r="R21197" s="36" t="s">
        <v>48</v>
      </c>
    </row>
    <row r="21198">
      <c r="H21198" s="50"/>
      <c r="I21198" s="50"/>
      <c r="O21198" s="36" t="s">
        <v>48</v>
      </c>
      <c r="R21198" s="36" t="s">
        <v>48</v>
      </c>
    </row>
    <row r="21199">
      <c r="H21199" s="50"/>
      <c r="I21199" s="50"/>
      <c r="O21199" s="36" t="s">
        <v>48</v>
      </c>
      <c r="R21199" s="36" t="s">
        <v>48</v>
      </c>
    </row>
    <row r="21200">
      <c r="H21200" s="50"/>
      <c r="I21200" s="50"/>
      <c r="O21200" s="36" t="s">
        <v>48</v>
      </c>
      <c r="R21200" s="36" t="s">
        <v>48</v>
      </c>
    </row>
    <row r="21201">
      <c r="H21201" s="50"/>
      <c r="I21201" s="50"/>
      <c r="O21201" s="36" t="s">
        <v>48</v>
      </c>
      <c r="R21201" s="36" t="s">
        <v>48</v>
      </c>
    </row>
    <row r="21202">
      <c r="H21202" s="50"/>
      <c r="I21202" s="50"/>
      <c r="O21202" s="36" t="s">
        <v>48</v>
      </c>
      <c r="R21202" s="36" t="s">
        <v>48</v>
      </c>
    </row>
    <row r="21203">
      <c r="H21203" s="50"/>
      <c r="I21203" s="50"/>
      <c r="O21203" s="36" t="s">
        <v>48</v>
      </c>
      <c r="R21203" s="36" t="s">
        <v>48</v>
      </c>
    </row>
    <row r="21204">
      <c r="H21204" s="50"/>
      <c r="I21204" s="50"/>
      <c r="O21204" s="36" t="s">
        <v>48</v>
      </c>
      <c r="R21204" s="36" t="s">
        <v>48</v>
      </c>
    </row>
    <row r="21205">
      <c r="H21205" s="50"/>
      <c r="I21205" s="50"/>
      <c r="O21205" s="36" t="s">
        <v>48</v>
      </c>
      <c r="R21205" s="36" t="s">
        <v>48</v>
      </c>
    </row>
    <row r="21206">
      <c r="H21206" s="50"/>
      <c r="I21206" s="50"/>
      <c r="O21206" s="36" t="s">
        <v>48</v>
      </c>
      <c r="R21206" s="36" t="s">
        <v>48</v>
      </c>
    </row>
    <row r="21207">
      <c r="H21207" s="50"/>
      <c r="I21207" s="50"/>
      <c r="O21207" s="36" t="s">
        <v>48</v>
      </c>
      <c r="R21207" s="36" t="s">
        <v>48</v>
      </c>
    </row>
    <row r="21208">
      <c r="H21208" s="50"/>
      <c r="I21208" s="50"/>
      <c r="O21208" s="36" t="s">
        <v>48</v>
      </c>
      <c r="R21208" s="36" t="s">
        <v>48</v>
      </c>
    </row>
    <row r="21209">
      <c r="H21209" s="50"/>
      <c r="I21209" s="50"/>
      <c r="O21209" s="36" t="s">
        <v>48</v>
      </c>
      <c r="R21209" s="36" t="s">
        <v>48</v>
      </c>
    </row>
    <row r="21210">
      <c r="H21210" s="50"/>
      <c r="I21210" s="50"/>
      <c r="O21210" s="36" t="s">
        <v>48</v>
      </c>
      <c r="R21210" s="36" t="s">
        <v>48</v>
      </c>
    </row>
    <row r="21211">
      <c r="H21211" s="50"/>
      <c r="I21211" s="50"/>
      <c r="O21211" s="36" t="s">
        <v>48</v>
      </c>
      <c r="R21211" s="36" t="s">
        <v>48</v>
      </c>
    </row>
    <row r="21212">
      <c r="H21212" s="50"/>
      <c r="I21212" s="50"/>
      <c r="O21212" s="36" t="s">
        <v>48</v>
      </c>
      <c r="R21212" s="36" t="s">
        <v>48</v>
      </c>
    </row>
    <row r="21213">
      <c r="H21213" s="50"/>
      <c r="I21213" s="50"/>
      <c r="O21213" s="36" t="s">
        <v>48</v>
      </c>
      <c r="R21213" s="36" t="s">
        <v>48</v>
      </c>
    </row>
    <row r="21214">
      <c r="H21214" s="50"/>
      <c r="I21214" s="50"/>
      <c r="O21214" s="36" t="s">
        <v>48</v>
      </c>
      <c r="R21214" s="36" t="s">
        <v>48</v>
      </c>
    </row>
    <row r="21215">
      <c r="H21215" s="50"/>
      <c r="I21215" s="50"/>
      <c r="O21215" s="36" t="s">
        <v>48</v>
      </c>
      <c r="R21215" s="36" t="s">
        <v>48</v>
      </c>
    </row>
    <row r="21216">
      <c r="H21216" s="50"/>
      <c r="I21216" s="50"/>
      <c r="O21216" s="36" t="s">
        <v>48</v>
      </c>
      <c r="R21216" s="36" t="s">
        <v>48</v>
      </c>
    </row>
    <row r="21217">
      <c r="H21217" s="50"/>
      <c r="I21217" s="50"/>
      <c r="O21217" s="36" t="s">
        <v>48</v>
      </c>
      <c r="R21217" s="36" t="s">
        <v>48</v>
      </c>
    </row>
    <row r="21218">
      <c r="H21218" s="50"/>
      <c r="I21218" s="50"/>
      <c r="O21218" s="36" t="s">
        <v>48</v>
      </c>
      <c r="R21218" s="36" t="s">
        <v>48</v>
      </c>
    </row>
    <row r="21219">
      <c r="H21219" s="50"/>
      <c r="I21219" s="50"/>
      <c r="O21219" s="36" t="s">
        <v>48</v>
      </c>
      <c r="R21219" s="36" t="s">
        <v>48</v>
      </c>
    </row>
    <row r="21220">
      <c r="H21220" s="50"/>
      <c r="I21220" s="50"/>
      <c r="O21220" s="36" t="s">
        <v>48</v>
      </c>
      <c r="R21220" s="36" t="s">
        <v>48</v>
      </c>
    </row>
    <row r="21221">
      <c r="H21221" s="50"/>
      <c r="I21221" s="50"/>
      <c r="O21221" s="36" t="s">
        <v>48</v>
      </c>
      <c r="R21221" s="36" t="s">
        <v>48</v>
      </c>
    </row>
    <row r="21222">
      <c r="H21222" s="50"/>
      <c r="I21222" s="50"/>
      <c r="O21222" s="36" t="s">
        <v>48</v>
      </c>
      <c r="R21222" s="36" t="s">
        <v>48</v>
      </c>
    </row>
    <row r="21223">
      <c r="H21223" s="50"/>
      <c r="I21223" s="50"/>
      <c r="O21223" s="36" t="s">
        <v>48</v>
      </c>
      <c r="R21223" s="36" t="s">
        <v>48</v>
      </c>
    </row>
    <row r="21224">
      <c r="H21224" s="50"/>
      <c r="I21224" s="50"/>
      <c r="O21224" s="36" t="s">
        <v>48</v>
      </c>
      <c r="R21224" s="36" t="s">
        <v>48</v>
      </c>
    </row>
    <row r="21225">
      <c r="H21225" s="50"/>
      <c r="I21225" s="50"/>
      <c r="O21225" s="36" t="s">
        <v>48</v>
      </c>
      <c r="R21225" s="36" t="s">
        <v>48</v>
      </c>
    </row>
    <row r="21226">
      <c r="H21226" s="50"/>
      <c r="I21226" s="50"/>
      <c r="O21226" s="36" t="s">
        <v>48</v>
      </c>
      <c r="R21226" s="36" t="s">
        <v>48</v>
      </c>
    </row>
    <row r="21227">
      <c r="H21227" s="50"/>
      <c r="I21227" s="50"/>
      <c r="O21227" s="36" t="s">
        <v>48</v>
      </c>
      <c r="R21227" s="36" t="s">
        <v>48</v>
      </c>
    </row>
    <row r="21228">
      <c r="H21228" s="50"/>
      <c r="I21228" s="50"/>
      <c r="O21228" s="36" t="s">
        <v>48</v>
      </c>
      <c r="R21228" s="36" t="s">
        <v>48</v>
      </c>
    </row>
    <row r="21229">
      <c r="H21229" s="50"/>
      <c r="I21229" s="50"/>
      <c r="O21229" s="36" t="s">
        <v>48</v>
      </c>
      <c r="R21229" s="36" t="s">
        <v>48</v>
      </c>
    </row>
    <row r="21230">
      <c r="H21230" s="50"/>
      <c r="I21230" s="50"/>
      <c r="O21230" s="36" t="s">
        <v>48</v>
      </c>
      <c r="R21230" s="36" t="s">
        <v>48</v>
      </c>
    </row>
    <row r="21231">
      <c r="H21231" s="50"/>
      <c r="I21231" s="50"/>
      <c r="O21231" s="36" t="s">
        <v>48</v>
      </c>
      <c r="R21231" s="36" t="s">
        <v>48</v>
      </c>
    </row>
    <row r="21232">
      <c r="H21232" s="50"/>
      <c r="I21232" s="50"/>
      <c r="O21232" s="36" t="s">
        <v>48</v>
      </c>
      <c r="R21232" s="36" t="s">
        <v>48</v>
      </c>
    </row>
    <row r="21233">
      <c r="H21233" s="50"/>
      <c r="I21233" s="50"/>
      <c r="O21233" s="36" t="s">
        <v>48</v>
      </c>
      <c r="R21233" s="36" t="s">
        <v>48</v>
      </c>
    </row>
    <row r="21234">
      <c r="H21234" s="50"/>
      <c r="I21234" s="50"/>
      <c r="O21234" s="36" t="s">
        <v>48</v>
      </c>
      <c r="R21234" s="36" t="s">
        <v>48</v>
      </c>
    </row>
    <row r="21235">
      <c r="H21235" s="50"/>
      <c r="I21235" s="50"/>
      <c r="O21235" s="36" t="s">
        <v>48</v>
      </c>
      <c r="R21235" s="36" t="s">
        <v>48</v>
      </c>
    </row>
    <row r="21236">
      <c r="H21236" s="50"/>
      <c r="I21236" s="50"/>
      <c r="O21236" s="36" t="s">
        <v>48</v>
      </c>
      <c r="R21236" s="36" t="s">
        <v>48</v>
      </c>
    </row>
    <row r="21237">
      <c r="H21237" s="50"/>
      <c r="I21237" s="50"/>
      <c r="O21237" s="36" t="s">
        <v>48</v>
      </c>
      <c r="R21237" s="36" t="s">
        <v>48</v>
      </c>
    </row>
    <row r="21238">
      <c r="H21238" s="50"/>
      <c r="I21238" s="50"/>
      <c r="O21238" s="36" t="s">
        <v>48</v>
      </c>
      <c r="R21238" s="36" t="s">
        <v>48</v>
      </c>
    </row>
    <row r="21239">
      <c r="H21239" s="50"/>
      <c r="I21239" s="50"/>
      <c r="O21239" s="36" t="s">
        <v>48</v>
      </c>
      <c r="R21239" s="36" t="s">
        <v>48</v>
      </c>
    </row>
    <row r="21240">
      <c r="H21240" s="50"/>
      <c r="I21240" s="50"/>
      <c r="O21240" s="36" t="s">
        <v>48</v>
      </c>
      <c r="R21240" s="36" t="s">
        <v>48</v>
      </c>
    </row>
    <row r="21241">
      <c r="H21241" s="50"/>
      <c r="I21241" s="50"/>
      <c r="O21241" s="36" t="s">
        <v>48</v>
      </c>
      <c r="R21241" s="36" t="s">
        <v>48</v>
      </c>
    </row>
    <row r="21242">
      <c r="H21242" s="50"/>
      <c r="I21242" s="50"/>
      <c r="O21242" s="36" t="s">
        <v>48</v>
      </c>
      <c r="R21242" s="36" t="s">
        <v>48</v>
      </c>
    </row>
    <row r="21243">
      <c r="H21243" s="50"/>
      <c r="I21243" s="50"/>
      <c r="O21243" s="36" t="s">
        <v>48</v>
      </c>
      <c r="R21243" s="36" t="s">
        <v>48</v>
      </c>
    </row>
    <row r="21244">
      <c r="H21244" s="50"/>
      <c r="I21244" s="50"/>
      <c r="O21244" s="36" t="s">
        <v>48</v>
      </c>
      <c r="R21244" s="36" t="s">
        <v>48</v>
      </c>
    </row>
    <row r="21245">
      <c r="H21245" s="50"/>
      <c r="I21245" s="50"/>
      <c r="O21245" s="36" t="s">
        <v>48</v>
      </c>
      <c r="R21245" s="36" t="s">
        <v>48</v>
      </c>
    </row>
    <row r="21246">
      <c r="H21246" s="50"/>
      <c r="I21246" s="50"/>
      <c r="O21246" s="36" t="s">
        <v>48</v>
      </c>
      <c r="R21246" s="36" t="s">
        <v>48</v>
      </c>
    </row>
    <row r="21247">
      <c r="H21247" s="50"/>
      <c r="I21247" s="50"/>
      <c r="O21247" s="36" t="s">
        <v>48</v>
      </c>
      <c r="R21247" s="36" t="s">
        <v>48</v>
      </c>
    </row>
    <row r="21248">
      <c r="H21248" s="50"/>
      <c r="I21248" s="50"/>
      <c r="O21248" s="36" t="s">
        <v>48</v>
      </c>
      <c r="R21248" s="36" t="s">
        <v>48</v>
      </c>
    </row>
    <row r="21249">
      <c r="H21249" s="50"/>
      <c r="I21249" s="50"/>
      <c r="O21249" s="36" t="s">
        <v>48</v>
      </c>
      <c r="R21249" s="36" t="s">
        <v>48</v>
      </c>
    </row>
    <row r="21250">
      <c r="H21250" s="50"/>
      <c r="I21250" s="50"/>
      <c r="O21250" s="36" t="s">
        <v>48</v>
      </c>
      <c r="R21250" s="36" t="s">
        <v>48</v>
      </c>
    </row>
    <row r="21251">
      <c r="H21251" s="50"/>
      <c r="I21251" s="50"/>
      <c r="O21251" s="36" t="s">
        <v>48</v>
      </c>
      <c r="R21251" s="36" t="s">
        <v>48</v>
      </c>
    </row>
    <row r="21252">
      <c r="H21252" s="50"/>
      <c r="I21252" s="50"/>
      <c r="O21252" s="36" t="s">
        <v>48</v>
      </c>
      <c r="R21252" s="36" t="s">
        <v>48</v>
      </c>
    </row>
    <row r="21253">
      <c r="H21253" s="50"/>
      <c r="I21253" s="50"/>
      <c r="O21253" s="36" t="s">
        <v>48</v>
      </c>
      <c r="R21253" s="36" t="s">
        <v>48</v>
      </c>
    </row>
    <row r="21254">
      <c r="H21254" s="50"/>
      <c r="I21254" s="50"/>
      <c r="O21254" s="36" t="s">
        <v>48</v>
      </c>
      <c r="R21254" s="36" t="s">
        <v>48</v>
      </c>
    </row>
    <row r="21255">
      <c r="H21255" s="50"/>
      <c r="I21255" s="50"/>
      <c r="O21255" s="36" t="s">
        <v>48</v>
      </c>
      <c r="R21255" s="36" t="s">
        <v>48</v>
      </c>
    </row>
    <row r="21256">
      <c r="H21256" s="50"/>
      <c r="I21256" s="50"/>
      <c r="O21256" s="36" t="s">
        <v>48</v>
      </c>
      <c r="R21256" s="36" t="s">
        <v>48</v>
      </c>
    </row>
    <row r="21257">
      <c r="H21257" s="50"/>
      <c r="I21257" s="50"/>
      <c r="O21257" s="36" t="s">
        <v>48</v>
      </c>
      <c r="R21257" s="36" t="s">
        <v>48</v>
      </c>
    </row>
    <row r="21258">
      <c r="H21258" s="50"/>
      <c r="I21258" s="50"/>
      <c r="O21258" s="36" t="s">
        <v>48</v>
      </c>
      <c r="R21258" s="36" t="s">
        <v>48</v>
      </c>
    </row>
    <row r="21259">
      <c r="H21259" s="50"/>
      <c r="I21259" s="50"/>
      <c r="O21259" s="36" t="s">
        <v>48</v>
      </c>
      <c r="R21259" s="36" t="s">
        <v>48</v>
      </c>
    </row>
    <row r="21260">
      <c r="H21260" s="50"/>
      <c r="I21260" s="50"/>
      <c r="O21260" s="36" t="s">
        <v>48</v>
      </c>
      <c r="R21260" s="36" t="s">
        <v>48</v>
      </c>
    </row>
    <row r="21261">
      <c r="H21261" s="50"/>
      <c r="I21261" s="50"/>
      <c r="O21261" s="36" t="s">
        <v>48</v>
      </c>
      <c r="R21261" s="36" t="s">
        <v>48</v>
      </c>
    </row>
    <row r="21262">
      <c r="H21262" s="50"/>
      <c r="I21262" s="50"/>
      <c r="O21262" s="36" t="s">
        <v>48</v>
      </c>
      <c r="R21262" s="36" t="s">
        <v>48</v>
      </c>
    </row>
    <row r="21263">
      <c r="H21263" s="50"/>
      <c r="I21263" s="50"/>
      <c r="O21263" s="36" t="s">
        <v>48</v>
      </c>
      <c r="R21263" s="36" t="s">
        <v>48</v>
      </c>
    </row>
    <row r="21264">
      <c r="H21264" s="50"/>
      <c r="I21264" s="50"/>
      <c r="O21264" s="36" t="s">
        <v>48</v>
      </c>
      <c r="R21264" s="36" t="s">
        <v>48</v>
      </c>
    </row>
    <row r="21265">
      <c r="H21265" s="50"/>
      <c r="I21265" s="50"/>
      <c r="O21265" s="36" t="s">
        <v>48</v>
      </c>
      <c r="R21265" s="36" t="s">
        <v>48</v>
      </c>
    </row>
    <row r="21266">
      <c r="H21266" s="50"/>
      <c r="I21266" s="50"/>
      <c r="O21266" s="36" t="s">
        <v>48</v>
      </c>
      <c r="R21266" s="36" t="s">
        <v>48</v>
      </c>
    </row>
    <row r="21267">
      <c r="H21267" s="50"/>
      <c r="I21267" s="50"/>
      <c r="O21267" s="36" t="s">
        <v>48</v>
      </c>
      <c r="R21267" s="36" t="s">
        <v>48</v>
      </c>
    </row>
    <row r="21268">
      <c r="H21268" s="50"/>
      <c r="I21268" s="50"/>
      <c r="O21268" s="36" t="s">
        <v>48</v>
      </c>
      <c r="R21268" s="36" t="s">
        <v>48</v>
      </c>
    </row>
    <row r="21269">
      <c r="H21269" s="50"/>
      <c r="I21269" s="50"/>
      <c r="O21269" s="36" t="s">
        <v>48</v>
      </c>
      <c r="R21269" s="36" t="s">
        <v>48</v>
      </c>
    </row>
    <row r="21270">
      <c r="H21270" s="50"/>
      <c r="I21270" s="50"/>
      <c r="O21270" s="36" t="s">
        <v>48</v>
      </c>
      <c r="R21270" s="36" t="s">
        <v>48</v>
      </c>
    </row>
    <row r="21271">
      <c r="H21271" s="50"/>
      <c r="I21271" s="50"/>
      <c r="O21271" s="36" t="s">
        <v>48</v>
      </c>
      <c r="R21271" s="36" t="s">
        <v>48</v>
      </c>
    </row>
    <row r="21272">
      <c r="H21272" s="50"/>
      <c r="I21272" s="50"/>
      <c r="O21272" s="36" t="s">
        <v>48</v>
      </c>
      <c r="R21272" s="36" t="s">
        <v>48</v>
      </c>
    </row>
    <row r="21273">
      <c r="H21273" s="50"/>
      <c r="I21273" s="50"/>
      <c r="O21273" s="36" t="s">
        <v>48</v>
      </c>
      <c r="R21273" s="36" t="s">
        <v>48</v>
      </c>
    </row>
    <row r="21274">
      <c r="H21274" s="50"/>
      <c r="I21274" s="50"/>
      <c r="O21274" s="36" t="s">
        <v>48</v>
      </c>
      <c r="R21274" s="36" t="s">
        <v>48</v>
      </c>
    </row>
    <row r="21275">
      <c r="H21275" s="50"/>
      <c r="I21275" s="50"/>
      <c r="O21275" s="36" t="s">
        <v>48</v>
      </c>
      <c r="R21275" s="36" t="s">
        <v>48</v>
      </c>
    </row>
    <row r="21276">
      <c r="H21276" s="50"/>
      <c r="I21276" s="50"/>
      <c r="O21276" s="36" t="s">
        <v>48</v>
      </c>
      <c r="R21276" s="36" t="s">
        <v>48</v>
      </c>
    </row>
    <row r="21277">
      <c r="H21277" s="50"/>
      <c r="I21277" s="50"/>
      <c r="O21277" s="36" t="s">
        <v>48</v>
      </c>
      <c r="R21277" s="36" t="s">
        <v>48</v>
      </c>
    </row>
    <row r="21278">
      <c r="H21278" s="50"/>
      <c r="I21278" s="50"/>
      <c r="O21278" s="36" t="s">
        <v>48</v>
      </c>
      <c r="R21278" s="36" t="s">
        <v>48</v>
      </c>
    </row>
    <row r="21279">
      <c r="H21279" s="50"/>
      <c r="I21279" s="50"/>
      <c r="O21279" s="36" t="s">
        <v>48</v>
      </c>
      <c r="R21279" s="36" t="s">
        <v>48</v>
      </c>
    </row>
    <row r="21280">
      <c r="H21280" s="50"/>
      <c r="I21280" s="50"/>
      <c r="O21280" s="36" t="s">
        <v>48</v>
      </c>
      <c r="R21280" s="36" t="s">
        <v>48</v>
      </c>
    </row>
    <row r="21281">
      <c r="H21281" s="50"/>
      <c r="I21281" s="50"/>
      <c r="O21281" s="36" t="s">
        <v>48</v>
      </c>
      <c r="R21281" s="36" t="s">
        <v>48</v>
      </c>
    </row>
    <row r="21282">
      <c r="H21282" s="50"/>
      <c r="I21282" s="50"/>
      <c r="O21282" s="36" t="s">
        <v>48</v>
      </c>
      <c r="R21282" s="36" t="s">
        <v>48</v>
      </c>
    </row>
    <row r="21283">
      <c r="H21283" s="50"/>
      <c r="I21283" s="50"/>
      <c r="O21283" s="36" t="s">
        <v>48</v>
      </c>
      <c r="R21283" s="36" t="s">
        <v>48</v>
      </c>
    </row>
    <row r="21284">
      <c r="H21284" s="50"/>
      <c r="I21284" s="50"/>
      <c r="O21284" s="36" t="s">
        <v>48</v>
      </c>
      <c r="R21284" s="36" t="s">
        <v>48</v>
      </c>
    </row>
    <row r="21285">
      <c r="H21285" s="50"/>
      <c r="I21285" s="50"/>
      <c r="O21285" s="36" t="s">
        <v>48</v>
      </c>
      <c r="R21285" s="36" t="s">
        <v>48</v>
      </c>
    </row>
    <row r="21286">
      <c r="H21286" s="50"/>
      <c r="I21286" s="50"/>
      <c r="O21286" s="36" t="s">
        <v>48</v>
      </c>
      <c r="R21286" s="36" t="s">
        <v>48</v>
      </c>
    </row>
    <row r="21287">
      <c r="H21287" s="50"/>
      <c r="I21287" s="50"/>
      <c r="O21287" s="36" t="s">
        <v>48</v>
      </c>
      <c r="R21287" s="36" t="s">
        <v>48</v>
      </c>
    </row>
    <row r="21288">
      <c r="H21288" s="50"/>
      <c r="I21288" s="50"/>
      <c r="O21288" s="36" t="s">
        <v>48</v>
      </c>
      <c r="R21288" s="36" t="s">
        <v>48</v>
      </c>
    </row>
    <row r="21289">
      <c r="H21289" s="50"/>
      <c r="I21289" s="50"/>
      <c r="O21289" s="36" t="s">
        <v>48</v>
      </c>
      <c r="R21289" s="36" t="s">
        <v>48</v>
      </c>
    </row>
    <row r="21290">
      <c r="H21290" s="50"/>
      <c r="I21290" s="50"/>
      <c r="O21290" s="36" t="s">
        <v>48</v>
      </c>
      <c r="R21290" s="36" t="s">
        <v>48</v>
      </c>
    </row>
    <row r="21291">
      <c r="H21291" s="50"/>
      <c r="I21291" s="50"/>
      <c r="O21291" s="36" t="s">
        <v>48</v>
      </c>
      <c r="R21291" s="36" t="s">
        <v>48</v>
      </c>
    </row>
    <row r="21292">
      <c r="H21292" s="50"/>
      <c r="I21292" s="50"/>
      <c r="O21292" s="36" t="s">
        <v>48</v>
      </c>
      <c r="R21292" s="36" t="s">
        <v>48</v>
      </c>
    </row>
    <row r="21293">
      <c r="H21293" s="50"/>
      <c r="I21293" s="50"/>
      <c r="O21293" s="36" t="s">
        <v>48</v>
      </c>
      <c r="R21293" s="36" t="s">
        <v>48</v>
      </c>
    </row>
    <row r="21294">
      <c r="H21294" s="50"/>
      <c r="I21294" s="50"/>
      <c r="O21294" s="36" t="s">
        <v>48</v>
      </c>
      <c r="R21294" s="36" t="s">
        <v>48</v>
      </c>
    </row>
    <row r="21295">
      <c r="H21295" s="50"/>
      <c r="I21295" s="50"/>
      <c r="O21295" s="36" t="s">
        <v>48</v>
      </c>
      <c r="R21295" s="36" t="s">
        <v>48</v>
      </c>
    </row>
    <row r="21296">
      <c r="H21296" s="50"/>
      <c r="I21296" s="50"/>
      <c r="O21296" s="36" t="s">
        <v>48</v>
      </c>
      <c r="R21296" s="36" t="s">
        <v>48</v>
      </c>
    </row>
    <row r="21297">
      <c r="H21297" s="50"/>
      <c r="I21297" s="50"/>
      <c r="O21297" s="36" t="s">
        <v>48</v>
      </c>
      <c r="R21297" s="36" t="s">
        <v>48</v>
      </c>
    </row>
    <row r="21298">
      <c r="H21298" s="50"/>
      <c r="I21298" s="50"/>
      <c r="O21298" s="36" t="s">
        <v>48</v>
      </c>
      <c r="R21298" s="36" t="s">
        <v>48</v>
      </c>
    </row>
    <row r="21299">
      <c r="H21299" s="50"/>
      <c r="I21299" s="50"/>
      <c r="O21299" s="36" t="s">
        <v>48</v>
      </c>
      <c r="R21299" s="36" t="s">
        <v>48</v>
      </c>
    </row>
    <row r="21300">
      <c r="H21300" s="50"/>
      <c r="I21300" s="50"/>
      <c r="O21300" s="36" t="s">
        <v>48</v>
      </c>
      <c r="R21300" s="36" t="s">
        <v>48</v>
      </c>
    </row>
    <row r="21301">
      <c r="H21301" s="50"/>
      <c r="I21301" s="50"/>
      <c r="O21301" s="36" t="s">
        <v>48</v>
      </c>
      <c r="R21301" s="36" t="s">
        <v>48</v>
      </c>
    </row>
    <row r="21302">
      <c r="H21302" s="50"/>
      <c r="I21302" s="50"/>
      <c r="O21302" s="36" t="s">
        <v>48</v>
      </c>
      <c r="R21302" s="36" t="s">
        <v>48</v>
      </c>
    </row>
    <row r="21303">
      <c r="H21303" s="50"/>
      <c r="I21303" s="50"/>
      <c r="O21303" s="36" t="s">
        <v>48</v>
      </c>
      <c r="R21303" s="36" t="s">
        <v>48</v>
      </c>
    </row>
    <row r="21304">
      <c r="H21304" s="50"/>
      <c r="I21304" s="50"/>
      <c r="O21304" s="36" t="s">
        <v>48</v>
      </c>
      <c r="R21304" s="36" t="s">
        <v>48</v>
      </c>
    </row>
    <row r="21305">
      <c r="H21305" s="50"/>
      <c r="I21305" s="50"/>
      <c r="O21305" s="36" t="s">
        <v>48</v>
      </c>
      <c r="R21305" s="36" t="s">
        <v>48</v>
      </c>
    </row>
    <row r="21306">
      <c r="H21306" s="50"/>
      <c r="I21306" s="50"/>
      <c r="O21306" s="36" t="s">
        <v>48</v>
      </c>
      <c r="R21306" s="36" t="s">
        <v>48</v>
      </c>
    </row>
    <row r="21307">
      <c r="H21307" s="50"/>
      <c r="I21307" s="50"/>
      <c r="O21307" s="36" t="s">
        <v>48</v>
      </c>
      <c r="R21307" s="36" t="s">
        <v>48</v>
      </c>
    </row>
    <row r="21308">
      <c r="H21308" s="50"/>
      <c r="I21308" s="50"/>
      <c r="O21308" s="36" t="s">
        <v>48</v>
      </c>
      <c r="R21308" s="36" t="s">
        <v>48</v>
      </c>
    </row>
    <row r="21309">
      <c r="H21309" s="50"/>
      <c r="I21309" s="50"/>
      <c r="O21309" s="36" t="s">
        <v>48</v>
      </c>
      <c r="R21309" s="36" t="s">
        <v>48</v>
      </c>
    </row>
    <row r="21310">
      <c r="H21310" s="50"/>
      <c r="I21310" s="50"/>
      <c r="O21310" s="36" t="s">
        <v>48</v>
      </c>
      <c r="R21310" s="36" t="s">
        <v>48</v>
      </c>
    </row>
    <row r="21311">
      <c r="H21311" s="50"/>
      <c r="I21311" s="50"/>
      <c r="O21311" s="36" t="s">
        <v>48</v>
      </c>
      <c r="R21311" s="36" t="s">
        <v>48</v>
      </c>
    </row>
    <row r="21312">
      <c r="H21312" s="50"/>
      <c r="I21312" s="50"/>
      <c r="O21312" s="36" t="s">
        <v>48</v>
      </c>
      <c r="R21312" s="36" t="s">
        <v>48</v>
      </c>
    </row>
    <row r="21313">
      <c r="H21313" s="50"/>
      <c r="I21313" s="50"/>
      <c r="O21313" s="36" t="s">
        <v>48</v>
      </c>
      <c r="R21313" s="36" t="s">
        <v>48</v>
      </c>
    </row>
    <row r="21314">
      <c r="H21314" s="50"/>
      <c r="I21314" s="50"/>
      <c r="O21314" s="36" t="s">
        <v>48</v>
      </c>
      <c r="R21314" s="36" t="s">
        <v>48</v>
      </c>
    </row>
    <row r="21315">
      <c r="H21315" s="50"/>
      <c r="I21315" s="50"/>
      <c r="O21315" s="36" t="s">
        <v>48</v>
      </c>
      <c r="R21315" s="36" t="s">
        <v>48</v>
      </c>
    </row>
    <row r="21316">
      <c r="H21316" s="50"/>
      <c r="I21316" s="50"/>
      <c r="O21316" s="36" t="s">
        <v>48</v>
      </c>
      <c r="R21316" s="36" t="s">
        <v>48</v>
      </c>
    </row>
    <row r="21317">
      <c r="H21317" s="50"/>
      <c r="I21317" s="50"/>
      <c r="O21317" s="36" t="s">
        <v>48</v>
      </c>
      <c r="R21317" s="36" t="s">
        <v>48</v>
      </c>
    </row>
    <row r="21318">
      <c r="H21318" s="50"/>
      <c r="I21318" s="50"/>
      <c r="O21318" s="36" t="s">
        <v>48</v>
      </c>
      <c r="R21318" s="36" t="s">
        <v>48</v>
      </c>
    </row>
    <row r="21319">
      <c r="H21319" s="50"/>
      <c r="I21319" s="50"/>
      <c r="O21319" s="36" t="s">
        <v>48</v>
      </c>
      <c r="R21319" s="36" t="s">
        <v>48</v>
      </c>
    </row>
    <row r="21320">
      <c r="H21320" s="50"/>
      <c r="I21320" s="50"/>
      <c r="O21320" s="36" t="s">
        <v>48</v>
      </c>
      <c r="R21320" s="36" t="s">
        <v>48</v>
      </c>
    </row>
    <row r="21321">
      <c r="H21321" s="50"/>
      <c r="I21321" s="50"/>
      <c r="O21321" s="36" t="s">
        <v>48</v>
      </c>
      <c r="R21321" s="36" t="s">
        <v>48</v>
      </c>
    </row>
    <row r="21322">
      <c r="H21322" s="50"/>
      <c r="I21322" s="50"/>
      <c r="O21322" s="36" t="s">
        <v>48</v>
      </c>
      <c r="R21322" s="36" t="s">
        <v>48</v>
      </c>
    </row>
    <row r="21323">
      <c r="H21323" s="50"/>
      <c r="I21323" s="50"/>
      <c r="O21323" s="36" t="s">
        <v>48</v>
      </c>
      <c r="R21323" s="36" t="s">
        <v>48</v>
      </c>
    </row>
    <row r="21324">
      <c r="H21324" s="50"/>
      <c r="I21324" s="50"/>
      <c r="O21324" s="36" t="s">
        <v>48</v>
      </c>
      <c r="R21324" s="36" t="s">
        <v>48</v>
      </c>
    </row>
    <row r="21325">
      <c r="H21325" s="50"/>
      <c r="I21325" s="50"/>
      <c r="O21325" s="36" t="s">
        <v>48</v>
      </c>
      <c r="R21325" s="36" t="s">
        <v>48</v>
      </c>
    </row>
    <row r="21326">
      <c r="H21326" s="50"/>
      <c r="I21326" s="50"/>
      <c r="O21326" s="36" t="s">
        <v>48</v>
      </c>
      <c r="R21326" s="36" t="s">
        <v>48</v>
      </c>
    </row>
    <row r="21327">
      <c r="H21327" s="50"/>
      <c r="I21327" s="50"/>
      <c r="O21327" s="36" t="s">
        <v>48</v>
      </c>
      <c r="R21327" s="36" t="s">
        <v>48</v>
      </c>
    </row>
    <row r="21328">
      <c r="H21328" s="50"/>
      <c r="I21328" s="50"/>
      <c r="O21328" s="36" t="s">
        <v>48</v>
      </c>
      <c r="R21328" s="36" t="s">
        <v>48</v>
      </c>
    </row>
    <row r="21329">
      <c r="H21329" s="50"/>
      <c r="I21329" s="50"/>
      <c r="O21329" s="36" t="s">
        <v>48</v>
      </c>
      <c r="R21329" s="36" t="s">
        <v>48</v>
      </c>
    </row>
    <row r="21330">
      <c r="H21330" s="50"/>
      <c r="I21330" s="50"/>
      <c r="O21330" s="36" t="s">
        <v>48</v>
      </c>
      <c r="R21330" s="36" t="s">
        <v>48</v>
      </c>
    </row>
    <row r="21331">
      <c r="H21331" s="50"/>
      <c r="I21331" s="50"/>
      <c r="O21331" s="36" t="s">
        <v>48</v>
      </c>
      <c r="R21331" s="36" t="s">
        <v>48</v>
      </c>
    </row>
    <row r="21332">
      <c r="H21332" s="50"/>
      <c r="I21332" s="50"/>
      <c r="O21332" s="36" t="s">
        <v>48</v>
      </c>
      <c r="R21332" s="36" t="s">
        <v>48</v>
      </c>
    </row>
    <row r="21333">
      <c r="H21333" s="50"/>
      <c r="I21333" s="50"/>
      <c r="O21333" s="36" t="s">
        <v>48</v>
      </c>
      <c r="R21333" s="36" t="s">
        <v>48</v>
      </c>
    </row>
    <row r="21334">
      <c r="H21334" s="50"/>
      <c r="I21334" s="50"/>
      <c r="O21334" s="36" t="s">
        <v>48</v>
      </c>
      <c r="R21334" s="36" t="s">
        <v>48</v>
      </c>
    </row>
    <row r="21335">
      <c r="H21335" s="50"/>
      <c r="I21335" s="50"/>
      <c r="O21335" s="36" t="s">
        <v>48</v>
      </c>
      <c r="R21335" s="36" t="s">
        <v>48</v>
      </c>
    </row>
    <row r="21336">
      <c r="H21336" s="50"/>
      <c r="I21336" s="50"/>
      <c r="O21336" s="36" t="s">
        <v>48</v>
      </c>
      <c r="R21336" s="36" t="s">
        <v>48</v>
      </c>
    </row>
    <row r="21337">
      <c r="H21337" s="50"/>
      <c r="I21337" s="50"/>
      <c r="O21337" s="36" t="s">
        <v>48</v>
      </c>
      <c r="R21337" s="36" t="s">
        <v>48</v>
      </c>
    </row>
    <row r="21338">
      <c r="H21338" s="50"/>
      <c r="I21338" s="50"/>
      <c r="O21338" s="36" t="s">
        <v>48</v>
      </c>
      <c r="R21338" s="36" t="s">
        <v>48</v>
      </c>
    </row>
    <row r="21339">
      <c r="H21339" s="50"/>
      <c r="I21339" s="50"/>
      <c r="O21339" s="36" t="s">
        <v>48</v>
      </c>
      <c r="R21339" s="36" t="s">
        <v>48</v>
      </c>
    </row>
    <row r="21340">
      <c r="H21340" s="50"/>
      <c r="I21340" s="50"/>
      <c r="O21340" s="36" t="s">
        <v>48</v>
      </c>
      <c r="R21340" s="36" t="s">
        <v>48</v>
      </c>
    </row>
    <row r="21341">
      <c r="H21341" s="50"/>
      <c r="I21341" s="50"/>
      <c r="O21341" s="36" t="s">
        <v>48</v>
      </c>
      <c r="R21341" s="36" t="s">
        <v>48</v>
      </c>
    </row>
    <row r="21342">
      <c r="H21342" s="50"/>
      <c r="I21342" s="50"/>
      <c r="O21342" s="36" t="s">
        <v>48</v>
      </c>
      <c r="R21342" s="36" t="s">
        <v>48</v>
      </c>
    </row>
    <row r="21343">
      <c r="H21343" s="50"/>
      <c r="I21343" s="50"/>
      <c r="O21343" s="36" t="s">
        <v>48</v>
      </c>
      <c r="R21343" s="36" t="s">
        <v>48</v>
      </c>
    </row>
    <row r="21344">
      <c r="H21344" s="50"/>
      <c r="I21344" s="50"/>
      <c r="O21344" s="36" t="s">
        <v>48</v>
      </c>
      <c r="R21344" s="36" t="s">
        <v>48</v>
      </c>
    </row>
    <row r="21345">
      <c r="H21345" s="50"/>
      <c r="I21345" s="50"/>
      <c r="O21345" s="36" t="s">
        <v>48</v>
      </c>
      <c r="R21345" s="36" t="s">
        <v>48</v>
      </c>
    </row>
    <row r="21346">
      <c r="H21346" s="50"/>
      <c r="I21346" s="50"/>
      <c r="O21346" s="36" t="s">
        <v>48</v>
      </c>
      <c r="R21346" s="36" t="s">
        <v>48</v>
      </c>
    </row>
    <row r="21347">
      <c r="H21347" s="50"/>
      <c r="I21347" s="50"/>
      <c r="O21347" s="36" t="s">
        <v>48</v>
      </c>
      <c r="R21347" s="36" t="s">
        <v>48</v>
      </c>
    </row>
    <row r="21348">
      <c r="H21348" s="50"/>
      <c r="I21348" s="50"/>
      <c r="O21348" s="36" t="s">
        <v>48</v>
      </c>
      <c r="R21348" s="36" t="s">
        <v>48</v>
      </c>
    </row>
    <row r="21349">
      <c r="H21349" s="50"/>
      <c r="I21349" s="50"/>
      <c r="O21349" s="36" t="s">
        <v>48</v>
      </c>
      <c r="R21349" s="36" t="s">
        <v>48</v>
      </c>
    </row>
    <row r="21350">
      <c r="H21350" s="50"/>
      <c r="I21350" s="50"/>
      <c r="O21350" s="36" t="s">
        <v>48</v>
      </c>
      <c r="R21350" s="36" t="s">
        <v>48</v>
      </c>
    </row>
    <row r="21351">
      <c r="H21351" s="50"/>
      <c r="I21351" s="50"/>
      <c r="O21351" s="36" t="s">
        <v>48</v>
      </c>
      <c r="R21351" s="36" t="s">
        <v>48</v>
      </c>
    </row>
    <row r="21352">
      <c r="H21352" s="50"/>
      <c r="I21352" s="50"/>
      <c r="O21352" s="36" t="s">
        <v>48</v>
      </c>
      <c r="R21352" s="36" t="s">
        <v>48</v>
      </c>
    </row>
    <row r="21353">
      <c r="H21353" s="50"/>
      <c r="I21353" s="50"/>
      <c r="O21353" s="36" t="s">
        <v>48</v>
      </c>
      <c r="R21353" s="36" t="s">
        <v>48</v>
      </c>
    </row>
    <row r="21354">
      <c r="H21354" s="50"/>
      <c r="I21354" s="50"/>
      <c r="O21354" s="36" t="s">
        <v>48</v>
      </c>
      <c r="R21354" s="36" t="s">
        <v>48</v>
      </c>
    </row>
    <row r="21355">
      <c r="H21355" s="50"/>
      <c r="I21355" s="50"/>
      <c r="O21355" s="36" t="s">
        <v>48</v>
      </c>
      <c r="R21355" s="36" t="s">
        <v>48</v>
      </c>
    </row>
    <row r="21356">
      <c r="H21356" s="50"/>
      <c r="I21356" s="50"/>
      <c r="O21356" s="36" t="s">
        <v>48</v>
      </c>
      <c r="R21356" s="36" t="s">
        <v>48</v>
      </c>
    </row>
    <row r="21357">
      <c r="H21357" s="50"/>
      <c r="I21357" s="50"/>
      <c r="O21357" s="36" t="s">
        <v>48</v>
      </c>
      <c r="R21357" s="36" t="s">
        <v>48</v>
      </c>
    </row>
    <row r="21358">
      <c r="H21358" s="50"/>
      <c r="I21358" s="50"/>
      <c r="O21358" s="36" t="s">
        <v>48</v>
      </c>
      <c r="R21358" s="36" t="s">
        <v>48</v>
      </c>
    </row>
    <row r="21359">
      <c r="H21359" s="50"/>
      <c r="I21359" s="50"/>
      <c r="O21359" s="36" t="s">
        <v>48</v>
      </c>
      <c r="R21359" s="36" t="s">
        <v>48</v>
      </c>
    </row>
    <row r="21360">
      <c r="H21360" s="50"/>
      <c r="I21360" s="50"/>
      <c r="O21360" s="36" t="s">
        <v>48</v>
      </c>
      <c r="R21360" s="36" t="s">
        <v>48</v>
      </c>
    </row>
    <row r="21361">
      <c r="H21361" s="50"/>
      <c r="I21361" s="50"/>
      <c r="O21361" s="36" t="s">
        <v>48</v>
      </c>
      <c r="R21361" s="36" t="s">
        <v>48</v>
      </c>
    </row>
    <row r="21362">
      <c r="H21362" s="50"/>
      <c r="I21362" s="50"/>
      <c r="O21362" s="36" t="s">
        <v>48</v>
      </c>
      <c r="R21362" s="36" t="s">
        <v>48</v>
      </c>
    </row>
    <row r="21363">
      <c r="H21363" s="50"/>
      <c r="I21363" s="50"/>
      <c r="O21363" s="36" t="s">
        <v>48</v>
      </c>
      <c r="R21363" s="36" t="s">
        <v>48</v>
      </c>
    </row>
    <row r="21364">
      <c r="H21364" s="50"/>
      <c r="I21364" s="50"/>
      <c r="O21364" s="36" t="s">
        <v>48</v>
      </c>
      <c r="R21364" s="36" t="s">
        <v>48</v>
      </c>
    </row>
    <row r="21365">
      <c r="H21365" s="50"/>
      <c r="I21365" s="50"/>
      <c r="O21365" s="36" t="s">
        <v>48</v>
      </c>
      <c r="R21365" s="36" t="s">
        <v>48</v>
      </c>
    </row>
    <row r="21366">
      <c r="H21366" s="50"/>
      <c r="I21366" s="50"/>
      <c r="O21366" s="36" t="s">
        <v>48</v>
      </c>
      <c r="R21366" s="36" t="s">
        <v>48</v>
      </c>
    </row>
    <row r="21367">
      <c r="H21367" s="50"/>
      <c r="I21367" s="50"/>
      <c r="O21367" s="36" t="s">
        <v>48</v>
      </c>
      <c r="R21367" s="36" t="s">
        <v>48</v>
      </c>
    </row>
    <row r="21368">
      <c r="H21368" s="50"/>
      <c r="I21368" s="50"/>
      <c r="O21368" s="36" t="s">
        <v>48</v>
      </c>
      <c r="R21368" s="36" t="s">
        <v>48</v>
      </c>
    </row>
    <row r="21369">
      <c r="H21369" s="50"/>
      <c r="I21369" s="50"/>
      <c r="O21369" s="36" t="s">
        <v>48</v>
      </c>
      <c r="R21369" s="36" t="s">
        <v>48</v>
      </c>
    </row>
    <row r="21370">
      <c r="H21370" s="50"/>
      <c r="I21370" s="50"/>
      <c r="O21370" s="36" t="s">
        <v>48</v>
      </c>
      <c r="R21370" s="36" t="s">
        <v>48</v>
      </c>
    </row>
    <row r="21371">
      <c r="H21371" s="50"/>
      <c r="I21371" s="50"/>
      <c r="O21371" s="36" t="s">
        <v>48</v>
      </c>
      <c r="R21371" s="36" t="s">
        <v>48</v>
      </c>
    </row>
    <row r="21372">
      <c r="H21372" s="50"/>
      <c r="I21372" s="50"/>
      <c r="O21372" s="36" t="s">
        <v>48</v>
      </c>
      <c r="R21372" s="36" t="s">
        <v>48</v>
      </c>
    </row>
    <row r="21373">
      <c r="H21373" s="50"/>
      <c r="I21373" s="50"/>
      <c r="O21373" s="36" t="s">
        <v>48</v>
      </c>
      <c r="R21373" s="36" t="s">
        <v>48</v>
      </c>
    </row>
    <row r="21374">
      <c r="H21374" s="50"/>
      <c r="I21374" s="50"/>
      <c r="O21374" s="36" t="s">
        <v>48</v>
      </c>
      <c r="R21374" s="36" t="s">
        <v>48</v>
      </c>
    </row>
    <row r="21375">
      <c r="H21375" s="50"/>
      <c r="I21375" s="50"/>
      <c r="O21375" s="36" t="s">
        <v>48</v>
      </c>
      <c r="R21375" s="36" t="s">
        <v>48</v>
      </c>
    </row>
    <row r="21376">
      <c r="H21376" s="50"/>
      <c r="I21376" s="50"/>
      <c r="O21376" s="36" t="s">
        <v>48</v>
      </c>
      <c r="R21376" s="36" t="s">
        <v>48</v>
      </c>
    </row>
    <row r="21377">
      <c r="H21377" s="50"/>
      <c r="I21377" s="50"/>
      <c r="O21377" s="36" t="s">
        <v>48</v>
      </c>
      <c r="R21377" s="36" t="s">
        <v>48</v>
      </c>
    </row>
    <row r="21378">
      <c r="H21378" s="50"/>
      <c r="I21378" s="50"/>
      <c r="O21378" s="36" t="s">
        <v>48</v>
      </c>
      <c r="R21378" s="36" t="s">
        <v>48</v>
      </c>
    </row>
    <row r="21379">
      <c r="H21379" s="50"/>
      <c r="I21379" s="50"/>
      <c r="O21379" s="36" t="s">
        <v>48</v>
      </c>
      <c r="R21379" s="36" t="s">
        <v>48</v>
      </c>
    </row>
    <row r="21380">
      <c r="H21380" s="50"/>
      <c r="I21380" s="50"/>
      <c r="O21380" s="36" t="s">
        <v>48</v>
      </c>
      <c r="R21380" s="36" t="s">
        <v>48</v>
      </c>
    </row>
    <row r="21381">
      <c r="H21381" s="50"/>
      <c r="I21381" s="50"/>
      <c r="O21381" s="36" t="s">
        <v>48</v>
      </c>
      <c r="R21381" s="36" t="s">
        <v>48</v>
      </c>
    </row>
    <row r="21382">
      <c r="H21382" s="50"/>
      <c r="I21382" s="50"/>
      <c r="O21382" s="36" t="s">
        <v>48</v>
      </c>
      <c r="R21382" s="36" t="s">
        <v>48</v>
      </c>
    </row>
    <row r="21383">
      <c r="H21383" s="50"/>
      <c r="I21383" s="50"/>
      <c r="O21383" s="36" t="s">
        <v>48</v>
      </c>
      <c r="R21383" s="36" t="s">
        <v>48</v>
      </c>
    </row>
    <row r="21384">
      <c r="H21384" s="50"/>
      <c r="I21384" s="50"/>
      <c r="O21384" s="36" t="s">
        <v>48</v>
      </c>
      <c r="R21384" s="36" t="s">
        <v>48</v>
      </c>
    </row>
    <row r="21385">
      <c r="H21385" s="50"/>
      <c r="I21385" s="50"/>
      <c r="O21385" s="36" t="s">
        <v>48</v>
      </c>
      <c r="R21385" s="36" t="s">
        <v>48</v>
      </c>
    </row>
    <row r="21386">
      <c r="H21386" s="50"/>
      <c r="I21386" s="50"/>
      <c r="O21386" s="36" t="s">
        <v>48</v>
      </c>
      <c r="R21386" s="36" t="s">
        <v>48</v>
      </c>
    </row>
    <row r="21387">
      <c r="H21387" s="50"/>
      <c r="I21387" s="50"/>
      <c r="O21387" s="36" t="s">
        <v>48</v>
      </c>
      <c r="R21387" s="36" t="s">
        <v>48</v>
      </c>
    </row>
    <row r="21388">
      <c r="H21388" s="50"/>
      <c r="I21388" s="50"/>
      <c r="O21388" s="36" t="s">
        <v>48</v>
      </c>
      <c r="R21388" s="36" t="s">
        <v>48</v>
      </c>
    </row>
    <row r="21389">
      <c r="H21389" s="50"/>
      <c r="I21389" s="50"/>
      <c r="O21389" s="36" t="s">
        <v>48</v>
      </c>
      <c r="R21389" s="36" t="s">
        <v>48</v>
      </c>
    </row>
    <row r="21390">
      <c r="H21390" s="50"/>
      <c r="I21390" s="50"/>
      <c r="O21390" s="36" t="s">
        <v>48</v>
      </c>
      <c r="R21390" s="36" t="s">
        <v>48</v>
      </c>
    </row>
    <row r="21391">
      <c r="H21391" s="50"/>
      <c r="I21391" s="50"/>
      <c r="O21391" s="36" t="s">
        <v>48</v>
      </c>
      <c r="R21391" s="36" t="s">
        <v>48</v>
      </c>
    </row>
    <row r="21392">
      <c r="H21392" s="50"/>
      <c r="I21392" s="50"/>
      <c r="O21392" s="36" t="s">
        <v>48</v>
      </c>
      <c r="R21392" s="36" t="s">
        <v>48</v>
      </c>
    </row>
    <row r="21393">
      <c r="H21393" s="50"/>
      <c r="I21393" s="50"/>
      <c r="O21393" s="36" t="s">
        <v>48</v>
      </c>
      <c r="R21393" s="36" t="s">
        <v>48</v>
      </c>
    </row>
    <row r="21394">
      <c r="H21394" s="50"/>
      <c r="I21394" s="50"/>
      <c r="O21394" s="36" t="s">
        <v>48</v>
      </c>
      <c r="R21394" s="36" t="s">
        <v>48</v>
      </c>
    </row>
    <row r="21395">
      <c r="H21395" s="50"/>
      <c r="I21395" s="50"/>
      <c r="O21395" s="36" t="s">
        <v>48</v>
      </c>
      <c r="R21395" s="36" t="s">
        <v>48</v>
      </c>
    </row>
    <row r="21396">
      <c r="H21396" s="50"/>
      <c r="I21396" s="50"/>
      <c r="O21396" s="36" t="s">
        <v>48</v>
      </c>
      <c r="R21396" s="36" t="s">
        <v>48</v>
      </c>
    </row>
    <row r="21397">
      <c r="H21397" s="50"/>
      <c r="I21397" s="50"/>
      <c r="O21397" s="36" t="s">
        <v>48</v>
      </c>
      <c r="R21397" s="36" t="s">
        <v>48</v>
      </c>
    </row>
    <row r="21398">
      <c r="H21398" s="50"/>
      <c r="I21398" s="50"/>
      <c r="O21398" s="36" t="s">
        <v>48</v>
      </c>
      <c r="R21398" s="36" t="s">
        <v>48</v>
      </c>
    </row>
    <row r="21399">
      <c r="H21399" s="50"/>
      <c r="I21399" s="50"/>
      <c r="O21399" s="36" t="s">
        <v>48</v>
      </c>
      <c r="R21399" s="36" t="s">
        <v>48</v>
      </c>
    </row>
    <row r="21400">
      <c r="H21400" s="50"/>
      <c r="I21400" s="50"/>
      <c r="O21400" s="36" t="s">
        <v>48</v>
      </c>
      <c r="R21400" s="36" t="s">
        <v>48</v>
      </c>
    </row>
    <row r="21401">
      <c r="H21401" s="50"/>
      <c r="I21401" s="50"/>
      <c r="O21401" s="36" t="s">
        <v>48</v>
      </c>
      <c r="R21401" s="36" t="s">
        <v>48</v>
      </c>
    </row>
    <row r="21402">
      <c r="H21402" s="50"/>
      <c r="I21402" s="50"/>
      <c r="O21402" s="36" t="s">
        <v>48</v>
      </c>
      <c r="R21402" s="36" t="s">
        <v>48</v>
      </c>
    </row>
    <row r="21403">
      <c r="H21403" s="50"/>
      <c r="I21403" s="50"/>
      <c r="O21403" s="36" t="s">
        <v>48</v>
      </c>
      <c r="R21403" s="36" t="s">
        <v>48</v>
      </c>
    </row>
    <row r="21404">
      <c r="H21404" s="50"/>
      <c r="I21404" s="50"/>
      <c r="O21404" s="36" t="s">
        <v>48</v>
      </c>
      <c r="R21404" s="36" t="s">
        <v>48</v>
      </c>
    </row>
    <row r="21405">
      <c r="H21405" s="50"/>
      <c r="I21405" s="50"/>
      <c r="O21405" s="36" t="s">
        <v>48</v>
      </c>
      <c r="R21405" s="36" t="s">
        <v>48</v>
      </c>
    </row>
    <row r="21406">
      <c r="H21406" s="50"/>
      <c r="I21406" s="50"/>
      <c r="O21406" s="36" t="s">
        <v>48</v>
      </c>
      <c r="R21406" s="36" t="s">
        <v>48</v>
      </c>
    </row>
    <row r="21407">
      <c r="H21407" s="50"/>
      <c r="I21407" s="50"/>
      <c r="O21407" s="36" t="s">
        <v>48</v>
      </c>
      <c r="R21407" s="36" t="s">
        <v>48</v>
      </c>
    </row>
    <row r="21408">
      <c r="H21408" s="50"/>
      <c r="I21408" s="50"/>
      <c r="O21408" s="36" t="s">
        <v>48</v>
      </c>
      <c r="R21408" s="36" t="s">
        <v>48</v>
      </c>
    </row>
    <row r="21409">
      <c r="H21409" s="50"/>
      <c r="I21409" s="50"/>
      <c r="O21409" s="36" t="s">
        <v>48</v>
      </c>
      <c r="R21409" s="36" t="s">
        <v>48</v>
      </c>
    </row>
    <row r="21410">
      <c r="H21410" s="50"/>
      <c r="I21410" s="50"/>
      <c r="O21410" s="36" t="s">
        <v>48</v>
      </c>
      <c r="R21410" s="36" t="s">
        <v>48</v>
      </c>
    </row>
    <row r="21411">
      <c r="H21411" s="50"/>
      <c r="I21411" s="50"/>
      <c r="O21411" s="36" t="s">
        <v>48</v>
      </c>
      <c r="R21411" s="36" t="s">
        <v>48</v>
      </c>
    </row>
    <row r="21412">
      <c r="H21412" s="50"/>
      <c r="I21412" s="50"/>
      <c r="O21412" s="36" t="s">
        <v>48</v>
      </c>
      <c r="R21412" s="36" t="s">
        <v>48</v>
      </c>
    </row>
    <row r="21413">
      <c r="H21413" s="50"/>
      <c r="I21413" s="50"/>
      <c r="O21413" s="36" t="s">
        <v>48</v>
      </c>
      <c r="R21413" s="36" t="s">
        <v>48</v>
      </c>
    </row>
    <row r="21414">
      <c r="H21414" s="50"/>
      <c r="I21414" s="50"/>
      <c r="O21414" s="36" t="s">
        <v>48</v>
      </c>
      <c r="R21414" s="36" t="s">
        <v>48</v>
      </c>
    </row>
    <row r="21415">
      <c r="H21415" s="50"/>
      <c r="I21415" s="50"/>
      <c r="O21415" s="36" t="s">
        <v>48</v>
      </c>
      <c r="R21415" s="36" t="s">
        <v>48</v>
      </c>
    </row>
    <row r="21416">
      <c r="H21416" s="50"/>
      <c r="I21416" s="50"/>
      <c r="O21416" s="36" t="s">
        <v>48</v>
      </c>
      <c r="R21416" s="36" t="s">
        <v>48</v>
      </c>
    </row>
    <row r="21417">
      <c r="H21417" s="50"/>
      <c r="I21417" s="50"/>
      <c r="O21417" s="36" t="s">
        <v>48</v>
      </c>
      <c r="R21417" s="36" t="s">
        <v>48</v>
      </c>
    </row>
    <row r="21418">
      <c r="H21418" s="50"/>
      <c r="I21418" s="50"/>
      <c r="O21418" s="36" t="s">
        <v>48</v>
      </c>
      <c r="R21418" s="36" t="s">
        <v>48</v>
      </c>
    </row>
    <row r="21419">
      <c r="H21419" s="50"/>
      <c r="I21419" s="50"/>
      <c r="O21419" s="36" t="s">
        <v>48</v>
      </c>
      <c r="R21419" s="36" t="s">
        <v>48</v>
      </c>
    </row>
    <row r="21420">
      <c r="H21420" s="50"/>
      <c r="I21420" s="50"/>
      <c r="O21420" s="36" t="s">
        <v>48</v>
      </c>
      <c r="R21420" s="36" t="s">
        <v>48</v>
      </c>
    </row>
    <row r="21421">
      <c r="H21421" s="50"/>
      <c r="I21421" s="50"/>
      <c r="O21421" s="36" t="s">
        <v>48</v>
      </c>
      <c r="R21421" s="36" t="s">
        <v>48</v>
      </c>
    </row>
    <row r="21422">
      <c r="H21422" s="50"/>
      <c r="I21422" s="50"/>
      <c r="O21422" s="36" t="s">
        <v>48</v>
      </c>
      <c r="R21422" s="36" t="s">
        <v>48</v>
      </c>
    </row>
    <row r="21423">
      <c r="H21423" s="50"/>
      <c r="I21423" s="50"/>
      <c r="O21423" s="36" t="s">
        <v>48</v>
      </c>
      <c r="R21423" s="36" t="s">
        <v>48</v>
      </c>
    </row>
    <row r="21424">
      <c r="H21424" s="50"/>
      <c r="I21424" s="50"/>
      <c r="O21424" s="36" t="s">
        <v>48</v>
      </c>
      <c r="R21424" s="36" t="s">
        <v>48</v>
      </c>
    </row>
    <row r="21425">
      <c r="H21425" s="50"/>
      <c r="I21425" s="50"/>
      <c r="O21425" s="36" t="s">
        <v>48</v>
      </c>
      <c r="R21425" s="36" t="s">
        <v>48</v>
      </c>
    </row>
    <row r="21426">
      <c r="H21426" s="50"/>
      <c r="I21426" s="50"/>
      <c r="O21426" s="36" t="s">
        <v>48</v>
      </c>
      <c r="R21426" s="36" t="s">
        <v>48</v>
      </c>
    </row>
    <row r="21427">
      <c r="H21427" s="50"/>
      <c r="I21427" s="50"/>
      <c r="O21427" s="36" t="s">
        <v>48</v>
      </c>
      <c r="R21427" s="36" t="s">
        <v>48</v>
      </c>
    </row>
    <row r="21428">
      <c r="H21428" s="50"/>
      <c r="I21428" s="50"/>
      <c r="O21428" s="36" t="s">
        <v>48</v>
      </c>
      <c r="R21428" s="36" t="s">
        <v>48</v>
      </c>
    </row>
    <row r="21429">
      <c r="H21429" s="50"/>
      <c r="I21429" s="50"/>
      <c r="O21429" s="36" t="s">
        <v>48</v>
      </c>
      <c r="R21429" s="36" t="s">
        <v>48</v>
      </c>
    </row>
    <row r="21430">
      <c r="H21430" s="50"/>
      <c r="I21430" s="50"/>
      <c r="O21430" s="36" t="s">
        <v>48</v>
      </c>
      <c r="R21430" s="36" t="s">
        <v>48</v>
      </c>
    </row>
    <row r="21431">
      <c r="H21431" s="50"/>
      <c r="I21431" s="50"/>
      <c r="O21431" s="36" t="s">
        <v>48</v>
      </c>
      <c r="R21431" s="36" t="s">
        <v>48</v>
      </c>
    </row>
    <row r="21432">
      <c r="H21432" s="50"/>
      <c r="I21432" s="50"/>
      <c r="O21432" s="36" t="s">
        <v>48</v>
      </c>
      <c r="R21432" s="36" t="s">
        <v>48</v>
      </c>
    </row>
    <row r="21433">
      <c r="H21433" s="50"/>
      <c r="I21433" s="50"/>
      <c r="O21433" s="36" t="s">
        <v>48</v>
      </c>
      <c r="R21433" s="36" t="s">
        <v>48</v>
      </c>
    </row>
    <row r="21434">
      <c r="H21434" s="50"/>
      <c r="I21434" s="50"/>
      <c r="O21434" s="36" t="s">
        <v>48</v>
      </c>
      <c r="R21434" s="36" t="s">
        <v>48</v>
      </c>
    </row>
    <row r="21435">
      <c r="H21435" s="50"/>
      <c r="I21435" s="50"/>
      <c r="O21435" s="36" t="s">
        <v>48</v>
      </c>
      <c r="R21435" s="36" t="s">
        <v>48</v>
      </c>
    </row>
    <row r="21436">
      <c r="H21436" s="50"/>
      <c r="I21436" s="50"/>
      <c r="O21436" s="36" t="s">
        <v>48</v>
      </c>
      <c r="R21436" s="36" t="s">
        <v>48</v>
      </c>
    </row>
    <row r="21437">
      <c r="H21437" s="50"/>
      <c r="I21437" s="50"/>
      <c r="O21437" s="36" t="s">
        <v>48</v>
      </c>
      <c r="R21437" s="36" t="s">
        <v>48</v>
      </c>
    </row>
    <row r="21438">
      <c r="H21438" s="50"/>
      <c r="I21438" s="50"/>
      <c r="O21438" s="36" t="s">
        <v>48</v>
      </c>
      <c r="R21438" s="36" t="s">
        <v>48</v>
      </c>
    </row>
    <row r="21439">
      <c r="H21439" s="50"/>
      <c r="I21439" s="50"/>
      <c r="O21439" s="36" t="s">
        <v>48</v>
      </c>
      <c r="R21439" s="36" t="s">
        <v>48</v>
      </c>
    </row>
    <row r="21440">
      <c r="H21440" s="50"/>
      <c r="I21440" s="50"/>
      <c r="O21440" s="36" t="s">
        <v>48</v>
      </c>
      <c r="R21440" s="36" t="s">
        <v>48</v>
      </c>
    </row>
    <row r="21441">
      <c r="H21441" s="50"/>
      <c r="I21441" s="50"/>
      <c r="O21441" s="36" t="s">
        <v>48</v>
      </c>
      <c r="R21441" s="36" t="s">
        <v>48</v>
      </c>
    </row>
    <row r="21442">
      <c r="H21442" s="50"/>
      <c r="I21442" s="50"/>
      <c r="O21442" s="36" t="s">
        <v>48</v>
      </c>
      <c r="R21442" s="36" t="s">
        <v>48</v>
      </c>
    </row>
    <row r="21443">
      <c r="H21443" s="50"/>
      <c r="I21443" s="50"/>
      <c r="O21443" s="36" t="s">
        <v>48</v>
      </c>
      <c r="R21443" s="36" t="s">
        <v>48</v>
      </c>
    </row>
    <row r="21444">
      <c r="H21444" s="50"/>
      <c r="I21444" s="50"/>
      <c r="O21444" s="36" t="s">
        <v>48</v>
      </c>
      <c r="R21444" s="36" t="s">
        <v>48</v>
      </c>
    </row>
    <row r="21445">
      <c r="H21445" s="50"/>
      <c r="I21445" s="50"/>
      <c r="O21445" s="36" t="s">
        <v>48</v>
      </c>
      <c r="R21445" s="36" t="s">
        <v>48</v>
      </c>
    </row>
    <row r="21446">
      <c r="H21446" s="50"/>
      <c r="I21446" s="50"/>
      <c r="O21446" s="36" t="s">
        <v>48</v>
      </c>
      <c r="R21446" s="36" t="s">
        <v>48</v>
      </c>
    </row>
    <row r="21447">
      <c r="H21447" s="50"/>
      <c r="I21447" s="50"/>
      <c r="O21447" s="36" t="s">
        <v>48</v>
      </c>
      <c r="R21447" s="36" t="s">
        <v>48</v>
      </c>
    </row>
    <row r="21448">
      <c r="H21448" s="50"/>
      <c r="I21448" s="50"/>
      <c r="O21448" s="36" t="s">
        <v>48</v>
      </c>
      <c r="R21448" s="36" t="s">
        <v>48</v>
      </c>
    </row>
    <row r="21449">
      <c r="H21449" s="50"/>
      <c r="I21449" s="50"/>
      <c r="O21449" s="36" t="s">
        <v>48</v>
      </c>
      <c r="R21449" s="36" t="s">
        <v>48</v>
      </c>
    </row>
    <row r="21450">
      <c r="H21450" s="50"/>
      <c r="I21450" s="50"/>
      <c r="O21450" s="36" t="s">
        <v>48</v>
      </c>
      <c r="R21450" s="36" t="s">
        <v>48</v>
      </c>
    </row>
    <row r="21451">
      <c r="H21451" s="50"/>
      <c r="I21451" s="50"/>
      <c r="O21451" s="36" t="s">
        <v>48</v>
      </c>
      <c r="R21451" s="36" t="s">
        <v>48</v>
      </c>
    </row>
    <row r="21452">
      <c r="H21452" s="50"/>
      <c r="I21452" s="50"/>
      <c r="O21452" s="36" t="s">
        <v>48</v>
      </c>
      <c r="R21452" s="36" t="s">
        <v>48</v>
      </c>
    </row>
    <row r="21453">
      <c r="H21453" s="50"/>
      <c r="I21453" s="50"/>
      <c r="O21453" s="36" t="s">
        <v>48</v>
      </c>
      <c r="R21453" s="36" t="s">
        <v>48</v>
      </c>
    </row>
    <row r="21454">
      <c r="H21454" s="50"/>
      <c r="I21454" s="50"/>
      <c r="O21454" s="36" t="s">
        <v>48</v>
      </c>
      <c r="R21454" s="36" t="s">
        <v>48</v>
      </c>
    </row>
    <row r="21455">
      <c r="H21455" s="50"/>
      <c r="I21455" s="50"/>
      <c r="O21455" s="36" t="s">
        <v>48</v>
      </c>
      <c r="R21455" s="36" t="s">
        <v>48</v>
      </c>
    </row>
    <row r="21456">
      <c r="H21456" s="50"/>
      <c r="I21456" s="50"/>
      <c r="O21456" s="36" t="s">
        <v>48</v>
      </c>
      <c r="R21456" s="36" t="s">
        <v>48</v>
      </c>
    </row>
    <row r="21457">
      <c r="H21457" s="50"/>
      <c r="I21457" s="50"/>
      <c r="O21457" s="36" t="s">
        <v>48</v>
      </c>
      <c r="R21457" s="36" t="s">
        <v>48</v>
      </c>
    </row>
    <row r="21458">
      <c r="H21458" s="50"/>
      <c r="I21458" s="50"/>
      <c r="O21458" s="36" t="s">
        <v>48</v>
      </c>
      <c r="R21458" s="36" t="s">
        <v>48</v>
      </c>
    </row>
    <row r="21459">
      <c r="H21459" s="50"/>
      <c r="I21459" s="50"/>
      <c r="O21459" s="36" t="s">
        <v>48</v>
      </c>
      <c r="R21459" s="36" t="s">
        <v>48</v>
      </c>
    </row>
    <row r="21460">
      <c r="H21460" s="50"/>
      <c r="I21460" s="50"/>
      <c r="O21460" s="36" t="s">
        <v>48</v>
      </c>
      <c r="R21460" s="36" t="s">
        <v>48</v>
      </c>
    </row>
    <row r="21461">
      <c r="H21461" s="50"/>
      <c r="I21461" s="50"/>
      <c r="O21461" s="36" t="s">
        <v>48</v>
      </c>
      <c r="R21461" s="36" t="s">
        <v>48</v>
      </c>
    </row>
    <row r="21462">
      <c r="H21462" s="50"/>
      <c r="I21462" s="50"/>
      <c r="O21462" s="36" t="s">
        <v>48</v>
      </c>
      <c r="R21462" s="36" t="s">
        <v>48</v>
      </c>
    </row>
    <row r="21463">
      <c r="H21463" s="50"/>
      <c r="I21463" s="50"/>
      <c r="O21463" s="36" t="s">
        <v>48</v>
      </c>
      <c r="R21463" s="36" t="s">
        <v>48</v>
      </c>
    </row>
    <row r="21464">
      <c r="H21464" s="50"/>
      <c r="I21464" s="50"/>
      <c r="O21464" s="36" t="s">
        <v>48</v>
      </c>
      <c r="R21464" s="36" t="s">
        <v>48</v>
      </c>
    </row>
    <row r="21465">
      <c r="H21465" s="50"/>
      <c r="I21465" s="50"/>
      <c r="O21465" s="36" t="s">
        <v>48</v>
      </c>
      <c r="R21465" s="36" t="s">
        <v>48</v>
      </c>
    </row>
    <row r="21466">
      <c r="H21466" s="50"/>
      <c r="I21466" s="50"/>
      <c r="O21466" s="36" t="s">
        <v>48</v>
      </c>
      <c r="R21466" s="36" t="s">
        <v>48</v>
      </c>
    </row>
    <row r="21467">
      <c r="H21467" s="50"/>
      <c r="I21467" s="50"/>
      <c r="O21467" s="36" t="s">
        <v>48</v>
      </c>
      <c r="R21467" s="36" t="s">
        <v>48</v>
      </c>
    </row>
    <row r="21468">
      <c r="H21468" s="50"/>
      <c r="I21468" s="50"/>
      <c r="O21468" s="36" t="s">
        <v>48</v>
      </c>
      <c r="R21468" s="36" t="s">
        <v>48</v>
      </c>
    </row>
    <row r="21469">
      <c r="H21469" s="50"/>
      <c r="I21469" s="50"/>
      <c r="O21469" s="36" t="s">
        <v>48</v>
      </c>
      <c r="R21469" s="36" t="s">
        <v>48</v>
      </c>
    </row>
    <row r="21470">
      <c r="H21470" s="50"/>
      <c r="I21470" s="50"/>
      <c r="O21470" s="36" t="s">
        <v>48</v>
      </c>
      <c r="R21470" s="36" t="s">
        <v>48</v>
      </c>
    </row>
    <row r="21471">
      <c r="H21471" s="50"/>
      <c r="I21471" s="50"/>
      <c r="O21471" s="36" t="s">
        <v>48</v>
      </c>
      <c r="R21471" s="36" t="s">
        <v>48</v>
      </c>
    </row>
    <row r="21472">
      <c r="H21472" s="50"/>
      <c r="I21472" s="50"/>
      <c r="O21472" s="36" t="s">
        <v>48</v>
      </c>
      <c r="R21472" s="36" t="s">
        <v>48</v>
      </c>
    </row>
    <row r="21473">
      <c r="H21473" s="50"/>
      <c r="I21473" s="50"/>
      <c r="O21473" s="36" t="s">
        <v>48</v>
      </c>
      <c r="R21473" s="36" t="s">
        <v>48</v>
      </c>
    </row>
    <row r="21474">
      <c r="H21474" s="50"/>
      <c r="I21474" s="50"/>
      <c r="O21474" s="36" t="s">
        <v>48</v>
      </c>
      <c r="R21474" s="36" t="s">
        <v>48</v>
      </c>
    </row>
    <row r="21475">
      <c r="H21475" s="50"/>
      <c r="I21475" s="50"/>
      <c r="O21475" s="36" t="s">
        <v>48</v>
      </c>
      <c r="R21475" s="36" t="s">
        <v>48</v>
      </c>
    </row>
    <row r="21476">
      <c r="H21476" s="50"/>
      <c r="I21476" s="50"/>
      <c r="O21476" s="36" t="s">
        <v>48</v>
      </c>
      <c r="R21476" s="36" t="s">
        <v>48</v>
      </c>
    </row>
    <row r="21477">
      <c r="H21477" s="50"/>
      <c r="I21477" s="50"/>
      <c r="O21477" s="36" t="s">
        <v>48</v>
      </c>
      <c r="R21477" s="36" t="s">
        <v>48</v>
      </c>
    </row>
    <row r="21478">
      <c r="H21478" s="50"/>
      <c r="I21478" s="50"/>
      <c r="O21478" s="36" t="s">
        <v>48</v>
      </c>
      <c r="R21478" s="36" t="s">
        <v>48</v>
      </c>
    </row>
    <row r="21479">
      <c r="H21479" s="50"/>
      <c r="I21479" s="50"/>
      <c r="O21479" s="36" t="s">
        <v>48</v>
      </c>
      <c r="R21479" s="36" t="s">
        <v>48</v>
      </c>
    </row>
    <row r="21480">
      <c r="H21480" s="50"/>
      <c r="I21480" s="50"/>
      <c r="O21480" s="36" t="s">
        <v>48</v>
      </c>
      <c r="R21480" s="36" t="s">
        <v>48</v>
      </c>
    </row>
    <row r="21481">
      <c r="H21481" s="50"/>
      <c r="I21481" s="50"/>
      <c r="O21481" s="36" t="s">
        <v>48</v>
      </c>
      <c r="R21481" s="36" t="s">
        <v>48</v>
      </c>
    </row>
    <row r="21482">
      <c r="H21482" s="50"/>
      <c r="I21482" s="50"/>
      <c r="O21482" s="36" t="s">
        <v>48</v>
      </c>
      <c r="R21482" s="36" t="s">
        <v>48</v>
      </c>
    </row>
    <row r="21483">
      <c r="H21483" s="50"/>
      <c r="I21483" s="50"/>
      <c r="O21483" s="36" t="s">
        <v>48</v>
      </c>
      <c r="R21483" s="36" t="s">
        <v>48</v>
      </c>
    </row>
    <row r="21484">
      <c r="H21484" s="50"/>
      <c r="I21484" s="50"/>
      <c r="O21484" s="36" t="s">
        <v>48</v>
      </c>
      <c r="R21484" s="36" t="s">
        <v>48</v>
      </c>
    </row>
    <row r="21485">
      <c r="H21485" s="50"/>
      <c r="I21485" s="50"/>
      <c r="O21485" s="36" t="s">
        <v>48</v>
      </c>
      <c r="R21485" s="36" t="s">
        <v>48</v>
      </c>
    </row>
    <row r="21486">
      <c r="H21486" s="50"/>
      <c r="I21486" s="50"/>
      <c r="O21486" s="36" t="s">
        <v>48</v>
      </c>
      <c r="R21486" s="36" t="s">
        <v>48</v>
      </c>
    </row>
    <row r="21487">
      <c r="H21487" s="50"/>
      <c r="I21487" s="50"/>
      <c r="O21487" s="36" t="s">
        <v>48</v>
      </c>
      <c r="R21487" s="36" t="s">
        <v>48</v>
      </c>
    </row>
    <row r="21488">
      <c r="H21488" s="50"/>
      <c r="I21488" s="50"/>
      <c r="O21488" s="36" t="s">
        <v>48</v>
      </c>
      <c r="R21488" s="36" t="s">
        <v>48</v>
      </c>
    </row>
    <row r="21489">
      <c r="H21489" s="50"/>
      <c r="I21489" s="50"/>
      <c r="O21489" s="36" t="s">
        <v>48</v>
      </c>
      <c r="R21489" s="36" t="s">
        <v>48</v>
      </c>
    </row>
    <row r="21490">
      <c r="H21490" s="50"/>
      <c r="I21490" s="50"/>
      <c r="O21490" s="36" t="s">
        <v>48</v>
      </c>
      <c r="R21490" s="36" t="s">
        <v>48</v>
      </c>
    </row>
    <row r="21491">
      <c r="H21491" s="50"/>
      <c r="I21491" s="50"/>
      <c r="O21491" s="36" t="s">
        <v>48</v>
      </c>
      <c r="R21491" s="36" t="s">
        <v>48</v>
      </c>
    </row>
    <row r="21492">
      <c r="H21492" s="50"/>
      <c r="I21492" s="50"/>
      <c r="O21492" s="36" t="s">
        <v>48</v>
      </c>
      <c r="R21492" s="36" t="s">
        <v>48</v>
      </c>
    </row>
    <row r="21493">
      <c r="H21493" s="50"/>
      <c r="I21493" s="50"/>
      <c r="O21493" s="36" t="s">
        <v>48</v>
      </c>
      <c r="R21493" s="36" t="s">
        <v>48</v>
      </c>
    </row>
    <row r="21494">
      <c r="H21494" s="50"/>
      <c r="I21494" s="50"/>
      <c r="O21494" s="36" t="s">
        <v>48</v>
      </c>
      <c r="R21494" s="36" t="s">
        <v>48</v>
      </c>
    </row>
    <row r="21495">
      <c r="H21495" s="50"/>
      <c r="I21495" s="50"/>
      <c r="O21495" s="36" t="s">
        <v>48</v>
      </c>
      <c r="R21495" s="36" t="s">
        <v>48</v>
      </c>
    </row>
    <row r="21496">
      <c r="H21496" s="50"/>
      <c r="I21496" s="50"/>
      <c r="O21496" s="36" t="s">
        <v>48</v>
      </c>
      <c r="R21496" s="36" t="s">
        <v>48</v>
      </c>
    </row>
    <row r="21497">
      <c r="H21497" s="50"/>
      <c r="I21497" s="50"/>
      <c r="O21497" s="36" t="s">
        <v>48</v>
      </c>
      <c r="R21497" s="36" t="s">
        <v>48</v>
      </c>
    </row>
    <row r="21498">
      <c r="H21498" s="50"/>
      <c r="I21498" s="50"/>
      <c r="O21498" s="36" t="s">
        <v>48</v>
      </c>
      <c r="R21498" s="36" t="s">
        <v>48</v>
      </c>
    </row>
    <row r="21499">
      <c r="H21499" s="50"/>
      <c r="I21499" s="50"/>
      <c r="O21499" s="36" t="s">
        <v>48</v>
      </c>
      <c r="R21499" s="36" t="s">
        <v>48</v>
      </c>
    </row>
    <row r="21500">
      <c r="H21500" s="50"/>
      <c r="I21500" s="50"/>
      <c r="O21500" s="36" t="s">
        <v>48</v>
      </c>
      <c r="R21500" s="36" t="s">
        <v>48</v>
      </c>
    </row>
    <row r="21501">
      <c r="H21501" s="50"/>
      <c r="I21501" s="50"/>
      <c r="O21501" s="36" t="s">
        <v>48</v>
      </c>
      <c r="R21501" s="36" t="s">
        <v>48</v>
      </c>
    </row>
    <row r="21502">
      <c r="H21502" s="50"/>
      <c r="I21502" s="50"/>
      <c r="O21502" s="36" t="s">
        <v>48</v>
      </c>
      <c r="R21502" s="36" t="s">
        <v>48</v>
      </c>
    </row>
    <row r="21503">
      <c r="H21503" s="50"/>
      <c r="I21503" s="50"/>
      <c r="O21503" s="36" t="s">
        <v>48</v>
      </c>
      <c r="R21503" s="36" t="s">
        <v>48</v>
      </c>
    </row>
    <row r="21504">
      <c r="H21504" s="50"/>
      <c r="I21504" s="50"/>
      <c r="O21504" s="36" t="s">
        <v>48</v>
      </c>
      <c r="R21504" s="36" t="s">
        <v>48</v>
      </c>
    </row>
    <row r="21505">
      <c r="H21505" s="50"/>
      <c r="I21505" s="50"/>
      <c r="O21505" s="36" t="s">
        <v>48</v>
      </c>
      <c r="R21505" s="36" t="s">
        <v>48</v>
      </c>
    </row>
    <row r="21506">
      <c r="H21506" s="50"/>
      <c r="I21506" s="50"/>
      <c r="O21506" s="36" t="s">
        <v>48</v>
      </c>
      <c r="R21506" s="36" t="s">
        <v>48</v>
      </c>
    </row>
    <row r="21507">
      <c r="H21507" s="50"/>
      <c r="I21507" s="50"/>
      <c r="O21507" s="36" t="s">
        <v>48</v>
      </c>
      <c r="R21507" s="36" t="s">
        <v>48</v>
      </c>
    </row>
    <row r="21508">
      <c r="H21508" s="50"/>
      <c r="I21508" s="50"/>
      <c r="O21508" s="36" t="s">
        <v>48</v>
      </c>
      <c r="R21508" s="36" t="s">
        <v>48</v>
      </c>
    </row>
    <row r="21509">
      <c r="H21509" s="50"/>
      <c r="I21509" s="50"/>
      <c r="O21509" s="36" t="s">
        <v>48</v>
      </c>
      <c r="R21509" s="36" t="s">
        <v>48</v>
      </c>
    </row>
    <row r="21510">
      <c r="H21510" s="50"/>
      <c r="I21510" s="50"/>
      <c r="O21510" s="36" t="s">
        <v>48</v>
      </c>
      <c r="R21510" s="36" t="s">
        <v>48</v>
      </c>
    </row>
    <row r="21511">
      <c r="H21511" s="50"/>
      <c r="I21511" s="50"/>
      <c r="O21511" s="36" t="s">
        <v>48</v>
      </c>
      <c r="R21511" s="36" t="s">
        <v>48</v>
      </c>
    </row>
    <row r="21512">
      <c r="H21512" s="50"/>
      <c r="I21512" s="50"/>
      <c r="O21512" s="36" t="s">
        <v>48</v>
      </c>
      <c r="R21512" s="36" t="s">
        <v>48</v>
      </c>
    </row>
    <row r="21513">
      <c r="H21513" s="50"/>
      <c r="I21513" s="50"/>
      <c r="O21513" s="36" t="s">
        <v>48</v>
      </c>
      <c r="R21513" s="36" t="s">
        <v>48</v>
      </c>
    </row>
    <row r="21514">
      <c r="H21514" s="50"/>
      <c r="I21514" s="50"/>
      <c r="O21514" s="36" t="s">
        <v>48</v>
      </c>
      <c r="R21514" s="36" t="s">
        <v>48</v>
      </c>
    </row>
    <row r="21515">
      <c r="H21515" s="50"/>
      <c r="I21515" s="50"/>
      <c r="O21515" s="36" t="s">
        <v>48</v>
      </c>
      <c r="R21515" s="36" t="s">
        <v>48</v>
      </c>
    </row>
    <row r="21516">
      <c r="H21516" s="50"/>
      <c r="I21516" s="50"/>
      <c r="O21516" s="36" t="s">
        <v>48</v>
      </c>
      <c r="R21516" s="36" t="s">
        <v>48</v>
      </c>
    </row>
    <row r="21517">
      <c r="H21517" s="50"/>
      <c r="I21517" s="50"/>
      <c r="O21517" s="36" t="s">
        <v>48</v>
      </c>
      <c r="R21517" s="36" t="s">
        <v>48</v>
      </c>
    </row>
    <row r="21518">
      <c r="H21518" s="50"/>
      <c r="I21518" s="50"/>
      <c r="O21518" s="36" t="s">
        <v>48</v>
      </c>
      <c r="R21518" s="36" t="s">
        <v>48</v>
      </c>
    </row>
    <row r="21519">
      <c r="H21519" s="50"/>
      <c r="I21519" s="50"/>
      <c r="O21519" s="36" t="s">
        <v>48</v>
      </c>
      <c r="R21519" s="36" t="s">
        <v>48</v>
      </c>
    </row>
    <row r="21520">
      <c r="H21520" s="50"/>
      <c r="I21520" s="50"/>
      <c r="O21520" s="36" t="s">
        <v>48</v>
      </c>
      <c r="R21520" s="36" t="s">
        <v>48</v>
      </c>
    </row>
    <row r="21521">
      <c r="H21521" s="50"/>
      <c r="I21521" s="50"/>
      <c r="O21521" s="36" t="s">
        <v>48</v>
      </c>
      <c r="R21521" s="36" t="s">
        <v>48</v>
      </c>
    </row>
    <row r="21522">
      <c r="H21522" s="50"/>
      <c r="I21522" s="50"/>
      <c r="O21522" s="36" t="s">
        <v>48</v>
      </c>
      <c r="R21522" s="36" t="s">
        <v>48</v>
      </c>
    </row>
    <row r="21523">
      <c r="H21523" s="50"/>
      <c r="I21523" s="50"/>
      <c r="O21523" s="36" t="s">
        <v>48</v>
      </c>
      <c r="R21523" s="36" t="s">
        <v>48</v>
      </c>
    </row>
    <row r="21524">
      <c r="H21524" s="50"/>
      <c r="I21524" s="50"/>
      <c r="O21524" s="36" t="s">
        <v>48</v>
      </c>
      <c r="R21524" s="36" t="s">
        <v>48</v>
      </c>
    </row>
    <row r="21525">
      <c r="H21525" s="50"/>
      <c r="I21525" s="50"/>
      <c r="O21525" s="36" t="s">
        <v>48</v>
      </c>
      <c r="R21525" s="36" t="s">
        <v>48</v>
      </c>
    </row>
    <row r="21526">
      <c r="H21526" s="50"/>
      <c r="I21526" s="50"/>
      <c r="O21526" s="36" t="s">
        <v>48</v>
      </c>
      <c r="R21526" s="36" t="s">
        <v>48</v>
      </c>
    </row>
    <row r="21527">
      <c r="H21527" s="50"/>
      <c r="I21527" s="50"/>
      <c r="O21527" s="36" t="s">
        <v>48</v>
      </c>
      <c r="R21527" s="36" t="s">
        <v>48</v>
      </c>
    </row>
    <row r="21528">
      <c r="H21528" s="50"/>
      <c r="I21528" s="50"/>
      <c r="O21528" s="36" t="s">
        <v>48</v>
      </c>
      <c r="R21528" s="36" t="s">
        <v>48</v>
      </c>
    </row>
    <row r="21529">
      <c r="H21529" s="50"/>
      <c r="I21529" s="50"/>
      <c r="O21529" s="36" t="s">
        <v>48</v>
      </c>
      <c r="R21529" s="36" t="s">
        <v>48</v>
      </c>
    </row>
    <row r="21530">
      <c r="H21530" s="50"/>
      <c r="I21530" s="50"/>
      <c r="O21530" s="36" t="s">
        <v>48</v>
      </c>
      <c r="R21530" s="36" t="s">
        <v>48</v>
      </c>
    </row>
    <row r="21531">
      <c r="H21531" s="50"/>
      <c r="I21531" s="50"/>
      <c r="O21531" s="36" t="s">
        <v>48</v>
      </c>
      <c r="R21531" s="36" t="s">
        <v>48</v>
      </c>
    </row>
    <row r="21532">
      <c r="H21532" s="50"/>
      <c r="I21532" s="50"/>
      <c r="O21532" s="36" t="s">
        <v>48</v>
      </c>
      <c r="R21532" s="36" t="s">
        <v>48</v>
      </c>
    </row>
    <row r="21533">
      <c r="H21533" s="50"/>
      <c r="I21533" s="50"/>
      <c r="O21533" s="36" t="s">
        <v>48</v>
      </c>
      <c r="R21533" s="36" t="s">
        <v>48</v>
      </c>
    </row>
    <row r="21534">
      <c r="H21534" s="50"/>
      <c r="I21534" s="50"/>
      <c r="O21534" s="36" t="s">
        <v>48</v>
      </c>
      <c r="R21534" s="36" t="s">
        <v>48</v>
      </c>
    </row>
    <row r="21535">
      <c r="H21535" s="50"/>
      <c r="I21535" s="50"/>
      <c r="O21535" s="36" t="s">
        <v>48</v>
      </c>
      <c r="R21535" s="36" t="s">
        <v>48</v>
      </c>
    </row>
    <row r="21536">
      <c r="H21536" s="50"/>
      <c r="I21536" s="50"/>
      <c r="O21536" s="36" t="s">
        <v>48</v>
      </c>
      <c r="R21536" s="36" t="s">
        <v>48</v>
      </c>
    </row>
    <row r="21537">
      <c r="H21537" s="50"/>
      <c r="I21537" s="50"/>
      <c r="O21537" s="36" t="s">
        <v>48</v>
      </c>
      <c r="R21537" s="36" t="s">
        <v>48</v>
      </c>
    </row>
    <row r="21538">
      <c r="H21538" s="50"/>
      <c r="I21538" s="50"/>
      <c r="O21538" s="36" t="s">
        <v>48</v>
      </c>
      <c r="R21538" s="36" t="s">
        <v>48</v>
      </c>
    </row>
    <row r="21539">
      <c r="H21539" s="50"/>
      <c r="I21539" s="50"/>
      <c r="O21539" s="36" t="s">
        <v>48</v>
      </c>
      <c r="R21539" s="36" t="s">
        <v>48</v>
      </c>
    </row>
    <row r="21540">
      <c r="H21540" s="50"/>
      <c r="I21540" s="50"/>
      <c r="O21540" s="36" t="s">
        <v>48</v>
      </c>
      <c r="R21540" s="36" t="s">
        <v>48</v>
      </c>
    </row>
    <row r="21541">
      <c r="H21541" s="50"/>
      <c r="I21541" s="50"/>
      <c r="O21541" s="36" t="s">
        <v>48</v>
      </c>
      <c r="R21541" s="36" t="s">
        <v>48</v>
      </c>
    </row>
    <row r="21542">
      <c r="H21542" s="50"/>
      <c r="I21542" s="50"/>
      <c r="O21542" s="36" t="s">
        <v>48</v>
      </c>
      <c r="R21542" s="36" t="s">
        <v>48</v>
      </c>
    </row>
    <row r="21543">
      <c r="H21543" s="50"/>
      <c r="I21543" s="50"/>
      <c r="O21543" s="36" t="s">
        <v>48</v>
      </c>
      <c r="R21543" s="36" t="s">
        <v>48</v>
      </c>
    </row>
    <row r="21544">
      <c r="H21544" s="50"/>
      <c r="I21544" s="50"/>
      <c r="O21544" s="36" t="s">
        <v>48</v>
      </c>
      <c r="R21544" s="36" t="s">
        <v>48</v>
      </c>
    </row>
    <row r="21545">
      <c r="H21545" s="50"/>
      <c r="I21545" s="50"/>
      <c r="O21545" s="36" t="s">
        <v>48</v>
      </c>
      <c r="R21545" s="36" t="s">
        <v>48</v>
      </c>
    </row>
    <row r="21546">
      <c r="H21546" s="50"/>
      <c r="I21546" s="50"/>
      <c r="O21546" s="36" t="s">
        <v>48</v>
      </c>
      <c r="R21546" s="36" t="s">
        <v>48</v>
      </c>
    </row>
    <row r="21547">
      <c r="H21547" s="50"/>
      <c r="I21547" s="50"/>
      <c r="O21547" s="36" t="s">
        <v>48</v>
      </c>
      <c r="R21547" s="36" t="s">
        <v>48</v>
      </c>
    </row>
    <row r="21548">
      <c r="H21548" s="50"/>
      <c r="I21548" s="50"/>
      <c r="O21548" s="36" t="s">
        <v>48</v>
      </c>
      <c r="R21548" s="36" t="s">
        <v>48</v>
      </c>
    </row>
    <row r="21549">
      <c r="H21549" s="50"/>
      <c r="I21549" s="50"/>
      <c r="O21549" s="36" t="s">
        <v>48</v>
      </c>
      <c r="R21549" s="36" t="s">
        <v>48</v>
      </c>
    </row>
    <row r="21550">
      <c r="H21550" s="50"/>
      <c r="I21550" s="50"/>
      <c r="O21550" s="36" t="s">
        <v>48</v>
      </c>
      <c r="R21550" s="36" t="s">
        <v>48</v>
      </c>
    </row>
    <row r="21551">
      <c r="H21551" s="50"/>
      <c r="I21551" s="50"/>
      <c r="O21551" s="36" t="s">
        <v>48</v>
      </c>
      <c r="R21551" s="36" t="s">
        <v>48</v>
      </c>
    </row>
    <row r="21552">
      <c r="H21552" s="50"/>
      <c r="I21552" s="50"/>
      <c r="O21552" s="36" t="s">
        <v>48</v>
      </c>
      <c r="R21552" s="36" t="s">
        <v>48</v>
      </c>
    </row>
    <row r="21553">
      <c r="H21553" s="50"/>
      <c r="I21553" s="50"/>
      <c r="O21553" s="36" t="s">
        <v>48</v>
      </c>
      <c r="R21553" s="36" t="s">
        <v>48</v>
      </c>
    </row>
    <row r="21554">
      <c r="H21554" s="50"/>
      <c r="I21554" s="50"/>
      <c r="O21554" s="36" t="s">
        <v>48</v>
      </c>
      <c r="R21554" s="36" t="s">
        <v>48</v>
      </c>
    </row>
    <row r="21555">
      <c r="H21555" s="50"/>
      <c r="I21555" s="50"/>
      <c r="O21555" s="36" t="s">
        <v>48</v>
      </c>
      <c r="R21555" s="36" t="s">
        <v>48</v>
      </c>
    </row>
    <row r="21556">
      <c r="H21556" s="50"/>
      <c r="I21556" s="50"/>
      <c r="O21556" s="36" t="s">
        <v>48</v>
      </c>
      <c r="R21556" s="36" t="s">
        <v>48</v>
      </c>
    </row>
    <row r="21557">
      <c r="H21557" s="50"/>
      <c r="I21557" s="50"/>
      <c r="O21557" s="36" t="s">
        <v>48</v>
      </c>
      <c r="R21557" s="36" t="s">
        <v>48</v>
      </c>
    </row>
    <row r="21558">
      <c r="H21558" s="50"/>
      <c r="I21558" s="50"/>
      <c r="O21558" s="36" t="s">
        <v>48</v>
      </c>
      <c r="R21558" s="36" t="s">
        <v>48</v>
      </c>
    </row>
    <row r="21559">
      <c r="H21559" s="50"/>
      <c r="I21559" s="50"/>
      <c r="O21559" s="36" t="s">
        <v>48</v>
      </c>
      <c r="R21559" s="36" t="s">
        <v>48</v>
      </c>
    </row>
    <row r="21560">
      <c r="H21560" s="50"/>
      <c r="I21560" s="50"/>
      <c r="O21560" s="36" t="s">
        <v>48</v>
      </c>
      <c r="R21560" s="36" t="s">
        <v>48</v>
      </c>
    </row>
    <row r="21561">
      <c r="H21561" s="50"/>
      <c r="I21561" s="50"/>
      <c r="O21561" s="36" t="s">
        <v>48</v>
      </c>
      <c r="R21561" s="36" t="s">
        <v>48</v>
      </c>
    </row>
    <row r="21562">
      <c r="H21562" s="50"/>
      <c r="I21562" s="50"/>
      <c r="O21562" s="36" t="s">
        <v>48</v>
      </c>
      <c r="R21562" s="36" t="s">
        <v>48</v>
      </c>
    </row>
    <row r="21563">
      <c r="H21563" s="50"/>
      <c r="I21563" s="50"/>
      <c r="O21563" s="36" t="s">
        <v>48</v>
      </c>
      <c r="R21563" s="36" t="s">
        <v>48</v>
      </c>
    </row>
    <row r="21564">
      <c r="H21564" s="50"/>
      <c r="I21564" s="50"/>
      <c r="O21564" s="36" t="s">
        <v>48</v>
      </c>
      <c r="R21564" s="36" t="s">
        <v>48</v>
      </c>
    </row>
    <row r="21565">
      <c r="H21565" s="50"/>
      <c r="I21565" s="50"/>
      <c r="O21565" s="36" t="s">
        <v>48</v>
      </c>
      <c r="R21565" s="36" t="s">
        <v>48</v>
      </c>
    </row>
    <row r="21566">
      <c r="H21566" s="50"/>
      <c r="I21566" s="50"/>
      <c r="O21566" s="36" t="s">
        <v>48</v>
      </c>
      <c r="R21566" s="36" t="s">
        <v>48</v>
      </c>
    </row>
    <row r="21567">
      <c r="H21567" s="50"/>
      <c r="I21567" s="50"/>
      <c r="O21567" s="36" t="s">
        <v>48</v>
      </c>
      <c r="R21567" s="36" t="s">
        <v>48</v>
      </c>
    </row>
    <row r="21568">
      <c r="H21568" s="50"/>
      <c r="I21568" s="50"/>
      <c r="O21568" s="36" t="s">
        <v>48</v>
      </c>
      <c r="R21568" s="36" t="s">
        <v>48</v>
      </c>
    </row>
    <row r="21569">
      <c r="H21569" s="50"/>
      <c r="I21569" s="50"/>
      <c r="O21569" s="36" t="s">
        <v>48</v>
      </c>
      <c r="R21569" s="36" t="s">
        <v>48</v>
      </c>
    </row>
    <row r="21570">
      <c r="H21570" s="50"/>
      <c r="I21570" s="50"/>
      <c r="O21570" s="36" t="s">
        <v>48</v>
      </c>
      <c r="R21570" s="36" t="s">
        <v>48</v>
      </c>
    </row>
    <row r="21571">
      <c r="H21571" s="50"/>
      <c r="I21571" s="50"/>
      <c r="O21571" s="36" t="s">
        <v>48</v>
      </c>
      <c r="R21571" s="36" t="s">
        <v>48</v>
      </c>
    </row>
    <row r="21572">
      <c r="H21572" s="50"/>
      <c r="I21572" s="50"/>
      <c r="O21572" s="36" t="s">
        <v>48</v>
      </c>
      <c r="R21572" s="36" t="s">
        <v>48</v>
      </c>
    </row>
    <row r="21573">
      <c r="H21573" s="50"/>
      <c r="I21573" s="50"/>
      <c r="O21573" s="36" t="s">
        <v>48</v>
      </c>
      <c r="R21573" s="36" t="s">
        <v>48</v>
      </c>
    </row>
    <row r="21574">
      <c r="H21574" s="50"/>
      <c r="I21574" s="50"/>
      <c r="O21574" s="36" t="s">
        <v>48</v>
      </c>
      <c r="R21574" s="36" t="s">
        <v>48</v>
      </c>
    </row>
    <row r="21575">
      <c r="H21575" s="50"/>
      <c r="I21575" s="50"/>
      <c r="O21575" s="36" t="s">
        <v>48</v>
      </c>
      <c r="R21575" s="36" t="s">
        <v>48</v>
      </c>
    </row>
    <row r="21576">
      <c r="H21576" s="50"/>
      <c r="I21576" s="50"/>
      <c r="O21576" s="36" t="s">
        <v>48</v>
      </c>
      <c r="R21576" s="36" t="s">
        <v>48</v>
      </c>
    </row>
    <row r="21577">
      <c r="H21577" s="50"/>
      <c r="I21577" s="50"/>
      <c r="O21577" s="36" t="s">
        <v>48</v>
      </c>
      <c r="R21577" s="36" t="s">
        <v>48</v>
      </c>
    </row>
    <row r="21578">
      <c r="H21578" s="50"/>
      <c r="I21578" s="50"/>
      <c r="O21578" s="36" t="s">
        <v>48</v>
      </c>
      <c r="R21578" s="36" t="s">
        <v>48</v>
      </c>
    </row>
    <row r="21579">
      <c r="H21579" s="50"/>
      <c r="I21579" s="50"/>
      <c r="O21579" s="36" t="s">
        <v>48</v>
      </c>
      <c r="R21579" s="36" t="s">
        <v>48</v>
      </c>
    </row>
    <row r="21580">
      <c r="H21580" s="50"/>
      <c r="I21580" s="50"/>
      <c r="O21580" s="36" t="s">
        <v>48</v>
      </c>
      <c r="R21580" s="36" t="s">
        <v>48</v>
      </c>
    </row>
    <row r="21581">
      <c r="H21581" s="50"/>
      <c r="I21581" s="50"/>
      <c r="O21581" s="36" t="s">
        <v>48</v>
      </c>
      <c r="R21581" s="36" t="s">
        <v>48</v>
      </c>
    </row>
    <row r="21582">
      <c r="H21582" s="50"/>
      <c r="I21582" s="50"/>
      <c r="O21582" s="36" t="s">
        <v>48</v>
      </c>
      <c r="R21582" s="36" t="s">
        <v>48</v>
      </c>
    </row>
    <row r="21583">
      <c r="H21583" s="50"/>
      <c r="I21583" s="50"/>
      <c r="O21583" s="36" t="s">
        <v>48</v>
      </c>
      <c r="R21583" s="36" t="s">
        <v>48</v>
      </c>
    </row>
    <row r="21584">
      <c r="H21584" s="50"/>
      <c r="I21584" s="50"/>
      <c r="O21584" s="36" t="s">
        <v>48</v>
      </c>
      <c r="R21584" s="36" t="s">
        <v>48</v>
      </c>
    </row>
    <row r="21585">
      <c r="H21585" s="50"/>
      <c r="I21585" s="50"/>
      <c r="O21585" s="36" t="s">
        <v>48</v>
      </c>
      <c r="R21585" s="36" t="s">
        <v>48</v>
      </c>
    </row>
    <row r="21586">
      <c r="H21586" s="50"/>
      <c r="I21586" s="50"/>
      <c r="O21586" s="36" t="s">
        <v>48</v>
      </c>
      <c r="R21586" s="36" t="s">
        <v>48</v>
      </c>
    </row>
    <row r="21587">
      <c r="H21587" s="50"/>
      <c r="I21587" s="50"/>
      <c r="O21587" s="36" t="s">
        <v>48</v>
      </c>
      <c r="R21587" s="36" t="s">
        <v>48</v>
      </c>
    </row>
    <row r="21588">
      <c r="H21588" s="50"/>
      <c r="I21588" s="50"/>
      <c r="O21588" s="36" t="s">
        <v>48</v>
      </c>
      <c r="R21588" s="36" t="s">
        <v>48</v>
      </c>
    </row>
    <row r="21589">
      <c r="H21589" s="50"/>
      <c r="I21589" s="50"/>
      <c r="O21589" s="36" t="s">
        <v>48</v>
      </c>
      <c r="R21589" s="36" t="s">
        <v>48</v>
      </c>
    </row>
    <row r="21590">
      <c r="H21590" s="50"/>
      <c r="I21590" s="50"/>
      <c r="O21590" s="36" t="s">
        <v>48</v>
      </c>
      <c r="R21590" s="36" t="s">
        <v>48</v>
      </c>
    </row>
    <row r="21591">
      <c r="H21591" s="50"/>
      <c r="I21591" s="50"/>
      <c r="O21591" s="36" t="s">
        <v>48</v>
      </c>
      <c r="R21591" s="36" t="s">
        <v>48</v>
      </c>
    </row>
    <row r="21592">
      <c r="H21592" s="50"/>
      <c r="I21592" s="50"/>
      <c r="O21592" s="36" t="s">
        <v>48</v>
      </c>
      <c r="R21592" s="36" t="s">
        <v>48</v>
      </c>
    </row>
    <row r="21593">
      <c r="H21593" s="50"/>
      <c r="I21593" s="50"/>
      <c r="O21593" s="36" t="s">
        <v>48</v>
      </c>
      <c r="R21593" s="36" t="s">
        <v>48</v>
      </c>
    </row>
    <row r="21594">
      <c r="H21594" s="50"/>
      <c r="I21594" s="50"/>
      <c r="O21594" s="36" t="s">
        <v>48</v>
      </c>
      <c r="R21594" s="36" t="s">
        <v>48</v>
      </c>
    </row>
    <row r="21595">
      <c r="H21595" s="50"/>
      <c r="I21595" s="50"/>
      <c r="O21595" s="36" t="s">
        <v>48</v>
      </c>
      <c r="R21595" s="36" t="s">
        <v>48</v>
      </c>
    </row>
    <row r="21596">
      <c r="H21596" s="50"/>
      <c r="I21596" s="50"/>
      <c r="O21596" s="36" t="s">
        <v>48</v>
      </c>
      <c r="R21596" s="36" t="s">
        <v>48</v>
      </c>
    </row>
    <row r="21597">
      <c r="H21597" s="50"/>
      <c r="I21597" s="50"/>
      <c r="O21597" s="36" t="s">
        <v>48</v>
      </c>
      <c r="R21597" s="36" t="s">
        <v>48</v>
      </c>
    </row>
    <row r="21598">
      <c r="H21598" s="50"/>
      <c r="I21598" s="50"/>
      <c r="O21598" s="36" t="s">
        <v>48</v>
      </c>
      <c r="R21598" s="36" t="s">
        <v>48</v>
      </c>
    </row>
    <row r="21599">
      <c r="H21599" s="50"/>
      <c r="I21599" s="50"/>
      <c r="O21599" s="36" t="s">
        <v>48</v>
      </c>
      <c r="R21599" s="36" t="s">
        <v>48</v>
      </c>
    </row>
    <row r="21600">
      <c r="H21600" s="50"/>
      <c r="I21600" s="50"/>
      <c r="O21600" s="36" t="s">
        <v>48</v>
      </c>
      <c r="R21600" s="36" t="s">
        <v>48</v>
      </c>
    </row>
    <row r="21601">
      <c r="H21601" s="50"/>
      <c r="I21601" s="50"/>
      <c r="O21601" s="36" t="s">
        <v>48</v>
      </c>
      <c r="R21601" s="36" t="s">
        <v>48</v>
      </c>
    </row>
    <row r="21602">
      <c r="H21602" s="50"/>
      <c r="I21602" s="50"/>
      <c r="O21602" s="36" t="s">
        <v>48</v>
      </c>
      <c r="R21602" s="36" t="s">
        <v>48</v>
      </c>
    </row>
    <row r="21603">
      <c r="H21603" s="50"/>
      <c r="I21603" s="50"/>
      <c r="O21603" s="36" t="s">
        <v>48</v>
      </c>
      <c r="R21603" s="36" t="s">
        <v>48</v>
      </c>
    </row>
    <row r="21604">
      <c r="H21604" s="50"/>
      <c r="I21604" s="50"/>
      <c r="O21604" s="36" t="s">
        <v>48</v>
      </c>
      <c r="R21604" s="36" t="s">
        <v>48</v>
      </c>
    </row>
    <row r="21605">
      <c r="H21605" s="50"/>
      <c r="I21605" s="50"/>
      <c r="O21605" s="36" t="s">
        <v>48</v>
      </c>
      <c r="R21605" s="36" t="s">
        <v>48</v>
      </c>
    </row>
    <row r="21606">
      <c r="H21606" s="50"/>
      <c r="I21606" s="50"/>
      <c r="O21606" s="36" t="s">
        <v>48</v>
      </c>
      <c r="R21606" s="36" t="s">
        <v>48</v>
      </c>
    </row>
    <row r="21607">
      <c r="H21607" s="50"/>
      <c r="I21607" s="50"/>
      <c r="O21607" s="36" t="s">
        <v>48</v>
      </c>
      <c r="R21607" s="36" t="s">
        <v>48</v>
      </c>
    </row>
    <row r="21608">
      <c r="H21608" s="50"/>
      <c r="I21608" s="50"/>
      <c r="O21608" s="36" t="s">
        <v>48</v>
      </c>
      <c r="R21608" s="36" t="s">
        <v>48</v>
      </c>
    </row>
    <row r="21609">
      <c r="H21609" s="50"/>
      <c r="I21609" s="50"/>
      <c r="O21609" s="36" t="s">
        <v>48</v>
      </c>
      <c r="R21609" s="36" t="s">
        <v>48</v>
      </c>
    </row>
    <row r="21610">
      <c r="H21610" s="50"/>
      <c r="I21610" s="50"/>
      <c r="O21610" s="36" t="s">
        <v>48</v>
      </c>
      <c r="R21610" s="36" t="s">
        <v>48</v>
      </c>
    </row>
    <row r="21611">
      <c r="H21611" s="50"/>
      <c r="I21611" s="50"/>
      <c r="O21611" s="36" t="s">
        <v>48</v>
      </c>
      <c r="R21611" s="36" t="s">
        <v>48</v>
      </c>
    </row>
    <row r="21612">
      <c r="H21612" s="50"/>
      <c r="I21612" s="50"/>
      <c r="O21612" s="36" t="s">
        <v>48</v>
      </c>
      <c r="R21612" s="36" t="s">
        <v>48</v>
      </c>
    </row>
    <row r="21613">
      <c r="H21613" s="50"/>
      <c r="I21613" s="50"/>
      <c r="O21613" s="36" t="s">
        <v>48</v>
      </c>
      <c r="R21613" s="36" t="s">
        <v>48</v>
      </c>
    </row>
    <row r="21614">
      <c r="H21614" s="50"/>
      <c r="I21614" s="50"/>
      <c r="O21614" s="36" t="s">
        <v>48</v>
      </c>
      <c r="R21614" s="36" t="s">
        <v>48</v>
      </c>
    </row>
    <row r="21615">
      <c r="H21615" s="50"/>
      <c r="I21615" s="50"/>
      <c r="O21615" s="36" t="s">
        <v>48</v>
      </c>
      <c r="R21615" s="36" t="s">
        <v>48</v>
      </c>
    </row>
    <row r="21616">
      <c r="H21616" s="50"/>
      <c r="I21616" s="50"/>
      <c r="O21616" s="36" t="s">
        <v>48</v>
      </c>
      <c r="R21616" s="36" t="s">
        <v>48</v>
      </c>
    </row>
    <row r="21617">
      <c r="H21617" s="50"/>
      <c r="I21617" s="50"/>
      <c r="O21617" s="36" t="s">
        <v>48</v>
      </c>
      <c r="R21617" s="36" t="s">
        <v>48</v>
      </c>
    </row>
    <row r="21618">
      <c r="H21618" s="50"/>
      <c r="I21618" s="50"/>
      <c r="O21618" s="36" t="s">
        <v>48</v>
      </c>
      <c r="R21618" s="36" t="s">
        <v>48</v>
      </c>
    </row>
    <row r="21619">
      <c r="H21619" s="50"/>
      <c r="I21619" s="50"/>
      <c r="O21619" s="36" t="s">
        <v>48</v>
      </c>
      <c r="R21619" s="36" t="s">
        <v>48</v>
      </c>
    </row>
    <row r="21620">
      <c r="H21620" s="50"/>
      <c r="I21620" s="50"/>
      <c r="O21620" s="36" t="s">
        <v>48</v>
      </c>
      <c r="R21620" s="36" t="s">
        <v>48</v>
      </c>
    </row>
    <row r="21621">
      <c r="H21621" s="50"/>
      <c r="I21621" s="50"/>
      <c r="O21621" s="36" t="s">
        <v>48</v>
      </c>
      <c r="R21621" s="36" t="s">
        <v>48</v>
      </c>
    </row>
    <row r="21622">
      <c r="H21622" s="50"/>
      <c r="I21622" s="50"/>
      <c r="O21622" s="36" t="s">
        <v>48</v>
      </c>
      <c r="R21622" s="36" t="s">
        <v>48</v>
      </c>
    </row>
    <row r="21623">
      <c r="H21623" s="50"/>
      <c r="I21623" s="50"/>
      <c r="O21623" s="36" t="s">
        <v>48</v>
      </c>
      <c r="R21623" s="36" t="s">
        <v>48</v>
      </c>
    </row>
    <row r="21624">
      <c r="H21624" s="50"/>
      <c r="I21624" s="50"/>
      <c r="O21624" s="36" t="s">
        <v>48</v>
      </c>
      <c r="R21624" s="36" t="s">
        <v>48</v>
      </c>
    </row>
    <row r="21625">
      <c r="H21625" s="50"/>
      <c r="I21625" s="50"/>
      <c r="O21625" s="36" t="s">
        <v>48</v>
      </c>
      <c r="R21625" s="36" t="s">
        <v>48</v>
      </c>
    </row>
    <row r="21626">
      <c r="H21626" s="50"/>
      <c r="I21626" s="50"/>
      <c r="O21626" s="36" t="s">
        <v>48</v>
      </c>
      <c r="R21626" s="36" t="s">
        <v>48</v>
      </c>
    </row>
    <row r="21627">
      <c r="H21627" s="50"/>
      <c r="I21627" s="50"/>
      <c r="O21627" s="36" t="s">
        <v>48</v>
      </c>
      <c r="R21627" s="36" t="s">
        <v>48</v>
      </c>
    </row>
    <row r="21628">
      <c r="H21628" s="50"/>
      <c r="I21628" s="50"/>
      <c r="O21628" s="36" t="s">
        <v>48</v>
      </c>
      <c r="R21628" s="36" t="s">
        <v>48</v>
      </c>
    </row>
    <row r="21629">
      <c r="H21629" s="50"/>
      <c r="I21629" s="50"/>
      <c r="O21629" s="36" t="s">
        <v>48</v>
      </c>
      <c r="R21629" s="36" t="s">
        <v>48</v>
      </c>
    </row>
    <row r="21630">
      <c r="H21630" s="50"/>
      <c r="I21630" s="50"/>
      <c r="O21630" s="36" t="s">
        <v>48</v>
      </c>
      <c r="R21630" s="36" t="s">
        <v>48</v>
      </c>
    </row>
    <row r="21631">
      <c r="H21631" s="50"/>
      <c r="I21631" s="50"/>
      <c r="O21631" s="36" t="s">
        <v>48</v>
      </c>
      <c r="R21631" s="36" t="s">
        <v>48</v>
      </c>
    </row>
    <row r="21632">
      <c r="H21632" s="50"/>
      <c r="I21632" s="50"/>
      <c r="O21632" s="36" t="s">
        <v>48</v>
      </c>
      <c r="R21632" s="36" t="s">
        <v>48</v>
      </c>
    </row>
    <row r="21633">
      <c r="H21633" s="50"/>
      <c r="I21633" s="50"/>
      <c r="O21633" s="36" t="s">
        <v>48</v>
      </c>
      <c r="R21633" s="36" t="s">
        <v>48</v>
      </c>
    </row>
    <row r="21634">
      <c r="H21634" s="50"/>
      <c r="I21634" s="50"/>
      <c r="O21634" s="36" t="s">
        <v>48</v>
      </c>
      <c r="R21634" s="36" t="s">
        <v>48</v>
      </c>
    </row>
    <row r="21635">
      <c r="H21635" s="50"/>
      <c r="I21635" s="50"/>
      <c r="O21635" s="36" t="s">
        <v>48</v>
      </c>
      <c r="R21635" s="36" t="s">
        <v>48</v>
      </c>
    </row>
    <row r="21636">
      <c r="H21636" s="50"/>
      <c r="I21636" s="50"/>
      <c r="O21636" s="36" t="s">
        <v>48</v>
      </c>
      <c r="R21636" s="36" t="s">
        <v>48</v>
      </c>
    </row>
    <row r="21637">
      <c r="H21637" s="50"/>
      <c r="I21637" s="50"/>
      <c r="O21637" s="36" t="s">
        <v>48</v>
      </c>
      <c r="R21637" s="36" t="s">
        <v>48</v>
      </c>
    </row>
    <row r="21638">
      <c r="H21638" s="50"/>
      <c r="I21638" s="50"/>
      <c r="O21638" s="36" t="s">
        <v>48</v>
      </c>
      <c r="R21638" s="36" t="s">
        <v>48</v>
      </c>
    </row>
    <row r="21639">
      <c r="H21639" s="50"/>
      <c r="I21639" s="50"/>
      <c r="O21639" s="36" t="s">
        <v>48</v>
      </c>
      <c r="R21639" s="36" t="s">
        <v>48</v>
      </c>
    </row>
    <row r="21640">
      <c r="H21640" s="50"/>
      <c r="I21640" s="50"/>
      <c r="O21640" s="36" t="s">
        <v>48</v>
      </c>
      <c r="R21640" s="36" t="s">
        <v>48</v>
      </c>
    </row>
    <row r="21641">
      <c r="H21641" s="50"/>
      <c r="I21641" s="50"/>
      <c r="O21641" s="36" t="s">
        <v>48</v>
      </c>
      <c r="R21641" s="36" t="s">
        <v>48</v>
      </c>
    </row>
    <row r="21642">
      <c r="H21642" s="50"/>
      <c r="I21642" s="50"/>
      <c r="O21642" s="36" t="s">
        <v>48</v>
      </c>
      <c r="R21642" s="36" t="s">
        <v>48</v>
      </c>
    </row>
    <row r="21643">
      <c r="H21643" s="50"/>
      <c r="I21643" s="50"/>
      <c r="O21643" s="36" t="s">
        <v>48</v>
      </c>
      <c r="R21643" s="36" t="s">
        <v>48</v>
      </c>
    </row>
    <row r="21644">
      <c r="H21644" s="50"/>
      <c r="I21644" s="50"/>
      <c r="O21644" s="36" t="s">
        <v>48</v>
      </c>
      <c r="R21644" s="36" t="s">
        <v>48</v>
      </c>
    </row>
    <row r="21645">
      <c r="H21645" s="50"/>
      <c r="I21645" s="50"/>
      <c r="O21645" s="36" t="s">
        <v>48</v>
      </c>
      <c r="R21645" s="36" t="s">
        <v>48</v>
      </c>
    </row>
    <row r="21646">
      <c r="H21646" s="50"/>
      <c r="I21646" s="50"/>
      <c r="O21646" s="36" t="s">
        <v>48</v>
      </c>
      <c r="R21646" s="36" t="s">
        <v>48</v>
      </c>
    </row>
    <row r="21647">
      <c r="H21647" s="50"/>
      <c r="I21647" s="50"/>
      <c r="O21647" s="36" t="s">
        <v>48</v>
      </c>
      <c r="R21647" s="36" t="s">
        <v>48</v>
      </c>
    </row>
    <row r="21648">
      <c r="H21648" s="50"/>
      <c r="I21648" s="50"/>
      <c r="O21648" s="36" t="s">
        <v>48</v>
      </c>
      <c r="R21648" s="36" t="s">
        <v>48</v>
      </c>
    </row>
    <row r="21649">
      <c r="H21649" s="50"/>
      <c r="I21649" s="50"/>
      <c r="O21649" s="36" t="s">
        <v>48</v>
      </c>
      <c r="R21649" s="36" t="s">
        <v>48</v>
      </c>
    </row>
    <row r="21650">
      <c r="H21650" s="50"/>
      <c r="I21650" s="50"/>
      <c r="O21650" s="36" t="s">
        <v>48</v>
      </c>
      <c r="R21650" s="36" t="s">
        <v>48</v>
      </c>
    </row>
    <row r="21651">
      <c r="H21651" s="50"/>
      <c r="I21651" s="50"/>
      <c r="O21651" s="36" t="s">
        <v>48</v>
      </c>
      <c r="R21651" s="36" t="s">
        <v>48</v>
      </c>
    </row>
    <row r="21652">
      <c r="H21652" s="50"/>
      <c r="I21652" s="50"/>
      <c r="O21652" s="36" t="s">
        <v>48</v>
      </c>
      <c r="R21652" s="36" t="s">
        <v>48</v>
      </c>
    </row>
    <row r="21653">
      <c r="H21653" s="50"/>
      <c r="I21653" s="50"/>
      <c r="O21653" s="36" t="s">
        <v>48</v>
      </c>
      <c r="R21653" s="36" t="s">
        <v>48</v>
      </c>
    </row>
    <row r="21654">
      <c r="H21654" s="50"/>
      <c r="I21654" s="50"/>
      <c r="O21654" s="36" t="s">
        <v>48</v>
      </c>
      <c r="R21654" s="36" t="s">
        <v>48</v>
      </c>
    </row>
    <row r="21655">
      <c r="H21655" s="50"/>
      <c r="I21655" s="50"/>
      <c r="O21655" s="36" t="s">
        <v>48</v>
      </c>
      <c r="R21655" s="36" t="s">
        <v>48</v>
      </c>
    </row>
    <row r="21656">
      <c r="H21656" s="50"/>
      <c r="I21656" s="50"/>
      <c r="O21656" s="36" t="s">
        <v>48</v>
      </c>
      <c r="R21656" s="36" t="s">
        <v>48</v>
      </c>
    </row>
    <row r="21657">
      <c r="H21657" s="50"/>
      <c r="I21657" s="50"/>
      <c r="O21657" s="36" t="s">
        <v>48</v>
      </c>
      <c r="R21657" s="36" t="s">
        <v>48</v>
      </c>
    </row>
    <row r="21658">
      <c r="H21658" s="50"/>
      <c r="I21658" s="50"/>
      <c r="O21658" s="36" t="s">
        <v>48</v>
      </c>
      <c r="R21658" s="36" t="s">
        <v>48</v>
      </c>
    </row>
    <row r="21659">
      <c r="H21659" s="50"/>
      <c r="I21659" s="50"/>
      <c r="O21659" s="36" t="s">
        <v>48</v>
      </c>
      <c r="R21659" s="36" t="s">
        <v>48</v>
      </c>
    </row>
    <row r="21660">
      <c r="H21660" s="50"/>
      <c r="I21660" s="50"/>
      <c r="O21660" s="36" t="s">
        <v>48</v>
      </c>
      <c r="R21660" s="36" t="s">
        <v>48</v>
      </c>
    </row>
    <row r="21661">
      <c r="H21661" s="50"/>
      <c r="I21661" s="50"/>
      <c r="O21661" s="36" t="s">
        <v>48</v>
      </c>
      <c r="R21661" s="36" t="s">
        <v>48</v>
      </c>
    </row>
    <row r="21662">
      <c r="H21662" s="50"/>
      <c r="I21662" s="50"/>
      <c r="O21662" s="36" t="s">
        <v>48</v>
      </c>
      <c r="R21662" s="36" t="s">
        <v>48</v>
      </c>
    </row>
    <row r="21663">
      <c r="H21663" s="50"/>
      <c r="I21663" s="50"/>
      <c r="O21663" s="36" t="s">
        <v>48</v>
      </c>
      <c r="R21663" s="36" t="s">
        <v>48</v>
      </c>
    </row>
    <row r="21664">
      <c r="H21664" s="50"/>
      <c r="I21664" s="50"/>
      <c r="O21664" s="36" t="s">
        <v>48</v>
      </c>
      <c r="R21664" s="36" t="s">
        <v>48</v>
      </c>
    </row>
    <row r="21665">
      <c r="H21665" s="50"/>
      <c r="I21665" s="50"/>
      <c r="O21665" s="36" t="s">
        <v>48</v>
      </c>
      <c r="R21665" s="36" t="s">
        <v>48</v>
      </c>
    </row>
    <row r="21666">
      <c r="H21666" s="50"/>
      <c r="I21666" s="50"/>
      <c r="O21666" s="36" t="s">
        <v>48</v>
      </c>
      <c r="R21666" s="36" t="s">
        <v>48</v>
      </c>
    </row>
    <row r="21667">
      <c r="H21667" s="50"/>
      <c r="I21667" s="50"/>
      <c r="O21667" s="36" t="s">
        <v>48</v>
      </c>
      <c r="R21667" s="36" t="s">
        <v>48</v>
      </c>
    </row>
    <row r="21668">
      <c r="H21668" s="50"/>
      <c r="I21668" s="50"/>
      <c r="O21668" s="36" t="s">
        <v>48</v>
      </c>
      <c r="R21668" s="36" t="s">
        <v>48</v>
      </c>
    </row>
    <row r="21669">
      <c r="H21669" s="50"/>
      <c r="I21669" s="50"/>
      <c r="O21669" s="36" t="s">
        <v>48</v>
      </c>
      <c r="R21669" s="36" t="s">
        <v>48</v>
      </c>
    </row>
    <row r="21670">
      <c r="H21670" s="50"/>
      <c r="I21670" s="50"/>
      <c r="O21670" s="36" t="s">
        <v>48</v>
      </c>
      <c r="R21670" s="36" t="s">
        <v>48</v>
      </c>
    </row>
    <row r="21671">
      <c r="H21671" s="50"/>
      <c r="I21671" s="50"/>
      <c r="O21671" s="36" t="s">
        <v>48</v>
      </c>
      <c r="R21671" s="36" t="s">
        <v>48</v>
      </c>
    </row>
    <row r="21672">
      <c r="H21672" s="50"/>
      <c r="I21672" s="50"/>
      <c r="O21672" s="36" t="s">
        <v>48</v>
      </c>
      <c r="R21672" s="36" t="s">
        <v>48</v>
      </c>
    </row>
    <row r="21673">
      <c r="H21673" s="50"/>
      <c r="I21673" s="50"/>
      <c r="O21673" s="36" t="s">
        <v>48</v>
      </c>
      <c r="R21673" s="36" t="s">
        <v>48</v>
      </c>
    </row>
    <row r="21674">
      <c r="H21674" s="50"/>
      <c r="I21674" s="50"/>
      <c r="O21674" s="36" t="s">
        <v>48</v>
      </c>
      <c r="R21674" s="36" t="s">
        <v>48</v>
      </c>
    </row>
    <row r="21675">
      <c r="H21675" s="50"/>
      <c r="I21675" s="50"/>
      <c r="O21675" s="36" t="s">
        <v>48</v>
      </c>
      <c r="R21675" s="36" t="s">
        <v>48</v>
      </c>
    </row>
    <row r="21676">
      <c r="H21676" s="50"/>
      <c r="I21676" s="50"/>
      <c r="O21676" s="36" t="s">
        <v>48</v>
      </c>
      <c r="R21676" s="36" t="s">
        <v>48</v>
      </c>
    </row>
    <row r="21677">
      <c r="H21677" s="50"/>
      <c r="I21677" s="50"/>
      <c r="O21677" s="36" t="s">
        <v>48</v>
      </c>
      <c r="R21677" s="36" t="s">
        <v>48</v>
      </c>
    </row>
    <row r="21678">
      <c r="H21678" s="50"/>
      <c r="I21678" s="50"/>
      <c r="O21678" s="36" t="s">
        <v>48</v>
      </c>
      <c r="R21678" s="36" t="s">
        <v>48</v>
      </c>
    </row>
    <row r="21679">
      <c r="H21679" s="50"/>
      <c r="I21679" s="50"/>
      <c r="O21679" s="36" t="s">
        <v>48</v>
      </c>
      <c r="R21679" s="36" t="s">
        <v>48</v>
      </c>
    </row>
    <row r="21680">
      <c r="H21680" s="50"/>
      <c r="I21680" s="50"/>
      <c r="O21680" s="36" t="s">
        <v>48</v>
      </c>
      <c r="R21680" s="36" t="s">
        <v>48</v>
      </c>
    </row>
    <row r="21681">
      <c r="H21681" s="50"/>
      <c r="I21681" s="50"/>
      <c r="O21681" s="36" t="s">
        <v>48</v>
      </c>
      <c r="R21681" s="36" t="s">
        <v>48</v>
      </c>
    </row>
    <row r="21682">
      <c r="H21682" s="50"/>
      <c r="I21682" s="50"/>
      <c r="O21682" s="36" t="s">
        <v>48</v>
      </c>
      <c r="R21682" s="36" t="s">
        <v>48</v>
      </c>
    </row>
    <row r="21683">
      <c r="H21683" s="50"/>
      <c r="I21683" s="50"/>
      <c r="O21683" s="36" t="s">
        <v>48</v>
      </c>
      <c r="R21683" s="36" t="s">
        <v>48</v>
      </c>
    </row>
    <row r="21684">
      <c r="H21684" s="50"/>
      <c r="I21684" s="50"/>
      <c r="O21684" s="36" t="s">
        <v>48</v>
      </c>
      <c r="R21684" s="36" t="s">
        <v>48</v>
      </c>
    </row>
    <row r="21685">
      <c r="H21685" s="50"/>
      <c r="I21685" s="50"/>
      <c r="O21685" s="36" t="s">
        <v>48</v>
      </c>
      <c r="R21685" s="36" t="s">
        <v>48</v>
      </c>
    </row>
    <row r="21686">
      <c r="H21686" s="50"/>
      <c r="I21686" s="50"/>
      <c r="O21686" s="36" t="s">
        <v>48</v>
      </c>
      <c r="R21686" s="36" t="s">
        <v>48</v>
      </c>
    </row>
    <row r="21687">
      <c r="H21687" s="50"/>
      <c r="I21687" s="50"/>
      <c r="O21687" s="36" t="s">
        <v>48</v>
      </c>
      <c r="R21687" s="36" t="s">
        <v>48</v>
      </c>
    </row>
    <row r="21688">
      <c r="H21688" s="50"/>
      <c r="I21688" s="50"/>
      <c r="O21688" s="36" t="s">
        <v>48</v>
      </c>
      <c r="R21688" s="36" t="s">
        <v>48</v>
      </c>
    </row>
    <row r="21689">
      <c r="H21689" s="50"/>
      <c r="I21689" s="50"/>
      <c r="O21689" s="36" t="s">
        <v>48</v>
      </c>
      <c r="R21689" s="36" t="s">
        <v>48</v>
      </c>
    </row>
    <row r="21690">
      <c r="H21690" s="50"/>
      <c r="I21690" s="50"/>
      <c r="O21690" s="36" t="s">
        <v>48</v>
      </c>
      <c r="R21690" s="36" t="s">
        <v>48</v>
      </c>
    </row>
    <row r="21691">
      <c r="H21691" s="50"/>
      <c r="I21691" s="50"/>
      <c r="O21691" s="36" t="s">
        <v>48</v>
      </c>
      <c r="R21691" s="36" t="s">
        <v>48</v>
      </c>
    </row>
    <row r="21692">
      <c r="H21692" s="50"/>
      <c r="I21692" s="50"/>
      <c r="O21692" s="36" t="s">
        <v>48</v>
      </c>
      <c r="R21692" s="36" t="s">
        <v>48</v>
      </c>
    </row>
    <row r="21693">
      <c r="H21693" s="50"/>
      <c r="I21693" s="50"/>
      <c r="O21693" s="36" t="s">
        <v>48</v>
      </c>
      <c r="R21693" s="36" t="s">
        <v>48</v>
      </c>
    </row>
    <row r="21694">
      <c r="H21694" s="50"/>
      <c r="I21694" s="50"/>
      <c r="O21694" s="36" t="s">
        <v>48</v>
      </c>
      <c r="R21694" s="36" t="s">
        <v>48</v>
      </c>
    </row>
    <row r="21695">
      <c r="H21695" s="50"/>
      <c r="I21695" s="50"/>
      <c r="O21695" s="36" t="s">
        <v>48</v>
      </c>
      <c r="R21695" s="36" t="s">
        <v>48</v>
      </c>
    </row>
    <row r="21696">
      <c r="H21696" s="50"/>
      <c r="I21696" s="50"/>
      <c r="O21696" s="36" t="s">
        <v>48</v>
      </c>
      <c r="R21696" s="36" t="s">
        <v>48</v>
      </c>
    </row>
    <row r="21697">
      <c r="H21697" s="50"/>
      <c r="I21697" s="50"/>
      <c r="O21697" s="36" t="s">
        <v>48</v>
      </c>
      <c r="R21697" s="36" t="s">
        <v>48</v>
      </c>
    </row>
    <row r="21698">
      <c r="H21698" s="50"/>
      <c r="I21698" s="50"/>
      <c r="O21698" s="36" t="s">
        <v>48</v>
      </c>
      <c r="R21698" s="36" t="s">
        <v>48</v>
      </c>
    </row>
    <row r="21699">
      <c r="H21699" s="50"/>
      <c r="I21699" s="50"/>
      <c r="O21699" s="36" t="s">
        <v>48</v>
      </c>
      <c r="R21699" s="36" t="s">
        <v>48</v>
      </c>
    </row>
    <row r="21700">
      <c r="H21700" s="50"/>
      <c r="I21700" s="50"/>
      <c r="O21700" s="36" t="s">
        <v>48</v>
      </c>
      <c r="R21700" s="36" t="s">
        <v>48</v>
      </c>
    </row>
    <row r="21701">
      <c r="H21701" s="50"/>
      <c r="I21701" s="50"/>
      <c r="O21701" s="36" t="s">
        <v>48</v>
      </c>
      <c r="R21701" s="36" t="s">
        <v>48</v>
      </c>
    </row>
    <row r="21702">
      <c r="H21702" s="50"/>
      <c r="I21702" s="50"/>
      <c r="O21702" s="36" t="s">
        <v>48</v>
      </c>
      <c r="R21702" s="36" t="s">
        <v>48</v>
      </c>
    </row>
    <row r="21703">
      <c r="H21703" s="50"/>
      <c r="I21703" s="50"/>
      <c r="O21703" s="36" t="s">
        <v>48</v>
      </c>
      <c r="R21703" s="36" t="s">
        <v>48</v>
      </c>
    </row>
    <row r="21704">
      <c r="H21704" s="50"/>
      <c r="I21704" s="50"/>
      <c r="O21704" s="36" t="s">
        <v>48</v>
      </c>
      <c r="R21704" s="36" t="s">
        <v>48</v>
      </c>
    </row>
    <row r="21705">
      <c r="H21705" s="50"/>
      <c r="I21705" s="50"/>
      <c r="O21705" s="36" t="s">
        <v>48</v>
      </c>
      <c r="R21705" s="36" t="s">
        <v>48</v>
      </c>
    </row>
    <row r="21706">
      <c r="H21706" s="50"/>
      <c r="I21706" s="50"/>
      <c r="O21706" s="36" t="s">
        <v>48</v>
      </c>
      <c r="R21706" s="36" t="s">
        <v>48</v>
      </c>
    </row>
    <row r="21707">
      <c r="H21707" s="50"/>
      <c r="I21707" s="50"/>
      <c r="O21707" s="36" t="s">
        <v>48</v>
      </c>
      <c r="R21707" s="36" t="s">
        <v>48</v>
      </c>
    </row>
    <row r="21708">
      <c r="H21708" s="50"/>
      <c r="I21708" s="50"/>
      <c r="O21708" s="36" t="s">
        <v>48</v>
      </c>
      <c r="R21708" s="36" t="s">
        <v>48</v>
      </c>
    </row>
    <row r="21709">
      <c r="H21709" s="50"/>
      <c r="I21709" s="50"/>
      <c r="O21709" s="36" t="s">
        <v>48</v>
      </c>
      <c r="R21709" s="36" t="s">
        <v>48</v>
      </c>
    </row>
    <row r="21710">
      <c r="H21710" s="50"/>
      <c r="I21710" s="50"/>
      <c r="O21710" s="36" t="s">
        <v>48</v>
      </c>
      <c r="R21710" s="36" t="s">
        <v>48</v>
      </c>
    </row>
    <row r="21711">
      <c r="H21711" s="50"/>
      <c r="I21711" s="50"/>
      <c r="O21711" s="36" t="s">
        <v>48</v>
      </c>
      <c r="R21711" s="36" t="s">
        <v>48</v>
      </c>
    </row>
    <row r="21712">
      <c r="H21712" s="50"/>
      <c r="I21712" s="50"/>
      <c r="O21712" s="36" t="s">
        <v>48</v>
      </c>
      <c r="R21712" s="36" t="s">
        <v>48</v>
      </c>
    </row>
    <row r="21713">
      <c r="H21713" s="50"/>
      <c r="I21713" s="50"/>
      <c r="O21713" s="36" t="s">
        <v>48</v>
      </c>
      <c r="R21713" s="36" t="s">
        <v>48</v>
      </c>
    </row>
    <row r="21714">
      <c r="H21714" s="50"/>
      <c r="I21714" s="50"/>
      <c r="O21714" s="36" t="s">
        <v>48</v>
      </c>
      <c r="R21714" s="36" t="s">
        <v>48</v>
      </c>
    </row>
    <row r="21715">
      <c r="H21715" s="50"/>
      <c r="I21715" s="50"/>
      <c r="O21715" s="36" t="s">
        <v>48</v>
      </c>
      <c r="R21715" s="36" t="s">
        <v>48</v>
      </c>
    </row>
    <row r="21716">
      <c r="H21716" s="50"/>
      <c r="I21716" s="50"/>
      <c r="O21716" s="36" t="s">
        <v>48</v>
      </c>
      <c r="R21716" s="36" t="s">
        <v>48</v>
      </c>
    </row>
    <row r="21717">
      <c r="H21717" s="50"/>
      <c r="I21717" s="50"/>
      <c r="O21717" s="36" t="s">
        <v>48</v>
      </c>
      <c r="R21717" s="36" t="s">
        <v>48</v>
      </c>
    </row>
    <row r="21718">
      <c r="H21718" s="50"/>
      <c r="I21718" s="50"/>
      <c r="O21718" s="36" t="s">
        <v>48</v>
      </c>
      <c r="R21718" s="36" t="s">
        <v>48</v>
      </c>
    </row>
    <row r="21719">
      <c r="H21719" s="50"/>
      <c r="I21719" s="50"/>
      <c r="O21719" s="36" t="s">
        <v>48</v>
      </c>
      <c r="R21719" s="36" t="s">
        <v>48</v>
      </c>
    </row>
    <row r="21720">
      <c r="H21720" s="50"/>
      <c r="I21720" s="50"/>
      <c r="O21720" s="36" t="s">
        <v>48</v>
      </c>
      <c r="R21720" s="36" t="s">
        <v>48</v>
      </c>
    </row>
    <row r="21721">
      <c r="H21721" s="50"/>
      <c r="I21721" s="50"/>
      <c r="O21721" s="36" t="s">
        <v>48</v>
      </c>
      <c r="R21721" s="36" t="s">
        <v>48</v>
      </c>
    </row>
    <row r="21722">
      <c r="H21722" s="50"/>
      <c r="I21722" s="50"/>
      <c r="O21722" s="36" t="s">
        <v>48</v>
      </c>
      <c r="R21722" s="36" t="s">
        <v>48</v>
      </c>
    </row>
    <row r="21723">
      <c r="H21723" s="50"/>
      <c r="I21723" s="50"/>
      <c r="O21723" s="36" t="s">
        <v>48</v>
      </c>
      <c r="R21723" s="36" t="s">
        <v>48</v>
      </c>
    </row>
    <row r="21724">
      <c r="H21724" s="50"/>
      <c r="I21724" s="50"/>
      <c r="O21724" s="36" t="s">
        <v>48</v>
      </c>
      <c r="R21724" s="36" t="s">
        <v>48</v>
      </c>
    </row>
    <row r="21725">
      <c r="H21725" s="50"/>
      <c r="I21725" s="50"/>
      <c r="O21725" s="36" t="s">
        <v>48</v>
      </c>
      <c r="R21725" s="36" t="s">
        <v>48</v>
      </c>
    </row>
    <row r="21726">
      <c r="H21726" s="50"/>
      <c r="I21726" s="50"/>
      <c r="O21726" s="36" t="s">
        <v>48</v>
      </c>
      <c r="R21726" s="36" t="s">
        <v>48</v>
      </c>
    </row>
    <row r="21727">
      <c r="H21727" s="50"/>
      <c r="I21727" s="50"/>
      <c r="O21727" s="36" t="s">
        <v>48</v>
      </c>
      <c r="R21727" s="36" t="s">
        <v>48</v>
      </c>
    </row>
    <row r="21728">
      <c r="H21728" s="50"/>
      <c r="I21728" s="50"/>
      <c r="O21728" s="36" t="s">
        <v>48</v>
      </c>
      <c r="R21728" s="36" t="s">
        <v>48</v>
      </c>
    </row>
    <row r="21729">
      <c r="H21729" s="50"/>
      <c r="I21729" s="50"/>
      <c r="O21729" s="36" t="s">
        <v>48</v>
      </c>
      <c r="R21729" s="36" t="s">
        <v>48</v>
      </c>
    </row>
    <row r="21730">
      <c r="H21730" s="50"/>
      <c r="I21730" s="50"/>
      <c r="O21730" s="36" t="s">
        <v>48</v>
      </c>
      <c r="R21730" s="36" t="s">
        <v>48</v>
      </c>
    </row>
    <row r="21731">
      <c r="H21731" s="50"/>
      <c r="I21731" s="50"/>
      <c r="O21731" s="36" t="s">
        <v>48</v>
      </c>
      <c r="R21731" s="36" t="s">
        <v>48</v>
      </c>
    </row>
    <row r="21732">
      <c r="H21732" s="50"/>
      <c r="I21732" s="50"/>
      <c r="O21732" s="36" t="s">
        <v>48</v>
      </c>
      <c r="R21732" s="36" t="s">
        <v>48</v>
      </c>
    </row>
    <row r="21733">
      <c r="H21733" s="50"/>
      <c r="I21733" s="50"/>
      <c r="O21733" s="36" t="s">
        <v>48</v>
      </c>
      <c r="R21733" s="36" t="s">
        <v>48</v>
      </c>
    </row>
    <row r="21734">
      <c r="H21734" s="50"/>
      <c r="I21734" s="50"/>
      <c r="O21734" s="36" t="s">
        <v>48</v>
      </c>
      <c r="R21734" s="36" t="s">
        <v>48</v>
      </c>
    </row>
    <row r="21735">
      <c r="H21735" s="50"/>
      <c r="I21735" s="50"/>
      <c r="O21735" s="36" t="s">
        <v>48</v>
      </c>
      <c r="R21735" s="36" t="s">
        <v>48</v>
      </c>
    </row>
    <row r="21736">
      <c r="H21736" s="50"/>
      <c r="I21736" s="50"/>
      <c r="O21736" s="36" t="s">
        <v>48</v>
      </c>
      <c r="R21736" s="36" t="s">
        <v>48</v>
      </c>
    </row>
    <row r="21737">
      <c r="H21737" s="50"/>
      <c r="I21737" s="50"/>
      <c r="O21737" s="36" t="s">
        <v>48</v>
      </c>
      <c r="R21737" s="36" t="s">
        <v>48</v>
      </c>
    </row>
    <row r="21738">
      <c r="H21738" s="50"/>
      <c r="I21738" s="50"/>
      <c r="O21738" s="36" t="s">
        <v>48</v>
      </c>
      <c r="R21738" s="36" t="s">
        <v>48</v>
      </c>
    </row>
    <row r="21739">
      <c r="H21739" s="50"/>
      <c r="I21739" s="50"/>
      <c r="O21739" s="36" t="s">
        <v>48</v>
      </c>
      <c r="R21739" s="36" t="s">
        <v>48</v>
      </c>
    </row>
    <row r="21740">
      <c r="H21740" s="50"/>
      <c r="I21740" s="50"/>
      <c r="O21740" s="36" t="s">
        <v>48</v>
      </c>
      <c r="R21740" s="36" t="s">
        <v>48</v>
      </c>
    </row>
    <row r="21741">
      <c r="H21741" s="50"/>
      <c r="I21741" s="50"/>
      <c r="O21741" s="36" t="s">
        <v>48</v>
      </c>
      <c r="R21741" s="36" t="s">
        <v>48</v>
      </c>
    </row>
    <row r="21742">
      <c r="H21742" s="50"/>
      <c r="I21742" s="50"/>
      <c r="O21742" s="36" t="s">
        <v>48</v>
      </c>
      <c r="R21742" s="36" t="s">
        <v>48</v>
      </c>
    </row>
    <row r="21743">
      <c r="H21743" s="50"/>
      <c r="I21743" s="50"/>
      <c r="O21743" s="36" t="s">
        <v>48</v>
      </c>
      <c r="R21743" s="36" t="s">
        <v>48</v>
      </c>
    </row>
    <row r="21744">
      <c r="H21744" s="50"/>
      <c r="I21744" s="50"/>
      <c r="O21744" s="36" t="s">
        <v>48</v>
      </c>
      <c r="R21744" s="36" t="s">
        <v>48</v>
      </c>
    </row>
    <row r="21745">
      <c r="H21745" s="50"/>
      <c r="I21745" s="50"/>
      <c r="O21745" s="36" t="s">
        <v>48</v>
      </c>
      <c r="R21745" s="36" t="s">
        <v>48</v>
      </c>
    </row>
    <row r="21746">
      <c r="H21746" s="50"/>
      <c r="I21746" s="50"/>
      <c r="O21746" s="36" t="s">
        <v>48</v>
      </c>
      <c r="R21746" s="36" t="s">
        <v>48</v>
      </c>
    </row>
    <row r="21747">
      <c r="H21747" s="50"/>
      <c r="I21747" s="50"/>
      <c r="O21747" s="36" t="s">
        <v>48</v>
      </c>
      <c r="R21747" s="36" t="s">
        <v>48</v>
      </c>
    </row>
    <row r="21748">
      <c r="H21748" s="50"/>
      <c r="I21748" s="50"/>
      <c r="O21748" s="36" t="s">
        <v>48</v>
      </c>
      <c r="R21748" s="36" t="s">
        <v>48</v>
      </c>
    </row>
    <row r="21749">
      <c r="H21749" s="50"/>
      <c r="I21749" s="50"/>
      <c r="O21749" s="36" t="s">
        <v>48</v>
      </c>
      <c r="R21749" s="36" t="s">
        <v>48</v>
      </c>
    </row>
    <row r="21750">
      <c r="H21750" s="50"/>
      <c r="I21750" s="50"/>
      <c r="O21750" s="36" t="s">
        <v>48</v>
      </c>
      <c r="R21750" s="36" t="s">
        <v>48</v>
      </c>
    </row>
    <row r="21751">
      <c r="H21751" s="50"/>
      <c r="I21751" s="50"/>
      <c r="O21751" s="36" t="s">
        <v>48</v>
      </c>
      <c r="R21751" s="36" t="s">
        <v>48</v>
      </c>
    </row>
    <row r="21752">
      <c r="H21752" s="50"/>
      <c r="I21752" s="50"/>
      <c r="O21752" s="36" t="s">
        <v>48</v>
      </c>
      <c r="R21752" s="36" t="s">
        <v>48</v>
      </c>
    </row>
    <row r="21753">
      <c r="H21753" s="50"/>
      <c r="I21753" s="50"/>
      <c r="O21753" s="36" t="s">
        <v>48</v>
      </c>
      <c r="R21753" s="36" t="s">
        <v>48</v>
      </c>
    </row>
    <row r="21754">
      <c r="H21754" s="50"/>
      <c r="I21754" s="50"/>
      <c r="O21754" s="36" t="s">
        <v>48</v>
      </c>
      <c r="R21754" s="36" t="s">
        <v>48</v>
      </c>
    </row>
    <row r="21755">
      <c r="H21755" s="50"/>
      <c r="I21755" s="50"/>
      <c r="O21755" s="36" t="s">
        <v>48</v>
      </c>
      <c r="R21755" s="36" t="s">
        <v>48</v>
      </c>
    </row>
    <row r="21756">
      <c r="H21756" s="50"/>
      <c r="I21756" s="50"/>
      <c r="O21756" s="36" t="s">
        <v>48</v>
      </c>
      <c r="R21756" s="36" t="s">
        <v>48</v>
      </c>
    </row>
    <row r="21757">
      <c r="H21757" s="50"/>
      <c r="I21757" s="50"/>
      <c r="O21757" s="36" t="s">
        <v>48</v>
      </c>
      <c r="R21757" s="36" t="s">
        <v>48</v>
      </c>
    </row>
    <row r="21758">
      <c r="H21758" s="50"/>
      <c r="I21758" s="50"/>
      <c r="O21758" s="36" t="s">
        <v>48</v>
      </c>
      <c r="R21758" s="36" t="s">
        <v>48</v>
      </c>
    </row>
    <row r="21759">
      <c r="H21759" s="50"/>
      <c r="I21759" s="50"/>
      <c r="O21759" s="36" t="s">
        <v>48</v>
      </c>
      <c r="R21759" s="36" t="s">
        <v>48</v>
      </c>
    </row>
    <row r="21760">
      <c r="H21760" s="50"/>
      <c r="I21760" s="50"/>
      <c r="O21760" s="36" t="s">
        <v>48</v>
      </c>
      <c r="R21760" s="36" t="s">
        <v>48</v>
      </c>
    </row>
    <row r="21761">
      <c r="H21761" s="50"/>
      <c r="I21761" s="50"/>
      <c r="O21761" s="36" t="s">
        <v>48</v>
      </c>
      <c r="R21761" s="36" t="s">
        <v>48</v>
      </c>
    </row>
    <row r="21762">
      <c r="H21762" s="50"/>
      <c r="I21762" s="50"/>
      <c r="O21762" s="36" t="s">
        <v>48</v>
      </c>
      <c r="R21762" s="36" t="s">
        <v>48</v>
      </c>
    </row>
    <row r="21763">
      <c r="H21763" s="50"/>
      <c r="I21763" s="50"/>
      <c r="O21763" s="36" t="s">
        <v>48</v>
      </c>
      <c r="R21763" s="36" t="s">
        <v>48</v>
      </c>
    </row>
    <row r="21764">
      <c r="H21764" s="50"/>
      <c r="I21764" s="50"/>
      <c r="O21764" s="36" t="s">
        <v>48</v>
      </c>
      <c r="R21764" s="36" t="s">
        <v>48</v>
      </c>
    </row>
    <row r="21765">
      <c r="H21765" s="50"/>
      <c r="I21765" s="50"/>
      <c r="O21765" s="36" t="s">
        <v>48</v>
      </c>
      <c r="R21765" s="36" t="s">
        <v>48</v>
      </c>
    </row>
    <row r="21766">
      <c r="H21766" s="50"/>
      <c r="I21766" s="50"/>
      <c r="O21766" s="36" t="s">
        <v>48</v>
      </c>
      <c r="R21766" s="36" t="s">
        <v>48</v>
      </c>
    </row>
    <row r="21767">
      <c r="H21767" s="50"/>
      <c r="I21767" s="50"/>
      <c r="O21767" s="36" t="s">
        <v>48</v>
      </c>
      <c r="R21767" s="36" t="s">
        <v>48</v>
      </c>
    </row>
    <row r="21768">
      <c r="H21768" s="50"/>
      <c r="I21768" s="50"/>
      <c r="O21768" s="36" t="s">
        <v>48</v>
      </c>
      <c r="R21768" s="36" t="s">
        <v>48</v>
      </c>
    </row>
    <row r="21769">
      <c r="H21769" s="50"/>
      <c r="I21769" s="50"/>
      <c r="O21769" s="36" t="s">
        <v>48</v>
      </c>
      <c r="R21769" s="36" t="s">
        <v>48</v>
      </c>
    </row>
    <row r="21770">
      <c r="H21770" s="50"/>
      <c r="I21770" s="50"/>
      <c r="O21770" s="36" t="s">
        <v>48</v>
      </c>
      <c r="R21770" s="36" t="s">
        <v>48</v>
      </c>
    </row>
    <row r="21771">
      <c r="H21771" s="50"/>
      <c r="I21771" s="50"/>
      <c r="O21771" s="36" t="s">
        <v>48</v>
      </c>
      <c r="R21771" s="36" t="s">
        <v>48</v>
      </c>
    </row>
    <row r="21772">
      <c r="H21772" s="50"/>
      <c r="I21772" s="50"/>
      <c r="O21772" s="36" t="s">
        <v>48</v>
      </c>
      <c r="R21772" s="36" t="s">
        <v>48</v>
      </c>
    </row>
    <row r="21773">
      <c r="H21773" s="50"/>
      <c r="I21773" s="50"/>
      <c r="O21773" s="36" t="s">
        <v>48</v>
      </c>
      <c r="R21773" s="36" t="s">
        <v>48</v>
      </c>
    </row>
    <row r="21774">
      <c r="H21774" s="50"/>
      <c r="I21774" s="50"/>
      <c r="O21774" s="36" t="s">
        <v>48</v>
      </c>
      <c r="R21774" s="36" t="s">
        <v>48</v>
      </c>
    </row>
    <row r="21775">
      <c r="H21775" s="50"/>
      <c r="I21775" s="50"/>
      <c r="O21775" s="36" t="s">
        <v>48</v>
      </c>
      <c r="R21775" s="36" t="s">
        <v>48</v>
      </c>
    </row>
    <row r="21776">
      <c r="H21776" s="50"/>
      <c r="I21776" s="50"/>
      <c r="O21776" s="36" t="s">
        <v>48</v>
      </c>
      <c r="R21776" s="36" t="s">
        <v>48</v>
      </c>
    </row>
    <row r="21777">
      <c r="H21777" s="50"/>
      <c r="I21777" s="50"/>
      <c r="O21777" s="36" t="s">
        <v>48</v>
      </c>
      <c r="R21777" s="36" t="s">
        <v>48</v>
      </c>
    </row>
    <row r="21778">
      <c r="H21778" s="50"/>
      <c r="I21778" s="50"/>
      <c r="O21778" s="36" t="s">
        <v>48</v>
      </c>
      <c r="R21778" s="36" t="s">
        <v>48</v>
      </c>
    </row>
    <row r="21779">
      <c r="H21779" s="50"/>
      <c r="I21779" s="50"/>
      <c r="O21779" s="36" t="s">
        <v>48</v>
      </c>
      <c r="R21779" s="36" t="s">
        <v>48</v>
      </c>
    </row>
    <row r="21780">
      <c r="H21780" s="50"/>
      <c r="I21780" s="50"/>
      <c r="O21780" s="36" t="s">
        <v>48</v>
      </c>
      <c r="R21780" s="36" t="s">
        <v>48</v>
      </c>
    </row>
    <row r="21781">
      <c r="H21781" s="50"/>
      <c r="I21781" s="50"/>
      <c r="O21781" s="36" t="s">
        <v>48</v>
      </c>
      <c r="R21781" s="36" t="s">
        <v>48</v>
      </c>
    </row>
    <row r="21782">
      <c r="H21782" s="50"/>
      <c r="I21782" s="50"/>
      <c r="O21782" s="36" t="s">
        <v>48</v>
      </c>
      <c r="R21782" s="36" t="s">
        <v>48</v>
      </c>
    </row>
    <row r="21783">
      <c r="H21783" s="50"/>
      <c r="I21783" s="50"/>
      <c r="O21783" s="36" t="s">
        <v>48</v>
      </c>
      <c r="R21783" s="36" t="s">
        <v>48</v>
      </c>
    </row>
    <row r="21784">
      <c r="H21784" s="50"/>
      <c r="I21784" s="50"/>
      <c r="O21784" s="36" t="s">
        <v>48</v>
      </c>
      <c r="R21784" s="36" t="s">
        <v>48</v>
      </c>
    </row>
    <row r="21785">
      <c r="H21785" s="50"/>
      <c r="I21785" s="50"/>
      <c r="O21785" s="36" t="s">
        <v>48</v>
      </c>
      <c r="R21785" s="36" t="s">
        <v>48</v>
      </c>
    </row>
    <row r="21786">
      <c r="H21786" s="50"/>
      <c r="I21786" s="50"/>
      <c r="O21786" s="36" t="s">
        <v>48</v>
      </c>
      <c r="R21786" s="36" t="s">
        <v>48</v>
      </c>
    </row>
    <row r="21787">
      <c r="H21787" s="50"/>
      <c r="I21787" s="50"/>
      <c r="O21787" s="36" t="s">
        <v>48</v>
      </c>
      <c r="R21787" s="36" t="s">
        <v>48</v>
      </c>
    </row>
    <row r="21788">
      <c r="H21788" s="50"/>
      <c r="I21788" s="50"/>
      <c r="O21788" s="36" t="s">
        <v>48</v>
      </c>
      <c r="R21788" s="36" t="s">
        <v>48</v>
      </c>
    </row>
    <row r="21789">
      <c r="H21789" s="50"/>
      <c r="I21789" s="50"/>
      <c r="O21789" s="36" t="s">
        <v>48</v>
      </c>
      <c r="R21789" s="36" t="s">
        <v>48</v>
      </c>
    </row>
    <row r="21790">
      <c r="H21790" s="50"/>
      <c r="I21790" s="50"/>
      <c r="O21790" s="36" t="s">
        <v>48</v>
      </c>
      <c r="R21790" s="36" t="s">
        <v>48</v>
      </c>
    </row>
    <row r="21791">
      <c r="H21791" s="50"/>
      <c r="I21791" s="50"/>
      <c r="O21791" s="36" t="s">
        <v>48</v>
      </c>
      <c r="R21791" s="36" t="s">
        <v>48</v>
      </c>
    </row>
    <row r="21792">
      <c r="H21792" s="50"/>
      <c r="I21792" s="50"/>
      <c r="O21792" s="36" t="s">
        <v>48</v>
      </c>
      <c r="R21792" s="36" t="s">
        <v>48</v>
      </c>
    </row>
    <row r="21793">
      <c r="H21793" s="50"/>
      <c r="I21793" s="50"/>
      <c r="O21793" s="36" t="s">
        <v>48</v>
      </c>
      <c r="R21793" s="36" t="s">
        <v>48</v>
      </c>
    </row>
    <row r="21794">
      <c r="H21794" s="50"/>
      <c r="I21794" s="50"/>
      <c r="O21794" s="36" t="s">
        <v>48</v>
      </c>
      <c r="R21794" s="36" t="s">
        <v>48</v>
      </c>
    </row>
    <row r="21795">
      <c r="H21795" s="50"/>
      <c r="I21795" s="50"/>
      <c r="O21795" s="36" t="s">
        <v>48</v>
      </c>
      <c r="R21795" s="36" t="s">
        <v>48</v>
      </c>
    </row>
    <row r="21796">
      <c r="H21796" s="50"/>
      <c r="I21796" s="50"/>
      <c r="O21796" s="36" t="s">
        <v>48</v>
      </c>
      <c r="R21796" s="36" t="s">
        <v>48</v>
      </c>
    </row>
    <row r="21797">
      <c r="H21797" s="50"/>
      <c r="I21797" s="50"/>
      <c r="O21797" s="36" t="s">
        <v>48</v>
      </c>
      <c r="R21797" s="36" t="s">
        <v>48</v>
      </c>
    </row>
    <row r="21798">
      <c r="H21798" s="50"/>
      <c r="I21798" s="50"/>
      <c r="O21798" s="36" t="s">
        <v>48</v>
      </c>
      <c r="R21798" s="36" t="s">
        <v>48</v>
      </c>
    </row>
    <row r="21799">
      <c r="H21799" s="50"/>
      <c r="I21799" s="50"/>
      <c r="O21799" s="36" t="s">
        <v>48</v>
      </c>
      <c r="R21799" s="36" t="s">
        <v>48</v>
      </c>
    </row>
    <row r="21800">
      <c r="H21800" s="50"/>
      <c r="I21800" s="50"/>
      <c r="O21800" s="36" t="s">
        <v>48</v>
      </c>
      <c r="R21800" s="36" t="s">
        <v>48</v>
      </c>
    </row>
    <row r="21801">
      <c r="H21801" s="50"/>
      <c r="I21801" s="50"/>
      <c r="O21801" s="36" t="s">
        <v>48</v>
      </c>
      <c r="R21801" s="36" t="s">
        <v>48</v>
      </c>
    </row>
    <row r="21802">
      <c r="H21802" s="50"/>
      <c r="I21802" s="50"/>
      <c r="O21802" s="36" t="s">
        <v>48</v>
      </c>
      <c r="R21802" s="36" t="s">
        <v>48</v>
      </c>
    </row>
    <row r="21803">
      <c r="H21803" s="50"/>
      <c r="I21803" s="50"/>
      <c r="O21803" s="36" t="s">
        <v>48</v>
      </c>
      <c r="R21803" s="36" t="s">
        <v>48</v>
      </c>
    </row>
    <row r="21804">
      <c r="H21804" s="50"/>
      <c r="I21804" s="50"/>
      <c r="O21804" s="36" t="s">
        <v>48</v>
      </c>
      <c r="R21804" s="36" t="s">
        <v>48</v>
      </c>
    </row>
    <row r="21805">
      <c r="H21805" s="50"/>
      <c r="I21805" s="50"/>
      <c r="O21805" s="36" t="s">
        <v>48</v>
      </c>
      <c r="R21805" s="36" t="s">
        <v>48</v>
      </c>
    </row>
    <row r="21806">
      <c r="H21806" s="50"/>
      <c r="I21806" s="50"/>
      <c r="O21806" s="36" t="s">
        <v>48</v>
      </c>
      <c r="R21806" s="36" t="s">
        <v>48</v>
      </c>
    </row>
    <row r="21807">
      <c r="H21807" s="50"/>
      <c r="I21807" s="50"/>
      <c r="O21807" s="36" t="s">
        <v>48</v>
      </c>
      <c r="R21807" s="36" t="s">
        <v>48</v>
      </c>
    </row>
    <row r="21808">
      <c r="H21808" s="50"/>
      <c r="I21808" s="50"/>
      <c r="O21808" s="36" t="s">
        <v>48</v>
      </c>
      <c r="R21808" s="36" t="s">
        <v>48</v>
      </c>
    </row>
    <row r="21809">
      <c r="H21809" s="50"/>
      <c r="I21809" s="50"/>
      <c r="O21809" s="36" t="s">
        <v>48</v>
      </c>
      <c r="R21809" s="36" t="s">
        <v>48</v>
      </c>
    </row>
    <row r="21810">
      <c r="H21810" s="50"/>
      <c r="I21810" s="50"/>
      <c r="O21810" s="36" t="s">
        <v>48</v>
      </c>
      <c r="R21810" s="36" t="s">
        <v>48</v>
      </c>
    </row>
    <row r="21811">
      <c r="H21811" s="50"/>
      <c r="I21811" s="50"/>
      <c r="O21811" s="36" t="s">
        <v>48</v>
      </c>
      <c r="R21811" s="36" t="s">
        <v>48</v>
      </c>
    </row>
    <row r="21812">
      <c r="H21812" s="50"/>
      <c r="I21812" s="50"/>
      <c r="O21812" s="36" t="s">
        <v>48</v>
      </c>
      <c r="R21812" s="36" t="s">
        <v>48</v>
      </c>
    </row>
    <row r="21813">
      <c r="H21813" s="50"/>
      <c r="I21813" s="50"/>
      <c r="O21813" s="36" t="s">
        <v>48</v>
      </c>
      <c r="R21813" s="36" t="s">
        <v>48</v>
      </c>
    </row>
    <row r="21814">
      <c r="H21814" s="50"/>
      <c r="I21814" s="50"/>
      <c r="O21814" s="36" t="s">
        <v>48</v>
      </c>
      <c r="R21814" s="36" t="s">
        <v>48</v>
      </c>
    </row>
    <row r="21815">
      <c r="H21815" s="50"/>
      <c r="I21815" s="50"/>
      <c r="O21815" s="36" t="s">
        <v>48</v>
      </c>
      <c r="R21815" s="36" t="s">
        <v>48</v>
      </c>
    </row>
    <row r="21816">
      <c r="H21816" s="50"/>
      <c r="I21816" s="50"/>
      <c r="O21816" s="36" t="s">
        <v>48</v>
      </c>
      <c r="R21816" s="36" t="s">
        <v>48</v>
      </c>
    </row>
    <row r="21817">
      <c r="H21817" s="50"/>
      <c r="I21817" s="50"/>
      <c r="O21817" s="36" t="s">
        <v>48</v>
      </c>
      <c r="R21817" s="36" t="s">
        <v>48</v>
      </c>
    </row>
    <row r="21818">
      <c r="H21818" s="50"/>
      <c r="I21818" s="50"/>
      <c r="O21818" s="36" t="s">
        <v>48</v>
      </c>
      <c r="R21818" s="36" t="s">
        <v>48</v>
      </c>
    </row>
    <row r="21819">
      <c r="H21819" s="50"/>
      <c r="I21819" s="50"/>
      <c r="O21819" s="36" t="s">
        <v>48</v>
      </c>
      <c r="R21819" s="36" t="s">
        <v>48</v>
      </c>
    </row>
    <row r="21820">
      <c r="H21820" s="50"/>
      <c r="I21820" s="50"/>
      <c r="O21820" s="36" t="s">
        <v>48</v>
      </c>
      <c r="R21820" s="36" t="s">
        <v>48</v>
      </c>
    </row>
    <row r="21821">
      <c r="H21821" s="50"/>
      <c r="I21821" s="50"/>
      <c r="O21821" s="36" t="s">
        <v>48</v>
      </c>
      <c r="R21821" s="36" t="s">
        <v>48</v>
      </c>
    </row>
    <row r="21822">
      <c r="H21822" s="50"/>
      <c r="I21822" s="50"/>
      <c r="O21822" s="36" t="s">
        <v>48</v>
      </c>
      <c r="R21822" s="36" t="s">
        <v>48</v>
      </c>
    </row>
    <row r="21823">
      <c r="H21823" s="50"/>
      <c r="I21823" s="50"/>
      <c r="O21823" s="36" t="s">
        <v>48</v>
      </c>
      <c r="R21823" s="36" t="s">
        <v>48</v>
      </c>
    </row>
    <row r="21824">
      <c r="H21824" s="50"/>
      <c r="I21824" s="50"/>
      <c r="O21824" s="36" t="s">
        <v>48</v>
      </c>
      <c r="R21824" s="36" t="s">
        <v>48</v>
      </c>
    </row>
    <row r="21825">
      <c r="H21825" s="50"/>
      <c r="I21825" s="50"/>
      <c r="O21825" s="36" t="s">
        <v>48</v>
      </c>
      <c r="R21825" s="36" t="s">
        <v>48</v>
      </c>
    </row>
    <row r="21826">
      <c r="H21826" s="50"/>
      <c r="I21826" s="50"/>
      <c r="O21826" s="36" t="s">
        <v>48</v>
      </c>
      <c r="R21826" s="36" t="s">
        <v>48</v>
      </c>
    </row>
    <row r="21827">
      <c r="H21827" s="50"/>
      <c r="I21827" s="50"/>
      <c r="O21827" s="36" t="s">
        <v>48</v>
      </c>
      <c r="R21827" s="36" t="s">
        <v>48</v>
      </c>
    </row>
    <row r="21828">
      <c r="H21828" s="50"/>
      <c r="I21828" s="50"/>
      <c r="O21828" s="36" t="s">
        <v>48</v>
      </c>
      <c r="R21828" s="36" t="s">
        <v>48</v>
      </c>
    </row>
    <row r="21829">
      <c r="H21829" s="50"/>
      <c r="I21829" s="50"/>
      <c r="O21829" s="36" t="s">
        <v>48</v>
      </c>
      <c r="R21829" s="36" t="s">
        <v>48</v>
      </c>
    </row>
    <row r="21830">
      <c r="H21830" s="50"/>
      <c r="I21830" s="50"/>
      <c r="O21830" s="36" t="s">
        <v>48</v>
      </c>
      <c r="R21830" s="36" t="s">
        <v>48</v>
      </c>
    </row>
    <row r="21831">
      <c r="H21831" s="50"/>
      <c r="I21831" s="50"/>
      <c r="O21831" s="36" t="s">
        <v>48</v>
      </c>
      <c r="R21831" s="36" t="s">
        <v>48</v>
      </c>
    </row>
    <row r="21832">
      <c r="H21832" s="50"/>
      <c r="I21832" s="50"/>
      <c r="O21832" s="36" t="s">
        <v>48</v>
      </c>
      <c r="R21832" s="36" t="s">
        <v>48</v>
      </c>
    </row>
    <row r="21833">
      <c r="H21833" s="50"/>
      <c r="I21833" s="50"/>
      <c r="O21833" s="36" t="s">
        <v>48</v>
      </c>
      <c r="R21833" s="36" t="s">
        <v>48</v>
      </c>
    </row>
    <row r="21834">
      <c r="H21834" s="50"/>
      <c r="I21834" s="50"/>
      <c r="O21834" s="36" t="s">
        <v>48</v>
      </c>
      <c r="R21834" s="36" t="s">
        <v>48</v>
      </c>
    </row>
    <row r="21835">
      <c r="H21835" s="50"/>
      <c r="I21835" s="50"/>
      <c r="O21835" s="36" t="s">
        <v>48</v>
      </c>
      <c r="R21835" s="36" t="s">
        <v>48</v>
      </c>
    </row>
    <row r="21836">
      <c r="H21836" s="50"/>
      <c r="I21836" s="50"/>
      <c r="O21836" s="36" t="s">
        <v>48</v>
      </c>
      <c r="R21836" s="36" t="s">
        <v>48</v>
      </c>
    </row>
    <row r="21837">
      <c r="H21837" s="50"/>
      <c r="I21837" s="50"/>
      <c r="O21837" s="36" t="s">
        <v>48</v>
      </c>
      <c r="R21837" s="36" t="s">
        <v>48</v>
      </c>
    </row>
    <row r="21838">
      <c r="H21838" s="50"/>
      <c r="I21838" s="50"/>
      <c r="O21838" s="36" t="s">
        <v>48</v>
      </c>
      <c r="R21838" s="36" t="s">
        <v>48</v>
      </c>
    </row>
    <row r="21839">
      <c r="H21839" s="50"/>
      <c r="I21839" s="50"/>
      <c r="O21839" s="36" t="s">
        <v>48</v>
      </c>
      <c r="R21839" s="36" t="s">
        <v>48</v>
      </c>
    </row>
    <row r="21840">
      <c r="H21840" s="50"/>
      <c r="I21840" s="50"/>
      <c r="O21840" s="36" t="s">
        <v>48</v>
      </c>
      <c r="R21840" s="36" t="s">
        <v>48</v>
      </c>
    </row>
    <row r="21841">
      <c r="H21841" s="50"/>
      <c r="I21841" s="50"/>
      <c r="O21841" s="36" t="s">
        <v>48</v>
      </c>
      <c r="R21841" s="36" t="s">
        <v>48</v>
      </c>
    </row>
    <row r="21842">
      <c r="H21842" s="50"/>
      <c r="I21842" s="50"/>
      <c r="O21842" s="36" t="s">
        <v>48</v>
      </c>
      <c r="R21842" s="36" t="s">
        <v>48</v>
      </c>
    </row>
    <row r="21843">
      <c r="H21843" s="50"/>
      <c r="I21843" s="50"/>
      <c r="O21843" s="36" t="s">
        <v>48</v>
      </c>
      <c r="R21843" s="36" t="s">
        <v>48</v>
      </c>
    </row>
    <row r="21844">
      <c r="H21844" s="50"/>
      <c r="I21844" s="50"/>
      <c r="O21844" s="36" t="s">
        <v>48</v>
      </c>
      <c r="R21844" s="36" t="s">
        <v>48</v>
      </c>
    </row>
    <row r="21845">
      <c r="H21845" s="50"/>
      <c r="I21845" s="50"/>
      <c r="O21845" s="36" t="s">
        <v>48</v>
      </c>
      <c r="R21845" s="36" t="s">
        <v>48</v>
      </c>
    </row>
    <row r="21846">
      <c r="H21846" s="50"/>
      <c r="I21846" s="50"/>
      <c r="O21846" s="36" t="s">
        <v>48</v>
      </c>
      <c r="R21846" s="36" t="s">
        <v>48</v>
      </c>
    </row>
    <row r="21847">
      <c r="H21847" s="50"/>
      <c r="I21847" s="50"/>
      <c r="O21847" s="36" t="s">
        <v>48</v>
      </c>
      <c r="R21847" s="36" t="s">
        <v>48</v>
      </c>
    </row>
    <row r="21848">
      <c r="H21848" s="50"/>
      <c r="I21848" s="50"/>
      <c r="O21848" s="36" t="s">
        <v>48</v>
      </c>
      <c r="R21848" s="36" t="s">
        <v>48</v>
      </c>
    </row>
    <row r="21849">
      <c r="H21849" s="50"/>
      <c r="I21849" s="50"/>
      <c r="O21849" s="36" t="s">
        <v>48</v>
      </c>
      <c r="R21849" s="36" t="s">
        <v>48</v>
      </c>
    </row>
    <row r="21850">
      <c r="H21850" s="50"/>
      <c r="I21850" s="50"/>
      <c r="O21850" s="36" t="s">
        <v>48</v>
      </c>
      <c r="R21850" s="36" t="s">
        <v>48</v>
      </c>
    </row>
    <row r="21851">
      <c r="H21851" s="50"/>
      <c r="I21851" s="50"/>
      <c r="O21851" s="36" t="s">
        <v>48</v>
      </c>
      <c r="R21851" s="36" t="s">
        <v>48</v>
      </c>
    </row>
    <row r="21852">
      <c r="H21852" s="50"/>
      <c r="I21852" s="50"/>
      <c r="O21852" s="36" t="s">
        <v>48</v>
      </c>
      <c r="R21852" s="36" t="s">
        <v>48</v>
      </c>
    </row>
    <row r="21853">
      <c r="H21853" s="50"/>
      <c r="I21853" s="50"/>
      <c r="O21853" s="36" t="s">
        <v>48</v>
      </c>
      <c r="R21853" s="36" t="s">
        <v>48</v>
      </c>
    </row>
    <row r="21854">
      <c r="H21854" s="50"/>
      <c r="I21854" s="50"/>
      <c r="O21854" s="36" t="s">
        <v>48</v>
      </c>
      <c r="R21854" s="36" t="s">
        <v>48</v>
      </c>
    </row>
    <row r="21855">
      <c r="H21855" s="50"/>
      <c r="I21855" s="50"/>
      <c r="O21855" s="36" t="s">
        <v>48</v>
      </c>
      <c r="R21855" s="36" t="s">
        <v>48</v>
      </c>
    </row>
    <row r="21856">
      <c r="H21856" s="50"/>
      <c r="I21856" s="50"/>
      <c r="O21856" s="36" t="s">
        <v>48</v>
      </c>
      <c r="R21856" s="36" t="s">
        <v>48</v>
      </c>
    </row>
    <row r="21857">
      <c r="H21857" s="50"/>
      <c r="I21857" s="50"/>
      <c r="O21857" s="36" t="s">
        <v>48</v>
      </c>
      <c r="R21857" s="36" t="s">
        <v>48</v>
      </c>
    </row>
    <row r="21858">
      <c r="H21858" s="50"/>
      <c r="I21858" s="50"/>
      <c r="O21858" s="36" t="s">
        <v>48</v>
      </c>
      <c r="R21858" s="36" t="s">
        <v>48</v>
      </c>
    </row>
    <row r="21859">
      <c r="H21859" s="50"/>
      <c r="I21859" s="50"/>
      <c r="O21859" s="36" t="s">
        <v>48</v>
      </c>
      <c r="R21859" s="36" t="s">
        <v>48</v>
      </c>
    </row>
    <row r="21860">
      <c r="H21860" s="50"/>
      <c r="I21860" s="50"/>
      <c r="O21860" s="36" t="s">
        <v>48</v>
      </c>
      <c r="R21860" s="36" t="s">
        <v>48</v>
      </c>
    </row>
    <row r="21861">
      <c r="H21861" s="50"/>
      <c r="I21861" s="50"/>
      <c r="O21861" s="36" t="s">
        <v>48</v>
      </c>
      <c r="R21861" s="36" t="s">
        <v>48</v>
      </c>
    </row>
    <row r="21862">
      <c r="H21862" s="50"/>
      <c r="I21862" s="50"/>
      <c r="O21862" s="36" t="s">
        <v>48</v>
      </c>
      <c r="R21862" s="36" t="s">
        <v>48</v>
      </c>
    </row>
    <row r="21863">
      <c r="H21863" s="50"/>
      <c r="I21863" s="50"/>
      <c r="O21863" s="36" t="s">
        <v>48</v>
      </c>
      <c r="R21863" s="36" t="s">
        <v>48</v>
      </c>
    </row>
    <row r="21864">
      <c r="H21864" s="50"/>
      <c r="I21864" s="50"/>
      <c r="O21864" s="36" t="s">
        <v>48</v>
      </c>
      <c r="R21864" s="36" t="s">
        <v>48</v>
      </c>
    </row>
    <row r="21865">
      <c r="H21865" s="50"/>
      <c r="I21865" s="50"/>
      <c r="O21865" s="36" t="s">
        <v>48</v>
      </c>
      <c r="R21865" s="36" t="s">
        <v>48</v>
      </c>
    </row>
    <row r="21866">
      <c r="H21866" s="50"/>
      <c r="I21866" s="50"/>
      <c r="O21866" s="36" t="s">
        <v>48</v>
      </c>
      <c r="R21866" s="36" t="s">
        <v>48</v>
      </c>
    </row>
    <row r="21867">
      <c r="H21867" s="50"/>
      <c r="I21867" s="50"/>
      <c r="O21867" s="36" t="s">
        <v>48</v>
      </c>
      <c r="R21867" s="36" t="s">
        <v>48</v>
      </c>
    </row>
    <row r="21868">
      <c r="H21868" s="50"/>
      <c r="I21868" s="50"/>
      <c r="O21868" s="36" t="s">
        <v>48</v>
      </c>
      <c r="R21868" s="36" t="s">
        <v>48</v>
      </c>
    </row>
    <row r="21869">
      <c r="H21869" s="50"/>
      <c r="I21869" s="50"/>
      <c r="O21869" s="36" t="s">
        <v>48</v>
      </c>
      <c r="R21869" s="36" t="s">
        <v>48</v>
      </c>
    </row>
    <row r="21870">
      <c r="H21870" s="50"/>
      <c r="I21870" s="50"/>
      <c r="O21870" s="36" t="s">
        <v>48</v>
      </c>
      <c r="R21870" s="36" t="s">
        <v>48</v>
      </c>
    </row>
    <row r="21871">
      <c r="H21871" s="50"/>
      <c r="I21871" s="50"/>
      <c r="O21871" s="36" t="s">
        <v>48</v>
      </c>
      <c r="R21871" s="36" t="s">
        <v>48</v>
      </c>
    </row>
    <row r="21872">
      <c r="H21872" s="50"/>
      <c r="I21872" s="50"/>
      <c r="O21872" s="36" t="s">
        <v>48</v>
      </c>
      <c r="R21872" s="36" t="s">
        <v>48</v>
      </c>
    </row>
    <row r="21873">
      <c r="H21873" s="50"/>
      <c r="I21873" s="50"/>
      <c r="O21873" s="36" t="s">
        <v>48</v>
      </c>
      <c r="R21873" s="36" t="s">
        <v>48</v>
      </c>
    </row>
    <row r="21874">
      <c r="H21874" s="50"/>
      <c r="I21874" s="50"/>
      <c r="O21874" s="36" t="s">
        <v>48</v>
      </c>
      <c r="R21874" s="36" t="s">
        <v>48</v>
      </c>
    </row>
    <row r="21875">
      <c r="H21875" s="50"/>
      <c r="I21875" s="50"/>
      <c r="O21875" s="36" t="s">
        <v>48</v>
      </c>
      <c r="R21875" s="36" t="s">
        <v>48</v>
      </c>
    </row>
    <row r="21876">
      <c r="H21876" s="50"/>
      <c r="I21876" s="50"/>
      <c r="O21876" s="36" t="s">
        <v>48</v>
      </c>
      <c r="R21876" s="36" t="s">
        <v>48</v>
      </c>
    </row>
    <row r="21877">
      <c r="H21877" s="50"/>
      <c r="I21877" s="50"/>
      <c r="O21877" s="36" t="s">
        <v>48</v>
      </c>
      <c r="R21877" s="36" t="s">
        <v>48</v>
      </c>
    </row>
    <row r="21878">
      <c r="H21878" s="50"/>
      <c r="I21878" s="50"/>
      <c r="O21878" s="36" t="s">
        <v>48</v>
      </c>
      <c r="R21878" s="36" t="s">
        <v>48</v>
      </c>
    </row>
    <row r="21879">
      <c r="H21879" s="50"/>
      <c r="I21879" s="50"/>
      <c r="O21879" s="36" t="s">
        <v>48</v>
      </c>
      <c r="R21879" s="36" t="s">
        <v>48</v>
      </c>
    </row>
    <row r="21880">
      <c r="H21880" s="50"/>
      <c r="I21880" s="50"/>
      <c r="O21880" s="36" t="s">
        <v>48</v>
      </c>
      <c r="R21880" s="36" t="s">
        <v>48</v>
      </c>
    </row>
    <row r="21881">
      <c r="H21881" s="50"/>
      <c r="I21881" s="50"/>
      <c r="O21881" s="36" t="s">
        <v>48</v>
      </c>
      <c r="R21881" s="36" t="s">
        <v>48</v>
      </c>
    </row>
    <row r="21882">
      <c r="H21882" s="50"/>
      <c r="I21882" s="50"/>
      <c r="O21882" s="36" t="s">
        <v>48</v>
      </c>
      <c r="R21882" s="36" t="s">
        <v>48</v>
      </c>
    </row>
    <row r="21883">
      <c r="H21883" s="50"/>
      <c r="I21883" s="50"/>
      <c r="O21883" s="36" t="s">
        <v>48</v>
      </c>
      <c r="R21883" s="36" t="s">
        <v>48</v>
      </c>
    </row>
    <row r="21884">
      <c r="H21884" s="50"/>
      <c r="I21884" s="50"/>
      <c r="O21884" s="36" t="s">
        <v>48</v>
      </c>
      <c r="R21884" s="36" t="s">
        <v>48</v>
      </c>
    </row>
    <row r="21885">
      <c r="H21885" s="50"/>
      <c r="I21885" s="50"/>
      <c r="O21885" s="36" t="s">
        <v>48</v>
      </c>
      <c r="R21885" s="36" t="s">
        <v>48</v>
      </c>
    </row>
    <row r="21886">
      <c r="H21886" s="50"/>
      <c r="I21886" s="50"/>
      <c r="O21886" s="36" t="s">
        <v>48</v>
      </c>
      <c r="R21886" s="36" t="s">
        <v>48</v>
      </c>
    </row>
    <row r="21887">
      <c r="H21887" s="50"/>
      <c r="I21887" s="50"/>
      <c r="O21887" s="36" t="s">
        <v>48</v>
      </c>
      <c r="R21887" s="36" t="s">
        <v>48</v>
      </c>
    </row>
    <row r="21888">
      <c r="H21888" s="50"/>
      <c r="I21888" s="50"/>
      <c r="O21888" s="36" t="s">
        <v>48</v>
      </c>
      <c r="R21888" s="36" t="s">
        <v>48</v>
      </c>
    </row>
    <row r="21889">
      <c r="H21889" s="50"/>
      <c r="I21889" s="50"/>
      <c r="O21889" s="36" t="s">
        <v>48</v>
      </c>
      <c r="R21889" s="36" t="s">
        <v>48</v>
      </c>
    </row>
    <row r="21890">
      <c r="H21890" s="50"/>
      <c r="I21890" s="50"/>
      <c r="O21890" s="36" t="s">
        <v>48</v>
      </c>
      <c r="R21890" s="36" t="s">
        <v>48</v>
      </c>
    </row>
    <row r="21891">
      <c r="H21891" s="50"/>
      <c r="I21891" s="50"/>
      <c r="O21891" s="36" t="s">
        <v>48</v>
      </c>
      <c r="R21891" s="36" t="s">
        <v>48</v>
      </c>
    </row>
    <row r="21892">
      <c r="H21892" s="50"/>
      <c r="I21892" s="50"/>
      <c r="O21892" s="36" t="s">
        <v>48</v>
      </c>
      <c r="R21892" s="36" t="s">
        <v>48</v>
      </c>
    </row>
    <row r="21893">
      <c r="H21893" s="50"/>
      <c r="I21893" s="50"/>
      <c r="O21893" s="36" t="s">
        <v>48</v>
      </c>
      <c r="R21893" s="36" t="s">
        <v>48</v>
      </c>
    </row>
    <row r="21894">
      <c r="H21894" s="50"/>
      <c r="I21894" s="50"/>
      <c r="O21894" s="36" t="s">
        <v>48</v>
      </c>
      <c r="R21894" s="36" t="s">
        <v>48</v>
      </c>
    </row>
    <row r="21895">
      <c r="H21895" s="50"/>
      <c r="I21895" s="50"/>
      <c r="O21895" s="36" t="s">
        <v>48</v>
      </c>
      <c r="R21895" s="36" t="s">
        <v>48</v>
      </c>
    </row>
    <row r="21896">
      <c r="H21896" s="50"/>
      <c r="I21896" s="50"/>
      <c r="O21896" s="36" t="s">
        <v>48</v>
      </c>
      <c r="R21896" s="36" t="s">
        <v>48</v>
      </c>
    </row>
    <row r="21897">
      <c r="H21897" s="50"/>
      <c r="I21897" s="50"/>
      <c r="O21897" s="36" t="s">
        <v>48</v>
      </c>
      <c r="R21897" s="36" t="s">
        <v>48</v>
      </c>
    </row>
    <row r="21898">
      <c r="H21898" s="50"/>
      <c r="I21898" s="50"/>
      <c r="O21898" s="36" t="s">
        <v>48</v>
      </c>
      <c r="R21898" s="36" t="s">
        <v>48</v>
      </c>
    </row>
    <row r="21899">
      <c r="H21899" s="50"/>
      <c r="I21899" s="50"/>
      <c r="O21899" s="36" t="s">
        <v>48</v>
      </c>
      <c r="R21899" s="36" t="s">
        <v>48</v>
      </c>
    </row>
    <row r="21900">
      <c r="H21900" s="50"/>
      <c r="I21900" s="50"/>
      <c r="O21900" s="36" t="s">
        <v>48</v>
      </c>
      <c r="R21900" s="36" t="s">
        <v>48</v>
      </c>
    </row>
    <row r="21901">
      <c r="H21901" s="50"/>
      <c r="I21901" s="50"/>
      <c r="O21901" s="36" t="s">
        <v>48</v>
      </c>
      <c r="R21901" s="36" t="s">
        <v>48</v>
      </c>
    </row>
    <row r="21902">
      <c r="H21902" s="50"/>
      <c r="I21902" s="50"/>
      <c r="O21902" s="36" t="s">
        <v>48</v>
      </c>
      <c r="R21902" s="36" t="s">
        <v>48</v>
      </c>
    </row>
    <row r="21903">
      <c r="H21903" s="50"/>
      <c r="I21903" s="50"/>
      <c r="O21903" s="36" t="s">
        <v>48</v>
      </c>
      <c r="R21903" s="36" t="s">
        <v>48</v>
      </c>
    </row>
    <row r="21904">
      <c r="H21904" s="50"/>
      <c r="I21904" s="50"/>
      <c r="O21904" s="36" t="s">
        <v>48</v>
      </c>
      <c r="R21904" s="36" t="s">
        <v>48</v>
      </c>
    </row>
    <row r="21905">
      <c r="H21905" s="50"/>
      <c r="I21905" s="50"/>
      <c r="O21905" s="36" t="s">
        <v>48</v>
      </c>
      <c r="R21905" s="36" t="s">
        <v>48</v>
      </c>
    </row>
    <row r="21906">
      <c r="H21906" s="50"/>
      <c r="I21906" s="50"/>
      <c r="O21906" s="36" t="s">
        <v>48</v>
      </c>
      <c r="R21906" s="36" t="s">
        <v>48</v>
      </c>
    </row>
    <row r="21907">
      <c r="H21907" s="50"/>
      <c r="I21907" s="50"/>
      <c r="O21907" s="36" t="s">
        <v>48</v>
      </c>
      <c r="R21907" s="36" t="s">
        <v>48</v>
      </c>
    </row>
    <row r="21908">
      <c r="H21908" s="50"/>
      <c r="I21908" s="50"/>
      <c r="O21908" s="36" t="s">
        <v>48</v>
      </c>
      <c r="R21908" s="36" t="s">
        <v>48</v>
      </c>
    </row>
    <row r="21909">
      <c r="H21909" s="50"/>
      <c r="I21909" s="50"/>
      <c r="O21909" s="36" t="s">
        <v>48</v>
      </c>
      <c r="R21909" s="36" t="s">
        <v>48</v>
      </c>
    </row>
    <row r="21910">
      <c r="H21910" s="50"/>
      <c r="I21910" s="50"/>
      <c r="O21910" s="36" t="s">
        <v>48</v>
      </c>
      <c r="R21910" s="36" t="s">
        <v>48</v>
      </c>
    </row>
    <row r="21911">
      <c r="H21911" s="50"/>
      <c r="I21911" s="50"/>
      <c r="O21911" s="36" t="s">
        <v>48</v>
      </c>
      <c r="R21911" s="36" t="s">
        <v>48</v>
      </c>
    </row>
    <row r="21912">
      <c r="H21912" s="50"/>
      <c r="I21912" s="50"/>
      <c r="O21912" s="36" t="s">
        <v>48</v>
      </c>
      <c r="R21912" s="36" t="s">
        <v>48</v>
      </c>
    </row>
    <row r="21913">
      <c r="H21913" s="50"/>
      <c r="I21913" s="50"/>
      <c r="O21913" s="36" t="s">
        <v>48</v>
      </c>
      <c r="R21913" s="36" t="s">
        <v>48</v>
      </c>
    </row>
    <row r="21914">
      <c r="H21914" s="50"/>
      <c r="I21914" s="50"/>
      <c r="O21914" s="36" t="s">
        <v>48</v>
      </c>
      <c r="R21914" s="36" t="s">
        <v>48</v>
      </c>
    </row>
    <row r="21915">
      <c r="H21915" s="50"/>
      <c r="I21915" s="50"/>
      <c r="O21915" s="36" t="s">
        <v>48</v>
      </c>
      <c r="R21915" s="36" t="s">
        <v>48</v>
      </c>
    </row>
    <row r="21916">
      <c r="H21916" s="50"/>
      <c r="I21916" s="50"/>
      <c r="O21916" s="36" t="s">
        <v>48</v>
      </c>
      <c r="R21916" s="36" t="s">
        <v>48</v>
      </c>
    </row>
    <row r="21917">
      <c r="H21917" s="50"/>
      <c r="I21917" s="50"/>
      <c r="O21917" s="36" t="s">
        <v>48</v>
      </c>
      <c r="R21917" s="36" t="s">
        <v>48</v>
      </c>
    </row>
    <row r="21918">
      <c r="H21918" s="50"/>
      <c r="I21918" s="50"/>
      <c r="O21918" s="36" t="s">
        <v>48</v>
      </c>
      <c r="R21918" s="36" t="s">
        <v>48</v>
      </c>
    </row>
    <row r="21919">
      <c r="H21919" s="50"/>
      <c r="I21919" s="50"/>
      <c r="O21919" s="36" t="s">
        <v>48</v>
      </c>
      <c r="R21919" s="36" t="s">
        <v>48</v>
      </c>
    </row>
    <row r="21920">
      <c r="H21920" s="50"/>
      <c r="I21920" s="50"/>
      <c r="O21920" s="36" t="s">
        <v>48</v>
      </c>
      <c r="R21920" s="36" t="s">
        <v>48</v>
      </c>
    </row>
    <row r="21921">
      <c r="H21921" s="50"/>
      <c r="I21921" s="50"/>
      <c r="O21921" s="36" t="s">
        <v>48</v>
      </c>
      <c r="R21921" s="36" t="s">
        <v>48</v>
      </c>
    </row>
    <row r="21922">
      <c r="H21922" s="50"/>
      <c r="I21922" s="50"/>
      <c r="O21922" s="36" t="s">
        <v>48</v>
      </c>
      <c r="R21922" s="36" t="s">
        <v>48</v>
      </c>
    </row>
    <row r="21923">
      <c r="H21923" s="50"/>
      <c r="I21923" s="50"/>
      <c r="O21923" s="36" t="s">
        <v>48</v>
      </c>
      <c r="R21923" s="36" t="s">
        <v>48</v>
      </c>
    </row>
    <row r="21924">
      <c r="H21924" s="50"/>
      <c r="I21924" s="50"/>
      <c r="O21924" s="36" t="s">
        <v>48</v>
      </c>
      <c r="R21924" s="36" t="s">
        <v>48</v>
      </c>
    </row>
    <row r="21925">
      <c r="H21925" s="50"/>
      <c r="I21925" s="50"/>
      <c r="O21925" s="36" t="s">
        <v>48</v>
      </c>
      <c r="R21925" s="36" t="s">
        <v>48</v>
      </c>
    </row>
    <row r="21926">
      <c r="H21926" s="50"/>
      <c r="I21926" s="50"/>
      <c r="O21926" s="36" t="s">
        <v>48</v>
      </c>
      <c r="R21926" s="36" t="s">
        <v>48</v>
      </c>
    </row>
    <row r="21927">
      <c r="H21927" s="50"/>
      <c r="I21927" s="50"/>
      <c r="O21927" s="36" t="s">
        <v>48</v>
      </c>
      <c r="R21927" s="36" t="s">
        <v>48</v>
      </c>
    </row>
    <row r="21928">
      <c r="H21928" s="50"/>
      <c r="I21928" s="50"/>
      <c r="O21928" s="36" t="s">
        <v>48</v>
      </c>
      <c r="R21928" s="36" t="s">
        <v>48</v>
      </c>
    </row>
    <row r="21929">
      <c r="H21929" s="50"/>
      <c r="I21929" s="50"/>
      <c r="O21929" s="36" t="s">
        <v>48</v>
      </c>
      <c r="R21929" s="36" t="s">
        <v>48</v>
      </c>
    </row>
    <row r="21930">
      <c r="H21930" s="50"/>
      <c r="I21930" s="50"/>
      <c r="O21930" s="36" t="s">
        <v>48</v>
      </c>
      <c r="R21930" s="36" t="s">
        <v>48</v>
      </c>
    </row>
    <row r="21931">
      <c r="H21931" s="50"/>
      <c r="I21931" s="50"/>
      <c r="O21931" s="36" t="s">
        <v>48</v>
      </c>
      <c r="R21931" s="36" t="s">
        <v>48</v>
      </c>
    </row>
    <row r="21932">
      <c r="H21932" s="50"/>
      <c r="I21932" s="50"/>
      <c r="O21932" s="36" t="s">
        <v>48</v>
      </c>
      <c r="R21932" s="36" t="s">
        <v>48</v>
      </c>
    </row>
    <row r="21933">
      <c r="H21933" s="50"/>
      <c r="I21933" s="50"/>
      <c r="O21933" s="36" t="s">
        <v>48</v>
      </c>
      <c r="R21933" s="36" t="s">
        <v>48</v>
      </c>
    </row>
    <row r="21934">
      <c r="H21934" s="50"/>
      <c r="I21934" s="50"/>
      <c r="O21934" s="36" t="s">
        <v>48</v>
      </c>
      <c r="R21934" s="36" t="s">
        <v>48</v>
      </c>
    </row>
    <row r="21935">
      <c r="H21935" s="50"/>
      <c r="I21935" s="50"/>
      <c r="O21935" s="36" t="s">
        <v>48</v>
      </c>
      <c r="R21935" s="36" t="s">
        <v>48</v>
      </c>
    </row>
    <row r="21936">
      <c r="H21936" s="50"/>
      <c r="I21936" s="50"/>
      <c r="O21936" s="36" t="s">
        <v>48</v>
      </c>
      <c r="R21936" s="36" t="s">
        <v>48</v>
      </c>
    </row>
    <row r="21937">
      <c r="H21937" s="50"/>
      <c r="I21937" s="50"/>
      <c r="O21937" s="36" t="s">
        <v>48</v>
      </c>
      <c r="R21937" s="36" t="s">
        <v>48</v>
      </c>
    </row>
    <row r="21938">
      <c r="H21938" s="50"/>
      <c r="I21938" s="50"/>
      <c r="O21938" s="36" t="s">
        <v>48</v>
      </c>
      <c r="R21938" s="36" t="s">
        <v>48</v>
      </c>
    </row>
    <row r="21939">
      <c r="H21939" s="50"/>
      <c r="I21939" s="50"/>
      <c r="O21939" s="36" t="s">
        <v>48</v>
      </c>
      <c r="R21939" s="36" t="s">
        <v>48</v>
      </c>
    </row>
    <row r="21940">
      <c r="H21940" s="50"/>
      <c r="I21940" s="50"/>
      <c r="O21940" s="36" t="s">
        <v>48</v>
      </c>
      <c r="R21940" s="36" t="s">
        <v>48</v>
      </c>
    </row>
    <row r="21941">
      <c r="H21941" s="50"/>
      <c r="I21941" s="50"/>
      <c r="O21941" s="36" t="s">
        <v>48</v>
      </c>
      <c r="R21941" s="36" t="s">
        <v>48</v>
      </c>
    </row>
    <row r="21942">
      <c r="H21942" s="50"/>
      <c r="I21942" s="50"/>
      <c r="O21942" s="36" t="s">
        <v>48</v>
      </c>
      <c r="R21942" s="36" t="s">
        <v>48</v>
      </c>
    </row>
    <row r="21943">
      <c r="H21943" s="50"/>
      <c r="I21943" s="50"/>
      <c r="O21943" s="36" t="s">
        <v>48</v>
      </c>
      <c r="R21943" s="36" t="s">
        <v>48</v>
      </c>
    </row>
    <row r="21944">
      <c r="H21944" s="50"/>
      <c r="I21944" s="50"/>
      <c r="O21944" s="36" t="s">
        <v>48</v>
      </c>
      <c r="R21944" s="36" t="s">
        <v>48</v>
      </c>
    </row>
    <row r="21945">
      <c r="H21945" s="50"/>
      <c r="I21945" s="50"/>
      <c r="O21945" s="36" t="s">
        <v>48</v>
      </c>
      <c r="R21945" s="36" t="s">
        <v>48</v>
      </c>
    </row>
    <row r="21946">
      <c r="H21946" s="50"/>
      <c r="I21946" s="50"/>
      <c r="O21946" s="36" t="s">
        <v>48</v>
      </c>
      <c r="R21946" s="36" t="s">
        <v>48</v>
      </c>
    </row>
    <row r="21947">
      <c r="H21947" s="50"/>
      <c r="I21947" s="50"/>
      <c r="O21947" s="36" t="s">
        <v>48</v>
      </c>
      <c r="R21947" s="36" t="s">
        <v>48</v>
      </c>
    </row>
    <row r="21948">
      <c r="H21948" s="50"/>
      <c r="I21948" s="50"/>
      <c r="O21948" s="36" t="s">
        <v>48</v>
      </c>
      <c r="R21948" s="36" t="s">
        <v>48</v>
      </c>
    </row>
    <row r="21949">
      <c r="H21949" s="50"/>
      <c r="I21949" s="50"/>
      <c r="O21949" s="36" t="s">
        <v>48</v>
      </c>
      <c r="R21949" s="36" t="s">
        <v>48</v>
      </c>
    </row>
    <row r="21950">
      <c r="H21950" s="50"/>
      <c r="I21950" s="50"/>
      <c r="O21950" s="36" t="s">
        <v>48</v>
      </c>
      <c r="R21950" s="36" t="s">
        <v>48</v>
      </c>
    </row>
    <row r="21951">
      <c r="H21951" s="50"/>
      <c r="I21951" s="50"/>
      <c r="O21951" s="36" t="s">
        <v>48</v>
      </c>
      <c r="R21951" s="36" t="s">
        <v>48</v>
      </c>
    </row>
    <row r="21952">
      <c r="H21952" s="50"/>
      <c r="I21952" s="50"/>
      <c r="O21952" s="36" t="s">
        <v>48</v>
      </c>
      <c r="R21952" s="36" t="s">
        <v>48</v>
      </c>
    </row>
    <row r="21953">
      <c r="H21953" s="50"/>
      <c r="I21953" s="50"/>
      <c r="O21953" s="36" t="s">
        <v>48</v>
      </c>
      <c r="R21953" s="36" t="s">
        <v>48</v>
      </c>
    </row>
    <row r="21954">
      <c r="H21954" s="50"/>
      <c r="I21954" s="50"/>
      <c r="O21954" s="36" t="s">
        <v>48</v>
      </c>
      <c r="R21954" s="36" t="s">
        <v>48</v>
      </c>
    </row>
    <row r="21955">
      <c r="H21955" s="50"/>
      <c r="I21955" s="50"/>
      <c r="O21955" s="36" t="s">
        <v>48</v>
      </c>
      <c r="R21955" s="36" t="s">
        <v>48</v>
      </c>
    </row>
    <row r="21956">
      <c r="H21956" s="50"/>
      <c r="I21956" s="50"/>
      <c r="O21956" s="36" t="s">
        <v>48</v>
      </c>
      <c r="R21956" s="36" t="s">
        <v>48</v>
      </c>
    </row>
    <row r="21957">
      <c r="H21957" s="50"/>
      <c r="I21957" s="50"/>
      <c r="O21957" s="36" t="s">
        <v>48</v>
      </c>
      <c r="R21957" s="36" t="s">
        <v>48</v>
      </c>
    </row>
    <row r="21958">
      <c r="H21958" s="50"/>
      <c r="I21958" s="50"/>
      <c r="O21958" s="36" t="s">
        <v>48</v>
      </c>
      <c r="R21958" s="36" t="s">
        <v>48</v>
      </c>
    </row>
    <row r="21959">
      <c r="H21959" s="50"/>
      <c r="I21959" s="50"/>
      <c r="O21959" s="36" t="s">
        <v>48</v>
      </c>
      <c r="R21959" s="36" t="s">
        <v>48</v>
      </c>
    </row>
    <row r="21960">
      <c r="H21960" s="50"/>
      <c r="I21960" s="50"/>
      <c r="O21960" s="36" t="s">
        <v>48</v>
      </c>
      <c r="R21960" s="36" t="s">
        <v>48</v>
      </c>
    </row>
    <row r="21961">
      <c r="H21961" s="50"/>
      <c r="I21961" s="50"/>
      <c r="O21961" s="36" t="s">
        <v>48</v>
      </c>
      <c r="R21961" s="36" t="s">
        <v>48</v>
      </c>
    </row>
    <row r="21962">
      <c r="H21962" s="50"/>
      <c r="I21962" s="50"/>
      <c r="O21962" s="36" t="s">
        <v>48</v>
      </c>
      <c r="R21962" s="36" t="s">
        <v>48</v>
      </c>
    </row>
    <row r="21963">
      <c r="H21963" s="50"/>
      <c r="I21963" s="50"/>
      <c r="O21963" s="36" t="s">
        <v>48</v>
      </c>
      <c r="R21963" s="36" t="s">
        <v>48</v>
      </c>
    </row>
    <row r="21964">
      <c r="H21964" s="50"/>
      <c r="I21964" s="50"/>
      <c r="O21964" s="36" t="s">
        <v>48</v>
      </c>
      <c r="R21964" s="36" t="s">
        <v>48</v>
      </c>
    </row>
    <row r="21965">
      <c r="H21965" s="50"/>
      <c r="I21965" s="50"/>
      <c r="O21965" s="36" t="s">
        <v>48</v>
      </c>
      <c r="R21965" s="36" t="s">
        <v>48</v>
      </c>
    </row>
    <row r="21966">
      <c r="H21966" s="50"/>
      <c r="I21966" s="50"/>
      <c r="O21966" s="36" t="s">
        <v>48</v>
      </c>
      <c r="R21966" s="36" t="s">
        <v>48</v>
      </c>
    </row>
    <row r="21967">
      <c r="H21967" s="50"/>
      <c r="I21967" s="50"/>
      <c r="O21967" s="36" t="s">
        <v>48</v>
      </c>
      <c r="R21967" s="36" t="s">
        <v>48</v>
      </c>
    </row>
    <row r="21968">
      <c r="H21968" s="50"/>
      <c r="I21968" s="50"/>
      <c r="O21968" s="36" t="s">
        <v>48</v>
      </c>
      <c r="R21968" s="36" t="s">
        <v>48</v>
      </c>
    </row>
    <row r="21969">
      <c r="H21969" s="50"/>
      <c r="I21969" s="50"/>
      <c r="O21969" s="36" t="s">
        <v>48</v>
      </c>
      <c r="R21969" s="36" t="s">
        <v>48</v>
      </c>
    </row>
    <row r="21970">
      <c r="H21970" s="50"/>
      <c r="I21970" s="50"/>
      <c r="O21970" s="36" t="s">
        <v>48</v>
      </c>
      <c r="R21970" s="36" t="s">
        <v>48</v>
      </c>
    </row>
    <row r="21971">
      <c r="H21971" s="50"/>
      <c r="I21971" s="50"/>
      <c r="O21971" s="36" t="s">
        <v>48</v>
      </c>
      <c r="R21971" s="36" t="s">
        <v>48</v>
      </c>
    </row>
    <row r="21972">
      <c r="H21972" s="50"/>
      <c r="I21972" s="50"/>
      <c r="O21972" s="36" t="s">
        <v>48</v>
      </c>
      <c r="R21972" s="36" t="s">
        <v>48</v>
      </c>
    </row>
    <row r="21973">
      <c r="H21973" s="50"/>
      <c r="I21973" s="50"/>
      <c r="O21973" s="36" t="s">
        <v>48</v>
      </c>
      <c r="R21973" s="36" t="s">
        <v>48</v>
      </c>
    </row>
    <row r="21974">
      <c r="H21974" s="50"/>
      <c r="I21974" s="50"/>
      <c r="O21974" s="36" t="s">
        <v>48</v>
      </c>
      <c r="R21974" s="36" t="s">
        <v>48</v>
      </c>
    </row>
    <row r="21975">
      <c r="H21975" s="50"/>
      <c r="I21975" s="50"/>
      <c r="O21975" s="36" t="s">
        <v>48</v>
      </c>
      <c r="R21975" s="36" t="s">
        <v>48</v>
      </c>
    </row>
    <row r="21976">
      <c r="H21976" s="50"/>
      <c r="I21976" s="50"/>
      <c r="O21976" s="36" t="s">
        <v>48</v>
      </c>
      <c r="R21976" s="36" t="s">
        <v>48</v>
      </c>
    </row>
    <row r="21977">
      <c r="H21977" s="50"/>
      <c r="I21977" s="50"/>
      <c r="O21977" s="36" t="s">
        <v>48</v>
      </c>
      <c r="R21977" s="36" t="s">
        <v>48</v>
      </c>
    </row>
    <row r="21978">
      <c r="H21978" s="50"/>
      <c r="I21978" s="50"/>
      <c r="O21978" s="36" t="s">
        <v>48</v>
      </c>
      <c r="R21978" s="36" t="s">
        <v>48</v>
      </c>
    </row>
    <row r="21979">
      <c r="H21979" s="50"/>
      <c r="I21979" s="50"/>
      <c r="O21979" s="36" t="s">
        <v>48</v>
      </c>
      <c r="R21979" s="36" t="s">
        <v>48</v>
      </c>
    </row>
    <row r="21980">
      <c r="H21980" s="50"/>
      <c r="I21980" s="50"/>
      <c r="O21980" s="36" t="s">
        <v>48</v>
      </c>
      <c r="R21980" s="36" t="s">
        <v>48</v>
      </c>
    </row>
    <row r="21981">
      <c r="H21981" s="50"/>
      <c r="I21981" s="50"/>
      <c r="O21981" s="36" t="s">
        <v>48</v>
      </c>
      <c r="R21981" s="36" t="s">
        <v>48</v>
      </c>
    </row>
    <row r="21982">
      <c r="H21982" s="50"/>
      <c r="I21982" s="50"/>
      <c r="O21982" s="36" t="s">
        <v>48</v>
      </c>
      <c r="R21982" s="36" t="s">
        <v>48</v>
      </c>
    </row>
    <row r="21983">
      <c r="H21983" s="50"/>
      <c r="I21983" s="50"/>
      <c r="O21983" s="36" t="s">
        <v>48</v>
      </c>
      <c r="R21983" s="36" t="s">
        <v>48</v>
      </c>
    </row>
    <row r="21984">
      <c r="H21984" s="50"/>
      <c r="I21984" s="50"/>
      <c r="O21984" s="36" t="s">
        <v>48</v>
      </c>
      <c r="R21984" s="36" t="s">
        <v>48</v>
      </c>
    </row>
    <row r="21985">
      <c r="H21985" s="50"/>
      <c r="I21985" s="50"/>
      <c r="O21985" s="36" t="s">
        <v>48</v>
      </c>
      <c r="R21985" s="36" t="s">
        <v>48</v>
      </c>
    </row>
    <row r="21986">
      <c r="H21986" s="50"/>
      <c r="I21986" s="50"/>
      <c r="O21986" s="36" t="s">
        <v>48</v>
      </c>
      <c r="R21986" s="36" t="s">
        <v>48</v>
      </c>
    </row>
    <row r="21987">
      <c r="H21987" s="50"/>
      <c r="I21987" s="50"/>
      <c r="O21987" s="36" t="s">
        <v>48</v>
      </c>
      <c r="R21987" s="36" t="s">
        <v>48</v>
      </c>
    </row>
    <row r="21988">
      <c r="H21988" s="50"/>
      <c r="I21988" s="50"/>
      <c r="O21988" s="36" t="s">
        <v>48</v>
      </c>
      <c r="R21988" s="36" t="s">
        <v>48</v>
      </c>
    </row>
    <row r="21989">
      <c r="H21989" s="50"/>
      <c r="I21989" s="50"/>
      <c r="O21989" s="36" t="s">
        <v>48</v>
      </c>
      <c r="R21989" s="36" t="s">
        <v>48</v>
      </c>
    </row>
    <row r="21990">
      <c r="H21990" s="50"/>
      <c r="I21990" s="50"/>
      <c r="O21990" s="36" t="s">
        <v>48</v>
      </c>
      <c r="R21990" s="36" t="s">
        <v>48</v>
      </c>
    </row>
    <row r="21991">
      <c r="H21991" s="50"/>
      <c r="I21991" s="50"/>
      <c r="O21991" s="36" t="s">
        <v>48</v>
      </c>
      <c r="R21991" s="36" t="s">
        <v>48</v>
      </c>
    </row>
    <row r="21992">
      <c r="H21992" s="50"/>
      <c r="I21992" s="50"/>
      <c r="O21992" s="36" t="s">
        <v>48</v>
      </c>
      <c r="R21992" s="36" t="s">
        <v>48</v>
      </c>
    </row>
    <row r="21993">
      <c r="H21993" s="50"/>
      <c r="I21993" s="50"/>
      <c r="O21993" s="36" t="s">
        <v>48</v>
      </c>
      <c r="R21993" s="36" t="s">
        <v>48</v>
      </c>
    </row>
    <row r="21994">
      <c r="H21994" s="50"/>
      <c r="I21994" s="50"/>
      <c r="O21994" s="36" t="s">
        <v>48</v>
      </c>
      <c r="R21994" s="36" t="s">
        <v>48</v>
      </c>
    </row>
    <row r="21995">
      <c r="H21995" s="50"/>
      <c r="I21995" s="50"/>
      <c r="O21995" s="36" t="s">
        <v>48</v>
      </c>
      <c r="R21995" s="36" t="s">
        <v>48</v>
      </c>
    </row>
    <row r="21996">
      <c r="H21996" s="50"/>
      <c r="I21996" s="50"/>
      <c r="O21996" s="36" t="s">
        <v>48</v>
      </c>
      <c r="R21996" s="36" t="s">
        <v>48</v>
      </c>
    </row>
    <row r="21997">
      <c r="H21997" s="50"/>
      <c r="I21997" s="50"/>
      <c r="O21997" s="36" t="s">
        <v>48</v>
      </c>
      <c r="R21997" s="36" t="s">
        <v>48</v>
      </c>
    </row>
    <row r="21998">
      <c r="H21998" s="50"/>
      <c r="I21998" s="50"/>
      <c r="O21998" s="36" t="s">
        <v>48</v>
      </c>
      <c r="R21998" s="36" t="s">
        <v>48</v>
      </c>
    </row>
    <row r="21999">
      <c r="H21999" s="50"/>
      <c r="I21999" s="50"/>
      <c r="O21999" s="36" t="s">
        <v>48</v>
      </c>
      <c r="R21999" s="36" t="s">
        <v>48</v>
      </c>
    </row>
    <row r="22000">
      <c r="H22000" s="50"/>
      <c r="I22000" s="50"/>
      <c r="O22000" s="36" t="s">
        <v>48</v>
      </c>
      <c r="R22000" s="36" t="s">
        <v>48</v>
      </c>
    </row>
    <row r="22001">
      <c r="H22001" s="50"/>
      <c r="I22001" s="50"/>
      <c r="O22001" s="36" t="s">
        <v>48</v>
      </c>
      <c r="R22001" s="36" t="s">
        <v>48</v>
      </c>
    </row>
    <row r="22002">
      <c r="H22002" s="50"/>
      <c r="I22002" s="50"/>
      <c r="O22002" s="36" t="s">
        <v>48</v>
      </c>
      <c r="R22002" s="36" t="s">
        <v>48</v>
      </c>
    </row>
    <row r="22003">
      <c r="H22003" s="50"/>
      <c r="I22003" s="50"/>
      <c r="O22003" s="36" t="s">
        <v>48</v>
      </c>
      <c r="R22003" s="36" t="s">
        <v>48</v>
      </c>
    </row>
    <row r="22004">
      <c r="H22004" s="50"/>
      <c r="I22004" s="50"/>
      <c r="O22004" s="36" t="s">
        <v>48</v>
      </c>
      <c r="R22004" s="36" t="s">
        <v>48</v>
      </c>
    </row>
    <row r="22005">
      <c r="H22005" s="50"/>
      <c r="I22005" s="50"/>
      <c r="O22005" s="36" t="s">
        <v>48</v>
      </c>
      <c r="R22005" s="36" t="s">
        <v>48</v>
      </c>
    </row>
    <row r="22006">
      <c r="H22006" s="50"/>
      <c r="I22006" s="50"/>
      <c r="O22006" s="36" t="s">
        <v>48</v>
      </c>
      <c r="R22006" s="36" t="s">
        <v>48</v>
      </c>
    </row>
    <row r="22007">
      <c r="H22007" s="50"/>
      <c r="I22007" s="50"/>
      <c r="O22007" s="36" t="s">
        <v>48</v>
      </c>
      <c r="R22007" s="36" t="s">
        <v>48</v>
      </c>
    </row>
    <row r="22008">
      <c r="H22008" s="50"/>
      <c r="I22008" s="50"/>
      <c r="O22008" s="36" t="s">
        <v>48</v>
      </c>
      <c r="R22008" s="36" t="s">
        <v>48</v>
      </c>
    </row>
    <row r="22009">
      <c r="H22009" s="50"/>
      <c r="I22009" s="50"/>
      <c r="O22009" s="36" t="s">
        <v>48</v>
      </c>
      <c r="R22009" s="36" t="s">
        <v>48</v>
      </c>
    </row>
    <row r="22010">
      <c r="H22010" s="50"/>
      <c r="I22010" s="50"/>
      <c r="O22010" s="36" t="s">
        <v>48</v>
      </c>
      <c r="R22010" s="36" t="s">
        <v>48</v>
      </c>
    </row>
    <row r="22011">
      <c r="H22011" s="50"/>
      <c r="I22011" s="50"/>
      <c r="O22011" s="36" t="s">
        <v>48</v>
      </c>
      <c r="R22011" s="36" t="s">
        <v>48</v>
      </c>
    </row>
    <row r="22012">
      <c r="H22012" s="50"/>
      <c r="I22012" s="50"/>
      <c r="O22012" s="36" t="s">
        <v>48</v>
      </c>
      <c r="R22012" s="36" t="s">
        <v>48</v>
      </c>
    </row>
    <row r="22013">
      <c r="H22013" s="50"/>
      <c r="I22013" s="50"/>
      <c r="O22013" s="36" t="s">
        <v>48</v>
      </c>
      <c r="R22013" s="36" t="s">
        <v>48</v>
      </c>
    </row>
    <row r="22014">
      <c r="H22014" s="50"/>
      <c r="I22014" s="50"/>
      <c r="O22014" s="36" t="s">
        <v>48</v>
      </c>
      <c r="R22014" s="36" t="s">
        <v>48</v>
      </c>
    </row>
    <row r="22015">
      <c r="H22015" s="50"/>
      <c r="I22015" s="50"/>
      <c r="O22015" s="36" t="s">
        <v>48</v>
      </c>
      <c r="R22015" s="36" t="s">
        <v>48</v>
      </c>
    </row>
    <row r="22016">
      <c r="H22016" s="50"/>
      <c r="I22016" s="50"/>
      <c r="O22016" s="36" t="s">
        <v>48</v>
      </c>
      <c r="R22016" s="36" t="s">
        <v>48</v>
      </c>
    </row>
    <row r="22017">
      <c r="H22017" s="50"/>
      <c r="I22017" s="50"/>
      <c r="O22017" s="36" t="s">
        <v>48</v>
      </c>
      <c r="R22017" s="36" t="s">
        <v>48</v>
      </c>
    </row>
    <row r="22018">
      <c r="H22018" s="50"/>
      <c r="I22018" s="50"/>
      <c r="O22018" s="36" t="s">
        <v>48</v>
      </c>
      <c r="R22018" s="36" t="s">
        <v>48</v>
      </c>
    </row>
    <row r="22019">
      <c r="H22019" s="50"/>
      <c r="I22019" s="50"/>
      <c r="O22019" s="36" t="s">
        <v>48</v>
      </c>
      <c r="R22019" s="36" t="s">
        <v>48</v>
      </c>
    </row>
    <row r="22020">
      <c r="H22020" s="50"/>
      <c r="I22020" s="50"/>
      <c r="O22020" s="36" t="s">
        <v>48</v>
      </c>
      <c r="R22020" s="36" t="s">
        <v>48</v>
      </c>
    </row>
    <row r="22021">
      <c r="H22021" s="50"/>
      <c r="I22021" s="50"/>
      <c r="O22021" s="36" t="s">
        <v>48</v>
      </c>
      <c r="R22021" s="36" t="s">
        <v>48</v>
      </c>
    </row>
    <row r="22022">
      <c r="H22022" s="50"/>
      <c r="I22022" s="50"/>
      <c r="O22022" s="36" t="s">
        <v>48</v>
      </c>
      <c r="R22022" s="36" t="s">
        <v>48</v>
      </c>
    </row>
    <row r="22023">
      <c r="H22023" s="50"/>
      <c r="I22023" s="50"/>
      <c r="O22023" s="36" t="s">
        <v>48</v>
      </c>
      <c r="R22023" s="36" t="s">
        <v>48</v>
      </c>
    </row>
    <row r="22024">
      <c r="H22024" s="50"/>
      <c r="I22024" s="50"/>
      <c r="O22024" s="36" t="s">
        <v>48</v>
      </c>
      <c r="R22024" s="36" t="s">
        <v>48</v>
      </c>
    </row>
    <row r="22025">
      <c r="H22025" s="50"/>
      <c r="I22025" s="50"/>
      <c r="O22025" s="36" t="s">
        <v>48</v>
      </c>
      <c r="R22025" s="36" t="s">
        <v>48</v>
      </c>
    </row>
    <row r="22026">
      <c r="H22026" s="50"/>
      <c r="I22026" s="50"/>
      <c r="O22026" s="36" t="s">
        <v>48</v>
      </c>
      <c r="R22026" s="36" t="s">
        <v>48</v>
      </c>
    </row>
    <row r="22027">
      <c r="H22027" s="50"/>
      <c r="I22027" s="50"/>
      <c r="O22027" s="36" t="s">
        <v>48</v>
      </c>
      <c r="R22027" s="36" t="s">
        <v>48</v>
      </c>
    </row>
    <row r="22028">
      <c r="H22028" s="50"/>
      <c r="I22028" s="50"/>
      <c r="O22028" s="36" t="s">
        <v>48</v>
      </c>
      <c r="R22028" s="36" t="s">
        <v>48</v>
      </c>
    </row>
    <row r="22029">
      <c r="H22029" s="50"/>
      <c r="I22029" s="50"/>
      <c r="O22029" s="36" t="s">
        <v>48</v>
      </c>
      <c r="R22029" s="36" t="s">
        <v>48</v>
      </c>
    </row>
    <row r="22030">
      <c r="H22030" s="50"/>
      <c r="I22030" s="50"/>
      <c r="O22030" s="36" t="s">
        <v>48</v>
      </c>
      <c r="R22030" s="36" t="s">
        <v>48</v>
      </c>
    </row>
    <row r="22031">
      <c r="H22031" s="50"/>
      <c r="I22031" s="50"/>
      <c r="O22031" s="36" t="s">
        <v>48</v>
      </c>
      <c r="R22031" s="36" t="s">
        <v>48</v>
      </c>
    </row>
    <row r="22032">
      <c r="H22032" s="50"/>
      <c r="I22032" s="50"/>
      <c r="O22032" s="36" t="s">
        <v>48</v>
      </c>
      <c r="R22032" s="36" t="s">
        <v>48</v>
      </c>
    </row>
    <row r="22033">
      <c r="H22033" s="50"/>
      <c r="I22033" s="50"/>
      <c r="O22033" s="36" t="s">
        <v>48</v>
      </c>
      <c r="R22033" s="36" t="s">
        <v>48</v>
      </c>
    </row>
    <row r="22034">
      <c r="H22034" s="50"/>
      <c r="I22034" s="50"/>
      <c r="O22034" s="36" t="s">
        <v>48</v>
      </c>
      <c r="R22034" s="36" t="s">
        <v>48</v>
      </c>
    </row>
    <row r="22035">
      <c r="H22035" s="50"/>
      <c r="I22035" s="50"/>
      <c r="O22035" s="36" t="s">
        <v>48</v>
      </c>
      <c r="R22035" s="36" t="s">
        <v>48</v>
      </c>
    </row>
    <row r="22036">
      <c r="H22036" s="50"/>
      <c r="I22036" s="50"/>
      <c r="O22036" s="36" t="s">
        <v>48</v>
      </c>
      <c r="R22036" s="36" t="s">
        <v>48</v>
      </c>
    </row>
    <row r="22037">
      <c r="H22037" s="50"/>
      <c r="I22037" s="50"/>
      <c r="O22037" s="36" t="s">
        <v>48</v>
      </c>
      <c r="R22037" s="36" t="s">
        <v>48</v>
      </c>
    </row>
    <row r="22038">
      <c r="H22038" s="50"/>
      <c r="I22038" s="50"/>
      <c r="O22038" s="36" t="s">
        <v>48</v>
      </c>
      <c r="R22038" s="36" t="s">
        <v>48</v>
      </c>
    </row>
    <row r="22039">
      <c r="H22039" s="50"/>
      <c r="I22039" s="50"/>
      <c r="O22039" s="36" t="s">
        <v>48</v>
      </c>
      <c r="R22039" s="36" t="s">
        <v>48</v>
      </c>
    </row>
    <row r="22040">
      <c r="H22040" s="50"/>
      <c r="I22040" s="50"/>
      <c r="O22040" s="36" t="s">
        <v>48</v>
      </c>
      <c r="R22040" s="36" t="s">
        <v>48</v>
      </c>
    </row>
    <row r="22041">
      <c r="H22041" s="50"/>
      <c r="I22041" s="50"/>
      <c r="O22041" s="36" t="s">
        <v>48</v>
      </c>
      <c r="R22041" s="36" t="s">
        <v>48</v>
      </c>
    </row>
    <row r="22042">
      <c r="H22042" s="50"/>
      <c r="I22042" s="50"/>
      <c r="O22042" s="36" t="s">
        <v>48</v>
      </c>
      <c r="R22042" s="36" t="s">
        <v>48</v>
      </c>
    </row>
    <row r="22043">
      <c r="H22043" s="50"/>
      <c r="I22043" s="50"/>
      <c r="O22043" s="36" t="s">
        <v>48</v>
      </c>
      <c r="R22043" s="36" t="s">
        <v>48</v>
      </c>
    </row>
    <row r="22044">
      <c r="H22044" s="50"/>
      <c r="I22044" s="50"/>
      <c r="O22044" s="36" t="s">
        <v>48</v>
      </c>
      <c r="R22044" s="36" t="s">
        <v>48</v>
      </c>
    </row>
    <row r="22045">
      <c r="H22045" s="50"/>
      <c r="I22045" s="50"/>
      <c r="O22045" s="36" t="s">
        <v>48</v>
      </c>
      <c r="R22045" s="36" t="s">
        <v>48</v>
      </c>
    </row>
    <row r="22046">
      <c r="H22046" s="50"/>
      <c r="I22046" s="50"/>
      <c r="O22046" s="36" t="s">
        <v>48</v>
      </c>
      <c r="R22046" s="36" t="s">
        <v>48</v>
      </c>
    </row>
    <row r="22047">
      <c r="H22047" s="50"/>
      <c r="I22047" s="50"/>
      <c r="O22047" s="36" t="s">
        <v>48</v>
      </c>
      <c r="R22047" s="36" t="s">
        <v>48</v>
      </c>
    </row>
    <row r="22048">
      <c r="H22048" s="50"/>
      <c r="I22048" s="50"/>
      <c r="O22048" s="36" t="s">
        <v>48</v>
      </c>
      <c r="R22048" s="36" t="s">
        <v>48</v>
      </c>
    </row>
    <row r="22049">
      <c r="H22049" s="50"/>
      <c r="I22049" s="50"/>
      <c r="O22049" s="36" t="s">
        <v>48</v>
      </c>
      <c r="R22049" s="36" t="s">
        <v>48</v>
      </c>
    </row>
    <row r="22050">
      <c r="H22050" s="50"/>
      <c r="I22050" s="50"/>
      <c r="O22050" s="36" t="s">
        <v>48</v>
      </c>
      <c r="R22050" s="36" t="s">
        <v>48</v>
      </c>
    </row>
    <row r="22051">
      <c r="H22051" s="50"/>
      <c r="I22051" s="50"/>
      <c r="O22051" s="36" t="s">
        <v>48</v>
      </c>
      <c r="R22051" s="36" t="s">
        <v>48</v>
      </c>
    </row>
    <row r="22052">
      <c r="H22052" s="50"/>
      <c r="I22052" s="50"/>
      <c r="O22052" s="36" t="s">
        <v>48</v>
      </c>
      <c r="R22052" s="36" t="s">
        <v>48</v>
      </c>
    </row>
    <row r="22053">
      <c r="H22053" s="50"/>
      <c r="I22053" s="50"/>
      <c r="O22053" s="36" t="s">
        <v>48</v>
      </c>
      <c r="R22053" s="36" t="s">
        <v>48</v>
      </c>
    </row>
    <row r="22054">
      <c r="H22054" s="50"/>
      <c r="I22054" s="50"/>
      <c r="O22054" s="36" t="s">
        <v>48</v>
      </c>
      <c r="R22054" s="36" t="s">
        <v>48</v>
      </c>
    </row>
    <row r="22055">
      <c r="H22055" s="50"/>
      <c r="I22055" s="50"/>
      <c r="O22055" s="36" t="s">
        <v>48</v>
      </c>
      <c r="R22055" s="36" t="s">
        <v>48</v>
      </c>
    </row>
    <row r="22056">
      <c r="H22056" s="50"/>
      <c r="I22056" s="50"/>
      <c r="O22056" s="36" t="s">
        <v>48</v>
      </c>
      <c r="R22056" s="36" t="s">
        <v>48</v>
      </c>
    </row>
    <row r="22057">
      <c r="H22057" s="50"/>
      <c r="I22057" s="50"/>
      <c r="O22057" s="36" t="s">
        <v>48</v>
      </c>
      <c r="R22057" s="36" t="s">
        <v>48</v>
      </c>
    </row>
    <row r="22058">
      <c r="H22058" s="50"/>
      <c r="I22058" s="50"/>
      <c r="O22058" s="36" t="s">
        <v>48</v>
      </c>
      <c r="R22058" s="36" t="s">
        <v>48</v>
      </c>
    </row>
    <row r="22059">
      <c r="H22059" s="50"/>
      <c r="I22059" s="50"/>
      <c r="O22059" s="36" t="s">
        <v>48</v>
      </c>
      <c r="R22059" s="36" t="s">
        <v>48</v>
      </c>
    </row>
    <row r="22060">
      <c r="H22060" s="50"/>
      <c r="I22060" s="50"/>
      <c r="O22060" s="36" t="s">
        <v>48</v>
      </c>
      <c r="R22060" s="36" t="s">
        <v>48</v>
      </c>
    </row>
    <row r="22061">
      <c r="H22061" s="50"/>
      <c r="I22061" s="50"/>
      <c r="O22061" s="36" t="s">
        <v>48</v>
      </c>
      <c r="R22061" s="36" t="s">
        <v>48</v>
      </c>
    </row>
    <row r="22062">
      <c r="H22062" s="50"/>
      <c r="I22062" s="50"/>
      <c r="O22062" s="36" t="s">
        <v>48</v>
      </c>
      <c r="R22062" s="36" t="s">
        <v>48</v>
      </c>
    </row>
    <row r="22063">
      <c r="H22063" s="50"/>
      <c r="I22063" s="50"/>
      <c r="O22063" s="36" t="s">
        <v>48</v>
      </c>
      <c r="R22063" s="36" t="s">
        <v>48</v>
      </c>
    </row>
    <row r="22064">
      <c r="H22064" s="50"/>
      <c r="I22064" s="50"/>
      <c r="O22064" s="36" t="s">
        <v>48</v>
      </c>
      <c r="R22064" s="36" t="s">
        <v>48</v>
      </c>
    </row>
    <row r="22065">
      <c r="H22065" s="50"/>
      <c r="I22065" s="50"/>
      <c r="O22065" s="36" t="s">
        <v>48</v>
      </c>
      <c r="R22065" s="36" t="s">
        <v>48</v>
      </c>
    </row>
    <row r="22066">
      <c r="H22066" s="50"/>
      <c r="I22066" s="50"/>
      <c r="O22066" s="36" t="s">
        <v>48</v>
      </c>
      <c r="R22066" s="36" t="s">
        <v>48</v>
      </c>
    </row>
    <row r="22067">
      <c r="H22067" s="50"/>
      <c r="I22067" s="50"/>
      <c r="O22067" s="36" t="s">
        <v>48</v>
      </c>
      <c r="R22067" s="36" t="s">
        <v>48</v>
      </c>
    </row>
    <row r="22068">
      <c r="H22068" s="50"/>
      <c r="I22068" s="50"/>
      <c r="O22068" s="36" t="s">
        <v>48</v>
      </c>
      <c r="R22068" s="36" t="s">
        <v>48</v>
      </c>
    </row>
    <row r="22069">
      <c r="H22069" s="50"/>
      <c r="I22069" s="50"/>
      <c r="O22069" s="36" t="s">
        <v>48</v>
      </c>
      <c r="R22069" s="36" t="s">
        <v>48</v>
      </c>
    </row>
    <row r="22070">
      <c r="H22070" s="50"/>
      <c r="I22070" s="50"/>
      <c r="O22070" s="36" t="s">
        <v>48</v>
      </c>
      <c r="R22070" s="36" t="s">
        <v>48</v>
      </c>
    </row>
    <row r="22071">
      <c r="H22071" s="50"/>
      <c r="I22071" s="50"/>
      <c r="O22071" s="36" t="s">
        <v>48</v>
      </c>
      <c r="R22071" s="36" t="s">
        <v>48</v>
      </c>
    </row>
    <row r="22072">
      <c r="H22072" s="50"/>
      <c r="I22072" s="50"/>
      <c r="O22072" s="36" t="s">
        <v>48</v>
      </c>
      <c r="R22072" s="36" t="s">
        <v>48</v>
      </c>
    </row>
    <row r="22073">
      <c r="H22073" s="50"/>
      <c r="I22073" s="50"/>
      <c r="O22073" s="36" t="s">
        <v>48</v>
      </c>
      <c r="R22073" s="36" t="s">
        <v>48</v>
      </c>
    </row>
    <row r="22074">
      <c r="H22074" s="50"/>
      <c r="I22074" s="50"/>
      <c r="O22074" s="36" t="s">
        <v>48</v>
      </c>
      <c r="R22074" s="36" t="s">
        <v>48</v>
      </c>
    </row>
    <row r="22075">
      <c r="H22075" s="50"/>
      <c r="I22075" s="50"/>
      <c r="O22075" s="36" t="s">
        <v>48</v>
      </c>
      <c r="R22075" s="36" t="s">
        <v>48</v>
      </c>
    </row>
    <row r="22076">
      <c r="H22076" s="50"/>
      <c r="I22076" s="50"/>
      <c r="O22076" s="36" t="s">
        <v>48</v>
      </c>
      <c r="R22076" s="36" t="s">
        <v>48</v>
      </c>
    </row>
    <row r="22077">
      <c r="H22077" s="50"/>
      <c r="I22077" s="50"/>
      <c r="O22077" s="36" t="s">
        <v>48</v>
      </c>
      <c r="R22077" s="36" t="s">
        <v>48</v>
      </c>
    </row>
    <row r="22078">
      <c r="H22078" s="50"/>
      <c r="I22078" s="50"/>
      <c r="O22078" s="36" t="s">
        <v>48</v>
      </c>
      <c r="R22078" s="36" t="s">
        <v>48</v>
      </c>
    </row>
    <row r="22079">
      <c r="H22079" s="50"/>
      <c r="I22079" s="50"/>
      <c r="O22079" s="36" t="s">
        <v>48</v>
      </c>
      <c r="R22079" s="36" t="s">
        <v>48</v>
      </c>
    </row>
    <row r="22080">
      <c r="H22080" s="50"/>
      <c r="I22080" s="50"/>
      <c r="O22080" s="36" t="s">
        <v>48</v>
      </c>
      <c r="R22080" s="36" t="s">
        <v>48</v>
      </c>
    </row>
    <row r="22081">
      <c r="H22081" s="50"/>
      <c r="I22081" s="50"/>
      <c r="O22081" s="36" t="s">
        <v>48</v>
      </c>
      <c r="R22081" s="36" t="s">
        <v>48</v>
      </c>
    </row>
    <row r="22082">
      <c r="H22082" s="50"/>
      <c r="I22082" s="50"/>
      <c r="O22082" s="36" t="s">
        <v>48</v>
      </c>
      <c r="R22082" s="36" t="s">
        <v>48</v>
      </c>
    </row>
    <row r="22083">
      <c r="H22083" s="50"/>
      <c r="I22083" s="50"/>
      <c r="O22083" s="36" t="s">
        <v>48</v>
      </c>
      <c r="R22083" s="36" t="s">
        <v>48</v>
      </c>
    </row>
    <row r="22084">
      <c r="H22084" s="50"/>
      <c r="I22084" s="50"/>
      <c r="O22084" s="36" t="s">
        <v>48</v>
      </c>
      <c r="R22084" s="36" t="s">
        <v>48</v>
      </c>
    </row>
    <row r="22085">
      <c r="H22085" s="50"/>
      <c r="I22085" s="50"/>
      <c r="O22085" s="36" t="s">
        <v>48</v>
      </c>
      <c r="R22085" s="36" t="s">
        <v>48</v>
      </c>
    </row>
    <row r="22086">
      <c r="H22086" s="50"/>
      <c r="I22086" s="50"/>
      <c r="O22086" s="36" t="s">
        <v>48</v>
      </c>
      <c r="R22086" s="36" t="s">
        <v>48</v>
      </c>
    </row>
    <row r="22087">
      <c r="H22087" s="50"/>
      <c r="I22087" s="50"/>
      <c r="O22087" s="36" t="s">
        <v>48</v>
      </c>
      <c r="R22087" s="36" t="s">
        <v>48</v>
      </c>
    </row>
    <row r="22088">
      <c r="H22088" s="50"/>
      <c r="I22088" s="50"/>
      <c r="O22088" s="36" t="s">
        <v>48</v>
      </c>
      <c r="R22088" s="36" t="s">
        <v>48</v>
      </c>
    </row>
    <row r="22089">
      <c r="H22089" s="50"/>
      <c r="I22089" s="50"/>
      <c r="O22089" s="36" t="s">
        <v>48</v>
      </c>
      <c r="R22089" s="36" t="s">
        <v>48</v>
      </c>
    </row>
    <row r="22090">
      <c r="H22090" s="50"/>
      <c r="I22090" s="50"/>
      <c r="O22090" s="36" t="s">
        <v>48</v>
      </c>
      <c r="R22090" s="36" t="s">
        <v>48</v>
      </c>
    </row>
    <row r="22091">
      <c r="H22091" s="50"/>
      <c r="I22091" s="50"/>
      <c r="O22091" s="36" t="s">
        <v>48</v>
      </c>
      <c r="R22091" s="36" t="s">
        <v>48</v>
      </c>
    </row>
    <row r="22092">
      <c r="H22092" s="50"/>
      <c r="I22092" s="50"/>
      <c r="O22092" s="36" t="s">
        <v>48</v>
      </c>
      <c r="R22092" s="36" t="s">
        <v>48</v>
      </c>
    </row>
    <row r="22093">
      <c r="H22093" s="50"/>
      <c r="I22093" s="50"/>
      <c r="O22093" s="36" t="s">
        <v>48</v>
      </c>
      <c r="R22093" s="36" t="s">
        <v>48</v>
      </c>
    </row>
    <row r="22094">
      <c r="H22094" s="50"/>
      <c r="I22094" s="50"/>
      <c r="O22094" s="36" t="s">
        <v>48</v>
      </c>
      <c r="R22094" s="36" t="s">
        <v>48</v>
      </c>
    </row>
    <row r="22095">
      <c r="H22095" s="50"/>
      <c r="I22095" s="50"/>
      <c r="O22095" s="36" t="s">
        <v>48</v>
      </c>
      <c r="R22095" s="36" t="s">
        <v>48</v>
      </c>
    </row>
    <row r="22096">
      <c r="H22096" s="50"/>
      <c r="I22096" s="50"/>
      <c r="O22096" s="36" t="s">
        <v>48</v>
      </c>
      <c r="R22096" s="36" t="s">
        <v>48</v>
      </c>
    </row>
    <row r="22097">
      <c r="H22097" s="50"/>
      <c r="I22097" s="50"/>
      <c r="O22097" s="36" t="s">
        <v>48</v>
      </c>
      <c r="R22097" s="36" t="s">
        <v>48</v>
      </c>
    </row>
    <row r="22098">
      <c r="H22098" s="50"/>
      <c r="I22098" s="50"/>
      <c r="O22098" s="36" t="s">
        <v>48</v>
      </c>
      <c r="R22098" s="36" t="s">
        <v>48</v>
      </c>
    </row>
    <row r="22099">
      <c r="H22099" s="50"/>
      <c r="I22099" s="50"/>
      <c r="O22099" s="36" t="s">
        <v>48</v>
      </c>
      <c r="R22099" s="36" t="s">
        <v>48</v>
      </c>
    </row>
    <row r="22100">
      <c r="H22100" s="50"/>
      <c r="I22100" s="50"/>
      <c r="O22100" s="36" t="s">
        <v>48</v>
      </c>
      <c r="R22100" s="36" t="s">
        <v>48</v>
      </c>
    </row>
    <row r="22101">
      <c r="H22101" s="50"/>
      <c r="I22101" s="50"/>
      <c r="O22101" s="36" t="s">
        <v>48</v>
      </c>
      <c r="R22101" s="36" t="s">
        <v>48</v>
      </c>
    </row>
    <row r="22102">
      <c r="H22102" s="50"/>
      <c r="I22102" s="50"/>
      <c r="O22102" s="36" t="s">
        <v>48</v>
      </c>
      <c r="R22102" s="36" t="s">
        <v>48</v>
      </c>
    </row>
    <row r="22103">
      <c r="H22103" s="50"/>
      <c r="I22103" s="50"/>
      <c r="O22103" s="36" t="s">
        <v>48</v>
      </c>
      <c r="R22103" s="36" t="s">
        <v>48</v>
      </c>
    </row>
    <row r="22104">
      <c r="H22104" s="50"/>
      <c r="I22104" s="50"/>
      <c r="O22104" s="36" t="s">
        <v>48</v>
      </c>
      <c r="R22104" s="36" t="s">
        <v>48</v>
      </c>
    </row>
    <row r="22105">
      <c r="H22105" s="50"/>
      <c r="I22105" s="50"/>
      <c r="O22105" s="36" t="s">
        <v>48</v>
      </c>
      <c r="R22105" s="36" t="s">
        <v>48</v>
      </c>
    </row>
    <row r="22106">
      <c r="H22106" s="50"/>
      <c r="I22106" s="50"/>
      <c r="O22106" s="36" t="s">
        <v>48</v>
      </c>
      <c r="R22106" s="36" t="s">
        <v>48</v>
      </c>
    </row>
    <row r="22107">
      <c r="H22107" s="50"/>
      <c r="I22107" s="50"/>
      <c r="O22107" s="36" t="s">
        <v>48</v>
      </c>
      <c r="R22107" s="36" t="s">
        <v>48</v>
      </c>
    </row>
    <row r="22108">
      <c r="H22108" s="50"/>
      <c r="I22108" s="50"/>
      <c r="O22108" s="36" t="s">
        <v>48</v>
      </c>
      <c r="R22108" s="36" t="s">
        <v>48</v>
      </c>
    </row>
    <row r="22109">
      <c r="H22109" s="50"/>
      <c r="I22109" s="50"/>
      <c r="O22109" s="36" t="s">
        <v>48</v>
      </c>
      <c r="R22109" s="36" t="s">
        <v>48</v>
      </c>
    </row>
    <row r="22110">
      <c r="H22110" s="50"/>
      <c r="I22110" s="50"/>
      <c r="O22110" s="36" t="s">
        <v>48</v>
      </c>
      <c r="R22110" s="36" t="s">
        <v>48</v>
      </c>
    </row>
    <row r="22111">
      <c r="H22111" s="50"/>
      <c r="I22111" s="50"/>
      <c r="O22111" s="36" t="s">
        <v>48</v>
      </c>
      <c r="R22111" s="36" t="s">
        <v>48</v>
      </c>
    </row>
    <row r="22112">
      <c r="H22112" s="50"/>
      <c r="I22112" s="50"/>
      <c r="O22112" s="36" t="s">
        <v>48</v>
      </c>
      <c r="R22112" s="36" t="s">
        <v>48</v>
      </c>
    </row>
    <row r="22113">
      <c r="H22113" s="50"/>
      <c r="I22113" s="50"/>
      <c r="O22113" s="36" t="s">
        <v>48</v>
      </c>
      <c r="R22113" s="36" t="s">
        <v>48</v>
      </c>
    </row>
    <row r="22114">
      <c r="H22114" s="50"/>
      <c r="I22114" s="50"/>
      <c r="O22114" s="36" t="s">
        <v>48</v>
      </c>
      <c r="R22114" s="36" t="s">
        <v>48</v>
      </c>
    </row>
    <row r="22115">
      <c r="H22115" s="50"/>
      <c r="I22115" s="50"/>
      <c r="O22115" s="36" t="s">
        <v>48</v>
      </c>
      <c r="R22115" s="36" t="s">
        <v>48</v>
      </c>
    </row>
    <row r="22116">
      <c r="H22116" s="50"/>
      <c r="I22116" s="50"/>
      <c r="O22116" s="36" t="s">
        <v>48</v>
      </c>
      <c r="R22116" s="36" t="s">
        <v>48</v>
      </c>
    </row>
    <row r="22117">
      <c r="H22117" s="50"/>
      <c r="I22117" s="50"/>
      <c r="O22117" s="36" t="s">
        <v>48</v>
      </c>
      <c r="R22117" s="36" t="s">
        <v>48</v>
      </c>
    </row>
    <row r="22118">
      <c r="H22118" s="50"/>
      <c r="I22118" s="50"/>
      <c r="O22118" s="36" t="s">
        <v>48</v>
      </c>
      <c r="R22118" s="36" t="s">
        <v>48</v>
      </c>
    </row>
    <row r="22119">
      <c r="H22119" s="50"/>
      <c r="I22119" s="50"/>
      <c r="O22119" s="36" t="s">
        <v>48</v>
      </c>
      <c r="R22119" s="36" t="s">
        <v>48</v>
      </c>
    </row>
    <row r="22120">
      <c r="H22120" s="50"/>
      <c r="I22120" s="50"/>
      <c r="O22120" s="36" t="s">
        <v>48</v>
      </c>
      <c r="R22120" s="36" t="s">
        <v>48</v>
      </c>
    </row>
    <row r="22121">
      <c r="H22121" s="50"/>
      <c r="I22121" s="50"/>
      <c r="O22121" s="36" t="s">
        <v>48</v>
      </c>
      <c r="R22121" s="36" t="s">
        <v>48</v>
      </c>
    </row>
    <row r="22122">
      <c r="H22122" s="50"/>
      <c r="I22122" s="50"/>
      <c r="O22122" s="36" t="s">
        <v>48</v>
      </c>
      <c r="R22122" s="36" t="s">
        <v>48</v>
      </c>
    </row>
    <row r="22123">
      <c r="H22123" s="50"/>
      <c r="I22123" s="50"/>
      <c r="O22123" s="36" t="s">
        <v>48</v>
      </c>
      <c r="R22123" s="36" t="s">
        <v>48</v>
      </c>
    </row>
    <row r="22124">
      <c r="H22124" s="50"/>
      <c r="I22124" s="50"/>
      <c r="O22124" s="36" t="s">
        <v>48</v>
      </c>
      <c r="R22124" s="36" t="s">
        <v>48</v>
      </c>
    </row>
    <row r="22125">
      <c r="H22125" s="50"/>
      <c r="I22125" s="50"/>
      <c r="O22125" s="36" t="s">
        <v>48</v>
      </c>
      <c r="R22125" s="36" t="s">
        <v>48</v>
      </c>
    </row>
    <row r="22126">
      <c r="H22126" s="50"/>
      <c r="I22126" s="50"/>
      <c r="O22126" s="36" t="s">
        <v>48</v>
      </c>
      <c r="R22126" s="36" t="s">
        <v>48</v>
      </c>
    </row>
    <row r="22127">
      <c r="H22127" s="50"/>
      <c r="I22127" s="50"/>
      <c r="O22127" s="36" t="s">
        <v>48</v>
      </c>
      <c r="R22127" s="36" t="s">
        <v>48</v>
      </c>
    </row>
    <row r="22128">
      <c r="H22128" s="50"/>
      <c r="I22128" s="50"/>
      <c r="O22128" s="36" t="s">
        <v>48</v>
      </c>
      <c r="R22128" s="36" t="s">
        <v>48</v>
      </c>
    </row>
    <row r="22129">
      <c r="H22129" s="50"/>
      <c r="I22129" s="50"/>
      <c r="O22129" s="36" t="s">
        <v>48</v>
      </c>
      <c r="R22129" s="36" t="s">
        <v>48</v>
      </c>
    </row>
    <row r="22130">
      <c r="H22130" s="50"/>
      <c r="I22130" s="50"/>
      <c r="O22130" s="36" t="s">
        <v>48</v>
      </c>
      <c r="R22130" s="36" t="s">
        <v>48</v>
      </c>
    </row>
    <row r="22131">
      <c r="H22131" s="50"/>
      <c r="I22131" s="50"/>
      <c r="O22131" s="36" t="s">
        <v>48</v>
      </c>
      <c r="R22131" s="36" t="s">
        <v>48</v>
      </c>
    </row>
    <row r="22132">
      <c r="H22132" s="50"/>
      <c r="I22132" s="50"/>
      <c r="O22132" s="36" t="s">
        <v>48</v>
      </c>
      <c r="R22132" s="36" t="s">
        <v>48</v>
      </c>
    </row>
    <row r="22133">
      <c r="H22133" s="50"/>
      <c r="I22133" s="50"/>
      <c r="O22133" s="36" t="s">
        <v>48</v>
      </c>
      <c r="R22133" s="36" t="s">
        <v>48</v>
      </c>
    </row>
    <row r="22134">
      <c r="H22134" s="50"/>
      <c r="I22134" s="50"/>
      <c r="O22134" s="36" t="s">
        <v>48</v>
      </c>
      <c r="R22134" s="36" t="s">
        <v>48</v>
      </c>
    </row>
    <row r="22135">
      <c r="H22135" s="50"/>
      <c r="I22135" s="50"/>
      <c r="O22135" s="36" t="s">
        <v>48</v>
      </c>
      <c r="R22135" s="36" t="s">
        <v>48</v>
      </c>
    </row>
    <row r="22136">
      <c r="H22136" s="50"/>
      <c r="I22136" s="50"/>
      <c r="O22136" s="36" t="s">
        <v>48</v>
      </c>
      <c r="R22136" s="36" t="s">
        <v>48</v>
      </c>
    </row>
    <row r="22137">
      <c r="H22137" s="50"/>
      <c r="I22137" s="50"/>
      <c r="O22137" s="36" t="s">
        <v>48</v>
      </c>
      <c r="R22137" s="36" t="s">
        <v>48</v>
      </c>
    </row>
    <row r="22138">
      <c r="H22138" s="50"/>
      <c r="I22138" s="50"/>
      <c r="O22138" s="36" t="s">
        <v>48</v>
      </c>
      <c r="R22138" s="36" t="s">
        <v>48</v>
      </c>
    </row>
    <row r="22139">
      <c r="H22139" s="50"/>
      <c r="I22139" s="50"/>
      <c r="O22139" s="36" t="s">
        <v>48</v>
      </c>
      <c r="R22139" s="36" t="s">
        <v>48</v>
      </c>
    </row>
    <row r="22140">
      <c r="H22140" s="50"/>
      <c r="I22140" s="50"/>
      <c r="O22140" s="36" t="s">
        <v>48</v>
      </c>
      <c r="R22140" s="36" t="s">
        <v>48</v>
      </c>
    </row>
    <row r="22141">
      <c r="H22141" s="50"/>
      <c r="I22141" s="50"/>
      <c r="O22141" s="36" t="s">
        <v>48</v>
      </c>
      <c r="R22141" s="36" t="s">
        <v>48</v>
      </c>
    </row>
    <row r="22142">
      <c r="H22142" s="50"/>
      <c r="I22142" s="50"/>
      <c r="O22142" s="36" t="s">
        <v>48</v>
      </c>
      <c r="R22142" s="36" t="s">
        <v>48</v>
      </c>
    </row>
    <row r="22143">
      <c r="H22143" s="50"/>
      <c r="I22143" s="50"/>
      <c r="O22143" s="36" t="s">
        <v>48</v>
      </c>
      <c r="R22143" s="36" t="s">
        <v>48</v>
      </c>
    </row>
    <row r="22144">
      <c r="H22144" s="50"/>
      <c r="I22144" s="50"/>
      <c r="O22144" s="36" t="s">
        <v>48</v>
      </c>
      <c r="R22144" s="36" t="s">
        <v>48</v>
      </c>
    </row>
    <row r="22145">
      <c r="H22145" s="50"/>
      <c r="I22145" s="50"/>
      <c r="O22145" s="36" t="s">
        <v>48</v>
      </c>
      <c r="R22145" s="36" t="s">
        <v>48</v>
      </c>
    </row>
    <row r="22146">
      <c r="H22146" s="50"/>
      <c r="I22146" s="50"/>
      <c r="O22146" s="36" t="s">
        <v>48</v>
      </c>
      <c r="R22146" s="36" t="s">
        <v>48</v>
      </c>
    </row>
    <row r="22147">
      <c r="H22147" s="50"/>
      <c r="I22147" s="50"/>
      <c r="O22147" s="36" t="s">
        <v>48</v>
      </c>
      <c r="R22147" s="36" t="s">
        <v>48</v>
      </c>
    </row>
    <row r="22148">
      <c r="H22148" s="50"/>
      <c r="I22148" s="50"/>
      <c r="O22148" s="36" t="s">
        <v>48</v>
      </c>
      <c r="R22148" s="36" t="s">
        <v>48</v>
      </c>
    </row>
    <row r="22149">
      <c r="H22149" s="50"/>
      <c r="I22149" s="50"/>
      <c r="O22149" s="36" t="s">
        <v>48</v>
      </c>
      <c r="R22149" s="36" t="s">
        <v>48</v>
      </c>
    </row>
    <row r="22150">
      <c r="H22150" s="50"/>
      <c r="I22150" s="50"/>
      <c r="O22150" s="36" t="s">
        <v>48</v>
      </c>
      <c r="R22150" s="36" t="s">
        <v>48</v>
      </c>
    </row>
    <row r="22151">
      <c r="H22151" s="50"/>
      <c r="I22151" s="50"/>
      <c r="O22151" s="36" t="s">
        <v>48</v>
      </c>
      <c r="R22151" s="36" t="s">
        <v>48</v>
      </c>
    </row>
    <row r="22152">
      <c r="H22152" s="50"/>
      <c r="I22152" s="50"/>
      <c r="O22152" s="36" t="s">
        <v>48</v>
      </c>
      <c r="R22152" s="36" t="s">
        <v>48</v>
      </c>
    </row>
    <row r="22153">
      <c r="H22153" s="50"/>
      <c r="I22153" s="50"/>
      <c r="O22153" s="36" t="s">
        <v>48</v>
      </c>
      <c r="R22153" s="36" t="s">
        <v>48</v>
      </c>
    </row>
    <row r="22154">
      <c r="H22154" s="50"/>
      <c r="I22154" s="50"/>
      <c r="O22154" s="36" t="s">
        <v>48</v>
      </c>
      <c r="R22154" s="36" t="s">
        <v>48</v>
      </c>
    </row>
    <row r="22155">
      <c r="H22155" s="50"/>
      <c r="I22155" s="50"/>
      <c r="O22155" s="36" t="s">
        <v>48</v>
      </c>
      <c r="R22155" s="36" t="s">
        <v>48</v>
      </c>
    </row>
    <row r="22156">
      <c r="H22156" s="50"/>
      <c r="I22156" s="50"/>
      <c r="O22156" s="36" t="s">
        <v>48</v>
      </c>
      <c r="R22156" s="36" t="s">
        <v>48</v>
      </c>
    </row>
    <row r="22157">
      <c r="H22157" s="50"/>
      <c r="I22157" s="50"/>
      <c r="O22157" s="36" t="s">
        <v>48</v>
      </c>
      <c r="R22157" s="36" t="s">
        <v>48</v>
      </c>
    </row>
    <row r="22158">
      <c r="H22158" s="50"/>
      <c r="I22158" s="50"/>
      <c r="O22158" s="36" t="s">
        <v>48</v>
      </c>
      <c r="R22158" s="36" t="s">
        <v>48</v>
      </c>
    </row>
    <row r="22159">
      <c r="H22159" s="50"/>
      <c r="I22159" s="50"/>
      <c r="O22159" s="36" t="s">
        <v>48</v>
      </c>
      <c r="R22159" s="36" t="s">
        <v>48</v>
      </c>
    </row>
    <row r="22160">
      <c r="H22160" s="50"/>
      <c r="I22160" s="50"/>
      <c r="O22160" s="36" t="s">
        <v>48</v>
      </c>
      <c r="R22160" s="36" t="s">
        <v>48</v>
      </c>
    </row>
    <row r="22161">
      <c r="H22161" s="50"/>
      <c r="I22161" s="50"/>
      <c r="O22161" s="36" t="s">
        <v>48</v>
      </c>
      <c r="R22161" s="36" t="s">
        <v>48</v>
      </c>
    </row>
    <row r="22162">
      <c r="H22162" s="50"/>
      <c r="I22162" s="50"/>
      <c r="O22162" s="36" t="s">
        <v>48</v>
      </c>
      <c r="R22162" s="36" t="s">
        <v>48</v>
      </c>
    </row>
    <row r="22163">
      <c r="H22163" s="50"/>
      <c r="I22163" s="50"/>
      <c r="O22163" s="36" t="s">
        <v>48</v>
      </c>
      <c r="R22163" s="36" t="s">
        <v>48</v>
      </c>
    </row>
    <row r="22164">
      <c r="H22164" s="50"/>
      <c r="I22164" s="50"/>
      <c r="O22164" s="36" t="s">
        <v>48</v>
      </c>
      <c r="R22164" s="36" t="s">
        <v>48</v>
      </c>
    </row>
    <row r="22165">
      <c r="H22165" s="50"/>
      <c r="I22165" s="50"/>
      <c r="O22165" s="36" t="s">
        <v>48</v>
      </c>
      <c r="R22165" s="36" t="s">
        <v>48</v>
      </c>
    </row>
    <row r="22166">
      <c r="H22166" s="50"/>
      <c r="I22166" s="50"/>
      <c r="O22166" s="36" t="s">
        <v>48</v>
      </c>
      <c r="R22166" s="36" t="s">
        <v>48</v>
      </c>
    </row>
    <row r="22167">
      <c r="H22167" s="50"/>
      <c r="I22167" s="50"/>
      <c r="O22167" s="36" t="s">
        <v>48</v>
      </c>
      <c r="R22167" s="36" t="s">
        <v>48</v>
      </c>
    </row>
    <row r="22168">
      <c r="H22168" s="50"/>
      <c r="I22168" s="50"/>
      <c r="O22168" s="36" t="s">
        <v>48</v>
      </c>
      <c r="R22168" s="36" t="s">
        <v>48</v>
      </c>
    </row>
    <row r="22169">
      <c r="H22169" s="50"/>
      <c r="I22169" s="50"/>
      <c r="O22169" s="36" t="s">
        <v>48</v>
      </c>
      <c r="R22169" s="36" t="s">
        <v>48</v>
      </c>
    </row>
    <row r="22170">
      <c r="H22170" s="50"/>
      <c r="I22170" s="50"/>
      <c r="O22170" s="36" t="s">
        <v>48</v>
      </c>
      <c r="R22170" s="36" t="s">
        <v>48</v>
      </c>
    </row>
    <row r="22171">
      <c r="H22171" s="50"/>
      <c r="I22171" s="50"/>
      <c r="O22171" s="36" t="s">
        <v>48</v>
      </c>
      <c r="R22171" s="36" t="s">
        <v>48</v>
      </c>
    </row>
    <row r="22172">
      <c r="H22172" s="50"/>
      <c r="I22172" s="50"/>
      <c r="O22172" s="36" t="s">
        <v>48</v>
      </c>
      <c r="R22172" s="36" t="s">
        <v>48</v>
      </c>
    </row>
    <row r="22173">
      <c r="H22173" s="50"/>
      <c r="I22173" s="50"/>
      <c r="O22173" s="36" t="s">
        <v>48</v>
      </c>
      <c r="R22173" s="36" t="s">
        <v>48</v>
      </c>
    </row>
    <row r="22174">
      <c r="H22174" s="50"/>
      <c r="I22174" s="50"/>
      <c r="O22174" s="36" t="s">
        <v>48</v>
      </c>
      <c r="R22174" s="36" t="s">
        <v>48</v>
      </c>
    </row>
    <row r="22175">
      <c r="H22175" s="50"/>
      <c r="I22175" s="50"/>
      <c r="O22175" s="36" t="s">
        <v>48</v>
      </c>
      <c r="R22175" s="36" t="s">
        <v>48</v>
      </c>
    </row>
    <row r="22176">
      <c r="H22176" s="50"/>
      <c r="I22176" s="50"/>
      <c r="O22176" s="36" t="s">
        <v>48</v>
      </c>
      <c r="R22176" s="36" t="s">
        <v>48</v>
      </c>
    </row>
    <row r="22177">
      <c r="H22177" s="50"/>
      <c r="I22177" s="50"/>
      <c r="O22177" s="36" t="s">
        <v>48</v>
      </c>
      <c r="R22177" s="36" t="s">
        <v>48</v>
      </c>
    </row>
    <row r="22178">
      <c r="H22178" s="50"/>
      <c r="I22178" s="50"/>
      <c r="O22178" s="36" t="s">
        <v>48</v>
      </c>
      <c r="R22178" s="36" t="s">
        <v>48</v>
      </c>
    </row>
    <row r="22179">
      <c r="H22179" s="50"/>
      <c r="I22179" s="50"/>
      <c r="O22179" s="36" t="s">
        <v>48</v>
      </c>
      <c r="R22179" s="36" t="s">
        <v>48</v>
      </c>
    </row>
    <row r="22180">
      <c r="H22180" s="50"/>
      <c r="I22180" s="50"/>
      <c r="O22180" s="36" t="s">
        <v>48</v>
      </c>
      <c r="R22180" s="36" t="s">
        <v>48</v>
      </c>
    </row>
    <row r="22181">
      <c r="H22181" s="50"/>
      <c r="I22181" s="50"/>
      <c r="O22181" s="36" t="s">
        <v>48</v>
      </c>
      <c r="R22181" s="36" t="s">
        <v>48</v>
      </c>
    </row>
    <row r="22182">
      <c r="H22182" s="50"/>
      <c r="I22182" s="50"/>
      <c r="O22182" s="36" t="s">
        <v>48</v>
      </c>
      <c r="R22182" s="36" t="s">
        <v>48</v>
      </c>
    </row>
    <row r="22183">
      <c r="H22183" s="50"/>
      <c r="I22183" s="50"/>
      <c r="O22183" s="36" t="s">
        <v>48</v>
      </c>
      <c r="R22183" s="36" t="s">
        <v>48</v>
      </c>
    </row>
    <row r="22184">
      <c r="H22184" s="50"/>
      <c r="I22184" s="50"/>
      <c r="O22184" s="36" t="s">
        <v>48</v>
      </c>
      <c r="R22184" s="36" t="s">
        <v>48</v>
      </c>
    </row>
    <row r="22185">
      <c r="H22185" s="50"/>
      <c r="I22185" s="50"/>
      <c r="O22185" s="36" t="s">
        <v>48</v>
      </c>
      <c r="R22185" s="36" t="s">
        <v>48</v>
      </c>
    </row>
    <row r="22186">
      <c r="H22186" s="50"/>
      <c r="I22186" s="50"/>
      <c r="O22186" s="36" t="s">
        <v>48</v>
      </c>
      <c r="R22186" s="36" t="s">
        <v>48</v>
      </c>
    </row>
    <row r="22187">
      <c r="H22187" s="50"/>
      <c r="I22187" s="50"/>
      <c r="O22187" s="36" t="s">
        <v>48</v>
      </c>
      <c r="R22187" s="36" t="s">
        <v>48</v>
      </c>
    </row>
    <row r="22188">
      <c r="H22188" s="50"/>
      <c r="I22188" s="50"/>
      <c r="O22188" s="36" t="s">
        <v>48</v>
      </c>
      <c r="R22188" s="36" t="s">
        <v>48</v>
      </c>
    </row>
    <row r="22189">
      <c r="H22189" s="50"/>
      <c r="I22189" s="50"/>
      <c r="O22189" s="36" t="s">
        <v>48</v>
      </c>
      <c r="R22189" s="36" t="s">
        <v>48</v>
      </c>
    </row>
    <row r="22190">
      <c r="H22190" s="50"/>
      <c r="I22190" s="50"/>
      <c r="O22190" s="36" t="s">
        <v>48</v>
      </c>
      <c r="R22190" s="36" t="s">
        <v>48</v>
      </c>
    </row>
    <row r="22191">
      <c r="H22191" s="50"/>
      <c r="I22191" s="50"/>
      <c r="O22191" s="36" t="s">
        <v>48</v>
      </c>
      <c r="R22191" s="36" t="s">
        <v>48</v>
      </c>
    </row>
    <row r="22192">
      <c r="H22192" s="50"/>
      <c r="I22192" s="50"/>
      <c r="O22192" s="36" t="s">
        <v>48</v>
      </c>
      <c r="R22192" s="36" t="s">
        <v>48</v>
      </c>
    </row>
    <row r="22193">
      <c r="H22193" s="50"/>
      <c r="I22193" s="50"/>
      <c r="O22193" s="36" t="s">
        <v>48</v>
      </c>
      <c r="R22193" s="36" t="s">
        <v>48</v>
      </c>
    </row>
    <row r="22194">
      <c r="H22194" s="50"/>
      <c r="I22194" s="50"/>
      <c r="O22194" s="36" t="s">
        <v>48</v>
      </c>
      <c r="R22194" s="36" t="s">
        <v>48</v>
      </c>
    </row>
    <row r="22195">
      <c r="H22195" s="50"/>
      <c r="I22195" s="50"/>
      <c r="O22195" s="36" t="s">
        <v>48</v>
      </c>
      <c r="R22195" s="36" t="s">
        <v>48</v>
      </c>
    </row>
    <row r="22196">
      <c r="H22196" s="50"/>
      <c r="I22196" s="50"/>
      <c r="O22196" s="36" t="s">
        <v>48</v>
      </c>
      <c r="R22196" s="36" t="s">
        <v>48</v>
      </c>
    </row>
    <row r="22197">
      <c r="H22197" s="50"/>
      <c r="I22197" s="50"/>
      <c r="O22197" s="36" t="s">
        <v>48</v>
      </c>
      <c r="R22197" s="36" t="s">
        <v>48</v>
      </c>
    </row>
    <row r="22198">
      <c r="H22198" s="50"/>
      <c r="I22198" s="50"/>
      <c r="O22198" s="36" t="s">
        <v>48</v>
      </c>
      <c r="R22198" s="36" t="s">
        <v>48</v>
      </c>
    </row>
    <row r="22199">
      <c r="H22199" s="50"/>
      <c r="I22199" s="50"/>
      <c r="O22199" s="36" t="s">
        <v>48</v>
      </c>
      <c r="R22199" s="36" t="s">
        <v>48</v>
      </c>
    </row>
    <row r="22200">
      <c r="H22200" s="50"/>
      <c r="I22200" s="50"/>
      <c r="O22200" s="36" t="s">
        <v>48</v>
      </c>
      <c r="R22200" s="36" t="s">
        <v>48</v>
      </c>
    </row>
    <row r="22201">
      <c r="H22201" s="50"/>
      <c r="I22201" s="50"/>
      <c r="O22201" s="36" t="s">
        <v>48</v>
      </c>
      <c r="R22201" s="36" t="s">
        <v>48</v>
      </c>
    </row>
    <row r="22202">
      <c r="H22202" s="50"/>
      <c r="I22202" s="50"/>
      <c r="O22202" s="36" t="s">
        <v>48</v>
      </c>
      <c r="R22202" s="36" t="s">
        <v>48</v>
      </c>
    </row>
    <row r="22203">
      <c r="H22203" s="50"/>
      <c r="I22203" s="50"/>
      <c r="O22203" s="36" t="s">
        <v>48</v>
      </c>
      <c r="R22203" s="36" t="s">
        <v>48</v>
      </c>
    </row>
    <row r="22204">
      <c r="H22204" s="50"/>
      <c r="I22204" s="50"/>
      <c r="O22204" s="36" t="s">
        <v>48</v>
      </c>
      <c r="R22204" s="36" t="s">
        <v>48</v>
      </c>
    </row>
    <row r="22205">
      <c r="H22205" s="50"/>
      <c r="I22205" s="50"/>
      <c r="O22205" s="36" t="s">
        <v>48</v>
      </c>
      <c r="R22205" s="36" t="s">
        <v>48</v>
      </c>
    </row>
    <row r="22206">
      <c r="H22206" s="50"/>
      <c r="I22206" s="50"/>
      <c r="O22206" s="36" t="s">
        <v>48</v>
      </c>
      <c r="R22206" s="36" t="s">
        <v>48</v>
      </c>
    </row>
    <row r="22207">
      <c r="H22207" s="50"/>
      <c r="I22207" s="50"/>
      <c r="O22207" s="36" t="s">
        <v>48</v>
      </c>
      <c r="R22207" s="36" t="s">
        <v>48</v>
      </c>
    </row>
    <row r="22208">
      <c r="H22208" s="50"/>
      <c r="I22208" s="50"/>
      <c r="O22208" s="36" t="s">
        <v>48</v>
      </c>
      <c r="R22208" s="36" t="s">
        <v>48</v>
      </c>
    </row>
    <row r="22209">
      <c r="H22209" s="50"/>
      <c r="I22209" s="50"/>
      <c r="O22209" s="36" t="s">
        <v>48</v>
      </c>
      <c r="R22209" s="36" t="s">
        <v>48</v>
      </c>
    </row>
    <row r="22210">
      <c r="H22210" s="50"/>
      <c r="I22210" s="50"/>
      <c r="O22210" s="36" t="s">
        <v>48</v>
      </c>
      <c r="R22210" s="36" t="s">
        <v>48</v>
      </c>
    </row>
    <row r="22211">
      <c r="H22211" s="50"/>
      <c r="I22211" s="50"/>
      <c r="O22211" s="36" t="s">
        <v>48</v>
      </c>
      <c r="R22211" s="36" t="s">
        <v>48</v>
      </c>
    </row>
    <row r="22212">
      <c r="H22212" s="50"/>
      <c r="I22212" s="50"/>
      <c r="O22212" s="36" t="s">
        <v>48</v>
      </c>
      <c r="R22212" s="36" t="s">
        <v>48</v>
      </c>
    </row>
    <row r="22213">
      <c r="H22213" s="50"/>
      <c r="I22213" s="50"/>
      <c r="O22213" s="36" t="s">
        <v>48</v>
      </c>
      <c r="R22213" s="36" t="s">
        <v>48</v>
      </c>
    </row>
    <row r="22214">
      <c r="H22214" s="50"/>
      <c r="I22214" s="50"/>
      <c r="O22214" s="36" t="s">
        <v>48</v>
      </c>
      <c r="R22214" s="36" t="s">
        <v>48</v>
      </c>
    </row>
    <row r="22215">
      <c r="H22215" s="50"/>
      <c r="I22215" s="50"/>
      <c r="O22215" s="36" t="s">
        <v>48</v>
      </c>
      <c r="R22215" s="36" t="s">
        <v>48</v>
      </c>
    </row>
    <row r="22216">
      <c r="H22216" s="50"/>
      <c r="I22216" s="50"/>
      <c r="O22216" s="36" t="s">
        <v>48</v>
      </c>
      <c r="R22216" s="36" t="s">
        <v>48</v>
      </c>
    </row>
    <row r="22217">
      <c r="H22217" s="50"/>
      <c r="I22217" s="50"/>
      <c r="O22217" s="36" t="s">
        <v>48</v>
      </c>
      <c r="R22217" s="36" t="s">
        <v>48</v>
      </c>
    </row>
    <row r="22218">
      <c r="H22218" s="50"/>
      <c r="I22218" s="50"/>
      <c r="O22218" s="36" t="s">
        <v>48</v>
      </c>
      <c r="R22218" s="36" t="s">
        <v>48</v>
      </c>
    </row>
    <row r="22219">
      <c r="H22219" s="50"/>
      <c r="I22219" s="50"/>
      <c r="O22219" s="36" t="s">
        <v>48</v>
      </c>
      <c r="R22219" s="36" t="s">
        <v>48</v>
      </c>
    </row>
    <row r="22220">
      <c r="H22220" s="50"/>
      <c r="I22220" s="50"/>
      <c r="O22220" s="36" t="s">
        <v>48</v>
      </c>
      <c r="R22220" s="36" t="s">
        <v>48</v>
      </c>
    </row>
    <row r="22221">
      <c r="H22221" s="50"/>
      <c r="I22221" s="50"/>
      <c r="O22221" s="36" t="s">
        <v>48</v>
      </c>
      <c r="R22221" s="36" t="s">
        <v>48</v>
      </c>
    </row>
    <row r="22222">
      <c r="H22222" s="50"/>
      <c r="I22222" s="50"/>
      <c r="O22222" s="36" t="s">
        <v>48</v>
      </c>
      <c r="R22222" s="36" t="s">
        <v>48</v>
      </c>
    </row>
    <row r="22223">
      <c r="H22223" s="50"/>
      <c r="I22223" s="50"/>
      <c r="O22223" s="36" t="s">
        <v>48</v>
      </c>
      <c r="R22223" s="36" t="s">
        <v>48</v>
      </c>
    </row>
    <row r="22224">
      <c r="H22224" s="50"/>
      <c r="I22224" s="50"/>
      <c r="O22224" s="36" t="s">
        <v>48</v>
      </c>
      <c r="R22224" s="36" t="s">
        <v>48</v>
      </c>
    </row>
    <row r="22225">
      <c r="H22225" s="50"/>
      <c r="I22225" s="50"/>
      <c r="O22225" s="36" t="s">
        <v>48</v>
      </c>
      <c r="R22225" s="36" t="s">
        <v>48</v>
      </c>
    </row>
    <row r="22226">
      <c r="H22226" s="50"/>
      <c r="I22226" s="50"/>
      <c r="O22226" s="36" t="s">
        <v>48</v>
      </c>
      <c r="R22226" s="36" t="s">
        <v>48</v>
      </c>
    </row>
    <row r="22227">
      <c r="H22227" s="50"/>
      <c r="I22227" s="50"/>
      <c r="O22227" s="36" t="s">
        <v>48</v>
      </c>
      <c r="R22227" s="36" t="s">
        <v>48</v>
      </c>
    </row>
    <row r="22228">
      <c r="H22228" s="50"/>
      <c r="I22228" s="50"/>
      <c r="O22228" s="36" t="s">
        <v>48</v>
      </c>
      <c r="R22228" s="36" t="s">
        <v>48</v>
      </c>
    </row>
    <row r="22229">
      <c r="H22229" s="50"/>
      <c r="I22229" s="50"/>
      <c r="O22229" s="36" t="s">
        <v>48</v>
      </c>
      <c r="R22229" s="36" t="s">
        <v>48</v>
      </c>
    </row>
    <row r="22230">
      <c r="H22230" s="50"/>
      <c r="I22230" s="50"/>
      <c r="O22230" s="36" t="s">
        <v>48</v>
      </c>
      <c r="R22230" s="36" t="s">
        <v>48</v>
      </c>
    </row>
    <row r="22231">
      <c r="H22231" s="50"/>
      <c r="I22231" s="50"/>
      <c r="O22231" s="36" t="s">
        <v>48</v>
      </c>
      <c r="R22231" s="36" t="s">
        <v>48</v>
      </c>
    </row>
    <row r="22232">
      <c r="H22232" s="50"/>
      <c r="I22232" s="50"/>
      <c r="O22232" s="36" t="s">
        <v>48</v>
      </c>
      <c r="R22232" s="36" t="s">
        <v>48</v>
      </c>
    </row>
    <row r="22233">
      <c r="H22233" s="50"/>
      <c r="I22233" s="50"/>
      <c r="O22233" s="36" t="s">
        <v>48</v>
      </c>
      <c r="R22233" s="36" t="s">
        <v>48</v>
      </c>
    </row>
    <row r="22234">
      <c r="H22234" s="50"/>
      <c r="I22234" s="50"/>
      <c r="O22234" s="36" t="s">
        <v>48</v>
      </c>
      <c r="R22234" s="36" t="s">
        <v>48</v>
      </c>
    </row>
    <row r="22235">
      <c r="H22235" s="50"/>
      <c r="I22235" s="50"/>
      <c r="O22235" s="36" t="s">
        <v>48</v>
      </c>
      <c r="R22235" s="36" t="s">
        <v>48</v>
      </c>
    </row>
    <row r="22236">
      <c r="H22236" s="50"/>
      <c r="I22236" s="50"/>
      <c r="O22236" s="36" t="s">
        <v>48</v>
      </c>
      <c r="R22236" s="36" t="s">
        <v>48</v>
      </c>
    </row>
    <row r="22237">
      <c r="H22237" s="50"/>
      <c r="I22237" s="50"/>
      <c r="O22237" s="36" t="s">
        <v>48</v>
      </c>
      <c r="R22237" s="36" t="s">
        <v>48</v>
      </c>
    </row>
    <row r="22238">
      <c r="H22238" s="50"/>
      <c r="I22238" s="50"/>
      <c r="O22238" s="36" t="s">
        <v>48</v>
      </c>
      <c r="R22238" s="36" t="s">
        <v>48</v>
      </c>
    </row>
    <row r="22239">
      <c r="H22239" s="50"/>
      <c r="I22239" s="50"/>
      <c r="O22239" s="36" t="s">
        <v>48</v>
      </c>
      <c r="R22239" s="36" t="s">
        <v>48</v>
      </c>
    </row>
    <row r="22240">
      <c r="H22240" s="50"/>
      <c r="I22240" s="50"/>
      <c r="O22240" s="36" t="s">
        <v>48</v>
      </c>
      <c r="R22240" s="36" t="s">
        <v>48</v>
      </c>
    </row>
    <row r="22241">
      <c r="H22241" s="50"/>
      <c r="I22241" s="50"/>
      <c r="O22241" s="36" t="s">
        <v>48</v>
      </c>
      <c r="R22241" s="36" t="s">
        <v>48</v>
      </c>
    </row>
    <row r="22242">
      <c r="H22242" s="50"/>
      <c r="I22242" s="50"/>
      <c r="O22242" s="36" t="s">
        <v>48</v>
      </c>
      <c r="R22242" s="36" t="s">
        <v>48</v>
      </c>
    </row>
    <row r="22243">
      <c r="H22243" s="50"/>
      <c r="I22243" s="50"/>
      <c r="O22243" s="36" t="s">
        <v>48</v>
      </c>
      <c r="R22243" s="36" t="s">
        <v>48</v>
      </c>
    </row>
    <row r="22244">
      <c r="H22244" s="50"/>
      <c r="I22244" s="50"/>
      <c r="O22244" s="36" t="s">
        <v>48</v>
      </c>
      <c r="R22244" s="36" t="s">
        <v>48</v>
      </c>
    </row>
    <row r="22245">
      <c r="H22245" s="50"/>
      <c r="I22245" s="50"/>
      <c r="O22245" s="36" t="s">
        <v>48</v>
      </c>
      <c r="R22245" s="36" t="s">
        <v>48</v>
      </c>
    </row>
    <row r="22246">
      <c r="H22246" s="50"/>
      <c r="I22246" s="50"/>
      <c r="O22246" s="36" t="s">
        <v>48</v>
      </c>
      <c r="R22246" s="36" t="s">
        <v>48</v>
      </c>
    </row>
    <row r="22247">
      <c r="H22247" s="50"/>
      <c r="I22247" s="50"/>
      <c r="O22247" s="36" t="s">
        <v>48</v>
      </c>
      <c r="R22247" s="36" t="s">
        <v>48</v>
      </c>
    </row>
    <row r="22248">
      <c r="H22248" s="50"/>
      <c r="I22248" s="50"/>
      <c r="O22248" s="36" t="s">
        <v>48</v>
      </c>
      <c r="R22248" s="36" t="s">
        <v>48</v>
      </c>
    </row>
    <row r="22249">
      <c r="H22249" s="50"/>
      <c r="I22249" s="50"/>
      <c r="O22249" s="36" t="s">
        <v>48</v>
      </c>
      <c r="R22249" s="36" t="s">
        <v>48</v>
      </c>
    </row>
    <row r="22250">
      <c r="H22250" s="50"/>
      <c r="I22250" s="50"/>
      <c r="O22250" s="36" t="s">
        <v>48</v>
      </c>
      <c r="R22250" s="36" t="s">
        <v>48</v>
      </c>
    </row>
    <row r="22251">
      <c r="H22251" s="50"/>
      <c r="I22251" s="50"/>
      <c r="O22251" s="36" t="s">
        <v>48</v>
      </c>
      <c r="R22251" s="36" t="s">
        <v>48</v>
      </c>
    </row>
    <row r="22252">
      <c r="H22252" s="50"/>
      <c r="I22252" s="50"/>
      <c r="O22252" s="36" t="s">
        <v>48</v>
      </c>
      <c r="R22252" s="36" t="s">
        <v>48</v>
      </c>
    </row>
    <row r="22253">
      <c r="H22253" s="50"/>
      <c r="I22253" s="50"/>
      <c r="O22253" s="36" t="s">
        <v>48</v>
      </c>
      <c r="R22253" s="36" t="s">
        <v>48</v>
      </c>
    </row>
    <row r="22254">
      <c r="H22254" s="50"/>
      <c r="I22254" s="50"/>
      <c r="O22254" s="36" t="s">
        <v>48</v>
      </c>
      <c r="R22254" s="36" t="s">
        <v>48</v>
      </c>
    </row>
    <row r="22255">
      <c r="H22255" s="50"/>
      <c r="I22255" s="50"/>
      <c r="O22255" s="36" t="s">
        <v>48</v>
      </c>
      <c r="R22255" s="36" t="s">
        <v>48</v>
      </c>
    </row>
    <row r="22256">
      <c r="H22256" s="50"/>
      <c r="I22256" s="50"/>
      <c r="O22256" s="36" t="s">
        <v>48</v>
      </c>
      <c r="R22256" s="36" t="s">
        <v>48</v>
      </c>
    </row>
    <row r="22257">
      <c r="H22257" s="50"/>
      <c r="I22257" s="50"/>
      <c r="O22257" s="36" t="s">
        <v>48</v>
      </c>
      <c r="R22257" s="36" t="s">
        <v>48</v>
      </c>
    </row>
    <row r="22258">
      <c r="H22258" s="50"/>
      <c r="I22258" s="50"/>
      <c r="O22258" s="36" t="s">
        <v>48</v>
      </c>
      <c r="R22258" s="36" t="s">
        <v>48</v>
      </c>
    </row>
    <row r="22259">
      <c r="H22259" s="50"/>
      <c r="I22259" s="50"/>
      <c r="O22259" s="36" t="s">
        <v>48</v>
      </c>
      <c r="R22259" s="36" t="s">
        <v>48</v>
      </c>
    </row>
    <row r="22260">
      <c r="H22260" s="50"/>
      <c r="I22260" s="50"/>
      <c r="O22260" s="36" t="s">
        <v>48</v>
      </c>
      <c r="R22260" s="36" t="s">
        <v>48</v>
      </c>
    </row>
    <row r="22261">
      <c r="H22261" s="50"/>
      <c r="I22261" s="50"/>
      <c r="O22261" s="36" t="s">
        <v>48</v>
      </c>
      <c r="R22261" s="36" t="s">
        <v>48</v>
      </c>
    </row>
    <row r="22262">
      <c r="H22262" s="50"/>
      <c r="I22262" s="50"/>
      <c r="O22262" s="36" t="s">
        <v>48</v>
      </c>
      <c r="R22262" s="36" t="s">
        <v>48</v>
      </c>
    </row>
    <row r="22263">
      <c r="H22263" s="50"/>
      <c r="I22263" s="50"/>
      <c r="O22263" s="36" t="s">
        <v>48</v>
      </c>
      <c r="R22263" s="36" t="s">
        <v>48</v>
      </c>
    </row>
    <row r="22264">
      <c r="H22264" s="50"/>
      <c r="I22264" s="50"/>
      <c r="O22264" s="36" t="s">
        <v>48</v>
      </c>
      <c r="R22264" s="36" t="s">
        <v>48</v>
      </c>
    </row>
    <row r="22265">
      <c r="H22265" s="50"/>
      <c r="I22265" s="50"/>
      <c r="O22265" s="36" t="s">
        <v>48</v>
      </c>
      <c r="R22265" s="36" t="s">
        <v>48</v>
      </c>
    </row>
    <row r="22266">
      <c r="H22266" s="50"/>
      <c r="I22266" s="50"/>
      <c r="O22266" s="36" t="s">
        <v>48</v>
      </c>
      <c r="R22266" s="36" t="s">
        <v>48</v>
      </c>
    </row>
    <row r="22267">
      <c r="H22267" s="50"/>
      <c r="I22267" s="50"/>
      <c r="O22267" s="36" t="s">
        <v>48</v>
      </c>
      <c r="R22267" s="36" t="s">
        <v>48</v>
      </c>
    </row>
    <row r="22268">
      <c r="H22268" s="50"/>
      <c r="I22268" s="50"/>
      <c r="O22268" s="36" t="s">
        <v>48</v>
      </c>
      <c r="R22268" s="36" t="s">
        <v>48</v>
      </c>
    </row>
    <row r="22269">
      <c r="H22269" s="50"/>
      <c r="I22269" s="50"/>
      <c r="O22269" s="36" t="s">
        <v>48</v>
      </c>
      <c r="R22269" s="36" t="s">
        <v>48</v>
      </c>
    </row>
    <row r="22270">
      <c r="H22270" s="50"/>
      <c r="I22270" s="50"/>
      <c r="O22270" s="36" t="s">
        <v>48</v>
      </c>
      <c r="R22270" s="36" t="s">
        <v>48</v>
      </c>
    </row>
    <row r="22271">
      <c r="H22271" s="50"/>
      <c r="I22271" s="50"/>
      <c r="O22271" s="36" t="s">
        <v>48</v>
      </c>
      <c r="R22271" s="36" t="s">
        <v>48</v>
      </c>
    </row>
    <row r="22272">
      <c r="H22272" s="50"/>
      <c r="I22272" s="50"/>
      <c r="O22272" s="36" t="s">
        <v>48</v>
      </c>
      <c r="R22272" s="36" t="s">
        <v>48</v>
      </c>
    </row>
    <row r="22273">
      <c r="H22273" s="50"/>
      <c r="I22273" s="50"/>
      <c r="O22273" s="36" t="s">
        <v>48</v>
      </c>
      <c r="R22273" s="36" t="s">
        <v>48</v>
      </c>
    </row>
    <row r="22274">
      <c r="H22274" s="50"/>
      <c r="I22274" s="50"/>
      <c r="O22274" s="36" t="s">
        <v>48</v>
      </c>
      <c r="R22274" s="36" t="s">
        <v>48</v>
      </c>
    </row>
    <row r="22275">
      <c r="H22275" s="50"/>
      <c r="I22275" s="50"/>
      <c r="O22275" s="36" t="s">
        <v>48</v>
      </c>
      <c r="R22275" s="36" t="s">
        <v>48</v>
      </c>
    </row>
    <row r="22276">
      <c r="H22276" s="50"/>
      <c r="I22276" s="50"/>
      <c r="O22276" s="36" t="s">
        <v>48</v>
      </c>
      <c r="R22276" s="36" t="s">
        <v>48</v>
      </c>
    </row>
    <row r="22277">
      <c r="H22277" s="50"/>
      <c r="I22277" s="50"/>
      <c r="O22277" s="36" t="s">
        <v>48</v>
      </c>
      <c r="R22277" s="36" t="s">
        <v>48</v>
      </c>
    </row>
    <row r="22278">
      <c r="H22278" s="50"/>
      <c r="I22278" s="50"/>
      <c r="O22278" s="36" t="s">
        <v>48</v>
      </c>
      <c r="R22278" s="36" t="s">
        <v>48</v>
      </c>
    </row>
    <row r="22279">
      <c r="H22279" s="50"/>
      <c r="I22279" s="50"/>
      <c r="O22279" s="36" t="s">
        <v>48</v>
      </c>
      <c r="R22279" s="36" t="s">
        <v>48</v>
      </c>
    </row>
    <row r="22280">
      <c r="H22280" s="50"/>
      <c r="I22280" s="50"/>
      <c r="O22280" s="36" t="s">
        <v>48</v>
      </c>
      <c r="R22280" s="36" t="s">
        <v>48</v>
      </c>
    </row>
    <row r="22281">
      <c r="H22281" s="50"/>
      <c r="I22281" s="50"/>
      <c r="O22281" s="36" t="s">
        <v>48</v>
      </c>
      <c r="R22281" s="36" t="s">
        <v>48</v>
      </c>
    </row>
    <row r="22282">
      <c r="H22282" s="50"/>
      <c r="I22282" s="50"/>
      <c r="O22282" s="36" t="s">
        <v>48</v>
      </c>
      <c r="R22282" s="36" t="s">
        <v>48</v>
      </c>
    </row>
    <row r="22283">
      <c r="H22283" s="50"/>
      <c r="I22283" s="50"/>
      <c r="O22283" s="36" t="s">
        <v>48</v>
      </c>
      <c r="R22283" s="36" t="s">
        <v>48</v>
      </c>
    </row>
    <row r="22284">
      <c r="H22284" s="50"/>
      <c r="I22284" s="50"/>
      <c r="O22284" s="36" t="s">
        <v>48</v>
      </c>
      <c r="R22284" s="36" t="s">
        <v>48</v>
      </c>
    </row>
    <row r="22285">
      <c r="H22285" s="50"/>
      <c r="I22285" s="50"/>
      <c r="O22285" s="36" t="s">
        <v>48</v>
      </c>
      <c r="R22285" s="36" t="s">
        <v>48</v>
      </c>
    </row>
    <row r="22286">
      <c r="H22286" s="50"/>
      <c r="I22286" s="50"/>
      <c r="O22286" s="36" t="s">
        <v>48</v>
      </c>
      <c r="R22286" s="36" t="s">
        <v>48</v>
      </c>
    </row>
    <row r="22287">
      <c r="H22287" s="50"/>
      <c r="I22287" s="50"/>
      <c r="O22287" s="36" t="s">
        <v>48</v>
      </c>
      <c r="R22287" s="36" t="s">
        <v>48</v>
      </c>
    </row>
    <row r="22288">
      <c r="H22288" s="50"/>
      <c r="I22288" s="50"/>
      <c r="O22288" s="36" t="s">
        <v>48</v>
      </c>
      <c r="R22288" s="36" t="s">
        <v>48</v>
      </c>
    </row>
    <row r="22289">
      <c r="H22289" s="50"/>
      <c r="I22289" s="50"/>
      <c r="O22289" s="36" t="s">
        <v>48</v>
      </c>
      <c r="R22289" s="36" t="s">
        <v>48</v>
      </c>
    </row>
    <row r="22290">
      <c r="H22290" s="50"/>
      <c r="I22290" s="50"/>
      <c r="O22290" s="36" t="s">
        <v>48</v>
      </c>
      <c r="R22290" s="36" t="s">
        <v>48</v>
      </c>
    </row>
    <row r="22291">
      <c r="H22291" s="50"/>
      <c r="I22291" s="50"/>
      <c r="O22291" s="36" t="s">
        <v>48</v>
      </c>
      <c r="R22291" s="36" t="s">
        <v>48</v>
      </c>
    </row>
    <row r="22292">
      <c r="H22292" s="50"/>
      <c r="I22292" s="50"/>
      <c r="O22292" s="36" t="s">
        <v>48</v>
      </c>
      <c r="R22292" s="36" t="s">
        <v>48</v>
      </c>
    </row>
    <row r="22293">
      <c r="H22293" s="50"/>
      <c r="I22293" s="50"/>
      <c r="O22293" s="36" t="s">
        <v>48</v>
      </c>
      <c r="R22293" s="36" t="s">
        <v>48</v>
      </c>
    </row>
    <row r="22294">
      <c r="H22294" s="50"/>
      <c r="I22294" s="50"/>
      <c r="O22294" s="36" t="s">
        <v>48</v>
      </c>
      <c r="R22294" s="36" t="s">
        <v>48</v>
      </c>
    </row>
    <row r="22295">
      <c r="H22295" s="50"/>
      <c r="I22295" s="50"/>
      <c r="O22295" s="36" t="s">
        <v>48</v>
      </c>
      <c r="R22295" s="36" t="s">
        <v>48</v>
      </c>
    </row>
    <row r="22296">
      <c r="H22296" s="50"/>
      <c r="I22296" s="50"/>
      <c r="O22296" s="36" t="s">
        <v>48</v>
      </c>
      <c r="R22296" s="36" t="s">
        <v>48</v>
      </c>
    </row>
    <row r="22297">
      <c r="H22297" s="50"/>
      <c r="I22297" s="50"/>
      <c r="O22297" s="36" t="s">
        <v>48</v>
      </c>
      <c r="R22297" s="36" t="s">
        <v>48</v>
      </c>
    </row>
    <row r="22298">
      <c r="H22298" s="50"/>
      <c r="I22298" s="50"/>
      <c r="O22298" s="36" t="s">
        <v>48</v>
      </c>
      <c r="R22298" s="36" t="s">
        <v>48</v>
      </c>
    </row>
    <row r="22299">
      <c r="H22299" s="50"/>
      <c r="I22299" s="50"/>
      <c r="O22299" s="36" t="s">
        <v>48</v>
      </c>
      <c r="R22299" s="36" t="s">
        <v>48</v>
      </c>
    </row>
    <row r="22300">
      <c r="H22300" s="50"/>
      <c r="I22300" s="50"/>
      <c r="O22300" s="36" t="s">
        <v>48</v>
      </c>
      <c r="R22300" s="36" t="s">
        <v>48</v>
      </c>
    </row>
    <row r="22301">
      <c r="H22301" s="50"/>
      <c r="I22301" s="50"/>
      <c r="O22301" s="36" t="s">
        <v>48</v>
      </c>
      <c r="R22301" s="36" t="s">
        <v>48</v>
      </c>
    </row>
    <row r="22302">
      <c r="H22302" s="50"/>
      <c r="I22302" s="50"/>
      <c r="O22302" s="36" t="s">
        <v>48</v>
      </c>
      <c r="R22302" s="36" t="s">
        <v>48</v>
      </c>
    </row>
    <row r="22303">
      <c r="H22303" s="50"/>
      <c r="I22303" s="50"/>
      <c r="O22303" s="36" t="s">
        <v>48</v>
      </c>
      <c r="R22303" s="36" t="s">
        <v>48</v>
      </c>
    </row>
    <row r="22304">
      <c r="H22304" s="50"/>
      <c r="I22304" s="50"/>
      <c r="O22304" s="36" t="s">
        <v>48</v>
      </c>
      <c r="R22304" s="36" t="s">
        <v>48</v>
      </c>
    </row>
    <row r="22305">
      <c r="H22305" s="50"/>
      <c r="I22305" s="50"/>
      <c r="O22305" s="36" t="s">
        <v>48</v>
      </c>
      <c r="R22305" s="36" t="s">
        <v>48</v>
      </c>
    </row>
    <row r="22306">
      <c r="H22306" s="50"/>
      <c r="I22306" s="50"/>
      <c r="O22306" s="36" t="s">
        <v>48</v>
      </c>
      <c r="R22306" s="36" t="s">
        <v>48</v>
      </c>
    </row>
    <row r="22307">
      <c r="H22307" s="50"/>
      <c r="I22307" s="50"/>
      <c r="O22307" s="36" t="s">
        <v>48</v>
      </c>
      <c r="R22307" s="36" t="s">
        <v>48</v>
      </c>
    </row>
    <row r="22308">
      <c r="H22308" s="50"/>
      <c r="I22308" s="50"/>
      <c r="O22308" s="36" t="s">
        <v>48</v>
      </c>
      <c r="R22308" s="36" t="s">
        <v>48</v>
      </c>
    </row>
    <row r="22309">
      <c r="H22309" s="50"/>
      <c r="I22309" s="50"/>
      <c r="O22309" s="36" t="s">
        <v>48</v>
      </c>
      <c r="R22309" s="36" t="s">
        <v>48</v>
      </c>
    </row>
    <row r="22310">
      <c r="H22310" s="50"/>
      <c r="I22310" s="50"/>
      <c r="O22310" s="36" t="s">
        <v>48</v>
      </c>
      <c r="R22310" s="36" t="s">
        <v>48</v>
      </c>
    </row>
    <row r="22311">
      <c r="H22311" s="50"/>
      <c r="I22311" s="50"/>
      <c r="O22311" s="36" t="s">
        <v>48</v>
      </c>
      <c r="R22311" s="36" t="s">
        <v>48</v>
      </c>
    </row>
    <row r="22312">
      <c r="H22312" s="50"/>
      <c r="I22312" s="50"/>
      <c r="O22312" s="36" t="s">
        <v>48</v>
      </c>
      <c r="R22312" s="36" t="s">
        <v>48</v>
      </c>
    </row>
    <row r="22313">
      <c r="H22313" s="50"/>
      <c r="I22313" s="50"/>
      <c r="O22313" s="36" t="s">
        <v>48</v>
      </c>
      <c r="R22313" s="36" t="s">
        <v>48</v>
      </c>
    </row>
    <row r="22314">
      <c r="H22314" s="50"/>
      <c r="I22314" s="50"/>
      <c r="O22314" s="36" t="s">
        <v>48</v>
      </c>
      <c r="R22314" s="36" t="s">
        <v>48</v>
      </c>
    </row>
    <row r="22315">
      <c r="H22315" s="50"/>
      <c r="I22315" s="50"/>
      <c r="O22315" s="36" t="s">
        <v>48</v>
      </c>
      <c r="R22315" s="36" t="s">
        <v>48</v>
      </c>
    </row>
    <row r="22316">
      <c r="H22316" s="50"/>
      <c r="I22316" s="50"/>
      <c r="O22316" s="36" t="s">
        <v>48</v>
      </c>
      <c r="R22316" s="36" t="s">
        <v>48</v>
      </c>
    </row>
    <row r="22317">
      <c r="H22317" s="50"/>
      <c r="I22317" s="50"/>
      <c r="O22317" s="36" t="s">
        <v>48</v>
      </c>
      <c r="R22317" s="36" t="s">
        <v>48</v>
      </c>
    </row>
    <row r="22318">
      <c r="H22318" s="50"/>
      <c r="I22318" s="50"/>
      <c r="O22318" s="36" t="s">
        <v>48</v>
      </c>
      <c r="R22318" s="36" t="s">
        <v>48</v>
      </c>
    </row>
    <row r="22319">
      <c r="H22319" s="50"/>
      <c r="I22319" s="50"/>
      <c r="O22319" s="36" t="s">
        <v>48</v>
      </c>
      <c r="R22319" s="36" t="s">
        <v>48</v>
      </c>
    </row>
    <row r="22320">
      <c r="H22320" s="50"/>
      <c r="I22320" s="50"/>
      <c r="O22320" s="36" t="s">
        <v>48</v>
      </c>
      <c r="R22320" s="36" t="s">
        <v>48</v>
      </c>
    </row>
    <row r="22321">
      <c r="H22321" s="50"/>
      <c r="I22321" s="50"/>
      <c r="O22321" s="36" t="s">
        <v>48</v>
      </c>
      <c r="R22321" s="36" t="s">
        <v>48</v>
      </c>
    </row>
    <row r="22322">
      <c r="H22322" s="50"/>
      <c r="I22322" s="50"/>
      <c r="O22322" s="36" t="s">
        <v>48</v>
      </c>
      <c r="R22322" s="36" t="s">
        <v>48</v>
      </c>
    </row>
    <row r="22323">
      <c r="H22323" s="50"/>
      <c r="I22323" s="50"/>
      <c r="O22323" s="36" t="s">
        <v>48</v>
      </c>
      <c r="R22323" s="36" t="s">
        <v>48</v>
      </c>
    </row>
    <row r="22324">
      <c r="H22324" s="50"/>
      <c r="I22324" s="50"/>
      <c r="O22324" s="36" t="s">
        <v>48</v>
      </c>
      <c r="R22324" s="36" t="s">
        <v>48</v>
      </c>
    </row>
    <row r="22325">
      <c r="H22325" s="50"/>
      <c r="I22325" s="50"/>
      <c r="O22325" s="36" t="s">
        <v>48</v>
      </c>
      <c r="R22325" s="36" t="s">
        <v>48</v>
      </c>
    </row>
    <row r="22326">
      <c r="H22326" s="50"/>
      <c r="I22326" s="50"/>
      <c r="O22326" s="36" t="s">
        <v>48</v>
      </c>
      <c r="R22326" s="36" t="s">
        <v>48</v>
      </c>
    </row>
    <row r="22327">
      <c r="H22327" s="50"/>
      <c r="I22327" s="50"/>
      <c r="O22327" s="36" t="s">
        <v>48</v>
      </c>
      <c r="R22327" s="36" t="s">
        <v>48</v>
      </c>
    </row>
    <row r="22328">
      <c r="H22328" s="50"/>
      <c r="I22328" s="50"/>
      <c r="O22328" s="36" t="s">
        <v>48</v>
      </c>
      <c r="R22328" s="36" t="s">
        <v>48</v>
      </c>
    </row>
    <row r="22329">
      <c r="H22329" s="50"/>
      <c r="I22329" s="50"/>
      <c r="O22329" s="36" t="s">
        <v>48</v>
      </c>
      <c r="R22329" s="36" t="s">
        <v>48</v>
      </c>
    </row>
    <row r="22330">
      <c r="H22330" s="50"/>
      <c r="I22330" s="50"/>
      <c r="O22330" s="36" t="s">
        <v>48</v>
      </c>
      <c r="R22330" s="36" t="s">
        <v>48</v>
      </c>
    </row>
    <row r="22331">
      <c r="H22331" s="50"/>
      <c r="I22331" s="50"/>
      <c r="O22331" s="36" t="s">
        <v>48</v>
      </c>
      <c r="R22331" s="36" t="s">
        <v>48</v>
      </c>
    </row>
    <row r="22332">
      <c r="H22332" s="50"/>
      <c r="I22332" s="50"/>
      <c r="O22332" s="36" t="s">
        <v>48</v>
      </c>
      <c r="R22332" s="36" t="s">
        <v>48</v>
      </c>
    </row>
    <row r="22333">
      <c r="H22333" s="50"/>
      <c r="I22333" s="50"/>
      <c r="O22333" s="36" t="s">
        <v>48</v>
      </c>
      <c r="R22333" s="36" t="s">
        <v>48</v>
      </c>
    </row>
    <row r="22334">
      <c r="H22334" s="50"/>
      <c r="I22334" s="50"/>
      <c r="O22334" s="36" t="s">
        <v>48</v>
      </c>
      <c r="R22334" s="36" t="s">
        <v>48</v>
      </c>
    </row>
    <row r="22335">
      <c r="H22335" s="50"/>
      <c r="I22335" s="50"/>
      <c r="O22335" s="36" t="s">
        <v>48</v>
      </c>
      <c r="R22335" s="36" t="s">
        <v>48</v>
      </c>
    </row>
    <row r="22336">
      <c r="H22336" s="50"/>
      <c r="I22336" s="50"/>
      <c r="O22336" s="36" t="s">
        <v>48</v>
      </c>
      <c r="R22336" s="36" t="s">
        <v>48</v>
      </c>
    </row>
    <row r="22337">
      <c r="H22337" s="50"/>
      <c r="I22337" s="50"/>
      <c r="O22337" s="36" t="s">
        <v>48</v>
      </c>
      <c r="R22337" s="36" t="s">
        <v>48</v>
      </c>
    </row>
    <row r="22338">
      <c r="H22338" s="50"/>
      <c r="I22338" s="50"/>
      <c r="O22338" s="36" t="s">
        <v>48</v>
      </c>
      <c r="R22338" s="36" t="s">
        <v>48</v>
      </c>
    </row>
    <row r="22339">
      <c r="H22339" s="50"/>
      <c r="I22339" s="50"/>
      <c r="O22339" s="36" t="s">
        <v>48</v>
      </c>
      <c r="R22339" s="36" t="s">
        <v>48</v>
      </c>
    </row>
    <row r="22340">
      <c r="H22340" s="50"/>
      <c r="I22340" s="50"/>
      <c r="O22340" s="36" t="s">
        <v>48</v>
      </c>
      <c r="R22340" s="36" t="s">
        <v>48</v>
      </c>
    </row>
    <row r="22341">
      <c r="H22341" s="50"/>
      <c r="I22341" s="50"/>
      <c r="O22341" s="36" t="s">
        <v>48</v>
      </c>
      <c r="R22341" s="36" t="s">
        <v>48</v>
      </c>
    </row>
    <row r="22342">
      <c r="H22342" s="50"/>
      <c r="I22342" s="50"/>
      <c r="O22342" s="36" t="s">
        <v>48</v>
      </c>
      <c r="R22342" s="36" t="s">
        <v>48</v>
      </c>
    </row>
    <row r="22343">
      <c r="H22343" s="50"/>
      <c r="I22343" s="50"/>
      <c r="O22343" s="36" t="s">
        <v>48</v>
      </c>
      <c r="R22343" s="36" t="s">
        <v>48</v>
      </c>
    </row>
    <row r="22344">
      <c r="H22344" s="50"/>
      <c r="I22344" s="50"/>
      <c r="O22344" s="36" t="s">
        <v>48</v>
      </c>
      <c r="R22344" s="36" t="s">
        <v>48</v>
      </c>
    </row>
    <row r="22345">
      <c r="H22345" s="50"/>
      <c r="I22345" s="50"/>
      <c r="O22345" s="36" t="s">
        <v>48</v>
      </c>
      <c r="R22345" s="36" t="s">
        <v>48</v>
      </c>
    </row>
    <row r="22346">
      <c r="H22346" s="50"/>
      <c r="I22346" s="50"/>
      <c r="O22346" s="36" t="s">
        <v>48</v>
      </c>
      <c r="R22346" s="36" t="s">
        <v>48</v>
      </c>
    </row>
    <row r="22347">
      <c r="H22347" s="50"/>
      <c r="I22347" s="50"/>
      <c r="O22347" s="36" t="s">
        <v>48</v>
      </c>
      <c r="R22347" s="36" t="s">
        <v>48</v>
      </c>
    </row>
    <row r="22348">
      <c r="H22348" s="50"/>
      <c r="I22348" s="50"/>
      <c r="O22348" s="36" t="s">
        <v>48</v>
      </c>
      <c r="R22348" s="36" t="s">
        <v>48</v>
      </c>
    </row>
    <row r="22349">
      <c r="H22349" s="50"/>
      <c r="I22349" s="50"/>
      <c r="O22349" s="36" t="s">
        <v>48</v>
      </c>
      <c r="R22349" s="36" t="s">
        <v>48</v>
      </c>
    </row>
    <row r="22350">
      <c r="H22350" s="50"/>
      <c r="I22350" s="50"/>
      <c r="O22350" s="36" t="s">
        <v>48</v>
      </c>
      <c r="R22350" s="36" t="s">
        <v>48</v>
      </c>
    </row>
    <row r="22351">
      <c r="H22351" s="50"/>
      <c r="I22351" s="50"/>
      <c r="O22351" s="36" t="s">
        <v>48</v>
      </c>
      <c r="R22351" s="36" t="s">
        <v>48</v>
      </c>
    </row>
    <row r="22352">
      <c r="H22352" s="50"/>
      <c r="I22352" s="50"/>
      <c r="O22352" s="36" t="s">
        <v>48</v>
      </c>
      <c r="R22352" s="36" t="s">
        <v>48</v>
      </c>
    </row>
    <row r="22353">
      <c r="H22353" s="50"/>
      <c r="I22353" s="50"/>
      <c r="O22353" s="36" t="s">
        <v>48</v>
      </c>
      <c r="R22353" s="36" t="s">
        <v>48</v>
      </c>
    </row>
    <row r="22354">
      <c r="H22354" s="50"/>
      <c r="I22354" s="50"/>
      <c r="O22354" s="36" t="s">
        <v>48</v>
      </c>
      <c r="R22354" s="36" t="s">
        <v>48</v>
      </c>
    </row>
    <row r="22355">
      <c r="H22355" s="50"/>
      <c r="I22355" s="50"/>
      <c r="O22355" s="36" t="s">
        <v>48</v>
      </c>
      <c r="R22355" s="36" t="s">
        <v>48</v>
      </c>
    </row>
    <row r="22356">
      <c r="H22356" s="50"/>
      <c r="I22356" s="50"/>
      <c r="O22356" s="36" t="s">
        <v>48</v>
      </c>
      <c r="R22356" s="36" t="s">
        <v>48</v>
      </c>
    </row>
    <row r="22357">
      <c r="H22357" s="50"/>
      <c r="I22357" s="50"/>
      <c r="O22357" s="36" t="s">
        <v>48</v>
      </c>
      <c r="R22357" s="36" t="s">
        <v>48</v>
      </c>
    </row>
    <row r="22358">
      <c r="H22358" s="50"/>
      <c r="I22358" s="50"/>
      <c r="O22358" s="36" t="s">
        <v>48</v>
      </c>
      <c r="R22358" s="36" t="s">
        <v>48</v>
      </c>
    </row>
    <row r="22359">
      <c r="H22359" s="50"/>
      <c r="I22359" s="50"/>
      <c r="O22359" s="36" t="s">
        <v>48</v>
      </c>
      <c r="R22359" s="36" t="s">
        <v>48</v>
      </c>
    </row>
    <row r="22360">
      <c r="H22360" s="50"/>
      <c r="I22360" s="50"/>
      <c r="O22360" s="36" t="s">
        <v>48</v>
      </c>
      <c r="R22360" s="36" t="s">
        <v>48</v>
      </c>
    </row>
    <row r="22361">
      <c r="H22361" s="50"/>
      <c r="I22361" s="50"/>
      <c r="O22361" s="36" t="s">
        <v>48</v>
      </c>
      <c r="R22361" s="36" t="s">
        <v>48</v>
      </c>
    </row>
    <row r="22362">
      <c r="H22362" s="50"/>
      <c r="I22362" s="50"/>
      <c r="O22362" s="36" t="s">
        <v>48</v>
      </c>
      <c r="R22362" s="36" t="s">
        <v>48</v>
      </c>
    </row>
    <row r="22363">
      <c r="H22363" s="50"/>
      <c r="I22363" s="50"/>
      <c r="O22363" s="36" t="s">
        <v>48</v>
      </c>
      <c r="R22363" s="36" t="s">
        <v>48</v>
      </c>
    </row>
    <row r="22364">
      <c r="H22364" s="50"/>
      <c r="I22364" s="50"/>
      <c r="O22364" s="36" t="s">
        <v>48</v>
      </c>
      <c r="R22364" s="36" t="s">
        <v>48</v>
      </c>
    </row>
    <row r="22365">
      <c r="H22365" s="50"/>
      <c r="I22365" s="50"/>
      <c r="O22365" s="36" t="s">
        <v>48</v>
      </c>
      <c r="R22365" s="36" t="s">
        <v>48</v>
      </c>
    </row>
    <row r="22366">
      <c r="H22366" s="50"/>
      <c r="I22366" s="50"/>
      <c r="O22366" s="36" t="s">
        <v>48</v>
      </c>
      <c r="R22366" s="36" t="s">
        <v>48</v>
      </c>
    </row>
    <row r="22367">
      <c r="H22367" s="50"/>
      <c r="I22367" s="50"/>
      <c r="O22367" s="36" t="s">
        <v>48</v>
      </c>
      <c r="R22367" s="36" t="s">
        <v>48</v>
      </c>
    </row>
    <row r="22368">
      <c r="H22368" s="50"/>
      <c r="I22368" s="50"/>
      <c r="O22368" s="36" t="s">
        <v>48</v>
      </c>
      <c r="R22368" s="36" t="s">
        <v>48</v>
      </c>
    </row>
    <row r="22369">
      <c r="H22369" s="50"/>
      <c r="I22369" s="50"/>
      <c r="O22369" s="36" t="s">
        <v>48</v>
      </c>
      <c r="R22369" s="36" t="s">
        <v>48</v>
      </c>
    </row>
    <row r="22370">
      <c r="H22370" s="50"/>
      <c r="I22370" s="50"/>
      <c r="O22370" s="36" t="s">
        <v>48</v>
      </c>
      <c r="R22370" s="36" t="s">
        <v>48</v>
      </c>
    </row>
    <row r="22371">
      <c r="H22371" s="50"/>
      <c r="I22371" s="50"/>
      <c r="O22371" s="36" t="s">
        <v>48</v>
      </c>
      <c r="R22371" s="36" t="s">
        <v>48</v>
      </c>
    </row>
    <row r="22372">
      <c r="H22372" s="50"/>
      <c r="I22372" s="50"/>
      <c r="O22372" s="36" t="s">
        <v>48</v>
      </c>
      <c r="R22372" s="36" t="s">
        <v>48</v>
      </c>
    </row>
    <row r="22373">
      <c r="H22373" s="50"/>
      <c r="I22373" s="50"/>
      <c r="O22373" s="36" t="s">
        <v>48</v>
      </c>
      <c r="R22373" s="36" t="s">
        <v>48</v>
      </c>
    </row>
    <row r="22374">
      <c r="H22374" s="50"/>
      <c r="I22374" s="50"/>
      <c r="O22374" s="36" t="s">
        <v>48</v>
      </c>
      <c r="R22374" s="36" t="s">
        <v>48</v>
      </c>
    </row>
    <row r="22375">
      <c r="H22375" s="50"/>
      <c r="I22375" s="50"/>
      <c r="O22375" s="36" t="s">
        <v>48</v>
      </c>
      <c r="R22375" s="36" t="s">
        <v>48</v>
      </c>
    </row>
    <row r="22376">
      <c r="H22376" s="50"/>
      <c r="I22376" s="50"/>
      <c r="O22376" s="36" t="s">
        <v>48</v>
      </c>
      <c r="R22376" s="36" t="s">
        <v>48</v>
      </c>
    </row>
    <row r="22377">
      <c r="H22377" s="50"/>
      <c r="I22377" s="50"/>
      <c r="O22377" s="36" t="s">
        <v>48</v>
      </c>
      <c r="R22377" s="36" t="s">
        <v>48</v>
      </c>
    </row>
    <row r="22378">
      <c r="H22378" s="50"/>
      <c r="I22378" s="50"/>
      <c r="O22378" s="36" t="s">
        <v>48</v>
      </c>
      <c r="R22378" s="36" t="s">
        <v>48</v>
      </c>
    </row>
    <row r="22379">
      <c r="H22379" s="50"/>
      <c r="I22379" s="50"/>
      <c r="O22379" s="36" t="s">
        <v>48</v>
      </c>
      <c r="R22379" s="36" t="s">
        <v>48</v>
      </c>
    </row>
    <row r="22380">
      <c r="H22380" s="50"/>
      <c r="I22380" s="50"/>
      <c r="O22380" s="36" t="s">
        <v>48</v>
      </c>
      <c r="R22380" s="36" t="s">
        <v>48</v>
      </c>
    </row>
    <row r="22381">
      <c r="H22381" s="50"/>
      <c r="I22381" s="50"/>
      <c r="O22381" s="36" t="s">
        <v>48</v>
      </c>
      <c r="R22381" s="36" t="s">
        <v>48</v>
      </c>
    </row>
    <row r="22382">
      <c r="H22382" s="50"/>
      <c r="I22382" s="50"/>
      <c r="O22382" s="36" t="s">
        <v>48</v>
      </c>
      <c r="R22382" s="36" t="s">
        <v>48</v>
      </c>
    </row>
    <row r="22383">
      <c r="H22383" s="50"/>
      <c r="I22383" s="50"/>
      <c r="O22383" s="36" t="s">
        <v>48</v>
      </c>
      <c r="R22383" s="36" t="s">
        <v>48</v>
      </c>
    </row>
    <row r="22384">
      <c r="H22384" s="50"/>
      <c r="I22384" s="50"/>
      <c r="O22384" s="36" t="s">
        <v>48</v>
      </c>
      <c r="R22384" s="36" t="s">
        <v>48</v>
      </c>
    </row>
    <row r="22385">
      <c r="H22385" s="50"/>
      <c r="I22385" s="50"/>
      <c r="O22385" s="36" t="s">
        <v>48</v>
      </c>
      <c r="R22385" s="36" t="s">
        <v>48</v>
      </c>
    </row>
    <row r="22386">
      <c r="H22386" s="50"/>
      <c r="I22386" s="50"/>
      <c r="O22386" s="36" t="s">
        <v>48</v>
      </c>
      <c r="R22386" s="36" t="s">
        <v>48</v>
      </c>
    </row>
    <row r="22387">
      <c r="H22387" s="50"/>
      <c r="I22387" s="50"/>
      <c r="O22387" s="36" t="s">
        <v>48</v>
      </c>
      <c r="R22387" s="36" t="s">
        <v>48</v>
      </c>
    </row>
    <row r="22388">
      <c r="H22388" s="50"/>
      <c r="I22388" s="50"/>
      <c r="O22388" s="36" t="s">
        <v>48</v>
      </c>
      <c r="R22388" s="36" t="s">
        <v>48</v>
      </c>
    </row>
    <row r="22389">
      <c r="H22389" s="50"/>
      <c r="I22389" s="50"/>
      <c r="O22389" s="36" t="s">
        <v>48</v>
      </c>
      <c r="R22389" s="36" t="s">
        <v>48</v>
      </c>
    </row>
    <row r="22390">
      <c r="H22390" s="50"/>
      <c r="I22390" s="50"/>
      <c r="O22390" s="36" t="s">
        <v>48</v>
      </c>
      <c r="R22390" s="36" t="s">
        <v>48</v>
      </c>
    </row>
    <row r="22391">
      <c r="H22391" s="50"/>
      <c r="I22391" s="50"/>
      <c r="O22391" s="36" t="s">
        <v>48</v>
      </c>
      <c r="R22391" s="36" t="s">
        <v>48</v>
      </c>
    </row>
    <row r="22392">
      <c r="H22392" s="50"/>
      <c r="I22392" s="50"/>
      <c r="O22392" s="36" t="s">
        <v>48</v>
      </c>
      <c r="R22392" s="36" t="s">
        <v>48</v>
      </c>
    </row>
    <row r="22393">
      <c r="H22393" s="50"/>
      <c r="I22393" s="50"/>
      <c r="O22393" s="36" t="s">
        <v>48</v>
      </c>
      <c r="R22393" s="36" t="s">
        <v>48</v>
      </c>
    </row>
    <row r="22394">
      <c r="H22394" s="50"/>
      <c r="I22394" s="50"/>
      <c r="O22394" s="36" t="s">
        <v>48</v>
      </c>
      <c r="R22394" s="36" t="s">
        <v>48</v>
      </c>
    </row>
    <row r="22395">
      <c r="H22395" s="50"/>
      <c r="I22395" s="50"/>
      <c r="O22395" s="36" t="s">
        <v>48</v>
      </c>
      <c r="R22395" s="36" t="s">
        <v>48</v>
      </c>
    </row>
    <row r="22396">
      <c r="H22396" s="50"/>
      <c r="I22396" s="50"/>
      <c r="O22396" s="36" t="s">
        <v>48</v>
      </c>
      <c r="R22396" s="36" t="s">
        <v>48</v>
      </c>
    </row>
    <row r="22397">
      <c r="H22397" s="50"/>
      <c r="I22397" s="50"/>
      <c r="O22397" s="36" t="s">
        <v>48</v>
      </c>
      <c r="R22397" s="36" t="s">
        <v>48</v>
      </c>
    </row>
    <row r="22398">
      <c r="H22398" s="50"/>
      <c r="I22398" s="50"/>
      <c r="O22398" s="36" t="s">
        <v>48</v>
      </c>
      <c r="R22398" s="36" t="s">
        <v>48</v>
      </c>
    </row>
    <row r="22399">
      <c r="H22399" s="50"/>
      <c r="I22399" s="50"/>
      <c r="O22399" s="36" t="s">
        <v>48</v>
      </c>
      <c r="R22399" s="36" t="s">
        <v>48</v>
      </c>
    </row>
    <row r="22400">
      <c r="H22400" s="50"/>
      <c r="I22400" s="50"/>
      <c r="O22400" s="36" t="s">
        <v>48</v>
      </c>
      <c r="R22400" s="36" t="s">
        <v>48</v>
      </c>
    </row>
    <row r="22401">
      <c r="H22401" s="50"/>
      <c r="I22401" s="50"/>
      <c r="O22401" s="36" t="s">
        <v>48</v>
      </c>
      <c r="R22401" s="36" t="s">
        <v>48</v>
      </c>
    </row>
    <row r="22402">
      <c r="H22402" s="50"/>
      <c r="I22402" s="50"/>
      <c r="O22402" s="36" t="s">
        <v>48</v>
      </c>
      <c r="R22402" s="36" t="s">
        <v>48</v>
      </c>
    </row>
    <row r="22403">
      <c r="H22403" s="50"/>
      <c r="I22403" s="50"/>
      <c r="O22403" s="36" t="s">
        <v>48</v>
      </c>
      <c r="R22403" s="36" t="s">
        <v>48</v>
      </c>
    </row>
    <row r="22404">
      <c r="H22404" s="50"/>
      <c r="I22404" s="50"/>
      <c r="O22404" s="36" t="s">
        <v>48</v>
      </c>
      <c r="R22404" s="36" t="s">
        <v>48</v>
      </c>
    </row>
    <row r="22405">
      <c r="H22405" s="50"/>
      <c r="I22405" s="50"/>
      <c r="O22405" s="36" t="s">
        <v>48</v>
      </c>
      <c r="R22405" s="36" t="s">
        <v>48</v>
      </c>
    </row>
    <row r="22406">
      <c r="H22406" s="50"/>
      <c r="I22406" s="50"/>
      <c r="O22406" s="36" t="s">
        <v>48</v>
      </c>
      <c r="R22406" s="36" t="s">
        <v>48</v>
      </c>
    </row>
    <row r="22407">
      <c r="H22407" s="50"/>
      <c r="I22407" s="50"/>
      <c r="O22407" s="36" t="s">
        <v>48</v>
      </c>
      <c r="R22407" s="36" t="s">
        <v>48</v>
      </c>
    </row>
    <row r="22408">
      <c r="H22408" s="50"/>
      <c r="I22408" s="50"/>
      <c r="O22408" s="36" t="s">
        <v>48</v>
      </c>
      <c r="R22408" s="36" t="s">
        <v>48</v>
      </c>
    </row>
    <row r="22409">
      <c r="H22409" s="50"/>
      <c r="I22409" s="50"/>
      <c r="O22409" s="36" t="s">
        <v>48</v>
      </c>
      <c r="R22409" s="36" t="s">
        <v>48</v>
      </c>
    </row>
    <row r="22410">
      <c r="H22410" s="50"/>
      <c r="I22410" s="50"/>
      <c r="O22410" s="36" t="s">
        <v>48</v>
      </c>
      <c r="R22410" s="36" t="s">
        <v>48</v>
      </c>
    </row>
    <row r="22411">
      <c r="H22411" s="50"/>
      <c r="I22411" s="50"/>
      <c r="O22411" s="36" t="s">
        <v>48</v>
      </c>
      <c r="R22411" s="36" t="s">
        <v>48</v>
      </c>
    </row>
    <row r="22412">
      <c r="H22412" s="50"/>
      <c r="I22412" s="50"/>
      <c r="O22412" s="36" t="s">
        <v>48</v>
      </c>
      <c r="R22412" s="36" t="s">
        <v>48</v>
      </c>
    </row>
    <row r="22413">
      <c r="H22413" s="50"/>
      <c r="I22413" s="50"/>
      <c r="O22413" s="36" t="s">
        <v>48</v>
      </c>
      <c r="R22413" s="36" t="s">
        <v>48</v>
      </c>
    </row>
    <row r="22414">
      <c r="H22414" s="50"/>
      <c r="I22414" s="50"/>
      <c r="O22414" s="36" t="s">
        <v>48</v>
      </c>
      <c r="R22414" s="36" t="s">
        <v>48</v>
      </c>
    </row>
    <row r="22415">
      <c r="H22415" s="50"/>
      <c r="I22415" s="50"/>
      <c r="O22415" s="36" t="s">
        <v>48</v>
      </c>
      <c r="R22415" s="36" t="s">
        <v>48</v>
      </c>
    </row>
    <row r="22416">
      <c r="H22416" s="50"/>
      <c r="I22416" s="50"/>
      <c r="O22416" s="36" t="s">
        <v>48</v>
      </c>
      <c r="R22416" s="36" t="s">
        <v>48</v>
      </c>
    </row>
    <row r="22417">
      <c r="H22417" s="50"/>
      <c r="I22417" s="50"/>
      <c r="O22417" s="36" t="s">
        <v>48</v>
      </c>
      <c r="R22417" s="36" t="s">
        <v>48</v>
      </c>
    </row>
    <row r="22418">
      <c r="H22418" s="50"/>
      <c r="I22418" s="50"/>
      <c r="O22418" s="36" t="s">
        <v>48</v>
      </c>
      <c r="R22418" s="36" t="s">
        <v>48</v>
      </c>
    </row>
    <row r="22419">
      <c r="H22419" s="50"/>
      <c r="I22419" s="50"/>
      <c r="O22419" s="36" t="s">
        <v>48</v>
      </c>
      <c r="R22419" s="36" t="s">
        <v>48</v>
      </c>
    </row>
    <row r="22420">
      <c r="H22420" s="50"/>
      <c r="I22420" s="50"/>
      <c r="O22420" s="36" t="s">
        <v>48</v>
      </c>
      <c r="R22420" s="36" t="s">
        <v>48</v>
      </c>
    </row>
    <row r="22421">
      <c r="H22421" s="50"/>
      <c r="I22421" s="50"/>
      <c r="O22421" s="36" t="s">
        <v>48</v>
      </c>
      <c r="R22421" s="36" t="s">
        <v>48</v>
      </c>
    </row>
    <row r="22422">
      <c r="H22422" s="50"/>
      <c r="I22422" s="50"/>
      <c r="O22422" s="36" t="s">
        <v>48</v>
      </c>
      <c r="R22422" s="36" t="s">
        <v>48</v>
      </c>
    </row>
    <row r="22423">
      <c r="H22423" s="50"/>
      <c r="I22423" s="50"/>
      <c r="O22423" s="36" t="s">
        <v>48</v>
      </c>
      <c r="R22423" s="36" t="s">
        <v>48</v>
      </c>
    </row>
    <row r="22424">
      <c r="H22424" s="50"/>
      <c r="I22424" s="50"/>
      <c r="O22424" s="36" t="s">
        <v>48</v>
      </c>
      <c r="R22424" s="36" t="s">
        <v>48</v>
      </c>
    </row>
    <row r="22425">
      <c r="H22425" s="50"/>
      <c r="I22425" s="50"/>
      <c r="O22425" s="36" t="s">
        <v>48</v>
      </c>
      <c r="R22425" s="36" t="s">
        <v>48</v>
      </c>
    </row>
    <row r="22426">
      <c r="H22426" s="50"/>
      <c r="I22426" s="50"/>
      <c r="O22426" s="36" t="s">
        <v>48</v>
      </c>
      <c r="R22426" s="36" t="s">
        <v>48</v>
      </c>
    </row>
    <row r="22427">
      <c r="H22427" s="50"/>
      <c r="I22427" s="50"/>
      <c r="O22427" s="36" t="s">
        <v>48</v>
      </c>
      <c r="R22427" s="36" t="s">
        <v>48</v>
      </c>
    </row>
    <row r="22428">
      <c r="H22428" s="50"/>
      <c r="I22428" s="50"/>
      <c r="O22428" s="36" t="s">
        <v>48</v>
      </c>
      <c r="R22428" s="36" t="s">
        <v>48</v>
      </c>
    </row>
    <row r="22429">
      <c r="H22429" s="50"/>
      <c r="I22429" s="50"/>
      <c r="O22429" s="36" t="s">
        <v>48</v>
      </c>
      <c r="R22429" s="36" t="s">
        <v>48</v>
      </c>
    </row>
    <row r="22430">
      <c r="H22430" s="50"/>
      <c r="I22430" s="50"/>
      <c r="O22430" s="36" t="s">
        <v>48</v>
      </c>
      <c r="R22430" s="36" t="s">
        <v>48</v>
      </c>
    </row>
    <row r="22431">
      <c r="H22431" s="50"/>
      <c r="I22431" s="50"/>
      <c r="O22431" s="36" t="s">
        <v>48</v>
      </c>
      <c r="R22431" s="36" t="s">
        <v>48</v>
      </c>
    </row>
    <row r="22432">
      <c r="H22432" s="50"/>
      <c r="I22432" s="50"/>
      <c r="O22432" s="36" t="s">
        <v>48</v>
      </c>
      <c r="R22432" s="36" t="s">
        <v>48</v>
      </c>
    </row>
    <row r="22433">
      <c r="H22433" s="50"/>
      <c r="I22433" s="50"/>
      <c r="O22433" s="36" t="s">
        <v>48</v>
      </c>
      <c r="R22433" s="36" t="s">
        <v>48</v>
      </c>
    </row>
    <row r="22434">
      <c r="H22434" s="50"/>
      <c r="I22434" s="50"/>
      <c r="O22434" s="36" t="s">
        <v>48</v>
      </c>
      <c r="R22434" s="36" t="s">
        <v>48</v>
      </c>
    </row>
    <row r="22435">
      <c r="H22435" s="50"/>
      <c r="I22435" s="50"/>
      <c r="O22435" s="36" t="s">
        <v>48</v>
      </c>
      <c r="R22435" s="36" t="s">
        <v>48</v>
      </c>
    </row>
    <row r="22436">
      <c r="H22436" s="50"/>
      <c r="I22436" s="50"/>
      <c r="O22436" s="36" t="s">
        <v>48</v>
      </c>
      <c r="R22436" s="36" t="s">
        <v>48</v>
      </c>
    </row>
    <row r="22437">
      <c r="H22437" s="50"/>
      <c r="I22437" s="50"/>
      <c r="O22437" s="36" t="s">
        <v>48</v>
      </c>
      <c r="R22437" s="36" t="s">
        <v>48</v>
      </c>
    </row>
    <row r="22438">
      <c r="H22438" s="50"/>
      <c r="I22438" s="50"/>
      <c r="O22438" s="36" t="s">
        <v>48</v>
      </c>
      <c r="R22438" s="36" t="s">
        <v>48</v>
      </c>
    </row>
    <row r="22439">
      <c r="H22439" s="50"/>
      <c r="I22439" s="50"/>
      <c r="O22439" s="36" t="s">
        <v>48</v>
      </c>
      <c r="R22439" s="36" t="s">
        <v>48</v>
      </c>
    </row>
    <row r="22440">
      <c r="H22440" s="50"/>
      <c r="I22440" s="50"/>
      <c r="O22440" s="36" t="s">
        <v>48</v>
      </c>
      <c r="R22440" s="36" t="s">
        <v>48</v>
      </c>
    </row>
    <row r="22441">
      <c r="H22441" s="50"/>
      <c r="I22441" s="50"/>
      <c r="O22441" s="36" t="s">
        <v>48</v>
      </c>
      <c r="R22441" s="36" t="s">
        <v>48</v>
      </c>
    </row>
    <row r="22442">
      <c r="H22442" s="50"/>
      <c r="I22442" s="50"/>
      <c r="O22442" s="36" t="s">
        <v>48</v>
      </c>
      <c r="R22442" s="36" t="s">
        <v>48</v>
      </c>
    </row>
    <row r="22443">
      <c r="H22443" s="50"/>
      <c r="I22443" s="50"/>
      <c r="O22443" s="36" t="s">
        <v>48</v>
      </c>
      <c r="R22443" s="36" t="s">
        <v>48</v>
      </c>
    </row>
    <row r="22444">
      <c r="H22444" s="50"/>
      <c r="I22444" s="50"/>
      <c r="O22444" s="36" t="s">
        <v>48</v>
      </c>
      <c r="R22444" s="36" t="s">
        <v>48</v>
      </c>
    </row>
    <row r="22445">
      <c r="H22445" s="50"/>
      <c r="I22445" s="50"/>
      <c r="O22445" s="36" t="s">
        <v>48</v>
      </c>
      <c r="R22445" s="36" t="s">
        <v>48</v>
      </c>
    </row>
    <row r="22446">
      <c r="H22446" s="50"/>
      <c r="I22446" s="50"/>
      <c r="O22446" s="36" t="s">
        <v>48</v>
      </c>
      <c r="R22446" s="36" t="s">
        <v>48</v>
      </c>
    </row>
    <row r="22447">
      <c r="H22447" s="50"/>
      <c r="I22447" s="50"/>
      <c r="O22447" s="36" t="s">
        <v>48</v>
      </c>
      <c r="R22447" s="36" t="s">
        <v>48</v>
      </c>
    </row>
    <row r="22448">
      <c r="H22448" s="50"/>
      <c r="I22448" s="50"/>
      <c r="O22448" s="36" t="s">
        <v>48</v>
      </c>
      <c r="R22448" s="36" t="s">
        <v>48</v>
      </c>
    </row>
    <row r="22449">
      <c r="H22449" s="50"/>
      <c r="I22449" s="50"/>
      <c r="O22449" s="36" t="s">
        <v>48</v>
      </c>
      <c r="R22449" s="36" t="s">
        <v>48</v>
      </c>
    </row>
    <row r="22450">
      <c r="H22450" s="50"/>
      <c r="I22450" s="50"/>
      <c r="O22450" s="36" t="s">
        <v>48</v>
      </c>
      <c r="R22450" s="36" t="s">
        <v>48</v>
      </c>
    </row>
    <row r="22451">
      <c r="H22451" s="50"/>
      <c r="I22451" s="50"/>
      <c r="O22451" s="36" t="s">
        <v>48</v>
      </c>
      <c r="R22451" s="36" t="s">
        <v>48</v>
      </c>
    </row>
    <row r="22452">
      <c r="H22452" s="50"/>
      <c r="I22452" s="50"/>
      <c r="O22452" s="36" t="s">
        <v>48</v>
      </c>
      <c r="R22452" s="36" t="s">
        <v>48</v>
      </c>
    </row>
    <row r="22453">
      <c r="H22453" s="50"/>
      <c r="I22453" s="50"/>
      <c r="O22453" s="36" t="s">
        <v>48</v>
      </c>
      <c r="R22453" s="36" t="s">
        <v>48</v>
      </c>
    </row>
    <row r="22454">
      <c r="H22454" s="50"/>
      <c r="I22454" s="50"/>
      <c r="O22454" s="36" t="s">
        <v>48</v>
      </c>
      <c r="R22454" s="36" t="s">
        <v>48</v>
      </c>
    </row>
    <row r="22455">
      <c r="H22455" s="50"/>
      <c r="I22455" s="50"/>
      <c r="O22455" s="36" t="s">
        <v>48</v>
      </c>
      <c r="R22455" s="36" t="s">
        <v>48</v>
      </c>
    </row>
    <row r="22456">
      <c r="H22456" s="50"/>
      <c r="I22456" s="50"/>
      <c r="O22456" s="36" t="s">
        <v>48</v>
      </c>
      <c r="R22456" s="36" t="s">
        <v>48</v>
      </c>
    </row>
    <row r="22457">
      <c r="H22457" s="50"/>
      <c r="I22457" s="50"/>
      <c r="O22457" s="36" t="s">
        <v>48</v>
      </c>
      <c r="R22457" s="36" t="s">
        <v>48</v>
      </c>
    </row>
    <row r="22458">
      <c r="H22458" s="50"/>
      <c r="I22458" s="50"/>
      <c r="O22458" s="36" t="s">
        <v>48</v>
      </c>
      <c r="R22458" s="36" t="s">
        <v>48</v>
      </c>
    </row>
    <row r="22459">
      <c r="H22459" s="50"/>
      <c r="I22459" s="50"/>
      <c r="O22459" s="36" t="s">
        <v>48</v>
      </c>
      <c r="R22459" s="36" t="s">
        <v>48</v>
      </c>
    </row>
    <row r="22460">
      <c r="H22460" s="50"/>
      <c r="I22460" s="50"/>
      <c r="O22460" s="36" t="s">
        <v>48</v>
      </c>
      <c r="R22460" s="36" t="s">
        <v>48</v>
      </c>
    </row>
    <row r="22461">
      <c r="H22461" s="50"/>
      <c r="I22461" s="50"/>
      <c r="O22461" s="36" t="s">
        <v>48</v>
      </c>
      <c r="R22461" s="36" t="s">
        <v>48</v>
      </c>
    </row>
    <row r="22462">
      <c r="H22462" s="50"/>
      <c r="I22462" s="50"/>
      <c r="O22462" s="36" t="s">
        <v>48</v>
      </c>
      <c r="R22462" s="36" t="s">
        <v>48</v>
      </c>
    </row>
    <row r="22463">
      <c r="H22463" s="50"/>
      <c r="I22463" s="50"/>
      <c r="O22463" s="36" t="s">
        <v>48</v>
      </c>
      <c r="R22463" s="36" t="s">
        <v>48</v>
      </c>
    </row>
    <row r="22464">
      <c r="H22464" s="50"/>
      <c r="I22464" s="50"/>
      <c r="O22464" s="36" t="s">
        <v>48</v>
      </c>
      <c r="R22464" s="36" t="s">
        <v>48</v>
      </c>
    </row>
    <row r="22465">
      <c r="H22465" s="50"/>
      <c r="I22465" s="50"/>
      <c r="O22465" s="36" t="s">
        <v>48</v>
      </c>
      <c r="R22465" s="36" t="s">
        <v>48</v>
      </c>
    </row>
    <row r="22466">
      <c r="H22466" s="50"/>
      <c r="I22466" s="50"/>
      <c r="O22466" s="36" t="s">
        <v>48</v>
      </c>
      <c r="R22466" s="36" t="s">
        <v>48</v>
      </c>
    </row>
    <row r="22467">
      <c r="H22467" s="50"/>
      <c r="I22467" s="50"/>
      <c r="O22467" s="36" t="s">
        <v>48</v>
      </c>
      <c r="R22467" s="36" t="s">
        <v>48</v>
      </c>
    </row>
    <row r="22468">
      <c r="H22468" s="50"/>
      <c r="I22468" s="50"/>
      <c r="O22468" s="36" t="s">
        <v>48</v>
      </c>
      <c r="R22468" s="36" t="s">
        <v>48</v>
      </c>
    </row>
    <row r="22469">
      <c r="H22469" s="50"/>
      <c r="I22469" s="50"/>
      <c r="O22469" s="36" t="s">
        <v>48</v>
      </c>
      <c r="R22469" s="36" t="s">
        <v>48</v>
      </c>
    </row>
    <row r="22470">
      <c r="H22470" s="50"/>
      <c r="I22470" s="50"/>
      <c r="O22470" s="36" t="s">
        <v>48</v>
      </c>
      <c r="R22470" s="36" t="s">
        <v>48</v>
      </c>
    </row>
    <row r="22471">
      <c r="H22471" s="50"/>
      <c r="I22471" s="50"/>
      <c r="O22471" s="36" t="s">
        <v>48</v>
      </c>
      <c r="R22471" s="36" t="s">
        <v>48</v>
      </c>
    </row>
    <row r="22472">
      <c r="H22472" s="50"/>
      <c r="I22472" s="50"/>
      <c r="O22472" s="36" t="s">
        <v>48</v>
      </c>
      <c r="R22472" s="36" t="s">
        <v>48</v>
      </c>
    </row>
    <row r="22473">
      <c r="H22473" s="50"/>
      <c r="I22473" s="50"/>
      <c r="O22473" s="36" t="s">
        <v>48</v>
      </c>
      <c r="R22473" s="36" t="s">
        <v>48</v>
      </c>
    </row>
    <row r="22474">
      <c r="H22474" s="50"/>
      <c r="I22474" s="50"/>
      <c r="O22474" s="36" t="s">
        <v>48</v>
      </c>
      <c r="R22474" s="36" t="s">
        <v>48</v>
      </c>
    </row>
    <row r="22475">
      <c r="H22475" s="50"/>
      <c r="I22475" s="50"/>
      <c r="O22475" s="36" t="s">
        <v>48</v>
      </c>
      <c r="R22475" s="36" t="s">
        <v>48</v>
      </c>
    </row>
    <row r="22476">
      <c r="H22476" s="50"/>
      <c r="I22476" s="50"/>
      <c r="O22476" s="36" t="s">
        <v>48</v>
      </c>
      <c r="R22476" s="36" t="s">
        <v>48</v>
      </c>
    </row>
    <row r="22477">
      <c r="H22477" s="50"/>
      <c r="I22477" s="50"/>
      <c r="O22477" s="36" t="s">
        <v>48</v>
      </c>
      <c r="R22477" s="36" t="s">
        <v>48</v>
      </c>
    </row>
    <row r="22478">
      <c r="H22478" s="50"/>
      <c r="I22478" s="50"/>
      <c r="O22478" s="36" t="s">
        <v>48</v>
      </c>
      <c r="R22478" s="36" t="s">
        <v>48</v>
      </c>
    </row>
    <row r="22479">
      <c r="H22479" s="50"/>
      <c r="I22479" s="50"/>
      <c r="O22479" s="36" t="s">
        <v>48</v>
      </c>
      <c r="R22479" s="36" t="s">
        <v>48</v>
      </c>
    </row>
    <row r="22480">
      <c r="H22480" s="50"/>
      <c r="I22480" s="50"/>
      <c r="O22480" s="36" t="s">
        <v>48</v>
      </c>
      <c r="R22480" s="36" t="s">
        <v>48</v>
      </c>
    </row>
    <row r="22481">
      <c r="H22481" s="50"/>
      <c r="I22481" s="50"/>
      <c r="O22481" s="36" t="s">
        <v>48</v>
      </c>
      <c r="R22481" s="36" t="s">
        <v>48</v>
      </c>
    </row>
    <row r="22482">
      <c r="H22482" s="50"/>
      <c r="I22482" s="50"/>
      <c r="O22482" s="36" t="s">
        <v>48</v>
      </c>
      <c r="R22482" s="36" t="s">
        <v>48</v>
      </c>
    </row>
    <row r="22483">
      <c r="H22483" s="50"/>
      <c r="I22483" s="50"/>
      <c r="O22483" s="36" t="s">
        <v>48</v>
      </c>
      <c r="R22483" s="36" t="s">
        <v>48</v>
      </c>
    </row>
    <row r="22484">
      <c r="H22484" s="50"/>
      <c r="I22484" s="50"/>
      <c r="O22484" s="36" t="s">
        <v>48</v>
      </c>
      <c r="R22484" s="36" t="s">
        <v>48</v>
      </c>
    </row>
    <row r="22485">
      <c r="H22485" s="50"/>
      <c r="I22485" s="50"/>
      <c r="O22485" s="36" t="s">
        <v>48</v>
      </c>
      <c r="R22485" s="36" t="s">
        <v>48</v>
      </c>
    </row>
    <row r="22486">
      <c r="H22486" s="50"/>
      <c r="I22486" s="50"/>
      <c r="O22486" s="36" t="s">
        <v>48</v>
      </c>
      <c r="R22486" s="36" t="s">
        <v>48</v>
      </c>
    </row>
    <row r="22487">
      <c r="H22487" s="50"/>
      <c r="I22487" s="50"/>
      <c r="O22487" s="36" t="s">
        <v>48</v>
      </c>
      <c r="R22487" s="36" t="s">
        <v>48</v>
      </c>
    </row>
    <row r="22488">
      <c r="H22488" s="50"/>
      <c r="I22488" s="50"/>
      <c r="O22488" s="36" t="s">
        <v>48</v>
      </c>
      <c r="R22488" s="36" t="s">
        <v>48</v>
      </c>
    </row>
    <row r="22489">
      <c r="H22489" s="50"/>
      <c r="I22489" s="50"/>
      <c r="O22489" s="36" t="s">
        <v>48</v>
      </c>
      <c r="R22489" s="36" t="s">
        <v>48</v>
      </c>
    </row>
    <row r="22490">
      <c r="H22490" s="50"/>
      <c r="I22490" s="50"/>
      <c r="O22490" s="36" t="s">
        <v>48</v>
      </c>
      <c r="R22490" s="36" t="s">
        <v>48</v>
      </c>
    </row>
    <row r="22491">
      <c r="H22491" s="50"/>
      <c r="I22491" s="50"/>
      <c r="O22491" s="36" t="s">
        <v>48</v>
      </c>
      <c r="R22491" s="36" t="s">
        <v>48</v>
      </c>
    </row>
    <row r="22492">
      <c r="H22492" s="50"/>
      <c r="I22492" s="50"/>
      <c r="O22492" s="36" t="s">
        <v>48</v>
      </c>
      <c r="R22492" s="36" t="s">
        <v>48</v>
      </c>
    </row>
    <row r="22493">
      <c r="H22493" s="50"/>
      <c r="I22493" s="50"/>
      <c r="O22493" s="36" t="s">
        <v>48</v>
      </c>
      <c r="R22493" s="36" t="s">
        <v>48</v>
      </c>
    </row>
    <row r="22494">
      <c r="H22494" s="50"/>
      <c r="I22494" s="50"/>
      <c r="O22494" s="36" t="s">
        <v>48</v>
      </c>
      <c r="R22494" s="36" t="s">
        <v>48</v>
      </c>
    </row>
    <row r="22495">
      <c r="H22495" s="50"/>
      <c r="I22495" s="50"/>
      <c r="O22495" s="36" t="s">
        <v>48</v>
      </c>
      <c r="R22495" s="36" t="s">
        <v>48</v>
      </c>
    </row>
    <row r="22496">
      <c r="H22496" s="50"/>
      <c r="I22496" s="50"/>
      <c r="O22496" s="36" t="s">
        <v>48</v>
      </c>
      <c r="R22496" s="36" t="s">
        <v>48</v>
      </c>
    </row>
    <row r="22497">
      <c r="H22497" s="50"/>
      <c r="I22497" s="50"/>
      <c r="O22497" s="36" t="s">
        <v>48</v>
      </c>
      <c r="R22497" s="36" t="s">
        <v>48</v>
      </c>
    </row>
    <row r="22498">
      <c r="H22498" s="50"/>
      <c r="I22498" s="50"/>
      <c r="O22498" s="36" t="s">
        <v>48</v>
      </c>
      <c r="R22498" s="36" t="s">
        <v>48</v>
      </c>
    </row>
    <row r="22499">
      <c r="H22499" s="50"/>
      <c r="I22499" s="50"/>
      <c r="O22499" s="36" t="s">
        <v>48</v>
      </c>
      <c r="R22499" s="36" t="s">
        <v>48</v>
      </c>
    </row>
    <row r="22500">
      <c r="H22500" s="50"/>
      <c r="I22500" s="50"/>
      <c r="O22500" s="36" t="s">
        <v>48</v>
      </c>
      <c r="R22500" s="36" t="s">
        <v>48</v>
      </c>
    </row>
    <row r="22501">
      <c r="H22501" s="50"/>
      <c r="I22501" s="50"/>
      <c r="O22501" s="36" t="s">
        <v>48</v>
      </c>
      <c r="R22501" s="36" t="s">
        <v>48</v>
      </c>
    </row>
    <row r="22502">
      <c r="H22502" s="50"/>
      <c r="I22502" s="50"/>
      <c r="O22502" s="36" t="s">
        <v>48</v>
      </c>
      <c r="R22502" s="36" t="s">
        <v>48</v>
      </c>
    </row>
    <row r="22503">
      <c r="H22503" s="50"/>
      <c r="I22503" s="50"/>
      <c r="O22503" s="36" t="s">
        <v>48</v>
      </c>
      <c r="R22503" s="36" t="s">
        <v>48</v>
      </c>
    </row>
    <row r="22504">
      <c r="H22504" s="50"/>
      <c r="I22504" s="50"/>
      <c r="O22504" s="36" t="s">
        <v>48</v>
      </c>
      <c r="R22504" s="36" t="s">
        <v>48</v>
      </c>
    </row>
    <row r="22505">
      <c r="H22505" s="50"/>
      <c r="I22505" s="50"/>
      <c r="O22505" s="36" t="s">
        <v>48</v>
      </c>
      <c r="R22505" s="36" t="s">
        <v>48</v>
      </c>
    </row>
    <row r="22506">
      <c r="H22506" s="50"/>
      <c r="I22506" s="50"/>
      <c r="O22506" s="36" t="s">
        <v>48</v>
      </c>
      <c r="R22506" s="36" t="s">
        <v>48</v>
      </c>
    </row>
    <row r="22507">
      <c r="H22507" s="50"/>
      <c r="I22507" s="50"/>
      <c r="O22507" s="36" t="s">
        <v>48</v>
      </c>
      <c r="R22507" s="36" t="s">
        <v>48</v>
      </c>
    </row>
    <row r="22508">
      <c r="H22508" s="50"/>
      <c r="I22508" s="50"/>
      <c r="O22508" s="36" t="s">
        <v>48</v>
      </c>
      <c r="R22508" s="36" t="s">
        <v>48</v>
      </c>
    </row>
    <row r="22509">
      <c r="H22509" s="50"/>
      <c r="I22509" s="50"/>
      <c r="O22509" s="36" t="s">
        <v>48</v>
      </c>
      <c r="R22509" s="36" t="s">
        <v>48</v>
      </c>
    </row>
    <row r="22510">
      <c r="H22510" s="50"/>
      <c r="I22510" s="50"/>
      <c r="O22510" s="36" t="s">
        <v>48</v>
      </c>
      <c r="R22510" s="36" t="s">
        <v>48</v>
      </c>
    </row>
    <row r="22511">
      <c r="H22511" s="50"/>
      <c r="I22511" s="50"/>
      <c r="O22511" s="36" t="s">
        <v>48</v>
      </c>
      <c r="R22511" s="36" t="s">
        <v>48</v>
      </c>
    </row>
    <row r="22512">
      <c r="H22512" s="50"/>
      <c r="I22512" s="50"/>
      <c r="O22512" s="36" t="s">
        <v>48</v>
      </c>
      <c r="R22512" s="36" t="s">
        <v>48</v>
      </c>
    </row>
    <row r="22513">
      <c r="H22513" s="50"/>
      <c r="I22513" s="50"/>
      <c r="O22513" s="36" t="s">
        <v>48</v>
      </c>
      <c r="R22513" s="36" t="s">
        <v>48</v>
      </c>
    </row>
    <row r="22514">
      <c r="H22514" s="50"/>
      <c r="I22514" s="50"/>
      <c r="O22514" s="36" t="s">
        <v>48</v>
      </c>
      <c r="R22514" s="36" t="s">
        <v>48</v>
      </c>
    </row>
    <row r="22515">
      <c r="H22515" s="50"/>
      <c r="I22515" s="50"/>
      <c r="O22515" s="36" t="s">
        <v>48</v>
      </c>
      <c r="R22515" s="36" t="s">
        <v>48</v>
      </c>
    </row>
    <row r="22516">
      <c r="H22516" s="50"/>
      <c r="I22516" s="50"/>
      <c r="O22516" s="36" t="s">
        <v>48</v>
      </c>
      <c r="R22516" s="36" t="s">
        <v>48</v>
      </c>
    </row>
    <row r="22517">
      <c r="H22517" s="50"/>
      <c r="I22517" s="50"/>
      <c r="O22517" s="36" t="s">
        <v>48</v>
      </c>
      <c r="R22517" s="36" t="s">
        <v>48</v>
      </c>
    </row>
    <row r="22518">
      <c r="H22518" s="50"/>
      <c r="I22518" s="50"/>
      <c r="O22518" s="36" t="s">
        <v>48</v>
      </c>
      <c r="R22518" s="36" t="s">
        <v>48</v>
      </c>
    </row>
    <row r="22519">
      <c r="H22519" s="50"/>
      <c r="I22519" s="50"/>
      <c r="O22519" s="36" t="s">
        <v>48</v>
      </c>
      <c r="R22519" s="36" t="s">
        <v>48</v>
      </c>
    </row>
    <row r="22520">
      <c r="H22520" s="50"/>
      <c r="I22520" s="50"/>
      <c r="O22520" s="36" t="s">
        <v>48</v>
      </c>
      <c r="R22520" s="36" t="s">
        <v>48</v>
      </c>
    </row>
    <row r="22521">
      <c r="H22521" s="50"/>
      <c r="I22521" s="50"/>
      <c r="O22521" s="36" t="s">
        <v>48</v>
      </c>
      <c r="R22521" s="36" t="s">
        <v>48</v>
      </c>
    </row>
    <row r="22522">
      <c r="H22522" s="50"/>
      <c r="I22522" s="50"/>
      <c r="O22522" s="36" t="s">
        <v>48</v>
      </c>
      <c r="R22522" s="36" t="s">
        <v>48</v>
      </c>
    </row>
    <row r="22523">
      <c r="H22523" s="50"/>
      <c r="I22523" s="50"/>
      <c r="O22523" s="36" t="s">
        <v>48</v>
      </c>
      <c r="R22523" s="36" t="s">
        <v>48</v>
      </c>
    </row>
    <row r="22524">
      <c r="H22524" s="50"/>
      <c r="I22524" s="50"/>
      <c r="O22524" s="36" t="s">
        <v>48</v>
      </c>
      <c r="R22524" s="36" t="s">
        <v>48</v>
      </c>
    </row>
    <row r="22525">
      <c r="H22525" s="50"/>
      <c r="I22525" s="50"/>
      <c r="O22525" s="36" t="s">
        <v>48</v>
      </c>
      <c r="R22525" s="36" t="s">
        <v>48</v>
      </c>
    </row>
    <row r="22526">
      <c r="H22526" s="50"/>
      <c r="I22526" s="50"/>
      <c r="O22526" s="36" t="s">
        <v>48</v>
      </c>
      <c r="R22526" s="36" t="s">
        <v>48</v>
      </c>
    </row>
    <row r="22527">
      <c r="H22527" s="50"/>
      <c r="I22527" s="50"/>
      <c r="O22527" s="36" t="s">
        <v>48</v>
      </c>
      <c r="R22527" s="36" t="s">
        <v>48</v>
      </c>
    </row>
    <row r="22528">
      <c r="H22528" s="50"/>
      <c r="I22528" s="50"/>
      <c r="O22528" s="36" t="s">
        <v>48</v>
      </c>
      <c r="R22528" s="36" t="s">
        <v>48</v>
      </c>
    </row>
    <row r="22529">
      <c r="H22529" s="50"/>
      <c r="I22529" s="50"/>
      <c r="O22529" s="36" t="s">
        <v>48</v>
      </c>
      <c r="R22529" s="36" t="s">
        <v>48</v>
      </c>
    </row>
    <row r="22530">
      <c r="H22530" s="50"/>
      <c r="I22530" s="50"/>
      <c r="O22530" s="36" t="s">
        <v>48</v>
      </c>
      <c r="R22530" s="36" t="s">
        <v>48</v>
      </c>
    </row>
    <row r="22531">
      <c r="H22531" s="50"/>
      <c r="I22531" s="50"/>
      <c r="O22531" s="36" t="s">
        <v>48</v>
      </c>
      <c r="R22531" s="36" t="s">
        <v>48</v>
      </c>
    </row>
    <row r="22532">
      <c r="H22532" s="50"/>
      <c r="I22532" s="50"/>
      <c r="O22532" s="36" t="s">
        <v>48</v>
      </c>
      <c r="R22532" s="36" t="s">
        <v>48</v>
      </c>
    </row>
    <row r="22533">
      <c r="H22533" s="50"/>
      <c r="I22533" s="50"/>
      <c r="O22533" s="36" t="s">
        <v>48</v>
      </c>
      <c r="R22533" s="36" t="s">
        <v>48</v>
      </c>
    </row>
    <row r="22534">
      <c r="H22534" s="50"/>
      <c r="I22534" s="50"/>
      <c r="O22534" s="36" t="s">
        <v>48</v>
      </c>
      <c r="R22534" s="36" t="s">
        <v>48</v>
      </c>
    </row>
    <row r="22535">
      <c r="H22535" s="50"/>
      <c r="I22535" s="50"/>
      <c r="O22535" s="36" t="s">
        <v>48</v>
      </c>
      <c r="R22535" s="36" t="s">
        <v>48</v>
      </c>
    </row>
    <row r="22536">
      <c r="H22536" s="50"/>
      <c r="I22536" s="50"/>
      <c r="O22536" s="36" t="s">
        <v>48</v>
      </c>
      <c r="R22536" s="36" t="s">
        <v>48</v>
      </c>
    </row>
    <row r="22537">
      <c r="H22537" s="50"/>
      <c r="I22537" s="50"/>
      <c r="O22537" s="36" t="s">
        <v>48</v>
      </c>
      <c r="R22537" s="36" t="s">
        <v>48</v>
      </c>
    </row>
    <row r="22538">
      <c r="H22538" s="50"/>
      <c r="I22538" s="50"/>
      <c r="O22538" s="36" t="s">
        <v>48</v>
      </c>
      <c r="R22538" s="36" t="s">
        <v>48</v>
      </c>
    </row>
    <row r="22539">
      <c r="H22539" s="50"/>
      <c r="I22539" s="50"/>
      <c r="O22539" s="36" t="s">
        <v>48</v>
      </c>
      <c r="R22539" s="36" t="s">
        <v>48</v>
      </c>
    </row>
    <row r="22540">
      <c r="H22540" s="50"/>
      <c r="I22540" s="50"/>
      <c r="O22540" s="36" t="s">
        <v>48</v>
      </c>
      <c r="R22540" s="36" t="s">
        <v>48</v>
      </c>
    </row>
    <row r="22541">
      <c r="H22541" s="50"/>
      <c r="I22541" s="50"/>
      <c r="O22541" s="36" t="s">
        <v>48</v>
      </c>
      <c r="R22541" s="36" t="s">
        <v>48</v>
      </c>
    </row>
    <row r="22542">
      <c r="H22542" s="50"/>
      <c r="I22542" s="50"/>
      <c r="O22542" s="36" t="s">
        <v>48</v>
      </c>
      <c r="R22542" s="36" t="s">
        <v>48</v>
      </c>
    </row>
    <row r="22543">
      <c r="H22543" s="50"/>
      <c r="I22543" s="50"/>
      <c r="O22543" s="36" t="s">
        <v>48</v>
      </c>
      <c r="R22543" s="36" t="s">
        <v>48</v>
      </c>
    </row>
    <row r="22544">
      <c r="H22544" s="50"/>
      <c r="I22544" s="50"/>
      <c r="O22544" s="36" t="s">
        <v>48</v>
      </c>
      <c r="R22544" s="36" t="s">
        <v>48</v>
      </c>
    </row>
    <row r="22545">
      <c r="H22545" s="50"/>
      <c r="I22545" s="50"/>
      <c r="O22545" s="36" t="s">
        <v>48</v>
      </c>
      <c r="R22545" s="36" t="s">
        <v>48</v>
      </c>
    </row>
    <row r="22546">
      <c r="H22546" s="50"/>
      <c r="I22546" s="50"/>
      <c r="O22546" s="36" t="s">
        <v>48</v>
      </c>
      <c r="R22546" s="36" t="s">
        <v>48</v>
      </c>
    </row>
    <row r="22547">
      <c r="H22547" s="50"/>
      <c r="I22547" s="50"/>
      <c r="O22547" s="36" t="s">
        <v>48</v>
      </c>
      <c r="R22547" s="36" t="s">
        <v>48</v>
      </c>
    </row>
    <row r="22548">
      <c r="H22548" s="50"/>
      <c r="I22548" s="50"/>
      <c r="O22548" s="36" t="s">
        <v>48</v>
      </c>
      <c r="R22548" s="36" t="s">
        <v>48</v>
      </c>
    </row>
    <row r="22549">
      <c r="H22549" s="50"/>
      <c r="I22549" s="50"/>
      <c r="O22549" s="36" t="s">
        <v>48</v>
      </c>
      <c r="R22549" s="36" t="s">
        <v>48</v>
      </c>
    </row>
    <row r="22550">
      <c r="H22550" s="50"/>
      <c r="I22550" s="50"/>
      <c r="O22550" s="36" t="s">
        <v>48</v>
      </c>
      <c r="R22550" s="36" t="s">
        <v>48</v>
      </c>
    </row>
    <row r="22551">
      <c r="H22551" s="50"/>
      <c r="I22551" s="50"/>
      <c r="O22551" s="36" t="s">
        <v>48</v>
      </c>
      <c r="R22551" s="36" t="s">
        <v>48</v>
      </c>
    </row>
    <row r="22552">
      <c r="H22552" s="50"/>
      <c r="I22552" s="50"/>
      <c r="O22552" s="36" t="s">
        <v>48</v>
      </c>
      <c r="R22552" s="36" t="s">
        <v>48</v>
      </c>
    </row>
    <row r="22553">
      <c r="H22553" s="50"/>
      <c r="I22553" s="50"/>
      <c r="O22553" s="36" t="s">
        <v>48</v>
      </c>
      <c r="R22553" s="36" t="s">
        <v>48</v>
      </c>
    </row>
    <row r="22554">
      <c r="H22554" s="50"/>
      <c r="I22554" s="50"/>
      <c r="O22554" s="36" t="s">
        <v>48</v>
      </c>
      <c r="R22554" s="36" t="s">
        <v>48</v>
      </c>
    </row>
    <row r="22555">
      <c r="H22555" s="50"/>
      <c r="I22555" s="50"/>
      <c r="O22555" s="36" t="s">
        <v>48</v>
      </c>
      <c r="R22555" s="36" t="s">
        <v>48</v>
      </c>
    </row>
    <row r="22556">
      <c r="H22556" s="50"/>
      <c r="I22556" s="50"/>
      <c r="O22556" s="36" t="s">
        <v>48</v>
      </c>
      <c r="R22556" s="36" t="s">
        <v>48</v>
      </c>
    </row>
    <row r="22557">
      <c r="H22557" s="50"/>
      <c r="I22557" s="50"/>
      <c r="O22557" s="36" t="s">
        <v>48</v>
      </c>
      <c r="R22557" s="36" t="s">
        <v>48</v>
      </c>
    </row>
    <row r="22558">
      <c r="H22558" s="50"/>
      <c r="I22558" s="50"/>
      <c r="O22558" s="36" t="s">
        <v>48</v>
      </c>
      <c r="R22558" s="36" t="s">
        <v>48</v>
      </c>
    </row>
    <row r="22559">
      <c r="H22559" s="50"/>
      <c r="I22559" s="50"/>
      <c r="O22559" s="36" t="s">
        <v>48</v>
      </c>
      <c r="R22559" s="36" t="s">
        <v>48</v>
      </c>
    </row>
    <row r="22560">
      <c r="H22560" s="50"/>
      <c r="I22560" s="50"/>
      <c r="O22560" s="36" t="s">
        <v>48</v>
      </c>
      <c r="R22560" s="36" t="s">
        <v>48</v>
      </c>
    </row>
    <row r="22561">
      <c r="H22561" s="50"/>
      <c r="I22561" s="50"/>
      <c r="O22561" s="36" t="s">
        <v>48</v>
      </c>
      <c r="R22561" s="36" t="s">
        <v>48</v>
      </c>
    </row>
    <row r="22562">
      <c r="H22562" s="50"/>
      <c r="I22562" s="50"/>
      <c r="O22562" s="36" t="s">
        <v>48</v>
      </c>
      <c r="R22562" s="36" t="s">
        <v>48</v>
      </c>
    </row>
    <row r="22563">
      <c r="H22563" s="50"/>
      <c r="I22563" s="50"/>
      <c r="O22563" s="36" t="s">
        <v>48</v>
      </c>
      <c r="R22563" s="36" t="s">
        <v>48</v>
      </c>
    </row>
    <row r="22564">
      <c r="H22564" s="50"/>
      <c r="I22564" s="50"/>
      <c r="O22564" s="36" t="s">
        <v>48</v>
      </c>
      <c r="R22564" s="36" t="s">
        <v>48</v>
      </c>
    </row>
    <row r="22565">
      <c r="H22565" s="50"/>
      <c r="I22565" s="50"/>
      <c r="O22565" s="36" t="s">
        <v>48</v>
      </c>
      <c r="R22565" s="36" t="s">
        <v>48</v>
      </c>
    </row>
    <row r="22566">
      <c r="H22566" s="50"/>
      <c r="I22566" s="50"/>
      <c r="O22566" s="36" t="s">
        <v>48</v>
      </c>
      <c r="R22566" s="36" t="s">
        <v>48</v>
      </c>
    </row>
    <row r="22567">
      <c r="H22567" s="50"/>
      <c r="I22567" s="50"/>
      <c r="O22567" s="36" t="s">
        <v>48</v>
      </c>
      <c r="R22567" s="36" t="s">
        <v>48</v>
      </c>
    </row>
    <row r="22568">
      <c r="H22568" s="50"/>
      <c r="I22568" s="50"/>
      <c r="O22568" s="36" t="s">
        <v>48</v>
      </c>
      <c r="R22568" s="36" t="s">
        <v>48</v>
      </c>
    </row>
    <row r="22569">
      <c r="H22569" s="50"/>
      <c r="I22569" s="50"/>
      <c r="O22569" s="36" t="s">
        <v>48</v>
      </c>
      <c r="R22569" s="36" t="s">
        <v>48</v>
      </c>
    </row>
    <row r="22570">
      <c r="H22570" s="50"/>
      <c r="I22570" s="50"/>
      <c r="O22570" s="36" t="s">
        <v>48</v>
      </c>
      <c r="R22570" s="36" t="s">
        <v>48</v>
      </c>
    </row>
    <row r="22571">
      <c r="H22571" s="50"/>
      <c r="I22571" s="50"/>
      <c r="O22571" s="36" t="s">
        <v>48</v>
      </c>
      <c r="R22571" s="36" t="s">
        <v>48</v>
      </c>
    </row>
    <row r="22572">
      <c r="H22572" s="50"/>
      <c r="I22572" s="50"/>
      <c r="O22572" s="36" t="s">
        <v>48</v>
      </c>
      <c r="R22572" s="36" t="s">
        <v>48</v>
      </c>
    </row>
    <row r="22573">
      <c r="H22573" s="50"/>
      <c r="I22573" s="50"/>
      <c r="O22573" s="36" t="s">
        <v>48</v>
      </c>
      <c r="R22573" s="36" t="s">
        <v>48</v>
      </c>
    </row>
    <row r="22574">
      <c r="H22574" s="50"/>
      <c r="I22574" s="50"/>
      <c r="O22574" s="36" t="s">
        <v>48</v>
      </c>
      <c r="R22574" s="36" t="s">
        <v>48</v>
      </c>
    </row>
    <row r="22575">
      <c r="H22575" s="50"/>
      <c r="I22575" s="50"/>
      <c r="O22575" s="36" t="s">
        <v>48</v>
      </c>
      <c r="R22575" s="36" t="s">
        <v>48</v>
      </c>
    </row>
    <row r="22576">
      <c r="H22576" s="50"/>
      <c r="I22576" s="50"/>
      <c r="O22576" s="36" t="s">
        <v>48</v>
      </c>
      <c r="R22576" s="36" t="s">
        <v>48</v>
      </c>
    </row>
    <row r="22577">
      <c r="H22577" s="50"/>
      <c r="I22577" s="50"/>
      <c r="O22577" s="36" t="s">
        <v>48</v>
      </c>
      <c r="R22577" s="36" t="s">
        <v>48</v>
      </c>
    </row>
    <row r="22578">
      <c r="H22578" s="50"/>
      <c r="I22578" s="50"/>
      <c r="O22578" s="36" t="s">
        <v>48</v>
      </c>
      <c r="R22578" s="36" t="s">
        <v>48</v>
      </c>
    </row>
    <row r="22579">
      <c r="H22579" s="50"/>
      <c r="I22579" s="50"/>
      <c r="O22579" s="36" t="s">
        <v>48</v>
      </c>
      <c r="R22579" s="36" t="s">
        <v>48</v>
      </c>
    </row>
    <row r="22580">
      <c r="H22580" s="50"/>
      <c r="I22580" s="50"/>
      <c r="O22580" s="36" t="s">
        <v>48</v>
      </c>
      <c r="R22580" s="36" t="s">
        <v>48</v>
      </c>
    </row>
    <row r="22581">
      <c r="H22581" s="50"/>
      <c r="I22581" s="50"/>
      <c r="O22581" s="36" t="s">
        <v>48</v>
      </c>
      <c r="R22581" s="36" t="s">
        <v>48</v>
      </c>
    </row>
    <row r="22582">
      <c r="H22582" s="50"/>
      <c r="I22582" s="50"/>
      <c r="O22582" s="36" t="s">
        <v>48</v>
      </c>
      <c r="R22582" s="36" t="s">
        <v>48</v>
      </c>
    </row>
    <row r="22583">
      <c r="H22583" s="50"/>
      <c r="I22583" s="50"/>
      <c r="O22583" s="36" t="s">
        <v>48</v>
      </c>
      <c r="R22583" s="36" t="s">
        <v>48</v>
      </c>
    </row>
    <row r="22584">
      <c r="H22584" s="50"/>
      <c r="I22584" s="50"/>
      <c r="O22584" s="36" t="s">
        <v>48</v>
      </c>
      <c r="R22584" s="36" t="s">
        <v>48</v>
      </c>
    </row>
    <row r="22585">
      <c r="H22585" s="50"/>
      <c r="I22585" s="50"/>
      <c r="O22585" s="36" t="s">
        <v>48</v>
      </c>
      <c r="R22585" s="36" t="s">
        <v>48</v>
      </c>
    </row>
    <row r="22586">
      <c r="H22586" s="50"/>
      <c r="I22586" s="50"/>
      <c r="O22586" s="36" t="s">
        <v>48</v>
      </c>
      <c r="R22586" s="36" t="s">
        <v>48</v>
      </c>
    </row>
    <row r="22587">
      <c r="H22587" s="50"/>
      <c r="I22587" s="50"/>
      <c r="O22587" s="36" t="s">
        <v>48</v>
      </c>
      <c r="R22587" s="36" t="s">
        <v>48</v>
      </c>
    </row>
    <row r="22588">
      <c r="H22588" s="50"/>
      <c r="I22588" s="50"/>
      <c r="O22588" s="36" t="s">
        <v>48</v>
      </c>
      <c r="R22588" s="36" t="s">
        <v>48</v>
      </c>
    </row>
    <row r="22589">
      <c r="H22589" s="50"/>
      <c r="I22589" s="50"/>
      <c r="O22589" s="36" t="s">
        <v>48</v>
      </c>
      <c r="R22589" s="36" t="s">
        <v>48</v>
      </c>
    </row>
    <row r="22590">
      <c r="H22590" s="50"/>
      <c r="I22590" s="50"/>
      <c r="O22590" s="36" t="s">
        <v>48</v>
      </c>
      <c r="R22590" s="36" t="s">
        <v>48</v>
      </c>
    </row>
    <row r="22591">
      <c r="H22591" s="50"/>
      <c r="I22591" s="50"/>
      <c r="O22591" s="36" t="s">
        <v>48</v>
      </c>
      <c r="R22591" s="36" t="s">
        <v>48</v>
      </c>
    </row>
    <row r="22592">
      <c r="H22592" s="50"/>
      <c r="I22592" s="50"/>
      <c r="O22592" s="36" t="s">
        <v>48</v>
      </c>
      <c r="R22592" s="36" t="s">
        <v>48</v>
      </c>
    </row>
    <row r="22593">
      <c r="H22593" s="50"/>
      <c r="I22593" s="50"/>
      <c r="O22593" s="36" t="s">
        <v>48</v>
      </c>
      <c r="R22593" s="36" t="s">
        <v>48</v>
      </c>
    </row>
    <row r="22594">
      <c r="H22594" s="50"/>
      <c r="I22594" s="50"/>
      <c r="O22594" s="36" t="s">
        <v>48</v>
      </c>
      <c r="R22594" s="36" t="s">
        <v>48</v>
      </c>
    </row>
    <row r="22595">
      <c r="H22595" s="50"/>
      <c r="I22595" s="50"/>
      <c r="O22595" s="36" t="s">
        <v>48</v>
      </c>
      <c r="R22595" s="36" t="s">
        <v>48</v>
      </c>
    </row>
    <row r="22596">
      <c r="H22596" s="50"/>
      <c r="I22596" s="50"/>
      <c r="O22596" s="36" t="s">
        <v>48</v>
      </c>
      <c r="R22596" s="36" t="s">
        <v>48</v>
      </c>
    </row>
    <row r="22597">
      <c r="H22597" s="50"/>
      <c r="I22597" s="50"/>
      <c r="O22597" s="36" t="s">
        <v>48</v>
      </c>
      <c r="R22597" s="36" t="s">
        <v>48</v>
      </c>
    </row>
    <row r="22598">
      <c r="H22598" s="50"/>
      <c r="I22598" s="50"/>
      <c r="O22598" s="36" t="s">
        <v>48</v>
      </c>
      <c r="R22598" s="36" t="s">
        <v>48</v>
      </c>
    </row>
    <row r="22599">
      <c r="H22599" s="50"/>
      <c r="I22599" s="50"/>
      <c r="O22599" s="36" t="s">
        <v>48</v>
      </c>
      <c r="R22599" s="36" t="s">
        <v>48</v>
      </c>
    </row>
    <row r="22600">
      <c r="H22600" s="50"/>
      <c r="I22600" s="50"/>
      <c r="O22600" s="36" t="s">
        <v>48</v>
      </c>
      <c r="R22600" s="36" t="s">
        <v>48</v>
      </c>
    </row>
    <row r="22601">
      <c r="H22601" s="50"/>
      <c r="I22601" s="50"/>
      <c r="O22601" s="36" t="s">
        <v>48</v>
      </c>
      <c r="R22601" s="36" t="s">
        <v>48</v>
      </c>
    </row>
    <row r="22602">
      <c r="H22602" s="50"/>
      <c r="I22602" s="50"/>
      <c r="O22602" s="36" t="s">
        <v>48</v>
      </c>
      <c r="R22602" s="36" t="s">
        <v>48</v>
      </c>
    </row>
    <row r="22603">
      <c r="H22603" s="50"/>
      <c r="I22603" s="50"/>
      <c r="O22603" s="36" t="s">
        <v>48</v>
      </c>
      <c r="R22603" s="36" t="s">
        <v>48</v>
      </c>
    </row>
    <row r="22604">
      <c r="H22604" s="50"/>
      <c r="I22604" s="50"/>
      <c r="O22604" s="36" t="s">
        <v>48</v>
      </c>
      <c r="R22604" s="36" t="s">
        <v>48</v>
      </c>
    </row>
    <row r="22605">
      <c r="H22605" s="50"/>
      <c r="I22605" s="50"/>
      <c r="O22605" s="36" t="s">
        <v>48</v>
      </c>
      <c r="R22605" s="36" t="s">
        <v>48</v>
      </c>
    </row>
    <row r="22606">
      <c r="H22606" s="50"/>
      <c r="I22606" s="50"/>
      <c r="O22606" s="36" t="s">
        <v>48</v>
      </c>
      <c r="R22606" s="36" t="s">
        <v>48</v>
      </c>
    </row>
    <row r="22607">
      <c r="H22607" s="50"/>
      <c r="I22607" s="50"/>
      <c r="O22607" s="36" t="s">
        <v>48</v>
      </c>
      <c r="R22607" s="36" t="s">
        <v>48</v>
      </c>
    </row>
    <row r="22608">
      <c r="H22608" s="50"/>
      <c r="I22608" s="50"/>
      <c r="O22608" s="36" t="s">
        <v>48</v>
      </c>
      <c r="R22608" s="36" t="s">
        <v>48</v>
      </c>
    </row>
    <row r="22609">
      <c r="H22609" s="50"/>
      <c r="I22609" s="50"/>
      <c r="O22609" s="36" t="s">
        <v>48</v>
      </c>
      <c r="R22609" s="36" t="s">
        <v>48</v>
      </c>
    </row>
    <row r="22610">
      <c r="H22610" s="50"/>
      <c r="I22610" s="50"/>
      <c r="O22610" s="36" t="s">
        <v>48</v>
      </c>
      <c r="R22610" s="36" t="s">
        <v>48</v>
      </c>
    </row>
    <row r="22611">
      <c r="H22611" s="50"/>
      <c r="I22611" s="50"/>
      <c r="O22611" s="36" t="s">
        <v>48</v>
      </c>
      <c r="R22611" s="36" t="s">
        <v>48</v>
      </c>
    </row>
    <row r="22612">
      <c r="H22612" s="50"/>
      <c r="I22612" s="50"/>
      <c r="O22612" s="36" t="s">
        <v>48</v>
      </c>
      <c r="R22612" s="36" t="s">
        <v>48</v>
      </c>
    </row>
    <row r="22613">
      <c r="H22613" s="50"/>
      <c r="I22613" s="50"/>
      <c r="O22613" s="36" t="s">
        <v>48</v>
      </c>
      <c r="R22613" s="36" t="s">
        <v>48</v>
      </c>
    </row>
    <row r="22614">
      <c r="H22614" s="50"/>
      <c r="I22614" s="50"/>
      <c r="O22614" s="36" t="s">
        <v>48</v>
      </c>
      <c r="R22614" s="36" t="s">
        <v>48</v>
      </c>
    </row>
    <row r="22615">
      <c r="H22615" s="50"/>
      <c r="I22615" s="50"/>
      <c r="O22615" s="36" t="s">
        <v>48</v>
      </c>
      <c r="R22615" s="36" t="s">
        <v>48</v>
      </c>
    </row>
    <row r="22616">
      <c r="H22616" s="50"/>
      <c r="I22616" s="50"/>
      <c r="O22616" s="36" t="s">
        <v>48</v>
      </c>
      <c r="R22616" s="36" t="s">
        <v>48</v>
      </c>
    </row>
    <row r="22617">
      <c r="H22617" s="50"/>
      <c r="I22617" s="50"/>
      <c r="O22617" s="36" t="s">
        <v>48</v>
      </c>
      <c r="R22617" s="36" t="s">
        <v>48</v>
      </c>
    </row>
    <row r="22618">
      <c r="H22618" s="50"/>
      <c r="I22618" s="50"/>
      <c r="O22618" s="36" t="s">
        <v>48</v>
      </c>
      <c r="R22618" s="36" t="s">
        <v>48</v>
      </c>
    </row>
    <row r="22619">
      <c r="H22619" s="50"/>
      <c r="I22619" s="50"/>
      <c r="O22619" s="36" t="s">
        <v>48</v>
      </c>
      <c r="R22619" s="36" t="s">
        <v>48</v>
      </c>
    </row>
    <row r="22620">
      <c r="H22620" s="50"/>
      <c r="I22620" s="50"/>
      <c r="O22620" s="36" t="s">
        <v>48</v>
      </c>
      <c r="R22620" s="36" t="s">
        <v>48</v>
      </c>
    </row>
    <row r="22621">
      <c r="H22621" s="50"/>
      <c r="I22621" s="50"/>
      <c r="O22621" s="36" t="s">
        <v>48</v>
      </c>
      <c r="R22621" s="36" t="s">
        <v>48</v>
      </c>
    </row>
    <row r="22622">
      <c r="H22622" s="50"/>
      <c r="I22622" s="50"/>
      <c r="O22622" s="36" t="s">
        <v>48</v>
      </c>
      <c r="R22622" s="36" t="s">
        <v>48</v>
      </c>
    </row>
    <row r="22623">
      <c r="H22623" s="50"/>
      <c r="I22623" s="50"/>
      <c r="O22623" s="36" t="s">
        <v>48</v>
      </c>
      <c r="R22623" s="36" t="s">
        <v>48</v>
      </c>
    </row>
    <row r="22624">
      <c r="H22624" s="50"/>
      <c r="I22624" s="50"/>
      <c r="O22624" s="36" t="s">
        <v>48</v>
      </c>
      <c r="R22624" s="36" t="s">
        <v>48</v>
      </c>
    </row>
    <row r="22625">
      <c r="H22625" s="50"/>
      <c r="I22625" s="50"/>
      <c r="O22625" s="36" t="s">
        <v>48</v>
      </c>
      <c r="R22625" s="36" t="s">
        <v>48</v>
      </c>
    </row>
    <row r="22626">
      <c r="H22626" s="50"/>
      <c r="I22626" s="50"/>
      <c r="O22626" s="36" t="s">
        <v>48</v>
      </c>
      <c r="R22626" s="36" t="s">
        <v>48</v>
      </c>
    </row>
    <row r="22627">
      <c r="H22627" s="50"/>
      <c r="I22627" s="50"/>
      <c r="O22627" s="36" t="s">
        <v>48</v>
      </c>
      <c r="R22627" s="36" t="s">
        <v>48</v>
      </c>
    </row>
    <row r="22628">
      <c r="H22628" s="50"/>
      <c r="I22628" s="50"/>
      <c r="O22628" s="36" t="s">
        <v>48</v>
      </c>
      <c r="R22628" s="36" t="s">
        <v>48</v>
      </c>
    </row>
    <row r="22629">
      <c r="H22629" s="50"/>
      <c r="I22629" s="50"/>
      <c r="O22629" s="36" t="s">
        <v>48</v>
      </c>
      <c r="R22629" s="36" t="s">
        <v>48</v>
      </c>
    </row>
    <row r="22630">
      <c r="H22630" s="50"/>
      <c r="I22630" s="50"/>
      <c r="O22630" s="36" t="s">
        <v>48</v>
      </c>
      <c r="R22630" s="36" t="s">
        <v>48</v>
      </c>
    </row>
    <row r="22631">
      <c r="H22631" s="50"/>
      <c r="I22631" s="50"/>
      <c r="O22631" s="36" t="s">
        <v>48</v>
      </c>
      <c r="R22631" s="36" t="s">
        <v>48</v>
      </c>
    </row>
    <row r="22632">
      <c r="H22632" s="50"/>
      <c r="I22632" s="50"/>
      <c r="O22632" s="36" t="s">
        <v>48</v>
      </c>
      <c r="R22632" s="36" t="s">
        <v>48</v>
      </c>
    </row>
    <row r="22633">
      <c r="H22633" s="50"/>
      <c r="I22633" s="50"/>
      <c r="O22633" s="36" t="s">
        <v>48</v>
      </c>
      <c r="R22633" s="36" t="s">
        <v>48</v>
      </c>
    </row>
    <row r="22634">
      <c r="H22634" s="50"/>
      <c r="I22634" s="50"/>
      <c r="O22634" s="36" t="s">
        <v>48</v>
      </c>
      <c r="R22634" s="36" t="s">
        <v>48</v>
      </c>
    </row>
    <row r="22635">
      <c r="H22635" s="50"/>
      <c r="I22635" s="50"/>
      <c r="O22635" s="36" t="s">
        <v>48</v>
      </c>
      <c r="R22635" s="36" t="s">
        <v>48</v>
      </c>
    </row>
    <row r="22636">
      <c r="H22636" s="50"/>
      <c r="I22636" s="50"/>
      <c r="O22636" s="36" t="s">
        <v>48</v>
      </c>
      <c r="R22636" s="36" t="s">
        <v>48</v>
      </c>
    </row>
    <row r="22637">
      <c r="H22637" s="50"/>
      <c r="I22637" s="50"/>
      <c r="O22637" s="36" t="s">
        <v>48</v>
      </c>
      <c r="R22637" s="36" t="s">
        <v>48</v>
      </c>
    </row>
    <row r="22638">
      <c r="H22638" s="50"/>
      <c r="I22638" s="50"/>
      <c r="O22638" s="36" t="s">
        <v>48</v>
      </c>
      <c r="R22638" s="36" t="s">
        <v>48</v>
      </c>
    </row>
    <row r="22639">
      <c r="H22639" s="50"/>
      <c r="I22639" s="50"/>
      <c r="O22639" s="36" t="s">
        <v>48</v>
      </c>
      <c r="R22639" s="36" t="s">
        <v>48</v>
      </c>
    </row>
    <row r="22640">
      <c r="H22640" s="50"/>
      <c r="I22640" s="50"/>
      <c r="O22640" s="36" t="s">
        <v>48</v>
      </c>
      <c r="R22640" s="36" t="s">
        <v>48</v>
      </c>
    </row>
    <row r="22641">
      <c r="H22641" s="50"/>
      <c r="I22641" s="50"/>
      <c r="O22641" s="36" t="s">
        <v>48</v>
      </c>
      <c r="R22641" s="36" t="s">
        <v>48</v>
      </c>
    </row>
    <row r="22642">
      <c r="H22642" s="50"/>
      <c r="I22642" s="50"/>
      <c r="O22642" s="36" t="s">
        <v>48</v>
      </c>
      <c r="R22642" s="36" t="s">
        <v>48</v>
      </c>
    </row>
    <row r="22643">
      <c r="H22643" s="50"/>
      <c r="I22643" s="50"/>
      <c r="O22643" s="36" t="s">
        <v>48</v>
      </c>
      <c r="R22643" s="36" t="s">
        <v>48</v>
      </c>
    </row>
    <row r="22644">
      <c r="H22644" s="50"/>
      <c r="I22644" s="50"/>
      <c r="O22644" s="36" t="s">
        <v>48</v>
      </c>
      <c r="R22644" s="36" t="s">
        <v>48</v>
      </c>
    </row>
    <row r="22645">
      <c r="H22645" s="50"/>
      <c r="I22645" s="50"/>
      <c r="O22645" s="36" t="s">
        <v>48</v>
      </c>
      <c r="R22645" s="36" t="s">
        <v>48</v>
      </c>
    </row>
    <row r="22646">
      <c r="H22646" s="50"/>
      <c r="I22646" s="50"/>
      <c r="O22646" s="36" t="s">
        <v>48</v>
      </c>
      <c r="R22646" s="36" t="s">
        <v>48</v>
      </c>
    </row>
    <row r="22647">
      <c r="H22647" s="50"/>
      <c r="I22647" s="50"/>
      <c r="O22647" s="36" t="s">
        <v>48</v>
      </c>
      <c r="R22647" s="36" t="s">
        <v>48</v>
      </c>
    </row>
    <row r="22648">
      <c r="H22648" s="50"/>
      <c r="I22648" s="50"/>
      <c r="O22648" s="36" t="s">
        <v>48</v>
      </c>
      <c r="R22648" s="36" t="s">
        <v>48</v>
      </c>
    </row>
    <row r="22649">
      <c r="H22649" s="50"/>
      <c r="I22649" s="50"/>
      <c r="O22649" s="36" t="s">
        <v>48</v>
      </c>
      <c r="R22649" s="36" t="s">
        <v>48</v>
      </c>
    </row>
    <row r="22650">
      <c r="H22650" s="50"/>
      <c r="I22650" s="50"/>
      <c r="O22650" s="36" t="s">
        <v>48</v>
      </c>
      <c r="R22650" s="36" t="s">
        <v>48</v>
      </c>
    </row>
    <row r="22651">
      <c r="H22651" s="50"/>
      <c r="I22651" s="50"/>
      <c r="O22651" s="36" t="s">
        <v>48</v>
      </c>
      <c r="R22651" s="36" t="s">
        <v>48</v>
      </c>
    </row>
    <row r="22652">
      <c r="H22652" s="50"/>
      <c r="I22652" s="50"/>
      <c r="O22652" s="36" t="s">
        <v>48</v>
      </c>
      <c r="R22652" s="36" t="s">
        <v>48</v>
      </c>
    </row>
    <row r="22653">
      <c r="H22653" s="50"/>
      <c r="I22653" s="50"/>
      <c r="O22653" s="36" t="s">
        <v>48</v>
      </c>
      <c r="R22653" s="36" t="s">
        <v>48</v>
      </c>
    </row>
    <row r="22654">
      <c r="H22654" s="50"/>
      <c r="I22654" s="50"/>
      <c r="O22654" s="36" t="s">
        <v>48</v>
      </c>
      <c r="R22654" s="36" t="s">
        <v>48</v>
      </c>
    </row>
    <row r="22655">
      <c r="H22655" s="50"/>
      <c r="I22655" s="50"/>
      <c r="O22655" s="36" t="s">
        <v>48</v>
      </c>
      <c r="R22655" s="36" t="s">
        <v>48</v>
      </c>
    </row>
    <row r="22656">
      <c r="H22656" s="50"/>
      <c r="I22656" s="50"/>
      <c r="O22656" s="36" t="s">
        <v>48</v>
      </c>
      <c r="R22656" s="36" t="s">
        <v>48</v>
      </c>
    </row>
    <row r="22657">
      <c r="H22657" s="50"/>
      <c r="I22657" s="50"/>
      <c r="O22657" s="36" t="s">
        <v>48</v>
      </c>
      <c r="R22657" s="36" t="s">
        <v>48</v>
      </c>
    </row>
    <row r="22658">
      <c r="H22658" s="50"/>
      <c r="I22658" s="50"/>
      <c r="O22658" s="36" t="s">
        <v>48</v>
      </c>
      <c r="R22658" s="36" t="s">
        <v>48</v>
      </c>
    </row>
    <row r="22659">
      <c r="H22659" s="50"/>
      <c r="I22659" s="50"/>
      <c r="O22659" s="36" t="s">
        <v>48</v>
      </c>
      <c r="R22659" s="36" t="s">
        <v>48</v>
      </c>
    </row>
    <row r="22660">
      <c r="H22660" s="50"/>
      <c r="I22660" s="50"/>
      <c r="O22660" s="36" t="s">
        <v>48</v>
      </c>
      <c r="R22660" s="36" t="s">
        <v>48</v>
      </c>
    </row>
    <row r="22661">
      <c r="H22661" s="50"/>
      <c r="I22661" s="50"/>
      <c r="O22661" s="36" t="s">
        <v>48</v>
      </c>
      <c r="R22661" s="36" t="s">
        <v>48</v>
      </c>
    </row>
    <row r="22662">
      <c r="H22662" s="50"/>
      <c r="I22662" s="50"/>
      <c r="O22662" s="36" t="s">
        <v>48</v>
      </c>
      <c r="R22662" s="36" t="s">
        <v>48</v>
      </c>
    </row>
    <row r="22663">
      <c r="H22663" s="50"/>
      <c r="I22663" s="50"/>
      <c r="O22663" s="36" t="s">
        <v>48</v>
      </c>
      <c r="R22663" s="36" t="s">
        <v>48</v>
      </c>
    </row>
    <row r="22664">
      <c r="H22664" s="50"/>
      <c r="I22664" s="50"/>
      <c r="O22664" s="36" t="s">
        <v>48</v>
      </c>
      <c r="R22664" s="36" t="s">
        <v>48</v>
      </c>
    </row>
    <row r="22665">
      <c r="H22665" s="50"/>
      <c r="I22665" s="50"/>
      <c r="O22665" s="36" t="s">
        <v>48</v>
      </c>
      <c r="R22665" s="36" t="s">
        <v>48</v>
      </c>
    </row>
    <row r="22666">
      <c r="H22666" s="50"/>
      <c r="I22666" s="50"/>
      <c r="O22666" s="36" t="s">
        <v>48</v>
      </c>
      <c r="R22666" s="36" t="s">
        <v>48</v>
      </c>
    </row>
    <row r="22667">
      <c r="H22667" s="50"/>
      <c r="I22667" s="50"/>
      <c r="O22667" s="36" t="s">
        <v>48</v>
      </c>
      <c r="R22667" s="36" t="s">
        <v>48</v>
      </c>
    </row>
    <row r="22668">
      <c r="H22668" s="50"/>
      <c r="I22668" s="50"/>
      <c r="O22668" s="36" t="s">
        <v>48</v>
      </c>
      <c r="R22668" s="36" t="s">
        <v>48</v>
      </c>
    </row>
    <row r="22669">
      <c r="H22669" s="50"/>
      <c r="I22669" s="50"/>
      <c r="O22669" s="36" t="s">
        <v>48</v>
      </c>
      <c r="R22669" s="36" t="s">
        <v>48</v>
      </c>
    </row>
    <row r="22670">
      <c r="H22670" s="50"/>
      <c r="I22670" s="50"/>
      <c r="O22670" s="36" t="s">
        <v>48</v>
      </c>
      <c r="R22670" s="36" t="s">
        <v>48</v>
      </c>
    </row>
    <row r="22671">
      <c r="H22671" s="50"/>
      <c r="I22671" s="50"/>
      <c r="O22671" s="36" t="s">
        <v>48</v>
      </c>
      <c r="R22671" s="36" t="s">
        <v>48</v>
      </c>
    </row>
    <row r="22672">
      <c r="H22672" s="50"/>
      <c r="I22672" s="50"/>
      <c r="O22672" s="36" t="s">
        <v>48</v>
      </c>
      <c r="R22672" s="36" t="s">
        <v>48</v>
      </c>
    </row>
    <row r="22673">
      <c r="H22673" s="50"/>
      <c r="I22673" s="50"/>
      <c r="O22673" s="36" t="s">
        <v>48</v>
      </c>
      <c r="R22673" s="36" t="s">
        <v>48</v>
      </c>
    </row>
    <row r="22674">
      <c r="H22674" s="50"/>
      <c r="I22674" s="50"/>
      <c r="O22674" s="36" t="s">
        <v>48</v>
      </c>
      <c r="R22674" s="36" t="s">
        <v>48</v>
      </c>
    </row>
    <row r="22675">
      <c r="H22675" s="50"/>
      <c r="I22675" s="50"/>
      <c r="O22675" s="36" t="s">
        <v>48</v>
      </c>
      <c r="R22675" s="36" t="s">
        <v>48</v>
      </c>
    </row>
    <row r="22676">
      <c r="H22676" s="50"/>
      <c r="I22676" s="50"/>
      <c r="O22676" s="36" t="s">
        <v>48</v>
      </c>
      <c r="R22676" s="36" t="s">
        <v>48</v>
      </c>
    </row>
    <row r="22677">
      <c r="H22677" s="50"/>
      <c r="I22677" s="50"/>
      <c r="O22677" s="36" t="s">
        <v>48</v>
      </c>
      <c r="R22677" s="36" t="s">
        <v>48</v>
      </c>
    </row>
    <row r="22678">
      <c r="H22678" s="50"/>
      <c r="I22678" s="50"/>
      <c r="O22678" s="36" t="s">
        <v>48</v>
      </c>
      <c r="R22678" s="36" t="s">
        <v>48</v>
      </c>
    </row>
    <row r="22679">
      <c r="H22679" s="50"/>
      <c r="I22679" s="50"/>
      <c r="O22679" s="36" t="s">
        <v>48</v>
      </c>
      <c r="R22679" s="36" t="s">
        <v>48</v>
      </c>
    </row>
    <row r="22680">
      <c r="H22680" s="50"/>
      <c r="I22680" s="50"/>
      <c r="O22680" s="36" t="s">
        <v>48</v>
      </c>
      <c r="R22680" s="36" t="s">
        <v>48</v>
      </c>
    </row>
    <row r="22681">
      <c r="H22681" s="50"/>
      <c r="I22681" s="50"/>
      <c r="O22681" s="36" t="s">
        <v>48</v>
      </c>
      <c r="R22681" s="36" t="s">
        <v>48</v>
      </c>
    </row>
    <row r="22682">
      <c r="H22682" s="50"/>
      <c r="I22682" s="50"/>
      <c r="O22682" s="36" t="s">
        <v>48</v>
      </c>
      <c r="R22682" s="36" t="s">
        <v>48</v>
      </c>
    </row>
    <row r="22683">
      <c r="H22683" s="50"/>
      <c r="I22683" s="50"/>
      <c r="O22683" s="36" t="s">
        <v>48</v>
      </c>
      <c r="R22683" s="36" t="s">
        <v>48</v>
      </c>
    </row>
    <row r="22684">
      <c r="H22684" s="50"/>
      <c r="I22684" s="50"/>
      <c r="O22684" s="36" t="s">
        <v>48</v>
      </c>
      <c r="R22684" s="36" t="s">
        <v>48</v>
      </c>
    </row>
    <row r="22685">
      <c r="H22685" s="50"/>
      <c r="I22685" s="50"/>
      <c r="O22685" s="36" t="s">
        <v>48</v>
      </c>
      <c r="R22685" s="36" t="s">
        <v>48</v>
      </c>
    </row>
    <row r="22686">
      <c r="H22686" s="50"/>
      <c r="I22686" s="50"/>
      <c r="O22686" s="36" t="s">
        <v>48</v>
      </c>
      <c r="R22686" s="36" t="s">
        <v>48</v>
      </c>
    </row>
    <row r="22687">
      <c r="H22687" s="50"/>
      <c r="I22687" s="50"/>
      <c r="O22687" s="36" t="s">
        <v>48</v>
      </c>
      <c r="R22687" s="36" t="s">
        <v>48</v>
      </c>
    </row>
    <row r="22688">
      <c r="H22688" s="50"/>
      <c r="I22688" s="50"/>
      <c r="O22688" s="36" t="s">
        <v>48</v>
      </c>
      <c r="R22688" s="36" t="s">
        <v>48</v>
      </c>
    </row>
    <row r="22689">
      <c r="H22689" s="50"/>
      <c r="I22689" s="50"/>
      <c r="O22689" s="36" t="s">
        <v>48</v>
      </c>
      <c r="R22689" s="36" t="s">
        <v>48</v>
      </c>
    </row>
    <row r="22690">
      <c r="H22690" s="50"/>
      <c r="I22690" s="50"/>
      <c r="O22690" s="36" t="s">
        <v>48</v>
      </c>
      <c r="R22690" s="36" t="s">
        <v>48</v>
      </c>
    </row>
    <row r="22691">
      <c r="H22691" s="50"/>
      <c r="I22691" s="50"/>
      <c r="O22691" s="36" t="s">
        <v>48</v>
      </c>
      <c r="R22691" s="36" t="s">
        <v>48</v>
      </c>
    </row>
    <row r="22692">
      <c r="H22692" s="50"/>
      <c r="I22692" s="50"/>
      <c r="O22692" s="36" t="s">
        <v>48</v>
      </c>
      <c r="R22692" s="36" t="s">
        <v>48</v>
      </c>
    </row>
    <row r="22693">
      <c r="H22693" s="50"/>
      <c r="I22693" s="50"/>
      <c r="O22693" s="36" t="s">
        <v>48</v>
      </c>
      <c r="R22693" s="36" t="s">
        <v>48</v>
      </c>
    </row>
    <row r="22694">
      <c r="H22694" s="50"/>
      <c r="I22694" s="50"/>
      <c r="O22694" s="36" t="s">
        <v>48</v>
      </c>
      <c r="R22694" s="36" t="s">
        <v>48</v>
      </c>
    </row>
    <row r="22695">
      <c r="H22695" s="50"/>
      <c r="I22695" s="50"/>
      <c r="O22695" s="36" t="s">
        <v>48</v>
      </c>
      <c r="R22695" s="36" t="s">
        <v>48</v>
      </c>
    </row>
    <row r="22696">
      <c r="H22696" s="50"/>
      <c r="I22696" s="50"/>
      <c r="O22696" s="36" t="s">
        <v>48</v>
      </c>
      <c r="R22696" s="36" t="s">
        <v>48</v>
      </c>
    </row>
    <row r="22697">
      <c r="H22697" s="50"/>
      <c r="I22697" s="50"/>
      <c r="O22697" s="36" t="s">
        <v>48</v>
      </c>
      <c r="R22697" s="36" t="s">
        <v>48</v>
      </c>
    </row>
    <row r="22698">
      <c r="H22698" s="50"/>
      <c r="I22698" s="50"/>
      <c r="O22698" s="36" t="s">
        <v>48</v>
      </c>
      <c r="R22698" s="36" t="s">
        <v>48</v>
      </c>
    </row>
    <row r="22699">
      <c r="H22699" s="50"/>
      <c r="I22699" s="50"/>
      <c r="O22699" s="36" t="s">
        <v>48</v>
      </c>
      <c r="R22699" s="36" t="s">
        <v>48</v>
      </c>
    </row>
    <row r="22700">
      <c r="H22700" s="50"/>
      <c r="I22700" s="50"/>
      <c r="O22700" s="36" t="s">
        <v>48</v>
      </c>
      <c r="R22700" s="36" t="s">
        <v>48</v>
      </c>
    </row>
    <row r="22701">
      <c r="H22701" s="50"/>
      <c r="I22701" s="50"/>
      <c r="O22701" s="36" t="s">
        <v>48</v>
      </c>
      <c r="R22701" s="36" t="s">
        <v>48</v>
      </c>
    </row>
    <row r="22702">
      <c r="H22702" s="50"/>
      <c r="I22702" s="50"/>
      <c r="O22702" s="36" t="s">
        <v>48</v>
      </c>
      <c r="R22702" s="36" t="s">
        <v>48</v>
      </c>
    </row>
    <row r="22703">
      <c r="H22703" s="50"/>
      <c r="I22703" s="50"/>
      <c r="O22703" s="36" t="s">
        <v>48</v>
      </c>
      <c r="R22703" s="36" t="s">
        <v>48</v>
      </c>
    </row>
    <row r="22704">
      <c r="H22704" s="50"/>
      <c r="I22704" s="50"/>
      <c r="O22704" s="36" t="s">
        <v>48</v>
      </c>
      <c r="R22704" s="36" t="s">
        <v>48</v>
      </c>
    </row>
    <row r="22705">
      <c r="H22705" s="50"/>
      <c r="I22705" s="50"/>
      <c r="O22705" s="36" t="s">
        <v>48</v>
      </c>
      <c r="R22705" s="36" t="s">
        <v>48</v>
      </c>
    </row>
    <row r="22706">
      <c r="H22706" s="50"/>
      <c r="I22706" s="50"/>
      <c r="O22706" s="36" t="s">
        <v>48</v>
      </c>
      <c r="R22706" s="36" t="s">
        <v>48</v>
      </c>
    </row>
    <row r="22707">
      <c r="H22707" s="50"/>
      <c r="I22707" s="50"/>
      <c r="O22707" s="36" t="s">
        <v>48</v>
      </c>
      <c r="R22707" s="36" t="s">
        <v>48</v>
      </c>
    </row>
    <row r="22708">
      <c r="H22708" s="50"/>
      <c r="I22708" s="50"/>
      <c r="O22708" s="36" t="s">
        <v>48</v>
      </c>
      <c r="R22708" s="36" t="s">
        <v>48</v>
      </c>
    </row>
    <row r="22709">
      <c r="H22709" s="50"/>
      <c r="I22709" s="50"/>
      <c r="O22709" s="36" t="s">
        <v>48</v>
      </c>
      <c r="R22709" s="36" t="s">
        <v>48</v>
      </c>
    </row>
    <row r="22710">
      <c r="H22710" s="50"/>
      <c r="I22710" s="50"/>
      <c r="O22710" s="36" t="s">
        <v>48</v>
      </c>
      <c r="R22710" s="36" t="s">
        <v>48</v>
      </c>
    </row>
    <row r="22711">
      <c r="H22711" s="50"/>
      <c r="I22711" s="50"/>
      <c r="O22711" s="36" t="s">
        <v>48</v>
      </c>
      <c r="R22711" s="36" t="s">
        <v>48</v>
      </c>
    </row>
    <row r="22712">
      <c r="H22712" s="50"/>
      <c r="I22712" s="50"/>
      <c r="O22712" s="36" t="s">
        <v>48</v>
      </c>
      <c r="R22712" s="36" t="s">
        <v>48</v>
      </c>
    </row>
    <row r="22713">
      <c r="H22713" s="50"/>
      <c r="I22713" s="50"/>
      <c r="O22713" s="36" t="s">
        <v>48</v>
      </c>
      <c r="R22713" s="36" t="s">
        <v>48</v>
      </c>
    </row>
    <row r="22714">
      <c r="H22714" s="50"/>
      <c r="I22714" s="50"/>
      <c r="O22714" s="36" t="s">
        <v>48</v>
      </c>
      <c r="R22714" s="36" t="s">
        <v>48</v>
      </c>
    </row>
    <row r="22715">
      <c r="H22715" s="50"/>
      <c r="I22715" s="50"/>
      <c r="O22715" s="36" t="s">
        <v>48</v>
      </c>
      <c r="R22715" s="36" t="s">
        <v>48</v>
      </c>
    </row>
    <row r="22716">
      <c r="H22716" s="50"/>
      <c r="I22716" s="50"/>
      <c r="O22716" s="36" t="s">
        <v>48</v>
      </c>
      <c r="R22716" s="36" t="s">
        <v>48</v>
      </c>
    </row>
    <row r="22717">
      <c r="H22717" s="50"/>
      <c r="I22717" s="50"/>
      <c r="O22717" s="36" t="s">
        <v>48</v>
      </c>
      <c r="R22717" s="36" t="s">
        <v>48</v>
      </c>
    </row>
    <row r="22718">
      <c r="H22718" s="50"/>
      <c r="I22718" s="50"/>
      <c r="O22718" s="36" t="s">
        <v>48</v>
      </c>
      <c r="R22718" s="36" t="s">
        <v>48</v>
      </c>
    </row>
    <row r="22719">
      <c r="H22719" s="50"/>
      <c r="I22719" s="50"/>
      <c r="O22719" s="36" t="s">
        <v>48</v>
      </c>
      <c r="R22719" s="36" t="s">
        <v>48</v>
      </c>
    </row>
    <row r="22720">
      <c r="H22720" s="50"/>
      <c r="I22720" s="50"/>
      <c r="O22720" s="36" t="s">
        <v>48</v>
      </c>
      <c r="R22720" s="36" t="s">
        <v>48</v>
      </c>
    </row>
    <row r="22721">
      <c r="H22721" s="50"/>
      <c r="I22721" s="50"/>
      <c r="O22721" s="36" t="s">
        <v>48</v>
      </c>
      <c r="R22721" s="36" t="s">
        <v>48</v>
      </c>
    </row>
    <row r="22722">
      <c r="H22722" s="50"/>
      <c r="I22722" s="50"/>
      <c r="O22722" s="36" t="s">
        <v>48</v>
      </c>
      <c r="R22722" s="36" t="s">
        <v>48</v>
      </c>
    </row>
    <row r="22723">
      <c r="H22723" s="50"/>
      <c r="I22723" s="50"/>
      <c r="O22723" s="36" t="s">
        <v>48</v>
      </c>
      <c r="R22723" s="36" t="s">
        <v>48</v>
      </c>
    </row>
    <row r="22724">
      <c r="H22724" s="50"/>
      <c r="I22724" s="50"/>
      <c r="O22724" s="36" t="s">
        <v>48</v>
      </c>
      <c r="R22724" s="36" t="s">
        <v>48</v>
      </c>
    </row>
    <row r="22725">
      <c r="H22725" s="50"/>
      <c r="I22725" s="50"/>
      <c r="O22725" s="36" t="s">
        <v>48</v>
      </c>
      <c r="R22725" s="36" t="s">
        <v>48</v>
      </c>
    </row>
    <row r="22726">
      <c r="H22726" s="50"/>
      <c r="I22726" s="50"/>
      <c r="O22726" s="36" t="s">
        <v>48</v>
      </c>
      <c r="R22726" s="36" t="s">
        <v>48</v>
      </c>
    </row>
    <row r="22727">
      <c r="H22727" s="50"/>
      <c r="I22727" s="50"/>
      <c r="O22727" s="36" t="s">
        <v>48</v>
      </c>
      <c r="R22727" s="36" t="s">
        <v>48</v>
      </c>
    </row>
    <row r="22728">
      <c r="H22728" s="50"/>
      <c r="I22728" s="50"/>
      <c r="O22728" s="36" t="s">
        <v>48</v>
      </c>
      <c r="R22728" s="36" t="s">
        <v>48</v>
      </c>
    </row>
    <row r="22729">
      <c r="H22729" s="50"/>
      <c r="I22729" s="50"/>
      <c r="O22729" s="36" t="s">
        <v>48</v>
      </c>
      <c r="R22729" s="36" t="s">
        <v>48</v>
      </c>
    </row>
    <row r="22730">
      <c r="H22730" s="50"/>
      <c r="I22730" s="50"/>
      <c r="O22730" s="36" t="s">
        <v>48</v>
      </c>
      <c r="R22730" s="36" t="s">
        <v>48</v>
      </c>
    </row>
    <row r="22731">
      <c r="H22731" s="50"/>
      <c r="I22731" s="50"/>
      <c r="O22731" s="36" t="s">
        <v>48</v>
      </c>
      <c r="R22731" s="36" t="s">
        <v>48</v>
      </c>
    </row>
    <row r="22732">
      <c r="H22732" s="50"/>
      <c r="I22732" s="50"/>
      <c r="O22732" s="36" t="s">
        <v>48</v>
      </c>
      <c r="R22732" s="36" t="s">
        <v>48</v>
      </c>
    </row>
    <row r="22733">
      <c r="H22733" s="50"/>
      <c r="I22733" s="50"/>
      <c r="O22733" s="36" t="s">
        <v>48</v>
      </c>
      <c r="R22733" s="36" t="s">
        <v>48</v>
      </c>
    </row>
    <row r="22734">
      <c r="H22734" s="50"/>
      <c r="I22734" s="50"/>
      <c r="O22734" s="36" t="s">
        <v>48</v>
      </c>
      <c r="R22734" s="36" t="s">
        <v>48</v>
      </c>
    </row>
    <row r="22735">
      <c r="H22735" s="50"/>
      <c r="I22735" s="50"/>
      <c r="O22735" s="36" t="s">
        <v>48</v>
      </c>
      <c r="R22735" s="36" t="s">
        <v>48</v>
      </c>
    </row>
    <row r="22736">
      <c r="H22736" s="50"/>
      <c r="I22736" s="50"/>
      <c r="O22736" s="36" t="s">
        <v>48</v>
      </c>
      <c r="R22736" s="36" t="s">
        <v>48</v>
      </c>
    </row>
    <row r="22737">
      <c r="H22737" s="50"/>
      <c r="I22737" s="50"/>
      <c r="O22737" s="36" t="s">
        <v>48</v>
      </c>
      <c r="R22737" s="36" t="s">
        <v>48</v>
      </c>
    </row>
    <row r="22738">
      <c r="H22738" s="50"/>
      <c r="I22738" s="50"/>
      <c r="O22738" s="36" t="s">
        <v>48</v>
      </c>
      <c r="R22738" s="36" t="s">
        <v>48</v>
      </c>
    </row>
    <row r="22739">
      <c r="H22739" s="50"/>
      <c r="I22739" s="50"/>
      <c r="O22739" s="36" t="s">
        <v>48</v>
      </c>
      <c r="R22739" s="36" t="s">
        <v>48</v>
      </c>
    </row>
    <row r="22740">
      <c r="H22740" s="50"/>
      <c r="I22740" s="50"/>
      <c r="O22740" s="36" t="s">
        <v>48</v>
      </c>
      <c r="R22740" s="36" t="s">
        <v>48</v>
      </c>
    </row>
    <row r="22741">
      <c r="H22741" s="50"/>
      <c r="I22741" s="50"/>
      <c r="O22741" s="36" t="s">
        <v>48</v>
      </c>
      <c r="R22741" s="36" t="s">
        <v>48</v>
      </c>
    </row>
    <row r="22742">
      <c r="H22742" s="50"/>
      <c r="I22742" s="50"/>
      <c r="O22742" s="36" t="s">
        <v>48</v>
      </c>
      <c r="R22742" s="36" t="s">
        <v>48</v>
      </c>
    </row>
    <row r="22743">
      <c r="H22743" s="50"/>
      <c r="I22743" s="50"/>
      <c r="O22743" s="36" t="s">
        <v>48</v>
      </c>
      <c r="R22743" s="36" t="s">
        <v>48</v>
      </c>
    </row>
    <row r="22744">
      <c r="H22744" s="50"/>
      <c r="I22744" s="50"/>
      <c r="O22744" s="36" t="s">
        <v>48</v>
      </c>
      <c r="R22744" s="36" t="s">
        <v>48</v>
      </c>
    </row>
    <row r="22745">
      <c r="H22745" s="50"/>
      <c r="I22745" s="50"/>
      <c r="O22745" s="36" t="s">
        <v>48</v>
      </c>
      <c r="R22745" s="36" t="s">
        <v>48</v>
      </c>
    </row>
    <row r="22746">
      <c r="H22746" s="50"/>
      <c r="I22746" s="50"/>
      <c r="O22746" s="36" t="s">
        <v>48</v>
      </c>
      <c r="R22746" s="36" t="s">
        <v>48</v>
      </c>
    </row>
    <row r="22747">
      <c r="H22747" s="50"/>
      <c r="I22747" s="50"/>
      <c r="O22747" s="36" t="s">
        <v>48</v>
      </c>
      <c r="R22747" s="36" t="s">
        <v>48</v>
      </c>
    </row>
    <row r="22748">
      <c r="H22748" s="50"/>
      <c r="I22748" s="50"/>
      <c r="O22748" s="36" t="s">
        <v>48</v>
      </c>
      <c r="R22748" s="36" t="s">
        <v>48</v>
      </c>
    </row>
    <row r="22749">
      <c r="H22749" s="50"/>
      <c r="I22749" s="50"/>
      <c r="O22749" s="36" t="s">
        <v>48</v>
      </c>
      <c r="R22749" s="36" t="s">
        <v>48</v>
      </c>
    </row>
    <row r="22750">
      <c r="H22750" s="50"/>
      <c r="I22750" s="50"/>
      <c r="O22750" s="36" t="s">
        <v>48</v>
      </c>
      <c r="R22750" s="36" t="s">
        <v>48</v>
      </c>
    </row>
    <row r="22751">
      <c r="H22751" s="50"/>
      <c r="I22751" s="50"/>
      <c r="O22751" s="36" t="s">
        <v>48</v>
      </c>
      <c r="R22751" s="36" t="s">
        <v>48</v>
      </c>
    </row>
    <row r="22752">
      <c r="H22752" s="50"/>
      <c r="I22752" s="50"/>
      <c r="O22752" s="36" t="s">
        <v>48</v>
      </c>
      <c r="R22752" s="36" t="s">
        <v>48</v>
      </c>
    </row>
    <row r="22753">
      <c r="H22753" s="50"/>
      <c r="I22753" s="50"/>
      <c r="O22753" s="36" t="s">
        <v>48</v>
      </c>
      <c r="R22753" s="36" t="s">
        <v>48</v>
      </c>
    </row>
    <row r="22754">
      <c r="H22754" s="50"/>
      <c r="I22754" s="50"/>
      <c r="O22754" s="36" t="s">
        <v>48</v>
      </c>
      <c r="R22754" s="36" t="s">
        <v>48</v>
      </c>
    </row>
    <row r="22755">
      <c r="H22755" s="50"/>
      <c r="I22755" s="50"/>
      <c r="O22755" s="36" t="s">
        <v>48</v>
      </c>
      <c r="R22755" s="36" t="s">
        <v>48</v>
      </c>
    </row>
    <row r="22756">
      <c r="H22756" s="50"/>
      <c r="I22756" s="50"/>
      <c r="O22756" s="36" t="s">
        <v>48</v>
      </c>
      <c r="R22756" s="36" t="s">
        <v>48</v>
      </c>
    </row>
    <row r="22757">
      <c r="H22757" s="50"/>
      <c r="I22757" s="50"/>
      <c r="O22757" s="36" t="s">
        <v>48</v>
      </c>
      <c r="R22757" s="36" t="s">
        <v>48</v>
      </c>
    </row>
    <row r="22758">
      <c r="H22758" s="50"/>
      <c r="I22758" s="50"/>
      <c r="O22758" s="36" t="s">
        <v>48</v>
      </c>
      <c r="R22758" s="36" t="s">
        <v>48</v>
      </c>
    </row>
    <row r="22759">
      <c r="H22759" s="50"/>
      <c r="I22759" s="50"/>
      <c r="O22759" s="36" t="s">
        <v>48</v>
      </c>
      <c r="R22759" s="36" t="s">
        <v>48</v>
      </c>
    </row>
    <row r="22760">
      <c r="H22760" s="50"/>
      <c r="I22760" s="50"/>
      <c r="O22760" s="36" t="s">
        <v>48</v>
      </c>
      <c r="R22760" s="36" t="s">
        <v>48</v>
      </c>
    </row>
    <row r="22761">
      <c r="H22761" s="50"/>
      <c r="I22761" s="50"/>
      <c r="O22761" s="36" t="s">
        <v>48</v>
      </c>
      <c r="R22761" s="36" t="s">
        <v>48</v>
      </c>
    </row>
    <row r="22762">
      <c r="H22762" s="50"/>
      <c r="I22762" s="50"/>
      <c r="O22762" s="36" t="s">
        <v>48</v>
      </c>
      <c r="R22762" s="36" t="s">
        <v>48</v>
      </c>
    </row>
    <row r="22763">
      <c r="H22763" s="50"/>
      <c r="I22763" s="50"/>
      <c r="O22763" s="36" t="s">
        <v>48</v>
      </c>
      <c r="R22763" s="36" t="s">
        <v>48</v>
      </c>
    </row>
    <row r="22764">
      <c r="H22764" s="50"/>
      <c r="I22764" s="50"/>
      <c r="O22764" s="36" t="s">
        <v>48</v>
      </c>
      <c r="R22764" s="36" t="s">
        <v>48</v>
      </c>
    </row>
    <row r="22765">
      <c r="H22765" s="50"/>
      <c r="I22765" s="50"/>
      <c r="O22765" s="36" t="s">
        <v>48</v>
      </c>
      <c r="R22765" s="36" t="s">
        <v>48</v>
      </c>
    </row>
    <row r="22766">
      <c r="H22766" s="50"/>
      <c r="I22766" s="50"/>
      <c r="O22766" s="36" t="s">
        <v>48</v>
      </c>
      <c r="R22766" s="36" t="s">
        <v>48</v>
      </c>
    </row>
    <row r="22767">
      <c r="H22767" s="50"/>
      <c r="I22767" s="50"/>
      <c r="O22767" s="36" t="s">
        <v>48</v>
      </c>
      <c r="R22767" s="36" t="s">
        <v>48</v>
      </c>
    </row>
    <row r="22768">
      <c r="H22768" s="50"/>
      <c r="I22768" s="50"/>
      <c r="O22768" s="36" t="s">
        <v>48</v>
      </c>
      <c r="R22768" s="36" t="s">
        <v>48</v>
      </c>
    </row>
    <row r="22769">
      <c r="H22769" s="50"/>
      <c r="I22769" s="50"/>
      <c r="O22769" s="36" t="s">
        <v>48</v>
      </c>
      <c r="R22769" s="36" t="s">
        <v>48</v>
      </c>
    </row>
    <row r="22770">
      <c r="H22770" s="50"/>
      <c r="I22770" s="50"/>
      <c r="O22770" s="36" t="s">
        <v>48</v>
      </c>
      <c r="R22770" s="36" t="s">
        <v>48</v>
      </c>
    </row>
    <row r="22771">
      <c r="H22771" s="50"/>
      <c r="I22771" s="50"/>
      <c r="O22771" s="36" t="s">
        <v>48</v>
      </c>
      <c r="R22771" s="36" t="s">
        <v>48</v>
      </c>
    </row>
    <row r="22772">
      <c r="H22772" s="50"/>
      <c r="I22772" s="50"/>
      <c r="O22772" s="36" t="s">
        <v>48</v>
      </c>
      <c r="R22772" s="36" t="s">
        <v>48</v>
      </c>
    </row>
    <row r="22773">
      <c r="H22773" s="50"/>
      <c r="I22773" s="50"/>
      <c r="O22773" s="36" t="s">
        <v>48</v>
      </c>
      <c r="R22773" s="36" t="s">
        <v>48</v>
      </c>
    </row>
    <row r="22774">
      <c r="H22774" s="50"/>
      <c r="I22774" s="50"/>
      <c r="O22774" s="36" t="s">
        <v>48</v>
      </c>
      <c r="R22774" s="36" t="s">
        <v>48</v>
      </c>
    </row>
    <row r="22775">
      <c r="H22775" s="50"/>
      <c r="I22775" s="50"/>
      <c r="O22775" s="36" t="s">
        <v>48</v>
      </c>
      <c r="R22775" s="36" t="s">
        <v>48</v>
      </c>
    </row>
    <row r="22776">
      <c r="H22776" s="50"/>
      <c r="I22776" s="50"/>
      <c r="O22776" s="36" t="s">
        <v>48</v>
      </c>
      <c r="R22776" s="36" t="s">
        <v>48</v>
      </c>
    </row>
    <row r="22777">
      <c r="H22777" s="50"/>
      <c r="I22777" s="50"/>
      <c r="O22777" s="36" t="s">
        <v>48</v>
      </c>
      <c r="R22777" s="36" t="s">
        <v>48</v>
      </c>
    </row>
    <row r="22778">
      <c r="H22778" s="50"/>
      <c r="I22778" s="50"/>
      <c r="O22778" s="36" t="s">
        <v>48</v>
      </c>
      <c r="R22778" s="36" t="s">
        <v>48</v>
      </c>
    </row>
    <row r="22779">
      <c r="H22779" s="50"/>
      <c r="I22779" s="50"/>
      <c r="O22779" s="36" t="s">
        <v>48</v>
      </c>
      <c r="R22779" s="36" t="s">
        <v>48</v>
      </c>
    </row>
    <row r="22780">
      <c r="H22780" s="50"/>
      <c r="I22780" s="50"/>
      <c r="O22780" s="36" t="s">
        <v>48</v>
      </c>
      <c r="R22780" s="36" t="s">
        <v>48</v>
      </c>
    </row>
    <row r="22781">
      <c r="H22781" s="50"/>
      <c r="I22781" s="50"/>
      <c r="O22781" s="36" t="s">
        <v>48</v>
      </c>
      <c r="R22781" s="36" t="s">
        <v>48</v>
      </c>
    </row>
    <row r="22782">
      <c r="H22782" s="50"/>
      <c r="I22782" s="50"/>
      <c r="O22782" s="36" t="s">
        <v>48</v>
      </c>
      <c r="R22782" s="36" t="s">
        <v>48</v>
      </c>
    </row>
    <row r="22783">
      <c r="H22783" s="50"/>
      <c r="I22783" s="50"/>
      <c r="O22783" s="36" t="s">
        <v>48</v>
      </c>
      <c r="R22783" s="36" t="s">
        <v>48</v>
      </c>
    </row>
    <row r="22784">
      <c r="H22784" s="50"/>
      <c r="I22784" s="50"/>
      <c r="O22784" s="36" t="s">
        <v>48</v>
      </c>
      <c r="R22784" s="36" t="s">
        <v>48</v>
      </c>
    </row>
    <row r="22785">
      <c r="H22785" s="50"/>
      <c r="I22785" s="50"/>
      <c r="O22785" s="36" t="s">
        <v>48</v>
      </c>
      <c r="R22785" s="36" t="s">
        <v>48</v>
      </c>
    </row>
    <row r="22786">
      <c r="H22786" s="50"/>
      <c r="I22786" s="50"/>
      <c r="O22786" s="36" t="s">
        <v>48</v>
      </c>
      <c r="R22786" s="36" t="s">
        <v>48</v>
      </c>
    </row>
    <row r="22787">
      <c r="H22787" s="50"/>
      <c r="I22787" s="50"/>
      <c r="O22787" s="36" t="s">
        <v>48</v>
      </c>
      <c r="R22787" s="36" t="s">
        <v>48</v>
      </c>
    </row>
    <row r="22788">
      <c r="H22788" s="50"/>
      <c r="I22788" s="50"/>
      <c r="O22788" s="36" t="s">
        <v>48</v>
      </c>
      <c r="R22788" s="36" t="s">
        <v>48</v>
      </c>
    </row>
    <row r="22789">
      <c r="H22789" s="50"/>
      <c r="I22789" s="50"/>
      <c r="O22789" s="36" t="s">
        <v>48</v>
      </c>
      <c r="R22789" s="36" t="s">
        <v>48</v>
      </c>
    </row>
    <row r="22790">
      <c r="H22790" s="50"/>
      <c r="I22790" s="50"/>
      <c r="O22790" s="36" t="s">
        <v>48</v>
      </c>
      <c r="R22790" s="36" t="s">
        <v>48</v>
      </c>
    </row>
    <row r="22791">
      <c r="H22791" s="50"/>
      <c r="I22791" s="50"/>
      <c r="O22791" s="36" t="s">
        <v>48</v>
      </c>
      <c r="R22791" s="36" t="s">
        <v>48</v>
      </c>
    </row>
    <row r="22792">
      <c r="H22792" s="50"/>
      <c r="I22792" s="50"/>
      <c r="O22792" s="36" t="s">
        <v>48</v>
      </c>
      <c r="R22792" s="36" t="s">
        <v>48</v>
      </c>
    </row>
    <row r="22793">
      <c r="H22793" s="50"/>
      <c r="I22793" s="50"/>
      <c r="O22793" s="36" t="s">
        <v>48</v>
      </c>
      <c r="R22793" s="36" t="s">
        <v>48</v>
      </c>
    </row>
    <row r="22794">
      <c r="H22794" s="50"/>
      <c r="I22794" s="50"/>
      <c r="O22794" s="36" t="s">
        <v>48</v>
      </c>
      <c r="R22794" s="36" t="s">
        <v>48</v>
      </c>
    </row>
    <row r="22795">
      <c r="H22795" s="50"/>
      <c r="I22795" s="50"/>
      <c r="O22795" s="36" t="s">
        <v>48</v>
      </c>
      <c r="R22795" s="36" t="s">
        <v>48</v>
      </c>
    </row>
    <row r="22796">
      <c r="H22796" s="50"/>
      <c r="I22796" s="50"/>
      <c r="O22796" s="36" t="s">
        <v>48</v>
      </c>
      <c r="R22796" s="36" t="s">
        <v>48</v>
      </c>
    </row>
    <row r="22797">
      <c r="H22797" s="50"/>
      <c r="I22797" s="50"/>
      <c r="O22797" s="36" t="s">
        <v>48</v>
      </c>
      <c r="R22797" s="36" t="s">
        <v>48</v>
      </c>
    </row>
    <row r="22798">
      <c r="H22798" s="50"/>
      <c r="I22798" s="50"/>
      <c r="O22798" s="36" t="s">
        <v>48</v>
      </c>
      <c r="R22798" s="36" t="s">
        <v>48</v>
      </c>
    </row>
    <row r="22799">
      <c r="H22799" s="50"/>
      <c r="I22799" s="50"/>
      <c r="O22799" s="36" t="s">
        <v>48</v>
      </c>
      <c r="R22799" s="36" t="s">
        <v>48</v>
      </c>
    </row>
    <row r="22800">
      <c r="H22800" s="50"/>
      <c r="I22800" s="50"/>
      <c r="O22800" s="36" t="s">
        <v>48</v>
      </c>
      <c r="R22800" s="36" t="s">
        <v>48</v>
      </c>
    </row>
    <row r="22801">
      <c r="H22801" s="50"/>
      <c r="I22801" s="50"/>
      <c r="O22801" s="36" t="s">
        <v>48</v>
      </c>
      <c r="R22801" s="36" t="s">
        <v>48</v>
      </c>
    </row>
    <row r="22802">
      <c r="H22802" s="50"/>
      <c r="I22802" s="50"/>
      <c r="O22802" s="36" t="s">
        <v>48</v>
      </c>
      <c r="R22802" s="36" t="s">
        <v>48</v>
      </c>
    </row>
    <row r="22803">
      <c r="H22803" s="50"/>
      <c r="I22803" s="50"/>
      <c r="O22803" s="36" t="s">
        <v>48</v>
      </c>
      <c r="R22803" s="36" t="s">
        <v>48</v>
      </c>
    </row>
    <row r="22804">
      <c r="H22804" s="50"/>
      <c r="I22804" s="50"/>
      <c r="O22804" s="36" t="s">
        <v>48</v>
      </c>
      <c r="R22804" s="36" t="s">
        <v>48</v>
      </c>
    </row>
    <row r="22805">
      <c r="H22805" s="50"/>
      <c r="I22805" s="50"/>
      <c r="O22805" s="36" t="s">
        <v>48</v>
      </c>
      <c r="R22805" s="36" t="s">
        <v>48</v>
      </c>
    </row>
    <row r="22806">
      <c r="H22806" s="50"/>
      <c r="I22806" s="50"/>
      <c r="O22806" s="36" t="s">
        <v>48</v>
      </c>
      <c r="R22806" s="36" t="s">
        <v>48</v>
      </c>
    </row>
    <row r="22807">
      <c r="H22807" s="50"/>
      <c r="I22807" s="50"/>
      <c r="O22807" s="36" t="s">
        <v>48</v>
      </c>
      <c r="R22807" s="36" t="s">
        <v>48</v>
      </c>
    </row>
    <row r="22808">
      <c r="H22808" s="50"/>
      <c r="I22808" s="50"/>
      <c r="O22808" s="36" t="s">
        <v>48</v>
      </c>
      <c r="R22808" s="36" t="s">
        <v>48</v>
      </c>
    </row>
    <row r="22809">
      <c r="H22809" s="50"/>
      <c r="I22809" s="50"/>
      <c r="O22809" s="36" t="s">
        <v>48</v>
      </c>
      <c r="R22809" s="36" t="s">
        <v>48</v>
      </c>
    </row>
    <row r="22810">
      <c r="H22810" s="50"/>
      <c r="I22810" s="50"/>
      <c r="O22810" s="36" t="s">
        <v>48</v>
      </c>
      <c r="R22810" s="36" t="s">
        <v>48</v>
      </c>
    </row>
    <row r="22811">
      <c r="H22811" s="50"/>
      <c r="I22811" s="50"/>
      <c r="O22811" s="36" t="s">
        <v>48</v>
      </c>
      <c r="R22811" s="36" t="s">
        <v>48</v>
      </c>
    </row>
    <row r="22812">
      <c r="H22812" s="50"/>
      <c r="I22812" s="50"/>
      <c r="O22812" s="36" t="s">
        <v>48</v>
      </c>
      <c r="R22812" s="36" t="s">
        <v>48</v>
      </c>
    </row>
    <row r="22813">
      <c r="H22813" s="50"/>
      <c r="I22813" s="50"/>
      <c r="O22813" s="36" t="s">
        <v>48</v>
      </c>
      <c r="R22813" s="36" t="s">
        <v>48</v>
      </c>
    </row>
    <row r="22814">
      <c r="H22814" s="50"/>
      <c r="I22814" s="50"/>
      <c r="O22814" s="36" t="s">
        <v>48</v>
      </c>
      <c r="R22814" s="36" t="s">
        <v>48</v>
      </c>
    </row>
    <row r="22815">
      <c r="H22815" s="50"/>
      <c r="I22815" s="50"/>
      <c r="O22815" s="36" t="s">
        <v>48</v>
      </c>
      <c r="R22815" s="36" t="s">
        <v>48</v>
      </c>
    </row>
    <row r="22816">
      <c r="H22816" s="50"/>
      <c r="I22816" s="50"/>
      <c r="O22816" s="36" t="s">
        <v>48</v>
      </c>
      <c r="R22816" s="36" t="s">
        <v>48</v>
      </c>
    </row>
    <row r="22817">
      <c r="H22817" s="50"/>
      <c r="I22817" s="50"/>
      <c r="O22817" s="36" t="s">
        <v>48</v>
      </c>
      <c r="R22817" s="36" t="s">
        <v>48</v>
      </c>
    </row>
    <row r="22818">
      <c r="H22818" s="50"/>
      <c r="I22818" s="50"/>
      <c r="O22818" s="36" t="s">
        <v>48</v>
      </c>
      <c r="R22818" s="36" t="s">
        <v>48</v>
      </c>
    </row>
    <row r="22819">
      <c r="H22819" s="50"/>
      <c r="I22819" s="50"/>
      <c r="O22819" s="36" t="s">
        <v>48</v>
      </c>
      <c r="R22819" s="36" t="s">
        <v>48</v>
      </c>
    </row>
    <row r="22820">
      <c r="H22820" s="50"/>
      <c r="I22820" s="50"/>
      <c r="O22820" s="36" t="s">
        <v>48</v>
      </c>
      <c r="R22820" s="36" t="s">
        <v>48</v>
      </c>
    </row>
    <row r="22821">
      <c r="H22821" s="50"/>
      <c r="I22821" s="50"/>
      <c r="O22821" s="36" t="s">
        <v>48</v>
      </c>
      <c r="R22821" s="36" t="s">
        <v>48</v>
      </c>
    </row>
    <row r="22822">
      <c r="H22822" s="50"/>
      <c r="I22822" s="50"/>
      <c r="O22822" s="36" t="s">
        <v>48</v>
      </c>
      <c r="R22822" s="36" t="s">
        <v>48</v>
      </c>
    </row>
    <row r="22823">
      <c r="H22823" s="50"/>
      <c r="I22823" s="50"/>
      <c r="O22823" s="36" t="s">
        <v>48</v>
      </c>
      <c r="R22823" s="36" t="s">
        <v>48</v>
      </c>
    </row>
    <row r="22824">
      <c r="H22824" s="50"/>
      <c r="I22824" s="50"/>
      <c r="O22824" s="36" t="s">
        <v>48</v>
      </c>
      <c r="R22824" s="36" t="s">
        <v>48</v>
      </c>
    </row>
    <row r="22825">
      <c r="H22825" s="50"/>
      <c r="I22825" s="50"/>
      <c r="O22825" s="36" t="s">
        <v>48</v>
      </c>
      <c r="R22825" s="36" t="s">
        <v>48</v>
      </c>
    </row>
    <row r="22826">
      <c r="H22826" s="50"/>
      <c r="I22826" s="50"/>
      <c r="O22826" s="36" t="s">
        <v>48</v>
      </c>
      <c r="R22826" s="36" t="s">
        <v>48</v>
      </c>
    </row>
    <row r="22827">
      <c r="H22827" s="50"/>
      <c r="I22827" s="50"/>
      <c r="O22827" s="36" t="s">
        <v>48</v>
      </c>
      <c r="R22827" s="36" t="s">
        <v>48</v>
      </c>
    </row>
    <row r="22828">
      <c r="H22828" s="50"/>
      <c r="I22828" s="50"/>
      <c r="O22828" s="36" t="s">
        <v>48</v>
      </c>
      <c r="R22828" s="36" t="s">
        <v>48</v>
      </c>
    </row>
    <row r="22829">
      <c r="H22829" s="50"/>
      <c r="I22829" s="50"/>
      <c r="O22829" s="36" t="s">
        <v>48</v>
      </c>
      <c r="R22829" s="36" t="s">
        <v>48</v>
      </c>
    </row>
    <row r="22830">
      <c r="H22830" s="50"/>
      <c r="I22830" s="50"/>
      <c r="O22830" s="36" t="s">
        <v>48</v>
      </c>
      <c r="R22830" s="36" t="s">
        <v>48</v>
      </c>
    </row>
    <row r="22831">
      <c r="H22831" s="50"/>
      <c r="I22831" s="50"/>
      <c r="O22831" s="36" t="s">
        <v>48</v>
      </c>
      <c r="R22831" s="36" t="s">
        <v>48</v>
      </c>
    </row>
    <row r="22832">
      <c r="H22832" s="50"/>
      <c r="I22832" s="50"/>
      <c r="O22832" s="36" t="s">
        <v>48</v>
      </c>
      <c r="R22832" s="36" t="s">
        <v>48</v>
      </c>
    </row>
    <row r="22833">
      <c r="H22833" s="50"/>
      <c r="I22833" s="50"/>
      <c r="O22833" s="36" t="s">
        <v>48</v>
      </c>
      <c r="R22833" s="36" t="s">
        <v>48</v>
      </c>
    </row>
    <row r="22834">
      <c r="H22834" s="50"/>
      <c r="I22834" s="50"/>
      <c r="O22834" s="36" t="s">
        <v>48</v>
      </c>
      <c r="R22834" s="36" t="s">
        <v>48</v>
      </c>
    </row>
    <row r="22835">
      <c r="H22835" s="50"/>
      <c r="I22835" s="50"/>
      <c r="O22835" s="36" t="s">
        <v>48</v>
      </c>
      <c r="R22835" s="36" t="s">
        <v>48</v>
      </c>
    </row>
    <row r="22836">
      <c r="H22836" s="50"/>
      <c r="I22836" s="50"/>
      <c r="O22836" s="36" t="s">
        <v>48</v>
      </c>
      <c r="R22836" s="36" t="s">
        <v>48</v>
      </c>
    </row>
    <row r="22837">
      <c r="H22837" s="50"/>
      <c r="I22837" s="50"/>
      <c r="O22837" s="36" t="s">
        <v>48</v>
      </c>
      <c r="R22837" s="36" t="s">
        <v>48</v>
      </c>
    </row>
    <row r="22838">
      <c r="H22838" s="50"/>
      <c r="I22838" s="50"/>
      <c r="O22838" s="36" t="s">
        <v>48</v>
      </c>
      <c r="R22838" s="36" t="s">
        <v>48</v>
      </c>
    </row>
    <row r="22839">
      <c r="H22839" s="50"/>
      <c r="I22839" s="50"/>
      <c r="O22839" s="36" t="s">
        <v>48</v>
      </c>
      <c r="R22839" s="36" t="s">
        <v>48</v>
      </c>
    </row>
    <row r="22840">
      <c r="H22840" s="50"/>
      <c r="I22840" s="50"/>
      <c r="O22840" s="36" t="s">
        <v>48</v>
      </c>
      <c r="R22840" s="36" t="s">
        <v>48</v>
      </c>
    </row>
    <row r="22841">
      <c r="H22841" s="50"/>
      <c r="I22841" s="50"/>
      <c r="O22841" s="36" t="s">
        <v>48</v>
      </c>
      <c r="R22841" s="36" t="s">
        <v>48</v>
      </c>
    </row>
    <row r="22842">
      <c r="H22842" s="50"/>
      <c r="I22842" s="50"/>
      <c r="O22842" s="36" t="s">
        <v>48</v>
      </c>
      <c r="R22842" s="36" t="s">
        <v>48</v>
      </c>
    </row>
    <row r="22843">
      <c r="H22843" s="50"/>
      <c r="I22843" s="50"/>
      <c r="O22843" s="36" t="s">
        <v>48</v>
      </c>
      <c r="R22843" s="36" t="s">
        <v>48</v>
      </c>
    </row>
    <row r="22844">
      <c r="H22844" s="50"/>
      <c r="I22844" s="50"/>
      <c r="O22844" s="36" t="s">
        <v>48</v>
      </c>
      <c r="R22844" s="36" t="s">
        <v>48</v>
      </c>
    </row>
    <row r="22845">
      <c r="H22845" s="50"/>
      <c r="I22845" s="50"/>
      <c r="O22845" s="36" t="s">
        <v>48</v>
      </c>
      <c r="R22845" s="36" t="s">
        <v>48</v>
      </c>
    </row>
    <row r="22846">
      <c r="H22846" s="50"/>
      <c r="I22846" s="50"/>
      <c r="O22846" s="36" t="s">
        <v>48</v>
      </c>
      <c r="R22846" s="36" t="s">
        <v>48</v>
      </c>
    </row>
    <row r="22847">
      <c r="H22847" s="50"/>
      <c r="I22847" s="50"/>
      <c r="O22847" s="36" t="s">
        <v>48</v>
      </c>
      <c r="R22847" s="36" t="s">
        <v>48</v>
      </c>
    </row>
    <row r="22848">
      <c r="H22848" s="50"/>
      <c r="I22848" s="50"/>
      <c r="O22848" s="36" t="s">
        <v>48</v>
      </c>
      <c r="R22848" s="36" t="s">
        <v>48</v>
      </c>
    </row>
    <row r="22849">
      <c r="H22849" s="50"/>
      <c r="I22849" s="50"/>
      <c r="O22849" s="36" t="s">
        <v>48</v>
      </c>
      <c r="R22849" s="36" t="s">
        <v>48</v>
      </c>
    </row>
    <row r="22850">
      <c r="H22850" s="50"/>
      <c r="I22850" s="50"/>
      <c r="O22850" s="36" t="s">
        <v>48</v>
      </c>
      <c r="R22850" s="36" t="s">
        <v>48</v>
      </c>
    </row>
    <row r="22851">
      <c r="H22851" s="50"/>
      <c r="I22851" s="50"/>
      <c r="O22851" s="36" t="s">
        <v>48</v>
      </c>
      <c r="R22851" s="36" t="s">
        <v>48</v>
      </c>
    </row>
    <row r="22852">
      <c r="H22852" s="50"/>
      <c r="I22852" s="50"/>
      <c r="O22852" s="36" t="s">
        <v>48</v>
      </c>
      <c r="R22852" s="36" t="s">
        <v>48</v>
      </c>
    </row>
    <row r="22853">
      <c r="H22853" s="50"/>
      <c r="I22853" s="50"/>
      <c r="O22853" s="36" t="s">
        <v>48</v>
      </c>
      <c r="R22853" s="36" t="s">
        <v>48</v>
      </c>
    </row>
    <row r="22854">
      <c r="H22854" s="50"/>
      <c r="I22854" s="50"/>
      <c r="O22854" s="36" t="s">
        <v>48</v>
      </c>
      <c r="R22854" s="36" t="s">
        <v>48</v>
      </c>
    </row>
    <row r="22855">
      <c r="H22855" s="50"/>
      <c r="I22855" s="50"/>
      <c r="O22855" s="36" t="s">
        <v>48</v>
      </c>
      <c r="R22855" s="36" t="s">
        <v>48</v>
      </c>
    </row>
    <row r="22856">
      <c r="H22856" s="50"/>
      <c r="I22856" s="50"/>
      <c r="O22856" s="36" t="s">
        <v>48</v>
      </c>
      <c r="R22856" s="36" t="s">
        <v>48</v>
      </c>
    </row>
    <row r="22857">
      <c r="H22857" s="50"/>
      <c r="I22857" s="50"/>
      <c r="O22857" s="36" t="s">
        <v>48</v>
      </c>
      <c r="R22857" s="36" t="s">
        <v>48</v>
      </c>
    </row>
    <row r="22858">
      <c r="H22858" s="50"/>
      <c r="I22858" s="50"/>
      <c r="O22858" s="36" t="s">
        <v>48</v>
      </c>
      <c r="R22858" s="36" t="s">
        <v>48</v>
      </c>
    </row>
    <row r="22859">
      <c r="H22859" s="50"/>
      <c r="I22859" s="50"/>
      <c r="O22859" s="36" t="s">
        <v>48</v>
      </c>
      <c r="R22859" s="36" t="s">
        <v>48</v>
      </c>
    </row>
    <row r="22860">
      <c r="H22860" s="50"/>
      <c r="I22860" s="50"/>
      <c r="O22860" s="36" t="s">
        <v>48</v>
      </c>
      <c r="R22860" s="36" t="s">
        <v>48</v>
      </c>
    </row>
    <row r="22861">
      <c r="H22861" s="50"/>
      <c r="I22861" s="50"/>
      <c r="O22861" s="36" t="s">
        <v>48</v>
      </c>
      <c r="R22861" s="36" t="s">
        <v>48</v>
      </c>
    </row>
    <row r="22862">
      <c r="H22862" s="50"/>
      <c r="I22862" s="50"/>
      <c r="O22862" s="36" t="s">
        <v>48</v>
      </c>
      <c r="R22862" s="36" t="s">
        <v>48</v>
      </c>
    </row>
    <row r="22863">
      <c r="H22863" s="50"/>
      <c r="I22863" s="50"/>
      <c r="O22863" s="36" t="s">
        <v>48</v>
      </c>
      <c r="R22863" s="36" t="s">
        <v>48</v>
      </c>
    </row>
    <row r="22864">
      <c r="H22864" s="50"/>
      <c r="I22864" s="50"/>
      <c r="O22864" s="36" t="s">
        <v>48</v>
      </c>
      <c r="R22864" s="36" t="s">
        <v>48</v>
      </c>
    </row>
    <row r="22865">
      <c r="H22865" s="50"/>
      <c r="I22865" s="50"/>
      <c r="O22865" s="36" t="s">
        <v>48</v>
      </c>
      <c r="R22865" s="36" t="s">
        <v>48</v>
      </c>
    </row>
    <row r="22866">
      <c r="H22866" s="50"/>
      <c r="I22866" s="50"/>
      <c r="O22866" s="36" t="s">
        <v>48</v>
      </c>
      <c r="R22866" s="36" t="s">
        <v>48</v>
      </c>
    </row>
    <row r="22867">
      <c r="H22867" s="50"/>
      <c r="I22867" s="50"/>
      <c r="O22867" s="36" t="s">
        <v>48</v>
      </c>
      <c r="R22867" s="36" t="s">
        <v>48</v>
      </c>
    </row>
    <row r="22868">
      <c r="H22868" s="50"/>
      <c r="I22868" s="50"/>
      <c r="O22868" s="36" t="s">
        <v>48</v>
      </c>
      <c r="R22868" s="36" t="s">
        <v>48</v>
      </c>
    </row>
    <row r="22869">
      <c r="H22869" s="50"/>
      <c r="I22869" s="50"/>
      <c r="O22869" s="36" t="s">
        <v>48</v>
      </c>
      <c r="R22869" s="36" t="s">
        <v>48</v>
      </c>
    </row>
    <row r="22870">
      <c r="H22870" s="50"/>
      <c r="I22870" s="50"/>
      <c r="O22870" s="36" t="s">
        <v>48</v>
      </c>
      <c r="R22870" s="36" t="s">
        <v>48</v>
      </c>
    </row>
    <row r="22871">
      <c r="H22871" s="50"/>
      <c r="I22871" s="50"/>
      <c r="O22871" s="36" t="s">
        <v>48</v>
      </c>
      <c r="R22871" s="36" t="s">
        <v>48</v>
      </c>
    </row>
    <row r="22872">
      <c r="H22872" s="50"/>
      <c r="I22872" s="50"/>
      <c r="O22872" s="36" t="s">
        <v>48</v>
      </c>
      <c r="R22872" s="36" t="s">
        <v>48</v>
      </c>
    </row>
    <row r="22873">
      <c r="H22873" s="50"/>
      <c r="I22873" s="50"/>
      <c r="O22873" s="36" t="s">
        <v>48</v>
      </c>
      <c r="R22873" s="36" t="s">
        <v>48</v>
      </c>
    </row>
    <row r="22874">
      <c r="H22874" s="50"/>
      <c r="I22874" s="50"/>
      <c r="O22874" s="36" t="s">
        <v>48</v>
      </c>
      <c r="R22874" s="36" t="s">
        <v>48</v>
      </c>
    </row>
    <row r="22875">
      <c r="H22875" s="50"/>
      <c r="I22875" s="50"/>
      <c r="O22875" s="36" t="s">
        <v>48</v>
      </c>
      <c r="R22875" s="36" t="s">
        <v>48</v>
      </c>
    </row>
    <row r="22876">
      <c r="H22876" s="50"/>
      <c r="I22876" s="50"/>
      <c r="O22876" s="36" t="s">
        <v>48</v>
      </c>
      <c r="R22876" s="36" t="s">
        <v>48</v>
      </c>
    </row>
    <row r="22877">
      <c r="H22877" s="50"/>
      <c r="I22877" s="50"/>
      <c r="O22877" s="36" t="s">
        <v>48</v>
      </c>
      <c r="R22877" s="36" t="s">
        <v>48</v>
      </c>
    </row>
    <row r="22878">
      <c r="H22878" s="50"/>
      <c r="I22878" s="50"/>
      <c r="O22878" s="36" t="s">
        <v>48</v>
      </c>
      <c r="R22878" s="36" t="s">
        <v>48</v>
      </c>
    </row>
    <row r="22879">
      <c r="H22879" s="50"/>
      <c r="I22879" s="50"/>
      <c r="O22879" s="36" t="s">
        <v>48</v>
      </c>
      <c r="R22879" s="36" t="s">
        <v>48</v>
      </c>
    </row>
    <row r="22880">
      <c r="H22880" s="50"/>
      <c r="I22880" s="50"/>
      <c r="O22880" s="36" t="s">
        <v>48</v>
      </c>
      <c r="R22880" s="36" t="s">
        <v>48</v>
      </c>
    </row>
    <row r="22881">
      <c r="H22881" s="50"/>
      <c r="I22881" s="50"/>
      <c r="O22881" s="36" t="s">
        <v>48</v>
      </c>
      <c r="R22881" s="36" t="s">
        <v>48</v>
      </c>
    </row>
    <row r="22882">
      <c r="H22882" s="50"/>
      <c r="I22882" s="50"/>
      <c r="O22882" s="36" t="s">
        <v>48</v>
      </c>
      <c r="R22882" s="36" t="s">
        <v>48</v>
      </c>
    </row>
    <row r="22883">
      <c r="H22883" s="50"/>
      <c r="I22883" s="50"/>
      <c r="O22883" s="36" t="s">
        <v>48</v>
      </c>
      <c r="R22883" s="36" t="s">
        <v>48</v>
      </c>
    </row>
    <row r="22884">
      <c r="H22884" s="50"/>
      <c r="I22884" s="50"/>
      <c r="O22884" s="36" t="s">
        <v>48</v>
      </c>
      <c r="R22884" s="36" t="s">
        <v>48</v>
      </c>
    </row>
    <row r="22885">
      <c r="H22885" s="50"/>
      <c r="I22885" s="50"/>
      <c r="O22885" s="36" t="s">
        <v>48</v>
      </c>
      <c r="R22885" s="36" t="s">
        <v>48</v>
      </c>
    </row>
    <row r="22886">
      <c r="H22886" s="50"/>
      <c r="I22886" s="50"/>
      <c r="O22886" s="36" t="s">
        <v>48</v>
      </c>
      <c r="R22886" s="36" t="s">
        <v>48</v>
      </c>
    </row>
    <row r="22887">
      <c r="H22887" s="50"/>
      <c r="I22887" s="50"/>
      <c r="O22887" s="36" t="s">
        <v>48</v>
      </c>
      <c r="R22887" s="36" t="s">
        <v>48</v>
      </c>
    </row>
    <row r="22888">
      <c r="H22888" s="50"/>
      <c r="I22888" s="50"/>
      <c r="O22888" s="36" t="s">
        <v>48</v>
      </c>
      <c r="R22888" s="36" t="s">
        <v>48</v>
      </c>
    </row>
    <row r="22889">
      <c r="H22889" s="50"/>
      <c r="I22889" s="50"/>
      <c r="O22889" s="36" t="s">
        <v>48</v>
      </c>
      <c r="R22889" s="36" t="s">
        <v>48</v>
      </c>
    </row>
    <row r="22890">
      <c r="H22890" s="50"/>
      <c r="I22890" s="50"/>
      <c r="O22890" s="36" t="s">
        <v>48</v>
      </c>
      <c r="R22890" s="36" t="s">
        <v>48</v>
      </c>
    </row>
    <row r="22891">
      <c r="H22891" s="50"/>
      <c r="I22891" s="50"/>
      <c r="O22891" s="36" t="s">
        <v>48</v>
      </c>
      <c r="R22891" s="36" t="s">
        <v>48</v>
      </c>
    </row>
    <row r="22892">
      <c r="H22892" s="50"/>
      <c r="I22892" s="50"/>
      <c r="O22892" s="36" t="s">
        <v>48</v>
      </c>
      <c r="R22892" s="36" t="s">
        <v>48</v>
      </c>
    </row>
    <row r="22893">
      <c r="H22893" s="50"/>
      <c r="I22893" s="50"/>
      <c r="O22893" s="36" t="s">
        <v>48</v>
      </c>
      <c r="R22893" s="36" t="s">
        <v>48</v>
      </c>
    </row>
    <row r="22894">
      <c r="H22894" s="50"/>
      <c r="I22894" s="50"/>
      <c r="O22894" s="36" t="s">
        <v>48</v>
      </c>
      <c r="R22894" s="36" t="s">
        <v>48</v>
      </c>
    </row>
    <row r="22895">
      <c r="H22895" s="50"/>
      <c r="I22895" s="50"/>
      <c r="O22895" s="36" t="s">
        <v>48</v>
      </c>
      <c r="R22895" s="36" t="s">
        <v>48</v>
      </c>
    </row>
    <row r="22896">
      <c r="H22896" s="50"/>
      <c r="I22896" s="50"/>
      <c r="O22896" s="36" t="s">
        <v>48</v>
      </c>
      <c r="R22896" s="36" t="s">
        <v>48</v>
      </c>
    </row>
    <row r="22897">
      <c r="H22897" s="50"/>
      <c r="I22897" s="50"/>
      <c r="O22897" s="36" t="s">
        <v>48</v>
      </c>
      <c r="R22897" s="36" t="s">
        <v>48</v>
      </c>
    </row>
    <row r="22898">
      <c r="H22898" s="50"/>
      <c r="I22898" s="50"/>
      <c r="O22898" s="36" t="s">
        <v>48</v>
      </c>
      <c r="R22898" s="36" t="s">
        <v>48</v>
      </c>
    </row>
    <row r="22899">
      <c r="H22899" s="50"/>
      <c r="I22899" s="50"/>
      <c r="O22899" s="36" t="s">
        <v>48</v>
      </c>
      <c r="R22899" s="36" t="s">
        <v>48</v>
      </c>
    </row>
    <row r="22900">
      <c r="H22900" s="50"/>
      <c r="I22900" s="50"/>
      <c r="O22900" s="36" t="s">
        <v>48</v>
      </c>
      <c r="R22900" s="36" t="s">
        <v>48</v>
      </c>
    </row>
    <row r="22901">
      <c r="H22901" s="50"/>
      <c r="I22901" s="50"/>
      <c r="O22901" s="36" t="s">
        <v>48</v>
      </c>
      <c r="R22901" s="36" t="s">
        <v>48</v>
      </c>
    </row>
    <row r="22902">
      <c r="H22902" s="50"/>
      <c r="I22902" s="50"/>
      <c r="O22902" s="36" t="s">
        <v>48</v>
      </c>
      <c r="R22902" s="36" t="s">
        <v>48</v>
      </c>
    </row>
    <row r="22903">
      <c r="H22903" s="50"/>
      <c r="I22903" s="50"/>
      <c r="O22903" s="36" t="s">
        <v>48</v>
      </c>
      <c r="R22903" s="36" t="s">
        <v>48</v>
      </c>
    </row>
    <row r="22904">
      <c r="H22904" s="50"/>
      <c r="I22904" s="50"/>
      <c r="O22904" s="36" t="s">
        <v>48</v>
      </c>
      <c r="R22904" s="36" t="s">
        <v>48</v>
      </c>
    </row>
    <row r="22905">
      <c r="H22905" s="50"/>
      <c r="I22905" s="50"/>
      <c r="O22905" s="36" t="s">
        <v>48</v>
      </c>
      <c r="R22905" s="36" t="s">
        <v>48</v>
      </c>
    </row>
    <row r="22906">
      <c r="H22906" s="50"/>
      <c r="I22906" s="50"/>
      <c r="O22906" s="36" t="s">
        <v>48</v>
      </c>
      <c r="R22906" s="36" t="s">
        <v>48</v>
      </c>
    </row>
    <row r="22907">
      <c r="H22907" s="50"/>
      <c r="I22907" s="50"/>
      <c r="O22907" s="36" t="s">
        <v>48</v>
      </c>
      <c r="R22907" s="36" t="s">
        <v>48</v>
      </c>
    </row>
    <row r="22908">
      <c r="H22908" s="50"/>
      <c r="I22908" s="50"/>
      <c r="O22908" s="36" t="s">
        <v>48</v>
      </c>
      <c r="R22908" s="36" t="s">
        <v>48</v>
      </c>
    </row>
    <row r="22909">
      <c r="H22909" s="50"/>
      <c r="I22909" s="50"/>
      <c r="O22909" s="36" t="s">
        <v>48</v>
      </c>
      <c r="R22909" s="36" t="s">
        <v>48</v>
      </c>
    </row>
    <row r="22910">
      <c r="H22910" s="50"/>
      <c r="I22910" s="50"/>
      <c r="O22910" s="36" t="s">
        <v>48</v>
      </c>
      <c r="R22910" s="36" t="s">
        <v>48</v>
      </c>
    </row>
    <row r="22911">
      <c r="H22911" s="50"/>
      <c r="I22911" s="50"/>
      <c r="O22911" s="36" t="s">
        <v>48</v>
      </c>
      <c r="R22911" s="36" t="s">
        <v>48</v>
      </c>
    </row>
    <row r="22912">
      <c r="H22912" s="50"/>
      <c r="I22912" s="50"/>
      <c r="O22912" s="36" t="s">
        <v>48</v>
      </c>
      <c r="R22912" s="36" t="s">
        <v>48</v>
      </c>
    </row>
    <row r="22913">
      <c r="H22913" s="50"/>
      <c r="I22913" s="50"/>
      <c r="O22913" s="36" t="s">
        <v>48</v>
      </c>
      <c r="R22913" s="36" t="s">
        <v>48</v>
      </c>
    </row>
    <row r="22914">
      <c r="H22914" s="50"/>
      <c r="I22914" s="50"/>
      <c r="O22914" s="36" t="s">
        <v>48</v>
      </c>
      <c r="R22914" s="36" t="s">
        <v>48</v>
      </c>
    </row>
    <row r="22915">
      <c r="H22915" s="50"/>
      <c r="I22915" s="50"/>
      <c r="O22915" s="36" t="s">
        <v>48</v>
      </c>
      <c r="R22915" s="36" t="s">
        <v>48</v>
      </c>
    </row>
    <row r="22916">
      <c r="H22916" s="50"/>
      <c r="I22916" s="50"/>
      <c r="O22916" s="36" t="s">
        <v>48</v>
      </c>
      <c r="R22916" s="36" t="s">
        <v>48</v>
      </c>
    </row>
    <row r="22917">
      <c r="H22917" s="50"/>
      <c r="I22917" s="50"/>
      <c r="O22917" s="36" t="s">
        <v>48</v>
      </c>
      <c r="R22917" s="36" t="s">
        <v>48</v>
      </c>
    </row>
    <row r="22918">
      <c r="H22918" s="50"/>
      <c r="I22918" s="50"/>
      <c r="O22918" s="36" t="s">
        <v>48</v>
      </c>
      <c r="R22918" s="36" t="s">
        <v>48</v>
      </c>
    </row>
    <row r="22919">
      <c r="H22919" s="50"/>
      <c r="I22919" s="50"/>
      <c r="O22919" s="36" t="s">
        <v>48</v>
      </c>
      <c r="R22919" s="36" t="s">
        <v>48</v>
      </c>
    </row>
    <row r="22920">
      <c r="H22920" s="50"/>
      <c r="I22920" s="50"/>
      <c r="O22920" s="36" t="s">
        <v>48</v>
      </c>
      <c r="R22920" s="36" t="s">
        <v>48</v>
      </c>
    </row>
    <row r="22921">
      <c r="H22921" s="50"/>
      <c r="I22921" s="50"/>
      <c r="O22921" s="36" t="s">
        <v>48</v>
      </c>
      <c r="R22921" s="36" t="s">
        <v>48</v>
      </c>
    </row>
    <row r="22922">
      <c r="H22922" s="50"/>
      <c r="I22922" s="50"/>
      <c r="O22922" s="36" t="s">
        <v>48</v>
      </c>
      <c r="R22922" s="36" t="s">
        <v>48</v>
      </c>
    </row>
    <row r="22923">
      <c r="H22923" s="50"/>
      <c r="I22923" s="50"/>
      <c r="O22923" s="36" t="s">
        <v>48</v>
      </c>
      <c r="R22923" s="36" t="s">
        <v>48</v>
      </c>
    </row>
    <row r="22924">
      <c r="H22924" s="50"/>
      <c r="I22924" s="50"/>
      <c r="O22924" s="36" t="s">
        <v>48</v>
      </c>
      <c r="R22924" s="36" t="s">
        <v>48</v>
      </c>
    </row>
    <row r="22925">
      <c r="H22925" s="50"/>
      <c r="I22925" s="50"/>
      <c r="O22925" s="36" t="s">
        <v>48</v>
      </c>
      <c r="R22925" s="36" t="s">
        <v>48</v>
      </c>
    </row>
    <row r="22926">
      <c r="H22926" s="50"/>
      <c r="I22926" s="50"/>
      <c r="O22926" s="36" t="s">
        <v>48</v>
      </c>
      <c r="R22926" s="36" t="s">
        <v>48</v>
      </c>
    </row>
    <row r="22927">
      <c r="H22927" s="50"/>
      <c r="I22927" s="50"/>
      <c r="O22927" s="36" t="s">
        <v>48</v>
      </c>
      <c r="R22927" s="36" t="s">
        <v>48</v>
      </c>
    </row>
    <row r="22928">
      <c r="H22928" s="50"/>
      <c r="I22928" s="50"/>
      <c r="O22928" s="36" t="s">
        <v>48</v>
      </c>
      <c r="R22928" s="36" t="s">
        <v>48</v>
      </c>
    </row>
    <row r="22929">
      <c r="H22929" s="50"/>
      <c r="I22929" s="50"/>
      <c r="O22929" s="36" t="s">
        <v>48</v>
      </c>
      <c r="R22929" s="36" t="s">
        <v>48</v>
      </c>
    </row>
    <row r="22930">
      <c r="H22930" s="50"/>
      <c r="I22930" s="50"/>
      <c r="O22930" s="36" t="s">
        <v>48</v>
      </c>
      <c r="R22930" s="36" t="s">
        <v>48</v>
      </c>
    </row>
    <row r="22931">
      <c r="H22931" s="50"/>
      <c r="I22931" s="50"/>
      <c r="O22931" s="36" t="s">
        <v>48</v>
      </c>
      <c r="R22931" s="36" t="s">
        <v>48</v>
      </c>
    </row>
    <row r="22932">
      <c r="H22932" s="50"/>
      <c r="I22932" s="50"/>
      <c r="O22932" s="36" t="s">
        <v>48</v>
      </c>
      <c r="R22932" s="36" t="s">
        <v>48</v>
      </c>
    </row>
    <row r="22933">
      <c r="H22933" s="50"/>
      <c r="I22933" s="50"/>
      <c r="O22933" s="36" t="s">
        <v>48</v>
      </c>
      <c r="R22933" s="36" t="s">
        <v>48</v>
      </c>
    </row>
    <row r="22934">
      <c r="H22934" s="50"/>
      <c r="I22934" s="50"/>
      <c r="O22934" s="36" t="s">
        <v>48</v>
      </c>
      <c r="R22934" s="36" t="s">
        <v>48</v>
      </c>
    </row>
    <row r="22935">
      <c r="H22935" s="50"/>
      <c r="I22935" s="50"/>
      <c r="O22935" s="36" t="s">
        <v>48</v>
      </c>
      <c r="R22935" s="36" t="s">
        <v>48</v>
      </c>
    </row>
    <row r="22936">
      <c r="H22936" s="50"/>
      <c r="I22936" s="50"/>
      <c r="O22936" s="36" t="s">
        <v>48</v>
      </c>
      <c r="R22936" s="36" t="s">
        <v>48</v>
      </c>
    </row>
    <row r="22937">
      <c r="H22937" s="50"/>
      <c r="I22937" s="50"/>
      <c r="O22937" s="36" t="s">
        <v>48</v>
      </c>
      <c r="R22937" s="36" t="s">
        <v>48</v>
      </c>
    </row>
    <row r="22938">
      <c r="H22938" s="50"/>
      <c r="I22938" s="50"/>
      <c r="O22938" s="36" t="s">
        <v>48</v>
      </c>
      <c r="R22938" s="36" t="s">
        <v>48</v>
      </c>
    </row>
    <row r="22939">
      <c r="H22939" s="50"/>
      <c r="I22939" s="50"/>
      <c r="O22939" s="36" t="s">
        <v>48</v>
      </c>
      <c r="R22939" s="36" t="s">
        <v>48</v>
      </c>
    </row>
    <row r="22940">
      <c r="H22940" s="50"/>
      <c r="I22940" s="50"/>
      <c r="O22940" s="36" t="s">
        <v>48</v>
      </c>
      <c r="R22940" s="36" t="s">
        <v>48</v>
      </c>
    </row>
    <row r="22941">
      <c r="H22941" s="50"/>
      <c r="I22941" s="50"/>
      <c r="O22941" s="36" t="s">
        <v>48</v>
      </c>
      <c r="R22941" s="36" t="s">
        <v>48</v>
      </c>
    </row>
    <row r="22942">
      <c r="H22942" s="50"/>
      <c r="I22942" s="50"/>
      <c r="O22942" s="36" t="s">
        <v>48</v>
      </c>
      <c r="R22942" s="36" t="s">
        <v>48</v>
      </c>
    </row>
    <row r="22943">
      <c r="H22943" s="50"/>
      <c r="I22943" s="50"/>
      <c r="O22943" s="36" t="s">
        <v>48</v>
      </c>
      <c r="R22943" s="36" t="s">
        <v>48</v>
      </c>
    </row>
    <row r="22944">
      <c r="H22944" s="50"/>
      <c r="I22944" s="50"/>
      <c r="O22944" s="36" t="s">
        <v>48</v>
      </c>
      <c r="R22944" s="36" t="s">
        <v>48</v>
      </c>
    </row>
    <row r="22945">
      <c r="H22945" s="50"/>
      <c r="I22945" s="50"/>
      <c r="O22945" s="36" t="s">
        <v>48</v>
      </c>
      <c r="R22945" s="36" t="s">
        <v>48</v>
      </c>
    </row>
    <row r="22946">
      <c r="H22946" s="50"/>
      <c r="I22946" s="50"/>
      <c r="O22946" s="36" t="s">
        <v>48</v>
      </c>
      <c r="R22946" s="36" t="s">
        <v>48</v>
      </c>
    </row>
    <row r="22947">
      <c r="H22947" s="50"/>
      <c r="I22947" s="50"/>
      <c r="O22947" s="36" t="s">
        <v>48</v>
      </c>
      <c r="R22947" s="36" t="s">
        <v>48</v>
      </c>
    </row>
    <row r="22948">
      <c r="H22948" s="50"/>
      <c r="I22948" s="50"/>
      <c r="O22948" s="36" t="s">
        <v>48</v>
      </c>
      <c r="R22948" s="36" t="s">
        <v>48</v>
      </c>
    </row>
    <row r="22949">
      <c r="H22949" s="50"/>
      <c r="I22949" s="50"/>
      <c r="O22949" s="36" t="s">
        <v>48</v>
      </c>
      <c r="R22949" s="36" t="s">
        <v>48</v>
      </c>
    </row>
    <row r="22950">
      <c r="H22950" s="50"/>
      <c r="I22950" s="50"/>
      <c r="O22950" s="36" t="s">
        <v>48</v>
      </c>
      <c r="R22950" s="36" t="s">
        <v>48</v>
      </c>
    </row>
    <row r="22951">
      <c r="H22951" s="50"/>
      <c r="I22951" s="50"/>
      <c r="O22951" s="36" t="s">
        <v>48</v>
      </c>
      <c r="R22951" s="36" t="s">
        <v>48</v>
      </c>
    </row>
    <row r="22952">
      <c r="H22952" s="50"/>
      <c r="I22952" s="50"/>
      <c r="O22952" s="36" t="s">
        <v>48</v>
      </c>
      <c r="R22952" s="36" t="s">
        <v>48</v>
      </c>
    </row>
    <row r="22953">
      <c r="H22953" s="50"/>
      <c r="I22953" s="50"/>
      <c r="O22953" s="36" t="s">
        <v>48</v>
      </c>
      <c r="R22953" s="36" t="s">
        <v>48</v>
      </c>
    </row>
    <row r="22954">
      <c r="H22954" s="50"/>
      <c r="I22954" s="50"/>
      <c r="O22954" s="36" t="s">
        <v>48</v>
      </c>
      <c r="R22954" s="36" t="s">
        <v>48</v>
      </c>
    </row>
    <row r="22955">
      <c r="H22955" s="50"/>
      <c r="I22955" s="50"/>
      <c r="O22955" s="36" t="s">
        <v>48</v>
      </c>
      <c r="R22955" s="36" t="s">
        <v>48</v>
      </c>
    </row>
    <row r="22956">
      <c r="H22956" s="50"/>
      <c r="I22956" s="50"/>
      <c r="O22956" s="36" t="s">
        <v>48</v>
      </c>
      <c r="R22956" s="36" t="s">
        <v>48</v>
      </c>
    </row>
    <row r="22957">
      <c r="H22957" s="50"/>
      <c r="I22957" s="50"/>
      <c r="O22957" s="36" t="s">
        <v>48</v>
      </c>
      <c r="R22957" s="36" t="s">
        <v>48</v>
      </c>
    </row>
    <row r="22958">
      <c r="H22958" s="50"/>
      <c r="I22958" s="50"/>
      <c r="O22958" s="36" t="s">
        <v>48</v>
      </c>
      <c r="R22958" s="36" t="s">
        <v>48</v>
      </c>
    </row>
    <row r="22959">
      <c r="H22959" s="50"/>
      <c r="I22959" s="50"/>
      <c r="O22959" s="36" t="s">
        <v>48</v>
      </c>
      <c r="R22959" s="36" t="s">
        <v>48</v>
      </c>
    </row>
    <row r="22960">
      <c r="H22960" s="50"/>
      <c r="I22960" s="50"/>
      <c r="O22960" s="36" t="s">
        <v>48</v>
      </c>
      <c r="R22960" s="36" t="s">
        <v>48</v>
      </c>
    </row>
    <row r="22961">
      <c r="H22961" s="50"/>
      <c r="I22961" s="50"/>
      <c r="O22961" s="36" t="s">
        <v>48</v>
      </c>
      <c r="R22961" s="36" t="s">
        <v>48</v>
      </c>
    </row>
    <row r="22962">
      <c r="H22962" s="50"/>
      <c r="I22962" s="50"/>
      <c r="O22962" s="36" t="s">
        <v>48</v>
      </c>
      <c r="R22962" s="36" t="s">
        <v>48</v>
      </c>
    </row>
    <row r="22963">
      <c r="H22963" s="50"/>
      <c r="I22963" s="50"/>
      <c r="O22963" s="36" t="s">
        <v>48</v>
      </c>
      <c r="R22963" s="36" t="s">
        <v>48</v>
      </c>
    </row>
    <row r="22964">
      <c r="H22964" s="50"/>
      <c r="I22964" s="50"/>
      <c r="O22964" s="36" t="s">
        <v>48</v>
      </c>
      <c r="R22964" s="36" t="s">
        <v>48</v>
      </c>
    </row>
    <row r="22965">
      <c r="H22965" s="50"/>
      <c r="I22965" s="50"/>
      <c r="O22965" s="36" t="s">
        <v>48</v>
      </c>
      <c r="R22965" s="36" t="s">
        <v>48</v>
      </c>
    </row>
    <row r="22966">
      <c r="H22966" s="50"/>
      <c r="I22966" s="50"/>
      <c r="O22966" s="36" t="s">
        <v>48</v>
      </c>
      <c r="R22966" s="36" t="s">
        <v>48</v>
      </c>
    </row>
    <row r="22967">
      <c r="H22967" s="50"/>
      <c r="I22967" s="50"/>
      <c r="O22967" s="36" t="s">
        <v>48</v>
      </c>
      <c r="R22967" s="36" t="s">
        <v>48</v>
      </c>
    </row>
    <row r="22968">
      <c r="H22968" s="50"/>
      <c r="I22968" s="50"/>
      <c r="O22968" s="36" t="s">
        <v>48</v>
      </c>
      <c r="R22968" s="36" t="s">
        <v>48</v>
      </c>
    </row>
    <row r="22969">
      <c r="H22969" s="50"/>
      <c r="I22969" s="50"/>
      <c r="O22969" s="36" t="s">
        <v>48</v>
      </c>
      <c r="R22969" s="36" t="s">
        <v>48</v>
      </c>
    </row>
    <row r="22970">
      <c r="H22970" s="50"/>
      <c r="I22970" s="50"/>
      <c r="O22970" s="36" t="s">
        <v>48</v>
      </c>
      <c r="R22970" s="36" t="s">
        <v>48</v>
      </c>
    </row>
    <row r="22971">
      <c r="H22971" s="50"/>
      <c r="I22971" s="50"/>
      <c r="O22971" s="36" t="s">
        <v>48</v>
      </c>
      <c r="R22971" s="36" t="s">
        <v>48</v>
      </c>
    </row>
    <row r="22972">
      <c r="H22972" s="50"/>
      <c r="I22972" s="50"/>
      <c r="O22972" s="36" t="s">
        <v>48</v>
      </c>
      <c r="R22972" s="36" t="s">
        <v>48</v>
      </c>
    </row>
    <row r="22973">
      <c r="H22973" s="50"/>
      <c r="I22973" s="50"/>
      <c r="O22973" s="36" t="s">
        <v>48</v>
      </c>
      <c r="R22973" s="36" t="s">
        <v>48</v>
      </c>
    </row>
    <row r="22974">
      <c r="H22974" s="50"/>
      <c r="I22974" s="50"/>
      <c r="O22974" s="36" t="s">
        <v>48</v>
      </c>
      <c r="R22974" s="36" t="s">
        <v>48</v>
      </c>
    </row>
    <row r="22975">
      <c r="H22975" s="50"/>
      <c r="I22975" s="50"/>
      <c r="O22975" s="36" t="s">
        <v>48</v>
      </c>
      <c r="R22975" s="36" t="s">
        <v>48</v>
      </c>
    </row>
    <row r="22976">
      <c r="H22976" s="50"/>
      <c r="I22976" s="50"/>
      <c r="O22976" s="36" t="s">
        <v>48</v>
      </c>
      <c r="R22976" s="36" t="s">
        <v>48</v>
      </c>
    </row>
    <row r="22977">
      <c r="H22977" s="50"/>
      <c r="I22977" s="50"/>
      <c r="O22977" s="36" t="s">
        <v>48</v>
      </c>
      <c r="R22977" s="36" t="s">
        <v>48</v>
      </c>
    </row>
    <row r="22978">
      <c r="H22978" s="50"/>
      <c r="I22978" s="50"/>
      <c r="O22978" s="36" t="s">
        <v>48</v>
      </c>
      <c r="R22978" s="36" t="s">
        <v>48</v>
      </c>
    </row>
    <row r="22979">
      <c r="H22979" s="50"/>
      <c r="I22979" s="50"/>
      <c r="O22979" s="36" t="s">
        <v>48</v>
      </c>
      <c r="R22979" s="36" t="s">
        <v>48</v>
      </c>
    </row>
    <row r="22980">
      <c r="H22980" s="50"/>
      <c r="I22980" s="50"/>
      <c r="O22980" s="36" t="s">
        <v>48</v>
      </c>
      <c r="R22980" s="36" t="s">
        <v>48</v>
      </c>
    </row>
    <row r="22981">
      <c r="H22981" s="50"/>
      <c r="I22981" s="50"/>
      <c r="O22981" s="36" t="s">
        <v>48</v>
      </c>
      <c r="R22981" s="36" t="s">
        <v>48</v>
      </c>
    </row>
    <row r="22982">
      <c r="H22982" s="50"/>
      <c r="I22982" s="50"/>
      <c r="O22982" s="36" t="s">
        <v>48</v>
      </c>
      <c r="R22982" s="36" t="s">
        <v>48</v>
      </c>
    </row>
    <row r="22983">
      <c r="H22983" s="50"/>
      <c r="I22983" s="50"/>
      <c r="O22983" s="36" t="s">
        <v>48</v>
      </c>
      <c r="R22983" s="36" t="s">
        <v>48</v>
      </c>
    </row>
    <row r="22984">
      <c r="H22984" s="50"/>
      <c r="I22984" s="50"/>
      <c r="O22984" s="36" t="s">
        <v>48</v>
      </c>
      <c r="R22984" s="36" t="s">
        <v>48</v>
      </c>
    </row>
    <row r="22985">
      <c r="H22985" s="50"/>
      <c r="I22985" s="50"/>
      <c r="O22985" s="36" t="s">
        <v>48</v>
      </c>
      <c r="R22985" s="36" t="s">
        <v>48</v>
      </c>
    </row>
    <row r="22986">
      <c r="H22986" s="50"/>
      <c r="I22986" s="50"/>
      <c r="O22986" s="36" t="s">
        <v>48</v>
      </c>
      <c r="R22986" s="36" t="s">
        <v>48</v>
      </c>
    </row>
    <row r="22987">
      <c r="H22987" s="50"/>
      <c r="I22987" s="50"/>
      <c r="O22987" s="36" t="s">
        <v>48</v>
      </c>
      <c r="R22987" s="36" t="s">
        <v>48</v>
      </c>
    </row>
    <row r="22988">
      <c r="H22988" s="50"/>
      <c r="I22988" s="50"/>
      <c r="O22988" s="36" t="s">
        <v>48</v>
      </c>
      <c r="R22988" s="36" t="s">
        <v>48</v>
      </c>
    </row>
    <row r="22989">
      <c r="H22989" s="50"/>
      <c r="I22989" s="50"/>
      <c r="O22989" s="36" t="s">
        <v>48</v>
      </c>
      <c r="R22989" s="36" t="s">
        <v>48</v>
      </c>
    </row>
    <row r="22990">
      <c r="H22990" s="50"/>
      <c r="I22990" s="50"/>
      <c r="O22990" s="36" t="s">
        <v>48</v>
      </c>
      <c r="R22990" s="36" t="s">
        <v>48</v>
      </c>
    </row>
    <row r="22991">
      <c r="H22991" s="50"/>
      <c r="I22991" s="50"/>
      <c r="O22991" s="36" t="s">
        <v>48</v>
      </c>
      <c r="R22991" s="36" t="s">
        <v>48</v>
      </c>
    </row>
    <row r="22992">
      <c r="H22992" s="50"/>
      <c r="I22992" s="50"/>
      <c r="O22992" s="36" t="s">
        <v>48</v>
      </c>
      <c r="R22992" s="36" t="s">
        <v>48</v>
      </c>
    </row>
    <row r="22993">
      <c r="H22993" s="50"/>
      <c r="I22993" s="50"/>
      <c r="O22993" s="36" t="s">
        <v>48</v>
      </c>
      <c r="R22993" s="36" t="s">
        <v>48</v>
      </c>
    </row>
    <row r="22994">
      <c r="H22994" s="50"/>
      <c r="I22994" s="50"/>
      <c r="O22994" s="36" t="s">
        <v>48</v>
      </c>
      <c r="R22994" s="36" t="s">
        <v>48</v>
      </c>
    </row>
    <row r="22995">
      <c r="H22995" s="50"/>
      <c r="I22995" s="50"/>
      <c r="O22995" s="36" t="s">
        <v>48</v>
      </c>
      <c r="R22995" s="36" t="s">
        <v>48</v>
      </c>
    </row>
    <row r="22996">
      <c r="H22996" s="50"/>
      <c r="I22996" s="50"/>
      <c r="O22996" s="36" t="s">
        <v>48</v>
      </c>
      <c r="R22996" s="36" t="s">
        <v>48</v>
      </c>
    </row>
    <row r="22997">
      <c r="H22997" s="50"/>
      <c r="I22997" s="50"/>
      <c r="O22997" s="36" t="s">
        <v>48</v>
      </c>
      <c r="R22997" s="36" t="s">
        <v>48</v>
      </c>
    </row>
    <row r="22998">
      <c r="H22998" s="50"/>
      <c r="I22998" s="50"/>
      <c r="O22998" s="36" t="s">
        <v>48</v>
      </c>
      <c r="R22998" s="36" t="s">
        <v>48</v>
      </c>
    </row>
    <row r="22999">
      <c r="H22999" s="50"/>
      <c r="I22999" s="50"/>
      <c r="O22999" s="36" t="s">
        <v>48</v>
      </c>
      <c r="R22999" s="36" t="s">
        <v>48</v>
      </c>
    </row>
    <row r="23000">
      <c r="H23000" s="50"/>
      <c r="I23000" s="50"/>
      <c r="O23000" s="36" t="s">
        <v>48</v>
      </c>
      <c r="R23000" s="36" t="s">
        <v>48</v>
      </c>
    </row>
    <row r="23001">
      <c r="H23001" s="50"/>
      <c r="I23001" s="50"/>
      <c r="O23001" s="36" t="s">
        <v>48</v>
      </c>
      <c r="R23001" s="36" t="s">
        <v>48</v>
      </c>
    </row>
    <row r="23002">
      <c r="H23002" s="50"/>
      <c r="I23002" s="50"/>
      <c r="O23002" s="36" t="s">
        <v>48</v>
      </c>
      <c r="R23002" s="36" t="s">
        <v>48</v>
      </c>
    </row>
    <row r="23003">
      <c r="H23003" s="50"/>
      <c r="I23003" s="50"/>
      <c r="O23003" s="36" t="s">
        <v>48</v>
      </c>
      <c r="R23003" s="36" t="s">
        <v>48</v>
      </c>
    </row>
    <row r="23004">
      <c r="H23004" s="50"/>
      <c r="I23004" s="50"/>
      <c r="O23004" s="36" t="s">
        <v>48</v>
      </c>
      <c r="R23004" s="36" t="s">
        <v>48</v>
      </c>
    </row>
    <row r="23005">
      <c r="H23005" s="50"/>
      <c r="I23005" s="50"/>
      <c r="O23005" s="36" t="s">
        <v>48</v>
      </c>
      <c r="R23005" s="36" t="s">
        <v>48</v>
      </c>
    </row>
    <row r="23006">
      <c r="H23006" s="50"/>
      <c r="I23006" s="50"/>
      <c r="O23006" s="36" t="s">
        <v>48</v>
      </c>
      <c r="R23006" s="36" t="s">
        <v>48</v>
      </c>
    </row>
    <row r="23007">
      <c r="H23007" s="50"/>
      <c r="I23007" s="50"/>
      <c r="O23007" s="36" t="s">
        <v>48</v>
      </c>
      <c r="R23007" s="36" t="s">
        <v>48</v>
      </c>
    </row>
    <row r="23008">
      <c r="H23008" s="50"/>
      <c r="I23008" s="50"/>
      <c r="O23008" s="36" t="s">
        <v>48</v>
      </c>
      <c r="R23008" s="36" t="s">
        <v>48</v>
      </c>
    </row>
    <row r="23009">
      <c r="H23009" s="50"/>
      <c r="I23009" s="50"/>
      <c r="O23009" s="36" t="s">
        <v>48</v>
      </c>
      <c r="R23009" s="36" t="s">
        <v>48</v>
      </c>
    </row>
    <row r="23010">
      <c r="H23010" s="50"/>
      <c r="I23010" s="50"/>
      <c r="O23010" s="36" t="s">
        <v>48</v>
      </c>
      <c r="R23010" s="36" t="s">
        <v>48</v>
      </c>
    </row>
    <row r="23011">
      <c r="H23011" s="50"/>
      <c r="I23011" s="50"/>
      <c r="O23011" s="36" t="s">
        <v>48</v>
      </c>
      <c r="R23011" s="36" t="s">
        <v>48</v>
      </c>
    </row>
    <row r="23012">
      <c r="H23012" s="50"/>
      <c r="I23012" s="50"/>
      <c r="O23012" s="36" t="s">
        <v>48</v>
      </c>
      <c r="R23012" s="36" t="s">
        <v>48</v>
      </c>
    </row>
    <row r="23013">
      <c r="H23013" s="50"/>
      <c r="I23013" s="50"/>
      <c r="O23013" s="36" t="s">
        <v>48</v>
      </c>
      <c r="R23013" s="36" t="s">
        <v>48</v>
      </c>
    </row>
    <row r="23014">
      <c r="H23014" s="50"/>
      <c r="I23014" s="50"/>
      <c r="O23014" s="36" t="s">
        <v>48</v>
      </c>
      <c r="R23014" s="36" t="s">
        <v>48</v>
      </c>
    </row>
    <row r="23015">
      <c r="H23015" s="50"/>
      <c r="I23015" s="50"/>
      <c r="O23015" s="36" t="s">
        <v>48</v>
      </c>
      <c r="R23015" s="36" t="s">
        <v>48</v>
      </c>
    </row>
    <row r="23016">
      <c r="H23016" s="50"/>
      <c r="I23016" s="50"/>
      <c r="O23016" s="36" t="s">
        <v>48</v>
      </c>
      <c r="R23016" s="36" t="s">
        <v>48</v>
      </c>
    </row>
    <row r="23017">
      <c r="H23017" s="50"/>
      <c r="I23017" s="50"/>
      <c r="O23017" s="36" t="s">
        <v>48</v>
      </c>
      <c r="R23017" s="36" t="s">
        <v>48</v>
      </c>
    </row>
    <row r="23018">
      <c r="H23018" s="50"/>
      <c r="I23018" s="50"/>
      <c r="O23018" s="36" t="s">
        <v>48</v>
      </c>
      <c r="R23018" s="36" t="s">
        <v>48</v>
      </c>
    </row>
    <row r="23019">
      <c r="H23019" s="50"/>
      <c r="I23019" s="50"/>
      <c r="O23019" s="36" t="s">
        <v>48</v>
      </c>
      <c r="R23019" s="36" t="s">
        <v>48</v>
      </c>
    </row>
    <row r="23020">
      <c r="H23020" s="50"/>
      <c r="I23020" s="50"/>
      <c r="O23020" s="36" t="s">
        <v>48</v>
      </c>
      <c r="R23020" s="36" t="s">
        <v>48</v>
      </c>
    </row>
    <row r="23021">
      <c r="H23021" s="50"/>
      <c r="I23021" s="50"/>
      <c r="O23021" s="36" t="s">
        <v>48</v>
      </c>
      <c r="R23021" s="36" t="s">
        <v>48</v>
      </c>
    </row>
    <row r="23022">
      <c r="H23022" s="50"/>
      <c r="I23022" s="50"/>
      <c r="O23022" s="36" t="s">
        <v>48</v>
      </c>
      <c r="R23022" s="36" t="s">
        <v>48</v>
      </c>
    </row>
    <row r="23023">
      <c r="H23023" s="50"/>
      <c r="I23023" s="50"/>
      <c r="O23023" s="36" t="s">
        <v>48</v>
      </c>
      <c r="R23023" s="36" t="s">
        <v>48</v>
      </c>
    </row>
    <row r="23024">
      <c r="H23024" s="50"/>
      <c r="I23024" s="50"/>
      <c r="O23024" s="36" t="s">
        <v>48</v>
      </c>
      <c r="R23024" s="36" t="s">
        <v>48</v>
      </c>
    </row>
    <row r="23025">
      <c r="H23025" s="50"/>
      <c r="I23025" s="50"/>
      <c r="O23025" s="36" t="s">
        <v>48</v>
      </c>
      <c r="R23025" s="36" t="s">
        <v>48</v>
      </c>
    </row>
    <row r="23026">
      <c r="H23026" s="50"/>
      <c r="I23026" s="50"/>
      <c r="O23026" s="36" t="s">
        <v>48</v>
      </c>
      <c r="R23026" s="36" t="s">
        <v>48</v>
      </c>
    </row>
    <row r="23027">
      <c r="H23027" s="50"/>
      <c r="I23027" s="50"/>
      <c r="O23027" s="36" t="s">
        <v>48</v>
      </c>
      <c r="R23027" s="36" t="s">
        <v>48</v>
      </c>
    </row>
    <row r="23028">
      <c r="H23028" s="50"/>
      <c r="I23028" s="50"/>
      <c r="O23028" s="36" t="s">
        <v>48</v>
      </c>
      <c r="R23028" s="36" t="s">
        <v>48</v>
      </c>
    </row>
    <row r="23029">
      <c r="H23029" s="50"/>
      <c r="I23029" s="50"/>
      <c r="O23029" s="36" t="s">
        <v>48</v>
      </c>
      <c r="R23029" s="36" t="s">
        <v>48</v>
      </c>
    </row>
    <row r="23030">
      <c r="H23030" s="50"/>
      <c r="I23030" s="50"/>
      <c r="O23030" s="36" t="s">
        <v>48</v>
      </c>
      <c r="R23030" s="36" t="s">
        <v>48</v>
      </c>
    </row>
    <row r="23031">
      <c r="H23031" s="50"/>
      <c r="I23031" s="50"/>
      <c r="O23031" s="36" t="s">
        <v>48</v>
      </c>
      <c r="R23031" s="36" t="s">
        <v>48</v>
      </c>
    </row>
    <row r="23032">
      <c r="H23032" s="50"/>
      <c r="I23032" s="50"/>
      <c r="O23032" s="36" t="s">
        <v>48</v>
      </c>
      <c r="R23032" s="36" t="s">
        <v>48</v>
      </c>
    </row>
    <row r="23033">
      <c r="H23033" s="50"/>
      <c r="I23033" s="50"/>
      <c r="O23033" s="36" t="s">
        <v>48</v>
      </c>
      <c r="R23033" s="36" t="s">
        <v>48</v>
      </c>
    </row>
    <row r="23034">
      <c r="H23034" s="50"/>
      <c r="I23034" s="50"/>
      <c r="O23034" s="36" t="s">
        <v>48</v>
      </c>
      <c r="R23034" s="36" t="s">
        <v>48</v>
      </c>
    </row>
    <row r="23035">
      <c r="H23035" s="50"/>
      <c r="I23035" s="50"/>
      <c r="O23035" s="36" t="s">
        <v>48</v>
      </c>
      <c r="R23035" s="36" t="s">
        <v>48</v>
      </c>
    </row>
    <row r="23036">
      <c r="H23036" s="50"/>
      <c r="I23036" s="50"/>
      <c r="O23036" s="36" t="s">
        <v>48</v>
      </c>
      <c r="R23036" s="36" t="s">
        <v>48</v>
      </c>
    </row>
    <row r="23037">
      <c r="H23037" s="50"/>
      <c r="I23037" s="50"/>
      <c r="O23037" s="36" t="s">
        <v>48</v>
      </c>
      <c r="R23037" s="36" t="s">
        <v>48</v>
      </c>
    </row>
    <row r="23038">
      <c r="H23038" s="50"/>
      <c r="I23038" s="50"/>
      <c r="O23038" s="36" t="s">
        <v>48</v>
      </c>
      <c r="R23038" s="36" t="s">
        <v>48</v>
      </c>
    </row>
    <row r="23039">
      <c r="H23039" s="50"/>
      <c r="I23039" s="50"/>
      <c r="O23039" s="36" t="s">
        <v>48</v>
      </c>
      <c r="R23039" s="36" t="s">
        <v>48</v>
      </c>
    </row>
    <row r="23040">
      <c r="H23040" s="50"/>
      <c r="I23040" s="50"/>
      <c r="O23040" s="36" t="s">
        <v>48</v>
      </c>
      <c r="R23040" s="36" t="s">
        <v>48</v>
      </c>
    </row>
    <row r="23041">
      <c r="H23041" s="50"/>
      <c r="I23041" s="50"/>
      <c r="O23041" s="36" t="s">
        <v>48</v>
      </c>
      <c r="R23041" s="36" t="s">
        <v>48</v>
      </c>
    </row>
    <row r="23042">
      <c r="H23042" s="50"/>
      <c r="I23042" s="50"/>
      <c r="O23042" s="36" t="s">
        <v>48</v>
      </c>
      <c r="R23042" s="36" t="s">
        <v>48</v>
      </c>
    </row>
    <row r="23043">
      <c r="H23043" s="50"/>
      <c r="I23043" s="50"/>
      <c r="O23043" s="36" t="s">
        <v>48</v>
      </c>
      <c r="R23043" s="36" t="s">
        <v>48</v>
      </c>
    </row>
    <row r="23044">
      <c r="H23044" s="50"/>
      <c r="I23044" s="50"/>
      <c r="O23044" s="36" t="s">
        <v>48</v>
      </c>
      <c r="R23044" s="36" t="s">
        <v>48</v>
      </c>
    </row>
    <row r="23045">
      <c r="H23045" s="50"/>
      <c r="I23045" s="50"/>
      <c r="O23045" s="36" t="s">
        <v>48</v>
      </c>
      <c r="R23045" s="36" t="s">
        <v>48</v>
      </c>
    </row>
    <row r="23046">
      <c r="H23046" s="50"/>
      <c r="I23046" s="50"/>
      <c r="O23046" s="36" t="s">
        <v>48</v>
      </c>
      <c r="R23046" s="36" t="s">
        <v>48</v>
      </c>
    </row>
    <row r="23047">
      <c r="H23047" s="50"/>
      <c r="I23047" s="50"/>
      <c r="O23047" s="36" t="s">
        <v>48</v>
      </c>
      <c r="R23047" s="36" t="s">
        <v>48</v>
      </c>
    </row>
    <row r="23048">
      <c r="H23048" s="50"/>
      <c r="I23048" s="50"/>
      <c r="O23048" s="36" t="s">
        <v>48</v>
      </c>
      <c r="R23048" s="36" t="s">
        <v>48</v>
      </c>
    </row>
    <row r="23049">
      <c r="H23049" s="50"/>
      <c r="I23049" s="50"/>
      <c r="O23049" s="36" t="s">
        <v>48</v>
      </c>
      <c r="R23049" s="36" t="s">
        <v>48</v>
      </c>
    </row>
    <row r="23050">
      <c r="H23050" s="50"/>
      <c r="I23050" s="50"/>
      <c r="O23050" s="36" t="s">
        <v>48</v>
      </c>
      <c r="R23050" s="36" t="s">
        <v>48</v>
      </c>
    </row>
    <row r="23051">
      <c r="H23051" s="50"/>
      <c r="I23051" s="50"/>
      <c r="O23051" s="36" t="s">
        <v>48</v>
      </c>
      <c r="R23051" s="36" t="s">
        <v>48</v>
      </c>
    </row>
    <row r="23052">
      <c r="H23052" s="50"/>
      <c r="I23052" s="50"/>
      <c r="O23052" s="36" t="s">
        <v>48</v>
      </c>
      <c r="R23052" s="36" t="s">
        <v>48</v>
      </c>
    </row>
    <row r="23053">
      <c r="H23053" s="50"/>
      <c r="I23053" s="50"/>
      <c r="O23053" s="36" t="s">
        <v>48</v>
      </c>
      <c r="R23053" s="36" t="s">
        <v>48</v>
      </c>
    </row>
    <row r="23054">
      <c r="H23054" s="50"/>
      <c r="I23054" s="50"/>
      <c r="O23054" s="36" t="s">
        <v>48</v>
      </c>
      <c r="R23054" s="36" t="s">
        <v>48</v>
      </c>
    </row>
    <row r="23055">
      <c r="H23055" s="50"/>
      <c r="I23055" s="50"/>
      <c r="O23055" s="36" t="s">
        <v>48</v>
      </c>
      <c r="R23055" s="36" t="s">
        <v>48</v>
      </c>
    </row>
    <row r="23056">
      <c r="H23056" s="50"/>
      <c r="I23056" s="50"/>
      <c r="O23056" s="36" t="s">
        <v>48</v>
      </c>
      <c r="R23056" s="36" t="s">
        <v>48</v>
      </c>
    </row>
    <row r="23057">
      <c r="H23057" s="50"/>
      <c r="I23057" s="50"/>
      <c r="O23057" s="36" t="s">
        <v>48</v>
      </c>
      <c r="R23057" s="36" t="s">
        <v>48</v>
      </c>
    </row>
    <row r="23058">
      <c r="H23058" s="50"/>
      <c r="I23058" s="50"/>
      <c r="O23058" s="36" t="s">
        <v>48</v>
      </c>
      <c r="R23058" s="36" t="s">
        <v>48</v>
      </c>
    </row>
    <row r="23059">
      <c r="H23059" s="50"/>
      <c r="I23059" s="50"/>
      <c r="O23059" s="36" t="s">
        <v>48</v>
      </c>
      <c r="R23059" s="36" t="s">
        <v>48</v>
      </c>
    </row>
    <row r="23060">
      <c r="H23060" s="50"/>
      <c r="I23060" s="50"/>
      <c r="O23060" s="36" t="s">
        <v>48</v>
      </c>
      <c r="R23060" s="36" t="s">
        <v>48</v>
      </c>
    </row>
    <row r="23061">
      <c r="H23061" s="50"/>
      <c r="I23061" s="50"/>
      <c r="O23061" s="36" t="s">
        <v>48</v>
      </c>
      <c r="R23061" s="36" t="s">
        <v>48</v>
      </c>
    </row>
    <row r="23062">
      <c r="H23062" s="50"/>
      <c r="I23062" s="50"/>
      <c r="O23062" s="36" t="s">
        <v>48</v>
      </c>
      <c r="R23062" s="36" t="s">
        <v>48</v>
      </c>
    </row>
    <row r="23063">
      <c r="H23063" s="50"/>
      <c r="I23063" s="50"/>
      <c r="O23063" s="36" t="s">
        <v>48</v>
      </c>
      <c r="R23063" s="36" t="s">
        <v>48</v>
      </c>
    </row>
    <row r="23064">
      <c r="H23064" s="50"/>
      <c r="I23064" s="50"/>
      <c r="O23064" s="36" t="s">
        <v>48</v>
      </c>
      <c r="R23064" s="36" t="s">
        <v>48</v>
      </c>
    </row>
    <row r="23065">
      <c r="H23065" s="50"/>
      <c r="I23065" s="50"/>
      <c r="O23065" s="36" t="s">
        <v>48</v>
      </c>
      <c r="R23065" s="36" t="s">
        <v>48</v>
      </c>
    </row>
    <row r="23066">
      <c r="H23066" s="50"/>
      <c r="I23066" s="50"/>
      <c r="O23066" s="36" t="s">
        <v>48</v>
      </c>
      <c r="R23066" s="36" t="s">
        <v>48</v>
      </c>
    </row>
    <row r="23067">
      <c r="H23067" s="50"/>
      <c r="I23067" s="50"/>
      <c r="O23067" s="36" t="s">
        <v>48</v>
      </c>
      <c r="R23067" s="36" t="s">
        <v>48</v>
      </c>
    </row>
    <row r="23068">
      <c r="H23068" s="50"/>
      <c r="I23068" s="50"/>
      <c r="O23068" s="36" t="s">
        <v>48</v>
      </c>
      <c r="R23068" s="36" t="s">
        <v>48</v>
      </c>
    </row>
    <row r="23069">
      <c r="H23069" s="50"/>
      <c r="I23069" s="50"/>
      <c r="O23069" s="36" t="s">
        <v>48</v>
      </c>
      <c r="R23069" s="36" t="s">
        <v>48</v>
      </c>
    </row>
    <row r="23070">
      <c r="H23070" s="50"/>
      <c r="I23070" s="50"/>
      <c r="O23070" s="36" t="s">
        <v>48</v>
      </c>
      <c r="R23070" s="36" t="s">
        <v>48</v>
      </c>
    </row>
    <row r="23071">
      <c r="H23071" s="50"/>
      <c r="I23071" s="50"/>
      <c r="O23071" s="36" t="s">
        <v>48</v>
      </c>
      <c r="R23071" s="36" t="s">
        <v>48</v>
      </c>
    </row>
    <row r="23072">
      <c r="H23072" s="50"/>
      <c r="I23072" s="50"/>
      <c r="O23072" s="36" t="s">
        <v>48</v>
      </c>
      <c r="R23072" s="36" t="s">
        <v>48</v>
      </c>
    </row>
    <row r="23073">
      <c r="H23073" s="50"/>
      <c r="I23073" s="50"/>
      <c r="O23073" s="36" t="s">
        <v>48</v>
      </c>
      <c r="R23073" s="36" t="s">
        <v>48</v>
      </c>
    </row>
    <row r="23074">
      <c r="H23074" s="50"/>
      <c r="I23074" s="50"/>
      <c r="O23074" s="36" t="s">
        <v>48</v>
      </c>
      <c r="R23074" s="36" t="s">
        <v>48</v>
      </c>
    </row>
    <row r="23075">
      <c r="H23075" s="50"/>
      <c r="I23075" s="50"/>
      <c r="O23075" s="36" t="s">
        <v>48</v>
      </c>
      <c r="R23075" s="36" t="s">
        <v>48</v>
      </c>
    </row>
    <row r="23076">
      <c r="H23076" s="50"/>
      <c r="I23076" s="50"/>
      <c r="O23076" s="36" t="s">
        <v>48</v>
      </c>
      <c r="R23076" s="36" t="s">
        <v>48</v>
      </c>
    </row>
    <row r="23077">
      <c r="H23077" s="50"/>
      <c r="I23077" s="50"/>
      <c r="O23077" s="36" t="s">
        <v>48</v>
      </c>
      <c r="R23077" s="36" t="s">
        <v>48</v>
      </c>
    </row>
    <row r="23078">
      <c r="H23078" s="50"/>
      <c r="I23078" s="50"/>
      <c r="O23078" s="36" t="s">
        <v>48</v>
      </c>
      <c r="R23078" s="36" t="s">
        <v>48</v>
      </c>
    </row>
    <row r="23079">
      <c r="H23079" s="50"/>
      <c r="I23079" s="50"/>
      <c r="O23079" s="36" t="s">
        <v>48</v>
      </c>
      <c r="R23079" s="36" t="s">
        <v>48</v>
      </c>
    </row>
    <row r="23080">
      <c r="H23080" s="50"/>
      <c r="I23080" s="50"/>
      <c r="O23080" s="36" t="s">
        <v>48</v>
      </c>
      <c r="R23080" s="36" t="s">
        <v>48</v>
      </c>
    </row>
    <row r="23081">
      <c r="H23081" s="50"/>
      <c r="I23081" s="50"/>
      <c r="O23081" s="36" t="s">
        <v>48</v>
      </c>
      <c r="R23081" s="36" t="s">
        <v>48</v>
      </c>
    </row>
    <row r="23082">
      <c r="H23082" s="50"/>
      <c r="I23082" s="50"/>
      <c r="O23082" s="36" t="s">
        <v>48</v>
      </c>
      <c r="R23082" s="36" t="s">
        <v>48</v>
      </c>
    </row>
    <row r="23083">
      <c r="H23083" s="50"/>
      <c r="I23083" s="50"/>
      <c r="O23083" s="36" t="s">
        <v>48</v>
      </c>
      <c r="R23083" s="36" t="s">
        <v>48</v>
      </c>
    </row>
    <row r="23084">
      <c r="H23084" s="50"/>
      <c r="I23084" s="50"/>
      <c r="O23084" s="36" t="s">
        <v>48</v>
      </c>
      <c r="R23084" s="36" t="s">
        <v>48</v>
      </c>
    </row>
    <row r="23085">
      <c r="H23085" s="50"/>
      <c r="I23085" s="50"/>
      <c r="O23085" s="36" t="s">
        <v>48</v>
      </c>
      <c r="R23085" s="36" t="s">
        <v>48</v>
      </c>
    </row>
    <row r="23086">
      <c r="H23086" s="50"/>
      <c r="I23086" s="50"/>
      <c r="O23086" s="36" t="s">
        <v>48</v>
      </c>
      <c r="R23086" s="36" t="s">
        <v>48</v>
      </c>
    </row>
    <row r="23087">
      <c r="H23087" s="50"/>
      <c r="I23087" s="50"/>
      <c r="O23087" s="36" t="s">
        <v>48</v>
      </c>
      <c r="R23087" s="36" t="s">
        <v>48</v>
      </c>
    </row>
    <row r="23088">
      <c r="H23088" s="50"/>
      <c r="I23088" s="50"/>
      <c r="O23088" s="36" t="s">
        <v>48</v>
      </c>
      <c r="R23088" s="36" t="s">
        <v>48</v>
      </c>
    </row>
    <row r="23089">
      <c r="H23089" s="50"/>
      <c r="I23089" s="50"/>
      <c r="O23089" s="36" t="s">
        <v>48</v>
      </c>
      <c r="R23089" s="36" t="s">
        <v>48</v>
      </c>
    </row>
    <row r="23090">
      <c r="H23090" s="50"/>
      <c r="I23090" s="50"/>
      <c r="O23090" s="36" t="s">
        <v>48</v>
      </c>
      <c r="R23090" s="36" t="s">
        <v>48</v>
      </c>
    </row>
    <row r="23091">
      <c r="H23091" s="50"/>
      <c r="I23091" s="50"/>
      <c r="O23091" s="36" t="s">
        <v>48</v>
      </c>
      <c r="R23091" s="36" t="s">
        <v>48</v>
      </c>
    </row>
    <row r="23092">
      <c r="H23092" s="50"/>
      <c r="I23092" s="50"/>
      <c r="O23092" s="36" t="s">
        <v>48</v>
      </c>
      <c r="R23092" s="36" t="s">
        <v>48</v>
      </c>
    </row>
    <row r="23093">
      <c r="H23093" s="50"/>
      <c r="I23093" s="50"/>
      <c r="O23093" s="36" t="s">
        <v>48</v>
      </c>
      <c r="R23093" s="36" t="s">
        <v>48</v>
      </c>
    </row>
    <row r="23094">
      <c r="H23094" s="50"/>
      <c r="I23094" s="50"/>
      <c r="O23094" s="36" t="s">
        <v>48</v>
      </c>
      <c r="R23094" s="36" t="s">
        <v>48</v>
      </c>
    </row>
    <row r="23095">
      <c r="H23095" s="50"/>
      <c r="I23095" s="50"/>
      <c r="O23095" s="36" t="s">
        <v>48</v>
      </c>
      <c r="R23095" s="36" t="s">
        <v>48</v>
      </c>
    </row>
    <row r="23096">
      <c r="H23096" s="50"/>
      <c r="I23096" s="50"/>
      <c r="O23096" s="36" t="s">
        <v>48</v>
      </c>
      <c r="R23096" s="36" t="s">
        <v>48</v>
      </c>
    </row>
    <row r="23097">
      <c r="H23097" s="50"/>
      <c r="I23097" s="50"/>
      <c r="O23097" s="36" t="s">
        <v>48</v>
      </c>
      <c r="R23097" s="36" t="s">
        <v>48</v>
      </c>
    </row>
    <row r="23098">
      <c r="H23098" s="50"/>
      <c r="I23098" s="50"/>
      <c r="O23098" s="36" t="s">
        <v>48</v>
      </c>
      <c r="R23098" s="36" t="s">
        <v>48</v>
      </c>
    </row>
    <row r="23099">
      <c r="H23099" s="50"/>
      <c r="I23099" s="50"/>
      <c r="O23099" s="36" t="s">
        <v>48</v>
      </c>
      <c r="R23099" s="36" t="s">
        <v>48</v>
      </c>
    </row>
    <row r="23100">
      <c r="H23100" s="50"/>
      <c r="I23100" s="50"/>
      <c r="O23100" s="36" t="s">
        <v>48</v>
      </c>
      <c r="R23100" s="36" t="s">
        <v>48</v>
      </c>
    </row>
    <row r="23101">
      <c r="H23101" s="50"/>
      <c r="I23101" s="50"/>
      <c r="O23101" s="36" t="s">
        <v>48</v>
      </c>
      <c r="R23101" s="36" t="s">
        <v>48</v>
      </c>
    </row>
    <row r="23102">
      <c r="H23102" s="50"/>
      <c r="I23102" s="50"/>
      <c r="O23102" s="36" t="s">
        <v>48</v>
      </c>
      <c r="R23102" s="36" t="s">
        <v>48</v>
      </c>
    </row>
    <row r="23103">
      <c r="H23103" s="50"/>
      <c r="I23103" s="50"/>
      <c r="O23103" s="36" t="s">
        <v>48</v>
      </c>
      <c r="R23103" s="36" t="s">
        <v>48</v>
      </c>
    </row>
    <row r="23104">
      <c r="H23104" s="50"/>
      <c r="I23104" s="50"/>
      <c r="O23104" s="36" t="s">
        <v>48</v>
      </c>
      <c r="R23104" s="36" t="s">
        <v>48</v>
      </c>
    </row>
    <row r="23105">
      <c r="H23105" s="50"/>
      <c r="I23105" s="50"/>
      <c r="O23105" s="36" t="s">
        <v>48</v>
      </c>
      <c r="R23105" s="36" t="s">
        <v>48</v>
      </c>
    </row>
    <row r="23106">
      <c r="H23106" s="50"/>
      <c r="I23106" s="50"/>
      <c r="O23106" s="36" t="s">
        <v>48</v>
      </c>
      <c r="R23106" s="36" t="s">
        <v>48</v>
      </c>
    </row>
    <row r="23107">
      <c r="H23107" s="50"/>
      <c r="I23107" s="50"/>
      <c r="O23107" s="36" t="s">
        <v>48</v>
      </c>
      <c r="R23107" s="36" t="s">
        <v>48</v>
      </c>
    </row>
    <row r="23108">
      <c r="H23108" s="50"/>
      <c r="I23108" s="50"/>
      <c r="O23108" s="36" t="s">
        <v>48</v>
      </c>
      <c r="R23108" s="36" t="s">
        <v>48</v>
      </c>
    </row>
    <row r="23109">
      <c r="H23109" s="50"/>
      <c r="I23109" s="50"/>
      <c r="O23109" s="36" t="s">
        <v>48</v>
      </c>
      <c r="R23109" s="36" t="s">
        <v>48</v>
      </c>
    </row>
    <row r="23110">
      <c r="H23110" s="50"/>
      <c r="I23110" s="50"/>
      <c r="O23110" s="36" t="s">
        <v>48</v>
      </c>
      <c r="R23110" s="36" t="s">
        <v>48</v>
      </c>
    </row>
    <row r="23111">
      <c r="H23111" s="50"/>
      <c r="I23111" s="50"/>
      <c r="O23111" s="36" t="s">
        <v>48</v>
      </c>
      <c r="R23111" s="36" t="s">
        <v>48</v>
      </c>
    </row>
    <row r="23112">
      <c r="H23112" s="50"/>
      <c r="I23112" s="50"/>
      <c r="O23112" s="36" t="s">
        <v>48</v>
      </c>
      <c r="R23112" s="36" t="s">
        <v>48</v>
      </c>
    </row>
    <row r="23113">
      <c r="H23113" s="50"/>
      <c r="I23113" s="50"/>
      <c r="O23113" s="36" t="s">
        <v>48</v>
      </c>
      <c r="R23113" s="36" t="s">
        <v>48</v>
      </c>
    </row>
    <row r="23114">
      <c r="H23114" s="50"/>
      <c r="I23114" s="50"/>
      <c r="O23114" s="36" t="s">
        <v>48</v>
      </c>
      <c r="R23114" s="36" t="s">
        <v>48</v>
      </c>
    </row>
    <row r="23115">
      <c r="H23115" s="50"/>
      <c r="I23115" s="50"/>
      <c r="O23115" s="36" t="s">
        <v>48</v>
      </c>
      <c r="R23115" s="36" t="s">
        <v>48</v>
      </c>
    </row>
    <row r="23116">
      <c r="H23116" s="50"/>
      <c r="I23116" s="50"/>
      <c r="O23116" s="36" t="s">
        <v>48</v>
      </c>
      <c r="R23116" s="36" t="s">
        <v>48</v>
      </c>
    </row>
    <row r="23117">
      <c r="H23117" s="50"/>
      <c r="I23117" s="50"/>
      <c r="O23117" s="36" t="s">
        <v>48</v>
      </c>
      <c r="R23117" s="36" t="s">
        <v>48</v>
      </c>
    </row>
    <row r="23118">
      <c r="H23118" s="50"/>
      <c r="I23118" s="50"/>
      <c r="O23118" s="36" t="s">
        <v>48</v>
      </c>
      <c r="R23118" s="36" t="s">
        <v>48</v>
      </c>
    </row>
    <row r="23119">
      <c r="H23119" s="50"/>
      <c r="I23119" s="50"/>
      <c r="O23119" s="36" t="s">
        <v>48</v>
      </c>
      <c r="R23119" s="36" t="s">
        <v>48</v>
      </c>
    </row>
    <row r="23120">
      <c r="H23120" s="50"/>
      <c r="I23120" s="50"/>
      <c r="O23120" s="36" t="s">
        <v>48</v>
      </c>
      <c r="R23120" s="36" t="s">
        <v>48</v>
      </c>
    </row>
    <row r="23121">
      <c r="H23121" s="50"/>
      <c r="I23121" s="50"/>
      <c r="O23121" s="36" t="s">
        <v>48</v>
      </c>
      <c r="R23121" s="36" t="s">
        <v>48</v>
      </c>
    </row>
    <row r="23122">
      <c r="H23122" s="50"/>
      <c r="I23122" s="50"/>
      <c r="O23122" s="36" t="s">
        <v>48</v>
      </c>
      <c r="R23122" s="36" t="s">
        <v>48</v>
      </c>
    </row>
    <row r="23123">
      <c r="H23123" s="50"/>
      <c r="I23123" s="50"/>
      <c r="O23123" s="36" t="s">
        <v>48</v>
      </c>
      <c r="R23123" s="36" t="s">
        <v>48</v>
      </c>
    </row>
    <row r="23124">
      <c r="H23124" s="50"/>
      <c r="I23124" s="50"/>
      <c r="O23124" s="36" t="s">
        <v>48</v>
      </c>
      <c r="R23124" s="36" t="s">
        <v>48</v>
      </c>
    </row>
    <row r="23125">
      <c r="H23125" s="50"/>
      <c r="I23125" s="50"/>
      <c r="O23125" s="36" t="s">
        <v>48</v>
      </c>
      <c r="R23125" s="36" t="s">
        <v>48</v>
      </c>
    </row>
    <row r="23126">
      <c r="H23126" s="50"/>
      <c r="I23126" s="50"/>
      <c r="O23126" s="36" t="s">
        <v>48</v>
      </c>
      <c r="R23126" s="36" t="s">
        <v>48</v>
      </c>
    </row>
    <row r="23127">
      <c r="H23127" s="50"/>
      <c r="I23127" s="50"/>
      <c r="O23127" s="36" t="s">
        <v>48</v>
      </c>
      <c r="R23127" s="36" t="s">
        <v>48</v>
      </c>
    </row>
    <row r="23128">
      <c r="H23128" s="50"/>
      <c r="I23128" s="50"/>
      <c r="O23128" s="36" t="s">
        <v>48</v>
      </c>
      <c r="R23128" s="36" t="s">
        <v>48</v>
      </c>
    </row>
    <row r="23129">
      <c r="H23129" s="50"/>
      <c r="I23129" s="50"/>
      <c r="O23129" s="36" t="s">
        <v>48</v>
      </c>
      <c r="R23129" s="36" t="s">
        <v>48</v>
      </c>
    </row>
    <row r="23130">
      <c r="H23130" s="50"/>
      <c r="I23130" s="50"/>
      <c r="O23130" s="36" t="s">
        <v>48</v>
      </c>
      <c r="R23130" s="36" t="s">
        <v>48</v>
      </c>
    </row>
    <row r="23131">
      <c r="H23131" s="50"/>
      <c r="I23131" s="50"/>
      <c r="O23131" s="36" t="s">
        <v>48</v>
      </c>
      <c r="R23131" s="36" t="s">
        <v>48</v>
      </c>
    </row>
    <row r="23132">
      <c r="H23132" s="50"/>
      <c r="I23132" s="50"/>
      <c r="O23132" s="36" t="s">
        <v>48</v>
      </c>
      <c r="R23132" s="36" t="s">
        <v>48</v>
      </c>
    </row>
    <row r="23133">
      <c r="H23133" s="50"/>
      <c r="I23133" s="50"/>
      <c r="O23133" s="36" t="s">
        <v>48</v>
      </c>
      <c r="R23133" s="36" t="s">
        <v>48</v>
      </c>
    </row>
    <row r="23134">
      <c r="H23134" s="50"/>
      <c r="I23134" s="50"/>
      <c r="O23134" s="36" t="s">
        <v>48</v>
      </c>
      <c r="R23134" s="36" t="s">
        <v>48</v>
      </c>
    </row>
    <row r="23135">
      <c r="H23135" s="50"/>
      <c r="I23135" s="50"/>
      <c r="O23135" s="36" t="s">
        <v>48</v>
      </c>
      <c r="R23135" s="36" t="s">
        <v>48</v>
      </c>
    </row>
    <row r="23136">
      <c r="H23136" s="50"/>
      <c r="I23136" s="50"/>
      <c r="O23136" s="36" t="s">
        <v>48</v>
      </c>
      <c r="R23136" s="36" t="s">
        <v>48</v>
      </c>
    </row>
    <row r="23137">
      <c r="H23137" s="50"/>
      <c r="I23137" s="50"/>
      <c r="O23137" s="36" t="s">
        <v>48</v>
      </c>
      <c r="R23137" s="36" t="s">
        <v>48</v>
      </c>
    </row>
    <row r="23138">
      <c r="H23138" s="50"/>
      <c r="I23138" s="50"/>
      <c r="O23138" s="36" t="s">
        <v>48</v>
      </c>
      <c r="R23138" s="36" t="s">
        <v>48</v>
      </c>
    </row>
    <row r="23139">
      <c r="H23139" s="50"/>
      <c r="I23139" s="50"/>
      <c r="O23139" s="36" t="s">
        <v>48</v>
      </c>
      <c r="R23139" s="36" t="s">
        <v>48</v>
      </c>
    </row>
    <row r="23140">
      <c r="H23140" s="50"/>
      <c r="I23140" s="50"/>
      <c r="O23140" s="36" t="s">
        <v>48</v>
      </c>
      <c r="R23140" s="36" t="s">
        <v>48</v>
      </c>
    </row>
    <row r="23141">
      <c r="H23141" s="50"/>
      <c r="I23141" s="50"/>
      <c r="O23141" s="36" t="s">
        <v>48</v>
      </c>
      <c r="R23141" s="36" t="s">
        <v>48</v>
      </c>
    </row>
    <row r="23142">
      <c r="H23142" s="50"/>
      <c r="I23142" s="50"/>
      <c r="O23142" s="36" t="s">
        <v>48</v>
      </c>
      <c r="R23142" s="36" t="s">
        <v>48</v>
      </c>
    </row>
    <row r="23143">
      <c r="H23143" s="50"/>
      <c r="I23143" s="50"/>
      <c r="O23143" s="36" t="s">
        <v>48</v>
      </c>
      <c r="R23143" s="36" t="s">
        <v>48</v>
      </c>
    </row>
    <row r="23144">
      <c r="H23144" s="50"/>
      <c r="I23144" s="50"/>
      <c r="O23144" s="36" t="s">
        <v>48</v>
      </c>
      <c r="R23144" s="36" t="s">
        <v>48</v>
      </c>
    </row>
    <row r="23145">
      <c r="H23145" s="50"/>
      <c r="I23145" s="50"/>
      <c r="O23145" s="36" t="s">
        <v>48</v>
      </c>
      <c r="R23145" s="36" t="s">
        <v>48</v>
      </c>
    </row>
    <row r="23146">
      <c r="H23146" s="50"/>
      <c r="I23146" s="50"/>
      <c r="O23146" s="36" t="s">
        <v>48</v>
      </c>
      <c r="R23146" s="36" t="s">
        <v>48</v>
      </c>
    </row>
    <row r="23147">
      <c r="H23147" s="50"/>
      <c r="I23147" s="50"/>
      <c r="O23147" s="36" t="s">
        <v>48</v>
      </c>
      <c r="R23147" s="36" t="s">
        <v>48</v>
      </c>
    </row>
    <row r="23148">
      <c r="H23148" s="50"/>
      <c r="I23148" s="50"/>
      <c r="O23148" s="36" t="s">
        <v>48</v>
      </c>
      <c r="R23148" s="36" t="s">
        <v>48</v>
      </c>
    </row>
    <row r="23149">
      <c r="H23149" s="50"/>
      <c r="I23149" s="50"/>
      <c r="O23149" s="36" t="s">
        <v>48</v>
      </c>
      <c r="R23149" s="36" t="s">
        <v>48</v>
      </c>
    </row>
    <row r="23150">
      <c r="H23150" s="50"/>
      <c r="I23150" s="50"/>
      <c r="O23150" s="36" t="s">
        <v>48</v>
      </c>
      <c r="R23150" s="36" t="s">
        <v>48</v>
      </c>
    </row>
    <row r="23151">
      <c r="H23151" s="50"/>
      <c r="I23151" s="50"/>
      <c r="O23151" s="36" t="s">
        <v>48</v>
      </c>
      <c r="R23151" s="36" t="s">
        <v>48</v>
      </c>
    </row>
    <row r="23152">
      <c r="H23152" s="50"/>
      <c r="I23152" s="50"/>
      <c r="O23152" s="36" t="s">
        <v>48</v>
      </c>
      <c r="R23152" s="36" t="s">
        <v>48</v>
      </c>
    </row>
    <row r="23153">
      <c r="H23153" s="50"/>
      <c r="I23153" s="50"/>
      <c r="O23153" s="36" t="s">
        <v>48</v>
      </c>
      <c r="R23153" s="36" t="s">
        <v>48</v>
      </c>
    </row>
    <row r="23154">
      <c r="H23154" s="50"/>
      <c r="I23154" s="50"/>
      <c r="O23154" s="36" t="s">
        <v>48</v>
      </c>
      <c r="R23154" s="36" t="s">
        <v>48</v>
      </c>
    </row>
    <row r="23155">
      <c r="H23155" s="50"/>
      <c r="I23155" s="50"/>
      <c r="O23155" s="36" t="s">
        <v>48</v>
      </c>
      <c r="R23155" s="36" t="s">
        <v>48</v>
      </c>
    </row>
    <row r="23156">
      <c r="H23156" s="50"/>
      <c r="I23156" s="50"/>
      <c r="O23156" s="36" t="s">
        <v>48</v>
      </c>
      <c r="R23156" s="36" t="s">
        <v>48</v>
      </c>
    </row>
    <row r="23157">
      <c r="H23157" s="50"/>
      <c r="I23157" s="50"/>
      <c r="O23157" s="36" t="s">
        <v>48</v>
      </c>
      <c r="R23157" s="36" t="s">
        <v>48</v>
      </c>
    </row>
    <row r="23158">
      <c r="H23158" s="50"/>
      <c r="I23158" s="50"/>
      <c r="O23158" s="36" t="s">
        <v>48</v>
      </c>
      <c r="R23158" s="36" t="s">
        <v>48</v>
      </c>
    </row>
    <row r="23159">
      <c r="H23159" s="50"/>
      <c r="I23159" s="50"/>
      <c r="O23159" s="36" t="s">
        <v>48</v>
      </c>
      <c r="R23159" s="36" t="s">
        <v>48</v>
      </c>
    </row>
    <row r="23160">
      <c r="H23160" s="50"/>
      <c r="I23160" s="50"/>
      <c r="O23160" s="36" t="s">
        <v>48</v>
      </c>
      <c r="R23160" s="36" t="s">
        <v>48</v>
      </c>
    </row>
    <row r="23161">
      <c r="H23161" s="50"/>
      <c r="I23161" s="50"/>
      <c r="O23161" s="36" t="s">
        <v>48</v>
      </c>
      <c r="R23161" s="36" t="s">
        <v>48</v>
      </c>
    </row>
    <row r="23162">
      <c r="H23162" s="50"/>
      <c r="I23162" s="50"/>
      <c r="O23162" s="36" t="s">
        <v>48</v>
      </c>
      <c r="R23162" s="36" t="s">
        <v>48</v>
      </c>
    </row>
    <row r="23163">
      <c r="H23163" s="50"/>
      <c r="I23163" s="50"/>
      <c r="O23163" s="36" t="s">
        <v>48</v>
      </c>
      <c r="R23163" s="36" t="s">
        <v>48</v>
      </c>
    </row>
    <row r="23164">
      <c r="H23164" s="50"/>
      <c r="I23164" s="50"/>
      <c r="O23164" s="36" t="s">
        <v>48</v>
      </c>
      <c r="R23164" s="36" t="s">
        <v>48</v>
      </c>
    </row>
    <row r="23165">
      <c r="H23165" s="50"/>
      <c r="I23165" s="50"/>
      <c r="O23165" s="36" t="s">
        <v>48</v>
      </c>
      <c r="R23165" s="36" t="s">
        <v>48</v>
      </c>
    </row>
    <row r="23166">
      <c r="H23166" s="50"/>
      <c r="I23166" s="50"/>
      <c r="O23166" s="36" t="s">
        <v>48</v>
      </c>
      <c r="R23166" s="36" t="s">
        <v>48</v>
      </c>
    </row>
    <row r="23167">
      <c r="H23167" s="50"/>
      <c r="I23167" s="50"/>
      <c r="O23167" s="36" t="s">
        <v>48</v>
      </c>
      <c r="R23167" s="36" t="s">
        <v>48</v>
      </c>
    </row>
    <row r="23168">
      <c r="H23168" s="50"/>
      <c r="I23168" s="50"/>
      <c r="O23168" s="36" t="s">
        <v>48</v>
      </c>
      <c r="R23168" s="36" t="s">
        <v>48</v>
      </c>
    </row>
    <row r="23169">
      <c r="H23169" s="50"/>
      <c r="I23169" s="50"/>
      <c r="O23169" s="36" t="s">
        <v>48</v>
      </c>
      <c r="R23169" s="36" t="s">
        <v>48</v>
      </c>
    </row>
    <row r="23170">
      <c r="H23170" s="50"/>
      <c r="I23170" s="50"/>
      <c r="O23170" s="36" t="s">
        <v>48</v>
      </c>
      <c r="R23170" s="36" t="s">
        <v>48</v>
      </c>
    </row>
    <row r="23171">
      <c r="H23171" s="50"/>
      <c r="I23171" s="50"/>
      <c r="O23171" s="36" t="s">
        <v>48</v>
      </c>
      <c r="R23171" s="36" t="s">
        <v>48</v>
      </c>
    </row>
    <row r="23172">
      <c r="H23172" s="50"/>
      <c r="I23172" s="50"/>
      <c r="O23172" s="36" t="s">
        <v>48</v>
      </c>
      <c r="R23172" s="36" t="s">
        <v>48</v>
      </c>
    </row>
    <row r="23173">
      <c r="H23173" s="50"/>
      <c r="I23173" s="50"/>
      <c r="O23173" s="36" t="s">
        <v>48</v>
      </c>
      <c r="R23173" s="36" t="s">
        <v>48</v>
      </c>
    </row>
    <row r="23174">
      <c r="H23174" s="50"/>
      <c r="I23174" s="50"/>
      <c r="O23174" s="36" t="s">
        <v>48</v>
      </c>
      <c r="R23174" s="36" t="s">
        <v>48</v>
      </c>
    </row>
    <row r="23175">
      <c r="H23175" s="50"/>
      <c r="I23175" s="50"/>
      <c r="O23175" s="36" t="s">
        <v>48</v>
      </c>
      <c r="R23175" s="36" t="s">
        <v>48</v>
      </c>
    </row>
    <row r="23176">
      <c r="H23176" s="50"/>
      <c r="I23176" s="50"/>
      <c r="O23176" s="36" t="s">
        <v>48</v>
      </c>
      <c r="R23176" s="36" t="s">
        <v>48</v>
      </c>
    </row>
    <row r="23177">
      <c r="H23177" s="50"/>
      <c r="I23177" s="50"/>
      <c r="O23177" s="36" t="s">
        <v>48</v>
      </c>
      <c r="R23177" s="36" t="s">
        <v>48</v>
      </c>
    </row>
    <row r="23178">
      <c r="H23178" s="50"/>
      <c r="I23178" s="50"/>
      <c r="O23178" s="36" t="s">
        <v>48</v>
      </c>
      <c r="R23178" s="36" t="s">
        <v>48</v>
      </c>
    </row>
    <row r="23179">
      <c r="H23179" s="50"/>
      <c r="I23179" s="50"/>
      <c r="O23179" s="36" t="s">
        <v>48</v>
      </c>
      <c r="R23179" s="36" t="s">
        <v>48</v>
      </c>
    </row>
    <row r="23180">
      <c r="H23180" s="50"/>
      <c r="I23180" s="50"/>
      <c r="O23180" s="36" t="s">
        <v>48</v>
      </c>
      <c r="R23180" s="36" t="s">
        <v>48</v>
      </c>
    </row>
    <row r="23181">
      <c r="H23181" s="50"/>
      <c r="I23181" s="50"/>
      <c r="O23181" s="36" t="s">
        <v>48</v>
      </c>
      <c r="R23181" s="36" t="s">
        <v>48</v>
      </c>
    </row>
    <row r="23182">
      <c r="H23182" s="50"/>
      <c r="I23182" s="50"/>
      <c r="O23182" s="36" t="s">
        <v>48</v>
      </c>
      <c r="R23182" s="36" t="s">
        <v>48</v>
      </c>
    </row>
    <row r="23183">
      <c r="H23183" s="50"/>
      <c r="I23183" s="50"/>
      <c r="O23183" s="36" t="s">
        <v>48</v>
      </c>
      <c r="R23183" s="36" t="s">
        <v>48</v>
      </c>
    </row>
    <row r="23184">
      <c r="H23184" s="50"/>
      <c r="I23184" s="50"/>
      <c r="O23184" s="36" t="s">
        <v>48</v>
      </c>
      <c r="R23184" s="36" t="s">
        <v>48</v>
      </c>
    </row>
    <row r="23185">
      <c r="H23185" s="50"/>
      <c r="I23185" s="50"/>
      <c r="O23185" s="36" t="s">
        <v>48</v>
      </c>
      <c r="R23185" s="36" t="s">
        <v>48</v>
      </c>
    </row>
    <row r="23186">
      <c r="H23186" s="50"/>
      <c r="I23186" s="50"/>
      <c r="O23186" s="36" t="s">
        <v>48</v>
      </c>
      <c r="R23186" s="36" t="s">
        <v>48</v>
      </c>
    </row>
    <row r="23187">
      <c r="H23187" s="50"/>
      <c r="I23187" s="50"/>
      <c r="O23187" s="36" t="s">
        <v>48</v>
      </c>
      <c r="R23187" s="36" t="s">
        <v>48</v>
      </c>
    </row>
    <row r="23188">
      <c r="H23188" s="50"/>
      <c r="I23188" s="50"/>
      <c r="O23188" s="36" t="s">
        <v>48</v>
      </c>
      <c r="R23188" s="36" t="s">
        <v>48</v>
      </c>
    </row>
    <row r="23189">
      <c r="H23189" s="50"/>
      <c r="I23189" s="50"/>
      <c r="O23189" s="36" t="s">
        <v>48</v>
      </c>
      <c r="R23189" s="36" t="s">
        <v>48</v>
      </c>
    </row>
    <row r="23190">
      <c r="H23190" s="50"/>
      <c r="I23190" s="50"/>
      <c r="O23190" s="36" t="s">
        <v>48</v>
      </c>
      <c r="R23190" s="36" t="s">
        <v>48</v>
      </c>
    </row>
    <row r="23191">
      <c r="H23191" s="50"/>
      <c r="I23191" s="50"/>
      <c r="O23191" s="36" t="s">
        <v>48</v>
      </c>
      <c r="R23191" s="36" t="s">
        <v>48</v>
      </c>
    </row>
    <row r="23192">
      <c r="H23192" s="50"/>
      <c r="I23192" s="50"/>
      <c r="O23192" s="36" t="s">
        <v>48</v>
      </c>
      <c r="R23192" s="36" t="s">
        <v>48</v>
      </c>
    </row>
    <row r="23193">
      <c r="H23193" s="50"/>
      <c r="I23193" s="50"/>
      <c r="O23193" s="36" t="s">
        <v>48</v>
      </c>
      <c r="R23193" s="36" t="s">
        <v>48</v>
      </c>
    </row>
    <row r="23194">
      <c r="H23194" s="50"/>
      <c r="I23194" s="50"/>
      <c r="O23194" s="36" t="s">
        <v>48</v>
      </c>
      <c r="R23194" s="36" t="s">
        <v>48</v>
      </c>
    </row>
    <row r="23195">
      <c r="H23195" s="50"/>
      <c r="I23195" s="50"/>
      <c r="O23195" s="36" t="s">
        <v>48</v>
      </c>
      <c r="R23195" s="36" t="s">
        <v>48</v>
      </c>
    </row>
    <row r="23196">
      <c r="H23196" s="50"/>
      <c r="I23196" s="50"/>
      <c r="O23196" s="36" t="s">
        <v>48</v>
      </c>
      <c r="R23196" s="36" t="s">
        <v>48</v>
      </c>
    </row>
    <row r="23197">
      <c r="H23197" s="50"/>
      <c r="I23197" s="50"/>
      <c r="O23197" s="36" t="s">
        <v>48</v>
      </c>
      <c r="R23197" s="36" t="s">
        <v>48</v>
      </c>
    </row>
    <row r="23198">
      <c r="H23198" s="50"/>
      <c r="I23198" s="50"/>
      <c r="O23198" s="36" t="s">
        <v>48</v>
      </c>
      <c r="R23198" s="36" t="s">
        <v>48</v>
      </c>
    </row>
    <row r="23199">
      <c r="H23199" s="50"/>
      <c r="I23199" s="50"/>
      <c r="O23199" s="36" t="s">
        <v>48</v>
      </c>
      <c r="R23199" s="36" t="s">
        <v>48</v>
      </c>
    </row>
    <row r="23200">
      <c r="H23200" s="50"/>
      <c r="I23200" s="50"/>
      <c r="O23200" s="36" t="s">
        <v>48</v>
      </c>
      <c r="R23200" s="36" t="s">
        <v>48</v>
      </c>
    </row>
    <row r="23201">
      <c r="H23201" s="50"/>
      <c r="I23201" s="50"/>
      <c r="O23201" s="36" t="s">
        <v>48</v>
      </c>
      <c r="R23201" s="36" t="s">
        <v>48</v>
      </c>
    </row>
    <row r="23202">
      <c r="H23202" s="50"/>
      <c r="I23202" s="50"/>
      <c r="O23202" s="36" t="s">
        <v>48</v>
      </c>
      <c r="R23202" s="36" t="s">
        <v>48</v>
      </c>
    </row>
    <row r="23203">
      <c r="H23203" s="50"/>
      <c r="I23203" s="50"/>
      <c r="O23203" s="36" t="s">
        <v>48</v>
      </c>
      <c r="R23203" s="36" t="s">
        <v>48</v>
      </c>
    </row>
    <row r="23204">
      <c r="H23204" s="50"/>
      <c r="I23204" s="50"/>
      <c r="O23204" s="36" t="s">
        <v>48</v>
      </c>
      <c r="R23204" s="36" t="s">
        <v>48</v>
      </c>
    </row>
    <row r="23205">
      <c r="H23205" s="50"/>
      <c r="I23205" s="50"/>
      <c r="O23205" s="36" t="s">
        <v>48</v>
      </c>
      <c r="R23205" s="36" t="s">
        <v>48</v>
      </c>
    </row>
    <row r="23206">
      <c r="H23206" s="50"/>
      <c r="I23206" s="50"/>
      <c r="O23206" s="36" t="s">
        <v>48</v>
      </c>
      <c r="R23206" s="36" t="s">
        <v>48</v>
      </c>
    </row>
    <row r="23207">
      <c r="H23207" s="50"/>
      <c r="I23207" s="50"/>
      <c r="O23207" s="36" t="s">
        <v>48</v>
      </c>
      <c r="R23207" s="36" t="s">
        <v>48</v>
      </c>
    </row>
    <row r="23208">
      <c r="H23208" s="50"/>
      <c r="I23208" s="50"/>
      <c r="O23208" s="36" t="s">
        <v>48</v>
      </c>
      <c r="R23208" s="36" t="s">
        <v>48</v>
      </c>
    </row>
    <row r="23209">
      <c r="H23209" s="50"/>
      <c r="I23209" s="50"/>
      <c r="O23209" s="36" t="s">
        <v>48</v>
      </c>
      <c r="R23209" s="36" t="s">
        <v>48</v>
      </c>
    </row>
    <row r="23210">
      <c r="H23210" s="50"/>
      <c r="I23210" s="50"/>
      <c r="O23210" s="36" t="s">
        <v>48</v>
      </c>
      <c r="R23210" s="36" t="s">
        <v>48</v>
      </c>
    </row>
    <row r="23211">
      <c r="H23211" s="50"/>
      <c r="I23211" s="50"/>
      <c r="O23211" s="36" t="s">
        <v>48</v>
      </c>
      <c r="R23211" s="36" t="s">
        <v>48</v>
      </c>
    </row>
    <row r="23212">
      <c r="H23212" s="50"/>
      <c r="I23212" s="50"/>
      <c r="O23212" s="36" t="s">
        <v>48</v>
      </c>
      <c r="R23212" s="36" t="s">
        <v>48</v>
      </c>
    </row>
    <row r="23213">
      <c r="H23213" s="50"/>
      <c r="I23213" s="50"/>
      <c r="O23213" s="36" t="s">
        <v>48</v>
      </c>
      <c r="R23213" s="36" t="s">
        <v>48</v>
      </c>
    </row>
    <row r="23214">
      <c r="H23214" s="50"/>
      <c r="I23214" s="50"/>
      <c r="O23214" s="36" t="s">
        <v>48</v>
      </c>
      <c r="R23214" s="36" t="s">
        <v>48</v>
      </c>
    </row>
    <row r="23215">
      <c r="H23215" s="50"/>
      <c r="I23215" s="50"/>
      <c r="O23215" s="36" t="s">
        <v>48</v>
      </c>
      <c r="R23215" s="36" t="s">
        <v>48</v>
      </c>
    </row>
    <row r="23216">
      <c r="H23216" s="50"/>
      <c r="I23216" s="50"/>
      <c r="O23216" s="36" t="s">
        <v>48</v>
      </c>
      <c r="R23216" s="36" t="s">
        <v>48</v>
      </c>
    </row>
    <row r="23217">
      <c r="H23217" s="50"/>
      <c r="I23217" s="50"/>
      <c r="O23217" s="36" t="s">
        <v>48</v>
      </c>
      <c r="R23217" s="36" t="s">
        <v>48</v>
      </c>
    </row>
    <row r="23218">
      <c r="H23218" s="50"/>
      <c r="I23218" s="50"/>
      <c r="O23218" s="36" t="s">
        <v>48</v>
      </c>
      <c r="R23218" s="36" t="s">
        <v>48</v>
      </c>
    </row>
    <row r="23219">
      <c r="H23219" s="50"/>
      <c r="I23219" s="50"/>
      <c r="O23219" s="36" t="s">
        <v>48</v>
      </c>
      <c r="R23219" s="36" t="s">
        <v>48</v>
      </c>
    </row>
    <row r="23220">
      <c r="H23220" s="50"/>
      <c r="I23220" s="50"/>
      <c r="O23220" s="36" t="s">
        <v>48</v>
      </c>
      <c r="R23220" s="36" t="s">
        <v>48</v>
      </c>
    </row>
    <row r="23221">
      <c r="H23221" s="50"/>
      <c r="I23221" s="50"/>
      <c r="O23221" s="36" t="s">
        <v>48</v>
      </c>
      <c r="R23221" s="36" t="s">
        <v>48</v>
      </c>
    </row>
    <row r="23222">
      <c r="H23222" s="50"/>
      <c r="I23222" s="50"/>
      <c r="O23222" s="36" t="s">
        <v>48</v>
      </c>
      <c r="R23222" s="36" t="s">
        <v>48</v>
      </c>
    </row>
    <row r="23223">
      <c r="H23223" s="50"/>
      <c r="I23223" s="50"/>
      <c r="O23223" s="36" t="s">
        <v>48</v>
      </c>
      <c r="R23223" s="36" t="s">
        <v>48</v>
      </c>
    </row>
    <row r="23224">
      <c r="H23224" s="50"/>
      <c r="I23224" s="50"/>
      <c r="O23224" s="36" t="s">
        <v>48</v>
      </c>
      <c r="R23224" s="36" t="s">
        <v>48</v>
      </c>
    </row>
    <row r="23225">
      <c r="H23225" s="50"/>
      <c r="I23225" s="50"/>
      <c r="O23225" s="36" t="s">
        <v>48</v>
      </c>
      <c r="R23225" s="36" t="s">
        <v>48</v>
      </c>
    </row>
    <row r="23226">
      <c r="H23226" s="50"/>
      <c r="I23226" s="50"/>
      <c r="O23226" s="36" t="s">
        <v>48</v>
      </c>
      <c r="R23226" s="36" t="s">
        <v>48</v>
      </c>
    </row>
    <row r="23227">
      <c r="H23227" s="50"/>
      <c r="I23227" s="50"/>
      <c r="O23227" s="36" t="s">
        <v>48</v>
      </c>
      <c r="R23227" s="36" t="s">
        <v>48</v>
      </c>
    </row>
    <row r="23228">
      <c r="H23228" s="50"/>
      <c r="I23228" s="50"/>
      <c r="O23228" s="36" t="s">
        <v>48</v>
      </c>
      <c r="R23228" s="36" t="s">
        <v>48</v>
      </c>
    </row>
    <row r="23229">
      <c r="H23229" s="50"/>
      <c r="I23229" s="50"/>
      <c r="O23229" s="36" t="s">
        <v>48</v>
      </c>
      <c r="R23229" s="36" t="s">
        <v>48</v>
      </c>
    </row>
    <row r="23230">
      <c r="H23230" s="50"/>
      <c r="I23230" s="50"/>
      <c r="O23230" s="36" t="s">
        <v>48</v>
      </c>
      <c r="R23230" s="36" t="s">
        <v>48</v>
      </c>
    </row>
    <row r="23231">
      <c r="H23231" s="50"/>
      <c r="I23231" s="50"/>
      <c r="O23231" s="36" t="s">
        <v>48</v>
      </c>
      <c r="R23231" s="36" t="s">
        <v>48</v>
      </c>
    </row>
    <row r="23232">
      <c r="H23232" s="50"/>
      <c r="I23232" s="50"/>
      <c r="O23232" s="36" t="s">
        <v>48</v>
      </c>
      <c r="R23232" s="36" t="s">
        <v>48</v>
      </c>
    </row>
    <row r="23233">
      <c r="H23233" s="50"/>
      <c r="I23233" s="50"/>
      <c r="O23233" s="36" t="s">
        <v>48</v>
      </c>
      <c r="R23233" s="36" t="s">
        <v>48</v>
      </c>
    </row>
    <row r="23234">
      <c r="H23234" s="50"/>
      <c r="I23234" s="50"/>
      <c r="O23234" s="36" t="s">
        <v>48</v>
      </c>
      <c r="R23234" s="36" t="s">
        <v>48</v>
      </c>
    </row>
    <row r="23235">
      <c r="H23235" s="50"/>
      <c r="I23235" s="50"/>
      <c r="O23235" s="36" t="s">
        <v>48</v>
      </c>
      <c r="R23235" s="36" t="s">
        <v>48</v>
      </c>
    </row>
    <row r="23236">
      <c r="H23236" s="50"/>
      <c r="I23236" s="50"/>
      <c r="O23236" s="36" t="s">
        <v>48</v>
      </c>
      <c r="R23236" s="36" t="s">
        <v>48</v>
      </c>
    </row>
    <row r="23237">
      <c r="H23237" s="50"/>
      <c r="I23237" s="50"/>
      <c r="O23237" s="36" t="s">
        <v>48</v>
      </c>
      <c r="R23237" s="36" t="s">
        <v>48</v>
      </c>
    </row>
    <row r="23238">
      <c r="H23238" s="50"/>
      <c r="I23238" s="50"/>
      <c r="O23238" s="36" t="s">
        <v>48</v>
      </c>
      <c r="R23238" s="36" t="s">
        <v>48</v>
      </c>
    </row>
    <row r="23239">
      <c r="H23239" s="50"/>
      <c r="I23239" s="50"/>
      <c r="O23239" s="36" t="s">
        <v>48</v>
      </c>
      <c r="R23239" s="36" t="s">
        <v>48</v>
      </c>
    </row>
    <row r="23240">
      <c r="H23240" s="50"/>
      <c r="I23240" s="50"/>
      <c r="O23240" s="36" t="s">
        <v>48</v>
      </c>
      <c r="R23240" s="36" t="s">
        <v>48</v>
      </c>
    </row>
    <row r="23241">
      <c r="H23241" s="50"/>
      <c r="I23241" s="50"/>
      <c r="O23241" s="36" t="s">
        <v>48</v>
      </c>
      <c r="R23241" s="36" t="s">
        <v>48</v>
      </c>
    </row>
    <row r="23242">
      <c r="H23242" s="50"/>
      <c r="I23242" s="50"/>
      <c r="O23242" s="36" t="s">
        <v>48</v>
      </c>
      <c r="R23242" s="36" t="s">
        <v>48</v>
      </c>
    </row>
    <row r="23243">
      <c r="H23243" s="50"/>
      <c r="I23243" s="50"/>
      <c r="O23243" s="36" t="s">
        <v>48</v>
      </c>
      <c r="R23243" s="36" t="s">
        <v>48</v>
      </c>
    </row>
    <row r="23244">
      <c r="H23244" s="50"/>
      <c r="I23244" s="50"/>
      <c r="O23244" s="36" t="s">
        <v>48</v>
      </c>
      <c r="R23244" s="36" t="s">
        <v>48</v>
      </c>
    </row>
    <row r="23245">
      <c r="H23245" s="50"/>
      <c r="I23245" s="50"/>
      <c r="O23245" s="36" t="s">
        <v>48</v>
      </c>
      <c r="R23245" s="36" t="s">
        <v>48</v>
      </c>
    </row>
    <row r="23246">
      <c r="H23246" s="50"/>
      <c r="I23246" s="50"/>
      <c r="O23246" s="36" t="s">
        <v>48</v>
      </c>
      <c r="R23246" s="36" t="s">
        <v>48</v>
      </c>
    </row>
    <row r="23247">
      <c r="H23247" s="50"/>
      <c r="I23247" s="50"/>
      <c r="O23247" s="36" t="s">
        <v>48</v>
      </c>
      <c r="R23247" s="36" t="s">
        <v>48</v>
      </c>
    </row>
    <row r="23248">
      <c r="H23248" s="50"/>
      <c r="I23248" s="50"/>
      <c r="O23248" s="36" t="s">
        <v>48</v>
      </c>
      <c r="R23248" s="36" t="s">
        <v>48</v>
      </c>
    </row>
    <row r="23249">
      <c r="H23249" s="50"/>
      <c r="I23249" s="50"/>
      <c r="O23249" s="36" t="s">
        <v>48</v>
      </c>
      <c r="R23249" s="36" t="s">
        <v>48</v>
      </c>
    </row>
    <row r="23250">
      <c r="H23250" s="50"/>
      <c r="I23250" s="50"/>
      <c r="O23250" s="36" t="s">
        <v>48</v>
      </c>
      <c r="R23250" s="36" t="s">
        <v>48</v>
      </c>
    </row>
    <row r="23251">
      <c r="H23251" s="50"/>
      <c r="I23251" s="50"/>
      <c r="O23251" s="36" t="s">
        <v>48</v>
      </c>
      <c r="R23251" s="36" t="s">
        <v>48</v>
      </c>
    </row>
    <row r="23252">
      <c r="H23252" s="50"/>
      <c r="I23252" s="50"/>
      <c r="O23252" s="36" t="s">
        <v>48</v>
      </c>
      <c r="R23252" s="36" t="s">
        <v>48</v>
      </c>
    </row>
    <row r="23253">
      <c r="H23253" s="50"/>
      <c r="I23253" s="50"/>
      <c r="O23253" s="36" t="s">
        <v>48</v>
      </c>
      <c r="R23253" s="36" t="s">
        <v>48</v>
      </c>
    </row>
    <row r="23254">
      <c r="H23254" s="50"/>
      <c r="I23254" s="50"/>
      <c r="O23254" s="36" t="s">
        <v>48</v>
      </c>
      <c r="R23254" s="36" t="s">
        <v>48</v>
      </c>
    </row>
    <row r="23255">
      <c r="H23255" s="50"/>
      <c r="I23255" s="50"/>
      <c r="O23255" s="36" t="s">
        <v>48</v>
      </c>
      <c r="R23255" s="36" t="s">
        <v>48</v>
      </c>
    </row>
    <row r="23256">
      <c r="H23256" s="50"/>
      <c r="I23256" s="50"/>
      <c r="O23256" s="36" t="s">
        <v>48</v>
      </c>
      <c r="R23256" s="36" t="s">
        <v>48</v>
      </c>
    </row>
    <row r="23257">
      <c r="H23257" s="50"/>
      <c r="I23257" s="50"/>
      <c r="O23257" s="36" t="s">
        <v>48</v>
      </c>
      <c r="R23257" s="36" t="s">
        <v>48</v>
      </c>
    </row>
    <row r="23258">
      <c r="H23258" s="50"/>
      <c r="I23258" s="50"/>
      <c r="O23258" s="36" t="s">
        <v>48</v>
      </c>
      <c r="R23258" s="36" t="s">
        <v>48</v>
      </c>
    </row>
    <row r="23259">
      <c r="H23259" s="50"/>
      <c r="I23259" s="50"/>
      <c r="O23259" s="36" t="s">
        <v>48</v>
      </c>
      <c r="R23259" s="36" t="s">
        <v>48</v>
      </c>
    </row>
    <row r="23260">
      <c r="H23260" s="50"/>
      <c r="I23260" s="50"/>
      <c r="O23260" s="36" t="s">
        <v>48</v>
      </c>
      <c r="R23260" s="36" t="s">
        <v>48</v>
      </c>
    </row>
    <row r="23261">
      <c r="H23261" s="50"/>
      <c r="I23261" s="50"/>
      <c r="O23261" s="36" t="s">
        <v>48</v>
      </c>
      <c r="R23261" s="36" t="s">
        <v>48</v>
      </c>
    </row>
    <row r="23262">
      <c r="H23262" s="50"/>
      <c r="I23262" s="50"/>
      <c r="O23262" s="36" t="s">
        <v>48</v>
      </c>
      <c r="R23262" s="36" t="s">
        <v>48</v>
      </c>
    </row>
    <row r="23263">
      <c r="H23263" s="50"/>
      <c r="I23263" s="50"/>
      <c r="O23263" s="36" t="s">
        <v>48</v>
      </c>
      <c r="R23263" s="36" t="s">
        <v>48</v>
      </c>
    </row>
    <row r="23264">
      <c r="H23264" s="50"/>
      <c r="I23264" s="50"/>
      <c r="O23264" s="36" t="s">
        <v>48</v>
      </c>
      <c r="R23264" s="36" t="s">
        <v>48</v>
      </c>
    </row>
    <row r="23265">
      <c r="H23265" s="50"/>
      <c r="I23265" s="50"/>
      <c r="O23265" s="36" t="s">
        <v>48</v>
      </c>
      <c r="R23265" s="36" t="s">
        <v>48</v>
      </c>
    </row>
    <row r="23266">
      <c r="H23266" s="50"/>
      <c r="I23266" s="50"/>
      <c r="O23266" s="36" t="s">
        <v>48</v>
      </c>
      <c r="R23266" s="36" t="s">
        <v>48</v>
      </c>
    </row>
    <row r="23267">
      <c r="H23267" s="50"/>
      <c r="I23267" s="50"/>
      <c r="O23267" s="36" t="s">
        <v>48</v>
      </c>
      <c r="R23267" s="36" t="s">
        <v>48</v>
      </c>
    </row>
    <row r="23268">
      <c r="H23268" s="50"/>
      <c r="I23268" s="50"/>
      <c r="O23268" s="36" t="s">
        <v>48</v>
      </c>
      <c r="R23268" s="36" t="s">
        <v>48</v>
      </c>
    </row>
    <row r="23269">
      <c r="H23269" s="50"/>
      <c r="I23269" s="50"/>
      <c r="O23269" s="36" t="s">
        <v>48</v>
      </c>
      <c r="R23269" s="36" t="s">
        <v>48</v>
      </c>
    </row>
    <row r="23270">
      <c r="H23270" s="50"/>
      <c r="I23270" s="50"/>
      <c r="O23270" s="36" t="s">
        <v>48</v>
      </c>
      <c r="R23270" s="36" t="s">
        <v>48</v>
      </c>
    </row>
    <row r="23271">
      <c r="H23271" s="50"/>
      <c r="I23271" s="50"/>
      <c r="O23271" s="36" t="s">
        <v>48</v>
      </c>
      <c r="R23271" s="36" t="s">
        <v>48</v>
      </c>
    </row>
    <row r="23272">
      <c r="H23272" s="50"/>
      <c r="I23272" s="50"/>
      <c r="O23272" s="36" t="s">
        <v>48</v>
      </c>
      <c r="R23272" s="36" t="s">
        <v>48</v>
      </c>
    </row>
    <row r="23273">
      <c r="H23273" s="50"/>
      <c r="I23273" s="50"/>
      <c r="O23273" s="36" t="s">
        <v>48</v>
      </c>
      <c r="R23273" s="36" t="s">
        <v>48</v>
      </c>
    </row>
    <row r="23274">
      <c r="H23274" s="50"/>
      <c r="I23274" s="50"/>
      <c r="O23274" s="36" t="s">
        <v>48</v>
      </c>
      <c r="R23274" s="36" t="s">
        <v>48</v>
      </c>
    </row>
    <row r="23275">
      <c r="H23275" s="50"/>
      <c r="I23275" s="50"/>
      <c r="O23275" s="36" t="s">
        <v>48</v>
      </c>
      <c r="R23275" s="36" t="s">
        <v>48</v>
      </c>
    </row>
    <row r="23276">
      <c r="H23276" s="50"/>
      <c r="I23276" s="50"/>
      <c r="O23276" s="36" t="s">
        <v>48</v>
      </c>
      <c r="R23276" s="36" t="s">
        <v>48</v>
      </c>
    </row>
    <row r="23277">
      <c r="H23277" s="50"/>
      <c r="I23277" s="50"/>
      <c r="O23277" s="36" t="s">
        <v>48</v>
      </c>
      <c r="R23277" s="36" t="s">
        <v>48</v>
      </c>
    </row>
    <row r="23278">
      <c r="H23278" s="50"/>
      <c r="I23278" s="50"/>
      <c r="O23278" s="36" t="s">
        <v>48</v>
      </c>
      <c r="R23278" s="36" t="s">
        <v>48</v>
      </c>
    </row>
    <row r="23279">
      <c r="H23279" s="50"/>
      <c r="I23279" s="50"/>
      <c r="O23279" s="36" t="s">
        <v>48</v>
      </c>
      <c r="R23279" s="36" t="s">
        <v>48</v>
      </c>
    </row>
    <row r="23280">
      <c r="H23280" s="50"/>
      <c r="I23280" s="50"/>
      <c r="O23280" s="36" t="s">
        <v>48</v>
      </c>
      <c r="R23280" s="36" t="s">
        <v>48</v>
      </c>
    </row>
    <row r="23281">
      <c r="H23281" s="50"/>
      <c r="I23281" s="50"/>
      <c r="O23281" s="36" t="s">
        <v>48</v>
      </c>
      <c r="R23281" s="36" t="s">
        <v>48</v>
      </c>
    </row>
    <row r="23282">
      <c r="H23282" s="50"/>
      <c r="I23282" s="50"/>
      <c r="O23282" s="36" t="s">
        <v>48</v>
      </c>
      <c r="R23282" s="36" t="s">
        <v>48</v>
      </c>
    </row>
    <row r="23283">
      <c r="H23283" s="50"/>
      <c r="I23283" s="50"/>
      <c r="O23283" s="36" t="s">
        <v>48</v>
      </c>
      <c r="R23283" s="36" t="s">
        <v>48</v>
      </c>
    </row>
    <row r="23284">
      <c r="H23284" s="50"/>
      <c r="I23284" s="50"/>
      <c r="O23284" s="36" t="s">
        <v>48</v>
      </c>
      <c r="R23284" s="36" t="s">
        <v>48</v>
      </c>
    </row>
    <row r="23285">
      <c r="H23285" s="50"/>
      <c r="I23285" s="50"/>
      <c r="O23285" s="36" t="s">
        <v>48</v>
      </c>
      <c r="R23285" s="36" t="s">
        <v>48</v>
      </c>
    </row>
    <row r="23286">
      <c r="H23286" s="50"/>
      <c r="I23286" s="50"/>
      <c r="O23286" s="36" t="s">
        <v>48</v>
      </c>
      <c r="R23286" s="36" t="s">
        <v>48</v>
      </c>
    </row>
    <row r="23287">
      <c r="H23287" s="50"/>
      <c r="I23287" s="50"/>
      <c r="O23287" s="36" t="s">
        <v>48</v>
      </c>
      <c r="R23287" s="36" t="s">
        <v>48</v>
      </c>
    </row>
    <row r="23288">
      <c r="H23288" s="50"/>
      <c r="I23288" s="50"/>
      <c r="O23288" s="36" t="s">
        <v>48</v>
      </c>
      <c r="R23288" s="36" t="s">
        <v>48</v>
      </c>
    </row>
    <row r="23289">
      <c r="H23289" s="50"/>
      <c r="I23289" s="50"/>
      <c r="O23289" s="36" t="s">
        <v>48</v>
      </c>
      <c r="R23289" s="36" t="s">
        <v>48</v>
      </c>
    </row>
    <row r="23290">
      <c r="H23290" s="50"/>
      <c r="I23290" s="50"/>
      <c r="O23290" s="36" t="s">
        <v>48</v>
      </c>
      <c r="R23290" s="36" t="s">
        <v>48</v>
      </c>
    </row>
    <row r="23291">
      <c r="H23291" s="50"/>
      <c r="I23291" s="50"/>
      <c r="O23291" s="36" t="s">
        <v>48</v>
      </c>
      <c r="R23291" s="36" t="s">
        <v>48</v>
      </c>
    </row>
    <row r="23292">
      <c r="H23292" s="50"/>
      <c r="I23292" s="50"/>
      <c r="O23292" s="36" t="s">
        <v>48</v>
      </c>
      <c r="R23292" s="36" t="s">
        <v>48</v>
      </c>
    </row>
    <row r="23293">
      <c r="H23293" s="50"/>
      <c r="I23293" s="50"/>
      <c r="O23293" s="36" t="s">
        <v>48</v>
      </c>
      <c r="R23293" s="36" t="s">
        <v>48</v>
      </c>
    </row>
    <row r="23294">
      <c r="H23294" s="50"/>
      <c r="I23294" s="50"/>
      <c r="O23294" s="36" t="s">
        <v>48</v>
      </c>
      <c r="R23294" s="36" t="s">
        <v>48</v>
      </c>
    </row>
    <row r="23295">
      <c r="H23295" s="50"/>
      <c r="I23295" s="50"/>
      <c r="O23295" s="36" t="s">
        <v>48</v>
      </c>
      <c r="R23295" s="36" t="s">
        <v>48</v>
      </c>
    </row>
    <row r="23296">
      <c r="H23296" s="50"/>
      <c r="I23296" s="50"/>
      <c r="O23296" s="36" t="s">
        <v>48</v>
      </c>
      <c r="R23296" s="36" t="s">
        <v>48</v>
      </c>
    </row>
    <row r="23297">
      <c r="H23297" s="50"/>
      <c r="I23297" s="50"/>
      <c r="O23297" s="36" t="s">
        <v>48</v>
      </c>
      <c r="R23297" s="36" t="s">
        <v>48</v>
      </c>
    </row>
    <row r="23298">
      <c r="H23298" s="50"/>
      <c r="I23298" s="50"/>
      <c r="O23298" s="36" t="s">
        <v>48</v>
      </c>
      <c r="R23298" s="36" t="s">
        <v>48</v>
      </c>
    </row>
    <row r="23299">
      <c r="H23299" s="50"/>
      <c r="I23299" s="50"/>
      <c r="O23299" s="36" t="s">
        <v>48</v>
      </c>
      <c r="R23299" s="36" t="s">
        <v>48</v>
      </c>
    </row>
    <row r="23300">
      <c r="H23300" s="50"/>
      <c r="I23300" s="50"/>
      <c r="O23300" s="36" t="s">
        <v>48</v>
      </c>
      <c r="R23300" s="36" t="s">
        <v>48</v>
      </c>
    </row>
    <row r="23301">
      <c r="H23301" s="50"/>
      <c r="I23301" s="50"/>
      <c r="O23301" s="36" t="s">
        <v>48</v>
      </c>
      <c r="R23301" s="36" t="s">
        <v>48</v>
      </c>
    </row>
    <row r="23302">
      <c r="H23302" s="50"/>
      <c r="I23302" s="50"/>
      <c r="O23302" s="36" t="s">
        <v>48</v>
      </c>
      <c r="R23302" s="36" t="s">
        <v>48</v>
      </c>
    </row>
    <row r="23303">
      <c r="H23303" s="50"/>
      <c r="I23303" s="50"/>
      <c r="O23303" s="36" t="s">
        <v>48</v>
      </c>
      <c r="R23303" s="36" t="s">
        <v>48</v>
      </c>
    </row>
    <row r="23304">
      <c r="H23304" s="50"/>
      <c r="I23304" s="50"/>
      <c r="O23304" s="36" t="s">
        <v>48</v>
      </c>
      <c r="R23304" s="36" t="s">
        <v>48</v>
      </c>
    </row>
    <row r="23305">
      <c r="H23305" s="50"/>
      <c r="I23305" s="50"/>
      <c r="O23305" s="36" t="s">
        <v>48</v>
      </c>
      <c r="R23305" s="36" t="s">
        <v>48</v>
      </c>
    </row>
    <row r="23306">
      <c r="H23306" s="50"/>
      <c r="I23306" s="50"/>
      <c r="O23306" s="36" t="s">
        <v>48</v>
      </c>
      <c r="R23306" s="36" t="s">
        <v>48</v>
      </c>
    </row>
    <row r="23307">
      <c r="H23307" s="50"/>
      <c r="I23307" s="50"/>
      <c r="O23307" s="36" t="s">
        <v>48</v>
      </c>
      <c r="R23307" s="36" t="s">
        <v>48</v>
      </c>
    </row>
    <row r="23308">
      <c r="H23308" s="50"/>
      <c r="I23308" s="50"/>
      <c r="O23308" s="36" t="s">
        <v>48</v>
      </c>
      <c r="R23308" s="36" t="s">
        <v>48</v>
      </c>
    </row>
    <row r="23309">
      <c r="H23309" s="50"/>
      <c r="I23309" s="50"/>
      <c r="O23309" s="36" t="s">
        <v>48</v>
      </c>
      <c r="R23309" s="36" t="s">
        <v>48</v>
      </c>
    </row>
    <row r="23310">
      <c r="H23310" s="50"/>
      <c r="I23310" s="50"/>
      <c r="O23310" s="36" t="s">
        <v>48</v>
      </c>
      <c r="R23310" s="36" t="s">
        <v>48</v>
      </c>
    </row>
    <row r="23311">
      <c r="H23311" s="50"/>
      <c r="I23311" s="50"/>
      <c r="O23311" s="36" t="s">
        <v>48</v>
      </c>
      <c r="R23311" s="36" t="s">
        <v>48</v>
      </c>
    </row>
    <row r="23312">
      <c r="H23312" s="50"/>
      <c r="I23312" s="50"/>
      <c r="O23312" s="36" t="s">
        <v>48</v>
      </c>
      <c r="R23312" s="36" t="s">
        <v>48</v>
      </c>
    </row>
    <row r="23313">
      <c r="H23313" s="50"/>
      <c r="I23313" s="50"/>
      <c r="O23313" s="36" t="s">
        <v>48</v>
      </c>
      <c r="R23313" s="36" t="s">
        <v>48</v>
      </c>
    </row>
    <row r="23314">
      <c r="H23314" s="50"/>
      <c r="I23314" s="50"/>
      <c r="O23314" s="36" t="s">
        <v>48</v>
      </c>
      <c r="R23314" s="36" t="s">
        <v>48</v>
      </c>
    </row>
    <row r="23315">
      <c r="H23315" s="50"/>
      <c r="I23315" s="50"/>
      <c r="O23315" s="36" t="s">
        <v>48</v>
      </c>
      <c r="R23315" s="36" t="s">
        <v>48</v>
      </c>
    </row>
    <row r="23316">
      <c r="H23316" s="50"/>
      <c r="I23316" s="50"/>
      <c r="O23316" s="36" t="s">
        <v>48</v>
      </c>
      <c r="R23316" s="36" t="s">
        <v>48</v>
      </c>
    </row>
    <row r="23317">
      <c r="H23317" s="50"/>
      <c r="I23317" s="50"/>
      <c r="O23317" s="36" t="s">
        <v>48</v>
      </c>
      <c r="R23317" s="36" t="s">
        <v>48</v>
      </c>
    </row>
    <row r="23318">
      <c r="H23318" s="50"/>
      <c r="I23318" s="50"/>
      <c r="O23318" s="36" t="s">
        <v>48</v>
      </c>
      <c r="R23318" s="36" t="s">
        <v>48</v>
      </c>
    </row>
    <row r="23319">
      <c r="H23319" s="50"/>
      <c r="I23319" s="50"/>
      <c r="O23319" s="36" t="s">
        <v>48</v>
      </c>
      <c r="R23319" s="36" t="s">
        <v>48</v>
      </c>
    </row>
    <row r="23320">
      <c r="H23320" s="50"/>
      <c r="I23320" s="50"/>
      <c r="O23320" s="36" t="s">
        <v>48</v>
      </c>
      <c r="R23320" s="36" t="s">
        <v>48</v>
      </c>
    </row>
    <row r="23321">
      <c r="H23321" s="50"/>
      <c r="I23321" s="50"/>
      <c r="O23321" s="36" t="s">
        <v>48</v>
      </c>
      <c r="R23321" s="36" t="s">
        <v>48</v>
      </c>
    </row>
    <row r="23322">
      <c r="H23322" s="50"/>
      <c r="I23322" s="50"/>
      <c r="O23322" s="36" t="s">
        <v>48</v>
      </c>
      <c r="R23322" s="36" t="s">
        <v>48</v>
      </c>
    </row>
    <row r="23323">
      <c r="H23323" s="50"/>
      <c r="I23323" s="50"/>
      <c r="O23323" s="36" t="s">
        <v>48</v>
      </c>
      <c r="R23323" s="36" t="s">
        <v>48</v>
      </c>
    </row>
    <row r="23324">
      <c r="H23324" s="50"/>
      <c r="I23324" s="50"/>
      <c r="O23324" s="36" t="s">
        <v>48</v>
      </c>
      <c r="R23324" s="36" t="s">
        <v>48</v>
      </c>
    </row>
    <row r="23325">
      <c r="H23325" s="50"/>
      <c r="I23325" s="50"/>
      <c r="O23325" s="36" t="s">
        <v>48</v>
      </c>
      <c r="R23325" s="36" t="s">
        <v>48</v>
      </c>
    </row>
    <row r="23326">
      <c r="H23326" s="50"/>
      <c r="I23326" s="50"/>
      <c r="O23326" s="36" t="s">
        <v>48</v>
      </c>
      <c r="R23326" s="36" t="s">
        <v>48</v>
      </c>
    </row>
    <row r="23327">
      <c r="H23327" s="50"/>
      <c r="I23327" s="50"/>
      <c r="O23327" s="36" t="s">
        <v>48</v>
      </c>
      <c r="R23327" s="36" t="s">
        <v>48</v>
      </c>
    </row>
    <row r="23328">
      <c r="H23328" s="50"/>
      <c r="I23328" s="50"/>
      <c r="O23328" s="36" t="s">
        <v>48</v>
      </c>
      <c r="R23328" s="36" t="s">
        <v>48</v>
      </c>
    </row>
    <row r="23329">
      <c r="H23329" s="50"/>
      <c r="I23329" s="50"/>
      <c r="O23329" s="36" t="s">
        <v>48</v>
      </c>
      <c r="R23329" s="36" t="s">
        <v>48</v>
      </c>
    </row>
    <row r="23330">
      <c r="H23330" s="50"/>
      <c r="I23330" s="50"/>
      <c r="O23330" s="36" t="s">
        <v>48</v>
      </c>
      <c r="R23330" s="36" t="s">
        <v>48</v>
      </c>
    </row>
    <row r="23331">
      <c r="H23331" s="50"/>
      <c r="I23331" s="50"/>
      <c r="O23331" s="36" t="s">
        <v>48</v>
      </c>
      <c r="R23331" s="36" t="s">
        <v>48</v>
      </c>
    </row>
    <row r="23332">
      <c r="H23332" s="50"/>
      <c r="I23332" s="50"/>
      <c r="O23332" s="36" t="s">
        <v>48</v>
      </c>
      <c r="R23332" s="36" t="s">
        <v>48</v>
      </c>
    </row>
    <row r="23333">
      <c r="H23333" s="50"/>
      <c r="I23333" s="50"/>
      <c r="O23333" s="36" t="s">
        <v>48</v>
      </c>
      <c r="R23333" s="36" t="s">
        <v>48</v>
      </c>
    </row>
    <row r="23334">
      <c r="H23334" s="50"/>
      <c r="I23334" s="50"/>
      <c r="O23334" s="36" t="s">
        <v>48</v>
      </c>
      <c r="R23334" s="36" t="s">
        <v>48</v>
      </c>
    </row>
    <row r="23335">
      <c r="H23335" s="50"/>
      <c r="I23335" s="50"/>
      <c r="O23335" s="36" t="s">
        <v>48</v>
      </c>
      <c r="R23335" s="36" t="s">
        <v>48</v>
      </c>
    </row>
    <row r="23336">
      <c r="H23336" s="50"/>
      <c r="I23336" s="50"/>
      <c r="O23336" s="36" t="s">
        <v>48</v>
      </c>
      <c r="R23336" s="36" t="s">
        <v>48</v>
      </c>
    </row>
    <row r="23337">
      <c r="H23337" s="50"/>
      <c r="I23337" s="50"/>
      <c r="O23337" s="36" t="s">
        <v>48</v>
      </c>
      <c r="R23337" s="36" t="s">
        <v>48</v>
      </c>
    </row>
    <row r="23338">
      <c r="H23338" s="50"/>
      <c r="I23338" s="50"/>
      <c r="O23338" s="36" t="s">
        <v>48</v>
      </c>
      <c r="R23338" s="36" t="s">
        <v>48</v>
      </c>
    </row>
    <row r="23339">
      <c r="H23339" s="50"/>
      <c r="I23339" s="50"/>
      <c r="O23339" s="36" t="s">
        <v>48</v>
      </c>
      <c r="R23339" s="36" t="s">
        <v>48</v>
      </c>
    </row>
    <row r="23340">
      <c r="H23340" s="50"/>
      <c r="I23340" s="50"/>
      <c r="O23340" s="36" t="s">
        <v>48</v>
      </c>
      <c r="R23340" s="36" t="s">
        <v>48</v>
      </c>
    </row>
    <row r="23341">
      <c r="H23341" s="50"/>
      <c r="I23341" s="50"/>
      <c r="O23341" s="36" t="s">
        <v>48</v>
      </c>
      <c r="R23341" s="36" t="s">
        <v>48</v>
      </c>
    </row>
    <row r="23342">
      <c r="H23342" s="50"/>
      <c r="I23342" s="50"/>
      <c r="O23342" s="36" t="s">
        <v>48</v>
      </c>
      <c r="R23342" s="36" t="s">
        <v>48</v>
      </c>
    </row>
    <row r="23343">
      <c r="H23343" s="50"/>
      <c r="I23343" s="50"/>
      <c r="O23343" s="36" t="s">
        <v>48</v>
      </c>
      <c r="R23343" s="36" t="s">
        <v>48</v>
      </c>
    </row>
    <row r="23344">
      <c r="H23344" s="50"/>
      <c r="I23344" s="50"/>
      <c r="O23344" s="36" t="s">
        <v>48</v>
      </c>
      <c r="R23344" s="36" t="s">
        <v>48</v>
      </c>
    </row>
    <row r="23345">
      <c r="H23345" s="50"/>
      <c r="I23345" s="50"/>
      <c r="O23345" s="36" t="s">
        <v>48</v>
      </c>
      <c r="R23345" s="36" t="s">
        <v>48</v>
      </c>
    </row>
    <row r="23346">
      <c r="H23346" s="50"/>
      <c r="I23346" s="50"/>
      <c r="O23346" s="36" t="s">
        <v>48</v>
      </c>
      <c r="R23346" s="36" t="s">
        <v>48</v>
      </c>
    </row>
    <row r="23347">
      <c r="H23347" s="50"/>
      <c r="I23347" s="50"/>
      <c r="O23347" s="36" t="s">
        <v>48</v>
      </c>
      <c r="R23347" s="36" t="s">
        <v>48</v>
      </c>
    </row>
    <row r="23348">
      <c r="H23348" s="50"/>
      <c r="I23348" s="50"/>
      <c r="O23348" s="36" t="s">
        <v>48</v>
      </c>
      <c r="R23348" s="36" t="s">
        <v>48</v>
      </c>
    </row>
    <row r="23349">
      <c r="H23349" s="50"/>
      <c r="I23349" s="50"/>
      <c r="O23349" s="36" t="s">
        <v>48</v>
      </c>
      <c r="R23349" s="36" t="s">
        <v>48</v>
      </c>
    </row>
    <row r="23350">
      <c r="H23350" s="50"/>
      <c r="I23350" s="50"/>
      <c r="O23350" s="36" t="s">
        <v>48</v>
      </c>
      <c r="R23350" s="36" t="s">
        <v>48</v>
      </c>
    </row>
    <row r="23351">
      <c r="H23351" s="50"/>
      <c r="I23351" s="50"/>
      <c r="O23351" s="36" t="s">
        <v>48</v>
      </c>
      <c r="R23351" s="36" t="s">
        <v>48</v>
      </c>
    </row>
    <row r="23352">
      <c r="H23352" s="50"/>
      <c r="I23352" s="50"/>
      <c r="O23352" s="36" t="s">
        <v>48</v>
      </c>
      <c r="R23352" s="36" t="s">
        <v>48</v>
      </c>
    </row>
    <row r="23353">
      <c r="H23353" s="50"/>
      <c r="I23353" s="50"/>
      <c r="O23353" s="36" t="s">
        <v>48</v>
      </c>
      <c r="R23353" s="36" t="s">
        <v>48</v>
      </c>
    </row>
    <row r="23354">
      <c r="H23354" s="50"/>
      <c r="I23354" s="50"/>
      <c r="O23354" s="36" t="s">
        <v>48</v>
      </c>
      <c r="R23354" s="36" t="s">
        <v>48</v>
      </c>
    </row>
    <row r="23355">
      <c r="H23355" s="50"/>
      <c r="I23355" s="50"/>
      <c r="O23355" s="36" t="s">
        <v>48</v>
      </c>
      <c r="R23355" s="36" t="s">
        <v>48</v>
      </c>
    </row>
    <row r="23356">
      <c r="H23356" s="50"/>
      <c r="I23356" s="50"/>
      <c r="O23356" s="36" t="s">
        <v>48</v>
      </c>
      <c r="R23356" s="36" t="s">
        <v>48</v>
      </c>
    </row>
    <row r="23357">
      <c r="H23357" s="50"/>
      <c r="I23357" s="50"/>
      <c r="O23357" s="36" t="s">
        <v>48</v>
      </c>
      <c r="R23357" s="36" t="s">
        <v>48</v>
      </c>
    </row>
    <row r="23358">
      <c r="H23358" s="50"/>
      <c r="I23358" s="50"/>
      <c r="O23358" s="36" t="s">
        <v>48</v>
      </c>
      <c r="R23358" s="36" t="s">
        <v>48</v>
      </c>
    </row>
    <row r="23359">
      <c r="H23359" s="50"/>
      <c r="I23359" s="50"/>
      <c r="O23359" s="36" t="s">
        <v>48</v>
      </c>
      <c r="R23359" s="36" t="s">
        <v>48</v>
      </c>
    </row>
    <row r="23360">
      <c r="H23360" s="50"/>
      <c r="I23360" s="50"/>
      <c r="O23360" s="36" t="s">
        <v>48</v>
      </c>
      <c r="R23360" s="36" t="s">
        <v>48</v>
      </c>
    </row>
    <row r="23361">
      <c r="H23361" s="50"/>
      <c r="I23361" s="50"/>
      <c r="O23361" s="36" t="s">
        <v>48</v>
      </c>
      <c r="R23361" s="36" t="s">
        <v>48</v>
      </c>
    </row>
    <row r="23362">
      <c r="H23362" s="50"/>
      <c r="I23362" s="50"/>
      <c r="O23362" s="36" t="s">
        <v>48</v>
      </c>
      <c r="R23362" s="36" t="s">
        <v>48</v>
      </c>
    </row>
    <row r="23363">
      <c r="H23363" s="50"/>
      <c r="I23363" s="50"/>
      <c r="O23363" s="36" t="s">
        <v>48</v>
      </c>
      <c r="R23363" s="36" t="s">
        <v>48</v>
      </c>
    </row>
    <row r="23364">
      <c r="H23364" s="50"/>
      <c r="I23364" s="50"/>
      <c r="O23364" s="36" t="s">
        <v>48</v>
      </c>
      <c r="R23364" s="36" t="s">
        <v>48</v>
      </c>
    </row>
    <row r="23365">
      <c r="H23365" s="50"/>
      <c r="I23365" s="50"/>
      <c r="O23365" s="36" t="s">
        <v>48</v>
      </c>
      <c r="R23365" s="36" t="s">
        <v>48</v>
      </c>
    </row>
    <row r="23366">
      <c r="H23366" s="50"/>
      <c r="I23366" s="50"/>
      <c r="O23366" s="36" t="s">
        <v>48</v>
      </c>
      <c r="R23366" s="36" t="s">
        <v>48</v>
      </c>
    </row>
    <row r="23367">
      <c r="H23367" s="50"/>
      <c r="I23367" s="50"/>
      <c r="O23367" s="36" t="s">
        <v>48</v>
      </c>
      <c r="R23367" s="36" t="s">
        <v>48</v>
      </c>
    </row>
    <row r="23368">
      <c r="H23368" s="50"/>
      <c r="I23368" s="50"/>
      <c r="O23368" s="36" t="s">
        <v>48</v>
      </c>
      <c r="R23368" s="36" t="s">
        <v>48</v>
      </c>
    </row>
    <row r="23369">
      <c r="H23369" s="50"/>
      <c r="I23369" s="50"/>
      <c r="O23369" s="36" t="s">
        <v>48</v>
      </c>
      <c r="R23369" s="36" t="s">
        <v>48</v>
      </c>
    </row>
    <row r="23370">
      <c r="H23370" s="50"/>
      <c r="I23370" s="50"/>
      <c r="O23370" s="36" t="s">
        <v>48</v>
      </c>
      <c r="R23370" s="36" t="s">
        <v>48</v>
      </c>
    </row>
    <row r="23371">
      <c r="H23371" s="50"/>
      <c r="I23371" s="50"/>
      <c r="O23371" s="36" t="s">
        <v>48</v>
      </c>
      <c r="R23371" s="36" t="s">
        <v>48</v>
      </c>
    </row>
    <row r="23372">
      <c r="H23372" s="50"/>
      <c r="I23372" s="50"/>
      <c r="O23372" s="36" t="s">
        <v>48</v>
      </c>
      <c r="R23372" s="36" t="s">
        <v>48</v>
      </c>
    </row>
    <row r="23373">
      <c r="H23373" s="50"/>
      <c r="I23373" s="50"/>
      <c r="O23373" s="36" t="s">
        <v>48</v>
      </c>
      <c r="R23373" s="36" t="s">
        <v>48</v>
      </c>
    </row>
    <row r="23374">
      <c r="H23374" s="50"/>
      <c r="I23374" s="50"/>
      <c r="O23374" s="36" t="s">
        <v>48</v>
      </c>
      <c r="R23374" s="36" t="s">
        <v>48</v>
      </c>
    </row>
    <row r="23375">
      <c r="H23375" s="50"/>
      <c r="I23375" s="50"/>
      <c r="O23375" s="36" t="s">
        <v>48</v>
      </c>
      <c r="R23375" s="36" t="s">
        <v>48</v>
      </c>
    </row>
    <row r="23376">
      <c r="H23376" s="50"/>
      <c r="I23376" s="50"/>
      <c r="O23376" s="36" t="s">
        <v>48</v>
      </c>
      <c r="R23376" s="36" t="s">
        <v>48</v>
      </c>
    </row>
    <row r="23377">
      <c r="H23377" s="50"/>
      <c r="I23377" s="50"/>
      <c r="O23377" s="36" t="s">
        <v>48</v>
      </c>
      <c r="R23377" s="36" t="s">
        <v>48</v>
      </c>
    </row>
    <row r="23378">
      <c r="H23378" s="50"/>
      <c r="I23378" s="50"/>
      <c r="O23378" s="36" t="s">
        <v>48</v>
      </c>
      <c r="R23378" s="36" t="s">
        <v>48</v>
      </c>
    </row>
    <row r="23379">
      <c r="H23379" s="50"/>
      <c r="I23379" s="50"/>
      <c r="O23379" s="36" t="s">
        <v>48</v>
      </c>
      <c r="R23379" s="36" t="s">
        <v>48</v>
      </c>
    </row>
    <row r="23380">
      <c r="H23380" s="50"/>
      <c r="I23380" s="50"/>
      <c r="O23380" s="36" t="s">
        <v>48</v>
      </c>
      <c r="R23380" s="36" t="s">
        <v>48</v>
      </c>
    </row>
    <row r="23381">
      <c r="H23381" s="50"/>
      <c r="I23381" s="50"/>
      <c r="O23381" s="36" t="s">
        <v>48</v>
      </c>
      <c r="R23381" s="36" t="s">
        <v>48</v>
      </c>
    </row>
    <row r="23382">
      <c r="H23382" s="50"/>
      <c r="I23382" s="50"/>
      <c r="O23382" s="36" t="s">
        <v>48</v>
      </c>
      <c r="R23382" s="36" t="s">
        <v>48</v>
      </c>
    </row>
    <row r="23383">
      <c r="H23383" s="50"/>
      <c r="I23383" s="50"/>
      <c r="O23383" s="36" t="s">
        <v>48</v>
      </c>
      <c r="R23383" s="36" t="s">
        <v>48</v>
      </c>
    </row>
    <row r="23384">
      <c r="H23384" s="50"/>
      <c r="I23384" s="50"/>
      <c r="O23384" s="36" t="s">
        <v>48</v>
      </c>
      <c r="R23384" s="36" t="s">
        <v>48</v>
      </c>
    </row>
    <row r="23385">
      <c r="H23385" s="50"/>
      <c r="I23385" s="50"/>
      <c r="O23385" s="36" t="s">
        <v>48</v>
      </c>
      <c r="R23385" s="36" t="s">
        <v>48</v>
      </c>
    </row>
    <row r="23386">
      <c r="H23386" s="50"/>
      <c r="I23386" s="50"/>
      <c r="O23386" s="36" t="s">
        <v>48</v>
      </c>
      <c r="R23386" s="36" t="s">
        <v>48</v>
      </c>
    </row>
    <row r="23387">
      <c r="H23387" s="50"/>
      <c r="I23387" s="50"/>
      <c r="O23387" s="36" t="s">
        <v>48</v>
      </c>
      <c r="R23387" s="36" t="s">
        <v>48</v>
      </c>
    </row>
    <row r="23388">
      <c r="H23388" s="50"/>
      <c r="I23388" s="50"/>
      <c r="O23388" s="36" t="s">
        <v>48</v>
      </c>
      <c r="R23388" s="36" t="s">
        <v>48</v>
      </c>
    </row>
    <row r="23389">
      <c r="H23389" s="50"/>
      <c r="I23389" s="50"/>
      <c r="O23389" s="36" t="s">
        <v>48</v>
      </c>
      <c r="R23389" s="36" t="s">
        <v>48</v>
      </c>
    </row>
    <row r="23390">
      <c r="H23390" s="50"/>
      <c r="I23390" s="50"/>
      <c r="O23390" s="36" t="s">
        <v>48</v>
      </c>
      <c r="R23390" s="36" t="s">
        <v>48</v>
      </c>
    </row>
    <row r="23391">
      <c r="H23391" s="50"/>
      <c r="I23391" s="50"/>
      <c r="O23391" s="36" t="s">
        <v>48</v>
      </c>
      <c r="R23391" s="36" t="s">
        <v>48</v>
      </c>
    </row>
    <row r="23392">
      <c r="H23392" s="50"/>
      <c r="I23392" s="50"/>
      <c r="O23392" s="36" t="s">
        <v>48</v>
      </c>
      <c r="R23392" s="36" t="s">
        <v>48</v>
      </c>
    </row>
    <row r="23393">
      <c r="H23393" s="50"/>
      <c r="I23393" s="50"/>
      <c r="O23393" s="36" t="s">
        <v>48</v>
      </c>
      <c r="R23393" s="36" t="s">
        <v>48</v>
      </c>
    </row>
    <row r="23394">
      <c r="H23394" s="50"/>
      <c r="I23394" s="50"/>
      <c r="O23394" s="36" t="s">
        <v>48</v>
      </c>
      <c r="R23394" s="36" t="s">
        <v>48</v>
      </c>
    </row>
    <row r="23395">
      <c r="H23395" s="50"/>
      <c r="I23395" s="50"/>
      <c r="O23395" s="36" t="s">
        <v>48</v>
      </c>
      <c r="R23395" s="36" t="s">
        <v>48</v>
      </c>
    </row>
    <row r="23396">
      <c r="H23396" s="50"/>
      <c r="I23396" s="50"/>
      <c r="O23396" s="36" t="s">
        <v>48</v>
      </c>
      <c r="R23396" s="36" t="s">
        <v>48</v>
      </c>
    </row>
    <row r="23397">
      <c r="H23397" s="50"/>
      <c r="I23397" s="50"/>
      <c r="O23397" s="36" t="s">
        <v>48</v>
      </c>
      <c r="R23397" s="36" t="s">
        <v>48</v>
      </c>
    </row>
    <row r="23398">
      <c r="H23398" s="50"/>
      <c r="I23398" s="50"/>
      <c r="O23398" s="36" t="s">
        <v>48</v>
      </c>
      <c r="R23398" s="36" t="s">
        <v>48</v>
      </c>
    </row>
    <row r="23399">
      <c r="H23399" s="50"/>
      <c r="I23399" s="50"/>
      <c r="O23399" s="36" t="s">
        <v>48</v>
      </c>
      <c r="R23399" s="36" t="s">
        <v>48</v>
      </c>
    </row>
    <row r="23400">
      <c r="H23400" s="50"/>
      <c r="I23400" s="50"/>
      <c r="O23400" s="36" t="s">
        <v>48</v>
      </c>
      <c r="R23400" s="36" t="s">
        <v>48</v>
      </c>
    </row>
    <row r="23401">
      <c r="H23401" s="50"/>
      <c r="I23401" s="50"/>
      <c r="O23401" s="36" t="s">
        <v>48</v>
      </c>
      <c r="R23401" s="36" t="s">
        <v>48</v>
      </c>
    </row>
    <row r="23402">
      <c r="H23402" s="50"/>
      <c r="I23402" s="50"/>
      <c r="O23402" s="36" t="s">
        <v>48</v>
      </c>
      <c r="R23402" s="36" t="s">
        <v>48</v>
      </c>
    </row>
    <row r="23403">
      <c r="H23403" s="50"/>
      <c r="I23403" s="50"/>
      <c r="O23403" s="36" t="s">
        <v>48</v>
      </c>
      <c r="R23403" s="36" t="s">
        <v>48</v>
      </c>
    </row>
    <row r="23404">
      <c r="H23404" s="50"/>
      <c r="I23404" s="50"/>
      <c r="O23404" s="36" t="s">
        <v>48</v>
      </c>
      <c r="R23404" s="36" t="s">
        <v>48</v>
      </c>
    </row>
    <row r="23405">
      <c r="H23405" s="50"/>
      <c r="I23405" s="50"/>
      <c r="O23405" s="36" t="s">
        <v>48</v>
      </c>
      <c r="R23405" s="36" t="s">
        <v>48</v>
      </c>
    </row>
    <row r="23406">
      <c r="H23406" s="50"/>
      <c r="I23406" s="50"/>
      <c r="O23406" s="36" t="s">
        <v>48</v>
      </c>
      <c r="R23406" s="36" t="s">
        <v>48</v>
      </c>
    </row>
    <row r="23407">
      <c r="H23407" s="50"/>
      <c r="I23407" s="50"/>
      <c r="O23407" s="36" t="s">
        <v>48</v>
      </c>
      <c r="R23407" s="36" t="s">
        <v>48</v>
      </c>
    </row>
    <row r="23408">
      <c r="H23408" s="50"/>
      <c r="I23408" s="50"/>
      <c r="O23408" s="36" t="s">
        <v>48</v>
      </c>
      <c r="R23408" s="36" t="s">
        <v>48</v>
      </c>
    </row>
    <row r="23409">
      <c r="H23409" s="50"/>
      <c r="I23409" s="50"/>
      <c r="O23409" s="36" t="s">
        <v>48</v>
      </c>
      <c r="R23409" s="36" t="s">
        <v>48</v>
      </c>
    </row>
    <row r="23410">
      <c r="H23410" s="50"/>
      <c r="I23410" s="50"/>
      <c r="O23410" s="36" t="s">
        <v>48</v>
      </c>
      <c r="R23410" s="36" t="s">
        <v>48</v>
      </c>
    </row>
    <row r="23411">
      <c r="H23411" s="50"/>
      <c r="I23411" s="50"/>
      <c r="O23411" s="36" t="s">
        <v>48</v>
      </c>
      <c r="R23411" s="36" t="s">
        <v>48</v>
      </c>
    </row>
    <row r="23412">
      <c r="H23412" s="50"/>
      <c r="I23412" s="50"/>
      <c r="O23412" s="36" t="s">
        <v>48</v>
      </c>
      <c r="R23412" s="36" t="s">
        <v>48</v>
      </c>
    </row>
    <row r="23413">
      <c r="H23413" s="50"/>
      <c r="I23413" s="50"/>
      <c r="O23413" s="36" t="s">
        <v>48</v>
      </c>
      <c r="R23413" s="36" t="s">
        <v>48</v>
      </c>
    </row>
    <row r="23414">
      <c r="H23414" s="50"/>
      <c r="I23414" s="50"/>
      <c r="O23414" s="36" t="s">
        <v>48</v>
      </c>
      <c r="R23414" s="36" t="s">
        <v>48</v>
      </c>
    </row>
    <row r="23415">
      <c r="H23415" s="50"/>
      <c r="I23415" s="50"/>
      <c r="O23415" s="36" t="s">
        <v>48</v>
      </c>
      <c r="R23415" s="36" t="s">
        <v>48</v>
      </c>
    </row>
    <row r="23416">
      <c r="H23416" s="50"/>
      <c r="I23416" s="50"/>
      <c r="O23416" s="36" t="s">
        <v>48</v>
      </c>
      <c r="R23416" s="36" t="s">
        <v>48</v>
      </c>
    </row>
    <row r="23417">
      <c r="H23417" s="50"/>
      <c r="I23417" s="50"/>
      <c r="O23417" s="36" t="s">
        <v>48</v>
      </c>
      <c r="R23417" s="36" t="s">
        <v>48</v>
      </c>
    </row>
    <row r="23418">
      <c r="H23418" s="50"/>
      <c r="I23418" s="50"/>
      <c r="O23418" s="36" t="s">
        <v>48</v>
      </c>
      <c r="R23418" s="36" t="s">
        <v>48</v>
      </c>
    </row>
    <row r="23419">
      <c r="H23419" s="50"/>
      <c r="I23419" s="50"/>
      <c r="O23419" s="36" t="s">
        <v>48</v>
      </c>
      <c r="R23419" s="36" t="s">
        <v>48</v>
      </c>
    </row>
    <row r="23420">
      <c r="H23420" s="50"/>
      <c r="I23420" s="50"/>
      <c r="O23420" s="36" t="s">
        <v>48</v>
      </c>
      <c r="R23420" s="36" t="s">
        <v>48</v>
      </c>
    </row>
    <row r="23421">
      <c r="H23421" s="50"/>
      <c r="I23421" s="50"/>
      <c r="O23421" s="36" t="s">
        <v>48</v>
      </c>
      <c r="R23421" s="36" t="s">
        <v>48</v>
      </c>
    </row>
    <row r="23422">
      <c r="H23422" s="50"/>
      <c r="I23422" s="50"/>
      <c r="O23422" s="36" t="s">
        <v>48</v>
      </c>
      <c r="R23422" s="36" t="s">
        <v>48</v>
      </c>
    </row>
    <row r="23423">
      <c r="H23423" s="50"/>
      <c r="I23423" s="50"/>
      <c r="O23423" s="36" t="s">
        <v>48</v>
      </c>
      <c r="R23423" s="36" t="s">
        <v>48</v>
      </c>
    </row>
    <row r="23424">
      <c r="H23424" s="50"/>
      <c r="I23424" s="50"/>
      <c r="O23424" s="36" t="s">
        <v>48</v>
      </c>
      <c r="R23424" s="36" t="s">
        <v>48</v>
      </c>
    </row>
    <row r="23425">
      <c r="H23425" s="50"/>
      <c r="I23425" s="50"/>
      <c r="O23425" s="36" t="s">
        <v>48</v>
      </c>
      <c r="R23425" s="36" t="s">
        <v>48</v>
      </c>
    </row>
    <row r="23426">
      <c r="H23426" s="50"/>
      <c r="I23426" s="50"/>
      <c r="O23426" s="36" t="s">
        <v>48</v>
      </c>
      <c r="R23426" s="36" t="s">
        <v>48</v>
      </c>
    </row>
    <row r="23427">
      <c r="H23427" s="50"/>
      <c r="I23427" s="50"/>
      <c r="O23427" s="36" t="s">
        <v>48</v>
      </c>
      <c r="R23427" s="36" t="s">
        <v>48</v>
      </c>
    </row>
    <row r="23428">
      <c r="H23428" s="50"/>
      <c r="I23428" s="50"/>
      <c r="O23428" s="36" t="s">
        <v>48</v>
      </c>
      <c r="R23428" s="36" t="s">
        <v>48</v>
      </c>
    </row>
    <row r="23429">
      <c r="H23429" s="50"/>
      <c r="I23429" s="50"/>
      <c r="O23429" s="36" t="s">
        <v>48</v>
      </c>
      <c r="R23429" s="36" t="s">
        <v>48</v>
      </c>
    </row>
    <row r="23430">
      <c r="H23430" s="50"/>
      <c r="I23430" s="50"/>
      <c r="O23430" s="36" t="s">
        <v>48</v>
      </c>
      <c r="R23430" s="36" t="s">
        <v>48</v>
      </c>
    </row>
    <row r="23431">
      <c r="H23431" s="50"/>
      <c r="I23431" s="50"/>
      <c r="O23431" s="36" t="s">
        <v>48</v>
      </c>
      <c r="R23431" s="36" t="s">
        <v>48</v>
      </c>
    </row>
    <row r="23432">
      <c r="H23432" s="50"/>
      <c r="I23432" s="50"/>
      <c r="O23432" s="36" t="s">
        <v>48</v>
      </c>
      <c r="R23432" s="36" t="s">
        <v>48</v>
      </c>
    </row>
    <row r="23433">
      <c r="H23433" s="50"/>
      <c r="I23433" s="50"/>
      <c r="O23433" s="36" t="s">
        <v>48</v>
      </c>
      <c r="R23433" s="36" t="s">
        <v>48</v>
      </c>
    </row>
    <row r="23434">
      <c r="H23434" s="50"/>
      <c r="I23434" s="50"/>
      <c r="O23434" s="36" t="s">
        <v>48</v>
      </c>
      <c r="R23434" s="36" t="s">
        <v>48</v>
      </c>
    </row>
    <row r="23435">
      <c r="H23435" s="50"/>
      <c r="I23435" s="50"/>
      <c r="O23435" s="36" t="s">
        <v>48</v>
      </c>
      <c r="R23435" s="36" t="s">
        <v>48</v>
      </c>
    </row>
    <row r="23436">
      <c r="H23436" s="50"/>
      <c r="I23436" s="50"/>
      <c r="O23436" s="36" t="s">
        <v>48</v>
      </c>
      <c r="R23436" s="36" t="s">
        <v>48</v>
      </c>
    </row>
    <row r="23437">
      <c r="H23437" s="50"/>
      <c r="I23437" s="50"/>
      <c r="O23437" s="36" t="s">
        <v>48</v>
      </c>
      <c r="R23437" s="36" t="s">
        <v>48</v>
      </c>
    </row>
    <row r="23438">
      <c r="H23438" s="50"/>
      <c r="I23438" s="50"/>
      <c r="O23438" s="36" t="s">
        <v>48</v>
      </c>
      <c r="R23438" s="36" t="s">
        <v>48</v>
      </c>
    </row>
    <row r="23439">
      <c r="H23439" s="50"/>
      <c r="I23439" s="50"/>
      <c r="O23439" s="36" t="s">
        <v>48</v>
      </c>
      <c r="R23439" s="36" t="s">
        <v>48</v>
      </c>
    </row>
    <row r="23440">
      <c r="H23440" s="50"/>
      <c r="I23440" s="50"/>
      <c r="O23440" s="36" t="s">
        <v>48</v>
      </c>
      <c r="R23440" s="36" t="s">
        <v>48</v>
      </c>
    </row>
    <row r="23441">
      <c r="H23441" s="50"/>
      <c r="I23441" s="50"/>
      <c r="O23441" s="36" t="s">
        <v>48</v>
      </c>
      <c r="R23441" s="36" t="s">
        <v>48</v>
      </c>
    </row>
    <row r="23442">
      <c r="H23442" s="50"/>
      <c r="I23442" s="50"/>
      <c r="O23442" s="36" t="s">
        <v>48</v>
      </c>
      <c r="R23442" s="36" t="s">
        <v>48</v>
      </c>
    </row>
    <row r="23443">
      <c r="H23443" s="50"/>
      <c r="I23443" s="50"/>
      <c r="O23443" s="36" t="s">
        <v>48</v>
      </c>
      <c r="R23443" s="36" t="s">
        <v>48</v>
      </c>
    </row>
    <row r="23444">
      <c r="H23444" s="50"/>
      <c r="I23444" s="50"/>
      <c r="O23444" s="36" t="s">
        <v>48</v>
      </c>
      <c r="R23444" s="36" t="s">
        <v>48</v>
      </c>
    </row>
    <row r="23445">
      <c r="H23445" s="50"/>
      <c r="I23445" s="50"/>
      <c r="O23445" s="36" t="s">
        <v>48</v>
      </c>
      <c r="R23445" s="36" t="s">
        <v>48</v>
      </c>
    </row>
    <row r="23446">
      <c r="H23446" s="50"/>
      <c r="I23446" s="50"/>
      <c r="O23446" s="36" t="s">
        <v>48</v>
      </c>
      <c r="R23446" s="36" t="s">
        <v>48</v>
      </c>
    </row>
    <row r="23447">
      <c r="H23447" s="50"/>
      <c r="I23447" s="50"/>
      <c r="O23447" s="36" t="s">
        <v>48</v>
      </c>
      <c r="R23447" s="36" t="s">
        <v>48</v>
      </c>
    </row>
    <row r="23448">
      <c r="H23448" s="50"/>
      <c r="I23448" s="50"/>
      <c r="O23448" s="36" t="s">
        <v>48</v>
      </c>
      <c r="R23448" s="36" t="s">
        <v>48</v>
      </c>
    </row>
    <row r="23449">
      <c r="H23449" s="50"/>
      <c r="I23449" s="50"/>
      <c r="O23449" s="36" t="s">
        <v>48</v>
      </c>
      <c r="R23449" s="36" t="s">
        <v>48</v>
      </c>
    </row>
    <row r="23450">
      <c r="H23450" s="50"/>
      <c r="I23450" s="50"/>
      <c r="O23450" s="36" t="s">
        <v>48</v>
      </c>
      <c r="R23450" s="36" t="s">
        <v>48</v>
      </c>
    </row>
    <row r="23451">
      <c r="H23451" s="50"/>
      <c r="I23451" s="50"/>
      <c r="O23451" s="36" t="s">
        <v>48</v>
      </c>
      <c r="R23451" s="36" t="s">
        <v>48</v>
      </c>
    </row>
    <row r="23452">
      <c r="H23452" s="50"/>
      <c r="I23452" s="50"/>
      <c r="O23452" s="36" t="s">
        <v>48</v>
      </c>
      <c r="R23452" s="36" t="s">
        <v>48</v>
      </c>
    </row>
    <row r="23453">
      <c r="H23453" s="50"/>
      <c r="I23453" s="50"/>
      <c r="O23453" s="36" t="s">
        <v>48</v>
      </c>
      <c r="R23453" s="36" t="s">
        <v>48</v>
      </c>
    </row>
    <row r="23454">
      <c r="H23454" s="50"/>
      <c r="I23454" s="50"/>
      <c r="O23454" s="36" t="s">
        <v>48</v>
      </c>
      <c r="R23454" s="36" t="s">
        <v>48</v>
      </c>
    </row>
    <row r="23455">
      <c r="H23455" s="50"/>
      <c r="I23455" s="50"/>
      <c r="O23455" s="36" t="s">
        <v>48</v>
      </c>
      <c r="R23455" s="36" t="s">
        <v>48</v>
      </c>
    </row>
    <row r="23456">
      <c r="H23456" s="50"/>
      <c r="I23456" s="50"/>
      <c r="O23456" s="36" t="s">
        <v>48</v>
      </c>
      <c r="R23456" s="36" t="s">
        <v>48</v>
      </c>
    </row>
    <row r="23457">
      <c r="H23457" s="50"/>
      <c r="I23457" s="50"/>
      <c r="O23457" s="36" t="s">
        <v>48</v>
      </c>
      <c r="R23457" s="36" t="s">
        <v>48</v>
      </c>
    </row>
    <row r="23458">
      <c r="H23458" s="50"/>
      <c r="I23458" s="50"/>
      <c r="O23458" s="36" t="s">
        <v>48</v>
      </c>
      <c r="R23458" s="36" t="s">
        <v>48</v>
      </c>
    </row>
    <row r="23459">
      <c r="H23459" s="50"/>
      <c r="I23459" s="50"/>
      <c r="O23459" s="36" t="s">
        <v>48</v>
      </c>
      <c r="R23459" s="36" t="s">
        <v>48</v>
      </c>
    </row>
    <row r="23460">
      <c r="H23460" s="50"/>
      <c r="I23460" s="50"/>
      <c r="O23460" s="36" t="s">
        <v>48</v>
      </c>
      <c r="R23460" s="36" t="s">
        <v>48</v>
      </c>
    </row>
    <row r="23461">
      <c r="H23461" s="50"/>
      <c r="I23461" s="50"/>
      <c r="O23461" s="36" t="s">
        <v>48</v>
      </c>
      <c r="R23461" s="36" t="s">
        <v>48</v>
      </c>
    </row>
    <row r="23462">
      <c r="H23462" s="50"/>
      <c r="I23462" s="50"/>
      <c r="O23462" s="36" t="s">
        <v>48</v>
      </c>
      <c r="R23462" s="36" t="s">
        <v>48</v>
      </c>
    </row>
    <row r="23463">
      <c r="H23463" s="50"/>
      <c r="I23463" s="50"/>
      <c r="O23463" s="36" t="s">
        <v>48</v>
      </c>
      <c r="R23463" s="36" t="s">
        <v>48</v>
      </c>
    </row>
    <row r="23464">
      <c r="H23464" s="50"/>
      <c r="I23464" s="50"/>
      <c r="O23464" s="36" t="s">
        <v>48</v>
      </c>
      <c r="R23464" s="36" t="s">
        <v>48</v>
      </c>
    </row>
    <row r="23465">
      <c r="H23465" s="50"/>
      <c r="I23465" s="50"/>
      <c r="O23465" s="36" t="s">
        <v>48</v>
      </c>
      <c r="R23465" s="36" t="s">
        <v>48</v>
      </c>
    </row>
    <row r="23466">
      <c r="H23466" s="50"/>
      <c r="I23466" s="50"/>
      <c r="O23466" s="36" t="s">
        <v>48</v>
      </c>
      <c r="R23466" s="36" t="s">
        <v>48</v>
      </c>
    </row>
    <row r="23467">
      <c r="H23467" s="50"/>
      <c r="I23467" s="50"/>
      <c r="O23467" s="36" t="s">
        <v>48</v>
      </c>
      <c r="R23467" s="36" t="s">
        <v>48</v>
      </c>
    </row>
    <row r="23468">
      <c r="H23468" s="50"/>
      <c r="I23468" s="50"/>
      <c r="O23468" s="36" t="s">
        <v>48</v>
      </c>
      <c r="R23468" s="36" t="s">
        <v>48</v>
      </c>
    </row>
    <row r="23469">
      <c r="H23469" s="50"/>
      <c r="I23469" s="50"/>
      <c r="O23469" s="36" t="s">
        <v>48</v>
      </c>
      <c r="R23469" s="36" t="s">
        <v>48</v>
      </c>
    </row>
    <row r="23470">
      <c r="H23470" s="50"/>
      <c r="I23470" s="50"/>
      <c r="O23470" s="36" t="s">
        <v>48</v>
      </c>
      <c r="R23470" s="36" t="s">
        <v>48</v>
      </c>
    </row>
    <row r="23471">
      <c r="H23471" s="50"/>
      <c r="I23471" s="50"/>
      <c r="O23471" s="36" t="s">
        <v>48</v>
      </c>
      <c r="R23471" s="36" t="s">
        <v>48</v>
      </c>
    </row>
    <row r="23472">
      <c r="H23472" s="50"/>
      <c r="I23472" s="50"/>
      <c r="O23472" s="36" t="s">
        <v>48</v>
      </c>
      <c r="R23472" s="36" t="s">
        <v>48</v>
      </c>
    </row>
    <row r="23473">
      <c r="H23473" s="50"/>
      <c r="I23473" s="50"/>
      <c r="O23473" s="36" t="s">
        <v>48</v>
      </c>
      <c r="R23473" s="36" t="s">
        <v>48</v>
      </c>
    </row>
    <row r="23474">
      <c r="H23474" s="50"/>
      <c r="I23474" s="50"/>
      <c r="O23474" s="36" t="s">
        <v>48</v>
      </c>
      <c r="R23474" s="36" t="s">
        <v>48</v>
      </c>
    </row>
    <row r="23475">
      <c r="H23475" s="50"/>
      <c r="I23475" s="50"/>
      <c r="O23475" s="36" t="s">
        <v>48</v>
      </c>
      <c r="R23475" s="36" t="s">
        <v>48</v>
      </c>
    </row>
    <row r="23476">
      <c r="H23476" s="50"/>
      <c r="I23476" s="50"/>
      <c r="O23476" s="36" t="s">
        <v>48</v>
      </c>
      <c r="R23476" s="36" t="s">
        <v>48</v>
      </c>
    </row>
    <row r="23477">
      <c r="H23477" s="50"/>
      <c r="I23477" s="50"/>
      <c r="O23477" s="36" t="s">
        <v>48</v>
      </c>
      <c r="R23477" s="36" t="s">
        <v>48</v>
      </c>
    </row>
    <row r="23478">
      <c r="H23478" s="50"/>
      <c r="I23478" s="50"/>
      <c r="O23478" s="36" t="s">
        <v>48</v>
      </c>
      <c r="R23478" s="36" t="s">
        <v>48</v>
      </c>
    </row>
    <row r="23479">
      <c r="H23479" s="50"/>
      <c r="I23479" s="50"/>
      <c r="O23479" s="36" t="s">
        <v>48</v>
      </c>
      <c r="R23479" s="36" t="s">
        <v>48</v>
      </c>
    </row>
    <row r="23480">
      <c r="H23480" s="50"/>
      <c r="I23480" s="50"/>
      <c r="O23480" s="36" t="s">
        <v>48</v>
      </c>
      <c r="R23480" s="36" t="s">
        <v>48</v>
      </c>
    </row>
    <row r="23481">
      <c r="H23481" s="50"/>
      <c r="I23481" s="50"/>
      <c r="O23481" s="36" t="s">
        <v>48</v>
      </c>
      <c r="R23481" s="36" t="s">
        <v>48</v>
      </c>
    </row>
    <row r="23482">
      <c r="H23482" s="50"/>
      <c r="I23482" s="50"/>
      <c r="O23482" s="36" t="s">
        <v>48</v>
      </c>
      <c r="R23482" s="36" t="s">
        <v>48</v>
      </c>
    </row>
    <row r="23483">
      <c r="H23483" s="50"/>
      <c r="I23483" s="50"/>
      <c r="O23483" s="36" t="s">
        <v>48</v>
      </c>
      <c r="R23483" s="36" t="s">
        <v>48</v>
      </c>
    </row>
    <row r="23484">
      <c r="H23484" s="50"/>
      <c r="I23484" s="50"/>
      <c r="O23484" s="36" t="s">
        <v>48</v>
      </c>
      <c r="R23484" s="36" t="s">
        <v>48</v>
      </c>
    </row>
    <row r="23485">
      <c r="H23485" s="50"/>
      <c r="I23485" s="50"/>
      <c r="O23485" s="36" t="s">
        <v>48</v>
      </c>
      <c r="R23485" s="36" t="s">
        <v>48</v>
      </c>
    </row>
    <row r="23486">
      <c r="H23486" s="50"/>
      <c r="I23486" s="50"/>
      <c r="O23486" s="36" t="s">
        <v>48</v>
      </c>
      <c r="R23486" s="36" t="s">
        <v>48</v>
      </c>
    </row>
    <row r="23487">
      <c r="H23487" s="50"/>
      <c r="I23487" s="50"/>
      <c r="O23487" s="36" t="s">
        <v>48</v>
      </c>
      <c r="R23487" s="36" t="s">
        <v>48</v>
      </c>
    </row>
    <row r="23488">
      <c r="H23488" s="50"/>
      <c r="I23488" s="50"/>
      <c r="O23488" s="36" t="s">
        <v>48</v>
      </c>
      <c r="R23488" s="36" t="s">
        <v>48</v>
      </c>
    </row>
    <row r="23489">
      <c r="H23489" s="50"/>
      <c r="I23489" s="50"/>
      <c r="O23489" s="36" t="s">
        <v>48</v>
      </c>
      <c r="R23489" s="36" t="s">
        <v>48</v>
      </c>
    </row>
    <row r="23490">
      <c r="H23490" s="50"/>
      <c r="I23490" s="50"/>
      <c r="O23490" s="36" t="s">
        <v>48</v>
      </c>
      <c r="R23490" s="36" t="s">
        <v>48</v>
      </c>
    </row>
    <row r="23491">
      <c r="H23491" s="50"/>
      <c r="I23491" s="50"/>
      <c r="O23491" s="36" t="s">
        <v>48</v>
      </c>
      <c r="R23491" s="36" t="s">
        <v>48</v>
      </c>
    </row>
    <row r="23492">
      <c r="H23492" s="50"/>
      <c r="I23492" s="50"/>
      <c r="O23492" s="36" t="s">
        <v>48</v>
      </c>
      <c r="R23492" s="36" t="s">
        <v>48</v>
      </c>
    </row>
    <row r="23493">
      <c r="H23493" s="50"/>
      <c r="I23493" s="50"/>
      <c r="O23493" s="36" t="s">
        <v>48</v>
      </c>
      <c r="R23493" s="36" t="s">
        <v>48</v>
      </c>
    </row>
    <row r="23494">
      <c r="H23494" s="50"/>
      <c r="I23494" s="50"/>
      <c r="O23494" s="36" t="s">
        <v>48</v>
      </c>
      <c r="R23494" s="36" t="s">
        <v>48</v>
      </c>
    </row>
    <row r="23495">
      <c r="H23495" s="50"/>
      <c r="I23495" s="50"/>
      <c r="O23495" s="36" t="s">
        <v>48</v>
      </c>
      <c r="R23495" s="36" t="s">
        <v>48</v>
      </c>
    </row>
    <row r="23496">
      <c r="H23496" s="50"/>
      <c r="I23496" s="50"/>
      <c r="O23496" s="36" t="s">
        <v>48</v>
      </c>
      <c r="R23496" s="36" t="s">
        <v>48</v>
      </c>
    </row>
    <row r="23497">
      <c r="H23497" s="50"/>
      <c r="I23497" s="50"/>
      <c r="O23497" s="36" t="s">
        <v>48</v>
      </c>
      <c r="R23497" s="36" t="s">
        <v>48</v>
      </c>
    </row>
    <row r="23498">
      <c r="H23498" s="50"/>
      <c r="I23498" s="50"/>
      <c r="O23498" s="36" t="s">
        <v>48</v>
      </c>
      <c r="R23498" s="36" t="s">
        <v>48</v>
      </c>
    </row>
    <row r="23499">
      <c r="H23499" s="50"/>
      <c r="I23499" s="50"/>
      <c r="O23499" s="36" t="s">
        <v>48</v>
      </c>
      <c r="R23499" s="36" t="s">
        <v>48</v>
      </c>
    </row>
    <row r="23500">
      <c r="H23500" s="50"/>
      <c r="I23500" s="50"/>
      <c r="O23500" s="36" t="s">
        <v>48</v>
      </c>
      <c r="R23500" s="36" t="s">
        <v>48</v>
      </c>
    </row>
    <row r="23501">
      <c r="H23501" s="50"/>
      <c r="I23501" s="50"/>
      <c r="O23501" s="36" t="s">
        <v>48</v>
      </c>
      <c r="R23501" s="36" t="s">
        <v>48</v>
      </c>
    </row>
    <row r="23502">
      <c r="H23502" s="50"/>
      <c r="I23502" s="50"/>
      <c r="O23502" s="36" t="s">
        <v>48</v>
      </c>
      <c r="R23502" s="36" t="s">
        <v>48</v>
      </c>
    </row>
    <row r="23503">
      <c r="H23503" s="50"/>
      <c r="I23503" s="50"/>
      <c r="O23503" s="36" t="s">
        <v>48</v>
      </c>
      <c r="R23503" s="36" t="s">
        <v>48</v>
      </c>
    </row>
    <row r="23504">
      <c r="H23504" s="50"/>
      <c r="I23504" s="50"/>
      <c r="O23504" s="36" t="s">
        <v>48</v>
      </c>
      <c r="R23504" s="36" t="s">
        <v>48</v>
      </c>
    </row>
    <row r="23505">
      <c r="H23505" s="50"/>
      <c r="I23505" s="50"/>
      <c r="O23505" s="36" t="s">
        <v>48</v>
      </c>
      <c r="R23505" s="36" t="s">
        <v>48</v>
      </c>
    </row>
    <row r="23506">
      <c r="H23506" s="50"/>
      <c r="I23506" s="50"/>
      <c r="O23506" s="36" t="s">
        <v>48</v>
      </c>
      <c r="R23506" s="36" t="s">
        <v>48</v>
      </c>
    </row>
    <row r="23507">
      <c r="H23507" s="50"/>
      <c r="I23507" s="50"/>
      <c r="O23507" s="36" t="s">
        <v>48</v>
      </c>
      <c r="R23507" s="36" t="s">
        <v>48</v>
      </c>
    </row>
    <row r="23508">
      <c r="H23508" s="50"/>
      <c r="I23508" s="50"/>
      <c r="O23508" s="36" t="s">
        <v>48</v>
      </c>
      <c r="R23508" s="36" t="s">
        <v>48</v>
      </c>
    </row>
    <row r="23509">
      <c r="H23509" s="50"/>
      <c r="I23509" s="50"/>
      <c r="O23509" s="36" t="s">
        <v>48</v>
      </c>
      <c r="R23509" s="36" t="s">
        <v>48</v>
      </c>
    </row>
    <row r="23510">
      <c r="H23510" s="50"/>
      <c r="I23510" s="50"/>
      <c r="O23510" s="36" t="s">
        <v>48</v>
      </c>
      <c r="R23510" s="36" t="s">
        <v>48</v>
      </c>
    </row>
    <row r="23511">
      <c r="H23511" s="50"/>
      <c r="I23511" s="50"/>
      <c r="O23511" s="36" t="s">
        <v>48</v>
      </c>
      <c r="R23511" s="36" t="s">
        <v>48</v>
      </c>
    </row>
    <row r="23512">
      <c r="H23512" s="50"/>
      <c r="I23512" s="50"/>
      <c r="O23512" s="36" t="s">
        <v>48</v>
      </c>
      <c r="R23512" s="36" t="s">
        <v>48</v>
      </c>
    </row>
    <row r="23513">
      <c r="H23513" s="50"/>
      <c r="I23513" s="50"/>
      <c r="O23513" s="36" t="s">
        <v>48</v>
      </c>
      <c r="R23513" s="36" t="s">
        <v>48</v>
      </c>
    </row>
    <row r="23514">
      <c r="H23514" s="50"/>
      <c r="I23514" s="50"/>
      <c r="O23514" s="36" t="s">
        <v>48</v>
      </c>
      <c r="R23514" s="36" t="s">
        <v>48</v>
      </c>
    </row>
    <row r="23515">
      <c r="H23515" s="50"/>
      <c r="I23515" s="50"/>
      <c r="O23515" s="36" t="s">
        <v>48</v>
      </c>
      <c r="R23515" s="36" t="s">
        <v>48</v>
      </c>
    </row>
    <row r="23516">
      <c r="H23516" s="50"/>
      <c r="I23516" s="50"/>
      <c r="O23516" s="36" t="s">
        <v>48</v>
      </c>
      <c r="R23516" s="36" t="s">
        <v>48</v>
      </c>
    </row>
    <row r="23517">
      <c r="H23517" s="50"/>
      <c r="I23517" s="50"/>
      <c r="O23517" s="36" t="s">
        <v>48</v>
      </c>
      <c r="R23517" s="36" t="s">
        <v>48</v>
      </c>
    </row>
    <row r="23518">
      <c r="H23518" s="50"/>
      <c r="I23518" s="50"/>
      <c r="O23518" s="36" t="s">
        <v>48</v>
      </c>
      <c r="R23518" s="36" t="s">
        <v>48</v>
      </c>
    </row>
    <row r="23519">
      <c r="H23519" s="50"/>
      <c r="I23519" s="50"/>
      <c r="O23519" s="36" t="s">
        <v>48</v>
      </c>
      <c r="R23519" s="36" t="s">
        <v>48</v>
      </c>
    </row>
    <row r="23520">
      <c r="H23520" s="50"/>
      <c r="I23520" s="50"/>
      <c r="O23520" s="36" t="s">
        <v>48</v>
      </c>
      <c r="R23520" s="36" t="s">
        <v>48</v>
      </c>
    </row>
    <row r="23521">
      <c r="H23521" s="50"/>
      <c r="I23521" s="50"/>
      <c r="O23521" s="36" t="s">
        <v>48</v>
      </c>
      <c r="R23521" s="36" t="s">
        <v>48</v>
      </c>
    </row>
    <row r="23522">
      <c r="H23522" s="50"/>
      <c r="I23522" s="50"/>
      <c r="O23522" s="36" t="s">
        <v>48</v>
      </c>
      <c r="R23522" s="36" t="s">
        <v>48</v>
      </c>
    </row>
    <row r="23523">
      <c r="H23523" s="50"/>
      <c r="I23523" s="50"/>
      <c r="O23523" s="36" t="s">
        <v>48</v>
      </c>
      <c r="R23523" s="36" t="s">
        <v>48</v>
      </c>
    </row>
    <row r="23524">
      <c r="H23524" s="50"/>
      <c r="I23524" s="50"/>
      <c r="O23524" s="36" t="s">
        <v>48</v>
      </c>
      <c r="R23524" s="36" t="s">
        <v>48</v>
      </c>
    </row>
    <row r="23525">
      <c r="H23525" s="50"/>
      <c r="I23525" s="50"/>
      <c r="O23525" s="36" t="s">
        <v>48</v>
      </c>
      <c r="R23525" s="36" t="s">
        <v>48</v>
      </c>
    </row>
    <row r="23526">
      <c r="H23526" s="50"/>
      <c r="I23526" s="50"/>
      <c r="O23526" s="36" t="s">
        <v>48</v>
      </c>
      <c r="R23526" s="36" t="s">
        <v>48</v>
      </c>
    </row>
    <row r="23527">
      <c r="H23527" s="50"/>
      <c r="I23527" s="50"/>
      <c r="O23527" s="36" t="s">
        <v>48</v>
      </c>
      <c r="R23527" s="36" t="s">
        <v>48</v>
      </c>
    </row>
    <row r="23528">
      <c r="H23528" s="50"/>
      <c r="I23528" s="50"/>
      <c r="O23528" s="36" t="s">
        <v>48</v>
      </c>
      <c r="R23528" s="36" t="s">
        <v>48</v>
      </c>
    </row>
    <row r="23529">
      <c r="H23529" s="50"/>
      <c r="I23529" s="50"/>
      <c r="O23529" s="36" t="s">
        <v>48</v>
      </c>
      <c r="R23529" s="36" t="s">
        <v>48</v>
      </c>
    </row>
    <row r="23530">
      <c r="H23530" s="50"/>
      <c r="I23530" s="50"/>
      <c r="O23530" s="36" t="s">
        <v>48</v>
      </c>
      <c r="R23530" s="36" t="s">
        <v>48</v>
      </c>
    </row>
    <row r="23531">
      <c r="H23531" s="50"/>
      <c r="I23531" s="50"/>
      <c r="O23531" s="36" t="s">
        <v>48</v>
      </c>
      <c r="R23531" s="36" t="s">
        <v>48</v>
      </c>
    </row>
    <row r="23532">
      <c r="H23532" s="50"/>
      <c r="I23532" s="50"/>
      <c r="O23532" s="36" t="s">
        <v>48</v>
      </c>
      <c r="R23532" s="36" t="s">
        <v>48</v>
      </c>
    </row>
    <row r="23533">
      <c r="H23533" s="50"/>
      <c r="I23533" s="50"/>
      <c r="O23533" s="36" t="s">
        <v>48</v>
      </c>
      <c r="R23533" s="36" t="s">
        <v>48</v>
      </c>
    </row>
    <row r="23534">
      <c r="H23534" s="50"/>
      <c r="I23534" s="50"/>
      <c r="O23534" s="36" t="s">
        <v>48</v>
      </c>
      <c r="R23534" s="36" t="s">
        <v>48</v>
      </c>
    </row>
    <row r="23535">
      <c r="H23535" s="50"/>
      <c r="I23535" s="50"/>
      <c r="O23535" s="36" t="s">
        <v>48</v>
      </c>
      <c r="R23535" s="36" t="s">
        <v>48</v>
      </c>
    </row>
    <row r="23536">
      <c r="H23536" s="50"/>
      <c r="I23536" s="50"/>
      <c r="O23536" s="36" t="s">
        <v>48</v>
      </c>
      <c r="R23536" s="36" t="s">
        <v>48</v>
      </c>
    </row>
    <row r="23537">
      <c r="H23537" s="50"/>
      <c r="I23537" s="50"/>
      <c r="O23537" s="36" t="s">
        <v>48</v>
      </c>
      <c r="R23537" s="36" t="s">
        <v>48</v>
      </c>
    </row>
    <row r="23538">
      <c r="H23538" s="50"/>
      <c r="I23538" s="50"/>
      <c r="O23538" s="36" t="s">
        <v>48</v>
      </c>
      <c r="R23538" s="36" t="s">
        <v>48</v>
      </c>
    </row>
    <row r="23539">
      <c r="H23539" s="50"/>
      <c r="I23539" s="50"/>
      <c r="O23539" s="36" t="s">
        <v>48</v>
      </c>
      <c r="R23539" s="36" t="s">
        <v>48</v>
      </c>
    </row>
    <row r="23540">
      <c r="H23540" s="50"/>
      <c r="I23540" s="50"/>
      <c r="O23540" s="36" t="s">
        <v>48</v>
      </c>
      <c r="R23540" s="36" t="s">
        <v>48</v>
      </c>
    </row>
    <row r="23541">
      <c r="H23541" s="50"/>
      <c r="I23541" s="50"/>
      <c r="O23541" s="36" t="s">
        <v>48</v>
      </c>
      <c r="R23541" s="36" t="s">
        <v>48</v>
      </c>
    </row>
    <row r="23542">
      <c r="H23542" s="50"/>
      <c r="I23542" s="50"/>
      <c r="O23542" s="36" t="s">
        <v>48</v>
      </c>
      <c r="R23542" s="36" t="s">
        <v>48</v>
      </c>
    </row>
    <row r="23543">
      <c r="H23543" s="50"/>
      <c r="I23543" s="50"/>
      <c r="O23543" s="36" t="s">
        <v>48</v>
      </c>
      <c r="R23543" s="36" t="s">
        <v>48</v>
      </c>
    </row>
    <row r="23544">
      <c r="H23544" s="50"/>
      <c r="I23544" s="50"/>
      <c r="O23544" s="36" t="s">
        <v>48</v>
      </c>
      <c r="R23544" s="36" t="s">
        <v>48</v>
      </c>
    </row>
    <row r="23545">
      <c r="H23545" s="50"/>
      <c r="I23545" s="50"/>
      <c r="O23545" s="36" t="s">
        <v>48</v>
      </c>
      <c r="R23545" s="36" t="s">
        <v>48</v>
      </c>
    </row>
    <row r="23546">
      <c r="H23546" s="50"/>
      <c r="I23546" s="50"/>
      <c r="O23546" s="36" t="s">
        <v>48</v>
      </c>
      <c r="R23546" s="36" t="s">
        <v>48</v>
      </c>
    </row>
    <row r="23547">
      <c r="H23547" s="50"/>
      <c r="I23547" s="50"/>
      <c r="O23547" s="36" t="s">
        <v>48</v>
      </c>
      <c r="R23547" s="36" t="s">
        <v>48</v>
      </c>
    </row>
    <row r="23548">
      <c r="H23548" s="50"/>
      <c r="I23548" s="50"/>
      <c r="O23548" s="36" t="s">
        <v>48</v>
      </c>
      <c r="R23548" s="36" t="s">
        <v>48</v>
      </c>
    </row>
    <row r="23549">
      <c r="H23549" s="50"/>
      <c r="I23549" s="50"/>
      <c r="O23549" s="36" t="s">
        <v>48</v>
      </c>
      <c r="R23549" s="36" t="s">
        <v>48</v>
      </c>
    </row>
    <row r="23550">
      <c r="H23550" s="50"/>
      <c r="I23550" s="50"/>
      <c r="O23550" s="36" t="s">
        <v>48</v>
      </c>
      <c r="R23550" s="36" t="s">
        <v>48</v>
      </c>
    </row>
    <row r="23551">
      <c r="H23551" s="50"/>
      <c r="I23551" s="50"/>
      <c r="O23551" s="36" t="s">
        <v>48</v>
      </c>
      <c r="R23551" s="36" t="s">
        <v>48</v>
      </c>
    </row>
    <row r="23552">
      <c r="H23552" s="50"/>
      <c r="I23552" s="50"/>
      <c r="O23552" s="36" t="s">
        <v>48</v>
      </c>
      <c r="R23552" s="36" t="s">
        <v>48</v>
      </c>
    </row>
    <row r="23553">
      <c r="H23553" s="50"/>
      <c r="I23553" s="50"/>
      <c r="O23553" s="36" t="s">
        <v>48</v>
      </c>
      <c r="R23553" s="36" t="s">
        <v>48</v>
      </c>
    </row>
    <row r="23554">
      <c r="H23554" s="50"/>
      <c r="I23554" s="50"/>
      <c r="O23554" s="36" t="s">
        <v>48</v>
      </c>
      <c r="R23554" s="36" t="s">
        <v>48</v>
      </c>
    </row>
    <row r="23555">
      <c r="H23555" s="50"/>
      <c r="I23555" s="50"/>
      <c r="O23555" s="36" t="s">
        <v>48</v>
      </c>
      <c r="R23555" s="36" t="s">
        <v>48</v>
      </c>
    </row>
    <row r="23556">
      <c r="H23556" s="50"/>
      <c r="I23556" s="50"/>
      <c r="O23556" s="36" t="s">
        <v>48</v>
      </c>
      <c r="R23556" s="36" t="s">
        <v>48</v>
      </c>
    </row>
    <row r="23557">
      <c r="H23557" s="50"/>
      <c r="I23557" s="50"/>
      <c r="O23557" s="36" t="s">
        <v>48</v>
      </c>
      <c r="R23557" s="36" t="s">
        <v>48</v>
      </c>
    </row>
    <row r="23558">
      <c r="H23558" s="50"/>
      <c r="I23558" s="50"/>
      <c r="O23558" s="36" t="s">
        <v>48</v>
      </c>
      <c r="R23558" s="36" t="s">
        <v>48</v>
      </c>
    </row>
    <row r="23559">
      <c r="H23559" s="50"/>
      <c r="I23559" s="50"/>
      <c r="O23559" s="36" t="s">
        <v>48</v>
      </c>
      <c r="R23559" s="36" t="s">
        <v>48</v>
      </c>
    </row>
    <row r="23560">
      <c r="H23560" s="50"/>
      <c r="I23560" s="50"/>
      <c r="O23560" s="36" t="s">
        <v>48</v>
      </c>
      <c r="R23560" s="36" t="s">
        <v>48</v>
      </c>
    </row>
    <row r="23561">
      <c r="H23561" s="50"/>
      <c r="I23561" s="50"/>
      <c r="O23561" s="36" t="s">
        <v>48</v>
      </c>
      <c r="R23561" s="36" t="s">
        <v>48</v>
      </c>
    </row>
    <row r="23562">
      <c r="H23562" s="50"/>
      <c r="I23562" s="50"/>
      <c r="O23562" s="36" t="s">
        <v>48</v>
      </c>
      <c r="R23562" s="36" t="s">
        <v>48</v>
      </c>
    </row>
    <row r="23563">
      <c r="H23563" s="50"/>
      <c r="I23563" s="50"/>
      <c r="O23563" s="36" t="s">
        <v>48</v>
      </c>
      <c r="R23563" s="36" t="s">
        <v>48</v>
      </c>
    </row>
    <row r="23564">
      <c r="H23564" s="50"/>
      <c r="I23564" s="50"/>
      <c r="O23564" s="36" t="s">
        <v>48</v>
      </c>
      <c r="R23564" s="36" t="s">
        <v>48</v>
      </c>
    </row>
    <row r="23565">
      <c r="H23565" s="50"/>
      <c r="I23565" s="50"/>
      <c r="O23565" s="36" t="s">
        <v>48</v>
      </c>
      <c r="R23565" s="36" t="s">
        <v>48</v>
      </c>
    </row>
    <row r="23566">
      <c r="H23566" s="50"/>
      <c r="I23566" s="50"/>
      <c r="O23566" s="36" t="s">
        <v>48</v>
      </c>
      <c r="R23566" s="36" t="s">
        <v>48</v>
      </c>
    </row>
    <row r="23567">
      <c r="H23567" s="50"/>
      <c r="I23567" s="50"/>
      <c r="O23567" s="36" t="s">
        <v>48</v>
      </c>
      <c r="R23567" s="36" t="s">
        <v>48</v>
      </c>
    </row>
    <row r="23568">
      <c r="H23568" s="50"/>
      <c r="I23568" s="50"/>
      <c r="O23568" s="36" t="s">
        <v>48</v>
      </c>
      <c r="R23568" s="36" t="s">
        <v>48</v>
      </c>
    </row>
    <row r="23569">
      <c r="H23569" s="50"/>
      <c r="I23569" s="50"/>
      <c r="O23569" s="36" t="s">
        <v>48</v>
      </c>
      <c r="R23569" s="36" t="s">
        <v>48</v>
      </c>
    </row>
    <row r="23570">
      <c r="H23570" s="50"/>
      <c r="I23570" s="50"/>
      <c r="O23570" s="36" t="s">
        <v>48</v>
      </c>
      <c r="R23570" s="36" t="s">
        <v>48</v>
      </c>
    </row>
    <row r="23571">
      <c r="H23571" s="50"/>
      <c r="I23571" s="50"/>
      <c r="O23571" s="36" t="s">
        <v>48</v>
      </c>
      <c r="R23571" s="36" t="s">
        <v>48</v>
      </c>
    </row>
    <row r="23572">
      <c r="H23572" s="50"/>
      <c r="I23572" s="50"/>
      <c r="O23572" s="36" t="s">
        <v>48</v>
      </c>
      <c r="R23572" s="36" t="s">
        <v>48</v>
      </c>
    </row>
    <row r="23573">
      <c r="H23573" s="50"/>
      <c r="I23573" s="50"/>
      <c r="O23573" s="36" t="s">
        <v>48</v>
      </c>
      <c r="R23573" s="36" t="s">
        <v>48</v>
      </c>
    </row>
    <row r="23574">
      <c r="H23574" s="50"/>
      <c r="I23574" s="50"/>
      <c r="O23574" s="36" t="s">
        <v>48</v>
      </c>
      <c r="R23574" s="36" t="s">
        <v>48</v>
      </c>
    </row>
    <row r="23575">
      <c r="H23575" s="50"/>
      <c r="I23575" s="50"/>
      <c r="O23575" s="36" t="s">
        <v>48</v>
      </c>
      <c r="R23575" s="36" t="s">
        <v>48</v>
      </c>
    </row>
    <row r="23576">
      <c r="H23576" s="50"/>
      <c r="I23576" s="50"/>
      <c r="O23576" s="36" t="s">
        <v>48</v>
      </c>
      <c r="R23576" s="36" t="s">
        <v>48</v>
      </c>
    </row>
    <row r="23577">
      <c r="H23577" s="50"/>
      <c r="I23577" s="50"/>
      <c r="O23577" s="36" t="s">
        <v>48</v>
      </c>
      <c r="R23577" s="36" t="s">
        <v>48</v>
      </c>
    </row>
    <row r="23578">
      <c r="H23578" s="50"/>
      <c r="I23578" s="50"/>
      <c r="O23578" s="36" t="s">
        <v>48</v>
      </c>
      <c r="R23578" s="36" t="s">
        <v>48</v>
      </c>
    </row>
    <row r="23579">
      <c r="H23579" s="50"/>
      <c r="I23579" s="50"/>
      <c r="O23579" s="36" t="s">
        <v>48</v>
      </c>
      <c r="R23579" s="36" t="s">
        <v>48</v>
      </c>
    </row>
    <row r="23580">
      <c r="H23580" s="50"/>
      <c r="I23580" s="50"/>
      <c r="O23580" s="36" t="s">
        <v>48</v>
      </c>
      <c r="R23580" s="36" t="s">
        <v>48</v>
      </c>
    </row>
    <row r="23581">
      <c r="H23581" s="50"/>
      <c r="I23581" s="50"/>
      <c r="O23581" s="36" t="s">
        <v>48</v>
      </c>
      <c r="R23581" s="36" t="s">
        <v>48</v>
      </c>
    </row>
    <row r="23582">
      <c r="H23582" s="50"/>
      <c r="I23582" s="50"/>
      <c r="O23582" s="36" t="s">
        <v>48</v>
      </c>
      <c r="R23582" s="36" t="s">
        <v>48</v>
      </c>
    </row>
    <row r="23583">
      <c r="H23583" s="50"/>
      <c r="I23583" s="50"/>
      <c r="O23583" s="36" t="s">
        <v>48</v>
      </c>
      <c r="R23583" s="36" t="s">
        <v>48</v>
      </c>
    </row>
    <row r="23584">
      <c r="H23584" s="50"/>
      <c r="I23584" s="50"/>
      <c r="O23584" s="36" t="s">
        <v>48</v>
      </c>
      <c r="R23584" s="36" t="s">
        <v>48</v>
      </c>
    </row>
    <row r="23585">
      <c r="H23585" s="50"/>
      <c r="I23585" s="50"/>
      <c r="O23585" s="36" t="s">
        <v>48</v>
      </c>
      <c r="R23585" s="36" t="s">
        <v>48</v>
      </c>
    </row>
    <row r="23586">
      <c r="H23586" s="50"/>
      <c r="I23586" s="50"/>
      <c r="O23586" s="36" t="s">
        <v>48</v>
      </c>
      <c r="R23586" s="36" t="s">
        <v>48</v>
      </c>
    </row>
    <row r="23587">
      <c r="H23587" s="50"/>
      <c r="I23587" s="50"/>
      <c r="O23587" s="36" t="s">
        <v>48</v>
      </c>
      <c r="R23587" s="36" t="s">
        <v>48</v>
      </c>
    </row>
    <row r="23588">
      <c r="H23588" s="50"/>
      <c r="I23588" s="50"/>
      <c r="O23588" s="36" t="s">
        <v>48</v>
      </c>
      <c r="R23588" s="36" t="s">
        <v>48</v>
      </c>
    </row>
    <row r="23589">
      <c r="H23589" s="50"/>
      <c r="I23589" s="50"/>
      <c r="O23589" s="36" t="s">
        <v>48</v>
      </c>
      <c r="R23589" s="36" t="s">
        <v>48</v>
      </c>
    </row>
    <row r="23590">
      <c r="H23590" s="50"/>
      <c r="I23590" s="50"/>
      <c r="O23590" s="36" t="s">
        <v>48</v>
      </c>
      <c r="R23590" s="36" t="s">
        <v>48</v>
      </c>
    </row>
    <row r="23591">
      <c r="H23591" s="50"/>
      <c r="I23591" s="50"/>
      <c r="O23591" s="36" t="s">
        <v>48</v>
      </c>
      <c r="R23591" s="36" t="s">
        <v>48</v>
      </c>
    </row>
    <row r="23592">
      <c r="H23592" s="50"/>
      <c r="I23592" s="50"/>
      <c r="O23592" s="36" t="s">
        <v>48</v>
      </c>
      <c r="R23592" s="36" t="s">
        <v>48</v>
      </c>
    </row>
    <row r="23593">
      <c r="H23593" s="50"/>
      <c r="I23593" s="50"/>
      <c r="O23593" s="36" t="s">
        <v>48</v>
      </c>
      <c r="R23593" s="36" t="s">
        <v>48</v>
      </c>
    </row>
    <row r="23594">
      <c r="H23594" s="50"/>
      <c r="I23594" s="50"/>
      <c r="O23594" s="36" t="s">
        <v>48</v>
      </c>
      <c r="R23594" s="36" t="s">
        <v>48</v>
      </c>
    </row>
    <row r="23595">
      <c r="H23595" s="50"/>
      <c r="I23595" s="50"/>
      <c r="O23595" s="36" t="s">
        <v>48</v>
      </c>
      <c r="R23595" s="36" t="s">
        <v>48</v>
      </c>
    </row>
    <row r="23596">
      <c r="H23596" s="50"/>
      <c r="I23596" s="50"/>
      <c r="O23596" s="36" t="s">
        <v>48</v>
      </c>
      <c r="R23596" s="36" t="s">
        <v>48</v>
      </c>
    </row>
    <row r="23597">
      <c r="H23597" s="50"/>
      <c r="I23597" s="50"/>
      <c r="O23597" s="36" t="s">
        <v>48</v>
      </c>
      <c r="R23597" s="36" t="s">
        <v>48</v>
      </c>
    </row>
    <row r="23598">
      <c r="H23598" s="50"/>
      <c r="I23598" s="50"/>
      <c r="O23598" s="36" t="s">
        <v>48</v>
      </c>
      <c r="R23598" s="36" t="s">
        <v>48</v>
      </c>
    </row>
    <row r="23599">
      <c r="H23599" s="50"/>
      <c r="I23599" s="50"/>
      <c r="O23599" s="36" t="s">
        <v>48</v>
      </c>
      <c r="R23599" s="36" t="s">
        <v>48</v>
      </c>
    </row>
    <row r="23600">
      <c r="H23600" s="50"/>
      <c r="I23600" s="50"/>
      <c r="O23600" s="36" t="s">
        <v>48</v>
      </c>
      <c r="R23600" s="36" t="s">
        <v>48</v>
      </c>
    </row>
    <row r="23601">
      <c r="H23601" s="50"/>
      <c r="I23601" s="50"/>
      <c r="O23601" s="36" t="s">
        <v>48</v>
      </c>
      <c r="R23601" s="36" t="s">
        <v>48</v>
      </c>
    </row>
    <row r="23602">
      <c r="H23602" s="50"/>
      <c r="I23602" s="50"/>
      <c r="O23602" s="36" t="s">
        <v>48</v>
      </c>
      <c r="R23602" s="36" t="s">
        <v>48</v>
      </c>
    </row>
    <row r="23603">
      <c r="H23603" s="50"/>
      <c r="I23603" s="50"/>
      <c r="O23603" s="36" t="s">
        <v>48</v>
      </c>
      <c r="R23603" s="36" t="s">
        <v>48</v>
      </c>
    </row>
    <row r="23604">
      <c r="H23604" s="50"/>
      <c r="I23604" s="50"/>
      <c r="O23604" s="36" t="s">
        <v>48</v>
      </c>
      <c r="R23604" s="36" t="s">
        <v>48</v>
      </c>
    </row>
    <row r="23605">
      <c r="H23605" s="50"/>
      <c r="I23605" s="50"/>
      <c r="O23605" s="36" t="s">
        <v>48</v>
      </c>
      <c r="R23605" s="36" t="s">
        <v>48</v>
      </c>
    </row>
    <row r="23606">
      <c r="H23606" s="50"/>
      <c r="I23606" s="50"/>
      <c r="O23606" s="36" t="s">
        <v>48</v>
      </c>
      <c r="R23606" s="36" t="s">
        <v>48</v>
      </c>
    </row>
    <row r="23607">
      <c r="H23607" s="50"/>
      <c r="I23607" s="50"/>
      <c r="O23607" s="36" t="s">
        <v>48</v>
      </c>
      <c r="R23607" s="36" t="s">
        <v>48</v>
      </c>
    </row>
    <row r="23608">
      <c r="H23608" s="50"/>
      <c r="I23608" s="50"/>
      <c r="O23608" s="36" t="s">
        <v>48</v>
      </c>
      <c r="R23608" s="36" t="s">
        <v>48</v>
      </c>
    </row>
    <row r="23609">
      <c r="H23609" s="50"/>
      <c r="I23609" s="50"/>
      <c r="O23609" s="36" t="s">
        <v>48</v>
      </c>
      <c r="R23609" s="36" t="s">
        <v>48</v>
      </c>
    </row>
    <row r="23610">
      <c r="H23610" s="50"/>
      <c r="I23610" s="50"/>
      <c r="O23610" s="36" t="s">
        <v>48</v>
      </c>
      <c r="R23610" s="36" t="s">
        <v>48</v>
      </c>
    </row>
    <row r="23611">
      <c r="H23611" s="50"/>
      <c r="I23611" s="50"/>
      <c r="O23611" s="36" t="s">
        <v>48</v>
      </c>
      <c r="R23611" s="36" t="s">
        <v>48</v>
      </c>
    </row>
    <row r="23612">
      <c r="H23612" s="50"/>
      <c r="I23612" s="50"/>
      <c r="O23612" s="36" t="s">
        <v>48</v>
      </c>
      <c r="R23612" s="36" t="s">
        <v>48</v>
      </c>
    </row>
    <row r="23613">
      <c r="H23613" s="50"/>
      <c r="I23613" s="50"/>
      <c r="O23613" s="36" t="s">
        <v>48</v>
      </c>
      <c r="R23613" s="36" t="s">
        <v>48</v>
      </c>
    </row>
    <row r="23614">
      <c r="H23614" s="50"/>
      <c r="I23614" s="50"/>
      <c r="O23614" s="36" t="s">
        <v>48</v>
      </c>
      <c r="R23614" s="36" t="s">
        <v>48</v>
      </c>
    </row>
    <row r="23615">
      <c r="H23615" s="50"/>
      <c r="I23615" s="50"/>
      <c r="O23615" s="36" t="s">
        <v>48</v>
      </c>
      <c r="R23615" s="36" t="s">
        <v>48</v>
      </c>
    </row>
    <row r="23616">
      <c r="H23616" s="50"/>
      <c r="I23616" s="50"/>
      <c r="O23616" s="36" t="s">
        <v>48</v>
      </c>
      <c r="R23616" s="36" t="s">
        <v>48</v>
      </c>
    </row>
    <row r="23617">
      <c r="H23617" s="50"/>
      <c r="I23617" s="50"/>
      <c r="O23617" s="36" t="s">
        <v>48</v>
      </c>
      <c r="R23617" s="36" t="s">
        <v>48</v>
      </c>
    </row>
    <row r="23618">
      <c r="H23618" s="50"/>
      <c r="I23618" s="50"/>
      <c r="O23618" s="36" t="s">
        <v>48</v>
      </c>
      <c r="R23618" s="36" t="s">
        <v>48</v>
      </c>
    </row>
    <row r="23619">
      <c r="H23619" s="50"/>
      <c r="I23619" s="50"/>
      <c r="O23619" s="36" t="s">
        <v>48</v>
      </c>
      <c r="R23619" s="36" t="s">
        <v>48</v>
      </c>
    </row>
    <row r="23620">
      <c r="H23620" s="50"/>
      <c r="I23620" s="50"/>
      <c r="O23620" s="36" t="s">
        <v>48</v>
      </c>
      <c r="R23620" s="36" t="s">
        <v>48</v>
      </c>
    </row>
    <row r="23621">
      <c r="H23621" s="50"/>
      <c r="I23621" s="50"/>
      <c r="O23621" s="36" t="s">
        <v>48</v>
      </c>
      <c r="R23621" s="36" t="s">
        <v>48</v>
      </c>
    </row>
    <row r="23622">
      <c r="H23622" s="50"/>
      <c r="I23622" s="50"/>
      <c r="O23622" s="36" t="s">
        <v>48</v>
      </c>
      <c r="R23622" s="36" t="s">
        <v>48</v>
      </c>
    </row>
    <row r="23623">
      <c r="H23623" s="50"/>
      <c r="I23623" s="50"/>
      <c r="O23623" s="36" t="s">
        <v>48</v>
      </c>
      <c r="R23623" s="36" t="s">
        <v>48</v>
      </c>
    </row>
    <row r="23624">
      <c r="H23624" s="50"/>
      <c r="I23624" s="50"/>
      <c r="O23624" s="36" t="s">
        <v>48</v>
      </c>
      <c r="R23624" s="36" t="s">
        <v>48</v>
      </c>
    </row>
    <row r="23625">
      <c r="H23625" s="50"/>
      <c r="I23625" s="50"/>
      <c r="O23625" s="36" t="s">
        <v>48</v>
      </c>
      <c r="R23625" s="36" t="s">
        <v>48</v>
      </c>
    </row>
    <row r="23626">
      <c r="H23626" s="50"/>
      <c r="I23626" s="50"/>
      <c r="O23626" s="36" t="s">
        <v>48</v>
      </c>
      <c r="R23626" s="36" t="s">
        <v>48</v>
      </c>
    </row>
    <row r="23627">
      <c r="H23627" s="50"/>
      <c r="I23627" s="50"/>
      <c r="O23627" s="36" t="s">
        <v>48</v>
      </c>
      <c r="R23627" s="36" t="s">
        <v>48</v>
      </c>
    </row>
    <row r="23628">
      <c r="H23628" s="50"/>
      <c r="I23628" s="50"/>
      <c r="O23628" s="36" t="s">
        <v>48</v>
      </c>
      <c r="R23628" s="36" t="s">
        <v>48</v>
      </c>
    </row>
    <row r="23629">
      <c r="H23629" s="50"/>
      <c r="I23629" s="50"/>
      <c r="O23629" s="36" t="s">
        <v>48</v>
      </c>
      <c r="R23629" s="36" t="s">
        <v>48</v>
      </c>
    </row>
    <row r="23630">
      <c r="H23630" s="50"/>
      <c r="I23630" s="50"/>
      <c r="O23630" s="36" t="s">
        <v>48</v>
      </c>
      <c r="R23630" s="36" t="s">
        <v>48</v>
      </c>
    </row>
    <row r="23631">
      <c r="H23631" s="50"/>
      <c r="I23631" s="50"/>
      <c r="O23631" s="36" t="s">
        <v>48</v>
      </c>
      <c r="R23631" s="36" t="s">
        <v>48</v>
      </c>
    </row>
    <row r="23632">
      <c r="H23632" s="50"/>
      <c r="I23632" s="50"/>
      <c r="O23632" s="36" t="s">
        <v>48</v>
      </c>
      <c r="R23632" s="36" t="s">
        <v>48</v>
      </c>
    </row>
    <row r="23633">
      <c r="H23633" s="50"/>
      <c r="I23633" s="50"/>
      <c r="O23633" s="36" t="s">
        <v>48</v>
      </c>
      <c r="R23633" s="36" t="s">
        <v>48</v>
      </c>
    </row>
    <row r="23634">
      <c r="H23634" s="50"/>
      <c r="I23634" s="50"/>
      <c r="O23634" s="36" t="s">
        <v>48</v>
      </c>
      <c r="R23634" s="36" t="s">
        <v>48</v>
      </c>
    </row>
    <row r="23635">
      <c r="H23635" s="50"/>
      <c r="I23635" s="50"/>
      <c r="O23635" s="36" t="s">
        <v>48</v>
      </c>
      <c r="R23635" s="36" t="s">
        <v>48</v>
      </c>
    </row>
    <row r="23636">
      <c r="H23636" s="50"/>
      <c r="I23636" s="50"/>
      <c r="O23636" s="36" t="s">
        <v>48</v>
      </c>
      <c r="R23636" s="36" t="s">
        <v>48</v>
      </c>
    </row>
    <row r="23637">
      <c r="H23637" s="50"/>
      <c r="I23637" s="50"/>
      <c r="O23637" s="36" t="s">
        <v>48</v>
      </c>
      <c r="R23637" s="36" t="s">
        <v>48</v>
      </c>
    </row>
    <row r="23638">
      <c r="H23638" s="50"/>
      <c r="I23638" s="50"/>
      <c r="O23638" s="36" t="s">
        <v>48</v>
      </c>
      <c r="R23638" s="36" t="s">
        <v>48</v>
      </c>
    </row>
    <row r="23639">
      <c r="H23639" s="50"/>
      <c r="I23639" s="50"/>
      <c r="O23639" s="36" t="s">
        <v>48</v>
      </c>
      <c r="R23639" s="36" t="s">
        <v>48</v>
      </c>
    </row>
    <row r="23640">
      <c r="H23640" s="50"/>
      <c r="I23640" s="50"/>
      <c r="O23640" s="36" t="s">
        <v>48</v>
      </c>
      <c r="R23640" s="36" t="s">
        <v>48</v>
      </c>
    </row>
    <row r="23641">
      <c r="H23641" s="50"/>
      <c r="I23641" s="50"/>
      <c r="O23641" s="36" t="s">
        <v>48</v>
      </c>
      <c r="R23641" s="36" t="s">
        <v>48</v>
      </c>
    </row>
    <row r="23642">
      <c r="H23642" s="50"/>
      <c r="I23642" s="50"/>
      <c r="O23642" s="36" t="s">
        <v>48</v>
      </c>
      <c r="R23642" s="36" t="s">
        <v>48</v>
      </c>
    </row>
    <row r="23643">
      <c r="H23643" s="50"/>
      <c r="I23643" s="50"/>
      <c r="O23643" s="36" t="s">
        <v>48</v>
      </c>
      <c r="R23643" s="36" t="s">
        <v>48</v>
      </c>
    </row>
    <row r="23644">
      <c r="H23644" s="50"/>
      <c r="I23644" s="50"/>
      <c r="O23644" s="36" t="s">
        <v>48</v>
      </c>
      <c r="R23644" s="36" t="s">
        <v>48</v>
      </c>
    </row>
    <row r="23645">
      <c r="H23645" s="50"/>
      <c r="I23645" s="50"/>
      <c r="O23645" s="36" t="s">
        <v>48</v>
      </c>
      <c r="R23645" s="36" t="s">
        <v>48</v>
      </c>
    </row>
    <row r="23646">
      <c r="H23646" s="50"/>
      <c r="I23646" s="50"/>
      <c r="O23646" s="36" t="s">
        <v>48</v>
      </c>
      <c r="R23646" s="36" t="s">
        <v>48</v>
      </c>
    </row>
    <row r="23647">
      <c r="H23647" s="50"/>
      <c r="I23647" s="50"/>
      <c r="O23647" s="36" t="s">
        <v>48</v>
      </c>
      <c r="R23647" s="36" t="s">
        <v>48</v>
      </c>
    </row>
    <row r="23648">
      <c r="H23648" s="50"/>
      <c r="I23648" s="50"/>
      <c r="O23648" s="36" t="s">
        <v>48</v>
      </c>
      <c r="R23648" s="36" t="s">
        <v>48</v>
      </c>
    </row>
    <row r="23649">
      <c r="H23649" s="50"/>
      <c r="I23649" s="50"/>
      <c r="O23649" s="36" t="s">
        <v>48</v>
      </c>
      <c r="R23649" s="36" t="s">
        <v>48</v>
      </c>
    </row>
    <row r="23650">
      <c r="H23650" s="50"/>
      <c r="I23650" s="50"/>
      <c r="O23650" s="36" t="s">
        <v>48</v>
      </c>
      <c r="R23650" s="36" t="s">
        <v>48</v>
      </c>
    </row>
    <row r="23651">
      <c r="H23651" s="50"/>
      <c r="I23651" s="50"/>
      <c r="O23651" s="36" t="s">
        <v>48</v>
      </c>
      <c r="R23651" s="36" t="s">
        <v>48</v>
      </c>
    </row>
    <row r="23652">
      <c r="H23652" s="50"/>
      <c r="I23652" s="50"/>
      <c r="O23652" s="36" t="s">
        <v>48</v>
      </c>
      <c r="R23652" s="36" t="s">
        <v>48</v>
      </c>
    </row>
    <row r="23653">
      <c r="H23653" s="50"/>
      <c r="I23653" s="50"/>
      <c r="O23653" s="36" t="s">
        <v>48</v>
      </c>
      <c r="R23653" s="36" t="s">
        <v>48</v>
      </c>
    </row>
    <row r="23654">
      <c r="H23654" s="50"/>
      <c r="I23654" s="50"/>
      <c r="O23654" s="36" t="s">
        <v>48</v>
      </c>
      <c r="R23654" s="36" t="s">
        <v>48</v>
      </c>
    </row>
    <row r="23655">
      <c r="H23655" s="50"/>
      <c r="I23655" s="50"/>
      <c r="O23655" s="36" t="s">
        <v>48</v>
      </c>
      <c r="R23655" s="36" t="s">
        <v>48</v>
      </c>
    </row>
    <row r="23656">
      <c r="H23656" s="50"/>
      <c r="I23656" s="50"/>
      <c r="O23656" s="36" t="s">
        <v>48</v>
      </c>
      <c r="R23656" s="36" t="s">
        <v>48</v>
      </c>
    </row>
    <row r="23657">
      <c r="H23657" s="50"/>
      <c r="I23657" s="50"/>
      <c r="O23657" s="36" t="s">
        <v>48</v>
      </c>
      <c r="R23657" s="36" t="s">
        <v>48</v>
      </c>
    </row>
    <row r="23658">
      <c r="H23658" s="50"/>
      <c r="I23658" s="50"/>
      <c r="O23658" s="36" t="s">
        <v>48</v>
      </c>
      <c r="R23658" s="36" t="s">
        <v>48</v>
      </c>
    </row>
    <row r="23659">
      <c r="H23659" s="50"/>
      <c r="I23659" s="50"/>
      <c r="O23659" s="36" t="s">
        <v>48</v>
      </c>
      <c r="R23659" s="36" t="s">
        <v>48</v>
      </c>
    </row>
    <row r="23660">
      <c r="H23660" s="50"/>
      <c r="I23660" s="50"/>
      <c r="O23660" s="36" t="s">
        <v>48</v>
      </c>
      <c r="R23660" s="36" t="s">
        <v>48</v>
      </c>
    </row>
    <row r="23661">
      <c r="H23661" s="50"/>
      <c r="I23661" s="50"/>
      <c r="O23661" s="36" t="s">
        <v>48</v>
      </c>
      <c r="R23661" s="36" t="s">
        <v>48</v>
      </c>
    </row>
    <row r="23662">
      <c r="H23662" s="50"/>
      <c r="I23662" s="50"/>
      <c r="O23662" s="36" t="s">
        <v>48</v>
      </c>
      <c r="R23662" s="36" t="s">
        <v>48</v>
      </c>
    </row>
    <row r="23663">
      <c r="H23663" s="50"/>
      <c r="I23663" s="50"/>
      <c r="O23663" s="36" t="s">
        <v>48</v>
      </c>
      <c r="R23663" s="36" t="s">
        <v>48</v>
      </c>
    </row>
    <row r="23664">
      <c r="H23664" s="50"/>
      <c r="I23664" s="50"/>
      <c r="O23664" s="36" t="s">
        <v>48</v>
      </c>
      <c r="R23664" s="36" t="s">
        <v>48</v>
      </c>
    </row>
    <row r="23665">
      <c r="H23665" s="50"/>
      <c r="I23665" s="50"/>
      <c r="O23665" s="36" t="s">
        <v>48</v>
      </c>
      <c r="R23665" s="36" t="s">
        <v>48</v>
      </c>
    </row>
    <row r="23666">
      <c r="H23666" s="50"/>
      <c r="I23666" s="50"/>
      <c r="O23666" s="36" t="s">
        <v>48</v>
      </c>
      <c r="R23666" s="36" t="s">
        <v>48</v>
      </c>
    </row>
    <row r="23667">
      <c r="H23667" s="50"/>
      <c r="I23667" s="50"/>
      <c r="O23667" s="36" t="s">
        <v>48</v>
      </c>
      <c r="R23667" s="36" t="s">
        <v>48</v>
      </c>
    </row>
    <row r="23668">
      <c r="H23668" s="50"/>
      <c r="I23668" s="50"/>
      <c r="O23668" s="36" t="s">
        <v>48</v>
      </c>
      <c r="R23668" s="36" t="s">
        <v>48</v>
      </c>
    </row>
    <row r="23669">
      <c r="H23669" s="50"/>
      <c r="I23669" s="50"/>
      <c r="O23669" s="36" t="s">
        <v>48</v>
      </c>
      <c r="R23669" s="36" t="s">
        <v>48</v>
      </c>
    </row>
    <row r="23670">
      <c r="H23670" s="50"/>
      <c r="I23670" s="50"/>
      <c r="O23670" s="36" t="s">
        <v>48</v>
      </c>
      <c r="R23670" s="36" t="s">
        <v>48</v>
      </c>
    </row>
    <row r="23671">
      <c r="H23671" s="50"/>
      <c r="I23671" s="50"/>
      <c r="O23671" s="36" t="s">
        <v>48</v>
      </c>
      <c r="R23671" s="36" t="s">
        <v>48</v>
      </c>
    </row>
    <row r="23672">
      <c r="H23672" s="50"/>
      <c r="I23672" s="50"/>
      <c r="O23672" s="36" t="s">
        <v>48</v>
      </c>
      <c r="R23672" s="36" t="s">
        <v>48</v>
      </c>
    </row>
    <row r="23673">
      <c r="H23673" s="50"/>
      <c r="I23673" s="50"/>
      <c r="O23673" s="36" t="s">
        <v>48</v>
      </c>
      <c r="R23673" s="36" t="s">
        <v>48</v>
      </c>
    </row>
    <row r="23674">
      <c r="H23674" s="50"/>
      <c r="I23674" s="50"/>
      <c r="O23674" s="36" t="s">
        <v>48</v>
      </c>
      <c r="R23674" s="36" t="s">
        <v>48</v>
      </c>
    </row>
    <row r="23675">
      <c r="H23675" s="50"/>
      <c r="I23675" s="50"/>
      <c r="O23675" s="36" t="s">
        <v>48</v>
      </c>
      <c r="R23675" s="36" t="s">
        <v>48</v>
      </c>
    </row>
    <row r="23676">
      <c r="H23676" s="50"/>
      <c r="I23676" s="50"/>
      <c r="O23676" s="36" t="s">
        <v>48</v>
      </c>
      <c r="R23676" s="36" t="s">
        <v>48</v>
      </c>
    </row>
    <row r="23677">
      <c r="H23677" s="50"/>
      <c r="I23677" s="50"/>
      <c r="O23677" s="36" t="s">
        <v>48</v>
      </c>
      <c r="R23677" s="36" t="s">
        <v>48</v>
      </c>
    </row>
    <row r="23678">
      <c r="H23678" s="50"/>
      <c r="I23678" s="50"/>
      <c r="O23678" s="36" t="s">
        <v>48</v>
      </c>
      <c r="R23678" s="36" t="s">
        <v>48</v>
      </c>
    </row>
    <row r="23679">
      <c r="H23679" s="50"/>
      <c r="I23679" s="50"/>
      <c r="O23679" s="36" t="s">
        <v>48</v>
      </c>
      <c r="R23679" s="36" t="s">
        <v>48</v>
      </c>
    </row>
    <row r="23680">
      <c r="H23680" s="50"/>
      <c r="I23680" s="50"/>
      <c r="O23680" s="36" t="s">
        <v>48</v>
      </c>
      <c r="R23680" s="36" t="s">
        <v>48</v>
      </c>
    </row>
    <row r="23681">
      <c r="H23681" s="50"/>
      <c r="I23681" s="50"/>
      <c r="O23681" s="36" t="s">
        <v>48</v>
      </c>
      <c r="R23681" s="36" t="s">
        <v>48</v>
      </c>
    </row>
    <row r="23682">
      <c r="H23682" s="50"/>
      <c r="I23682" s="50"/>
      <c r="O23682" s="36" t="s">
        <v>48</v>
      </c>
      <c r="R23682" s="36" t="s">
        <v>48</v>
      </c>
    </row>
    <row r="23683">
      <c r="H23683" s="50"/>
      <c r="I23683" s="50"/>
      <c r="O23683" s="36" t="s">
        <v>48</v>
      </c>
      <c r="R23683" s="36" t="s">
        <v>48</v>
      </c>
    </row>
    <row r="23684">
      <c r="H23684" s="50"/>
      <c r="I23684" s="50"/>
      <c r="O23684" s="36" t="s">
        <v>48</v>
      </c>
      <c r="R23684" s="36" t="s">
        <v>48</v>
      </c>
    </row>
    <row r="23685">
      <c r="H23685" s="50"/>
      <c r="I23685" s="50"/>
      <c r="O23685" s="36" t="s">
        <v>48</v>
      </c>
      <c r="R23685" s="36" t="s">
        <v>48</v>
      </c>
    </row>
    <row r="23686">
      <c r="H23686" s="50"/>
      <c r="I23686" s="50"/>
      <c r="O23686" s="36" t="s">
        <v>48</v>
      </c>
      <c r="R23686" s="36" t="s">
        <v>48</v>
      </c>
    </row>
    <row r="23687">
      <c r="H23687" s="50"/>
      <c r="I23687" s="50"/>
      <c r="O23687" s="36" t="s">
        <v>48</v>
      </c>
      <c r="R23687" s="36" t="s">
        <v>48</v>
      </c>
    </row>
    <row r="23688">
      <c r="H23688" s="50"/>
      <c r="I23688" s="50"/>
      <c r="O23688" s="36" t="s">
        <v>48</v>
      </c>
      <c r="R23688" s="36" t="s">
        <v>48</v>
      </c>
    </row>
    <row r="23689">
      <c r="H23689" s="50"/>
      <c r="I23689" s="50"/>
      <c r="O23689" s="36" t="s">
        <v>48</v>
      </c>
      <c r="R23689" s="36" t="s">
        <v>48</v>
      </c>
    </row>
    <row r="23690">
      <c r="H23690" s="50"/>
      <c r="I23690" s="50"/>
      <c r="O23690" s="36" t="s">
        <v>48</v>
      </c>
      <c r="R23690" s="36" t="s">
        <v>48</v>
      </c>
    </row>
    <row r="23691">
      <c r="H23691" s="50"/>
      <c r="I23691" s="50"/>
      <c r="O23691" s="36" t="s">
        <v>48</v>
      </c>
      <c r="R23691" s="36" t="s">
        <v>48</v>
      </c>
    </row>
    <row r="23692">
      <c r="H23692" s="50"/>
      <c r="I23692" s="50"/>
      <c r="O23692" s="36" t="s">
        <v>48</v>
      </c>
      <c r="R23692" s="36" t="s">
        <v>48</v>
      </c>
    </row>
    <row r="23693">
      <c r="H23693" s="50"/>
      <c r="I23693" s="50"/>
      <c r="O23693" s="36" t="s">
        <v>48</v>
      </c>
      <c r="R23693" s="36" t="s">
        <v>48</v>
      </c>
    </row>
    <row r="23694">
      <c r="H23694" s="50"/>
      <c r="I23694" s="50"/>
      <c r="O23694" s="36" t="s">
        <v>48</v>
      </c>
      <c r="R23694" s="36" t="s">
        <v>48</v>
      </c>
    </row>
    <row r="23695">
      <c r="H23695" s="50"/>
      <c r="I23695" s="50"/>
      <c r="O23695" s="36" t="s">
        <v>48</v>
      </c>
      <c r="R23695" s="36" t="s">
        <v>48</v>
      </c>
    </row>
    <row r="23696">
      <c r="H23696" s="50"/>
      <c r="I23696" s="50"/>
      <c r="O23696" s="36" t="s">
        <v>48</v>
      </c>
      <c r="R23696" s="36" t="s">
        <v>48</v>
      </c>
    </row>
    <row r="23697">
      <c r="H23697" s="50"/>
      <c r="I23697" s="50"/>
      <c r="O23697" s="36" t="s">
        <v>48</v>
      </c>
      <c r="R23697" s="36" t="s">
        <v>48</v>
      </c>
    </row>
    <row r="23698">
      <c r="H23698" s="50"/>
      <c r="I23698" s="50"/>
      <c r="O23698" s="36" t="s">
        <v>48</v>
      </c>
      <c r="R23698" s="36" t="s">
        <v>48</v>
      </c>
    </row>
    <row r="23699">
      <c r="H23699" s="50"/>
      <c r="I23699" s="50"/>
      <c r="O23699" s="36" t="s">
        <v>48</v>
      </c>
      <c r="R23699" s="36" t="s">
        <v>48</v>
      </c>
    </row>
    <row r="23700">
      <c r="H23700" s="50"/>
      <c r="I23700" s="50"/>
      <c r="O23700" s="36" t="s">
        <v>48</v>
      </c>
      <c r="R23700" s="36" t="s">
        <v>48</v>
      </c>
    </row>
    <row r="23701">
      <c r="H23701" s="50"/>
      <c r="I23701" s="50"/>
      <c r="O23701" s="36" t="s">
        <v>48</v>
      </c>
      <c r="R23701" s="36" t="s">
        <v>48</v>
      </c>
    </row>
    <row r="23702">
      <c r="H23702" s="50"/>
      <c r="I23702" s="50"/>
      <c r="O23702" s="36" t="s">
        <v>48</v>
      </c>
      <c r="R23702" s="36" t="s">
        <v>48</v>
      </c>
    </row>
    <row r="23703">
      <c r="H23703" s="50"/>
      <c r="I23703" s="50"/>
      <c r="O23703" s="36" t="s">
        <v>48</v>
      </c>
      <c r="R23703" s="36" t="s">
        <v>48</v>
      </c>
    </row>
    <row r="23704">
      <c r="H23704" s="50"/>
      <c r="I23704" s="50"/>
      <c r="O23704" s="36" t="s">
        <v>48</v>
      </c>
      <c r="R23704" s="36" t="s">
        <v>48</v>
      </c>
    </row>
    <row r="23705">
      <c r="H23705" s="50"/>
      <c r="I23705" s="50"/>
      <c r="O23705" s="36" t="s">
        <v>48</v>
      </c>
      <c r="R23705" s="36" t="s">
        <v>48</v>
      </c>
    </row>
    <row r="23706">
      <c r="H23706" s="50"/>
      <c r="I23706" s="50"/>
      <c r="O23706" s="36" t="s">
        <v>48</v>
      </c>
      <c r="R23706" s="36" t="s">
        <v>48</v>
      </c>
    </row>
    <row r="23707">
      <c r="H23707" s="50"/>
      <c r="I23707" s="50"/>
      <c r="O23707" s="36" t="s">
        <v>48</v>
      </c>
      <c r="R23707" s="36" t="s">
        <v>48</v>
      </c>
    </row>
    <row r="23708">
      <c r="H23708" s="50"/>
      <c r="I23708" s="50"/>
      <c r="O23708" s="36" t="s">
        <v>48</v>
      </c>
      <c r="R23708" s="36" t="s">
        <v>48</v>
      </c>
    </row>
    <row r="23709">
      <c r="H23709" s="50"/>
      <c r="I23709" s="50"/>
      <c r="O23709" s="36" t="s">
        <v>48</v>
      </c>
      <c r="R23709" s="36" t="s">
        <v>48</v>
      </c>
    </row>
    <row r="23710">
      <c r="H23710" s="50"/>
      <c r="I23710" s="50"/>
      <c r="O23710" s="36" t="s">
        <v>48</v>
      </c>
      <c r="R23710" s="36" t="s">
        <v>48</v>
      </c>
    </row>
    <row r="23711">
      <c r="H23711" s="50"/>
      <c r="I23711" s="50"/>
      <c r="O23711" s="36" t="s">
        <v>48</v>
      </c>
      <c r="R23711" s="36" t="s">
        <v>48</v>
      </c>
    </row>
    <row r="23712">
      <c r="H23712" s="50"/>
      <c r="I23712" s="50"/>
      <c r="O23712" s="36" t="s">
        <v>48</v>
      </c>
      <c r="R23712" s="36" t="s">
        <v>48</v>
      </c>
    </row>
    <row r="23713">
      <c r="H23713" s="50"/>
      <c r="I23713" s="50"/>
      <c r="O23713" s="36" t="s">
        <v>48</v>
      </c>
      <c r="R23713" s="36" t="s">
        <v>48</v>
      </c>
    </row>
    <row r="23714">
      <c r="H23714" s="50"/>
      <c r="I23714" s="50"/>
      <c r="O23714" s="36" t="s">
        <v>48</v>
      </c>
      <c r="R23714" s="36" t="s">
        <v>48</v>
      </c>
    </row>
    <row r="23715">
      <c r="H23715" s="50"/>
      <c r="I23715" s="50"/>
      <c r="O23715" s="36" t="s">
        <v>48</v>
      </c>
      <c r="R23715" s="36" t="s">
        <v>48</v>
      </c>
    </row>
    <row r="23716">
      <c r="H23716" s="50"/>
      <c r="I23716" s="50"/>
      <c r="O23716" s="36" t="s">
        <v>48</v>
      </c>
      <c r="R23716" s="36" t="s">
        <v>48</v>
      </c>
    </row>
    <row r="23717">
      <c r="H23717" s="50"/>
      <c r="I23717" s="50"/>
      <c r="O23717" s="36" t="s">
        <v>48</v>
      </c>
      <c r="R23717" s="36" t="s">
        <v>48</v>
      </c>
    </row>
    <row r="23718">
      <c r="H23718" s="50"/>
      <c r="I23718" s="50"/>
      <c r="O23718" s="36" t="s">
        <v>48</v>
      </c>
      <c r="R23718" s="36" t="s">
        <v>48</v>
      </c>
    </row>
    <row r="23719">
      <c r="H23719" s="50"/>
      <c r="I23719" s="50"/>
      <c r="O23719" s="36" t="s">
        <v>48</v>
      </c>
      <c r="R23719" s="36" t="s">
        <v>48</v>
      </c>
    </row>
    <row r="23720">
      <c r="H23720" s="50"/>
      <c r="I23720" s="50"/>
      <c r="O23720" s="36" t="s">
        <v>48</v>
      </c>
      <c r="R23720" s="36" t="s">
        <v>48</v>
      </c>
    </row>
    <row r="23721">
      <c r="H23721" s="50"/>
      <c r="I23721" s="50"/>
      <c r="O23721" s="36" t="s">
        <v>48</v>
      </c>
      <c r="R23721" s="36" t="s">
        <v>48</v>
      </c>
    </row>
    <row r="23722">
      <c r="H23722" s="50"/>
      <c r="I23722" s="50"/>
      <c r="O23722" s="36" t="s">
        <v>48</v>
      </c>
      <c r="R23722" s="36" t="s">
        <v>48</v>
      </c>
    </row>
    <row r="23723">
      <c r="H23723" s="50"/>
      <c r="I23723" s="50"/>
      <c r="O23723" s="36" t="s">
        <v>48</v>
      </c>
      <c r="R23723" s="36" t="s">
        <v>48</v>
      </c>
    </row>
    <row r="23724">
      <c r="H23724" s="50"/>
      <c r="I23724" s="50"/>
      <c r="O23724" s="36" t="s">
        <v>48</v>
      </c>
      <c r="R23724" s="36" t="s">
        <v>48</v>
      </c>
    </row>
    <row r="23725">
      <c r="H23725" s="50"/>
      <c r="I23725" s="50"/>
      <c r="O23725" s="36" t="s">
        <v>48</v>
      </c>
      <c r="R23725" s="36" t="s">
        <v>48</v>
      </c>
    </row>
    <row r="23726">
      <c r="H23726" s="50"/>
      <c r="I23726" s="50"/>
      <c r="O23726" s="36" t="s">
        <v>48</v>
      </c>
      <c r="R23726" s="36" t="s">
        <v>48</v>
      </c>
    </row>
    <row r="23727">
      <c r="H23727" s="50"/>
      <c r="I23727" s="50"/>
      <c r="O23727" s="36" t="s">
        <v>48</v>
      </c>
      <c r="R23727" s="36" t="s">
        <v>48</v>
      </c>
    </row>
    <row r="23728">
      <c r="H23728" s="50"/>
      <c r="I23728" s="50"/>
      <c r="O23728" s="36" t="s">
        <v>48</v>
      </c>
      <c r="R23728" s="36" t="s">
        <v>48</v>
      </c>
    </row>
    <row r="23729">
      <c r="H23729" s="50"/>
      <c r="I23729" s="50"/>
      <c r="O23729" s="36" t="s">
        <v>48</v>
      </c>
      <c r="R23729" s="36" t="s">
        <v>48</v>
      </c>
    </row>
    <row r="23730">
      <c r="H23730" s="50"/>
      <c r="I23730" s="50"/>
      <c r="O23730" s="36" t="s">
        <v>48</v>
      </c>
      <c r="R23730" s="36" t="s">
        <v>48</v>
      </c>
    </row>
    <row r="23731">
      <c r="H23731" s="50"/>
      <c r="I23731" s="50"/>
      <c r="O23731" s="36" t="s">
        <v>48</v>
      </c>
      <c r="R23731" s="36" t="s">
        <v>48</v>
      </c>
    </row>
    <row r="23732">
      <c r="H23732" s="50"/>
      <c r="I23732" s="50"/>
      <c r="O23732" s="36" t="s">
        <v>48</v>
      </c>
      <c r="R23732" s="36" t="s">
        <v>48</v>
      </c>
    </row>
    <row r="23733">
      <c r="H23733" s="50"/>
      <c r="I23733" s="50"/>
      <c r="O23733" s="36" t="s">
        <v>48</v>
      </c>
      <c r="R23733" s="36" t="s">
        <v>48</v>
      </c>
    </row>
    <row r="23734">
      <c r="H23734" s="50"/>
      <c r="I23734" s="50"/>
      <c r="O23734" s="36" t="s">
        <v>48</v>
      </c>
      <c r="R23734" s="36" t="s">
        <v>48</v>
      </c>
    </row>
    <row r="23735">
      <c r="H23735" s="50"/>
      <c r="I23735" s="50"/>
      <c r="O23735" s="36" t="s">
        <v>48</v>
      </c>
      <c r="R23735" s="36" t="s">
        <v>48</v>
      </c>
    </row>
    <row r="23736">
      <c r="H23736" s="50"/>
      <c r="I23736" s="50"/>
      <c r="O23736" s="36" t="s">
        <v>48</v>
      </c>
      <c r="R23736" s="36" t="s">
        <v>48</v>
      </c>
    </row>
    <row r="23737">
      <c r="H23737" s="50"/>
      <c r="I23737" s="50"/>
      <c r="O23737" s="36" t="s">
        <v>48</v>
      </c>
      <c r="R23737" s="36" t="s">
        <v>48</v>
      </c>
    </row>
    <row r="23738">
      <c r="H23738" s="50"/>
      <c r="I23738" s="50"/>
      <c r="O23738" s="36" t="s">
        <v>48</v>
      </c>
      <c r="R23738" s="36" t="s">
        <v>48</v>
      </c>
    </row>
    <row r="23739">
      <c r="H23739" s="50"/>
      <c r="I23739" s="50"/>
      <c r="O23739" s="36" t="s">
        <v>48</v>
      </c>
      <c r="R23739" s="36" t="s">
        <v>48</v>
      </c>
    </row>
    <row r="23740">
      <c r="H23740" s="50"/>
      <c r="I23740" s="50"/>
      <c r="O23740" s="36" t="s">
        <v>48</v>
      </c>
      <c r="R23740" s="36" t="s">
        <v>48</v>
      </c>
    </row>
    <row r="23741">
      <c r="H23741" s="50"/>
      <c r="I23741" s="50"/>
      <c r="O23741" s="36" t="s">
        <v>48</v>
      </c>
      <c r="R23741" s="36" t="s">
        <v>48</v>
      </c>
    </row>
    <row r="23742">
      <c r="H23742" s="50"/>
      <c r="I23742" s="50"/>
      <c r="O23742" s="36" t="s">
        <v>48</v>
      </c>
      <c r="R23742" s="36" t="s">
        <v>48</v>
      </c>
    </row>
    <row r="23743">
      <c r="H23743" s="50"/>
      <c r="I23743" s="50"/>
      <c r="O23743" s="36" t="s">
        <v>48</v>
      </c>
      <c r="R23743" s="36" t="s">
        <v>48</v>
      </c>
    </row>
    <row r="23744">
      <c r="H23744" s="50"/>
      <c r="I23744" s="50"/>
      <c r="O23744" s="36" t="s">
        <v>48</v>
      </c>
      <c r="R23744" s="36" t="s">
        <v>48</v>
      </c>
    </row>
    <row r="23745">
      <c r="H23745" s="50"/>
      <c r="I23745" s="50"/>
      <c r="O23745" s="36" t="s">
        <v>48</v>
      </c>
      <c r="R23745" s="36" t="s">
        <v>48</v>
      </c>
    </row>
    <row r="23746">
      <c r="H23746" s="50"/>
      <c r="I23746" s="50"/>
      <c r="O23746" s="36" t="s">
        <v>48</v>
      </c>
      <c r="R23746" s="36" t="s">
        <v>48</v>
      </c>
    </row>
    <row r="23747">
      <c r="H23747" s="50"/>
      <c r="I23747" s="50"/>
      <c r="O23747" s="36" t="s">
        <v>48</v>
      </c>
      <c r="R23747" s="36" t="s">
        <v>48</v>
      </c>
    </row>
    <row r="23748">
      <c r="H23748" s="50"/>
      <c r="I23748" s="50"/>
      <c r="O23748" s="36" t="s">
        <v>48</v>
      </c>
      <c r="R23748" s="36" t="s">
        <v>48</v>
      </c>
    </row>
    <row r="23749">
      <c r="H23749" s="50"/>
      <c r="I23749" s="50"/>
      <c r="O23749" s="36" t="s">
        <v>48</v>
      </c>
      <c r="R23749" s="36" t="s">
        <v>48</v>
      </c>
    </row>
    <row r="23750">
      <c r="H23750" s="50"/>
      <c r="I23750" s="50"/>
      <c r="O23750" s="36" t="s">
        <v>48</v>
      </c>
      <c r="R23750" s="36" t="s">
        <v>48</v>
      </c>
    </row>
    <row r="23751">
      <c r="H23751" s="50"/>
      <c r="I23751" s="50"/>
      <c r="O23751" s="36" t="s">
        <v>48</v>
      </c>
      <c r="R23751" s="36" t="s">
        <v>48</v>
      </c>
    </row>
    <row r="23752">
      <c r="H23752" s="50"/>
      <c r="I23752" s="50"/>
      <c r="O23752" s="36" t="s">
        <v>48</v>
      </c>
      <c r="R23752" s="36" t="s">
        <v>48</v>
      </c>
    </row>
    <row r="23753">
      <c r="H23753" s="50"/>
      <c r="I23753" s="50"/>
      <c r="O23753" s="36" t="s">
        <v>48</v>
      </c>
      <c r="R23753" s="36" t="s">
        <v>48</v>
      </c>
    </row>
    <row r="23754">
      <c r="H23754" s="50"/>
      <c r="I23754" s="50"/>
      <c r="O23754" s="36" t="s">
        <v>48</v>
      </c>
      <c r="R23754" s="36" t="s">
        <v>48</v>
      </c>
    </row>
    <row r="23755">
      <c r="H23755" s="50"/>
      <c r="I23755" s="50"/>
      <c r="O23755" s="36" t="s">
        <v>48</v>
      </c>
      <c r="R23755" s="36" t="s">
        <v>48</v>
      </c>
    </row>
    <row r="23756">
      <c r="H23756" s="50"/>
      <c r="I23756" s="50"/>
      <c r="O23756" s="36" t="s">
        <v>48</v>
      </c>
      <c r="R23756" s="36" t="s">
        <v>48</v>
      </c>
    </row>
    <row r="23757">
      <c r="H23757" s="50"/>
      <c r="I23757" s="50"/>
      <c r="O23757" s="36" t="s">
        <v>48</v>
      </c>
      <c r="R23757" s="36" t="s">
        <v>48</v>
      </c>
    </row>
    <row r="23758">
      <c r="H23758" s="50"/>
      <c r="I23758" s="50"/>
      <c r="O23758" s="36" t="s">
        <v>48</v>
      </c>
      <c r="R23758" s="36" t="s">
        <v>48</v>
      </c>
    </row>
    <row r="23759">
      <c r="H23759" s="50"/>
      <c r="I23759" s="50"/>
      <c r="O23759" s="36" t="s">
        <v>48</v>
      </c>
      <c r="R23759" s="36" t="s">
        <v>48</v>
      </c>
    </row>
    <row r="23760">
      <c r="H23760" s="50"/>
      <c r="I23760" s="50"/>
      <c r="O23760" s="36" t="s">
        <v>48</v>
      </c>
      <c r="R23760" s="36" t="s">
        <v>48</v>
      </c>
    </row>
    <row r="23761">
      <c r="H23761" s="50"/>
      <c r="I23761" s="50"/>
      <c r="O23761" s="36" t="s">
        <v>48</v>
      </c>
      <c r="R23761" s="36" t="s">
        <v>48</v>
      </c>
    </row>
    <row r="23762">
      <c r="H23762" s="50"/>
      <c r="I23762" s="50"/>
      <c r="O23762" s="36" t="s">
        <v>48</v>
      </c>
      <c r="R23762" s="36" t="s">
        <v>48</v>
      </c>
    </row>
    <row r="23763">
      <c r="H23763" s="50"/>
      <c r="I23763" s="50"/>
      <c r="O23763" s="36" t="s">
        <v>48</v>
      </c>
      <c r="R23763" s="36" t="s">
        <v>48</v>
      </c>
    </row>
    <row r="23764">
      <c r="H23764" s="50"/>
      <c r="I23764" s="50"/>
      <c r="O23764" s="36" t="s">
        <v>48</v>
      </c>
      <c r="R23764" s="36" t="s">
        <v>48</v>
      </c>
    </row>
    <row r="23765">
      <c r="H23765" s="50"/>
      <c r="I23765" s="50"/>
      <c r="O23765" s="36" t="s">
        <v>48</v>
      </c>
      <c r="R23765" s="36" t="s">
        <v>48</v>
      </c>
    </row>
    <row r="23766">
      <c r="H23766" s="50"/>
      <c r="I23766" s="50"/>
      <c r="O23766" s="36" t="s">
        <v>48</v>
      </c>
      <c r="R23766" s="36" t="s">
        <v>48</v>
      </c>
    </row>
    <row r="23767">
      <c r="H23767" s="50"/>
      <c r="I23767" s="50"/>
      <c r="O23767" s="36" t="s">
        <v>48</v>
      </c>
      <c r="R23767" s="36" t="s">
        <v>48</v>
      </c>
    </row>
    <row r="23768">
      <c r="H23768" s="50"/>
      <c r="I23768" s="50"/>
      <c r="O23768" s="36" t="s">
        <v>48</v>
      </c>
      <c r="R23768" s="36" t="s">
        <v>48</v>
      </c>
    </row>
    <row r="23769">
      <c r="H23769" s="50"/>
      <c r="I23769" s="50"/>
      <c r="O23769" s="36" t="s">
        <v>48</v>
      </c>
      <c r="R23769" s="36" t="s">
        <v>48</v>
      </c>
    </row>
    <row r="23770">
      <c r="H23770" s="50"/>
      <c r="I23770" s="50"/>
      <c r="O23770" s="36" t="s">
        <v>48</v>
      </c>
      <c r="R23770" s="36" t="s">
        <v>48</v>
      </c>
    </row>
    <row r="23771">
      <c r="H23771" s="50"/>
      <c r="I23771" s="50"/>
      <c r="O23771" s="36" t="s">
        <v>48</v>
      </c>
      <c r="R23771" s="36" t="s">
        <v>48</v>
      </c>
    </row>
    <row r="23772">
      <c r="H23772" s="50"/>
      <c r="I23772" s="50"/>
      <c r="O23772" s="36" t="s">
        <v>48</v>
      </c>
      <c r="R23772" s="36" t="s">
        <v>48</v>
      </c>
    </row>
    <row r="23773">
      <c r="H23773" s="50"/>
      <c r="I23773" s="50"/>
      <c r="O23773" s="36" t="s">
        <v>48</v>
      </c>
      <c r="R23773" s="36" t="s">
        <v>48</v>
      </c>
    </row>
    <row r="23774">
      <c r="H23774" s="50"/>
      <c r="I23774" s="50"/>
      <c r="O23774" s="36" t="s">
        <v>48</v>
      </c>
      <c r="R23774" s="36" t="s">
        <v>48</v>
      </c>
    </row>
    <row r="23775">
      <c r="H23775" s="50"/>
      <c r="I23775" s="50"/>
      <c r="O23775" s="36" t="s">
        <v>48</v>
      </c>
      <c r="R23775" s="36" t="s">
        <v>48</v>
      </c>
    </row>
    <row r="23776">
      <c r="H23776" s="50"/>
      <c r="I23776" s="50"/>
      <c r="O23776" s="36" t="s">
        <v>48</v>
      </c>
      <c r="R23776" s="36" t="s">
        <v>48</v>
      </c>
    </row>
    <row r="23777">
      <c r="H23777" s="50"/>
      <c r="I23777" s="50"/>
      <c r="O23777" s="36" t="s">
        <v>48</v>
      </c>
      <c r="R23777" s="36" t="s">
        <v>48</v>
      </c>
    </row>
    <row r="23778">
      <c r="H23778" s="50"/>
      <c r="I23778" s="50"/>
      <c r="O23778" s="36" t="s">
        <v>48</v>
      </c>
      <c r="R23778" s="36" t="s">
        <v>48</v>
      </c>
    </row>
    <row r="23779">
      <c r="H23779" s="50"/>
      <c r="I23779" s="50"/>
      <c r="O23779" s="36" t="s">
        <v>48</v>
      </c>
      <c r="R23779" s="36" t="s">
        <v>48</v>
      </c>
    </row>
    <row r="23780">
      <c r="H23780" s="50"/>
      <c r="I23780" s="50"/>
      <c r="O23780" s="36" t="s">
        <v>48</v>
      </c>
      <c r="R23780" s="36" t="s">
        <v>48</v>
      </c>
    </row>
    <row r="23781">
      <c r="H23781" s="50"/>
      <c r="I23781" s="50"/>
      <c r="O23781" s="36" t="s">
        <v>48</v>
      </c>
      <c r="R23781" s="36" t="s">
        <v>48</v>
      </c>
    </row>
    <row r="23782">
      <c r="H23782" s="50"/>
      <c r="I23782" s="50"/>
      <c r="O23782" s="36" t="s">
        <v>48</v>
      </c>
      <c r="R23782" s="36" t="s">
        <v>48</v>
      </c>
    </row>
    <row r="23783">
      <c r="H23783" s="50"/>
      <c r="I23783" s="50"/>
      <c r="O23783" s="36" t="s">
        <v>48</v>
      </c>
      <c r="R23783" s="36" t="s">
        <v>48</v>
      </c>
    </row>
    <row r="23784">
      <c r="H23784" s="50"/>
      <c r="I23784" s="50"/>
      <c r="O23784" s="36" t="s">
        <v>48</v>
      </c>
      <c r="R23784" s="36" t="s">
        <v>48</v>
      </c>
    </row>
    <row r="23785">
      <c r="H23785" s="50"/>
      <c r="I23785" s="50"/>
      <c r="O23785" s="36" t="s">
        <v>48</v>
      </c>
      <c r="R23785" s="36" t="s">
        <v>48</v>
      </c>
    </row>
    <row r="23786">
      <c r="H23786" s="50"/>
      <c r="I23786" s="50"/>
      <c r="O23786" s="36" t="s">
        <v>48</v>
      </c>
      <c r="R23786" s="36" t="s">
        <v>48</v>
      </c>
    </row>
    <row r="23787">
      <c r="H23787" s="50"/>
      <c r="I23787" s="50"/>
      <c r="O23787" s="36" t="s">
        <v>48</v>
      </c>
      <c r="R23787" s="36" t="s">
        <v>48</v>
      </c>
    </row>
    <row r="23788">
      <c r="H23788" s="50"/>
      <c r="I23788" s="50"/>
      <c r="O23788" s="36" t="s">
        <v>48</v>
      </c>
      <c r="R23788" s="36" t="s">
        <v>48</v>
      </c>
    </row>
    <row r="23789">
      <c r="H23789" s="50"/>
      <c r="I23789" s="50"/>
      <c r="O23789" s="36" t="s">
        <v>48</v>
      </c>
      <c r="R23789" s="36" t="s">
        <v>48</v>
      </c>
    </row>
    <row r="23790">
      <c r="H23790" s="50"/>
      <c r="I23790" s="50"/>
      <c r="O23790" s="36" t="s">
        <v>48</v>
      </c>
      <c r="R23790" s="36" t="s">
        <v>48</v>
      </c>
    </row>
    <row r="23791">
      <c r="H23791" s="50"/>
      <c r="I23791" s="50"/>
      <c r="O23791" s="36" t="s">
        <v>48</v>
      </c>
      <c r="R23791" s="36" t="s">
        <v>48</v>
      </c>
    </row>
    <row r="23792">
      <c r="H23792" s="50"/>
      <c r="I23792" s="50"/>
      <c r="O23792" s="36" t="s">
        <v>48</v>
      </c>
      <c r="R23792" s="36" t="s">
        <v>48</v>
      </c>
    </row>
    <row r="23793">
      <c r="H23793" s="50"/>
      <c r="I23793" s="50"/>
      <c r="O23793" s="36" t="s">
        <v>48</v>
      </c>
      <c r="R23793" s="36" t="s">
        <v>48</v>
      </c>
    </row>
    <row r="23794">
      <c r="H23794" s="50"/>
      <c r="I23794" s="50"/>
      <c r="O23794" s="36" t="s">
        <v>48</v>
      </c>
      <c r="R23794" s="36" t="s">
        <v>48</v>
      </c>
    </row>
    <row r="23795">
      <c r="H23795" s="50"/>
      <c r="I23795" s="50"/>
      <c r="O23795" s="36" t="s">
        <v>48</v>
      </c>
      <c r="R23795" s="36" t="s">
        <v>48</v>
      </c>
    </row>
    <row r="23796">
      <c r="H23796" s="50"/>
      <c r="I23796" s="50"/>
      <c r="O23796" s="36" t="s">
        <v>48</v>
      </c>
      <c r="R23796" s="36" t="s">
        <v>48</v>
      </c>
    </row>
    <row r="23797">
      <c r="H23797" s="50"/>
      <c r="I23797" s="50"/>
      <c r="O23797" s="36" t="s">
        <v>48</v>
      </c>
      <c r="R23797" s="36" t="s">
        <v>48</v>
      </c>
    </row>
    <row r="23798">
      <c r="H23798" s="50"/>
      <c r="I23798" s="50"/>
      <c r="O23798" s="36" t="s">
        <v>48</v>
      </c>
      <c r="R23798" s="36" t="s">
        <v>48</v>
      </c>
    </row>
    <row r="23799">
      <c r="H23799" s="50"/>
      <c r="I23799" s="50"/>
      <c r="O23799" s="36" t="s">
        <v>48</v>
      </c>
      <c r="R23799" s="36" t="s">
        <v>48</v>
      </c>
    </row>
    <row r="23800">
      <c r="H23800" s="50"/>
      <c r="I23800" s="50"/>
      <c r="O23800" s="36" t="s">
        <v>48</v>
      </c>
      <c r="R23800" s="36" t="s">
        <v>48</v>
      </c>
    </row>
    <row r="23801">
      <c r="H23801" s="50"/>
      <c r="I23801" s="50"/>
      <c r="O23801" s="36" t="s">
        <v>48</v>
      </c>
      <c r="R23801" s="36" t="s">
        <v>48</v>
      </c>
    </row>
    <row r="23802">
      <c r="H23802" s="50"/>
      <c r="I23802" s="50"/>
      <c r="O23802" s="36" t="s">
        <v>48</v>
      </c>
      <c r="R23802" s="36" t="s">
        <v>48</v>
      </c>
    </row>
    <row r="23803">
      <c r="H23803" s="50"/>
      <c r="I23803" s="50"/>
      <c r="O23803" s="36" t="s">
        <v>48</v>
      </c>
      <c r="R23803" s="36" t="s">
        <v>48</v>
      </c>
    </row>
    <row r="23804">
      <c r="H23804" s="50"/>
      <c r="I23804" s="50"/>
      <c r="O23804" s="36" t="s">
        <v>48</v>
      </c>
      <c r="R23804" s="36" t="s">
        <v>48</v>
      </c>
    </row>
    <row r="23805">
      <c r="H23805" s="50"/>
      <c r="I23805" s="50"/>
      <c r="O23805" s="36" t="s">
        <v>48</v>
      </c>
      <c r="R23805" s="36" t="s">
        <v>48</v>
      </c>
    </row>
    <row r="23806">
      <c r="H23806" s="50"/>
      <c r="I23806" s="50"/>
      <c r="O23806" s="36" t="s">
        <v>48</v>
      </c>
      <c r="R23806" s="36" t="s">
        <v>48</v>
      </c>
    </row>
    <row r="23807">
      <c r="H23807" s="50"/>
      <c r="I23807" s="50"/>
      <c r="O23807" s="36" t="s">
        <v>48</v>
      </c>
      <c r="R23807" s="36" t="s">
        <v>48</v>
      </c>
    </row>
    <row r="23808">
      <c r="H23808" s="50"/>
      <c r="I23808" s="50"/>
      <c r="O23808" s="36" t="s">
        <v>48</v>
      </c>
      <c r="R23808" s="36" t="s">
        <v>48</v>
      </c>
    </row>
    <row r="23809">
      <c r="H23809" s="50"/>
      <c r="I23809" s="50"/>
      <c r="O23809" s="36" t="s">
        <v>48</v>
      </c>
      <c r="R23809" s="36" t="s">
        <v>48</v>
      </c>
    </row>
    <row r="23810">
      <c r="H23810" s="50"/>
      <c r="I23810" s="50"/>
      <c r="O23810" s="36" t="s">
        <v>48</v>
      </c>
      <c r="R23810" s="36" t="s">
        <v>48</v>
      </c>
    </row>
    <row r="23811">
      <c r="H23811" s="50"/>
      <c r="I23811" s="50"/>
      <c r="O23811" s="36" t="s">
        <v>48</v>
      </c>
      <c r="R23811" s="36" t="s">
        <v>48</v>
      </c>
    </row>
    <row r="23812">
      <c r="H23812" s="50"/>
      <c r="I23812" s="50"/>
      <c r="O23812" s="36" t="s">
        <v>48</v>
      </c>
      <c r="R23812" s="36" t="s">
        <v>48</v>
      </c>
    </row>
    <row r="23813">
      <c r="H23813" s="50"/>
      <c r="I23813" s="50"/>
      <c r="O23813" s="36" t="s">
        <v>48</v>
      </c>
      <c r="R23813" s="36" t="s">
        <v>48</v>
      </c>
    </row>
    <row r="23814">
      <c r="H23814" s="50"/>
      <c r="I23814" s="50"/>
      <c r="O23814" s="36" t="s">
        <v>48</v>
      </c>
      <c r="R23814" s="36" t="s">
        <v>48</v>
      </c>
    </row>
    <row r="23815">
      <c r="H23815" s="50"/>
      <c r="I23815" s="50"/>
      <c r="O23815" s="36" t="s">
        <v>48</v>
      </c>
      <c r="R23815" s="36" t="s">
        <v>48</v>
      </c>
    </row>
    <row r="23816">
      <c r="H23816" s="50"/>
      <c r="I23816" s="50"/>
      <c r="O23816" s="36" t="s">
        <v>48</v>
      </c>
      <c r="R23816" s="36" t="s">
        <v>48</v>
      </c>
    </row>
    <row r="23817">
      <c r="H23817" s="50"/>
      <c r="I23817" s="50"/>
      <c r="O23817" s="36" t="s">
        <v>48</v>
      </c>
      <c r="R23817" s="36" t="s">
        <v>48</v>
      </c>
    </row>
    <row r="23818">
      <c r="H23818" s="50"/>
      <c r="I23818" s="50"/>
      <c r="O23818" s="36" t="s">
        <v>48</v>
      </c>
      <c r="R23818" s="36" t="s">
        <v>48</v>
      </c>
    </row>
    <row r="23819">
      <c r="H23819" s="50"/>
      <c r="I23819" s="50"/>
      <c r="O23819" s="36" t="s">
        <v>48</v>
      </c>
      <c r="R23819" s="36" t="s">
        <v>48</v>
      </c>
    </row>
    <row r="23820">
      <c r="H23820" s="50"/>
      <c r="I23820" s="50"/>
      <c r="O23820" s="36" t="s">
        <v>48</v>
      </c>
      <c r="R23820" s="36" t="s">
        <v>48</v>
      </c>
    </row>
    <row r="23821">
      <c r="H23821" s="50"/>
      <c r="I23821" s="50"/>
      <c r="O23821" s="36" t="s">
        <v>48</v>
      </c>
      <c r="R23821" s="36" t="s">
        <v>48</v>
      </c>
    </row>
    <row r="23822">
      <c r="H23822" s="50"/>
      <c r="I23822" s="50"/>
      <c r="O23822" s="36" t="s">
        <v>48</v>
      </c>
      <c r="R23822" s="36" t="s">
        <v>48</v>
      </c>
    </row>
    <row r="23823">
      <c r="H23823" s="50"/>
      <c r="I23823" s="50"/>
      <c r="O23823" s="36" t="s">
        <v>48</v>
      </c>
      <c r="R23823" s="36" t="s">
        <v>48</v>
      </c>
    </row>
    <row r="23824">
      <c r="H23824" s="50"/>
      <c r="I23824" s="50"/>
      <c r="O23824" s="36" t="s">
        <v>48</v>
      </c>
      <c r="R23824" s="36" t="s">
        <v>48</v>
      </c>
    </row>
    <row r="23825">
      <c r="H23825" s="50"/>
      <c r="I23825" s="50"/>
      <c r="O23825" s="36" t="s">
        <v>48</v>
      </c>
      <c r="R23825" s="36" t="s">
        <v>48</v>
      </c>
    </row>
    <row r="23826">
      <c r="H23826" s="50"/>
      <c r="I23826" s="50"/>
      <c r="O23826" s="36" t="s">
        <v>48</v>
      </c>
      <c r="R23826" s="36" t="s">
        <v>48</v>
      </c>
    </row>
    <row r="23827">
      <c r="H23827" s="50"/>
      <c r="I23827" s="50"/>
      <c r="O23827" s="36" t="s">
        <v>48</v>
      </c>
      <c r="R23827" s="36" t="s">
        <v>48</v>
      </c>
    </row>
    <row r="23828">
      <c r="H23828" s="50"/>
      <c r="I23828" s="50"/>
      <c r="O23828" s="36" t="s">
        <v>48</v>
      </c>
      <c r="R23828" s="36" t="s">
        <v>48</v>
      </c>
    </row>
    <row r="23829">
      <c r="H23829" s="50"/>
      <c r="I23829" s="50"/>
      <c r="O23829" s="36" t="s">
        <v>48</v>
      </c>
      <c r="R23829" s="36" t="s">
        <v>48</v>
      </c>
    </row>
    <row r="23830">
      <c r="H23830" s="50"/>
      <c r="I23830" s="50"/>
      <c r="O23830" s="36" t="s">
        <v>48</v>
      </c>
      <c r="R23830" s="36" t="s">
        <v>48</v>
      </c>
    </row>
    <row r="23831">
      <c r="H23831" s="50"/>
      <c r="I23831" s="50"/>
      <c r="O23831" s="36" t="s">
        <v>48</v>
      </c>
      <c r="R23831" s="36" t="s">
        <v>48</v>
      </c>
    </row>
    <row r="23832">
      <c r="H23832" s="50"/>
      <c r="I23832" s="50"/>
      <c r="O23832" s="36" t="s">
        <v>48</v>
      </c>
      <c r="R23832" s="36" t="s">
        <v>48</v>
      </c>
    </row>
    <row r="23833">
      <c r="H23833" s="50"/>
      <c r="I23833" s="50"/>
      <c r="O23833" s="36" t="s">
        <v>48</v>
      </c>
      <c r="R23833" s="36" t="s">
        <v>48</v>
      </c>
    </row>
    <row r="23834">
      <c r="H23834" s="50"/>
      <c r="I23834" s="50"/>
      <c r="O23834" s="36" t="s">
        <v>48</v>
      </c>
      <c r="R23834" s="36" t="s">
        <v>48</v>
      </c>
    </row>
    <row r="23835">
      <c r="H23835" s="50"/>
      <c r="I23835" s="50"/>
      <c r="O23835" s="36" t="s">
        <v>48</v>
      </c>
      <c r="R23835" s="36" t="s">
        <v>48</v>
      </c>
    </row>
    <row r="23836">
      <c r="H23836" s="50"/>
      <c r="I23836" s="50"/>
      <c r="O23836" s="36" t="s">
        <v>48</v>
      </c>
      <c r="R23836" s="36" t="s">
        <v>48</v>
      </c>
    </row>
    <row r="23837">
      <c r="H23837" s="50"/>
      <c r="I23837" s="50"/>
      <c r="O23837" s="36" t="s">
        <v>48</v>
      </c>
      <c r="R23837" s="36" t="s">
        <v>48</v>
      </c>
    </row>
    <row r="23838">
      <c r="H23838" s="50"/>
      <c r="I23838" s="50"/>
      <c r="O23838" s="36" t="s">
        <v>48</v>
      </c>
      <c r="R23838" s="36" t="s">
        <v>48</v>
      </c>
    </row>
    <row r="23839">
      <c r="H23839" s="50"/>
      <c r="I23839" s="50"/>
      <c r="O23839" s="36" t="s">
        <v>48</v>
      </c>
      <c r="R23839" s="36" t="s">
        <v>48</v>
      </c>
    </row>
    <row r="23840">
      <c r="H23840" s="50"/>
      <c r="I23840" s="50"/>
      <c r="O23840" s="36" t="s">
        <v>48</v>
      </c>
      <c r="R23840" s="36" t="s">
        <v>48</v>
      </c>
    </row>
    <row r="23841">
      <c r="H23841" s="50"/>
      <c r="I23841" s="50"/>
      <c r="O23841" s="36" t="s">
        <v>48</v>
      </c>
      <c r="R23841" s="36" t="s">
        <v>48</v>
      </c>
    </row>
    <row r="23842">
      <c r="H23842" s="50"/>
      <c r="I23842" s="50"/>
      <c r="O23842" s="36" t="s">
        <v>48</v>
      </c>
      <c r="R23842" s="36" t="s">
        <v>48</v>
      </c>
    </row>
    <row r="23843">
      <c r="H23843" s="50"/>
      <c r="I23843" s="50"/>
      <c r="O23843" s="36" t="s">
        <v>48</v>
      </c>
      <c r="R23843" s="36" t="s">
        <v>48</v>
      </c>
    </row>
    <row r="23844">
      <c r="H23844" s="50"/>
      <c r="I23844" s="50"/>
      <c r="O23844" s="36" t="s">
        <v>48</v>
      </c>
      <c r="R23844" s="36" t="s">
        <v>48</v>
      </c>
    </row>
    <row r="23845">
      <c r="H23845" s="50"/>
      <c r="I23845" s="50"/>
      <c r="O23845" s="36" t="s">
        <v>48</v>
      </c>
      <c r="R23845" s="36" t="s">
        <v>48</v>
      </c>
    </row>
    <row r="23846">
      <c r="H23846" s="50"/>
      <c r="I23846" s="50"/>
      <c r="O23846" s="36" t="s">
        <v>48</v>
      </c>
      <c r="R23846" s="36" t="s">
        <v>48</v>
      </c>
    </row>
    <row r="23847">
      <c r="H23847" s="50"/>
      <c r="I23847" s="50"/>
      <c r="O23847" s="36" t="s">
        <v>48</v>
      </c>
      <c r="R23847" s="36" t="s">
        <v>48</v>
      </c>
    </row>
    <row r="23848">
      <c r="H23848" s="50"/>
      <c r="I23848" s="50"/>
      <c r="O23848" s="36" t="s">
        <v>48</v>
      </c>
      <c r="R23848" s="36" t="s">
        <v>48</v>
      </c>
    </row>
    <row r="23849">
      <c r="H23849" s="50"/>
      <c r="I23849" s="50"/>
      <c r="O23849" s="36" t="s">
        <v>48</v>
      </c>
      <c r="R23849" s="36" t="s">
        <v>48</v>
      </c>
    </row>
    <row r="23850">
      <c r="H23850" s="50"/>
      <c r="I23850" s="50"/>
      <c r="O23850" s="36" t="s">
        <v>48</v>
      </c>
      <c r="R23850" s="36" t="s">
        <v>48</v>
      </c>
    </row>
    <row r="23851">
      <c r="H23851" s="50"/>
      <c r="I23851" s="50"/>
      <c r="O23851" s="36" t="s">
        <v>48</v>
      </c>
      <c r="R23851" s="36" t="s">
        <v>48</v>
      </c>
    </row>
    <row r="23852">
      <c r="H23852" s="50"/>
      <c r="I23852" s="50"/>
      <c r="O23852" s="36" t="s">
        <v>48</v>
      </c>
      <c r="R23852" s="36" t="s">
        <v>48</v>
      </c>
    </row>
    <row r="23853">
      <c r="H23853" s="50"/>
      <c r="I23853" s="50"/>
      <c r="O23853" s="36" t="s">
        <v>48</v>
      </c>
      <c r="R23853" s="36" t="s">
        <v>48</v>
      </c>
    </row>
    <row r="23854">
      <c r="H23854" s="50"/>
      <c r="I23854" s="50"/>
      <c r="O23854" s="36" t="s">
        <v>48</v>
      </c>
      <c r="R23854" s="36" t="s">
        <v>48</v>
      </c>
    </row>
    <row r="23855">
      <c r="H23855" s="50"/>
      <c r="I23855" s="50"/>
      <c r="O23855" s="36" t="s">
        <v>48</v>
      </c>
      <c r="R23855" s="36" t="s">
        <v>48</v>
      </c>
    </row>
    <row r="23856">
      <c r="H23856" s="50"/>
      <c r="I23856" s="50"/>
      <c r="O23856" s="36" t="s">
        <v>48</v>
      </c>
      <c r="R23856" s="36" t="s">
        <v>48</v>
      </c>
    </row>
    <row r="23857">
      <c r="H23857" s="50"/>
      <c r="I23857" s="50"/>
      <c r="O23857" s="36" t="s">
        <v>48</v>
      </c>
      <c r="R23857" s="36" t="s">
        <v>48</v>
      </c>
    </row>
    <row r="23858">
      <c r="H23858" s="50"/>
      <c r="I23858" s="50"/>
      <c r="O23858" s="36" t="s">
        <v>48</v>
      </c>
      <c r="R23858" s="36" t="s">
        <v>48</v>
      </c>
    </row>
    <row r="23859">
      <c r="H23859" s="50"/>
      <c r="I23859" s="50"/>
      <c r="O23859" s="36" t="s">
        <v>48</v>
      </c>
      <c r="R23859" s="36" t="s">
        <v>48</v>
      </c>
    </row>
    <row r="23860">
      <c r="H23860" s="50"/>
      <c r="I23860" s="50"/>
      <c r="O23860" s="36" t="s">
        <v>48</v>
      </c>
      <c r="R23860" s="36" t="s">
        <v>48</v>
      </c>
    </row>
    <row r="23861">
      <c r="H23861" s="50"/>
      <c r="I23861" s="50"/>
      <c r="O23861" s="36" t="s">
        <v>48</v>
      </c>
      <c r="R23861" s="36" t="s">
        <v>48</v>
      </c>
    </row>
    <row r="23862">
      <c r="H23862" s="50"/>
      <c r="I23862" s="50"/>
      <c r="O23862" s="36" t="s">
        <v>48</v>
      </c>
      <c r="R23862" s="36" t="s">
        <v>48</v>
      </c>
    </row>
    <row r="23863">
      <c r="H23863" s="50"/>
      <c r="I23863" s="50"/>
      <c r="O23863" s="36" t="s">
        <v>48</v>
      </c>
      <c r="R23863" s="36" t="s">
        <v>48</v>
      </c>
    </row>
    <row r="23864">
      <c r="H23864" s="50"/>
      <c r="I23864" s="50"/>
      <c r="O23864" s="36" t="s">
        <v>48</v>
      </c>
      <c r="R23864" s="36" t="s">
        <v>48</v>
      </c>
    </row>
    <row r="23865">
      <c r="H23865" s="50"/>
      <c r="I23865" s="50"/>
      <c r="O23865" s="36" t="s">
        <v>48</v>
      </c>
      <c r="R23865" s="36" t="s">
        <v>48</v>
      </c>
    </row>
    <row r="23866">
      <c r="H23866" s="50"/>
      <c r="I23866" s="50"/>
      <c r="O23866" s="36" t="s">
        <v>48</v>
      </c>
      <c r="R23866" s="36" t="s">
        <v>48</v>
      </c>
    </row>
    <row r="23867">
      <c r="H23867" s="50"/>
      <c r="I23867" s="50"/>
      <c r="O23867" s="36" t="s">
        <v>48</v>
      </c>
      <c r="R23867" s="36" t="s">
        <v>48</v>
      </c>
    </row>
    <row r="23868">
      <c r="H23868" s="50"/>
      <c r="I23868" s="50"/>
      <c r="O23868" s="36" t="s">
        <v>48</v>
      </c>
      <c r="R23868" s="36" t="s">
        <v>48</v>
      </c>
    </row>
    <row r="23869">
      <c r="H23869" s="50"/>
      <c r="I23869" s="50"/>
      <c r="O23869" s="36" t="s">
        <v>48</v>
      </c>
      <c r="R23869" s="36" t="s">
        <v>48</v>
      </c>
    </row>
    <row r="23870">
      <c r="H23870" s="50"/>
      <c r="I23870" s="50"/>
      <c r="O23870" s="36" t="s">
        <v>48</v>
      </c>
      <c r="R23870" s="36" t="s">
        <v>48</v>
      </c>
    </row>
    <row r="23871">
      <c r="H23871" s="50"/>
      <c r="I23871" s="50"/>
      <c r="O23871" s="36" t="s">
        <v>48</v>
      </c>
      <c r="R23871" s="36" t="s">
        <v>48</v>
      </c>
    </row>
    <row r="23872">
      <c r="H23872" s="50"/>
      <c r="I23872" s="50"/>
      <c r="O23872" s="36" t="s">
        <v>48</v>
      </c>
      <c r="R23872" s="36" t="s">
        <v>48</v>
      </c>
    </row>
    <row r="23873">
      <c r="H23873" s="50"/>
      <c r="I23873" s="50"/>
      <c r="O23873" s="36" t="s">
        <v>48</v>
      </c>
      <c r="R23873" s="36" t="s">
        <v>48</v>
      </c>
    </row>
    <row r="23874">
      <c r="H23874" s="50"/>
      <c r="I23874" s="50"/>
      <c r="O23874" s="36" t="s">
        <v>48</v>
      </c>
      <c r="R23874" s="36" t="s">
        <v>48</v>
      </c>
    </row>
    <row r="23875">
      <c r="H23875" s="50"/>
      <c r="I23875" s="50"/>
      <c r="O23875" s="36" t="s">
        <v>48</v>
      </c>
      <c r="R23875" s="36" t="s">
        <v>48</v>
      </c>
    </row>
    <row r="23876">
      <c r="H23876" s="50"/>
      <c r="I23876" s="50"/>
      <c r="O23876" s="36" t="s">
        <v>48</v>
      </c>
      <c r="R23876" s="36" t="s">
        <v>48</v>
      </c>
    </row>
    <row r="23877">
      <c r="H23877" s="50"/>
      <c r="I23877" s="50"/>
      <c r="O23877" s="36" t="s">
        <v>48</v>
      </c>
      <c r="R23877" s="36" t="s">
        <v>48</v>
      </c>
    </row>
    <row r="23878">
      <c r="H23878" s="50"/>
      <c r="I23878" s="50"/>
      <c r="O23878" s="36" t="s">
        <v>48</v>
      </c>
      <c r="R23878" s="36" t="s">
        <v>48</v>
      </c>
    </row>
    <row r="23879">
      <c r="H23879" s="50"/>
      <c r="I23879" s="50"/>
      <c r="O23879" s="36" t="s">
        <v>48</v>
      </c>
      <c r="R23879" s="36" t="s">
        <v>48</v>
      </c>
    </row>
    <row r="23880">
      <c r="H23880" s="50"/>
      <c r="I23880" s="50"/>
      <c r="O23880" s="36" t="s">
        <v>48</v>
      </c>
      <c r="R23880" s="36" t="s">
        <v>48</v>
      </c>
    </row>
    <row r="23881">
      <c r="H23881" s="50"/>
      <c r="I23881" s="50"/>
      <c r="O23881" s="36" t="s">
        <v>48</v>
      </c>
      <c r="R23881" s="36" t="s">
        <v>48</v>
      </c>
    </row>
    <row r="23882">
      <c r="H23882" s="50"/>
      <c r="I23882" s="50"/>
      <c r="O23882" s="36" t="s">
        <v>48</v>
      </c>
      <c r="R23882" s="36" t="s">
        <v>48</v>
      </c>
    </row>
    <row r="23883">
      <c r="H23883" s="50"/>
      <c r="I23883" s="50"/>
      <c r="O23883" s="36" t="s">
        <v>48</v>
      </c>
      <c r="R23883" s="36" t="s">
        <v>48</v>
      </c>
    </row>
    <row r="23884">
      <c r="H23884" s="50"/>
      <c r="I23884" s="50"/>
      <c r="O23884" s="36" t="s">
        <v>48</v>
      </c>
      <c r="R23884" s="36" t="s">
        <v>48</v>
      </c>
    </row>
    <row r="23885">
      <c r="H23885" s="50"/>
      <c r="I23885" s="50"/>
      <c r="O23885" s="36" t="s">
        <v>48</v>
      </c>
      <c r="R23885" s="36" t="s">
        <v>48</v>
      </c>
    </row>
    <row r="23886">
      <c r="H23886" s="50"/>
      <c r="I23886" s="50"/>
      <c r="O23886" s="36" t="s">
        <v>48</v>
      </c>
      <c r="R23886" s="36" t="s">
        <v>48</v>
      </c>
    </row>
    <row r="23887">
      <c r="H23887" s="50"/>
      <c r="I23887" s="50"/>
      <c r="O23887" s="36" t="s">
        <v>48</v>
      </c>
      <c r="R23887" s="36" t="s">
        <v>48</v>
      </c>
    </row>
    <row r="23888">
      <c r="H23888" s="50"/>
      <c r="I23888" s="50"/>
      <c r="O23888" s="36" t="s">
        <v>48</v>
      </c>
      <c r="R23888" s="36" t="s">
        <v>48</v>
      </c>
    </row>
    <row r="23889">
      <c r="H23889" s="50"/>
      <c r="I23889" s="50"/>
      <c r="O23889" s="36" t="s">
        <v>48</v>
      </c>
      <c r="R23889" s="36" t="s">
        <v>48</v>
      </c>
    </row>
    <row r="23890">
      <c r="H23890" s="50"/>
      <c r="I23890" s="50"/>
      <c r="O23890" s="36" t="s">
        <v>48</v>
      </c>
      <c r="R23890" s="36" t="s">
        <v>48</v>
      </c>
    </row>
    <row r="23891">
      <c r="H23891" s="50"/>
      <c r="I23891" s="50"/>
      <c r="O23891" s="36" t="s">
        <v>48</v>
      </c>
      <c r="R23891" s="36" t="s">
        <v>48</v>
      </c>
    </row>
    <row r="23892">
      <c r="H23892" s="50"/>
      <c r="I23892" s="50"/>
      <c r="O23892" s="36" t="s">
        <v>48</v>
      </c>
      <c r="R23892" s="36" t="s">
        <v>48</v>
      </c>
    </row>
    <row r="23893">
      <c r="H23893" s="50"/>
      <c r="I23893" s="50"/>
      <c r="O23893" s="36" t="s">
        <v>48</v>
      </c>
      <c r="R23893" s="36" t="s">
        <v>48</v>
      </c>
    </row>
    <row r="23894">
      <c r="H23894" s="50"/>
      <c r="I23894" s="50"/>
      <c r="O23894" s="36" t="s">
        <v>48</v>
      </c>
      <c r="R23894" s="36" t="s">
        <v>48</v>
      </c>
    </row>
    <row r="23895">
      <c r="H23895" s="50"/>
      <c r="I23895" s="50"/>
      <c r="O23895" s="36" t="s">
        <v>48</v>
      </c>
      <c r="R23895" s="36" t="s">
        <v>48</v>
      </c>
    </row>
    <row r="23896">
      <c r="H23896" s="50"/>
      <c r="I23896" s="50"/>
      <c r="O23896" s="36" t="s">
        <v>48</v>
      </c>
      <c r="R23896" s="36" t="s">
        <v>48</v>
      </c>
    </row>
    <row r="23897">
      <c r="H23897" s="50"/>
      <c r="I23897" s="50"/>
      <c r="O23897" s="36" t="s">
        <v>48</v>
      </c>
      <c r="R23897" s="36" t="s">
        <v>48</v>
      </c>
    </row>
    <row r="23898">
      <c r="H23898" s="50"/>
      <c r="I23898" s="50"/>
      <c r="O23898" s="36" t="s">
        <v>48</v>
      </c>
      <c r="R23898" s="36" t="s">
        <v>48</v>
      </c>
    </row>
    <row r="23899">
      <c r="H23899" s="50"/>
      <c r="I23899" s="50"/>
      <c r="O23899" s="36" t="s">
        <v>48</v>
      </c>
      <c r="R23899" s="36" t="s">
        <v>48</v>
      </c>
    </row>
    <row r="23900">
      <c r="H23900" s="50"/>
      <c r="I23900" s="50"/>
      <c r="O23900" s="36" t="s">
        <v>48</v>
      </c>
      <c r="R23900" s="36" t="s">
        <v>48</v>
      </c>
    </row>
    <row r="23901">
      <c r="H23901" s="50"/>
      <c r="I23901" s="50"/>
      <c r="O23901" s="36" t="s">
        <v>48</v>
      </c>
      <c r="R23901" s="36" t="s">
        <v>48</v>
      </c>
    </row>
    <row r="23902">
      <c r="H23902" s="50"/>
      <c r="I23902" s="50"/>
      <c r="O23902" s="36" t="s">
        <v>48</v>
      </c>
      <c r="R23902" s="36" t="s">
        <v>48</v>
      </c>
    </row>
    <row r="23903">
      <c r="H23903" s="50"/>
      <c r="I23903" s="50"/>
      <c r="O23903" s="36" t="s">
        <v>48</v>
      </c>
      <c r="R23903" s="36" t="s">
        <v>48</v>
      </c>
    </row>
    <row r="23904">
      <c r="H23904" s="50"/>
      <c r="I23904" s="50"/>
      <c r="O23904" s="36" t="s">
        <v>48</v>
      </c>
      <c r="R23904" s="36" t="s">
        <v>48</v>
      </c>
    </row>
    <row r="23905">
      <c r="H23905" s="50"/>
      <c r="I23905" s="50"/>
      <c r="O23905" s="36" t="s">
        <v>48</v>
      </c>
      <c r="R23905" s="36" t="s">
        <v>48</v>
      </c>
    </row>
    <row r="23906">
      <c r="H23906" s="50"/>
      <c r="I23906" s="50"/>
      <c r="O23906" s="36" t="s">
        <v>48</v>
      </c>
      <c r="R23906" s="36" t="s">
        <v>48</v>
      </c>
    </row>
    <row r="23907">
      <c r="H23907" s="50"/>
      <c r="I23907" s="50"/>
      <c r="O23907" s="36" t="s">
        <v>48</v>
      </c>
      <c r="R23907" s="36" t="s">
        <v>48</v>
      </c>
    </row>
    <row r="23908">
      <c r="H23908" s="50"/>
      <c r="I23908" s="50"/>
      <c r="O23908" s="36" t="s">
        <v>48</v>
      </c>
      <c r="R23908" s="36" t="s">
        <v>48</v>
      </c>
    </row>
    <row r="23909">
      <c r="H23909" s="50"/>
      <c r="I23909" s="50"/>
      <c r="O23909" s="36" t="s">
        <v>48</v>
      </c>
      <c r="R23909" s="36" t="s">
        <v>48</v>
      </c>
    </row>
    <row r="23910">
      <c r="H23910" s="50"/>
      <c r="I23910" s="50"/>
      <c r="O23910" s="36" t="s">
        <v>48</v>
      </c>
      <c r="R23910" s="36" t="s">
        <v>48</v>
      </c>
    </row>
    <row r="23911">
      <c r="H23911" s="50"/>
      <c r="I23911" s="50"/>
      <c r="O23911" s="36" t="s">
        <v>48</v>
      </c>
      <c r="R23911" s="36" t="s">
        <v>48</v>
      </c>
    </row>
    <row r="23912">
      <c r="H23912" s="50"/>
      <c r="I23912" s="50"/>
      <c r="O23912" s="36" t="s">
        <v>48</v>
      </c>
      <c r="R23912" s="36" t="s">
        <v>48</v>
      </c>
    </row>
    <row r="23913">
      <c r="H23913" s="50"/>
      <c r="I23913" s="50"/>
      <c r="O23913" s="36" t="s">
        <v>48</v>
      </c>
      <c r="R23913" s="36" t="s">
        <v>48</v>
      </c>
    </row>
    <row r="23914">
      <c r="H23914" s="50"/>
      <c r="I23914" s="50"/>
      <c r="O23914" s="36" t="s">
        <v>48</v>
      </c>
      <c r="R23914" s="36" t="s">
        <v>48</v>
      </c>
    </row>
    <row r="23915">
      <c r="H23915" s="50"/>
      <c r="I23915" s="50"/>
      <c r="O23915" s="36" t="s">
        <v>48</v>
      </c>
      <c r="R23915" s="36" t="s">
        <v>48</v>
      </c>
    </row>
    <row r="23916">
      <c r="H23916" s="50"/>
      <c r="I23916" s="50"/>
      <c r="O23916" s="36" t="s">
        <v>48</v>
      </c>
      <c r="R23916" s="36" t="s">
        <v>48</v>
      </c>
    </row>
    <row r="23917">
      <c r="H23917" s="50"/>
      <c r="I23917" s="50"/>
      <c r="O23917" s="36" t="s">
        <v>48</v>
      </c>
      <c r="R23917" s="36" t="s">
        <v>48</v>
      </c>
    </row>
    <row r="23918">
      <c r="H23918" s="50"/>
      <c r="I23918" s="50"/>
      <c r="O23918" s="36" t="s">
        <v>48</v>
      </c>
      <c r="R23918" s="36" t="s">
        <v>48</v>
      </c>
    </row>
    <row r="23919">
      <c r="H23919" s="50"/>
      <c r="I23919" s="50"/>
      <c r="O23919" s="36" t="s">
        <v>48</v>
      </c>
      <c r="R23919" s="36" t="s">
        <v>48</v>
      </c>
    </row>
    <row r="23920">
      <c r="H23920" s="50"/>
      <c r="I23920" s="50"/>
      <c r="O23920" s="36" t="s">
        <v>48</v>
      </c>
      <c r="R23920" s="36" t="s">
        <v>48</v>
      </c>
    </row>
    <row r="23921">
      <c r="H23921" s="50"/>
      <c r="I23921" s="50"/>
      <c r="O23921" s="36" t="s">
        <v>48</v>
      </c>
      <c r="R23921" s="36" t="s">
        <v>48</v>
      </c>
    </row>
    <row r="23922">
      <c r="H23922" s="50"/>
      <c r="I23922" s="50"/>
      <c r="O23922" s="36" t="s">
        <v>48</v>
      </c>
      <c r="R23922" s="36" t="s">
        <v>48</v>
      </c>
    </row>
    <row r="23923">
      <c r="H23923" s="50"/>
      <c r="I23923" s="50"/>
      <c r="O23923" s="36" t="s">
        <v>48</v>
      </c>
      <c r="R23923" s="36" t="s">
        <v>48</v>
      </c>
    </row>
    <row r="23924">
      <c r="H23924" s="50"/>
      <c r="I23924" s="50"/>
      <c r="O23924" s="36" t="s">
        <v>48</v>
      </c>
      <c r="R23924" s="36" t="s">
        <v>48</v>
      </c>
    </row>
    <row r="23925">
      <c r="H23925" s="50"/>
      <c r="I23925" s="50"/>
      <c r="O23925" s="36" t="s">
        <v>48</v>
      </c>
      <c r="R23925" s="36" t="s">
        <v>48</v>
      </c>
    </row>
    <row r="23926">
      <c r="H23926" s="50"/>
      <c r="I23926" s="50"/>
      <c r="O23926" s="36" t="s">
        <v>48</v>
      </c>
      <c r="R23926" s="36" t="s">
        <v>48</v>
      </c>
    </row>
    <row r="23927">
      <c r="H23927" s="50"/>
      <c r="I23927" s="50"/>
      <c r="O23927" s="36" t="s">
        <v>48</v>
      </c>
      <c r="R23927" s="36" t="s">
        <v>48</v>
      </c>
    </row>
    <row r="23928">
      <c r="H23928" s="50"/>
      <c r="I23928" s="50"/>
      <c r="O23928" s="36" t="s">
        <v>48</v>
      </c>
      <c r="R23928" s="36" t="s">
        <v>48</v>
      </c>
    </row>
    <row r="23929">
      <c r="H23929" s="50"/>
      <c r="I23929" s="50"/>
      <c r="O23929" s="36" t="s">
        <v>48</v>
      </c>
      <c r="R23929" s="36" t="s">
        <v>48</v>
      </c>
    </row>
    <row r="23930">
      <c r="H23930" s="50"/>
      <c r="I23930" s="50"/>
      <c r="O23930" s="36" t="s">
        <v>48</v>
      </c>
      <c r="R23930" s="36" t="s">
        <v>48</v>
      </c>
    </row>
    <row r="23931">
      <c r="H23931" s="50"/>
      <c r="I23931" s="50"/>
      <c r="O23931" s="36" t="s">
        <v>48</v>
      </c>
      <c r="R23931" s="36" t="s">
        <v>48</v>
      </c>
    </row>
    <row r="23932">
      <c r="H23932" s="50"/>
      <c r="I23932" s="50"/>
      <c r="O23932" s="36" t="s">
        <v>48</v>
      </c>
      <c r="R23932" s="36" t="s">
        <v>48</v>
      </c>
    </row>
    <row r="23933">
      <c r="H23933" s="50"/>
      <c r="I23933" s="50"/>
      <c r="O23933" s="36" t="s">
        <v>48</v>
      </c>
      <c r="R23933" s="36" t="s">
        <v>48</v>
      </c>
    </row>
    <row r="23934">
      <c r="H23934" s="50"/>
      <c r="I23934" s="50"/>
      <c r="O23934" s="36" t="s">
        <v>48</v>
      </c>
      <c r="R23934" s="36" t="s">
        <v>48</v>
      </c>
    </row>
    <row r="23935">
      <c r="H23935" s="50"/>
      <c r="I23935" s="50"/>
      <c r="O23935" s="36" t="s">
        <v>48</v>
      </c>
      <c r="R23935" s="36" t="s">
        <v>48</v>
      </c>
    </row>
    <row r="23936">
      <c r="H23936" s="50"/>
      <c r="I23936" s="50"/>
      <c r="O23936" s="36" t="s">
        <v>48</v>
      </c>
      <c r="R23936" s="36" t="s">
        <v>48</v>
      </c>
    </row>
    <row r="23937">
      <c r="H23937" s="50"/>
      <c r="I23937" s="50"/>
      <c r="O23937" s="36" t="s">
        <v>48</v>
      </c>
      <c r="R23937" s="36" t="s">
        <v>48</v>
      </c>
    </row>
    <row r="23938">
      <c r="H23938" s="50"/>
      <c r="I23938" s="50"/>
      <c r="O23938" s="36" t="s">
        <v>48</v>
      </c>
      <c r="R23938" s="36" t="s">
        <v>48</v>
      </c>
    </row>
    <row r="23939">
      <c r="H23939" s="50"/>
      <c r="I23939" s="50"/>
      <c r="O23939" s="36" t="s">
        <v>48</v>
      </c>
      <c r="R23939" s="36" t="s">
        <v>48</v>
      </c>
    </row>
    <row r="23940">
      <c r="H23940" s="50"/>
      <c r="I23940" s="50"/>
      <c r="O23940" s="36" t="s">
        <v>48</v>
      </c>
      <c r="R23940" s="36" t="s">
        <v>48</v>
      </c>
    </row>
    <row r="23941">
      <c r="H23941" s="50"/>
      <c r="I23941" s="50"/>
      <c r="O23941" s="36" t="s">
        <v>48</v>
      </c>
      <c r="R23941" s="36" t="s">
        <v>48</v>
      </c>
    </row>
    <row r="23942">
      <c r="H23942" s="50"/>
      <c r="I23942" s="50"/>
      <c r="O23942" s="36" t="s">
        <v>48</v>
      </c>
      <c r="R23942" s="36" t="s">
        <v>48</v>
      </c>
    </row>
    <row r="23943">
      <c r="H23943" s="50"/>
      <c r="I23943" s="50"/>
      <c r="O23943" s="36" t="s">
        <v>48</v>
      </c>
      <c r="R23943" s="36" t="s">
        <v>48</v>
      </c>
    </row>
    <row r="23944">
      <c r="H23944" s="50"/>
      <c r="I23944" s="50"/>
      <c r="O23944" s="36" t="s">
        <v>48</v>
      </c>
      <c r="R23944" s="36" t="s">
        <v>48</v>
      </c>
    </row>
    <row r="23945">
      <c r="H23945" s="50"/>
      <c r="I23945" s="50"/>
      <c r="O23945" s="36" t="s">
        <v>48</v>
      </c>
      <c r="R23945" s="36" t="s">
        <v>48</v>
      </c>
    </row>
    <row r="23946">
      <c r="H23946" s="50"/>
      <c r="I23946" s="50"/>
      <c r="O23946" s="36" t="s">
        <v>48</v>
      </c>
      <c r="R23946" s="36" t="s">
        <v>48</v>
      </c>
    </row>
    <row r="23947">
      <c r="H23947" s="50"/>
      <c r="I23947" s="50"/>
      <c r="O23947" s="36" t="s">
        <v>48</v>
      </c>
      <c r="R23947" s="36" t="s">
        <v>48</v>
      </c>
    </row>
    <row r="23948">
      <c r="H23948" s="50"/>
      <c r="I23948" s="50"/>
      <c r="O23948" s="36" t="s">
        <v>48</v>
      </c>
      <c r="R23948" s="36" t="s">
        <v>48</v>
      </c>
    </row>
    <row r="23949">
      <c r="H23949" s="50"/>
      <c r="I23949" s="50"/>
      <c r="O23949" s="36" t="s">
        <v>48</v>
      </c>
      <c r="R23949" s="36" t="s">
        <v>48</v>
      </c>
    </row>
    <row r="23950">
      <c r="H23950" s="50"/>
      <c r="I23950" s="50"/>
      <c r="O23950" s="36" t="s">
        <v>48</v>
      </c>
      <c r="R23950" s="36" t="s">
        <v>48</v>
      </c>
    </row>
    <row r="23951">
      <c r="H23951" s="50"/>
      <c r="I23951" s="50"/>
      <c r="O23951" s="36" t="s">
        <v>48</v>
      </c>
      <c r="R23951" s="36" t="s">
        <v>48</v>
      </c>
    </row>
    <row r="23952">
      <c r="H23952" s="50"/>
      <c r="I23952" s="50"/>
      <c r="O23952" s="36" t="s">
        <v>48</v>
      </c>
      <c r="R23952" s="36" t="s">
        <v>48</v>
      </c>
    </row>
    <row r="23953">
      <c r="H23953" s="50"/>
      <c r="I23953" s="50"/>
      <c r="O23953" s="36" t="s">
        <v>48</v>
      </c>
      <c r="R23953" s="36" t="s">
        <v>48</v>
      </c>
    </row>
    <row r="23954">
      <c r="H23954" s="50"/>
      <c r="I23954" s="50"/>
      <c r="O23954" s="36" t="s">
        <v>48</v>
      </c>
      <c r="R23954" s="36" t="s">
        <v>48</v>
      </c>
    </row>
    <row r="23955">
      <c r="H23955" s="50"/>
      <c r="I23955" s="50"/>
      <c r="O23955" s="36" t="s">
        <v>48</v>
      </c>
      <c r="R23955" s="36" t="s">
        <v>48</v>
      </c>
    </row>
    <row r="23956">
      <c r="H23956" s="50"/>
      <c r="I23956" s="50"/>
      <c r="O23956" s="36" t="s">
        <v>48</v>
      </c>
      <c r="R23956" s="36" t="s">
        <v>48</v>
      </c>
    </row>
    <row r="23957">
      <c r="H23957" s="50"/>
      <c r="I23957" s="50"/>
      <c r="O23957" s="36" t="s">
        <v>48</v>
      </c>
      <c r="R23957" s="36" t="s">
        <v>48</v>
      </c>
    </row>
    <row r="23958">
      <c r="H23958" s="50"/>
      <c r="I23958" s="50"/>
      <c r="O23958" s="36" t="s">
        <v>48</v>
      </c>
      <c r="R23958" s="36" t="s">
        <v>48</v>
      </c>
    </row>
    <row r="23959">
      <c r="H23959" s="50"/>
      <c r="I23959" s="50"/>
      <c r="O23959" s="36" t="s">
        <v>48</v>
      </c>
      <c r="R23959" s="36" t="s">
        <v>48</v>
      </c>
    </row>
    <row r="23960">
      <c r="H23960" s="50"/>
      <c r="I23960" s="50"/>
      <c r="O23960" s="36" t="s">
        <v>48</v>
      </c>
      <c r="R23960" s="36" t="s">
        <v>48</v>
      </c>
    </row>
    <row r="23961">
      <c r="H23961" s="50"/>
      <c r="I23961" s="50"/>
      <c r="O23961" s="36" t="s">
        <v>48</v>
      </c>
      <c r="R23961" s="36" t="s">
        <v>48</v>
      </c>
    </row>
    <row r="23962">
      <c r="H23962" s="50"/>
      <c r="I23962" s="50"/>
      <c r="O23962" s="36" t="s">
        <v>48</v>
      </c>
      <c r="R23962" s="36" t="s">
        <v>48</v>
      </c>
    </row>
    <row r="23963">
      <c r="H23963" s="50"/>
      <c r="I23963" s="50"/>
      <c r="O23963" s="36" t="s">
        <v>48</v>
      </c>
      <c r="R23963" s="36" t="s">
        <v>48</v>
      </c>
    </row>
    <row r="23964">
      <c r="H23964" s="50"/>
      <c r="I23964" s="50"/>
      <c r="O23964" s="36" t="s">
        <v>48</v>
      </c>
      <c r="R23964" s="36" t="s">
        <v>48</v>
      </c>
    </row>
    <row r="23965">
      <c r="H23965" s="50"/>
      <c r="I23965" s="50"/>
      <c r="O23965" s="36" t="s">
        <v>48</v>
      </c>
      <c r="R23965" s="36" t="s">
        <v>48</v>
      </c>
    </row>
    <row r="23966">
      <c r="H23966" s="50"/>
      <c r="I23966" s="50"/>
      <c r="O23966" s="36" t="s">
        <v>48</v>
      </c>
      <c r="R23966" s="36" t="s">
        <v>48</v>
      </c>
    </row>
    <row r="23967">
      <c r="H23967" s="50"/>
      <c r="I23967" s="50"/>
      <c r="O23967" s="36" t="s">
        <v>48</v>
      </c>
      <c r="R23967" s="36" t="s">
        <v>48</v>
      </c>
    </row>
    <row r="23968">
      <c r="H23968" s="50"/>
      <c r="I23968" s="50"/>
      <c r="O23968" s="36" t="s">
        <v>48</v>
      </c>
      <c r="R23968" s="36" t="s">
        <v>48</v>
      </c>
    </row>
    <row r="23969">
      <c r="H23969" s="50"/>
      <c r="I23969" s="50"/>
      <c r="O23969" s="36" t="s">
        <v>48</v>
      </c>
      <c r="R23969" s="36" t="s">
        <v>48</v>
      </c>
    </row>
    <row r="23970">
      <c r="H23970" s="50"/>
      <c r="I23970" s="50"/>
      <c r="O23970" s="36" t="s">
        <v>48</v>
      </c>
      <c r="R23970" s="36" t="s">
        <v>48</v>
      </c>
    </row>
    <row r="23971">
      <c r="H23971" s="50"/>
      <c r="I23971" s="50"/>
      <c r="O23971" s="36" t="s">
        <v>48</v>
      </c>
      <c r="R23971" s="36" t="s">
        <v>48</v>
      </c>
    </row>
    <row r="23972">
      <c r="H23972" s="50"/>
      <c r="I23972" s="50"/>
      <c r="O23972" s="36" t="s">
        <v>48</v>
      </c>
      <c r="R23972" s="36" t="s">
        <v>48</v>
      </c>
    </row>
    <row r="23973">
      <c r="H23973" s="50"/>
      <c r="I23973" s="50"/>
      <c r="O23973" s="36" t="s">
        <v>48</v>
      </c>
      <c r="R23973" s="36" t="s">
        <v>48</v>
      </c>
    </row>
    <row r="23974">
      <c r="H23974" s="50"/>
      <c r="I23974" s="50"/>
      <c r="O23974" s="36" t="s">
        <v>48</v>
      </c>
      <c r="R23974" s="36" t="s">
        <v>48</v>
      </c>
    </row>
    <row r="23975">
      <c r="H23975" s="50"/>
      <c r="I23975" s="50"/>
      <c r="O23975" s="36" t="s">
        <v>48</v>
      </c>
      <c r="R23975" s="36" t="s">
        <v>48</v>
      </c>
    </row>
    <row r="23976">
      <c r="H23976" s="50"/>
      <c r="I23976" s="50"/>
      <c r="O23976" s="36" t="s">
        <v>48</v>
      </c>
      <c r="R23976" s="36" t="s">
        <v>48</v>
      </c>
    </row>
    <row r="23977">
      <c r="H23977" s="50"/>
      <c r="I23977" s="50"/>
      <c r="O23977" s="36" t="s">
        <v>48</v>
      </c>
      <c r="R23977" s="36" t="s">
        <v>48</v>
      </c>
    </row>
    <row r="23978">
      <c r="H23978" s="50"/>
      <c r="I23978" s="50"/>
      <c r="O23978" s="36" t="s">
        <v>48</v>
      </c>
      <c r="R23978" s="36" t="s">
        <v>48</v>
      </c>
    </row>
    <row r="23979">
      <c r="H23979" s="50"/>
      <c r="I23979" s="50"/>
      <c r="O23979" s="36" t="s">
        <v>48</v>
      </c>
      <c r="R23979" s="36" t="s">
        <v>48</v>
      </c>
    </row>
    <row r="23980">
      <c r="H23980" s="50"/>
      <c r="I23980" s="50"/>
      <c r="O23980" s="36" t="s">
        <v>48</v>
      </c>
      <c r="R23980" s="36" t="s">
        <v>48</v>
      </c>
    </row>
    <row r="23981">
      <c r="H23981" s="50"/>
      <c r="I23981" s="50"/>
      <c r="O23981" s="36" t="s">
        <v>48</v>
      </c>
      <c r="R23981" s="36" t="s">
        <v>48</v>
      </c>
    </row>
    <row r="23982">
      <c r="H23982" s="50"/>
      <c r="I23982" s="50"/>
      <c r="O23982" s="36" t="s">
        <v>48</v>
      </c>
      <c r="R23982" s="36" t="s">
        <v>48</v>
      </c>
    </row>
    <row r="23983">
      <c r="H23983" s="50"/>
      <c r="I23983" s="50"/>
      <c r="O23983" s="36" t="s">
        <v>48</v>
      </c>
      <c r="R23983" s="36" t="s">
        <v>48</v>
      </c>
    </row>
    <row r="23984">
      <c r="H23984" s="50"/>
      <c r="I23984" s="50"/>
      <c r="O23984" s="36" t="s">
        <v>48</v>
      </c>
      <c r="R23984" s="36" t="s">
        <v>48</v>
      </c>
    </row>
    <row r="23985">
      <c r="H23985" s="50"/>
      <c r="I23985" s="50"/>
      <c r="O23985" s="36" t="s">
        <v>48</v>
      </c>
      <c r="R23985" s="36" t="s">
        <v>48</v>
      </c>
    </row>
    <row r="23986">
      <c r="H23986" s="50"/>
      <c r="I23986" s="50"/>
      <c r="O23986" s="36" t="s">
        <v>48</v>
      </c>
      <c r="R23986" s="36" t="s">
        <v>48</v>
      </c>
    </row>
    <row r="23987">
      <c r="H23987" s="50"/>
      <c r="I23987" s="50"/>
      <c r="O23987" s="36" t="s">
        <v>48</v>
      </c>
      <c r="R23987" s="36" t="s">
        <v>48</v>
      </c>
    </row>
    <row r="23988">
      <c r="H23988" s="50"/>
      <c r="I23988" s="50"/>
      <c r="O23988" s="36" t="s">
        <v>48</v>
      </c>
      <c r="R23988" s="36" t="s">
        <v>48</v>
      </c>
    </row>
    <row r="23989">
      <c r="H23989" s="50"/>
      <c r="I23989" s="50"/>
      <c r="O23989" s="36" t="s">
        <v>48</v>
      </c>
      <c r="R23989" s="36" t="s">
        <v>48</v>
      </c>
    </row>
    <row r="23990">
      <c r="H23990" s="50"/>
      <c r="I23990" s="50"/>
      <c r="O23990" s="36" t="s">
        <v>48</v>
      </c>
      <c r="R23990" s="36" t="s">
        <v>48</v>
      </c>
    </row>
    <row r="23991">
      <c r="H23991" s="50"/>
      <c r="I23991" s="50"/>
      <c r="O23991" s="36" t="s">
        <v>48</v>
      </c>
      <c r="R23991" s="36" t="s">
        <v>48</v>
      </c>
    </row>
    <row r="23992">
      <c r="H23992" s="50"/>
      <c r="I23992" s="50"/>
      <c r="O23992" s="36" t="s">
        <v>48</v>
      </c>
      <c r="R23992" s="36" t="s">
        <v>48</v>
      </c>
    </row>
    <row r="23993">
      <c r="H23993" s="50"/>
      <c r="I23993" s="50"/>
      <c r="O23993" s="36" t="s">
        <v>48</v>
      </c>
      <c r="R23993" s="36" t="s">
        <v>48</v>
      </c>
    </row>
    <row r="23994">
      <c r="H23994" s="50"/>
      <c r="I23994" s="50"/>
      <c r="O23994" s="36" t="s">
        <v>48</v>
      </c>
      <c r="R23994" s="36" t="s">
        <v>48</v>
      </c>
    </row>
    <row r="23995">
      <c r="H23995" s="50"/>
      <c r="I23995" s="50"/>
      <c r="O23995" s="36" t="s">
        <v>48</v>
      </c>
      <c r="R23995" s="36" t="s">
        <v>48</v>
      </c>
    </row>
    <row r="23996">
      <c r="H23996" s="50"/>
      <c r="I23996" s="50"/>
      <c r="O23996" s="36" t="s">
        <v>48</v>
      </c>
      <c r="R23996" s="36" t="s">
        <v>48</v>
      </c>
    </row>
    <row r="23997">
      <c r="H23997" s="50"/>
      <c r="I23997" s="50"/>
      <c r="O23997" s="36" t="s">
        <v>48</v>
      </c>
      <c r="R23997" s="36" t="s">
        <v>48</v>
      </c>
    </row>
    <row r="23998">
      <c r="H23998" s="50"/>
      <c r="I23998" s="50"/>
      <c r="O23998" s="36" t="s">
        <v>48</v>
      </c>
      <c r="R23998" s="36" t="s">
        <v>48</v>
      </c>
    </row>
    <row r="23999">
      <c r="H23999" s="50"/>
      <c r="I23999" s="50"/>
      <c r="O23999" s="36" t="s">
        <v>48</v>
      </c>
      <c r="R23999" s="36" t="s">
        <v>48</v>
      </c>
    </row>
    <row r="24000">
      <c r="H24000" s="50"/>
      <c r="I24000" s="50"/>
      <c r="O24000" s="36" t="s">
        <v>48</v>
      </c>
      <c r="R24000" s="36" t="s">
        <v>48</v>
      </c>
    </row>
    <row r="24001">
      <c r="H24001" s="50"/>
      <c r="I24001" s="50"/>
      <c r="O24001" s="36" t="s">
        <v>48</v>
      </c>
      <c r="R24001" s="36" t="s">
        <v>48</v>
      </c>
    </row>
    <row r="24002">
      <c r="H24002" s="50"/>
      <c r="I24002" s="50"/>
      <c r="O24002" s="36" t="s">
        <v>48</v>
      </c>
      <c r="R24002" s="36" t="s">
        <v>48</v>
      </c>
    </row>
    <row r="24003">
      <c r="H24003" s="50"/>
      <c r="I24003" s="50"/>
      <c r="O24003" s="36" t="s">
        <v>48</v>
      </c>
      <c r="R24003" s="36" t="s">
        <v>48</v>
      </c>
    </row>
    <row r="24004">
      <c r="H24004" s="50"/>
      <c r="I24004" s="50"/>
      <c r="O24004" s="36" t="s">
        <v>48</v>
      </c>
      <c r="R24004" s="36" t="s">
        <v>48</v>
      </c>
    </row>
    <row r="24005">
      <c r="H24005" s="50"/>
      <c r="I24005" s="50"/>
      <c r="O24005" s="36" t="s">
        <v>48</v>
      </c>
      <c r="R24005" s="36" t="s">
        <v>48</v>
      </c>
    </row>
    <row r="24006">
      <c r="H24006" s="50"/>
      <c r="I24006" s="50"/>
      <c r="O24006" s="36" t="s">
        <v>48</v>
      </c>
      <c r="R24006" s="36" t="s">
        <v>48</v>
      </c>
    </row>
    <row r="24007">
      <c r="H24007" s="50"/>
      <c r="I24007" s="50"/>
      <c r="O24007" s="36" t="s">
        <v>48</v>
      </c>
      <c r="R24007" s="36" t="s">
        <v>48</v>
      </c>
    </row>
    <row r="24008">
      <c r="H24008" s="50"/>
      <c r="I24008" s="50"/>
      <c r="O24008" s="36" t="s">
        <v>48</v>
      </c>
      <c r="R24008" s="36" t="s">
        <v>48</v>
      </c>
    </row>
    <row r="24009">
      <c r="H24009" s="50"/>
      <c r="I24009" s="50"/>
      <c r="O24009" s="36" t="s">
        <v>48</v>
      </c>
      <c r="R24009" s="36" t="s">
        <v>48</v>
      </c>
    </row>
    <row r="24010">
      <c r="H24010" s="50"/>
      <c r="I24010" s="50"/>
      <c r="O24010" s="36" t="s">
        <v>48</v>
      </c>
      <c r="R24010" s="36" t="s">
        <v>48</v>
      </c>
    </row>
    <row r="24011">
      <c r="H24011" s="50"/>
      <c r="I24011" s="50"/>
      <c r="O24011" s="36" t="s">
        <v>48</v>
      </c>
      <c r="R24011" s="36" t="s">
        <v>48</v>
      </c>
    </row>
    <row r="24012">
      <c r="H24012" s="50"/>
      <c r="I24012" s="50"/>
      <c r="O24012" s="36" t="s">
        <v>48</v>
      </c>
      <c r="R24012" s="36" t="s">
        <v>48</v>
      </c>
    </row>
    <row r="24013">
      <c r="H24013" s="50"/>
      <c r="I24013" s="50"/>
      <c r="O24013" s="36" t="s">
        <v>48</v>
      </c>
      <c r="R24013" s="36" t="s">
        <v>48</v>
      </c>
    </row>
    <row r="24014">
      <c r="H24014" s="50"/>
      <c r="I24014" s="50"/>
      <c r="O24014" s="36" t="s">
        <v>48</v>
      </c>
      <c r="R24014" s="36" t="s">
        <v>48</v>
      </c>
    </row>
    <row r="24015">
      <c r="H24015" s="50"/>
      <c r="I24015" s="50"/>
      <c r="O24015" s="36" t="s">
        <v>48</v>
      </c>
      <c r="R24015" s="36" t="s">
        <v>48</v>
      </c>
    </row>
    <row r="24016">
      <c r="H24016" s="50"/>
      <c r="I24016" s="50"/>
      <c r="O24016" s="36" t="s">
        <v>48</v>
      </c>
      <c r="R24016" s="36" t="s">
        <v>48</v>
      </c>
    </row>
    <row r="24017">
      <c r="H24017" s="50"/>
      <c r="I24017" s="50"/>
      <c r="O24017" s="36" t="s">
        <v>48</v>
      </c>
      <c r="R24017" s="36" t="s">
        <v>48</v>
      </c>
    </row>
    <row r="24018">
      <c r="H24018" s="50"/>
      <c r="I24018" s="50"/>
      <c r="O24018" s="36" t="s">
        <v>48</v>
      </c>
      <c r="R24018" s="36" t="s">
        <v>48</v>
      </c>
    </row>
    <row r="24019">
      <c r="H24019" s="50"/>
      <c r="I24019" s="50"/>
      <c r="O24019" s="36" t="s">
        <v>48</v>
      </c>
      <c r="R24019" s="36" t="s">
        <v>48</v>
      </c>
    </row>
    <row r="24020">
      <c r="H24020" s="50"/>
      <c r="I24020" s="50"/>
      <c r="O24020" s="36" t="s">
        <v>48</v>
      </c>
      <c r="R24020" s="36" t="s">
        <v>48</v>
      </c>
    </row>
    <row r="24021">
      <c r="H24021" s="50"/>
      <c r="I24021" s="50"/>
      <c r="O24021" s="36" t="s">
        <v>48</v>
      </c>
      <c r="R24021" s="36" t="s">
        <v>48</v>
      </c>
    </row>
    <row r="24022">
      <c r="H24022" s="50"/>
      <c r="I24022" s="50"/>
      <c r="O24022" s="36" t="s">
        <v>48</v>
      </c>
      <c r="R24022" s="36" t="s">
        <v>48</v>
      </c>
    </row>
    <row r="24023">
      <c r="H24023" s="50"/>
      <c r="I24023" s="50"/>
      <c r="O24023" s="36" t="s">
        <v>48</v>
      </c>
      <c r="R24023" s="36" t="s">
        <v>48</v>
      </c>
    </row>
    <row r="24024">
      <c r="H24024" s="50"/>
      <c r="I24024" s="50"/>
      <c r="O24024" s="36" t="s">
        <v>48</v>
      </c>
      <c r="R24024" s="36" t="s">
        <v>48</v>
      </c>
    </row>
    <row r="24025">
      <c r="H24025" s="50"/>
      <c r="I24025" s="50"/>
      <c r="O24025" s="36" t="s">
        <v>48</v>
      </c>
      <c r="R24025" s="36" t="s">
        <v>48</v>
      </c>
    </row>
    <row r="24026">
      <c r="H24026" s="50"/>
      <c r="I24026" s="50"/>
      <c r="O24026" s="36" t="s">
        <v>48</v>
      </c>
      <c r="R24026" s="36" t="s">
        <v>48</v>
      </c>
    </row>
    <row r="24027">
      <c r="H24027" s="50"/>
      <c r="I24027" s="50"/>
      <c r="O24027" s="36" t="s">
        <v>48</v>
      </c>
      <c r="R24027" s="36" t="s">
        <v>48</v>
      </c>
    </row>
    <row r="24028">
      <c r="H24028" s="50"/>
      <c r="I24028" s="50"/>
      <c r="O24028" s="36" t="s">
        <v>48</v>
      </c>
      <c r="R24028" s="36" t="s">
        <v>48</v>
      </c>
    </row>
    <row r="24029">
      <c r="H24029" s="50"/>
      <c r="I24029" s="50"/>
      <c r="O24029" s="36" t="s">
        <v>48</v>
      </c>
      <c r="R24029" s="36" t="s">
        <v>48</v>
      </c>
    </row>
    <row r="24030">
      <c r="H24030" s="50"/>
      <c r="I24030" s="50"/>
      <c r="O24030" s="36" t="s">
        <v>48</v>
      </c>
      <c r="R24030" s="36" t="s">
        <v>48</v>
      </c>
    </row>
    <row r="24031">
      <c r="H24031" s="50"/>
      <c r="I24031" s="50"/>
      <c r="O24031" s="36" t="s">
        <v>48</v>
      </c>
      <c r="R24031" s="36" t="s">
        <v>48</v>
      </c>
    </row>
    <row r="24032">
      <c r="H24032" s="50"/>
      <c r="I24032" s="50"/>
      <c r="O24032" s="36" t="s">
        <v>48</v>
      </c>
      <c r="R24032" s="36" t="s">
        <v>48</v>
      </c>
    </row>
    <row r="24033">
      <c r="H24033" s="50"/>
      <c r="I24033" s="50"/>
      <c r="O24033" s="36" t="s">
        <v>48</v>
      </c>
      <c r="R24033" s="36" t="s">
        <v>48</v>
      </c>
    </row>
    <row r="24034">
      <c r="H24034" s="50"/>
      <c r="I24034" s="50"/>
      <c r="O24034" s="36" t="s">
        <v>48</v>
      </c>
      <c r="R24034" s="36" t="s">
        <v>48</v>
      </c>
    </row>
    <row r="24035">
      <c r="H24035" s="50"/>
      <c r="I24035" s="50"/>
      <c r="O24035" s="36" t="s">
        <v>48</v>
      </c>
      <c r="R24035" s="36" t="s">
        <v>48</v>
      </c>
    </row>
    <row r="24036">
      <c r="H24036" s="50"/>
      <c r="I24036" s="50"/>
      <c r="O24036" s="36" t="s">
        <v>48</v>
      </c>
      <c r="R24036" s="36" t="s">
        <v>48</v>
      </c>
    </row>
    <row r="24037">
      <c r="H24037" s="50"/>
      <c r="I24037" s="50"/>
      <c r="O24037" s="36" t="s">
        <v>48</v>
      </c>
      <c r="R24037" s="36" t="s">
        <v>48</v>
      </c>
    </row>
    <row r="24038">
      <c r="H24038" s="50"/>
      <c r="I24038" s="50"/>
      <c r="O24038" s="36" t="s">
        <v>48</v>
      </c>
      <c r="R24038" s="36" t="s">
        <v>48</v>
      </c>
    </row>
    <row r="24039">
      <c r="H24039" s="50"/>
      <c r="I24039" s="50"/>
      <c r="O24039" s="36" t="s">
        <v>48</v>
      </c>
      <c r="R24039" s="36" t="s">
        <v>48</v>
      </c>
    </row>
    <row r="24040">
      <c r="H24040" s="50"/>
      <c r="I24040" s="50"/>
      <c r="O24040" s="36" t="s">
        <v>48</v>
      </c>
      <c r="R24040" s="36" t="s">
        <v>48</v>
      </c>
    </row>
    <row r="24041">
      <c r="H24041" s="50"/>
      <c r="I24041" s="50"/>
      <c r="O24041" s="36" t="s">
        <v>48</v>
      </c>
      <c r="R24041" s="36" t="s">
        <v>48</v>
      </c>
    </row>
    <row r="24042">
      <c r="H24042" s="50"/>
      <c r="I24042" s="50"/>
      <c r="O24042" s="36" t="s">
        <v>48</v>
      </c>
      <c r="R24042" s="36" t="s">
        <v>48</v>
      </c>
    </row>
    <row r="24043">
      <c r="H24043" s="50"/>
      <c r="I24043" s="50"/>
      <c r="O24043" s="36" t="s">
        <v>48</v>
      </c>
      <c r="R24043" s="36" t="s">
        <v>48</v>
      </c>
    </row>
    <row r="24044">
      <c r="H24044" s="50"/>
      <c r="I24044" s="50"/>
      <c r="O24044" s="36" t="s">
        <v>48</v>
      </c>
      <c r="R24044" s="36" t="s">
        <v>48</v>
      </c>
    </row>
    <row r="24045">
      <c r="H24045" s="50"/>
      <c r="I24045" s="50"/>
      <c r="O24045" s="36" t="s">
        <v>48</v>
      </c>
      <c r="R24045" s="36" t="s">
        <v>48</v>
      </c>
    </row>
    <row r="24046">
      <c r="H24046" s="50"/>
      <c r="I24046" s="50"/>
      <c r="O24046" s="36" t="s">
        <v>48</v>
      </c>
      <c r="R24046" s="36" t="s">
        <v>48</v>
      </c>
    </row>
    <row r="24047">
      <c r="H24047" s="50"/>
      <c r="I24047" s="50"/>
      <c r="O24047" s="36" t="s">
        <v>48</v>
      </c>
      <c r="R24047" s="36" t="s">
        <v>48</v>
      </c>
    </row>
    <row r="24048">
      <c r="H24048" s="50"/>
      <c r="I24048" s="50"/>
      <c r="O24048" s="36" t="s">
        <v>48</v>
      </c>
      <c r="R24048" s="36" t="s">
        <v>48</v>
      </c>
    </row>
    <row r="24049">
      <c r="H24049" s="50"/>
      <c r="I24049" s="50"/>
      <c r="O24049" s="36" t="s">
        <v>48</v>
      </c>
      <c r="R24049" s="36" t="s">
        <v>48</v>
      </c>
    </row>
    <row r="24050">
      <c r="H24050" s="50"/>
      <c r="I24050" s="50"/>
      <c r="O24050" s="36" t="s">
        <v>48</v>
      </c>
      <c r="R24050" s="36" t="s">
        <v>48</v>
      </c>
    </row>
    <row r="24051">
      <c r="H24051" s="50"/>
      <c r="I24051" s="50"/>
      <c r="O24051" s="36" t="s">
        <v>48</v>
      </c>
      <c r="R24051" s="36" t="s">
        <v>48</v>
      </c>
    </row>
    <row r="24052">
      <c r="H24052" s="50"/>
      <c r="I24052" s="50"/>
      <c r="O24052" s="36" t="s">
        <v>48</v>
      </c>
      <c r="R24052" s="36" t="s">
        <v>48</v>
      </c>
    </row>
    <row r="24053">
      <c r="H24053" s="50"/>
      <c r="I24053" s="50"/>
      <c r="O24053" s="36" t="s">
        <v>48</v>
      </c>
      <c r="R24053" s="36" t="s">
        <v>48</v>
      </c>
    </row>
    <row r="24054">
      <c r="H24054" s="50"/>
      <c r="I24054" s="50"/>
      <c r="O24054" s="36" t="s">
        <v>48</v>
      </c>
      <c r="R24054" s="36" t="s">
        <v>48</v>
      </c>
    </row>
    <row r="24055">
      <c r="H24055" s="50"/>
      <c r="I24055" s="50"/>
      <c r="O24055" s="36" t="s">
        <v>48</v>
      </c>
      <c r="R24055" s="36" t="s">
        <v>48</v>
      </c>
    </row>
    <row r="24056">
      <c r="H24056" s="50"/>
      <c r="I24056" s="50"/>
      <c r="O24056" s="36" t="s">
        <v>48</v>
      </c>
      <c r="R24056" s="36" t="s">
        <v>48</v>
      </c>
    </row>
    <row r="24057">
      <c r="H24057" s="50"/>
      <c r="I24057" s="50"/>
      <c r="O24057" s="36" t="s">
        <v>48</v>
      </c>
      <c r="R24057" s="36" t="s">
        <v>48</v>
      </c>
    </row>
    <row r="24058">
      <c r="H24058" s="50"/>
      <c r="I24058" s="50"/>
      <c r="O24058" s="36" t="s">
        <v>48</v>
      </c>
      <c r="R24058" s="36" t="s">
        <v>48</v>
      </c>
    </row>
    <row r="24059">
      <c r="H24059" s="50"/>
      <c r="I24059" s="50"/>
      <c r="O24059" s="36" t="s">
        <v>48</v>
      </c>
      <c r="R24059" s="36" t="s">
        <v>48</v>
      </c>
    </row>
    <row r="24060">
      <c r="H24060" s="50"/>
      <c r="I24060" s="50"/>
      <c r="O24060" s="36" t="s">
        <v>48</v>
      </c>
      <c r="R24060" s="36" t="s">
        <v>48</v>
      </c>
    </row>
    <row r="24061">
      <c r="H24061" s="50"/>
      <c r="I24061" s="50"/>
      <c r="O24061" s="36" t="s">
        <v>48</v>
      </c>
      <c r="R24061" s="36" t="s">
        <v>48</v>
      </c>
    </row>
    <row r="24062">
      <c r="H24062" s="50"/>
      <c r="I24062" s="50"/>
      <c r="O24062" s="36" t="s">
        <v>48</v>
      </c>
      <c r="R24062" s="36" t="s">
        <v>48</v>
      </c>
    </row>
    <row r="24063">
      <c r="H24063" s="50"/>
      <c r="I24063" s="50"/>
      <c r="O24063" s="36" t="s">
        <v>48</v>
      </c>
      <c r="R24063" s="36" t="s">
        <v>48</v>
      </c>
    </row>
    <row r="24064">
      <c r="H24064" s="50"/>
      <c r="I24064" s="50"/>
      <c r="O24064" s="36" t="s">
        <v>48</v>
      </c>
      <c r="R24064" s="36" t="s">
        <v>48</v>
      </c>
    </row>
    <row r="24065">
      <c r="H24065" s="50"/>
      <c r="I24065" s="50"/>
      <c r="O24065" s="36" t="s">
        <v>48</v>
      </c>
      <c r="R24065" s="36" t="s">
        <v>48</v>
      </c>
    </row>
    <row r="24066">
      <c r="H24066" s="50"/>
      <c r="I24066" s="50"/>
      <c r="O24066" s="36" t="s">
        <v>48</v>
      </c>
      <c r="R24066" s="36" t="s">
        <v>48</v>
      </c>
    </row>
    <row r="24067">
      <c r="H24067" s="50"/>
      <c r="I24067" s="50"/>
      <c r="O24067" s="36" t="s">
        <v>48</v>
      </c>
      <c r="R24067" s="36" t="s">
        <v>48</v>
      </c>
    </row>
    <row r="24068">
      <c r="H24068" s="50"/>
      <c r="I24068" s="50"/>
      <c r="O24068" s="36" t="s">
        <v>48</v>
      </c>
      <c r="R24068" s="36" t="s">
        <v>48</v>
      </c>
    </row>
    <row r="24069">
      <c r="H24069" s="50"/>
      <c r="I24069" s="50"/>
      <c r="O24069" s="36" t="s">
        <v>48</v>
      </c>
      <c r="R24069" s="36" t="s">
        <v>48</v>
      </c>
    </row>
    <row r="24070">
      <c r="H24070" s="50"/>
      <c r="I24070" s="50"/>
      <c r="O24070" s="36" t="s">
        <v>48</v>
      </c>
      <c r="R24070" s="36" t="s">
        <v>48</v>
      </c>
    </row>
    <row r="24071">
      <c r="H24071" s="50"/>
      <c r="I24071" s="50"/>
      <c r="O24071" s="36" t="s">
        <v>48</v>
      </c>
      <c r="R24071" s="36" t="s">
        <v>48</v>
      </c>
    </row>
    <row r="24072">
      <c r="H24072" s="50"/>
      <c r="I24072" s="50"/>
      <c r="O24072" s="36" t="s">
        <v>48</v>
      </c>
      <c r="R24072" s="36" t="s">
        <v>48</v>
      </c>
    </row>
    <row r="24073">
      <c r="H24073" s="50"/>
      <c r="I24073" s="50"/>
      <c r="O24073" s="36" t="s">
        <v>48</v>
      </c>
      <c r="R24073" s="36" t="s">
        <v>48</v>
      </c>
    </row>
    <row r="24074">
      <c r="H24074" s="50"/>
      <c r="I24074" s="50"/>
      <c r="O24074" s="36" t="s">
        <v>48</v>
      </c>
      <c r="R24074" s="36" t="s">
        <v>48</v>
      </c>
    </row>
    <row r="24075">
      <c r="H24075" s="50"/>
      <c r="I24075" s="50"/>
      <c r="O24075" s="36" t="s">
        <v>48</v>
      </c>
      <c r="R24075" s="36" t="s">
        <v>48</v>
      </c>
    </row>
    <row r="24076">
      <c r="H24076" s="50"/>
      <c r="I24076" s="50"/>
      <c r="O24076" s="36" t="s">
        <v>48</v>
      </c>
      <c r="R24076" s="36" t="s">
        <v>48</v>
      </c>
    </row>
    <row r="24077">
      <c r="H24077" s="50"/>
      <c r="I24077" s="50"/>
      <c r="O24077" s="36" t="s">
        <v>48</v>
      </c>
      <c r="R24077" s="36" t="s">
        <v>48</v>
      </c>
    </row>
    <row r="24078">
      <c r="H24078" s="50"/>
      <c r="I24078" s="50"/>
      <c r="O24078" s="36" t="s">
        <v>48</v>
      </c>
      <c r="R24078" s="36" t="s">
        <v>48</v>
      </c>
    </row>
    <row r="24079">
      <c r="H24079" s="50"/>
      <c r="I24079" s="50"/>
      <c r="O24079" s="36" t="s">
        <v>48</v>
      </c>
      <c r="R24079" s="36" t="s">
        <v>48</v>
      </c>
    </row>
    <row r="24080">
      <c r="H24080" s="50"/>
      <c r="I24080" s="50"/>
      <c r="O24080" s="36" t="s">
        <v>48</v>
      </c>
      <c r="R24080" s="36" t="s">
        <v>48</v>
      </c>
    </row>
    <row r="24081">
      <c r="H24081" s="50"/>
      <c r="I24081" s="50"/>
      <c r="O24081" s="36" t="s">
        <v>48</v>
      </c>
      <c r="R24081" s="36" t="s">
        <v>48</v>
      </c>
    </row>
    <row r="24082">
      <c r="H24082" s="50"/>
      <c r="I24082" s="50"/>
      <c r="O24082" s="36" t="s">
        <v>48</v>
      </c>
      <c r="R24082" s="36" t="s">
        <v>48</v>
      </c>
    </row>
    <row r="24083">
      <c r="H24083" s="50"/>
      <c r="I24083" s="50"/>
      <c r="O24083" s="36" t="s">
        <v>48</v>
      </c>
      <c r="R24083" s="36" t="s">
        <v>48</v>
      </c>
    </row>
    <row r="24084">
      <c r="H24084" s="50"/>
      <c r="I24084" s="50"/>
      <c r="O24084" s="36" t="s">
        <v>48</v>
      </c>
      <c r="R24084" s="36" t="s">
        <v>48</v>
      </c>
    </row>
    <row r="24085">
      <c r="H24085" s="50"/>
      <c r="I24085" s="50"/>
      <c r="O24085" s="36" t="s">
        <v>48</v>
      </c>
      <c r="R24085" s="36" t="s">
        <v>48</v>
      </c>
    </row>
    <row r="24086">
      <c r="H24086" s="50"/>
      <c r="I24086" s="50"/>
      <c r="O24086" s="36" t="s">
        <v>48</v>
      </c>
      <c r="R24086" s="36" t="s">
        <v>48</v>
      </c>
    </row>
    <row r="24087">
      <c r="H24087" s="50"/>
      <c r="I24087" s="50"/>
      <c r="O24087" s="36" t="s">
        <v>48</v>
      </c>
      <c r="R24087" s="36" t="s">
        <v>48</v>
      </c>
    </row>
    <row r="24088">
      <c r="H24088" s="50"/>
      <c r="I24088" s="50"/>
      <c r="O24088" s="36" t="s">
        <v>48</v>
      </c>
      <c r="R24088" s="36" t="s">
        <v>48</v>
      </c>
    </row>
    <row r="24089">
      <c r="H24089" s="50"/>
      <c r="I24089" s="50"/>
      <c r="O24089" s="36" t="s">
        <v>48</v>
      </c>
      <c r="R24089" s="36" t="s">
        <v>48</v>
      </c>
    </row>
    <row r="24090">
      <c r="H24090" s="50"/>
      <c r="I24090" s="50"/>
      <c r="O24090" s="36" t="s">
        <v>48</v>
      </c>
      <c r="R24090" s="36" t="s">
        <v>48</v>
      </c>
    </row>
    <row r="24091">
      <c r="H24091" s="50"/>
      <c r="I24091" s="50"/>
      <c r="O24091" s="36" t="s">
        <v>48</v>
      </c>
      <c r="R24091" s="36" t="s">
        <v>48</v>
      </c>
    </row>
    <row r="24092">
      <c r="H24092" s="50"/>
      <c r="I24092" s="50"/>
      <c r="O24092" s="36" t="s">
        <v>48</v>
      </c>
      <c r="R24092" s="36" t="s">
        <v>48</v>
      </c>
    </row>
    <row r="24093">
      <c r="H24093" s="50"/>
      <c r="I24093" s="50"/>
      <c r="O24093" s="36" t="s">
        <v>48</v>
      </c>
      <c r="R24093" s="36" t="s">
        <v>48</v>
      </c>
    </row>
    <row r="24094">
      <c r="H24094" s="50"/>
      <c r="I24094" s="50"/>
      <c r="O24094" s="36" t="s">
        <v>48</v>
      </c>
      <c r="R24094" s="36" t="s">
        <v>48</v>
      </c>
    </row>
    <row r="24095">
      <c r="H24095" s="50"/>
      <c r="I24095" s="50"/>
      <c r="O24095" s="36" t="s">
        <v>48</v>
      </c>
      <c r="R24095" s="36" t="s">
        <v>48</v>
      </c>
    </row>
    <row r="24096">
      <c r="H24096" s="50"/>
      <c r="I24096" s="50"/>
      <c r="O24096" s="36" t="s">
        <v>48</v>
      </c>
      <c r="R24096" s="36" t="s">
        <v>48</v>
      </c>
    </row>
    <row r="24097">
      <c r="H24097" s="50"/>
      <c r="I24097" s="50"/>
      <c r="O24097" s="36" t="s">
        <v>48</v>
      </c>
      <c r="R24097" s="36" t="s">
        <v>48</v>
      </c>
    </row>
    <row r="24098">
      <c r="H24098" s="50"/>
      <c r="I24098" s="50"/>
      <c r="O24098" s="36" t="s">
        <v>48</v>
      </c>
      <c r="R24098" s="36" t="s">
        <v>48</v>
      </c>
    </row>
    <row r="24099">
      <c r="H24099" s="50"/>
      <c r="I24099" s="50"/>
      <c r="O24099" s="36" t="s">
        <v>48</v>
      </c>
      <c r="R24099" s="36" t="s">
        <v>48</v>
      </c>
    </row>
    <row r="24100">
      <c r="H24100" s="50"/>
      <c r="I24100" s="50"/>
      <c r="O24100" s="36" t="s">
        <v>48</v>
      </c>
      <c r="R24100" s="36" t="s">
        <v>48</v>
      </c>
    </row>
    <row r="24101">
      <c r="H24101" s="50"/>
      <c r="I24101" s="50"/>
      <c r="O24101" s="36" t="s">
        <v>48</v>
      </c>
      <c r="R24101" s="36" t="s">
        <v>48</v>
      </c>
    </row>
    <row r="24102">
      <c r="H24102" s="50"/>
      <c r="I24102" s="50"/>
      <c r="O24102" s="36" t="s">
        <v>48</v>
      </c>
      <c r="R24102" s="36" t="s">
        <v>48</v>
      </c>
    </row>
    <row r="24103">
      <c r="H24103" s="50"/>
      <c r="I24103" s="50"/>
      <c r="O24103" s="36" t="s">
        <v>48</v>
      </c>
      <c r="R24103" s="36" t="s">
        <v>48</v>
      </c>
    </row>
    <row r="24104">
      <c r="H24104" s="50"/>
      <c r="I24104" s="50"/>
      <c r="O24104" s="36" t="s">
        <v>48</v>
      </c>
      <c r="R24104" s="36" t="s">
        <v>48</v>
      </c>
    </row>
    <row r="24105">
      <c r="H24105" s="50"/>
      <c r="I24105" s="50"/>
      <c r="O24105" s="36" t="s">
        <v>48</v>
      </c>
      <c r="R24105" s="36" t="s">
        <v>48</v>
      </c>
    </row>
    <row r="24106">
      <c r="H24106" s="50"/>
      <c r="I24106" s="50"/>
      <c r="O24106" s="36" t="s">
        <v>48</v>
      </c>
      <c r="R24106" s="36" t="s">
        <v>48</v>
      </c>
    </row>
    <row r="24107">
      <c r="H24107" s="50"/>
      <c r="I24107" s="50"/>
      <c r="O24107" s="36" t="s">
        <v>48</v>
      </c>
      <c r="R24107" s="36" t="s">
        <v>48</v>
      </c>
    </row>
    <row r="24108">
      <c r="H24108" s="50"/>
      <c r="I24108" s="50"/>
      <c r="O24108" s="36" t="s">
        <v>48</v>
      </c>
      <c r="R24108" s="36" t="s">
        <v>48</v>
      </c>
    </row>
    <row r="24109">
      <c r="H24109" s="50"/>
      <c r="I24109" s="50"/>
      <c r="O24109" s="36" t="s">
        <v>48</v>
      </c>
      <c r="R24109" s="36" t="s">
        <v>48</v>
      </c>
    </row>
    <row r="24110">
      <c r="H24110" s="50"/>
      <c r="I24110" s="50"/>
      <c r="O24110" s="36" t="s">
        <v>48</v>
      </c>
      <c r="R24110" s="36" t="s">
        <v>48</v>
      </c>
    </row>
    <row r="24111">
      <c r="H24111" s="50"/>
      <c r="I24111" s="50"/>
      <c r="O24111" s="36" t="s">
        <v>48</v>
      </c>
      <c r="R24111" s="36" t="s">
        <v>48</v>
      </c>
    </row>
    <row r="24112">
      <c r="H24112" s="50"/>
      <c r="I24112" s="50"/>
      <c r="O24112" s="36" t="s">
        <v>48</v>
      </c>
      <c r="R24112" s="36" t="s">
        <v>48</v>
      </c>
    </row>
    <row r="24113">
      <c r="H24113" s="50"/>
      <c r="I24113" s="50"/>
      <c r="O24113" s="36" t="s">
        <v>48</v>
      </c>
      <c r="R24113" s="36" t="s">
        <v>48</v>
      </c>
    </row>
    <row r="24114">
      <c r="H24114" s="50"/>
      <c r="I24114" s="50"/>
      <c r="O24114" s="36" t="s">
        <v>48</v>
      </c>
      <c r="R24114" s="36" t="s">
        <v>48</v>
      </c>
    </row>
    <row r="24115">
      <c r="H24115" s="50"/>
      <c r="I24115" s="50"/>
      <c r="O24115" s="36" t="s">
        <v>48</v>
      </c>
      <c r="R24115" s="36" t="s">
        <v>48</v>
      </c>
    </row>
    <row r="24116">
      <c r="H24116" s="50"/>
      <c r="I24116" s="50"/>
      <c r="O24116" s="36" t="s">
        <v>48</v>
      </c>
      <c r="R24116" s="36" t="s">
        <v>48</v>
      </c>
    </row>
    <row r="24117">
      <c r="H24117" s="50"/>
      <c r="I24117" s="50"/>
      <c r="O24117" s="36" t="s">
        <v>48</v>
      </c>
      <c r="R24117" s="36" t="s">
        <v>48</v>
      </c>
    </row>
    <row r="24118">
      <c r="H24118" s="50"/>
      <c r="I24118" s="50"/>
      <c r="O24118" s="36" t="s">
        <v>48</v>
      </c>
      <c r="R24118" s="36" t="s">
        <v>48</v>
      </c>
    </row>
    <row r="24119">
      <c r="H24119" s="50"/>
      <c r="I24119" s="50"/>
      <c r="O24119" s="36" t="s">
        <v>48</v>
      </c>
      <c r="R24119" s="36" t="s">
        <v>48</v>
      </c>
    </row>
    <row r="24120">
      <c r="H24120" s="50"/>
      <c r="I24120" s="50"/>
      <c r="O24120" s="36" t="s">
        <v>48</v>
      </c>
      <c r="R24120" s="36" t="s">
        <v>48</v>
      </c>
    </row>
    <row r="24121">
      <c r="H24121" s="50"/>
      <c r="I24121" s="50"/>
      <c r="O24121" s="36" t="s">
        <v>48</v>
      </c>
      <c r="R24121" s="36" t="s">
        <v>48</v>
      </c>
    </row>
    <row r="24122">
      <c r="H24122" s="50"/>
      <c r="I24122" s="50"/>
      <c r="O24122" s="36" t="s">
        <v>48</v>
      </c>
      <c r="R24122" s="36" t="s">
        <v>48</v>
      </c>
    </row>
    <row r="24123">
      <c r="H24123" s="50"/>
      <c r="I24123" s="50"/>
      <c r="O24123" s="36" t="s">
        <v>48</v>
      </c>
      <c r="R24123" s="36" t="s">
        <v>48</v>
      </c>
    </row>
    <row r="24124">
      <c r="H24124" s="50"/>
      <c r="I24124" s="50"/>
      <c r="O24124" s="36" t="s">
        <v>48</v>
      </c>
      <c r="R24124" s="36" t="s">
        <v>48</v>
      </c>
    </row>
    <row r="24125">
      <c r="H24125" s="50"/>
      <c r="I24125" s="50"/>
      <c r="O24125" s="36" t="s">
        <v>48</v>
      </c>
      <c r="R24125" s="36" t="s">
        <v>48</v>
      </c>
    </row>
    <row r="24126">
      <c r="H24126" s="50"/>
      <c r="I24126" s="50"/>
      <c r="O24126" s="36" t="s">
        <v>48</v>
      </c>
      <c r="R24126" s="36" t="s">
        <v>48</v>
      </c>
    </row>
    <row r="24127">
      <c r="H24127" s="50"/>
      <c r="I24127" s="50"/>
      <c r="O24127" s="36" t="s">
        <v>48</v>
      </c>
      <c r="R24127" s="36" t="s">
        <v>48</v>
      </c>
    </row>
    <row r="24128">
      <c r="H24128" s="50"/>
      <c r="I24128" s="50"/>
      <c r="O24128" s="36" t="s">
        <v>48</v>
      </c>
      <c r="R24128" s="36" t="s">
        <v>48</v>
      </c>
    </row>
    <row r="24129">
      <c r="H24129" s="50"/>
      <c r="I24129" s="50"/>
      <c r="O24129" s="36" t="s">
        <v>48</v>
      </c>
      <c r="R24129" s="36" t="s">
        <v>48</v>
      </c>
    </row>
    <row r="24130">
      <c r="H24130" s="50"/>
      <c r="I24130" s="50"/>
      <c r="O24130" s="36" t="s">
        <v>48</v>
      </c>
      <c r="R24130" s="36" t="s">
        <v>48</v>
      </c>
    </row>
    <row r="24131">
      <c r="H24131" s="50"/>
      <c r="I24131" s="50"/>
      <c r="O24131" s="36" t="s">
        <v>48</v>
      </c>
      <c r="R24131" s="36" t="s">
        <v>48</v>
      </c>
    </row>
    <row r="24132">
      <c r="H24132" s="50"/>
      <c r="I24132" s="50"/>
      <c r="O24132" s="36" t="s">
        <v>48</v>
      </c>
      <c r="R24132" s="36" t="s">
        <v>48</v>
      </c>
    </row>
    <row r="24133">
      <c r="H24133" s="50"/>
      <c r="I24133" s="50"/>
      <c r="O24133" s="36" t="s">
        <v>48</v>
      </c>
      <c r="R24133" s="36" t="s">
        <v>48</v>
      </c>
    </row>
    <row r="24134">
      <c r="H24134" s="50"/>
      <c r="I24134" s="50"/>
      <c r="O24134" s="36" t="s">
        <v>48</v>
      </c>
      <c r="R24134" s="36" t="s">
        <v>48</v>
      </c>
    </row>
    <row r="24135">
      <c r="H24135" s="50"/>
      <c r="I24135" s="50"/>
      <c r="O24135" s="36" t="s">
        <v>48</v>
      </c>
      <c r="R24135" s="36" t="s">
        <v>48</v>
      </c>
    </row>
    <row r="24136">
      <c r="H24136" s="50"/>
      <c r="I24136" s="50"/>
      <c r="O24136" s="36" t="s">
        <v>48</v>
      </c>
      <c r="R24136" s="36" t="s">
        <v>48</v>
      </c>
    </row>
    <row r="24137">
      <c r="H24137" s="50"/>
      <c r="I24137" s="50"/>
      <c r="O24137" s="36" t="s">
        <v>48</v>
      </c>
      <c r="R24137" s="36" t="s">
        <v>48</v>
      </c>
    </row>
    <row r="24138">
      <c r="H24138" s="50"/>
      <c r="I24138" s="50"/>
      <c r="O24138" s="36" t="s">
        <v>48</v>
      </c>
      <c r="R24138" s="36" t="s">
        <v>48</v>
      </c>
    </row>
    <row r="24139">
      <c r="H24139" s="50"/>
      <c r="I24139" s="50"/>
      <c r="O24139" s="36" t="s">
        <v>48</v>
      </c>
      <c r="R24139" s="36" t="s">
        <v>48</v>
      </c>
    </row>
    <row r="24140">
      <c r="H24140" s="50"/>
      <c r="I24140" s="50"/>
      <c r="O24140" s="36" t="s">
        <v>48</v>
      </c>
      <c r="R24140" s="36" t="s">
        <v>48</v>
      </c>
    </row>
    <row r="24141">
      <c r="H24141" s="50"/>
      <c r="I24141" s="50"/>
      <c r="O24141" s="36" t="s">
        <v>48</v>
      </c>
      <c r="R24141" s="36" t="s">
        <v>48</v>
      </c>
    </row>
    <row r="24142">
      <c r="H24142" s="50"/>
      <c r="I24142" s="50"/>
      <c r="O24142" s="36" t="s">
        <v>48</v>
      </c>
      <c r="R24142" s="36" t="s">
        <v>48</v>
      </c>
    </row>
    <row r="24143">
      <c r="H24143" s="50"/>
      <c r="I24143" s="50"/>
      <c r="O24143" s="36" t="s">
        <v>48</v>
      </c>
      <c r="R24143" s="36" t="s">
        <v>48</v>
      </c>
    </row>
    <row r="24144">
      <c r="H24144" s="50"/>
      <c r="I24144" s="50"/>
      <c r="O24144" s="36" t="s">
        <v>48</v>
      </c>
      <c r="R24144" s="36" t="s">
        <v>48</v>
      </c>
    </row>
    <row r="24145">
      <c r="H24145" s="50"/>
      <c r="I24145" s="50"/>
      <c r="O24145" s="36" t="s">
        <v>48</v>
      </c>
      <c r="R24145" s="36" t="s">
        <v>48</v>
      </c>
    </row>
    <row r="24146">
      <c r="H24146" s="50"/>
      <c r="I24146" s="50"/>
      <c r="O24146" s="36" t="s">
        <v>48</v>
      </c>
      <c r="R24146" s="36" t="s">
        <v>48</v>
      </c>
    </row>
    <row r="24147">
      <c r="H24147" s="50"/>
      <c r="I24147" s="50"/>
      <c r="O24147" s="36" t="s">
        <v>48</v>
      </c>
      <c r="R24147" s="36" t="s">
        <v>48</v>
      </c>
    </row>
    <row r="24148">
      <c r="H24148" s="50"/>
      <c r="I24148" s="50"/>
      <c r="O24148" s="36" t="s">
        <v>48</v>
      </c>
      <c r="R24148" s="36" t="s">
        <v>48</v>
      </c>
    </row>
    <row r="24149">
      <c r="H24149" s="50"/>
      <c r="I24149" s="50"/>
      <c r="O24149" s="36" t="s">
        <v>48</v>
      </c>
      <c r="R24149" s="36" t="s">
        <v>48</v>
      </c>
    </row>
    <row r="24150">
      <c r="H24150" s="50"/>
      <c r="I24150" s="50"/>
      <c r="O24150" s="36" t="s">
        <v>48</v>
      </c>
      <c r="R24150" s="36" t="s">
        <v>48</v>
      </c>
    </row>
    <row r="24151">
      <c r="H24151" s="50"/>
      <c r="I24151" s="50"/>
      <c r="O24151" s="36" t="s">
        <v>48</v>
      </c>
      <c r="R24151" s="36" t="s">
        <v>48</v>
      </c>
    </row>
    <row r="24152">
      <c r="H24152" s="50"/>
      <c r="I24152" s="50"/>
      <c r="O24152" s="36" t="s">
        <v>48</v>
      </c>
      <c r="R24152" s="36" t="s">
        <v>48</v>
      </c>
    </row>
    <row r="24153">
      <c r="H24153" s="50"/>
      <c r="I24153" s="50"/>
      <c r="O24153" s="36" t="s">
        <v>48</v>
      </c>
      <c r="R24153" s="36" t="s">
        <v>48</v>
      </c>
    </row>
    <row r="24154">
      <c r="H24154" s="50"/>
      <c r="I24154" s="50"/>
      <c r="O24154" s="36" t="s">
        <v>48</v>
      </c>
      <c r="R24154" s="36" t="s">
        <v>48</v>
      </c>
    </row>
    <row r="24155">
      <c r="H24155" s="50"/>
      <c r="I24155" s="50"/>
      <c r="O24155" s="36" t="s">
        <v>48</v>
      </c>
      <c r="R24155" s="36" t="s">
        <v>48</v>
      </c>
    </row>
    <row r="24156">
      <c r="H24156" s="50"/>
      <c r="I24156" s="50"/>
      <c r="O24156" s="36" t="s">
        <v>48</v>
      </c>
      <c r="R24156" s="36" t="s">
        <v>48</v>
      </c>
    </row>
    <row r="24157">
      <c r="H24157" s="50"/>
      <c r="I24157" s="50"/>
      <c r="O24157" s="36" t="s">
        <v>48</v>
      </c>
      <c r="R24157" s="36" t="s">
        <v>48</v>
      </c>
    </row>
    <row r="24158">
      <c r="H24158" s="50"/>
      <c r="I24158" s="50"/>
      <c r="O24158" s="36" t="s">
        <v>48</v>
      </c>
      <c r="R24158" s="36" t="s">
        <v>48</v>
      </c>
    </row>
    <row r="24159">
      <c r="H24159" s="50"/>
      <c r="I24159" s="50"/>
      <c r="O24159" s="36" t="s">
        <v>48</v>
      </c>
      <c r="R24159" s="36" t="s">
        <v>48</v>
      </c>
    </row>
    <row r="24160">
      <c r="H24160" s="50"/>
      <c r="I24160" s="50"/>
      <c r="O24160" s="36" t="s">
        <v>48</v>
      </c>
      <c r="R24160" s="36" t="s">
        <v>48</v>
      </c>
    </row>
    <row r="24161">
      <c r="H24161" s="50"/>
      <c r="I24161" s="50"/>
      <c r="O24161" s="36" t="s">
        <v>48</v>
      </c>
      <c r="R24161" s="36" t="s">
        <v>48</v>
      </c>
    </row>
    <row r="24162">
      <c r="H24162" s="50"/>
      <c r="I24162" s="50"/>
      <c r="O24162" s="36" t="s">
        <v>48</v>
      </c>
      <c r="R24162" s="36" t="s">
        <v>48</v>
      </c>
    </row>
    <row r="24163">
      <c r="H24163" s="50"/>
      <c r="I24163" s="50"/>
      <c r="O24163" s="36" t="s">
        <v>48</v>
      </c>
      <c r="R24163" s="36" t="s">
        <v>48</v>
      </c>
    </row>
    <row r="24164">
      <c r="H24164" s="50"/>
      <c r="I24164" s="50"/>
      <c r="O24164" s="36" t="s">
        <v>48</v>
      </c>
      <c r="R24164" s="36" t="s">
        <v>48</v>
      </c>
    </row>
    <row r="24165">
      <c r="H24165" s="50"/>
      <c r="I24165" s="50"/>
      <c r="O24165" s="36" t="s">
        <v>48</v>
      </c>
      <c r="R24165" s="36" t="s">
        <v>48</v>
      </c>
    </row>
    <row r="24166">
      <c r="H24166" s="50"/>
      <c r="I24166" s="50"/>
      <c r="O24166" s="36" t="s">
        <v>48</v>
      </c>
      <c r="R24166" s="36" t="s">
        <v>48</v>
      </c>
    </row>
    <row r="24167">
      <c r="H24167" s="50"/>
      <c r="I24167" s="50"/>
      <c r="O24167" s="36" t="s">
        <v>48</v>
      </c>
      <c r="R24167" s="36" t="s">
        <v>48</v>
      </c>
    </row>
    <row r="24168">
      <c r="H24168" s="50"/>
      <c r="I24168" s="50"/>
      <c r="O24168" s="36" t="s">
        <v>48</v>
      </c>
      <c r="R24168" s="36" t="s">
        <v>48</v>
      </c>
    </row>
    <row r="24169">
      <c r="H24169" s="50"/>
      <c r="I24169" s="50"/>
      <c r="O24169" s="36" t="s">
        <v>48</v>
      </c>
      <c r="R24169" s="36" t="s">
        <v>48</v>
      </c>
    </row>
    <row r="24170">
      <c r="H24170" s="50"/>
      <c r="I24170" s="50"/>
      <c r="O24170" s="36" t="s">
        <v>48</v>
      </c>
      <c r="R24170" s="36" t="s">
        <v>48</v>
      </c>
    </row>
    <row r="24171">
      <c r="H24171" s="50"/>
      <c r="I24171" s="50"/>
      <c r="O24171" s="36" t="s">
        <v>48</v>
      </c>
      <c r="R24171" s="36" t="s">
        <v>48</v>
      </c>
    </row>
    <row r="24172">
      <c r="H24172" s="50"/>
      <c r="I24172" s="50"/>
      <c r="O24172" s="36" t="s">
        <v>48</v>
      </c>
      <c r="R24172" s="36" t="s">
        <v>48</v>
      </c>
    </row>
    <row r="24173">
      <c r="H24173" s="50"/>
      <c r="I24173" s="50"/>
      <c r="O24173" s="36" t="s">
        <v>48</v>
      </c>
      <c r="R24173" s="36" t="s">
        <v>48</v>
      </c>
    </row>
    <row r="24174">
      <c r="H24174" s="50"/>
      <c r="I24174" s="50"/>
      <c r="O24174" s="36" t="s">
        <v>48</v>
      </c>
      <c r="R24174" s="36" t="s">
        <v>48</v>
      </c>
    </row>
    <row r="24175">
      <c r="H24175" s="50"/>
      <c r="I24175" s="50"/>
      <c r="O24175" s="36" t="s">
        <v>48</v>
      </c>
      <c r="R24175" s="36" t="s">
        <v>48</v>
      </c>
    </row>
    <row r="24176">
      <c r="H24176" s="50"/>
      <c r="I24176" s="50"/>
      <c r="O24176" s="36" t="s">
        <v>48</v>
      </c>
      <c r="R24176" s="36" t="s">
        <v>48</v>
      </c>
    </row>
    <row r="24177">
      <c r="H24177" s="50"/>
      <c r="I24177" s="50"/>
      <c r="O24177" s="36" t="s">
        <v>48</v>
      </c>
      <c r="R24177" s="36" t="s">
        <v>48</v>
      </c>
    </row>
    <row r="24178">
      <c r="H24178" s="50"/>
      <c r="I24178" s="50"/>
      <c r="O24178" s="36" t="s">
        <v>48</v>
      </c>
      <c r="R24178" s="36" t="s">
        <v>48</v>
      </c>
    </row>
    <row r="24179">
      <c r="H24179" s="50"/>
      <c r="I24179" s="50"/>
      <c r="O24179" s="36" t="s">
        <v>48</v>
      </c>
      <c r="R24179" s="36" t="s">
        <v>48</v>
      </c>
    </row>
    <row r="24180">
      <c r="H24180" s="50"/>
      <c r="I24180" s="50"/>
      <c r="O24180" s="36" t="s">
        <v>48</v>
      </c>
      <c r="R24180" s="36" t="s">
        <v>48</v>
      </c>
    </row>
    <row r="24181">
      <c r="H24181" s="50"/>
      <c r="I24181" s="50"/>
      <c r="O24181" s="36" t="s">
        <v>48</v>
      </c>
      <c r="R24181" s="36" t="s">
        <v>48</v>
      </c>
    </row>
    <row r="24182">
      <c r="H24182" s="50"/>
      <c r="I24182" s="50"/>
      <c r="O24182" s="36" t="s">
        <v>48</v>
      </c>
      <c r="R24182" s="36" t="s">
        <v>48</v>
      </c>
    </row>
    <row r="24183">
      <c r="H24183" s="50"/>
      <c r="I24183" s="50"/>
      <c r="O24183" s="36" t="s">
        <v>48</v>
      </c>
      <c r="R24183" s="36" t="s">
        <v>48</v>
      </c>
    </row>
    <row r="24184">
      <c r="H24184" s="50"/>
      <c r="I24184" s="50"/>
      <c r="O24184" s="36" t="s">
        <v>48</v>
      </c>
      <c r="R24184" s="36" t="s">
        <v>48</v>
      </c>
    </row>
    <row r="24185">
      <c r="H24185" s="50"/>
      <c r="I24185" s="50"/>
      <c r="O24185" s="36" t="s">
        <v>48</v>
      </c>
      <c r="R24185" s="36" t="s">
        <v>48</v>
      </c>
    </row>
    <row r="24186">
      <c r="H24186" s="50"/>
      <c r="I24186" s="50"/>
      <c r="O24186" s="36" t="s">
        <v>48</v>
      </c>
      <c r="R24186" s="36" t="s">
        <v>48</v>
      </c>
    </row>
    <row r="24187">
      <c r="H24187" s="50"/>
      <c r="I24187" s="50"/>
      <c r="O24187" s="36" t="s">
        <v>48</v>
      </c>
      <c r="R24187" s="36" t="s">
        <v>48</v>
      </c>
    </row>
    <row r="24188">
      <c r="H24188" s="50"/>
      <c r="I24188" s="50"/>
      <c r="O24188" s="36" t="s">
        <v>48</v>
      </c>
      <c r="R24188" s="36" t="s">
        <v>48</v>
      </c>
    </row>
    <row r="24189">
      <c r="H24189" s="50"/>
      <c r="I24189" s="50"/>
      <c r="O24189" s="36" t="s">
        <v>48</v>
      </c>
      <c r="R24189" s="36" t="s">
        <v>48</v>
      </c>
    </row>
    <row r="24190">
      <c r="H24190" s="50"/>
      <c r="I24190" s="50"/>
      <c r="O24190" s="36" t="s">
        <v>48</v>
      </c>
      <c r="R24190" s="36" t="s">
        <v>48</v>
      </c>
    </row>
    <row r="24191">
      <c r="H24191" s="50"/>
      <c r="I24191" s="50"/>
      <c r="O24191" s="36" t="s">
        <v>48</v>
      </c>
      <c r="R24191" s="36" t="s">
        <v>48</v>
      </c>
    </row>
    <row r="24192">
      <c r="H24192" s="50"/>
      <c r="I24192" s="50"/>
      <c r="O24192" s="36" t="s">
        <v>48</v>
      </c>
      <c r="R24192" s="36" t="s">
        <v>48</v>
      </c>
    </row>
    <row r="24193">
      <c r="H24193" s="50"/>
      <c r="I24193" s="50"/>
      <c r="O24193" s="36" t="s">
        <v>48</v>
      </c>
      <c r="R24193" s="36" t="s">
        <v>48</v>
      </c>
    </row>
    <row r="24194">
      <c r="H24194" s="50"/>
      <c r="I24194" s="50"/>
      <c r="O24194" s="36" t="s">
        <v>48</v>
      </c>
      <c r="R24194" s="36" t="s">
        <v>48</v>
      </c>
    </row>
    <row r="24195">
      <c r="H24195" s="50"/>
      <c r="I24195" s="50"/>
      <c r="O24195" s="36" t="s">
        <v>48</v>
      </c>
      <c r="R24195" s="36" t="s">
        <v>48</v>
      </c>
    </row>
    <row r="24196">
      <c r="H24196" s="50"/>
      <c r="I24196" s="50"/>
      <c r="O24196" s="36" t="s">
        <v>48</v>
      </c>
      <c r="R24196" s="36" t="s">
        <v>48</v>
      </c>
    </row>
    <row r="24197">
      <c r="H24197" s="50"/>
      <c r="I24197" s="50"/>
      <c r="O24197" s="36" t="s">
        <v>48</v>
      </c>
      <c r="R24197" s="36" t="s">
        <v>48</v>
      </c>
    </row>
    <row r="24198">
      <c r="H24198" s="50"/>
      <c r="I24198" s="50"/>
      <c r="O24198" s="36" t="s">
        <v>48</v>
      </c>
      <c r="R24198" s="36" t="s">
        <v>48</v>
      </c>
    </row>
    <row r="24199">
      <c r="H24199" s="50"/>
      <c r="I24199" s="50"/>
      <c r="O24199" s="36" t="s">
        <v>48</v>
      </c>
      <c r="R24199" s="36" t="s">
        <v>48</v>
      </c>
    </row>
    <row r="24200">
      <c r="H24200" s="50"/>
      <c r="I24200" s="50"/>
      <c r="O24200" s="36" t="s">
        <v>48</v>
      </c>
      <c r="R24200" s="36" t="s">
        <v>48</v>
      </c>
    </row>
    <row r="24201">
      <c r="H24201" s="50"/>
      <c r="I24201" s="50"/>
      <c r="O24201" s="36" t="s">
        <v>48</v>
      </c>
      <c r="R24201" s="36" t="s">
        <v>48</v>
      </c>
    </row>
    <row r="24202">
      <c r="H24202" s="50"/>
      <c r="I24202" s="50"/>
      <c r="O24202" s="36" t="s">
        <v>48</v>
      </c>
      <c r="R24202" s="36" t="s">
        <v>48</v>
      </c>
    </row>
    <row r="24203">
      <c r="H24203" s="50"/>
      <c r="I24203" s="50"/>
      <c r="O24203" s="36" t="s">
        <v>48</v>
      </c>
      <c r="R24203" s="36" t="s">
        <v>48</v>
      </c>
    </row>
    <row r="24204">
      <c r="H24204" s="50"/>
      <c r="I24204" s="50"/>
      <c r="O24204" s="36" t="s">
        <v>48</v>
      </c>
      <c r="R24204" s="36" t="s">
        <v>48</v>
      </c>
    </row>
    <row r="24205">
      <c r="H24205" s="50"/>
      <c r="I24205" s="50"/>
      <c r="O24205" s="36" t="s">
        <v>48</v>
      </c>
      <c r="R24205" s="36" t="s">
        <v>48</v>
      </c>
    </row>
    <row r="24206">
      <c r="H24206" s="50"/>
      <c r="I24206" s="50"/>
      <c r="O24206" s="36" t="s">
        <v>48</v>
      </c>
      <c r="R24206" s="36" t="s">
        <v>48</v>
      </c>
    </row>
    <row r="24207">
      <c r="H24207" s="50"/>
      <c r="I24207" s="50"/>
      <c r="O24207" s="36" t="s">
        <v>48</v>
      </c>
      <c r="R24207" s="36" t="s">
        <v>48</v>
      </c>
    </row>
    <row r="24208">
      <c r="H24208" s="50"/>
      <c r="I24208" s="50"/>
      <c r="O24208" s="36" t="s">
        <v>48</v>
      </c>
      <c r="R24208" s="36" t="s">
        <v>48</v>
      </c>
    </row>
    <row r="24209">
      <c r="H24209" s="50"/>
      <c r="I24209" s="50"/>
      <c r="O24209" s="36" t="s">
        <v>48</v>
      </c>
      <c r="R24209" s="36" t="s">
        <v>48</v>
      </c>
    </row>
    <row r="24210">
      <c r="H24210" s="50"/>
      <c r="I24210" s="50"/>
      <c r="O24210" s="36" t="s">
        <v>48</v>
      </c>
      <c r="R24210" s="36" t="s">
        <v>48</v>
      </c>
    </row>
    <row r="24211">
      <c r="H24211" s="50"/>
      <c r="I24211" s="50"/>
      <c r="O24211" s="36" t="s">
        <v>48</v>
      </c>
      <c r="R24211" s="36" t="s">
        <v>48</v>
      </c>
    </row>
    <row r="24212">
      <c r="H24212" s="50"/>
      <c r="I24212" s="50"/>
      <c r="O24212" s="36" t="s">
        <v>48</v>
      </c>
      <c r="R24212" s="36" t="s">
        <v>48</v>
      </c>
    </row>
    <row r="24213">
      <c r="H24213" s="50"/>
      <c r="I24213" s="50"/>
      <c r="O24213" s="36" t="s">
        <v>48</v>
      </c>
      <c r="R24213" s="36" t="s">
        <v>48</v>
      </c>
    </row>
    <row r="24214">
      <c r="H24214" s="50"/>
      <c r="I24214" s="50"/>
      <c r="O24214" s="36" t="s">
        <v>48</v>
      </c>
      <c r="R24214" s="36" t="s">
        <v>48</v>
      </c>
    </row>
    <row r="24215">
      <c r="H24215" s="50"/>
      <c r="I24215" s="50"/>
      <c r="O24215" s="36" t="s">
        <v>48</v>
      </c>
      <c r="R24215" s="36" t="s">
        <v>48</v>
      </c>
    </row>
    <row r="24216">
      <c r="H24216" s="50"/>
      <c r="I24216" s="50"/>
      <c r="O24216" s="36" t="s">
        <v>48</v>
      </c>
      <c r="R24216" s="36" t="s">
        <v>48</v>
      </c>
    </row>
    <row r="24217">
      <c r="H24217" s="50"/>
      <c r="I24217" s="50"/>
      <c r="O24217" s="36" t="s">
        <v>48</v>
      </c>
      <c r="R24217" s="36" t="s">
        <v>48</v>
      </c>
    </row>
    <row r="24218">
      <c r="H24218" s="50"/>
      <c r="I24218" s="50"/>
      <c r="O24218" s="36" t="s">
        <v>48</v>
      </c>
      <c r="R24218" s="36" t="s">
        <v>48</v>
      </c>
    </row>
    <row r="24219">
      <c r="H24219" s="50"/>
      <c r="I24219" s="50"/>
      <c r="O24219" s="36" t="s">
        <v>48</v>
      </c>
      <c r="R24219" s="36" t="s">
        <v>48</v>
      </c>
    </row>
    <row r="24220">
      <c r="H24220" s="50"/>
      <c r="I24220" s="50"/>
      <c r="O24220" s="36" t="s">
        <v>48</v>
      </c>
      <c r="R24220" s="36" t="s">
        <v>48</v>
      </c>
    </row>
    <row r="24221">
      <c r="H24221" s="50"/>
      <c r="I24221" s="50"/>
      <c r="O24221" s="36" t="s">
        <v>48</v>
      </c>
      <c r="R24221" s="36" t="s">
        <v>48</v>
      </c>
    </row>
    <row r="24222">
      <c r="H24222" s="50"/>
      <c r="I24222" s="50"/>
      <c r="O24222" s="36" t="s">
        <v>48</v>
      </c>
      <c r="R24222" s="36" t="s">
        <v>48</v>
      </c>
    </row>
    <row r="24223">
      <c r="H24223" s="50"/>
      <c r="I24223" s="50"/>
      <c r="O24223" s="36" t="s">
        <v>48</v>
      </c>
      <c r="R24223" s="36" t="s">
        <v>48</v>
      </c>
    </row>
    <row r="24224">
      <c r="H24224" s="50"/>
      <c r="I24224" s="50"/>
      <c r="O24224" s="36" t="s">
        <v>48</v>
      </c>
      <c r="R24224" s="36" t="s">
        <v>48</v>
      </c>
    </row>
    <row r="24225">
      <c r="H24225" s="50"/>
      <c r="I24225" s="50"/>
      <c r="O24225" s="36" t="s">
        <v>48</v>
      </c>
      <c r="R24225" s="36" t="s">
        <v>48</v>
      </c>
    </row>
    <row r="24226">
      <c r="H24226" s="50"/>
      <c r="I24226" s="50"/>
      <c r="O24226" s="36" t="s">
        <v>48</v>
      </c>
      <c r="R24226" s="36" t="s">
        <v>48</v>
      </c>
    </row>
    <row r="24227">
      <c r="H24227" s="50"/>
      <c r="I24227" s="50"/>
      <c r="O24227" s="36" t="s">
        <v>48</v>
      </c>
      <c r="R24227" s="36" t="s">
        <v>48</v>
      </c>
    </row>
    <row r="24228">
      <c r="H24228" s="50"/>
      <c r="I24228" s="50"/>
      <c r="O24228" s="36" t="s">
        <v>48</v>
      </c>
      <c r="R24228" s="36" t="s">
        <v>48</v>
      </c>
    </row>
    <row r="24229">
      <c r="H24229" s="50"/>
      <c r="I24229" s="50"/>
      <c r="O24229" s="36" t="s">
        <v>48</v>
      </c>
      <c r="R24229" s="36" t="s">
        <v>48</v>
      </c>
    </row>
    <row r="24230">
      <c r="H24230" s="50"/>
      <c r="I24230" s="50"/>
      <c r="O24230" s="36" t="s">
        <v>48</v>
      </c>
      <c r="R24230" s="36" t="s">
        <v>48</v>
      </c>
    </row>
    <row r="24231">
      <c r="H24231" s="50"/>
      <c r="I24231" s="50"/>
      <c r="O24231" s="36" t="s">
        <v>48</v>
      </c>
      <c r="R24231" s="36" t="s">
        <v>48</v>
      </c>
    </row>
    <row r="24232">
      <c r="H24232" s="50"/>
      <c r="I24232" s="50"/>
      <c r="O24232" s="36" t="s">
        <v>48</v>
      </c>
      <c r="R24232" s="36" t="s">
        <v>48</v>
      </c>
    </row>
    <row r="24233">
      <c r="H24233" s="50"/>
      <c r="I24233" s="50"/>
      <c r="O24233" s="36" t="s">
        <v>48</v>
      </c>
      <c r="R24233" s="36" t="s">
        <v>48</v>
      </c>
    </row>
    <row r="24234">
      <c r="H24234" s="50"/>
      <c r="I24234" s="50"/>
      <c r="O24234" s="36" t="s">
        <v>48</v>
      </c>
      <c r="R24234" s="36" t="s">
        <v>48</v>
      </c>
    </row>
    <row r="24235">
      <c r="H24235" s="50"/>
      <c r="I24235" s="50"/>
      <c r="O24235" s="36" t="s">
        <v>48</v>
      </c>
      <c r="R24235" s="36" t="s">
        <v>48</v>
      </c>
    </row>
    <row r="24236">
      <c r="H24236" s="50"/>
      <c r="I24236" s="50"/>
      <c r="O24236" s="36" t="s">
        <v>48</v>
      </c>
      <c r="R24236" s="36" t="s">
        <v>48</v>
      </c>
    </row>
    <row r="24237">
      <c r="H24237" s="50"/>
      <c r="I24237" s="50"/>
      <c r="O24237" s="36" t="s">
        <v>48</v>
      </c>
      <c r="R24237" s="36" t="s">
        <v>48</v>
      </c>
    </row>
    <row r="24238">
      <c r="H24238" s="50"/>
      <c r="I24238" s="50"/>
      <c r="O24238" s="36" t="s">
        <v>48</v>
      </c>
      <c r="R24238" s="36" t="s">
        <v>48</v>
      </c>
    </row>
    <row r="24239">
      <c r="H24239" s="50"/>
      <c r="I24239" s="50"/>
      <c r="O24239" s="36" t="s">
        <v>48</v>
      </c>
      <c r="R24239" s="36" t="s">
        <v>48</v>
      </c>
    </row>
    <row r="24240">
      <c r="H24240" s="50"/>
      <c r="I24240" s="50"/>
      <c r="O24240" s="36" t="s">
        <v>48</v>
      </c>
      <c r="R24240" s="36" t="s">
        <v>48</v>
      </c>
    </row>
    <row r="24241">
      <c r="H24241" s="50"/>
      <c r="I24241" s="50"/>
      <c r="O24241" s="36" t="s">
        <v>48</v>
      </c>
      <c r="R24241" s="36" t="s">
        <v>48</v>
      </c>
    </row>
    <row r="24242">
      <c r="H24242" s="50"/>
      <c r="I24242" s="50"/>
      <c r="O24242" s="36" t="s">
        <v>48</v>
      </c>
      <c r="R24242" s="36" t="s">
        <v>48</v>
      </c>
    </row>
    <row r="24243">
      <c r="H24243" s="50"/>
      <c r="I24243" s="50"/>
      <c r="O24243" s="36" t="s">
        <v>48</v>
      </c>
      <c r="R24243" s="36" t="s">
        <v>48</v>
      </c>
    </row>
    <row r="24244">
      <c r="H24244" s="50"/>
      <c r="I24244" s="50"/>
      <c r="O24244" s="36" t="s">
        <v>48</v>
      </c>
      <c r="R24244" s="36" t="s">
        <v>48</v>
      </c>
    </row>
    <row r="24245">
      <c r="H24245" s="50"/>
      <c r="I24245" s="50"/>
      <c r="O24245" s="36" t="s">
        <v>48</v>
      </c>
      <c r="R24245" s="36" t="s">
        <v>48</v>
      </c>
    </row>
    <row r="24246">
      <c r="H24246" s="50"/>
      <c r="I24246" s="50"/>
      <c r="O24246" s="36" t="s">
        <v>48</v>
      </c>
      <c r="R24246" s="36" t="s">
        <v>48</v>
      </c>
    </row>
    <row r="24247">
      <c r="H24247" s="50"/>
      <c r="I24247" s="50"/>
      <c r="O24247" s="36" t="s">
        <v>48</v>
      </c>
      <c r="R24247" s="36" t="s">
        <v>48</v>
      </c>
    </row>
    <row r="24248">
      <c r="H24248" s="50"/>
      <c r="I24248" s="50"/>
      <c r="O24248" s="36" t="s">
        <v>48</v>
      </c>
      <c r="R24248" s="36" t="s">
        <v>48</v>
      </c>
    </row>
    <row r="24249">
      <c r="H24249" s="50"/>
      <c r="I24249" s="50"/>
      <c r="O24249" s="36" t="s">
        <v>48</v>
      </c>
      <c r="R24249" s="36" t="s">
        <v>48</v>
      </c>
    </row>
    <row r="24250">
      <c r="H24250" s="50"/>
      <c r="I24250" s="50"/>
      <c r="O24250" s="36" t="s">
        <v>48</v>
      </c>
      <c r="R24250" s="36" t="s">
        <v>48</v>
      </c>
    </row>
    <row r="24251">
      <c r="H24251" s="50"/>
      <c r="I24251" s="50"/>
      <c r="O24251" s="36" t="s">
        <v>48</v>
      </c>
      <c r="R24251" s="36" t="s">
        <v>48</v>
      </c>
    </row>
    <row r="24252">
      <c r="H24252" s="50"/>
      <c r="I24252" s="50"/>
      <c r="O24252" s="36" t="s">
        <v>48</v>
      </c>
      <c r="R24252" s="36" t="s">
        <v>48</v>
      </c>
    </row>
    <row r="24253">
      <c r="H24253" s="50"/>
      <c r="I24253" s="50"/>
      <c r="O24253" s="36" t="s">
        <v>48</v>
      </c>
      <c r="R24253" s="36" t="s">
        <v>48</v>
      </c>
    </row>
    <row r="24254">
      <c r="H24254" s="50"/>
      <c r="I24254" s="50"/>
      <c r="O24254" s="36" t="s">
        <v>48</v>
      </c>
      <c r="R24254" s="36" t="s">
        <v>48</v>
      </c>
    </row>
    <row r="24255">
      <c r="H24255" s="50"/>
      <c r="I24255" s="50"/>
      <c r="O24255" s="36" t="s">
        <v>48</v>
      </c>
      <c r="R24255" s="36" t="s">
        <v>48</v>
      </c>
    </row>
    <row r="24256">
      <c r="H24256" s="50"/>
      <c r="I24256" s="50"/>
      <c r="O24256" s="36" t="s">
        <v>48</v>
      </c>
      <c r="R24256" s="36" t="s">
        <v>48</v>
      </c>
    </row>
    <row r="24257">
      <c r="H24257" s="50"/>
      <c r="I24257" s="50"/>
      <c r="O24257" s="36" t="s">
        <v>48</v>
      </c>
      <c r="R24257" s="36" t="s">
        <v>48</v>
      </c>
    </row>
    <row r="24258">
      <c r="H24258" s="50"/>
      <c r="I24258" s="50"/>
      <c r="O24258" s="36" t="s">
        <v>48</v>
      </c>
      <c r="R24258" s="36" t="s">
        <v>48</v>
      </c>
    </row>
    <row r="24259">
      <c r="H24259" s="50"/>
      <c r="I24259" s="50"/>
      <c r="O24259" s="36" t="s">
        <v>48</v>
      </c>
      <c r="R24259" s="36" t="s">
        <v>48</v>
      </c>
    </row>
    <row r="24260">
      <c r="H24260" s="50"/>
      <c r="I24260" s="50"/>
      <c r="O24260" s="36" t="s">
        <v>48</v>
      </c>
      <c r="R24260" s="36" t="s">
        <v>48</v>
      </c>
    </row>
    <row r="24261">
      <c r="H24261" s="50"/>
      <c r="I24261" s="50"/>
      <c r="O24261" s="36" t="s">
        <v>48</v>
      </c>
      <c r="R24261" s="36" t="s">
        <v>48</v>
      </c>
    </row>
    <row r="24262">
      <c r="H24262" s="50"/>
      <c r="I24262" s="50"/>
      <c r="O24262" s="36" t="s">
        <v>48</v>
      </c>
      <c r="R24262" s="36" t="s">
        <v>48</v>
      </c>
    </row>
    <row r="24263">
      <c r="H24263" s="50"/>
      <c r="I24263" s="50"/>
      <c r="O24263" s="36" t="s">
        <v>48</v>
      </c>
      <c r="R24263" s="36" t="s">
        <v>48</v>
      </c>
    </row>
    <row r="24264">
      <c r="H24264" s="50"/>
      <c r="I24264" s="50"/>
      <c r="O24264" s="36" t="s">
        <v>48</v>
      </c>
      <c r="R24264" s="36" t="s">
        <v>48</v>
      </c>
    </row>
    <row r="24265">
      <c r="H24265" s="50"/>
      <c r="I24265" s="50"/>
      <c r="O24265" s="36" t="s">
        <v>48</v>
      </c>
      <c r="R24265" s="36" t="s">
        <v>48</v>
      </c>
    </row>
    <row r="24266">
      <c r="H24266" s="50"/>
      <c r="I24266" s="50"/>
      <c r="O24266" s="36" t="s">
        <v>48</v>
      </c>
      <c r="R24266" s="36" t="s">
        <v>48</v>
      </c>
    </row>
    <row r="24267">
      <c r="H24267" s="50"/>
      <c r="I24267" s="50"/>
      <c r="O24267" s="36" t="s">
        <v>48</v>
      </c>
      <c r="R24267" s="36" t="s">
        <v>48</v>
      </c>
    </row>
    <row r="24268">
      <c r="H24268" s="50"/>
      <c r="I24268" s="50"/>
      <c r="O24268" s="36" t="s">
        <v>48</v>
      </c>
      <c r="R24268" s="36" t="s">
        <v>48</v>
      </c>
    </row>
    <row r="24269">
      <c r="H24269" s="50"/>
      <c r="I24269" s="50"/>
      <c r="O24269" s="36" t="s">
        <v>48</v>
      </c>
      <c r="R24269" s="36" t="s">
        <v>48</v>
      </c>
    </row>
    <row r="24270">
      <c r="H24270" s="50"/>
      <c r="I24270" s="50"/>
      <c r="O24270" s="36" t="s">
        <v>48</v>
      </c>
      <c r="R24270" s="36" t="s">
        <v>48</v>
      </c>
    </row>
    <row r="24271">
      <c r="H24271" s="50"/>
      <c r="I24271" s="50"/>
      <c r="O24271" s="36" t="s">
        <v>48</v>
      </c>
      <c r="R24271" s="36" t="s">
        <v>48</v>
      </c>
    </row>
    <row r="24272">
      <c r="H24272" s="50"/>
      <c r="I24272" s="50"/>
      <c r="O24272" s="36" t="s">
        <v>48</v>
      </c>
      <c r="R24272" s="36" t="s">
        <v>48</v>
      </c>
    </row>
    <row r="24273">
      <c r="H24273" s="50"/>
      <c r="I24273" s="50"/>
      <c r="O24273" s="36" t="s">
        <v>48</v>
      </c>
      <c r="R24273" s="36" t="s">
        <v>48</v>
      </c>
    </row>
    <row r="24274">
      <c r="H24274" s="50"/>
      <c r="I24274" s="50"/>
      <c r="O24274" s="36" t="s">
        <v>48</v>
      </c>
      <c r="R24274" s="36" t="s">
        <v>48</v>
      </c>
    </row>
    <row r="24275">
      <c r="H24275" s="50"/>
      <c r="I24275" s="50"/>
      <c r="O24275" s="36" t="s">
        <v>48</v>
      </c>
      <c r="R24275" s="36" t="s">
        <v>48</v>
      </c>
    </row>
    <row r="24276">
      <c r="H24276" s="50"/>
      <c r="I24276" s="50"/>
      <c r="O24276" s="36" t="s">
        <v>48</v>
      </c>
      <c r="R24276" s="36" t="s">
        <v>48</v>
      </c>
    </row>
    <row r="24277">
      <c r="H24277" s="50"/>
      <c r="I24277" s="50"/>
      <c r="O24277" s="36" t="s">
        <v>48</v>
      </c>
      <c r="R24277" s="36" t="s">
        <v>48</v>
      </c>
    </row>
    <row r="24278">
      <c r="H24278" s="50"/>
      <c r="I24278" s="50"/>
      <c r="O24278" s="36" t="s">
        <v>48</v>
      </c>
      <c r="R24278" s="36" t="s">
        <v>48</v>
      </c>
    </row>
    <row r="24279">
      <c r="H24279" s="50"/>
      <c r="I24279" s="50"/>
      <c r="O24279" s="36" t="s">
        <v>48</v>
      </c>
      <c r="R24279" s="36" t="s">
        <v>48</v>
      </c>
    </row>
    <row r="24280">
      <c r="H24280" s="50"/>
      <c r="I24280" s="50"/>
      <c r="O24280" s="36" t="s">
        <v>48</v>
      </c>
      <c r="R24280" s="36" t="s">
        <v>48</v>
      </c>
    </row>
    <row r="24281">
      <c r="H24281" s="50"/>
      <c r="I24281" s="50"/>
      <c r="O24281" s="36" t="s">
        <v>48</v>
      </c>
      <c r="R24281" s="36" t="s">
        <v>48</v>
      </c>
    </row>
    <row r="24282">
      <c r="H24282" s="50"/>
      <c r="I24282" s="50"/>
      <c r="O24282" s="36" t="s">
        <v>48</v>
      </c>
      <c r="R24282" s="36" t="s">
        <v>48</v>
      </c>
    </row>
    <row r="24283">
      <c r="H24283" s="50"/>
      <c r="I24283" s="50"/>
      <c r="O24283" s="36" t="s">
        <v>48</v>
      </c>
      <c r="R24283" s="36" t="s">
        <v>48</v>
      </c>
    </row>
    <row r="24284">
      <c r="H24284" s="50"/>
      <c r="I24284" s="50"/>
      <c r="O24284" s="36" t="s">
        <v>48</v>
      </c>
      <c r="R24284" s="36" t="s">
        <v>48</v>
      </c>
    </row>
    <row r="24285">
      <c r="H24285" s="50"/>
      <c r="I24285" s="50"/>
      <c r="O24285" s="36" t="s">
        <v>48</v>
      </c>
      <c r="R24285" s="36" t="s">
        <v>48</v>
      </c>
    </row>
    <row r="24286">
      <c r="H24286" s="50"/>
      <c r="I24286" s="50"/>
      <c r="O24286" s="36" t="s">
        <v>48</v>
      </c>
      <c r="R24286" s="36" t="s">
        <v>48</v>
      </c>
    </row>
    <row r="24287">
      <c r="H24287" s="50"/>
      <c r="I24287" s="50"/>
      <c r="O24287" s="36" t="s">
        <v>48</v>
      </c>
      <c r="R24287" s="36" t="s">
        <v>48</v>
      </c>
    </row>
    <row r="24288">
      <c r="H24288" s="50"/>
      <c r="I24288" s="50"/>
      <c r="O24288" s="36" t="s">
        <v>48</v>
      </c>
      <c r="R24288" s="36" t="s">
        <v>48</v>
      </c>
    </row>
    <row r="24289">
      <c r="H24289" s="50"/>
      <c r="I24289" s="50"/>
      <c r="O24289" s="36" t="s">
        <v>48</v>
      </c>
      <c r="R24289" s="36" t="s">
        <v>48</v>
      </c>
    </row>
    <row r="24290">
      <c r="H24290" s="50"/>
      <c r="I24290" s="50"/>
      <c r="O24290" s="36" t="s">
        <v>48</v>
      </c>
      <c r="R24290" s="36" t="s">
        <v>48</v>
      </c>
    </row>
    <row r="24291">
      <c r="H24291" s="50"/>
      <c r="I24291" s="50"/>
      <c r="O24291" s="36" t="s">
        <v>48</v>
      </c>
      <c r="R24291" s="36" t="s">
        <v>48</v>
      </c>
    </row>
    <row r="24292">
      <c r="H24292" s="50"/>
      <c r="I24292" s="50"/>
      <c r="O24292" s="36" t="s">
        <v>48</v>
      </c>
      <c r="R24292" s="36" t="s">
        <v>48</v>
      </c>
    </row>
    <row r="24293">
      <c r="H24293" s="50"/>
      <c r="I24293" s="50"/>
      <c r="O24293" s="36" t="s">
        <v>48</v>
      </c>
      <c r="R24293" s="36" t="s">
        <v>48</v>
      </c>
    </row>
    <row r="24294">
      <c r="H24294" s="50"/>
      <c r="I24294" s="50"/>
      <c r="O24294" s="36" t="s">
        <v>48</v>
      </c>
      <c r="R24294" s="36" t="s">
        <v>48</v>
      </c>
    </row>
    <row r="24295">
      <c r="H24295" s="50"/>
      <c r="I24295" s="50"/>
      <c r="O24295" s="36" t="s">
        <v>48</v>
      </c>
      <c r="R24295" s="36" t="s">
        <v>48</v>
      </c>
    </row>
    <row r="24296">
      <c r="H24296" s="50"/>
      <c r="I24296" s="50"/>
      <c r="O24296" s="36" t="s">
        <v>48</v>
      </c>
      <c r="R24296" s="36" t="s">
        <v>48</v>
      </c>
    </row>
    <row r="24297">
      <c r="H24297" s="50"/>
      <c r="I24297" s="50"/>
      <c r="O24297" s="36" t="s">
        <v>48</v>
      </c>
      <c r="R24297" s="36" t="s">
        <v>48</v>
      </c>
    </row>
    <row r="24298">
      <c r="H24298" s="50"/>
      <c r="I24298" s="50"/>
      <c r="O24298" s="36" t="s">
        <v>48</v>
      </c>
      <c r="R24298" s="36" t="s">
        <v>48</v>
      </c>
    </row>
    <row r="24299">
      <c r="H24299" s="50"/>
      <c r="I24299" s="50"/>
      <c r="O24299" s="36" t="s">
        <v>48</v>
      </c>
      <c r="R24299" s="36" t="s">
        <v>48</v>
      </c>
    </row>
    <row r="24300">
      <c r="H24300" s="50"/>
      <c r="I24300" s="50"/>
      <c r="O24300" s="36" t="s">
        <v>48</v>
      </c>
      <c r="R24300" s="36" t="s">
        <v>48</v>
      </c>
    </row>
    <row r="24301">
      <c r="H24301" s="50"/>
      <c r="I24301" s="50"/>
      <c r="O24301" s="36" t="s">
        <v>48</v>
      </c>
      <c r="R24301" s="36" t="s">
        <v>48</v>
      </c>
    </row>
    <row r="24302">
      <c r="H24302" s="50"/>
      <c r="I24302" s="50"/>
      <c r="O24302" s="36" t="s">
        <v>48</v>
      </c>
      <c r="R24302" s="36" t="s">
        <v>48</v>
      </c>
    </row>
    <row r="24303">
      <c r="H24303" s="50"/>
      <c r="I24303" s="50"/>
      <c r="O24303" s="36" t="s">
        <v>48</v>
      </c>
      <c r="R24303" s="36" t="s">
        <v>48</v>
      </c>
    </row>
    <row r="24304">
      <c r="H24304" s="50"/>
      <c r="I24304" s="50"/>
      <c r="O24304" s="36" t="s">
        <v>48</v>
      </c>
      <c r="R24304" s="36" t="s">
        <v>48</v>
      </c>
    </row>
    <row r="24305">
      <c r="H24305" s="50"/>
      <c r="I24305" s="50"/>
      <c r="O24305" s="36" t="s">
        <v>48</v>
      </c>
      <c r="R24305" s="36" t="s">
        <v>48</v>
      </c>
    </row>
    <row r="24306">
      <c r="H24306" s="50"/>
      <c r="I24306" s="50"/>
      <c r="O24306" s="36" t="s">
        <v>48</v>
      </c>
      <c r="R24306" s="36" t="s">
        <v>48</v>
      </c>
    </row>
    <row r="24307">
      <c r="H24307" s="50"/>
      <c r="I24307" s="50"/>
      <c r="O24307" s="36" t="s">
        <v>48</v>
      </c>
      <c r="R24307" s="36" t="s">
        <v>48</v>
      </c>
    </row>
    <row r="24308">
      <c r="H24308" s="50"/>
      <c r="I24308" s="50"/>
      <c r="O24308" s="36" t="s">
        <v>48</v>
      </c>
      <c r="R24308" s="36" t="s">
        <v>48</v>
      </c>
    </row>
    <row r="24309">
      <c r="H24309" s="50"/>
      <c r="I24309" s="50"/>
      <c r="O24309" s="36" t="s">
        <v>48</v>
      </c>
      <c r="R24309" s="36" t="s">
        <v>48</v>
      </c>
    </row>
    <row r="24310">
      <c r="H24310" s="50"/>
      <c r="I24310" s="50"/>
      <c r="O24310" s="36" t="s">
        <v>48</v>
      </c>
      <c r="R24310" s="36" t="s">
        <v>48</v>
      </c>
    </row>
    <row r="24311">
      <c r="H24311" s="50"/>
      <c r="I24311" s="50"/>
      <c r="O24311" s="36" t="s">
        <v>48</v>
      </c>
      <c r="R24311" s="36" t="s">
        <v>48</v>
      </c>
    </row>
    <row r="24312">
      <c r="H24312" s="50"/>
      <c r="I24312" s="50"/>
      <c r="O24312" s="36" t="s">
        <v>48</v>
      </c>
      <c r="R24312" s="36" t="s">
        <v>48</v>
      </c>
    </row>
    <row r="24313">
      <c r="H24313" s="50"/>
      <c r="I24313" s="50"/>
      <c r="O24313" s="36" t="s">
        <v>48</v>
      </c>
      <c r="R24313" s="36" t="s">
        <v>48</v>
      </c>
    </row>
    <row r="24314">
      <c r="H24314" s="50"/>
      <c r="I24314" s="50"/>
      <c r="O24314" s="36" t="s">
        <v>48</v>
      </c>
      <c r="R24314" s="36" t="s">
        <v>48</v>
      </c>
    </row>
    <row r="24315">
      <c r="H24315" s="50"/>
      <c r="I24315" s="50"/>
      <c r="O24315" s="36" t="s">
        <v>48</v>
      </c>
      <c r="R24315" s="36" t="s">
        <v>48</v>
      </c>
    </row>
    <row r="24316">
      <c r="H24316" s="50"/>
      <c r="I24316" s="50"/>
      <c r="O24316" s="36" t="s">
        <v>48</v>
      </c>
      <c r="R24316" s="36" t="s">
        <v>48</v>
      </c>
    </row>
    <row r="24317">
      <c r="H24317" s="50"/>
      <c r="I24317" s="50"/>
      <c r="O24317" s="36" t="s">
        <v>48</v>
      </c>
      <c r="R24317" s="36" t="s">
        <v>48</v>
      </c>
    </row>
    <row r="24318">
      <c r="H24318" s="50"/>
      <c r="I24318" s="50"/>
      <c r="O24318" s="36" t="s">
        <v>48</v>
      </c>
      <c r="R24318" s="36" t="s">
        <v>48</v>
      </c>
    </row>
    <row r="24319">
      <c r="H24319" s="50"/>
      <c r="I24319" s="50"/>
      <c r="O24319" s="36" t="s">
        <v>48</v>
      </c>
      <c r="R24319" s="36" t="s">
        <v>48</v>
      </c>
    </row>
    <row r="24320">
      <c r="H24320" s="50"/>
      <c r="I24320" s="50"/>
      <c r="O24320" s="36" t="s">
        <v>48</v>
      </c>
      <c r="R24320" s="36" t="s">
        <v>48</v>
      </c>
    </row>
    <row r="24321">
      <c r="H24321" s="50"/>
      <c r="I24321" s="50"/>
      <c r="O24321" s="36" t="s">
        <v>48</v>
      </c>
      <c r="R24321" s="36" t="s">
        <v>48</v>
      </c>
    </row>
    <row r="24322">
      <c r="H24322" s="50"/>
      <c r="I24322" s="50"/>
      <c r="O24322" s="36" t="s">
        <v>48</v>
      </c>
      <c r="R24322" s="36" t="s">
        <v>48</v>
      </c>
    </row>
    <row r="24323">
      <c r="H24323" s="50"/>
      <c r="I24323" s="50"/>
      <c r="O24323" s="36" t="s">
        <v>48</v>
      </c>
      <c r="R24323" s="36" t="s">
        <v>48</v>
      </c>
    </row>
    <row r="24324">
      <c r="H24324" s="50"/>
      <c r="I24324" s="50"/>
      <c r="O24324" s="36" t="s">
        <v>48</v>
      </c>
      <c r="R24324" s="36" t="s">
        <v>48</v>
      </c>
    </row>
    <row r="24325">
      <c r="H24325" s="50"/>
      <c r="I24325" s="50"/>
      <c r="O24325" s="36" t="s">
        <v>48</v>
      </c>
      <c r="R24325" s="36" t="s">
        <v>48</v>
      </c>
    </row>
    <row r="24326">
      <c r="H24326" s="50"/>
      <c r="I24326" s="50"/>
      <c r="O24326" s="36" t="s">
        <v>48</v>
      </c>
      <c r="R24326" s="36" t="s">
        <v>48</v>
      </c>
    </row>
    <row r="24327">
      <c r="H24327" s="50"/>
      <c r="I24327" s="50"/>
      <c r="O24327" s="36" t="s">
        <v>48</v>
      </c>
      <c r="R24327" s="36" t="s">
        <v>48</v>
      </c>
    </row>
    <row r="24328">
      <c r="H24328" s="50"/>
      <c r="I24328" s="50"/>
      <c r="O24328" s="36" t="s">
        <v>48</v>
      </c>
      <c r="R24328" s="36" t="s">
        <v>48</v>
      </c>
    </row>
    <row r="24329">
      <c r="H24329" s="50"/>
      <c r="I24329" s="50"/>
      <c r="O24329" s="36" t="s">
        <v>48</v>
      </c>
      <c r="R24329" s="36" t="s">
        <v>48</v>
      </c>
    </row>
    <row r="24330">
      <c r="H24330" s="50"/>
      <c r="I24330" s="50"/>
      <c r="O24330" s="36" t="s">
        <v>48</v>
      </c>
      <c r="R24330" s="36" t="s">
        <v>48</v>
      </c>
    </row>
    <row r="24331">
      <c r="H24331" s="50"/>
      <c r="I24331" s="50"/>
      <c r="O24331" s="36" t="s">
        <v>48</v>
      </c>
      <c r="R24331" s="36" t="s">
        <v>48</v>
      </c>
    </row>
    <row r="24332">
      <c r="H24332" s="50"/>
      <c r="I24332" s="50"/>
      <c r="O24332" s="36" t="s">
        <v>48</v>
      </c>
      <c r="R24332" s="36" t="s">
        <v>48</v>
      </c>
    </row>
    <row r="24333">
      <c r="H24333" s="50"/>
      <c r="I24333" s="50"/>
      <c r="O24333" s="36" t="s">
        <v>48</v>
      </c>
      <c r="R24333" s="36" t="s">
        <v>48</v>
      </c>
    </row>
    <row r="24334">
      <c r="H24334" s="50"/>
      <c r="I24334" s="50"/>
      <c r="O24334" s="36" t="s">
        <v>48</v>
      </c>
      <c r="R24334" s="36" t="s">
        <v>48</v>
      </c>
    </row>
    <row r="24335">
      <c r="H24335" s="50"/>
      <c r="I24335" s="50"/>
      <c r="O24335" s="36" t="s">
        <v>48</v>
      </c>
      <c r="R24335" s="36" t="s">
        <v>48</v>
      </c>
    </row>
    <row r="24336">
      <c r="H24336" s="50"/>
      <c r="I24336" s="50"/>
      <c r="O24336" s="36" t="s">
        <v>48</v>
      </c>
      <c r="R24336" s="36" t="s">
        <v>48</v>
      </c>
    </row>
    <row r="24337">
      <c r="H24337" s="50"/>
      <c r="I24337" s="50"/>
      <c r="O24337" s="36" t="s">
        <v>48</v>
      </c>
      <c r="R24337" s="36" t="s">
        <v>48</v>
      </c>
    </row>
    <row r="24338">
      <c r="H24338" s="50"/>
      <c r="I24338" s="50"/>
      <c r="O24338" s="36" t="s">
        <v>48</v>
      </c>
      <c r="R24338" s="36" t="s">
        <v>48</v>
      </c>
    </row>
    <row r="24339">
      <c r="H24339" s="50"/>
      <c r="I24339" s="50"/>
      <c r="O24339" s="36" t="s">
        <v>48</v>
      </c>
      <c r="R24339" s="36" t="s">
        <v>48</v>
      </c>
    </row>
    <row r="24340">
      <c r="H24340" s="50"/>
      <c r="I24340" s="50"/>
      <c r="O24340" s="36" t="s">
        <v>48</v>
      </c>
      <c r="R24340" s="36" t="s">
        <v>48</v>
      </c>
    </row>
    <row r="24341">
      <c r="H24341" s="50"/>
      <c r="I24341" s="50"/>
      <c r="O24341" s="36" t="s">
        <v>48</v>
      </c>
      <c r="R24341" s="36" t="s">
        <v>48</v>
      </c>
    </row>
    <row r="24342">
      <c r="H24342" s="50"/>
      <c r="I24342" s="50"/>
      <c r="O24342" s="36" t="s">
        <v>48</v>
      </c>
      <c r="R24342" s="36" t="s">
        <v>48</v>
      </c>
    </row>
    <row r="24343">
      <c r="H24343" s="50"/>
      <c r="I24343" s="50"/>
      <c r="O24343" s="36" t="s">
        <v>48</v>
      </c>
      <c r="R24343" s="36" t="s">
        <v>48</v>
      </c>
    </row>
    <row r="24344">
      <c r="H24344" s="50"/>
      <c r="I24344" s="50"/>
      <c r="O24344" s="36" t="s">
        <v>48</v>
      </c>
      <c r="R24344" s="36" t="s">
        <v>48</v>
      </c>
    </row>
    <row r="24345">
      <c r="H24345" s="50"/>
      <c r="I24345" s="50"/>
      <c r="O24345" s="36" t="s">
        <v>48</v>
      </c>
      <c r="R24345" s="36" t="s">
        <v>48</v>
      </c>
    </row>
    <row r="24346">
      <c r="H24346" s="50"/>
      <c r="I24346" s="50"/>
      <c r="O24346" s="36" t="s">
        <v>48</v>
      </c>
      <c r="R24346" s="36" t="s">
        <v>48</v>
      </c>
    </row>
    <row r="24347">
      <c r="H24347" s="50"/>
      <c r="I24347" s="50"/>
      <c r="O24347" s="36" t="s">
        <v>48</v>
      </c>
      <c r="R24347" s="36" t="s">
        <v>48</v>
      </c>
    </row>
    <row r="24348">
      <c r="H24348" s="50"/>
      <c r="I24348" s="50"/>
      <c r="O24348" s="36" t="s">
        <v>48</v>
      </c>
      <c r="R24348" s="36" t="s">
        <v>48</v>
      </c>
    </row>
    <row r="24349">
      <c r="H24349" s="50"/>
      <c r="I24349" s="50"/>
      <c r="O24349" s="36" t="s">
        <v>48</v>
      </c>
      <c r="R24349" s="36" t="s">
        <v>48</v>
      </c>
    </row>
    <row r="24350">
      <c r="H24350" s="50"/>
      <c r="I24350" s="50"/>
      <c r="O24350" s="36" t="s">
        <v>48</v>
      </c>
      <c r="R24350" s="36" t="s">
        <v>48</v>
      </c>
    </row>
    <row r="24351">
      <c r="H24351" s="50"/>
      <c r="I24351" s="50"/>
      <c r="O24351" s="36" t="s">
        <v>48</v>
      </c>
      <c r="R24351" s="36" t="s">
        <v>48</v>
      </c>
    </row>
    <row r="24352">
      <c r="H24352" s="50"/>
      <c r="I24352" s="50"/>
      <c r="O24352" s="36" t="s">
        <v>48</v>
      </c>
      <c r="R24352" s="36" t="s">
        <v>48</v>
      </c>
    </row>
    <row r="24353">
      <c r="H24353" s="50"/>
      <c r="I24353" s="50"/>
      <c r="O24353" s="36" t="s">
        <v>48</v>
      </c>
      <c r="R24353" s="36" t="s">
        <v>48</v>
      </c>
    </row>
    <row r="24354">
      <c r="H24354" s="50"/>
      <c r="I24354" s="50"/>
      <c r="O24354" s="36" t="s">
        <v>48</v>
      </c>
      <c r="R24354" s="36" t="s">
        <v>48</v>
      </c>
    </row>
    <row r="24355">
      <c r="H24355" s="50"/>
      <c r="I24355" s="50"/>
      <c r="O24355" s="36" t="s">
        <v>48</v>
      </c>
      <c r="R24355" s="36" t="s">
        <v>48</v>
      </c>
    </row>
    <row r="24356">
      <c r="H24356" s="50"/>
      <c r="I24356" s="50"/>
      <c r="O24356" s="36" t="s">
        <v>48</v>
      </c>
      <c r="R24356" s="36" t="s">
        <v>48</v>
      </c>
    </row>
    <row r="24357">
      <c r="H24357" s="50"/>
      <c r="I24357" s="50"/>
      <c r="O24357" s="36" t="s">
        <v>48</v>
      </c>
      <c r="R24357" s="36" t="s">
        <v>48</v>
      </c>
    </row>
    <row r="24358">
      <c r="H24358" s="50"/>
      <c r="I24358" s="50"/>
      <c r="O24358" s="36" t="s">
        <v>48</v>
      </c>
      <c r="R24358" s="36" t="s">
        <v>48</v>
      </c>
    </row>
    <row r="24359">
      <c r="H24359" s="50"/>
      <c r="I24359" s="50"/>
      <c r="O24359" s="36" t="s">
        <v>48</v>
      </c>
      <c r="R24359" s="36" t="s">
        <v>48</v>
      </c>
    </row>
    <row r="24360">
      <c r="H24360" s="50"/>
      <c r="I24360" s="50"/>
      <c r="O24360" s="36" t="s">
        <v>48</v>
      </c>
      <c r="R24360" s="36" t="s">
        <v>48</v>
      </c>
    </row>
    <row r="24361">
      <c r="H24361" s="50"/>
      <c r="I24361" s="50"/>
      <c r="O24361" s="36" t="s">
        <v>48</v>
      </c>
      <c r="R24361" s="36" t="s">
        <v>48</v>
      </c>
    </row>
    <row r="24362">
      <c r="H24362" s="50"/>
      <c r="I24362" s="50"/>
      <c r="O24362" s="36" t="s">
        <v>48</v>
      </c>
      <c r="R24362" s="36" t="s">
        <v>48</v>
      </c>
    </row>
    <row r="24363">
      <c r="H24363" s="50"/>
      <c r="I24363" s="50"/>
      <c r="O24363" s="36" t="s">
        <v>48</v>
      </c>
      <c r="R24363" s="36" t="s">
        <v>48</v>
      </c>
    </row>
    <row r="24364">
      <c r="H24364" s="50"/>
      <c r="I24364" s="50"/>
      <c r="O24364" s="36" t="s">
        <v>48</v>
      </c>
      <c r="R24364" s="36" t="s">
        <v>48</v>
      </c>
    </row>
    <row r="24365">
      <c r="H24365" s="50"/>
      <c r="I24365" s="50"/>
      <c r="O24365" s="36" t="s">
        <v>48</v>
      </c>
      <c r="R24365" s="36" t="s">
        <v>48</v>
      </c>
    </row>
    <row r="24366">
      <c r="H24366" s="50"/>
      <c r="I24366" s="50"/>
      <c r="O24366" s="36" t="s">
        <v>48</v>
      </c>
      <c r="R24366" s="36" t="s">
        <v>48</v>
      </c>
    </row>
    <row r="24367">
      <c r="H24367" s="50"/>
      <c r="I24367" s="50"/>
      <c r="O24367" s="36" t="s">
        <v>48</v>
      </c>
      <c r="R24367" s="36" t="s">
        <v>48</v>
      </c>
    </row>
    <row r="24368">
      <c r="H24368" s="50"/>
      <c r="I24368" s="50"/>
      <c r="O24368" s="36" t="s">
        <v>48</v>
      </c>
      <c r="R24368" s="36" t="s">
        <v>48</v>
      </c>
    </row>
    <row r="24369">
      <c r="H24369" s="50"/>
      <c r="I24369" s="50"/>
      <c r="O24369" s="36" t="s">
        <v>48</v>
      </c>
      <c r="R24369" s="36" t="s">
        <v>48</v>
      </c>
    </row>
    <row r="24370">
      <c r="H24370" s="50"/>
      <c r="I24370" s="50"/>
      <c r="O24370" s="36" t="s">
        <v>48</v>
      </c>
      <c r="R24370" s="36" t="s">
        <v>48</v>
      </c>
    </row>
    <row r="24371">
      <c r="H24371" s="50"/>
      <c r="I24371" s="50"/>
      <c r="O24371" s="36" t="s">
        <v>48</v>
      </c>
      <c r="R24371" s="36" t="s">
        <v>48</v>
      </c>
    </row>
    <row r="24372">
      <c r="H24372" s="50"/>
      <c r="I24372" s="50"/>
      <c r="O24372" s="36" t="s">
        <v>48</v>
      </c>
      <c r="R24372" s="36" t="s">
        <v>48</v>
      </c>
    </row>
    <row r="24373">
      <c r="H24373" s="50"/>
      <c r="I24373" s="50"/>
      <c r="O24373" s="36" t="s">
        <v>48</v>
      </c>
      <c r="R24373" s="36" t="s">
        <v>48</v>
      </c>
    </row>
    <row r="24374">
      <c r="H24374" s="50"/>
      <c r="I24374" s="50"/>
      <c r="O24374" s="36" t="s">
        <v>48</v>
      </c>
      <c r="R24374" s="36" t="s">
        <v>48</v>
      </c>
    </row>
    <row r="24375">
      <c r="H24375" s="50"/>
      <c r="I24375" s="50"/>
      <c r="O24375" s="36" t="s">
        <v>48</v>
      </c>
      <c r="R24375" s="36" t="s">
        <v>48</v>
      </c>
    </row>
    <row r="24376">
      <c r="H24376" s="50"/>
      <c r="I24376" s="50"/>
      <c r="O24376" s="36" t="s">
        <v>48</v>
      </c>
      <c r="R24376" s="36" t="s">
        <v>48</v>
      </c>
    </row>
    <row r="24377">
      <c r="H24377" s="50"/>
      <c r="I24377" s="50"/>
      <c r="O24377" s="36" t="s">
        <v>48</v>
      </c>
      <c r="R24377" s="36" t="s">
        <v>48</v>
      </c>
    </row>
    <row r="24378">
      <c r="H24378" s="50"/>
      <c r="I24378" s="50"/>
      <c r="O24378" s="36" t="s">
        <v>48</v>
      </c>
      <c r="R24378" s="36" t="s">
        <v>48</v>
      </c>
    </row>
    <row r="24379">
      <c r="H24379" s="50"/>
      <c r="I24379" s="50"/>
      <c r="O24379" s="36" t="s">
        <v>48</v>
      </c>
      <c r="R24379" s="36" t="s">
        <v>48</v>
      </c>
    </row>
    <row r="24380">
      <c r="H24380" s="50"/>
      <c r="I24380" s="50"/>
      <c r="O24380" s="36" t="s">
        <v>48</v>
      </c>
      <c r="R24380" s="36" t="s">
        <v>48</v>
      </c>
    </row>
    <row r="24381">
      <c r="H24381" s="50"/>
      <c r="I24381" s="50"/>
      <c r="O24381" s="36" t="s">
        <v>48</v>
      </c>
      <c r="R24381" s="36" t="s">
        <v>48</v>
      </c>
    </row>
    <row r="24382">
      <c r="H24382" s="50"/>
      <c r="I24382" s="50"/>
      <c r="O24382" s="36" t="s">
        <v>48</v>
      </c>
      <c r="R24382" s="36" t="s">
        <v>48</v>
      </c>
    </row>
    <row r="24383">
      <c r="H24383" s="50"/>
      <c r="I24383" s="50"/>
      <c r="O24383" s="36" t="s">
        <v>48</v>
      </c>
      <c r="R24383" s="36" t="s">
        <v>48</v>
      </c>
    </row>
    <row r="24384">
      <c r="H24384" s="50"/>
      <c r="I24384" s="50"/>
      <c r="O24384" s="36" t="s">
        <v>48</v>
      </c>
      <c r="R24384" s="36" t="s">
        <v>48</v>
      </c>
    </row>
    <row r="24385">
      <c r="H24385" s="50"/>
      <c r="I24385" s="50"/>
      <c r="O24385" s="36" t="s">
        <v>48</v>
      </c>
      <c r="R24385" s="36" t="s">
        <v>48</v>
      </c>
    </row>
    <row r="24386">
      <c r="H24386" s="50"/>
      <c r="I24386" s="50"/>
      <c r="O24386" s="36" t="s">
        <v>48</v>
      </c>
      <c r="R24386" s="36" t="s">
        <v>48</v>
      </c>
    </row>
    <row r="24387">
      <c r="H24387" s="50"/>
      <c r="I24387" s="50"/>
      <c r="O24387" s="36" t="s">
        <v>48</v>
      </c>
      <c r="R24387" s="36" t="s">
        <v>48</v>
      </c>
    </row>
    <row r="24388">
      <c r="H24388" s="50"/>
      <c r="I24388" s="50"/>
      <c r="O24388" s="36" t="s">
        <v>48</v>
      </c>
      <c r="R24388" s="36" t="s">
        <v>48</v>
      </c>
    </row>
    <row r="24389">
      <c r="H24389" s="50"/>
      <c r="I24389" s="50"/>
      <c r="O24389" s="36" t="s">
        <v>48</v>
      </c>
      <c r="R24389" s="36" t="s">
        <v>48</v>
      </c>
    </row>
    <row r="24390">
      <c r="H24390" s="50"/>
      <c r="I24390" s="50"/>
      <c r="O24390" s="36" t="s">
        <v>48</v>
      </c>
      <c r="R24390" s="36" t="s">
        <v>48</v>
      </c>
    </row>
    <row r="24391">
      <c r="H24391" s="50"/>
      <c r="I24391" s="50"/>
      <c r="O24391" s="36" t="s">
        <v>48</v>
      </c>
      <c r="R24391" s="36" t="s">
        <v>48</v>
      </c>
    </row>
    <row r="24392">
      <c r="H24392" s="50"/>
      <c r="I24392" s="50"/>
      <c r="O24392" s="36" t="s">
        <v>48</v>
      </c>
      <c r="R24392" s="36" t="s">
        <v>48</v>
      </c>
    </row>
    <row r="24393">
      <c r="H24393" s="50"/>
      <c r="I24393" s="50"/>
      <c r="O24393" s="36" t="s">
        <v>48</v>
      </c>
      <c r="R24393" s="36" t="s">
        <v>48</v>
      </c>
    </row>
    <row r="24394">
      <c r="H24394" s="50"/>
      <c r="I24394" s="50"/>
      <c r="O24394" s="36" t="s">
        <v>48</v>
      </c>
      <c r="R24394" s="36" t="s">
        <v>48</v>
      </c>
    </row>
    <row r="24395">
      <c r="H24395" s="50"/>
      <c r="I24395" s="50"/>
      <c r="O24395" s="36" t="s">
        <v>48</v>
      </c>
      <c r="R24395" s="36" t="s">
        <v>48</v>
      </c>
    </row>
    <row r="24396">
      <c r="H24396" s="50"/>
      <c r="I24396" s="50"/>
      <c r="O24396" s="36" t="s">
        <v>48</v>
      </c>
      <c r="R24396" s="36" t="s">
        <v>48</v>
      </c>
    </row>
    <row r="24397">
      <c r="H24397" s="50"/>
      <c r="I24397" s="50"/>
      <c r="O24397" s="36" t="s">
        <v>48</v>
      </c>
      <c r="R24397" s="36" t="s">
        <v>48</v>
      </c>
    </row>
    <row r="24398">
      <c r="H24398" s="50"/>
      <c r="I24398" s="50"/>
      <c r="O24398" s="36" t="s">
        <v>48</v>
      </c>
      <c r="R24398" s="36" t="s">
        <v>48</v>
      </c>
    </row>
    <row r="24399">
      <c r="H24399" s="50"/>
      <c r="I24399" s="50"/>
      <c r="O24399" s="36" t="s">
        <v>48</v>
      </c>
      <c r="R24399" s="36" t="s">
        <v>48</v>
      </c>
    </row>
    <row r="24400">
      <c r="H24400" s="50"/>
      <c r="I24400" s="50"/>
      <c r="O24400" s="36" t="s">
        <v>48</v>
      </c>
      <c r="R24400" s="36" t="s">
        <v>48</v>
      </c>
    </row>
    <row r="24401">
      <c r="H24401" s="50"/>
      <c r="I24401" s="50"/>
      <c r="O24401" s="36" t="s">
        <v>48</v>
      </c>
      <c r="R24401" s="36" t="s">
        <v>48</v>
      </c>
    </row>
    <row r="24402">
      <c r="H24402" s="50"/>
      <c r="I24402" s="50"/>
      <c r="O24402" s="36" t="s">
        <v>48</v>
      </c>
      <c r="R24402" s="36" t="s">
        <v>48</v>
      </c>
    </row>
    <row r="24403">
      <c r="H24403" s="50"/>
      <c r="I24403" s="50"/>
      <c r="O24403" s="36" t="s">
        <v>48</v>
      </c>
      <c r="R24403" s="36" t="s">
        <v>48</v>
      </c>
    </row>
    <row r="24404">
      <c r="H24404" s="50"/>
      <c r="I24404" s="50"/>
      <c r="O24404" s="36" t="s">
        <v>48</v>
      </c>
      <c r="R24404" s="36" t="s">
        <v>48</v>
      </c>
    </row>
    <row r="24405">
      <c r="H24405" s="50"/>
      <c r="I24405" s="50"/>
      <c r="O24405" s="36" t="s">
        <v>48</v>
      </c>
      <c r="R24405" s="36" t="s">
        <v>48</v>
      </c>
    </row>
    <row r="24406">
      <c r="H24406" s="50"/>
      <c r="I24406" s="50"/>
      <c r="O24406" s="36" t="s">
        <v>48</v>
      </c>
      <c r="R24406" s="36" t="s">
        <v>48</v>
      </c>
    </row>
    <row r="24407">
      <c r="H24407" s="50"/>
      <c r="I24407" s="50"/>
      <c r="O24407" s="36" t="s">
        <v>48</v>
      </c>
      <c r="R24407" s="36" t="s">
        <v>48</v>
      </c>
    </row>
    <row r="24408">
      <c r="H24408" s="50"/>
      <c r="I24408" s="50"/>
      <c r="O24408" s="36" t="s">
        <v>48</v>
      </c>
      <c r="R24408" s="36" t="s">
        <v>48</v>
      </c>
    </row>
    <row r="24409">
      <c r="H24409" s="50"/>
      <c r="I24409" s="50"/>
      <c r="O24409" s="36" t="s">
        <v>48</v>
      </c>
      <c r="R24409" s="36" t="s">
        <v>48</v>
      </c>
    </row>
    <row r="24410">
      <c r="H24410" s="50"/>
      <c r="I24410" s="50"/>
      <c r="O24410" s="36" t="s">
        <v>48</v>
      </c>
      <c r="R24410" s="36" t="s">
        <v>48</v>
      </c>
    </row>
    <row r="24411">
      <c r="H24411" s="50"/>
      <c r="I24411" s="50"/>
      <c r="O24411" s="36" t="s">
        <v>48</v>
      </c>
      <c r="R24411" s="36" t="s">
        <v>48</v>
      </c>
    </row>
    <row r="24412">
      <c r="H24412" s="50"/>
      <c r="I24412" s="50"/>
      <c r="O24412" s="36" t="s">
        <v>48</v>
      </c>
      <c r="R24412" s="36" t="s">
        <v>48</v>
      </c>
    </row>
    <row r="24413">
      <c r="H24413" s="50"/>
      <c r="I24413" s="50"/>
      <c r="O24413" s="36" t="s">
        <v>48</v>
      </c>
      <c r="R24413" s="36" t="s">
        <v>48</v>
      </c>
    </row>
    <row r="24414">
      <c r="H24414" s="50"/>
      <c r="I24414" s="50"/>
      <c r="O24414" s="36" t="s">
        <v>48</v>
      </c>
      <c r="R24414" s="36" t="s">
        <v>48</v>
      </c>
    </row>
    <row r="24415">
      <c r="H24415" s="50"/>
      <c r="I24415" s="50"/>
      <c r="O24415" s="36" t="s">
        <v>48</v>
      </c>
      <c r="R24415" s="36" t="s">
        <v>48</v>
      </c>
    </row>
    <row r="24416">
      <c r="H24416" s="50"/>
      <c r="I24416" s="50"/>
      <c r="O24416" s="36" t="s">
        <v>48</v>
      </c>
      <c r="R24416" s="36" t="s">
        <v>48</v>
      </c>
    </row>
    <row r="24417">
      <c r="H24417" s="50"/>
      <c r="I24417" s="50"/>
      <c r="O24417" s="36" t="s">
        <v>48</v>
      </c>
      <c r="R24417" s="36" t="s">
        <v>48</v>
      </c>
    </row>
    <row r="24418">
      <c r="H24418" s="50"/>
      <c r="I24418" s="50"/>
      <c r="O24418" s="36" t="s">
        <v>48</v>
      </c>
      <c r="R24418" s="36" t="s">
        <v>48</v>
      </c>
    </row>
    <row r="24419">
      <c r="H24419" s="50"/>
      <c r="I24419" s="50"/>
      <c r="O24419" s="36" t="s">
        <v>48</v>
      </c>
      <c r="R24419" s="36" t="s">
        <v>48</v>
      </c>
    </row>
    <row r="24420">
      <c r="H24420" s="50"/>
      <c r="I24420" s="50"/>
      <c r="O24420" s="36" t="s">
        <v>48</v>
      </c>
      <c r="R24420" s="36" t="s">
        <v>48</v>
      </c>
    </row>
    <row r="24421">
      <c r="H24421" s="50"/>
      <c r="I24421" s="50"/>
      <c r="O24421" s="36" t="s">
        <v>48</v>
      </c>
      <c r="R24421" s="36" t="s">
        <v>48</v>
      </c>
    </row>
    <row r="24422">
      <c r="H24422" s="50"/>
      <c r="I24422" s="50"/>
      <c r="O24422" s="36" t="s">
        <v>48</v>
      </c>
      <c r="R24422" s="36" t="s">
        <v>48</v>
      </c>
    </row>
    <row r="24423">
      <c r="H24423" s="50"/>
      <c r="I24423" s="50"/>
      <c r="O24423" s="36" t="s">
        <v>48</v>
      </c>
      <c r="R24423" s="36" t="s">
        <v>48</v>
      </c>
    </row>
    <row r="24424">
      <c r="H24424" s="50"/>
      <c r="I24424" s="50"/>
      <c r="O24424" s="36" t="s">
        <v>48</v>
      </c>
      <c r="R24424" s="36" t="s">
        <v>48</v>
      </c>
    </row>
    <row r="24425">
      <c r="H24425" s="50"/>
      <c r="I24425" s="50"/>
      <c r="O24425" s="36" t="s">
        <v>48</v>
      </c>
      <c r="R24425" s="36" t="s">
        <v>48</v>
      </c>
    </row>
    <row r="24426">
      <c r="H24426" s="50"/>
      <c r="I24426" s="50"/>
      <c r="O24426" s="36" t="s">
        <v>48</v>
      </c>
      <c r="R24426" s="36" t="s">
        <v>48</v>
      </c>
    </row>
    <row r="24427">
      <c r="H24427" s="50"/>
      <c r="I24427" s="50"/>
      <c r="O24427" s="36" t="s">
        <v>48</v>
      </c>
      <c r="R24427" s="36" t="s">
        <v>48</v>
      </c>
    </row>
    <row r="24428">
      <c r="H24428" s="50"/>
      <c r="I24428" s="50"/>
      <c r="O24428" s="36" t="s">
        <v>48</v>
      </c>
      <c r="R24428" s="36" t="s">
        <v>48</v>
      </c>
    </row>
    <row r="24429">
      <c r="H24429" s="50"/>
      <c r="I24429" s="50"/>
      <c r="O24429" s="36" t="s">
        <v>48</v>
      </c>
      <c r="R24429" s="36" t="s">
        <v>48</v>
      </c>
    </row>
    <row r="24430">
      <c r="H24430" s="50"/>
      <c r="I24430" s="50"/>
      <c r="O24430" s="36" t="s">
        <v>48</v>
      </c>
      <c r="R24430" s="36" t="s">
        <v>48</v>
      </c>
    </row>
    <row r="24431">
      <c r="H24431" s="50"/>
      <c r="I24431" s="50"/>
      <c r="O24431" s="36" t="s">
        <v>48</v>
      </c>
      <c r="R24431" s="36" t="s">
        <v>48</v>
      </c>
    </row>
    <row r="24432">
      <c r="H24432" s="50"/>
      <c r="I24432" s="50"/>
      <c r="O24432" s="36" t="s">
        <v>48</v>
      </c>
      <c r="R24432" s="36" t="s">
        <v>48</v>
      </c>
    </row>
    <row r="24433">
      <c r="H24433" s="50"/>
      <c r="I24433" s="50"/>
      <c r="O24433" s="36" t="s">
        <v>48</v>
      </c>
      <c r="R24433" s="36" t="s">
        <v>48</v>
      </c>
    </row>
    <row r="24434">
      <c r="H24434" s="50"/>
      <c r="I24434" s="50"/>
      <c r="O24434" s="36" t="s">
        <v>48</v>
      </c>
      <c r="R24434" s="36" t="s">
        <v>48</v>
      </c>
    </row>
    <row r="24435">
      <c r="H24435" s="50"/>
      <c r="I24435" s="50"/>
      <c r="O24435" s="36" t="s">
        <v>48</v>
      </c>
      <c r="R24435" s="36" t="s">
        <v>48</v>
      </c>
    </row>
    <row r="24436">
      <c r="H24436" s="50"/>
      <c r="I24436" s="50"/>
      <c r="O24436" s="36" t="s">
        <v>48</v>
      </c>
      <c r="R24436" s="36" t="s">
        <v>48</v>
      </c>
    </row>
    <row r="24437">
      <c r="H24437" s="50"/>
      <c r="I24437" s="50"/>
      <c r="O24437" s="36" t="s">
        <v>48</v>
      </c>
      <c r="R24437" s="36" t="s">
        <v>48</v>
      </c>
    </row>
    <row r="24438">
      <c r="H24438" s="50"/>
      <c r="I24438" s="50"/>
      <c r="O24438" s="36" t="s">
        <v>48</v>
      </c>
      <c r="R24438" s="36" t="s">
        <v>48</v>
      </c>
    </row>
    <row r="24439">
      <c r="H24439" s="50"/>
      <c r="I24439" s="50"/>
      <c r="O24439" s="36" t="s">
        <v>48</v>
      </c>
      <c r="R24439" s="36" t="s">
        <v>48</v>
      </c>
    </row>
    <row r="24440">
      <c r="H24440" s="50"/>
      <c r="I24440" s="50"/>
      <c r="O24440" s="36" t="s">
        <v>48</v>
      </c>
      <c r="R24440" s="36" t="s">
        <v>48</v>
      </c>
    </row>
    <row r="24441">
      <c r="H24441" s="50"/>
      <c r="I24441" s="50"/>
      <c r="O24441" s="36" t="s">
        <v>48</v>
      </c>
      <c r="R24441" s="36" t="s">
        <v>48</v>
      </c>
    </row>
    <row r="24442">
      <c r="H24442" s="50"/>
      <c r="I24442" s="50"/>
      <c r="O24442" s="36" t="s">
        <v>48</v>
      </c>
      <c r="R24442" s="36" t="s">
        <v>48</v>
      </c>
    </row>
    <row r="24443">
      <c r="H24443" s="50"/>
      <c r="I24443" s="50"/>
      <c r="O24443" s="36" t="s">
        <v>48</v>
      </c>
      <c r="R24443" s="36" t="s">
        <v>48</v>
      </c>
    </row>
    <row r="24444">
      <c r="H24444" s="50"/>
      <c r="I24444" s="50"/>
      <c r="O24444" s="36" t="s">
        <v>48</v>
      </c>
      <c r="R24444" s="36" t="s">
        <v>48</v>
      </c>
    </row>
    <row r="24445">
      <c r="H24445" s="50"/>
      <c r="I24445" s="50"/>
      <c r="O24445" s="36" t="s">
        <v>48</v>
      </c>
      <c r="R24445" s="36" t="s">
        <v>48</v>
      </c>
    </row>
    <row r="24446">
      <c r="H24446" s="50"/>
      <c r="I24446" s="50"/>
      <c r="O24446" s="36" t="s">
        <v>48</v>
      </c>
      <c r="R24446" s="36" t="s">
        <v>48</v>
      </c>
    </row>
    <row r="24447">
      <c r="H24447" s="50"/>
      <c r="I24447" s="50"/>
      <c r="O24447" s="36" t="s">
        <v>48</v>
      </c>
      <c r="R24447" s="36" t="s">
        <v>48</v>
      </c>
    </row>
    <row r="24448">
      <c r="H24448" s="50"/>
      <c r="I24448" s="50"/>
      <c r="O24448" s="36" t="s">
        <v>48</v>
      </c>
      <c r="R24448" s="36" t="s">
        <v>48</v>
      </c>
    </row>
    <row r="24449">
      <c r="H24449" s="50"/>
      <c r="I24449" s="50"/>
      <c r="O24449" s="36" t="s">
        <v>48</v>
      </c>
      <c r="R24449" s="36" t="s">
        <v>48</v>
      </c>
    </row>
    <row r="24450">
      <c r="H24450" s="50"/>
      <c r="I24450" s="50"/>
      <c r="O24450" s="36" t="s">
        <v>48</v>
      </c>
      <c r="R24450" s="36" t="s">
        <v>48</v>
      </c>
    </row>
    <row r="24451">
      <c r="H24451" s="50"/>
      <c r="I24451" s="50"/>
      <c r="O24451" s="36" t="s">
        <v>48</v>
      </c>
      <c r="R24451" s="36" t="s">
        <v>48</v>
      </c>
    </row>
    <row r="24452">
      <c r="H24452" s="50"/>
      <c r="I24452" s="50"/>
      <c r="O24452" s="36" t="s">
        <v>48</v>
      </c>
      <c r="R24452" s="36" t="s">
        <v>48</v>
      </c>
    </row>
    <row r="24453">
      <c r="H24453" s="50"/>
      <c r="I24453" s="50"/>
      <c r="O24453" s="36" t="s">
        <v>48</v>
      </c>
      <c r="R24453" s="36" t="s">
        <v>48</v>
      </c>
    </row>
    <row r="24454">
      <c r="H24454" s="50"/>
      <c r="I24454" s="50"/>
      <c r="O24454" s="36" t="s">
        <v>48</v>
      </c>
      <c r="R24454" s="36" t="s">
        <v>48</v>
      </c>
    </row>
    <row r="24455">
      <c r="H24455" s="50"/>
      <c r="I24455" s="50"/>
      <c r="O24455" s="36" t="s">
        <v>48</v>
      </c>
      <c r="R24455" s="36" t="s">
        <v>48</v>
      </c>
    </row>
    <row r="24456">
      <c r="H24456" s="50"/>
      <c r="I24456" s="50"/>
      <c r="O24456" s="36" t="s">
        <v>48</v>
      </c>
      <c r="R24456" s="36" t="s">
        <v>48</v>
      </c>
    </row>
    <row r="24457">
      <c r="H24457" s="50"/>
      <c r="I24457" s="50"/>
      <c r="O24457" s="36" t="s">
        <v>48</v>
      </c>
      <c r="R24457" s="36" t="s">
        <v>48</v>
      </c>
    </row>
    <row r="24458">
      <c r="H24458" s="50"/>
      <c r="I24458" s="50"/>
      <c r="O24458" s="36" t="s">
        <v>48</v>
      </c>
      <c r="R24458" s="36" t="s">
        <v>48</v>
      </c>
    </row>
    <row r="24459">
      <c r="H24459" s="50"/>
      <c r="I24459" s="50"/>
      <c r="O24459" s="36" t="s">
        <v>48</v>
      </c>
      <c r="R24459" s="36" t="s">
        <v>48</v>
      </c>
    </row>
    <row r="24460">
      <c r="H24460" s="50"/>
      <c r="I24460" s="50"/>
      <c r="O24460" s="36" t="s">
        <v>48</v>
      </c>
      <c r="R24460" s="36" t="s">
        <v>48</v>
      </c>
    </row>
    <row r="24461">
      <c r="H24461" s="50"/>
      <c r="I24461" s="50"/>
      <c r="O24461" s="36" t="s">
        <v>48</v>
      </c>
      <c r="R24461" s="36" t="s">
        <v>48</v>
      </c>
    </row>
    <row r="24462">
      <c r="H24462" s="50"/>
      <c r="I24462" s="50"/>
      <c r="O24462" s="36" t="s">
        <v>48</v>
      </c>
      <c r="R24462" s="36" t="s">
        <v>48</v>
      </c>
    </row>
    <row r="24463">
      <c r="H24463" s="50"/>
      <c r="I24463" s="50"/>
      <c r="O24463" s="36" t="s">
        <v>48</v>
      </c>
      <c r="R24463" s="36" t="s">
        <v>48</v>
      </c>
    </row>
    <row r="24464">
      <c r="H24464" s="50"/>
      <c r="I24464" s="50"/>
      <c r="O24464" s="36" t="s">
        <v>48</v>
      </c>
      <c r="R24464" s="36" t="s">
        <v>48</v>
      </c>
    </row>
    <row r="24465">
      <c r="H24465" s="50"/>
      <c r="I24465" s="50"/>
      <c r="O24465" s="36" t="s">
        <v>48</v>
      </c>
      <c r="R24465" s="36" t="s">
        <v>48</v>
      </c>
    </row>
    <row r="24466">
      <c r="H24466" s="50"/>
      <c r="I24466" s="50"/>
      <c r="O24466" s="36" t="s">
        <v>48</v>
      </c>
      <c r="R24466" s="36" t="s">
        <v>48</v>
      </c>
    </row>
    <row r="24467">
      <c r="H24467" s="50"/>
      <c r="I24467" s="50"/>
      <c r="O24467" s="36" t="s">
        <v>48</v>
      </c>
      <c r="R24467" s="36" t="s">
        <v>48</v>
      </c>
    </row>
    <row r="24468">
      <c r="H24468" s="50"/>
      <c r="I24468" s="50"/>
      <c r="O24468" s="36" t="s">
        <v>48</v>
      </c>
      <c r="R24468" s="36" t="s">
        <v>48</v>
      </c>
    </row>
    <row r="24469">
      <c r="H24469" s="50"/>
      <c r="I24469" s="50"/>
      <c r="O24469" s="36" t="s">
        <v>48</v>
      </c>
      <c r="R24469" s="36" t="s">
        <v>48</v>
      </c>
    </row>
    <row r="24470">
      <c r="H24470" s="50"/>
      <c r="I24470" s="50"/>
      <c r="O24470" s="36" t="s">
        <v>48</v>
      </c>
      <c r="R24470" s="36" t="s">
        <v>48</v>
      </c>
    </row>
    <row r="24471">
      <c r="H24471" s="50"/>
      <c r="I24471" s="50"/>
      <c r="O24471" s="36" t="s">
        <v>48</v>
      </c>
      <c r="R24471" s="36" t="s">
        <v>48</v>
      </c>
    </row>
    <row r="24472">
      <c r="H24472" s="50"/>
      <c r="I24472" s="50"/>
      <c r="O24472" s="36" t="s">
        <v>48</v>
      </c>
      <c r="R24472" s="36" t="s">
        <v>48</v>
      </c>
    </row>
    <row r="24473">
      <c r="H24473" s="50"/>
      <c r="I24473" s="50"/>
      <c r="O24473" s="36" t="s">
        <v>48</v>
      </c>
      <c r="R24473" s="36" t="s">
        <v>48</v>
      </c>
    </row>
    <row r="24474">
      <c r="H24474" s="50"/>
      <c r="I24474" s="50"/>
      <c r="O24474" s="36" t="s">
        <v>48</v>
      </c>
      <c r="R24474" s="36" t="s">
        <v>48</v>
      </c>
    </row>
    <row r="24475">
      <c r="H24475" s="50"/>
      <c r="I24475" s="50"/>
      <c r="O24475" s="36" t="s">
        <v>48</v>
      </c>
      <c r="R24475" s="36" t="s">
        <v>48</v>
      </c>
    </row>
    <row r="24476">
      <c r="H24476" s="50"/>
      <c r="I24476" s="50"/>
      <c r="O24476" s="36" t="s">
        <v>48</v>
      </c>
      <c r="R24476" s="36" t="s">
        <v>48</v>
      </c>
    </row>
    <row r="24477">
      <c r="H24477" s="50"/>
      <c r="I24477" s="50"/>
      <c r="O24477" s="36" t="s">
        <v>48</v>
      </c>
      <c r="R24477" s="36" t="s">
        <v>48</v>
      </c>
    </row>
    <row r="24478">
      <c r="H24478" s="50"/>
      <c r="I24478" s="50"/>
      <c r="O24478" s="36" t="s">
        <v>48</v>
      </c>
      <c r="R24478" s="36" t="s">
        <v>48</v>
      </c>
    </row>
    <row r="24479">
      <c r="H24479" s="50"/>
      <c r="I24479" s="50"/>
      <c r="O24479" s="36" t="s">
        <v>48</v>
      </c>
      <c r="R24479" s="36" t="s">
        <v>48</v>
      </c>
    </row>
    <row r="24480">
      <c r="H24480" s="50"/>
      <c r="I24480" s="50"/>
      <c r="O24480" s="36" t="s">
        <v>48</v>
      </c>
      <c r="R24480" s="36" t="s">
        <v>48</v>
      </c>
    </row>
    <row r="24481">
      <c r="H24481" s="50"/>
      <c r="I24481" s="50"/>
      <c r="O24481" s="36" t="s">
        <v>48</v>
      </c>
      <c r="R24481" s="36" t="s">
        <v>48</v>
      </c>
    </row>
    <row r="24482">
      <c r="H24482" s="50"/>
      <c r="I24482" s="50"/>
      <c r="O24482" s="36" t="s">
        <v>48</v>
      </c>
      <c r="R24482" s="36" t="s">
        <v>48</v>
      </c>
    </row>
    <row r="24483">
      <c r="H24483" s="50"/>
      <c r="I24483" s="50"/>
      <c r="O24483" s="36" t="s">
        <v>48</v>
      </c>
      <c r="R24483" s="36" t="s">
        <v>48</v>
      </c>
    </row>
    <row r="24484">
      <c r="H24484" s="50"/>
      <c r="I24484" s="50"/>
      <c r="O24484" s="36" t="s">
        <v>48</v>
      </c>
      <c r="R24484" s="36" t="s">
        <v>48</v>
      </c>
    </row>
    <row r="24485">
      <c r="H24485" s="50"/>
      <c r="I24485" s="50"/>
      <c r="O24485" s="36" t="s">
        <v>48</v>
      </c>
      <c r="R24485" s="36" t="s">
        <v>48</v>
      </c>
    </row>
    <row r="24486">
      <c r="H24486" s="50"/>
      <c r="I24486" s="50"/>
      <c r="O24486" s="36" t="s">
        <v>48</v>
      </c>
      <c r="R24486" s="36" t="s">
        <v>48</v>
      </c>
    </row>
    <row r="24487">
      <c r="H24487" s="50"/>
      <c r="I24487" s="50"/>
      <c r="O24487" s="36" t="s">
        <v>48</v>
      </c>
      <c r="R24487" s="36" t="s">
        <v>48</v>
      </c>
    </row>
    <row r="24488">
      <c r="H24488" s="50"/>
      <c r="I24488" s="50"/>
      <c r="O24488" s="36" t="s">
        <v>48</v>
      </c>
      <c r="R24488" s="36" t="s">
        <v>48</v>
      </c>
    </row>
    <row r="24489">
      <c r="H24489" s="50"/>
      <c r="I24489" s="50"/>
      <c r="O24489" s="36" t="s">
        <v>48</v>
      </c>
      <c r="R24489" s="36" t="s">
        <v>48</v>
      </c>
    </row>
    <row r="24490">
      <c r="H24490" s="50"/>
      <c r="I24490" s="50"/>
      <c r="O24490" s="36" t="s">
        <v>48</v>
      </c>
      <c r="R24490" s="36" t="s">
        <v>48</v>
      </c>
    </row>
    <row r="24491">
      <c r="H24491" s="50"/>
      <c r="I24491" s="50"/>
      <c r="O24491" s="36" t="s">
        <v>48</v>
      </c>
      <c r="R24491" s="36" t="s">
        <v>48</v>
      </c>
    </row>
    <row r="24492">
      <c r="H24492" s="50"/>
      <c r="I24492" s="50"/>
      <c r="O24492" s="36" t="s">
        <v>48</v>
      </c>
      <c r="R24492" s="36" t="s">
        <v>48</v>
      </c>
    </row>
    <row r="24493">
      <c r="H24493" s="50"/>
      <c r="I24493" s="50"/>
      <c r="O24493" s="36" t="s">
        <v>48</v>
      </c>
      <c r="R24493" s="36" t="s">
        <v>48</v>
      </c>
    </row>
    <row r="24494">
      <c r="H24494" s="50"/>
      <c r="I24494" s="50"/>
      <c r="O24494" s="36" t="s">
        <v>48</v>
      </c>
      <c r="R24494" s="36" t="s">
        <v>48</v>
      </c>
    </row>
    <row r="24495">
      <c r="H24495" s="50"/>
      <c r="I24495" s="50"/>
      <c r="O24495" s="36" t="s">
        <v>48</v>
      </c>
      <c r="R24495" s="36" t="s">
        <v>48</v>
      </c>
    </row>
    <row r="24496">
      <c r="H24496" s="50"/>
      <c r="I24496" s="50"/>
      <c r="O24496" s="36" t="s">
        <v>48</v>
      </c>
      <c r="R24496" s="36" t="s">
        <v>48</v>
      </c>
    </row>
    <row r="24497">
      <c r="H24497" s="50"/>
      <c r="I24497" s="50"/>
      <c r="O24497" s="36" t="s">
        <v>48</v>
      </c>
      <c r="R24497" s="36" t="s">
        <v>48</v>
      </c>
    </row>
    <row r="24498">
      <c r="H24498" s="50"/>
      <c r="I24498" s="50"/>
      <c r="O24498" s="36" t="s">
        <v>48</v>
      </c>
      <c r="R24498" s="36" t="s">
        <v>48</v>
      </c>
    </row>
    <row r="24499">
      <c r="H24499" s="50"/>
      <c r="I24499" s="50"/>
      <c r="O24499" s="36" t="s">
        <v>48</v>
      </c>
      <c r="R24499" s="36" t="s">
        <v>48</v>
      </c>
    </row>
    <row r="24500">
      <c r="H24500" s="50"/>
      <c r="I24500" s="50"/>
      <c r="O24500" s="36" t="s">
        <v>48</v>
      </c>
      <c r="R24500" s="36" t="s">
        <v>48</v>
      </c>
    </row>
    <row r="24501">
      <c r="H24501" s="50"/>
      <c r="I24501" s="50"/>
      <c r="O24501" s="36" t="s">
        <v>48</v>
      </c>
      <c r="R24501" s="36" t="s">
        <v>48</v>
      </c>
    </row>
    <row r="24502">
      <c r="H24502" s="50"/>
      <c r="I24502" s="50"/>
      <c r="O24502" s="36" t="s">
        <v>48</v>
      </c>
      <c r="R24502" s="36" t="s">
        <v>48</v>
      </c>
    </row>
    <row r="24503">
      <c r="H24503" s="50"/>
      <c r="I24503" s="50"/>
      <c r="O24503" s="36" t="s">
        <v>48</v>
      </c>
      <c r="R24503" s="36" t="s">
        <v>48</v>
      </c>
    </row>
    <row r="24504">
      <c r="H24504" s="50"/>
      <c r="I24504" s="50"/>
      <c r="O24504" s="36" t="s">
        <v>48</v>
      </c>
      <c r="R24504" s="36" t="s">
        <v>48</v>
      </c>
    </row>
    <row r="24505">
      <c r="H24505" s="50"/>
      <c r="I24505" s="50"/>
      <c r="O24505" s="36" t="s">
        <v>48</v>
      </c>
      <c r="R24505" s="36" t="s">
        <v>48</v>
      </c>
    </row>
    <row r="24506">
      <c r="H24506" s="50"/>
      <c r="I24506" s="50"/>
      <c r="O24506" s="36" t="s">
        <v>48</v>
      </c>
      <c r="R24506" s="36" t="s">
        <v>48</v>
      </c>
    </row>
    <row r="24507">
      <c r="H24507" s="50"/>
      <c r="I24507" s="50"/>
      <c r="O24507" s="36" t="s">
        <v>48</v>
      </c>
      <c r="R24507" s="36" t="s">
        <v>48</v>
      </c>
    </row>
    <row r="24508">
      <c r="H24508" s="50"/>
      <c r="I24508" s="50"/>
      <c r="O24508" s="36" t="s">
        <v>48</v>
      </c>
      <c r="R24508" s="36" t="s">
        <v>48</v>
      </c>
    </row>
    <row r="24509">
      <c r="H24509" s="50"/>
      <c r="I24509" s="50"/>
      <c r="O24509" s="36" t="s">
        <v>48</v>
      </c>
      <c r="R24509" s="36" t="s">
        <v>48</v>
      </c>
    </row>
    <row r="24510">
      <c r="H24510" s="50"/>
      <c r="I24510" s="50"/>
      <c r="O24510" s="36" t="s">
        <v>48</v>
      </c>
      <c r="R24510" s="36" t="s">
        <v>48</v>
      </c>
    </row>
    <row r="24511">
      <c r="H24511" s="50"/>
      <c r="I24511" s="50"/>
      <c r="O24511" s="36" t="s">
        <v>48</v>
      </c>
      <c r="R24511" s="36" t="s">
        <v>48</v>
      </c>
    </row>
    <row r="24512">
      <c r="H24512" s="50"/>
      <c r="I24512" s="50"/>
      <c r="O24512" s="36" t="s">
        <v>48</v>
      </c>
      <c r="R24512" s="36" t="s">
        <v>48</v>
      </c>
    </row>
    <row r="24513">
      <c r="H24513" s="50"/>
      <c r="I24513" s="50"/>
      <c r="O24513" s="36" t="s">
        <v>48</v>
      </c>
      <c r="R24513" s="36" t="s">
        <v>48</v>
      </c>
    </row>
    <row r="24514">
      <c r="H24514" s="50"/>
      <c r="I24514" s="50"/>
      <c r="O24514" s="36" t="s">
        <v>48</v>
      </c>
      <c r="R24514" s="36" t="s">
        <v>48</v>
      </c>
    </row>
    <row r="24515">
      <c r="H24515" s="50"/>
      <c r="I24515" s="50"/>
      <c r="O24515" s="36" t="s">
        <v>48</v>
      </c>
      <c r="R24515" s="36" t="s">
        <v>48</v>
      </c>
    </row>
    <row r="24516">
      <c r="H24516" s="50"/>
      <c r="I24516" s="50"/>
      <c r="O24516" s="36" t="s">
        <v>48</v>
      </c>
      <c r="R24516" s="36" t="s">
        <v>48</v>
      </c>
    </row>
    <row r="24517">
      <c r="H24517" s="50"/>
      <c r="I24517" s="50"/>
      <c r="O24517" s="36" t="s">
        <v>48</v>
      </c>
      <c r="R24517" s="36" t="s">
        <v>48</v>
      </c>
    </row>
    <row r="24518">
      <c r="H24518" s="50"/>
      <c r="I24518" s="50"/>
      <c r="O24518" s="36" t="s">
        <v>48</v>
      </c>
      <c r="R24518" s="36" t="s">
        <v>48</v>
      </c>
    </row>
    <row r="24519">
      <c r="H24519" s="50"/>
      <c r="I24519" s="50"/>
      <c r="O24519" s="36" t="s">
        <v>48</v>
      </c>
      <c r="R24519" s="36" t="s">
        <v>48</v>
      </c>
    </row>
    <row r="24520">
      <c r="H24520" s="50"/>
      <c r="I24520" s="50"/>
      <c r="O24520" s="36" t="s">
        <v>48</v>
      </c>
      <c r="R24520" s="36" t="s">
        <v>48</v>
      </c>
    </row>
    <row r="24521">
      <c r="H24521" s="50"/>
      <c r="I24521" s="50"/>
      <c r="O24521" s="36" t="s">
        <v>48</v>
      </c>
      <c r="R24521" s="36" t="s">
        <v>48</v>
      </c>
    </row>
    <row r="24522">
      <c r="H24522" s="50"/>
      <c r="I24522" s="50"/>
      <c r="O24522" s="36" t="s">
        <v>48</v>
      </c>
      <c r="R24522" s="36" t="s">
        <v>48</v>
      </c>
    </row>
    <row r="24523">
      <c r="H24523" s="50"/>
      <c r="I24523" s="50"/>
      <c r="O24523" s="36" t="s">
        <v>48</v>
      </c>
      <c r="R24523" s="36" t="s">
        <v>48</v>
      </c>
    </row>
    <row r="24524">
      <c r="H24524" s="50"/>
      <c r="I24524" s="50"/>
      <c r="O24524" s="36" t="s">
        <v>48</v>
      </c>
      <c r="R24524" s="36" t="s">
        <v>48</v>
      </c>
    </row>
    <row r="24525">
      <c r="H24525" s="50"/>
      <c r="I24525" s="50"/>
      <c r="O24525" s="36" t="s">
        <v>48</v>
      </c>
      <c r="R24525" s="36" t="s">
        <v>48</v>
      </c>
    </row>
    <row r="24526">
      <c r="H24526" s="50"/>
      <c r="I24526" s="50"/>
      <c r="O24526" s="36" t="s">
        <v>48</v>
      </c>
      <c r="R24526" s="36" t="s">
        <v>48</v>
      </c>
    </row>
    <row r="24527">
      <c r="H24527" s="50"/>
      <c r="I24527" s="50"/>
      <c r="O24527" s="36" t="s">
        <v>48</v>
      </c>
      <c r="R24527" s="36" t="s">
        <v>48</v>
      </c>
    </row>
    <row r="24528">
      <c r="H24528" s="50"/>
      <c r="I24528" s="50"/>
      <c r="O24528" s="36" t="s">
        <v>48</v>
      </c>
      <c r="R24528" s="36" t="s">
        <v>48</v>
      </c>
    </row>
    <row r="24529">
      <c r="H24529" s="50"/>
      <c r="I24529" s="50"/>
      <c r="O24529" s="36" t="s">
        <v>48</v>
      </c>
      <c r="R24529" s="36" t="s">
        <v>48</v>
      </c>
    </row>
    <row r="24530">
      <c r="H24530" s="50"/>
      <c r="I24530" s="50"/>
      <c r="O24530" s="36" t="s">
        <v>48</v>
      </c>
      <c r="R24530" s="36" t="s">
        <v>48</v>
      </c>
    </row>
    <row r="24531">
      <c r="H24531" s="50"/>
      <c r="I24531" s="50"/>
      <c r="O24531" s="36" t="s">
        <v>48</v>
      </c>
      <c r="R24531" s="36" t="s">
        <v>48</v>
      </c>
    </row>
    <row r="24532">
      <c r="H24532" s="50"/>
      <c r="I24532" s="50"/>
      <c r="O24532" s="36" t="s">
        <v>48</v>
      </c>
      <c r="R24532" s="36" t="s">
        <v>48</v>
      </c>
    </row>
    <row r="24533">
      <c r="H24533" s="50"/>
      <c r="I24533" s="50"/>
      <c r="O24533" s="36" t="s">
        <v>48</v>
      </c>
      <c r="R24533" s="36" t="s">
        <v>48</v>
      </c>
    </row>
    <row r="24534">
      <c r="H24534" s="50"/>
      <c r="I24534" s="50"/>
      <c r="O24534" s="36" t="s">
        <v>48</v>
      </c>
      <c r="R24534" s="36" t="s">
        <v>48</v>
      </c>
    </row>
    <row r="24535">
      <c r="H24535" s="50"/>
      <c r="I24535" s="50"/>
      <c r="O24535" s="36" t="s">
        <v>48</v>
      </c>
      <c r="R24535" s="36" t="s">
        <v>48</v>
      </c>
    </row>
    <row r="24536">
      <c r="H24536" s="50"/>
      <c r="I24536" s="50"/>
      <c r="O24536" s="36" t="s">
        <v>48</v>
      </c>
      <c r="R24536" s="36" t="s">
        <v>48</v>
      </c>
    </row>
    <row r="24537">
      <c r="H24537" s="50"/>
      <c r="I24537" s="50"/>
      <c r="O24537" s="36" t="s">
        <v>48</v>
      </c>
      <c r="R24537" s="36" t="s">
        <v>48</v>
      </c>
    </row>
    <row r="24538">
      <c r="H24538" s="50"/>
      <c r="I24538" s="50"/>
      <c r="O24538" s="36" t="s">
        <v>48</v>
      </c>
      <c r="R24538" s="36" t="s">
        <v>48</v>
      </c>
    </row>
    <row r="24539">
      <c r="H24539" s="50"/>
      <c r="I24539" s="50"/>
      <c r="O24539" s="36" t="s">
        <v>48</v>
      </c>
      <c r="R24539" s="36" t="s">
        <v>48</v>
      </c>
    </row>
    <row r="24540">
      <c r="H24540" s="50"/>
      <c r="I24540" s="50"/>
      <c r="O24540" s="36" t="s">
        <v>48</v>
      </c>
      <c r="R24540" s="36" t="s">
        <v>48</v>
      </c>
    </row>
    <row r="24541">
      <c r="H24541" s="50"/>
      <c r="I24541" s="50"/>
      <c r="O24541" s="36" t="s">
        <v>48</v>
      </c>
      <c r="R24541" s="36" t="s">
        <v>48</v>
      </c>
    </row>
    <row r="24542">
      <c r="H24542" s="50"/>
      <c r="I24542" s="50"/>
      <c r="O24542" s="36" t="s">
        <v>48</v>
      </c>
      <c r="R24542" s="36" t="s">
        <v>48</v>
      </c>
    </row>
    <row r="24543">
      <c r="H24543" s="50"/>
      <c r="I24543" s="50"/>
      <c r="O24543" s="36" t="s">
        <v>48</v>
      </c>
      <c r="R24543" s="36" t="s">
        <v>48</v>
      </c>
    </row>
    <row r="24544">
      <c r="H24544" s="50"/>
      <c r="I24544" s="50"/>
      <c r="O24544" s="36" t="s">
        <v>48</v>
      </c>
      <c r="R24544" s="36" t="s">
        <v>48</v>
      </c>
    </row>
    <row r="24545">
      <c r="H24545" s="50"/>
      <c r="I24545" s="50"/>
      <c r="O24545" s="36" t="s">
        <v>48</v>
      </c>
      <c r="R24545" s="36" t="s">
        <v>48</v>
      </c>
    </row>
    <row r="24546">
      <c r="H24546" s="50"/>
      <c r="I24546" s="50"/>
      <c r="O24546" s="36" t="s">
        <v>48</v>
      </c>
      <c r="R24546" s="36" t="s">
        <v>48</v>
      </c>
    </row>
    <row r="24547">
      <c r="H24547" s="50"/>
      <c r="I24547" s="50"/>
      <c r="O24547" s="36" t="s">
        <v>48</v>
      </c>
      <c r="R24547" s="36" t="s">
        <v>48</v>
      </c>
    </row>
    <row r="24548">
      <c r="H24548" s="50"/>
      <c r="I24548" s="50"/>
      <c r="O24548" s="36" t="s">
        <v>48</v>
      </c>
      <c r="R24548" s="36" t="s">
        <v>48</v>
      </c>
    </row>
    <row r="24549">
      <c r="H24549" s="50"/>
      <c r="I24549" s="50"/>
      <c r="O24549" s="36" t="s">
        <v>48</v>
      </c>
      <c r="R24549" s="36" t="s">
        <v>48</v>
      </c>
    </row>
    <row r="24550">
      <c r="H24550" s="50"/>
      <c r="I24550" s="50"/>
      <c r="O24550" s="36" t="s">
        <v>48</v>
      </c>
      <c r="R24550" s="36" t="s">
        <v>48</v>
      </c>
    </row>
    <row r="24551">
      <c r="H24551" s="50"/>
      <c r="I24551" s="50"/>
      <c r="O24551" s="36" t="s">
        <v>48</v>
      </c>
      <c r="R24551" s="36" t="s">
        <v>48</v>
      </c>
    </row>
    <row r="24552">
      <c r="H24552" s="50"/>
      <c r="I24552" s="50"/>
      <c r="O24552" s="36" t="s">
        <v>48</v>
      </c>
      <c r="R24552" s="36" t="s">
        <v>48</v>
      </c>
    </row>
    <row r="24553">
      <c r="H24553" s="50"/>
      <c r="I24553" s="50"/>
      <c r="O24553" s="36" t="s">
        <v>48</v>
      </c>
      <c r="R24553" s="36" t="s">
        <v>48</v>
      </c>
    </row>
    <row r="24554">
      <c r="H24554" s="50"/>
      <c r="I24554" s="50"/>
      <c r="O24554" s="36" t="s">
        <v>48</v>
      </c>
      <c r="R24554" s="36" t="s">
        <v>48</v>
      </c>
    </row>
    <row r="24555">
      <c r="H24555" s="50"/>
      <c r="I24555" s="50"/>
      <c r="O24555" s="36" t="s">
        <v>48</v>
      </c>
      <c r="R24555" s="36" t="s">
        <v>48</v>
      </c>
    </row>
    <row r="24556">
      <c r="H24556" s="50"/>
      <c r="I24556" s="50"/>
      <c r="O24556" s="36" t="s">
        <v>48</v>
      </c>
      <c r="R24556" s="36" t="s">
        <v>48</v>
      </c>
    </row>
    <row r="24557">
      <c r="H24557" s="50"/>
      <c r="I24557" s="50"/>
      <c r="O24557" s="36" t="s">
        <v>48</v>
      </c>
      <c r="R24557" s="36" t="s">
        <v>48</v>
      </c>
    </row>
    <row r="24558">
      <c r="H24558" s="50"/>
      <c r="I24558" s="50"/>
      <c r="O24558" s="36" t="s">
        <v>48</v>
      </c>
      <c r="R24558" s="36" t="s">
        <v>48</v>
      </c>
    </row>
    <row r="24559">
      <c r="H24559" s="50"/>
      <c r="I24559" s="50"/>
      <c r="O24559" s="36" t="s">
        <v>48</v>
      </c>
      <c r="R24559" s="36" t="s">
        <v>48</v>
      </c>
    </row>
    <row r="24560">
      <c r="H24560" s="50"/>
      <c r="I24560" s="50"/>
      <c r="O24560" s="36" t="s">
        <v>48</v>
      </c>
      <c r="R24560" s="36" t="s">
        <v>48</v>
      </c>
    </row>
    <row r="24561">
      <c r="H24561" s="50"/>
      <c r="I24561" s="50"/>
      <c r="O24561" s="36" t="s">
        <v>48</v>
      </c>
      <c r="R24561" s="36" t="s">
        <v>48</v>
      </c>
    </row>
    <row r="24562">
      <c r="H24562" s="50"/>
      <c r="I24562" s="50"/>
      <c r="O24562" s="36" t="s">
        <v>48</v>
      </c>
      <c r="R24562" s="36" t="s">
        <v>48</v>
      </c>
    </row>
    <row r="24563">
      <c r="H24563" s="50"/>
      <c r="I24563" s="50"/>
      <c r="O24563" s="36" t="s">
        <v>48</v>
      </c>
      <c r="R24563" s="36" t="s">
        <v>48</v>
      </c>
    </row>
    <row r="24564">
      <c r="H24564" s="50"/>
      <c r="I24564" s="50"/>
      <c r="O24564" s="36" t="s">
        <v>48</v>
      </c>
      <c r="R24564" s="36" t="s">
        <v>48</v>
      </c>
    </row>
    <row r="24565">
      <c r="H24565" s="50"/>
      <c r="I24565" s="50"/>
      <c r="O24565" s="36" t="s">
        <v>48</v>
      </c>
      <c r="R24565" s="36" t="s">
        <v>48</v>
      </c>
    </row>
    <row r="24566">
      <c r="H24566" s="50"/>
      <c r="I24566" s="50"/>
      <c r="O24566" s="36" t="s">
        <v>48</v>
      </c>
      <c r="R24566" s="36" t="s">
        <v>48</v>
      </c>
    </row>
    <row r="24567">
      <c r="H24567" s="50"/>
      <c r="I24567" s="50"/>
      <c r="O24567" s="36" t="s">
        <v>48</v>
      </c>
      <c r="R24567" s="36" t="s">
        <v>48</v>
      </c>
    </row>
    <row r="24568">
      <c r="H24568" s="50"/>
      <c r="I24568" s="50"/>
      <c r="O24568" s="36" t="s">
        <v>48</v>
      </c>
      <c r="R24568" s="36" t="s">
        <v>48</v>
      </c>
    </row>
    <row r="24569">
      <c r="H24569" s="50"/>
      <c r="I24569" s="50"/>
      <c r="O24569" s="36" t="s">
        <v>48</v>
      </c>
      <c r="R24569" s="36" t="s">
        <v>48</v>
      </c>
    </row>
    <row r="24570">
      <c r="H24570" s="50"/>
      <c r="I24570" s="50"/>
      <c r="O24570" s="36" t="s">
        <v>48</v>
      </c>
      <c r="R24570" s="36" t="s">
        <v>48</v>
      </c>
    </row>
    <row r="24571">
      <c r="H24571" s="50"/>
      <c r="I24571" s="50"/>
      <c r="O24571" s="36" t="s">
        <v>48</v>
      </c>
      <c r="R24571" s="36" t="s">
        <v>48</v>
      </c>
    </row>
    <row r="24572">
      <c r="H24572" s="50"/>
      <c r="I24572" s="50"/>
      <c r="O24572" s="36" t="s">
        <v>48</v>
      </c>
      <c r="R24572" s="36" t="s">
        <v>48</v>
      </c>
    </row>
    <row r="24573">
      <c r="H24573" s="50"/>
      <c r="I24573" s="50"/>
      <c r="O24573" s="36" t="s">
        <v>48</v>
      </c>
      <c r="R24573" s="36" t="s">
        <v>48</v>
      </c>
    </row>
    <row r="24574">
      <c r="H24574" s="50"/>
      <c r="I24574" s="50"/>
      <c r="O24574" s="36" t="s">
        <v>48</v>
      </c>
      <c r="R24574" s="36" t="s">
        <v>48</v>
      </c>
    </row>
    <row r="24575">
      <c r="H24575" s="50"/>
      <c r="I24575" s="50"/>
      <c r="O24575" s="36" t="s">
        <v>48</v>
      </c>
      <c r="R24575" s="36" t="s">
        <v>48</v>
      </c>
    </row>
    <row r="24576">
      <c r="H24576" s="50"/>
      <c r="I24576" s="50"/>
      <c r="O24576" s="36" t="s">
        <v>48</v>
      </c>
      <c r="R24576" s="36" t="s">
        <v>48</v>
      </c>
    </row>
    <row r="24577">
      <c r="H24577" s="50"/>
      <c r="I24577" s="50"/>
      <c r="O24577" s="36" t="s">
        <v>48</v>
      </c>
      <c r="R24577" s="36" t="s">
        <v>48</v>
      </c>
    </row>
    <row r="24578">
      <c r="H24578" s="50"/>
      <c r="I24578" s="50"/>
      <c r="O24578" s="36" t="s">
        <v>48</v>
      </c>
      <c r="R24578" s="36" t="s">
        <v>48</v>
      </c>
    </row>
    <row r="24579">
      <c r="H24579" s="50"/>
      <c r="I24579" s="50"/>
      <c r="O24579" s="36" t="s">
        <v>48</v>
      </c>
      <c r="R24579" s="36" t="s">
        <v>48</v>
      </c>
    </row>
    <row r="24580">
      <c r="H24580" s="50"/>
      <c r="I24580" s="50"/>
      <c r="O24580" s="36" t="s">
        <v>48</v>
      </c>
      <c r="R24580" s="36" t="s">
        <v>48</v>
      </c>
    </row>
    <row r="24581">
      <c r="H24581" s="50"/>
      <c r="I24581" s="50"/>
      <c r="O24581" s="36" t="s">
        <v>48</v>
      </c>
      <c r="R24581" s="36" t="s">
        <v>48</v>
      </c>
    </row>
    <row r="24582">
      <c r="H24582" s="50"/>
      <c r="I24582" s="50"/>
      <c r="O24582" s="36" t="s">
        <v>48</v>
      </c>
      <c r="R24582" s="36" t="s">
        <v>48</v>
      </c>
    </row>
    <row r="24583">
      <c r="H24583" s="50"/>
      <c r="I24583" s="50"/>
      <c r="O24583" s="36" t="s">
        <v>48</v>
      </c>
      <c r="R24583" s="36" t="s">
        <v>48</v>
      </c>
    </row>
    <row r="24584">
      <c r="H24584" s="50"/>
      <c r="I24584" s="50"/>
      <c r="O24584" s="36" t="s">
        <v>48</v>
      </c>
      <c r="R24584" s="36" t="s">
        <v>48</v>
      </c>
    </row>
    <row r="24585">
      <c r="H24585" s="50"/>
      <c r="I24585" s="50"/>
      <c r="O24585" s="36" t="s">
        <v>48</v>
      </c>
      <c r="R24585" s="36" t="s">
        <v>48</v>
      </c>
    </row>
    <row r="24586">
      <c r="H24586" s="50"/>
      <c r="I24586" s="50"/>
      <c r="O24586" s="36" t="s">
        <v>48</v>
      </c>
      <c r="R24586" s="36" t="s">
        <v>48</v>
      </c>
    </row>
    <row r="24587">
      <c r="H24587" s="50"/>
      <c r="I24587" s="50"/>
      <c r="O24587" s="36" t="s">
        <v>48</v>
      </c>
      <c r="R24587" s="36" t="s">
        <v>48</v>
      </c>
    </row>
    <row r="24588">
      <c r="H24588" s="50"/>
      <c r="I24588" s="50"/>
      <c r="O24588" s="36" t="s">
        <v>48</v>
      </c>
      <c r="R24588" s="36" t="s">
        <v>48</v>
      </c>
    </row>
    <row r="24589">
      <c r="H24589" s="50"/>
      <c r="I24589" s="50"/>
      <c r="O24589" s="36" t="s">
        <v>48</v>
      </c>
      <c r="R24589" s="36" t="s">
        <v>48</v>
      </c>
    </row>
    <row r="24590">
      <c r="H24590" s="50"/>
      <c r="I24590" s="50"/>
      <c r="O24590" s="36" t="s">
        <v>48</v>
      </c>
      <c r="R24590" s="36" t="s">
        <v>48</v>
      </c>
    </row>
    <row r="24591">
      <c r="H24591" s="50"/>
      <c r="I24591" s="50"/>
      <c r="O24591" s="36" t="s">
        <v>48</v>
      </c>
      <c r="R24591" s="36" t="s">
        <v>48</v>
      </c>
    </row>
    <row r="24592">
      <c r="H24592" s="50"/>
      <c r="I24592" s="50"/>
      <c r="O24592" s="36" t="s">
        <v>48</v>
      </c>
      <c r="R24592" s="36" t="s">
        <v>48</v>
      </c>
    </row>
    <row r="24593">
      <c r="H24593" s="50"/>
      <c r="I24593" s="50"/>
      <c r="O24593" s="36" t="s">
        <v>48</v>
      </c>
      <c r="R24593" s="36" t="s">
        <v>48</v>
      </c>
    </row>
    <row r="24594">
      <c r="H24594" s="50"/>
      <c r="I24594" s="50"/>
      <c r="O24594" s="36" t="s">
        <v>48</v>
      </c>
      <c r="R24594" s="36" t="s">
        <v>48</v>
      </c>
    </row>
    <row r="24595">
      <c r="H24595" s="50"/>
      <c r="I24595" s="50"/>
      <c r="O24595" s="36" t="s">
        <v>48</v>
      </c>
      <c r="R24595" s="36" t="s">
        <v>48</v>
      </c>
    </row>
    <row r="24596">
      <c r="H24596" s="50"/>
      <c r="I24596" s="50"/>
      <c r="O24596" s="36" t="s">
        <v>48</v>
      </c>
      <c r="R24596" s="36" t="s">
        <v>48</v>
      </c>
    </row>
    <row r="24597">
      <c r="H24597" s="50"/>
      <c r="I24597" s="50"/>
      <c r="O24597" s="36" t="s">
        <v>48</v>
      </c>
      <c r="R24597" s="36" t="s">
        <v>48</v>
      </c>
    </row>
    <row r="24598">
      <c r="H24598" s="50"/>
      <c r="I24598" s="50"/>
      <c r="O24598" s="36" t="s">
        <v>48</v>
      </c>
      <c r="R24598" s="36" t="s">
        <v>48</v>
      </c>
    </row>
    <row r="24599">
      <c r="H24599" s="50"/>
      <c r="I24599" s="50"/>
      <c r="O24599" s="36" t="s">
        <v>48</v>
      </c>
      <c r="R24599" s="36" t="s">
        <v>48</v>
      </c>
    </row>
    <row r="24600">
      <c r="H24600" s="50"/>
      <c r="I24600" s="50"/>
      <c r="O24600" s="36" t="s">
        <v>48</v>
      </c>
      <c r="R24600" s="36" t="s">
        <v>48</v>
      </c>
    </row>
    <row r="24601">
      <c r="H24601" s="50"/>
      <c r="I24601" s="50"/>
      <c r="O24601" s="36" t="s">
        <v>48</v>
      </c>
      <c r="R24601" s="36" t="s">
        <v>48</v>
      </c>
    </row>
    <row r="24602">
      <c r="H24602" s="50"/>
      <c r="I24602" s="50"/>
      <c r="O24602" s="36" t="s">
        <v>48</v>
      </c>
      <c r="R24602" s="36" t="s">
        <v>48</v>
      </c>
    </row>
    <row r="24603">
      <c r="H24603" s="50"/>
      <c r="I24603" s="50"/>
      <c r="O24603" s="36" t="s">
        <v>48</v>
      </c>
      <c r="R24603" s="36" t="s">
        <v>48</v>
      </c>
    </row>
    <row r="24604">
      <c r="H24604" s="50"/>
      <c r="I24604" s="50"/>
      <c r="O24604" s="36" t="s">
        <v>48</v>
      </c>
      <c r="R24604" s="36" t="s">
        <v>48</v>
      </c>
    </row>
    <row r="24605">
      <c r="H24605" s="50"/>
      <c r="I24605" s="50"/>
      <c r="O24605" s="36" t="s">
        <v>48</v>
      </c>
      <c r="R24605" s="36" t="s">
        <v>48</v>
      </c>
    </row>
    <row r="24606">
      <c r="H24606" s="50"/>
      <c r="I24606" s="50"/>
      <c r="O24606" s="36" t="s">
        <v>48</v>
      </c>
      <c r="R24606" s="36" t="s">
        <v>48</v>
      </c>
    </row>
    <row r="24607">
      <c r="H24607" s="50"/>
      <c r="I24607" s="50"/>
      <c r="O24607" s="36" t="s">
        <v>48</v>
      </c>
      <c r="R24607" s="36" t="s">
        <v>48</v>
      </c>
    </row>
    <row r="24608">
      <c r="H24608" s="50"/>
      <c r="I24608" s="50"/>
      <c r="O24608" s="36" t="s">
        <v>48</v>
      </c>
      <c r="R24608" s="36" t="s">
        <v>48</v>
      </c>
    </row>
    <row r="24609">
      <c r="H24609" s="50"/>
      <c r="I24609" s="50"/>
      <c r="O24609" s="36" t="s">
        <v>48</v>
      </c>
      <c r="R24609" s="36" t="s">
        <v>48</v>
      </c>
    </row>
    <row r="24610">
      <c r="H24610" s="50"/>
      <c r="I24610" s="50"/>
      <c r="O24610" s="36" t="s">
        <v>48</v>
      </c>
      <c r="R24610" s="36" t="s">
        <v>48</v>
      </c>
    </row>
    <row r="24611">
      <c r="H24611" s="50"/>
      <c r="I24611" s="50"/>
      <c r="O24611" s="36" t="s">
        <v>48</v>
      </c>
      <c r="R24611" s="36" t="s">
        <v>48</v>
      </c>
    </row>
    <row r="24612">
      <c r="H24612" s="50"/>
      <c r="I24612" s="50"/>
      <c r="O24612" s="36" t="s">
        <v>48</v>
      </c>
      <c r="R24612" s="36" t="s">
        <v>48</v>
      </c>
    </row>
    <row r="24613">
      <c r="H24613" s="50"/>
      <c r="I24613" s="50"/>
      <c r="O24613" s="36" t="s">
        <v>48</v>
      </c>
      <c r="R24613" s="36" t="s">
        <v>48</v>
      </c>
    </row>
    <row r="24614">
      <c r="H24614" s="50"/>
      <c r="I24614" s="50"/>
      <c r="O24614" s="36" t="s">
        <v>48</v>
      </c>
      <c r="R24614" s="36" t="s">
        <v>48</v>
      </c>
    </row>
    <row r="24615">
      <c r="H24615" s="50"/>
      <c r="I24615" s="50"/>
      <c r="O24615" s="36" t="s">
        <v>48</v>
      </c>
      <c r="R24615" s="36" t="s">
        <v>48</v>
      </c>
    </row>
    <row r="24616">
      <c r="H24616" s="50"/>
      <c r="I24616" s="50"/>
      <c r="O24616" s="36" t="s">
        <v>48</v>
      </c>
      <c r="R24616" s="36" t="s">
        <v>48</v>
      </c>
    </row>
    <row r="24617">
      <c r="H24617" s="50"/>
      <c r="I24617" s="50"/>
      <c r="O24617" s="36" t="s">
        <v>48</v>
      </c>
      <c r="R24617" s="36" t="s">
        <v>48</v>
      </c>
    </row>
    <row r="24618">
      <c r="H24618" s="50"/>
      <c r="I24618" s="50"/>
      <c r="O24618" s="36" t="s">
        <v>48</v>
      </c>
      <c r="R24618" s="36" t="s">
        <v>48</v>
      </c>
    </row>
    <row r="24619">
      <c r="H24619" s="50"/>
      <c r="I24619" s="50"/>
      <c r="O24619" s="36" t="s">
        <v>48</v>
      </c>
      <c r="R24619" s="36" t="s">
        <v>48</v>
      </c>
    </row>
    <row r="24620">
      <c r="H24620" s="50"/>
      <c r="I24620" s="50"/>
      <c r="O24620" s="36" t="s">
        <v>48</v>
      </c>
      <c r="R24620" s="36" t="s">
        <v>48</v>
      </c>
    </row>
    <row r="24621">
      <c r="H24621" s="50"/>
      <c r="I24621" s="50"/>
      <c r="O24621" s="36" t="s">
        <v>48</v>
      </c>
      <c r="R24621" s="36" t="s">
        <v>48</v>
      </c>
    </row>
    <row r="24622">
      <c r="H24622" s="50"/>
      <c r="I24622" s="50"/>
      <c r="O24622" s="36" t="s">
        <v>48</v>
      </c>
      <c r="R24622" s="36" t="s">
        <v>48</v>
      </c>
    </row>
    <row r="24623">
      <c r="H24623" s="50"/>
      <c r="I24623" s="50"/>
      <c r="O24623" s="36" t="s">
        <v>48</v>
      </c>
      <c r="R24623" s="36" t="s">
        <v>48</v>
      </c>
    </row>
    <row r="24624">
      <c r="H24624" s="50"/>
      <c r="I24624" s="50"/>
      <c r="O24624" s="36" t="s">
        <v>48</v>
      </c>
      <c r="R24624" s="36" t="s">
        <v>48</v>
      </c>
    </row>
    <row r="24625">
      <c r="H24625" s="50"/>
      <c r="I24625" s="50"/>
      <c r="O24625" s="36" t="s">
        <v>48</v>
      </c>
      <c r="R24625" s="36" t="s">
        <v>48</v>
      </c>
    </row>
    <row r="24626">
      <c r="H24626" s="50"/>
      <c r="I24626" s="50"/>
      <c r="O24626" s="36" t="s">
        <v>48</v>
      </c>
      <c r="R24626" s="36" t="s">
        <v>48</v>
      </c>
    </row>
    <row r="24627">
      <c r="H24627" s="50"/>
      <c r="I24627" s="50"/>
      <c r="O24627" s="36" t="s">
        <v>48</v>
      </c>
      <c r="R24627" s="36" t="s">
        <v>48</v>
      </c>
    </row>
    <row r="24628">
      <c r="H24628" s="50"/>
      <c r="I24628" s="50"/>
      <c r="O24628" s="36" t="s">
        <v>48</v>
      </c>
      <c r="R24628" s="36" t="s">
        <v>48</v>
      </c>
    </row>
    <row r="24629">
      <c r="H24629" s="50"/>
      <c r="I24629" s="50"/>
      <c r="O24629" s="36" t="s">
        <v>48</v>
      </c>
      <c r="R24629" s="36" t="s">
        <v>48</v>
      </c>
    </row>
    <row r="24630">
      <c r="H24630" s="50"/>
      <c r="I24630" s="50"/>
      <c r="O24630" s="36" t="s">
        <v>48</v>
      </c>
      <c r="R24630" s="36" t="s">
        <v>48</v>
      </c>
    </row>
    <row r="24631">
      <c r="H24631" s="50"/>
      <c r="I24631" s="50"/>
      <c r="O24631" s="36" t="s">
        <v>48</v>
      </c>
      <c r="R24631" s="36" t="s">
        <v>48</v>
      </c>
    </row>
    <row r="24632">
      <c r="H24632" s="50"/>
      <c r="I24632" s="50"/>
      <c r="O24632" s="36" t="s">
        <v>48</v>
      </c>
      <c r="R24632" s="36" t="s">
        <v>48</v>
      </c>
    </row>
    <row r="24633">
      <c r="H24633" s="50"/>
      <c r="I24633" s="50"/>
      <c r="O24633" s="36" t="s">
        <v>48</v>
      </c>
      <c r="R24633" s="36" t="s">
        <v>48</v>
      </c>
    </row>
    <row r="24634">
      <c r="H24634" s="50"/>
      <c r="I24634" s="50"/>
      <c r="O24634" s="36" t="s">
        <v>48</v>
      </c>
      <c r="R24634" s="36" t="s">
        <v>48</v>
      </c>
    </row>
    <row r="24635">
      <c r="H24635" s="50"/>
      <c r="I24635" s="50"/>
      <c r="O24635" s="36" t="s">
        <v>48</v>
      </c>
      <c r="R24635" s="36" t="s">
        <v>48</v>
      </c>
    </row>
    <row r="24636">
      <c r="H24636" s="50"/>
      <c r="I24636" s="50"/>
      <c r="O24636" s="36" t="s">
        <v>48</v>
      </c>
      <c r="R24636" s="36" t="s">
        <v>48</v>
      </c>
    </row>
    <row r="24637">
      <c r="H24637" s="50"/>
      <c r="I24637" s="50"/>
      <c r="O24637" s="36" t="s">
        <v>48</v>
      </c>
      <c r="R24637" s="36" t="s">
        <v>48</v>
      </c>
    </row>
    <row r="24638">
      <c r="H24638" s="50"/>
      <c r="I24638" s="50"/>
      <c r="O24638" s="36" t="s">
        <v>48</v>
      </c>
      <c r="R24638" s="36" t="s">
        <v>48</v>
      </c>
    </row>
    <row r="24639">
      <c r="H24639" s="50"/>
      <c r="I24639" s="50"/>
      <c r="O24639" s="36" t="s">
        <v>48</v>
      </c>
      <c r="R24639" s="36" t="s">
        <v>48</v>
      </c>
    </row>
    <row r="24640">
      <c r="H24640" s="50"/>
      <c r="I24640" s="50"/>
      <c r="O24640" s="36" t="s">
        <v>48</v>
      </c>
      <c r="R24640" s="36" t="s">
        <v>48</v>
      </c>
    </row>
    <row r="24641">
      <c r="H24641" s="50"/>
      <c r="I24641" s="50"/>
      <c r="O24641" s="36" t="s">
        <v>48</v>
      </c>
      <c r="R24641" s="36" t="s">
        <v>48</v>
      </c>
    </row>
    <row r="24642">
      <c r="H24642" s="50"/>
      <c r="I24642" s="50"/>
      <c r="O24642" s="36" t="s">
        <v>48</v>
      </c>
      <c r="R24642" s="36" t="s">
        <v>48</v>
      </c>
    </row>
    <row r="24643">
      <c r="H24643" s="50"/>
      <c r="I24643" s="50"/>
      <c r="O24643" s="36" t="s">
        <v>48</v>
      </c>
      <c r="R24643" s="36" t="s">
        <v>48</v>
      </c>
    </row>
    <row r="24644">
      <c r="H24644" s="50"/>
      <c r="I24644" s="50"/>
      <c r="O24644" s="36" t="s">
        <v>48</v>
      </c>
      <c r="R24644" s="36" t="s">
        <v>48</v>
      </c>
    </row>
    <row r="24645">
      <c r="H24645" s="50"/>
      <c r="I24645" s="50"/>
      <c r="O24645" s="36" t="s">
        <v>48</v>
      </c>
      <c r="R24645" s="36" t="s">
        <v>48</v>
      </c>
    </row>
    <row r="24646">
      <c r="H24646" s="50"/>
      <c r="I24646" s="50"/>
      <c r="O24646" s="36" t="s">
        <v>48</v>
      </c>
      <c r="R24646" s="36" t="s">
        <v>48</v>
      </c>
    </row>
    <row r="24647">
      <c r="H24647" s="50"/>
      <c r="I24647" s="50"/>
      <c r="O24647" s="36" t="s">
        <v>48</v>
      </c>
      <c r="R24647" s="36" t="s">
        <v>48</v>
      </c>
    </row>
    <row r="24648">
      <c r="H24648" s="50"/>
      <c r="I24648" s="50"/>
      <c r="O24648" s="36" t="s">
        <v>48</v>
      </c>
      <c r="R24648" s="36" t="s">
        <v>48</v>
      </c>
    </row>
    <row r="24649">
      <c r="H24649" s="50"/>
      <c r="I24649" s="50"/>
      <c r="O24649" s="36" t="s">
        <v>48</v>
      </c>
      <c r="R24649" s="36" t="s">
        <v>48</v>
      </c>
    </row>
    <row r="24650">
      <c r="H24650" s="50"/>
      <c r="I24650" s="50"/>
      <c r="O24650" s="36" t="s">
        <v>48</v>
      </c>
      <c r="R24650" s="36" t="s">
        <v>48</v>
      </c>
    </row>
    <row r="24651">
      <c r="H24651" s="50"/>
      <c r="I24651" s="50"/>
      <c r="O24651" s="36" t="s">
        <v>48</v>
      </c>
      <c r="R24651" s="36" t="s">
        <v>48</v>
      </c>
    </row>
    <row r="24652">
      <c r="H24652" s="50"/>
      <c r="I24652" s="50"/>
      <c r="O24652" s="36" t="s">
        <v>48</v>
      </c>
      <c r="R24652" s="36" t="s">
        <v>48</v>
      </c>
    </row>
    <row r="24653">
      <c r="H24653" s="50"/>
      <c r="I24653" s="50"/>
      <c r="O24653" s="36" t="s">
        <v>48</v>
      </c>
      <c r="R24653" s="36" t="s">
        <v>48</v>
      </c>
    </row>
    <row r="24654">
      <c r="H24654" s="50"/>
      <c r="I24654" s="50"/>
      <c r="O24654" s="36" t="s">
        <v>48</v>
      </c>
      <c r="R24654" s="36" t="s">
        <v>48</v>
      </c>
    </row>
    <row r="24655">
      <c r="H24655" s="50"/>
      <c r="I24655" s="50"/>
      <c r="O24655" s="36" t="s">
        <v>48</v>
      </c>
      <c r="R24655" s="36" t="s">
        <v>48</v>
      </c>
    </row>
    <row r="24656">
      <c r="H24656" s="50"/>
      <c r="I24656" s="50"/>
      <c r="O24656" s="36" t="s">
        <v>48</v>
      </c>
      <c r="R24656" s="36" t="s">
        <v>48</v>
      </c>
    </row>
    <row r="24657">
      <c r="H24657" s="50"/>
      <c r="I24657" s="50"/>
      <c r="O24657" s="36" t="s">
        <v>48</v>
      </c>
      <c r="R24657" s="36" t="s">
        <v>48</v>
      </c>
    </row>
    <row r="24658">
      <c r="H24658" s="50"/>
      <c r="I24658" s="50"/>
      <c r="O24658" s="36" t="s">
        <v>48</v>
      </c>
      <c r="R24658" s="36" t="s">
        <v>48</v>
      </c>
    </row>
    <row r="24659">
      <c r="H24659" s="50"/>
      <c r="I24659" s="50"/>
      <c r="O24659" s="36" t="s">
        <v>48</v>
      </c>
      <c r="R24659" s="36" t="s">
        <v>48</v>
      </c>
    </row>
    <row r="24660">
      <c r="H24660" s="50"/>
      <c r="I24660" s="50"/>
      <c r="O24660" s="36" t="s">
        <v>48</v>
      </c>
      <c r="R24660" s="36" t="s">
        <v>48</v>
      </c>
    </row>
    <row r="24661">
      <c r="H24661" s="50"/>
      <c r="I24661" s="50"/>
      <c r="O24661" s="36" t="s">
        <v>48</v>
      </c>
      <c r="R24661" s="36" t="s">
        <v>48</v>
      </c>
    </row>
    <row r="24662">
      <c r="H24662" s="50"/>
      <c r="I24662" s="50"/>
      <c r="O24662" s="36" t="s">
        <v>48</v>
      </c>
      <c r="R24662" s="36" t="s">
        <v>48</v>
      </c>
    </row>
    <row r="24663">
      <c r="H24663" s="50"/>
      <c r="I24663" s="50"/>
      <c r="O24663" s="36" t="s">
        <v>48</v>
      </c>
      <c r="R24663" s="36" t="s">
        <v>48</v>
      </c>
    </row>
    <row r="24664">
      <c r="H24664" s="50"/>
      <c r="I24664" s="50"/>
      <c r="O24664" s="36" t="s">
        <v>48</v>
      </c>
      <c r="R24664" s="36" t="s">
        <v>48</v>
      </c>
    </row>
    <row r="24665">
      <c r="H24665" s="50"/>
      <c r="I24665" s="50"/>
      <c r="O24665" s="36" t="s">
        <v>48</v>
      </c>
      <c r="R24665" s="36" t="s">
        <v>48</v>
      </c>
    </row>
    <row r="24666">
      <c r="H24666" s="50"/>
      <c r="I24666" s="50"/>
      <c r="O24666" s="36" t="s">
        <v>48</v>
      </c>
      <c r="R24666" s="36" t="s">
        <v>48</v>
      </c>
    </row>
    <row r="24667">
      <c r="H24667" s="50"/>
      <c r="I24667" s="50"/>
      <c r="O24667" s="36" t="s">
        <v>48</v>
      </c>
      <c r="R24667" s="36" t="s">
        <v>48</v>
      </c>
    </row>
    <row r="24668">
      <c r="H24668" s="50"/>
      <c r="I24668" s="50"/>
      <c r="O24668" s="36" t="s">
        <v>48</v>
      </c>
      <c r="R24668" s="36" t="s">
        <v>48</v>
      </c>
    </row>
    <row r="24669">
      <c r="H24669" s="50"/>
      <c r="I24669" s="50"/>
      <c r="O24669" s="36" t="s">
        <v>48</v>
      </c>
      <c r="R24669" s="36" t="s">
        <v>48</v>
      </c>
    </row>
    <row r="24670">
      <c r="H24670" s="50"/>
      <c r="I24670" s="50"/>
      <c r="O24670" s="36" t="s">
        <v>48</v>
      </c>
      <c r="R24670" s="36" t="s">
        <v>48</v>
      </c>
    </row>
    <row r="24671">
      <c r="H24671" s="50"/>
      <c r="I24671" s="50"/>
      <c r="O24671" s="36" t="s">
        <v>48</v>
      </c>
      <c r="R24671" s="36" t="s">
        <v>48</v>
      </c>
    </row>
    <row r="24672">
      <c r="H24672" s="50"/>
      <c r="I24672" s="50"/>
      <c r="O24672" s="36" t="s">
        <v>48</v>
      </c>
      <c r="R24672" s="36" t="s">
        <v>48</v>
      </c>
    </row>
    <row r="24673">
      <c r="H24673" s="50"/>
      <c r="I24673" s="50"/>
      <c r="O24673" s="36" t="s">
        <v>48</v>
      </c>
      <c r="R24673" s="36" t="s">
        <v>48</v>
      </c>
    </row>
    <row r="24674">
      <c r="H24674" s="50"/>
      <c r="I24674" s="50"/>
      <c r="O24674" s="36" t="s">
        <v>48</v>
      </c>
      <c r="R24674" s="36" t="s">
        <v>48</v>
      </c>
    </row>
    <row r="24675">
      <c r="H24675" s="50"/>
      <c r="I24675" s="50"/>
      <c r="O24675" s="36" t="s">
        <v>48</v>
      </c>
      <c r="R24675" s="36" t="s">
        <v>48</v>
      </c>
    </row>
    <row r="24676">
      <c r="H24676" s="50"/>
      <c r="I24676" s="50"/>
      <c r="O24676" s="36" t="s">
        <v>48</v>
      </c>
      <c r="R24676" s="36" t="s">
        <v>48</v>
      </c>
    </row>
    <row r="24677">
      <c r="H24677" s="50"/>
      <c r="I24677" s="50"/>
      <c r="O24677" s="36" t="s">
        <v>48</v>
      </c>
      <c r="R24677" s="36" t="s">
        <v>48</v>
      </c>
    </row>
    <row r="24678">
      <c r="H24678" s="50"/>
      <c r="I24678" s="50"/>
      <c r="O24678" s="36" t="s">
        <v>48</v>
      </c>
      <c r="R24678" s="36" t="s">
        <v>48</v>
      </c>
    </row>
    <row r="24679">
      <c r="H24679" s="50"/>
      <c r="I24679" s="50"/>
      <c r="O24679" s="36" t="s">
        <v>48</v>
      </c>
      <c r="R24679" s="36" t="s">
        <v>48</v>
      </c>
    </row>
    <row r="24680">
      <c r="H24680" s="50"/>
      <c r="I24680" s="50"/>
      <c r="O24680" s="36" t="s">
        <v>48</v>
      </c>
      <c r="R24680" s="36" t="s">
        <v>48</v>
      </c>
    </row>
    <row r="24681">
      <c r="H24681" s="50"/>
      <c r="I24681" s="50"/>
      <c r="O24681" s="36" t="s">
        <v>48</v>
      </c>
      <c r="R24681" s="36" t="s">
        <v>48</v>
      </c>
    </row>
    <row r="24682">
      <c r="H24682" s="50"/>
      <c r="I24682" s="50"/>
      <c r="O24682" s="36" t="s">
        <v>48</v>
      </c>
      <c r="R24682" s="36" t="s">
        <v>48</v>
      </c>
    </row>
    <row r="24683">
      <c r="H24683" s="50"/>
      <c r="I24683" s="50"/>
      <c r="O24683" s="36" t="s">
        <v>48</v>
      </c>
      <c r="R24683" s="36" t="s">
        <v>48</v>
      </c>
    </row>
    <row r="24684">
      <c r="H24684" s="50"/>
      <c r="I24684" s="50"/>
      <c r="O24684" s="36" t="s">
        <v>48</v>
      </c>
      <c r="R24684" s="36" t="s">
        <v>48</v>
      </c>
    </row>
    <row r="24685">
      <c r="H24685" s="50"/>
      <c r="I24685" s="50"/>
      <c r="O24685" s="36" t="s">
        <v>48</v>
      </c>
      <c r="R24685" s="36" t="s">
        <v>48</v>
      </c>
    </row>
    <row r="24686">
      <c r="H24686" s="50"/>
      <c r="I24686" s="50"/>
      <c r="O24686" s="36" t="s">
        <v>48</v>
      </c>
      <c r="R24686" s="36" t="s">
        <v>48</v>
      </c>
    </row>
    <row r="24687">
      <c r="H24687" s="50"/>
      <c r="I24687" s="50"/>
      <c r="O24687" s="36" t="s">
        <v>48</v>
      </c>
      <c r="R24687" s="36" t="s">
        <v>48</v>
      </c>
    </row>
    <row r="24688">
      <c r="H24688" s="50"/>
      <c r="I24688" s="50"/>
      <c r="O24688" s="36" t="s">
        <v>48</v>
      </c>
      <c r="R24688" s="36" t="s">
        <v>48</v>
      </c>
    </row>
    <row r="24689">
      <c r="H24689" s="50"/>
      <c r="I24689" s="50"/>
      <c r="O24689" s="36" t="s">
        <v>48</v>
      </c>
      <c r="R24689" s="36" t="s">
        <v>48</v>
      </c>
    </row>
    <row r="24690">
      <c r="H24690" s="50"/>
      <c r="I24690" s="50"/>
      <c r="O24690" s="36" t="s">
        <v>48</v>
      </c>
      <c r="R24690" s="36" t="s">
        <v>48</v>
      </c>
    </row>
    <row r="24691">
      <c r="H24691" s="50"/>
      <c r="I24691" s="50"/>
      <c r="O24691" s="36" t="s">
        <v>48</v>
      </c>
      <c r="R24691" s="36" t="s">
        <v>48</v>
      </c>
    </row>
    <row r="24692">
      <c r="H24692" s="50"/>
      <c r="I24692" s="50"/>
      <c r="O24692" s="36" t="s">
        <v>48</v>
      </c>
      <c r="R24692" s="36" t="s">
        <v>48</v>
      </c>
    </row>
    <row r="24693">
      <c r="H24693" s="50"/>
      <c r="I24693" s="50"/>
      <c r="O24693" s="36" t="s">
        <v>48</v>
      </c>
      <c r="R24693" s="36" t="s">
        <v>48</v>
      </c>
    </row>
    <row r="24694">
      <c r="H24694" s="50"/>
      <c r="I24694" s="50"/>
      <c r="O24694" s="36" t="s">
        <v>48</v>
      </c>
      <c r="R24694" s="36" t="s">
        <v>48</v>
      </c>
    </row>
    <row r="24695">
      <c r="H24695" s="50"/>
      <c r="I24695" s="50"/>
      <c r="O24695" s="36" t="s">
        <v>48</v>
      </c>
      <c r="R24695" s="36" t="s">
        <v>48</v>
      </c>
    </row>
    <row r="24696">
      <c r="H24696" s="50"/>
      <c r="I24696" s="50"/>
      <c r="O24696" s="36" t="s">
        <v>48</v>
      </c>
      <c r="R24696" s="36" t="s">
        <v>48</v>
      </c>
    </row>
    <row r="24697">
      <c r="H24697" s="50"/>
      <c r="I24697" s="50"/>
      <c r="O24697" s="36" t="s">
        <v>48</v>
      </c>
      <c r="R24697" s="36" t="s">
        <v>48</v>
      </c>
    </row>
    <row r="24698">
      <c r="H24698" s="50"/>
      <c r="I24698" s="50"/>
      <c r="O24698" s="36" t="s">
        <v>48</v>
      </c>
      <c r="R24698" s="36" t="s">
        <v>48</v>
      </c>
    </row>
    <row r="24699">
      <c r="H24699" s="50"/>
      <c r="I24699" s="50"/>
      <c r="O24699" s="36" t="s">
        <v>48</v>
      </c>
      <c r="R24699" s="36" t="s">
        <v>48</v>
      </c>
    </row>
    <row r="24700">
      <c r="H24700" s="50"/>
      <c r="I24700" s="50"/>
      <c r="O24700" s="36" t="s">
        <v>48</v>
      </c>
      <c r="R24700" s="36" t="s">
        <v>48</v>
      </c>
    </row>
    <row r="24701">
      <c r="H24701" s="50"/>
      <c r="I24701" s="50"/>
      <c r="O24701" s="36" t="s">
        <v>48</v>
      </c>
      <c r="R24701" s="36" t="s">
        <v>48</v>
      </c>
    </row>
    <row r="24702">
      <c r="H24702" s="50"/>
      <c r="I24702" s="50"/>
      <c r="O24702" s="36" t="s">
        <v>48</v>
      </c>
      <c r="R24702" s="36" t="s">
        <v>48</v>
      </c>
    </row>
    <row r="24703">
      <c r="H24703" s="50"/>
      <c r="I24703" s="50"/>
      <c r="O24703" s="36" t="s">
        <v>48</v>
      </c>
      <c r="R24703" s="36" t="s">
        <v>48</v>
      </c>
    </row>
    <row r="24704">
      <c r="H24704" s="50"/>
      <c r="I24704" s="50"/>
      <c r="O24704" s="36" t="s">
        <v>48</v>
      </c>
      <c r="R24704" s="36" t="s">
        <v>48</v>
      </c>
    </row>
    <row r="24705">
      <c r="H24705" s="50"/>
      <c r="I24705" s="50"/>
      <c r="O24705" s="36" t="s">
        <v>48</v>
      </c>
      <c r="R24705" s="36" t="s">
        <v>48</v>
      </c>
    </row>
    <row r="24706">
      <c r="H24706" s="50"/>
      <c r="I24706" s="50"/>
      <c r="O24706" s="36" t="s">
        <v>48</v>
      </c>
      <c r="R24706" s="36" t="s">
        <v>48</v>
      </c>
    </row>
    <row r="24707">
      <c r="H24707" s="50"/>
      <c r="I24707" s="50"/>
      <c r="O24707" s="36" t="s">
        <v>48</v>
      </c>
      <c r="R24707" s="36" t="s">
        <v>48</v>
      </c>
    </row>
    <row r="24708">
      <c r="H24708" s="50"/>
      <c r="I24708" s="50"/>
      <c r="O24708" s="36" t="s">
        <v>48</v>
      </c>
      <c r="R24708" s="36" t="s">
        <v>48</v>
      </c>
    </row>
    <row r="24709">
      <c r="H24709" s="50"/>
      <c r="I24709" s="50"/>
      <c r="O24709" s="36" t="s">
        <v>48</v>
      </c>
      <c r="R24709" s="36" t="s">
        <v>48</v>
      </c>
    </row>
    <row r="24710">
      <c r="H24710" s="50"/>
      <c r="I24710" s="50"/>
      <c r="O24710" s="36" t="s">
        <v>48</v>
      </c>
      <c r="R24710" s="36" t="s">
        <v>48</v>
      </c>
    </row>
    <row r="24711">
      <c r="H24711" s="50"/>
      <c r="I24711" s="50"/>
      <c r="O24711" s="36" t="s">
        <v>48</v>
      </c>
      <c r="R24711" s="36" t="s">
        <v>48</v>
      </c>
    </row>
    <row r="24712">
      <c r="H24712" s="50"/>
      <c r="I24712" s="50"/>
      <c r="O24712" s="36" t="s">
        <v>48</v>
      </c>
      <c r="R24712" s="36" t="s">
        <v>48</v>
      </c>
    </row>
    <row r="24713">
      <c r="H24713" s="50"/>
      <c r="I24713" s="50"/>
      <c r="O24713" s="36" t="s">
        <v>48</v>
      </c>
      <c r="R24713" s="36" t="s">
        <v>48</v>
      </c>
    </row>
    <row r="24714">
      <c r="H24714" s="50"/>
      <c r="I24714" s="50"/>
      <c r="O24714" s="36" t="s">
        <v>48</v>
      </c>
      <c r="R24714" s="36" t="s">
        <v>48</v>
      </c>
    </row>
    <row r="24715">
      <c r="H24715" s="50"/>
      <c r="I24715" s="50"/>
      <c r="O24715" s="36" t="s">
        <v>48</v>
      </c>
      <c r="R24715" s="36" t="s">
        <v>48</v>
      </c>
    </row>
    <row r="24716">
      <c r="H24716" s="50"/>
      <c r="I24716" s="50"/>
      <c r="O24716" s="36" t="s">
        <v>48</v>
      </c>
      <c r="R24716" s="36" t="s">
        <v>48</v>
      </c>
    </row>
    <row r="24717">
      <c r="H24717" s="50"/>
      <c r="I24717" s="50"/>
      <c r="O24717" s="36" t="s">
        <v>48</v>
      </c>
      <c r="R24717" s="36" t="s">
        <v>48</v>
      </c>
    </row>
    <row r="24718">
      <c r="H24718" s="50"/>
      <c r="I24718" s="50"/>
      <c r="O24718" s="36" t="s">
        <v>48</v>
      </c>
      <c r="R24718" s="36" t="s">
        <v>48</v>
      </c>
    </row>
    <row r="24719">
      <c r="H24719" s="50"/>
      <c r="I24719" s="50"/>
      <c r="O24719" s="36" t="s">
        <v>48</v>
      </c>
      <c r="R24719" s="36" t="s">
        <v>48</v>
      </c>
    </row>
    <row r="24720">
      <c r="H24720" s="50"/>
      <c r="I24720" s="50"/>
      <c r="O24720" s="36" t="s">
        <v>48</v>
      </c>
      <c r="R24720" s="36" t="s">
        <v>48</v>
      </c>
    </row>
    <row r="24721">
      <c r="H24721" s="50"/>
      <c r="I24721" s="50"/>
      <c r="O24721" s="36" t="s">
        <v>48</v>
      </c>
      <c r="R24721" s="36" t="s">
        <v>48</v>
      </c>
    </row>
    <row r="24722">
      <c r="H24722" s="50"/>
      <c r="I24722" s="50"/>
      <c r="O24722" s="36" t="s">
        <v>48</v>
      </c>
      <c r="R24722" s="36" t="s">
        <v>48</v>
      </c>
    </row>
    <row r="24723">
      <c r="H24723" s="50"/>
      <c r="I24723" s="50"/>
      <c r="O24723" s="36" t="s">
        <v>48</v>
      </c>
      <c r="R24723" s="36" t="s">
        <v>48</v>
      </c>
    </row>
    <row r="24724">
      <c r="H24724" s="50"/>
      <c r="I24724" s="50"/>
      <c r="O24724" s="36" t="s">
        <v>48</v>
      </c>
      <c r="R24724" s="36" t="s">
        <v>48</v>
      </c>
    </row>
    <row r="24725">
      <c r="H24725" s="50"/>
      <c r="I24725" s="50"/>
      <c r="O24725" s="36" t="s">
        <v>48</v>
      </c>
      <c r="R24725" s="36" t="s">
        <v>48</v>
      </c>
    </row>
    <row r="24726">
      <c r="H24726" s="50"/>
      <c r="I24726" s="50"/>
      <c r="O24726" s="36" t="s">
        <v>48</v>
      </c>
      <c r="R24726" s="36" t="s">
        <v>48</v>
      </c>
    </row>
    <row r="24727">
      <c r="H24727" s="50"/>
      <c r="I24727" s="50"/>
      <c r="O24727" s="36" t="s">
        <v>48</v>
      </c>
      <c r="R24727" s="36" t="s">
        <v>48</v>
      </c>
    </row>
    <row r="24728">
      <c r="H24728" s="50"/>
      <c r="I24728" s="50"/>
      <c r="O24728" s="36" t="s">
        <v>48</v>
      </c>
      <c r="R24728" s="36" t="s">
        <v>48</v>
      </c>
    </row>
    <row r="24729">
      <c r="H24729" s="50"/>
      <c r="I24729" s="50"/>
      <c r="O24729" s="36" t="s">
        <v>48</v>
      </c>
      <c r="R24729" s="36" t="s">
        <v>48</v>
      </c>
    </row>
    <row r="24730">
      <c r="H24730" s="50"/>
      <c r="I24730" s="50"/>
      <c r="O24730" s="36" t="s">
        <v>48</v>
      </c>
      <c r="R24730" s="36" t="s">
        <v>48</v>
      </c>
    </row>
    <row r="24731">
      <c r="H24731" s="50"/>
      <c r="I24731" s="50"/>
      <c r="O24731" s="36" t="s">
        <v>48</v>
      </c>
      <c r="R24731" s="36" t="s">
        <v>48</v>
      </c>
    </row>
    <row r="24732">
      <c r="H24732" s="50"/>
      <c r="I24732" s="50"/>
      <c r="O24732" s="36" t="s">
        <v>48</v>
      </c>
      <c r="R24732" s="36" t="s">
        <v>48</v>
      </c>
    </row>
    <row r="24733">
      <c r="H24733" s="50"/>
      <c r="I24733" s="50"/>
      <c r="O24733" s="36" t="s">
        <v>48</v>
      </c>
      <c r="R24733" s="36" t="s">
        <v>48</v>
      </c>
    </row>
    <row r="24734">
      <c r="H24734" s="50"/>
      <c r="I24734" s="50"/>
      <c r="O24734" s="36" t="s">
        <v>48</v>
      </c>
      <c r="R24734" s="36" t="s">
        <v>48</v>
      </c>
    </row>
    <row r="24735">
      <c r="H24735" s="50"/>
      <c r="I24735" s="50"/>
      <c r="O24735" s="36" t="s">
        <v>48</v>
      </c>
      <c r="R24735" s="36" t="s">
        <v>48</v>
      </c>
    </row>
    <row r="24736">
      <c r="H24736" s="50"/>
      <c r="I24736" s="50"/>
      <c r="O24736" s="36" t="s">
        <v>48</v>
      </c>
      <c r="R24736" s="36" t="s">
        <v>48</v>
      </c>
    </row>
    <row r="24737">
      <c r="H24737" s="50"/>
      <c r="I24737" s="50"/>
      <c r="O24737" s="36" t="s">
        <v>48</v>
      </c>
      <c r="R24737" s="36" t="s">
        <v>48</v>
      </c>
    </row>
    <row r="24738">
      <c r="H24738" s="50"/>
      <c r="I24738" s="50"/>
      <c r="O24738" s="36" t="s">
        <v>48</v>
      </c>
      <c r="R24738" s="36" t="s">
        <v>48</v>
      </c>
    </row>
    <row r="24739">
      <c r="H24739" s="50"/>
      <c r="I24739" s="50"/>
      <c r="O24739" s="36" t="s">
        <v>48</v>
      </c>
      <c r="R24739" s="36" t="s">
        <v>48</v>
      </c>
    </row>
    <row r="24740">
      <c r="H24740" s="50"/>
      <c r="I24740" s="50"/>
      <c r="O24740" s="36" t="s">
        <v>48</v>
      </c>
      <c r="R24740" s="36" t="s">
        <v>48</v>
      </c>
    </row>
    <row r="24741">
      <c r="H24741" s="50"/>
      <c r="I24741" s="50"/>
      <c r="O24741" s="36" t="s">
        <v>48</v>
      </c>
      <c r="R24741" s="36" t="s">
        <v>48</v>
      </c>
    </row>
    <row r="24742">
      <c r="H24742" s="50"/>
      <c r="I24742" s="50"/>
      <c r="O24742" s="36" t="s">
        <v>48</v>
      </c>
      <c r="R24742" s="36" t="s">
        <v>48</v>
      </c>
    </row>
    <row r="24743">
      <c r="H24743" s="50"/>
      <c r="I24743" s="50"/>
      <c r="O24743" s="36" t="s">
        <v>48</v>
      </c>
      <c r="R24743" s="36" t="s">
        <v>48</v>
      </c>
    </row>
    <row r="24744">
      <c r="H24744" s="50"/>
      <c r="I24744" s="50"/>
      <c r="O24744" s="36" t="s">
        <v>48</v>
      </c>
      <c r="R24744" s="36" t="s">
        <v>48</v>
      </c>
    </row>
    <row r="24745">
      <c r="H24745" s="50"/>
      <c r="I24745" s="50"/>
      <c r="O24745" s="36" t="s">
        <v>48</v>
      </c>
      <c r="R24745" s="36" t="s">
        <v>48</v>
      </c>
    </row>
    <row r="24746">
      <c r="H24746" s="50"/>
      <c r="I24746" s="50"/>
      <c r="O24746" s="36" t="s">
        <v>48</v>
      </c>
      <c r="R24746" s="36" t="s">
        <v>48</v>
      </c>
    </row>
    <row r="24747">
      <c r="H24747" s="50"/>
      <c r="I24747" s="50"/>
      <c r="O24747" s="36" t="s">
        <v>48</v>
      </c>
      <c r="R24747" s="36" t="s">
        <v>48</v>
      </c>
    </row>
    <row r="24748">
      <c r="H24748" s="50"/>
      <c r="I24748" s="50"/>
      <c r="O24748" s="36" t="s">
        <v>48</v>
      </c>
      <c r="R24748" s="36" t="s">
        <v>48</v>
      </c>
    </row>
    <row r="24749">
      <c r="H24749" s="50"/>
      <c r="I24749" s="50"/>
      <c r="O24749" s="36" t="s">
        <v>48</v>
      </c>
      <c r="R24749" s="36" t="s">
        <v>48</v>
      </c>
    </row>
    <row r="24750">
      <c r="H24750" s="50"/>
      <c r="I24750" s="50"/>
      <c r="O24750" s="36" t="s">
        <v>48</v>
      </c>
      <c r="R24750" s="36" t="s">
        <v>48</v>
      </c>
    </row>
    <row r="24751">
      <c r="H24751" s="50"/>
      <c r="I24751" s="50"/>
      <c r="O24751" s="36" t="s">
        <v>48</v>
      </c>
      <c r="R24751" s="36" t="s">
        <v>48</v>
      </c>
    </row>
    <row r="24752">
      <c r="H24752" s="50"/>
      <c r="I24752" s="50"/>
      <c r="O24752" s="36" t="s">
        <v>48</v>
      </c>
      <c r="R24752" s="36" t="s">
        <v>48</v>
      </c>
    </row>
    <row r="24753">
      <c r="H24753" s="50"/>
      <c r="I24753" s="50"/>
      <c r="O24753" s="36" t="s">
        <v>48</v>
      </c>
      <c r="R24753" s="36" t="s">
        <v>48</v>
      </c>
    </row>
    <row r="24754">
      <c r="H24754" s="50"/>
      <c r="I24754" s="50"/>
      <c r="O24754" s="36" t="s">
        <v>48</v>
      </c>
      <c r="R24754" s="36" t="s">
        <v>48</v>
      </c>
    </row>
    <row r="24755">
      <c r="H24755" s="50"/>
      <c r="I24755" s="50"/>
      <c r="O24755" s="36" t="s">
        <v>48</v>
      </c>
      <c r="R24755" s="36" t="s">
        <v>48</v>
      </c>
    </row>
    <row r="24756">
      <c r="H24756" s="50"/>
      <c r="I24756" s="50"/>
      <c r="O24756" s="36" t="s">
        <v>48</v>
      </c>
      <c r="R24756" s="36" t="s">
        <v>48</v>
      </c>
    </row>
    <row r="24757">
      <c r="H24757" s="50"/>
      <c r="I24757" s="50"/>
      <c r="O24757" s="36" t="s">
        <v>48</v>
      </c>
      <c r="R24757" s="36" t="s">
        <v>48</v>
      </c>
    </row>
    <row r="24758">
      <c r="H24758" s="50"/>
      <c r="I24758" s="50"/>
      <c r="O24758" s="36" t="s">
        <v>48</v>
      </c>
      <c r="R24758" s="36" t="s">
        <v>48</v>
      </c>
    </row>
    <row r="24759">
      <c r="H24759" s="50"/>
      <c r="I24759" s="50"/>
      <c r="O24759" s="36" t="s">
        <v>48</v>
      </c>
      <c r="R24759" s="36" t="s">
        <v>48</v>
      </c>
    </row>
    <row r="24760">
      <c r="H24760" s="50"/>
      <c r="I24760" s="50"/>
      <c r="O24760" s="36" t="s">
        <v>48</v>
      </c>
      <c r="R24760" s="36" t="s">
        <v>48</v>
      </c>
    </row>
    <row r="24761">
      <c r="H24761" s="50"/>
      <c r="I24761" s="50"/>
      <c r="O24761" s="36" t="s">
        <v>48</v>
      </c>
      <c r="R24761" s="36" t="s">
        <v>48</v>
      </c>
    </row>
    <row r="24762">
      <c r="H24762" s="50"/>
      <c r="I24762" s="50"/>
      <c r="O24762" s="36" t="s">
        <v>48</v>
      </c>
      <c r="R24762" s="36" t="s">
        <v>48</v>
      </c>
    </row>
    <row r="24763">
      <c r="H24763" s="50"/>
      <c r="I24763" s="50"/>
      <c r="O24763" s="36" t="s">
        <v>48</v>
      </c>
      <c r="R24763" s="36" t="s">
        <v>48</v>
      </c>
    </row>
    <row r="24764">
      <c r="H24764" s="50"/>
      <c r="I24764" s="50"/>
      <c r="O24764" s="36" t="s">
        <v>48</v>
      </c>
      <c r="R24764" s="36" t="s">
        <v>48</v>
      </c>
    </row>
    <row r="24765">
      <c r="H24765" s="50"/>
      <c r="I24765" s="50"/>
      <c r="O24765" s="36" t="s">
        <v>48</v>
      </c>
      <c r="R24765" s="36" t="s">
        <v>48</v>
      </c>
    </row>
    <row r="24766">
      <c r="H24766" s="50"/>
      <c r="I24766" s="50"/>
      <c r="O24766" s="36" t="s">
        <v>48</v>
      </c>
      <c r="R24766" s="36" t="s">
        <v>48</v>
      </c>
    </row>
    <row r="24767">
      <c r="H24767" s="50"/>
      <c r="I24767" s="50"/>
      <c r="O24767" s="36" t="s">
        <v>48</v>
      </c>
      <c r="R24767" s="36" t="s">
        <v>48</v>
      </c>
    </row>
    <row r="24768">
      <c r="H24768" s="50"/>
      <c r="I24768" s="50"/>
      <c r="O24768" s="36" t="s">
        <v>48</v>
      </c>
      <c r="R24768" s="36" t="s">
        <v>48</v>
      </c>
    </row>
    <row r="24769">
      <c r="H24769" s="50"/>
      <c r="I24769" s="50"/>
      <c r="O24769" s="36" t="s">
        <v>48</v>
      </c>
      <c r="R24769" s="36" t="s">
        <v>48</v>
      </c>
    </row>
    <row r="24770">
      <c r="H24770" s="50"/>
      <c r="I24770" s="50"/>
      <c r="O24770" s="36" t="s">
        <v>48</v>
      </c>
      <c r="R24770" s="36" t="s">
        <v>48</v>
      </c>
    </row>
    <row r="24771">
      <c r="H24771" s="50"/>
      <c r="I24771" s="50"/>
      <c r="O24771" s="36" t="s">
        <v>48</v>
      </c>
      <c r="R24771" s="36" t="s">
        <v>48</v>
      </c>
    </row>
    <row r="24772">
      <c r="H24772" s="50"/>
      <c r="I24772" s="50"/>
      <c r="O24772" s="36" t="s">
        <v>48</v>
      </c>
      <c r="R24772" s="36" t="s">
        <v>48</v>
      </c>
    </row>
    <row r="24773">
      <c r="H24773" s="50"/>
      <c r="I24773" s="50"/>
      <c r="O24773" s="36" t="s">
        <v>48</v>
      </c>
      <c r="R24773" s="36" t="s">
        <v>48</v>
      </c>
    </row>
    <row r="24774">
      <c r="H24774" s="50"/>
      <c r="I24774" s="50"/>
      <c r="O24774" s="36" t="s">
        <v>48</v>
      </c>
      <c r="R24774" s="36" t="s">
        <v>48</v>
      </c>
    </row>
    <row r="24775">
      <c r="H24775" s="50"/>
      <c r="I24775" s="50"/>
      <c r="O24775" s="36" t="s">
        <v>48</v>
      </c>
      <c r="R24775" s="36" t="s">
        <v>48</v>
      </c>
    </row>
    <row r="24776">
      <c r="H24776" s="50"/>
      <c r="I24776" s="50"/>
      <c r="O24776" s="36" t="s">
        <v>48</v>
      </c>
      <c r="R24776" s="36" t="s">
        <v>48</v>
      </c>
    </row>
    <row r="24777">
      <c r="H24777" s="50"/>
      <c r="I24777" s="50"/>
      <c r="O24777" s="36" t="s">
        <v>48</v>
      </c>
      <c r="R24777" s="36" t="s">
        <v>48</v>
      </c>
    </row>
    <row r="24778">
      <c r="H24778" s="50"/>
      <c r="I24778" s="50"/>
      <c r="O24778" s="36" t="s">
        <v>48</v>
      </c>
      <c r="R24778" s="36" t="s">
        <v>48</v>
      </c>
    </row>
    <row r="24779">
      <c r="H24779" s="50"/>
      <c r="I24779" s="50"/>
      <c r="O24779" s="36" t="s">
        <v>48</v>
      </c>
      <c r="R24779" s="36" t="s">
        <v>48</v>
      </c>
    </row>
    <row r="24780">
      <c r="H24780" s="50"/>
      <c r="I24780" s="50"/>
      <c r="O24780" s="36" t="s">
        <v>48</v>
      </c>
      <c r="R24780" s="36" t="s">
        <v>48</v>
      </c>
    </row>
    <row r="24781">
      <c r="H24781" s="50"/>
      <c r="I24781" s="50"/>
      <c r="O24781" s="36" t="s">
        <v>48</v>
      </c>
      <c r="R24781" s="36" t="s">
        <v>48</v>
      </c>
    </row>
    <row r="24782">
      <c r="H24782" s="50"/>
      <c r="I24782" s="50"/>
      <c r="O24782" s="36" t="s">
        <v>48</v>
      </c>
      <c r="R24782" s="36" t="s">
        <v>48</v>
      </c>
    </row>
    <row r="24783">
      <c r="H24783" s="50"/>
      <c r="I24783" s="50"/>
      <c r="O24783" s="36" t="s">
        <v>48</v>
      </c>
      <c r="R24783" s="36" t="s">
        <v>48</v>
      </c>
    </row>
    <row r="24784">
      <c r="H24784" s="50"/>
      <c r="I24784" s="50"/>
      <c r="O24784" s="36" t="s">
        <v>48</v>
      </c>
      <c r="R24784" s="36" t="s">
        <v>48</v>
      </c>
    </row>
    <row r="24785">
      <c r="H24785" s="50"/>
      <c r="I24785" s="50"/>
      <c r="O24785" s="36" t="s">
        <v>48</v>
      </c>
      <c r="R24785" s="36" t="s">
        <v>48</v>
      </c>
    </row>
    <row r="24786">
      <c r="H24786" s="50"/>
      <c r="I24786" s="50"/>
      <c r="O24786" s="36" t="s">
        <v>48</v>
      </c>
      <c r="R24786" s="36" t="s">
        <v>48</v>
      </c>
    </row>
    <row r="24787">
      <c r="H24787" s="50"/>
      <c r="I24787" s="50"/>
      <c r="O24787" s="36" t="s">
        <v>48</v>
      </c>
      <c r="R24787" s="36" t="s">
        <v>48</v>
      </c>
    </row>
    <row r="24788">
      <c r="H24788" s="50"/>
      <c r="I24788" s="50"/>
      <c r="O24788" s="36" t="s">
        <v>48</v>
      </c>
      <c r="R24788" s="36" t="s">
        <v>48</v>
      </c>
    </row>
    <row r="24789">
      <c r="H24789" s="50"/>
      <c r="I24789" s="50"/>
      <c r="O24789" s="36" t="s">
        <v>48</v>
      </c>
      <c r="R24789" s="36" t="s">
        <v>48</v>
      </c>
    </row>
    <row r="24790">
      <c r="H24790" s="50"/>
      <c r="I24790" s="50"/>
      <c r="O24790" s="36" t="s">
        <v>48</v>
      </c>
      <c r="R24790" s="36" t="s">
        <v>48</v>
      </c>
    </row>
    <row r="24791">
      <c r="H24791" s="50"/>
      <c r="I24791" s="50"/>
      <c r="O24791" s="36" t="s">
        <v>48</v>
      </c>
      <c r="R24791" s="36" t="s">
        <v>48</v>
      </c>
    </row>
    <row r="24792">
      <c r="H24792" s="50"/>
      <c r="I24792" s="50"/>
      <c r="O24792" s="36" t="s">
        <v>48</v>
      </c>
      <c r="R24792" s="36" t="s">
        <v>48</v>
      </c>
    </row>
    <row r="24793">
      <c r="H24793" s="50"/>
      <c r="I24793" s="50"/>
      <c r="O24793" s="36" t="s">
        <v>48</v>
      </c>
      <c r="R24793" s="36" t="s">
        <v>48</v>
      </c>
    </row>
    <row r="24794">
      <c r="H24794" s="50"/>
      <c r="I24794" s="50"/>
      <c r="O24794" s="36" t="s">
        <v>48</v>
      </c>
      <c r="R24794" s="36" t="s">
        <v>48</v>
      </c>
    </row>
    <row r="24795">
      <c r="H24795" s="50"/>
      <c r="I24795" s="50"/>
      <c r="O24795" s="36" t="s">
        <v>48</v>
      </c>
      <c r="R24795" s="36" t="s">
        <v>48</v>
      </c>
    </row>
    <row r="24796">
      <c r="H24796" s="50"/>
      <c r="I24796" s="50"/>
      <c r="O24796" s="36" t="s">
        <v>48</v>
      </c>
      <c r="R24796" s="36" t="s">
        <v>48</v>
      </c>
    </row>
    <row r="24797">
      <c r="H24797" s="50"/>
      <c r="I24797" s="50"/>
      <c r="O24797" s="36" t="s">
        <v>48</v>
      </c>
      <c r="R24797" s="36" t="s">
        <v>48</v>
      </c>
    </row>
    <row r="24798">
      <c r="H24798" s="50"/>
      <c r="I24798" s="50"/>
      <c r="O24798" s="36" t="s">
        <v>48</v>
      </c>
      <c r="R24798" s="36" t="s">
        <v>48</v>
      </c>
    </row>
    <row r="24799">
      <c r="H24799" s="50"/>
      <c r="I24799" s="50"/>
      <c r="O24799" s="36" t="s">
        <v>48</v>
      </c>
      <c r="R24799" s="36" t="s">
        <v>48</v>
      </c>
    </row>
    <row r="24800">
      <c r="H24800" s="50"/>
      <c r="I24800" s="50"/>
      <c r="O24800" s="36" t="s">
        <v>48</v>
      </c>
      <c r="R24800" s="36" t="s">
        <v>48</v>
      </c>
    </row>
    <row r="24801">
      <c r="H24801" s="50"/>
      <c r="I24801" s="50"/>
      <c r="O24801" s="36" t="s">
        <v>48</v>
      </c>
      <c r="R24801" s="36" t="s">
        <v>48</v>
      </c>
    </row>
    <row r="24802">
      <c r="H24802" s="50"/>
      <c r="I24802" s="50"/>
      <c r="O24802" s="36" t="s">
        <v>48</v>
      </c>
      <c r="R24802" s="36" t="s">
        <v>48</v>
      </c>
    </row>
    <row r="24803">
      <c r="H24803" s="50"/>
      <c r="I24803" s="50"/>
      <c r="O24803" s="36" t="s">
        <v>48</v>
      </c>
      <c r="R24803" s="36" t="s">
        <v>48</v>
      </c>
    </row>
    <row r="24804">
      <c r="H24804" s="50"/>
      <c r="I24804" s="50"/>
      <c r="O24804" s="36" t="s">
        <v>48</v>
      </c>
      <c r="R24804" s="36" t="s">
        <v>48</v>
      </c>
    </row>
    <row r="24805">
      <c r="H24805" s="50"/>
      <c r="I24805" s="50"/>
      <c r="O24805" s="36" t="s">
        <v>48</v>
      </c>
      <c r="R24805" s="36" t="s">
        <v>48</v>
      </c>
    </row>
    <row r="24806">
      <c r="H24806" s="50"/>
      <c r="I24806" s="50"/>
      <c r="O24806" s="36" t="s">
        <v>48</v>
      </c>
      <c r="R24806" s="36" t="s">
        <v>48</v>
      </c>
    </row>
    <row r="24807">
      <c r="H24807" s="50"/>
      <c r="I24807" s="50"/>
      <c r="O24807" s="36" t="s">
        <v>48</v>
      </c>
      <c r="R24807" s="36" t="s">
        <v>48</v>
      </c>
    </row>
    <row r="24808">
      <c r="H24808" s="50"/>
      <c r="I24808" s="50"/>
      <c r="O24808" s="36" t="s">
        <v>48</v>
      </c>
      <c r="R24808" s="36" t="s">
        <v>48</v>
      </c>
    </row>
    <row r="24809">
      <c r="H24809" s="50"/>
      <c r="I24809" s="50"/>
      <c r="O24809" s="36" t="s">
        <v>48</v>
      </c>
      <c r="R24809" s="36" t="s">
        <v>48</v>
      </c>
    </row>
    <row r="24810">
      <c r="H24810" s="50"/>
      <c r="I24810" s="50"/>
      <c r="O24810" s="36" t="s">
        <v>48</v>
      </c>
      <c r="R24810" s="36" t="s">
        <v>48</v>
      </c>
    </row>
    <row r="24811">
      <c r="H24811" s="50"/>
      <c r="I24811" s="50"/>
      <c r="O24811" s="36" t="s">
        <v>48</v>
      </c>
      <c r="R24811" s="36" t="s">
        <v>48</v>
      </c>
    </row>
    <row r="24812">
      <c r="H24812" s="50"/>
      <c r="I24812" s="50"/>
      <c r="O24812" s="36" t="s">
        <v>48</v>
      </c>
      <c r="R24812" s="36" t="s">
        <v>48</v>
      </c>
    </row>
    <row r="24813">
      <c r="H24813" s="50"/>
      <c r="I24813" s="50"/>
      <c r="O24813" s="36" t="s">
        <v>48</v>
      </c>
      <c r="R24813" s="36" t="s">
        <v>48</v>
      </c>
    </row>
    <row r="24814">
      <c r="H24814" s="50"/>
      <c r="I24814" s="50"/>
      <c r="O24814" s="36" t="s">
        <v>48</v>
      </c>
      <c r="R24814" s="36" t="s">
        <v>48</v>
      </c>
    </row>
    <row r="24815">
      <c r="H24815" s="50"/>
      <c r="I24815" s="50"/>
      <c r="O24815" s="36" t="s">
        <v>48</v>
      </c>
      <c r="R24815" s="36" t="s">
        <v>48</v>
      </c>
    </row>
    <row r="24816">
      <c r="H24816" s="50"/>
      <c r="I24816" s="50"/>
      <c r="O24816" s="36" t="s">
        <v>48</v>
      </c>
      <c r="R24816" s="36" t="s">
        <v>48</v>
      </c>
    </row>
    <row r="24817">
      <c r="H24817" s="50"/>
      <c r="I24817" s="50"/>
      <c r="O24817" s="36" t="s">
        <v>48</v>
      </c>
      <c r="R24817" s="36" t="s">
        <v>48</v>
      </c>
    </row>
    <row r="24818">
      <c r="H24818" s="50"/>
      <c r="I24818" s="50"/>
      <c r="O24818" s="36" t="s">
        <v>48</v>
      </c>
      <c r="R24818" s="36" t="s">
        <v>48</v>
      </c>
    </row>
    <row r="24819">
      <c r="H24819" s="50"/>
      <c r="I24819" s="50"/>
      <c r="O24819" s="36" t="s">
        <v>48</v>
      </c>
      <c r="R24819" s="36" t="s">
        <v>48</v>
      </c>
    </row>
    <row r="24820">
      <c r="H24820" s="50"/>
      <c r="I24820" s="50"/>
      <c r="O24820" s="36" t="s">
        <v>48</v>
      </c>
      <c r="R24820" s="36" t="s">
        <v>48</v>
      </c>
    </row>
    <row r="24821">
      <c r="H24821" s="50"/>
      <c r="I24821" s="50"/>
      <c r="O24821" s="36" t="s">
        <v>48</v>
      </c>
      <c r="R24821" s="36" t="s">
        <v>48</v>
      </c>
    </row>
    <row r="24822">
      <c r="H24822" s="50"/>
      <c r="I24822" s="50"/>
      <c r="O24822" s="36" t="s">
        <v>48</v>
      </c>
      <c r="R24822" s="36" t="s">
        <v>48</v>
      </c>
    </row>
    <row r="24823">
      <c r="H24823" s="50"/>
      <c r="I24823" s="50"/>
      <c r="O24823" s="36" t="s">
        <v>48</v>
      </c>
      <c r="R24823" s="36" t="s">
        <v>48</v>
      </c>
    </row>
    <row r="24824">
      <c r="H24824" s="50"/>
      <c r="I24824" s="50"/>
      <c r="O24824" s="36" t="s">
        <v>48</v>
      </c>
      <c r="R24824" s="36" t="s">
        <v>48</v>
      </c>
    </row>
    <row r="24825">
      <c r="H24825" s="50"/>
      <c r="I24825" s="50"/>
      <c r="O24825" s="36" t="s">
        <v>48</v>
      </c>
      <c r="R24825" s="36" t="s">
        <v>48</v>
      </c>
    </row>
    <row r="24826">
      <c r="H24826" s="50"/>
      <c r="I24826" s="50"/>
      <c r="O24826" s="36" t="s">
        <v>48</v>
      </c>
      <c r="R24826" s="36" t="s">
        <v>48</v>
      </c>
    </row>
    <row r="24827">
      <c r="H24827" s="50"/>
      <c r="I24827" s="50"/>
      <c r="O24827" s="36" t="s">
        <v>48</v>
      </c>
      <c r="R24827" s="36" t="s">
        <v>48</v>
      </c>
    </row>
    <row r="24828">
      <c r="H24828" s="50"/>
      <c r="I24828" s="50"/>
      <c r="O24828" s="36" t="s">
        <v>48</v>
      </c>
      <c r="R24828" s="36" t="s">
        <v>48</v>
      </c>
    </row>
    <row r="24829">
      <c r="H24829" s="50"/>
      <c r="I24829" s="50"/>
      <c r="O24829" s="36" t="s">
        <v>48</v>
      </c>
      <c r="R24829" s="36" t="s">
        <v>48</v>
      </c>
    </row>
    <row r="24830">
      <c r="H24830" s="50"/>
      <c r="I24830" s="50"/>
      <c r="O24830" s="36" t="s">
        <v>48</v>
      </c>
      <c r="R24830" s="36" t="s">
        <v>48</v>
      </c>
    </row>
    <row r="24831">
      <c r="H24831" s="50"/>
      <c r="I24831" s="50"/>
      <c r="O24831" s="36" t="s">
        <v>48</v>
      </c>
      <c r="R24831" s="36" t="s">
        <v>48</v>
      </c>
    </row>
    <row r="24832">
      <c r="H24832" s="50"/>
      <c r="I24832" s="50"/>
      <c r="O24832" s="36" t="s">
        <v>48</v>
      </c>
      <c r="R24832" s="36" t="s">
        <v>48</v>
      </c>
    </row>
    <row r="24833">
      <c r="H24833" s="50"/>
      <c r="I24833" s="50"/>
      <c r="O24833" s="36" t="s">
        <v>48</v>
      </c>
      <c r="R24833" s="36" t="s">
        <v>48</v>
      </c>
    </row>
    <row r="24834">
      <c r="H24834" s="50"/>
      <c r="I24834" s="50"/>
      <c r="O24834" s="36" t="s">
        <v>48</v>
      </c>
      <c r="R24834" s="36" t="s">
        <v>48</v>
      </c>
    </row>
    <row r="24835">
      <c r="H24835" s="50"/>
      <c r="I24835" s="50"/>
      <c r="O24835" s="36" t="s">
        <v>48</v>
      </c>
      <c r="R24835" s="36" t="s">
        <v>48</v>
      </c>
    </row>
    <row r="24836">
      <c r="H24836" s="50"/>
      <c r="I24836" s="50"/>
      <c r="O24836" s="36" t="s">
        <v>48</v>
      </c>
      <c r="R24836" s="36" t="s">
        <v>48</v>
      </c>
    </row>
    <row r="24837">
      <c r="H24837" s="50"/>
      <c r="I24837" s="50"/>
      <c r="O24837" s="36" t="s">
        <v>48</v>
      </c>
      <c r="R24837" s="36" t="s">
        <v>48</v>
      </c>
    </row>
    <row r="24838">
      <c r="H24838" s="50"/>
      <c r="I24838" s="50"/>
      <c r="O24838" s="36" t="s">
        <v>48</v>
      </c>
      <c r="R24838" s="36" t="s">
        <v>48</v>
      </c>
    </row>
    <row r="24839">
      <c r="H24839" s="50"/>
      <c r="I24839" s="50"/>
      <c r="O24839" s="36" t="s">
        <v>48</v>
      </c>
      <c r="R24839" s="36" t="s">
        <v>48</v>
      </c>
    </row>
    <row r="24840">
      <c r="H24840" s="50"/>
      <c r="I24840" s="50"/>
      <c r="O24840" s="36" t="s">
        <v>48</v>
      </c>
      <c r="R24840" s="36" t="s">
        <v>48</v>
      </c>
    </row>
    <row r="24841">
      <c r="H24841" s="50"/>
      <c r="I24841" s="50"/>
      <c r="O24841" s="36" t="s">
        <v>48</v>
      </c>
      <c r="R24841" s="36" t="s">
        <v>48</v>
      </c>
    </row>
    <row r="24842">
      <c r="H24842" s="50"/>
      <c r="I24842" s="50"/>
      <c r="O24842" s="36" t="s">
        <v>48</v>
      </c>
      <c r="R24842" s="36" t="s">
        <v>48</v>
      </c>
    </row>
    <row r="24843">
      <c r="H24843" s="50"/>
      <c r="I24843" s="50"/>
      <c r="O24843" s="36" t="s">
        <v>48</v>
      </c>
      <c r="R24843" s="36" t="s">
        <v>48</v>
      </c>
    </row>
    <row r="24844">
      <c r="H24844" s="50"/>
      <c r="I24844" s="50"/>
      <c r="O24844" s="36" t="s">
        <v>48</v>
      </c>
      <c r="R24844" s="36" t="s">
        <v>48</v>
      </c>
    </row>
    <row r="24845">
      <c r="H24845" s="50"/>
      <c r="I24845" s="50"/>
      <c r="O24845" s="36" t="s">
        <v>48</v>
      </c>
      <c r="R24845" s="36" t="s">
        <v>48</v>
      </c>
    </row>
    <row r="24846">
      <c r="H24846" s="50"/>
      <c r="I24846" s="50"/>
      <c r="O24846" s="36" t="s">
        <v>48</v>
      </c>
      <c r="R24846" s="36" t="s">
        <v>48</v>
      </c>
    </row>
    <row r="24847">
      <c r="H24847" s="50"/>
      <c r="I24847" s="50"/>
      <c r="O24847" s="36" t="s">
        <v>48</v>
      </c>
      <c r="R24847" s="36" t="s">
        <v>48</v>
      </c>
    </row>
    <row r="24848">
      <c r="H24848" s="50"/>
      <c r="I24848" s="50"/>
      <c r="O24848" s="36" t="s">
        <v>48</v>
      </c>
      <c r="R24848" s="36" t="s">
        <v>48</v>
      </c>
    </row>
    <row r="24849">
      <c r="H24849" s="50"/>
      <c r="I24849" s="50"/>
      <c r="O24849" s="36" t="s">
        <v>48</v>
      </c>
      <c r="R24849" s="36" t="s">
        <v>48</v>
      </c>
    </row>
    <row r="24850">
      <c r="H24850" s="50"/>
      <c r="I24850" s="50"/>
      <c r="O24850" s="36" t="s">
        <v>48</v>
      </c>
      <c r="R24850" s="36" t="s">
        <v>48</v>
      </c>
    </row>
    <row r="24851">
      <c r="H24851" s="50"/>
      <c r="I24851" s="50"/>
      <c r="O24851" s="36" t="s">
        <v>48</v>
      </c>
      <c r="R24851" s="36" t="s">
        <v>48</v>
      </c>
    </row>
    <row r="24852">
      <c r="H24852" s="50"/>
      <c r="I24852" s="50"/>
      <c r="O24852" s="36" t="s">
        <v>48</v>
      </c>
      <c r="R24852" s="36" t="s">
        <v>48</v>
      </c>
    </row>
    <row r="24853">
      <c r="H24853" s="50"/>
      <c r="I24853" s="50"/>
      <c r="O24853" s="36" t="s">
        <v>48</v>
      </c>
      <c r="R24853" s="36" t="s">
        <v>48</v>
      </c>
    </row>
    <row r="24854">
      <c r="H24854" s="50"/>
      <c r="I24854" s="50"/>
      <c r="O24854" s="36" t="s">
        <v>48</v>
      </c>
      <c r="R24854" s="36" t="s">
        <v>48</v>
      </c>
    </row>
    <row r="24855">
      <c r="H24855" s="50"/>
      <c r="I24855" s="50"/>
      <c r="O24855" s="36" t="s">
        <v>48</v>
      </c>
      <c r="R24855" s="36" t="s">
        <v>48</v>
      </c>
    </row>
    <row r="24856">
      <c r="H24856" s="50"/>
      <c r="I24856" s="50"/>
      <c r="O24856" s="36" t="s">
        <v>48</v>
      </c>
      <c r="R24856" s="36" t="s">
        <v>48</v>
      </c>
    </row>
    <row r="24857">
      <c r="H24857" s="50"/>
      <c r="I24857" s="50"/>
      <c r="O24857" s="36" t="s">
        <v>48</v>
      </c>
      <c r="R24857" s="36" t="s">
        <v>48</v>
      </c>
    </row>
    <row r="24858">
      <c r="H24858" s="50"/>
      <c r="I24858" s="50"/>
      <c r="O24858" s="36" t="s">
        <v>48</v>
      </c>
      <c r="R24858" s="36" t="s">
        <v>48</v>
      </c>
    </row>
    <row r="24859">
      <c r="H24859" s="50"/>
      <c r="I24859" s="50"/>
      <c r="O24859" s="36" t="s">
        <v>48</v>
      </c>
      <c r="R24859" s="36" t="s">
        <v>48</v>
      </c>
    </row>
    <row r="24860">
      <c r="H24860" s="50"/>
      <c r="I24860" s="50"/>
      <c r="O24860" s="36" t="s">
        <v>48</v>
      </c>
      <c r="R24860" s="36" t="s">
        <v>48</v>
      </c>
    </row>
    <row r="24861">
      <c r="H24861" s="50"/>
      <c r="I24861" s="50"/>
      <c r="O24861" s="36" t="s">
        <v>48</v>
      </c>
      <c r="R24861" s="36" t="s">
        <v>48</v>
      </c>
    </row>
    <row r="24862">
      <c r="H24862" s="50"/>
      <c r="I24862" s="50"/>
      <c r="O24862" s="36" t="s">
        <v>48</v>
      </c>
      <c r="R24862" s="36" t="s">
        <v>48</v>
      </c>
    </row>
    <row r="24863">
      <c r="H24863" s="50"/>
      <c r="I24863" s="50"/>
      <c r="O24863" s="36" t="s">
        <v>48</v>
      </c>
      <c r="R24863" s="36" t="s">
        <v>48</v>
      </c>
    </row>
    <row r="24864">
      <c r="H24864" s="50"/>
      <c r="I24864" s="50"/>
      <c r="O24864" s="36" t="s">
        <v>48</v>
      </c>
      <c r="R24864" s="36" t="s">
        <v>48</v>
      </c>
    </row>
    <row r="24865">
      <c r="H24865" s="50"/>
      <c r="I24865" s="50"/>
      <c r="O24865" s="36" t="s">
        <v>48</v>
      </c>
      <c r="R24865" s="36" t="s">
        <v>48</v>
      </c>
    </row>
    <row r="24866">
      <c r="H24866" s="50"/>
      <c r="I24866" s="50"/>
      <c r="O24866" s="36" t="s">
        <v>48</v>
      </c>
      <c r="R24866" s="36" t="s">
        <v>48</v>
      </c>
    </row>
    <row r="24867">
      <c r="H24867" s="50"/>
      <c r="I24867" s="50"/>
      <c r="O24867" s="36" t="s">
        <v>48</v>
      </c>
      <c r="R24867" s="36" t="s">
        <v>48</v>
      </c>
    </row>
    <row r="24868">
      <c r="H24868" s="50"/>
      <c r="I24868" s="50"/>
      <c r="O24868" s="36" t="s">
        <v>48</v>
      </c>
      <c r="R24868" s="36" t="s">
        <v>48</v>
      </c>
    </row>
    <row r="24869">
      <c r="H24869" s="50"/>
      <c r="I24869" s="50"/>
      <c r="O24869" s="36" t="s">
        <v>48</v>
      </c>
      <c r="R24869" s="36" t="s">
        <v>48</v>
      </c>
    </row>
    <row r="24870">
      <c r="H24870" s="50"/>
      <c r="I24870" s="50"/>
      <c r="O24870" s="36" t="s">
        <v>48</v>
      </c>
      <c r="R24870" s="36" t="s">
        <v>48</v>
      </c>
    </row>
    <row r="24871">
      <c r="H24871" s="50"/>
      <c r="I24871" s="50"/>
      <c r="O24871" s="36" t="s">
        <v>48</v>
      </c>
      <c r="R24871" s="36" t="s">
        <v>48</v>
      </c>
    </row>
    <row r="24872">
      <c r="H24872" s="50"/>
      <c r="I24872" s="50"/>
      <c r="O24872" s="36" t="s">
        <v>48</v>
      </c>
      <c r="R24872" s="36" t="s">
        <v>48</v>
      </c>
    </row>
    <row r="24873">
      <c r="H24873" s="50"/>
      <c r="I24873" s="50"/>
      <c r="O24873" s="36" t="s">
        <v>48</v>
      </c>
      <c r="R24873" s="36" t="s">
        <v>48</v>
      </c>
    </row>
    <row r="24874">
      <c r="H24874" s="50"/>
      <c r="I24874" s="50"/>
      <c r="O24874" s="36" t="s">
        <v>48</v>
      </c>
      <c r="R24874" s="36" t="s">
        <v>48</v>
      </c>
    </row>
    <row r="24875">
      <c r="H24875" s="50"/>
      <c r="I24875" s="50"/>
      <c r="O24875" s="36" t="s">
        <v>48</v>
      </c>
      <c r="R24875" s="36" t="s">
        <v>48</v>
      </c>
    </row>
    <row r="24876">
      <c r="H24876" s="50"/>
      <c r="I24876" s="50"/>
      <c r="O24876" s="36" t="s">
        <v>48</v>
      </c>
      <c r="R24876" s="36" t="s">
        <v>48</v>
      </c>
    </row>
    <row r="24877">
      <c r="H24877" s="50"/>
      <c r="I24877" s="50"/>
      <c r="O24877" s="36" t="s">
        <v>48</v>
      </c>
      <c r="R24877" s="36" t="s">
        <v>48</v>
      </c>
    </row>
    <row r="24878">
      <c r="H24878" s="50"/>
      <c r="I24878" s="50"/>
      <c r="O24878" s="36" t="s">
        <v>48</v>
      </c>
      <c r="R24878" s="36" t="s">
        <v>48</v>
      </c>
    </row>
    <row r="24879">
      <c r="H24879" s="50"/>
      <c r="I24879" s="50"/>
      <c r="O24879" s="36" t="s">
        <v>48</v>
      </c>
      <c r="R24879" s="36" t="s">
        <v>48</v>
      </c>
    </row>
    <row r="24880">
      <c r="H24880" s="50"/>
      <c r="I24880" s="50"/>
      <c r="O24880" s="36" t="s">
        <v>48</v>
      </c>
      <c r="R24880" s="36" t="s">
        <v>48</v>
      </c>
    </row>
    <row r="24881">
      <c r="H24881" s="50"/>
      <c r="I24881" s="50"/>
      <c r="O24881" s="36" t="s">
        <v>48</v>
      </c>
      <c r="R24881" s="36" t="s">
        <v>48</v>
      </c>
    </row>
    <row r="24882">
      <c r="H24882" s="50"/>
      <c r="I24882" s="50"/>
      <c r="O24882" s="36" t="s">
        <v>48</v>
      </c>
      <c r="R24882" s="36" t="s">
        <v>48</v>
      </c>
    </row>
    <row r="24883">
      <c r="H24883" s="50"/>
      <c r="I24883" s="50"/>
      <c r="O24883" s="36" t="s">
        <v>48</v>
      </c>
      <c r="R24883" s="36" t="s">
        <v>48</v>
      </c>
    </row>
    <row r="24884">
      <c r="H24884" s="50"/>
      <c r="I24884" s="50"/>
      <c r="O24884" s="36" t="s">
        <v>48</v>
      </c>
      <c r="R24884" s="36" t="s">
        <v>48</v>
      </c>
    </row>
    <row r="24885">
      <c r="H24885" s="50"/>
      <c r="I24885" s="50"/>
      <c r="O24885" s="36" t="s">
        <v>48</v>
      </c>
      <c r="R24885" s="36" t="s">
        <v>48</v>
      </c>
    </row>
    <row r="24886">
      <c r="H24886" s="50"/>
      <c r="I24886" s="50"/>
      <c r="O24886" s="36" t="s">
        <v>48</v>
      </c>
      <c r="R24886" s="36" t="s">
        <v>48</v>
      </c>
    </row>
    <row r="24887">
      <c r="H24887" s="50"/>
      <c r="I24887" s="50"/>
      <c r="O24887" s="36" t="s">
        <v>48</v>
      </c>
      <c r="R24887" s="36" t="s">
        <v>48</v>
      </c>
    </row>
    <row r="24888">
      <c r="H24888" s="50"/>
      <c r="I24888" s="50"/>
      <c r="O24888" s="36" t="s">
        <v>48</v>
      </c>
      <c r="R24888" s="36" t="s">
        <v>48</v>
      </c>
    </row>
    <row r="24889">
      <c r="H24889" s="50"/>
      <c r="I24889" s="50"/>
      <c r="O24889" s="36" t="s">
        <v>48</v>
      </c>
      <c r="R24889" s="36" t="s">
        <v>48</v>
      </c>
    </row>
    <row r="24890">
      <c r="H24890" s="50"/>
      <c r="I24890" s="50"/>
      <c r="O24890" s="36" t="s">
        <v>48</v>
      </c>
      <c r="R24890" s="36" t="s">
        <v>48</v>
      </c>
    </row>
    <row r="24891">
      <c r="H24891" s="50"/>
      <c r="I24891" s="50"/>
      <c r="O24891" s="36" t="s">
        <v>48</v>
      </c>
      <c r="R24891" s="36" t="s">
        <v>48</v>
      </c>
    </row>
    <row r="24892">
      <c r="H24892" s="50"/>
      <c r="I24892" s="50"/>
      <c r="O24892" s="36" t="s">
        <v>48</v>
      </c>
      <c r="R24892" s="36" t="s">
        <v>48</v>
      </c>
    </row>
    <row r="24893">
      <c r="H24893" s="50"/>
      <c r="I24893" s="50"/>
      <c r="O24893" s="36" t="s">
        <v>48</v>
      </c>
      <c r="R24893" s="36" t="s">
        <v>48</v>
      </c>
    </row>
    <row r="24894">
      <c r="H24894" s="50"/>
      <c r="I24894" s="50"/>
      <c r="O24894" s="36" t="s">
        <v>48</v>
      </c>
      <c r="R24894" s="36" t="s">
        <v>48</v>
      </c>
    </row>
    <row r="24895">
      <c r="H24895" s="50"/>
      <c r="I24895" s="50"/>
      <c r="O24895" s="36" t="s">
        <v>48</v>
      </c>
      <c r="R24895" s="36" t="s">
        <v>48</v>
      </c>
    </row>
    <row r="24896">
      <c r="H24896" s="50"/>
      <c r="I24896" s="50"/>
      <c r="O24896" s="36" t="s">
        <v>48</v>
      </c>
      <c r="R24896" s="36" t="s">
        <v>48</v>
      </c>
    </row>
    <row r="24897">
      <c r="H24897" s="50"/>
      <c r="I24897" s="50"/>
      <c r="O24897" s="36" t="s">
        <v>48</v>
      </c>
      <c r="R24897" s="36" t="s">
        <v>48</v>
      </c>
    </row>
    <row r="24898">
      <c r="H24898" s="50"/>
      <c r="I24898" s="50"/>
      <c r="O24898" s="36" t="s">
        <v>48</v>
      </c>
      <c r="R24898" s="36" t="s">
        <v>48</v>
      </c>
    </row>
    <row r="24899">
      <c r="H24899" s="50"/>
      <c r="I24899" s="50"/>
      <c r="O24899" s="36" t="s">
        <v>48</v>
      </c>
      <c r="R24899" s="36" t="s">
        <v>48</v>
      </c>
    </row>
    <row r="24900">
      <c r="H24900" s="50"/>
      <c r="I24900" s="50"/>
      <c r="O24900" s="36" t="s">
        <v>48</v>
      </c>
      <c r="R24900" s="36" t="s">
        <v>48</v>
      </c>
    </row>
    <row r="24901">
      <c r="H24901" s="50"/>
      <c r="I24901" s="50"/>
      <c r="O24901" s="36" t="s">
        <v>48</v>
      </c>
      <c r="R24901" s="36" t="s">
        <v>48</v>
      </c>
    </row>
    <row r="24902">
      <c r="H24902" s="50"/>
      <c r="I24902" s="50"/>
      <c r="O24902" s="36" t="s">
        <v>48</v>
      </c>
      <c r="R24902" s="36" t="s">
        <v>48</v>
      </c>
    </row>
    <row r="24903">
      <c r="H24903" s="50"/>
      <c r="I24903" s="50"/>
      <c r="O24903" s="36" t="s">
        <v>48</v>
      </c>
      <c r="R24903" s="36" t="s">
        <v>48</v>
      </c>
    </row>
    <row r="24904">
      <c r="H24904" s="50"/>
      <c r="I24904" s="50"/>
      <c r="O24904" s="36" t="s">
        <v>48</v>
      </c>
      <c r="R24904" s="36" t="s">
        <v>48</v>
      </c>
    </row>
    <row r="24905">
      <c r="H24905" s="50"/>
      <c r="I24905" s="50"/>
      <c r="O24905" s="36" t="s">
        <v>48</v>
      </c>
      <c r="R24905" s="36" t="s">
        <v>48</v>
      </c>
    </row>
    <row r="24906">
      <c r="H24906" s="50"/>
      <c r="I24906" s="50"/>
      <c r="O24906" s="36" t="s">
        <v>48</v>
      </c>
      <c r="R24906" s="36" t="s">
        <v>48</v>
      </c>
    </row>
    <row r="24907">
      <c r="H24907" s="50"/>
      <c r="I24907" s="50"/>
      <c r="O24907" s="36" t="s">
        <v>48</v>
      </c>
      <c r="R24907" s="36" t="s">
        <v>48</v>
      </c>
    </row>
    <row r="24908">
      <c r="H24908" s="50"/>
      <c r="I24908" s="50"/>
      <c r="O24908" s="36" t="s">
        <v>48</v>
      </c>
      <c r="R24908" s="36" t="s">
        <v>48</v>
      </c>
    </row>
    <row r="24909">
      <c r="H24909" s="50"/>
      <c r="I24909" s="50"/>
      <c r="O24909" s="36" t="s">
        <v>48</v>
      </c>
      <c r="R24909" s="36" t="s">
        <v>48</v>
      </c>
    </row>
    <row r="24910">
      <c r="H24910" s="50"/>
      <c r="I24910" s="50"/>
      <c r="O24910" s="36" t="s">
        <v>48</v>
      </c>
      <c r="R24910" s="36" t="s">
        <v>48</v>
      </c>
    </row>
    <row r="24911">
      <c r="H24911" s="50"/>
      <c r="I24911" s="50"/>
      <c r="O24911" s="36" t="s">
        <v>48</v>
      </c>
      <c r="R24911" s="36" t="s">
        <v>48</v>
      </c>
    </row>
    <row r="24912">
      <c r="H24912" s="50"/>
      <c r="I24912" s="50"/>
      <c r="O24912" s="36" t="s">
        <v>48</v>
      </c>
      <c r="R24912" s="36" t="s">
        <v>48</v>
      </c>
    </row>
    <row r="24913">
      <c r="H24913" s="50"/>
      <c r="I24913" s="50"/>
      <c r="O24913" s="36" t="s">
        <v>48</v>
      </c>
      <c r="R24913" s="36" t="s">
        <v>48</v>
      </c>
    </row>
    <row r="24914">
      <c r="H24914" s="50"/>
      <c r="I24914" s="50"/>
      <c r="O24914" s="36" t="s">
        <v>48</v>
      </c>
      <c r="R24914" s="36" t="s">
        <v>48</v>
      </c>
    </row>
    <row r="24915">
      <c r="H24915" s="50"/>
      <c r="I24915" s="50"/>
      <c r="O24915" s="36" t="s">
        <v>48</v>
      </c>
      <c r="R24915" s="36" t="s">
        <v>48</v>
      </c>
    </row>
    <row r="24916">
      <c r="H24916" s="50"/>
      <c r="I24916" s="50"/>
      <c r="O24916" s="36" t="s">
        <v>48</v>
      </c>
      <c r="R24916" s="36" t="s">
        <v>48</v>
      </c>
    </row>
    <row r="24917">
      <c r="H24917" s="50"/>
      <c r="I24917" s="50"/>
      <c r="O24917" s="36" t="s">
        <v>48</v>
      </c>
      <c r="R24917" s="36" t="s">
        <v>48</v>
      </c>
    </row>
    <row r="24918">
      <c r="H24918" s="50"/>
      <c r="I24918" s="50"/>
      <c r="O24918" s="36" t="s">
        <v>48</v>
      </c>
      <c r="R24918" s="36" t="s">
        <v>48</v>
      </c>
    </row>
    <row r="24919">
      <c r="H24919" s="50"/>
      <c r="I24919" s="50"/>
      <c r="O24919" s="36" t="s">
        <v>48</v>
      </c>
      <c r="R24919" s="36" t="s">
        <v>48</v>
      </c>
    </row>
    <row r="24920">
      <c r="H24920" s="50"/>
      <c r="I24920" s="50"/>
      <c r="O24920" s="36" t="s">
        <v>48</v>
      </c>
      <c r="R24920" s="36" t="s">
        <v>48</v>
      </c>
    </row>
    <row r="24921">
      <c r="H24921" s="50"/>
      <c r="I24921" s="50"/>
      <c r="O24921" s="36" t="s">
        <v>48</v>
      </c>
      <c r="R24921" s="36" t="s">
        <v>48</v>
      </c>
    </row>
    <row r="24922">
      <c r="H24922" s="50"/>
      <c r="I24922" s="50"/>
      <c r="O24922" s="36" t="s">
        <v>48</v>
      </c>
      <c r="R24922" s="36" t="s">
        <v>48</v>
      </c>
    </row>
    <row r="24923">
      <c r="H24923" s="50"/>
      <c r="I24923" s="50"/>
      <c r="O24923" s="36" t="s">
        <v>48</v>
      </c>
      <c r="R24923" s="36" t="s">
        <v>48</v>
      </c>
    </row>
    <row r="24924">
      <c r="H24924" s="50"/>
      <c r="I24924" s="50"/>
      <c r="O24924" s="36" t="s">
        <v>48</v>
      </c>
      <c r="R24924" s="36" t="s">
        <v>48</v>
      </c>
    </row>
    <row r="24925">
      <c r="H24925" s="50"/>
      <c r="I24925" s="50"/>
      <c r="O24925" s="36" t="s">
        <v>48</v>
      </c>
      <c r="R24925" s="36" t="s">
        <v>48</v>
      </c>
    </row>
    <row r="24926">
      <c r="H24926" s="50"/>
      <c r="I24926" s="50"/>
      <c r="O24926" s="36" t="s">
        <v>48</v>
      </c>
      <c r="R24926" s="36" t="s">
        <v>48</v>
      </c>
    </row>
    <row r="24927">
      <c r="H24927" s="50"/>
      <c r="I24927" s="50"/>
      <c r="O24927" s="36" t="s">
        <v>48</v>
      </c>
      <c r="R24927" s="36" t="s">
        <v>48</v>
      </c>
    </row>
    <row r="24928">
      <c r="H24928" s="50"/>
      <c r="I24928" s="50"/>
      <c r="O24928" s="36" t="s">
        <v>48</v>
      </c>
      <c r="R24928" s="36" t="s">
        <v>48</v>
      </c>
    </row>
    <row r="24929">
      <c r="H24929" s="50"/>
      <c r="I24929" s="50"/>
      <c r="O24929" s="36" t="s">
        <v>48</v>
      </c>
      <c r="R24929" s="36" t="s">
        <v>48</v>
      </c>
    </row>
    <row r="24930">
      <c r="H24930" s="50"/>
      <c r="I24930" s="50"/>
      <c r="O24930" s="36" t="s">
        <v>48</v>
      </c>
      <c r="R24930" s="36" t="s">
        <v>48</v>
      </c>
    </row>
    <row r="24931">
      <c r="H24931" s="50"/>
      <c r="I24931" s="50"/>
      <c r="O24931" s="36" t="s">
        <v>48</v>
      </c>
      <c r="R24931" s="36" t="s">
        <v>48</v>
      </c>
    </row>
    <row r="24932">
      <c r="H24932" s="50"/>
      <c r="I24932" s="50"/>
      <c r="O24932" s="36" t="s">
        <v>48</v>
      </c>
      <c r="R24932" s="36" t="s">
        <v>48</v>
      </c>
    </row>
    <row r="24933">
      <c r="H24933" s="50"/>
      <c r="I24933" s="50"/>
      <c r="O24933" s="36" t="s">
        <v>48</v>
      </c>
      <c r="R24933" s="36" t="s">
        <v>48</v>
      </c>
    </row>
    <row r="24934">
      <c r="H24934" s="50"/>
      <c r="I24934" s="50"/>
      <c r="O24934" s="36" t="s">
        <v>48</v>
      </c>
      <c r="R24934" s="36" t="s">
        <v>48</v>
      </c>
    </row>
    <row r="24935">
      <c r="H24935" s="50"/>
      <c r="I24935" s="50"/>
      <c r="O24935" s="36" t="s">
        <v>48</v>
      </c>
      <c r="R24935" s="36" t="s">
        <v>48</v>
      </c>
    </row>
    <row r="24936">
      <c r="H24936" s="50"/>
      <c r="I24936" s="50"/>
      <c r="O24936" s="36" t="s">
        <v>48</v>
      </c>
      <c r="R24936" s="36" t="s">
        <v>48</v>
      </c>
    </row>
    <row r="24937">
      <c r="H24937" s="50"/>
      <c r="I24937" s="50"/>
      <c r="O24937" s="36" t="s">
        <v>48</v>
      </c>
      <c r="R24937" s="36" t="s">
        <v>48</v>
      </c>
    </row>
    <row r="24938">
      <c r="H24938" s="50"/>
      <c r="I24938" s="50"/>
      <c r="O24938" s="36" t="s">
        <v>48</v>
      </c>
      <c r="R24938" s="36" t="s">
        <v>48</v>
      </c>
    </row>
    <row r="24939">
      <c r="H24939" s="50"/>
      <c r="I24939" s="50"/>
      <c r="O24939" s="36" t="s">
        <v>48</v>
      </c>
      <c r="R24939" s="36" t="s">
        <v>48</v>
      </c>
    </row>
    <row r="24940">
      <c r="H24940" s="50"/>
      <c r="I24940" s="50"/>
      <c r="O24940" s="36" t="s">
        <v>48</v>
      </c>
      <c r="R24940" s="36" t="s">
        <v>48</v>
      </c>
    </row>
    <row r="24941">
      <c r="H24941" s="50"/>
      <c r="I24941" s="50"/>
      <c r="O24941" s="36" t="s">
        <v>48</v>
      </c>
      <c r="R24941" s="36" t="s">
        <v>48</v>
      </c>
    </row>
    <row r="24942">
      <c r="H24942" s="50"/>
      <c r="I24942" s="50"/>
      <c r="O24942" s="36" t="s">
        <v>48</v>
      </c>
      <c r="R24942" s="36" t="s">
        <v>48</v>
      </c>
    </row>
    <row r="24943">
      <c r="H24943" s="50"/>
      <c r="I24943" s="50"/>
      <c r="O24943" s="36" t="s">
        <v>48</v>
      </c>
      <c r="R24943" s="36" t="s">
        <v>48</v>
      </c>
    </row>
    <row r="24944">
      <c r="H24944" s="50"/>
      <c r="I24944" s="50"/>
      <c r="O24944" s="36" t="s">
        <v>48</v>
      </c>
      <c r="R24944" s="36" t="s">
        <v>48</v>
      </c>
    </row>
    <row r="24945">
      <c r="H24945" s="50"/>
      <c r="I24945" s="50"/>
      <c r="O24945" s="36" t="s">
        <v>48</v>
      </c>
      <c r="R24945" s="36" t="s">
        <v>48</v>
      </c>
    </row>
    <row r="24946">
      <c r="H24946" s="50"/>
      <c r="I24946" s="50"/>
      <c r="O24946" s="36" t="s">
        <v>48</v>
      </c>
      <c r="R24946" s="36" t="s">
        <v>48</v>
      </c>
    </row>
    <row r="24947">
      <c r="H24947" s="50"/>
      <c r="I24947" s="50"/>
      <c r="O24947" s="36" t="s">
        <v>48</v>
      </c>
      <c r="R24947" s="36" t="s">
        <v>48</v>
      </c>
    </row>
    <row r="24948">
      <c r="H24948" s="50"/>
      <c r="I24948" s="50"/>
      <c r="O24948" s="36" t="s">
        <v>48</v>
      </c>
      <c r="R24948" s="36" t="s">
        <v>48</v>
      </c>
    </row>
    <row r="24949">
      <c r="H24949" s="50"/>
      <c r="I24949" s="50"/>
      <c r="O24949" s="36" t="s">
        <v>48</v>
      </c>
      <c r="R24949" s="36" t="s">
        <v>48</v>
      </c>
    </row>
    <row r="24950">
      <c r="H24950" s="50"/>
      <c r="I24950" s="50"/>
      <c r="O24950" s="36" t="s">
        <v>48</v>
      </c>
      <c r="R24950" s="36" t="s">
        <v>48</v>
      </c>
    </row>
    <row r="24951">
      <c r="H24951" s="50"/>
      <c r="I24951" s="50"/>
      <c r="O24951" s="36" t="s">
        <v>48</v>
      </c>
      <c r="R24951" s="36" t="s">
        <v>48</v>
      </c>
    </row>
    <row r="24952">
      <c r="H24952" s="50"/>
      <c r="I24952" s="50"/>
      <c r="O24952" s="36" t="s">
        <v>48</v>
      </c>
      <c r="R24952" s="36" t="s">
        <v>48</v>
      </c>
    </row>
    <row r="24953">
      <c r="H24953" s="50"/>
      <c r="I24953" s="50"/>
      <c r="O24953" s="36" t="s">
        <v>48</v>
      </c>
      <c r="R24953" s="36" t="s">
        <v>48</v>
      </c>
    </row>
    <row r="24954">
      <c r="H24954" s="50"/>
      <c r="I24954" s="50"/>
      <c r="O24954" s="36" t="s">
        <v>48</v>
      </c>
      <c r="R24954" s="36" t="s">
        <v>48</v>
      </c>
    </row>
    <row r="24955">
      <c r="H24955" s="50"/>
      <c r="I24955" s="50"/>
      <c r="O24955" s="36" t="s">
        <v>48</v>
      </c>
      <c r="R24955" s="36" t="s">
        <v>48</v>
      </c>
    </row>
    <row r="24956">
      <c r="H24956" s="50"/>
      <c r="I24956" s="50"/>
      <c r="O24956" s="36" t="s">
        <v>48</v>
      </c>
      <c r="R24956" s="36" t="s">
        <v>48</v>
      </c>
    </row>
    <row r="24957">
      <c r="H24957" s="50"/>
      <c r="I24957" s="50"/>
      <c r="O24957" s="36" t="s">
        <v>48</v>
      </c>
      <c r="R24957" s="36" t="s">
        <v>48</v>
      </c>
    </row>
    <row r="24958">
      <c r="H24958" s="50"/>
      <c r="I24958" s="50"/>
      <c r="O24958" s="36" t="s">
        <v>48</v>
      </c>
      <c r="R24958" s="36" t="s">
        <v>48</v>
      </c>
    </row>
    <row r="24959">
      <c r="H24959" s="50"/>
      <c r="I24959" s="50"/>
      <c r="O24959" s="36" t="s">
        <v>48</v>
      </c>
      <c r="R24959" s="36" t="s">
        <v>48</v>
      </c>
    </row>
    <row r="24960">
      <c r="H24960" s="50"/>
      <c r="I24960" s="50"/>
      <c r="O24960" s="36" t="s">
        <v>48</v>
      </c>
      <c r="R24960" s="36" t="s">
        <v>48</v>
      </c>
    </row>
    <row r="24961">
      <c r="H24961" s="50"/>
      <c r="I24961" s="50"/>
      <c r="O24961" s="36" t="s">
        <v>48</v>
      </c>
      <c r="R24961" s="36" t="s">
        <v>48</v>
      </c>
    </row>
    <row r="24962">
      <c r="H24962" s="50"/>
      <c r="I24962" s="50"/>
      <c r="O24962" s="36" t="s">
        <v>48</v>
      </c>
      <c r="R24962" s="36" t="s">
        <v>48</v>
      </c>
    </row>
    <row r="24963">
      <c r="H24963" s="50"/>
      <c r="I24963" s="50"/>
      <c r="O24963" s="36" t="s">
        <v>48</v>
      </c>
      <c r="R24963" s="36" t="s">
        <v>48</v>
      </c>
    </row>
    <row r="24964">
      <c r="H24964" s="50"/>
      <c r="I24964" s="50"/>
      <c r="O24964" s="36" t="s">
        <v>48</v>
      </c>
      <c r="R24964" s="36" t="s">
        <v>48</v>
      </c>
    </row>
    <row r="24965">
      <c r="H24965" s="50"/>
      <c r="I24965" s="50"/>
      <c r="O24965" s="36" t="s">
        <v>48</v>
      </c>
      <c r="R24965" s="36" t="s">
        <v>48</v>
      </c>
    </row>
    <row r="24966">
      <c r="H24966" s="50"/>
      <c r="I24966" s="50"/>
      <c r="O24966" s="36" t="s">
        <v>48</v>
      </c>
      <c r="R24966" s="36" t="s">
        <v>48</v>
      </c>
    </row>
    <row r="24967">
      <c r="H24967" s="50"/>
      <c r="I24967" s="50"/>
      <c r="O24967" s="36" t="s">
        <v>48</v>
      </c>
      <c r="R24967" s="36" t="s">
        <v>48</v>
      </c>
    </row>
    <row r="24968">
      <c r="H24968" s="50"/>
      <c r="I24968" s="50"/>
      <c r="O24968" s="36" t="s">
        <v>48</v>
      </c>
      <c r="R24968" s="36" t="s">
        <v>48</v>
      </c>
    </row>
    <row r="24969">
      <c r="H24969" s="50"/>
      <c r="I24969" s="50"/>
      <c r="O24969" s="36" t="s">
        <v>48</v>
      </c>
      <c r="R24969" s="36" t="s">
        <v>48</v>
      </c>
    </row>
    <row r="24970">
      <c r="H24970" s="50"/>
      <c r="I24970" s="50"/>
      <c r="O24970" s="36" t="s">
        <v>48</v>
      </c>
      <c r="R24970" s="36" t="s">
        <v>48</v>
      </c>
    </row>
    <row r="24971">
      <c r="H24971" s="50"/>
      <c r="I24971" s="50"/>
      <c r="O24971" s="36" t="s">
        <v>48</v>
      </c>
      <c r="R24971" s="36" t="s">
        <v>48</v>
      </c>
    </row>
    <row r="24972">
      <c r="H24972" s="50"/>
      <c r="I24972" s="50"/>
      <c r="O24972" s="36" t="s">
        <v>48</v>
      </c>
      <c r="R24972" s="36" t="s">
        <v>48</v>
      </c>
    </row>
    <row r="24973">
      <c r="H24973" s="50"/>
      <c r="I24973" s="50"/>
      <c r="O24973" s="36" t="s">
        <v>48</v>
      </c>
      <c r="R24973" s="36" t="s">
        <v>48</v>
      </c>
    </row>
    <row r="24974">
      <c r="H24974" s="50"/>
      <c r="I24974" s="50"/>
      <c r="O24974" s="36" t="s">
        <v>48</v>
      </c>
      <c r="R24974" s="36" t="s">
        <v>48</v>
      </c>
    </row>
    <row r="24975">
      <c r="H24975" s="50"/>
      <c r="I24975" s="50"/>
      <c r="O24975" s="36" t="s">
        <v>48</v>
      </c>
      <c r="R24975" s="36" t="s">
        <v>48</v>
      </c>
    </row>
    <row r="24976">
      <c r="H24976" s="50"/>
      <c r="I24976" s="50"/>
      <c r="O24976" s="36" t="s">
        <v>48</v>
      </c>
      <c r="R24976" s="36" t="s">
        <v>48</v>
      </c>
    </row>
    <row r="24977">
      <c r="H24977" s="50"/>
      <c r="I24977" s="50"/>
      <c r="O24977" s="36" t="s">
        <v>48</v>
      </c>
      <c r="R24977" s="36" t="s">
        <v>48</v>
      </c>
    </row>
    <row r="24978">
      <c r="H24978" s="50"/>
      <c r="I24978" s="50"/>
      <c r="O24978" s="36" t="s">
        <v>48</v>
      </c>
      <c r="R24978" s="36" t="s">
        <v>48</v>
      </c>
    </row>
    <row r="24979">
      <c r="H24979" s="50"/>
      <c r="I24979" s="50"/>
      <c r="O24979" s="36" t="s">
        <v>48</v>
      </c>
      <c r="R24979" s="36" t="s">
        <v>48</v>
      </c>
    </row>
    <row r="24980">
      <c r="H24980" s="50"/>
      <c r="I24980" s="50"/>
      <c r="O24980" s="36" t="s">
        <v>48</v>
      </c>
      <c r="R24980" s="36" t="s">
        <v>48</v>
      </c>
    </row>
    <row r="24981">
      <c r="H24981" s="50"/>
      <c r="I24981" s="50"/>
      <c r="O24981" s="36" t="s">
        <v>48</v>
      </c>
      <c r="R24981" s="36" t="s">
        <v>48</v>
      </c>
    </row>
    <row r="24982">
      <c r="H24982" s="50"/>
      <c r="I24982" s="50"/>
      <c r="O24982" s="36" t="s">
        <v>48</v>
      </c>
      <c r="R24982" s="36" t="s">
        <v>48</v>
      </c>
    </row>
    <row r="24983">
      <c r="H24983" s="50"/>
      <c r="I24983" s="50"/>
      <c r="O24983" s="36" t="s">
        <v>48</v>
      </c>
      <c r="R24983" s="36" t="s">
        <v>48</v>
      </c>
    </row>
    <row r="24984">
      <c r="H24984" s="50"/>
      <c r="I24984" s="50"/>
      <c r="O24984" s="36" t="s">
        <v>48</v>
      </c>
      <c r="R24984" s="36" t="s">
        <v>48</v>
      </c>
    </row>
    <row r="24985">
      <c r="H24985" s="50"/>
      <c r="I24985" s="50"/>
      <c r="O24985" s="36" t="s">
        <v>48</v>
      </c>
      <c r="R24985" s="36" t="s">
        <v>48</v>
      </c>
    </row>
    <row r="24986">
      <c r="H24986" s="50"/>
      <c r="I24986" s="50"/>
      <c r="O24986" s="36" t="s">
        <v>48</v>
      </c>
      <c r="R24986" s="36" t="s">
        <v>48</v>
      </c>
    </row>
    <row r="24987">
      <c r="H24987" s="50"/>
      <c r="I24987" s="50"/>
      <c r="O24987" s="36" t="s">
        <v>48</v>
      </c>
      <c r="R24987" s="36" t="s">
        <v>48</v>
      </c>
    </row>
    <row r="24988">
      <c r="H24988" s="50"/>
      <c r="I24988" s="50"/>
      <c r="O24988" s="36" t="s">
        <v>48</v>
      </c>
      <c r="R24988" s="36" t="s">
        <v>48</v>
      </c>
    </row>
    <row r="24989">
      <c r="H24989" s="50"/>
      <c r="I24989" s="50"/>
      <c r="O24989" s="36" t="s">
        <v>48</v>
      </c>
      <c r="R24989" s="36" t="s">
        <v>48</v>
      </c>
    </row>
    <row r="24990">
      <c r="H24990" s="50"/>
      <c r="I24990" s="50"/>
      <c r="O24990" s="36" t="s">
        <v>48</v>
      </c>
      <c r="R24990" s="36" t="s">
        <v>48</v>
      </c>
    </row>
    <row r="24991">
      <c r="H24991" s="50"/>
      <c r="I24991" s="50"/>
      <c r="O24991" s="36" t="s">
        <v>48</v>
      </c>
      <c r="R24991" s="36" t="s">
        <v>48</v>
      </c>
    </row>
    <row r="24992">
      <c r="H24992" s="50"/>
      <c r="I24992" s="50"/>
      <c r="O24992" s="36" t="s">
        <v>48</v>
      </c>
      <c r="R24992" s="36" t="s">
        <v>48</v>
      </c>
    </row>
    <row r="24993">
      <c r="H24993" s="50"/>
      <c r="I24993" s="50"/>
      <c r="O24993" s="36" t="s">
        <v>48</v>
      </c>
      <c r="R24993" s="36" t="s">
        <v>48</v>
      </c>
    </row>
    <row r="24994">
      <c r="H24994" s="50"/>
      <c r="I24994" s="50"/>
      <c r="O24994" s="36" t="s">
        <v>48</v>
      </c>
      <c r="R24994" s="36" t="s">
        <v>48</v>
      </c>
    </row>
    <row r="24995">
      <c r="H24995" s="50"/>
      <c r="I24995" s="50"/>
      <c r="O24995" s="36" t="s">
        <v>48</v>
      </c>
      <c r="R24995" s="36" t="s">
        <v>48</v>
      </c>
    </row>
    <row r="24996">
      <c r="H24996" s="50"/>
      <c r="I24996" s="50"/>
      <c r="O24996" s="36" t="s">
        <v>48</v>
      </c>
      <c r="R24996" s="36" t="s">
        <v>48</v>
      </c>
    </row>
    <row r="24997">
      <c r="H24997" s="50"/>
      <c r="I24997" s="50"/>
      <c r="O24997" s="36" t="s">
        <v>48</v>
      </c>
      <c r="R24997" s="36" t="s">
        <v>48</v>
      </c>
    </row>
    <row r="24998">
      <c r="H24998" s="50"/>
      <c r="I24998" s="50"/>
      <c r="O24998" s="36" t="s">
        <v>48</v>
      </c>
      <c r="R24998" s="36" t="s">
        <v>48</v>
      </c>
    </row>
    <row r="24999">
      <c r="H24999" s="50"/>
      <c r="I24999" s="50"/>
      <c r="O24999" s="36" t="s">
        <v>48</v>
      </c>
      <c r="R24999" s="36" t="s">
        <v>48</v>
      </c>
    </row>
    <row r="25000">
      <c r="H25000" s="50"/>
      <c r="I25000" s="50"/>
      <c r="O25000" s="36" t="s">
        <v>48</v>
      </c>
      <c r="R25000" s="36" t="s">
        <v>48</v>
      </c>
    </row>
    <row r="25001">
      <c r="H25001" s="50"/>
      <c r="I25001" s="50"/>
      <c r="O25001" s="36" t="s">
        <v>48</v>
      </c>
      <c r="R25001" s="36" t="s">
        <v>48</v>
      </c>
    </row>
    <row r="25002">
      <c r="H25002" s="50"/>
      <c r="I25002" s="50"/>
      <c r="O25002" s="36" t="s">
        <v>48</v>
      </c>
      <c r="R25002" s="36" t="s">
        <v>48</v>
      </c>
    </row>
    <row r="25003">
      <c r="H25003" s="50"/>
      <c r="I25003" s="50"/>
      <c r="O25003" s="36" t="s">
        <v>48</v>
      </c>
      <c r="R25003" s="36" t="s">
        <v>48</v>
      </c>
    </row>
    <row r="25004">
      <c r="H25004" s="50"/>
      <c r="I25004" s="50"/>
      <c r="O25004" s="36" t="s">
        <v>48</v>
      </c>
      <c r="R25004" s="36" t="s">
        <v>48</v>
      </c>
    </row>
    <row r="25005">
      <c r="H25005" s="50"/>
      <c r="I25005" s="50"/>
      <c r="O25005" s="36" t="s">
        <v>48</v>
      </c>
      <c r="R25005" s="36" t="s">
        <v>48</v>
      </c>
    </row>
    <row r="25006">
      <c r="H25006" s="50"/>
      <c r="I25006" s="50"/>
      <c r="O25006" s="36" t="s">
        <v>48</v>
      </c>
      <c r="R25006" s="36" t="s">
        <v>48</v>
      </c>
    </row>
    <row r="25007">
      <c r="H25007" s="50"/>
      <c r="I25007" s="50"/>
      <c r="O25007" s="36" t="s">
        <v>48</v>
      </c>
      <c r="R25007" s="36" t="s">
        <v>48</v>
      </c>
    </row>
    <row r="25008">
      <c r="H25008" s="50"/>
      <c r="I25008" s="50"/>
      <c r="O25008" s="36" t="s">
        <v>48</v>
      </c>
      <c r="R25008" s="36" t="s">
        <v>48</v>
      </c>
    </row>
    <row r="25009">
      <c r="H25009" s="50"/>
      <c r="I25009" s="50"/>
      <c r="O25009" s="36" t="s">
        <v>48</v>
      </c>
      <c r="R25009" s="36" t="s">
        <v>48</v>
      </c>
    </row>
    <row r="25010">
      <c r="H25010" s="50"/>
      <c r="I25010" s="50"/>
      <c r="O25010" s="36" t="s">
        <v>48</v>
      </c>
      <c r="R25010" s="36" t="s">
        <v>48</v>
      </c>
    </row>
    <row r="25011">
      <c r="H25011" s="50"/>
      <c r="I25011" s="50"/>
      <c r="O25011" s="36" t="s">
        <v>48</v>
      </c>
      <c r="R25011" s="36" t="s">
        <v>48</v>
      </c>
    </row>
    <row r="25012">
      <c r="H25012" s="50"/>
      <c r="I25012" s="50"/>
      <c r="O25012" s="36" t="s">
        <v>48</v>
      </c>
      <c r="R25012" s="36" t="s">
        <v>48</v>
      </c>
    </row>
    <row r="25013">
      <c r="H25013" s="50"/>
      <c r="I25013" s="50"/>
      <c r="O25013" s="36" t="s">
        <v>48</v>
      </c>
      <c r="R25013" s="36" t="s">
        <v>48</v>
      </c>
    </row>
    <row r="25014">
      <c r="H25014" s="50"/>
      <c r="I25014" s="50"/>
      <c r="O25014" s="36" t="s">
        <v>48</v>
      </c>
      <c r="R25014" s="36" t="s">
        <v>48</v>
      </c>
    </row>
    <row r="25015">
      <c r="H25015" s="50"/>
      <c r="I25015" s="50"/>
      <c r="O25015" s="36" t="s">
        <v>48</v>
      </c>
      <c r="R25015" s="36" t="s">
        <v>48</v>
      </c>
    </row>
    <row r="25016">
      <c r="H25016" s="50"/>
      <c r="I25016" s="50"/>
      <c r="O25016" s="36" t="s">
        <v>48</v>
      </c>
      <c r="R25016" s="36" t="s">
        <v>48</v>
      </c>
    </row>
    <row r="25017">
      <c r="H25017" s="50"/>
      <c r="I25017" s="50"/>
      <c r="O25017" s="36" t="s">
        <v>48</v>
      </c>
      <c r="R25017" s="36" t="s">
        <v>48</v>
      </c>
    </row>
    <row r="25018">
      <c r="H25018" s="50"/>
      <c r="I25018" s="50"/>
      <c r="O25018" s="36" t="s">
        <v>48</v>
      </c>
      <c r="R25018" s="36" t="s">
        <v>48</v>
      </c>
    </row>
    <row r="25019">
      <c r="H25019" s="50"/>
      <c r="I25019" s="50"/>
      <c r="O25019" s="36" t="s">
        <v>48</v>
      </c>
      <c r="R25019" s="36" t="s">
        <v>48</v>
      </c>
    </row>
    <row r="25020">
      <c r="H25020" s="50"/>
      <c r="I25020" s="50"/>
      <c r="O25020" s="36" t="s">
        <v>48</v>
      </c>
      <c r="R25020" s="36" t="s">
        <v>48</v>
      </c>
    </row>
    <row r="25021">
      <c r="H25021" s="50"/>
      <c r="I25021" s="50"/>
      <c r="O25021" s="36" t="s">
        <v>48</v>
      </c>
      <c r="R25021" s="36" t="s">
        <v>48</v>
      </c>
    </row>
    <row r="25022">
      <c r="H25022" s="50"/>
      <c r="I25022" s="50"/>
      <c r="O25022" s="36" t="s">
        <v>48</v>
      </c>
      <c r="R25022" s="36" t="s">
        <v>48</v>
      </c>
    </row>
    <row r="25023">
      <c r="H25023" s="50"/>
      <c r="I25023" s="50"/>
      <c r="O25023" s="36" t="s">
        <v>48</v>
      </c>
      <c r="R25023" s="36" t="s">
        <v>48</v>
      </c>
    </row>
    <row r="25024">
      <c r="H25024" s="50"/>
      <c r="I25024" s="50"/>
      <c r="O25024" s="36" t="s">
        <v>48</v>
      </c>
      <c r="R25024" s="36" t="s">
        <v>48</v>
      </c>
    </row>
    <row r="25025">
      <c r="H25025" s="50"/>
      <c r="I25025" s="50"/>
      <c r="O25025" s="36" t="s">
        <v>48</v>
      </c>
      <c r="R25025" s="36" t="s">
        <v>48</v>
      </c>
    </row>
    <row r="25026">
      <c r="H25026" s="50"/>
      <c r="I25026" s="50"/>
      <c r="O25026" s="36" t="s">
        <v>48</v>
      </c>
      <c r="R25026" s="36" t="s">
        <v>48</v>
      </c>
    </row>
    <row r="25027">
      <c r="H25027" s="50"/>
      <c r="I25027" s="50"/>
      <c r="O25027" s="36" t="s">
        <v>48</v>
      </c>
      <c r="R25027" s="36" t="s">
        <v>48</v>
      </c>
    </row>
    <row r="25028">
      <c r="H25028" s="50"/>
      <c r="I25028" s="50"/>
      <c r="O25028" s="36" t="s">
        <v>48</v>
      </c>
      <c r="R25028" s="36" t="s">
        <v>48</v>
      </c>
    </row>
    <row r="25029">
      <c r="H25029" s="50"/>
      <c r="I25029" s="50"/>
      <c r="O25029" s="36" t="s">
        <v>48</v>
      </c>
      <c r="R25029" s="36" t="s">
        <v>48</v>
      </c>
    </row>
    <row r="25030">
      <c r="H25030" s="50"/>
      <c r="I25030" s="50"/>
      <c r="O25030" s="36" t="s">
        <v>48</v>
      </c>
      <c r="R25030" s="36" t="s">
        <v>48</v>
      </c>
    </row>
    <row r="25031">
      <c r="H25031" s="50"/>
      <c r="I25031" s="50"/>
      <c r="O25031" s="36" t="s">
        <v>48</v>
      </c>
      <c r="R25031" s="36" t="s">
        <v>48</v>
      </c>
    </row>
    <row r="25032">
      <c r="H25032" s="50"/>
      <c r="I25032" s="50"/>
      <c r="O25032" s="36" t="s">
        <v>48</v>
      </c>
      <c r="R25032" s="36" t="s">
        <v>48</v>
      </c>
    </row>
    <row r="25033">
      <c r="H25033" s="50"/>
      <c r="I25033" s="50"/>
      <c r="O25033" s="36" t="s">
        <v>48</v>
      </c>
      <c r="R25033" s="36" t="s">
        <v>48</v>
      </c>
    </row>
    <row r="25034">
      <c r="H25034" s="50"/>
      <c r="I25034" s="50"/>
      <c r="O25034" s="36" t="s">
        <v>48</v>
      </c>
      <c r="R25034" s="36" t="s">
        <v>48</v>
      </c>
    </row>
    <row r="25035">
      <c r="H25035" s="50"/>
      <c r="I25035" s="50"/>
      <c r="O25035" s="36" t="s">
        <v>48</v>
      </c>
      <c r="R25035" s="36" t="s">
        <v>48</v>
      </c>
    </row>
    <row r="25036">
      <c r="H25036" s="50"/>
      <c r="I25036" s="50"/>
      <c r="O25036" s="36" t="s">
        <v>48</v>
      </c>
      <c r="R25036" s="36" t="s">
        <v>48</v>
      </c>
    </row>
    <row r="25037">
      <c r="H25037" s="50"/>
      <c r="I25037" s="50"/>
      <c r="O25037" s="36" t="s">
        <v>48</v>
      </c>
      <c r="R25037" s="36" t="s">
        <v>48</v>
      </c>
    </row>
    <row r="25038">
      <c r="H25038" s="50"/>
      <c r="I25038" s="50"/>
      <c r="O25038" s="36" t="s">
        <v>48</v>
      </c>
      <c r="R25038" s="36" t="s">
        <v>48</v>
      </c>
    </row>
    <row r="25039">
      <c r="H25039" s="50"/>
      <c r="I25039" s="50"/>
      <c r="O25039" s="36" t="s">
        <v>48</v>
      </c>
      <c r="R25039" s="36" t="s">
        <v>48</v>
      </c>
    </row>
    <row r="25040">
      <c r="H25040" s="50"/>
      <c r="I25040" s="50"/>
      <c r="O25040" s="36" t="s">
        <v>48</v>
      </c>
      <c r="R25040" s="36" t="s">
        <v>48</v>
      </c>
    </row>
    <row r="25041">
      <c r="H25041" s="50"/>
      <c r="I25041" s="50"/>
      <c r="O25041" s="36" t="s">
        <v>48</v>
      </c>
      <c r="R25041" s="36" t="s">
        <v>48</v>
      </c>
    </row>
    <row r="25042">
      <c r="H25042" s="50"/>
      <c r="I25042" s="50"/>
      <c r="O25042" s="36" t="s">
        <v>48</v>
      </c>
      <c r="R25042" s="36" t="s">
        <v>48</v>
      </c>
    </row>
    <row r="25043">
      <c r="H25043" s="50"/>
      <c r="I25043" s="50"/>
      <c r="O25043" s="36" t="s">
        <v>48</v>
      </c>
      <c r="R25043" s="36" t="s">
        <v>48</v>
      </c>
    </row>
    <row r="25044">
      <c r="H25044" s="50"/>
      <c r="I25044" s="50"/>
      <c r="O25044" s="36" t="s">
        <v>48</v>
      </c>
      <c r="R25044" s="36" t="s">
        <v>48</v>
      </c>
    </row>
    <row r="25045">
      <c r="H25045" s="50"/>
      <c r="I25045" s="50"/>
      <c r="O25045" s="36" t="s">
        <v>48</v>
      </c>
      <c r="R25045" s="36" t="s">
        <v>48</v>
      </c>
    </row>
    <row r="25046">
      <c r="H25046" s="50"/>
      <c r="I25046" s="50"/>
      <c r="O25046" s="36" t="s">
        <v>48</v>
      </c>
      <c r="R25046" s="36" t="s">
        <v>48</v>
      </c>
    </row>
    <row r="25047">
      <c r="H25047" s="50"/>
      <c r="I25047" s="50"/>
      <c r="O25047" s="36" t="s">
        <v>48</v>
      </c>
      <c r="R25047" s="36" t="s">
        <v>48</v>
      </c>
    </row>
    <row r="25048">
      <c r="H25048" s="50"/>
      <c r="I25048" s="50"/>
      <c r="O25048" s="36" t="s">
        <v>48</v>
      </c>
      <c r="R25048" s="36" t="s">
        <v>48</v>
      </c>
    </row>
    <row r="25049">
      <c r="H25049" s="50"/>
      <c r="I25049" s="50"/>
      <c r="O25049" s="36" t="s">
        <v>48</v>
      </c>
      <c r="R25049" s="36" t="s">
        <v>48</v>
      </c>
    </row>
    <row r="25050">
      <c r="H25050" s="50"/>
      <c r="I25050" s="50"/>
      <c r="O25050" s="36" t="s">
        <v>48</v>
      </c>
      <c r="R25050" s="36" t="s">
        <v>48</v>
      </c>
    </row>
    <row r="25051">
      <c r="H25051" s="50"/>
      <c r="I25051" s="50"/>
      <c r="O25051" s="36" t="s">
        <v>48</v>
      </c>
      <c r="R25051" s="36" t="s">
        <v>48</v>
      </c>
    </row>
    <row r="25052">
      <c r="H25052" s="50"/>
      <c r="I25052" s="50"/>
      <c r="O25052" s="36" t="s">
        <v>48</v>
      </c>
      <c r="R25052" s="36" t="s">
        <v>48</v>
      </c>
    </row>
    <row r="25053">
      <c r="H25053" s="50"/>
      <c r="I25053" s="50"/>
      <c r="O25053" s="36" t="s">
        <v>48</v>
      </c>
      <c r="R25053" s="36" t="s">
        <v>48</v>
      </c>
    </row>
    <row r="25054">
      <c r="H25054" s="50"/>
      <c r="I25054" s="50"/>
      <c r="O25054" s="36" t="s">
        <v>48</v>
      </c>
      <c r="R25054" s="36" t="s">
        <v>48</v>
      </c>
    </row>
    <row r="25055">
      <c r="H25055" s="50"/>
      <c r="I25055" s="50"/>
      <c r="O25055" s="36" t="s">
        <v>48</v>
      </c>
      <c r="R25055" s="36" t="s">
        <v>48</v>
      </c>
    </row>
    <row r="25056">
      <c r="H25056" s="50"/>
      <c r="I25056" s="50"/>
      <c r="O25056" s="36" t="s">
        <v>48</v>
      </c>
      <c r="R25056" s="36" t="s">
        <v>48</v>
      </c>
    </row>
    <row r="25057">
      <c r="H25057" s="50"/>
      <c r="I25057" s="50"/>
      <c r="O25057" s="36" t="s">
        <v>48</v>
      </c>
      <c r="R25057" s="36" t="s">
        <v>48</v>
      </c>
    </row>
    <row r="25058">
      <c r="H25058" s="50"/>
      <c r="I25058" s="50"/>
      <c r="O25058" s="36" t="s">
        <v>48</v>
      </c>
      <c r="R25058" s="36" t="s">
        <v>48</v>
      </c>
    </row>
    <row r="25059">
      <c r="H25059" s="50"/>
      <c r="I25059" s="50"/>
      <c r="O25059" s="36" t="s">
        <v>48</v>
      </c>
      <c r="R25059" s="36" t="s">
        <v>48</v>
      </c>
    </row>
    <row r="25060">
      <c r="H25060" s="50"/>
      <c r="I25060" s="50"/>
      <c r="O25060" s="36" t="s">
        <v>48</v>
      </c>
      <c r="R25060" s="36" t="s">
        <v>48</v>
      </c>
    </row>
    <row r="25061">
      <c r="H25061" s="50"/>
      <c r="I25061" s="50"/>
      <c r="O25061" s="36" t="s">
        <v>48</v>
      </c>
      <c r="R25061" s="36" t="s">
        <v>48</v>
      </c>
    </row>
    <row r="25062">
      <c r="H25062" s="50"/>
      <c r="I25062" s="50"/>
      <c r="O25062" s="36" t="s">
        <v>48</v>
      </c>
      <c r="R25062" s="36" t="s">
        <v>48</v>
      </c>
    </row>
    <row r="25063">
      <c r="H25063" s="50"/>
      <c r="I25063" s="50"/>
      <c r="O25063" s="36" t="s">
        <v>48</v>
      </c>
      <c r="R25063" s="36" t="s">
        <v>48</v>
      </c>
    </row>
    <row r="25064">
      <c r="H25064" s="50"/>
      <c r="I25064" s="50"/>
      <c r="O25064" s="36" t="s">
        <v>48</v>
      </c>
      <c r="R25064" s="36" t="s">
        <v>48</v>
      </c>
    </row>
    <row r="25065">
      <c r="H25065" s="50"/>
      <c r="I25065" s="50"/>
      <c r="O25065" s="36" t="s">
        <v>48</v>
      </c>
      <c r="R25065" s="36" t="s">
        <v>48</v>
      </c>
    </row>
    <row r="25066">
      <c r="H25066" s="50"/>
      <c r="I25066" s="50"/>
      <c r="O25066" s="36" t="s">
        <v>48</v>
      </c>
      <c r="R25066" s="36" t="s">
        <v>48</v>
      </c>
    </row>
    <row r="25067">
      <c r="H25067" s="50"/>
      <c r="I25067" s="50"/>
      <c r="O25067" s="36" t="s">
        <v>48</v>
      </c>
      <c r="R25067" s="36" t="s">
        <v>48</v>
      </c>
    </row>
    <row r="25068">
      <c r="H25068" s="50"/>
      <c r="I25068" s="50"/>
      <c r="O25068" s="36" t="s">
        <v>48</v>
      </c>
      <c r="R25068" s="36" t="s">
        <v>48</v>
      </c>
    </row>
    <row r="25069">
      <c r="H25069" s="50"/>
      <c r="I25069" s="50"/>
      <c r="O25069" s="36" t="s">
        <v>48</v>
      </c>
      <c r="R25069" s="36" t="s">
        <v>48</v>
      </c>
    </row>
    <row r="25070">
      <c r="H25070" s="50"/>
      <c r="I25070" s="50"/>
      <c r="O25070" s="36" t="s">
        <v>48</v>
      </c>
      <c r="R25070" s="36" t="s">
        <v>48</v>
      </c>
    </row>
    <row r="25071">
      <c r="H25071" s="50"/>
      <c r="I25071" s="50"/>
      <c r="O25071" s="36" t="s">
        <v>48</v>
      </c>
      <c r="R25071" s="36" t="s">
        <v>48</v>
      </c>
    </row>
    <row r="25072">
      <c r="H25072" s="50"/>
      <c r="I25072" s="50"/>
      <c r="O25072" s="36" t="s">
        <v>48</v>
      </c>
      <c r="R25072" s="36" t="s">
        <v>48</v>
      </c>
    </row>
    <row r="25073">
      <c r="H25073" s="50"/>
      <c r="I25073" s="50"/>
      <c r="O25073" s="36" t="s">
        <v>48</v>
      </c>
      <c r="R25073" s="36" t="s">
        <v>48</v>
      </c>
    </row>
    <row r="25074">
      <c r="H25074" s="50"/>
      <c r="I25074" s="50"/>
      <c r="O25074" s="36" t="s">
        <v>48</v>
      </c>
      <c r="R25074" s="36" t="s">
        <v>48</v>
      </c>
    </row>
    <row r="25075">
      <c r="H25075" s="50"/>
      <c r="I25075" s="50"/>
      <c r="O25075" s="36" t="s">
        <v>48</v>
      </c>
      <c r="R25075" s="36" t="s">
        <v>48</v>
      </c>
    </row>
    <row r="25076">
      <c r="H25076" s="50"/>
      <c r="I25076" s="50"/>
      <c r="O25076" s="36" t="s">
        <v>48</v>
      </c>
      <c r="R25076" s="36" t="s">
        <v>48</v>
      </c>
    </row>
    <row r="25077">
      <c r="H25077" s="50"/>
      <c r="I25077" s="50"/>
      <c r="O25077" s="36" t="s">
        <v>48</v>
      </c>
      <c r="R25077" s="36" t="s">
        <v>48</v>
      </c>
    </row>
    <row r="25078">
      <c r="H25078" s="50"/>
      <c r="I25078" s="50"/>
      <c r="O25078" s="36" t="s">
        <v>48</v>
      </c>
      <c r="R25078" s="36" t="s">
        <v>48</v>
      </c>
    </row>
    <row r="25079">
      <c r="H25079" s="50"/>
      <c r="I25079" s="50"/>
      <c r="O25079" s="36" t="s">
        <v>48</v>
      </c>
      <c r="R25079" s="36" t="s">
        <v>48</v>
      </c>
    </row>
    <row r="25080">
      <c r="H25080" s="50"/>
      <c r="I25080" s="50"/>
      <c r="O25080" s="36" t="s">
        <v>48</v>
      </c>
      <c r="R25080" s="36" t="s">
        <v>48</v>
      </c>
    </row>
    <row r="25081">
      <c r="H25081" s="50"/>
      <c r="I25081" s="50"/>
      <c r="O25081" s="36" t="s">
        <v>48</v>
      </c>
      <c r="R25081" s="36" t="s">
        <v>48</v>
      </c>
    </row>
    <row r="25082">
      <c r="H25082" s="50"/>
      <c r="I25082" s="50"/>
      <c r="O25082" s="36" t="s">
        <v>48</v>
      </c>
      <c r="R25082" s="36" t="s">
        <v>48</v>
      </c>
    </row>
    <row r="25083">
      <c r="H25083" s="50"/>
      <c r="I25083" s="50"/>
      <c r="O25083" s="36" t="s">
        <v>48</v>
      </c>
      <c r="R25083" s="36" t="s">
        <v>48</v>
      </c>
    </row>
    <row r="25084">
      <c r="H25084" s="50"/>
      <c r="I25084" s="50"/>
      <c r="O25084" s="36" t="s">
        <v>48</v>
      </c>
      <c r="R25084" s="36" t="s">
        <v>48</v>
      </c>
    </row>
    <row r="25085">
      <c r="H25085" s="50"/>
      <c r="I25085" s="50"/>
      <c r="O25085" s="36" t="s">
        <v>48</v>
      </c>
      <c r="R25085" s="36" t="s">
        <v>48</v>
      </c>
    </row>
    <row r="25086">
      <c r="H25086" s="50"/>
      <c r="I25086" s="50"/>
      <c r="O25086" s="36" t="s">
        <v>48</v>
      </c>
      <c r="R25086" s="36" t="s">
        <v>48</v>
      </c>
    </row>
    <row r="25087">
      <c r="H25087" s="50"/>
      <c r="I25087" s="50"/>
      <c r="O25087" s="36" t="s">
        <v>48</v>
      </c>
      <c r="R25087" s="36" t="s">
        <v>48</v>
      </c>
    </row>
    <row r="25088">
      <c r="H25088" s="50"/>
      <c r="I25088" s="50"/>
      <c r="O25088" s="36" t="s">
        <v>48</v>
      </c>
      <c r="R25088" s="36" t="s">
        <v>48</v>
      </c>
    </row>
    <row r="25089">
      <c r="H25089" s="50"/>
      <c r="I25089" s="50"/>
      <c r="O25089" s="36" t="s">
        <v>48</v>
      </c>
      <c r="R25089" s="36" t="s">
        <v>48</v>
      </c>
    </row>
    <row r="25090">
      <c r="H25090" s="50"/>
      <c r="I25090" s="50"/>
      <c r="O25090" s="36" t="s">
        <v>48</v>
      </c>
      <c r="R25090" s="36" t="s">
        <v>48</v>
      </c>
    </row>
    <row r="25091">
      <c r="H25091" s="50"/>
      <c r="I25091" s="50"/>
      <c r="O25091" s="36" t="s">
        <v>48</v>
      </c>
      <c r="R25091" s="36" t="s">
        <v>48</v>
      </c>
    </row>
    <row r="25092">
      <c r="H25092" s="50"/>
      <c r="I25092" s="50"/>
      <c r="O25092" s="36" t="s">
        <v>48</v>
      </c>
      <c r="R25092" s="36" t="s">
        <v>48</v>
      </c>
    </row>
    <row r="25093">
      <c r="H25093" s="50"/>
      <c r="I25093" s="50"/>
      <c r="O25093" s="36" t="s">
        <v>48</v>
      </c>
      <c r="R25093" s="36" t="s">
        <v>48</v>
      </c>
    </row>
    <row r="25094">
      <c r="H25094" s="50"/>
      <c r="I25094" s="50"/>
      <c r="O25094" s="36" t="s">
        <v>48</v>
      </c>
      <c r="R25094" s="36" t="s">
        <v>48</v>
      </c>
    </row>
    <row r="25095">
      <c r="H25095" s="50"/>
      <c r="I25095" s="50"/>
      <c r="O25095" s="36" t="s">
        <v>48</v>
      </c>
      <c r="R25095" s="36" t="s">
        <v>48</v>
      </c>
    </row>
    <row r="25096">
      <c r="H25096" s="50"/>
      <c r="I25096" s="50"/>
      <c r="O25096" s="36" t="s">
        <v>48</v>
      </c>
      <c r="R25096" s="36" t="s">
        <v>48</v>
      </c>
    </row>
    <row r="25097">
      <c r="H25097" s="50"/>
      <c r="I25097" s="50"/>
      <c r="O25097" s="36" t="s">
        <v>48</v>
      </c>
      <c r="R25097" s="36" t="s">
        <v>48</v>
      </c>
    </row>
    <row r="25098">
      <c r="H25098" s="50"/>
      <c r="I25098" s="50"/>
      <c r="O25098" s="36" t="s">
        <v>48</v>
      </c>
      <c r="R25098" s="36" t="s">
        <v>48</v>
      </c>
    </row>
    <row r="25099">
      <c r="H25099" s="50"/>
      <c r="I25099" s="50"/>
      <c r="O25099" s="36" t="s">
        <v>48</v>
      </c>
      <c r="R25099" s="36" t="s">
        <v>48</v>
      </c>
    </row>
    <row r="25100">
      <c r="H25100" s="50"/>
      <c r="I25100" s="50"/>
      <c r="O25100" s="36" t="s">
        <v>48</v>
      </c>
      <c r="R25100" s="36" t="s">
        <v>48</v>
      </c>
    </row>
    <row r="25101">
      <c r="H25101" s="50"/>
      <c r="I25101" s="50"/>
      <c r="O25101" s="36" t="s">
        <v>48</v>
      </c>
      <c r="R25101" s="36" t="s">
        <v>48</v>
      </c>
    </row>
    <row r="25102">
      <c r="H25102" s="50"/>
      <c r="I25102" s="50"/>
      <c r="O25102" s="36" t="s">
        <v>48</v>
      </c>
      <c r="R25102" s="36" t="s">
        <v>48</v>
      </c>
    </row>
    <row r="25103">
      <c r="H25103" s="50"/>
      <c r="I25103" s="50"/>
      <c r="O25103" s="36" t="s">
        <v>48</v>
      </c>
      <c r="R25103" s="36" t="s">
        <v>48</v>
      </c>
    </row>
    <row r="25104">
      <c r="H25104" s="50"/>
      <c r="I25104" s="50"/>
      <c r="O25104" s="36" t="s">
        <v>48</v>
      </c>
      <c r="R25104" s="36" t="s">
        <v>48</v>
      </c>
    </row>
    <row r="25105">
      <c r="H25105" s="50"/>
      <c r="I25105" s="50"/>
      <c r="O25105" s="36" t="s">
        <v>48</v>
      </c>
      <c r="R25105" s="36" t="s">
        <v>48</v>
      </c>
    </row>
    <row r="25106">
      <c r="H25106" s="50"/>
      <c r="I25106" s="50"/>
      <c r="O25106" s="36" t="s">
        <v>48</v>
      </c>
      <c r="R25106" s="36" t="s">
        <v>48</v>
      </c>
    </row>
    <row r="25107">
      <c r="H25107" s="50"/>
      <c r="I25107" s="50"/>
      <c r="O25107" s="36" t="s">
        <v>48</v>
      </c>
      <c r="R25107" s="36" t="s">
        <v>48</v>
      </c>
    </row>
    <row r="25108">
      <c r="H25108" s="50"/>
      <c r="I25108" s="50"/>
      <c r="O25108" s="36" t="s">
        <v>48</v>
      </c>
      <c r="R25108" s="36" t="s">
        <v>48</v>
      </c>
    </row>
    <row r="25109">
      <c r="H25109" s="50"/>
      <c r="I25109" s="50"/>
      <c r="O25109" s="36" t="s">
        <v>48</v>
      </c>
      <c r="R25109" s="36" t="s">
        <v>48</v>
      </c>
    </row>
    <row r="25110">
      <c r="H25110" s="50"/>
      <c r="I25110" s="50"/>
      <c r="O25110" s="36" t="s">
        <v>48</v>
      </c>
      <c r="R25110" s="36" t="s">
        <v>48</v>
      </c>
    </row>
    <row r="25111">
      <c r="H25111" s="50"/>
      <c r="I25111" s="50"/>
      <c r="O25111" s="36" t="s">
        <v>48</v>
      </c>
      <c r="R25111" s="36" t="s">
        <v>48</v>
      </c>
    </row>
    <row r="25112">
      <c r="H25112" s="50"/>
      <c r="I25112" s="50"/>
      <c r="O25112" s="36" t="s">
        <v>48</v>
      </c>
      <c r="R25112" s="36" t="s">
        <v>48</v>
      </c>
    </row>
    <row r="25113">
      <c r="H25113" s="50"/>
      <c r="I25113" s="50"/>
      <c r="O25113" s="36" t="s">
        <v>48</v>
      </c>
      <c r="R25113" s="36" t="s">
        <v>48</v>
      </c>
    </row>
    <row r="25114">
      <c r="H25114" s="50"/>
      <c r="I25114" s="50"/>
      <c r="O25114" s="36" t="s">
        <v>48</v>
      </c>
      <c r="R25114" s="36" t="s">
        <v>48</v>
      </c>
    </row>
    <row r="25115">
      <c r="H25115" s="50"/>
      <c r="I25115" s="50"/>
      <c r="O25115" s="36" t="s">
        <v>48</v>
      </c>
      <c r="R25115" s="36" t="s">
        <v>48</v>
      </c>
    </row>
    <row r="25116">
      <c r="H25116" s="50"/>
      <c r="I25116" s="50"/>
      <c r="O25116" s="36" t="s">
        <v>48</v>
      </c>
      <c r="R25116" s="36" t="s">
        <v>48</v>
      </c>
    </row>
    <row r="25117">
      <c r="H25117" s="50"/>
      <c r="I25117" s="50"/>
      <c r="O25117" s="36" t="s">
        <v>48</v>
      </c>
      <c r="R25117" s="36" t="s">
        <v>48</v>
      </c>
    </row>
    <row r="25118">
      <c r="H25118" s="50"/>
      <c r="I25118" s="50"/>
      <c r="O25118" s="36" t="s">
        <v>48</v>
      </c>
      <c r="R25118" s="36" t="s">
        <v>48</v>
      </c>
    </row>
    <row r="25119">
      <c r="H25119" s="50"/>
      <c r="I25119" s="50"/>
      <c r="O25119" s="36" t="s">
        <v>48</v>
      </c>
      <c r="R25119" s="36" t="s">
        <v>48</v>
      </c>
    </row>
    <row r="25120">
      <c r="H25120" s="50"/>
      <c r="I25120" s="50"/>
      <c r="O25120" s="36" t="s">
        <v>48</v>
      </c>
      <c r="R25120" s="36" t="s">
        <v>48</v>
      </c>
    </row>
    <row r="25121">
      <c r="H25121" s="50"/>
      <c r="I25121" s="50"/>
      <c r="O25121" s="36" t="s">
        <v>48</v>
      </c>
      <c r="R25121" s="36" t="s">
        <v>48</v>
      </c>
    </row>
    <row r="25122">
      <c r="H25122" s="50"/>
      <c r="I25122" s="50"/>
      <c r="O25122" s="36" t="s">
        <v>48</v>
      </c>
      <c r="R25122" s="36" t="s">
        <v>48</v>
      </c>
    </row>
    <row r="25123">
      <c r="H25123" s="50"/>
      <c r="I25123" s="50"/>
      <c r="O25123" s="36" t="s">
        <v>48</v>
      </c>
      <c r="R25123" s="36" t="s">
        <v>48</v>
      </c>
    </row>
    <row r="25124">
      <c r="H25124" s="50"/>
      <c r="I25124" s="50"/>
      <c r="O25124" s="36" t="s">
        <v>48</v>
      </c>
      <c r="R25124" s="36" t="s">
        <v>48</v>
      </c>
    </row>
    <row r="25125">
      <c r="H25125" s="50"/>
      <c r="I25125" s="50"/>
      <c r="O25125" s="36" t="s">
        <v>48</v>
      </c>
      <c r="R25125" s="36" t="s">
        <v>48</v>
      </c>
    </row>
    <row r="25126">
      <c r="H25126" s="50"/>
      <c r="I25126" s="50"/>
      <c r="O25126" s="36" t="s">
        <v>48</v>
      </c>
      <c r="R25126" s="36" t="s">
        <v>48</v>
      </c>
    </row>
    <row r="25127">
      <c r="H25127" s="50"/>
      <c r="I25127" s="50"/>
      <c r="O25127" s="36" t="s">
        <v>48</v>
      </c>
      <c r="R25127" s="36" t="s">
        <v>48</v>
      </c>
    </row>
    <row r="25128">
      <c r="H25128" s="50"/>
      <c r="I25128" s="50"/>
      <c r="O25128" s="36" t="s">
        <v>48</v>
      </c>
      <c r="R25128" s="36" t="s">
        <v>48</v>
      </c>
    </row>
    <row r="25129">
      <c r="H25129" s="50"/>
      <c r="I25129" s="50"/>
      <c r="O25129" s="36" t="s">
        <v>48</v>
      </c>
      <c r="R25129" s="36" t="s">
        <v>48</v>
      </c>
    </row>
    <row r="25130">
      <c r="H25130" s="50"/>
      <c r="I25130" s="50"/>
      <c r="O25130" s="36" t="s">
        <v>48</v>
      </c>
      <c r="R25130" s="36" t="s">
        <v>48</v>
      </c>
    </row>
    <row r="25131">
      <c r="H25131" s="50"/>
      <c r="I25131" s="50"/>
      <c r="O25131" s="36" t="s">
        <v>48</v>
      </c>
      <c r="R25131" s="36" t="s">
        <v>48</v>
      </c>
    </row>
    <row r="25132">
      <c r="H25132" s="50"/>
      <c r="I25132" s="50"/>
      <c r="O25132" s="36" t="s">
        <v>48</v>
      </c>
      <c r="R25132" s="36" t="s">
        <v>48</v>
      </c>
    </row>
    <row r="25133">
      <c r="H25133" s="50"/>
      <c r="I25133" s="50"/>
      <c r="O25133" s="36" t="s">
        <v>48</v>
      </c>
      <c r="R25133" s="36" t="s">
        <v>48</v>
      </c>
    </row>
    <row r="25134">
      <c r="H25134" s="50"/>
      <c r="I25134" s="50"/>
      <c r="O25134" s="36" t="s">
        <v>48</v>
      </c>
      <c r="R25134" s="36" t="s">
        <v>48</v>
      </c>
    </row>
    <row r="25135">
      <c r="H25135" s="50"/>
      <c r="I25135" s="50"/>
      <c r="O25135" s="36" t="s">
        <v>48</v>
      </c>
      <c r="R25135" s="36" t="s">
        <v>48</v>
      </c>
    </row>
    <row r="25136">
      <c r="H25136" s="50"/>
      <c r="I25136" s="50"/>
      <c r="O25136" s="36" t="s">
        <v>48</v>
      </c>
      <c r="R25136" s="36" t="s">
        <v>48</v>
      </c>
    </row>
    <row r="25137">
      <c r="H25137" s="50"/>
      <c r="I25137" s="50"/>
      <c r="O25137" s="36" t="s">
        <v>48</v>
      </c>
      <c r="R25137" s="36" t="s">
        <v>48</v>
      </c>
    </row>
    <row r="25138">
      <c r="H25138" s="50"/>
      <c r="I25138" s="50"/>
      <c r="O25138" s="36" t="s">
        <v>48</v>
      </c>
      <c r="R25138" s="36" t="s">
        <v>48</v>
      </c>
    </row>
    <row r="25139">
      <c r="H25139" s="50"/>
      <c r="I25139" s="50"/>
      <c r="O25139" s="36" t="s">
        <v>48</v>
      </c>
      <c r="R25139" s="36" t="s">
        <v>48</v>
      </c>
    </row>
    <row r="25140">
      <c r="H25140" s="50"/>
      <c r="I25140" s="50"/>
      <c r="O25140" s="36" t="s">
        <v>48</v>
      </c>
      <c r="R25140" s="36" t="s">
        <v>48</v>
      </c>
    </row>
    <row r="25141">
      <c r="H25141" s="50"/>
      <c r="I25141" s="50"/>
      <c r="O25141" s="36" t="s">
        <v>48</v>
      </c>
      <c r="R25141" s="36" t="s">
        <v>48</v>
      </c>
    </row>
    <row r="25142">
      <c r="H25142" s="50"/>
      <c r="I25142" s="50"/>
      <c r="O25142" s="36" t="s">
        <v>48</v>
      </c>
      <c r="R25142" s="36" t="s">
        <v>48</v>
      </c>
    </row>
    <row r="25143">
      <c r="H25143" s="50"/>
      <c r="I25143" s="50"/>
      <c r="O25143" s="36" t="s">
        <v>48</v>
      </c>
      <c r="R25143" s="36" t="s">
        <v>48</v>
      </c>
    </row>
    <row r="25144">
      <c r="H25144" s="50"/>
      <c r="I25144" s="50"/>
      <c r="O25144" s="36" t="s">
        <v>48</v>
      </c>
      <c r="R25144" s="36" t="s">
        <v>48</v>
      </c>
    </row>
    <row r="25145">
      <c r="H25145" s="50"/>
      <c r="I25145" s="50"/>
      <c r="O25145" s="36" t="s">
        <v>48</v>
      </c>
      <c r="R25145" s="36" t="s">
        <v>48</v>
      </c>
    </row>
    <row r="25146">
      <c r="H25146" s="50"/>
      <c r="I25146" s="50"/>
      <c r="O25146" s="36" t="s">
        <v>48</v>
      </c>
      <c r="R25146" s="36" t="s">
        <v>48</v>
      </c>
    </row>
    <row r="25147">
      <c r="H25147" s="50"/>
      <c r="I25147" s="50"/>
      <c r="O25147" s="36" t="s">
        <v>48</v>
      </c>
      <c r="R25147" s="36" t="s">
        <v>48</v>
      </c>
    </row>
    <row r="25148">
      <c r="H25148" s="50"/>
      <c r="I25148" s="50"/>
      <c r="O25148" s="36" t="s">
        <v>48</v>
      </c>
      <c r="R25148" s="36" t="s">
        <v>48</v>
      </c>
    </row>
    <row r="25149">
      <c r="H25149" s="50"/>
      <c r="I25149" s="50"/>
      <c r="O25149" s="36" t="s">
        <v>48</v>
      </c>
      <c r="R25149" s="36" t="s">
        <v>48</v>
      </c>
    </row>
    <row r="25150">
      <c r="H25150" s="50"/>
      <c r="I25150" s="50"/>
      <c r="O25150" s="36" t="s">
        <v>48</v>
      </c>
      <c r="R25150" s="36" t="s">
        <v>48</v>
      </c>
    </row>
    <row r="25151">
      <c r="H25151" s="50"/>
      <c r="I25151" s="50"/>
      <c r="O25151" s="36" t="s">
        <v>48</v>
      </c>
      <c r="R25151" s="36" t="s">
        <v>48</v>
      </c>
    </row>
    <row r="25152">
      <c r="H25152" s="50"/>
      <c r="I25152" s="50"/>
      <c r="O25152" s="36" t="s">
        <v>48</v>
      </c>
      <c r="R25152" s="36" t="s">
        <v>48</v>
      </c>
    </row>
    <row r="25153">
      <c r="H25153" s="50"/>
      <c r="I25153" s="50"/>
      <c r="O25153" s="36" t="s">
        <v>48</v>
      </c>
      <c r="R25153" s="36" t="s">
        <v>48</v>
      </c>
    </row>
    <row r="25154">
      <c r="H25154" s="50"/>
      <c r="I25154" s="50"/>
      <c r="O25154" s="36" t="s">
        <v>48</v>
      </c>
      <c r="R25154" s="36" t="s">
        <v>48</v>
      </c>
    </row>
    <row r="25155">
      <c r="H25155" s="50"/>
      <c r="I25155" s="50"/>
      <c r="O25155" s="36" t="s">
        <v>48</v>
      </c>
      <c r="R25155" s="36" t="s">
        <v>48</v>
      </c>
    </row>
    <row r="25156">
      <c r="H25156" s="50"/>
      <c r="I25156" s="50"/>
      <c r="O25156" s="36" t="s">
        <v>48</v>
      </c>
      <c r="R25156" s="36" t="s">
        <v>48</v>
      </c>
    </row>
    <row r="25157">
      <c r="H25157" s="50"/>
      <c r="I25157" s="50"/>
      <c r="O25157" s="36" t="s">
        <v>48</v>
      </c>
      <c r="R25157" s="36" t="s">
        <v>48</v>
      </c>
    </row>
    <row r="25158">
      <c r="H25158" s="50"/>
      <c r="I25158" s="50"/>
      <c r="O25158" s="36" t="s">
        <v>48</v>
      </c>
      <c r="R25158" s="36" t="s">
        <v>48</v>
      </c>
    </row>
    <row r="25159">
      <c r="H25159" s="50"/>
      <c r="I25159" s="50"/>
      <c r="O25159" s="36" t="s">
        <v>48</v>
      </c>
      <c r="R25159" s="36" t="s">
        <v>48</v>
      </c>
    </row>
    <row r="25160">
      <c r="H25160" s="50"/>
      <c r="I25160" s="50"/>
      <c r="O25160" s="36" t="s">
        <v>48</v>
      </c>
      <c r="R25160" s="36" t="s">
        <v>48</v>
      </c>
    </row>
    <row r="25161">
      <c r="H25161" s="50"/>
      <c r="I25161" s="50"/>
      <c r="O25161" s="36" t="s">
        <v>48</v>
      </c>
      <c r="R25161" s="36" t="s">
        <v>48</v>
      </c>
    </row>
    <row r="25162">
      <c r="H25162" s="50"/>
      <c r="I25162" s="50"/>
      <c r="O25162" s="36" t="s">
        <v>48</v>
      </c>
      <c r="R25162" s="36" t="s">
        <v>48</v>
      </c>
    </row>
    <row r="25163">
      <c r="H25163" s="50"/>
      <c r="I25163" s="50"/>
      <c r="O25163" s="36" t="s">
        <v>48</v>
      </c>
      <c r="R25163" s="36" t="s">
        <v>48</v>
      </c>
    </row>
    <row r="25164">
      <c r="H25164" s="50"/>
      <c r="I25164" s="50"/>
      <c r="O25164" s="36" t="s">
        <v>48</v>
      </c>
      <c r="R25164" s="36" t="s">
        <v>48</v>
      </c>
    </row>
    <row r="25165">
      <c r="H25165" s="50"/>
      <c r="I25165" s="50"/>
      <c r="O25165" s="36" t="s">
        <v>48</v>
      </c>
      <c r="R25165" s="36" t="s">
        <v>48</v>
      </c>
    </row>
    <row r="25166">
      <c r="H25166" s="50"/>
      <c r="I25166" s="50"/>
      <c r="O25166" s="36" t="s">
        <v>48</v>
      </c>
      <c r="R25166" s="36" t="s">
        <v>48</v>
      </c>
    </row>
    <row r="25167">
      <c r="H25167" s="50"/>
      <c r="I25167" s="50"/>
      <c r="O25167" s="36" t="s">
        <v>48</v>
      </c>
      <c r="R25167" s="36" t="s">
        <v>48</v>
      </c>
    </row>
    <row r="25168">
      <c r="H25168" s="50"/>
      <c r="I25168" s="50"/>
      <c r="O25168" s="36" t="s">
        <v>48</v>
      </c>
      <c r="R25168" s="36" t="s">
        <v>48</v>
      </c>
    </row>
    <row r="25169">
      <c r="H25169" s="50"/>
      <c r="I25169" s="50"/>
      <c r="O25169" s="36" t="s">
        <v>48</v>
      </c>
      <c r="R25169" s="36" t="s">
        <v>48</v>
      </c>
    </row>
    <row r="25170">
      <c r="H25170" s="50"/>
      <c r="I25170" s="50"/>
      <c r="O25170" s="36" t="s">
        <v>48</v>
      </c>
      <c r="R25170" s="36" t="s">
        <v>48</v>
      </c>
    </row>
    <row r="25171">
      <c r="H25171" s="50"/>
      <c r="I25171" s="50"/>
      <c r="O25171" s="36" t="s">
        <v>48</v>
      </c>
      <c r="R25171" s="36" t="s">
        <v>48</v>
      </c>
    </row>
    <row r="25172">
      <c r="H25172" s="50"/>
      <c r="I25172" s="50"/>
      <c r="O25172" s="36" t="s">
        <v>48</v>
      </c>
      <c r="R25172" s="36" t="s">
        <v>48</v>
      </c>
    </row>
    <row r="25173">
      <c r="H25173" s="50"/>
      <c r="I25173" s="50"/>
      <c r="O25173" s="36" t="s">
        <v>48</v>
      </c>
      <c r="R25173" s="36" t="s">
        <v>48</v>
      </c>
    </row>
    <row r="25174">
      <c r="H25174" s="50"/>
      <c r="I25174" s="50"/>
      <c r="O25174" s="36" t="s">
        <v>48</v>
      </c>
      <c r="R25174" s="36" t="s">
        <v>48</v>
      </c>
    </row>
    <row r="25175">
      <c r="H25175" s="50"/>
      <c r="I25175" s="50"/>
      <c r="O25175" s="36" t="s">
        <v>48</v>
      </c>
      <c r="R25175" s="36" t="s">
        <v>48</v>
      </c>
    </row>
    <row r="25176">
      <c r="H25176" s="50"/>
      <c r="I25176" s="50"/>
      <c r="O25176" s="36" t="s">
        <v>48</v>
      </c>
      <c r="R25176" s="36" t="s">
        <v>48</v>
      </c>
    </row>
    <row r="25177">
      <c r="H25177" s="50"/>
      <c r="I25177" s="50"/>
      <c r="O25177" s="36" t="s">
        <v>48</v>
      </c>
      <c r="R25177" s="36" t="s">
        <v>48</v>
      </c>
    </row>
    <row r="25178">
      <c r="H25178" s="50"/>
      <c r="I25178" s="50"/>
      <c r="O25178" s="36" t="s">
        <v>48</v>
      </c>
      <c r="R25178" s="36" t="s">
        <v>48</v>
      </c>
    </row>
    <row r="25179">
      <c r="H25179" s="50"/>
      <c r="I25179" s="50"/>
      <c r="O25179" s="36" t="s">
        <v>48</v>
      </c>
      <c r="R25179" s="36" t="s">
        <v>48</v>
      </c>
    </row>
    <row r="25180">
      <c r="H25180" s="50"/>
      <c r="I25180" s="50"/>
      <c r="O25180" s="36" t="s">
        <v>48</v>
      </c>
      <c r="R25180" s="36" t="s">
        <v>48</v>
      </c>
    </row>
    <row r="25181">
      <c r="H25181" s="50"/>
      <c r="I25181" s="50"/>
      <c r="O25181" s="36" t="s">
        <v>48</v>
      </c>
      <c r="R25181" s="36" t="s">
        <v>48</v>
      </c>
    </row>
    <row r="25182">
      <c r="H25182" s="50"/>
      <c r="I25182" s="50"/>
      <c r="O25182" s="36" t="s">
        <v>48</v>
      </c>
      <c r="R25182" s="36" t="s">
        <v>48</v>
      </c>
    </row>
    <row r="25183">
      <c r="H25183" s="50"/>
      <c r="I25183" s="50"/>
      <c r="O25183" s="36" t="s">
        <v>48</v>
      </c>
      <c r="R25183" s="36" t="s">
        <v>48</v>
      </c>
    </row>
    <row r="25184">
      <c r="H25184" s="50"/>
      <c r="I25184" s="50"/>
      <c r="O25184" s="36" t="s">
        <v>48</v>
      </c>
      <c r="R25184" s="36" t="s">
        <v>48</v>
      </c>
    </row>
    <row r="25185">
      <c r="H25185" s="50"/>
      <c r="I25185" s="50"/>
      <c r="O25185" s="36" t="s">
        <v>48</v>
      </c>
      <c r="R25185" s="36" t="s">
        <v>48</v>
      </c>
    </row>
    <row r="25186">
      <c r="H25186" s="50"/>
      <c r="I25186" s="50"/>
      <c r="O25186" s="36" t="s">
        <v>48</v>
      </c>
      <c r="R25186" s="36" t="s">
        <v>48</v>
      </c>
    </row>
    <row r="25187">
      <c r="H25187" s="50"/>
      <c r="I25187" s="50"/>
      <c r="O25187" s="36" t="s">
        <v>48</v>
      </c>
      <c r="R25187" s="36" t="s">
        <v>48</v>
      </c>
    </row>
    <row r="25188">
      <c r="H25188" s="50"/>
      <c r="I25188" s="50"/>
      <c r="O25188" s="36" t="s">
        <v>48</v>
      </c>
      <c r="R25188" s="36" t="s">
        <v>48</v>
      </c>
    </row>
    <row r="25189">
      <c r="H25189" s="50"/>
      <c r="I25189" s="50"/>
      <c r="O25189" s="36" t="s">
        <v>48</v>
      </c>
      <c r="R25189" s="36" t="s">
        <v>48</v>
      </c>
    </row>
    <row r="25190">
      <c r="H25190" s="50"/>
      <c r="I25190" s="50"/>
      <c r="O25190" s="36" t="s">
        <v>48</v>
      </c>
      <c r="R25190" s="36" t="s">
        <v>48</v>
      </c>
    </row>
    <row r="25191">
      <c r="H25191" s="50"/>
      <c r="I25191" s="50"/>
      <c r="O25191" s="36" t="s">
        <v>48</v>
      </c>
      <c r="R25191" s="36" t="s">
        <v>48</v>
      </c>
    </row>
    <row r="25192">
      <c r="H25192" s="50"/>
      <c r="I25192" s="50"/>
      <c r="O25192" s="36" t="s">
        <v>48</v>
      </c>
      <c r="R25192" s="36" t="s">
        <v>48</v>
      </c>
    </row>
    <row r="25193">
      <c r="H25193" s="50"/>
      <c r="I25193" s="50"/>
      <c r="O25193" s="36" t="s">
        <v>48</v>
      </c>
      <c r="R25193" s="36" t="s">
        <v>48</v>
      </c>
    </row>
    <row r="25194">
      <c r="H25194" s="50"/>
      <c r="I25194" s="50"/>
      <c r="O25194" s="36" t="s">
        <v>48</v>
      </c>
      <c r="R25194" s="36" t="s">
        <v>48</v>
      </c>
    </row>
    <row r="25195">
      <c r="H25195" s="50"/>
      <c r="I25195" s="50"/>
      <c r="O25195" s="36" t="s">
        <v>48</v>
      </c>
      <c r="R25195" s="36" t="s">
        <v>48</v>
      </c>
    </row>
    <row r="25196">
      <c r="H25196" s="50"/>
      <c r="I25196" s="50"/>
      <c r="O25196" s="36" t="s">
        <v>48</v>
      </c>
      <c r="R25196" s="36" t="s">
        <v>48</v>
      </c>
    </row>
    <row r="25197">
      <c r="H25197" s="50"/>
      <c r="I25197" s="50"/>
      <c r="O25197" s="36" t="s">
        <v>48</v>
      </c>
      <c r="R25197" s="36" t="s">
        <v>48</v>
      </c>
    </row>
    <row r="25198">
      <c r="H25198" s="50"/>
      <c r="I25198" s="50"/>
      <c r="O25198" s="36" t="s">
        <v>48</v>
      </c>
      <c r="R25198" s="36" t="s">
        <v>48</v>
      </c>
    </row>
    <row r="25199">
      <c r="H25199" s="50"/>
      <c r="I25199" s="50"/>
      <c r="O25199" s="36" t="s">
        <v>48</v>
      </c>
      <c r="R25199" s="36" t="s">
        <v>48</v>
      </c>
    </row>
    <row r="25200">
      <c r="H25200" s="50"/>
      <c r="I25200" s="50"/>
      <c r="O25200" s="36" t="s">
        <v>48</v>
      </c>
      <c r="R25200" s="36" t="s">
        <v>48</v>
      </c>
    </row>
    <row r="25201">
      <c r="H25201" s="50"/>
      <c r="I25201" s="50"/>
      <c r="O25201" s="36" t="s">
        <v>48</v>
      </c>
      <c r="R25201" s="36" t="s">
        <v>48</v>
      </c>
    </row>
    <row r="25202">
      <c r="H25202" s="50"/>
      <c r="I25202" s="50"/>
      <c r="O25202" s="36" t="s">
        <v>48</v>
      </c>
      <c r="R25202" s="36" t="s">
        <v>48</v>
      </c>
    </row>
    <row r="25203">
      <c r="H25203" s="50"/>
      <c r="I25203" s="50"/>
      <c r="O25203" s="36" t="s">
        <v>48</v>
      </c>
      <c r="R25203" s="36" t="s">
        <v>48</v>
      </c>
    </row>
    <row r="25204">
      <c r="H25204" s="50"/>
      <c r="I25204" s="50"/>
      <c r="O25204" s="36" t="s">
        <v>48</v>
      </c>
      <c r="R25204" s="36" t="s">
        <v>48</v>
      </c>
    </row>
    <row r="25205">
      <c r="H25205" s="50"/>
      <c r="I25205" s="50"/>
      <c r="O25205" s="36" t="s">
        <v>48</v>
      </c>
      <c r="R25205" s="36" t="s">
        <v>48</v>
      </c>
    </row>
    <row r="25206">
      <c r="H25206" s="50"/>
      <c r="I25206" s="50"/>
      <c r="O25206" s="36" t="s">
        <v>48</v>
      </c>
      <c r="R25206" s="36" t="s">
        <v>48</v>
      </c>
    </row>
    <row r="25207">
      <c r="H25207" s="50"/>
      <c r="I25207" s="50"/>
      <c r="O25207" s="36" t="s">
        <v>48</v>
      </c>
      <c r="R25207" s="36" t="s">
        <v>48</v>
      </c>
    </row>
    <row r="25208">
      <c r="H25208" s="50"/>
      <c r="I25208" s="50"/>
      <c r="O25208" s="36" t="s">
        <v>48</v>
      </c>
      <c r="R25208" s="36" t="s">
        <v>48</v>
      </c>
    </row>
    <row r="25209">
      <c r="H25209" s="50"/>
      <c r="I25209" s="50"/>
      <c r="O25209" s="36" t="s">
        <v>48</v>
      </c>
      <c r="R25209" s="36" t="s">
        <v>48</v>
      </c>
    </row>
    <row r="25210">
      <c r="H25210" s="50"/>
      <c r="I25210" s="50"/>
      <c r="O25210" s="36" t="s">
        <v>48</v>
      </c>
      <c r="R25210" s="36" t="s">
        <v>48</v>
      </c>
    </row>
    <row r="25211">
      <c r="H25211" s="50"/>
      <c r="I25211" s="50"/>
      <c r="O25211" s="36" t="s">
        <v>48</v>
      </c>
      <c r="R25211" s="36" t="s">
        <v>48</v>
      </c>
    </row>
    <row r="25212">
      <c r="H25212" s="50"/>
      <c r="I25212" s="50"/>
      <c r="O25212" s="36" t="s">
        <v>48</v>
      </c>
      <c r="R25212" s="36" t="s">
        <v>48</v>
      </c>
    </row>
    <row r="25213">
      <c r="H25213" s="50"/>
      <c r="I25213" s="50"/>
      <c r="O25213" s="36" t="s">
        <v>48</v>
      </c>
      <c r="R25213" s="36" t="s">
        <v>48</v>
      </c>
    </row>
    <row r="25214">
      <c r="H25214" s="50"/>
      <c r="I25214" s="50"/>
      <c r="O25214" s="36" t="s">
        <v>48</v>
      </c>
      <c r="R25214" s="36" t="s">
        <v>48</v>
      </c>
    </row>
    <row r="25215">
      <c r="H25215" s="50"/>
      <c r="I25215" s="50"/>
      <c r="O25215" s="36" t="s">
        <v>48</v>
      </c>
      <c r="R25215" s="36" t="s">
        <v>48</v>
      </c>
    </row>
    <row r="25216">
      <c r="H25216" s="50"/>
      <c r="I25216" s="50"/>
      <c r="O25216" s="36" t="s">
        <v>48</v>
      </c>
      <c r="R25216" s="36" t="s">
        <v>48</v>
      </c>
    </row>
    <row r="25217">
      <c r="H25217" s="50"/>
      <c r="I25217" s="50"/>
      <c r="O25217" s="36" t="s">
        <v>48</v>
      </c>
      <c r="R25217" s="36" t="s">
        <v>48</v>
      </c>
    </row>
    <row r="25218">
      <c r="H25218" s="50"/>
      <c r="I25218" s="50"/>
      <c r="O25218" s="36" t="s">
        <v>48</v>
      </c>
      <c r="R25218" s="36" t="s">
        <v>48</v>
      </c>
    </row>
    <row r="25219">
      <c r="H25219" s="50"/>
      <c r="I25219" s="50"/>
      <c r="O25219" s="36" t="s">
        <v>48</v>
      </c>
      <c r="R25219" s="36" t="s">
        <v>48</v>
      </c>
    </row>
    <row r="25220">
      <c r="H25220" s="50"/>
      <c r="I25220" s="50"/>
      <c r="O25220" s="36" t="s">
        <v>48</v>
      </c>
      <c r="R25220" s="36" t="s">
        <v>48</v>
      </c>
    </row>
    <row r="25221">
      <c r="H25221" s="50"/>
      <c r="I25221" s="50"/>
      <c r="O25221" s="36" t="s">
        <v>48</v>
      </c>
      <c r="R25221" s="36" t="s">
        <v>48</v>
      </c>
    </row>
    <row r="25222">
      <c r="H25222" s="50"/>
      <c r="I25222" s="50"/>
      <c r="O25222" s="36" t="s">
        <v>48</v>
      </c>
      <c r="R25222" s="36" t="s">
        <v>48</v>
      </c>
    </row>
    <row r="25223">
      <c r="H25223" s="50"/>
      <c r="I25223" s="50"/>
      <c r="O25223" s="36" t="s">
        <v>48</v>
      </c>
      <c r="R25223" s="36" t="s">
        <v>48</v>
      </c>
    </row>
    <row r="25224">
      <c r="H25224" s="50"/>
      <c r="I25224" s="50"/>
      <c r="O25224" s="36" t="s">
        <v>48</v>
      </c>
      <c r="R25224" s="36" t="s">
        <v>48</v>
      </c>
    </row>
    <row r="25225">
      <c r="H25225" s="50"/>
      <c r="I25225" s="50"/>
      <c r="O25225" s="36" t="s">
        <v>48</v>
      </c>
      <c r="R25225" s="36" t="s">
        <v>48</v>
      </c>
    </row>
    <row r="25226">
      <c r="H25226" s="50"/>
      <c r="I25226" s="50"/>
      <c r="O25226" s="36" t="s">
        <v>48</v>
      </c>
      <c r="R25226" s="36" t="s">
        <v>48</v>
      </c>
    </row>
    <row r="25227">
      <c r="H25227" s="50"/>
      <c r="I25227" s="50"/>
      <c r="O25227" s="36" t="s">
        <v>48</v>
      </c>
      <c r="R25227" s="36" t="s">
        <v>48</v>
      </c>
    </row>
    <row r="25228">
      <c r="H25228" s="50"/>
      <c r="I25228" s="50"/>
      <c r="O25228" s="36" t="s">
        <v>48</v>
      </c>
      <c r="R25228" s="36" t="s">
        <v>48</v>
      </c>
    </row>
    <row r="25229">
      <c r="H25229" s="50"/>
      <c r="I25229" s="50"/>
      <c r="O25229" s="36" t="s">
        <v>48</v>
      </c>
      <c r="R25229" s="36" t="s">
        <v>48</v>
      </c>
    </row>
    <row r="25230">
      <c r="H25230" s="50"/>
      <c r="I25230" s="50"/>
      <c r="O25230" s="36" t="s">
        <v>48</v>
      </c>
      <c r="R25230" s="36" t="s">
        <v>48</v>
      </c>
    </row>
    <row r="25231">
      <c r="H25231" s="50"/>
      <c r="I25231" s="50"/>
      <c r="O25231" s="36" t="s">
        <v>48</v>
      </c>
      <c r="R25231" s="36" t="s">
        <v>48</v>
      </c>
    </row>
    <row r="25232">
      <c r="H25232" s="50"/>
      <c r="I25232" s="50"/>
      <c r="O25232" s="36" t="s">
        <v>48</v>
      </c>
      <c r="R25232" s="36" t="s">
        <v>48</v>
      </c>
    </row>
    <row r="25233">
      <c r="H25233" s="50"/>
      <c r="I25233" s="50"/>
      <c r="O25233" s="36" t="s">
        <v>48</v>
      </c>
      <c r="R25233" s="36" t="s">
        <v>48</v>
      </c>
    </row>
    <row r="25234">
      <c r="H25234" s="50"/>
      <c r="I25234" s="50"/>
      <c r="O25234" s="36" t="s">
        <v>48</v>
      </c>
      <c r="R25234" s="36" t="s">
        <v>48</v>
      </c>
    </row>
    <row r="25235">
      <c r="H25235" s="50"/>
      <c r="I25235" s="50"/>
      <c r="O25235" s="36" t="s">
        <v>48</v>
      </c>
      <c r="R25235" s="36" t="s">
        <v>48</v>
      </c>
    </row>
    <row r="25236">
      <c r="H25236" s="50"/>
      <c r="I25236" s="50"/>
      <c r="O25236" s="36" t="s">
        <v>48</v>
      </c>
      <c r="R25236" s="36" t="s">
        <v>48</v>
      </c>
    </row>
    <row r="25237">
      <c r="H25237" s="50"/>
      <c r="I25237" s="50"/>
      <c r="O25237" s="36" t="s">
        <v>48</v>
      </c>
      <c r="R25237" s="36" t="s">
        <v>48</v>
      </c>
    </row>
    <row r="25238">
      <c r="H25238" s="50"/>
      <c r="I25238" s="50"/>
      <c r="O25238" s="36" t="s">
        <v>48</v>
      </c>
      <c r="R25238" s="36" t="s">
        <v>48</v>
      </c>
    </row>
    <row r="25239">
      <c r="H25239" s="50"/>
      <c r="I25239" s="50"/>
      <c r="O25239" s="36" t="s">
        <v>48</v>
      </c>
      <c r="R25239" s="36" t="s">
        <v>48</v>
      </c>
    </row>
    <row r="25240">
      <c r="H25240" s="50"/>
      <c r="I25240" s="50"/>
      <c r="O25240" s="36" t="s">
        <v>48</v>
      </c>
      <c r="R25240" s="36" t="s">
        <v>48</v>
      </c>
    </row>
    <row r="25241">
      <c r="H25241" s="50"/>
      <c r="I25241" s="50"/>
      <c r="O25241" s="36" t="s">
        <v>48</v>
      </c>
      <c r="R25241" s="36" t="s">
        <v>48</v>
      </c>
    </row>
    <row r="25242">
      <c r="H25242" s="50"/>
      <c r="I25242" s="50"/>
      <c r="O25242" s="36" t="s">
        <v>48</v>
      </c>
      <c r="R25242" s="36" t="s">
        <v>48</v>
      </c>
    </row>
    <row r="25243">
      <c r="H25243" s="50"/>
      <c r="I25243" s="50"/>
      <c r="O25243" s="36" t="s">
        <v>48</v>
      </c>
      <c r="R25243" s="36" t="s">
        <v>48</v>
      </c>
    </row>
    <row r="25244">
      <c r="H25244" s="50"/>
      <c r="I25244" s="50"/>
      <c r="O25244" s="36" t="s">
        <v>48</v>
      </c>
      <c r="R25244" s="36" t="s">
        <v>48</v>
      </c>
    </row>
    <row r="25245">
      <c r="H25245" s="50"/>
      <c r="I25245" s="50"/>
      <c r="O25245" s="36" t="s">
        <v>48</v>
      </c>
      <c r="R25245" s="36" t="s">
        <v>48</v>
      </c>
    </row>
    <row r="25246">
      <c r="H25246" s="50"/>
      <c r="I25246" s="50"/>
      <c r="O25246" s="36" t="s">
        <v>48</v>
      </c>
      <c r="R25246" s="36" t="s">
        <v>48</v>
      </c>
    </row>
    <row r="25247">
      <c r="H25247" s="50"/>
      <c r="I25247" s="50"/>
      <c r="O25247" s="36" t="s">
        <v>48</v>
      </c>
      <c r="R25247" s="36" t="s">
        <v>48</v>
      </c>
    </row>
    <row r="25248">
      <c r="H25248" s="50"/>
      <c r="I25248" s="50"/>
      <c r="O25248" s="36" t="s">
        <v>48</v>
      </c>
      <c r="R25248" s="36" t="s">
        <v>48</v>
      </c>
    </row>
    <row r="25249">
      <c r="H25249" s="50"/>
      <c r="I25249" s="50"/>
      <c r="O25249" s="36" t="s">
        <v>48</v>
      </c>
      <c r="R25249" s="36" t="s">
        <v>48</v>
      </c>
    </row>
    <row r="25250">
      <c r="H25250" s="50"/>
      <c r="I25250" s="50"/>
      <c r="O25250" s="36" t="s">
        <v>48</v>
      </c>
      <c r="R25250" s="36" t="s">
        <v>48</v>
      </c>
    </row>
    <row r="25251">
      <c r="H25251" s="50"/>
      <c r="I25251" s="50"/>
      <c r="O25251" s="36" t="s">
        <v>48</v>
      </c>
      <c r="R25251" s="36" t="s">
        <v>48</v>
      </c>
    </row>
    <row r="25252">
      <c r="H25252" s="50"/>
      <c r="I25252" s="50"/>
      <c r="O25252" s="36" t="s">
        <v>48</v>
      </c>
      <c r="R25252" s="36" t="s">
        <v>48</v>
      </c>
    </row>
    <row r="25253">
      <c r="H25253" s="50"/>
      <c r="I25253" s="50"/>
      <c r="O25253" s="36" t="s">
        <v>48</v>
      </c>
      <c r="R25253" s="36" t="s">
        <v>48</v>
      </c>
    </row>
    <row r="25254">
      <c r="H25254" s="50"/>
      <c r="I25254" s="50"/>
      <c r="O25254" s="36" t="s">
        <v>48</v>
      </c>
      <c r="R25254" s="36" t="s">
        <v>48</v>
      </c>
    </row>
    <row r="25255">
      <c r="H25255" s="50"/>
      <c r="I25255" s="50"/>
      <c r="O25255" s="36" t="s">
        <v>48</v>
      </c>
      <c r="R25255" s="36" t="s">
        <v>48</v>
      </c>
    </row>
    <row r="25256">
      <c r="H25256" s="50"/>
      <c r="I25256" s="50"/>
      <c r="O25256" s="36" t="s">
        <v>48</v>
      </c>
      <c r="R25256" s="36" t="s">
        <v>48</v>
      </c>
    </row>
    <row r="25257">
      <c r="H25257" s="50"/>
      <c r="I25257" s="50"/>
      <c r="O25257" s="36" t="s">
        <v>48</v>
      </c>
      <c r="R25257" s="36" t="s">
        <v>48</v>
      </c>
    </row>
    <row r="25258">
      <c r="H25258" s="50"/>
      <c r="I25258" s="50"/>
      <c r="O25258" s="36" t="s">
        <v>48</v>
      </c>
      <c r="R25258" s="36" t="s">
        <v>48</v>
      </c>
    </row>
    <row r="25259">
      <c r="H25259" s="50"/>
      <c r="I25259" s="50"/>
      <c r="O25259" s="36" t="s">
        <v>48</v>
      </c>
      <c r="R25259" s="36" t="s">
        <v>48</v>
      </c>
    </row>
    <row r="25260">
      <c r="H25260" s="50"/>
      <c r="I25260" s="50"/>
      <c r="O25260" s="36" t="s">
        <v>48</v>
      </c>
      <c r="R25260" s="36" t="s">
        <v>48</v>
      </c>
    </row>
    <row r="25261">
      <c r="H25261" s="50"/>
      <c r="I25261" s="50"/>
      <c r="O25261" s="36" t="s">
        <v>48</v>
      </c>
      <c r="R25261" s="36" t="s">
        <v>48</v>
      </c>
    </row>
    <row r="25262">
      <c r="H25262" s="50"/>
      <c r="I25262" s="50"/>
      <c r="O25262" s="36" t="s">
        <v>48</v>
      </c>
      <c r="R25262" s="36" t="s">
        <v>48</v>
      </c>
    </row>
    <row r="25263">
      <c r="H25263" s="50"/>
      <c r="I25263" s="50"/>
      <c r="O25263" s="36" t="s">
        <v>48</v>
      </c>
      <c r="R25263" s="36" t="s">
        <v>48</v>
      </c>
    </row>
    <row r="25264">
      <c r="H25264" s="50"/>
      <c r="I25264" s="50"/>
      <c r="O25264" s="36" t="s">
        <v>48</v>
      </c>
      <c r="R25264" s="36" t="s">
        <v>48</v>
      </c>
    </row>
    <row r="25265">
      <c r="H25265" s="50"/>
      <c r="I25265" s="50"/>
      <c r="O25265" s="36" t="s">
        <v>48</v>
      </c>
      <c r="R25265" s="36" t="s">
        <v>48</v>
      </c>
    </row>
    <row r="25266">
      <c r="H25266" s="50"/>
      <c r="I25266" s="50"/>
      <c r="O25266" s="36" t="s">
        <v>48</v>
      </c>
      <c r="R25266" s="36" t="s">
        <v>48</v>
      </c>
    </row>
    <row r="25267">
      <c r="H25267" s="50"/>
      <c r="I25267" s="50"/>
      <c r="O25267" s="36" t="s">
        <v>48</v>
      </c>
      <c r="R25267" s="36" t="s">
        <v>48</v>
      </c>
    </row>
    <row r="25268">
      <c r="H25268" s="50"/>
      <c r="I25268" s="50"/>
      <c r="O25268" s="36" t="s">
        <v>48</v>
      </c>
      <c r="R25268" s="36" t="s">
        <v>48</v>
      </c>
    </row>
    <row r="25269">
      <c r="H25269" s="50"/>
      <c r="I25269" s="50"/>
      <c r="O25269" s="36" t="s">
        <v>48</v>
      </c>
      <c r="R25269" s="36" t="s">
        <v>48</v>
      </c>
    </row>
    <row r="25270">
      <c r="H25270" s="50"/>
      <c r="I25270" s="50"/>
      <c r="O25270" s="36" t="s">
        <v>48</v>
      </c>
      <c r="R25270" s="36" t="s">
        <v>48</v>
      </c>
    </row>
    <row r="25271">
      <c r="H25271" s="50"/>
      <c r="I25271" s="50"/>
      <c r="O25271" s="36" t="s">
        <v>48</v>
      </c>
      <c r="R25271" s="36" t="s">
        <v>48</v>
      </c>
    </row>
    <row r="25272">
      <c r="H25272" s="50"/>
      <c r="I25272" s="50"/>
      <c r="O25272" s="36" t="s">
        <v>48</v>
      </c>
      <c r="R25272" s="36" t="s">
        <v>48</v>
      </c>
    </row>
    <row r="25273">
      <c r="H25273" s="50"/>
      <c r="I25273" s="50"/>
      <c r="O25273" s="36" t="s">
        <v>48</v>
      </c>
      <c r="R25273" s="36" t="s">
        <v>48</v>
      </c>
    </row>
    <row r="25274">
      <c r="H25274" s="50"/>
      <c r="I25274" s="50"/>
      <c r="O25274" s="36" t="s">
        <v>48</v>
      </c>
      <c r="R25274" s="36" t="s">
        <v>48</v>
      </c>
    </row>
    <row r="25275">
      <c r="H25275" s="50"/>
      <c r="I25275" s="50"/>
      <c r="O25275" s="36" t="s">
        <v>48</v>
      </c>
      <c r="R25275" s="36" t="s">
        <v>48</v>
      </c>
    </row>
    <row r="25276">
      <c r="H25276" s="50"/>
      <c r="I25276" s="50"/>
      <c r="O25276" s="36" t="s">
        <v>48</v>
      </c>
      <c r="R25276" s="36" t="s">
        <v>48</v>
      </c>
    </row>
    <row r="25277">
      <c r="H25277" s="50"/>
      <c r="I25277" s="50"/>
      <c r="O25277" s="36" t="s">
        <v>48</v>
      </c>
      <c r="R25277" s="36" t="s">
        <v>48</v>
      </c>
    </row>
    <row r="25278">
      <c r="H25278" s="50"/>
      <c r="I25278" s="50"/>
      <c r="O25278" s="36" t="s">
        <v>48</v>
      </c>
      <c r="R25278" s="36" t="s">
        <v>48</v>
      </c>
    </row>
    <row r="25279">
      <c r="H25279" s="50"/>
      <c r="I25279" s="50"/>
      <c r="O25279" s="36" t="s">
        <v>48</v>
      </c>
      <c r="R25279" s="36" t="s">
        <v>48</v>
      </c>
    </row>
    <row r="25280">
      <c r="H25280" s="50"/>
      <c r="I25280" s="50"/>
      <c r="O25280" s="36" t="s">
        <v>48</v>
      </c>
      <c r="R25280" s="36" t="s">
        <v>48</v>
      </c>
    </row>
    <row r="25281">
      <c r="H25281" s="50"/>
      <c r="I25281" s="50"/>
      <c r="O25281" s="36" t="s">
        <v>48</v>
      </c>
      <c r="R25281" s="36" t="s">
        <v>48</v>
      </c>
    </row>
    <row r="25282">
      <c r="H25282" s="50"/>
      <c r="I25282" s="50"/>
      <c r="O25282" s="36" t="s">
        <v>48</v>
      </c>
      <c r="R25282" s="36" t="s">
        <v>48</v>
      </c>
    </row>
    <row r="25283">
      <c r="H25283" s="50"/>
      <c r="I25283" s="50"/>
      <c r="O25283" s="36" t="s">
        <v>48</v>
      </c>
      <c r="R25283" s="36" t="s">
        <v>48</v>
      </c>
    </row>
    <row r="25284">
      <c r="H25284" s="50"/>
      <c r="I25284" s="50"/>
      <c r="O25284" s="36" t="s">
        <v>48</v>
      </c>
      <c r="R25284" s="36" t="s">
        <v>48</v>
      </c>
    </row>
    <row r="25285">
      <c r="H25285" s="50"/>
      <c r="I25285" s="50"/>
      <c r="O25285" s="36" t="s">
        <v>48</v>
      </c>
      <c r="R25285" s="36" t="s">
        <v>48</v>
      </c>
    </row>
    <row r="25286">
      <c r="H25286" s="50"/>
      <c r="I25286" s="50"/>
      <c r="O25286" s="36" t="s">
        <v>48</v>
      </c>
      <c r="R25286" s="36" t="s">
        <v>48</v>
      </c>
    </row>
    <row r="25287">
      <c r="H25287" s="50"/>
      <c r="I25287" s="50"/>
      <c r="O25287" s="36" t="s">
        <v>48</v>
      </c>
      <c r="R25287" s="36" t="s">
        <v>48</v>
      </c>
    </row>
    <row r="25288">
      <c r="H25288" s="50"/>
      <c r="I25288" s="50"/>
      <c r="O25288" s="36" t="s">
        <v>48</v>
      </c>
      <c r="R25288" s="36" t="s">
        <v>48</v>
      </c>
    </row>
    <row r="25289">
      <c r="H25289" s="50"/>
      <c r="I25289" s="50"/>
      <c r="O25289" s="36" t="s">
        <v>48</v>
      </c>
      <c r="R25289" s="36" t="s">
        <v>48</v>
      </c>
    </row>
    <row r="25290">
      <c r="H25290" s="50"/>
      <c r="I25290" s="50"/>
      <c r="O25290" s="36" t="s">
        <v>48</v>
      </c>
      <c r="R25290" s="36" t="s">
        <v>48</v>
      </c>
    </row>
    <row r="25291">
      <c r="H25291" s="50"/>
      <c r="I25291" s="50"/>
      <c r="O25291" s="36" t="s">
        <v>48</v>
      </c>
      <c r="R25291" s="36" t="s">
        <v>48</v>
      </c>
    </row>
    <row r="25292">
      <c r="H25292" s="50"/>
      <c r="I25292" s="50"/>
      <c r="O25292" s="36" t="s">
        <v>48</v>
      </c>
      <c r="R25292" s="36" t="s">
        <v>48</v>
      </c>
    </row>
    <row r="25293">
      <c r="H25293" s="50"/>
      <c r="I25293" s="50"/>
      <c r="O25293" s="36" t="s">
        <v>48</v>
      </c>
      <c r="R25293" s="36" t="s">
        <v>48</v>
      </c>
    </row>
    <row r="25294">
      <c r="H25294" s="50"/>
      <c r="I25294" s="50"/>
      <c r="O25294" s="36" t="s">
        <v>48</v>
      </c>
      <c r="R25294" s="36" t="s">
        <v>48</v>
      </c>
    </row>
    <row r="25295">
      <c r="H25295" s="50"/>
      <c r="I25295" s="50"/>
      <c r="O25295" s="36" t="s">
        <v>48</v>
      </c>
      <c r="R25295" s="36" t="s">
        <v>48</v>
      </c>
    </row>
    <row r="25296">
      <c r="H25296" s="50"/>
      <c r="I25296" s="50"/>
      <c r="O25296" s="36" t="s">
        <v>48</v>
      </c>
      <c r="R25296" s="36" t="s">
        <v>48</v>
      </c>
    </row>
    <row r="25297">
      <c r="H25297" s="50"/>
      <c r="I25297" s="50"/>
      <c r="O25297" s="36" t="s">
        <v>48</v>
      </c>
      <c r="R25297" s="36" t="s">
        <v>48</v>
      </c>
    </row>
    <row r="25298">
      <c r="H25298" s="50"/>
      <c r="I25298" s="50"/>
      <c r="O25298" s="36" t="s">
        <v>48</v>
      </c>
      <c r="R25298" s="36" t="s">
        <v>48</v>
      </c>
    </row>
    <row r="25299">
      <c r="H25299" s="50"/>
      <c r="I25299" s="50"/>
      <c r="O25299" s="36" t="s">
        <v>48</v>
      </c>
      <c r="R25299" s="36" t="s">
        <v>48</v>
      </c>
    </row>
    <row r="25300">
      <c r="H25300" s="50"/>
      <c r="I25300" s="50"/>
      <c r="O25300" s="36" t="s">
        <v>48</v>
      </c>
      <c r="R25300" s="36" t="s">
        <v>48</v>
      </c>
    </row>
    <row r="25301">
      <c r="H25301" s="50"/>
      <c r="I25301" s="50"/>
      <c r="O25301" s="36" t="s">
        <v>48</v>
      </c>
      <c r="R25301" s="36" t="s">
        <v>48</v>
      </c>
    </row>
    <row r="25302">
      <c r="H25302" s="50"/>
      <c r="I25302" s="50"/>
      <c r="O25302" s="36" t="s">
        <v>48</v>
      </c>
      <c r="R25302" s="36" t="s">
        <v>48</v>
      </c>
    </row>
    <row r="25303">
      <c r="H25303" s="50"/>
      <c r="I25303" s="50"/>
      <c r="O25303" s="36" t="s">
        <v>48</v>
      </c>
      <c r="R25303" s="36" t="s">
        <v>48</v>
      </c>
    </row>
    <row r="25304">
      <c r="H25304" s="50"/>
      <c r="I25304" s="50"/>
      <c r="O25304" s="36" t="s">
        <v>48</v>
      </c>
      <c r="R25304" s="36" t="s">
        <v>48</v>
      </c>
    </row>
    <row r="25305">
      <c r="H25305" s="50"/>
      <c r="I25305" s="50"/>
      <c r="O25305" s="36" t="s">
        <v>48</v>
      </c>
      <c r="R25305" s="36" t="s">
        <v>48</v>
      </c>
    </row>
    <row r="25306">
      <c r="H25306" s="50"/>
      <c r="I25306" s="50"/>
      <c r="O25306" s="36" t="s">
        <v>48</v>
      </c>
      <c r="R25306" s="36" t="s">
        <v>48</v>
      </c>
    </row>
    <row r="25307">
      <c r="H25307" s="50"/>
      <c r="I25307" s="50"/>
      <c r="O25307" s="36" t="s">
        <v>48</v>
      </c>
      <c r="R25307" s="36" t="s">
        <v>48</v>
      </c>
    </row>
    <row r="25308">
      <c r="H25308" s="50"/>
      <c r="I25308" s="50"/>
      <c r="O25308" s="36" t="s">
        <v>48</v>
      </c>
      <c r="R25308" s="36" t="s">
        <v>48</v>
      </c>
    </row>
    <row r="25309">
      <c r="H25309" s="50"/>
      <c r="I25309" s="50"/>
      <c r="O25309" s="36" t="s">
        <v>48</v>
      </c>
      <c r="R25309" s="36" t="s">
        <v>48</v>
      </c>
    </row>
    <row r="25310">
      <c r="H25310" s="50"/>
      <c r="I25310" s="50"/>
      <c r="O25310" s="36" t="s">
        <v>48</v>
      </c>
      <c r="R25310" s="36" t="s">
        <v>48</v>
      </c>
    </row>
    <row r="25311">
      <c r="H25311" s="50"/>
      <c r="I25311" s="50"/>
      <c r="O25311" s="36" t="s">
        <v>48</v>
      </c>
      <c r="R25311" s="36" t="s">
        <v>48</v>
      </c>
    </row>
    <row r="25312">
      <c r="H25312" s="50"/>
      <c r="I25312" s="50"/>
      <c r="O25312" s="36" t="s">
        <v>48</v>
      </c>
      <c r="R25312" s="36" t="s">
        <v>48</v>
      </c>
    </row>
    <row r="25313">
      <c r="H25313" s="50"/>
      <c r="I25313" s="50"/>
      <c r="O25313" s="36" t="s">
        <v>48</v>
      </c>
      <c r="R25313" s="36" t="s">
        <v>48</v>
      </c>
    </row>
    <row r="25314">
      <c r="H25314" s="50"/>
      <c r="I25314" s="50"/>
      <c r="O25314" s="36" t="s">
        <v>48</v>
      </c>
      <c r="R25314" s="36" t="s">
        <v>48</v>
      </c>
    </row>
    <row r="25315">
      <c r="H25315" s="50"/>
      <c r="I25315" s="50"/>
      <c r="O25315" s="36" t="s">
        <v>48</v>
      </c>
      <c r="R25315" s="36" t="s">
        <v>48</v>
      </c>
    </row>
    <row r="25316">
      <c r="H25316" s="50"/>
      <c r="I25316" s="50"/>
      <c r="O25316" s="36" t="s">
        <v>48</v>
      </c>
      <c r="R25316" s="36" t="s">
        <v>48</v>
      </c>
    </row>
    <row r="25317">
      <c r="H25317" s="50"/>
      <c r="I25317" s="50"/>
      <c r="O25317" s="36" t="s">
        <v>48</v>
      </c>
      <c r="R25317" s="36" t="s">
        <v>48</v>
      </c>
    </row>
    <row r="25318">
      <c r="H25318" s="50"/>
      <c r="I25318" s="50"/>
      <c r="O25318" s="36" t="s">
        <v>48</v>
      </c>
      <c r="R25318" s="36" t="s">
        <v>48</v>
      </c>
    </row>
    <row r="25319">
      <c r="H25319" s="50"/>
      <c r="I25319" s="50"/>
      <c r="O25319" s="36" t="s">
        <v>48</v>
      </c>
      <c r="R25319" s="36" t="s">
        <v>48</v>
      </c>
    </row>
    <row r="25320">
      <c r="H25320" s="50"/>
      <c r="I25320" s="50"/>
      <c r="O25320" s="36" t="s">
        <v>48</v>
      </c>
      <c r="R25320" s="36" t="s">
        <v>48</v>
      </c>
    </row>
    <row r="25321">
      <c r="H25321" s="50"/>
      <c r="I25321" s="50"/>
      <c r="O25321" s="36" t="s">
        <v>48</v>
      </c>
      <c r="R25321" s="36" t="s">
        <v>48</v>
      </c>
    </row>
    <row r="25322">
      <c r="H25322" s="50"/>
      <c r="I25322" s="50"/>
      <c r="O25322" s="36" t="s">
        <v>48</v>
      </c>
      <c r="R25322" s="36" t="s">
        <v>48</v>
      </c>
    </row>
    <row r="25323">
      <c r="H25323" s="50"/>
      <c r="I25323" s="50"/>
      <c r="O25323" s="36" t="s">
        <v>48</v>
      </c>
      <c r="R25323" s="36" t="s">
        <v>48</v>
      </c>
    </row>
    <row r="25324">
      <c r="H25324" s="50"/>
      <c r="I25324" s="50"/>
      <c r="O25324" s="36" t="s">
        <v>48</v>
      </c>
      <c r="R25324" s="36" t="s">
        <v>48</v>
      </c>
    </row>
    <row r="25325">
      <c r="H25325" s="50"/>
      <c r="I25325" s="50"/>
      <c r="O25325" s="36" t="s">
        <v>48</v>
      </c>
      <c r="R25325" s="36" t="s">
        <v>48</v>
      </c>
    </row>
    <row r="25326">
      <c r="H25326" s="50"/>
      <c r="I25326" s="50"/>
      <c r="O25326" s="36" t="s">
        <v>48</v>
      </c>
      <c r="R25326" s="36" t="s">
        <v>48</v>
      </c>
    </row>
    <row r="25327">
      <c r="H25327" s="50"/>
      <c r="I25327" s="50"/>
      <c r="O25327" s="36" t="s">
        <v>48</v>
      </c>
      <c r="R25327" s="36" t="s">
        <v>48</v>
      </c>
    </row>
    <row r="25328">
      <c r="H25328" s="50"/>
      <c r="I25328" s="50"/>
      <c r="O25328" s="36" t="s">
        <v>48</v>
      </c>
      <c r="R25328" s="36" t="s">
        <v>48</v>
      </c>
    </row>
    <row r="25329">
      <c r="H25329" s="50"/>
      <c r="I25329" s="50"/>
      <c r="O25329" s="36" t="s">
        <v>48</v>
      </c>
      <c r="R25329" s="36" t="s">
        <v>48</v>
      </c>
    </row>
    <row r="25330">
      <c r="H25330" s="50"/>
      <c r="I25330" s="50"/>
      <c r="O25330" s="36" t="s">
        <v>48</v>
      </c>
      <c r="R25330" s="36" t="s">
        <v>48</v>
      </c>
    </row>
    <row r="25331">
      <c r="H25331" s="50"/>
      <c r="I25331" s="50"/>
      <c r="O25331" s="36" t="s">
        <v>48</v>
      </c>
      <c r="R25331" s="36" t="s">
        <v>48</v>
      </c>
    </row>
    <row r="25332">
      <c r="H25332" s="50"/>
      <c r="I25332" s="50"/>
      <c r="O25332" s="36" t="s">
        <v>48</v>
      </c>
      <c r="R25332" s="36" t="s">
        <v>48</v>
      </c>
    </row>
    <row r="25333">
      <c r="H25333" s="50"/>
      <c r="I25333" s="50"/>
      <c r="O25333" s="36" t="s">
        <v>48</v>
      </c>
      <c r="R25333" s="36" t="s">
        <v>48</v>
      </c>
    </row>
    <row r="25334">
      <c r="H25334" s="50"/>
      <c r="I25334" s="50"/>
      <c r="O25334" s="36" t="s">
        <v>48</v>
      </c>
      <c r="R25334" s="36" t="s">
        <v>48</v>
      </c>
    </row>
    <row r="25335">
      <c r="H25335" s="50"/>
      <c r="I25335" s="50"/>
      <c r="O25335" s="36" t="s">
        <v>48</v>
      </c>
      <c r="R25335" s="36" t="s">
        <v>48</v>
      </c>
    </row>
    <row r="25336">
      <c r="H25336" s="50"/>
      <c r="I25336" s="50"/>
      <c r="O25336" s="36" t="s">
        <v>48</v>
      </c>
      <c r="R25336" s="36" t="s">
        <v>48</v>
      </c>
    </row>
    <row r="25337">
      <c r="H25337" s="50"/>
      <c r="I25337" s="50"/>
      <c r="O25337" s="36" t="s">
        <v>48</v>
      </c>
      <c r="R25337" s="36" t="s">
        <v>48</v>
      </c>
    </row>
    <row r="25338">
      <c r="H25338" s="50"/>
      <c r="I25338" s="50"/>
      <c r="O25338" s="36" t="s">
        <v>48</v>
      </c>
      <c r="R25338" s="36" t="s">
        <v>48</v>
      </c>
    </row>
    <row r="25339">
      <c r="H25339" s="50"/>
      <c r="I25339" s="50"/>
      <c r="O25339" s="36" t="s">
        <v>48</v>
      </c>
      <c r="R25339" s="36" t="s">
        <v>48</v>
      </c>
    </row>
    <row r="25340">
      <c r="H25340" s="50"/>
      <c r="I25340" s="50"/>
      <c r="O25340" s="36" t="s">
        <v>48</v>
      </c>
      <c r="R25340" s="36" t="s">
        <v>48</v>
      </c>
    </row>
    <row r="25341">
      <c r="H25341" s="50"/>
      <c r="I25341" s="50"/>
      <c r="O25341" s="36" t="s">
        <v>48</v>
      </c>
      <c r="R25341" s="36" t="s">
        <v>48</v>
      </c>
    </row>
    <row r="25342">
      <c r="H25342" s="50"/>
      <c r="I25342" s="50"/>
      <c r="O25342" s="36" t="s">
        <v>48</v>
      </c>
      <c r="R25342" s="36" t="s">
        <v>48</v>
      </c>
    </row>
    <row r="25343">
      <c r="H25343" s="50"/>
      <c r="I25343" s="50"/>
      <c r="O25343" s="36" t="s">
        <v>48</v>
      </c>
      <c r="R25343" s="36" t="s">
        <v>48</v>
      </c>
    </row>
    <row r="25344">
      <c r="H25344" s="50"/>
      <c r="I25344" s="50"/>
      <c r="O25344" s="36" t="s">
        <v>48</v>
      </c>
      <c r="R25344" s="36" t="s">
        <v>48</v>
      </c>
    </row>
    <row r="25345">
      <c r="H25345" s="50"/>
      <c r="I25345" s="50"/>
      <c r="O25345" s="36" t="s">
        <v>48</v>
      </c>
      <c r="R25345" s="36" t="s">
        <v>48</v>
      </c>
    </row>
    <row r="25346">
      <c r="H25346" s="50"/>
      <c r="I25346" s="50"/>
      <c r="O25346" s="36" t="s">
        <v>48</v>
      </c>
      <c r="R25346" s="36" t="s">
        <v>48</v>
      </c>
    </row>
    <row r="25347">
      <c r="H25347" s="50"/>
      <c r="I25347" s="50"/>
      <c r="O25347" s="36" t="s">
        <v>48</v>
      </c>
      <c r="R25347" s="36" t="s">
        <v>48</v>
      </c>
    </row>
    <row r="25348">
      <c r="H25348" s="50"/>
      <c r="I25348" s="50"/>
      <c r="O25348" s="36" t="s">
        <v>48</v>
      </c>
      <c r="R25348" s="36" t="s">
        <v>48</v>
      </c>
    </row>
    <row r="25349">
      <c r="H25349" s="50"/>
      <c r="I25349" s="50"/>
      <c r="O25349" s="36" t="s">
        <v>48</v>
      </c>
      <c r="R25349" s="36" t="s">
        <v>48</v>
      </c>
    </row>
    <row r="25350">
      <c r="H25350" s="50"/>
      <c r="I25350" s="50"/>
      <c r="O25350" s="36" t="s">
        <v>48</v>
      </c>
      <c r="R25350" s="36" t="s">
        <v>48</v>
      </c>
    </row>
    <row r="25351">
      <c r="H25351" s="50"/>
      <c r="I25351" s="50"/>
      <c r="O25351" s="36" t="s">
        <v>48</v>
      </c>
      <c r="R25351" s="36" t="s">
        <v>48</v>
      </c>
    </row>
    <row r="25352">
      <c r="H25352" s="50"/>
      <c r="I25352" s="50"/>
      <c r="O25352" s="36" t="s">
        <v>48</v>
      </c>
      <c r="R25352" s="36" t="s">
        <v>48</v>
      </c>
    </row>
    <row r="25353">
      <c r="H25353" s="50"/>
      <c r="I25353" s="50"/>
      <c r="O25353" s="36" t="s">
        <v>48</v>
      </c>
      <c r="R25353" s="36" t="s">
        <v>48</v>
      </c>
    </row>
    <row r="25354">
      <c r="H25354" s="50"/>
      <c r="I25354" s="50"/>
      <c r="O25354" s="36" t="s">
        <v>48</v>
      </c>
      <c r="R25354" s="36" t="s">
        <v>48</v>
      </c>
    </row>
    <row r="25355">
      <c r="H25355" s="50"/>
      <c r="I25355" s="50"/>
      <c r="O25355" s="36" t="s">
        <v>48</v>
      </c>
      <c r="R25355" s="36" t="s">
        <v>48</v>
      </c>
    </row>
    <row r="25356">
      <c r="H25356" s="50"/>
      <c r="I25356" s="50"/>
      <c r="O25356" s="36" t="s">
        <v>48</v>
      </c>
      <c r="R25356" s="36" t="s">
        <v>48</v>
      </c>
    </row>
    <row r="25357">
      <c r="H25357" s="50"/>
      <c r="I25357" s="50"/>
      <c r="O25357" s="36" t="s">
        <v>48</v>
      </c>
      <c r="R25357" s="36" t="s">
        <v>48</v>
      </c>
    </row>
    <row r="25358">
      <c r="H25358" s="50"/>
      <c r="I25358" s="50"/>
      <c r="O25358" s="36" t="s">
        <v>48</v>
      </c>
      <c r="R25358" s="36" t="s">
        <v>48</v>
      </c>
    </row>
    <row r="25359">
      <c r="H25359" s="50"/>
      <c r="I25359" s="50"/>
      <c r="O25359" s="36" t="s">
        <v>48</v>
      </c>
      <c r="R25359" s="36" t="s">
        <v>48</v>
      </c>
    </row>
    <row r="25360">
      <c r="H25360" s="50"/>
      <c r="I25360" s="50"/>
      <c r="O25360" s="36" t="s">
        <v>48</v>
      </c>
      <c r="R25360" s="36" t="s">
        <v>48</v>
      </c>
    </row>
    <row r="25361">
      <c r="H25361" s="50"/>
      <c r="I25361" s="50"/>
      <c r="O25361" s="36" t="s">
        <v>48</v>
      </c>
      <c r="R25361" s="36" t="s">
        <v>48</v>
      </c>
    </row>
    <row r="25362">
      <c r="H25362" s="50"/>
      <c r="I25362" s="50"/>
      <c r="O25362" s="36" t="s">
        <v>48</v>
      </c>
      <c r="R25362" s="36" t="s">
        <v>48</v>
      </c>
    </row>
    <row r="25363">
      <c r="H25363" s="50"/>
      <c r="I25363" s="50"/>
      <c r="O25363" s="36" t="s">
        <v>48</v>
      </c>
      <c r="R25363" s="36" t="s">
        <v>48</v>
      </c>
    </row>
    <row r="25364">
      <c r="H25364" s="50"/>
      <c r="I25364" s="50"/>
      <c r="O25364" s="36" t="s">
        <v>48</v>
      </c>
      <c r="R25364" s="36" t="s">
        <v>48</v>
      </c>
    </row>
    <row r="25365">
      <c r="H25365" s="50"/>
      <c r="I25365" s="50"/>
      <c r="O25365" s="36" t="s">
        <v>48</v>
      </c>
      <c r="R25365" s="36" t="s">
        <v>48</v>
      </c>
    </row>
    <row r="25366">
      <c r="H25366" s="50"/>
      <c r="I25366" s="50"/>
      <c r="O25366" s="36" t="s">
        <v>48</v>
      </c>
      <c r="R25366" s="36" t="s">
        <v>48</v>
      </c>
    </row>
    <row r="25367">
      <c r="H25367" s="50"/>
      <c r="I25367" s="50"/>
      <c r="O25367" s="36" t="s">
        <v>48</v>
      </c>
      <c r="R25367" s="36" t="s">
        <v>48</v>
      </c>
    </row>
    <row r="25368">
      <c r="H25368" s="50"/>
      <c r="I25368" s="50"/>
      <c r="O25368" s="36" t="s">
        <v>48</v>
      </c>
      <c r="R25368" s="36" t="s">
        <v>48</v>
      </c>
    </row>
    <row r="25369">
      <c r="H25369" s="50"/>
      <c r="I25369" s="50"/>
      <c r="O25369" s="36" t="s">
        <v>48</v>
      </c>
      <c r="R25369" s="36" t="s">
        <v>48</v>
      </c>
    </row>
    <row r="25370">
      <c r="H25370" s="50"/>
      <c r="I25370" s="50"/>
      <c r="O25370" s="36" t="s">
        <v>48</v>
      </c>
      <c r="R25370" s="36" t="s">
        <v>48</v>
      </c>
    </row>
    <row r="25371">
      <c r="H25371" s="50"/>
      <c r="I25371" s="50"/>
      <c r="O25371" s="36" t="s">
        <v>48</v>
      </c>
      <c r="R25371" s="36" t="s">
        <v>48</v>
      </c>
    </row>
    <row r="25372">
      <c r="H25372" s="50"/>
      <c r="I25372" s="50"/>
      <c r="O25372" s="36" t="s">
        <v>48</v>
      </c>
      <c r="R25372" s="36" t="s">
        <v>48</v>
      </c>
    </row>
    <row r="25373">
      <c r="H25373" s="50"/>
      <c r="I25373" s="50"/>
      <c r="O25373" s="36" t="s">
        <v>48</v>
      </c>
      <c r="R25373" s="36" t="s">
        <v>48</v>
      </c>
    </row>
    <row r="25374">
      <c r="H25374" s="50"/>
      <c r="I25374" s="50"/>
      <c r="O25374" s="36" t="s">
        <v>48</v>
      </c>
      <c r="R25374" s="36" t="s">
        <v>48</v>
      </c>
    </row>
    <row r="25375">
      <c r="H25375" s="50"/>
      <c r="I25375" s="50"/>
      <c r="O25375" s="36" t="s">
        <v>48</v>
      </c>
      <c r="R25375" s="36" t="s">
        <v>48</v>
      </c>
    </row>
    <row r="25376">
      <c r="H25376" s="50"/>
      <c r="I25376" s="50"/>
      <c r="O25376" s="36" t="s">
        <v>48</v>
      </c>
      <c r="R25376" s="36" t="s">
        <v>48</v>
      </c>
    </row>
    <row r="25377">
      <c r="H25377" s="50"/>
      <c r="I25377" s="50"/>
      <c r="O25377" s="36" t="s">
        <v>48</v>
      </c>
      <c r="R25377" s="36" t="s">
        <v>48</v>
      </c>
    </row>
    <row r="25378">
      <c r="H25378" s="50"/>
      <c r="I25378" s="50"/>
      <c r="O25378" s="36" t="s">
        <v>48</v>
      </c>
      <c r="R25378" s="36" t="s">
        <v>48</v>
      </c>
    </row>
    <row r="25379">
      <c r="H25379" s="50"/>
      <c r="I25379" s="50"/>
      <c r="O25379" s="36" t="s">
        <v>48</v>
      </c>
      <c r="R25379" s="36" t="s">
        <v>48</v>
      </c>
    </row>
    <row r="25380">
      <c r="H25380" s="50"/>
      <c r="I25380" s="50"/>
      <c r="O25380" s="36" t="s">
        <v>48</v>
      </c>
      <c r="R25380" s="36" t="s">
        <v>48</v>
      </c>
    </row>
    <row r="25381">
      <c r="H25381" s="50"/>
      <c r="I25381" s="50"/>
      <c r="O25381" s="36" t="s">
        <v>48</v>
      </c>
      <c r="R25381" s="36" t="s">
        <v>48</v>
      </c>
    </row>
    <row r="25382">
      <c r="H25382" s="50"/>
      <c r="I25382" s="50"/>
      <c r="O25382" s="36" t="s">
        <v>48</v>
      </c>
      <c r="R25382" s="36" t="s">
        <v>48</v>
      </c>
    </row>
    <row r="25383">
      <c r="H25383" s="50"/>
      <c r="I25383" s="50"/>
      <c r="O25383" s="36" t="s">
        <v>48</v>
      </c>
      <c r="R25383" s="36" t="s">
        <v>48</v>
      </c>
    </row>
    <row r="25384">
      <c r="H25384" s="50"/>
      <c r="I25384" s="50"/>
      <c r="O25384" s="36" t="s">
        <v>48</v>
      </c>
      <c r="R25384" s="36" t="s">
        <v>48</v>
      </c>
    </row>
    <row r="25385">
      <c r="H25385" s="50"/>
      <c r="I25385" s="50"/>
      <c r="O25385" s="36" t="s">
        <v>48</v>
      </c>
      <c r="R25385" s="36" t="s">
        <v>48</v>
      </c>
    </row>
    <row r="25386">
      <c r="H25386" s="50"/>
      <c r="I25386" s="50"/>
      <c r="O25386" s="36" t="s">
        <v>48</v>
      </c>
      <c r="R25386" s="36" t="s">
        <v>48</v>
      </c>
    </row>
    <row r="25387">
      <c r="H25387" s="50"/>
      <c r="I25387" s="50"/>
      <c r="O25387" s="36" t="s">
        <v>48</v>
      </c>
      <c r="R25387" s="36" t="s">
        <v>48</v>
      </c>
    </row>
    <row r="25388">
      <c r="H25388" s="50"/>
      <c r="I25388" s="50"/>
      <c r="O25388" s="36" t="s">
        <v>48</v>
      </c>
      <c r="R25388" s="36" t="s">
        <v>48</v>
      </c>
    </row>
    <row r="25389">
      <c r="H25389" s="50"/>
      <c r="I25389" s="50"/>
      <c r="O25389" s="36" t="s">
        <v>48</v>
      </c>
      <c r="R25389" s="36" t="s">
        <v>48</v>
      </c>
    </row>
    <row r="25390">
      <c r="H25390" s="50"/>
      <c r="I25390" s="50"/>
      <c r="O25390" s="36" t="s">
        <v>48</v>
      </c>
      <c r="R25390" s="36" t="s">
        <v>48</v>
      </c>
    </row>
    <row r="25391">
      <c r="H25391" s="50"/>
      <c r="I25391" s="50"/>
      <c r="O25391" s="36" t="s">
        <v>48</v>
      </c>
      <c r="R25391" s="36" t="s">
        <v>48</v>
      </c>
    </row>
    <row r="25392">
      <c r="H25392" s="50"/>
      <c r="I25392" s="50"/>
      <c r="O25392" s="36" t="s">
        <v>48</v>
      </c>
      <c r="R25392" s="36" t="s">
        <v>48</v>
      </c>
    </row>
    <row r="25393">
      <c r="H25393" s="50"/>
      <c r="I25393" s="50"/>
      <c r="O25393" s="36" t="s">
        <v>48</v>
      </c>
      <c r="R25393" s="36" t="s">
        <v>48</v>
      </c>
    </row>
    <row r="25394">
      <c r="H25394" s="50"/>
      <c r="I25394" s="50"/>
      <c r="O25394" s="36" t="s">
        <v>48</v>
      </c>
      <c r="R25394" s="36" t="s">
        <v>48</v>
      </c>
    </row>
    <row r="25395">
      <c r="H25395" s="50"/>
      <c r="I25395" s="50"/>
      <c r="O25395" s="36" t="s">
        <v>48</v>
      </c>
      <c r="R25395" s="36" t="s">
        <v>48</v>
      </c>
    </row>
    <row r="25396">
      <c r="H25396" s="50"/>
      <c r="I25396" s="50"/>
      <c r="O25396" s="36" t="s">
        <v>48</v>
      </c>
      <c r="R25396" s="36" t="s">
        <v>48</v>
      </c>
    </row>
    <row r="25397">
      <c r="H25397" s="50"/>
      <c r="I25397" s="50"/>
      <c r="O25397" s="36" t="s">
        <v>48</v>
      </c>
      <c r="R25397" s="36" t="s">
        <v>48</v>
      </c>
    </row>
    <row r="25398">
      <c r="H25398" s="50"/>
      <c r="I25398" s="50"/>
      <c r="O25398" s="36" t="s">
        <v>48</v>
      </c>
      <c r="R25398" s="36" t="s">
        <v>48</v>
      </c>
    </row>
    <row r="25399">
      <c r="H25399" s="50"/>
      <c r="I25399" s="50"/>
      <c r="O25399" s="36" t="s">
        <v>48</v>
      </c>
      <c r="R25399" s="36" t="s">
        <v>48</v>
      </c>
    </row>
    <row r="25400">
      <c r="H25400" s="50"/>
      <c r="I25400" s="50"/>
      <c r="O25400" s="36" t="s">
        <v>48</v>
      </c>
      <c r="R25400" s="36" t="s">
        <v>48</v>
      </c>
    </row>
    <row r="25401">
      <c r="H25401" s="50"/>
      <c r="I25401" s="50"/>
      <c r="O25401" s="36" t="s">
        <v>48</v>
      </c>
      <c r="R25401" s="36" t="s">
        <v>48</v>
      </c>
    </row>
    <row r="25402">
      <c r="H25402" s="50"/>
      <c r="I25402" s="50"/>
      <c r="O25402" s="36" t="s">
        <v>48</v>
      </c>
      <c r="R25402" s="36" t="s">
        <v>48</v>
      </c>
    </row>
    <row r="25403">
      <c r="H25403" s="50"/>
      <c r="I25403" s="50"/>
      <c r="O25403" s="36" t="s">
        <v>48</v>
      </c>
      <c r="R25403" s="36" t="s">
        <v>48</v>
      </c>
    </row>
    <row r="25404">
      <c r="H25404" s="50"/>
      <c r="I25404" s="50"/>
      <c r="O25404" s="36" t="s">
        <v>48</v>
      </c>
      <c r="R25404" s="36" t="s">
        <v>48</v>
      </c>
    </row>
    <row r="25405">
      <c r="H25405" s="50"/>
      <c r="I25405" s="50"/>
      <c r="O25405" s="36" t="s">
        <v>48</v>
      </c>
      <c r="R25405" s="36" t="s">
        <v>48</v>
      </c>
    </row>
    <row r="25406">
      <c r="H25406" s="50"/>
      <c r="I25406" s="50"/>
      <c r="O25406" s="36" t="s">
        <v>48</v>
      </c>
      <c r="R25406" s="36" t="s">
        <v>48</v>
      </c>
    </row>
    <row r="25407">
      <c r="H25407" s="50"/>
      <c r="I25407" s="50"/>
      <c r="O25407" s="36" t="s">
        <v>48</v>
      </c>
      <c r="R25407" s="36" t="s">
        <v>48</v>
      </c>
    </row>
    <row r="25408">
      <c r="H25408" s="50"/>
      <c r="I25408" s="50"/>
      <c r="O25408" s="36" t="s">
        <v>48</v>
      </c>
      <c r="R25408" s="36" t="s">
        <v>48</v>
      </c>
    </row>
    <row r="25409">
      <c r="H25409" s="50"/>
      <c r="I25409" s="50"/>
      <c r="O25409" s="36" t="s">
        <v>48</v>
      </c>
      <c r="R25409" s="36" t="s">
        <v>48</v>
      </c>
    </row>
    <row r="25410">
      <c r="H25410" s="50"/>
      <c r="I25410" s="50"/>
      <c r="O25410" s="36" t="s">
        <v>48</v>
      </c>
      <c r="R25410" s="36" t="s">
        <v>48</v>
      </c>
    </row>
    <row r="25411">
      <c r="H25411" s="50"/>
      <c r="I25411" s="50"/>
      <c r="O25411" s="36" t="s">
        <v>48</v>
      </c>
      <c r="R25411" s="36" t="s">
        <v>48</v>
      </c>
    </row>
    <row r="25412">
      <c r="H25412" s="50"/>
      <c r="I25412" s="50"/>
      <c r="O25412" s="36" t="s">
        <v>48</v>
      </c>
      <c r="R25412" s="36" t="s">
        <v>48</v>
      </c>
    </row>
    <row r="25413">
      <c r="H25413" s="50"/>
      <c r="I25413" s="50"/>
      <c r="O25413" s="36" t="s">
        <v>48</v>
      </c>
      <c r="R25413" s="36" t="s">
        <v>48</v>
      </c>
    </row>
    <row r="25414">
      <c r="H25414" s="50"/>
      <c r="I25414" s="50"/>
      <c r="O25414" s="36" t="s">
        <v>48</v>
      </c>
      <c r="R25414" s="36" t="s">
        <v>48</v>
      </c>
    </row>
    <row r="25415">
      <c r="H25415" s="50"/>
      <c r="I25415" s="50"/>
      <c r="O25415" s="36" t="s">
        <v>48</v>
      </c>
      <c r="R25415" s="36" t="s">
        <v>48</v>
      </c>
    </row>
    <row r="25416">
      <c r="H25416" s="50"/>
      <c r="I25416" s="50"/>
      <c r="O25416" s="36" t="s">
        <v>48</v>
      </c>
      <c r="R25416" s="36" t="s">
        <v>48</v>
      </c>
    </row>
    <row r="25417">
      <c r="H25417" s="50"/>
      <c r="I25417" s="50"/>
      <c r="O25417" s="36" t="s">
        <v>48</v>
      </c>
      <c r="R25417" s="36" t="s">
        <v>48</v>
      </c>
    </row>
    <row r="25418">
      <c r="H25418" s="50"/>
      <c r="I25418" s="50"/>
      <c r="O25418" s="36" t="s">
        <v>48</v>
      </c>
      <c r="R25418" s="36" t="s">
        <v>48</v>
      </c>
    </row>
    <row r="25419">
      <c r="H25419" s="50"/>
      <c r="I25419" s="50"/>
      <c r="O25419" s="36" t="s">
        <v>48</v>
      </c>
      <c r="R25419" s="36" t="s">
        <v>48</v>
      </c>
    </row>
    <row r="25420">
      <c r="H25420" s="50"/>
      <c r="I25420" s="50"/>
      <c r="O25420" s="36" t="s">
        <v>48</v>
      </c>
      <c r="R25420" s="36" t="s">
        <v>48</v>
      </c>
    </row>
    <row r="25421">
      <c r="H25421" s="50"/>
      <c r="I25421" s="50"/>
      <c r="O25421" s="36" t="s">
        <v>48</v>
      </c>
      <c r="R25421" s="36" t="s">
        <v>48</v>
      </c>
    </row>
    <row r="25422">
      <c r="H25422" s="50"/>
      <c r="I25422" s="50"/>
      <c r="O25422" s="36" t="s">
        <v>48</v>
      </c>
      <c r="R25422" s="36" t="s">
        <v>48</v>
      </c>
    </row>
    <row r="25423">
      <c r="H25423" s="50"/>
      <c r="I25423" s="50"/>
      <c r="O25423" s="36" t="s">
        <v>48</v>
      </c>
      <c r="R25423" s="36" t="s">
        <v>48</v>
      </c>
    </row>
    <row r="25424">
      <c r="H25424" s="50"/>
      <c r="I25424" s="50"/>
      <c r="O25424" s="36" t="s">
        <v>48</v>
      </c>
      <c r="R25424" s="36" t="s">
        <v>48</v>
      </c>
    </row>
    <row r="25425">
      <c r="H25425" s="50"/>
      <c r="I25425" s="50"/>
      <c r="O25425" s="36" t="s">
        <v>48</v>
      </c>
      <c r="R25425" s="36" t="s">
        <v>48</v>
      </c>
    </row>
    <row r="25426">
      <c r="H25426" s="50"/>
      <c r="I25426" s="50"/>
      <c r="O25426" s="36" t="s">
        <v>48</v>
      </c>
      <c r="R25426" s="36" t="s">
        <v>48</v>
      </c>
    </row>
    <row r="25427">
      <c r="H25427" s="50"/>
      <c r="I25427" s="50"/>
      <c r="O25427" s="36" t="s">
        <v>48</v>
      </c>
      <c r="R25427" s="36" t="s">
        <v>48</v>
      </c>
    </row>
    <row r="25428">
      <c r="H25428" s="50"/>
      <c r="I25428" s="50"/>
      <c r="O25428" s="36" t="s">
        <v>48</v>
      </c>
      <c r="R25428" s="36" t="s">
        <v>48</v>
      </c>
    </row>
    <row r="25429">
      <c r="H25429" s="50"/>
      <c r="I25429" s="50"/>
      <c r="O25429" s="36" t="s">
        <v>48</v>
      </c>
      <c r="R25429" s="36" t="s">
        <v>48</v>
      </c>
    </row>
    <row r="25430">
      <c r="H25430" s="50"/>
      <c r="I25430" s="50"/>
      <c r="O25430" s="36" t="s">
        <v>48</v>
      </c>
      <c r="R25430" s="36" t="s">
        <v>48</v>
      </c>
    </row>
    <row r="25431">
      <c r="H25431" s="50"/>
      <c r="I25431" s="50"/>
      <c r="O25431" s="36" t="s">
        <v>48</v>
      </c>
      <c r="R25431" s="36" t="s">
        <v>48</v>
      </c>
    </row>
    <row r="25432">
      <c r="H25432" s="50"/>
      <c r="I25432" s="50"/>
      <c r="O25432" s="36" t="s">
        <v>48</v>
      </c>
      <c r="R25432" s="36" t="s">
        <v>48</v>
      </c>
    </row>
    <row r="25433">
      <c r="H25433" s="50"/>
      <c r="I25433" s="50"/>
      <c r="O25433" s="36" t="s">
        <v>48</v>
      </c>
      <c r="R25433" s="36" t="s">
        <v>48</v>
      </c>
    </row>
    <row r="25434">
      <c r="H25434" s="50"/>
      <c r="I25434" s="50"/>
      <c r="O25434" s="36" t="s">
        <v>48</v>
      </c>
      <c r="R25434" s="36" t="s">
        <v>48</v>
      </c>
    </row>
    <row r="25435">
      <c r="H25435" s="50"/>
      <c r="I25435" s="50"/>
      <c r="O25435" s="36" t="s">
        <v>48</v>
      </c>
      <c r="R25435" s="36" t="s">
        <v>48</v>
      </c>
    </row>
    <row r="25436">
      <c r="H25436" s="50"/>
      <c r="I25436" s="50"/>
      <c r="O25436" s="36" t="s">
        <v>48</v>
      </c>
      <c r="R25436" s="36" t="s">
        <v>48</v>
      </c>
    </row>
    <row r="25437">
      <c r="H25437" s="50"/>
      <c r="I25437" s="50"/>
      <c r="O25437" s="36" t="s">
        <v>48</v>
      </c>
      <c r="R25437" s="36" t="s">
        <v>48</v>
      </c>
    </row>
    <row r="25438">
      <c r="H25438" s="50"/>
      <c r="I25438" s="50"/>
      <c r="O25438" s="36" t="s">
        <v>48</v>
      </c>
      <c r="R25438" s="36" t="s">
        <v>48</v>
      </c>
    </row>
    <row r="25439">
      <c r="H25439" s="50"/>
      <c r="I25439" s="50"/>
      <c r="O25439" s="36" t="s">
        <v>48</v>
      </c>
      <c r="R25439" s="36" t="s">
        <v>48</v>
      </c>
    </row>
    <row r="25440">
      <c r="H25440" s="50"/>
      <c r="I25440" s="50"/>
      <c r="O25440" s="36" t="s">
        <v>48</v>
      </c>
      <c r="R25440" s="36" t="s">
        <v>48</v>
      </c>
    </row>
    <row r="25441">
      <c r="H25441" s="50"/>
      <c r="I25441" s="50"/>
      <c r="O25441" s="36" t="s">
        <v>48</v>
      </c>
      <c r="R25441" s="36" t="s">
        <v>48</v>
      </c>
    </row>
    <row r="25442">
      <c r="H25442" s="50"/>
      <c r="I25442" s="50"/>
      <c r="O25442" s="36" t="s">
        <v>48</v>
      </c>
      <c r="R25442" s="36" t="s">
        <v>48</v>
      </c>
    </row>
    <row r="25443">
      <c r="H25443" s="50"/>
      <c r="I25443" s="50"/>
      <c r="O25443" s="36" t="s">
        <v>48</v>
      </c>
      <c r="R25443" s="36" t="s">
        <v>48</v>
      </c>
    </row>
    <row r="25444">
      <c r="H25444" s="50"/>
      <c r="I25444" s="50"/>
      <c r="O25444" s="36" t="s">
        <v>48</v>
      </c>
      <c r="R25444" s="36" t="s">
        <v>48</v>
      </c>
    </row>
    <row r="25445">
      <c r="H25445" s="50"/>
      <c r="I25445" s="50"/>
      <c r="O25445" s="36" t="s">
        <v>48</v>
      </c>
      <c r="R25445" s="36" t="s">
        <v>48</v>
      </c>
    </row>
    <row r="25446">
      <c r="H25446" s="50"/>
      <c r="I25446" s="50"/>
      <c r="O25446" s="36" t="s">
        <v>48</v>
      </c>
      <c r="R25446" s="36" t="s">
        <v>48</v>
      </c>
    </row>
    <row r="25447">
      <c r="H25447" s="50"/>
      <c r="I25447" s="50"/>
      <c r="O25447" s="36" t="s">
        <v>48</v>
      </c>
      <c r="R25447" s="36" t="s">
        <v>48</v>
      </c>
    </row>
    <row r="25448">
      <c r="H25448" s="50"/>
      <c r="I25448" s="50"/>
      <c r="O25448" s="36" t="s">
        <v>48</v>
      </c>
      <c r="R25448" s="36" t="s">
        <v>48</v>
      </c>
    </row>
    <row r="25449">
      <c r="H25449" s="50"/>
      <c r="I25449" s="50"/>
      <c r="O25449" s="36" t="s">
        <v>48</v>
      </c>
      <c r="R25449" s="36" t="s">
        <v>48</v>
      </c>
    </row>
    <row r="25450">
      <c r="H25450" s="50"/>
      <c r="I25450" s="50"/>
      <c r="O25450" s="36" t="s">
        <v>48</v>
      </c>
      <c r="R25450" s="36" t="s">
        <v>48</v>
      </c>
    </row>
    <row r="25451">
      <c r="H25451" s="50"/>
      <c r="I25451" s="50"/>
      <c r="O25451" s="36" t="s">
        <v>48</v>
      </c>
      <c r="R25451" s="36" t="s">
        <v>48</v>
      </c>
    </row>
    <row r="25452">
      <c r="H25452" s="50"/>
      <c r="I25452" s="50"/>
      <c r="O25452" s="36" t="s">
        <v>48</v>
      </c>
      <c r="R25452" s="36" t="s">
        <v>48</v>
      </c>
    </row>
    <row r="25453">
      <c r="H25453" s="50"/>
      <c r="I25453" s="50"/>
      <c r="O25453" s="36" t="s">
        <v>48</v>
      </c>
      <c r="R25453" s="36" t="s">
        <v>48</v>
      </c>
    </row>
    <row r="25454">
      <c r="H25454" s="50"/>
      <c r="I25454" s="50"/>
      <c r="O25454" s="36" t="s">
        <v>48</v>
      </c>
      <c r="R25454" s="36" t="s">
        <v>48</v>
      </c>
    </row>
    <row r="25455">
      <c r="H25455" s="50"/>
      <c r="I25455" s="50"/>
      <c r="O25455" s="36" t="s">
        <v>48</v>
      </c>
      <c r="R25455" s="36" t="s">
        <v>48</v>
      </c>
    </row>
    <row r="25456">
      <c r="H25456" s="50"/>
      <c r="I25456" s="50"/>
      <c r="O25456" s="36" t="s">
        <v>48</v>
      </c>
      <c r="R25456" s="36" t="s">
        <v>48</v>
      </c>
    </row>
    <row r="25457">
      <c r="H25457" s="50"/>
      <c r="I25457" s="50"/>
      <c r="O25457" s="36" t="s">
        <v>48</v>
      </c>
      <c r="R25457" s="36" t="s">
        <v>48</v>
      </c>
    </row>
    <row r="25458">
      <c r="H25458" s="50"/>
      <c r="I25458" s="50"/>
      <c r="O25458" s="36" t="s">
        <v>48</v>
      </c>
      <c r="R25458" s="36" t="s">
        <v>48</v>
      </c>
    </row>
    <row r="25459">
      <c r="H25459" s="50"/>
      <c r="I25459" s="50"/>
      <c r="O25459" s="36" t="s">
        <v>48</v>
      </c>
      <c r="R25459" s="36" t="s">
        <v>48</v>
      </c>
    </row>
    <row r="25460">
      <c r="H25460" s="50"/>
      <c r="I25460" s="50"/>
      <c r="O25460" s="36" t="s">
        <v>48</v>
      </c>
      <c r="R25460" s="36" t="s">
        <v>48</v>
      </c>
    </row>
    <row r="25461">
      <c r="H25461" s="50"/>
      <c r="I25461" s="50"/>
      <c r="O25461" s="36" t="s">
        <v>48</v>
      </c>
      <c r="R25461" s="36" t="s">
        <v>48</v>
      </c>
    </row>
    <row r="25462">
      <c r="H25462" s="50"/>
      <c r="I25462" s="50"/>
      <c r="O25462" s="36" t="s">
        <v>48</v>
      </c>
      <c r="R25462" s="36" t="s">
        <v>48</v>
      </c>
    </row>
    <row r="25463">
      <c r="H25463" s="50"/>
      <c r="I25463" s="50"/>
      <c r="O25463" s="36" t="s">
        <v>48</v>
      </c>
      <c r="R25463" s="36" t="s">
        <v>48</v>
      </c>
    </row>
    <row r="25464">
      <c r="H25464" s="50"/>
      <c r="I25464" s="50"/>
      <c r="O25464" s="36" t="s">
        <v>48</v>
      </c>
      <c r="R25464" s="36" t="s">
        <v>48</v>
      </c>
    </row>
    <row r="25465">
      <c r="H25465" s="50"/>
      <c r="I25465" s="50"/>
      <c r="O25465" s="36" t="s">
        <v>48</v>
      </c>
      <c r="R25465" s="36" t="s">
        <v>48</v>
      </c>
    </row>
    <row r="25466">
      <c r="H25466" s="50"/>
      <c r="I25466" s="50"/>
      <c r="O25466" s="36" t="s">
        <v>48</v>
      </c>
      <c r="R25466" s="36" t="s">
        <v>48</v>
      </c>
    </row>
    <row r="25467">
      <c r="H25467" s="50"/>
      <c r="I25467" s="50"/>
      <c r="O25467" s="36" t="s">
        <v>48</v>
      </c>
      <c r="R25467" s="36" t="s">
        <v>48</v>
      </c>
    </row>
    <row r="25468">
      <c r="H25468" s="50"/>
      <c r="I25468" s="50"/>
      <c r="O25468" s="36" t="s">
        <v>48</v>
      </c>
      <c r="R25468" s="36" t="s">
        <v>48</v>
      </c>
    </row>
    <row r="25469">
      <c r="H25469" s="50"/>
      <c r="I25469" s="50"/>
      <c r="O25469" s="36" t="s">
        <v>48</v>
      </c>
      <c r="R25469" s="36" t="s">
        <v>48</v>
      </c>
    </row>
    <row r="25470">
      <c r="H25470" s="50"/>
      <c r="I25470" s="50"/>
      <c r="O25470" s="36" t="s">
        <v>48</v>
      </c>
      <c r="R25470" s="36" t="s">
        <v>48</v>
      </c>
    </row>
    <row r="25471">
      <c r="H25471" s="50"/>
      <c r="I25471" s="50"/>
      <c r="O25471" s="36" t="s">
        <v>48</v>
      </c>
      <c r="R25471" s="36" t="s">
        <v>48</v>
      </c>
    </row>
    <row r="25472">
      <c r="H25472" s="50"/>
      <c r="I25472" s="50"/>
      <c r="O25472" s="36" t="s">
        <v>48</v>
      </c>
      <c r="R25472" s="36" t="s">
        <v>48</v>
      </c>
    </row>
    <row r="25473">
      <c r="H25473" s="50"/>
      <c r="I25473" s="50"/>
      <c r="O25473" s="36" t="s">
        <v>48</v>
      </c>
      <c r="R25473" s="36" t="s">
        <v>48</v>
      </c>
    </row>
    <row r="25474">
      <c r="H25474" s="50"/>
      <c r="I25474" s="50"/>
      <c r="O25474" s="36" t="s">
        <v>48</v>
      </c>
      <c r="R25474" s="36" t="s">
        <v>48</v>
      </c>
    </row>
    <row r="25475">
      <c r="H25475" s="50"/>
      <c r="I25475" s="50"/>
      <c r="O25475" s="36" t="s">
        <v>48</v>
      </c>
      <c r="R25475" s="36" t="s">
        <v>48</v>
      </c>
    </row>
    <row r="25476">
      <c r="H25476" s="50"/>
      <c r="I25476" s="50"/>
      <c r="O25476" s="36" t="s">
        <v>48</v>
      </c>
      <c r="R25476" s="36" t="s">
        <v>48</v>
      </c>
    </row>
    <row r="25477">
      <c r="H25477" s="50"/>
      <c r="I25477" s="50"/>
      <c r="O25477" s="36" t="s">
        <v>48</v>
      </c>
      <c r="R25477" s="36" t="s">
        <v>48</v>
      </c>
    </row>
    <row r="25478">
      <c r="H25478" s="50"/>
      <c r="I25478" s="50"/>
      <c r="O25478" s="36" t="s">
        <v>48</v>
      </c>
      <c r="R25478" s="36" t="s">
        <v>48</v>
      </c>
    </row>
    <row r="25479">
      <c r="H25479" s="50"/>
      <c r="I25479" s="50"/>
      <c r="O25479" s="36" t="s">
        <v>48</v>
      </c>
      <c r="R25479" s="36" t="s">
        <v>48</v>
      </c>
    </row>
    <row r="25480">
      <c r="H25480" s="50"/>
      <c r="I25480" s="50"/>
      <c r="O25480" s="36" t="s">
        <v>48</v>
      </c>
      <c r="R25480" s="36" t="s">
        <v>48</v>
      </c>
    </row>
    <row r="25481">
      <c r="H25481" s="50"/>
      <c r="I25481" s="50"/>
      <c r="O25481" s="36" t="s">
        <v>48</v>
      </c>
      <c r="R25481" s="36" t="s">
        <v>48</v>
      </c>
    </row>
    <row r="25482">
      <c r="H25482" s="50"/>
      <c r="I25482" s="50"/>
      <c r="O25482" s="36" t="s">
        <v>48</v>
      </c>
      <c r="R25482" s="36" t="s">
        <v>48</v>
      </c>
    </row>
    <row r="25483">
      <c r="H25483" s="50"/>
      <c r="I25483" s="50"/>
      <c r="O25483" s="36" t="s">
        <v>48</v>
      </c>
      <c r="R25483" s="36" t="s">
        <v>48</v>
      </c>
    </row>
    <row r="25484">
      <c r="H25484" s="50"/>
      <c r="I25484" s="50"/>
      <c r="O25484" s="36" t="s">
        <v>48</v>
      </c>
      <c r="R25484" s="36" t="s">
        <v>48</v>
      </c>
    </row>
    <row r="25485">
      <c r="H25485" s="50"/>
      <c r="I25485" s="50"/>
      <c r="O25485" s="36" t="s">
        <v>48</v>
      </c>
      <c r="R25485" s="36" t="s">
        <v>48</v>
      </c>
    </row>
    <row r="25486">
      <c r="H25486" s="50"/>
      <c r="I25486" s="50"/>
      <c r="O25486" s="36" t="s">
        <v>48</v>
      </c>
      <c r="R25486" s="36" t="s">
        <v>48</v>
      </c>
    </row>
    <row r="25487">
      <c r="H25487" s="50"/>
      <c r="I25487" s="50"/>
      <c r="O25487" s="36" t="s">
        <v>48</v>
      </c>
      <c r="R25487" s="36" t="s">
        <v>48</v>
      </c>
    </row>
    <row r="25488">
      <c r="H25488" s="50"/>
      <c r="I25488" s="50"/>
      <c r="O25488" s="36" t="s">
        <v>48</v>
      </c>
      <c r="R25488" s="36" t="s">
        <v>48</v>
      </c>
    </row>
    <row r="25489">
      <c r="H25489" s="50"/>
      <c r="I25489" s="50"/>
      <c r="O25489" s="36" t="s">
        <v>48</v>
      </c>
      <c r="R25489" s="36" t="s">
        <v>48</v>
      </c>
    </row>
    <row r="25490">
      <c r="H25490" s="50"/>
      <c r="I25490" s="50"/>
      <c r="O25490" s="36" t="s">
        <v>48</v>
      </c>
      <c r="R25490" s="36" t="s">
        <v>48</v>
      </c>
    </row>
    <row r="25491">
      <c r="H25491" s="50"/>
      <c r="I25491" s="50"/>
      <c r="O25491" s="36" t="s">
        <v>48</v>
      </c>
      <c r="R25491" s="36" t="s">
        <v>48</v>
      </c>
    </row>
    <row r="25492">
      <c r="H25492" s="50"/>
      <c r="I25492" s="50"/>
      <c r="O25492" s="36" t="s">
        <v>48</v>
      </c>
      <c r="R25492" s="36" t="s">
        <v>48</v>
      </c>
    </row>
    <row r="25493">
      <c r="H25493" s="50"/>
      <c r="I25493" s="50"/>
      <c r="O25493" s="36" t="s">
        <v>48</v>
      </c>
      <c r="R25493" s="36" t="s">
        <v>48</v>
      </c>
    </row>
    <row r="25494">
      <c r="H25494" s="50"/>
      <c r="I25494" s="50"/>
      <c r="O25494" s="36" t="s">
        <v>48</v>
      </c>
      <c r="R25494" s="36" t="s">
        <v>48</v>
      </c>
    </row>
    <row r="25495">
      <c r="H25495" s="50"/>
      <c r="I25495" s="50"/>
      <c r="O25495" s="36" t="s">
        <v>48</v>
      </c>
      <c r="R25495" s="36" t="s">
        <v>48</v>
      </c>
    </row>
    <row r="25496">
      <c r="H25496" s="50"/>
      <c r="I25496" s="50"/>
      <c r="O25496" s="36" t="s">
        <v>48</v>
      </c>
      <c r="R25496" s="36" t="s">
        <v>48</v>
      </c>
    </row>
    <row r="25497">
      <c r="H25497" s="50"/>
      <c r="I25497" s="50"/>
      <c r="O25497" s="36" t="s">
        <v>48</v>
      </c>
      <c r="R25497" s="36" t="s">
        <v>48</v>
      </c>
    </row>
    <row r="25498">
      <c r="H25498" s="50"/>
      <c r="I25498" s="50"/>
      <c r="O25498" s="36" t="s">
        <v>48</v>
      </c>
      <c r="R25498" s="36" t="s">
        <v>48</v>
      </c>
    </row>
    <row r="25499">
      <c r="H25499" s="50"/>
      <c r="I25499" s="50"/>
      <c r="O25499" s="36" t="s">
        <v>48</v>
      </c>
      <c r="R25499" s="36" t="s">
        <v>48</v>
      </c>
    </row>
    <row r="25500">
      <c r="H25500" s="50"/>
      <c r="I25500" s="50"/>
      <c r="O25500" s="36" t="s">
        <v>48</v>
      </c>
      <c r="R25500" s="36" t="s">
        <v>48</v>
      </c>
    </row>
    <row r="25501">
      <c r="H25501" s="50"/>
      <c r="I25501" s="50"/>
      <c r="O25501" s="36" t="s">
        <v>48</v>
      </c>
      <c r="R25501" s="36" t="s">
        <v>48</v>
      </c>
    </row>
    <row r="25502">
      <c r="H25502" s="50"/>
      <c r="I25502" s="50"/>
      <c r="O25502" s="36" t="s">
        <v>48</v>
      </c>
      <c r="R25502" s="36" t="s">
        <v>48</v>
      </c>
    </row>
    <row r="25503">
      <c r="H25503" s="50"/>
      <c r="I25503" s="50"/>
      <c r="O25503" s="36" t="s">
        <v>48</v>
      </c>
      <c r="R25503" s="36" t="s">
        <v>48</v>
      </c>
    </row>
    <row r="25504">
      <c r="H25504" s="50"/>
      <c r="I25504" s="50"/>
      <c r="O25504" s="36" t="s">
        <v>48</v>
      </c>
      <c r="R25504" s="36" t="s">
        <v>48</v>
      </c>
    </row>
    <row r="25505">
      <c r="H25505" s="50"/>
      <c r="I25505" s="50"/>
      <c r="O25505" s="36" t="s">
        <v>48</v>
      </c>
      <c r="R25505" s="36" t="s">
        <v>48</v>
      </c>
    </row>
    <row r="25506">
      <c r="H25506" s="50"/>
      <c r="I25506" s="50"/>
      <c r="O25506" s="36" t="s">
        <v>48</v>
      </c>
      <c r="R25506" s="36" t="s">
        <v>48</v>
      </c>
    </row>
    <row r="25507">
      <c r="H25507" s="50"/>
      <c r="I25507" s="50"/>
      <c r="O25507" s="36" t="s">
        <v>48</v>
      </c>
      <c r="R25507" s="36" t="s">
        <v>48</v>
      </c>
    </row>
    <row r="25508">
      <c r="H25508" s="50"/>
      <c r="I25508" s="50"/>
      <c r="O25508" s="36" t="s">
        <v>48</v>
      </c>
      <c r="R25508" s="36" t="s">
        <v>48</v>
      </c>
    </row>
    <row r="25509">
      <c r="H25509" s="50"/>
      <c r="I25509" s="50"/>
      <c r="O25509" s="36" t="s">
        <v>48</v>
      </c>
      <c r="R25509" s="36" t="s">
        <v>48</v>
      </c>
    </row>
    <row r="25510">
      <c r="H25510" s="50"/>
      <c r="I25510" s="50"/>
      <c r="O25510" s="36" t="s">
        <v>48</v>
      </c>
      <c r="R25510" s="36" t="s">
        <v>48</v>
      </c>
    </row>
    <row r="25511">
      <c r="H25511" s="50"/>
      <c r="I25511" s="50"/>
      <c r="O25511" s="36" t="s">
        <v>48</v>
      </c>
      <c r="R25511" s="36" t="s">
        <v>48</v>
      </c>
    </row>
    <row r="25512">
      <c r="H25512" s="50"/>
      <c r="I25512" s="50"/>
      <c r="O25512" s="36" t="s">
        <v>48</v>
      </c>
      <c r="R25512" s="36" t="s">
        <v>48</v>
      </c>
    </row>
    <row r="25513">
      <c r="H25513" s="50"/>
      <c r="I25513" s="50"/>
      <c r="O25513" s="36" t="s">
        <v>48</v>
      </c>
      <c r="R25513" s="36" t="s">
        <v>48</v>
      </c>
    </row>
    <row r="25514">
      <c r="H25514" s="50"/>
      <c r="I25514" s="50"/>
      <c r="O25514" s="36" t="s">
        <v>48</v>
      </c>
      <c r="R25514" s="36" t="s">
        <v>48</v>
      </c>
    </row>
    <row r="25515">
      <c r="H25515" s="50"/>
      <c r="I25515" s="50"/>
      <c r="O25515" s="36" t="s">
        <v>48</v>
      </c>
      <c r="R25515" s="36" t="s">
        <v>48</v>
      </c>
    </row>
    <row r="25516">
      <c r="H25516" s="50"/>
      <c r="I25516" s="50"/>
      <c r="O25516" s="36" t="s">
        <v>48</v>
      </c>
      <c r="R25516" s="36" t="s">
        <v>48</v>
      </c>
    </row>
    <row r="25517">
      <c r="H25517" s="50"/>
      <c r="I25517" s="50"/>
      <c r="O25517" s="36" t="s">
        <v>48</v>
      </c>
      <c r="R25517" s="36" t="s">
        <v>48</v>
      </c>
    </row>
    <row r="25518">
      <c r="H25518" s="50"/>
      <c r="I25518" s="50"/>
      <c r="O25518" s="36" t="s">
        <v>48</v>
      </c>
      <c r="R25518" s="36" t="s">
        <v>48</v>
      </c>
    </row>
    <row r="25519">
      <c r="H25519" s="50"/>
      <c r="I25519" s="50"/>
      <c r="O25519" s="36" t="s">
        <v>48</v>
      </c>
      <c r="R25519" s="36" t="s">
        <v>48</v>
      </c>
    </row>
    <row r="25520">
      <c r="H25520" s="50"/>
      <c r="I25520" s="50"/>
      <c r="O25520" s="36" t="s">
        <v>48</v>
      </c>
      <c r="R25520" s="36" t="s">
        <v>48</v>
      </c>
    </row>
    <row r="25521">
      <c r="H25521" s="50"/>
      <c r="I25521" s="50"/>
      <c r="O25521" s="36" t="s">
        <v>48</v>
      </c>
      <c r="R25521" s="36" t="s">
        <v>48</v>
      </c>
    </row>
    <row r="25522">
      <c r="H25522" s="50"/>
      <c r="I25522" s="50"/>
      <c r="O25522" s="36" t="s">
        <v>48</v>
      </c>
      <c r="R25522" s="36" t="s">
        <v>48</v>
      </c>
    </row>
    <row r="25523">
      <c r="H25523" s="50"/>
      <c r="I25523" s="50"/>
      <c r="O25523" s="36" t="s">
        <v>48</v>
      </c>
      <c r="R25523" s="36" t="s">
        <v>48</v>
      </c>
    </row>
    <row r="25524">
      <c r="H25524" s="50"/>
      <c r="I25524" s="50"/>
      <c r="O25524" s="36" t="s">
        <v>48</v>
      </c>
      <c r="R25524" s="36" t="s">
        <v>48</v>
      </c>
    </row>
    <row r="25525">
      <c r="H25525" s="50"/>
      <c r="I25525" s="50"/>
      <c r="O25525" s="36" t="s">
        <v>48</v>
      </c>
      <c r="R25525" s="36" t="s">
        <v>48</v>
      </c>
    </row>
    <row r="25526">
      <c r="H25526" s="50"/>
      <c r="I25526" s="50"/>
      <c r="O25526" s="36" t="s">
        <v>48</v>
      </c>
      <c r="R25526" s="36" t="s">
        <v>48</v>
      </c>
    </row>
    <row r="25527">
      <c r="H25527" s="50"/>
      <c r="I25527" s="50"/>
      <c r="O25527" s="36" t="s">
        <v>48</v>
      </c>
      <c r="R25527" s="36" t="s">
        <v>48</v>
      </c>
    </row>
    <row r="25528">
      <c r="H25528" s="50"/>
      <c r="I25528" s="50"/>
      <c r="O25528" s="36" t="s">
        <v>48</v>
      </c>
      <c r="R25528" s="36" t="s">
        <v>48</v>
      </c>
    </row>
    <row r="25529">
      <c r="H25529" s="50"/>
      <c r="I25529" s="50"/>
      <c r="O25529" s="36" t="s">
        <v>48</v>
      </c>
      <c r="R25529" s="36" t="s">
        <v>48</v>
      </c>
    </row>
    <row r="25530">
      <c r="H25530" s="50"/>
      <c r="I25530" s="50"/>
      <c r="O25530" s="36" t="s">
        <v>48</v>
      </c>
      <c r="R25530" s="36" t="s">
        <v>48</v>
      </c>
    </row>
    <row r="25531">
      <c r="H25531" s="50"/>
      <c r="I25531" s="50"/>
      <c r="O25531" s="36" t="s">
        <v>48</v>
      </c>
      <c r="R25531" s="36" t="s">
        <v>48</v>
      </c>
    </row>
    <row r="25532">
      <c r="H25532" s="50"/>
      <c r="I25532" s="50"/>
      <c r="O25532" s="36" t="s">
        <v>48</v>
      </c>
      <c r="R25532" s="36" t="s">
        <v>48</v>
      </c>
    </row>
    <row r="25533">
      <c r="H25533" s="50"/>
      <c r="I25533" s="50"/>
      <c r="O25533" s="36" t="s">
        <v>48</v>
      </c>
      <c r="R25533" s="36" t="s">
        <v>48</v>
      </c>
    </row>
    <row r="25534">
      <c r="H25534" s="50"/>
      <c r="I25534" s="50"/>
      <c r="O25534" s="36" t="s">
        <v>48</v>
      </c>
      <c r="R25534" s="36" t="s">
        <v>48</v>
      </c>
    </row>
    <row r="25535">
      <c r="H25535" s="50"/>
      <c r="I25535" s="50"/>
      <c r="O25535" s="36" t="s">
        <v>48</v>
      </c>
      <c r="R25535" s="36" t="s">
        <v>48</v>
      </c>
    </row>
    <row r="25536">
      <c r="H25536" s="50"/>
      <c r="I25536" s="50"/>
      <c r="O25536" s="36" t="s">
        <v>48</v>
      </c>
      <c r="R25536" s="36" t="s">
        <v>48</v>
      </c>
    </row>
    <row r="25537">
      <c r="H25537" s="50"/>
      <c r="I25537" s="50"/>
      <c r="O25537" s="36" t="s">
        <v>48</v>
      </c>
      <c r="R25537" s="36" t="s">
        <v>48</v>
      </c>
    </row>
    <row r="25538">
      <c r="H25538" s="50"/>
      <c r="I25538" s="50"/>
      <c r="O25538" s="36" t="s">
        <v>48</v>
      </c>
      <c r="R25538" s="36" t="s">
        <v>48</v>
      </c>
    </row>
    <row r="25539">
      <c r="H25539" s="50"/>
      <c r="I25539" s="50"/>
      <c r="O25539" s="36" t="s">
        <v>48</v>
      </c>
      <c r="R25539" s="36" t="s">
        <v>48</v>
      </c>
    </row>
    <row r="25540">
      <c r="H25540" s="50"/>
      <c r="I25540" s="50"/>
      <c r="O25540" s="36" t="s">
        <v>48</v>
      </c>
      <c r="R25540" s="36" t="s">
        <v>48</v>
      </c>
    </row>
    <row r="25541">
      <c r="H25541" s="50"/>
      <c r="I25541" s="50"/>
      <c r="O25541" s="36" t="s">
        <v>48</v>
      </c>
      <c r="R25541" s="36" t="s">
        <v>48</v>
      </c>
    </row>
    <row r="25542">
      <c r="H25542" s="50"/>
      <c r="I25542" s="50"/>
      <c r="O25542" s="36" t="s">
        <v>48</v>
      </c>
      <c r="R25542" s="36" t="s">
        <v>48</v>
      </c>
    </row>
    <row r="25543">
      <c r="H25543" s="50"/>
      <c r="I25543" s="50"/>
      <c r="O25543" s="36" t="s">
        <v>48</v>
      </c>
      <c r="R25543" s="36" t="s">
        <v>48</v>
      </c>
    </row>
    <row r="25544">
      <c r="H25544" s="50"/>
      <c r="I25544" s="50"/>
      <c r="O25544" s="36" t="s">
        <v>48</v>
      </c>
      <c r="R25544" s="36" t="s">
        <v>48</v>
      </c>
    </row>
    <row r="25545">
      <c r="H25545" s="50"/>
      <c r="I25545" s="50"/>
      <c r="O25545" s="36" t="s">
        <v>48</v>
      </c>
      <c r="R25545" s="36" t="s">
        <v>48</v>
      </c>
    </row>
    <row r="25546">
      <c r="H25546" s="50"/>
      <c r="I25546" s="50"/>
      <c r="O25546" s="36" t="s">
        <v>48</v>
      </c>
      <c r="R25546" s="36" t="s">
        <v>48</v>
      </c>
    </row>
    <row r="25547">
      <c r="H25547" s="50"/>
      <c r="I25547" s="50"/>
      <c r="O25547" s="36" t="s">
        <v>48</v>
      </c>
      <c r="R25547" s="36" t="s">
        <v>48</v>
      </c>
    </row>
    <row r="25548">
      <c r="H25548" s="50"/>
      <c r="I25548" s="50"/>
      <c r="O25548" s="36" t="s">
        <v>48</v>
      </c>
      <c r="R25548" s="36" t="s">
        <v>48</v>
      </c>
    </row>
    <row r="25549">
      <c r="H25549" s="50"/>
      <c r="I25549" s="50"/>
      <c r="O25549" s="36" t="s">
        <v>48</v>
      </c>
      <c r="R25549" s="36" t="s">
        <v>48</v>
      </c>
    </row>
    <row r="25550">
      <c r="H25550" s="50"/>
      <c r="I25550" s="50"/>
      <c r="O25550" s="36" t="s">
        <v>48</v>
      </c>
      <c r="R25550" s="36" t="s">
        <v>48</v>
      </c>
    </row>
    <row r="25551">
      <c r="H25551" s="50"/>
      <c r="I25551" s="50"/>
      <c r="O25551" s="36" t="s">
        <v>48</v>
      </c>
      <c r="R25551" s="36" t="s">
        <v>48</v>
      </c>
    </row>
    <row r="25552">
      <c r="H25552" s="50"/>
      <c r="I25552" s="50"/>
      <c r="O25552" s="36" t="s">
        <v>48</v>
      </c>
      <c r="R25552" s="36" t="s">
        <v>48</v>
      </c>
    </row>
    <row r="25553">
      <c r="H25553" s="50"/>
      <c r="I25553" s="50"/>
      <c r="O25553" s="36" t="s">
        <v>48</v>
      </c>
      <c r="R25553" s="36" t="s">
        <v>48</v>
      </c>
    </row>
    <row r="25554">
      <c r="H25554" s="50"/>
      <c r="I25554" s="50"/>
      <c r="O25554" s="36" t="s">
        <v>48</v>
      </c>
      <c r="R25554" s="36" t="s">
        <v>48</v>
      </c>
    </row>
    <row r="25555">
      <c r="H25555" s="50"/>
      <c r="I25555" s="50"/>
      <c r="O25555" s="36" t="s">
        <v>48</v>
      </c>
      <c r="R25555" s="36" t="s">
        <v>48</v>
      </c>
    </row>
    <row r="25556">
      <c r="H25556" s="50"/>
      <c r="I25556" s="50"/>
      <c r="O25556" s="36" t="s">
        <v>48</v>
      </c>
      <c r="R25556" s="36" t="s">
        <v>48</v>
      </c>
    </row>
    <row r="25557">
      <c r="H25557" s="50"/>
      <c r="I25557" s="50"/>
      <c r="O25557" s="36" t="s">
        <v>48</v>
      </c>
      <c r="R25557" s="36" t="s">
        <v>48</v>
      </c>
    </row>
    <row r="25558">
      <c r="H25558" s="50"/>
      <c r="I25558" s="50"/>
      <c r="O25558" s="36" t="s">
        <v>48</v>
      </c>
      <c r="R25558" s="36" t="s">
        <v>48</v>
      </c>
    </row>
    <row r="25559">
      <c r="H25559" s="50"/>
      <c r="I25559" s="50"/>
      <c r="O25559" s="36" t="s">
        <v>48</v>
      </c>
      <c r="R25559" s="36" t="s">
        <v>48</v>
      </c>
    </row>
    <row r="25560">
      <c r="H25560" s="50"/>
      <c r="I25560" s="50"/>
      <c r="O25560" s="36" t="s">
        <v>48</v>
      </c>
      <c r="R25560" s="36" t="s">
        <v>48</v>
      </c>
    </row>
    <row r="25561">
      <c r="H25561" s="50"/>
      <c r="I25561" s="50"/>
      <c r="O25561" s="36" t="s">
        <v>48</v>
      </c>
      <c r="R25561" s="36" t="s">
        <v>48</v>
      </c>
    </row>
    <row r="25562">
      <c r="H25562" s="50"/>
      <c r="I25562" s="50"/>
      <c r="O25562" s="36" t="s">
        <v>48</v>
      </c>
      <c r="R25562" s="36" t="s">
        <v>48</v>
      </c>
    </row>
    <row r="25563">
      <c r="H25563" s="50"/>
      <c r="I25563" s="50"/>
      <c r="O25563" s="36" t="s">
        <v>48</v>
      </c>
      <c r="R25563" s="36" t="s">
        <v>48</v>
      </c>
    </row>
    <row r="25564">
      <c r="H25564" s="50"/>
      <c r="I25564" s="50"/>
      <c r="O25564" s="36" t="s">
        <v>48</v>
      </c>
      <c r="R25564" s="36" t="s">
        <v>48</v>
      </c>
    </row>
    <row r="25565">
      <c r="H25565" s="50"/>
      <c r="I25565" s="50"/>
      <c r="O25565" s="36" t="s">
        <v>48</v>
      </c>
      <c r="R25565" s="36" t="s">
        <v>48</v>
      </c>
    </row>
    <row r="25566">
      <c r="H25566" s="50"/>
      <c r="I25566" s="50"/>
      <c r="O25566" s="36" t="s">
        <v>48</v>
      </c>
      <c r="R25566" s="36" t="s">
        <v>48</v>
      </c>
    </row>
    <row r="25567">
      <c r="H25567" s="50"/>
      <c r="I25567" s="50"/>
      <c r="O25567" s="36" t="s">
        <v>48</v>
      </c>
      <c r="R25567" s="36" t="s">
        <v>48</v>
      </c>
    </row>
    <row r="25568">
      <c r="H25568" s="50"/>
      <c r="I25568" s="50"/>
      <c r="O25568" s="36" t="s">
        <v>48</v>
      </c>
      <c r="R25568" s="36" t="s">
        <v>48</v>
      </c>
    </row>
    <row r="25569">
      <c r="H25569" s="50"/>
      <c r="I25569" s="50"/>
      <c r="O25569" s="36" t="s">
        <v>48</v>
      </c>
      <c r="R25569" s="36" t="s">
        <v>48</v>
      </c>
    </row>
    <row r="25570">
      <c r="H25570" s="50"/>
      <c r="I25570" s="50"/>
      <c r="O25570" s="36" t="s">
        <v>48</v>
      </c>
      <c r="R25570" s="36" t="s">
        <v>48</v>
      </c>
    </row>
    <row r="25571">
      <c r="H25571" s="50"/>
      <c r="I25571" s="50"/>
      <c r="O25571" s="36" t="s">
        <v>48</v>
      </c>
      <c r="R25571" s="36" t="s">
        <v>48</v>
      </c>
    </row>
    <row r="25572">
      <c r="H25572" s="50"/>
      <c r="I25572" s="50"/>
      <c r="O25572" s="36" t="s">
        <v>48</v>
      </c>
      <c r="R25572" s="36" t="s">
        <v>48</v>
      </c>
    </row>
    <row r="25573">
      <c r="H25573" s="50"/>
      <c r="I25573" s="50"/>
      <c r="O25573" s="36" t="s">
        <v>48</v>
      </c>
      <c r="R25573" s="36" t="s">
        <v>48</v>
      </c>
    </row>
    <row r="25574">
      <c r="H25574" s="50"/>
      <c r="I25574" s="50"/>
      <c r="O25574" s="36" t="s">
        <v>48</v>
      </c>
      <c r="R25574" s="36" t="s">
        <v>48</v>
      </c>
    </row>
    <row r="25575">
      <c r="H25575" s="50"/>
      <c r="I25575" s="50"/>
      <c r="O25575" s="36" t="s">
        <v>48</v>
      </c>
      <c r="R25575" s="36" t="s">
        <v>48</v>
      </c>
    </row>
    <row r="25576">
      <c r="H25576" s="50"/>
      <c r="I25576" s="50"/>
      <c r="O25576" s="36" t="s">
        <v>48</v>
      </c>
      <c r="R25576" s="36" t="s">
        <v>48</v>
      </c>
    </row>
    <row r="25577">
      <c r="H25577" s="50"/>
      <c r="I25577" s="50"/>
      <c r="O25577" s="36" t="s">
        <v>48</v>
      </c>
      <c r="R25577" s="36" t="s">
        <v>48</v>
      </c>
    </row>
    <row r="25578">
      <c r="H25578" s="50"/>
      <c r="I25578" s="50"/>
      <c r="O25578" s="36" t="s">
        <v>48</v>
      </c>
      <c r="R25578" s="36" t="s">
        <v>48</v>
      </c>
    </row>
    <row r="25579">
      <c r="H25579" s="50"/>
      <c r="I25579" s="50"/>
      <c r="O25579" s="36" t="s">
        <v>48</v>
      </c>
      <c r="R25579" s="36" t="s">
        <v>48</v>
      </c>
    </row>
    <row r="25580">
      <c r="H25580" s="50"/>
      <c r="I25580" s="50"/>
      <c r="O25580" s="36" t="s">
        <v>48</v>
      </c>
      <c r="R25580" s="36" t="s">
        <v>48</v>
      </c>
    </row>
    <row r="25581">
      <c r="H25581" s="50"/>
      <c r="I25581" s="50"/>
      <c r="O25581" s="36" t="s">
        <v>48</v>
      </c>
      <c r="R25581" s="36" t="s">
        <v>48</v>
      </c>
    </row>
    <row r="25582">
      <c r="H25582" s="50"/>
      <c r="I25582" s="50"/>
      <c r="O25582" s="36" t="s">
        <v>48</v>
      </c>
      <c r="R25582" s="36" t="s">
        <v>48</v>
      </c>
    </row>
    <row r="25583">
      <c r="H25583" s="50"/>
      <c r="I25583" s="50"/>
      <c r="O25583" s="36" t="s">
        <v>48</v>
      </c>
      <c r="R25583" s="36" t="s">
        <v>48</v>
      </c>
    </row>
    <row r="25584">
      <c r="H25584" s="50"/>
      <c r="I25584" s="50"/>
      <c r="O25584" s="36" t="s">
        <v>48</v>
      </c>
      <c r="R25584" s="36" t="s">
        <v>48</v>
      </c>
    </row>
    <row r="25585">
      <c r="H25585" s="50"/>
      <c r="I25585" s="50"/>
      <c r="O25585" s="36" t="s">
        <v>48</v>
      </c>
      <c r="R25585" s="36" t="s">
        <v>48</v>
      </c>
    </row>
    <row r="25586">
      <c r="H25586" s="50"/>
      <c r="I25586" s="50"/>
      <c r="O25586" s="36" t="s">
        <v>48</v>
      </c>
      <c r="R25586" s="36" t="s">
        <v>48</v>
      </c>
    </row>
    <row r="25587">
      <c r="H25587" s="50"/>
      <c r="I25587" s="50"/>
      <c r="O25587" s="36" t="s">
        <v>48</v>
      </c>
      <c r="R25587" s="36" t="s">
        <v>48</v>
      </c>
    </row>
    <row r="25588">
      <c r="H25588" s="50"/>
      <c r="I25588" s="50"/>
      <c r="O25588" s="36" t="s">
        <v>48</v>
      </c>
      <c r="R25588" s="36" t="s">
        <v>48</v>
      </c>
    </row>
    <row r="25589">
      <c r="H25589" s="50"/>
      <c r="I25589" s="50"/>
      <c r="O25589" s="36" t="s">
        <v>48</v>
      </c>
      <c r="R25589" s="36" t="s">
        <v>48</v>
      </c>
    </row>
    <row r="25590">
      <c r="H25590" s="50"/>
      <c r="I25590" s="50"/>
      <c r="O25590" s="36" t="s">
        <v>48</v>
      </c>
      <c r="R25590" s="36" t="s">
        <v>48</v>
      </c>
    </row>
    <row r="25591">
      <c r="H25591" s="50"/>
      <c r="I25591" s="50"/>
      <c r="O25591" s="36" t="s">
        <v>48</v>
      </c>
      <c r="R25591" s="36" t="s">
        <v>48</v>
      </c>
    </row>
    <row r="25592">
      <c r="H25592" s="50"/>
      <c r="I25592" s="50"/>
      <c r="O25592" s="36" t="s">
        <v>48</v>
      </c>
      <c r="R25592" s="36" t="s">
        <v>48</v>
      </c>
    </row>
    <row r="25593">
      <c r="H25593" s="50"/>
      <c r="I25593" s="50"/>
      <c r="O25593" s="36" t="s">
        <v>48</v>
      </c>
      <c r="R25593" s="36" t="s">
        <v>48</v>
      </c>
    </row>
    <row r="25594">
      <c r="H25594" s="50"/>
      <c r="I25594" s="50"/>
      <c r="O25594" s="36" t="s">
        <v>48</v>
      </c>
      <c r="R25594" s="36" t="s">
        <v>48</v>
      </c>
    </row>
    <row r="25595">
      <c r="H25595" s="50"/>
      <c r="I25595" s="50"/>
      <c r="O25595" s="36" t="s">
        <v>48</v>
      </c>
      <c r="R25595" s="36" t="s">
        <v>48</v>
      </c>
    </row>
    <row r="25596">
      <c r="H25596" s="50"/>
      <c r="I25596" s="50"/>
      <c r="O25596" s="36" t="s">
        <v>48</v>
      </c>
      <c r="R25596" s="36" t="s">
        <v>48</v>
      </c>
    </row>
    <row r="25597">
      <c r="H25597" s="50"/>
      <c r="I25597" s="50"/>
      <c r="O25597" s="36" t="s">
        <v>48</v>
      </c>
      <c r="R25597" s="36" t="s">
        <v>48</v>
      </c>
    </row>
    <row r="25598">
      <c r="H25598" s="50"/>
      <c r="I25598" s="50"/>
      <c r="O25598" s="36" t="s">
        <v>48</v>
      </c>
      <c r="R25598" s="36" t="s">
        <v>48</v>
      </c>
    </row>
    <row r="25599">
      <c r="H25599" s="50"/>
      <c r="I25599" s="50"/>
      <c r="O25599" s="36" t="s">
        <v>48</v>
      </c>
      <c r="R25599" s="36" t="s">
        <v>48</v>
      </c>
    </row>
    <row r="25600">
      <c r="H25600" s="50"/>
      <c r="I25600" s="50"/>
      <c r="O25600" s="36" t="s">
        <v>48</v>
      </c>
      <c r="R25600" s="36" t="s">
        <v>48</v>
      </c>
    </row>
    <row r="25601">
      <c r="H25601" s="50"/>
      <c r="I25601" s="50"/>
      <c r="O25601" s="36" t="s">
        <v>48</v>
      </c>
      <c r="R25601" s="36" t="s">
        <v>48</v>
      </c>
    </row>
    <row r="25602">
      <c r="H25602" s="50"/>
      <c r="I25602" s="50"/>
      <c r="O25602" s="36" t="s">
        <v>48</v>
      </c>
      <c r="R25602" s="36" t="s">
        <v>48</v>
      </c>
    </row>
    <row r="25603">
      <c r="H25603" s="50"/>
      <c r="I25603" s="50"/>
      <c r="O25603" s="36" t="s">
        <v>48</v>
      </c>
      <c r="R25603" s="36" t="s">
        <v>48</v>
      </c>
    </row>
    <row r="25604">
      <c r="H25604" s="50"/>
      <c r="I25604" s="50"/>
      <c r="O25604" s="36" t="s">
        <v>48</v>
      </c>
      <c r="R25604" s="36" t="s">
        <v>48</v>
      </c>
    </row>
    <row r="25605">
      <c r="H25605" s="50"/>
      <c r="I25605" s="50"/>
      <c r="O25605" s="36" t="s">
        <v>48</v>
      </c>
      <c r="R25605" s="36" t="s">
        <v>48</v>
      </c>
    </row>
    <row r="25606">
      <c r="H25606" s="50"/>
      <c r="I25606" s="50"/>
      <c r="O25606" s="36" t="s">
        <v>48</v>
      </c>
      <c r="R25606" s="36" t="s">
        <v>48</v>
      </c>
    </row>
    <row r="25607">
      <c r="H25607" s="50"/>
      <c r="I25607" s="50"/>
      <c r="O25607" s="36" t="s">
        <v>48</v>
      </c>
      <c r="R25607" s="36" t="s">
        <v>48</v>
      </c>
    </row>
    <row r="25608">
      <c r="H25608" s="50"/>
      <c r="I25608" s="50"/>
      <c r="O25608" s="36" t="s">
        <v>48</v>
      </c>
      <c r="R25608" s="36" t="s">
        <v>48</v>
      </c>
    </row>
    <row r="25609">
      <c r="H25609" s="50"/>
      <c r="I25609" s="50"/>
      <c r="O25609" s="36" t="s">
        <v>48</v>
      </c>
      <c r="R25609" s="36" t="s">
        <v>48</v>
      </c>
    </row>
    <row r="25610">
      <c r="H25610" s="50"/>
      <c r="I25610" s="50"/>
      <c r="O25610" s="36" t="s">
        <v>48</v>
      </c>
      <c r="R25610" s="36" t="s">
        <v>48</v>
      </c>
    </row>
    <row r="25611">
      <c r="H25611" s="50"/>
      <c r="I25611" s="50"/>
      <c r="O25611" s="36" t="s">
        <v>48</v>
      </c>
      <c r="R25611" s="36" t="s">
        <v>48</v>
      </c>
    </row>
    <row r="25612">
      <c r="H25612" s="50"/>
      <c r="I25612" s="50"/>
      <c r="O25612" s="36" t="s">
        <v>48</v>
      </c>
      <c r="R25612" s="36" t="s">
        <v>48</v>
      </c>
    </row>
    <row r="25613">
      <c r="H25613" s="50"/>
      <c r="I25613" s="50"/>
      <c r="O25613" s="36" t="s">
        <v>48</v>
      </c>
      <c r="R25613" s="36" t="s">
        <v>48</v>
      </c>
    </row>
    <row r="25614">
      <c r="H25614" s="50"/>
      <c r="I25614" s="50"/>
      <c r="O25614" s="36" t="s">
        <v>48</v>
      </c>
      <c r="R25614" s="36" t="s">
        <v>48</v>
      </c>
    </row>
    <row r="25615">
      <c r="H25615" s="50"/>
      <c r="I25615" s="50"/>
      <c r="O25615" s="36" t="s">
        <v>48</v>
      </c>
      <c r="R25615" s="36" t="s">
        <v>48</v>
      </c>
    </row>
    <row r="25616">
      <c r="H25616" s="50"/>
      <c r="I25616" s="50"/>
      <c r="O25616" s="36" t="s">
        <v>48</v>
      </c>
      <c r="R25616" s="36" t="s">
        <v>48</v>
      </c>
    </row>
    <row r="25617">
      <c r="H25617" s="50"/>
      <c r="I25617" s="50"/>
      <c r="O25617" s="36" t="s">
        <v>48</v>
      </c>
      <c r="R25617" s="36" t="s">
        <v>48</v>
      </c>
    </row>
    <row r="25618">
      <c r="H25618" s="50"/>
      <c r="I25618" s="50"/>
      <c r="O25618" s="36" t="s">
        <v>48</v>
      </c>
      <c r="R25618" s="36" t="s">
        <v>48</v>
      </c>
    </row>
    <row r="25619">
      <c r="H25619" s="50"/>
      <c r="I25619" s="50"/>
      <c r="O25619" s="36" t="s">
        <v>48</v>
      </c>
      <c r="R25619" s="36" t="s">
        <v>48</v>
      </c>
    </row>
    <row r="25620">
      <c r="H25620" s="50"/>
      <c r="I25620" s="50"/>
      <c r="O25620" s="36" t="s">
        <v>48</v>
      </c>
      <c r="R25620" s="36" t="s">
        <v>48</v>
      </c>
    </row>
    <row r="25621">
      <c r="H25621" s="50"/>
      <c r="I25621" s="50"/>
      <c r="O25621" s="36" t="s">
        <v>48</v>
      </c>
      <c r="R25621" s="36" t="s">
        <v>48</v>
      </c>
    </row>
    <row r="25622">
      <c r="H25622" s="50"/>
      <c r="I25622" s="50"/>
      <c r="O25622" s="36" t="s">
        <v>48</v>
      </c>
      <c r="R25622" s="36" t="s">
        <v>48</v>
      </c>
    </row>
    <row r="25623">
      <c r="H25623" s="50"/>
      <c r="I25623" s="50"/>
      <c r="O25623" s="36" t="s">
        <v>48</v>
      </c>
      <c r="R25623" s="36" t="s">
        <v>48</v>
      </c>
    </row>
    <row r="25624">
      <c r="H25624" s="50"/>
      <c r="I25624" s="50"/>
      <c r="O25624" s="36" t="s">
        <v>48</v>
      </c>
      <c r="R25624" s="36" t="s">
        <v>48</v>
      </c>
    </row>
    <row r="25625">
      <c r="H25625" s="50"/>
      <c r="I25625" s="50"/>
      <c r="O25625" s="36" t="s">
        <v>48</v>
      </c>
      <c r="R25625" s="36" t="s">
        <v>48</v>
      </c>
    </row>
    <row r="25626">
      <c r="H25626" s="50"/>
      <c r="I25626" s="50"/>
      <c r="O25626" s="36" t="s">
        <v>48</v>
      </c>
      <c r="R25626" s="36" t="s">
        <v>48</v>
      </c>
    </row>
    <row r="25627">
      <c r="H25627" s="50"/>
      <c r="I25627" s="50"/>
      <c r="O25627" s="36" t="s">
        <v>48</v>
      </c>
      <c r="R25627" s="36" t="s">
        <v>48</v>
      </c>
    </row>
    <row r="25628">
      <c r="H25628" s="50"/>
      <c r="I25628" s="50"/>
      <c r="O25628" s="36" t="s">
        <v>48</v>
      </c>
      <c r="R25628" s="36" t="s">
        <v>48</v>
      </c>
    </row>
    <row r="25629">
      <c r="H25629" s="50"/>
      <c r="I25629" s="50"/>
      <c r="O25629" s="36" t="s">
        <v>48</v>
      </c>
      <c r="R25629" s="36" t="s">
        <v>48</v>
      </c>
    </row>
    <row r="25630">
      <c r="H25630" s="50"/>
      <c r="I25630" s="50"/>
      <c r="O25630" s="36" t="s">
        <v>48</v>
      </c>
      <c r="R25630" s="36" t="s">
        <v>48</v>
      </c>
    </row>
    <row r="25631">
      <c r="H25631" s="50"/>
      <c r="I25631" s="50"/>
      <c r="O25631" s="36" t="s">
        <v>48</v>
      </c>
      <c r="R25631" s="36" t="s">
        <v>48</v>
      </c>
    </row>
    <row r="25632">
      <c r="H25632" s="50"/>
      <c r="I25632" s="50"/>
      <c r="O25632" s="36" t="s">
        <v>48</v>
      </c>
      <c r="R25632" s="36" t="s">
        <v>48</v>
      </c>
    </row>
    <row r="25633">
      <c r="H25633" s="50"/>
      <c r="I25633" s="50"/>
      <c r="O25633" s="36" t="s">
        <v>48</v>
      </c>
      <c r="R25633" s="36" t="s">
        <v>48</v>
      </c>
    </row>
    <row r="25634">
      <c r="H25634" s="50"/>
      <c r="I25634" s="50"/>
      <c r="O25634" s="36" t="s">
        <v>48</v>
      </c>
      <c r="R25634" s="36" t="s">
        <v>48</v>
      </c>
    </row>
    <row r="25635">
      <c r="H25635" s="50"/>
      <c r="I25635" s="50"/>
      <c r="O25635" s="36" t="s">
        <v>48</v>
      </c>
      <c r="R25635" s="36" t="s">
        <v>48</v>
      </c>
    </row>
    <row r="25636">
      <c r="H25636" s="50"/>
      <c r="I25636" s="50"/>
      <c r="O25636" s="36" t="s">
        <v>48</v>
      </c>
      <c r="R25636" s="36" t="s">
        <v>48</v>
      </c>
    </row>
    <row r="25637">
      <c r="H25637" s="50"/>
      <c r="I25637" s="50"/>
      <c r="O25637" s="36" t="s">
        <v>48</v>
      </c>
      <c r="R25637" s="36" t="s">
        <v>48</v>
      </c>
    </row>
    <row r="25638">
      <c r="H25638" s="50"/>
      <c r="I25638" s="50"/>
      <c r="O25638" s="36" t="s">
        <v>48</v>
      </c>
      <c r="R25638" s="36" t="s">
        <v>48</v>
      </c>
    </row>
    <row r="25639">
      <c r="H25639" s="50"/>
      <c r="I25639" s="50"/>
      <c r="O25639" s="36" t="s">
        <v>48</v>
      </c>
      <c r="R25639" s="36" t="s">
        <v>48</v>
      </c>
    </row>
    <row r="25640">
      <c r="H25640" s="50"/>
      <c r="I25640" s="50"/>
      <c r="O25640" s="36" t="s">
        <v>48</v>
      </c>
      <c r="R25640" s="36" t="s">
        <v>48</v>
      </c>
    </row>
    <row r="25641">
      <c r="H25641" s="50"/>
      <c r="I25641" s="50"/>
      <c r="O25641" s="36" t="s">
        <v>48</v>
      </c>
      <c r="R25641" s="36" t="s">
        <v>48</v>
      </c>
    </row>
    <row r="25642">
      <c r="H25642" s="50"/>
      <c r="I25642" s="50"/>
      <c r="O25642" s="36" t="s">
        <v>48</v>
      </c>
      <c r="R25642" s="36" t="s">
        <v>48</v>
      </c>
    </row>
    <row r="25643">
      <c r="H25643" s="50"/>
      <c r="I25643" s="50"/>
      <c r="O25643" s="36" t="s">
        <v>48</v>
      </c>
      <c r="R25643" s="36" t="s">
        <v>48</v>
      </c>
    </row>
    <row r="25644">
      <c r="H25644" s="50"/>
      <c r="I25644" s="50"/>
      <c r="O25644" s="36" t="s">
        <v>48</v>
      </c>
      <c r="R25644" s="36" t="s">
        <v>48</v>
      </c>
    </row>
    <row r="25645">
      <c r="H25645" s="50"/>
      <c r="I25645" s="50"/>
      <c r="O25645" s="36" t="s">
        <v>48</v>
      </c>
      <c r="R25645" s="36" t="s">
        <v>48</v>
      </c>
    </row>
    <row r="25646">
      <c r="H25646" s="50"/>
      <c r="I25646" s="50"/>
      <c r="O25646" s="36" t="s">
        <v>48</v>
      </c>
      <c r="R25646" s="36" t="s">
        <v>48</v>
      </c>
    </row>
    <row r="25647">
      <c r="H25647" s="50"/>
      <c r="I25647" s="50"/>
      <c r="O25647" s="36" t="s">
        <v>48</v>
      </c>
      <c r="R25647" s="36" t="s">
        <v>48</v>
      </c>
    </row>
    <row r="25648">
      <c r="H25648" s="50"/>
      <c r="I25648" s="50"/>
      <c r="O25648" s="36" t="s">
        <v>48</v>
      </c>
      <c r="R25648" s="36" t="s">
        <v>48</v>
      </c>
    </row>
    <row r="25649">
      <c r="H25649" s="50"/>
      <c r="I25649" s="50"/>
      <c r="O25649" s="36" t="s">
        <v>48</v>
      </c>
      <c r="R25649" s="36" t="s">
        <v>48</v>
      </c>
    </row>
    <row r="25650">
      <c r="H25650" s="50"/>
      <c r="I25650" s="50"/>
      <c r="O25650" s="36" t="s">
        <v>48</v>
      </c>
      <c r="R25650" s="36" t="s">
        <v>48</v>
      </c>
    </row>
    <row r="25651">
      <c r="H25651" s="50"/>
      <c r="I25651" s="50"/>
      <c r="O25651" s="36" t="s">
        <v>48</v>
      </c>
      <c r="R25651" s="36" t="s">
        <v>48</v>
      </c>
    </row>
    <row r="25652">
      <c r="H25652" s="50"/>
      <c r="I25652" s="50"/>
      <c r="O25652" s="36" t="s">
        <v>48</v>
      </c>
      <c r="R25652" s="36" t="s">
        <v>48</v>
      </c>
    </row>
    <row r="25653">
      <c r="H25653" s="50"/>
      <c r="I25653" s="50"/>
      <c r="O25653" s="36" t="s">
        <v>48</v>
      </c>
      <c r="R25653" s="36" t="s">
        <v>48</v>
      </c>
    </row>
    <row r="25654">
      <c r="H25654" s="50"/>
      <c r="I25654" s="50"/>
      <c r="O25654" s="36" t="s">
        <v>48</v>
      </c>
      <c r="R25654" s="36" t="s">
        <v>48</v>
      </c>
    </row>
    <row r="25655">
      <c r="H25655" s="50"/>
      <c r="I25655" s="50"/>
      <c r="O25655" s="36" t="s">
        <v>48</v>
      </c>
      <c r="R25655" s="36" t="s">
        <v>48</v>
      </c>
    </row>
    <row r="25656">
      <c r="H25656" s="50"/>
      <c r="I25656" s="50"/>
      <c r="O25656" s="36" t="s">
        <v>48</v>
      </c>
      <c r="R25656" s="36" t="s">
        <v>48</v>
      </c>
    </row>
    <row r="25657">
      <c r="H25657" s="50"/>
      <c r="I25657" s="50"/>
      <c r="O25657" s="36" t="s">
        <v>48</v>
      </c>
      <c r="R25657" s="36" t="s">
        <v>48</v>
      </c>
    </row>
    <row r="25658">
      <c r="H25658" s="50"/>
      <c r="I25658" s="50"/>
      <c r="O25658" s="36" t="s">
        <v>48</v>
      </c>
      <c r="R25658" s="36" t="s">
        <v>48</v>
      </c>
    </row>
    <row r="25659">
      <c r="H25659" s="50"/>
      <c r="I25659" s="50"/>
      <c r="O25659" s="36" t="s">
        <v>48</v>
      </c>
      <c r="R25659" s="36" t="s">
        <v>48</v>
      </c>
    </row>
    <row r="25660">
      <c r="H25660" s="50"/>
      <c r="I25660" s="50"/>
      <c r="O25660" s="36" t="s">
        <v>48</v>
      </c>
      <c r="R25660" s="36" t="s">
        <v>48</v>
      </c>
    </row>
    <row r="25661">
      <c r="H25661" s="50"/>
      <c r="I25661" s="50"/>
      <c r="O25661" s="36" t="s">
        <v>48</v>
      </c>
      <c r="R25661" s="36" t="s">
        <v>48</v>
      </c>
    </row>
    <row r="25662">
      <c r="H25662" s="50"/>
      <c r="I25662" s="50"/>
      <c r="O25662" s="36" t="s">
        <v>48</v>
      </c>
      <c r="R25662" s="36" t="s">
        <v>48</v>
      </c>
    </row>
    <row r="25663">
      <c r="H25663" s="50"/>
      <c r="I25663" s="50"/>
      <c r="O25663" s="36" t="s">
        <v>48</v>
      </c>
      <c r="R25663" s="36" t="s">
        <v>48</v>
      </c>
    </row>
    <row r="25664">
      <c r="H25664" s="50"/>
      <c r="I25664" s="50"/>
      <c r="O25664" s="36" t="s">
        <v>48</v>
      </c>
      <c r="R25664" s="36" t="s">
        <v>48</v>
      </c>
    </row>
    <row r="25665">
      <c r="H25665" s="50"/>
      <c r="I25665" s="50"/>
      <c r="O25665" s="36" t="s">
        <v>48</v>
      </c>
      <c r="R25665" s="36" t="s">
        <v>48</v>
      </c>
    </row>
    <row r="25666">
      <c r="H25666" s="50"/>
      <c r="I25666" s="50"/>
      <c r="O25666" s="36" t="s">
        <v>48</v>
      </c>
      <c r="R25666" s="36" t="s">
        <v>48</v>
      </c>
    </row>
    <row r="25667">
      <c r="H25667" s="50"/>
      <c r="I25667" s="50"/>
      <c r="O25667" s="36" t="s">
        <v>48</v>
      </c>
      <c r="R25667" s="36" t="s">
        <v>48</v>
      </c>
    </row>
    <row r="25668">
      <c r="H25668" s="50"/>
      <c r="I25668" s="50"/>
      <c r="O25668" s="36" t="s">
        <v>48</v>
      </c>
      <c r="R25668" s="36" t="s">
        <v>48</v>
      </c>
    </row>
    <row r="25669">
      <c r="H25669" s="50"/>
      <c r="I25669" s="50"/>
      <c r="O25669" s="36" t="s">
        <v>48</v>
      </c>
      <c r="R25669" s="36" t="s">
        <v>48</v>
      </c>
    </row>
    <row r="25670">
      <c r="H25670" s="50"/>
      <c r="I25670" s="50"/>
      <c r="O25670" s="36" t="s">
        <v>48</v>
      </c>
      <c r="R25670" s="36" t="s">
        <v>48</v>
      </c>
    </row>
    <row r="25671">
      <c r="H25671" s="50"/>
      <c r="I25671" s="50"/>
      <c r="O25671" s="36" t="s">
        <v>48</v>
      </c>
      <c r="R25671" s="36" t="s">
        <v>48</v>
      </c>
    </row>
    <row r="25672">
      <c r="H25672" s="50"/>
      <c r="I25672" s="50"/>
      <c r="O25672" s="36" t="s">
        <v>48</v>
      </c>
      <c r="R25672" s="36" t="s">
        <v>48</v>
      </c>
    </row>
    <row r="25673">
      <c r="H25673" s="50"/>
      <c r="I25673" s="50"/>
      <c r="O25673" s="36" t="s">
        <v>48</v>
      </c>
      <c r="R25673" s="36" t="s">
        <v>48</v>
      </c>
    </row>
    <row r="25674">
      <c r="H25674" s="50"/>
      <c r="I25674" s="50"/>
      <c r="O25674" s="36" t="s">
        <v>48</v>
      </c>
      <c r="R25674" s="36" t="s">
        <v>48</v>
      </c>
    </row>
    <row r="25675">
      <c r="H25675" s="50"/>
      <c r="I25675" s="50"/>
      <c r="O25675" s="36" t="s">
        <v>48</v>
      </c>
      <c r="R25675" s="36" t="s">
        <v>48</v>
      </c>
    </row>
    <row r="25676">
      <c r="H25676" s="50"/>
      <c r="I25676" s="50"/>
      <c r="O25676" s="36" t="s">
        <v>48</v>
      </c>
      <c r="R25676" s="36" t="s">
        <v>48</v>
      </c>
    </row>
    <row r="25677">
      <c r="H25677" s="50"/>
      <c r="I25677" s="50"/>
      <c r="O25677" s="36" t="s">
        <v>48</v>
      </c>
      <c r="R25677" s="36" t="s">
        <v>48</v>
      </c>
    </row>
    <row r="25678">
      <c r="H25678" s="50"/>
      <c r="I25678" s="50"/>
      <c r="O25678" s="36" t="s">
        <v>48</v>
      </c>
      <c r="R25678" s="36" t="s">
        <v>48</v>
      </c>
    </row>
    <row r="25679">
      <c r="H25679" s="50"/>
      <c r="I25679" s="50"/>
      <c r="O25679" s="36" t="s">
        <v>48</v>
      </c>
      <c r="R25679" s="36" t="s">
        <v>48</v>
      </c>
    </row>
    <row r="25680">
      <c r="H25680" s="50"/>
      <c r="I25680" s="50"/>
      <c r="O25680" s="36" t="s">
        <v>48</v>
      </c>
      <c r="R25680" s="36" t="s">
        <v>48</v>
      </c>
    </row>
    <row r="25681">
      <c r="H25681" s="50"/>
      <c r="I25681" s="50"/>
      <c r="O25681" s="36" t="s">
        <v>48</v>
      </c>
      <c r="R25681" s="36" t="s">
        <v>48</v>
      </c>
    </row>
    <row r="25682">
      <c r="H25682" s="50"/>
      <c r="I25682" s="50"/>
      <c r="O25682" s="36" t="s">
        <v>48</v>
      </c>
      <c r="R25682" s="36" t="s">
        <v>48</v>
      </c>
    </row>
    <row r="25683">
      <c r="H25683" s="50"/>
      <c r="I25683" s="50"/>
      <c r="O25683" s="36" t="s">
        <v>48</v>
      </c>
      <c r="R25683" s="36" t="s">
        <v>48</v>
      </c>
    </row>
    <row r="25684">
      <c r="H25684" s="50"/>
      <c r="I25684" s="50"/>
      <c r="O25684" s="36" t="s">
        <v>48</v>
      </c>
      <c r="R25684" s="36" t="s">
        <v>48</v>
      </c>
    </row>
    <row r="25685">
      <c r="H25685" s="50"/>
      <c r="I25685" s="50"/>
      <c r="O25685" s="36" t="s">
        <v>48</v>
      </c>
      <c r="R25685" s="36" t="s">
        <v>48</v>
      </c>
    </row>
    <row r="25686">
      <c r="H25686" s="50"/>
      <c r="I25686" s="50"/>
      <c r="O25686" s="36" t="s">
        <v>48</v>
      </c>
      <c r="R25686" s="36" t="s">
        <v>48</v>
      </c>
    </row>
    <row r="25687">
      <c r="H25687" s="50"/>
      <c r="I25687" s="50"/>
      <c r="O25687" s="36" t="s">
        <v>48</v>
      </c>
      <c r="R25687" s="36" t="s">
        <v>48</v>
      </c>
    </row>
    <row r="25688">
      <c r="H25688" s="50"/>
      <c r="I25688" s="50"/>
      <c r="O25688" s="36" t="s">
        <v>48</v>
      </c>
      <c r="R25688" s="36" t="s">
        <v>48</v>
      </c>
    </row>
    <row r="25689">
      <c r="H25689" s="50"/>
      <c r="I25689" s="50"/>
      <c r="O25689" s="36" t="s">
        <v>48</v>
      </c>
      <c r="R25689" s="36" t="s">
        <v>48</v>
      </c>
    </row>
    <row r="25690">
      <c r="H25690" s="50"/>
      <c r="I25690" s="50"/>
      <c r="O25690" s="36" t="s">
        <v>48</v>
      </c>
      <c r="R25690" s="36" t="s">
        <v>48</v>
      </c>
    </row>
    <row r="25691">
      <c r="H25691" s="50"/>
      <c r="I25691" s="50"/>
      <c r="O25691" s="36" t="s">
        <v>48</v>
      </c>
      <c r="R25691" s="36" t="s">
        <v>48</v>
      </c>
    </row>
    <row r="25692">
      <c r="H25692" s="50"/>
      <c r="I25692" s="50"/>
      <c r="O25692" s="36" t="s">
        <v>48</v>
      </c>
      <c r="R25692" s="36" t="s">
        <v>48</v>
      </c>
    </row>
    <row r="25693">
      <c r="H25693" s="50"/>
      <c r="I25693" s="50"/>
      <c r="O25693" s="36" t="s">
        <v>48</v>
      </c>
      <c r="R25693" s="36" t="s">
        <v>48</v>
      </c>
    </row>
    <row r="25694">
      <c r="H25694" s="50"/>
      <c r="I25694" s="50"/>
      <c r="O25694" s="36" t="s">
        <v>48</v>
      </c>
      <c r="R25694" s="36" t="s">
        <v>48</v>
      </c>
    </row>
    <row r="25695">
      <c r="H25695" s="50"/>
      <c r="I25695" s="50"/>
      <c r="O25695" s="36" t="s">
        <v>48</v>
      </c>
      <c r="R25695" s="36" t="s">
        <v>48</v>
      </c>
    </row>
    <row r="25696">
      <c r="H25696" s="50"/>
      <c r="I25696" s="50"/>
      <c r="O25696" s="36" t="s">
        <v>48</v>
      </c>
      <c r="R25696" s="36" t="s">
        <v>48</v>
      </c>
    </row>
    <row r="25697">
      <c r="H25697" s="50"/>
      <c r="I25697" s="50"/>
      <c r="O25697" s="36" t="s">
        <v>48</v>
      </c>
      <c r="R25697" s="36" t="s">
        <v>48</v>
      </c>
    </row>
    <row r="25698">
      <c r="H25698" s="50"/>
      <c r="I25698" s="50"/>
      <c r="O25698" s="36" t="s">
        <v>48</v>
      </c>
      <c r="R25698" s="36" t="s">
        <v>48</v>
      </c>
    </row>
    <row r="25699">
      <c r="H25699" s="50"/>
      <c r="I25699" s="50"/>
      <c r="O25699" s="36" t="s">
        <v>48</v>
      </c>
      <c r="R25699" s="36" t="s">
        <v>48</v>
      </c>
    </row>
    <row r="25700">
      <c r="H25700" s="50"/>
      <c r="I25700" s="50"/>
      <c r="O25700" s="36" t="s">
        <v>48</v>
      </c>
      <c r="R25700" s="36" t="s">
        <v>48</v>
      </c>
    </row>
    <row r="25701">
      <c r="H25701" s="50"/>
      <c r="I25701" s="50"/>
      <c r="O25701" s="36" t="s">
        <v>48</v>
      </c>
      <c r="R25701" s="36" t="s">
        <v>48</v>
      </c>
    </row>
    <row r="25702">
      <c r="H25702" s="50"/>
      <c r="I25702" s="50"/>
      <c r="O25702" s="36" t="s">
        <v>48</v>
      </c>
      <c r="R25702" s="36" t="s">
        <v>48</v>
      </c>
    </row>
    <row r="25703">
      <c r="H25703" s="50"/>
      <c r="I25703" s="50"/>
      <c r="O25703" s="36" t="s">
        <v>48</v>
      </c>
      <c r="R25703" s="36" t="s">
        <v>48</v>
      </c>
    </row>
    <row r="25704">
      <c r="H25704" s="50"/>
      <c r="I25704" s="50"/>
      <c r="O25704" s="36" t="s">
        <v>48</v>
      </c>
      <c r="R25704" s="36" t="s">
        <v>48</v>
      </c>
    </row>
    <row r="25705">
      <c r="H25705" s="50"/>
      <c r="I25705" s="50"/>
      <c r="O25705" s="36" t="s">
        <v>48</v>
      </c>
      <c r="R25705" s="36" t="s">
        <v>48</v>
      </c>
    </row>
    <row r="25706">
      <c r="H25706" s="50"/>
      <c r="I25706" s="50"/>
      <c r="O25706" s="36" t="s">
        <v>48</v>
      </c>
      <c r="R25706" s="36" t="s">
        <v>48</v>
      </c>
    </row>
    <row r="25707">
      <c r="H25707" s="50"/>
      <c r="I25707" s="50"/>
      <c r="O25707" s="36" t="s">
        <v>48</v>
      </c>
      <c r="R25707" s="36" t="s">
        <v>48</v>
      </c>
    </row>
    <row r="25708">
      <c r="H25708" s="50"/>
      <c r="I25708" s="50"/>
      <c r="O25708" s="36" t="s">
        <v>48</v>
      </c>
      <c r="R25708" s="36" t="s">
        <v>48</v>
      </c>
    </row>
    <row r="25709">
      <c r="H25709" s="50"/>
      <c r="I25709" s="50"/>
      <c r="O25709" s="36" t="s">
        <v>48</v>
      </c>
      <c r="R25709" s="36" t="s">
        <v>48</v>
      </c>
    </row>
    <row r="25710">
      <c r="H25710" s="50"/>
      <c r="I25710" s="50"/>
      <c r="O25710" s="36" t="s">
        <v>48</v>
      </c>
      <c r="R25710" s="36" t="s">
        <v>48</v>
      </c>
    </row>
    <row r="25711">
      <c r="H25711" s="50"/>
      <c r="I25711" s="50"/>
      <c r="O25711" s="36" t="s">
        <v>48</v>
      </c>
      <c r="R25711" s="36" t="s">
        <v>48</v>
      </c>
    </row>
    <row r="25712">
      <c r="H25712" s="50"/>
      <c r="I25712" s="50"/>
      <c r="O25712" s="36" t="s">
        <v>48</v>
      </c>
      <c r="R25712" s="36" t="s">
        <v>48</v>
      </c>
    </row>
    <row r="25713">
      <c r="H25713" s="50"/>
      <c r="I25713" s="50"/>
      <c r="O25713" s="36" t="s">
        <v>48</v>
      </c>
      <c r="R25713" s="36" t="s">
        <v>48</v>
      </c>
    </row>
    <row r="25714">
      <c r="H25714" s="50"/>
      <c r="I25714" s="50"/>
      <c r="O25714" s="36" t="s">
        <v>48</v>
      </c>
      <c r="R25714" s="36" t="s">
        <v>48</v>
      </c>
    </row>
    <row r="25715">
      <c r="H25715" s="50"/>
      <c r="I25715" s="50"/>
      <c r="O25715" s="36" t="s">
        <v>48</v>
      </c>
      <c r="R25715" s="36" t="s">
        <v>48</v>
      </c>
    </row>
    <row r="25716">
      <c r="H25716" s="50"/>
      <c r="I25716" s="50"/>
      <c r="O25716" s="36" t="s">
        <v>48</v>
      </c>
      <c r="R25716" s="36" t="s">
        <v>48</v>
      </c>
    </row>
    <row r="25717">
      <c r="H25717" s="50"/>
      <c r="I25717" s="50"/>
      <c r="O25717" s="36" t="s">
        <v>48</v>
      </c>
      <c r="R25717" s="36" t="s">
        <v>48</v>
      </c>
    </row>
    <row r="25718">
      <c r="H25718" s="50"/>
      <c r="I25718" s="50"/>
      <c r="O25718" s="36" t="s">
        <v>48</v>
      </c>
      <c r="R25718" s="36" t="s">
        <v>48</v>
      </c>
    </row>
    <row r="25719">
      <c r="H25719" s="50"/>
      <c r="I25719" s="50"/>
      <c r="O25719" s="36" t="s">
        <v>48</v>
      </c>
      <c r="R25719" s="36" t="s">
        <v>48</v>
      </c>
    </row>
    <row r="25720">
      <c r="H25720" s="50"/>
      <c r="I25720" s="50"/>
      <c r="O25720" s="36" t="s">
        <v>48</v>
      </c>
      <c r="R25720" s="36" t="s">
        <v>48</v>
      </c>
    </row>
    <row r="25721">
      <c r="H25721" s="50"/>
      <c r="I25721" s="50"/>
      <c r="O25721" s="36" t="s">
        <v>48</v>
      </c>
      <c r="R25721" s="36" t="s">
        <v>48</v>
      </c>
    </row>
    <row r="25722">
      <c r="H25722" s="50"/>
      <c r="I25722" s="50"/>
      <c r="O25722" s="36" t="s">
        <v>48</v>
      </c>
      <c r="R25722" s="36" t="s">
        <v>48</v>
      </c>
    </row>
    <row r="25723">
      <c r="H25723" s="50"/>
      <c r="I25723" s="50"/>
      <c r="O25723" s="36" t="s">
        <v>48</v>
      </c>
      <c r="R25723" s="36" t="s">
        <v>48</v>
      </c>
    </row>
    <row r="25724">
      <c r="H25724" s="50"/>
      <c r="I25724" s="50"/>
      <c r="O25724" s="36" t="s">
        <v>48</v>
      </c>
      <c r="R25724" s="36" t="s">
        <v>48</v>
      </c>
    </row>
    <row r="25725">
      <c r="H25725" s="50"/>
      <c r="I25725" s="50"/>
      <c r="O25725" s="36" t="s">
        <v>48</v>
      </c>
      <c r="R25725" s="36" t="s">
        <v>48</v>
      </c>
    </row>
    <row r="25726">
      <c r="H25726" s="50"/>
      <c r="I25726" s="50"/>
      <c r="O25726" s="36" t="s">
        <v>48</v>
      </c>
      <c r="R25726" s="36" t="s">
        <v>48</v>
      </c>
    </row>
    <row r="25727">
      <c r="H25727" s="50"/>
      <c r="I25727" s="50"/>
      <c r="O25727" s="36" t="s">
        <v>48</v>
      </c>
      <c r="R25727" s="36" t="s">
        <v>48</v>
      </c>
    </row>
    <row r="25728">
      <c r="H25728" s="50"/>
      <c r="I25728" s="50"/>
      <c r="O25728" s="36" t="s">
        <v>48</v>
      </c>
      <c r="R25728" s="36" t="s">
        <v>48</v>
      </c>
    </row>
    <row r="25729">
      <c r="H25729" s="50"/>
      <c r="I25729" s="50"/>
      <c r="O25729" s="36" t="s">
        <v>48</v>
      </c>
      <c r="R25729" s="36" t="s">
        <v>48</v>
      </c>
    </row>
    <row r="25730">
      <c r="H25730" s="50"/>
      <c r="I25730" s="50"/>
      <c r="O25730" s="36" t="s">
        <v>48</v>
      </c>
      <c r="R25730" s="36" t="s">
        <v>48</v>
      </c>
    </row>
    <row r="25731">
      <c r="H25731" s="50"/>
      <c r="I25731" s="50"/>
      <c r="O25731" s="36" t="s">
        <v>48</v>
      </c>
      <c r="R25731" s="36" t="s">
        <v>48</v>
      </c>
    </row>
    <row r="25732">
      <c r="H25732" s="50"/>
      <c r="I25732" s="50"/>
      <c r="O25732" s="36" t="s">
        <v>48</v>
      </c>
      <c r="R25732" s="36" t="s">
        <v>48</v>
      </c>
    </row>
    <row r="25733">
      <c r="H25733" s="50"/>
      <c r="I25733" s="50"/>
      <c r="O25733" s="36" t="s">
        <v>48</v>
      </c>
      <c r="R25733" s="36" t="s">
        <v>48</v>
      </c>
    </row>
    <row r="25734">
      <c r="H25734" s="50"/>
      <c r="I25734" s="50"/>
      <c r="O25734" s="36" t="s">
        <v>48</v>
      </c>
      <c r="R25734" s="36" t="s">
        <v>48</v>
      </c>
    </row>
    <row r="25735">
      <c r="H25735" s="50"/>
      <c r="I25735" s="50"/>
      <c r="O25735" s="36" t="s">
        <v>48</v>
      </c>
      <c r="R25735" s="36" t="s">
        <v>48</v>
      </c>
    </row>
    <row r="25736">
      <c r="H25736" s="50"/>
      <c r="I25736" s="50"/>
      <c r="O25736" s="36" t="s">
        <v>48</v>
      </c>
      <c r="R25736" s="36" t="s">
        <v>48</v>
      </c>
    </row>
    <row r="25737">
      <c r="H25737" s="50"/>
      <c r="I25737" s="50"/>
      <c r="O25737" s="36" t="s">
        <v>48</v>
      </c>
      <c r="R25737" s="36" t="s">
        <v>48</v>
      </c>
    </row>
    <row r="25738">
      <c r="H25738" s="50"/>
      <c r="I25738" s="50"/>
      <c r="O25738" s="36" t="s">
        <v>48</v>
      </c>
      <c r="R25738" s="36" t="s">
        <v>48</v>
      </c>
    </row>
    <row r="25739">
      <c r="H25739" s="50"/>
      <c r="I25739" s="50"/>
      <c r="O25739" s="36" t="s">
        <v>48</v>
      </c>
      <c r="R25739" s="36" t="s">
        <v>48</v>
      </c>
    </row>
    <row r="25740">
      <c r="H25740" s="50"/>
      <c r="I25740" s="50"/>
      <c r="O25740" s="36" t="s">
        <v>48</v>
      </c>
      <c r="R25740" s="36" t="s">
        <v>48</v>
      </c>
    </row>
    <row r="25741">
      <c r="H25741" s="50"/>
      <c r="I25741" s="50"/>
      <c r="O25741" s="36" t="s">
        <v>48</v>
      </c>
      <c r="R25741" s="36" t="s">
        <v>48</v>
      </c>
    </row>
    <row r="25742">
      <c r="H25742" s="50"/>
      <c r="I25742" s="50"/>
      <c r="O25742" s="36" t="s">
        <v>48</v>
      </c>
      <c r="R25742" s="36" t="s">
        <v>48</v>
      </c>
    </row>
    <row r="25743">
      <c r="H25743" s="50"/>
      <c r="I25743" s="50"/>
      <c r="O25743" s="36" t="s">
        <v>48</v>
      </c>
      <c r="R25743" s="36" t="s">
        <v>48</v>
      </c>
    </row>
    <row r="25744">
      <c r="H25744" s="50"/>
      <c r="I25744" s="50"/>
      <c r="O25744" s="36" t="s">
        <v>48</v>
      </c>
      <c r="R25744" s="36" t="s">
        <v>48</v>
      </c>
    </row>
    <row r="25745">
      <c r="H25745" s="50"/>
      <c r="I25745" s="50"/>
      <c r="O25745" s="36" t="s">
        <v>48</v>
      </c>
      <c r="R25745" s="36" t="s">
        <v>48</v>
      </c>
    </row>
    <row r="25746">
      <c r="H25746" s="50"/>
      <c r="I25746" s="50"/>
      <c r="O25746" s="36" t="s">
        <v>48</v>
      </c>
      <c r="R25746" s="36" t="s">
        <v>48</v>
      </c>
    </row>
    <row r="25747">
      <c r="H25747" s="50"/>
      <c r="I25747" s="50"/>
      <c r="O25747" s="36" t="s">
        <v>48</v>
      </c>
      <c r="R25747" s="36" t="s">
        <v>48</v>
      </c>
    </row>
    <row r="25748">
      <c r="H25748" s="50"/>
      <c r="I25748" s="50"/>
      <c r="O25748" s="36" t="s">
        <v>48</v>
      </c>
      <c r="R25748" s="36" t="s">
        <v>48</v>
      </c>
    </row>
    <row r="25749">
      <c r="H25749" s="50"/>
      <c r="I25749" s="50"/>
      <c r="O25749" s="36" t="s">
        <v>48</v>
      </c>
      <c r="R25749" s="36" t="s">
        <v>48</v>
      </c>
    </row>
    <row r="25750">
      <c r="H25750" s="50"/>
      <c r="I25750" s="50"/>
      <c r="O25750" s="36" t="s">
        <v>48</v>
      </c>
      <c r="R25750" s="36" t="s">
        <v>48</v>
      </c>
    </row>
    <row r="25751">
      <c r="H25751" s="50"/>
      <c r="I25751" s="50"/>
      <c r="O25751" s="36" t="s">
        <v>48</v>
      </c>
      <c r="R25751" s="36" t="s">
        <v>48</v>
      </c>
    </row>
    <row r="25752">
      <c r="H25752" s="50"/>
      <c r="I25752" s="50"/>
      <c r="O25752" s="36" t="s">
        <v>48</v>
      </c>
      <c r="R25752" s="36" t="s">
        <v>48</v>
      </c>
    </row>
    <row r="25753">
      <c r="H25753" s="50"/>
      <c r="I25753" s="50"/>
      <c r="O25753" s="36" t="s">
        <v>48</v>
      </c>
      <c r="R25753" s="36" t="s">
        <v>48</v>
      </c>
    </row>
    <row r="25754">
      <c r="H25754" s="50"/>
      <c r="I25754" s="50"/>
      <c r="O25754" s="36" t="s">
        <v>48</v>
      </c>
      <c r="R25754" s="36" t="s">
        <v>48</v>
      </c>
    </row>
    <row r="25755">
      <c r="H25755" s="50"/>
      <c r="I25755" s="50"/>
      <c r="O25755" s="36" t="s">
        <v>48</v>
      </c>
      <c r="R25755" s="36" t="s">
        <v>48</v>
      </c>
    </row>
    <row r="25756">
      <c r="H25756" s="50"/>
      <c r="I25756" s="50"/>
      <c r="O25756" s="36" t="s">
        <v>48</v>
      </c>
      <c r="R25756" s="36" t="s">
        <v>48</v>
      </c>
    </row>
    <row r="25757">
      <c r="H25757" s="50"/>
      <c r="I25757" s="50"/>
      <c r="O25757" s="36" t="s">
        <v>48</v>
      </c>
      <c r="R25757" s="36" t="s">
        <v>48</v>
      </c>
    </row>
    <row r="25758">
      <c r="H25758" s="50"/>
      <c r="I25758" s="50"/>
      <c r="O25758" s="36" t="s">
        <v>48</v>
      </c>
      <c r="R25758" s="36" t="s">
        <v>48</v>
      </c>
    </row>
    <row r="25759">
      <c r="H25759" s="50"/>
      <c r="I25759" s="50"/>
      <c r="O25759" s="36" t="s">
        <v>48</v>
      </c>
      <c r="R25759" s="36" t="s">
        <v>48</v>
      </c>
    </row>
    <row r="25760">
      <c r="H25760" s="50"/>
      <c r="I25760" s="50"/>
      <c r="O25760" s="36" t="s">
        <v>48</v>
      </c>
      <c r="R25760" s="36" t="s">
        <v>48</v>
      </c>
    </row>
    <row r="25761">
      <c r="H25761" s="50"/>
      <c r="I25761" s="50"/>
      <c r="O25761" s="36" t="s">
        <v>48</v>
      </c>
      <c r="R25761" s="36" t="s">
        <v>48</v>
      </c>
    </row>
    <row r="25762">
      <c r="H25762" s="50"/>
      <c r="I25762" s="50"/>
      <c r="O25762" s="36" t="s">
        <v>48</v>
      </c>
      <c r="R25762" s="36" t="s">
        <v>48</v>
      </c>
    </row>
    <row r="25763">
      <c r="H25763" s="50"/>
      <c r="I25763" s="50"/>
      <c r="O25763" s="36" t="s">
        <v>48</v>
      </c>
      <c r="R25763" s="36" t="s">
        <v>48</v>
      </c>
    </row>
    <row r="25764">
      <c r="H25764" s="50"/>
      <c r="I25764" s="50"/>
      <c r="O25764" s="36" t="s">
        <v>48</v>
      </c>
      <c r="R25764" s="36" t="s">
        <v>48</v>
      </c>
    </row>
    <row r="25765">
      <c r="H25765" s="50"/>
      <c r="I25765" s="50"/>
      <c r="O25765" s="36" t="s">
        <v>48</v>
      </c>
      <c r="R25765" s="36" t="s">
        <v>48</v>
      </c>
    </row>
    <row r="25766">
      <c r="H25766" s="50"/>
      <c r="I25766" s="50"/>
      <c r="O25766" s="36" t="s">
        <v>48</v>
      </c>
      <c r="R25766" s="36" t="s">
        <v>48</v>
      </c>
    </row>
    <row r="25767">
      <c r="H25767" s="50"/>
      <c r="I25767" s="50"/>
      <c r="O25767" s="36" t="s">
        <v>48</v>
      </c>
      <c r="R25767" s="36" t="s">
        <v>48</v>
      </c>
    </row>
    <row r="25768">
      <c r="H25768" s="50"/>
      <c r="I25768" s="50"/>
      <c r="O25768" s="36" t="s">
        <v>48</v>
      </c>
      <c r="R25768" s="36" t="s">
        <v>48</v>
      </c>
    </row>
    <row r="25769">
      <c r="H25769" s="50"/>
      <c r="I25769" s="50"/>
      <c r="O25769" s="36" t="s">
        <v>48</v>
      </c>
      <c r="R25769" s="36" t="s">
        <v>48</v>
      </c>
    </row>
    <row r="25770">
      <c r="H25770" s="50"/>
      <c r="I25770" s="50"/>
      <c r="O25770" s="36" t="s">
        <v>48</v>
      </c>
      <c r="R25770" s="36" t="s">
        <v>48</v>
      </c>
    </row>
    <row r="25771">
      <c r="H25771" s="50"/>
      <c r="I25771" s="50"/>
      <c r="O25771" s="36" t="s">
        <v>48</v>
      </c>
      <c r="R25771" s="36" t="s">
        <v>48</v>
      </c>
    </row>
    <row r="25772">
      <c r="H25772" s="50"/>
      <c r="I25772" s="50"/>
      <c r="O25772" s="36" t="s">
        <v>48</v>
      </c>
      <c r="R25772" s="36" t="s">
        <v>48</v>
      </c>
    </row>
    <row r="25773">
      <c r="H25773" s="50"/>
      <c r="I25773" s="50"/>
      <c r="O25773" s="36" t="s">
        <v>48</v>
      </c>
      <c r="R25773" s="36" t="s">
        <v>48</v>
      </c>
    </row>
    <row r="25774">
      <c r="H25774" s="50"/>
      <c r="I25774" s="50"/>
      <c r="O25774" s="36" t="s">
        <v>48</v>
      </c>
      <c r="R25774" s="36" t="s">
        <v>48</v>
      </c>
    </row>
    <row r="25775">
      <c r="H25775" s="50"/>
      <c r="I25775" s="50"/>
      <c r="O25775" s="36" t="s">
        <v>48</v>
      </c>
      <c r="R25775" s="36" t="s">
        <v>48</v>
      </c>
    </row>
    <row r="25776">
      <c r="H25776" s="50"/>
      <c r="I25776" s="50"/>
      <c r="O25776" s="36" t="s">
        <v>48</v>
      </c>
      <c r="R25776" s="36" t="s">
        <v>48</v>
      </c>
    </row>
    <row r="25777">
      <c r="H25777" s="50"/>
      <c r="I25777" s="50"/>
      <c r="O25777" s="36" t="s">
        <v>48</v>
      </c>
      <c r="R25777" s="36" t="s">
        <v>48</v>
      </c>
    </row>
    <row r="25778">
      <c r="H25778" s="50"/>
      <c r="I25778" s="50"/>
      <c r="O25778" s="36" t="s">
        <v>48</v>
      </c>
      <c r="R25778" s="36" t="s">
        <v>48</v>
      </c>
    </row>
    <row r="25779">
      <c r="H25779" s="50"/>
      <c r="I25779" s="50"/>
      <c r="O25779" s="36" t="s">
        <v>48</v>
      </c>
      <c r="R25779" s="36" t="s">
        <v>48</v>
      </c>
    </row>
    <row r="25780">
      <c r="H25780" s="50"/>
      <c r="I25780" s="50"/>
      <c r="O25780" s="36" t="s">
        <v>48</v>
      </c>
      <c r="R25780" s="36" t="s">
        <v>48</v>
      </c>
    </row>
    <row r="25781">
      <c r="H25781" s="50"/>
      <c r="I25781" s="50"/>
      <c r="O25781" s="36" t="s">
        <v>48</v>
      </c>
      <c r="R25781" s="36" t="s">
        <v>48</v>
      </c>
    </row>
    <row r="25782">
      <c r="H25782" s="50"/>
      <c r="I25782" s="50"/>
      <c r="O25782" s="36" t="s">
        <v>48</v>
      </c>
      <c r="R25782" s="36" t="s">
        <v>48</v>
      </c>
    </row>
    <row r="25783">
      <c r="H25783" s="50"/>
      <c r="I25783" s="50"/>
      <c r="O25783" s="36" t="s">
        <v>48</v>
      </c>
      <c r="R25783" s="36" t="s">
        <v>48</v>
      </c>
    </row>
    <row r="25784">
      <c r="H25784" s="50"/>
      <c r="I25784" s="50"/>
      <c r="O25784" s="36" t="s">
        <v>48</v>
      </c>
      <c r="R25784" s="36" t="s">
        <v>48</v>
      </c>
    </row>
    <row r="25785">
      <c r="H25785" s="50"/>
      <c r="I25785" s="50"/>
      <c r="O25785" s="36" t="s">
        <v>48</v>
      </c>
      <c r="R25785" s="36" t="s">
        <v>48</v>
      </c>
    </row>
    <row r="25786">
      <c r="H25786" s="50"/>
      <c r="I25786" s="50"/>
      <c r="O25786" s="36" t="s">
        <v>48</v>
      </c>
      <c r="R25786" s="36" t="s">
        <v>48</v>
      </c>
    </row>
    <row r="25787">
      <c r="H25787" s="50"/>
      <c r="I25787" s="50"/>
      <c r="O25787" s="36" t="s">
        <v>48</v>
      </c>
      <c r="R25787" s="36" t="s">
        <v>48</v>
      </c>
    </row>
    <row r="25788">
      <c r="H25788" s="50"/>
      <c r="I25788" s="50"/>
      <c r="O25788" s="36" t="s">
        <v>48</v>
      </c>
      <c r="R25788" s="36" t="s">
        <v>48</v>
      </c>
    </row>
    <row r="25789">
      <c r="H25789" s="50"/>
      <c r="I25789" s="50"/>
      <c r="O25789" s="36" t="s">
        <v>48</v>
      </c>
      <c r="R25789" s="36" t="s">
        <v>48</v>
      </c>
    </row>
    <row r="25790">
      <c r="H25790" s="50"/>
      <c r="I25790" s="50"/>
      <c r="O25790" s="36" t="s">
        <v>48</v>
      </c>
      <c r="R25790" s="36" t="s">
        <v>48</v>
      </c>
    </row>
    <row r="25791">
      <c r="H25791" s="50"/>
      <c r="I25791" s="50"/>
      <c r="O25791" s="36" t="s">
        <v>48</v>
      </c>
      <c r="R25791" s="36" t="s">
        <v>48</v>
      </c>
    </row>
    <row r="25792">
      <c r="H25792" s="50"/>
      <c r="I25792" s="50"/>
      <c r="O25792" s="36" t="s">
        <v>48</v>
      </c>
      <c r="R25792" s="36" t="s">
        <v>48</v>
      </c>
    </row>
    <row r="25793">
      <c r="H25793" s="50"/>
      <c r="I25793" s="50"/>
      <c r="O25793" s="36" t="s">
        <v>48</v>
      </c>
      <c r="R25793" s="36" t="s">
        <v>48</v>
      </c>
    </row>
    <row r="25794">
      <c r="H25794" s="50"/>
      <c r="I25794" s="50"/>
      <c r="O25794" s="36" t="s">
        <v>48</v>
      </c>
      <c r="R25794" s="36" t="s">
        <v>48</v>
      </c>
    </row>
    <row r="25795">
      <c r="H25795" s="50"/>
      <c r="I25795" s="50"/>
      <c r="O25795" s="36" t="s">
        <v>48</v>
      </c>
      <c r="R25795" s="36" t="s">
        <v>48</v>
      </c>
    </row>
    <row r="25796">
      <c r="H25796" s="50"/>
      <c r="I25796" s="50"/>
      <c r="O25796" s="36" t="s">
        <v>48</v>
      </c>
      <c r="R25796" s="36" t="s">
        <v>48</v>
      </c>
    </row>
    <row r="25797">
      <c r="H25797" s="50"/>
      <c r="I25797" s="50"/>
      <c r="O25797" s="36" t="s">
        <v>48</v>
      </c>
      <c r="R25797" s="36" t="s">
        <v>48</v>
      </c>
    </row>
    <row r="25798">
      <c r="H25798" s="50"/>
      <c r="I25798" s="50"/>
      <c r="O25798" s="36" t="s">
        <v>48</v>
      </c>
      <c r="R25798" s="36" t="s">
        <v>48</v>
      </c>
    </row>
    <row r="25799">
      <c r="H25799" s="50"/>
      <c r="I25799" s="50"/>
      <c r="O25799" s="36" t="s">
        <v>48</v>
      </c>
      <c r="R25799" s="36" t="s">
        <v>48</v>
      </c>
    </row>
    <row r="25800">
      <c r="H25800" s="50"/>
      <c r="I25800" s="50"/>
      <c r="O25800" s="36" t="s">
        <v>48</v>
      </c>
      <c r="R25800" s="36" t="s">
        <v>48</v>
      </c>
    </row>
    <row r="25801">
      <c r="H25801" s="50"/>
      <c r="I25801" s="50"/>
      <c r="O25801" s="36" t="s">
        <v>48</v>
      </c>
      <c r="R25801" s="36" t="s">
        <v>48</v>
      </c>
    </row>
    <row r="25802">
      <c r="H25802" s="50"/>
      <c r="I25802" s="50"/>
      <c r="O25802" s="36" t="s">
        <v>48</v>
      </c>
      <c r="R25802" s="36" t="s">
        <v>48</v>
      </c>
    </row>
    <row r="25803">
      <c r="H25803" s="50"/>
      <c r="I25803" s="50"/>
      <c r="O25803" s="36" t="s">
        <v>48</v>
      </c>
      <c r="R25803" s="36" t="s">
        <v>48</v>
      </c>
    </row>
    <row r="25804">
      <c r="H25804" s="50"/>
      <c r="I25804" s="50"/>
      <c r="O25804" s="36" t="s">
        <v>48</v>
      </c>
      <c r="R25804" s="36" t="s">
        <v>48</v>
      </c>
    </row>
    <row r="25805">
      <c r="H25805" s="50"/>
      <c r="I25805" s="50"/>
      <c r="O25805" s="36" t="s">
        <v>48</v>
      </c>
      <c r="R25805" s="36" t="s">
        <v>48</v>
      </c>
    </row>
    <row r="25806">
      <c r="H25806" s="50"/>
      <c r="I25806" s="50"/>
      <c r="O25806" s="36" t="s">
        <v>48</v>
      </c>
      <c r="R25806" s="36" t="s">
        <v>48</v>
      </c>
    </row>
    <row r="25807">
      <c r="H25807" s="50"/>
      <c r="I25807" s="50"/>
      <c r="O25807" s="36" t="s">
        <v>48</v>
      </c>
      <c r="R25807" s="36" t="s">
        <v>48</v>
      </c>
    </row>
    <row r="25808">
      <c r="H25808" s="50"/>
      <c r="I25808" s="50"/>
      <c r="O25808" s="36" t="s">
        <v>48</v>
      </c>
      <c r="R25808" s="36" t="s">
        <v>48</v>
      </c>
    </row>
    <row r="25809">
      <c r="H25809" s="50"/>
      <c r="I25809" s="50"/>
      <c r="O25809" s="36" t="s">
        <v>48</v>
      </c>
      <c r="R25809" s="36" t="s">
        <v>48</v>
      </c>
    </row>
    <row r="25810">
      <c r="H25810" s="50"/>
      <c r="I25810" s="50"/>
      <c r="O25810" s="36" t="s">
        <v>48</v>
      </c>
      <c r="R25810" s="36" t="s">
        <v>48</v>
      </c>
    </row>
    <row r="25811">
      <c r="H25811" s="50"/>
      <c r="I25811" s="50"/>
      <c r="O25811" s="36" t="s">
        <v>48</v>
      </c>
      <c r="R25811" s="36" t="s">
        <v>48</v>
      </c>
    </row>
    <row r="25812">
      <c r="H25812" s="50"/>
      <c r="I25812" s="50"/>
      <c r="O25812" s="36" t="s">
        <v>48</v>
      </c>
      <c r="R25812" s="36" t="s">
        <v>48</v>
      </c>
    </row>
    <row r="25813">
      <c r="H25813" s="50"/>
      <c r="I25813" s="50"/>
      <c r="O25813" s="36" t="s">
        <v>48</v>
      </c>
      <c r="R25813" s="36" t="s">
        <v>48</v>
      </c>
    </row>
    <row r="25814">
      <c r="H25814" s="50"/>
      <c r="I25814" s="50"/>
      <c r="O25814" s="36" t="s">
        <v>48</v>
      </c>
      <c r="R25814" s="36" t="s">
        <v>48</v>
      </c>
    </row>
    <row r="25815">
      <c r="H25815" s="50"/>
      <c r="I25815" s="50"/>
      <c r="O25815" s="36" t="s">
        <v>48</v>
      </c>
      <c r="R25815" s="36" t="s">
        <v>48</v>
      </c>
    </row>
    <row r="25816">
      <c r="H25816" s="50"/>
      <c r="I25816" s="50"/>
      <c r="O25816" s="36" t="s">
        <v>48</v>
      </c>
      <c r="R25816" s="36" t="s">
        <v>48</v>
      </c>
    </row>
    <row r="25817">
      <c r="H25817" s="50"/>
      <c r="I25817" s="50"/>
      <c r="O25817" s="36" t="s">
        <v>48</v>
      </c>
      <c r="R25817" s="36" t="s">
        <v>48</v>
      </c>
    </row>
    <row r="25818">
      <c r="H25818" s="50"/>
      <c r="I25818" s="50"/>
      <c r="O25818" s="36" t="s">
        <v>48</v>
      </c>
      <c r="R25818" s="36" t="s">
        <v>48</v>
      </c>
    </row>
    <row r="25819">
      <c r="H25819" s="50"/>
      <c r="I25819" s="50"/>
      <c r="O25819" s="36" t="s">
        <v>48</v>
      </c>
      <c r="R25819" s="36" t="s">
        <v>48</v>
      </c>
    </row>
    <row r="25820">
      <c r="H25820" s="50"/>
      <c r="I25820" s="50"/>
      <c r="O25820" s="36" t="s">
        <v>48</v>
      </c>
      <c r="R25820" s="36" t="s">
        <v>48</v>
      </c>
    </row>
    <row r="25821">
      <c r="H25821" s="50"/>
      <c r="I25821" s="50"/>
      <c r="O25821" s="36" t="s">
        <v>48</v>
      </c>
      <c r="R25821" s="36" t="s">
        <v>48</v>
      </c>
    </row>
    <row r="25822">
      <c r="H25822" s="50"/>
      <c r="I25822" s="50"/>
      <c r="O25822" s="36" t="s">
        <v>48</v>
      </c>
      <c r="R25822" s="36" t="s">
        <v>48</v>
      </c>
    </row>
    <row r="25823">
      <c r="H25823" s="50"/>
      <c r="I25823" s="50"/>
      <c r="O25823" s="36" t="s">
        <v>48</v>
      </c>
      <c r="R25823" s="36" t="s">
        <v>48</v>
      </c>
    </row>
    <row r="25824">
      <c r="H25824" s="50"/>
      <c r="I25824" s="50"/>
      <c r="O25824" s="36" t="s">
        <v>48</v>
      </c>
      <c r="R25824" s="36" t="s">
        <v>48</v>
      </c>
    </row>
    <row r="25825">
      <c r="H25825" s="50"/>
      <c r="I25825" s="50"/>
      <c r="O25825" s="36" t="s">
        <v>48</v>
      </c>
      <c r="R25825" s="36" t="s">
        <v>48</v>
      </c>
    </row>
    <row r="25826">
      <c r="H25826" s="50"/>
      <c r="I25826" s="50"/>
      <c r="O25826" s="36" t="s">
        <v>48</v>
      </c>
      <c r="R25826" s="36" t="s">
        <v>48</v>
      </c>
    </row>
    <row r="25827">
      <c r="H25827" s="50"/>
      <c r="I25827" s="50"/>
      <c r="O25827" s="36" t="s">
        <v>48</v>
      </c>
      <c r="R25827" s="36" t="s">
        <v>48</v>
      </c>
    </row>
    <row r="25828">
      <c r="H25828" s="50"/>
      <c r="I25828" s="50"/>
      <c r="O25828" s="36" t="s">
        <v>48</v>
      </c>
      <c r="R25828" s="36" t="s">
        <v>48</v>
      </c>
    </row>
    <row r="25829">
      <c r="H25829" s="50"/>
      <c r="I25829" s="50"/>
      <c r="O25829" s="36" t="s">
        <v>48</v>
      </c>
      <c r="R25829" s="36" t="s">
        <v>48</v>
      </c>
    </row>
    <row r="25830">
      <c r="H25830" s="50"/>
      <c r="I25830" s="50"/>
      <c r="O25830" s="36" t="s">
        <v>48</v>
      </c>
      <c r="R25830" s="36" t="s">
        <v>48</v>
      </c>
    </row>
    <row r="25831">
      <c r="H25831" s="50"/>
      <c r="I25831" s="50"/>
      <c r="O25831" s="36" t="s">
        <v>48</v>
      </c>
      <c r="R25831" s="36" t="s">
        <v>48</v>
      </c>
    </row>
    <row r="25832">
      <c r="H25832" s="50"/>
      <c r="I25832" s="50"/>
      <c r="O25832" s="36" t="s">
        <v>48</v>
      </c>
      <c r="R25832" s="36" t="s">
        <v>48</v>
      </c>
    </row>
    <row r="25833">
      <c r="H25833" s="50"/>
      <c r="I25833" s="50"/>
      <c r="O25833" s="36" t="s">
        <v>48</v>
      </c>
      <c r="R25833" s="36" t="s">
        <v>48</v>
      </c>
    </row>
    <row r="25834">
      <c r="H25834" s="50"/>
      <c r="I25834" s="50"/>
      <c r="O25834" s="36" t="s">
        <v>48</v>
      </c>
      <c r="R25834" s="36" t="s">
        <v>48</v>
      </c>
    </row>
    <row r="25835">
      <c r="H25835" s="50"/>
      <c r="I25835" s="50"/>
      <c r="O25835" s="36" t="s">
        <v>48</v>
      </c>
      <c r="R25835" s="36" t="s">
        <v>48</v>
      </c>
    </row>
    <row r="25836">
      <c r="H25836" s="50"/>
      <c r="I25836" s="50"/>
      <c r="O25836" s="36" t="s">
        <v>48</v>
      </c>
      <c r="R25836" s="36" t="s">
        <v>48</v>
      </c>
    </row>
    <row r="25837">
      <c r="H25837" s="50"/>
      <c r="I25837" s="50"/>
      <c r="O25837" s="36" t="s">
        <v>48</v>
      </c>
      <c r="R25837" s="36" t="s">
        <v>48</v>
      </c>
    </row>
    <row r="25838">
      <c r="H25838" s="50"/>
      <c r="I25838" s="50"/>
      <c r="O25838" s="36" t="s">
        <v>48</v>
      </c>
      <c r="R25838" s="36" t="s">
        <v>48</v>
      </c>
    </row>
    <row r="25839">
      <c r="H25839" s="50"/>
      <c r="I25839" s="50"/>
      <c r="O25839" s="36" t="s">
        <v>48</v>
      </c>
      <c r="R25839" s="36" t="s">
        <v>48</v>
      </c>
    </row>
    <row r="25840">
      <c r="H25840" s="50"/>
      <c r="I25840" s="50"/>
      <c r="O25840" s="36" t="s">
        <v>48</v>
      </c>
      <c r="R25840" s="36" t="s">
        <v>48</v>
      </c>
    </row>
    <row r="25841">
      <c r="H25841" s="50"/>
      <c r="I25841" s="50"/>
      <c r="O25841" s="36" t="s">
        <v>48</v>
      </c>
      <c r="R25841" s="36" t="s">
        <v>48</v>
      </c>
    </row>
    <row r="25842">
      <c r="H25842" s="50"/>
      <c r="I25842" s="50"/>
      <c r="O25842" s="36" t="s">
        <v>48</v>
      </c>
      <c r="R25842" s="36" t="s">
        <v>48</v>
      </c>
    </row>
    <row r="25843">
      <c r="H25843" s="50"/>
      <c r="I25843" s="50"/>
      <c r="O25843" s="36" t="s">
        <v>48</v>
      </c>
      <c r="R25843" s="36" t="s">
        <v>48</v>
      </c>
    </row>
    <row r="25844">
      <c r="H25844" s="50"/>
      <c r="I25844" s="50"/>
      <c r="O25844" s="36" t="s">
        <v>48</v>
      </c>
      <c r="R25844" s="36" t="s">
        <v>48</v>
      </c>
    </row>
    <row r="25845">
      <c r="H25845" s="50"/>
      <c r="I25845" s="50"/>
      <c r="O25845" s="36" t="s">
        <v>48</v>
      </c>
      <c r="R25845" s="36" t="s">
        <v>48</v>
      </c>
    </row>
    <row r="25846">
      <c r="H25846" s="50"/>
      <c r="I25846" s="50"/>
      <c r="O25846" s="36" t="s">
        <v>48</v>
      </c>
      <c r="R25846" s="36" t="s">
        <v>48</v>
      </c>
    </row>
    <row r="25847">
      <c r="H25847" s="50"/>
      <c r="I25847" s="50"/>
      <c r="O25847" s="36" t="s">
        <v>48</v>
      </c>
      <c r="R25847" s="36" t="s">
        <v>48</v>
      </c>
    </row>
    <row r="25848">
      <c r="H25848" s="50"/>
      <c r="I25848" s="50"/>
      <c r="O25848" s="36" t="s">
        <v>48</v>
      </c>
      <c r="R25848" s="36" t="s">
        <v>48</v>
      </c>
    </row>
    <row r="25849">
      <c r="H25849" s="50"/>
      <c r="I25849" s="50"/>
      <c r="O25849" s="36" t="s">
        <v>48</v>
      </c>
      <c r="R25849" s="36" t="s">
        <v>48</v>
      </c>
    </row>
    <row r="25850">
      <c r="H25850" s="50"/>
      <c r="I25850" s="50"/>
      <c r="O25850" s="36" t="s">
        <v>48</v>
      </c>
      <c r="R25850" s="36" t="s">
        <v>48</v>
      </c>
    </row>
    <row r="25851">
      <c r="H25851" s="50"/>
      <c r="I25851" s="50"/>
      <c r="O25851" s="36" t="s">
        <v>48</v>
      </c>
      <c r="R25851" s="36" t="s">
        <v>48</v>
      </c>
    </row>
    <row r="25852">
      <c r="H25852" s="50"/>
      <c r="I25852" s="50"/>
      <c r="O25852" s="36" t="s">
        <v>48</v>
      </c>
      <c r="R25852" s="36" t="s">
        <v>48</v>
      </c>
    </row>
    <row r="25853">
      <c r="H25853" s="50"/>
      <c r="I25853" s="50"/>
      <c r="O25853" s="36" t="s">
        <v>48</v>
      </c>
      <c r="R25853" s="36" t="s">
        <v>48</v>
      </c>
    </row>
    <row r="25854">
      <c r="H25854" s="50"/>
      <c r="I25854" s="50"/>
      <c r="O25854" s="36" t="s">
        <v>48</v>
      </c>
      <c r="R25854" s="36" t="s">
        <v>48</v>
      </c>
    </row>
    <row r="25855">
      <c r="H25855" s="50"/>
      <c r="I25855" s="50"/>
      <c r="O25855" s="36" t="s">
        <v>48</v>
      </c>
      <c r="R25855" s="36" t="s">
        <v>48</v>
      </c>
    </row>
    <row r="25856">
      <c r="H25856" s="50"/>
      <c r="I25856" s="50"/>
      <c r="O25856" s="36" t="s">
        <v>48</v>
      </c>
      <c r="R25856" s="36" t="s">
        <v>48</v>
      </c>
    </row>
    <row r="25857">
      <c r="H25857" s="50"/>
      <c r="I25857" s="50"/>
      <c r="O25857" s="36" t="s">
        <v>48</v>
      </c>
      <c r="R25857" s="36" t="s">
        <v>48</v>
      </c>
    </row>
    <row r="25858">
      <c r="H25858" s="50"/>
      <c r="I25858" s="50"/>
      <c r="O25858" s="36" t="s">
        <v>48</v>
      </c>
      <c r="R25858" s="36" t="s">
        <v>48</v>
      </c>
    </row>
    <row r="25859">
      <c r="H25859" s="50"/>
      <c r="I25859" s="50"/>
      <c r="O25859" s="36" t="s">
        <v>48</v>
      </c>
      <c r="R25859" s="36" t="s">
        <v>48</v>
      </c>
    </row>
    <row r="25860">
      <c r="H25860" s="50"/>
      <c r="I25860" s="50"/>
      <c r="O25860" s="36" t="s">
        <v>48</v>
      </c>
      <c r="R25860" s="36" t="s">
        <v>48</v>
      </c>
    </row>
    <row r="25861">
      <c r="H25861" s="50"/>
      <c r="I25861" s="50"/>
      <c r="O25861" s="36" t="s">
        <v>48</v>
      </c>
      <c r="R25861" s="36" t="s">
        <v>48</v>
      </c>
    </row>
    <row r="25862">
      <c r="H25862" s="50"/>
      <c r="I25862" s="50"/>
      <c r="O25862" s="36" t="s">
        <v>48</v>
      </c>
      <c r="R25862" s="36" t="s">
        <v>48</v>
      </c>
    </row>
    <row r="25863">
      <c r="H25863" s="50"/>
      <c r="I25863" s="50"/>
      <c r="O25863" s="36" t="s">
        <v>48</v>
      </c>
      <c r="R25863" s="36" t="s">
        <v>48</v>
      </c>
    </row>
    <row r="25864">
      <c r="H25864" s="50"/>
      <c r="I25864" s="50"/>
      <c r="O25864" s="36" t="s">
        <v>48</v>
      </c>
      <c r="R25864" s="36" t="s">
        <v>48</v>
      </c>
    </row>
    <row r="25865">
      <c r="H25865" s="50"/>
      <c r="I25865" s="50"/>
      <c r="O25865" s="36" t="s">
        <v>48</v>
      </c>
      <c r="R25865" s="36" t="s">
        <v>48</v>
      </c>
    </row>
    <row r="25866">
      <c r="H25866" s="50"/>
      <c r="I25866" s="50"/>
      <c r="O25866" s="36" t="s">
        <v>48</v>
      </c>
      <c r="R25866" s="36" t="s">
        <v>48</v>
      </c>
    </row>
    <row r="25867">
      <c r="H25867" s="50"/>
      <c r="I25867" s="50"/>
      <c r="O25867" s="36" t="s">
        <v>48</v>
      </c>
      <c r="R25867" s="36" t="s">
        <v>48</v>
      </c>
    </row>
    <row r="25868">
      <c r="H25868" s="50"/>
      <c r="I25868" s="50"/>
      <c r="O25868" s="36" t="s">
        <v>48</v>
      </c>
      <c r="R25868" s="36" t="s">
        <v>48</v>
      </c>
    </row>
    <row r="25869">
      <c r="H25869" s="50"/>
      <c r="I25869" s="50"/>
      <c r="O25869" s="36" t="s">
        <v>48</v>
      </c>
      <c r="R25869" s="36" t="s">
        <v>48</v>
      </c>
    </row>
    <row r="25870">
      <c r="H25870" s="50"/>
      <c r="I25870" s="50"/>
      <c r="O25870" s="36" t="s">
        <v>48</v>
      </c>
      <c r="R25870" s="36" t="s">
        <v>48</v>
      </c>
    </row>
    <row r="25871">
      <c r="H25871" s="50"/>
      <c r="I25871" s="50"/>
      <c r="O25871" s="36" t="s">
        <v>48</v>
      </c>
      <c r="R25871" s="36" t="s">
        <v>48</v>
      </c>
    </row>
    <row r="25872">
      <c r="H25872" s="50"/>
      <c r="I25872" s="50"/>
      <c r="O25872" s="36" t="s">
        <v>48</v>
      </c>
      <c r="R25872" s="36" t="s">
        <v>48</v>
      </c>
    </row>
    <row r="25873">
      <c r="H25873" s="50"/>
      <c r="I25873" s="50"/>
      <c r="O25873" s="36" t="s">
        <v>48</v>
      </c>
      <c r="R25873" s="36" t="s">
        <v>48</v>
      </c>
    </row>
    <row r="25874">
      <c r="H25874" s="50"/>
      <c r="I25874" s="50"/>
      <c r="O25874" s="36" t="s">
        <v>48</v>
      </c>
      <c r="R25874" s="36" t="s">
        <v>48</v>
      </c>
    </row>
    <row r="25875">
      <c r="H25875" s="50"/>
      <c r="I25875" s="50"/>
      <c r="O25875" s="36" t="s">
        <v>48</v>
      </c>
      <c r="R25875" s="36" t="s">
        <v>48</v>
      </c>
    </row>
    <row r="25876">
      <c r="H25876" s="50"/>
      <c r="I25876" s="50"/>
      <c r="O25876" s="36" t="s">
        <v>48</v>
      </c>
      <c r="R25876" s="36" t="s">
        <v>48</v>
      </c>
    </row>
    <row r="25877">
      <c r="H25877" s="50"/>
      <c r="I25877" s="50"/>
      <c r="O25877" s="36" t="s">
        <v>48</v>
      </c>
      <c r="R25877" s="36" t="s">
        <v>48</v>
      </c>
    </row>
    <row r="25878">
      <c r="H25878" s="50"/>
      <c r="I25878" s="50"/>
      <c r="O25878" s="36" t="s">
        <v>48</v>
      </c>
      <c r="R25878" s="36" t="s">
        <v>48</v>
      </c>
    </row>
    <row r="25879">
      <c r="H25879" s="50"/>
      <c r="I25879" s="50"/>
      <c r="O25879" s="36" t="s">
        <v>48</v>
      </c>
      <c r="R25879" s="36" t="s">
        <v>48</v>
      </c>
    </row>
    <row r="25880">
      <c r="H25880" s="50"/>
      <c r="I25880" s="50"/>
      <c r="O25880" s="36" t="s">
        <v>48</v>
      </c>
      <c r="R25880" s="36" t="s">
        <v>48</v>
      </c>
    </row>
    <row r="25881">
      <c r="H25881" s="50"/>
      <c r="I25881" s="50"/>
      <c r="O25881" s="36" t="s">
        <v>48</v>
      </c>
      <c r="R25881" s="36" t="s">
        <v>48</v>
      </c>
    </row>
    <row r="25882">
      <c r="H25882" s="50"/>
      <c r="I25882" s="50"/>
      <c r="O25882" s="36" t="s">
        <v>48</v>
      </c>
      <c r="R25882" s="36" t="s">
        <v>48</v>
      </c>
    </row>
    <row r="25883">
      <c r="H25883" s="50"/>
      <c r="I25883" s="50"/>
      <c r="O25883" s="36" t="s">
        <v>48</v>
      </c>
      <c r="R25883" s="36" t="s">
        <v>48</v>
      </c>
    </row>
    <row r="25884">
      <c r="H25884" s="50"/>
      <c r="I25884" s="50"/>
      <c r="O25884" s="36" t="s">
        <v>48</v>
      </c>
      <c r="R25884" s="36" t="s">
        <v>48</v>
      </c>
    </row>
    <row r="25885">
      <c r="H25885" s="50"/>
      <c r="I25885" s="50"/>
      <c r="O25885" s="36" t="s">
        <v>48</v>
      </c>
      <c r="R25885" s="36" t="s">
        <v>48</v>
      </c>
    </row>
    <row r="25886">
      <c r="H25886" s="50"/>
      <c r="I25886" s="50"/>
      <c r="O25886" s="36" t="s">
        <v>48</v>
      </c>
      <c r="R25886" s="36" t="s">
        <v>48</v>
      </c>
    </row>
    <row r="25887">
      <c r="H25887" s="50"/>
      <c r="I25887" s="50"/>
      <c r="O25887" s="36" t="s">
        <v>48</v>
      </c>
      <c r="R25887" s="36" t="s">
        <v>48</v>
      </c>
    </row>
    <row r="25888">
      <c r="H25888" s="50"/>
      <c r="I25888" s="50"/>
      <c r="O25888" s="36" t="s">
        <v>48</v>
      </c>
      <c r="R25888" s="36" t="s">
        <v>48</v>
      </c>
    </row>
    <row r="25889">
      <c r="H25889" s="50"/>
      <c r="I25889" s="50"/>
      <c r="O25889" s="36" t="s">
        <v>48</v>
      </c>
      <c r="R25889" s="36" t="s">
        <v>48</v>
      </c>
    </row>
    <row r="25890">
      <c r="H25890" s="50"/>
      <c r="I25890" s="50"/>
      <c r="O25890" s="36" t="s">
        <v>48</v>
      </c>
      <c r="R25890" s="36" t="s">
        <v>48</v>
      </c>
    </row>
    <row r="25891">
      <c r="H25891" s="50"/>
      <c r="I25891" s="50"/>
      <c r="O25891" s="36" t="s">
        <v>48</v>
      </c>
      <c r="R25891" s="36" t="s">
        <v>48</v>
      </c>
    </row>
    <row r="25892">
      <c r="H25892" s="50"/>
      <c r="I25892" s="50"/>
      <c r="O25892" s="36" t="s">
        <v>48</v>
      </c>
      <c r="R25892" s="36" t="s">
        <v>48</v>
      </c>
    </row>
    <row r="25893">
      <c r="H25893" s="50"/>
      <c r="I25893" s="50"/>
      <c r="O25893" s="36" t="s">
        <v>48</v>
      </c>
      <c r="R25893" s="36" t="s">
        <v>48</v>
      </c>
    </row>
    <row r="25894">
      <c r="H25894" s="50"/>
      <c r="I25894" s="50"/>
      <c r="O25894" s="36" t="s">
        <v>48</v>
      </c>
      <c r="R25894" s="36" t="s">
        <v>48</v>
      </c>
    </row>
    <row r="25895">
      <c r="H25895" s="50"/>
      <c r="I25895" s="50"/>
      <c r="O25895" s="36" t="s">
        <v>48</v>
      </c>
      <c r="R25895" s="36" t="s">
        <v>48</v>
      </c>
    </row>
    <row r="25896">
      <c r="H25896" s="50"/>
      <c r="I25896" s="50"/>
      <c r="O25896" s="36" t="s">
        <v>48</v>
      </c>
      <c r="R25896" s="36" t="s">
        <v>48</v>
      </c>
    </row>
    <row r="25897">
      <c r="H25897" s="50"/>
      <c r="I25897" s="50"/>
      <c r="O25897" s="36" t="s">
        <v>48</v>
      </c>
      <c r="R25897" s="36" t="s">
        <v>48</v>
      </c>
    </row>
    <row r="25898">
      <c r="H25898" s="50"/>
      <c r="I25898" s="50"/>
      <c r="O25898" s="36" t="s">
        <v>48</v>
      </c>
      <c r="R25898" s="36" t="s">
        <v>48</v>
      </c>
    </row>
    <row r="25899">
      <c r="H25899" s="50"/>
      <c r="I25899" s="50"/>
      <c r="O25899" s="36" t="s">
        <v>48</v>
      </c>
      <c r="R25899" s="36" t="s">
        <v>48</v>
      </c>
    </row>
    <row r="25900">
      <c r="H25900" s="50"/>
      <c r="I25900" s="50"/>
      <c r="O25900" s="36" t="s">
        <v>48</v>
      </c>
      <c r="R25900" s="36" t="s">
        <v>48</v>
      </c>
    </row>
    <row r="25901">
      <c r="H25901" s="50"/>
      <c r="I25901" s="50"/>
      <c r="O25901" s="36" t="s">
        <v>48</v>
      </c>
      <c r="R25901" s="36" t="s">
        <v>48</v>
      </c>
    </row>
    <row r="25902">
      <c r="H25902" s="50"/>
      <c r="I25902" s="50"/>
      <c r="O25902" s="36" t="s">
        <v>48</v>
      </c>
      <c r="R25902" s="36" t="s">
        <v>48</v>
      </c>
    </row>
    <row r="25903">
      <c r="H25903" s="50"/>
      <c r="I25903" s="50"/>
      <c r="O25903" s="36" t="s">
        <v>48</v>
      </c>
      <c r="R25903" s="36" t="s">
        <v>48</v>
      </c>
    </row>
    <row r="25904">
      <c r="H25904" s="50"/>
      <c r="I25904" s="50"/>
      <c r="O25904" s="36" t="s">
        <v>48</v>
      </c>
      <c r="R25904" s="36" t="s">
        <v>48</v>
      </c>
    </row>
    <row r="25905">
      <c r="H25905" s="50"/>
      <c r="I25905" s="50"/>
      <c r="O25905" s="36" t="s">
        <v>48</v>
      </c>
      <c r="R25905" s="36" t="s">
        <v>48</v>
      </c>
    </row>
    <row r="25906">
      <c r="H25906" s="50"/>
      <c r="I25906" s="50"/>
      <c r="O25906" s="36" t="s">
        <v>48</v>
      </c>
      <c r="R25906" s="36" t="s">
        <v>48</v>
      </c>
    </row>
    <row r="25907">
      <c r="H25907" s="50"/>
      <c r="I25907" s="50"/>
      <c r="O25907" s="36" t="s">
        <v>48</v>
      </c>
      <c r="R25907" s="36" t="s">
        <v>48</v>
      </c>
    </row>
    <row r="25908">
      <c r="H25908" s="50"/>
      <c r="I25908" s="50"/>
      <c r="O25908" s="36" t="s">
        <v>48</v>
      </c>
      <c r="R25908" s="36" t="s">
        <v>48</v>
      </c>
    </row>
    <row r="25909">
      <c r="H25909" s="50"/>
      <c r="I25909" s="50"/>
      <c r="O25909" s="36" t="s">
        <v>48</v>
      </c>
      <c r="R25909" s="36" t="s">
        <v>48</v>
      </c>
    </row>
    <row r="25910">
      <c r="H25910" s="50"/>
      <c r="I25910" s="50"/>
      <c r="O25910" s="36" t="s">
        <v>48</v>
      </c>
      <c r="R25910" s="36" t="s">
        <v>48</v>
      </c>
    </row>
    <row r="25911">
      <c r="H25911" s="50"/>
      <c r="I25911" s="50"/>
      <c r="O25911" s="36" t="s">
        <v>48</v>
      </c>
      <c r="R25911" s="36" t="s">
        <v>48</v>
      </c>
    </row>
    <row r="25912">
      <c r="H25912" s="50"/>
      <c r="I25912" s="50"/>
      <c r="O25912" s="36" t="s">
        <v>48</v>
      </c>
      <c r="R25912" s="36" t="s">
        <v>48</v>
      </c>
    </row>
    <row r="25913">
      <c r="H25913" s="50"/>
      <c r="I25913" s="50"/>
      <c r="O25913" s="36" t="s">
        <v>48</v>
      </c>
      <c r="R25913" s="36" t="s">
        <v>48</v>
      </c>
    </row>
    <row r="25914">
      <c r="H25914" s="50"/>
      <c r="I25914" s="50"/>
      <c r="O25914" s="36" t="s">
        <v>48</v>
      </c>
      <c r="R25914" s="36" t="s">
        <v>48</v>
      </c>
    </row>
    <row r="25915">
      <c r="H25915" s="50"/>
      <c r="I25915" s="50"/>
      <c r="O25915" s="36" t="s">
        <v>48</v>
      </c>
      <c r="R25915" s="36" t="s">
        <v>48</v>
      </c>
    </row>
    <row r="25916">
      <c r="H25916" s="50"/>
      <c r="I25916" s="50"/>
      <c r="O25916" s="36" t="s">
        <v>48</v>
      </c>
      <c r="R25916" s="36" t="s">
        <v>48</v>
      </c>
    </row>
    <row r="25917">
      <c r="H25917" s="50"/>
      <c r="I25917" s="50"/>
      <c r="O25917" s="36" t="s">
        <v>48</v>
      </c>
      <c r="R25917" s="36" t="s">
        <v>48</v>
      </c>
    </row>
    <row r="25918">
      <c r="H25918" s="50"/>
      <c r="I25918" s="50"/>
      <c r="O25918" s="36" t="s">
        <v>48</v>
      </c>
      <c r="R25918" s="36" t="s">
        <v>48</v>
      </c>
    </row>
    <row r="25919">
      <c r="H25919" s="50"/>
      <c r="I25919" s="50"/>
      <c r="O25919" s="36" t="s">
        <v>48</v>
      </c>
      <c r="R25919" s="36" t="s">
        <v>48</v>
      </c>
    </row>
    <row r="25920">
      <c r="H25920" s="50"/>
      <c r="I25920" s="50"/>
      <c r="O25920" s="36" t="s">
        <v>48</v>
      </c>
      <c r="R25920" s="36" t="s">
        <v>48</v>
      </c>
    </row>
    <row r="25921">
      <c r="H25921" s="50"/>
      <c r="I25921" s="50"/>
      <c r="O25921" s="36" t="s">
        <v>48</v>
      </c>
      <c r="R25921" s="36" t="s">
        <v>48</v>
      </c>
    </row>
    <row r="25922">
      <c r="H25922" s="50"/>
      <c r="I25922" s="50"/>
      <c r="O25922" s="36" t="s">
        <v>48</v>
      </c>
      <c r="R25922" s="36" t="s">
        <v>48</v>
      </c>
    </row>
    <row r="25923">
      <c r="H25923" s="50"/>
      <c r="I25923" s="50"/>
      <c r="O25923" s="36" t="s">
        <v>48</v>
      </c>
      <c r="R25923" s="36" t="s">
        <v>48</v>
      </c>
    </row>
    <row r="25924">
      <c r="H25924" s="50"/>
      <c r="I25924" s="50"/>
      <c r="O25924" s="36" t="s">
        <v>48</v>
      </c>
      <c r="R25924" s="36" t="s">
        <v>48</v>
      </c>
    </row>
    <row r="25925">
      <c r="H25925" s="50"/>
      <c r="I25925" s="50"/>
      <c r="O25925" s="36" t="s">
        <v>48</v>
      </c>
      <c r="R25925" s="36" t="s">
        <v>48</v>
      </c>
    </row>
    <row r="25926">
      <c r="H25926" s="50"/>
      <c r="I25926" s="50"/>
      <c r="O25926" s="36" t="s">
        <v>48</v>
      </c>
      <c r="R25926" s="36" t="s">
        <v>48</v>
      </c>
    </row>
    <row r="25927">
      <c r="H25927" s="50"/>
      <c r="I25927" s="50"/>
      <c r="O25927" s="36" t="s">
        <v>48</v>
      </c>
      <c r="R25927" s="36" t="s">
        <v>48</v>
      </c>
    </row>
    <row r="25928">
      <c r="H25928" s="50"/>
      <c r="I25928" s="50"/>
      <c r="O25928" s="36" t="s">
        <v>48</v>
      </c>
      <c r="R25928" s="36" t="s">
        <v>48</v>
      </c>
    </row>
    <row r="25929">
      <c r="H25929" s="50"/>
      <c r="I25929" s="50"/>
      <c r="O25929" s="36" t="s">
        <v>48</v>
      </c>
      <c r="R25929" s="36" t="s">
        <v>48</v>
      </c>
    </row>
    <row r="25930">
      <c r="H25930" s="50"/>
      <c r="I25930" s="50"/>
      <c r="O25930" s="36" t="s">
        <v>48</v>
      </c>
      <c r="R25930" s="36" t="s">
        <v>48</v>
      </c>
    </row>
    <row r="25931">
      <c r="H25931" s="50"/>
      <c r="I25931" s="50"/>
      <c r="O25931" s="36" t="s">
        <v>48</v>
      </c>
      <c r="R25931" s="36" t="s">
        <v>48</v>
      </c>
    </row>
    <row r="25932">
      <c r="H25932" s="50"/>
      <c r="I25932" s="50"/>
      <c r="O25932" s="36" t="s">
        <v>48</v>
      </c>
      <c r="R25932" s="36" t="s">
        <v>48</v>
      </c>
    </row>
    <row r="25933">
      <c r="H25933" s="50"/>
      <c r="I25933" s="50"/>
      <c r="O25933" s="36" t="s">
        <v>48</v>
      </c>
      <c r="R25933" s="36" t="s">
        <v>48</v>
      </c>
    </row>
    <row r="25934">
      <c r="H25934" s="50"/>
      <c r="I25934" s="50"/>
      <c r="O25934" s="36" t="s">
        <v>48</v>
      </c>
      <c r="R25934" s="36" t="s">
        <v>48</v>
      </c>
    </row>
    <row r="25935">
      <c r="H25935" s="50"/>
      <c r="I25935" s="50"/>
      <c r="O25935" s="36" t="s">
        <v>48</v>
      </c>
      <c r="R25935" s="36" t="s">
        <v>48</v>
      </c>
    </row>
    <row r="25936">
      <c r="H25936" s="50"/>
      <c r="I25936" s="50"/>
      <c r="O25936" s="36" t="s">
        <v>48</v>
      </c>
      <c r="R25936" s="36" t="s">
        <v>48</v>
      </c>
    </row>
    <row r="25937">
      <c r="H25937" s="50"/>
      <c r="I25937" s="50"/>
      <c r="O25937" s="36" t="s">
        <v>48</v>
      </c>
      <c r="R25937" s="36" t="s">
        <v>48</v>
      </c>
    </row>
    <row r="25938">
      <c r="H25938" s="50"/>
      <c r="I25938" s="50"/>
      <c r="O25938" s="36" t="s">
        <v>48</v>
      </c>
      <c r="R25938" s="36" t="s">
        <v>48</v>
      </c>
    </row>
    <row r="25939">
      <c r="H25939" s="50"/>
      <c r="I25939" s="50"/>
      <c r="O25939" s="36" t="s">
        <v>48</v>
      </c>
      <c r="R25939" s="36" t="s">
        <v>48</v>
      </c>
    </row>
    <row r="25940">
      <c r="H25940" s="50"/>
      <c r="I25940" s="50"/>
      <c r="O25940" s="36" t="s">
        <v>48</v>
      </c>
      <c r="R25940" s="36" t="s">
        <v>48</v>
      </c>
    </row>
    <row r="25941">
      <c r="H25941" s="50"/>
      <c r="I25941" s="50"/>
      <c r="O25941" s="36" t="s">
        <v>48</v>
      </c>
      <c r="R25941" s="36" t="s">
        <v>48</v>
      </c>
    </row>
    <row r="25942">
      <c r="H25942" s="50"/>
      <c r="I25942" s="50"/>
      <c r="O25942" s="36" t="s">
        <v>48</v>
      </c>
      <c r="R25942" s="36" t="s">
        <v>48</v>
      </c>
    </row>
    <row r="25943">
      <c r="H25943" s="50"/>
      <c r="I25943" s="50"/>
      <c r="O25943" s="36" t="s">
        <v>48</v>
      </c>
      <c r="R25943" s="36" t="s">
        <v>48</v>
      </c>
    </row>
    <row r="25944">
      <c r="H25944" s="50"/>
      <c r="I25944" s="50"/>
      <c r="O25944" s="36" t="s">
        <v>48</v>
      </c>
      <c r="R25944" s="36" t="s">
        <v>48</v>
      </c>
    </row>
    <row r="25945">
      <c r="H25945" s="50"/>
      <c r="I25945" s="50"/>
      <c r="O25945" s="36" t="s">
        <v>48</v>
      </c>
      <c r="R25945" s="36" t="s">
        <v>48</v>
      </c>
    </row>
    <row r="25946">
      <c r="H25946" s="50"/>
      <c r="I25946" s="50"/>
      <c r="O25946" s="36" t="s">
        <v>48</v>
      </c>
      <c r="R25946" s="36" t="s">
        <v>48</v>
      </c>
    </row>
    <row r="25947">
      <c r="H25947" s="50"/>
      <c r="I25947" s="50"/>
      <c r="O25947" s="36" t="s">
        <v>48</v>
      </c>
      <c r="R25947" s="36" t="s">
        <v>48</v>
      </c>
    </row>
    <row r="25948">
      <c r="H25948" s="50"/>
      <c r="I25948" s="50"/>
      <c r="O25948" s="36" t="s">
        <v>48</v>
      </c>
      <c r="R25948" s="36" t="s">
        <v>48</v>
      </c>
    </row>
    <row r="25949">
      <c r="H25949" s="50"/>
      <c r="I25949" s="50"/>
      <c r="O25949" s="36" t="s">
        <v>48</v>
      </c>
      <c r="R25949" s="36" t="s">
        <v>48</v>
      </c>
    </row>
    <row r="25950">
      <c r="H25950" s="50"/>
      <c r="I25950" s="50"/>
      <c r="O25950" s="36" t="s">
        <v>48</v>
      </c>
      <c r="R25950" s="36" t="s">
        <v>48</v>
      </c>
    </row>
    <row r="25951">
      <c r="H25951" s="50"/>
      <c r="I25951" s="50"/>
      <c r="O25951" s="36" t="s">
        <v>48</v>
      </c>
      <c r="R25951" s="36" t="s">
        <v>48</v>
      </c>
    </row>
    <row r="25952">
      <c r="H25952" s="50"/>
      <c r="I25952" s="50"/>
      <c r="O25952" s="36" t="s">
        <v>48</v>
      </c>
      <c r="R25952" s="36" t="s">
        <v>48</v>
      </c>
    </row>
    <row r="25953">
      <c r="H25953" s="50"/>
      <c r="I25953" s="50"/>
      <c r="O25953" s="36" t="s">
        <v>48</v>
      </c>
      <c r="R25953" s="36" t="s">
        <v>48</v>
      </c>
    </row>
    <row r="25954">
      <c r="H25954" s="50"/>
      <c r="I25954" s="50"/>
      <c r="O25954" s="36" t="s">
        <v>48</v>
      </c>
      <c r="R25954" s="36" t="s">
        <v>48</v>
      </c>
    </row>
    <row r="25955">
      <c r="H25955" s="50"/>
      <c r="I25955" s="50"/>
      <c r="O25955" s="36" t="s">
        <v>48</v>
      </c>
      <c r="R25955" s="36" t="s">
        <v>48</v>
      </c>
    </row>
    <row r="25956">
      <c r="H25956" s="50"/>
      <c r="I25956" s="50"/>
      <c r="O25956" s="36" t="s">
        <v>48</v>
      </c>
      <c r="R25956" s="36" t="s">
        <v>48</v>
      </c>
    </row>
    <row r="25957">
      <c r="H25957" s="50"/>
      <c r="I25957" s="50"/>
      <c r="O25957" s="36" t="s">
        <v>48</v>
      </c>
      <c r="R25957" s="36" t="s">
        <v>48</v>
      </c>
    </row>
    <row r="25958">
      <c r="H25958" s="50"/>
      <c r="I25958" s="50"/>
      <c r="O25958" s="36" t="s">
        <v>48</v>
      </c>
      <c r="R25958" s="36" t="s">
        <v>48</v>
      </c>
    </row>
    <row r="25959">
      <c r="H25959" s="50"/>
      <c r="I25959" s="50"/>
      <c r="O25959" s="36" t="s">
        <v>48</v>
      </c>
      <c r="R25959" s="36" t="s">
        <v>48</v>
      </c>
    </row>
    <row r="25960">
      <c r="H25960" s="50"/>
      <c r="I25960" s="50"/>
      <c r="O25960" s="36" t="s">
        <v>48</v>
      </c>
      <c r="R25960" s="36" t="s">
        <v>48</v>
      </c>
    </row>
    <row r="25961">
      <c r="H25961" s="50"/>
      <c r="I25961" s="50"/>
      <c r="O25961" s="36" t="s">
        <v>48</v>
      </c>
      <c r="R25961" s="36" t="s">
        <v>48</v>
      </c>
    </row>
    <row r="25962">
      <c r="H25962" s="50"/>
      <c r="I25962" s="50"/>
      <c r="O25962" s="36" t="s">
        <v>48</v>
      </c>
      <c r="R25962" s="36" t="s">
        <v>48</v>
      </c>
    </row>
    <row r="25963">
      <c r="H25963" s="50"/>
      <c r="I25963" s="50"/>
      <c r="O25963" s="36" t="s">
        <v>48</v>
      </c>
      <c r="R25963" s="36" t="s">
        <v>48</v>
      </c>
    </row>
    <row r="25964">
      <c r="H25964" s="50"/>
      <c r="I25964" s="50"/>
      <c r="O25964" s="36" t="s">
        <v>48</v>
      </c>
      <c r="R25964" s="36" t="s">
        <v>48</v>
      </c>
    </row>
    <row r="25965">
      <c r="H25965" s="50"/>
      <c r="I25965" s="50"/>
      <c r="O25965" s="36" t="s">
        <v>48</v>
      </c>
      <c r="R25965" s="36" t="s">
        <v>48</v>
      </c>
    </row>
    <row r="25966">
      <c r="H25966" s="50"/>
      <c r="I25966" s="50"/>
      <c r="O25966" s="36" t="s">
        <v>48</v>
      </c>
      <c r="R25966" s="36" t="s">
        <v>48</v>
      </c>
    </row>
    <row r="25967">
      <c r="H25967" s="50"/>
      <c r="I25967" s="50"/>
      <c r="O25967" s="36" t="s">
        <v>48</v>
      </c>
      <c r="R25967" s="36" t="s">
        <v>48</v>
      </c>
    </row>
    <row r="25968">
      <c r="H25968" s="50"/>
      <c r="I25968" s="50"/>
      <c r="O25968" s="36" t="s">
        <v>48</v>
      </c>
      <c r="R25968" s="36" t="s">
        <v>48</v>
      </c>
    </row>
    <row r="25969">
      <c r="H25969" s="50"/>
      <c r="I25969" s="50"/>
      <c r="O25969" s="36" t="s">
        <v>48</v>
      </c>
      <c r="R25969" s="36" t="s">
        <v>48</v>
      </c>
    </row>
    <row r="25970">
      <c r="H25970" s="50"/>
      <c r="I25970" s="50"/>
      <c r="O25970" s="36" t="s">
        <v>48</v>
      </c>
      <c r="R25970" s="36" t="s">
        <v>48</v>
      </c>
    </row>
    <row r="25971">
      <c r="H25971" s="50"/>
      <c r="I25971" s="50"/>
      <c r="O25971" s="36" t="s">
        <v>48</v>
      </c>
      <c r="R25971" s="36" t="s">
        <v>48</v>
      </c>
    </row>
    <row r="25972">
      <c r="H25972" s="50"/>
      <c r="I25972" s="50"/>
      <c r="O25972" s="36" t="s">
        <v>48</v>
      </c>
      <c r="R25972" s="36" t="s">
        <v>48</v>
      </c>
    </row>
    <row r="25973">
      <c r="H25973" s="50"/>
      <c r="I25973" s="50"/>
      <c r="O25973" s="36" t="s">
        <v>48</v>
      </c>
      <c r="R25973" s="36" t="s">
        <v>48</v>
      </c>
    </row>
    <row r="25974">
      <c r="H25974" s="50"/>
      <c r="I25974" s="50"/>
      <c r="O25974" s="36" t="s">
        <v>48</v>
      </c>
      <c r="R25974" s="36" t="s">
        <v>48</v>
      </c>
    </row>
    <row r="25975">
      <c r="H25975" s="50"/>
      <c r="I25975" s="50"/>
      <c r="O25975" s="36" t="s">
        <v>48</v>
      </c>
      <c r="R25975" s="36" t="s">
        <v>48</v>
      </c>
    </row>
    <row r="25976">
      <c r="H25976" s="50"/>
      <c r="I25976" s="50"/>
      <c r="O25976" s="36" t="s">
        <v>48</v>
      </c>
      <c r="R25976" s="36" t="s">
        <v>48</v>
      </c>
    </row>
    <row r="25977">
      <c r="H25977" s="50"/>
      <c r="I25977" s="50"/>
      <c r="O25977" s="36" t="s">
        <v>48</v>
      </c>
      <c r="R25977" s="36" t="s">
        <v>48</v>
      </c>
    </row>
    <row r="25978">
      <c r="H25978" s="50"/>
      <c r="I25978" s="50"/>
      <c r="O25978" s="36" t="s">
        <v>48</v>
      </c>
      <c r="R25978" s="36" t="s">
        <v>48</v>
      </c>
    </row>
    <row r="25979">
      <c r="H25979" s="50"/>
      <c r="I25979" s="50"/>
      <c r="O25979" s="36" t="s">
        <v>48</v>
      </c>
      <c r="R25979" s="36" t="s">
        <v>48</v>
      </c>
    </row>
    <row r="25980">
      <c r="H25980" s="50"/>
      <c r="I25980" s="50"/>
      <c r="O25980" s="36" t="s">
        <v>48</v>
      </c>
      <c r="R25980" s="36" t="s">
        <v>48</v>
      </c>
    </row>
    <row r="25981">
      <c r="H25981" s="50"/>
      <c r="I25981" s="50"/>
      <c r="O25981" s="36" t="s">
        <v>48</v>
      </c>
      <c r="R25981" s="36" t="s">
        <v>48</v>
      </c>
    </row>
    <row r="25982">
      <c r="H25982" s="50"/>
      <c r="I25982" s="50"/>
      <c r="O25982" s="36" t="s">
        <v>48</v>
      </c>
      <c r="R25982" s="36" t="s">
        <v>48</v>
      </c>
    </row>
    <row r="25983">
      <c r="H25983" s="50"/>
      <c r="I25983" s="50"/>
      <c r="O25983" s="36" t="s">
        <v>48</v>
      </c>
      <c r="R25983" s="36" t="s">
        <v>48</v>
      </c>
    </row>
    <row r="25984">
      <c r="H25984" s="50"/>
      <c r="I25984" s="50"/>
      <c r="O25984" s="36" t="s">
        <v>48</v>
      </c>
      <c r="R25984" s="36" t="s">
        <v>48</v>
      </c>
    </row>
    <row r="25985">
      <c r="H25985" s="50"/>
      <c r="I25985" s="50"/>
      <c r="O25985" s="36" t="s">
        <v>48</v>
      </c>
      <c r="R25985" s="36" t="s">
        <v>48</v>
      </c>
    </row>
    <row r="25986">
      <c r="H25986" s="50"/>
      <c r="I25986" s="50"/>
      <c r="O25986" s="36" t="s">
        <v>48</v>
      </c>
      <c r="R25986" s="36" t="s">
        <v>48</v>
      </c>
    </row>
    <row r="25987">
      <c r="H25987" s="50"/>
      <c r="I25987" s="50"/>
      <c r="O25987" s="36" t="s">
        <v>48</v>
      </c>
      <c r="R25987" s="36" t="s">
        <v>48</v>
      </c>
    </row>
    <row r="25988">
      <c r="H25988" s="50"/>
      <c r="I25988" s="50"/>
      <c r="O25988" s="36" t="s">
        <v>48</v>
      </c>
      <c r="R25988" s="36" t="s">
        <v>48</v>
      </c>
    </row>
    <row r="25989">
      <c r="H25989" s="50"/>
      <c r="I25989" s="50"/>
      <c r="O25989" s="36" t="s">
        <v>48</v>
      </c>
      <c r="R25989" s="36" t="s">
        <v>48</v>
      </c>
    </row>
    <row r="25990">
      <c r="H25990" s="50"/>
      <c r="I25990" s="50"/>
      <c r="O25990" s="36" t="s">
        <v>48</v>
      </c>
      <c r="R25990" s="36" t="s">
        <v>48</v>
      </c>
    </row>
    <row r="25991">
      <c r="H25991" s="50"/>
      <c r="I25991" s="50"/>
      <c r="O25991" s="36" t="s">
        <v>48</v>
      </c>
      <c r="R25991" s="36" t="s">
        <v>48</v>
      </c>
    </row>
    <row r="25992">
      <c r="H25992" s="50"/>
      <c r="I25992" s="50"/>
      <c r="O25992" s="36" t="s">
        <v>48</v>
      </c>
      <c r="R25992" s="36" t="s">
        <v>48</v>
      </c>
    </row>
    <row r="25993">
      <c r="H25993" s="50"/>
      <c r="I25993" s="50"/>
      <c r="O25993" s="36" t="s">
        <v>48</v>
      </c>
      <c r="R25993" s="36" t="s">
        <v>48</v>
      </c>
    </row>
    <row r="25994">
      <c r="H25994" s="50"/>
      <c r="I25994" s="50"/>
      <c r="O25994" s="36" t="s">
        <v>48</v>
      </c>
      <c r="R25994" s="36" t="s">
        <v>48</v>
      </c>
    </row>
    <row r="25995">
      <c r="H25995" s="50"/>
      <c r="I25995" s="50"/>
      <c r="O25995" s="36" t="s">
        <v>48</v>
      </c>
      <c r="R25995" s="36" t="s">
        <v>48</v>
      </c>
    </row>
    <row r="25996">
      <c r="H25996" s="50"/>
      <c r="I25996" s="50"/>
      <c r="O25996" s="36" t="s">
        <v>48</v>
      </c>
      <c r="R25996" s="36" t="s">
        <v>48</v>
      </c>
    </row>
    <row r="25997">
      <c r="H25997" s="50"/>
      <c r="I25997" s="50"/>
      <c r="O25997" s="36" t="s">
        <v>48</v>
      </c>
      <c r="R25997" s="36" t="s">
        <v>48</v>
      </c>
    </row>
    <row r="25998">
      <c r="H25998" s="50"/>
      <c r="I25998" s="50"/>
      <c r="O25998" s="36" t="s">
        <v>48</v>
      </c>
      <c r="R25998" s="36" t="s">
        <v>48</v>
      </c>
    </row>
    <row r="25999">
      <c r="H25999" s="50"/>
      <c r="I25999" s="50"/>
      <c r="O25999" s="36" t="s">
        <v>48</v>
      </c>
      <c r="R25999" s="36" t="s">
        <v>48</v>
      </c>
    </row>
    <row r="26000">
      <c r="H26000" s="50"/>
      <c r="I26000" s="50"/>
      <c r="O26000" s="36" t="s">
        <v>48</v>
      </c>
      <c r="R26000" s="36" t="s">
        <v>48</v>
      </c>
    </row>
    <row r="26001">
      <c r="H26001" s="50"/>
      <c r="I26001" s="50"/>
      <c r="O26001" s="36" t="s">
        <v>48</v>
      </c>
      <c r="R26001" s="36" t="s">
        <v>48</v>
      </c>
    </row>
    <row r="26002">
      <c r="H26002" s="50"/>
      <c r="I26002" s="50"/>
      <c r="O26002" s="36" t="s">
        <v>48</v>
      </c>
      <c r="R26002" s="36" t="s">
        <v>48</v>
      </c>
    </row>
    <row r="26003">
      <c r="H26003" s="50"/>
      <c r="I26003" s="50"/>
      <c r="O26003" s="36" t="s">
        <v>48</v>
      </c>
      <c r="R26003" s="36" t="s">
        <v>48</v>
      </c>
    </row>
    <row r="26004">
      <c r="H26004" s="50"/>
      <c r="I26004" s="50"/>
      <c r="O26004" s="36" t="s">
        <v>48</v>
      </c>
      <c r="R26004" s="36" t="s">
        <v>48</v>
      </c>
    </row>
    <row r="26005">
      <c r="H26005" s="50"/>
      <c r="I26005" s="50"/>
      <c r="O26005" s="36" t="s">
        <v>48</v>
      </c>
      <c r="R26005" s="36" t="s">
        <v>48</v>
      </c>
    </row>
    <row r="26006">
      <c r="H26006" s="50"/>
      <c r="I26006" s="50"/>
      <c r="O26006" s="36" t="s">
        <v>48</v>
      </c>
      <c r="R26006" s="36" t="s">
        <v>48</v>
      </c>
    </row>
    <row r="26007">
      <c r="H26007" s="50"/>
      <c r="I26007" s="50"/>
      <c r="O26007" s="36" t="s">
        <v>48</v>
      </c>
      <c r="R26007" s="36" t="s">
        <v>48</v>
      </c>
    </row>
    <row r="26008">
      <c r="H26008" s="50"/>
      <c r="I26008" s="50"/>
      <c r="O26008" s="36" t="s">
        <v>48</v>
      </c>
      <c r="R26008" s="36" t="s">
        <v>48</v>
      </c>
    </row>
    <row r="26009">
      <c r="H26009" s="50"/>
      <c r="I26009" s="50"/>
      <c r="O26009" s="36" t="s">
        <v>48</v>
      </c>
      <c r="R26009" s="36" t="s">
        <v>48</v>
      </c>
    </row>
    <row r="26010">
      <c r="H26010" s="50"/>
      <c r="I26010" s="50"/>
      <c r="O26010" s="36" t="s">
        <v>48</v>
      </c>
      <c r="R26010" s="36" t="s">
        <v>48</v>
      </c>
    </row>
    <row r="26011">
      <c r="H26011" s="50"/>
      <c r="I26011" s="50"/>
      <c r="O26011" s="36" t="s">
        <v>48</v>
      </c>
      <c r="R26011" s="36" t="s">
        <v>48</v>
      </c>
    </row>
    <row r="26012">
      <c r="H26012" s="50"/>
      <c r="I26012" s="50"/>
      <c r="O26012" s="36" t="s">
        <v>48</v>
      </c>
      <c r="R26012" s="36" t="s">
        <v>48</v>
      </c>
    </row>
    <row r="26013">
      <c r="H26013" s="50"/>
      <c r="I26013" s="50"/>
      <c r="O26013" s="36" t="s">
        <v>48</v>
      </c>
      <c r="R26013" s="36" t="s">
        <v>48</v>
      </c>
    </row>
    <row r="26014">
      <c r="H26014" s="50"/>
      <c r="I26014" s="50"/>
      <c r="O26014" s="36" t="s">
        <v>48</v>
      </c>
      <c r="R26014" s="36" t="s">
        <v>48</v>
      </c>
    </row>
    <row r="26015">
      <c r="H26015" s="50"/>
      <c r="I26015" s="50"/>
      <c r="O26015" s="36" t="s">
        <v>48</v>
      </c>
      <c r="R26015" s="36" t="s">
        <v>48</v>
      </c>
    </row>
    <row r="26016">
      <c r="H26016" s="50"/>
      <c r="I26016" s="50"/>
      <c r="O26016" s="36" t="s">
        <v>48</v>
      </c>
      <c r="R26016" s="36" t="s">
        <v>48</v>
      </c>
    </row>
    <row r="26017">
      <c r="H26017" s="50"/>
      <c r="I26017" s="50"/>
      <c r="O26017" s="36" t="s">
        <v>48</v>
      </c>
      <c r="R26017" s="36" t="s">
        <v>48</v>
      </c>
    </row>
    <row r="26018">
      <c r="H26018" s="50"/>
      <c r="I26018" s="50"/>
      <c r="O26018" s="36" t="s">
        <v>48</v>
      </c>
      <c r="R26018" s="36" t="s">
        <v>48</v>
      </c>
    </row>
    <row r="26019">
      <c r="H26019" s="50"/>
      <c r="I26019" s="50"/>
      <c r="O26019" s="36" t="s">
        <v>48</v>
      </c>
      <c r="R26019" s="36" t="s">
        <v>48</v>
      </c>
    </row>
    <row r="26020">
      <c r="H26020" s="50"/>
      <c r="I26020" s="50"/>
      <c r="O26020" s="36" t="s">
        <v>48</v>
      </c>
      <c r="R26020" s="36" t="s">
        <v>48</v>
      </c>
    </row>
    <row r="26021">
      <c r="H26021" s="50"/>
      <c r="I26021" s="50"/>
      <c r="O26021" s="36" t="s">
        <v>48</v>
      </c>
      <c r="R26021" s="36" t="s">
        <v>48</v>
      </c>
    </row>
    <row r="26022">
      <c r="H26022" s="50"/>
      <c r="I26022" s="50"/>
      <c r="O26022" s="36" t="s">
        <v>48</v>
      </c>
      <c r="R26022" s="36" t="s">
        <v>48</v>
      </c>
    </row>
    <row r="26023">
      <c r="H26023" s="50"/>
      <c r="I26023" s="50"/>
      <c r="O26023" s="36" t="s">
        <v>48</v>
      </c>
      <c r="R26023" s="36" t="s">
        <v>48</v>
      </c>
    </row>
    <row r="26024">
      <c r="H26024" s="50"/>
      <c r="I26024" s="50"/>
      <c r="O26024" s="36" t="s">
        <v>48</v>
      </c>
      <c r="R26024" s="36" t="s">
        <v>48</v>
      </c>
    </row>
    <row r="26025">
      <c r="H26025" s="50"/>
      <c r="I26025" s="50"/>
      <c r="O26025" s="36" t="s">
        <v>48</v>
      </c>
      <c r="R26025" s="36" t="s">
        <v>48</v>
      </c>
    </row>
    <row r="26026">
      <c r="H26026" s="50"/>
      <c r="I26026" s="50"/>
      <c r="O26026" s="36" t="s">
        <v>48</v>
      </c>
      <c r="R26026" s="36" t="s">
        <v>48</v>
      </c>
    </row>
    <row r="26027">
      <c r="H26027" s="50"/>
      <c r="I26027" s="50"/>
      <c r="O26027" s="36" t="s">
        <v>48</v>
      </c>
      <c r="R26027" s="36" t="s">
        <v>48</v>
      </c>
    </row>
    <row r="26028">
      <c r="H26028" s="50"/>
      <c r="I26028" s="50"/>
      <c r="O26028" s="36" t="s">
        <v>48</v>
      </c>
      <c r="R26028" s="36" t="s">
        <v>48</v>
      </c>
    </row>
    <row r="26029">
      <c r="H26029" s="50"/>
      <c r="I26029" s="50"/>
      <c r="O26029" s="36" t="s">
        <v>48</v>
      </c>
      <c r="R26029" s="36" t="s">
        <v>48</v>
      </c>
    </row>
    <row r="26030">
      <c r="H26030" s="50"/>
      <c r="I26030" s="50"/>
      <c r="O26030" s="36" t="s">
        <v>48</v>
      </c>
      <c r="R26030" s="36" t="s">
        <v>48</v>
      </c>
    </row>
    <row r="26031">
      <c r="H26031" s="50"/>
      <c r="I26031" s="50"/>
      <c r="O26031" s="36" t="s">
        <v>48</v>
      </c>
      <c r="R26031" s="36" t="s">
        <v>48</v>
      </c>
    </row>
    <row r="26032">
      <c r="H26032" s="50"/>
      <c r="I26032" s="50"/>
      <c r="O26032" s="36" t="s">
        <v>48</v>
      </c>
      <c r="R26032" s="36" t="s">
        <v>48</v>
      </c>
    </row>
    <row r="26033">
      <c r="H26033" s="50"/>
      <c r="I26033" s="50"/>
      <c r="O26033" s="36" t="s">
        <v>48</v>
      </c>
      <c r="R26033" s="36" t="s">
        <v>48</v>
      </c>
    </row>
    <row r="26034">
      <c r="H26034" s="50"/>
      <c r="I26034" s="50"/>
      <c r="O26034" s="36" t="s">
        <v>48</v>
      </c>
      <c r="R26034" s="36" t="s">
        <v>48</v>
      </c>
    </row>
    <row r="26035">
      <c r="H26035" s="50"/>
      <c r="I26035" s="50"/>
      <c r="O26035" s="36" t="s">
        <v>48</v>
      </c>
      <c r="R26035" s="36" t="s">
        <v>48</v>
      </c>
    </row>
    <row r="26036">
      <c r="H26036" s="50"/>
      <c r="I26036" s="50"/>
      <c r="O26036" s="36" t="s">
        <v>48</v>
      </c>
      <c r="R26036" s="36" t="s">
        <v>48</v>
      </c>
    </row>
    <row r="26037">
      <c r="H26037" s="50"/>
      <c r="I26037" s="50"/>
      <c r="O26037" s="36" t="s">
        <v>48</v>
      </c>
      <c r="R26037" s="36" t="s">
        <v>48</v>
      </c>
    </row>
    <row r="26038">
      <c r="H26038" s="50"/>
      <c r="I26038" s="50"/>
      <c r="O26038" s="36" t="s">
        <v>48</v>
      </c>
      <c r="R26038" s="36" t="s">
        <v>48</v>
      </c>
    </row>
    <row r="26039">
      <c r="H26039" s="50"/>
      <c r="I26039" s="50"/>
      <c r="O26039" s="36" t="s">
        <v>48</v>
      </c>
      <c r="R26039" s="36" t="s">
        <v>48</v>
      </c>
    </row>
    <row r="26040">
      <c r="H26040" s="50"/>
      <c r="I26040" s="50"/>
      <c r="O26040" s="36" t="s">
        <v>48</v>
      </c>
      <c r="R26040" s="36" t="s">
        <v>48</v>
      </c>
    </row>
    <row r="26041">
      <c r="H26041" s="50"/>
      <c r="I26041" s="50"/>
      <c r="O26041" s="36" t="s">
        <v>48</v>
      </c>
      <c r="R26041" s="36" t="s">
        <v>48</v>
      </c>
    </row>
    <row r="26042">
      <c r="H26042" s="50"/>
      <c r="I26042" s="50"/>
      <c r="O26042" s="36" t="s">
        <v>48</v>
      </c>
      <c r="R26042" s="36" t="s">
        <v>48</v>
      </c>
    </row>
    <row r="26043">
      <c r="H26043" s="50"/>
      <c r="I26043" s="50"/>
      <c r="O26043" s="36" t="s">
        <v>48</v>
      </c>
      <c r="R26043" s="36" t="s">
        <v>48</v>
      </c>
    </row>
    <row r="26044">
      <c r="H26044" s="50"/>
      <c r="I26044" s="50"/>
      <c r="O26044" s="36" t="s">
        <v>48</v>
      </c>
      <c r="R26044" s="36" t="s">
        <v>48</v>
      </c>
    </row>
    <row r="26045">
      <c r="H26045" s="50"/>
      <c r="I26045" s="50"/>
      <c r="O26045" s="36" t="s">
        <v>48</v>
      </c>
      <c r="R26045" s="36" t="s">
        <v>48</v>
      </c>
    </row>
    <row r="26046">
      <c r="H26046" s="50"/>
      <c r="I26046" s="50"/>
      <c r="O26046" s="36" t="s">
        <v>48</v>
      </c>
      <c r="R26046" s="36" t="s">
        <v>48</v>
      </c>
    </row>
    <row r="26047">
      <c r="H26047" s="50"/>
      <c r="I26047" s="50"/>
      <c r="O26047" s="36" t="s">
        <v>48</v>
      </c>
      <c r="R26047" s="36" t="s">
        <v>48</v>
      </c>
    </row>
    <row r="26048">
      <c r="H26048" s="50"/>
      <c r="I26048" s="50"/>
      <c r="O26048" s="36" t="s">
        <v>48</v>
      </c>
      <c r="R26048" s="36" t="s">
        <v>48</v>
      </c>
    </row>
    <row r="26049">
      <c r="H26049" s="50"/>
      <c r="I26049" s="50"/>
      <c r="O26049" s="36" t="s">
        <v>48</v>
      </c>
      <c r="R26049" s="36" t="s">
        <v>48</v>
      </c>
    </row>
    <row r="26050">
      <c r="H26050" s="50"/>
      <c r="I26050" s="50"/>
      <c r="O26050" s="36" t="s">
        <v>48</v>
      </c>
      <c r="R26050" s="36" t="s">
        <v>48</v>
      </c>
    </row>
    <row r="26051">
      <c r="H26051" s="50"/>
      <c r="I26051" s="50"/>
      <c r="O26051" s="36" t="s">
        <v>48</v>
      </c>
      <c r="R26051" s="36" t="s">
        <v>48</v>
      </c>
    </row>
    <row r="26052">
      <c r="H26052" s="50"/>
      <c r="I26052" s="50"/>
      <c r="O26052" s="36" t="s">
        <v>48</v>
      </c>
      <c r="R26052" s="36" t="s">
        <v>48</v>
      </c>
    </row>
    <row r="26053">
      <c r="H26053" s="50"/>
      <c r="I26053" s="50"/>
      <c r="O26053" s="36" t="s">
        <v>48</v>
      </c>
      <c r="R26053" s="36" t="s">
        <v>48</v>
      </c>
    </row>
    <row r="26054">
      <c r="H26054" s="50"/>
      <c r="I26054" s="50"/>
      <c r="O26054" s="36" t="s">
        <v>48</v>
      </c>
      <c r="R26054" s="36" t="s">
        <v>48</v>
      </c>
    </row>
    <row r="26055">
      <c r="H26055" s="50"/>
      <c r="I26055" s="50"/>
      <c r="O26055" s="36" t="s">
        <v>48</v>
      </c>
      <c r="R26055" s="36" t="s">
        <v>48</v>
      </c>
    </row>
    <row r="26056">
      <c r="H26056" s="50"/>
      <c r="I26056" s="50"/>
      <c r="O26056" s="36" t="s">
        <v>48</v>
      </c>
      <c r="R26056" s="36" t="s">
        <v>48</v>
      </c>
    </row>
    <row r="26057">
      <c r="H26057" s="50"/>
      <c r="I26057" s="50"/>
      <c r="O26057" s="36" t="s">
        <v>48</v>
      </c>
      <c r="R26057" s="36" t="s">
        <v>48</v>
      </c>
    </row>
    <row r="26058">
      <c r="H26058" s="50"/>
      <c r="I26058" s="50"/>
      <c r="O26058" s="36" t="s">
        <v>48</v>
      </c>
      <c r="R26058" s="36" t="s">
        <v>48</v>
      </c>
    </row>
    <row r="26059">
      <c r="H26059" s="50"/>
      <c r="I26059" s="50"/>
      <c r="O26059" s="36" t="s">
        <v>48</v>
      </c>
      <c r="R26059" s="36" t="s">
        <v>48</v>
      </c>
    </row>
    <row r="26060">
      <c r="H26060" s="50"/>
      <c r="I26060" s="50"/>
      <c r="O26060" s="36" t="s">
        <v>48</v>
      </c>
      <c r="R26060" s="36" t="s">
        <v>48</v>
      </c>
    </row>
    <row r="26061">
      <c r="H26061" s="50"/>
      <c r="I26061" s="50"/>
      <c r="O26061" s="36" t="s">
        <v>48</v>
      </c>
      <c r="R26061" s="36" t="s">
        <v>48</v>
      </c>
    </row>
    <row r="26062">
      <c r="H26062" s="50"/>
      <c r="I26062" s="50"/>
      <c r="O26062" s="36" t="s">
        <v>48</v>
      </c>
      <c r="R26062" s="36" t="s">
        <v>48</v>
      </c>
    </row>
    <row r="26063">
      <c r="H26063" s="50"/>
      <c r="I26063" s="50"/>
      <c r="O26063" s="36" t="s">
        <v>48</v>
      </c>
      <c r="R26063" s="36" t="s">
        <v>48</v>
      </c>
    </row>
    <row r="26064">
      <c r="H26064" s="50"/>
      <c r="I26064" s="50"/>
      <c r="O26064" s="36" t="s">
        <v>48</v>
      </c>
      <c r="R26064" s="36" t="s">
        <v>48</v>
      </c>
    </row>
    <row r="26065">
      <c r="H26065" s="50"/>
      <c r="I26065" s="50"/>
      <c r="O26065" s="36" t="s">
        <v>48</v>
      </c>
      <c r="R26065" s="36" t="s">
        <v>48</v>
      </c>
    </row>
    <row r="26066">
      <c r="H26066" s="50"/>
      <c r="I26066" s="50"/>
      <c r="O26066" s="36" t="s">
        <v>48</v>
      </c>
      <c r="R26066" s="36" t="s">
        <v>48</v>
      </c>
    </row>
    <row r="26067">
      <c r="H26067" s="50"/>
      <c r="I26067" s="50"/>
      <c r="O26067" s="36" t="s">
        <v>48</v>
      </c>
      <c r="R26067" s="36" t="s">
        <v>48</v>
      </c>
    </row>
    <row r="26068">
      <c r="H26068" s="50"/>
      <c r="I26068" s="50"/>
      <c r="O26068" s="36" t="s">
        <v>48</v>
      </c>
      <c r="R26068" s="36" t="s">
        <v>48</v>
      </c>
    </row>
    <row r="26069">
      <c r="H26069" s="50"/>
      <c r="I26069" s="50"/>
      <c r="O26069" s="36" t="s">
        <v>48</v>
      </c>
      <c r="R26069" s="36" t="s">
        <v>48</v>
      </c>
    </row>
    <row r="26070">
      <c r="H26070" s="50"/>
      <c r="I26070" s="50"/>
      <c r="O26070" s="36" t="s">
        <v>48</v>
      </c>
      <c r="R26070" s="36" t="s">
        <v>48</v>
      </c>
    </row>
    <row r="26071">
      <c r="H26071" s="50"/>
      <c r="I26071" s="50"/>
      <c r="O26071" s="36" t="s">
        <v>48</v>
      </c>
      <c r="R26071" s="36" t="s">
        <v>48</v>
      </c>
    </row>
    <row r="26072">
      <c r="H26072" s="50"/>
      <c r="I26072" s="50"/>
      <c r="O26072" s="36" t="s">
        <v>48</v>
      </c>
      <c r="R26072" s="36" t="s">
        <v>48</v>
      </c>
    </row>
    <row r="26073">
      <c r="H26073" s="50"/>
      <c r="I26073" s="50"/>
      <c r="O26073" s="36" t="s">
        <v>48</v>
      </c>
      <c r="R26073" s="36" t="s">
        <v>48</v>
      </c>
    </row>
    <row r="26074">
      <c r="H26074" s="50"/>
      <c r="I26074" s="50"/>
      <c r="O26074" s="36" t="s">
        <v>48</v>
      </c>
      <c r="R26074" s="36" t="s">
        <v>48</v>
      </c>
    </row>
    <row r="26075">
      <c r="H26075" s="50"/>
      <c r="I26075" s="50"/>
      <c r="O26075" s="36" t="s">
        <v>48</v>
      </c>
      <c r="R26075" s="36" t="s">
        <v>48</v>
      </c>
    </row>
    <row r="26076">
      <c r="H26076" s="50"/>
      <c r="I26076" s="50"/>
      <c r="O26076" s="36" t="s">
        <v>48</v>
      </c>
      <c r="R26076" s="36" t="s">
        <v>48</v>
      </c>
    </row>
    <row r="26077">
      <c r="H26077" s="50"/>
      <c r="I26077" s="50"/>
      <c r="O26077" s="36" t="s">
        <v>48</v>
      </c>
      <c r="R26077" s="36" t="s">
        <v>48</v>
      </c>
    </row>
    <row r="26078">
      <c r="H26078" s="50"/>
      <c r="I26078" s="50"/>
      <c r="O26078" s="36" t="s">
        <v>48</v>
      </c>
      <c r="R26078" s="36" t="s">
        <v>48</v>
      </c>
    </row>
    <row r="26079">
      <c r="H26079" s="50"/>
      <c r="I26079" s="50"/>
      <c r="O26079" s="36" t="s">
        <v>48</v>
      </c>
      <c r="R26079" s="36" t="s">
        <v>48</v>
      </c>
    </row>
    <row r="26080">
      <c r="H26080" s="50"/>
      <c r="I26080" s="50"/>
      <c r="O26080" s="36" t="s">
        <v>48</v>
      </c>
      <c r="R26080" s="36" t="s">
        <v>48</v>
      </c>
    </row>
    <row r="26081">
      <c r="H26081" s="50"/>
      <c r="I26081" s="50"/>
      <c r="O26081" s="36" t="s">
        <v>48</v>
      </c>
      <c r="R26081" s="36" t="s">
        <v>48</v>
      </c>
    </row>
    <row r="26082">
      <c r="H26082" s="50"/>
      <c r="I26082" s="50"/>
      <c r="O26082" s="36" t="s">
        <v>48</v>
      </c>
      <c r="R26082" s="36" t="s">
        <v>48</v>
      </c>
    </row>
    <row r="26083">
      <c r="H26083" s="50"/>
      <c r="I26083" s="50"/>
      <c r="O26083" s="36" t="s">
        <v>48</v>
      </c>
      <c r="R26083" s="36" t="s">
        <v>48</v>
      </c>
    </row>
    <row r="26084">
      <c r="H26084" s="50"/>
      <c r="I26084" s="50"/>
      <c r="O26084" s="36" t="s">
        <v>48</v>
      </c>
      <c r="R26084" s="36" t="s">
        <v>48</v>
      </c>
    </row>
    <row r="26085">
      <c r="H26085" s="50"/>
      <c r="I26085" s="50"/>
      <c r="O26085" s="36" t="s">
        <v>48</v>
      </c>
      <c r="R26085" s="36" t="s">
        <v>48</v>
      </c>
    </row>
    <row r="26086">
      <c r="H26086" s="50"/>
      <c r="I26086" s="50"/>
      <c r="O26086" s="36" t="s">
        <v>48</v>
      </c>
      <c r="R26086" s="36" t="s">
        <v>48</v>
      </c>
    </row>
    <row r="26087">
      <c r="H26087" s="50"/>
      <c r="I26087" s="50"/>
      <c r="O26087" s="36" t="s">
        <v>48</v>
      </c>
      <c r="R26087" s="36" t="s">
        <v>48</v>
      </c>
    </row>
    <row r="26088">
      <c r="H26088" s="50"/>
      <c r="I26088" s="50"/>
      <c r="O26088" s="36" t="s">
        <v>48</v>
      </c>
      <c r="R26088" s="36" t="s">
        <v>48</v>
      </c>
    </row>
    <row r="26089">
      <c r="H26089" s="50"/>
      <c r="I26089" s="50"/>
      <c r="O26089" s="36" t="s">
        <v>48</v>
      </c>
      <c r="R26089" s="36" t="s">
        <v>48</v>
      </c>
    </row>
    <row r="26090">
      <c r="H26090" s="50"/>
      <c r="I26090" s="50"/>
      <c r="O26090" s="36" t="s">
        <v>48</v>
      </c>
      <c r="R26090" s="36" t="s">
        <v>48</v>
      </c>
    </row>
    <row r="26091">
      <c r="H26091" s="50"/>
      <c r="I26091" s="50"/>
      <c r="O26091" s="36" t="s">
        <v>48</v>
      </c>
      <c r="R26091" s="36" t="s">
        <v>48</v>
      </c>
    </row>
    <row r="26092">
      <c r="H26092" s="50"/>
      <c r="I26092" s="50"/>
      <c r="O26092" s="36" t="s">
        <v>48</v>
      </c>
      <c r="R26092" s="36" t="s">
        <v>48</v>
      </c>
    </row>
    <row r="26093">
      <c r="H26093" s="50"/>
      <c r="I26093" s="50"/>
      <c r="O26093" s="36" t="s">
        <v>48</v>
      </c>
      <c r="R26093" s="36" t="s">
        <v>48</v>
      </c>
    </row>
    <row r="26094">
      <c r="H26094" s="50"/>
      <c r="I26094" s="50"/>
      <c r="O26094" s="36" t="s">
        <v>48</v>
      </c>
      <c r="R26094" s="36" t="s">
        <v>48</v>
      </c>
    </row>
    <row r="26095">
      <c r="H26095" s="50"/>
      <c r="I26095" s="50"/>
      <c r="O26095" s="36" t="s">
        <v>48</v>
      </c>
      <c r="R26095" s="36" t="s">
        <v>48</v>
      </c>
    </row>
    <row r="26096">
      <c r="H26096" s="50"/>
      <c r="I26096" s="50"/>
      <c r="O26096" s="36" t="s">
        <v>48</v>
      </c>
      <c r="R26096" s="36" t="s">
        <v>48</v>
      </c>
    </row>
    <row r="26097">
      <c r="H26097" s="50"/>
      <c r="I26097" s="50"/>
      <c r="O26097" s="36" t="s">
        <v>48</v>
      </c>
      <c r="R26097" s="36" t="s">
        <v>48</v>
      </c>
    </row>
    <row r="26098">
      <c r="H26098" s="50"/>
      <c r="I26098" s="50"/>
      <c r="O26098" s="36" t="s">
        <v>48</v>
      </c>
      <c r="R26098" s="36" t="s">
        <v>48</v>
      </c>
    </row>
    <row r="26099">
      <c r="H26099" s="50"/>
      <c r="I26099" s="50"/>
      <c r="O26099" s="36" t="s">
        <v>48</v>
      </c>
      <c r="R26099" s="36" t="s">
        <v>48</v>
      </c>
    </row>
    <row r="26100">
      <c r="H26100" s="50"/>
      <c r="I26100" s="50"/>
      <c r="O26100" s="36" t="s">
        <v>48</v>
      </c>
      <c r="R26100" s="36" t="s">
        <v>48</v>
      </c>
    </row>
    <row r="26101">
      <c r="H26101" s="50"/>
      <c r="I26101" s="50"/>
      <c r="O26101" s="36" t="s">
        <v>48</v>
      </c>
      <c r="R26101" s="36" t="s">
        <v>48</v>
      </c>
    </row>
    <row r="26102">
      <c r="H26102" s="50"/>
      <c r="I26102" s="50"/>
      <c r="O26102" s="36" t="s">
        <v>48</v>
      </c>
      <c r="R26102" s="36" t="s">
        <v>48</v>
      </c>
    </row>
    <row r="26103">
      <c r="H26103" s="50"/>
      <c r="I26103" s="50"/>
      <c r="O26103" s="36" t="s">
        <v>48</v>
      </c>
      <c r="R26103" s="36" t="s">
        <v>48</v>
      </c>
    </row>
    <row r="26104">
      <c r="H26104" s="50"/>
      <c r="I26104" s="50"/>
      <c r="O26104" s="36" t="s">
        <v>48</v>
      </c>
      <c r="R26104" s="36" t="s">
        <v>48</v>
      </c>
    </row>
    <row r="26105">
      <c r="H26105" s="50"/>
      <c r="I26105" s="50"/>
      <c r="O26105" s="36" t="s">
        <v>48</v>
      </c>
      <c r="R26105" s="36" t="s">
        <v>48</v>
      </c>
    </row>
    <row r="26106">
      <c r="H26106" s="50"/>
      <c r="I26106" s="50"/>
      <c r="O26106" s="36" t="s">
        <v>48</v>
      </c>
      <c r="R26106" s="36" t="s">
        <v>48</v>
      </c>
    </row>
    <row r="26107">
      <c r="H26107" s="50"/>
      <c r="I26107" s="50"/>
      <c r="O26107" s="36" t="s">
        <v>48</v>
      </c>
      <c r="R26107" s="36" t="s">
        <v>48</v>
      </c>
    </row>
    <row r="26108">
      <c r="H26108" s="50"/>
      <c r="I26108" s="50"/>
      <c r="O26108" s="36" t="s">
        <v>48</v>
      </c>
      <c r="R26108" s="36" t="s">
        <v>48</v>
      </c>
    </row>
    <row r="26109">
      <c r="H26109" s="50"/>
      <c r="I26109" s="50"/>
      <c r="O26109" s="36" t="s">
        <v>48</v>
      </c>
      <c r="R26109" s="36" t="s">
        <v>48</v>
      </c>
    </row>
    <row r="26110">
      <c r="H26110" s="50"/>
      <c r="I26110" s="50"/>
      <c r="O26110" s="36" t="s">
        <v>48</v>
      </c>
      <c r="R26110" s="36" t="s">
        <v>48</v>
      </c>
    </row>
    <row r="26111">
      <c r="H26111" s="50"/>
      <c r="I26111" s="50"/>
      <c r="O26111" s="36" t="s">
        <v>48</v>
      </c>
      <c r="R26111" s="36" t="s">
        <v>48</v>
      </c>
    </row>
    <row r="26112">
      <c r="H26112" s="50"/>
      <c r="I26112" s="50"/>
      <c r="O26112" s="36" t="s">
        <v>48</v>
      </c>
      <c r="R26112" s="36" t="s">
        <v>48</v>
      </c>
    </row>
    <row r="26113">
      <c r="H26113" s="50"/>
      <c r="I26113" s="50"/>
      <c r="O26113" s="36" t="s">
        <v>48</v>
      </c>
      <c r="R26113" s="36" t="s">
        <v>48</v>
      </c>
    </row>
    <row r="26114">
      <c r="H26114" s="50"/>
      <c r="I26114" s="50"/>
      <c r="O26114" s="36" t="s">
        <v>48</v>
      </c>
      <c r="R26114" s="36" t="s">
        <v>48</v>
      </c>
    </row>
    <row r="26115">
      <c r="H26115" s="50"/>
      <c r="I26115" s="50"/>
      <c r="O26115" s="36" t="s">
        <v>48</v>
      </c>
      <c r="R26115" s="36" t="s">
        <v>48</v>
      </c>
    </row>
    <row r="26116">
      <c r="H26116" s="50"/>
      <c r="I26116" s="50"/>
      <c r="O26116" s="36" t="s">
        <v>48</v>
      </c>
      <c r="R26116" s="36" t="s">
        <v>48</v>
      </c>
    </row>
    <row r="26117">
      <c r="H26117" s="50"/>
      <c r="I26117" s="50"/>
      <c r="O26117" s="36" t="s">
        <v>48</v>
      </c>
      <c r="R26117" s="36" t="s">
        <v>48</v>
      </c>
    </row>
    <row r="26118">
      <c r="H26118" s="50"/>
      <c r="I26118" s="50"/>
      <c r="O26118" s="36" t="s">
        <v>48</v>
      </c>
      <c r="R26118" s="36" t="s">
        <v>48</v>
      </c>
    </row>
    <row r="26119">
      <c r="H26119" s="50"/>
      <c r="I26119" s="50"/>
      <c r="O26119" s="36" t="s">
        <v>48</v>
      </c>
      <c r="R26119" s="36" t="s">
        <v>48</v>
      </c>
    </row>
    <row r="26120">
      <c r="H26120" s="50"/>
      <c r="I26120" s="50"/>
      <c r="O26120" s="36" t="s">
        <v>48</v>
      </c>
      <c r="R26120" s="36" t="s">
        <v>48</v>
      </c>
    </row>
    <row r="26121">
      <c r="H26121" s="50"/>
      <c r="I26121" s="50"/>
      <c r="O26121" s="36" t="s">
        <v>48</v>
      </c>
      <c r="R26121" s="36" t="s">
        <v>48</v>
      </c>
    </row>
    <row r="26122">
      <c r="H26122" s="50"/>
      <c r="I26122" s="50"/>
      <c r="O26122" s="36" t="s">
        <v>48</v>
      </c>
      <c r="R26122" s="36" t="s">
        <v>48</v>
      </c>
    </row>
    <row r="26123">
      <c r="H26123" s="50"/>
      <c r="I26123" s="50"/>
      <c r="O26123" s="36" t="s">
        <v>48</v>
      </c>
      <c r="R26123" s="36" t="s">
        <v>48</v>
      </c>
    </row>
    <row r="26124">
      <c r="H26124" s="50"/>
      <c r="I26124" s="50"/>
      <c r="O26124" s="36" t="s">
        <v>48</v>
      </c>
      <c r="R26124" s="36" t="s">
        <v>48</v>
      </c>
    </row>
    <row r="26125">
      <c r="H26125" s="50"/>
      <c r="I26125" s="50"/>
      <c r="O26125" s="36" t="s">
        <v>48</v>
      </c>
      <c r="R26125" s="36" t="s">
        <v>48</v>
      </c>
    </row>
    <row r="26126">
      <c r="H26126" s="50"/>
      <c r="I26126" s="50"/>
      <c r="O26126" s="36" t="s">
        <v>48</v>
      </c>
      <c r="R26126" s="36" t="s">
        <v>48</v>
      </c>
    </row>
    <row r="26127">
      <c r="H26127" s="50"/>
      <c r="I26127" s="50"/>
      <c r="O26127" s="36" t="s">
        <v>48</v>
      </c>
      <c r="R26127" s="36" t="s">
        <v>48</v>
      </c>
    </row>
    <row r="26128">
      <c r="H26128" s="50"/>
      <c r="I26128" s="50"/>
      <c r="O26128" s="36" t="s">
        <v>48</v>
      </c>
      <c r="R26128" s="36" t="s">
        <v>48</v>
      </c>
    </row>
    <row r="26129">
      <c r="H26129" s="50"/>
      <c r="I26129" s="50"/>
      <c r="O26129" s="36" t="s">
        <v>48</v>
      </c>
      <c r="R26129" s="36" t="s">
        <v>48</v>
      </c>
    </row>
    <row r="26130">
      <c r="H26130" s="50"/>
      <c r="I26130" s="50"/>
      <c r="O26130" s="36" t="s">
        <v>48</v>
      </c>
      <c r="R26130" s="36" t="s">
        <v>48</v>
      </c>
    </row>
    <row r="26131">
      <c r="H26131" s="50"/>
      <c r="I26131" s="50"/>
      <c r="O26131" s="36" t="s">
        <v>48</v>
      </c>
      <c r="R26131" s="36" t="s">
        <v>48</v>
      </c>
    </row>
    <row r="26132">
      <c r="H26132" s="50"/>
      <c r="I26132" s="50"/>
      <c r="O26132" s="36" t="s">
        <v>48</v>
      </c>
      <c r="R26132" s="36" t="s">
        <v>48</v>
      </c>
    </row>
    <row r="26133">
      <c r="H26133" s="50"/>
      <c r="I26133" s="50"/>
      <c r="O26133" s="36" t="s">
        <v>48</v>
      </c>
      <c r="R26133" s="36" t="s">
        <v>48</v>
      </c>
    </row>
    <row r="26134">
      <c r="H26134" s="50"/>
      <c r="I26134" s="50"/>
      <c r="O26134" s="36" t="s">
        <v>48</v>
      </c>
      <c r="R26134" s="36" t="s">
        <v>48</v>
      </c>
    </row>
    <row r="26135">
      <c r="H26135" s="50"/>
      <c r="I26135" s="50"/>
      <c r="O26135" s="36" t="s">
        <v>48</v>
      </c>
      <c r="R26135" s="36" t="s">
        <v>48</v>
      </c>
    </row>
    <row r="26136">
      <c r="H26136" s="50"/>
      <c r="I26136" s="50"/>
      <c r="O26136" s="36" t="s">
        <v>48</v>
      </c>
      <c r="R26136" s="36" t="s">
        <v>48</v>
      </c>
    </row>
    <row r="26137">
      <c r="H26137" s="50"/>
      <c r="I26137" s="50"/>
      <c r="O26137" s="36" t="s">
        <v>48</v>
      </c>
      <c r="R26137" s="36" t="s">
        <v>48</v>
      </c>
    </row>
    <row r="26138">
      <c r="H26138" s="50"/>
      <c r="I26138" s="50"/>
      <c r="O26138" s="36" t="s">
        <v>48</v>
      </c>
      <c r="R26138" s="36" t="s">
        <v>48</v>
      </c>
    </row>
    <row r="26139">
      <c r="H26139" s="50"/>
      <c r="I26139" s="50"/>
      <c r="O26139" s="36" t="s">
        <v>48</v>
      </c>
      <c r="R26139" s="36" t="s">
        <v>48</v>
      </c>
    </row>
    <row r="26140">
      <c r="H26140" s="50"/>
      <c r="I26140" s="50"/>
      <c r="O26140" s="36" t="s">
        <v>48</v>
      </c>
      <c r="R26140" s="36" t="s">
        <v>48</v>
      </c>
    </row>
    <row r="26141">
      <c r="H26141" s="50"/>
      <c r="I26141" s="50"/>
      <c r="O26141" s="36" t="s">
        <v>48</v>
      </c>
      <c r="R26141" s="36" t="s">
        <v>48</v>
      </c>
    </row>
    <row r="26142">
      <c r="H26142" s="50"/>
      <c r="I26142" s="50"/>
      <c r="O26142" s="36" t="s">
        <v>48</v>
      </c>
      <c r="R26142" s="36" t="s">
        <v>48</v>
      </c>
    </row>
    <row r="26143">
      <c r="H26143" s="50"/>
      <c r="I26143" s="50"/>
      <c r="O26143" s="36" t="s">
        <v>48</v>
      </c>
      <c r="R26143" s="36" t="s">
        <v>48</v>
      </c>
    </row>
    <row r="26144">
      <c r="H26144" s="50"/>
      <c r="I26144" s="50"/>
      <c r="O26144" s="36" t="s">
        <v>48</v>
      </c>
      <c r="R26144" s="36" t="s">
        <v>48</v>
      </c>
    </row>
    <row r="26145">
      <c r="H26145" s="50"/>
      <c r="I26145" s="50"/>
      <c r="O26145" s="36" t="s">
        <v>48</v>
      </c>
      <c r="R26145" s="36" t="s">
        <v>48</v>
      </c>
    </row>
    <row r="26146">
      <c r="H26146" s="50"/>
      <c r="I26146" s="50"/>
      <c r="O26146" s="36" t="s">
        <v>48</v>
      </c>
      <c r="R26146" s="36" t="s">
        <v>48</v>
      </c>
    </row>
    <row r="26147">
      <c r="H26147" s="50"/>
      <c r="I26147" s="50"/>
      <c r="O26147" s="36" t="s">
        <v>48</v>
      </c>
      <c r="R26147" s="36" t="s">
        <v>48</v>
      </c>
    </row>
    <row r="26148">
      <c r="H26148" s="50"/>
      <c r="I26148" s="50"/>
      <c r="O26148" s="36" t="s">
        <v>48</v>
      </c>
      <c r="R26148" s="36" t="s">
        <v>48</v>
      </c>
    </row>
    <row r="26149">
      <c r="H26149" s="50"/>
      <c r="I26149" s="50"/>
      <c r="O26149" s="36" t="s">
        <v>48</v>
      </c>
      <c r="R26149" s="36" t="s">
        <v>48</v>
      </c>
    </row>
    <row r="26150">
      <c r="H26150" s="50"/>
      <c r="I26150" s="50"/>
      <c r="O26150" s="36" t="s">
        <v>48</v>
      </c>
      <c r="R26150" s="36" t="s">
        <v>48</v>
      </c>
    </row>
    <row r="26151">
      <c r="H26151" s="50"/>
      <c r="I26151" s="50"/>
      <c r="O26151" s="36" t="s">
        <v>48</v>
      </c>
      <c r="R26151" s="36" t="s">
        <v>48</v>
      </c>
    </row>
    <row r="26152">
      <c r="H26152" s="50"/>
      <c r="I26152" s="50"/>
      <c r="O26152" s="36" t="s">
        <v>48</v>
      </c>
      <c r="R26152" s="36" t="s">
        <v>48</v>
      </c>
    </row>
    <row r="26153">
      <c r="H26153" s="50"/>
      <c r="I26153" s="50"/>
      <c r="O26153" s="36" t="s">
        <v>48</v>
      </c>
      <c r="R26153" s="36" t="s">
        <v>48</v>
      </c>
    </row>
    <row r="26154">
      <c r="H26154" s="50"/>
      <c r="I26154" s="50"/>
      <c r="O26154" s="36" t="s">
        <v>48</v>
      </c>
      <c r="R26154" s="36" t="s">
        <v>48</v>
      </c>
    </row>
    <row r="26155">
      <c r="H26155" s="50"/>
      <c r="I26155" s="50"/>
      <c r="O26155" s="36" t="s">
        <v>48</v>
      </c>
      <c r="R26155" s="36" t="s">
        <v>48</v>
      </c>
    </row>
    <row r="26156">
      <c r="H26156" s="50"/>
      <c r="I26156" s="50"/>
      <c r="O26156" s="36" t="s">
        <v>48</v>
      </c>
      <c r="R26156" s="36" t="s">
        <v>48</v>
      </c>
    </row>
    <row r="26157">
      <c r="H26157" s="50"/>
      <c r="I26157" s="50"/>
      <c r="O26157" s="36" t="s">
        <v>48</v>
      </c>
      <c r="R26157" s="36" t="s">
        <v>48</v>
      </c>
    </row>
    <row r="26158">
      <c r="H26158" s="50"/>
      <c r="I26158" s="50"/>
      <c r="O26158" s="36" t="s">
        <v>48</v>
      </c>
      <c r="R26158" s="36" t="s">
        <v>48</v>
      </c>
    </row>
    <row r="26159">
      <c r="H26159" s="50"/>
      <c r="I26159" s="50"/>
      <c r="O26159" s="36" t="s">
        <v>48</v>
      </c>
      <c r="R26159" s="36" t="s">
        <v>48</v>
      </c>
    </row>
    <row r="26160">
      <c r="H26160" s="50"/>
      <c r="I26160" s="50"/>
      <c r="O26160" s="36" t="s">
        <v>48</v>
      </c>
      <c r="R26160" s="36" t="s">
        <v>48</v>
      </c>
    </row>
    <row r="26161">
      <c r="H26161" s="50"/>
      <c r="I26161" s="50"/>
      <c r="O26161" s="36" t="s">
        <v>48</v>
      </c>
      <c r="R26161" s="36" t="s">
        <v>48</v>
      </c>
    </row>
    <row r="26162">
      <c r="H26162" s="50"/>
      <c r="I26162" s="50"/>
      <c r="O26162" s="36" t="s">
        <v>48</v>
      </c>
      <c r="R26162" s="36" t="s">
        <v>48</v>
      </c>
    </row>
    <row r="26163">
      <c r="H26163" s="50"/>
      <c r="I26163" s="50"/>
      <c r="O26163" s="36" t="s">
        <v>48</v>
      </c>
      <c r="R26163" s="36" t="s">
        <v>48</v>
      </c>
    </row>
    <row r="26164">
      <c r="H26164" s="50"/>
      <c r="I26164" s="50"/>
      <c r="O26164" s="36" t="s">
        <v>48</v>
      </c>
      <c r="R26164" s="36" t="s">
        <v>48</v>
      </c>
    </row>
    <row r="26165">
      <c r="H26165" s="50"/>
      <c r="I26165" s="50"/>
      <c r="O26165" s="36" t="s">
        <v>48</v>
      </c>
      <c r="R26165" s="36" t="s">
        <v>48</v>
      </c>
    </row>
    <row r="26166">
      <c r="H26166" s="50"/>
      <c r="I26166" s="50"/>
      <c r="O26166" s="36" t="s">
        <v>48</v>
      </c>
      <c r="R26166" s="36" t="s">
        <v>48</v>
      </c>
    </row>
    <row r="26167">
      <c r="H26167" s="50"/>
      <c r="I26167" s="50"/>
      <c r="O26167" s="36" t="s">
        <v>48</v>
      </c>
      <c r="R26167" s="36" t="s">
        <v>48</v>
      </c>
    </row>
    <row r="26168">
      <c r="H26168" s="50"/>
      <c r="I26168" s="50"/>
      <c r="O26168" s="36" t="s">
        <v>48</v>
      </c>
      <c r="R26168" s="36" t="s">
        <v>48</v>
      </c>
    </row>
    <row r="26169">
      <c r="H26169" s="50"/>
      <c r="I26169" s="50"/>
      <c r="O26169" s="36" t="s">
        <v>48</v>
      </c>
      <c r="R26169" s="36" t="s">
        <v>48</v>
      </c>
    </row>
    <row r="26170">
      <c r="H26170" s="50"/>
      <c r="I26170" s="50"/>
      <c r="O26170" s="36" t="s">
        <v>48</v>
      </c>
      <c r="R26170" s="36" t="s">
        <v>48</v>
      </c>
    </row>
    <row r="26171">
      <c r="H26171" s="50"/>
      <c r="I26171" s="50"/>
      <c r="O26171" s="36" t="s">
        <v>48</v>
      </c>
      <c r="R26171" s="36" t="s">
        <v>48</v>
      </c>
    </row>
    <row r="26172">
      <c r="H26172" s="50"/>
      <c r="I26172" s="50"/>
      <c r="O26172" s="36" t="s">
        <v>48</v>
      </c>
      <c r="R26172" s="36" t="s">
        <v>48</v>
      </c>
    </row>
    <row r="26173">
      <c r="H26173" s="50"/>
      <c r="I26173" s="50"/>
      <c r="O26173" s="36" t="s">
        <v>48</v>
      </c>
      <c r="R26173" s="36" t="s">
        <v>48</v>
      </c>
    </row>
    <row r="26174">
      <c r="H26174" s="50"/>
      <c r="I26174" s="50"/>
      <c r="O26174" s="36" t="s">
        <v>48</v>
      </c>
      <c r="R26174" s="36" t="s">
        <v>48</v>
      </c>
    </row>
    <row r="26175">
      <c r="H26175" s="50"/>
      <c r="I26175" s="50"/>
      <c r="O26175" s="36" t="s">
        <v>48</v>
      </c>
      <c r="R26175" s="36" t="s">
        <v>48</v>
      </c>
    </row>
    <row r="26176">
      <c r="H26176" s="50"/>
      <c r="I26176" s="50"/>
      <c r="O26176" s="36" t="s">
        <v>48</v>
      </c>
      <c r="R26176" s="36" t="s">
        <v>48</v>
      </c>
    </row>
    <row r="26177">
      <c r="H26177" s="50"/>
      <c r="I26177" s="50"/>
      <c r="O26177" s="36" t="s">
        <v>48</v>
      </c>
      <c r="R26177" s="36" t="s">
        <v>48</v>
      </c>
    </row>
    <row r="26178">
      <c r="H26178" s="50"/>
      <c r="I26178" s="50"/>
      <c r="O26178" s="36" t="s">
        <v>48</v>
      </c>
      <c r="R26178" s="36" t="s">
        <v>48</v>
      </c>
    </row>
    <row r="26179">
      <c r="H26179" s="50"/>
      <c r="I26179" s="50"/>
      <c r="O26179" s="36" t="s">
        <v>48</v>
      </c>
      <c r="R26179" s="36" t="s">
        <v>48</v>
      </c>
    </row>
    <row r="26180">
      <c r="H26180" s="50"/>
      <c r="I26180" s="50"/>
      <c r="O26180" s="36" t="s">
        <v>48</v>
      </c>
      <c r="R26180" s="36" t="s">
        <v>48</v>
      </c>
    </row>
    <row r="26181">
      <c r="H26181" s="50"/>
      <c r="I26181" s="50"/>
      <c r="O26181" s="36" t="s">
        <v>48</v>
      </c>
      <c r="R26181" s="36" t="s">
        <v>48</v>
      </c>
    </row>
    <row r="26182">
      <c r="H26182" s="50"/>
      <c r="I26182" s="50"/>
      <c r="O26182" s="36" t="s">
        <v>48</v>
      </c>
      <c r="R26182" s="36" t="s">
        <v>48</v>
      </c>
    </row>
    <row r="26183">
      <c r="H26183" s="50"/>
      <c r="I26183" s="50"/>
      <c r="O26183" s="36" t="s">
        <v>48</v>
      </c>
      <c r="R26183" s="36" t="s">
        <v>48</v>
      </c>
    </row>
    <row r="26184">
      <c r="H26184" s="50"/>
      <c r="I26184" s="50"/>
      <c r="O26184" s="36" t="s">
        <v>48</v>
      </c>
      <c r="R26184" s="36" t="s">
        <v>48</v>
      </c>
    </row>
    <row r="26185">
      <c r="H26185" s="50"/>
      <c r="I26185" s="50"/>
      <c r="O26185" s="36" t="s">
        <v>48</v>
      </c>
      <c r="R26185" s="36" t="s">
        <v>48</v>
      </c>
    </row>
    <row r="26186">
      <c r="H26186" s="50"/>
      <c r="I26186" s="50"/>
      <c r="O26186" s="36" t="s">
        <v>48</v>
      </c>
      <c r="R26186" s="36" t="s">
        <v>48</v>
      </c>
    </row>
    <row r="26187">
      <c r="H26187" s="50"/>
      <c r="I26187" s="50"/>
      <c r="O26187" s="36" t="s">
        <v>48</v>
      </c>
      <c r="R26187" s="36" t="s">
        <v>48</v>
      </c>
    </row>
    <row r="26188">
      <c r="H26188" s="50"/>
      <c r="I26188" s="50"/>
      <c r="O26188" s="36" t="s">
        <v>48</v>
      </c>
      <c r="R26188" s="36" t="s">
        <v>48</v>
      </c>
    </row>
    <row r="26189">
      <c r="H26189" s="50"/>
      <c r="I26189" s="50"/>
      <c r="O26189" s="36" t="s">
        <v>48</v>
      </c>
      <c r="R26189" s="36" t="s">
        <v>48</v>
      </c>
    </row>
    <row r="26190">
      <c r="H26190" s="50"/>
      <c r="I26190" s="50"/>
      <c r="O26190" s="36" t="s">
        <v>48</v>
      </c>
      <c r="R26190" s="36" t="s">
        <v>48</v>
      </c>
    </row>
    <row r="26191">
      <c r="H26191" s="50"/>
      <c r="I26191" s="50"/>
      <c r="O26191" s="36" t="s">
        <v>48</v>
      </c>
      <c r="R26191" s="36" t="s">
        <v>48</v>
      </c>
    </row>
    <row r="26192">
      <c r="H26192" s="50"/>
      <c r="I26192" s="50"/>
      <c r="O26192" s="36" t="s">
        <v>48</v>
      </c>
      <c r="R26192" s="36" t="s">
        <v>48</v>
      </c>
    </row>
    <row r="26193">
      <c r="H26193" s="50"/>
      <c r="I26193" s="50"/>
      <c r="O26193" s="36" t="s">
        <v>48</v>
      </c>
      <c r="R26193" s="36" t="s">
        <v>48</v>
      </c>
    </row>
    <row r="26194">
      <c r="H26194" s="50"/>
      <c r="I26194" s="50"/>
      <c r="O26194" s="36" t="s">
        <v>48</v>
      </c>
      <c r="R26194" s="36" t="s">
        <v>48</v>
      </c>
    </row>
    <row r="26195">
      <c r="H26195" s="50"/>
      <c r="I26195" s="50"/>
      <c r="O26195" s="36" t="s">
        <v>48</v>
      </c>
      <c r="R26195" s="36" t="s">
        <v>48</v>
      </c>
    </row>
    <row r="26196">
      <c r="H26196" s="50"/>
      <c r="I26196" s="50"/>
      <c r="O26196" s="36" t="s">
        <v>48</v>
      </c>
      <c r="R26196" s="36" t="s">
        <v>48</v>
      </c>
    </row>
    <row r="26197">
      <c r="H26197" s="50"/>
      <c r="I26197" s="50"/>
      <c r="O26197" s="36" t="s">
        <v>48</v>
      </c>
      <c r="R26197" s="36" t="s">
        <v>48</v>
      </c>
    </row>
    <row r="26198">
      <c r="H26198" s="50"/>
      <c r="I26198" s="50"/>
      <c r="O26198" s="36" t="s">
        <v>48</v>
      </c>
      <c r="R26198" s="36" t="s">
        <v>48</v>
      </c>
    </row>
    <row r="26199">
      <c r="H26199" s="50"/>
      <c r="I26199" s="50"/>
      <c r="O26199" s="36" t="s">
        <v>48</v>
      </c>
      <c r="R26199" s="36" t="s">
        <v>48</v>
      </c>
    </row>
    <row r="26200">
      <c r="H26200" s="50"/>
      <c r="I26200" s="50"/>
      <c r="O26200" s="36" t="s">
        <v>48</v>
      </c>
      <c r="R26200" s="36" t="s">
        <v>48</v>
      </c>
    </row>
    <row r="26201">
      <c r="H26201" s="50"/>
      <c r="I26201" s="50"/>
      <c r="O26201" s="36" t="s">
        <v>48</v>
      </c>
      <c r="R26201" s="36" t="s">
        <v>48</v>
      </c>
    </row>
    <row r="26202">
      <c r="H26202" s="50"/>
      <c r="I26202" s="50"/>
      <c r="O26202" s="36" t="s">
        <v>48</v>
      </c>
      <c r="R26202" s="36" t="s">
        <v>48</v>
      </c>
    </row>
    <row r="26203">
      <c r="H26203" s="50"/>
      <c r="I26203" s="50"/>
      <c r="O26203" s="36" t="s">
        <v>48</v>
      </c>
      <c r="R26203" s="36" t="s">
        <v>48</v>
      </c>
    </row>
    <row r="26204">
      <c r="H26204" s="50"/>
      <c r="I26204" s="50"/>
      <c r="O26204" s="36" t="s">
        <v>48</v>
      </c>
      <c r="R26204" s="36" t="s">
        <v>48</v>
      </c>
    </row>
    <row r="26205">
      <c r="H26205" s="50"/>
      <c r="I26205" s="50"/>
      <c r="O26205" s="36" t="s">
        <v>48</v>
      </c>
      <c r="R26205" s="36" t="s">
        <v>48</v>
      </c>
    </row>
    <row r="26206">
      <c r="H26206" s="50"/>
      <c r="I26206" s="50"/>
      <c r="O26206" s="36" t="s">
        <v>48</v>
      </c>
      <c r="R26206" s="36" t="s">
        <v>48</v>
      </c>
    </row>
    <row r="26207">
      <c r="H26207" s="50"/>
      <c r="I26207" s="50"/>
      <c r="O26207" s="36" t="s">
        <v>48</v>
      </c>
      <c r="R26207" s="36" t="s">
        <v>48</v>
      </c>
    </row>
    <row r="26208">
      <c r="H26208" s="50"/>
      <c r="I26208" s="50"/>
      <c r="O26208" s="36" t="s">
        <v>48</v>
      </c>
      <c r="R26208" s="36" t="s">
        <v>48</v>
      </c>
    </row>
    <row r="26209">
      <c r="H26209" s="50"/>
      <c r="I26209" s="50"/>
      <c r="O26209" s="36" t="s">
        <v>48</v>
      </c>
      <c r="R26209" s="36" t="s">
        <v>48</v>
      </c>
    </row>
    <row r="26210">
      <c r="H26210" s="50"/>
      <c r="I26210" s="50"/>
      <c r="O26210" s="36" t="s">
        <v>48</v>
      </c>
      <c r="R26210" s="36" t="s">
        <v>48</v>
      </c>
    </row>
    <row r="26211">
      <c r="H26211" s="50"/>
      <c r="I26211" s="50"/>
      <c r="O26211" s="36" t="s">
        <v>48</v>
      </c>
      <c r="R26211" s="36" t="s">
        <v>48</v>
      </c>
    </row>
    <row r="26212">
      <c r="H26212" s="50"/>
      <c r="I26212" s="50"/>
      <c r="O26212" s="36" t="s">
        <v>48</v>
      </c>
      <c r="R26212" s="36" t="s">
        <v>48</v>
      </c>
    </row>
    <row r="26213">
      <c r="H26213" s="50"/>
      <c r="I26213" s="50"/>
      <c r="O26213" s="36" t="s">
        <v>48</v>
      </c>
      <c r="R26213" s="36" t="s">
        <v>48</v>
      </c>
    </row>
    <row r="26214">
      <c r="H26214" s="50"/>
      <c r="I26214" s="50"/>
      <c r="O26214" s="36" t="s">
        <v>48</v>
      </c>
      <c r="R26214" s="36" t="s">
        <v>48</v>
      </c>
    </row>
    <row r="26215">
      <c r="H26215" s="50"/>
      <c r="I26215" s="50"/>
      <c r="O26215" s="36" t="s">
        <v>48</v>
      </c>
      <c r="R26215" s="36" t="s">
        <v>48</v>
      </c>
    </row>
    <row r="26216">
      <c r="H26216" s="50"/>
      <c r="I26216" s="50"/>
      <c r="O26216" s="36" t="s">
        <v>48</v>
      </c>
      <c r="R26216" s="36" t="s">
        <v>48</v>
      </c>
    </row>
    <row r="26217">
      <c r="H26217" s="50"/>
      <c r="I26217" s="50"/>
      <c r="O26217" s="36" t="s">
        <v>48</v>
      </c>
      <c r="R26217" s="36" t="s">
        <v>48</v>
      </c>
    </row>
    <row r="26218">
      <c r="H26218" s="50"/>
      <c r="I26218" s="50"/>
      <c r="O26218" s="36" t="s">
        <v>48</v>
      </c>
      <c r="R26218" s="36" t="s">
        <v>48</v>
      </c>
    </row>
    <row r="26219">
      <c r="H26219" s="50"/>
      <c r="I26219" s="50"/>
      <c r="O26219" s="36" t="s">
        <v>48</v>
      </c>
      <c r="R26219" s="36" t="s">
        <v>48</v>
      </c>
    </row>
    <row r="26220">
      <c r="H26220" s="50"/>
      <c r="I26220" s="50"/>
      <c r="O26220" s="36" t="s">
        <v>48</v>
      </c>
      <c r="R26220" s="36" t="s">
        <v>48</v>
      </c>
    </row>
    <row r="26221">
      <c r="H26221" s="50"/>
      <c r="I26221" s="50"/>
      <c r="O26221" s="36" t="s">
        <v>48</v>
      </c>
      <c r="R26221" s="36" t="s">
        <v>48</v>
      </c>
    </row>
    <row r="26222">
      <c r="H26222" s="50"/>
      <c r="I26222" s="50"/>
      <c r="O26222" s="36" t="s">
        <v>48</v>
      </c>
      <c r="R26222" s="36" t="s">
        <v>48</v>
      </c>
    </row>
    <row r="26223">
      <c r="H26223" s="50"/>
      <c r="I26223" s="50"/>
      <c r="O26223" s="36" t="s">
        <v>48</v>
      </c>
      <c r="R26223" s="36" t="s">
        <v>48</v>
      </c>
    </row>
    <row r="26224">
      <c r="H26224" s="50"/>
      <c r="I26224" s="50"/>
      <c r="O26224" s="36" t="s">
        <v>48</v>
      </c>
      <c r="R26224" s="36" t="s">
        <v>48</v>
      </c>
    </row>
    <row r="26225">
      <c r="H26225" s="50"/>
      <c r="I26225" s="50"/>
      <c r="O26225" s="36" t="s">
        <v>48</v>
      </c>
      <c r="R26225" s="36" t="s">
        <v>48</v>
      </c>
    </row>
    <row r="26226">
      <c r="H26226" s="50"/>
      <c r="I26226" s="50"/>
      <c r="O26226" s="36" t="s">
        <v>48</v>
      </c>
      <c r="R26226" s="36" t="s">
        <v>48</v>
      </c>
    </row>
    <row r="26227">
      <c r="H26227" s="50"/>
      <c r="I26227" s="50"/>
      <c r="O26227" s="36" t="s">
        <v>48</v>
      </c>
      <c r="R26227" s="36" t="s">
        <v>48</v>
      </c>
    </row>
    <row r="26228">
      <c r="H26228" s="50"/>
      <c r="I26228" s="50"/>
      <c r="O26228" s="36" t="s">
        <v>48</v>
      </c>
      <c r="R26228" s="36" t="s">
        <v>48</v>
      </c>
    </row>
    <row r="26229">
      <c r="H26229" s="50"/>
      <c r="I26229" s="50"/>
      <c r="O26229" s="36" t="s">
        <v>48</v>
      </c>
      <c r="R26229" s="36" t="s">
        <v>48</v>
      </c>
    </row>
    <row r="26230">
      <c r="H26230" s="50"/>
      <c r="I26230" s="50"/>
      <c r="O26230" s="36" t="s">
        <v>48</v>
      </c>
      <c r="R26230" s="36" t="s">
        <v>48</v>
      </c>
    </row>
    <row r="26231">
      <c r="H26231" s="50"/>
      <c r="I26231" s="50"/>
      <c r="O26231" s="36" t="s">
        <v>48</v>
      </c>
      <c r="R26231" s="36" t="s">
        <v>48</v>
      </c>
    </row>
    <row r="26232">
      <c r="H26232" s="50"/>
      <c r="I26232" s="50"/>
      <c r="O26232" s="36" t="s">
        <v>48</v>
      </c>
      <c r="R26232" s="36" t="s">
        <v>48</v>
      </c>
    </row>
    <row r="26233">
      <c r="H26233" s="50"/>
      <c r="I26233" s="50"/>
      <c r="O26233" s="36" t="s">
        <v>48</v>
      </c>
      <c r="R26233" s="36" t="s">
        <v>48</v>
      </c>
    </row>
    <row r="26234">
      <c r="H26234" s="50"/>
      <c r="I26234" s="50"/>
      <c r="O26234" s="36" t="s">
        <v>48</v>
      </c>
      <c r="R26234" s="36" t="s">
        <v>48</v>
      </c>
    </row>
    <row r="26235">
      <c r="H26235" s="50"/>
      <c r="I26235" s="50"/>
      <c r="O26235" s="36" t="s">
        <v>48</v>
      </c>
      <c r="R26235" s="36" t="s">
        <v>48</v>
      </c>
    </row>
    <row r="26236">
      <c r="H26236" s="50"/>
      <c r="I26236" s="50"/>
      <c r="O26236" s="36" t="s">
        <v>48</v>
      </c>
      <c r="R26236" s="36" t="s">
        <v>48</v>
      </c>
    </row>
    <row r="26237">
      <c r="H26237" s="50"/>
      <c r="I26237" s="50"/>
      <c r="O26237" s="36" t="s">
        <v>48</v>
      </c>
      <c r="R26237" s="36" t="s">
        <v>48</v>
      </c>
    </row>
    <row r="26238">
      <c r="H26238" s="50"/>
      <c r="I26238" s="50"/>
      <c r="O26238" s="36" t="s">
        <v>48</v>
      </c>
      <c r="R26238" s="36" t="s">
        <v>48</v>
      </c>
    </row>
    <row r="26239">
      <c r="H26239" s="50"/>
      <c r="I26239" s="50"/>
      <c r="O26239" s="36" t="s">
        <v>48</v>
      </c>
      <c r="R26239" s="36" t="s">
        <v>48</v>
      </c>
    </row>
    <row r="26240">
      <c r="H26240" s="50"/>
      <c r="I26240" s="50"/>
      <c r="O26240" s="36" t="s">
        <v>48</v>
      </c>
      <c r="R26240" s="36" t="s">
        <v>48</v>
      </c>
    </row>
    <row r="26241">
      <c r="H26241" s="50"/>
      <c r="I26241" s="50"/>
      <c r="O26241" s="36" t="s">
        <v>48</v>
      </c>
      <c r="R26241" s="36" t="s">
        <v>48</v>
      </c>
    </row>
    <row r="26242">
      <c r="H26242" s="50"/>
      <c r="I26242" s="50"/>
      <c r="O26242" s="36" t="s">
        <v>48</v>
      </c>
      <c r="R26242" s="36" t="s">
        <v>48</v>
      </c>
    </row>
    <row r="26243">
      <c r="H26243" s="50"/>
      <c r="I26243" s="50"/>
      <c r="O26243" s="36" t="s">
        <v>48</v>
      </c>
      <c r="R26243" s="36" t="s">
        <v>48</v>
      </c>
    </row>
    <row r="26244">
      <c r="H26244" s="50"/>
      <c r="I26244" s="50"/>
      <c r="O26244" s="36" t="s">
        <v>48</v>
      </c>
      <c r="R26244" s="36" t="s">
        <v>48</v>
      </c>
    </row>
    <row r="26245">
      <c r="H26245" s="50"/>
      <c r="I26245" s="50"/>
      <c r="O26245" s="36" t="s">
        <v>48</v>
      </c>
      <c r="R26245" s="36" t="s">
        <v>48</v>
      </c>
    </row>
    <row r="26246">
      <c r="H26246" s="50"/>
      <c r="I26246" s="50"/>
      <c r="O26246" s="36" t="s">
        <v>48</v>
      </c>
      <c r="R26246" s="36" t="s">
        <v>48</v>
      </c>
    </row>
    <row r="26247">
      <c r="H26247" s="50"/>
      <c r="I26247" s="50"/>
      <c r="O26247" s="36" t="s">
        <v>48</v>
      </c>
      <c r="R26247" s="36" t="s">
        <v>48</v>
      </c>
    </row>
    <row r="26248">
      <c r="H26248" s="50"/>
      <c r="I26248" s="50"/>
      <c r="O26248" s="36" t="s">
        <v>48</v>
      </c>
      <c r="R26248" s="36" t="s">
        <v>48</v>
      </c>
    </row>
    <row r="26249">
      <c r="H26249" s="50"/>
      <c r="I26249" s="50"/>
      <c r="O26249" s="36" t="s">
        <v>48</v>
      </c>
      <c r="R26249" s="36" t="s">
        <v>48</v>
      </c>
    </row>
    <row r="26250">
      <c r="H26250" s="50"/>
      <c r="I26250" s="50"/>
      <c r="O26250" s="36" t="s">
        <v>48</v>
      </c>
      <c r="R26250" s="36" t="s">
        <v>48</v>
      </c>
    </row>
    <row r="26251">
      <c r="H26251" s="50"/>
      <c r="I26251" s="50"/>
      <c r="O26251" s="36" t="s">
        <v>48</v>
      </c>
      <c r="R26251" s="36" t="s">
        <v>48</v>
      </c>
    </row>
    <row r="26252">
      <c r="H26252" s="50"/>
      <c r="I26252" s="50"/>
      <c r="O26252" s="36" t="s">
        <v>48</v>
      </c>
      <c r="R26252" s="36" t="s">
        <v>48</v>
      </c>
    </row>
    <row r="26253">
      <c r="H26253" s="50"/>
      <c r="I26253" s="50"/>
      <c r="O26253" s="36" t="s">
        <v>48</v>
      </c>
      <c r="R26253" s="36" t="s">
        <v>48</v>
      </c>
    </row>
    <row r="26254">
      <c r="H26254" s="50"/>
      <c r="I26254" s="50"/>
      <c r="O26254" s="36" t="s">
        <v>48</v>
      </c>
      <c r="R26254" s="36" t="s">
        <v>48</v>
      </c>
    </row>
    <row r="26255">
      <c r="H26255" s="50"/>
      <c r="I26255" s="50"/>
      <c r="O26255" s="36" t="s">
        <v>48</v>
      </c>
      <c r="R26255" s="36" t="s">
        <v>48</v>
      </c>
    </row>
    <row r="26256">
      <c r="H26256" s="50"/>
      <c r="I26256" s="50"/>
      <c r="O26256" s="36" t="s">
        <v>48</v>
      </c>
      <c r="R26256" s="36" t="s">
        <v>48</v>
      </c>
    </row>
    <row r="26257">
      <c r="H26257" s="50"/>
      <c r="I26257" s="50"/>
      <c r="O26257" s="36" t="s">
        <v>48</v>
      </c>
      <c r="R26257" s="36" t="s">
        <v>48</v>
      </c>
    </row>
    <row r="26258">
      <c r="H26258" s="50"/>
      <c r="I26258" s="50"/>
      <c r="O26258" s="36" t="s">
        <v>48</v>
      </c>
      <c r="R26258" s="36" t="s">
        <v>48</v>
      </c>
    </row>
    <row r="26259">
      <c r="H26259" s="50"/>
      <c r="I26259" s="50"/>
      <c r="O26259" s="36" t="s">
        <v>48</v>
      </c>
      <c r="R26259" s="36" t="s">
        <v>48</v>
      </c>
    </row>
    <row r="26260">
      <c r="H26260" s="50"/>
      <c r="I26260" s="50"/>
      <c r="O26260" s="36" t="s">
        <v>48</v>
      </c>
      <c r="R26260" s="36" t="s">
        <v>48</v>
      </c>
    </row>
    <row r="26261">
      <c r="H26261" s="50"/>
      <c r="I26261" s="50"/>
      <c r="O26261" s="36" t="s">
        <v>48</v>
      </c>
      <c r="R26261" s="36" t="s">
        <v>48</v>
      </c>
    </row>
    <row r="26262">
      <c r="H26262" s="50"/>
      <c r="I26262" s="50"/>
      <c r="O26262" s="36" t="s">
        <v>48</v>
      </c>
      <c r="R26262" s="36" t="s">
        <v>48</v>
      </c>
    </row>
    <row r="26263">
      <c r="H26263" s="50"/>
      <c r="I26263" s="50"/>
      <c r="O26263" s="36" t="s">
        <v>48</v>
      </c>
      <c r="R26263" s="36" t="s">
        <v>48</v>
      </c>
    </row>
    <row r="26264">
      <c r="H26264" s="50"/>
      <c r="I26264" s="50"/>
      <c r="O26264" s="36" t="s">
        <v>48</v>
      </c>
      <c r="R26264" s="36" t="s">
        <v>48</v>
      </c>
    </row>
    <row r="26265">
      <c r="H26265" s="50"/>
      <c r="I26265" s="50"/>
      <c r="O26265" s="36" t="s">
        <v>48</v>
      </c>
      <c r="R26265" s="36" t="s">
        <v>48</v>
      </c>
    </row>
    <row r="26266">
      <c r="H26266" s="50"/>
      <c r="I26266" s="50"/>
      <c r="O26266" s="36" t="s">
        <v>48</v>
      </c>
      <c r="R26266" s="36" t="s">
        <v>48</v>
      </c>
    </row>
    <row r="26267">
      <c r="H26267" s="50"/>
      <c r="I26267" s="50"/>
      <c r="O26267" s="36" t="s">
        <v>48</v>
      </c>
      <c r="R26267" s="36" t="s">
        <v>48</v>
      </c>
    </row>
    <row r="26268">
      <c r="H26268" s="50"/>
      <c r="I26268" s="50"/>
      <c r="O26268" s="36" t="s">
        <v>48</v>
      </c>
      <c r="R26268" s="36" t="s">
        <v>48</v>
      </c>
    </row>
    <row r="26269">
      <c r="H26269" s="50"/>
      <c r="I26269" s="50"/>
      <c r="O26269" s="36" t="s">
        <v>48</v>
      </c>
      <c r="R26269" s="36" t="s">
        <v>48</v>
      </c>
    </row>
    <row r="26270">
      <c r="H26270" s="50"/>
      <c r="I26270" s="50"/>
      <c r="O26270" s="36" t="s">
        <v>48</v>
      </c>
      <c r="R26270" s="36" t="s">
        <v>48</v>
      </c>
    </row>
    <row r="26271">
      <c r="H26271" s="50"/>
      <c r="I26271" s="50"/>
      <c r="O26271" s="36" t="s">
        <v>48</v>
      </c>
      <c r="R26271" s="36" t="s">
        <v>48</v>
      </c>
    </row>
    <row r="26272">
      <c r="H26272" s="50"/>
      <c r="I26272" s="50"/>
      <c r="O26272" s="36" t="s">
        <v>48</v>
      </c>
      <c r="R26272" s="36" t="s">
        <v>48</v>
      </c>
    </row>
    <row r="26273">
      <c r="H26273" s="50"/>
      <c r="I26273" s="50"/>
      <c r="O26273" s="36" t="s">
        <v>48</v>
      </c>
      <c r="R26273" s="36" t="s">
        <v>48</v>
      </c>
    </row>
    <row r="26274">
      <c r="H26274" s="50"/>
      <c r="I26274" s="50"/>
      <c r="O26274" s="36" t="s">
        <v>48</v>
      </c>
      <c r="R26274" s="36" t="s">
        <v>48</v>
      </c>
    </row>
    <row r="26275">
      <c r="H26275" s="50"/>
      <c r="I26275" s="50"/>
      <c r="O26275" s="36" t="s">
        <v>48</v>
      </c>
      <c r="R26275" s="36" t="s">
        <v>48</v>
      </c>
    </row>
    <row r="26276">
      <c r="H26276" s="50"/>
      <c r="I26276" s="50"/>
      <c r="O26276" s="36" t="s">
        <v>48</v>
      </c>
      <c r="R26276" s="36" t="s">
        <v>48</v>
      </c>
    </row>
    <row r="26277">
      <c r="H26277" s="50"/>
      <c r="I26277" s="50"/>
      <c r="O26277" s="36" t="s">
        <v>48</v>
      </c>
      <c r="R26277" s="36" t="s">
        <v>48</v>
      </c>
    </row>
    <row r="26278">
      <c r="H26278" s="50"/>
      <c r="I26278" s="50"/>
      <c r="O26278" s="36" t="s">
        <v>48</v>
      </c>
      <c r="R26278" s="36" t="s">
        <v>48</v>
      </c>
    </row>
    <row r="26279">
      <c r="H26279" s="50"/>
      <c r="I26279" s="50"/>
      <c r="O26279" s="36" t="s">
        <v>48</v>
      </c>
      <c r="R26279" s="36" t="s">
        <v>48</v>
      </c>
    </row>
    <row r="26280">
      <c r="H26280" s="50"/>
      <c r="I26280" s="50"/>
      <c r="O26280" s="36" t="s">
        <v>48</v>
      </c>
      <c r="R26280" s="36" t="s">
        <v>48</v>
      </c>
    </row>
    <row r="26281">
      <c r="H26281" s="50"/>
      <c r="I26281" s="50"/>
      <c r="O26281" s="36" t="s">
        <v>48</v>
      </c>
      <c r="R26281" s="36" t="s">
        <v>48</v>
      </c>
    </row>
    <row r="26282">
      <c r="H26282" s="50"/>
      <c r="I26282" s="50"/>
      <c r="O26282" s="36" t="s">
        <v>48</v>
      </c>
      <c r="R26282" s="36" t="s">
        <v>48</v>
      </c>
    </row>
    <row r="26283">
      <c r="H26283" s="50"/>
      <c r="I26283" s="50"/>
      <c r="O26283" s="36" t="s">
        <v>48</v>
      </c>
      <c r="R26283" s="36" t="s">
        <v>48</v>
      </c>
    </row>
    <row r="26284">
      <c r="H26284" s="50"/>
      <c r="I26284" s="50"/>
      <c r="O26284" s="36" t="s">
        <v>48</v>
      </c>
      <c r="R26284" s="36" t="s">
        <v>48</v>
      </c>
    </row>
    <row r="26285">
      <c r="H26285" s="50"/>
      <c r="I26285" s="50"/>
      <c r="O26285" s="36" t="s">
        <v>48</v>
      </c>
      <c r="R26285" s="36" t="s">
        <v>48</v>
      </c>
    </row>
    <row r="26286">
      <c r="H26286" s="50"/>
      <c r="I26286" s="50"/>
      <c r="O26286" s="36" t="s">
        <v>48</v>
      </c>
      <c r="R26286" s="36" t="s">
        <v>48</v>
      </c>
    </row>
    <row r="26287">
      <c r="H26287" s="50"/>
      <c r="I26287" s="50"/>
      <c r="O26287" s="36" t="s">
        <v>48</v>
      </c>
      <c r="R26287" s="36" t="s">
        <v>48</v>
      </c>
    </row>
    <row r="26288">
      <c r="H26288" s="50"/>
      <c r="I26288" s="50"/>
      <c r="O26288" s="36" t="s">
        <v>48</v>
      </c>
      <c r="R26288" s="36" t="s">
        <v>48</v>
      </c>
    </row>
    <row r="26289">
      <c r="H26289" s="50"/>
      <c r="I26289" s="50"/>
      <c r="O26289" s="36" t="s">
        <v>48</v>
      </c>
      <c r="R26289" s="36" t="s">
        <v>48</v>
      </c>
    </row>
    <row r="26290">
      <c r="H26290" s="50"/>
      <c r="I26290" s="50"/>
      <c r="O26290" s="36" t="s">
        <v>48</v>
      </c>
      <c r="R26290" s="36" t="s">
        <v>48</v>
      </c>
    </row>
    <row r="26291">
      <c r="H26291" s="50"/>
      <c r="I26291" s="50"/>
      <c r="O26291" s="36" t="s">
        <v>48</v>
      </c>
      <c r="R26291" s="36" t="s">
        <v>48</v>
      </c>
    </row>
    <row r="26292">
      <c r="H26292" s="50"/>
      <c r="I26292" s="50"/>
      <c r="O26292" s="36" t="s">
        <v>48</v>
      </c>
      <c r="R26292" s="36" t="s">
        <v>48</v>
      </c>
    </row>
    <row r="26293">
      <c r="H26293" s="50"/>
      <c r="I26293" s="50"/>
      <c r="O26293" s="36" t="s">
        <v>48</v>
      </c>
      <c r="R26293" s="36" t="s">
        <v>48</v>
      </c>
    </row>
    <row r="26294">
      <c r="H26294" s="50"/>
      <c r="I26294" s="50"/>
      <c r="O26294" s="36" t="s">
        <v>48</v>
      </c>
      <c r="R26294" s="36" t="s">
        <v>48</v>
      </c>
    </row>
    <row r="26295">
      <c r="H26295" s="50"/>
      <c r="I26295" s="50"/>
      <c r="O26295" s="36" t="s">
        <v>48</v>
      </c>
      <c r="R26295" s="36" t="s">
        <v>48</v>
      </c>
    </row>
    <row r="26296">
      <c r="H26296" s="50"/>
      <c r="I26296" s="50"/>
      <c r="O26296" s="36" t="s">
        <v>48</v>
      </c>
      <c r="R26296" s="36" t="s">
        <v>48</v>
      </c>
    </row>
    <row r="26297">
      <c r="H26297" s="50"/>
      <c r="I26297" s="50"/>
      <c r="O26297" s="36" t="s">
        <v>48</v>
      </c>
      <c r="R26297" s="36" t="s">
        <v>48</v>
      </c>
    </row>
    <row r="26298">
      <c r="H26298" s="50"/>
      <c r="I26298" s="50"/>
      <c r="O26298" s="36" t="s">
        <v>48</v>
      </c>
      <c r="R26298" s="36" t="s">
        <v>48</v>
      </c>
    </row>
    <row r="26299">
      <c r="H26299" s="50"/>
      <c r="I26299" s="50"/>
      <c r="O26299" s="36" t="s">
        <v>48</v>
      </c>
      <c r="R26299" s="36" t="s">
        <v>48</v>
      </c>
    </row>
    <row r="26300">
      <c r="H26300" s="50"/>
      <c r="I26300" s="50"/>
      <c r="O26300" s="36" t="s">
        <v>48</v>
      </c>
      <c r="R26300" s="36" t="s">
        <v>48</v>
      </c>
    </row>
    <row r="26301">
      <c r="H26301" s="50"/>
      <c r="I26301" s="50"/>
      <c r="O26301" s="36" t="s">
        <v>48</v>
      </c>
      <c r="R26301" s="36" t="s">
        <v>48</v>
      </c>
    </row>
    <row r="26302">
      <c r="H26302" s="50"/>
      <c r="I26302" s="50"/>
      <c r="O26302" s="36" t="s">
        <v>48</v>
      </c>
      <c r="R26302" s="36" t="s">
        <v>48</v>
      </c>
    </row>
    <row r="26303">
      <c r="H26303" s="50"/>
      <c r="I26303" s="50"/>
      <c r="O26303" s="36" t="s">
        <v>48</v>
      </c>
      <c r="R26303" s="36" t="s">
        <v>48</v>
      </c>
    </row>
    <row r="26304">
      <c r="H26304" s="50"/>
      <c r="I26304" s="50"/>
      <c r="O26304" s="36" t="s">
        <v>48</v>
      </c>
      <c r="R26304" s="36" t="s">
        <v>48</v>
      </c>
    </row>
    <row r="26305">
      <c r="H26305" s="50"/>
      <c r="I26305" s="50"/>
      <c r="O26305" s="36" t="s">
        <v>48</v>
      </c>
      <c r="R26305" s="36" t="s">
        <v>48</v>
      </c>
    </row>
    <row r="26306">
      <c r="H26306" s="50"/>
      <c r="I26306" s="50"/>
      <c r="O26306" s="36" t="s">
        <v>48</v>
      </c>
      <c r="R26306" s="36" t="s">
        <v>48</v>
      </c>
    </row>
    <row r="26307">
      <c r="H26307" s="50"/>
      <c r="I26307" s="50"/>
      <c r="O26307" s="36" t="s">
        <v>48</v>
      </c>
      <c r="R26307" s="36" t="s">
        <v>48</v>
      </c>
    </row>
    <row r="26308">
      <c r="H26308" s="50"/>
      <c r="I26308" s="50"/>
      <c r="O26308" s="36" t="s">
        <v>48</v>
      </c>
      <c r="R26308" s="36" t="s">
        <v>48</v>
      </c>
    </row>
    <row r="26309">
      <c r="H26309" s="50"/>
      <c r="I26309" s="50"/>
      <c r="O26309" s="36" t="s">
        <v>48</v>
      </c>
      <c r="R26309" s="36" t="s">
        <v>48</v>
      </c>
    </row>
    <row r="26310">
      <c r="H26310" s="50"/>
      <c r="I26310" s="50"/>
      <c r="O26310" s="36" t="s">
        <v>48</v>
      </c>
      <c r="R26310" s="36" t="s">
        <v>48</v>
      </c>
    </row>
    <row r="26311">
      <c r="H26311" s="50"/>
      <c r="I26311" s="50"/>
      <c r="O26311" s="36" t="s">
        <v>48</v>
      </c>
      <c r="R26311" s="36" t="s">
        <v>48</v>
      </c>
    </row>
    <row r="26312">
      <c r="H26312" s="50"/>
      <c r="I26312" s="50"/>
      <c r="O26312" s="36" t="s">
        <v>48</v>
      </c>
      <c r="R26312" s="36" t="s">
        <v>48</v>
      </c>
    </row>
    <row r="26313">
      <c r="H26313" s="50"/>
      <c r="I26313" s="50"/>
      <c r="O26313" s="36" t="s">
        <v>48</v>
      </c>
      <c r="R26313" s="36" t="s">
        <v>48</v>
      </c>
    </row>
    <row r="26314">
      <c r="H26314" s="50"/>
      <c r="I26314" s="50"/>
      <c r="O26314" s="36" t="s">
        <v>48</v>
      </c>
      <c r="R26314" s="36" t="s">
        <v>48</v>
      </c>
    </row>
    <row r="26315">
      <c r="H26315" s="50"/>
      <c r="I26315" s="50"/>
      <c r="O26315" s="36" t="s">
        <v>48</v>
      </c>
      <c r="R26315" s="36" t="s">
        <v>48</v>
      </c>
    </row>
    <row r="26316">
      <c r="H26316" s="50"/>
      <c r="I26316" s="50"/>
      <c r="O26316" s="36" t="s">
        <v>48</v>
      </c>
      <c r="R26316" s="36" t="s">
        <v>48</v>
      </c>
    </row>
    <row r="26317">
      <c r="H26317" s="50"/>
      <c r="I26317" s="50"/>
      <c r="O26317" s="36" t="s">
        <v>48</v>
      </c>
      <c r="R26317" s="36" t="s">
        <v>48</v>
      </c>
    </row>
    <row r="26318">
      <c r="H26318" s="50"/>
      <c r="I26318" s="50"/>
      <c r="O26318" s="36" t="s">
        <v>48</v>
      </c>
      <c r="R26318" s="36" t="s">
        <v>48</v>
      </c>
    </row>
    <row r="26319">
      <c r="H26319" s="50"/>
      <c r="I26319" s="50"/>
      <c r="O26319" s="36" t="s">
        <v>48</v>
      </c>
      <c r="R26319" s="36" t="s">
        <v>48</v>
      </c>
    </row>
    <row r="26320">
      <c r="H26320" s="50"/>
      <c r="I26320" s="50"/>
      <c r="O26320" s="36" t="s">
        <v>48</v>
      </c>
      <c r="R26320" s="36" t="s">
        <v>48</v>
      </c>
    </row>
    <row r="26321">
      <c r="H26321" s="50"/>
      <c r="I26321" s="50"/>
      <c r="O26321" s="36" t="s">
        <v>48</v>
      </c>
      <c r="R26321" s="36" t="s">
        <v>48</v>
      </c>
    </row>
    <row r="26322">
      <c r="H26322" s="50"/>
      <c r="I26322" s="50"/>
      <c r="O26322" s="36" t="s">
        <v>48</v>
      </c>
      <c r="R26322" s="36" t="s">
        <v>48</v>
      </c>
    </row>
    <row r="26323">
      <c r="H26323" s="50"/>
      <c r="I26323" s="50"/>
      <c r="O26323" s="36" t="s">
        <v>48</v>
      </c>
      <c r="R26323" s="36" t="s">
        <v>48</v>
      </c>
    </row>
    <row r="26324">
      <c r="H26324" s="50"/>
      <c r="I26324" s="50"/>
      <c r="O26324" s="36" t="s">
        <v>48</v>
      </c>
      <c r="R26324" s="36" t="s">
        <v>48</v>
      </c>
    </row>
    <row r="26325">
      <c r="H26325" s="50"/>
      <c r="I26325" s="50"/>
      <c r="O26325" s="36" t="s">
        <v>48</v>
      </c>
      <c r="R26325" s="36" t="s">
        <v>48</v>
      </c>
    </row>
    <row r="26326">
      <c r="H26326" s="50"/>
      <c r="I26326" s="50"/>
      <c r="O26326" s="36" t="s">
        <v>48</v>
      </c>
      <c r="R26326" s="36" t="s">
        <v>48</v>
      </c>
    </row>
    <row r="26327">
      <c r="H26327" s="50"/>
      <c r="I26327" s="50"/>
      <c r="O26327" s="36" t="s">
        <v>48</v>
      </c>
      <c r="R26327" s="36" t="s">
        <v>48</v>
      </c>
    </row>
    <row r="26328">
      <c r="H26328" s="50"/>
      <c r="I26328" s="50"/>
      <c r="O26328" s="36" t="s">
        <v>48</v>
      </c>
      <c r="R26328" s="36" t="s">
        <v>48</v>
      </c>
    </row>
    <row r="26329">
      <c r="H26329" s="50"/>
      <c r="I26329" s="50"/>
      <c r="O26329" s="36" t="s">
        <v>48</v>
      </c>
      <c r="R26329" s="36" t="s">
        <v>48</v>
      </c>
    </row>
    <row r="26330">
      <c r="H26330" s="50"/>
      <c r="I26330" s="50"/>
      <c r="O26330" s="36" t="s">
        <v>48</v>
      </c>
      <c r="R26330" s="36" t="s">
        <v>48</v>
      </c>
    </row>
    <row r="26331">
      <c r="H26331" s="50"/>
      <c r="I26331" s="50"/>
      <c r="O26331" s="36" t="s">
        <v>48</v>
      </c>
      <c r="R26331" s="36" t="s">
        <v>48</v>
      </c>
    </row>
    <row r="26332">
      <c r="H26332" s="50"/>
      <c r="I26332" s="50"/>
      <c r="O26332" s="36" t="s">
        <v>48</v>
      </c>
      <c r="R26332" s="36" t="s">
        <v>48</v>
      </c>
    </row>
    <row r="26333">
      <c r="H26333" s="50"/>
      <c r="I26333" s="50"/>
      <c r="O26333" s="36" t="s">
        <v>48</v>
      </c>
      <c r="R26333" s="36" t="s">
        <v>48</v>
      </c>
    </row>
    <row r="26334">
      <c r="H26334" s="50"/>
      <c r="I26334" s="50"/>
      <c r="O26334" s="36" t="s">
        <v>48</v>
      </c>
      <c r="R26334" s="36" t="s">
        <v>48</v>
      </c>
    </row>
    <row r="26335">
      <c r="H26335" s="50"/>
      <c r="I26335" s="50"/>
      <c r="O26335" s="36" t="s">
        <v>48</v>
      </c>
      <c r="R26335" s="36" t="s">
        <v>48</v>
      </c>
    </row>
    <row r="26336">
      <c r="H26336" s="50"/>
      <c r="I26336" s="50"/>
      <c r="O26336" s="36" t="s">
        <v>48</v>
      </c>
      <c r="R26336" s="36" t="s">
        <v>48</v>
      </c>
    </row>
    <row r="26337">
      <c r="H26337" s="50"/>
      <c r="I26337" s="50"/>
      <c r="O26337" s="36" t="s">
        <v>48</v>
      </c>
      <c r="R26337" s="36" t="s">
        <v>48</v>
      </c>
    </row>
    <row r="26338">
      <c r="H26338" s="50"/>
      <c r="I26338" s="50"/>
      <c r="O26338" s="36" t="s">
        <v>48</v>
      </c>
      <c r="R26338" s="36" t="s">
        <v>48</v>
      </c>
    </row>
    <row r="26339">
      <c r="H26339" s="50"/>
      <c r="I26339" s="50"/>
      <c r="O26339" s="36" t="s">
        <v>48</v>
      </c>
      <c r="R26339" s="36" t="s">
        <v>48</v>
      </c>
    </row>
    <row r="26340">
      <c r="H26340" s="50"/>
      <c r="I26340" s="50"/>
      <c r="O26340" s="36" t="s">
        <v>48</v>
      </c>
      <c r="R26340" s="36" t="s">
        <v>48</v>
      </c>
    </row>
    <row r="26341">
      <c r="H26341" s="50"/>
      <c r="I26341" s="50"/>
      <c r="O26341" s="36" t="s">
        <v>48</v>
      </c>
      <c r="R26341" s="36" t="s">
        <v>48</v>
      </c>
    </row>
    <row r="26342">
      <c r="H26342" s="50"/>
      <c r="I26342" s="50"/>
      <c r="O26342" s="36" t="s">
        <v>48</v>
      </c>
      <c r="R26342" s="36" t="s">
        <v>48</v>
      </c>
    </row>
    <row r="26343">
      <c r="H26343" s="50"/>
      <c r="I26343" s="50"/>
      <c r="O26343" s="36" t="s">
        <v>48</v>
      </c>
      <c r="R26343" s="36" t="s">
        <v>48</v>
      </c>
    </row>
    <row r="26344">
      <c r="H26344" s="50"/>
      <c r="I26344" s="50"/>
      <c r="O26344" s="36" t="s">
        <v>48</v>
      </c>
      <c r="R26344" s="36" t="s">
        <v>48</v>
      </c>
    </row>
    <row r="26345">
      <c r="H26345" s="50"/>
      <c r="I26345" s="50"/>
      <c r="O26345" s="36" t="s">
        <v>48</v>
      </c>
      <c r="R26345" s="36" t="s">
        <v>48</v>
      </c>
    </row>
    <row r="26346">
      <c r="H26346" s="50"/>
      <c r="I26346" s="50"/>
      <c r="O26346" s="36" t="s">
        <v>48</v>
      </c>
      <c r="R26346" s="36" t="s">
        <v>48</v>
      </c>
    </row>
    <row r="26347">
      <c r="H26347" s="50"/>
      <c r="I26347" s="50"/>
      <c r="O26347" s="36" t="s">
        <v>48</v>
      </c>
      <c r="R26347" s="36" t="s">
        <v>48</v>
      </c>
    </row>
    <row r="26348">
      <c r="H26348" s="50"/>
      <c r="I26348" s="50"/>
      <c r="O26348" s="36" t="s">
        <v>48</v>
      </c>
      <c r="R26348" s="36" t="s">
        <v>48</v>
      </c>
    </row>
    <row r="26349">
      <c r="H26349" s="50"/>
      <c r="I26349" s="50"/>
      <c r="O26349" s="36" t="s">
        <v>48</v>
      </c>
      <c r="R26349" s="36" t="s">
        <v>48</v>
      </c>
    </row>
    <row r="26350">
      <c r="H26350" s="50"/>
      <c r="I26350" s="50"/>
      <c r="O26350" s="36" t="s">
        <v>48</v>
      </c>
      <c r="R26350" s="36" t="s">
        <v>48</v>
      </c>
    </row>
    <row r="26351">
      <c r="H26351" s="50"/>
      <c r="I26351" s="50"/>
      <c r="O26351" s="36" t="s">
        <v>48</v>
      </c>
      <c r="R26351" s="36" t="s">
        <v>48</v>
      </c>
    </row>
    <row r="26352">
      <c r="H26352" s="50"/>
      <c r="I26352" s="50"/>
      <c r="O26352" s="36" t="s">
        <v>48</v>
      </c>
      <c r="R26352" s="36" t="s">
        <v>48</v>
      </c>
    </row>
    <row r="26353">
      <c r="H26353" s="50"/>
      <c r="I26353" s="50"/>
      <c r="O26353" s="36" t="s">
        <v>48</v>
      </c>
      <c r="R26353" s="36" t="s">
        <v>48</v>
      </c>
    </row>
    <row r="26354">
      <c r="H26354" s="50"/>
      <c r="I26354" s="50"/>
      <c r="O26354" s="36" t="s">
        <v>48</v>
      </c>
      <c r="R26354" s="36" t="s">
        <v>48</v>
      </c>
    </row>
    <row r="26355">
      <c r="H26355" s="50"/>
      <c r="I26355" s="50"/>
      <c r="O26355" s="36" t="s">
        <v>48</v>
      </c>
      <c r="R26355" s="36" t="s">
        <v>48</v>
      </c>
    </row>
    <row r="26356">
      <c r="H26356" s="50"/>
      <c r="I26356" s="50"/>
      <c r="O26356" s="36" t="s">
        <v>48</v>
      </c>
      <c r="R26356" s="36" t="s">
        <v>48</v>
      </c>
    </row>
    <row r="26357">
      <c r="H26357" s="50"/>
      <c r="I26357" s="50"/>
      <c r="O26357" s="36" t="s">
        <v>48</v>
      </c>
      <c r="R26357" s="36" t="s">
        <v>48</v>
      </c>
    </row>
    <row r="26358">
      <c r="H26358" s="50"/>
      <c r="I26358" s="50"/>
      <c r="O26358" s="36" t="s">
        <v>48</v>
      </c>
      <c r="R26358" s="36" t="s">
        <v>48</v>
      </c>
    </row>
    <row r="26359">
      <c r="H26359" s="50"/>
      <c r="I26359" s="50"/>
      <c r="O26359" s="36" t="s">
        <v>48</v>
      </c>
      <c r="R26359" s="36" t="s">
        <v>48</v>
      </c>
    </row>
    <row r="26360">
      <c r="H26360" s="50"/>
      <c r="I26360" s="50"/>
      <c r="O26360" s="36" t="s">
        <v>48</v>
      </c>
      <c r="R26360" s="36" t="s">
        <v>48</v>
      </c>
    </row>
    <row r="26361">
      <c r="H26361" s="50"/>
      <c r="I26361" s="50"/>
      <c r="O26361" s="36" t="s">
        <v>48</v>
      </c>
      <c r="R26361" s="36" t="s">
        <v>48</v>
      </c>
    </row>
    <row r="26362">
      <c r="H26362" s="50"/>
      <c r="I26362" s="50"/>
      <c r="O26362" s="36" t="s">
        <v>48</v>
      </c>
      <c r="R26362" s="36" t="s">
        <v>48</v>
      </c>
    </row>
    <row r="26363">
      <c r="H26363" s="50"/>
      <c r="I26363" s="50"/>
      <c r="O26363" s="36" t="s">
        <v>48</v>
      </c>
      <c r="R26363" s="36" t="s">
        <v>48</v>
      </c>
    </row>
    <row r="26364">
      <c r="H26364" s="50"/>
      <c r="I26364" s="50"/>
      <c r="O26364" s="36" t="s">
        <v>48</v>
      </c>
      <c r="R26364" s="36" t="s">
        <v>48</v>
      </c>
    </row>
    <row r="26365">
      <c r="H26365" s="50"/>
      <c r="I26365" s="50"/>
      <c r="O26365" s="36" t="s">
        <v>48</v>
      </c>
      <c r="R26365" s="36" t="s">
        <v>48</v>
      </c>
    </row>
    <row r="26366">
      <c r="H26366" s="50"/>
      <c r="I26366" s="50"/>
      <c r="O26366" s="36" t="s">
        <v>48</v>
      </c>
      <c r="R26366" s="36" t="s">
        <v>48</v>
      </c>
    </row>
    <row r="26367">
      <c r="H26367" s="50"/>
      <c r="I26367" s="50"/>
      <c r="O26367" s="36" t="s">
        <v>48</v>
      </c>
      <c r="R26367" s="36" t="s">
        <v>48</v>
      </c>
    </row>
    <row r="26368">
      <c r="H26368" s="50"/>
      <c r="I26368" s="50"/>
      <c r="O26368" s="36" t="s">
        <v>48</v>
      </c>
      <c r="R26368" s="36" t="s">
        <v>48</v>
      </c>
    </row>
    <row r="26369">
      <c r="H26369" s="50"/>
      <c r="I26369" s="50"/>
      <c r="O26369" s="36" t="s">
        <v>48</v>
      </c>
      <c r="R26369" s="36" t="s">
        <v>48</v>
      </c>
    </row>
    <row r="26370">
      <c r="H26370" s="50"/>
      <c r="I26370" s="50"/>
      <c r="O26370" s="36" t="s">
        <v>48</v>
      </c>
      <c r="R26370" s="36" t="s">
        <v>48</v>
      </c>
    </row>
    <row r="26371">
      <c r="H26371" s="50"/>
      <c r="I26371" s="50"/>
      <c r="O26371" s="36" t="s">
        <v>48</v>
      </c>
      <c r="R26371" s="36" t="s">
        <v>48</v>
      </c>
    </row>
    <row r="26372">
      <c r="H26372" s="50"/>
      <c r="I26372" s="50"/>
      <c r="O26372" s="36" t="s">
        <v>48</v>
      </c>
      <c r="R26372" s="36" t="s">
        <v>48</v>
      </c>
    </row>
    <row r="26373">
      <c r="H26373" s="50"/>
      <c r="I26373" s="50"/>
      <c r="O26373" s="36" t="s">
        <v>48</v>
      </c>
      <c r="R26373" s="36" t="s">
        <v>48</v>
      </c>
    </row>
    <row r="26374">
      <c r="H26374" s="50"/>
      <c r="I26374" s="50"/>
      <c r="O26374" s="36" t="s">
        <v>48</v>
      </c>
      <c r="R26374" s="36" t="s">
        <v>48</v>
      </c>
    </row>
    <row r="26375">
      <c r="H26375" s="50"/>
      <c r="I26375" s="50"/>
      <c r="O26375" s="36" t="s">
        <v>48</v>
      </c>
      <c r="R26375" s="36" t="s">
        <v>48</v>
      </c>
    </row>
    <row r="26376">
      <c r="H26376" s="50"/>
      <c r="I26376" s="50"/>
      <c r="O26376" s="36" t="s">
        <v>48</v>
      </c>
      <c r="R26376" s="36" t="s">
        <v>48</v>
      </c>
    </row>
    <row r="26377">
      <c r="H26377" s="50"/>
      <c r="I26377" s="50"/>
      <c r="O26377" s="36" t="s">
        <v>48</v>
      </c>
      <c r="R26377" s="36" t="s">
        <v>48</v>
      </c>
    </row>
    <row r="26378">
      <c r="H26378" s="50"/>
      <c r="I26378" s="50"/>
      <c r="O26378" s="36" t="s">
        <v>48</v>
      </c>
      <c r="R26378" s="36" t="s">
        <v>48</v>
      </c>
    </row>
    <row r="26379">
      <c r="H26379" s="50"/>
      <c r="I26379" s="50"/>
      <c r="O26379" s="36" t="s">
        <v>48</v>
      </c>
      <c r="R26379" s="36" t="s">
        <v>48</v>
      </c>
    </row>
    <row r="26380">
      <c r="H26380" s="50"/>
      <c r="I26380" s="50"/>
      <c r="O26380" s="36" t="s">
        <v>48</v>
      </c>
      <c r="R26380" s="36" t="s">
        <v>48</v>
      </c>
    </row>
    <row r="26381">
      <c r="H26381" s="50"/>
      <c r="I26381" s="50"/>
      <c r="O26381" s="36" t="s">
        <v>48</v>
      </c>
      <c r="R26381" s="36" t="s">
        <v>48</v>
      </c>
    </row>
    <row r="26382">
      <c r="H26382" s="50"/>
      <c r="I26382" s="50"/>
      <c r="O26382" s="36" t="s">
        <v>48</v>
      </c>
      <c r="R26382" s="36" t="s">
        <v>48</v>
      </c>
    </row>
    <row r="26383">
      <c r="H26383" s="50"/>
      <c r="I26383" s="50"/>
      <c r="O26383" s="36" t="s">
        <v>48</v>
      </c>
      <c r="R26383" s="36" t="s">
        <v>48</v>
      </c>
    </row>
    <row r="26384">
      <c r="H26384" s="50"/>
      <c r="I26384" s="50"/>
      <c r="O26384" s="36" t="s">
        <v>48</v>
      </c>
      <c r="R26384" s="36" t="s">
        <v>48</v>
      </c>
    </row>
    <row r="26385">
      <c r="H26385" s="50"/>
      <c r="I26385" s="50"/>
      <c r="O26385" s="36" t="s">
        <v>48</v>
      </c>
      <c r="R26385" s="36" t="s">
        <v>48</v>
      </c>
    </row>
    <row r="26386">
      <c r="H26386" s="50"/>
      <c r="I26386" s="50"/>
      <c r="O26386" s="36" t="s">
        <v>48</v>
      </c>
      <c r="R26386" s="36" t="s">
        <v>48</v>
      </c>
    </row>
    <row r="26387">
      <c r="H26387" s="50"/>
      <c r="I26387" s="50"/>
      <c r="O26387" s="36" t="s">
        <v>48</v>
      </c>
      <c r="R26387" s="36" t="s">
        <v>48</v>
      </c>
    </row>
    <row r="26388">
      <c r="H26388" s="50"/>
      <c r="I26388" s="50"/>
      <c r="O26388" s="36" t="s">
        <v>48</v>
      </c>
      <c r="R26388" s="36" t="s">
        <v>48</v>
      </c>
    </row>
    <row r="26389">
      <c r="H26389" s="50"/>
      <c r="I26389" s="50"/>
      <c r="O26389" s="36" t="s">
        <v>48</v>
      </c>
      <c r="R26389" s="36" t="s">
        <v>48</v>
      </c>
    </row>
    <row r="26390">
      <c r="H26390" s="50"/>
      <c r="I26390" s="50"/>
      <c r="O26390" s="36" t="s">
        <v>48</v>
      </c>
      <c r="R26390" s="36" t="s">
        <v>48</v>
      </c>
    </row>
    <row r="26391">
      <c r="H26391" s="50"/>
      <c r="I26391" s="50"/>
      <c r="O26391" s="36" t="s">
        <v>48</v>
      </c>
      <c r="R26391" s="36" t="s">
        <v>48</v>
      </c>
    </row>
    <row r="26392">
      <c r="H26392" s="50"/>
      <c r="I26392" s="50"/>
      <c r="O26392" s="36" t="s">
        <v>48</v>
      </c>
      <c r="R26392" s="36" t="s">
        <v>48</v>
      </c>
    </row>
    <row r="26393">
      <c r="H26393" s="50"/>
      <c r="I26393" s="50"/>
      <c r="O26393" s="36" t="s">
        <v>48</v>
      </c>
      <c r="R26393" s="36" t="s">
        <v>48</v>
      </c>
    </row>
    <row r="26394">
      <c r="H26394" s="50"/>
      <c r="I26394" s="50"/>
      <c r="O26394" s="36" t="s">
        <v>48</v>
      </c>
      <c r="R26394" s="36" t="s">
        <v>48</v>
      </c>
    </row>
    <row r="26395">
      <c r="H26395" s="50"/>
      <c r="I26395" s="50"/>
      <c r="O26395" s="36" t="s">
        <v>48</v>
      </c>
      <c r="R26395" s="36" t="s">
        <v>48</v>
      </c>
    </row>
    <row r="26396">
      <c r="H26396" s="50"/>
      <c r="I26396" s="50"/>
      <c r="O26396" s="36" t="s">
        <v>48</v>
      </c>
      <c r="R26396" s="36" t="s">
        <v>48</v>
      </c>
    </row>
    <row r="26397">
      <c r="H26397" s="50"/>
      <c r="I26397" s="50"/>
      <c r="O26397" s="36" t="s">
        <v>48</v>
      </c>
      <c r="R26397" s="36" t="s">
        <v>48</v>
      </c>
    </row>
    <row r="26398">
      <c r="H26398" s="50"/>
      <c r="I26398" s="50"/>
      <c r="O26398" s="36" t="s">
        <v>48</v>
      </c>
      <c r="R26398" s="36" t="s">
        <v>48</v>
      </c>
    </row>
    <row r="26399">
      <c r="H26399" s="50"/>
      <c r="I26399" s="50"/>
      <c r="O26399" s="36" t="s">
        <v>48</v>
      </c>
      <c r="R26399" s="36" t="s">
        <v>48</v>
      </c>
    </row>
    <row r="26400">
      <c r="H26400" s="50"/>
      <c r="I26400" s="50"/>
      <c r="O26400" s="36" t="s">
        <v>48</v>
      </c>
      <c r="R26400" s="36" t="s">
        <v>48</v>
      </c>
    </row>
    <row r="26401">
      <c r="H26401" s="50"/>
      <c r="I26401" s="50"/>
      <c r="O26401" s="36" t="s">
        <v>48</v>
      </c>
      <c r="R26401" s="36" t="s">
        <v>48</v>
      </c>
    </row>
    <row r="26402">
      <c r="H26402" s="50"/>
      <c r="I26402" s="50"/>
      <c r="O26402" s="36" t="s">
        <v>48</v>
      </c>
      <c r="R26402" s="36" t="s">
        <v>48</v>
      </c>
    </row>
    <row r="26403">
      <c r="H26403" s="50"/>
      <c r="I26403" s="50"/>
      <c r="O26403" s="36" t="s">
        <v>48</v>
      </c>
      <c r="R26403" s="36" t="s">
        <v>48</v>
      </c>
    </row>
    <row r="26404">
      <c r="H26404" s="50"/>
      <c r="I26404" s="50"/>
      <c r="O26404" s="36" t="s">
        <v>48</v>
      </c>
      <c r="R26404" s="36" t="s">
        <v>48</v>
      </c>
    </row>
    <row r="26405">
      <c r="H26405" s="50"/>
      <c r="I26405" s="50"/>
      <c r="O26405" s="36" t="s">
        <v>48</v>
      </c>
      <c r="R26405" s="36" t="s">
        <v>48</v>
      </c>
    </row>
    <row r="26406">
      <c r="H26406" s="50"/>
      <c r="I26406" s="50"/>
      <c r="O26406" s="36" t="s">
        <v>48</v>
      </c>
      <c r="R26406" s="36" t="s">
        <v>48</v>
      </c>
    </row>
    <row r="26407">
      <c r="H26407" s="50"/>
      <c r="I26407" s="50"/>
      <c r="O26407" s="36" t="s">
        <v>48</v>
      </c>
      <c r="R26407" s="36" t="s">
        <v>48</v>
      </c>
    </row>
    <row r="26408">
      <c r="H26408" s="50"/>
      <c r="I26408" s="50"/>
      <c r="O26408" s="36" t="s">
        <v>48</v>
      </c>
      <c r="R26408" s="36" t="s">
        <v>48</v>
      </c>
    </row>
    <row r="26409">
      <c r="H26409" s="50"/>
      <c r="I26409" s="50"/>
      <c r="O26409" s="36" t="s">
        <v>48</v>
      </c>
      <c r="R26409" s="36" t="s">
        <v>48</v>
      </c>
    </row>
    <row r="26410">
      <c r="H26410" s="50"/>
      <c r="I26410" s="50"/>
      <c r="O26410" s="36" t="s">
        <v>48</v>
      </c>
      <c r="R26410" s="36" t="s">
        <v>48</v>
      </c>
    </row>
    <row r="26411">
      <c r="H26411" s="50"/>
      <c r="I26411" s="50"/>
      <c r="O26411" s="36" t="s">
        <v>48</v>
      </c>
      <c r="R26411" s="36" t="s">
        <v>48</v>
      </c>
    </row>
    <row r="26412">
      <c r="H26412" s="50"/>
      <c r="I26412" s="50"/>
      <c r="O26412" s="36" t="s">
        <v>48</v>
      </c>
      <c r="R26412" s="36" t="s">
        <v>48</v>
      </c>
    </row>
    <row r="26413">
      <c r="H26413" s="50"/>
      <c r="I26413" s="50"/>
      <c r="O26413" s="36" t="s">
        <v>48</v>
      </c>
      <c r="R26413" s="36" t="s">
        <v>48</v>
      </c>
    </row>
    <row r="26414">
      <c r="H26414" s="50"/>
      <c r="I26414" s="50"/>
      <c r="O26414" s="36" t="s">
        <v>48</v>
      </c>
      <c r="R26414" s="36" t="s">
        <v>48</v>
      </c>
    </row>
    <row r="26415">
      <c r="H26415" s="50"/>
      <c r="I26415" s="50"/>
      <c r="O26415" s="36" t="s">
        <v>48</v>
      </c>
      <c r="R26415" s="36" t="s">
        <v>48</v>
      </c>
    </row>
    <row r="26416">
      <c r="H26416" s="50"/>
      <c r="I26416" s="50"/>
      <c r="O26416" s="36" t="s">
        <v>48</v>
      </c>
      <c r="R26416" s="36" t="s">
        <v>48</v>
      </c>
    </row>
    <row r="26417">
      <c r="H26417" s="50"/>
      <c r="I26417" s="50"/>
      <c r="O26417" s="36" t="s">
        <v>48</v>
      </c>
      <c r="R26417" s="36" t="s">
        <v>48</v>
      </c>
    </row>
    <row r="26418">
      <c r="H26418" s="50"/>
      <c r="I26418" s="50"/>
      <c r="O26418" s="36" t="s">
        <v>48</v>
      </c>
      <c r="R26418" s="36" t="s">
        <v>48</v>
      </c>
    </row>
    <row r="26419">
      <c r="H26419" s="50"/>
      <c r="I26419" s="50"/>
      <c r="O26419" s="36" t="s">
        <v>48</v>
      </c>
      <c r="R26419" s="36" t="s">
        <v>48</v>
      </c>
    </row>
    <row r="26420">
      <c r="H26420" s="50"/>
      <c r="I26420" s="50"/>
      <c r="O26420" s="36" t="s">
        <v>48</v>
      </c>
      <c r="R26420" s="36" t="s">
        <v>48</v>
      </c>
    </row>
    <row r="26421">
      <c r="H26421" s="50"/>
      <c r="I26421" s="50"/>
      <c r="O26421" s="36" t="s">
        <v>48</v>
      </c>
      <c r="R26421" s="36" t="s">
        <v>48</v>
      </c>
    </row>
    <row r="26422">
      <c r="H26422" s="50"/>
      <c r="I26422" s="50"/>
      <c r="O26422" s="36" t="s">
        <v>48</v>
      </c>
      <c r="R26422" s="36" t="s">
        <v>48</v>
      </c>
    </row>
    <row r="26423">
      <c r="H26423" s="50"/>
      <c r="I26423" s="50"/>
      <c r="O26423" s="36" t="s">
        <v>48</v>
      </c>
      <c r="R26423" s="36" t="s">
        <v>48</v>
      </c>
    </row>
    <row r="26424">
      <c r="H26424" s="50"/>
      <c r="I26424" s="50"/>
      <c r="O26424" s="36" t="s">
        <v>48</v>
      </c>
      <c r="R26424" s="36" t="s">
        <v>48</v>
      </c>
    </row>
    <row r="26425">
      <c r="H26425" s="50"/>
      <c r="I26425" s="50"/>
      <c r="O26425" s="36" t="s">
        <v>48</v>
      </c>
      <c r="R26425" s="36" t="s">
        <v>48</v>
      </c>
    </row>
    <row r="26426">
      <c r="H26426" s="50"/>
      <c r="I26426" s="50"/>
      <c r="O26426" s="36" t="s">
        <v>48</v>
      </c>
      <c r="R26426" s="36" t="s">
        <v>48</v>
      </c>
    </row>
    <row r="26427">
      <c r="H26427" s="50"/>
      <c r="I26427" s="50"/>
      <c r="O26427" s="36" t="s">
        <v>48</v>
      </c>
      <c r="R26427" s="36" t="s">
        <v>48</v>
      </c>
    </row>
    <row r="26428">
      <c r="H26428" s="50"/>
      <c r="I26428" s="50"/>
      <c r="O26428" s="36" t="s">
        <v>48</v>
      </c>
      <c r="R26428" s="36" t="s">
        <v>48</v>
      </c>
    </row>
    <row r="26429">
      <c r="H26429" s="50"/>
      <c r="I26429" s="50"/>
      <c r="O26429" s="36" t="s">
        <v>48</v>
      </c>
      <c r="R26429" s="36" t="s">
        <v>48</v>
      </c>
    </row>
    <row r="26430">
      <c r="H26430" s="50"/>
      <c r="I26430" s="50"/>
      <c r="O26430" s="36" t="s">
        <v>48</v>
      </c>
      <c r="R26430" s="36" t="s">
        <v>48</v>
      </c>
    </row>
    <row r="26431">
      <c r="H26431" s="50"/>
      <c r="I26431" s="50"/>
      <c r="O26431" s="36" t="s">
        <v>48</v>
      </c>
      <c r="R26431" s="36" t="s">
        <v>48</v>
      </c>
    </row>
    <row r="26432">
      <c r="H26432" s="50"/>
      <c r="I26432" s="50"/>
      <c r="O26432" s="36" t="s">
        <v>48</v>
      </c>
      <c r="R26432" s="36" t="s">
        <v>48</v>
      </c>
    </row>
    <row r="26433">
      <c r="H26433" s="50"/>
      <c r="I26433" s="50"/>
      <c r="O26433" s="36" t="s">
        <v>48</v>
      </c>
      <c r="R26433" s="36" t="s">
        <v>48</v>
      </c>
    </row>
    <row r="26434">
      <c r="H26434" s="50"/>
      <c r="I26434" s="50"/>
      <c r="O26434" s="36" t="s">
        <v>48</v>
      </c>
      <c r="R26434" s="36" t="s">
        <v>48</v>
      </c>
    </row>
    <row r="26435">
      <c r="H26435" s="50"/>
      <c r="I26435" s="50"/>
      <c r="O26435" s="36" t="s">
        <v>48</v>
      </c>
      <c r="R26435" s="36" t="s">
        <v>48</v>
      </c>
    </row>
    <row r="26436">
      <c r="H26436" s="50"/>
      <c r="I26436" s="50"/>
      <c r="O26436" s="36" t="s">
        <v>48</v>
      </c>
      <c r="R26436" s="36" t="s">
        <v>48</v>
      </c>
    </row>
    <row r="26437">
      <c r="H26437" s="50"/>
      <c r="I26437" s="50"/>
      <c r="O26437" s="36" t="s">
        <v>48</v>
      </c>
      <c r="R26437" s="36" t="s">
        <v>48</v>
      </c>
    </row>
    <row r="26438">
      <c r="H26438" s="50"/>
      <c r="I26438" s="50"/>
      <c r="O26438" s="36" t="s">
        <v>48</v>
      </c>
      <c r="R26438" s="36" t="s">
        <v>48</v>
      </c>
    </row>
    <row r="26439">
      <c r="H26439" s="50"/>
      <c r="I26439" s="50"/>
      <c r="O26439" s="36" t="s">
        <v>48</v>
      </c>
      <c r="R26439" s="36" t="s">
        <v>48</v>
      </c>
    </row>
    <row r="26440">
      <c r="H26440" s="50"/>
      <c r="I26440" s="50"/>
      <c r="O26440" s="36" t="s">
        <v>48</v>
      </c>
      <c r="R26440" s="36" t="s">
        <v>48</v>
      </c>
    </row>
    <row r="26441">
      <c r="H26441" s="50"/>
      <c r="I26441" s="50"/>
      <c r="O26441" s="36" t="s">
        <v>48</v>
      </c>
      <c r="R26441" s="36" t="s">
        <v>48</v>
      </c>
    </row>
    <row r="26442">
      <c r="H26442" s="50"/>
      <c r="I26442" s="50"/>
      <c r="O26442" s="36" t="s">
        <v>48</v>
      </c>
      <c r="R26442" s="36" t="s">
        <v>48</v>
      </c>
    </row>
    <row r="26443">
      <c r="H26443" s="50"/>
      <c r="I26443" s="50"/>
      <c r="O26443" s="36" t="s">
        <v>48</v>
      </c>
      <c r="R26443" s="36" t="s">
        <v>48</v>
      </c>
    </row>
    <row r="26444">
      <c r="H26444" s="50"/>
      <c r="I26444" s="50"/>
      <c r="O26444" s="36" t="s">
        <v>48</v>
      </c>
      <c r="R26444" s="36" t="s">
        <v>48</v>
      </c>
    </row>
    <row r="26445">
      <c r="H26445" s="50"/>
      <c r="I26445" s="50"/>
      <c r="O26445" s="36" t="s">
        <v>48</v>
      </c>
      <c r="R26445" s="36" t="s">
        <v>48</v>
      </c>
    </row>
    <row r="26446">
      <c r="H26446" s="50"/>
      <c r="I26446" s="50"/>
      <c r="O26446" s="36" t="s">
        <v>48</v>
      </c>
      <c r="R26446" s="36" t="s">
        <v>48</v>
      </c>
    </row>
    <row r="26447">
      <c r="H26447" s="50"/>
      <c r="I26447" s="50"/>
      <c r="O26447" s="36" t="s">
        <v>48</v>
      </c>
      <c r="R26447" s="36" t="s">
        <v>48</v>
      </c>
    </row>
    <row r="26448">
      <c r="H26448" s="50"/>
      <c r="I26448" s="50"/>
      <c r="O26448" s="36" t="s">
        <v>48</v>
      </c>
      <c r="R26448" s="36" t="s">
        <v>48</v>
      </c>
    </row>
    <row r="26449">
      <c r="H26449" s="50"/>
      <c r="I26449" s="50"/>
      <c r="O26449" s="36" t="s">
        <v>48</v>
      </c>
      <c r="R26449" s="36" t="s">
        <v>48</v>
      </c>
    </row>
    <row r="26450">
      <c r="H26450" s="50"/>
      <c r="I26450" s="50"/>
      <c r="O26450" s="36" t="s">
        <v>48</v>
      </c>
      <c r="R26450" s="36" t="s">
        <v>48</v>
      </c>
    </row>
    <row r="26451">
      <c r="H26451" s="50"/>
      <c r="I26451" s="50"/>
      <c r="O26451" s="36" t="s">
        <v>48</v>
      </c>
      <c r="R26451" s="36" t="s">
        <v>48</v>
      </c>
    </row>
    <row r="26452">
      <c r="H26452" s="50"/>
      <c r="I26452" s="50"/>
      <c r="O26452" s="36" t="s">
        <v>48</v>
      </c>
      <c r="R26452" s="36" t="s">
        <v>48</v>
      </c>
    </row>
    <row r="26453">
      <c r="H26453" s="50"/>
      <c r="I26453" s="50"/>
      <c r="O26453" s="36" t="s">
        <v>48</v>
      </c>
      <c r="R26453" s="36" t="s">
        <v>48</v>
      </c>
    </row>
    <row r="26454">
      <c r="H26454" s="50"/>
      <c r="I26454" s="50"/>
      <c r="O26454" s="36" t="s">
        <v>48</v>
      </c>
      <c r="R26454" s="36" t="s">
        <v>48</v>
      </c>
    </row>
    <row r="26455">
      <c r="H26455" s="50"/>
      <c r="I26455" s="50"/>
      <c r="O26455" s="36" t="s">
        <v>48</v>
      </c>
      <c r="R26455" s="36" t="s">
        <v>48</v>
      </c>
    </row>
    <row r="26456">
      <c r="H26456" s="50"/>
      <c r="I26456" s="50"/>
      <c r="O26456" s="36" t="s">
        <v>48</v>
      </c>
      <c r="R26456" s="36" t="s">
        <v>48</v>
      </c>
    </row>
    <row r="26457">
      <c r="H26457" s="50"/>
      <c r="I26457" s="50"/>
      <c r="O26457" s="36" t="s">
        <v>48</v>
      </c>
      <c r="R26457" s="36" t="s">
        <v>48</v>
      </c>
    </row>
    <row r="26458">
      <c r="H26458" s="50"/>
      <c r="I26458" s="50"/>
      <c r="O26458" s="36" t="s">
        <v>48</v>
      </c>
      <c r="R26458" s="36" t="s">
        <v>48</v>
      </c>
    </row>
    <row r="26459">
      <c r="H26459" s="50"/>
      <c r="I26459" s="50"/>
      <c r="O26459" s="36" t="s">
        <v>48</v>
      </c>
      <c r="R26459" s="36" t="s">
        <v>48</v>
      </c>
    </row>
    <row r="26460">
      <c r="H26460" s="50"/>
      <c r="I26460" s="50"/>
      <c r="O26460" s="36" t="s">
        <v>48</v>
      </c>
      <c r="R26460" s="36" t="s">
        <v>48</v>
      </c>
    </row>
    <row r="26461">
      <c r="H26461" s="50"/>
      <c r="I26461" s="50"/>
      <c r="O26461" s="36" t="s">
        <v>48</v>
      </c>
      <c r="R26461" s="36" t="s">
        <v>48</v>
      </c>
    </row>
    <row r="26462">
      <c r="H26462" s="50"/>
      <c r="I26462" s="50"/>
      <c r="O26462" s="36" t="s">
        <v>48</v>
      </c>
      <c r="R26462" s="36" t="s">
        <v>48</v>
      </c>
    </row>
    <row r="26463">
      <c r="H26463" s="50"/>
      <c r="I26463" s="50"/>
      <c r="O26463" s="36" t="s">
        <v>48</v>
      </c>
      <c r="R26463" s="36" t="s">
        <v>48</v>
      </c>
    </row>
    <row r="26464">
      <c r="H26464" s="50"/>
      <c r="I26464" s="50"/>
      <c r="O26464" s="36" t="s">
        <v>48</v>
      </c>
      <c r="R26464" s="36" t="s">
        <v>48</v>
      </c>
    </row>
    <row r="26465">
      <c r="H26465" s="50"/>
      <c r="I26465" s="50"/>
      <c r="O26465" s="36" t="s">
        <v>48</v>
      </c>
      <c r="R26465" s="36" t="s">
        <v>48</v>
      </c>
    </row>
    <row r="26466">
      <c r="H26466" s="50"/>
      <c r="I26466" s="50"/>
      <c r="O26466" s="36" t="s">
        <v>48</v>
      </c>
      <c r="R26466" s="36" t="s">
        <v>48</v>
      </c>
    </row>
    <row r="26467">
      <c r="H26467" s="50"/>
      <c r="I26467" s="50"/>
      <c r="O26467" s="36" t="s">
        <v>48</v>
      </c>
      <c r="R26467" s="36" t="s">
        <v>48</v>
      </c>
    </row>
    <row r="26468">
      <c r="H26468" s="50"/>
      <c r="I26468" s="50"/>
      <c r="O26468" s="36" t="s">
        <v>48</v>
      </c>
      <c r="R26468" s="36" t="s">
        <v>48</v>
      </c>
    </row>
    <row r="26469">
      <c r="H26469" s="50"/>
      <c r="I26469" s="50"/>
      <c r="O26469" s="36" t="s">
        <v>48</v>
      </c>
      <c r="R26469" s="36" t="s">
        <v>48</v>
      </c>
    </row>
    <row r="26470">
      <c r="H26470" s="50"/>
      <c r="I26470" s="50"/>
      <c r="O26470" s="36" t="s">
        <v>48</v>
      </c>
      <c r="R26470" s="36" t="s">
        <v>48</v>
      </c>
    </row>
    <row r="26471">
      <c r="H26471" s="50"/>
      <c r="I26471" s="50"/>
      <c r="O26471" s="36" t="s">
        <v>48</v>
      </c>
      <c r="R26471" s="36" t="s">
        <v>48</v>
      </c>
    </row>
    <row r="26472">
      <c r="H26472" s="50"/>
      <c r="I26472" s="50"/>
      <c r="O26472" s="36" t="s">
        <v>48</v>
      </c>
      <c r="R26472" s="36" t="s">
        <v>48</v>
      </c>
    </row>
    <row r="26473">
      <c r="H26473" s="50"/>
      <c r="I26473" s="50"/>
      <c r="O26473" s="36" t="s">
        <v>48</v>
      </c>
      <c r="R26473" s="36" t="s">
        <v>48</v>
      </c>
    </row>
    <row r="26474">
      <c r="H26474" s="50"/>
      <c r="I26474" s="50"/>
      <c r="O26474" s="36" t="s">
        <v>48</v>
      </c>
      <c r="R26474" s="36" t="s">
        <v>48</v>
      </c>
    </row>
    <row r="26475">
      <c r="H26475" s="50"/>
      <c r="I26475" s="50"/>
      <c r="O26475" s="36" t="s">
        <v>48</v>
      </c>
      <c r="R26475" s="36" t="s">
        <v>48</v>
      </c>
    </row>
    <row r="26476">
      <c r="H26476" s="50"/>
      <c r="I26476" s="50"/>
      <c r="O26476" s="36" t="s">
        <v>48</v>
      </c>
      <c r="R26476" s="36" t="s">
        <v>48</v>
      </c>
    </row>
    <row r="26477">
      <c r="H26477" s="50"/>
      <c r="I26477" s="50"/>
      <c r="O26477" s="36" t="s">
        <v>48</v>
      </c>
      <c r="R26477" s="36" t="s">
        <v>48</v>
      </c>
    </row>
    <row r="26478">
      <c r="H26478" s="50"/>
      <c r="I26478" s="50"/>
      <c r="O26478" s="36" t="s">
        <v>48</v>
      </c>
      <c r="R26478" s="36" t="s">
        <v>48</v>
      </c>
    </row>
    <row r="26479">
      <c r="H26479" s="50"/>
      <c r="I26479" s="50"/>
      <c r="O26479" s="36" t="s">
        <v>48</v>
      </c>
      <c r="R26479" s="36" t="s">
        <v>48</v>
      </c>
    </row>
    <row r="26480">
      <c r="H26480" s="50"/>
      <c r="I26480" s="50"/>
      <c r="O26480" s="36" t="s">
        <v>48</v>
      </c>
      <c r="R26480" s="36" t="s">
        <v>48</v>
      </c>
    </row>
    <row r="26481">
      <c r="H26481" s="50"/>
      <c r="I26481" s="50"/>
      <c r="O26481" s="36" t="s">
        <v>48</v>
      </c>
      <c r="R26481" s="36" t="s">
        <v>48</v>
      </c>
    </row>
    <row r="26482">
      <c r="H26482" s="50"/>
      <c r="I26482" s="50"/>
      <c r="O26482" s="36" t="s">
        <v>48</v>
      </c>
      <c r="R26482" s="36" t="s">
        <v>48</v>
      </c>
    </row>
    <row r="26483">
      <c r="H26483" s="50"/>
      <c r="I26483" s="50"/>
      <c r="O26483" s="36" t="s">
        <v>48</v>
      </c>
      <c r="R26483" s="36" t="s">
        <v>48</v>
      </c>
    </row>
    <row r="26484">
      <c r="H26484" s="50"/>
      <c r="I26484" s="50"/>
      <c r="O26484" s="36" t="s">
        <v>48</v>
      </c>
      <c r="R26484" s="36" t="s">
        <v>48</v>
      </c>
    </row>
    <row r="26485">
      <c r="H26485" s="50"/>
      <c r="I26485" s="50"/>
      <c r="O26485" s="36" t="s">
        <v>48</v>
      </c>
      <c r="R26485" s="36" t="s">
        <v>48</v>
      </c>
    </row>
    <row r="26486">
      <c r="H26486" s="50"/>
      <c r="I26486" s="50"/>
      <c r="O26486" s="36" t="s">
        <v>48</v>
      </c>
      <c r="R26486" s="36" t="s">
        <v>48</v>
      </c>
    </row>
    <row r="26487">
      <c r="H26487" s="50"/>
      <c r="I26487" s="50"/>
      <c r="O26487" s="36" t="s">
        <v>48</v>
      </c>
      <c r="R26487" s="36" t="s">
        <v>48</v>
      </c>
    </row>
    <row r="26488">
      <c r="H26488" s="50"/>
      <c r="I26488" s="50"/>
      <c r="O26488" s="36" t="s">
        <v>48</v>
      </c>
      <c r="R26488" s="36" t="s">
        <v>48</v>
      </c>
    </row>
    <row r="26489">
      <c r="H26489" s="50"/>
      <c r="I26489" s="50"/>
      <c r="O26489" s="36" t="s">
        <v>48</v>
      </c>
      <c r="R26489" s="36" t="s">
        <v>48</v>
      </c>
    </row>
    <row r="26490">
      <c r="H26490" s="50"/>
      <c r="I26490" s="50"/>
      <c r="O26490" s="36" t="s">
        <v>48</v>
      </c>
      <c r="R26490" s="36" t="s">
        <v>48</v>
      </c>
    </row>
    <row r="26491">
      <c r="H26491" s="50"/>
      <c r="I26491" s="50"/>
      <c r="O26491" s="36" t="s">
        <v>48</v>
      </c>
      <c r="R26491" s="36" t="s">
        <v>48</v>
      </c>
    </row>
    <row r="26492">
      <c r="H26492" s="50"/>
      <c r="I26492" s="50"/>
      <c r="O26492" s="36" t="s">
        <v>48</v>
      </c>
      <c r="R26492" s="36" t="s">
        <v>48</v>
      </c>
    </row>
    <row r="26493">
      <c r="H26493" s="50"/>
      <c r="I26493" s="50"/>
      <c r="O26493" s="36" t="s">
        <v>48</v>
      </c>
      <c r="R26493" s="36" t="s">
        <v>48</v>
      </c>
    </row>
    <row r="26494">
      <c r="H26494" s="50"/>
      <c r="I26494" s="50"/>
      <c r="O26494" s="36" t="s">
        <v>48</v>
      </c>
      <c r="R26494" s="36" t="s">
        <v>48</v>
      </c>
    </row>
    <row r="26495">
      <c r="H26495" s="50"/>
      <c r="I26495" s="50"/>
      <c r="O26495" s="36" t="s">
        <v>48</v>
      </c>
      <c r="R26495" s="36" t="s">
        <v>48</v>
      </c>
    </row>
    <row r="26496">
      <c r="H26496" s="50"/>
      <c r="I26496" s="50"/>
      <c r="O26496" s="36" t="s">
        <v>48</v>
      </c>
      <c r="R26496" s="36" t="s">
        <v>48</v>
      </c>
    </row>
    <row r="26497">
      <c r="H26497" s="50"/>
      <c r="I26497" s="50"/>
      <c r="O26497" s="36" t="s">
        <v>48</v>
      </c>
      <c r="R26497" s="36" t="s">
        <v>48</v>
      </c>
    </row>
    <row r="26498">
      <c r="H26498" s="50"/>
      <c r="I26498" s="50"/>
      <c r="O26498" s="36" t="s">
        <v>48</v>
      </c>
      <c r="R26498" s="36" t="s">
        <v>48</v>
      </c>
    </row>
    <row r="26499">
      <c r="H26499" s="50"/>
      <c r="I26499" s="50"/>
      <c r="O26499" s="36" t="s">
        <v>48</v>
      </c>
      <c r="R26499" s="36" t="s">
        <v>48</v>
      </c>
    </row>
    <row r="26500">
      <c r="H26500" s="50"/>
      <c r="I26500" s="50"/>
      <c r="O26500" s="36" t="s">
        <v>48</v>
      </c>
      <c r="R26500" s="36" t="s">
        <v>48</v>
      </c>
    </row>
    <row r="26501">
      <c r="H26501" s="50"/>
      <c r="I26501" s="50"/>
      <c r="O26501" s="36" t="s">
        <v>48</v>
      </c>
      <c r="R26501" s="36" t="s">
        <v>48</v>
      </c>
    </row>
    <row r="26502">
      <c r="H26502" s="50"/>
      <c r="I26502" s="50"/>
      <c r="O26502" s="36" t="s">
        <v>48</v>
      </c>
      <c r="R26502" s="36" t="s">
        <v>48</v>
      </c>
    </row>
    <row r="26503">
      <c r="H26503" s="50"/>
      <c r="I26503" s="50"/>
      <c r="O26503" s="36" t="s">
        <v>48</v>
      </c>
      <c r="R26503" s="36" t="s">
        <v>48</v>
      </c>
    </row>
    <row r="26504">
      <c r="H26504" s="50"/>
      <c r="I26504" s="50"/>
      <c r="O26504" s="36" t="s">
        <v>48</v>
      </c>
      <c r="R26504" s="36" t="s">
        <v>48</v>
      </c>
    </row>
    <row r="26505">
      <c r="H26505" s="50"/>
      <c r="I26505" s="50"/>
      <c r="O26505" s="36" t="s">
        <v>48</v>
      </c>
      <c r="R26505" s="36" t="s">
        <v>48</v>
      </c>
    </row>
    <row r="26506">
      <c r="H26506" s="50"/>
      <c r="I26506" s="50"/>
      <c r="O26506" s="36" t="s">
        <v>48</v>
      </c>
      <c r="R26506" s="36" t="s">
        <v>48</v>
      </c>
    </row>
    <row r="26507">
      <c r="H26507" s="50"/>
      <c r="I26507" s="50"/>
      <c r="O26507" s="36" t="s">
        <v>48</v>
      </c>
      <c r="R26507" s="36" t="s">
        <v>48</v>
      </c>
    </row>
    <row r="26508">
      <c r="H26508" s="50"/>
      <c r="I26508" s="50"/>
      <c r="O26508" s="36" t="s">
        <v>48</v>
      </c>
      <c r="R26508" s="36" t="s">
        <v>48</v>
      </c>
    </row>
    <row r="26509">
      <c r="H26509" s="50"/>
      <c r="I26509" s="50"/>
      <c r="O26509" s="36" t="s">
        <v>48</v>
      </c>
      <c r="R26509" s="36" t="s">
        <v>48</v>
      </c>
    </row>
    <row r="26510">
      <c r="H26510" s="50"/>
      <c r="I26510" s="50"/>
      <c r="O26510" s="36" t="s">
        <v>48</v>
      </c>
      <c r="R26510" s="36" t="s">
        <v>48</v>
      </c>
    </row>
    <row r="26511">
      <c r="H26511" s="50"/>
      <c r="I26511" s="50"/>
      <c r="O26511" s="36" t="s">
        <v>48</v>
      </c>
      <c r="R26511" s="36" t="s">
        <v>48</v>
      </c>
    </row>
    <row r="26512">
      <c r="H26512" s="50"/>
      <c r="I26512" s="50"/>
      <c r="O26512" s="36" t="s">
        <v>48</v>
      </c>
      <c r="R26512" s="36" t="s">
        <v>48</v>
      </c>
    </row>
    <row r="26513">
      <c r="H26513" s="50"/>
      <c r="I26513" s="50"/>
      <c r="O26513" s="36" t="s">
        <v>48</v>
      </c>
      <c r="R26513" s="36" t="s">
        <v>48</v>
      </c>
    </row>
    <row r="26514">
      <c r="H26514" s="50"/>
      <c r="I26514" s="50"/>
      <c r="O26514" s="36" t="s">
        <v>48</v>
      </c>
      <c r="R26514" s="36" t="s">
        <v>48</v>
      </c>
    </row>
    <row r="26515">
      <c r="H26515" s="50"/>
      <c r="I26515" s="50"/>
      <c r="O26515" s="36" t="s">
        <v>48</v>
      </c>
      <c r="R26515" s="36" t="s">
        <v>48</v>
      </c>
    </row>
    <row r="26516">
      <c r="H26516" s="50"/>
      <c r="I26516" s="50"/>
      <c r="O26516" s="36" t="s">
        <v>48</v>
      </c>
      <c r="R26516" s="36" t="s">
        <v>48</v>
      </c>
    </row>
    <row r="26517">
      <c r="H26517" s="50"/>
      <c r="I26517" s="50"/>
      <c r="O26517" s="36" t="s">
        <v>48</v>
      </c>
      <c r="R26517" s="36" t="s">
        <v>48</v>
      </c>
    </row>
    <row r="26518">
      <c r="H26518" s="50"/>
      <c r="I26518" s="50"/>
      <c r="O26518" s="36" t="s">
        <v>48</v>
      </c>
      <c r="R26518" s="36" t="s">
        <v>48</v>
      </c>
    </row>
    <row r="26519">
      <c r="H26519" s="50"/>
      <c r="I26519" s="50"/>
      <c r="O26519" s="36" t="s">
        <v>48</v>
      </c>
      <c r="R26519" s="36" t="s">
        <v>48</v>
      </c>
    </row>
    <row r="26520">
      <c r="H26520" s="50"/>
      <c r="I26520" s="50"/>
      <c r="O26520" s="36" t="s">
        <v>48</v>
      </c>
      <c r="R26520" s="36" t="s">
        <v>48</v>
      </c>
    </row>
    <row r="26521">
      <c r="H26521" s="50"/>
      <c r="I26521" s="50"/>
      <c r="O26521" s="36" t="s">
        <v>48</v>
      </c>
      <c r="R26521" s="36" t="s">
        <v>48</v>
      </c>
    </row>
    <row r="26522">
      <c r="H26522" s="50"/>
      <c r="I26522" s="50"/>
      <c r="O26522" s="36" t="s">
        <v>48</v>
      </c>
      <c r="R26522" s="36" t="s">
        <v>48</v>
      </c>
    </row>
    <row r="26523">
      <c r="H26523" s="50"/>
      <c r="I26523" s="50"/>
      <c r="O26523" s="36" t="s">
        <v>48</v>
      </c>
      <c r="R26523" s="36" t="s">
        <v>48</v>
      </c>
    </row>
    <row r="26524">
      <c r="H26524" s="50"/>
      <c r="I26524" s="50"/>
      <c r="O26524" s="36" t="s">
        <v>48</v>
      </c>
      <c r="R26524" s="36" t="s">
        <v>48</v>
      </c>
    </row>
    <row r="26525">
      <c r="H26525" s="50"/>
      <c r="I26525" s="50"/>
      <c r="O26525" s="36" t="s">
        <v>48</v>
      </c>
      <c r="R26525" s="36" t="s">
        <v>48</v>
      </c>
    </row>
    <row r="26526">
      <c r="H26526" s="50"/>
      <c r="I26526" s="50"/>
      <c r="O26526" s="36" t="s">
        <v>48</v>
      </c>
      <c r="R26526" s="36" t="s">
        <v>48</v>
      </c>
    </row>
    <row r="26527">
      <c r="H26527" s="50"/>
      <c r="I26527" s="50"/>
      <c r="O26527" s="36" t="s">
        <v>48</v>
      </c>
      <c r="R26527" s="36" t="s">
        <v>48</v>
      </c>
    </row>
    <row r="26528">
      <c r="H26528" s="50"/>
      <c r="I26528" s="50"/>
      <c r="O26528" s="36" t="s">
        <v>48</v>
      </c>
      <c r="R26528" s="36" t="s">
        <v>48</v>
      </c>
    </row>
    <row r="26529">
      <c r="H26529" s="50"/>
      <c r="I26529" s="50"/>
      <c r="O26529" s="36" t="s">
        <v>48</v>
      </c>
      <c r="R26529" s="36" t="s">
        <v>48</v>
      </c>
    </row>
    <row r="26530">
      <c r="H26530" s="50"/>
      <c r="I26530" s="50"/>
      <c r="O26530" s="36" t="s">
        <v>48</v>
      </c>
      <c r="R26530" s="36" t="s">
        <v>48</v>
      </c>
    </row>
    <row r="26531">
      <c r="H26531" s="50"/>
      <c r="I26531" s="50"/>
      <c r="O26531" s="36" t="s">
        <v>48</v>
      </c>
      <c r="R26531" s="36" t="s">
        <v>48</v>
      </c>
    </row>
    <row r="26532">
      <c r="H26532" s="50"/>
      <c r="I26532" s="50"/>
      <c r="O26532" s="36" t="s">
        <v>48</v>
      </c>
      <c r="R26532" s="36" t="s">
        <v>48</v>
      </c>
    </row>
    <row r="26533">
      <c r="H26533" s="50"/>
      <c r="I26533" s="50"/>
      <c r="O26533" s="36" t="s">
        <v>48</v>
      </c>
      <c r="R26533" s="36" t="s">
        <v>48</v>
      </c>
    </row>
    <row r="26534">
      <c r="H26534" s="50"/>
      <c r="I26534" s="50"/>
      <c r="O26534" s="36" t="s">
        <v>48</v>
      </c>
      <c r="R26534" s="36" t="s">
        <v>48</v>
      </c>
    </row>
    <row r="26535">
      <c r="H26535" s="50"/>
      <c r="I26535" s="50"/>
      <c r="O26535" s="36" t="s">
        <v>48</v>
      </c>
      <c r="R26535" s="36" t="s">
        <v>48</v>
      </c>
    </row>
    <row r="26536">
      <c r="H26536" s="50"/>
      <c r="I26536" s="50"/>
      <c r="O26536" s="36" t="s">
        <v>48</v>
      </c>
      <c r="R26536" s="36" t="s">
        <v>48</v>
      </c>
    </row>
    <row r="26537">
      <c r="H26537" s="50"/>
      <c r="I26537" s="50"/>
      <c r="O26537" s="36" t="s">
        <v>48</v>
      </c>
      <c r="R26537" s="36" t="s">
        <v>48</v>
      </c>
    </row>
    <row r="26538">
      <c r="H26538" s="50"/>
      <c r="I26538" s="50"/>
      <c r="O26538" s="36" t="s">
        <v>48</v>
      </c>
      <c r="R26538" s="36" t="s">
        <v>48</v>
      </c>
    </row>
    <row r="26539">
      <c r="H26539" s="50"/>
      <c r="I26539" s="50"/>
      <c r="O26539" s="36" t="s">
        <v>48</v>
      </c>
      <c r="R26539" s="36" t="s">
        <v>48</v>
      </c>
    </row>
    <row r="26540">
      <c r="H26540" s="50"/>
      <c r="I26540" s="50"/>
      <c r="O26540" s="36" t="s">
        <v>48</v>
      </c>
      <c r="R26540" s="36" t="s">
        <v>48</v>
      </c>
    </row>
    <row r="26541">
      <c r="H26541" s="50"/>
      <c r="I26541" s="50"/>
      <c r="O26541" s="36" t="s">
        <v>48</v>
      </c>
      <c r="R26541" s="36" t="s">
        <v>48</v>
      </c>
    </row>
    <row r="26542">
      <c r="H26542" s="50"/>
      <c r="I26542" s="50"/>
      <c r="O26542" s="36" t="s">
        <v>48</v>
      </c>
      <c r="R26542" s="36" t="s">
        <v>48</v>
      </c>
    </row>
    <row r="26543">
      <c r="H26543" s="50"/>
      <c r="I26543" s="50"/>
      <c r="O26543" s="36" t="s">
        <v>48</v>
      </c>
      <c r="R26543" s="36" t="s">
        <v>48</v>
      </c>
    </row>
    <row r="26544">
      <c r="H26544" s="50"/>
      <c r="I26544" s="50"/>
      <c r="O26544" s="36" t="s">
        <v>48</v>
      </c>
      <c r="R26544" s="36" t="s">
        <v>48</v>
      </c>
    </row>
    <row r="26545">
      <c r="H26545" s="50"/>
      <c r="I26545" s="50"/>
      <c r="O26545" s="36" t="s">
        <v>48</v>
      </c>
      <c r="R26545" s="36" t="s">
        <v>48</v>
      </c>
    </row>
    <row r="26546">
      <c r="H26546" s="50"/>
      <c r="I26546" s="50"/>
      <c r="O26546" s="36" t="s">
        <v>48</v>
      </c>
      <c r="R26546" s="36" t="s">
        <v>48</v>
      </c>
    </row>
    <row r="26547">
      <c r="H26547" s="50"/>
      <c r="I26547" s="50"/>
      <c r="O26547" s="36" t="s">
        <v>48</v>
      </c>
      <c r="R26547" s="36" t="s">
        <v>48</v>
      </c>
    </row>
    <row r="26548">
      <c r="H26548" s="50"/>
      <c r="I26548" s="50"/>
      <c r="O26548" s="36" t="s">
        <v>48</v>
      </c>
      <c r="R26548" s="36" t="s">
        <v>48</v>
      </c>
    </row>
    <row r="26549">
      <c r="H26549" s="50"/>
      <c r="I26549" s="50"/>
      <c r="O26549" s="36" t="s">
        <v>48</v>
      </c>
      <c r="R26549" s="36" t="s">
        <v>48</v>
      </c>
    </row>
    <row r="26550">
      <c r="H26550" s="50"/>
      <c r="I26550" s="50"/>
      <c r="O26550" s="36" t="s">
        <v>48</v>
      </c>
      <c r="R26550" s="36" t="s">
        <v>48</v>
      </c>
    </row>
    <row r="26551">
      <c r="H26551" s="50"/>
      <c r="I26551" s="50"/>
      <c r="O26551" s="36" t="s">
        <v>48</v>
      </c>
      <c r="R26551" s="36" t="s">
        <v>48</v>
      </c>
    </row>
    <row r="26552">
      <c r="H26552" s="50"/>
      <c r="I26552" s="50"/>
      <c r="O26552" s="36" t="s">
        <v>48</v>
      </c>
      <c r="R26552" s="36" t="s">
        <v>48</v>
      </c>
    </row>
    <row r="26553">
      <c r="H26553" s="50"/>
      <c r="I26553" s="50"/>
      <c r="O26553" s="36" t="s">
        <v>48</v>
      </c>
      <c r="R26553" s="36" t="s">
        <v>48</v>
      </c>
    </row>
    <row r="26554">
      <c r="H26554" s="50"/>
      <c r="I26554" s="50"/>
      <c r="O26554" s="36" t="s">
        <v>48</v>
      </c>
      <c r="R26554" s="36" t="s">
        <v>48</v>
      </c>
    </row>
    <row r="26555">
      <c r="H26555" s="50"/>
      <c r="I26555" s="50"/>
      <c r="O26555" s="36" t="s">
        <v>48</v>
      </c>
      <c r="R26555" s="36" t="s">
        <v>48</v>
      </c>
    </row>
    <row r="26556">
      <c r="H26556" s="50"/>
      <c r="I26556" s="50"/>
      <c r="O26556" s="36" t="s">
        <v>48</v>
      </c>
      <c r="R26556" s="36" t="s">
        <v>48</v>
      </c>
    </row>
    <row r="26557">
      <c r="H26557" s="50"/>
      <c r="I26557" s="50"/>
      <c r="O26557" s="36" t="s">
        <v>48</v>
      </c>
      <c r="R26557" s="36" t="s">
        <v>48</v>
      </c>
    </row>
    <row r="26558">
      <c r="H26558" s="50"/>
      <c r="I26558" s="50"/>
      <c r="O26558" s="36" t="s">
        <v>48</v>
      </c>
      <c r="R26558" s="36" t="s">
        <v>48</v>
      </c>
    </row>
    <row r="26559">
      <c r="H26559" s="50"/>
      <c r="I26559" s="50"/>
      <c r="O26559" s="36" t="s">
        <v>48</v>
      </c>
      <c r="R26559" s="36" t="s">
        <v>48</v>
      </c>
    </row>
    <row r="26560">
      <c r="H26560" s="50"/>
      <c r="I26560" s="50"/>
      <c r="O26560" s="36" t="s">
        <v>48</v>
      </c>
      <c r="R26560" s="36" t="s">
        <v>48</v>
      </c>
    </row>
    <row r="26561">
      <c r="H26561" s="50"/>
      <c r="I26561" s="50"/>
      <c r="O26561" s="36" t="s">
        <v>48</v>
      </c>
      <c r="R26561" s="36" t="s">
        <v>48</v>
      </c>
    </row>
    <row r="26562">
      <c r="H26562" s="50"/>
      <c r="I26562" s="50"/>
      <c r="O26562" s="36" t="s">
        <v>48</v>
      </c>
      <c r="R26562" s="36" t="s">
        <v>48</v>
      </c>
    </row>
    <row r="26563">
      <c r="H26563" s="50"/>
      <c r="I26563" s="50"/>
      <c r="O26563" s="36" t="s">
        <v>48</v>
      </c>
      <c r="R26563" s="36" t="s">
        <v>48</v>
      </c>
    </row>
    <row r="26564">
      <c r="H26564" s="50"/>
      <c r="I26564" s="50"/>
      <c r="O26564" s="36" t="s">
        <v>48</v>
      </c>
      <c r="R26564" s="36" t="s">
        <v>48</v>
      </c>
    </row>
    <row r="26565">
      <c r="H26565" s="50"/>
      <c r="I26565" s="50"/>
      <c r="O26565" s="36" t="s">
        <v>48</v>
      </c>
      <c r="R26565" s="36" t="s">
        <v>48</v>
      </c>
    </row>
    <row r="26566">
      <c r="H26566" s="50"/>
      <c r="I26566" s="50"/>
      <c r="O26566" s="36" t="s">
        <v>48</v>
      </c>
      <c r="R26566" s="36" t="s">
        <v>48</v>
      </c>
    </row>
    <row r="26567">
      <c r="H26567" s="50"/>
      <c r="I26567" s="50"/>
      <c r="O26567" s="36" t="s">
        <v>48</v>
      </c>
      <c r="R26567" s="36" t="s">
        <v>48</v>
      </c>
    </row>
    <row r="26568">
      <c r="H26568" s="50"/>
      <c r="I26568" s="50"/>
      <c r="O26568" s="36" t="s">
        <v>48</v>
      </c>
      <c r="R26568" s="36" t="s">
        <v>48</v>
      </c>
    </row>
    <row r="26569">
      <c r="H26569" s="50"/>
      <c r="I26569" s="50"/>
      <c r="O26569" s="36" t="s">
        <v>48</v>
      </c>
      <c r="R26569" s="36" t="s">
        <v>48</v>
      </c>
    </row>
    <row r="26570">
      <c r="H26570" s="50"/>
      <c r="I26570" s="50"/>
      <c r="O26570" s="36" t="s">
        <v>48</v>
      </c>
      <c r="R26570" s="36" t="s">
        <v>48</v>
      </c>
    </row>
    <row r="26571">
      <c r="H26571" s="50"/>
      <c r="I26571" s="50"/>
      <c r="O26571" s="36" t="s">
        <v>48</v>
      </c>
      <c r="R26571" s="36" t="s">
        <v>48</v>
      </c>
    </row>
    <row r="26572">
      <c r="H26572" s="50"/>
      <c r="I26572" s="50"/>
      <c r="O26572" s="36" t="s">
        <v>48</v>
      </c>
      <c r="R26572" s="36" t="s">
        <v>48</v>
      </c>
    </row>
    <row r="26573">
      <c r="H26573" s="50"/>
      <c r="I26573" s="50"/>
      <c r="O26573" s="36" t="s">
        <v>48</v>
      </c>
      <c r="R26573" s="36" t="s">
        <v>48</v>
      </c>
    </row>
    <row r="26574">
      <c r="H26574" s="50"/>
      <c r="I26574" s="50"/>
      <c r="O26574" s="36" t="s">
        <v>48</v>
      </c>
      <c r="R26574" s="36" t="s">
        <v>48</v>
      </c>
    </row>
    <row r="26575">
      <c r="H26575" s="50"/>
      <c r="I26575" s="50"/>
      <c r="O26575" s="36" t="s">
        <v>48</v>
      </c>
      <c r="R26575" s="36" t="s">
        <v>48</v>
      </c>
    </row>
    <row r="26576">
      <c r="H26576" s="50"/>
      <c r="I26576" s="50"/>
      <c r="O26576" s="36" t="s">
        <v>48</v>
      </c>
      <c r="R26576" s="36" t="s">
        <v>48</v>
      </c>
    </row>
    <row r="26577">
      <c r="H26577" s="50"/>
      <c r="I26577" s="50"/>
      <c r="O26577" s="36" t="s">
        <v>48</v>
      </c>
      <c r="R26577" s="36" t="s">
        <v>48</v>
      </c>
    </row>
    <row r="26578">
      <c r="H26578" s="50"/>
      <c r="I26578" s="50"/>
      <c r="O26578" s="36" t="s">
        <v>48</v>
      </c>
      <c r="R26578" s="36" t="s">
        <v>48</v>
      </c>
    </row>
    <row r="26579">
      <c r="H26579" s="50"/>
      <c r="I26579" s="50"/>
      <c r="O26579" s="36" t="s">
        <v>48</v>
      </c>
      <c r="R26579" s="36" t="s">
        <v>48</v>
      </c>
    </row>
    <row r="26580">
      <c r="H26580" s="50"/>
      <c r="I26580" s="50"/>
      <c r="O26580" s="36" t="s">
        <v>48</v>
      </c>
      <c r="R26580" s="36" t="s">
        <v>48</v>
      </c>
    </row>
    <row r="26581">
      <c r="H26581" s="50"/>
      <c r="I26581" s="50"/>
      <c r="O26581" s="36" t="s">
        <v>48</v>
      </c>
      <c r="R26581" s="36" t="s">
        <v>48</v>
      </c>
    </row>
    <row r="26582">
      <c r="H26582" s="50"/>
      <c r="I26582" s="50"/>
      <c r="O26582" s="36" t="s">
        <v>48</v>
      </c>
      <c r="R26582" s="36" t="s">
        <v>48</v>
      </c>
    </row>
    <row r="26583">
      <c r="H26583" s="50"/>
      <c r="I26583" s="50"/>
      <c r="O26583" s="36" t="s">
        <v>48</v>
      </c>
      <c r="R26583" s="36" t="s">
        <v>48</v>
      </c>
    </row>
    <row r="26584">
      <c r="H26584" s="50"/>
      <c r="I26584" s="50"/>
      <c r="O26584" s="36" t="s">
        <v>48</v>
      </c>
      <c r="R26584" s="36" t="s">
        <v>48</v>
      </c>
    </row>
    <row r="26585">
      <c r="H26585" s="50"/>
      <c r="I26585" s="50"/>
      <c r="O26585" s="36" t="s">
        <v>48</v>
      </c>
      <c r="R26585" s="36" t="s">
        <v>48</v>
      </c>
    </row>
    <row r="26586">
      <c r="H26586" s="50"/>
      <c r="I26586" s="50"/>
      <c r="O26586" s="36" t="s">
        <v>48</v>
      </c>
      <c r="R26586" s="36" t="s">
        <v>48</v>
      </c>
    </row>
    <row r="26587">
      <c r="H26587" s="50"/>
      <c r="I26587" s="50"/>
      <c r="O26587" s="36" t="s">
        <v>48</v>
      </c>
      <c r="R26587" s="36" t="s">
        <v>48</v>
      </c>
    </row>
    <row r="26588">
      <c r="H26588" s="50"/>
      <c r="I26588" s="50"/>
      <c r="O26588" s="36" t="s">
        <v>48</v>
      </c>
      <c r="R26588" s="36" t="s">
        <v>48</v>
      </c>
    </row>
    <row r="26589">
      <c r="H26589" s="50"/>
      <c r="I26589" s="50"/>
      <c r="O26589" s="36" t="s">
        <v>48</v>
      </c>
      <c r="R26589" s="36" t="s">
        <v>48</v>
      </c>
    </row>
    <row r="26590">
      <c r="H26590" s="50"/>
      <c r="I26590" s="50"/>
      <c r="O26590" s="36" t="s">
        <v>48</v>
      </c>
      <c r="R26590" s="36" t="s">
        <v>48</v>
      </c>
    </row>
    <row r="26591">
      <c r="H26591" s="50"/>
      <c r="I26591" s="50"/>
      <c r="O26591" s="36" t="s">
        <v>48</v>
      </c>
      <c r="R26591" s="36" t="s">
        <v>48</v>
      </c>
    </row>
    <row r="26592">
      <c r="H26592" s="50"/>
      <c r="I26592" s="50"/>
      <c r="O26592" s="36" t="s">
        <v>48</v>
      </c>
      <c r="R26592" s="36" t="s">
        <v>48</v>
      </c>
    </row>
    <row r="26593">
      <c r="H26593" s="50"/>
      <c r="I26593" s="50"/>
      <c r="O26593" s="36" t="s">
        <v>48</v>
      </c>
      <c r="R26593" s="36" t="s">
        <v>48</v>
      </c>
    </row>
    <row r="26594">
      <c r="H26594" s="50"/>
      <c r="I26594" s="50"/>
      <c r="O26594" s="36" t="s">
        <v>48</v>
      </c>
      <c r="R26594" s="36" t="s">
        <v>48</v>
      </c>
    </row>
    <row r="26595">
      <c r="H26595" s="50"/>
      <c r="I26595" s="50"/>
      <c r="O26595" s="36" t="s">
        <v>48</v>
      </c>
      <c r="R26595" s="36" t="s">
        <v>48</v>
      </c>
    </row>
    <row r="26596">
      <c r="H26596" s="50"/>
      <c r="I26596" s="50"/>
      <c r="O26596" s="36" t="s">
        <v>48</v>
      </c>
      <c r="R26596" s="36" t="s">
        <v>48</v>
      </c>
    </row>
    <row r="26597">
      <c r="H26597" s="50"/>
      <c r="I26597" s="50"/>
      <c r="O26597" s="36" t="s">
        <v>48</v>
      </c>
      <c r="R26597" s="36" t="s">
        <v>48</v>
      </c>
    </row>
    <row r="26598">
      <c r="H26598" s="50"/>
      <c r="I26598" s="50"/>
      <c r="O26598" s="36" t="s">
        <v>48</v>
      </c>
      <c r="R26598" s="36" t="s">
        <v>48</v>
      </c>
    </row>
    <row r="26599">
      <c r="H26599" s="50"/>
      <c r="I26599" s="50"/>
      <c r="O26599" s="36" t="s">
        <v>48</v>
      </c>
      <c r="R26599" s="36" t="s">
        <v>48</v>
      </c>
    </row>
    <row r="26600">
      <c r="H26600" s="50"/>
      <c r="I26600" s="50"/>
      <c r="O26600" s="36" t="s">
        <v>48</v>
      </c>
      <c r="R26600" s="36" t="s">
        <v>48</v>
      </c>
    </row>
    <row r="26601">
      <c r="H26601" s="50"/>
      <c r="I26601" s="50"/>
      <c r="O26601" s="36" t="s">
        <v>48</v>
      </c>
      <c r="R26601" s="36" t="s">
        <v>48</v>
      </c>
    </row>
    <row r="26602">
      <c r="H26602" s="50"/>
      <c r="I26602" s="50"/>
      <c r="O26602" s="36" t="s">
        <v>48</v>
      </c>
      <c r="R26602" s="36" t="s">
        <v>48</v>
      </c>
    </row>
    <row r="26603">
      <c r="H26603" s="50"/>
      <c r="I26603" s="50"/>
      <c r="O26603" s="36" t="s">
        <v>48</v>
      </c>
      <c r="R26603" s="36" t="s">
        <v>48</v>
      </c>
    </row>
    <row r="26604">
      <c r="H26604" s="50"/>
      <c r="I26604" s="50"/>
      <c r="O26604" s="36" t="s">
        <v>48</v>
      </c>
      <c r="R26604" s="36" t="s">
        <v>48</v>
      </c>
    </row>
    <row r="26605">
      <c r="H26605" s="50"/>
      <c r="I26605" s="50"/>
      <c r="O26605" s="36" t="s">
        <v>48</v>
      </c>
      <c r="R26605" s="36" t="s">
        <v>48</v>
      </c>
    </row>
    <row r="26606">
      <c r="H26606" s="50"/>
      <c r="I26606" s="50"/>
      <c r="O26606" s="36" t="s">
        <v>48</v>
      </c>
      <c r="R26606" s="36" t="s">
        <v>48</v>
      </c>
    </row>
    <row r="26607">
      <c r="H26607" s="50"/>
      <c r="I26607" s="50"/>
      <c r="O26607" s="36" t="s">
        <v>48</v>
      </c>
      <c r="R26607" s="36" t="s">
        <v>48</v>
      </c>
    </row>
    <row r="26608">
      <c r="H26608" s="50"/>
      <c r="I26608" s="50"/>
      <c r="O26608" s="36" t="s">
        <v>48</v>
      </c>
      <c r="R26608" s="36" t="s">
        <v>48</v>
      </c>
    </row>
    <row r="26609">
      <c r="H26609" s="50"/>
      <c r="I26609" s="50"/>
      <c r="O26609" s="36" t="s">
        <v>48</v>
      </c>
      <c r="R26609" s="36" t="s">
        <v>48</v>
      </c>
    </row>
    <row r="26610">
      <c r="H26610" s="50"/>
      <c r="I26610" s="50"/>
      <c r="O26610" s="36" t="s">
        <v>48</v>
      </c>
      <c r="R26610" s="36" t="s">
        <v>48</v>
      </c>
    </row>
    <row r="26611">
      <c r="H26611" s="50"/>
      <c r="I26611" s="50"/>
      <c r="O26611" s="36" t="s">
        <v>48</v>
      </c>
      <c r="R26611" s="36" t="s">
        <v>48</v>
      </c>
    </row>
    <row r="26612">
      <c r="H26612" s="50"/>
      <c r="I26612" s="50"/>
      <c r="O26612" s="36" t="s">
        <v>48</v>
      </c>
      <c r="R26612" s="36" t="s">
        <v>48</v>
      </c>
    </row>
    <row r="26613">
      <c r="H26613" s="50"/>
      <c r="I26613" s="50"/>
      <c r="O26613" s="36" t="s">
        <v>48</v>
      </c>
      <c r="R26613" s="36" t="s">
        <v>48</v>
      </c>
    </row>
    <row r="26614">
      <c r="H26614" s="50"/>
      <c r="I26614" s="50"/>
      <c r="O26614" s="36" t="s">
        <v>48</v>
      </c>
      <c r="R26614" s="36" t="s">
        <v>48</v>
      </c>
    </row>
    <row r="26615">
      <c r="H26615" s="50"/>
      <c r="I26615" s="50"/>
      <c r="O26615" s="36" t="s">
        <v>48</v>
      </c>
      <c r="R26615" s="36" t="s">
        <v>48</v>
      </c>
    </row>
    <row r="26616">
      <c r="H26616" s="50"/>
      <c r="I26616" s="50"/>
      <c r="O26616" s="36" t="s">
        <v>48</v>
      </c>
      <c r="R26616" s="36" t="s">
        <v>48</v>
      </c>
    </row>
    <row r="26617">
      <c r="H26617" s="50"/>
      <c r="I26617" s="50"/>
      <c r="O26617" s="36" t="s">
        <v>48</v>
      </c>
      <c r="R26617" s="36" t="s">
        <v>48</v>
      </c>
    </row>
    <row r="26618">
      <c r="H26618" s="50"/>
      <c r="I26618" s="50"/>
      <c r="O26618" s="36" t="s">
        <v>48</v>
      </c>
      <c r="R26618" s="36" t="s">
        <v>48</v>
      </c>
    </row>
    <row r="26619">
      <c r="H26619" s="50"/>
      <c r="I26619" s="50"/>
      <c r="O26619" s="36" t="s">
        <v>48</v>
      </c>
      <c r="R26619" s="36" t="s">
        <v>48</v>
      </c>
    </row>
    <row r="26620">
      <c r="H26620" s="50"/>
      <c r="I26620" s="50"/>
      <c r="O26620" s="36" t="s">
        <v>48</v>
      </c>
      <c r="R26620" s="36" t="s">
        <v>48</v>
      </c>
    </row>
    <row r="26621">
      <c r="H26621" s="50"/>
      <c r="I26621" s="50"/>
      <c r="O26621" s="36" t="s">
        <v>48</v>
      </c>
      <c r="R26621" s="36" t="s">
        <v>48</v>
      </c>
    </row>
    <row r="26622">
      <c r="H26622" s="50"/>
      <c r="I26622" s="50"/>
      <c r="O26622" s="36" t="s">
        <v>48</v>
      </c>
      <c r="R26622" s="36" t="s">
        <v>48</v>
      </c>
    </row>
    <row r="26623">
      <c r="H26623" s="50"/>
      <c r="I26623" s="50"/>
      <c r="O26623" s="36" t="s">
        <v>48</v>
      </c>
      <c r="R26623" s="36" t="s">
        <v>48</v>
      </c>
    </row>
    <row r="26624">
      <c r="H26624" s="50"/>
      <c r="I26624" s="50"/>
      <c r="O26624" s="36" t="s">
        <v>48</v>
      </c>
      <c r="R26624" s="36" t="s">
        <v>48</v>
      </c>
    </row>
    <row r="26625">
      <c r="H26625" s="50"/>
      <c r="I26625" s="50"/>
      <c r="O26625" s="36" t="s">
        <v>48</v>
      </c>
      <c r="R26625" s="36" t="s">
        <v>48</v>
      </c>
    </row>
    <row r="26626">
      <c r="H26626" s="50"/>
      <c r="I26626" s="50"/>
      <c r="O26626" s="36" t="s">
        <v>48</v>
      </c>
      <c r="R26626" s="36" t="s">
        <v>48</v>
      </c>
    </row>
    <row r="26627">
      <c r="H26627" s="50"/>
      <c r="I26627" s="50"/>
      <c r="O26627" s="36" t="s">
        <v>48</v>
      </c>
      <c r="R26627" s="36" t="s">
        <v>48</v>
      </c>
    </row>
    <row r="26628">
      <c r="H26628" s="50"/>
      <c r="I26628" s="50"/>
      <c r="O26628" s="36" t="s">
        <v>48</v>
      </c>
      <c r="R26628" s="36" t="s">
        <v>48</v>
      </c>
    </row>
    <row r="26629">
      <c r="H26629" s="50"/>
      <c r="I26629" s="50"/>
      <c r="O26629" s="36" t="s">
        <v>48</v>
      </c>
      <c r="R26629" s="36" t="s">
        <v>48</v>
      </c>
    </row>
    <row r="26630">
      <c r="H26630" s="50"/>
      <c r="I26630" s="50"/>
      <c r="O26630" s="36" t="s">
        <v>48</v>
      </c>
      <c r="R26630" s="36" t="s">
        <v>48</v>
      </c>
    </row>
    <row r="26631">
      <c r="H26631" s="50"/>
      <c r="I26631" s="50"/>
      <c r="O26631" s="36" t="s">
        <v>48</v>
      </c>
      <c r="R26631" s="36" t="s">
        <v>48</v>
      </c>
    </row>
    <row r="26632">
      <c r="H26632" s="50"/>
      <c r="I26632" s="50"/>
      <c r="O26632" s="36" t="s">
        <v>48</v>
      </c>
      <c r="R26632" s="36" t="s">
        <v>48</v>
      </c>
    </row>
    <row r="26633">
      <c r="H26633" s="50"/>
      <c r="I26633" s="50"/>
      <c r="O26633" s="36" t="s">
        <v>48</v>
      </c>
      <c r="R26633" s="36" t="s">
        <v>48</v>
      </c>
    </row>
    <row r="26634">
      <c r="H26634" s="50"/>
      <c r="I26634" s="50"/>
      <c r="O26634" s="36" t="s">
        <v>48</v>
      </c>
      <c r="R26634" s="36" t="s">
        <v>48</v>
      </c>
    </row>
    <row r="26635">
      <c r="H26635" s="50"/>
      <c r="I26635" s="50"/>
      <c r="O26635" s="36" t="s">
        <v>48</v>
      </c>
      <c r="R26635" s="36" t="s">
        <v>48</v>
      </c>
    </row>
    <row r="26636">
      <c r="H26636" s="50"/>
      <c r="I26636" s="50"/>
      <c r="O26636" s="36" t="s">
        <v>48</v>
      </c>
      <c r="R26636" s="36" t="s">
        <v>48</v>
      </c>
    </row>
    <row r="26637">
      <c r="H26637" s="50"/>
      <c r="I26637" s="50"/>
      <c r="O26637" s="36" t="s">
        <v>48</v>
      </c>
      <c r="R26637" s="36" t="s">
        <v>48</v>
      </c>
    </row>
    <row r="26638">
      <c r="H26638" s="50"/>
      <c r="I26638" s="50"/>
      <c r="O26638" s="36" t="s">
        <v>48</v>
      </c>
      <c r="R26638" s="36" t="s">
        <v>48</v>
      </c>
    </row>
    <row r="26639">
      <c r="H26639" s="50"/>
      <c r="I26639" s="50"/>
      <c r="O26639" s="36" t="s">
        <v>48</v>
      </c>
      <c r="R26639" s="36" t="s">
        <v>48</v>
      </c>
    </row>
    <row r="26640">
      <c r="H26640" s="50"/>
      <c r="I26640" s="50"/>
      <c r="O26640" s="36" t="s">
        <v>48</v>
      </c>
      <c r="R26640" s="36" t="s">
        <v>48</v>
      </c>
    </row>
    <row r="26641">
      <c r="H26641" s="50"/>
      <c r="I26641" s="50"/>
      <c r="O26641" s="36" t="s">
        <v>48</v>
      </c>
      <c r="R26641" s="36" t="s">
        <v>48</v>
      </c>
    </row>
    <row r="26642">
      <c r="H26642" s="50"/>
      <c r="I26642" s="50"/>
      <c r="O26642" s="36" t="s">
        <v>48</v>
      </c>
      <c r="R26642" s="36" t="s">
        <v>48</v>
      </c>
    </row>
    <row r="26643">
      <c r="H26643" s="50"/>
      <c r="I26643" s="50"/>
      <c r="O26643" s="36" t="s">
        <v>48</v>
      </c>
      <c r="R26643" s="36" t="s">
        <v>48</v>
      </c>
    </row>
    <row r="26644">
      <c r="H26644" s="50"/>
      <c r="I26644" s="50"/>
      <c r="O26644" s="36" t="s">
        <v>48</v>
      </c>
      <c r="R26644" s="36" t="s">
        <v>48</v>
      </c>
    </row>
    <row r="26645">
      <c r="H26645" s="50"/>
      <c r="I26645" s="50"/>
      <c r="O26645" s="36" t="s">
        <v>48</v>
      </c>
      <c r="R26645" s="36" t="s">
        <v>48</v>
      </c>
    </row>
    <row r="26646">
      <c r="H26646" s="50"/>
      <c r="I26646" s="50"/>
      <c r="O26646" s="36" t="s">
        <v>48</v>
      </c>
      <c r="R26646" s="36" t="s">
        <v>48</v>
      </c>
    </row>
    <row r="26647">
      <c r="H26647" s="50"/>
      <c r="I26647" s="50"/>
      <c r="O26647" s="36" t="s">
        <v>48</v>
      </c>
      <c r="R26647" s="36" t="s">
        <v>48</v>
      </c>
    </row>
    <row r="26648">
      <c r="H26648" s="50"/>
      <c r="I26648" s="50"/>
      <c r="O26648" s="36" t="s">
        <v>48</v>
      </c>
      <c r="R26648" s="36" t="s">
        <v>48</v>
      </c>
    </row>
    <row r="26649">
      <c r="H26649" s="50"/>
      <c r="I26649" s="50"/>
      <c r="O26649" s="36" t="s">
        <v>48</v>
      </c>
      <c r="R26649" s="36" t="s">
        <v>48</v>
      </c>
    </row>
    <row r="26650">
      <c r="H26650" s="50"/>
      <c r="I26650" s="50"/>
      <c r="O26650" s="36" t="s">
        <v>48</v>
      </c>
      <c r="R26650" s="36" t="s">
        <v>48</v>
      </c>
    </row>
    <row r="26651">
      <c r="H26651" s="50"/>
      <c r="I26651" s="50"/>
      <c r="O26651" s="36" t="s">
        <v>48</v>
      </c>
      <c r="R26651" s="36" t="s">
        <v>48</v>
      </c>
    </row>
    <row r="26652">
      <c r="H26652" s="50"/>
      <c r="I26652" s="50"/>
      <c r="O26652" s="36" t="s">
        <v>48</v>
      </c>
      <c r="R26652" s="36" t="s">
        <v>48</v>
      </c>
    </row>
    <row r="26653">
      <c r="H26653" s="50"/>
      <c r="I26653" s="50"/>
      <c r="O26653" s="36" t="s">
        <v>48</v>
      </c>
      <c r="R26653" s="36" t="s">
        <v>48</v>
      </c>
    </row>
    <row r="26654">
      <c r="H26654" s="50"/>
      <c r="I26654" s="50"/>
      <c r="O26654" s="36" t="s">
        <v>48</v>
      </c>
      <c r="R26654" s="36" t="s">
        <v>48</v>
      </c>
    </row>
    <row r="26655">
      <c r="H26655" s="50"/>
      <c r="I26655" s="50"/>
      <c r="O26655" s="36" t="s">
        <v>48</v>
      </c>
      <c r="R26655" s="36" t="s">
        <v>48</v>
      </c>
    </row>
    <row r="26656">
      <c r="H26656" s="50"/>
      <c r="I26656" s="50"/>
      <c r="O26656" s="36" t="s">
        <v>48</v>
      </c>
      <c r="R26656" s="36" t="s">
        <v>48</v>
      </c>
    </row>
    <row r="26657">
      <c r="H26657" s="50"/>
      <c r="I26657" s="50"/>
      <c r="O26657" s="36" t="s">
        <v>48</v>
      </c>
      <c r="R26657" s="36" t="s">
        <v>48</v>
      </c>
    </row>
    <row r="26658">
      <c r="H26658" s="50"/>
      <c r="I26658" s="50"/>
      <c r="O26658" s="36" t="s">
        <v>48</v>
      </c>
      <c r="R26658" s="36" t="s">
        <v>48</v>
      </c>
    </row>
    <row r="26659">
      <c r="H26659" s="50"/>
      <c r="I26659" s="50"/>
      <c r="O26659" s="36" t="s">
        <v>48</v>
      </c>
      <c r="R26659" s="36" t="s">
        <v>48</v>
      </c>
    </row>
    <row r="26660">
      <c r="H26660" s="50"/>
      <c r="I26660" s="50"/>
      <c r="O26660" s="36" t="s">
        <v>48</v>
      </c>
      <c r="R26660" s="36" t="s">
        <v>48</v>
      </c>
    </row>
    <row r="26661">
      <c r="H26661" s="50"/>
      <c r="I26661" s="50"/>
      <c r="O26661" s="36" t="s">
        <v>48</v>
      </c>
      <c r="R26661" s="36" t="s">
        <v>48</v>
      </c>
    </row>
    <row r="26662">
      <c r="H26662" s="50"/>
      <c r="I26662" s="50"/>
      <c r="O26662" s="36" t="s">
        <v>48</v>
      </c>
      <c r="R26662" s="36" t="s">
        <v>48</v>
      </c>
    </row>
    <row r="26663">
      <c r="H26663" s="50"/>
      <c r="I26663" s="50"/>
      <c r="O26663" s="36" t="s">
        <v>48</v>
      </c>
      <c r="R26663" s="36" t="s">
        <v>48</v>
      </c>
    </row>
    <row r="26664">
      <c r="H26664" s="50"/>
      <c r="I26664" s="50"/>
      <c r="O26664" s="36" t="s">
        <v>48</v>
      </c>
      <c r="R26664" s="36" t="s">
        <v>48</v>
      </c>
    </row>
    <row r="26665">
      <c r="H26665" s="50"/>
      <c r="I26665" s="50"/>
      <c r="O26665" s="36" t="s">
        <v>48</v>
      </c>
      <c r="R26665" s="36" t="s">
        <v>48</v>
      </c>
    </row>
    <row r="26666">
      <c r="H26666" s="50"/>
      <c r="I26666" s="50"/>
      <c r="O26666" s="36" t="s">
        <v>48</v>
      </c>
      <c r="R26666" s="36" t="s">
        <v>48</v>
      </c>
    </row>
    <row r="26667">
      <c r="H26667" s="50"/>
      <c r="I26667" s="50"/>
      <c r="O26667" s="36" t="s">
        <v>48</v>
      </c>
      <c r="R26667" s="36" t="s">
        <v>48</v>
      </c>
    </row>
    <row r="26668">
      <c r="H26668" s="50"/>
      <c r="I26668" s="50"/>
      <c r="O26668" s="36" t="s">
        <v>48</v>
      </c>
      <c r="R26668" s="36" t="s">
        <v>48</v>
      </c>
    </row>
    <row r="26669">
      <c r="H26669" s="50"/>
      <c r="I26669" s="50"/>
      <c r="O26669" s="36" t="s">
        <v>48</v>
      </c>
      <c r="R26669" s="36" t="s">
        <v>48</v>
      </c>
    </row>
    <row r="26670">
      <c r="H26670" s="50"/>
      <c r="I26670" s="50"/>
      <c r="O26670" s="36" t="s">
        <v>48</v>
      </c>
      <c r="R26670" s="36" t="s">
        <v>48</v>
      </c>
    </row>
    <row r="26671">
      <c r="H26671" s="50"/>
      <c r="I26671" s="50"/>
      <c r="O26671" s="36" t="s">
        <v>48</v>
      </c>
      <c r="R26671" s="36" t="s">
        <v>48</v>
      </c>
    </row>
    <row r="26672">
      <c r="H26672" s="50"/>
      <c r="I26672" s="50"/>
      <c r="O26672" s="36" t="s">
        <v>48</v>
      </c>
      <c r="R26672" s="36" t="s">
        <v>48</v>
      </c>
    </row>
    <row r="26673">
      <c r="H26673" s="50"/>
      <c r="I26673" s="50"/>
      <c r="O26673" s="36" t="s">
        <v>48</v>
      </c>
      <c r="R26673" s="36" t="s">
        <v>48</v>
      </c>
    </row>
    <row r="26674">
      <c r="H26674" s="50"/>
      <c r="I26674" s="50"/>
      <c r="O26674" s="36" t="s">
        <v>48</v>
      </c>
      <c r="R26674" s="36" t="s">
        <v>48</v>
      </c>
    </row>
    <row r="26675">
      <c r="H26675" s="50"/>
      <c r="I26675" s="50"/>
      <c r="O26675" s="36" t="s">
        <v>48</v>
      </c>
      <c r="R26675" s="36" t="s">
        <v>48</v>
      </c>
    </row>
    <row r="26676">
      <c r="H26676" s="50"/>
      <c r="I26676" s="50"/>
      <c r="O26676" s="36" t="s">
        <v>48</v>
      </c>
      <c r="R26676" s="36" t="s">
        <v>48</v>
      </c>
    </row>
    <row r="26677">
      <c r="H26677" s="50"/>
      <c r="I26677" s="50"/>
      <c r="O26677" s="36" t="s">
        <v>48</v>
      </c>
      <c r="R26677" s="36" t="s">
        <v>48</v>
      </c>
    </row>
    <row r="26678">
      <c r="H26678" s="50"/>
      <c r="I26678" s="50"/>
      <c r="O26678" s="36" t="s">
        <v>48</v>
      </c>
      <c r="R26678" s="36" t="s">
        <v>48</v>
      </c>
    </row>
    <row r="26679">
      <c r="H26679" s="50"/>
      <c r="I26679" s="50"/>
      <c r="O26679" s="36" t="s">
        <v>48</v>
      </c>
      <c r="R26679" s="36" t="s">
        <v>48</v>
      </c>
    </row>
    <row r="26680">
      <c r="H26680" s="50"/>
      <c r="I26680" s="50"/>
      <c r="O26680" s="36" t="s">
        <v>48</v>
      </c>
      <c r="R26680" s="36" t="s">
        <v>48</v>
      </c>
    </row>
    <row r="26681">
      <c r="H26681" s="50"/>
      <c r="I26681" s="50"/>
      <c r="O26681" s="36" t="s">
        <v>48</v>
      </c>
      <c r="R26681" s="36" t="s">
        <v>48</v>
      </c>
    </row>
    <row r="26682">
      <c r="H26682" s="50"/>
      <c r="I26682" s="50"/>
      <c r="O26682" s="36" t="s">
        <v>48</v>
      </c>
      <c r="R26682" s="36" t="s">
        <v>48</v>
      </c>
    </row>
    <row r="26683">
      <c r="H26683" s="50"/>
      <c r="I26683" s="50"/>
      <c r="O26683" s="36" t="s">
        <v>48</v>
      </c>
      <c r="R26683" s="36" t="s">
        <v>48</v>
      </c>
    </row>
    <row r="26684">
      <c r="H26684" s="50"/>
      <c r="I26684" s="50"/>
      <c r="O26684" s="36" t="s">
        <v>48</v>
      </c>
      <c r="R26684" s="36" t="s">
        <v>48</v>
      </c>
    </row>
    <row r="26685">
      <c r="H26685" s="50"/>
      <c r="I26685" s="50"/>
      <c r="O26685" s="36" t="s">
        <v>48</v>
      </c>
      <c r="R26685" s="36" t="s">
        <v>48</v>
      </c>
    </row>
    <row r="26686">
      <c r="H26686" s="50"/>
      <c r="I26686" s="50"/>
      <c r="O26686" s="36" t="s">
        <v>48</v>
      </c>
      <c r="R26686" s="36" t="s">
        <v>48</v>
      </c>
    </row>
    <row r="26687">
      <c r="H26687" s="50"/>
      <c r="I26687" s="50"/>
      <c r="O26687" s="36" t="s">
        <v>48</v>
      </c>
      <c r="R26687" s="36" t="s">
        <v>48</v>
      </c>
    </row>
    <row r="26688">
      <c r="H26688" s="50"/>
      <c r="I26688" s="50"/>
      <c r="O26688" s="36" t="s">
        <v>48</v>
      </c>
      <c r="R26688" s="36" t="s">
        <v>48</v>
      </c>
    </row>
    <row r="26689">
      <c r="H26689" s="50"/>
      <c r="I26689" s="50"/>
      <c r="O26689" s="36" t="s">
        <v>48</v>
      </c>
      <c r="R26689" s="36" t="s">
        <v>48</v>
      </c>
    </row>
    <row r="26690">
      <c r="H26690" s="50"/>
      <c r="I26690" s="50"/>
      <c r="O26690" s="36" t="s">
        <v>48</v>
      </c>
      <c r="R26690" s="36" t="s">
        <v>48</v>
      </c>
    </row>
    <row r="26691">
      <c r="H26691" s="50"/>
      <c r="I26691" s="50"/>
      <c r="O26691" s="36" t="s">
        <v>48</v>
      </c>
      <c r="R26691" s="36" t="s">
        <v>48</v>
      </c>
    </row>
    <row r="26692">
      <c r="H26692" s="50"/>
      <c r="I26692" s="50"/>
      <c r="O26692" s="36" t="s">
        <v>48</v>
      </c>
      <c r="R26692" s="36" t="s">
        <v>48</v>
      </c>
    </row>
    <row r="26693">
      <c r="H26693" s="50"/>
      <c r="I26693" s="50"/>
      <c r="O26693" s="36" t="s">
        <v>48</v>
      </c>
      <c r="R26693" s="36" t="s">
        <v>48</v>
      </c>
    </row>
    <row r="26694">
      <c r="H26694" s="50"/>
      <c r="I26694" s="50"/>
      <c r="O26694" s="36" t="s">
        <v>48</v>
      </c>
      <c r="R26694" s="36" t="s">
        <v>48</v>
      </c>
    </row>
    <row r="26695">
      <c r="H26695" s="50"/>
      <c r="I26695" s="50"/>
      <c r="O26695" s="36" t="s">
        <v>48</v>
      </c>
      <c r="R26695" s="36" t="s">
        <v>48</v>
      </c>
    </row>
    <row r="26696">
      <c r="H26696" s="50"/>
      <c r="I26696" s="50"/>
      <c r="O26696" s="36" t="s">
        <v>48</v>
      </c>
      <c r="R26696" s="36" t="s">
        <v>48</v>
      </c>
    </row>
    <row r="26697">
      <c r="H26697" s="50"/>
      <c r="I26697" s="50"/>
      <c r="O26697" s="36" t="s">
        <v>48</v>
      </c>
      <c r="R26697" s="36" t="s">
        <v>48</v>
      </c>
    </row>
    <row r="26698">
      <c r="H26698" s="50"/>
      <c r="I26698" s="50"/>
      <c r="O26698" s="36" t="s">
        <v>48</v>
      </c>
      <c r="R26698" s="36" t="s">
        <v>48</v>
      </c>
    </row>
    <row r="26699">
      <c r="H26699" s="50"/>
      <c r="I26699" s="50"/>
      <c r="O26699" s="36" t="s">
        <v>48</v>
      </c>
      <c r="R26699" s="36" t="s">
        <v>48</v>
      </c>
    </row>
    <row r="26700">
      <c r="H26700" s="50"/>
      <c r="I26700" s="50"/>
      <c r="O26700" s="36" t="s">
        <v>48</v>
      </c>
      <c r="R26700" s="36" t="s">
        <v>48</v>
      </c>
    </row>
    <row r="26701">
      <c r="H26701" s="50"/>
      <c r="I26701" s="50"/>
      <c r="O26701" s="36" t="s">
        <v>48</v>
      </c>
      <c r="R26701" s="36" t="s">
        <v>48</v>
      </c>
    </row>
    <row r="26702">
      <c r="H26702" s="50"/>
      <c r="I26702" s="50"/>
      <c r="O26702" s="36" t="s">
        <v>48</v>
      </c>
      <c r="R26702" s="36" t="s">
        <v>48</v>
      </c>
    </row>
    <row r="26703">
      <c r="H26703" s="50"/>
      <c r="I26703" s="50"/>
      <c r="O26703" s="36" t="s">
        <v>48</v>
      </c>
      <c r="R26703" s="36" t="s">
        <v>48</v>
      </c>
    </row>
    <row r="26704">
      <c r="H26704" s="50"/>
      <c r="I26704" s="50"/>
      <c r="O26704" s="36" t="s">
        <v>48</v>
      </c>
      <c r="R26704" s="36" t="s">
        <v>48</v>
      </c>
    </row>
    <row r="26705">
      <c r="H26705" s="50"/>
      <c r="I26705" s="50"/>
      <c r="O26705" s="36" t="s">
        <v>48</v>
      </c>
      <c r="R26705" s="36" t="s">
        <v>48</v>
      </c>
    </row>
    <row r="26706">
      <c r="H26706" s="50"/>
      <c r="I26706" s="50"/>
      <c r="O26706" s="36" t="s">
        <v>48</v>
      </c>
      <c r="R26706" s="36" t="s">
        <v>48</v>
      </c>
    </row>
    <row r="26707">
      <c r="H26707" s="50"/>
      <c r="I26707" s="50"/>
      <c r="O26707" s="36" t="s">
        <v>48</v>
      </c>
      <c r="R26707" s="36" t="s">
        <v>48</v>
      </c>
    </row>
    <row r="26708">
      <c r="H26708" s="50"/>
      <c r="I26708" s="50"/>
      <c r="O26708" s="36" t="s">
        <v>48</v>
      </c>
      <c r="R26708" s="36" t="s">
        <v>48</v>
      </c>
    </row>
    <row r="26709">
      <c r="H26709" s="50"/>
      <c r="I26709" s="50"/>
      <c r="O26709" s="36" t="s">
        <v>48</v>
      </c>
      <c r="R26709" s="36" t="s">
        <v>48</v>
      </c>
    </row>
    <row r="26710">
      <c r="H26710" s="50"/>
      <c r="I26710" s="50"/>
      <c r="O26710" s="36" t="s">
        <v>48</v>
      </c>
      <c r="R26710" s="36" t="s">
        <v>48</v>
      </c>
    </row>
    <row r="26711">
      <c r="H26711" s="50"/>
      <c r="I26711" s="50"/>
      <c r="O26711" s="36" t="s">
        <v>48</v>
      </c>
      <c r="R26711" s="36" t="s">
        <v>48</v>
      </c>
    </row>
    <row r="26712">
      <c r="H26712" s="50"/>
      <c r="I26712" s="50"/>
      <c r="O26712" s="36" t="s">
        <v>48</v>
      </c>
      <c r="R26712" s="36" t="s">
        <v>48</v>
      </c>
    </row>
    <row r="26713">
      <c r="H26713" s="50"/>
      <c r="I26713" s="50"/>
      <c r="O26713" s="36" t="s">
        <v>48</v>
      </c>
      <c r="R26713" s="36" t="s">
        <v>48</v>
      </c>
    </row>
    <row r="26714">
      <c r="H26714" s="50"/>
      <c r="I26714" s="50"/>
      <c r="O26714" s="36" t="s">
        <v>48</v>
      </c>
      <c r="R26714" s="36" t="s">
        <v>48</v>
      </c>
    </row>
    <row r="26715">
      <c r="H26715" s="50"/>
      <c r="I26715" s="50"/>
      <c r="O26715" s="36" t="s">
        <v>48</v>
      </c>
      <c r="R26715" s="36" t="s">
        <v>48</v>
      </c>
    </row>
    <row r="26716">
      <c r="H26716" s="50"/>
      <c r="I26716" s="50"/>
      <c r="O26716" s="36" t="s">
        <v>48</v>
      </c>
      <c r="R26716" s="36" t="s">
        <v>48</v>
      </c>
    </row>
    <row r="26717">
      <c r="H26717" s="50"/>
      <c r="I26717" s="50"/>
      <c r="O26717" s="36" t="s">
        <v>48</v>
      </c>
      <c r="R26717" s="36" t="s">
        <v>48</v>
      </c>
    </row>
    <row r="26718">
      <c r="H26718" s="50"/>
      <c r="I26718" s="50"/>
      <c r="O26718" s="36" t="s">
        <v>48</v>
      </c>
      <c r="R26718" s="36" t="s">
        <v>48</v>
      </c>
    </row>
    <row r="26719">
      <c r="H26719" s="50"/>
      <c r="I26719" s="50"/>
      <c r="O26719" s="36" t="s">
        <v>48</v>
      </c>
      <c r="R26719" s="36" t="s">
        <v>48</v>
      </c>
    </row>
    <row r="26720">
      <c r="H26720" s="50"/>
      <c r="I26720" s="50"/>
      <c r="O26720" s="36" t="s">
        <v>48</v>
      </c>
      <c r="R26720" s="36" t="s">
        <v>48</v>
      </c>
    </row>
    <row r="26721">
      <c r="H26721" s="50"/>
      <c r="I26721" s="50"/>
      <c r="O26721" s="36" t="s">
        <v>48</v>
      </c>
      <c r="R26721" s="36" t="s">
        <v>48</v>
      </c>
    </row>
    <row r="26722">
      <c r="H26722" s="50"/>
      <c r="I26722" s="50"/>
      <c r="O26722" s="36" t="s">
        <v>48</v>
      </c>
      <c r="R26722" s="36" t="s">
        <v>48</v>
      </c>
    </row>
    <row r="26723">
      <c r="H26723" s="50"/>
      <c r="I26723" s="50"/>
      <c r="O26723" s="36" t="s">
        <v>48</v>
      </c>
      <c r="R26723" s="36" t="s">
        <v>48</v>
      </c>
    </row>
    <row r="26724">
      <c r="H26724" s="50"/>
      <c r="I26724" s="50"/>
      <c r="O26724" s="36" t="s">
        <v>48</v>
      </c>
      <c r="R26724" s="36" t="s">
        <v>48</v>
      </c>
    </row>
    <row r="26725">
      <c r="H26725" s="50"/>
      <c r="I26725" s="50"/>
      <c r="O26725" s="36" t="s">
        <v>48</v>
      </c>
      <c r="R26725" s="36" t="s">
        <v>48</v>
      </c>
    </row>
    <row r="26726">
      <c r="H26726" s="50"/>
      <c r="I26726" s="50"/>
      <c r="O26726" s="36" t="s">
        <v>48</v>
      </c>
      <c r="R26726" s="36" t="s">
        <v>48</v>
      </c>
    </row>
    <row r="26727">
      <c r="H26727" s="50"/>
      <c r="I26727" s="50"/>
      <c r="O26727" s="36" t="s">
        <v>48</v>
      </c>
      <c r="R26727" s="36" t="s">
        <v>48</v>
      </c>
    </row>
    <row r="26728">
      <c r="H26728" s="50"/>
      <c r="I26728" s="50"/>
      <c r="O26728" s="36" t="s">
        <v>48</v>
      </c>
      <c r="R26728" s="36" t="s">
        <v>48</v>
      </c>
    </row>
    <row r="26729">
      <c r="H26729" s="50"/>
      <c r="I26729" s="50"/>
      <c r="O26729" s="36" t="s">
        <v>48</v>
      </c>
      <c r="R26729" s="36" t="s">
        <v>48</v>
      </c>
    </row>
    <row r="26730">
      <c r="H26730" s="50"/>
      <c r="I26730" s="50"/>
      <c r="O26730" s="36" t="s">
        <v>48</v>
      </c>
      <c r="R26730" s="36" t="s">
        <v>48</v>
      </c>
    </row>
    <row r="26731">
      <c r="H26731" s="50"/>
      <c r="I26731" s="50"/>
      <c r="O26731" s="36" t="s">
        <v>48</v>
      </c>
      <c r="R26731" s="36" t="s">
        <v>48</v>
      </c>
    </row>
    <row r="26732">
      <c r="H26732" s="50"/>
      <c r="I26732" s="50"/>
      <c r="O26732" s="36" t="s">
        <v>48</v>
      </c>
      <c r="R26732" s="36" t="s">
        <v>48</v>
      </c>
    </row>
    <row r="26733">
      <c r="H26733" s="50"/>
      <c r="I26733" s="50"/>
      <c r="O26733" s="36" t="s">
        <v>48</v>
      </c>
      <c r="R26733" s="36" t="s">
        <v>48</v>
      </c>
    </row>
    <row r="26734">
      <c r="H26734" s="50"/>
      <c r="I26734" s="50"/>
      <c r="O26734" s="36" t="s">
        <v>48</v>
      </c>
      <c r="R26734" s="36" t="s">
        <v>48</v>
      </c>
    </row>
    <row r="26735">
      <c r="H26735" s="50"/>
      <c r="I26735" s="50"/>
      <c r="O26735" s="36" t="s">
        <v>48</v>
      </c>
      <c r="R26735" s="36" t="s">
        <v>48</v>
      </c>
    </row>
    <row r="26736">
      <c r="H26736" s="50"/>
      <c r="I26736" s="50"/>
      <c r="O26736" s="36" t="s">
        <v>48</v>
      </c>
      <c r="R26736" s="36" t="s">
        <v>48</v>
      </c>
    </row>
    <row r="26737">
      <c r="H26737" s="50"/>
      <c r="I26737" s="50"/>
      <c r="O26737" s="36" t="s">
        <v>48</v>
      </c>
      <c r="R26737" s="36" t="s">
        <v>48</v>
      </c>
    </row>
    <row r="26738">
      <c r="H26738" s="50"/>
      <c r="I26738" s="50"/>
      <c r="O26738" s="36" t="s">
        <v>48</v>
      </c>
      <c r="R26738" s="36" t="s">
        <v>48</v>
      </c>
    </row>
    <row r="26739">
      <c r="H26739" s="50"/>
      <c r="I26739" s="50"/>
      <c r="O26739" s="36" t="s">
        <v>48</v>
      </c>
      <c r="R26739" s="36" t="s">
        <v>48</v>
      </c>
    </row>
    <row r="26740">
      <c r="H26740" s="50"/>
      <c r="I26740" s="50"/>
      <c r="O26740" s="36" t="s">
        <v>48</v>
      </c>
      <c r="R26740" s="36" t="s">
        <v>48</v>
      </c>
    </row>
    <row r="26741">
      <c r="H26741" s="50"/>
      <c r="I26741" s="50"/>
      <c r="O26741" s="36" t="s">
        <v>48</v>
      </c>
      <c r="R26741" s="36" t="s">
        <v>48</v>
      </c>
    </row>
    <row r="26742">
      <c r="H26742" s="50"/>
      <c r="I26742" s="50"/>
      <c r="O26742" s="36" t="s">
        <v>48</v>
      </c>
      <c r="R26742" s="36" t="s">
        <v>48</v>
      </c>
    </row>
    <row r="26743">
      <c r="H26743" s="50"/>
      <c r="I26743" s="50"/>
      <c r="O26743" s="36" t="s">
        <v>48</v>
      </c>
      <c r="R26743" s="36" t="s">
        <v>48</v>
      </c>
    </row>
    <row r="26744">
      <c r="H26744" s="50"/>
      <c r="I26744" s="50"/>
      <c r="O26744" s="36" t="s">
        <v>48</v>
      </c>
      <c r="R26744" s="36" t="s">
        <v>48</v>
      </c>
    </row>
    <row r="26745">
      <c r="H26745" s="50"/>
      <c r="I26745" s="50"/>
      <c r="O26745" s="36" t="s">
        <v>48</v>
      </c>
      <c r="R26745" s="36" t="s">
        <v>48</v>
      </c>
    </row>
    <row r="26746">
      <c r="H26746" s="50"/>
      <c r="I26746" s="50"/>
      <c r="O26746" s="36" t="s">
        <v>48</v>
      </c>
      <c r="R26746" s="36" t="s">
        <v>48</v>
      </c>
    </row>
    <row r="26747">
      <c r="H26747" s="50"/>
      <c r="I26747" s="50"/>
      <c r="O26747" s="36" t="s">
        <v>48</v>
      </c>
      <c r="R26747" s="36" t="s">
        <v>48</v>
      </c>
    </row>
    <row r="26748">
      <c r="H26748" s="50"/>
      <c r="I26748" s="50"/>
      <c r="O26748" s="36" t="s">
        <v>48</v>
      </c>
      <c r="R26748" s="36" t="s">
        <v>48</v>
      </c>
    </row>
    <row r="26749">
      <c r="H26749" s="50"/>
      <c r="I26749" s="50"/>
      <c r="O26749" s="36" t="s">
        <v>48</v>
      </c>
      <c r="R26749" s="36" t="s">
        <v>48</v>
      </c>
    </row>
    <row r="26750">
      <c r="H26750" s="50"/>
      <c r="I26750" s="50"/>
      <c r="O26750" s="36" t="s">
        <v>48</v>
      </c>
      <c r="R26750" s="36" t="s">
        <v>48</v>
      </c>
    </row>
    <row r="26751">
      <c r="H26751" s="50"/>
      <c r="I26751" s="50"/>
      <c r="O26751" s="36" t="s">
        <v>48</v>
      </c>
      <c r="R26751" s="36" t="s">
        <v>48</v>
      </c>
    </row>
    <row r="26752">
      <c r="H26752" s="50"/>
      <c r="I26752" s="50"/>
      <c r="O26752" s="36" t="s">
        <v>48</v>
      </c>
      <c r="R26752" s="36" t="s">
        <v>48</v>
      </c>
    </row>
    <row r="26753">
      <c r="H26753" s="50"/>
      <c r="I26753" s="50"/>
      <c r="O26753" s="36" t="s">
        <v>48</v>
      </c>
      <c r="R26753" s="36" t="s">
        <v>48</v>
      </c>
    </row>
    <row r="26754">
      <c r="H26754" s="50"/>
      <c r="I26754" s="50"/>
      <c r="O26754" s="36" t="s">
        <v>48</v>
      </c>
      <c r="R26754" s="36" t="s">
        <v>48</v>
      </c>
    </row>
    <row r="26755">
      <c r="H26755" s="50"/>
      <c r="I26755" s="50"/>
      <c r="O26755" s="36" t="s">
        <v>48</v>
      </c>
      <c r="R26755" s="36" t="s">
        <v>48</v>
      </c>
    </row>
    <row r="26756">
      <c r="H26756" s="50"/>
      <c r="I26756" s="50"/>
      <c r="O26756" s="36" t="s">
        <v>48</v>
      </c>
      <c r="R26756" s="36" t="s">
        <v>48</v>
      </c>
    </row>
    <row r="26757">
      <c r="H26757" s="50"/>
      <c r="I26757" s="50"/>
      <c r="O26757" s="36" t="s">
        <v>48</v>
      </c>
      <c r="R26757" s="36" t="s">
        <v>48</v>
      </c>
    </row>
    <row r="26758">
      <c r="H26758" s="50"/>
      <c r="I26758" s="50"/>
      <c r="O26758" s="36" t="s">
        <v>48</v>
      </c>
      <c r="R26758" s="36" t="s">
        <v>48</v>
      </c>
    </row>
    <row r="26759">
      <c r="H26759" s="50"/>
      <c r="I26759" s="50"/>
      <c r="O26759" s="36" t="s">
        <v>48</v>
      </c>
      <c r="R26759" s="36" t="s">
        <v>48</v>
      </c>
    </row>
    <row r="26760">
      <c r="H26760" s="50"/>
      <c r="I26760" s="50"/>
      <c r="O26760" s="36" t="s">
        <v>48</v>
      </c>
      <c r="R26760" s="36" t="s">
        <v>48</v>
      </c>
    </row>
    <row r="26761">
      <c r="H26761" s="50"/>
      <c r="I26761" s="50"/>
      <c r="O26761" s="36" t="s">
        <v>48</v>
      </c>
      <c r="R26761" s="36" t="s">
        <v>48</v>
      </c>
    </row>
    <row r="26762">
      <c r="H26762" s="50"/>
      <c r="I26762" s="50"/>
      <c r="O26762" s="36" t="s">
        <v>48</v>
      </c>
      <c r="R26762" s="36" t="s">
        <v>48</v>
      </c>
    </row>
    <row r="26763">
      <c r="H26763" s="50"/>
      <c r="I26763" s="50"/>
      <c r="O26763" s="36" t="s">
        <v>48</v>
      </c>
      <c r="R26763" s="36" t="s">
        <v>48</v>
      </c>
    </row>
    <row r="26764">
      <c r="H26764" s="50"/>
      <c r="I26764" s="50"/>
      <c r="O26764" s="36" t="s">
        <v>48</v>
      </c>
      <c r="R26764" s="36" t="s">
        <v>48</v>
      </c>
    </row>
    <row r="26765">
      <c r="H26765" s="50"/>
      <c r="I26765" s="50"/>
      <c r="O26765" s="36" t="s">
        <v>48</v>
      </c>
      <c r="R26765" s="36" t="s">
        <v>48</v>
      </c>
    </row>
    <row r="26766">
      <c r="H26766" s="50"/>
      <c r="I26766" s="50"/>
      <c r="O26766" s="36" t="s">
        <v>48</v>
      </c>
      <c r="R26766" s="36" t="s">
        <v>48</v>
      </c>
    </row>
    <row r="26767">
      <c r="H26767" s="50"/>
      <c r="I26767" s="50"/>
      <c r="O26767" s="36" t="s">
        <v>48</v>
      </c>
      <c r="R26767" s="36" t="s">
        <v>48</v>
      </c>
    </row>
    <row r="26768">
      <c r="H26768" s="50"/>
      <c r="I26768" s="50"/>
      <c r="O26768" s="36" t="s">
        <v>48</v>
      </c>
      <c r="R26768" s="36" t="s">
        <v>48</v>
      </c>
    </row>
    <row r="26769">
      <c r="H26769" s="50"/>
      <c r="I26769" s="50"/>
      <c r="O26769" s="36" t="s">
        <v>48</v>
      </c>
      <c r="R26769" s="36" t="s">
        <v>48</v>
      </c>
    </row>
    <row r="26770">
      <c r="H26770" s="50"/>
      <c r="I26770" s="50"/>
      <c r="O26770" s="36" t="s">
        <v>48</v>
      </c>
      <c r="R26770" s="36" t="s">
        <v>48</v>
      </c>
    </row>
    <row r="26771">
      <c r="H26771" s="50"/>
      <c r="I26771" s="50"/>
      <c r="O26771" s="36" t="s">
        <v>48</v>
      </c>
      <c r="R26771" s="36" t="s">
        <v>48</v>
      </c>
    </row>
    <row r="26772">
      <c r="H26772" s="50"/>
      <c r="I26772" s="50"/>
      <c r="O26772" s="36" t="s">
        <v>48</v>
      </c>
      <c r="R26772" s="36" t="s">
        <v>48</v>
      </c>
    </row>
    <row r="26773">
      <c r="H26773" s="50"/>
      <c r="I26773" s="50"/>
      <c r="O26773" s="36" t="s">
        <v>48</v>
      </c>
      <c r="R26773" s="36" t="s">
        <v>48</v>
      </c>
    </row>
    <row r="26774">
      <c r="H26774" s="50"/>
      <c r="I26774" s="50"/>
      <c r="O26774" s="36" t="s">
        <v>48</v>
      </c>
      <c r="R26774" s="36" t="s">
        <v>48</v>
      </c>
    </row>
    <row r="26775">
      <c r="H26775" s="50"/>
      <c r="I26775" s="50"/>
      <c r="O26775" s="36" t="s">
        <v>48</v>
      </c>
      <c r="R26775" s="36" t="s">
        <v>48</v>
      </c>
    </row>
    <row r="26776">
      <c r="H26776" s="50"/>
      <c r="I26776" s="50"/>
      <c r="O26776" s="36" t="s">
        <v>48</v>
      </c>
      <c r="R26776" s="36" t="s">
        <v>48</v>
      </c>
    </row>
    <row r="26777">
      <c r="H26777" s="50"/>
      <c r="I26777" s="50"/>
      <c r="O26777" s="36" t="s">
        <v>48</v>
      </c>
      <c r="R26777" s="36" t="s">
        <v>48</v>
      </c>
    </row>
    <row r="26778">
      <c r="H26778" s="50"/>
      <c r="I26778" s="50"/>
      <c r="O26778" s="36" t="s">
        <v>48</v>
      </c>
      <c r="R26778" s="36" t="s">
        <v>48</v>
      </c>
    </row>
    <row r="26779">
      <c r="H26779" s="50"/>
      <c r="I26779" s="50"/>
      <c r="O26779" s="36" t="s">
        <v>48</v>
      </c>
      <c r="R26779" s="36" t="s">
        <v>48</v>
      </c>
    </row>
    <row r="26780">
      <c r="H26780" s="50"/>
      <c r="I26780" s="50"/>
      <c r="O26780" s="36" t="s">
        <v>48</v>
      </c>
      <c r="R26780" s="36" t="s">
        <v>48</v>
      </c>
    </row>
    <row r="26781">
      <c r="H26781" s="50"/>
      <c r="I26781" s="50"/>
      <c r="O26781" s="36" t="s">
        <v>48</v>
      </c>
      <c r="R26781" s="36" t="s">
        <v>48</v>
      </c>
    </row>
    <row r="26782">
      <c r="H26782" s="50"/>
      <c r="I26782" s="50"/>
      <c r="O26782" s="36" t="s">
        <v>48</v>
      </c>
      <c r="R26782" s="36" t="s">
        <v>48</v>
      </c>
    </row>
    <row r="26783">
      <c r="H26783" s="50"/>
      <c r="I26783" s="50"/>
      <c r="O26783" s="36" t="s">
        <v>48</v>
      </c>
      <c r="R26783" s="36" t="s">
        <v>48</v>
      </c>
    </row>
    <row r="26784">
      <c r="H26784" s="50"/>
      <c r="I26784" s="50"/>
      <c r="O26784" s="36" t="s">
        <v>48</v>
      </c>
      <c r="R26784" s="36" t="s">
        <v>48</v>
      </c>
    </row>
    <row r="26785">
      <c r="H26785" s="50"/>
      <c r="I26785" s="50"/>
      <c r="O26785" s="36" t="s">
        <v>48</v>
      </c>
      <c r="R26785" s="36" t="s">
        <v>48</v>
      </c>
    </row>
    <row r="26786">
      <c r="H26786" s="50"/>
      <c r="I26786" s="50"/>
      <c r="O26786" s="36" t="s">
        <v>48</v>
      </c>
      <c r="R26786" s="36" t="s">
        <v>48</v>
      </c>
    </row>
    <row r="26787">
      <c r="H26787" s="50"/>
      <c r="I26787" s="50"/>
      <c r="O26787" s="36" t="s">
        <v>48</v>
      </c>
      <c r="R26787" s="36" t="s">
        <v>48</v>
      </c>
    </row>
    <row r="26788">
      <c r="H26788" s="50"/>
      <c r="I26788" s="50"/>
      <c r="O26788" s="36" t="s">
        <v>48</v>
      </c>
      <c r="R26788" s="36" t="s">
        <v>48</v>
      </c>
    </row>
    <row r="26789">
      <c r="H26789" s="50"/>
      <c r="I26789" s="50"/>
      <c r="O26789" s="36" t="s">
        <v>48</v>
      </c>
      <c r="R26789" s="36" t="s">
        <v>48</v>
      </c>
    </row>
    <row r="26790">
      <c r="H26790" s="50"/>
      <c r="I26790" s="50"/>
      <c r="O26790" s="36" t="s">
        <v>48</v>
      </c>
      <c r="R26790" s="36" t="s">
        <v>48</v>
      </c>
    </row>
    <row r="26791">
      <c r="H26791" s="50"/>
      <c r="I26791" s="50"/>
      <c r="O26791" s="36" t="s">
        <v>48</v>
      </c>
      <c r="R26791" s="36" t="s">
        <v>48</v>
      </c>
    </row>
    <row r="26792">
      <c r="H26792" s="50"/>
      <c r="I26792" s="50"/>
      <c r="O26792" s="36" t="s">
        <v>48</v>
      </c>
      <c r="R26792" s="36" t="s">
        <v>48</v>
      </c>
    </row>
    <row r="26793">
      <c r="H26793" s="50"/>
      <c r="I26793" s="50"/>
      <c r="O26793" s="36" t="s">
        <v>48</v>
      </c>
      <c r="R26793" s="36" t="s">
        <v>48</v>
      </c>
    </row>
    <row r="26794">
      <c r="H26794" s="50"/>
      <c r="I26794" s="50"/>
      <c r="O26794" s="36" t="s">
        <v>48</v>
      </c>
      <c r="R26794" s="36" t="s">
        <v>48</v>
      </c>
    </row>
    <row r="26795">
      <c r="H26795" s="50"/>
      <c r="I26795" s="50"/>
      <c r="O26795" s="36" t="s">
        <v>48</v>
      </c>
      <c r="R26795" s="36" t="s">
        <v>48</v>
      </c>
    </row>
    <row r="26796">
      <c r="H26796" s="50"/>
      <c r="I26796" s="50"/>
      <c r="O26796" s="36" t="s">
        <v>48</v>
      </c>
      <c r="R26796" s="36" t="s">
        <v>48</v>
      </c>
    </row>
    <row r="26797">
      <c r="H26797" s="50"/>
      <c r="I26797" s="50"/>
      <c r="O26797" s="36" t="s">
        <v>48</v>
      </c>
      <c r="R26797" s="36" t="s">
        <v>48</v>
      </c>
    </row>
    <row r="26798">
      <c r="H26798" s="50"/>
      <c r="I26798" s="50"/>
      <c r="O26798" s="36" t="s">
        <v>48</v>
      </c>
      <c r="R26798" s="36" t="s">
        <v>48</v>
      </c>
    </row>
    <row r="26799">
      <c r="H26799" s="50"/>
      <c r="I26799" s="50"/>
      <c r="O26799" s="36" t="s">
        <v>48</v>
      </c>
      <c r="R26799" s="36" t="s">
        <v>48</v>
      </c>
    </row>
    <row r="26800">
      <c r="H26800" s="50"/>
      <c r="I26800" s="50"/>
      <c r="O26800" s="36" t="s">
        <v>48</v>
      </c>
      <c r="R26800" s="36" t="s">
        <v>48</v>
      </c>
    </row>
    <row r="26801">
      <c r="H26801" s="50"/>
      <c r="I26801" s="50"/>
      <c r="O26801" s="36" t="s">
        <v>48</v>
      </c>
      <c r="R26801" s="36" t="s">
        <v>48</v>
      </c>
    </row>
    <row r="26802">
      <c r="H26802" s="50"/>
      <c r="I26802" s="50"/>
      <c r="O26802" s="36" t="s">
        <v>48</v>
      </c>
      <c r="R26802" s="36" t="s">
        <v>48</v>
      </c>
    </row>
    <row r="26803">
      <c r="H26803" s="50"/>
      <c r="I26803" s="50"/>
      <c r="O26803" s="36" t="s">
        <v>48</v>
      </c>
      <c r="R26803" s="36" t="s">
        <v>48</v>
      </c>
    </row>
    <row r="26804">
      <c r="H26804" s="50"/>
      <c r="I26804" s="50"/>
      <c r="O26804" s="36" t="s">
        <v>48</v>
      </c>
      <c r="R26804" s="36" t="s">
        <v>48</v>
      </c>
    </row>
    <row r="26805">
      <c r="H26805" s="50"/>
      <c r="I26805" s="50"/>
      <c r="O26805" s="36" t="s">
        <v>48</v>
      </c>
      <c r="R26805" s="36" t="s">
        <v>48</v>
      </c>
    </row>
    <row r="26806">
      <c r="H26806" s="50"/>
      <c r="I26806" s="50"/>
      <c r="O26806" s="36" t="s">
        <v>48</v>
      </c>
      <c r="R26806" s="36" t="s">
        <v>48</v>
      </c>
    </row>
    <row r="26807">
      <c r="H26807" s="50"/>
      <c r="I26807" s="50"/>
      <c r="O26807" s="36" t="s">
        <v>48</v>
      </c>
      <c r="R26807" s="36" t="s">
        <v>48</v>
      </c>
    </row>
    <row r="26808">
      <c r="H26808" s="50"/>
      <c r="I26808" s="50"/>
      <c r="O26808" s="36" t="s">
        <v>48</v>
      </c>
      <c r="R26808" s="36" t="s">
        <v>48</v>
      </c>
    </row>
    <row r="26809">
      <c r="H26809" s="50"/>
      <c r="I26809" s="50"/>
      <c r="O26809" s="36" t="s">
        <v>48</v>
      </c>
      <c r="R26809" s="36" t="s">
        <v>48</v>
      </c>
    </row>
    <row r="26810">
      <c r="H26810" s="50"/>
      <c r="I26810" s="50"/>
      <c r="O26810" s="36" t="s">
        <v>48</v>
      </c>
      <c r="R26810" s="36" t="s">
        <v>48</v>
      </c>
    </row>
    <row r="26811">
      <c r="H26811" s="50"/>
      <c r="I26811" s="50"/>
      <c r="O26811" s="36" t="s">
        <v>48</v>
      </c>
      <c r="R26811" s="36" t="s">
        <v>48</v>
      </c>
    </row>
    <row r="26812">
      <c r="H26812" s="50"/>
      <c r="I26812" s="50"/>
      <c r="O26812" s="36" t="s">
        <v>48</v>
      </c>
      <c r="R26812" s="36" t="s">
        <v>48</v>
      </c>
    </row>
    <row r="26813">
      <c r="H26813" s="50"/>
      <c r="I26813" s="50"/>
      <c r="O26813" s="36" t="s">
        <v>48</v>
      </c>
      <c r="R26813" s="36" t="s">
        <v>48</v>
      </c>
    </row>
    <row r="26814">
      <c r="H26814" s="50"/>
      <c r="I26814" s="50"/>
      <c r="O26814" s="36" t="s">
        <v>48</v>
      </c>
      <c r="R26814" s="36" t="s">
        <v>48</v>
      </c>
    </row>
    <row r="26815">
      <c r="H26815" s="50"/>
      <c r="I26815" s="50"/>
      <c r="O26815" s="36" t="s">
        <v>48</v>
      </c>
      <c r="R26815" s="36" t="s">
        <v>48</v>
      </c>
    </row>
    <row r="26816">
      <c r="H26816" s="50"/>
      <c r="I26816" s="50"/>
      <c r="O26816" s="36" t="s">
        <v>48</v>
      </c>
      <c r="R26816" s="36" t="s">
        <v>48</v>
      </c>
    </row>
    <row r="26817">
      <c r="H26817" s="50"/>
      <c r="I26817" s="50"/>
      <c r="O26817" s="36" t="s">
        <v>48</v>
      </c>
      <c r="R26817" s="36" t="s">
        <v>48</v>
      </c>
    </row>
    <row r="26818">
      <c r="H26818" s="50"/>
      <c r="I26818" s="50"/>
      <c r="O26818" s="36" t="s">
        <v>48</v>
      </c>
      <c r="R26818" s="36" t="s">
        <v>48</v>
      </c>
    </row>
    <row r="26819">
      <c r="H26819" s="50"/>
      <c r="I26819" s="50"/>
      <c r="O26819" s="36" t="s">
        <v>48</v>
      </c>
      <c r="R26819" s="36" t="s">
        <v>48</v>
      </c>
    </row>
    <row r="26820">
      <c r="H26820" s="50"/>
      <c r="I26820" s="50"/>
      <c r="O26820" s="36" t="s">
        <v>48</v>
      </c>
      <c r="R26820" s="36" t="s">
        <v>48</v>
      </c>
    </row>
    <row r="26821">
      <c r="H26821" s="50"/>
      <c r="I26821" s="50"/>
      <c r="O26821" s="36" t="s">
        <v>48</v>
      </c>
      <c r="R26821" s="36" t="s">
        <v>48</v>
      </c>
    </row>
    <row r="26822">
      <c r="H26822" s="50"/>
      <c r="I26822" s="50"/>
      <c r="O26822" s="36" t="s">
        <v>48</v>
      </c>
      <c r="R26822" s="36" t="s">
        <v>48</v>
      </c>
    </row>
    <row r="26823">
      <c r="H26823" s="50"/>
      <c r="I26823" s="50"/>
      <c r="O26823" s="36" t="s">
        <v>48</v>
      </c>
      <c r="R26823" s="36" t="s">
        <v>48</v>
      </c>
    </row>
    <row r="26824">
      <c r="H26824" s="50"/>
      <c r="I26824" s="50"/>
      <c r="O26824" s="36" t="s">
        <v>48</v>
      </c>
      <c r="R26824" s="36" t="s">
        <v>48</v>
      </c>
    </row>
    <row r="26825">
      <c r="H26825" s="50"/>
      <c r="I26825" s="50"/>
      <c r="O26825" s="36" t="s">
        <v>48</v>
      </c>
      <c r="R26825" s="36" t="s">
        <v>48</v>
      </c>
    </row>
    <row r="26826">
      <c r="H26826" s="50"/>
      <c r="I26826" s="50"/>
      <c r="O26826" s="36" t="s">
        <v>48</v>
      </c>
      <c r="R26826" s="36" t="s">
        <v>48</v>
      </c>
    </row>
    <row r="26827">
      <c r="H26827" s="50"/>
      <c r="I26827" s="50"/>
      <c r="O26827" s="36" t="s">
        <v>48</v>
      </c>
      <c r="R26827" s="36" t="s">
        <v>48</v>
      </c>
    </row>
    <row r="26828">
      <c r="H26828" s="50"/>
      <c r="I26828" s="50"/>
      <c r="O26828" s="36" t="s">
        <v>48</v>
      </c>
      <c r="R26828" s="36" t="s">
        <v>48</v>
      </c>
    </row>
    <row r="26829">
      <c r="H26829" s="50"/>
      <c r="I26829" s="50"/>
      <c r="O26829" s="36" t="s">
        <v>48</v>
      </c>
      <c r="R26829" s="36" t="s">
        <v>48</v>
      </c>
    </row>
    <row r="26830">
      <c r="H26830" s="50"/>
      <c r="I26830" s="50"/>
      <c r="O26830" s="36" t="s">
        <v>48</v>
      </c>
      <c r="R26830" s="36" t="s">
        <v>48</v>
      </c>
    </row>
    <row r="26831">
      <c r="H26831" s="50"/>
      <c r="I26831" s="50"/>
      <c r="O26831" s="36" t="s">
        <v>48</v>
      </c>
      <c r="R26831" s="36" t="s">
        <v>48</v>
      </c>
    </row>
    <row r="26832">
      <c r="H26832" s="50"/>
      <c r="I26832" s="50"/>
      <c r="O26832" s="36" t="s">
        <v>48</v>
      </c>
      <c r="R26832" s="36" t="s">
        <v>48</v>
      </c>
    </row>
    <row r="26833">
      <c r="H26833" s="50"/>
      <c r="I26833" s="50"/>
      <c r="O26833" s="36" t="s">
        <v>48</v>
      </c>
      <c r="R26833" s="36" t="s">
        <v>48</v>
      </c>
    </row>
    <row r="26834">
      <c r="H26834" s="50"/>
      <c r="I26834" s="50"/>
      <c r="O26834" s="36" t="s">
        <v>48</v>
      </c>
      <c r="R26834" s="36" t="s">
        <v>48</v>
      </c>
    </row>
    <row r="26835">
      <c r="H26835" s="50"/>
      <c r="I26835" s="50"/>
      <c r="O26835" s="36" t="s">
        <v>48</v>
      </c>
      <c r="R26835" s="36" t="s">
        <v>48</v>
      </c>
    </row>
    <row r="26836">
      <c r="H26836" s="50"/>
      <c r="I26836" s="50"/>
      <c r="O26836" s="36" t="s">
        <v>48</v>
      </c>
      <c r="R26836" s="36" t="s">
        <v>48</v>
      </c>
    </row>
    <row r="26837">
      <c r="H26837" s="50"/>
      <c r="I26837" s="50"/>
      <c r="O26837" s="36" t="s">
        <v>48</v>
      </c>
      <c r="R26837" s="36" t="s">
        <v>48</v>
      </c>
    </row>
    <row r="26838">
      <c r="H26838" s="50"/>
      <c r="I26838" s="50"/>
      <c r="O26838" s="36" t="s">
        <v>48</v>
      </c>
      <c r="R26838" s="36" t="s">
        <v>48</v>
      </c>
    </row>
    <row r="26839">
      <c r="H26839" s="50"/>
      <c r="I26839" s="50"/>
      <c r="O26839" s="36" t="s">
        <v>48</v>
      </c>
      <c r="R26839" s="36" t="s">
        <v>48</v>
      </c>
    </row>
    <row r="26840">
      <c r="H26840" s="50"/>
      <c r="I26840" s="50"/>
      <c r="O26840" s="36" t="s">
        <v>48</v>
      </c>
      <c r="R26840" s="36" t="s">
        <v>48</v>
      </c>
    </row>
    <row r="26841">
      <c r="H26841" s="50"/>
      <c r="I26841" s="50"/>
      <c r="O26841" s="36" t="s">
        <v>48</v>
      </c>
      <c r="R26841" s="36" t="s">
        <v>48</v>
      </c>
    </row>
    <row r="26842">
      <c r="H26842" s="50"/>
      <c r="I26842" s="50"/>
      <c r="O26842" s="36" t="s">
        <v>48</v>
      </c>
      <c r="R26842" s="36" t="s">
        <v>48</v>
      </c>
    </row>
    <row r="26843">
      <c r="H26843" s="50"/>
      <c r="I26843" s="50"/>
      <c r="O26843" s="36" t="s">
        <v>48</v>
      </c>
      <c r="R26843" s="36" t="s">
        <v>48</v>
      </c>
    </row>
    <row r="26844">
      <c r="H26844" s="50"/>
      <c r="I26844" s="50"/>
      <c r="O26844" s="36" t="s">
        <v>48</v>
      </c>
      <c r="R26844" s="36" t="s">
        <v>48</v>
      </c>
    </row>
    <row r="26845">
      <c r="H26845" s="50"/>
      <c r="I26845" s="50"/>
      <c r="O26845" s="36" t="s">
        <v>48</v>
      </c>
      <c r="R26845" s="36" t="s">
        <v>48</v>
      </c>
    </row>
    <row r="26846">
      <c r="H26846" s="50"/>
      <c r="I26846" s="50"/>
      <c r="O26846" s="36" t="s">
        <v>48</v>
      </c>
      <c r="R26846" s="36" t="s">
        <v>48</v>
      </c>
    </row>
    <row r="26847">
      <c r="H26847" s="50"/>
      <c r="I26847" s="50"/>
      <c r="O26847" s="36" t="s">
        <v>48</v>
      </c>
      <c r="R26847" s="36" t="s">
        <v>48</v>
      </c>
    </row>
    <row r="26848">
      <c r="H26848" s="50"/>
      <c r="I26848" s="50"/>
      <c r="O26848" s="36" t="s">
        <v>48</v>
      </c>
      <c r="R26848" s="36" t="s">
        <v>48</v>
      </c>
    </row>
    <row r="26849">
      <c r="H26849" s="50"/>
      <c r="I26849" s="50"/>
      <c r="O26849" s="36" t="s">
        <v>48</v>
      </c>
      <c r="R26849" s="36" t="s">
        <v>48</v>
      </c>
    </row>
    <row r="26850">
      <c r="H26850" s="50"/>
      <c r="I26850" s="50"/>
      <c r="O26850" s="36" t="s">
        <v>48</v>
      </c>
      <c r="R26850" s="36" t="s">
        <v>48</v>
      </c>
    </row>
    <row r="26851">
      <c r="H26851" s="50"/>
      <c r="I26851" s="50"/>
      <c r="O26851" s="36" t="s">
        <v>48</v>
      </c>
      <c r="R26851" s="36" t="s">
        <v>48</v>
      </c>
    </row>
    <row r="26852">
      <c r="H26852" s="50"/>
      <c r="I26852" s="50"/>
      <c r="O26852" s="36" t="s">
        <v>48</v>
      </c>
      <c r="R26852" s="36" t="s">
        <v>48</v>
      </c>
    </row>
    <row r="26853">
      <c r="H26853" s="50"/>
      <c r="I26853" s="50"/>
      <c r="O26853" s="36" t="s">
        <v>48</v>
      </c>
      <c r="R26853" s="36" t="s">
        <v>48</v>
      </c>
    </row>
    <row r="26854">
      <c r="H26854" s="50"/>
      <c r="I26854" s="50"/>
      <c r="O26854" s="36" t="s">
        <v>48</v>
      </c>
      <c r="R26854" s="36" t="s">
        <v>48</v>
      </c>
    </row>
    <row r="26855">
      <c r="H26855" s="50"/>
      <c r="I26855" s="50"/>
      <c r="O26855" s="36" t="s">
        <v>48</v>
      </c>
      <c r="R26855" s="36" t="s">
        <v>48</v>
      </c>
    </row>
    <row r="26856">
      <c r="H26856" s="50"/>
      <c r="I26856" s="50"/>
      <c r="O26856" s="36" t="s">
        <v>48</v>
      </c>
      <c r="R26856" s="36" t="s">
        <v>48</v>
      </c>
    </row>
    <row r="26857">
      <c r="H26857" s="50"/>
      <c r="I26857" s="50"/>
      <c r="O26857" s="36" t="s">
        <v>48</v>
      </c>
      <c r="R26857" s="36" t="s">
        <v>48</v>
      </c>
    </row>
    <row r="26858">
      <c r="H26858" s="50"/>
      <c r="I26858" s="50"/>
      <c r="O26858" s="36" t="s">
        <v>48</v>
      </c>
      <c r="R26858" s="36" t="s">
        <v>48</v>
      </c>
    </row>
    <row r="26859">
      <c r="H26859" s="50"/>
      <c r="I26859" s="50"/>
      <c r="O26859" s="36" t="s">
        <v>48</v>
      </c>
      <c r="R26859" s="36" t="s">
        <v>48</v>
      </c>
    </row>
    <row r="26860">
      <c r="H26860" s="50"/>
      <c r="I26860" s="50"/>
      <c r="O26860" s="36" t="s">
        <v>48</v>
      </c>
      <c r="R26860" s="36" t="s">
        <v>48</v>
      </c>
    </row>
    <row r="26861">
      <c r="H26861" s="50"/>
      <c r="I26861" s="50"/>
      <c r="O26861" s="36" t="s">
        <v>48</v>
      </c>
      <c r="R26861" s="36" t="s">
        <v>48</v>
      </c>
    </row>
    <row r="26862">
      <c r="H26862" s="50"/>
      <c r="I26862" s="50"/>
      <c r="O26862" s="36" t="s">
        <v>48</v>
      </c>
      <c r="R26862" s="36" t="s">
        <v>48</v>
      </c>
    </row>
    <row r="26863">
      <c r="H26863" s="50"/>
      <c r="I26863" s="50"/>
      <c r="O26863" s="36" t="s">
        <v>48</v>
      </c>
      <c r="R26863" s="36" t="s">
        <v>48</v>
      </c>
    </row>
    <row r="26864">
      <c r="H26864" s="50"/>
      <c r="I26864" s="50"/>
      <c r="O26864" s="36" t="s">
        <v>48</v>
      </c>
      <c r="R26864" s="36" t="s">
        <v>48</v>
      </c>
    </row>
    <row r="26865">
      <c r="H26865" s="50"/>
      <c r="I26865" s="50"/>
      <c r="O26865" s="36" t="s">
        <v>48</v>
      </c>
      <c r="R26865" s="36" t="s">
        <v>48</v>
      </c>
    </row>
    <row r="26866">
      <c r="H26866" s="50"/>
      <c r="I26866" s="50"/>
      <c r="O26866" s="36" t="s">
        <v>48</v>
      </c>
      <c r="R26866" s="36" t="s">
        <v>48</v>
      </c>
    </row>
    <row r="26867">
      <c r="H26867" s="50"/>
      <c r="I26867" s="50"/>
      <c r="O26867" s="36" t="s">
        <v>48</v>
      </c>
      <c r="R26867" s="36" t="s">
        <v>48</v>
      </c>
    </row>
    <row r="26868">
      <c r="H26868" s="50"/>
      <c r="I26868" s="50"/>
      <c r="O26868" s="36" t="s">
        <v>48</v>
      </c>
      <c r="R26868" s="36" t="s">
        <v>48</v>
      </c>
    </row>
    <row r="26869">
      <c r="H26869" s="50"/>
      <c r="I26869" s="50"/>
      <c r="O26869" s="36" t="s">
        <v>48</v>
      </c>
      <c r="R26869" s="36" t="s">
        <v>48</v>
      </c>
    </row>
    <row r="26870">
      <c r="H26870" s="50"/>
      <c r="I26870" s="50"/>
      <c r="O26870" s="36" t="s">
        <v>48</v>
      </c>
      <c r="R26870" s="36" t="s">
        <v>48</v>
      </c>
    </row>
    <row r="26871">
      <c r="H26871" s="50"/>
      <c r="I26871" s="50"/>
      <c r="O26871" s="36" t="s">
        <v>48</v>
      </c>
      <c r="R26871" s="36" t="s">
        <v>48</v>
      </c>
    </row>
    <row r="26872">
      <c r="H26872" s="50"/>
      <c r="I26872" s="50"/>
      <c r="O26872" s="36" t="s">
        <v>48</v>
      </c>
      <c r="R26872" s="36" t="s">
        <v>48</v>
      </c>
    </row>
    <row r="26873">
      <c r="H26873" s="50"/>
      <c r="I26873" s="50"/>
      <c r="O26873" s="36" t="s">
        <v>48</v>
      </c>
      <c r="R26873" s="36" t="s">
        <v>48</v>
      </c>
    </row>
    <row r="26874">
      <c r="H26874" s="50"/>
      <c r="I26874" s="50"/>
      <c r="O26874" s="36" t="s">
        <v>48</v>
      </c>
      <c r="R26874" s="36" t="s">
        <v>48</v>
      </c>
    </row>
    <row r="26875">
      <c r="H26875" s="50"/>
      <c r="I26875" s="50"/>
      <c r="O26875" s="36" t="s">
        <v>48</v>
      </c>
      <c r="R26875" s="36" t="s">
        <v>48</v>
      </c>
    </row>
    <row r="26876">
      <c r="H26876" s="50"/>
      <c r="I26876" s="50"/>
      <c r="O26876" s="36" t="s">
        <v>48</v>
      </c>
      <c r="R26876" s="36" t="s">
        <v>48</v>
      </c>
    </row>
    <row r="26877">
      <c r="H26877" s="50"/>
      <c r="I26877" s="50"/>
      <c r="O26877" s="36" t="s">
        <v>48</v>
      </c>
      <c r="R26877" s="36" t="s">
        <v>48</v>
      </c>
    </row>
    <row r="26878">
      <c r="H26878" s="50"/>
      <c r="I26878" s="50"/>
      <c r="O26878" s="36" t="s">
        <v>48</v>
      </c>
      <c r="R26878" s="36" t="s">
        <v>48</v>
      </c>
    </row>
    <row r="26879">
      <c r="H26879" s="50"/>
      <c r="I26879" s="50"/>
      <c r="O26879" s="36" t="s">
        <v>48</v>
      </c>
      <c r="R26879" s="36" t="s">
        <v>48</v>
      </c>
    </row>
    <row r="26880">
      <c r="H26880" s="50"/>
      <c r="I26880" s="50"/>
      <c r="O26880" s="36" t="s">
        <v>48</v>
      </c>
      <c r="R26880" s="36" t="s">
        <v>48</v>
      </c>
    </row>
    <row r="26881">
      <c r="H26881" s="50"/>
      <c r="I26881" s="50"/>
      <c r="O26881" s="36" t="s">
        <v>48</v>
      </c>
      <c r="R26881" s="36" t="s">
        <v>48</v>
      </c>
    </row>
    <row r="26882">
      <c r="H26882" s="50"/>
      <c r="I26882" s="50"/>
      <c r="O26882" s="36" t="s">
        <v>48</v>
      </c>
      <c r="R26882" s="36" t="s">
        <v>48</v>
      </c>
    </row>
    <row r="26883">
      <c r="H26883" s="50"/>
      <c r="I26883" s="50"/>
      <c r="O26883" s="36" t="s">
        <v>48</v>
      </c>
      <c r="R26883" s="36" t="s">
        <v>48</v>
      </c>
    </row>
    <row r="26884">
      <c r="H26884" s="50"/>
      <c r="I26884" s="50"/>
      <c r="O26884" s="36" t="s">
        <v>48</v>
      </c>
      <c r="R26884" s="36" t="s">
        <v>48</v>
      </c>
    </row>
    <row r="26885">
      <c r="H26885" s="50"/>
      <c r="I26885" s="50"/>
      <c r="O26885" s="36" t="s">
        <v>48</v>
      </c>
      <c r="R26885" s="36" t="s">
        <v>48</v>
      </c>
    </row>
    <row r="26886">
      <c r="H26886" s="50"/>
      <c r="I26886" s="50"/>
      <c r="O26886" s="36" t="s">
        <v>48</v>
      </c>
      <c r="R26886" s="36" t="s">
        <v>48</v>
      </c>
    </row>
    <row r="26887">
      <c r="H26887" s="50"/>
      <c r="I26887" s="50"/>
      <c r="O26887" s="36" t="s">
        <v>48</v>
      </c>
      <c r="R26887" s="36" t="s">
        <v>48</v>
      </c>
    </row>
    <row r="26888">
      <c r="H26888" s="50"/>
      <c r="I26888" s="50"/>
      <c r="O26888" s="36" t="s">
        <v>48</v>
      </c>
      <c r="R26888" s="36" t="s">
        <v>48</v>
      </c>
    </row>
    <row r="26889">
      <c r="H26889" s="50"/>
      <c r="I26889" s="50"/>
      <c r="O26889" s="36" t="s">
        <v>48</v>
      </c>
      <c r="R26889" s="36" t="s">
        <v>48</v>
      </c>
    </row>
    <row r="26890">
      <c r="H26890" s="50"/>
      <c r="I26890" s="50"/>
      <c r="O26890" s="36" t="s">
        <v>48</v>
      </c>
      <c r="R26890" s="36" t="s">
        <v>48</v>
      </c>
    </row>
    <row r="26891">
      <c r="H26891" s="50"/>
      <c r="I26891" s="50"/>
      <c r="O26891" s="36" t="s">
        <v>48</v>
      </c>
      <c r="R26891" s="36" t="s">
        <v>48</v>
      </c>
    </row>
    <row r="26892">
      <c r="H26892" s="50"/>
      <c r="I26892" s="50"/>
      <c r="O26892" s="36" t="s">
        <v>48</v>
      </c>
      <c r="R26892" s="36" t="s">
        <v>48</v>
      </c>
    </row>
    <row r="26893">
      <c r="H26893" s="50"/>
      <c r="I26893" s="50"/>
      <c r="O26893" s="36" t="s">
        <v>48</v>
      </c>
      <c r="R26893" s="36" t="s">
        <v>48</v>
      </c>
    </row>
    <row r="26894">
      <c r="H26894" s="50"/>
      <c r="I26894" s="50"/>
      <c r="O26894" s="36" t="s">
        <v>48</v>
      </c>
      <c r="R26894" s="36" t="s">
        <v>48</v>
      </c>
    </row>
    <row r="26895">
      <c r="H26895" s="50"/>
      <c r="I26895" s="50"/>
      <c r="O26895" s="36" t="s">
        <v>48</v>
      </c>
      <c r="R26895" s="36" t="s">
        <v>48</v>
      </c>
    </row>
    <row r="26896">
      <c r="H26896" s="50"/>
      <c r="I26896" s="50"/>
      <c r="O26896" s="36" t="s">
        <v>48</v>
      </c>
      <c r="R26896" s="36" t="s">
        <v>48</v>
      </c>
    </row>
    <row r="26897">
      <c r="H26897" s="50"/>
      <c r="I26897" s="50"/>
      <c r="O26897" s="36" t="s">
        <v>48</v>
      </c>
      <c r="R26897" s="36" t="s">
        <v>48</v>
      </c>
    </row>
    <row r="26898">
      <c r="H26898" s="50"/>
      <c r="I26898" s="50"/>
      <c r="O26898" s="36" t="s">
        <v>48</v>
      </c>
      <c r="R26898" s="36" t="s">
        <v>48</v>
      </c>
    </row>
    <row r="26899">
      <c r="H26899" s="50"/>
      <c r="I26899" s="50"/>
      <c r="O26899" s="36" t="s">
        <v>48</v>
      </c>
      <c r="R26899" s="36" t="s">
        <v>48</v>
      </c>
    </row>
    <row r="26900">
      <c r="H26900" s="50"/>
      <c r="I26900" s="50"/>
      <c r="O26900" s="36" t="s">
        <v>48</v>
      </c>
      <c r="R26900" s="36" t="s">
        <v>48</v>
      </c>
    </row>
    <row r="26901">
      <c r="H26901" s="50"/>
      <c r="I26901" s="50"/>
      <c r="O26901" s="36" t="s">
        <v>48</v>
      </c>
      <c r="R26901" s="36" t="s">
        <v>48</v>
      </c>
    </row>
    <row r="26902">
      <c r="H26902" s="50"/>
      <c r="I26902" s="50"/>
      <c r="O26902" s="36" t="s">
        <v>48</v>
      </c>
      <c r="R26902" s="36" t="s">
        <v>48</v>
      </c>
    </row>
    <row r="26903">
      <c r="H26903" s="50"/>
      <c r="I26903" s="50"/>
      <c r="O26903" s="36" t="s">
        <v>48</v>
      </c>
      <c r="R26903" s="36" t="s">
        <v>48</v>
      </c>
    </row>
    <row r="26904">
      <c r="H26904" s="50"/>
      <c r="I26904" s="50"/>
      <c r="O26904" s="36" t="s">
        <v>48</v>
      </c>
      <c r="R26904" s="36" t="s">
        <v>48</v>
      </c>
    </row>
    <row r="26905">
      <c r="H26905" s="50"/>
      <c r="I26905" s="50"/>
      <c r="O26905" s="36" t="s">
        <v>48</v>
      </c>
      <c r="R26905" s="36" t="s">
        <v>48</v>
      </c>
    </row>
    <row r="26906">
      <c r="H26906" s="50"/>
      <c r="I26906" s="50"/>
      <c r="O26906" s="36" t="s">
        <v>48</v>
      </c>
      <c r="R26906" s="36" t="s">
        <v>48</v>
      </c>
    </row>
    <row r="26907">
      <c r="H26907" s="50"/>
      <c r="I26907" s="50"/>
      <c r="O26907" s="36" t="s">
        <v>48</v>
      </c>
      <c r="R26907" s="36" t="s">
        <v>48</v>
      </c>
    </row>
    <row r="26908">
      <c r="H26908" s="50"/>
      <c r="I26908" s="50"/>
      <c r="O26908" s="36" t="s">
        <v>48</v>
      </c>
      <c r="R26908" s="36" t="s">
        <v>48</v>
      </c>
    </row>
    <row r="26909">
      <c r="H26909" s="50"/>
      <c r="I26909" s="50"/>
      <c r="O26909" s="36" t="s">
        <v>48</v>
      </c>
      <c r="R26909" s="36" t="s">
        <v>48</v>
      </c>
    </row>
    <row r="26910">
      <c r="H26910" s="50"/>
      <c r="I26910" s="50"/>
      <c r="O26910" s="36" t="s">
        <v>48</v>
      </c>
      <c r="R26910" s="36" t="s">
        <v>48</v>
      </c>
    </row>
    <row r="26911">
      <c r="H26911" s="50"/>
      <c r="I26911" s="50"/>
      <c r="O26911" s="36" t="s">
        <v>48</v>
      </c>
      <c r="R26911" s="36" t="s">
        <v>48</v>
      </c>
    </row>
    <row r="26912">
      <c r="H26912" s="50"/>
      <c r="I26912" s="50"/>
      <c r="O26912" s="36" t="s">
        <v>48</v>
      </c>
      <c r="R26912" s="36" t="s">
        <v>48</v>
      </c>
    </row>
    <row r="26913">
      <c r="H26913" s="50"/>
      <c r="I26913" s="50"/>
      <c r="O26913" s="36" t="s">
        <v>48</v>
      </c>
      <c r="R26913" s="36" t="s">
        <v>48</v>
      </c>
    </row>
    <row r="26914">
      <c r="H26914" s="50"/>
      <c r="I26914" s="50"/>
      <c r="O26914" s="36" t="s">
        <v>48</v>
      </c>
      <c r="R26914" s="36" t="s">
        <v>48</v>
      </c>
    </row>
    <row r="26915">
      <c r="H26915" s="50"/>
      <c r="I26915" s="50"/>
      <c r="O26915" s="36" t="s">
        <v>48</v>
      </c>
      <c r="R26915" s="36" t="s">
        <v>48</v>
      </c>
    </row>
    <row r="26916">
      <c r="H26916" s="50"/>
      <c r="I26916" s="50"/>
      <c r="O26916" s="36" t="s">
        <v>48</v>
      </c>
      <c r="R26916" s="36" t="s">
        <v>48</v>
      </c>
    </row>
    <row r="26917">
      <c r="H26917" s="50"/>
      <c r="I26917" s="50"/>
      <c r="O26917" s="36" t="s">
        <v>48</v>
      </c>
      <c r="R26917" s="36" t="s">
        <v>48</v>
      </c>
    </row>
    <row r="26918">
      <c r="H26918" s="50"/>
      <c r="I26918" s="50"/>
      <c r="O26918" s="36" t="s">
        <v>48</v>
      </c>
      <c r="R26918" s="36" t="s">
        <v>48</v>
      </c>
    </row>
    <row r="26919">
      <c r="H26919" s="50"/>
      <c r="I26919" s="50"/>
      <c r="O26919" s="36" t="s">
        <v>48</v>
      </c>
      <c r="R26919" s="36" t="s">
        <v>48</v>
      </c>
    </row>
    <row r="26920">
      <c r="H26920" s="50"/>
      <c r="I26920" s="50"/>
      <c r="O26920" s="36" t="s">
        <v>48</v>
      </c>
      <c r="R26920" s="36" t="s">
        <v>48</v>
      </c>
    </row>
    <row r="26921">
      <c r="H26921" s="50"/>
      <c r="I26921" s="50"/>
      <c r="O26921" s="36" t="s">
        <v>48</v>
      </c>
      <c r="R26921" s="36" t="s">
        <v>48</v>
      </c>
    </row>
    <row r="26922">
      <c r="H26922" s="50"/>
      <c r="I26922" s="50"/>
      <c r="O26922" s="36" t="s">
        <v>48</v>
      </c>
      <c r="R26922" s="36" t="s">
        <v>48</v>
      </c>
    </row>
    <row r="26923">
      <c r="H26923" s="50"/>
      <c r="I26923" s="50"/>
      <c r="O26923" s="36" t="s">
        <v>48</v>
      </c>
      <c r="R26923" s="36" t="s">
        <v>48</v>
      </c>
    </row>
    <row r="26924">
      <c r="H26924" s="50"/>
      <c r="I26924" s="50"/>
      <c r="O26924" s="36" t="s">
        <v>48</v>
      </c>
      <c r="R26924" s="36" t="s">
        <v>48</v>
      </c>
    </row>
    <row r="26925">
      <c r="H26925" s="50"/>
      <c r="I26925" s="50"/>
      <c r="O26925" s="36" t="s">
        <v>48</v>
      </c>
      <c r="R26925" s="36" t="s">
        <v>48</v>
      </c>
    </row>
    <row r="26926">
      <c r="H26926" s="50"/>
      <c r="I26926" s="50"/>
      <c r="O26926" s="36" t="s">
        <v>48</v>
      </c>
      <c r="R26926" s="36" t="s">
        <v>48</v>
      </c>
    </row>
    <row r="26927">
      <c r="H26927" s="50"/>
      <c r="I26927" s="50"/>
      <c r="O26927" s="36" t="s">
        <v>48</v>
      </c>
      <c r="R26927" s="36" t="s">
        <v>48</v>
      </c>
    </row>
    <row r="26928">
      <c r="H26928" s="50"/>
      <c r="I26928" s="50"/>
      <c r="O26928" s="36" t="s">
        <v>48</v>
      </c>
      <c r="R26928" s="36" t="s">
        <v>48</v>
      </c>
    </row>
    <row r="26929">
      <c r="H26929" s="50"/>
      <c r="I26929" s="50"/>
      <c r="O26929" s="36" t="s">
        <v>48</v>
      </c>
      <c r="R26929" s="36" t="s">
        <v>48</v>
      </c>
    </row>
    <row r="26930">
      <c r="H26930" s="50"/>
      <c r="I26930" s="50"/>
      <c r="O26930" s="36" t="s">
        <v>48</v>
      </c>
      <c r="R26930" s="36" t="s">
        <v>48</v>
      </c>
    </row>
    <row r="26931">
      <c r="H26931" s="50"/>
      <c r="I26931" s="50"/>
      <c r="O26931" s="36" t="s">
        <v>48</v>
      </c>
      <c r="R26931" s="36" t="s">
        <v>48</v>
      </c>
    </row>
    <row r="26932">
      <c r="H26932" s="50"/>
      <c r="I26932" s="50"/>
      <c r="O26932" s="36" t="s">
        <v>48</v>
      </c>
      <c r="R26932" s="36" t="s">
        <v>48</v>
      </c>
    </row>
    <row r="26933">
      <c r="H26933" s="50"/>
      <c r="I26933" s="50"/>
      <c r="O26933" s="36" t="s">
        <v>48</v>
      </c>
      <c r="R26933" s="36" t="s">
        <v>48</v>
      </c>
    </row>
    <row r="26934">
      <c r="H26934" s="50"/>
      <c r="I26934" s="50"/>
      <c r="O26934" s="36" t="s">
        <v>48</v>
      </c>
      <c r="R26934" s="36" t="s">
        <v>48</v>
      </c>
    </row>
    <row r="26935">
      <c r="H26935" s="50"/>
      <c r="I26935" s="50"/>
      <c r="O26935" s="36" t="s">
        <v>48</v>
      </c>
      <c r="R26935" s="36" t="s">
        <v>48</v>
      </c>
    </row>
    <row r="26936">
      <c r="H26936" s="50"/>
      <c r="I26936" s="50"/>
      <c r="O26936" s="36" t="s">
        <v>48</v>
      </c>
      <c r="R26936" s="36" t="s">
        <v>48</v>
      </c>
    </row>
    <row r="26937">
      <c r="H26937" s="50"/>
      <c r="I26937" s="50"/>
      <c r="O26937" s="36" t="s">
        <v>48</v>
      </c>
      <c r="R26937" s="36" t="s">
        <v>48</v>
      </c>
    </row>
    <row r="26938">
      <c r="H26938" s="50"/>
      <c r="I26938" s="50"/>
      <c r="O26938" s="36" t="s">
        <v>48</v>
      </c>
      <c r="R26938" s="36" t="s">
        <v>48</v>
      </c>
    </row>
    <row r="26939">
      <c r="H26939" s="50"/>
      <c r="I26939" s="50"/>
      <c r="O26939" s="36" t="s">
        <v>48</v>
      </c>
      <c r="R26939" s="36" t="s">
        <v>48</v>
      </c>
    </row>
    <row r="26940">
      <c r="H26940" s="50"/>
      <c r="I26940" s="50"/>
      <c r="O26940" s="36" t="s">
        <v>48</v>
      </c>
      <c r="R26940" s="36" t="s">
        <v>48</v>
      </c>
    </row>
    <row r="26941">
      <c r="H26941" s="50"/>
      <c r="I26941" s="50"/>
      <c r="O26941" s="36" t="s">
        <v>48</v>
      </c>
      <c r="R26941" s="36" t="s">
        <v>48</v>
      </c>
    </row>
    <row r="26942">
      <c r="H26942" s="50"/>
      <c r="I26942" s="50"/>
      <c r="O26942" s="36" t="s">
        <v>48</v>
      </c>
      <c r="R26942" s="36" t="s">
        <v>48</v>
      </c>
    </row>
    <row r="26943">
      <c r="H26943" s="50"/>
      <c r="I26943" s="50"/>
      <c r="O26943" s="36" t="s">
        <v>48</v>
      </c>
      <c r="R26943" s="36" t="s">
        <v>48</v>
      </c>
    </row>
    <row r="26944">
      <c r="H26944" s="50"/>
      <c r="I26944" s="50"/>
      <c r="O26944" s="36" t="s">
        <v>48</v>
      </c>
      <c r="R26944" s="36" t="s">
        <v>48</v>
      </c>
    </row>
    <row r="26945">
      <c r="H26945" s="50"/>
      <c r="I26945" s="50"/>
      <c r="O26945" s="36" t="s">
        <v>48</v>
      </c>
      <c r="R26945" s="36" t="s">
        <v>48</v>
      </c>
    </row>
    <row r="26946">
      <c r="H26946" s="50"/>
      <c r="I26946" s="50"/>
      <c r="O26946" s="36" t="s">
        <v>48</v>
      </c>
      <c r="R26946" s="36" t="s">
        <v>48</v>
      </c>
    </row>
    <row r="26947">
      <c r="H26947" s="50"/>
      <c r="I26947" s="50"/>
      <c r="O26947" s="36" t="s">
        <v>48</v>
      </c>
      <c r="R26947" s="36" t="s">
        <v>48</v>
      </c>
    </row>
    <row r="26948">
      <c r="H26948" s="50"/>
      <c r="I26948" s="50"/>
      <c r="O26948" s="36" t="s">
        <v>48</v>
      </c>
      <c r="R26948" s="36" t="s">
        <v>48</v>
      </c>
    </row>
    <row r="26949">
      <c r="H26949" s="50"/>
      <c r="I26949" s="50"/>
      <c r="O26949" s="36" t="s">
        <v>48</v>
      </c>
      <c r="R26949" s="36" t="s">
        <v>48</v>
      </c>
    </row>
    <row r="26950">
      <c r="H26950" s="50"/>
      <c r="I26950" s="50"/>
      <c r="O26950" s="36" t="s">
        <v>48</v>
      </c>
      <c r="R26950" s="36" t="s">
        <v>48</v>
      </c>
    </row>
    <row r="26951">
      <c r="H26951" s="50"/>
      <c r="I26951" s="50"/>
      <c r="O26951" s="36" t="s">
        <v>48</v>
      </c>
      <c r="R26951" s="36" t="s">
        <v>48</v>
      </c>
    </row>
    <row r="26952">
      <c r="H26952" s="50"/>
      <c r="I26952" s="50"/>
      <c r="O26952" s="36" t="s">
        <v>48</v>
      </c>
      <c r="R26952" s="36" t="s">
        <v>48</v>
      </c>
    </row>
    <row r="26953">
      <c r="H26953" s="50"/>
      <c r="I26953" s="50"/>
      <c r="O26953" s="36" t="s">
        <v>48</v>
      </c>
      <c r="R26953" s="36" t="s">
        <v>48</v>
      </c>
    </row>
    <row r="26954">
      <c r="H26954" s="50"/>
      <c r="I26954" s="50"/>
      <c r="O26954" s="36" t="s">
        <v>48</v>
      </c>
      <c r="R26954" s="36" t="s">
        <v>48</v>
      </c>
    </row>
    <row r="26955">
      <c r="H26955" s="50"/>
      <c r="I26955" s="50"/>
      <c r="O26955" s="36" t="s">
        <v>48</v>
      </c>
      <c r="R26955" s="36" t="s">
        <v>48</v>
      </c>
    </row>
    <row r="26956">
      <c r="H26956" s="50"/>
      <c r="I26956" s="50"/>
      <c r="O26956" s="36" t="s">
        <v>48</v>
      </c>
      <c r="R26956" s="36" t="s">
        <v>48</v>
      </c>
    </row>
    <row r="26957">
      <c r="H26957" s="50"/>
      <c r="I26957" s="50"/>
      <c r="O26957" s="36" t="s">
        <v>48</v>
      </c>
      <c r="R26957" s="36" t="s">
        <v>48</v>
      </c>
    </row>
    <row r="26958">
      <c r="H26958" s="50"/>
      <c r="I26958" s="50"/>
      <c r="O26958" s="36" t="s">
        <v>48</v>
      </c>
      <c r="R26958" s="36" t="s">
        <v>48</v>
      </c>
    </row>
    <row r="26959">
      <c r="H26959" s="50"/>
      <c r="I26959" s="50"/>
      <c r="O26959" s="36" t="s">
        <v>48</v>
      </c>
      <c r="R26959" s="36" t="s">
        <v>48</v>
      </c>
    </row>
    <row r="26960">
      <c r="H26960" s="50"/>
      <c r="I26960" s="50"/>
      <c r="O26960" s="36" t="s">
        <v>48</v>
      </c>
      <c r="R26960" s="36" t="s">
        <v>48</v>
      </c>
    </row>
    <row r="26961">
      <c r="H26961" s="50"/>
      <c r="I26961" s="50"/>
      <c r="O26961" s="36" t="s">
        <v>48</v>
      </c>
      <c r="R26961" s="36" t="s">
        <v>48</v>
      </c>
    </row>
    <row r="26962">
      <c r="H26962" s="50"/>
      <c r="I26962" s="50"/>
      <c r="O26962" s="36" t="s">
        <v>48</v>
      </c>
      <c r="R26962" s="36" t="s">
        <v>48</v>
      </c>
    </row>
    <row r="26963">
      <c r="H26963" s="50"/>
      <c r="I26963" s="50"/>
      <c r="O26963" s="36" t="s">
        <v>48</v>
      </c>
      <c r="R26963" s="36" t="s">
        <v>48</v>
      </c>
    </row>
    <row r="26964">
      <c r="H26964" s="50"/>
      <c r="I26964" s="50"/>
      <c r="O26964" s="36" t="s">
        <v>48</v>
      </c>
      <c r="R26964" s="36" t="s">
        <v>48</v>
      </c>
    </row>
    <row r="26965">
      <c r="H26965" s="50"/>
      <c r="I26965" s="50"/>
      <c r="O26965" s="36" t="s">
        <v>48</v>
      </c>
      <c r="R26965" s="36" t="s">
        <v>48</v>
      </c>
    </row>
    <row r="26966">
      <c r="H26966" s="50"/>
      <c r="I26966" s="50"/>
      <c r="O26966" s="36" t="s">
        <v>48</v>
      </c>
      <c r="R26966" s="36" t="s">
        <v>48</v>
      </c>
    </row>
    <row r="26967">
      <c r="H26967" s="50"/>
      <c r="I26967" s="50"/>
      <c r="O26967" s="36" t="s">
        <v>48</v>
      </c>
      <c r="R26967" s="36" t="s">
        <v>48</v>
      </c>
    </row>
    <row r="26968">
      <c r="H26968" s="50"/>
      <c r="I26968" s="50"/>
      <c r="O26968" s="36" t="s">
        <v>48</v>
      </c>
      <c r="R26968" s="36" t="s">
        <v>48</v>
      </c>
    </row>
    <row r="26969">
      <c r="H26969" s="50"/>
      <c r="I26969" s="50"/>
      <c r="O26969" s="36" t="s">
        <v>48</v>
      </c>
      <c r="R26969" s="36" t="s">
        <v>48</v>
      </c>
    </row>
    <row r="26970">
      <c r="H26970" s="50"/>
      <c r="I26970" s="50"/>
      <c r="O26970" s="36" t="s">
        <v>48</v>
      </c>
      <c r="R26970" s="36" t="s">
        <v>48</v>
      </c>
    </row>
    <row r="26971">
      <c r="H26971" s="50"/>
      <c r="I26971" s="50"/>
      <c r="O26971" s="36" t="s">
        <v>48</v>
      </c>
      <c r="R26971" s="36" t="s">
        <v>48</v>
      </c>
    </row>
    <row r="26972">
      <c r="H26972" s="50"/>
      <c r="I26972" s="50"/>
      <c r="O26972" s="36" t="s">
        <v>48</v>
      </c>
      <c r="R26972" s="36" t="s">
        <v>48</v>
      </c>
    </row>
    <row r="26973">
      <c r="H26973" s="50"/>
      <c r="I26973" s="50"/>
      <c r="O26973" s="36" t="s">
        <v>48</v>
      </c>
      <c r="R26973" s="36" t="s">
        <v>48</v>
      </c>
    </row>
    <row r="26974">
      <c r="H26974" s="50"/>
      <c r="I26974" s="50"/>
      <c r="O26974" s="36" t="s">
        <v>48</v>
      </c>
      <c r="R26974" s="36" t="s">
        <v>48</v>
      </c>
    </row>
    <row r="26975">
      <c r="H26975" s="50"/>
      <c r="I26975" s="50"/>
      <c r="O26975" s="36" t="s">
        <v>48</v>
      </c>
      <c r="R26975" s="36" t="s">
        <v>48</v>
      </c>
    </row>
    <row r="26976">
      <c r="H26976" s="50"/>
      <c r="I26976" s="50"/>
      <c r="O26976" s="36" t="s">
        <v>48</v>
      </c>
      <c r="R26976" s="36" t="s">
        <v>48</v>
      </c>
    </row>
    <row r="26977">
      <c r="H26977" s="50"/>
      <c r="I26977" s="50"/>
      <c r="O26977" s="36" t="s">
        <v>48</v>
      </c>
      <c r="R26977" s="36" t="s">
        <v>48</v>
      </c>
    </row>
    <row r="26978">
      <c r="H26978" s="50"/>
      <c r="I26978" s="50"/>
      <c r="O26978" s="36" t="s">
        <v>48</v>
      </c>
      <c r="R26978" s="36" t="s">
        <v>48</v>
      </c>
    </row>
    <row r="26979">
      <c r="H26979" s="50"/>
      <c r="I26979" s="50"/>
      <c r="O26979" s="36" t="s">
        <v>48</v>
      </c>
      <c r="R26979" s="36" t="s">
        <v>48</v>
      </c>
    </row>
    <row r="26980">
      <c r="H26980" s="50"/>
      <c r="I26980" s="50"/>
      <c r="O26980" s="36" t="s">
        <v>48</v>
      </c>
      <c r="R26980" s="36" t="s">
        <v>48</v>
      </c>
    </row>
    <row r="26981">
      <c r="H26981" s="50"/>
      <c r="I26981" s="50"/>
      <c r="O26981" s="36" t="s">
        <v>48</v>
      </c>
      <c r="R26981" s="36" t="s">
        <v>48</v>
      </c>
    </row>
    <row r="26982">
      <c r="H26982" s="50"/>
      <c r="I26982" s="50"/>
      <c r="O26982" s="36" t="s">
        <v>48</v>
      </c>
      <c r="R26982" s="36" t="s">
        <v>48</v>
      </c>
    </row>
    <row r="26983">
      <c r="H26983" s="50"/>
      <c r="I26983" s="50"/>
      <c r="O26983" s="36" t="s">
        <v>48</v>
      </c>
      <c r="R26983" s="36" t="s">
        <v>48</v>
      </c>
    </row>
    <row r="26984">
      <c r="H26984" s="50"/>
      <c r="I26984" s="50"/>
      <c r="O26984" s="36" t="s">
        <v>48</v>
      </c>
      <c r="R26984" s="36" t="s">
        <v>48</v>
      </c>
    </row>
    <row r="26985">
      <c r="H26985" s="50"/>
      <c r="I26985" s="50"/>
      <c r="O26985" s="36" t="s">
        <v>48</v>
      </c>
      <c r="R26985" s="36" t="s">
        <v>48</v>
      </c>
    </row>
    <row r="26986">
      <c r="H26986" s="50"/>
      <c r="I26986" s="50"/>
      <c r="O26986" s="36" t="s">
        <v>48</v>
      </c>
      <c r="R26986" s="36" t="s">
        <v>48</v>
      </c>
    </row>
    <row r="26987">
      <c r="H26987" s="50"/>
      <c r="I26987" s="50"/>
      <c r="O26987" s="36" t="s">
        <v>48</v>
      </c>
      <c r="R26987" s="36" t="s">
        <v>48</v>
      </c>
    </row>
    <row r="26988">
      <c r="H26988" s="50"/>
      <c r="I26988" s="50"/>
      <c r="O26988" s="36" t="s">
        <v>48</v>
      </c>
      <c r="R26988" s="36" t="s">
        <v>48</v>
      </c>
    </row>
    <row r="26989">
      <c r="H26989" s="50"/>
      <c r="I26989" s="50"/>
      <c r="O26989" s="36" t="s">
        <v>48</v>
      </c>
      <c r="R26989" s="36" t="s">
        <v>48</v>
      </c>
    </row>
    <row r="26990">
      <c r="H26990" s="50"/>
      <c r="I26990" s="50"/>
      <c r="O26990" s="36" t="s">
        <v>48</v>
      </c>
      <c r="R26990" s="36" t="s">
        <v>48</v>
      </c>
    </row>
    <row r="26991">
      <c r="H26991" s="50"/>
      <c r="I26991" s="50"/>
      <c r="O26991" s="36" t="s">
        <v>48</v>
      </c>
      <c r="R26991" s="36" t="s">
        <v>48</v>
      </c>
    </row>
    <row r="26992">
      <c r="H26992" s="50"/>
      <c r="I26992" s="50"/>
      <c r="O26992" s="36" t="s">
        <v>48</v>
      </c>
      <c r="R26992" s="36" t="s">
        <v>48</v>
      </c>
    </row>
    <row r="26993">
      <c r="H26993" s="50"/>
      <c r="I26993" s="50"/>
      <c r="O26993" s="36" t="s">
        <v>48</v>
      </c>
      <c r="R26993" s="36" t="s">
        <v>48</v>
      </c>
    </row>
    <row r="26994">
      <c r="H26994" s="50"/>
      <c r="I26994" s="50"/>
      <c r="O26994" s="36" t="s">
        <v>48</v>
      </c>
      <c r="R26994" s="36" t="s">
        <v>48</v>
      </c>
    </row>
    <row r="26995">
      <c r="H26995" s="50"/>
      <c r="I26995" s="50"/>
      <c r="O26995" s="36" t="s">
        <v>48</v>
      </c>
      <c r="R26995" s="36" t="s">
        <v>48</v>
      </c>
    </row>
    <row r="26996">
      <c r="H26996" s="50"/>
      <c r="I26996" s="50"/>
      <c r="O26996" s="36" t="s">
        <v>48</v>
      </c>
      <c r="R26996" s="36" t="s">
        <v>48</v>
      </c>
    </row>
    <row r="26997">
      <c r="H26997" s="50"/>
      <c r="I26997" s="50"/>
      <c r="O26997" s="36" t="s">
        <v>48</v>
      </c>
      <c r="R26997" s="36" t="s">
        <v>48</v>
      </c>
    </row>
    <row r="26998">
      <c r="H26998" s="50"/>
      <c r="I26998" s="50"/>
      <c r="O26998" s="36" t="s">
        <v>48</v>
      </c>
      <c r="R26998" s="36" t="s">
        <v>48</v>
      </c>
    </row>
    <row r="26999">
      <c r="H26999" s="50"/>
      <c r="I26999" s="50"/>
      <c r="O26999" s="36" t="s">
        <v>48</v>
      </c>
      <c r="R26999" s="36" t="s">
        <v>48</v>
      </c>
    </row>
    <row r="27000">
      <c r="H27000" s="50"/>
      <c r="I27000" s="50"/>
      <c r="O27000" s="36" t="s">
        <v>48</v>
      </c>
      <c r="R27000" s="36" t="s">
        <v>48</v>
      </c>
    </row>
    <row r="27001">
      <c r="H27001" s="50"/>
      <c r="I27001" s="50"/>
      <c r="O27001" s="36" t="s">
        <v>48</v>
      </c>
      <c r="R27001" s="36" t="s">
        <v>48</v>
      </c>
    </row>
    <row r="27002">
      <c r="H27002" s="50"/>
      <c r="I27002" s="50"/>
      <c r="O27002" s="36" t="s">
        <v>48</v>
      </c>
      <c r="R27002" s="36" t="s">
        <v>48</v>
      </c>
    </row>
    <row r="27003">
      <c r="H27003" s="50"/>
      <c r="I27003" s="50"/>
      <c r="O27003" s="36" t="s">
        <v>48</v>
      </c>
      <c r="R27003" s="36" t="s">
        <v>48</v>
      </c>
    </row>
    <row r="27004">
      <c r="H27004" s="50"/>
      <c r="I27004" s="50"/>
      <c r="O27004" s="36" t="s">
        <v>48</v>
      </c>
      <c r="R27004" s="36" t="s">
        <v>48</v>
      </c>
    </row>
    <row r="27005">
      <c r="H27005" s="50"/>
      <c r="I27005" s="50"/>
      <c r="O27005" s="36" t="s">
        <v>48</v>
      </c>
      <c r="R27005" s="36" t="s">
        <v>48</v>
      </c>
    </row>
    <row r="27006">
      <c r="H27006" s="50"/>
      <c r="I27006" s="50"/>
      <c r="O27006" s="36" t="s">
        <v>48</v>
      </c>
      <c r="R27006" s="36" t="s">
        <v>48</v>
      </c>
    </row>
    <row r="27007">
      <c r="H27007" s="50"/>
      <c r="I27007" s="50"/>
      <c r="O27007" s="36" t="s">
        <v>48</v>
      </c>
      <c r="R27007" s="36" t="s">
        <v>48</v>
      </c>
    </row>
    <row r="27008">
      <c r="H27008" s="50"/>
      <c r="I27008" s="50"/>
      <c r="O27008" s="36" t="s">
        <v>48</v>
      </c>
      <c r="R27008" s="36" t="s">
        <v>48</v>
      </c>
    </row>
    <row r="27009">
      <c r="H27009" s="50"/>
      <c r="I27009" s="50"/>
      <c r="O27009" s="36" t="s">
        <v>48</v>
      </c>
      <c r="R27009" s="36" t="s">
        <v>48</v>
      </c>
    </row>
    <row r="27010">
      <c r="H27010" s="50"/>
      <c r="I27010" s="50"/>
      <c r="O27010" s="36" t="s">
        <v>48</v>
      </c>
      <c r="R27010" s="36" t="s">
        <v>48</v>
      </c>
    </row>
    <row r="27011">
      <c r="H27011" s="50"/>
      <c r="I27011" s="50"/>
      <c r="O27011" s="36" t="s">
        <v>48</v>
      </c>
      <c r="R27011" s="36" t="s">
        <v>48</v>
      </c>
    </row>
    <row r="27012">
      <c r="H27012" s="50"/>
      <c r="I27012" s="50"/>
      <c r="O27012" s="36" t="s">
        <v>48</v>
      </c>
      <c r="R27012" s="36" t="s">
        <v>48</v>
      </c>
    </row>
    <row r="27013">
      <c r="H27013" s="50"/>
      <c r="I27013" s="50"/>
      <c r="O27013" s="36" t="s">
        <v>48</v>
      </c>
      <c r="R27013" s="36" t="s">
        <v>48</v>
      </c>
    </row>
    <row r="27014">
      <c r="H27014" s="50"/>
      <c r="I27014" s="50"/>
      <c r="O27014" s="36" t="s">
        <v>48</v>
      </c>
      <c r="R27014" s="36" t="s">
        <v>48</v>
      </c>
    </row>
    <row r="27015">
      <c r="H27015" s="50"/>
      <c r="I27015" s="50"/>
      <c r="O27015" s="36" t="s">
        <v>48</v>
      </c>
      <c r="R27015" s="36" t="s">
        <v>48</v>
      </c>
    </row>
    <row r="27016">
      <c r="H27016" s="50"/>
      <c r="I27016" s="50"/>
      <c r="O27016" s="36" t="s">
        <v>48</v>
      </c>
      <c r="R27016" s="36" t="s">
        <v>48</v>
      </c>
    </row>
    <row r="27017">
      <c r="H27017" s="50"/>
      <c r="I27017" s="50"/>
      <c r="O27017" s="36" t="s">
        <v>48</v>
      </c>
      <c r="R27017" s="36" t="s">
        <v>48</v>
      </c>
    </row>
    <row r="27018">
      <c r="H27018" s="50"/>
      <c r="I27018" s="50"/>
      <c r="O27018" s="36" t="s">
        <v>48</v>
      </c>
      <c r="R27018" s="36" t="s">
        <v>48</v>
      </c>
    </row>
    <row r="27019">
      <c r="H27019" s="50"/>
      <c r="I27019" s="50"/>
      <c r="O27019" s="36" t="s">
        <v>48</v>
      </c>
      <c r="R27019" s="36" t="s">
        <v>48</v>
      </c>
    </row>
    <row r="27020">
      <c r="H27020" s="50"/>
      <c r="I27020" s="50"/>
      <c r="O27020" s="36" t="s">
        <v>48</v>
      </c>
      <c r="R27020" s="36" t="s">
        <v>48</v>
      </c>
    </row>
    <row r="27021">
      <c r="H27021" s="50"/>
      <c r="I27021" s="50"/>
      <c r="O27021" s="36" t="s">
        <v>48</v>
      </c>
      <c r="R27021" s="36" t="s">
        <v>48</v>
      </c>
    </row>
    <row r="27022">
      <c r="H27022" s="50"/>
      <c r="I27022" s="50"/>
      <c r="O27022" s="36" t="s">
        <v>48</v>
      </c>
      <c r="R27022" s="36" t="s">
        <v>48</v>
      </c>
    </row>
    <row r="27023">
      <c r="H27023" s="50"/>
      <c r="I27023" s="50"/>
      <c r="O27023" s="36" t="s">
        <v>48</v>
      </c>
      <c r="R27023" s="36" t="s">
        <v>48</v>
      </c>
    </row>
    <row r="27024">
      <c r="H27024" s="50"/>
      <c r="I27024" s="50"/>
      <c r="O27024" s="36" t="s">
        <v>48</v>
      </c>
      <c r="R27024" s="36" t="s">
        <v>48</v>
      </c>
    </row>
    <row r="27025">
      <c r="H27025" s="50"/>
      <c r="I27025" s="50"/>
      <c r="O27025" s="36" t="s">
        <v>48</v>
      </c>
      <c r="R27025" s="36" t="s">
        <v>48</v>
      </c>
    </row>
    <row r="27026">
      <c r="H27026" s="50"/>
      <c r="I27026" s="50"/>
      <c r="O27026" s="36" t="s">
        <v>48</v>
      </c>
      <c r="R27026" s="36" t="s">
        <v>48</v>
      </c>
    </row>
    <row r="27027">
      <c r="H27027" s="50"/>
      <c r="I27027" s="50"/>
      <c r="O27027" s="36" t="s">
        <v>48</v>
      </c>
      <c r="R27027" s="36" t="s">
        <v>48</v>
      </c>
    </row>
    <row r="27028">
      <c r="H27028" s="50"/>
      <c r="I27028" s="50"/>
      <c r="O27028" s="36" t="s">
        <v>48</v>
      </c>
      <c r="R27028" s="36" t="s">
        <v>48</v>
      </c>
    </row>
    <row r="27029">
      <c r="H27029" s="50"/>
      <c r="I27029" s="50"/>
      <c r="O27029" s="36" t="s">
        <v>48</v>
      </c>
      <c r="R27029" s="36" t="s">
        <v>48</v>
      </c>
    </row>
    <row r="27030">
      <c r="H27030" s="50"/>
      <c r="I27030" s="50"/>
      <c r="O27030" s="36" t="s">
        <v>48</v>
      </c>
      <c r="R27030" s="36" t="s">
        <v>48</v>
      </c>
    </row>
    <row r="27031">
      <c r="H27031" s="50"/>
      <c r="I27031" s="50"/>
      <c r="O27031" s="36" t="s">
        <v>48</v>
      </c>
      <c r="R27031" s="36" t="s">
        <v>48</v>
      </c>
    </row>
    <row r="27032">
      <c r="H27032" s="50"/>
      <c r="I27032" s="50"/>
      <c r="O27032" s="36" t="s">
        <v>48</v>
      </c>
      <c r="R27032" s="36" t="s">
        <v>48</v>
      </c>
    </row>
    <row r="27033">
      <c r="H27033" s="50"/>
      <c r="I27033" s="50"/>
      <c r="O27033" s="36" t="s">
        <v>48</v>
      </c>
      <c r="R27033" s="36" t="s">
        <v>48</v>
      </c>
    </row>
    <row r="27034">
      <c r="H27034" s="50"/>
      <c r="I27034" s="50"/>
      <c r="O27034" s="36" t="s">
        <v>48</v>
      </c>
      <c r="R27034" s="36" t="s">
        <v>48</v>
      </c>
    </row>
    <row r="27035">
      <c r="H27035" s="50"/>
      <c r="I27035" s="50"/>
      <c r="O27035" s="36" t="s">
        <v>48</v>
      </c>
      <c r="R27035" s="36" t="s">
        <v>48</v>
      </c>
    </row>
    <row r="27036">
      <c r="H27036" s="50"/>
      <c r="I27036" s="50"/>
      <c r="O27036" s="36" t="s">
        <v>48</v>
      </c>
      <c r="R27036" s="36" t="s">
        <v>48</v>
      </c>
    </row>
    <row r="27037">
      <c r="H27037" s="50"/>
      <c r="I27037" s="50"/>
      <c r="O27037" s="36" t="s">
        <v>48</v>
      </c>
      <c r="R27037" s="36" t="s">
        <v>48</v>
      </c>
    </row>
    <row r="27038">
      <c r="H27038" s="50"/>
      <c r="I27038" s="50"/>
      <c r="O27038" s="36" t="s">
        <v>48</v>
      </c>
      <c r="R27038" s="36" t="s">
        <v>48</v>
      </c>
    </row>
    <row r="27039">
      <c r="H27039" s="50"/>
      <c r="I27039" s="50"/>
      <c r="O27039" s="36" t="s">
        <v>48</v>
      </c>
      <c r="R27039" s="36" t="s">
        <v>48</v>
      </c>
    </row>
    <row r="27040">
      <c r="H27040" s="50"/>
      <c r="I27040" s="50"/>
      <c r="O27040" s="36" t="s">
        <v>48</v>
      </c>
      <c r="R27040" s="36" t="s">
        <v>48</v>
      </c>
    </row>
    <row r="27041">
      <c r="H27041" s="50"/>
      <c r="I27041" s="50"/>
      <c r="O27041" s="36" t="s">
        <v>48</v>
      </c>
      <c r="R27041" s="36" t="s">
        <v>48</v>
      </c>
    </row>
    <row r="27042">
      <c r="H27042" s="50"/>
      <c r="I27042" s="50"/>
      <c r="O27042" s="36" t="s">
        <v>48</v>
      </c>
      <c r="R27042" s="36" t="s">
        <v>48</v>
      </c>
    </row>
    <row r="27043">
      <c r="H27043" s="50"/>
      <c r="I27043" s="50"/>
      <c r="O27043" s="36" t="s">
        <v>48</v>
      </c>
      <c r="R27043" s="36" t="s">
        <v>48</v>
      </c>
    </row>
    <row r="27044">
      <c r="H27044" s="50"/>
      <c r="I27044" s="50"/>
      <c r="O27044" s="36" t="s">
        <v>48</v>
      </c>
      <c r="R27044" s="36" t="s">
        <v>48</v>
      </c>
    </row>
    <row r="27045">
      <c r="H27045" s="50"/>
      <c r="I27045" s="50"/>
      <c r="O27045" s="36" t="s">
        <v>48</v>
      </c>
      <c r="R27045" s="36" t="s">
        <v>48</v>
      </c>
    </row>
    <row r="27046">
      <c r="H27046" s="50"/>
      <c r="I27046" s="50"/>
      <c r="O27046" s="36" t="s">
        <v>48</v>
      </c>
      <c r="R27046" s="36" t="s">
        <v>48</v>
      </c>
    </row>
    <row r="27047">
      <c r="H27047" s="50"/>
      <c r="I27047" s="50"/>
      <c r="O27047" s="36" t="s">
        <v>48</v>
      </c>
      <c r="R27047" s="36" t="s">
        <v>48</v>
      </c>
    </row>
    <row r="27048">
      <c r="H27048" s="50"/>
      <c r="I27048" s="50"/>
      <c r="O27048" s="36" t="s">
        <v>48</v>
      </c>
      <c r="R27048" s="36" t="s">
        <v>48</v>
      </c>
    </row>
    <row r="27049">
      <c r="H27049" s="50"/>
      <c r="I27049" s="50"/>
      <c r="O27049" s="36" t="s">
        <v>48</v>
      </c>
      <c r="R27049" s="36" t="s">
        <v>48</v>
      </c>
    </row>
    <row r="27050">
      <c r="H27050" s="50"/>
      <c r="I27050" s="50"/>
      <c r="O27050" s="36" t="s">
        <v>48</v>
      </c>
      <c r="R27050" s="36" t="s">
        <v>48</v>
      </c>
    </row>
    <row r="27051">
      <c r="H27051" s="50"/>
      <c r="I27051" s="50"/>
      <c r="O27051" s="36" t="s">
        <v>48</v>
      </c>
      <c r="R27051" s="36" t="s">
        <v>48</v>
      </c>
    </row>
    <row r="27052">
      <c r="H27052" s="50"/>
      <c r="I27052" s="50"/>
      <c r="O27052" s="36" t="s">
        <v>48</v>
      </c>
      <c r="R27052" s="36" t="s">
        <v>48</v>
      </c>
    </row>
    <row r="27053">
      <c r="H27053" s="50"/>
      <c r="I27053" s="50"/>
      <c r="O27053" s="36" t="s">
        <v>48</v>
      </c>
      <c r="R27053" s="36" t="s">
        <v>48</v>
      </c>
    </row>
    <row r="27054">
      <c r="H27054" s="50"/>
      <c r="I27054" s="50"/>
      <c r="O27054" s="36" t="s">
        <v>48</v>
      </c>
      <c r="R27054" s="36" t="s">
        <v>48</v>
      </c>
    </row>
    <row r="27055">
      <c r="H27055" s="50"/>
      <c r="I27055" s="50"/>
      <c r="O27055" s="36" t="s">
        <v>48</v>
      </c>
      <c r="R27055" s="36" t="s">
        <v>48</v>
      </c>
    </row>
    <row r="27056">
      <c r="H27056" s="50"/>
      <c r="I27056" s="50"/>
      <c r="O27056" s="36" t="s">
        <v>48</v>
      </c>
      <c r="R27056" s="36" t="s">
        <v>48</v>
      </c>
    </row>
    <row r="27057">
      <c r="H27057" s="50"/>
      <c r="I27057" s="50"/>
      <c r="O27057" s="36" t="s">
        <v>48</v>
      </c>
      <c r="R27057" s="36" t="s">
        <v>48</v>
      </c>
    </row>
    <row r="27058">
      <c r="H27058" s="50"/>
      <c r="I27058" s="50"/>
      <c r="O27058" s="36" t="s">
        <v>48</v>
      </c>
      <c r="R27058" s="36" t="s">
        <v>48</v>
      </c>
    </row>
    <row r="27059">
      <c r="H27059" s="50"/>
      <c r="I27059" s="50"/>
      <c r="O27059" s="36" t="s">
        <v>48</v>
      </c>
      <c r="R27059" s="36" t="s">
        <v>48</v>
      </c>
    </row>
    <row r="27060">
      <c r="H27060" s="50"/>
      <c r="I27060" s="50"/>
      <c r="O27060" s="36" t="s">
        <v>48</v>
      </c>
      <c r="R27060" s="36" t="s">
        <v>48</v>
      </c>
    </row>
    <row r="27061">
      <c r="H27061" s="50"/>
      <c r="I27061" s="50"/>
      <c r="O27061" s="36" t="s">
        <v>48</v>
      </c>
      <c r="R27061" s="36" t="s">
        <v>48</v>
      </c>
    </row>
    <row r="27062">
      <c r="H27062" s="50"/>
      <c r="I27062" s="50"/>
      <c r="O27062" s="36" t="s">
        <v>48</v>
      </c>
      <c r="R27062" s="36" t="s">
        <v>48</v>
      </c>
    </row>
    <row r="27063">
      <c r="H27063" s="50"/>
      <c r="I27063" s="50"/>
      <c r="O27063" s="36" t="s">
        <v>48</v>
      </c>
      <c r="R27063" s="36" t="s">
        <v>48</v>
      </c>
    </row>
    <row r="27064">
      <c r="H27064" s="50"/>
      <c r="I27064" s="50"/>
      <c r="O27064" s="36" t="s">
        <v>48</v>
      </c>
      <c r="R27064" s="36" t="s">
        <v>48</v>
      </c>
    </row>
    <row r="27065">
      <c r="H27065" s="50"/>
      <c r="I27065" s="50"/>
      <c r="O27065" s="36" t="s">
        <v>48</v>
      </c>
      <c r="R27065" s="36" t="s">
        <v>48</v>
      </c>
    </row>
    <row r="27066">
      <c r="H27066" s="50"/>
      <c r="I27066" s="50"/>
      <c r="O27066" s="36" t="s">
        <v>48</v>
      </c>
      <c r="R27066" s="36" t="s">
        <v>48</v>
      </c>
    </row>
    <row r="27067">
      <c r="H27067" s="50"/>
      <c r="I27067" s="50"/>
      <c r="O27067" s="36" t="s">
        <v>48</v>
      </c>
      <c r="R27067" s="36" t="s">
        <v>48</v>
      </c>
    </row>
    <row r="27068">
      <c r="H27068" s="50"/>
      <c r="I27068" s="50"/>
      <c r="O27068" s="36" t="s">
        <v>48</v>
      </c>
      <c r="R27068" s="36" t="s">
        <v>48</v>
      </c>
    </row>
    <row r="27069">
      <c r="H27069" s="50"/>
      <c r="I27069" s="50"/>
      <c r="O27069" s="36" t="s">
        <v>48</v>
      </c>
      <c r="R27069" s="36" t="s">
        <v>48</v>
      </c>
    </row>
    <row r="27070">
      <c r="H27070" s="50"/>
      <c r="I27070" s="50"/>
      <c r="O27070" s="36" t="s">
        <v>48</v>
      </c>
      <c r="R27070" s="36" t="s">
        <v>48</v>
      </c>
    </row>
    <row r="27071">
      <c r="H27071" s="50"/>
      <c r="I27071" s="50"/>
      <c r="O27071" s="36" t="s">
        <v>48</v>
      </c>
      <c r="R27071" s="36" t="s">
        <v>48</v>
      </c>
    </row>
    <row r="27072">
      <c r="H27072" s="50"/>
      <c r="I27072" s="50"/>
      <c r="O27072" s="36" t="s">
        <v>48</v>
      </c>
      <c r="R27072" s="36" t="s">
        <v>48</v>
      </c>
    </row>
    <row r="27073">
      <c r="H27073" s="50"/>
      <c r="I27073" s="50"/>
      <c r="O27073" s="36" t="s">
        <v>48</v>
      </c>
      <c r="R27073" s="36" t="s">
        <v>48</v>
      </c>
    </row>
    <row r="27074">
      <c r="H27074" s="50"/>
      <c r="I27074" s="50"/>
      <c r="O27074" s="36" t="s">
        <v>48</v>
      </c>
      <c r="R27074" s="36" t="s">
        <v>48</v>
      </c>
    </row>
    <row r="27075">
      <c r="H27075" s="50"/>
      <c r="I27075" s="50"/>
      <c r="O27075" s="36" t="s">
        <v>48</v>
      </c>
      <c r="R27075" s="36" t="s">
        <v>48</v>
      </c>
    </row>
    <row r="27076">
      <c r="H27076" s="50"/>
      <c r="I27076" s="50"/>
      <c r="O27076" s="36" t="s">
        <v>48</v>
      </c>
      <c r="R27076" s="36" t="s">
        <v>48</v>
      </c>
    </row>
    <row r="27077">
      <c r="H27077" s="50"/>
      <c r="I27077" s="50"/>
      <c r="O27077" s="36" t="s">
        <v>48</v>
      </c>
      <c r="R27077" s="36" t="s">
        <v>48</v>
      </c>
    </row>
    <row r="27078">
      <c r="H27078" s="50"/>
      <c r="I27078" s="50"/>
      <c r="O27078" s="36" t="s">
        <v>48</v>
      </c>
      <c r="R27078" s="36" t="s">
        <v>48</v>
      </c>
    </row>
    <row r="27079">
      <c r="H27079" s="50"/>
      <c r="I27079" s="50"/>
      <c r="O27079" s="36" t="s">
        <v>48</v>
      </c>
      <c r="R27079" s="36" t="s">
        <v>48</v>
      </c>
    </row>
    <row r="27080">
      <c r="H27080" s="50"/>
      <c r="I27080" s="50"/>
      <c r="O27080" s="36" t="s">
        <v>48</v>
      </c>
      <c r="R27080" s="36" t="s">
        <v>48</v>
      </c>
    </row>
    <row r="27081">
      <c r="H27081" s="50"/>
      <c r="I27081" s="50"/>
      <c r="O27081" s="36" t="s">
        <v>48</v>
      </c>
      <c r="R27081" s="36" t="s">
        <v>48</v>
      </c>
    </row>
    <row r="27082">
      <c r="H27082" s="50"/>
      <c r="I27082" s="50"/>
      <c r="O27082" s="36" t="s">
        <v>48</v>
      </c>
      <c r="R27082" s="36" t="s">
        <v>48</v>
      </c>
    </row>
    <row r="27083">
      <c r="H27083" s="50"/>
      <c r="I27083" s="50"/>
      <c r="O27083" s="36" t="s">
        <v>48</v>
      </c>
      <c r="R27083" s="36" t="s">
        <v>48</v>
      </c>
    </row>
    <row r="27084">
      <c r="H27084" s="50"/>
      <c r="I27084" s="50"/>
      <c r="O27084" s="36" t="s">
        <v>48</v>
      </c>
      <c r="R27084" s="36" t="s">
        <v>48</v>
      </c>
    </row>
    <row r="27085">
      <c r="H27085" s="50"/>
      <c r="I27085" s="50"/>
      <c r="O27085" s="36" t="s">
        <v>48</v>
      </c>
      <c r="R27085" s="36" t="s">
        <v>48</v>
      </c>
    </row>
    <row r="27086">
      <c r="H27086" s="50"/>
      <c r="I27086" s="50"/>
      <c r="O27086" s="36" t="s">
        <v>48</v>
      </c>
      <c r="R27086" s="36" t="s">
        <v>48</v>
      </c>
    </row>
    <row r="27087">
      <c r="H27087" s="50"/>
      <c r="I27087" s="50"/>
      <c r="O27087" s="36" t="s">
        <v>48</v>
      </c>
      <c r="R27087" s="36" t="s">
        <v>48</v>
      </c>
    </row>
    <row r="27088">
      <c r="H27088" s="50"/>
      <c r="I27088" s="50"/>
      <c r="O27088" s="36" t="s">
        <v>48</v>
      </c>
      <c r="R27088" s="36" t="s">
        <v>48</v>
      </c>
    </row>
    <row r="27089">
      <c r="H27089" s="50"/>
      <c r="I27089" s="50"/>
      <c r="O27089" s="36" t="s">
        <v>48</v>
      </c>
      <c r="R27089" s="36" t="s">
        <v>48</v>
      </c>
    </row>
    <row r="27090">
      <c r="H27090" s="50"/>
      <c r="I27090" s="50"/>
      <c r="O27090" s="36" t="s">
        <v>48</v>
      </c>
      <c r="R27090" s="36" t="s">
        <v>48</v>
      </c>
    </row>
    <row r="27091">
      <c r="H27091" s="50"/>
      <c r="I27091" s="50"/>
      <c r="O27091" s="36" t="s">
        <v>48</v>
      </c>
      <c r="R27091" s="36" t="s">
        <v>48</v>
      </c>
    </row>
    <row r="27092">
      <c r="H27092" s="50"/>
      <c r="I27092" s="50"/>
      <c r="O27092" s="36" t="s">
        <v>48</v>
      </c>
      <c r="R27092" s="36" t="s">
        <v>48</v>
      </c>
    </row>
    <row r="27093">
      <c r="H27093" s="50"/>
      <c r="I27093" s="50"/>
      <c r="O27093" s="36" t="s">
        <v>48</v>
      </c>
      <c r="R27093" s="36" t="s">
        <v>48</v>
      </c>
    </row>
    <row r="27094">
      <c r="H27094" s="50"/>
      <c r="I27094" s="50"/>
      <c r="O27094" s="36" t="s">
        <v>48</v>
      </c>
      <c r="R27094" s="36" t="s">
        <v>48</v>
      </c>
    </row>
    <row r="27095">
      <c r="H27095" s="50"/>
      <c r="I27095" s="50"/>
      <c r="O27095" s="36" t="s">
        <v>48</v>
      </c>
      <c r="R27095" s="36" t="s">
        <v>48</v>
      </c>
    </row>
    <row r="27096">
      <c r="H27096" s="50"/>
      <c r="I27096" s="50"/>
      <c r="O27096" s="36" t="s">
        <v>48</v>
      </c>
      <c r="R27096" s="36" t="s">
        <v>48</v>
      </c>
    </row>
    <row r="27097">
      <c r="H27097" s="50"/>
      <c r="I27097" s="50"/>
      <c r="O27097" s="36" t="s">
        <v>48</v>
      </c>
      <c r="R27097" s="36" t="s">
        <v>48</v>
      </c>
    </row>
    <row r="27098">
      <c r="H27098" s="50"/>
      <c r="I27098" s="50"/>
      <c r="O27098" s="36" t="s">
        <v>48</v>
      </c>
      <c r="R27098" s="36" t="s">
        <v>48</v>
      </c>
    </row>
    <row r="27099">
      <c r="H27099" s="50"/>
      <c r="I27099" s="50"/>
      <c r="O27099" s="36" t="s">
        <v>48</v>
      </c>
      <c r="R27099" s="36" t="s">
        <v>48</v>
      </c>
    </row>
    <row r="27100">
      <c r="H27100" s="50"/>
      <c r="I27100" s="50"/>
      <c r="O27100" s="36" t="s">
        <v>48</v>
      </c>
      <c r="R27100" s="36" t="s">
        <v>48</v>
      </c>
    </row>
    <row r="27101">
      <c r="H27101" s="50"/>
      <c r="I27101" s="50"/>
      <c r="O27101" s="36" t="s">
        <v>48</v>
      </c>
      <c r="R27101" s="36" t="s">
        <v>48</v>
      </c>
    </row>
    <row r="27102">
      <c r="H27102" s="50"/>
      <c r="I27102" s="50"/>
      <c r="O27102" s="36" t="s">
        <v>48</v>
      </c>
      <c r="R27102" s="36" t="s">
        <v>48</v>
      </c>
    </row>
    <row r="27103">
      <c r="H27103" s="50"/>
      <c r="I27103" s="50"/>
      <c r="O27103" s="36" t="s">
        <v>48</v>
      </c>
      <c r="R27103" s="36" t="s">
        <v>48</v>
      </c>
    </row>
    <row r="27104">
      <c r="H27104" s="50"/>
      <c r="I27104" s="50"/>
      <c r="O27104" s="36" t="s">
        <v>48</v>
      </c>
      <c r="R27104" s="36" t="s">
        <v>48</v>
      </c>
    </row>
    <row r="27105">
      <c r="H27105" s="50"/>
      <c r="I27105" s="50"/>
      <c r="O27105" s="36" t="s">
        <v>48</v>
      </c>
      <c r="R27105" s="36" t="s">
        <v>48</v>
      </c>
    </row>
    <row r="27106">
      <c r="H27106" s="50"/>
      <c r="I27106" s="50"/>
      <c r="O27106" s="36" t="s">
        <v>48</v>
      </c>
      <c r="R27106" s="36" t="s">
        <v>48</v>
      </c>
    </row>
    <row r="27107">
      <c r="H27107" s="50"/>
      <c r="I27107" s="50"/>
      <c r="O27107" s="36" t="s">
        <v>48</v>
      </c>
      <c r="R27107" s="36" t="s">
        <v>48</v>
      </c>
    </row>
    <row r="27108">
      <c r="H27108" s="50"/>
      <c r="I27108" s="50"/>
      <c r="O27108" s="36" t="s">
        <v>48</v>
      </c>
      <c r="R27108" s="36" t="s">
        <v>48</v>
      </c>
    </row>
    <row r="27109">
      <c r="H27109" s="50"/>
      <c r="I27109" s="50"/>
      <c r="O27109" s="36" t="s">
        <v>48</v>
      </c>
      <c r="R27109" s="36" t="s">
        <v>48</v>
      </c>
    </row>
    <row r="27110">
      <c r="H27110" s="50"/>
      <c r="I27110" s="50"/>
      <c r="O27110" s="36" t="s">
        <v>48</v>
      </c>
      <c r="R27110" s="36" t="s">
        <v>48</v>
      </c>
    </row>
    <row r="27111">
      <c r="H27111" s="50"/>
      <c r="I27111" s="50"/>
      <c r="O27111" s="36" t="s">
        <v>48</v>
      </c>
      <c r="R27111" s="36" t="s">
        <v>48</v>
      </c>
    </row>
    <row r="27112">
      <c r="H27112" s="50"/>
      <c r="I27112" s="50"/>
      <c r="O27112" s="36" t="s">
        <v>48</v>
      </c>
      <c r="R27112" s="36" t="s">
        <v>48</v>
      </c>
    </row>
    <row r="27113">
      <c r="H27113" s="50"/>
      <c r="I27113" s="50"/>
      <c r="O27113" s="36" t="s">
        <v>48</v>
      </c>
      <c r="R27113" s="36" t="s">
        <v>48</v>
      </c>
    </row>
    <row r="27114">
      <c r="H27114" s="50"/>
      <c r="I27114" s="50"/>
      <c r="O27114" s="36" t="s">
        <v>48</v>
      </c>
      <c r="R27114" s="36" t="s">
        <v>48</v>
      </c>
    </row>
    <row r="27115">
      <c r="H27115" s="50"/>
      <c r="I27115" s="50"/>
      <c r="O27115" s="36" t="s">
        <v>48</v>
      </c>
      <c r="R27115" s="36" t="s">
        <v>48</v>
      </c>
    </row>
    <row r="27116">
      <c r="H27116" s="50"/>
      <c r="I27116" s="50"/>
      <c r="O27116" s="36" t="s">
        <v>48</v>
      </c>
      <c r="R27116" s="36" t="s">
        <v>48</v>
      </c>
    </row>
    <row r="27117">
      <c r="H27117" s="50"/>
      <c r="I27117" s="50"/>
      <c r="O27117" s="36" t="s">
        <v>48</v>
      </c>
      <c r="R27117" s="36" t="s">
        <v>48</v>
      </c>
    </row>
    <row r="27118">
      <c r="H27118" s="50"/>
      <c r="I27118" s="50"/>
      <c r="O27118" s="36" t="s">
        <v>48</v>
      </c>
      <c r="R27118" s="36" t="s">
        <v>48</v>
      </c>
    </row>
    <row r="27119">
      <c r="H27119" s="50"/>
      <c r="I27119" s="50"/>
      <c r="O27119" s="36" t="s">
        <v>48</v>
      </c>
      <c r="R27119" s="36" t="s">
        <v>48</v>
      </c>
    </row>
    <row r="27120">
      <c r="H27120" s="50"/>
      <c r="I27120" s="50"/>
      <c r="O27120" s="36" t="s">
        <v>48</v>
      </c>
      <c r="R27120" s="36" t="s">
        <v>48</v>
      </c>
    </row>
    <row r="27121">
      <c r="H27121" s="50"/>
      <c r="I27121" s="50"/>
      <c r="O27121" s="36" t="s">
        <v>48</v>
      </c>
      <c r="R27121" s="36" t="s">
        <v>48</v>
      </c>
    </row>
    <row r="27122">
      <c r="H27122" s="50"/>
      <c r="I27122" s="50"/>
      <c r="O27122" s="36" t="s">
        <v>48</v>
      </c>
      <c r="R27122" s="36" t="s">
        <v>48</v>
      </c>
    </row>
    <row r="27123">
      <c r="H27123" s="50"/>
      <c r="I27123" s="50"/>
      <c r="O27123" s="36" t="s">
        <v>48</v>
      </c>
      <c r="R27123" s="36" t="s">
        <v>48</v>
      </c>
    </row>
    <row r="27124">
      <c r="H27124" s="50"/>
      <c r="I27124" s="50"/>
      <c r="O27124" s="36" t="s">
        <v>48</v>
      </c>
      <c r="R27124" s="36" t="s">
        <v>48</v>
      </c>
    </row>
    <row r="27125">
      <c r="H27125" s="50"/>
      <c r="I27125" s="50"/>
      <c r="O27125" s="36" t="s">
        <v>48</v>
      </c>
      <c r="R27125" s="36" t="s">
        <v>48</v>
      </c>
    </row>
    <row r="27126">
      <c r="H27126" s="50"/>
      <c r="I27126" s="50"/>
      <c r="O27126" s="36" t="s">
        <v>48</v>
      </c>
      <c r="R27126" s="36" t="s">
        <v>48</v>
      </c>
    </row>
    <row r="27127">
      <c r="H27127" s="50"/>
      <c r="I27127" s="50"/>
      <c r="O27127" s="36" t="s">
        <v>48</v>
      </c>
      <c r="R27127" s="36" t="s">
        <v>48</v>
      </c>
    </row>
    <row r="27128">
      <c r="H27128" s="50"/>
      <c r="I27128" s="50"/>
      <c r="O27128" s="36" t="s">
        <v>48</v>
      </c>
      <c r="R27128" s="36" t="s">
        <v>48</v>
      </c>
    </row>
    <row r="27129">
      <c r="H27129" s="50"/>
      <c r="I27129" s="50"/>
      <c r="O27129" s="36" t="s">
        <v>48</v>
      </c>
      <c r="R27129" s="36" t="s">
        <v>48</v>
      </c>
    </row>
    <row r="27130">
      <c r="H27130" s="50"/>
      <c r="I27130" s="50"/>
      <c r="O27130" s="36" t="s">
        <v>48</v>
      </c>
      <c r="R27130" s="36" t="s">
        <v>48</v>
      </c>
    </row>
    <row r="27131">
      <c r="H27131" s="50"/>
      <c r="I27131" s="50"/>
      <c r="O27131" s="36" t="s">
        <v>48</v>
      </c>
      <c r="R27131" s="36" t="s">
        <v>48</v>
      </c>
    </row>
    <row r="27132">
      <c r="H27132" s="50"/>
      <c r="I27132" s="50"/>
      <c r="O27132" s="36" t="s">
        <v>48</v>
      </c>
      <c r="R27132" s="36" t="s">
        <v>48</v>
      </c>
    </row>
    <row r="27133">
      <c r="H27133" s="50"/>
      <c r="I27133" s="50"/>
      <c r="O27133" s="36" t="s">
        <v>48</v>
      </c>
      <c r="R27133" s="36" t="s">
        <v>48</v>
      </c>
    </row>
    <row r="27134">
      <c r="H27134" s="50"/>
      <c r="I27134" s="50"/>
      <c r="O27134" s="36" t="s">
        <v>48</v>
      </c>
      <c r="R27134" s="36" t="s">
        <v>48</v>
      </c>
    </row>
    <row r="27135">
      <c r="H27135" s="50"/>
      <c r="I27135" s="50"/>
      <c r="O27135" s="36" t="s">
        <v>48</v>
      </c>
      <c r="R27135" s="36" t="s">
        <v>48</v>
      </c>
    </row>
    <row r="27136">
      <c r="H27136" s="50"/>
      <c r="I27136" s="50"/>
      <c r="O27136" s="36" t="s">
        <v>48</v>
      </c>
      <c r="R27136" s="36" t="s">
        <v>48</v>
      </c>
    </row>
    <row r="27137">
      <c r="H27137" s="50"/>
      <c r="I27137" s="50"/>
      <c r="O27137" s="36" t="s">
        <v>48</v>
      </c>
      <c r="R27137" s="36" t="s">
        <v>48</v>
      </c>
    </row>
    <row r="27138">
      <c r="H27138" s="50"/>
      <c r="I27138" s="50"/>
      <c r="O27138" s="36" t="s">
        <v>48</v>
      </c>
      <c r="R27138" s="36" t="s">
        <v>48</v>
      </c>
    </row>
    <row r="27139">
      <c r="H27139" s="50"/>
      <c r="I27139" s="50"/>
      <c r="O27139" s="36" t="s">
        <v>48</v>
      </c>
      <c r="R27139" s="36" t="s">
        <v>48</v>
      </c>
    </row>
    <row r="27140">
      <c r="H27140" s="50"/>
      <c r="I27140" s="50"/>
      <c r="O27140" s="36" t="s">
        <v>48</v>
      </c>
      <c r="R27140" s="36" t="s">
        <v>48</v>
      </c>
    </row>
    <row r="27141">
      <c r="H27141" s="50"/>
      <c r="I27141" s="50"/>
      <c r="O27141" s="36" t="s">
        <v>48</v>
      </c>
      <c r="R27141" s="36" t="s">
        <v>48</v>
      </c>
    </row>
    <row r="27142">
      <c r="H27142" s="50"/>
      <c r="I27142" s="50"/>
      <c r="O27142" s="36" t="s">
        <v>48</v>
      </c>
      <c r="R27142" s="36" t="s">
        <v>48</v>
      </c>
    </row>
    <row r="27143">
      <c r="H27143" s="50"/>
      <c r="I27143" s="50"/>
      <c r="O27143" s="36" t="s">
        <v>48</v>
      </c>
      <c r="R27143" s="36" t="s">
        <v>48</v>
      </c>
    </row>
    <row r="27144">
      <c r="H27144" s="50"/>
      <c r="I27144" s="50"/>
      <c r="O27144" s="36" t="s">
        <v>48</v>
      </c>
      <c r="R27144" s="36" t="s">
        <v>48</v>
      </c>
    </row>
    <row r="27145">
      <c r="H27145" s="50"/>
      <c r="I27145" s="50"/>
      <c r="O27145" s="36" t="s">
        <v>48</v>
      </c>
      <c r="R27145" s="36" t="s">
        <v>48</v>
      </c>
    </row>
    <row r="27146">
      <c r="H27146" s="50"/>
      <c r="I27146" s="50"/>
      <c r="O27146" s="36" t="s">
        <v>48</v>
      </c>
      <c r="R27146" s="36" t="s">
        <v>48</v>
      </c>
    </row>
    <row r="27147">
      <c r="H27147" s="50"/>
      <c r="I27147" s="50"/>
      <c r="O27147" s="36" t="s">
        <v>48</v>
      </c>
      <c r="R27147" s="36" t="s">
        <v>48</v>
      </c>
    </row>
    <row r="27148">
      <c r="H27148" s="50"/>
      <c r="I27148" s="50"/>
      <c r="O27148" s="36" t="s">
        <v>48</v>
      </c>
      <c r="R27148" s="36" t="s">
        <v>48</v>
      </c>
    </row>
    <row r="27149">
      <c r="H27149" s="50"/>
      <c r="I27149" s="50"/>
      <c r="O27149" s="36" t="s">
        <v>48</v>
      </c>
      <c r="R27149" s="36" t="s">
        <v>48</v>
      </c>
    </row>
    <row r="27150">
      <c r="H27150" s="50"/>
      <c r="I27150" s="50"/>
      <c r="O27150" s="36" t="s">
        <v>48</v>
      </c>
      <c r="R27150" s="36" t="s">
        <v>48</v>
      </c>
    </row>
    <row r="27151">
      <c r="H27151" s="50"/>
      <c r="I27151" s="50"/>
      <c r="O27151" s="36" t="s">
        <v>48</v>
      </c>
      <c r="R27151" s="36" t="s">
        <v>48</v>
      </c>
    </row>
    <row r="27152">
      <c r="H27152" s="50"/>
      <c r="I27152" s="50"/>
      <c r="O27152" s="36" t="s">
        <v>48</v>
      </c>
      <c r="R27152" s="36" t="s">
        <v>48</v>
      </c>
    </row>
    <row r="27153">
      <c r="H27153" s="50"/>
      <c r="I27153" s="50"/>
      <c r="O27153" s="36" t="s">
        <v>48</v>
      </c>
      <c r="R27153" s="36" t="s">
        <v>48</v>
      </c>
    </row>
    <row r="27154">
      <c r="H27154" s="50"/>
      <c r="I27154" s="50"/>
      <c r="O27154" s="36" t="s">
        <v>48</v>
      </c>
      <c r="R27154" s="36" t="s">
        <v>48</v>
      </c>
    </row>
    <row r="27155">
      <c r="H27155" s="50"/>
      <c r="I27155" s="50"/>
      <c r="O27155" s="36" t="s">
        <v>48</v>
      </c>
      <c r="R27155" s="36" t="s">
        <v>48</v>
      </c>
    </row>
    <row r="27156">
      <c r="H27156" s="50"/>
      <c r="I27156" s="50"/>
      <c r="O27156" s="36" t="s">
        <v>48</v>
      </c>
      <c r="R27156" s="36" t="s">
        <v>48</v>
      </c>
    </row>
    <row r="27157">
      <c r="H27157" s="50"/>
      <c r="I27157" s="50"/>
      <c r="O27157" s="36" t="s">
        <v>48</v>
      </c>
      <c r="R27157" s="36" t="s">
        <v>48</v>
      </c>
    </row>
    <row r="27158">
      <c r="H27158" s="50"/>
      <c r="I27158" s="50"/>
      <c r="O27158" s="36" t="s">
        <v>48</v>
      </c>
      <c r="R27158" s="36" t="s">
        <v>48</v>
      </c>
    </row>
    <row r="27159">
      <c r="H27159" s="50"/>
      <c r="I27159" s="50"/>
      <c r="O27159" s="36" t="s">
        <v>48</v>
      </c>
      <c r="R27159" s="36" t="s">
        <v>48</v>
      </c>
    </row>
    <row r="27160">
      <c r="H27160" s="50"/>
      <c r="I27160" s="50"/>
      <c r="O27160" s="36" t="s">
        <v>48</v>
      </c>
      <c r="R27160" s="36" t="s">
        <v>48</v>
      </c>
    </row>
    <row r="27161">
      <c r="H27161" s="50"/>
      <c r="I27161" s="50"/>
      <c r="O27161" s="36" t="s">
        <v>48</v>
      </c>
      <c r="R27161" s="36" t="s">
        <v>48</v>
      </c>
    </row>
    <row r="27162">
      <c r="H27162" s="50"/>
      <c r="I27162" s="50"/>
      <c r="O27162" s="36" t="s">
        <v>48</v>
      </c>
      <c r="R27162" s="36" t="s">
        <v>48</v>
      </c>
    </row>
    <row r="27163">
      <c r="H27163" s="50"/>
      <c r="I27163" s="50"/>
      <c r="O27163" s="36" t="s">
        <v>48</v>
      </c>
      <c r="R27163" s="36" t="s">
        <v>48</v>
      </c>
    </row>
    <row r="27164">
      <c r="H27164" s="50"/>
      <c r="I27164" s="50"/>
      <c r="O27164" s="36" t="s">
        <v>48</v>
      </c>
      <c r="R27164" s="36" t="s">
        <v>48</v>
      </c>
    </row>
    <row r="27165">
      <c r="H27165" s="50"/>
      <c r="I27165" s="50"/>
      <c r="O27165" s="36" t="s">
        <v>48</v>
      </c>
      <c r="R27165" s="36" t="s">
        <v>48</v>
      </c>
    </row>
    <row r="27166">
      <c r="H27166" s="50"/>
      <c r="I27166" s="50"/>
      <c r="O27166" s="36" t="s">
        <v>48</v>
      </c>
      <c r="R27166" s="36" t="s">
        <v>48</v>
      </c>
    </row>
    <row r="27167">
      <c r="H27167" s="50"/>
      <c r="I27167" s="50"/>
      <c r="O27167" s="36" t="s">
        <v>48</v>
      </c>
      <c r="R27167" s="36" t="s">
        <v>48</v>
      </c>
    </row>
    <row r="27168">
      <c r="H27168" s="50"/>
      <c r="I27168" s="50"/>
      <c r="O27168" s="36" t="s">
        <v>48</v>
      </c>
      <c r="R27168" s="36" t="s">
        <v>48</v>
      </c>
    </row>
    <row r="27169">
      <c r="H27169" s="50"/>
      <c r="I27169" s="50"/>
      <c r="O27169" s="36" t="s">
        <v>48</v>
      </c>
      <c r="R27169" s="36" t="s">
        <v>48</v>
      </c>
    </row>
    <row r="27170">
      <c r="H27170" s="50"/>
      <c r="I27170" s="50"/>
      <c r="O27170" s="36" t="s">
        <v>48</v>
      </c>
      <c r="R27170" s="36" t="s">
        <v>48</v>
      </c>
    </row>
    <row r="27171">
      <c r="H27171" s="50"/>
      <c r="I27171" s="50"/>
      <c r="O27171" s="36" t="s">
        <v>48</v>
      </c>
      <c r="R27171" s="36" t="s">
        <v>48</v>
      </c>
    </row>
    <row r="27172">
      <c r="H27172" s="50"/>
      <c r="I27172" s="50"/>
      <c r="O27172" s="36" t="s">
        <v>48</v>
      </c>
      <c r="R27172" s="36" t="s">
        <v>48</v>
      </c>
    </row>
    <row r="27173">
      <c r="H27173" s="50"/>
      <c r="I27173" s="50"/>
      <c r="O27173" s="36" t="s">
        <v>48</v>
      </c>
      <c r="R27173" s="36" t="s">
        <v>48</v>
      </c>
    </row>
    <row r="27174">
      <c r="H27174" s="50"/>
      <c r="I27174" s="50"/>
      <c r="O27174" s="36" t="s">
        <v>48</v>
      </c>
      <c r="R27174" s="36" t="s">
        <v>48</v>
      </c>
    </row>
    <row r="27175">
      <c r="H27175" s="50"/>
      <c r="I27175" s="50"/>
      <c r="O27175" s="36" t="s">
        <v>48</v>
      </c>
      <c r="R27175" s="36" t="s">
        <v>48</v>
      </c>
    </row>
    <row r="27176">
      <c r="H27176" s="50"/>
      <c r="I27176" s="50"/>
      <c r="O27176" s="36" t="s">
        <v>48</v>
      </c>
      <c r="R27176" s="36" t="s">
        <v>48</v>
      </c>
    </row>
    <row r="27177">
      <c r="H27177" s="50"/>
      <c r="I27177" s="50"/>
      <c r="O27177" s="36" t="s">
        <v>48</v>
      </c>
      <c r="R27177" s="36" t="s">
        <v>48</v>
      </c>
    </row>
    <row r="27178">
      <c r="H27178" s="50"/>
      <c r="I27178" s="50"/>
      <c r="O27178" s="36" t="s">
        <v>48</v>
      </c>
      <c r="R27178" s="36" t="s">
        <v>48</v>
      </c>
    </row>
    <row r="27179">
      <c r="H27179" s="50"/>
      <c r="I27179" s="50"/>
      <c r="O27179" s="36" t="s">
        <v>48</v>
      </c>
      <c r="R27179" s="36" t="s">
        <v>48</v>
      </c>
    </row>
    <row r="27180">
      <c r="H27180" s="50"/>
      <c r="I27180" s="50"/>
      <c r="O27180" s="36" t="s">
        <v>48</v>
      </c>
      <c r="R27180" s="36" t="s">
        <v>48</v>
      </c>
    </row>
    <row r="27181">
      <c r="H27181" s="50"/>
      <c r="I27181" s="50"/>
      <c r="O27181" s="36" t="s">
        <v>48</v>
      </c>
      <c r="R27181" s="36" t="s">
        <v>48</v>
      </c>
    </row>
    <row r="27182">
      <c r="H27182" s="50"/>
      <c r="I27182" s="50"/>
      <c r="O27182" s="36" t="s">
        <v>48</v>
      </c>
      <c r="R27182" s="36" t="s">
        <v>48</v>
      </c>
    </row>
    <row r="27183">
      <c r="H27183" s="50"/>
      <c r="I27183" s="50"/>
      <c r="O27183" s="36" t="s">
        <v>48</v>
      </c>
      <c r="R27183" s="36" t="s">
        <v>48</v>
      </c>
    </row>
    <row r="27184">
      <c r="H27184" s="50"/>
      <c r="I27184" s="50"/>
      <c r="O27184" s="36" t="s">
        <v>48</v>
      </c>
      <c r="R27184" s="36" t="s">
        <v>48</v>
      </c>
    </row>
    <row r="27185">
      <c r="H27185" s="50"/>
      <c r="I27185" s="50"/>
      <c r="O27185" s="36" t="s">
        <v>48</v>
      </c>
      <c r="R27185" s="36" t="s">
        <v>48</v>
      </c>
    </row>
    <row r="27186">
      <c r="H27186" s="50"/>
      <c r="I27186" s="50"/>
      <c r="O27186" s="36" t="s">
        <v>48</v>
      </c>
      <c r="R27186" s="36" t="s">
        <v>48</v>
      </c>
    </row>
    <row r="27187">
      <c r="H27187" s="50"/>
      <c r="I27187" s="50"/>
      <c r="O27187" s="36" t="s">
        <v>48</v>
      </c>
      <c r="R27187" s="36" t="s">
        <v>48</v>
      </c>
    </row>
    <row r="27188">
      <c r="H27188" s="50"/>
      <c r="I27188" s="50"/>
      <c r="O27188" s="36" t="s">
        <v>48</v>
      </c>
      <c r="R27188" s="36" t="s">
        <v>48</v>
      </c>
    </row>
    <row r="27189">
      <c r="H27189" s="50"/>
      <c r="I27189" s="50"/>
      <c r="O27189" s="36" t="s">
        <v>48</v>
      </c>
      <c r="R27189" s="36" t="s">
        <v>48</v>
      </c>
    </row>
    <row r="27190">
      <c r="H27190" s="50"/>
      <c r="I27190" s="50"/>
      <c r="O27190" s="36" t="s">
        <v>48</v>
      </c>
      <c r="R27190" s="36" t="s">
        <v>48</v>
      </c>
    </row>
    <row r="27191">
      <c r="H27191" s="50"/>
      <c r="I27191" s="50"/>
      <c r="O27191" s="36" t="s">
        <v>48</v>
      </c>
      <c r="R27191" s="36" t="s">
        <v>48</v>
      </c>
    </row>
    <row r="27192">
      <c r="H27192" s="50"/>
      <c r="I27192" s="50"/>
      <c r="O27192" s="36" t="s">
        <v>48</v>
      </c>
      <c r="R27192" s="36" t="s">
        <v>48</v>
      </c>
    </row>
    <row r="27193">
      <c r="H27193" s="50"/>
      <c r="I27193" s="50"/>
      <c r="O27193" s="36" t="s">
        <v>48</v>
      </c>
      <c r="R27193" s="36" t="s">
        <v>48</v>
      </c>
    </row>
    <row r="27194">
      <c r="H27194" s="50"/>
      <c r="I27194" s="50"/>
      <c r="O27194" s="36" t="s">
        <v>48</v>
      </c>
      <c r="R27194" s="36" t="s">
        <v>48</v>
      </c>
    </row>
    <row r="27195">
      <c r="H27195" s="50"/>
      <c r="I27195" s="50"/>
      <c r="O27195" s="36" t="s">
        <v>48</v>
      </c>
      <c r="R27195" s="36" t="s">
        <v>48</v>
      </c>
    </row>
    <row r="27196">
      <c r="H27196" s="50"/>
      <c r="I27196" s="50"/>
      <c r="O27196" s="36" t="s">
        <v>48</v>
      </c>
      <c r="R27196" s="36" t="s">
        <v>48</v>
      </c>
    </row>
    <row r="27197">
      <c r="H27197" s="50"/>
      <c r="I27197" s="50"/>
      <c r="O27197" s="36" t="s">
        <v>48</v>
      </c>
      <c r="R27197" s="36" t="s">
        <v>48</v>
      </c>
    </row>
    <row r="27198">
      <c r="H27198" s="50"/>
      <c r="I27198" s="50"/>
      <c r="O27198" s="36" t="s">
        <v>48</v>
      </c>
      <c r="R27198" s="36" t="s">
        <v>48</v>
      </c>
    </row>
    <row r="27199">
      <c r="H27199" s="50"/>
      <c r="I27199" s="50"/>
      <c r="O27199" s="36" t="s">
        <v>48</v>
      </c>
      <c r="R27199" s="36" t="s">
        <v>48</v>
      </c>
    </row>
    <row r="27200">
      <c r="H27200" s="50"/>
      <c r="I27200" s="50"/>
      <c r="O27200" s="36" t="s">
        <v>48</v>
      </c>
      <c r="R27200" s="36" t="s">
        <v>48</v>
      </c>
    </row>
    <row r="27201">
      <c r="H27201" s="50"/>
      <c r="I27201" s="50"/>
      <c r="O27201" s="36" t="s">
        <v>48</v>
      </c>
      <c r="R27201" s="36" t="s">
        <v>48</v>
      </c>
    </row>
    <row r="27202">
      <c r="H27202" s="50"/>
      <c r="I27202" s="50"/>
      <c r="O27202" s="36" t="s">
        <v>48</v>
      </c>
      <c r="R27202" s="36" t="s">
        <v>48</v>
      </c>
    </row>
    <row r="27203">
      <c r="H27203" s="50"/>
      <c r="I27203" s="50"/>
      <c r="O27203" s="36" t="s">
        <v>48</v>
      </c>
      <c r="R27203" s="36" t="s">
        <v>48</v>
      </c>
    </row>
    <row r="27204">
      <c r="H27204" s="50"/>
      <c r="I27204" s="50"/>
      <c r="O27204" s="36" t="s">
        <v>48</v>
      </c>
      <c r="R27204" s="36" t="s">
        <v>48</v>
      </c>
    </row>
    <row r="27205">
      <c r="H27205" s="50"/>
      <c r="I27205" s="50"/>
      <c r="O27205" s="36" t="s">
        <v>48</v>
      </c>
      <c r="R27205" s="36" t="s">
        <v>48</v>
      </c>
    </row>
    <row r="27206">
      <c r="H27206" s="50"/>
      <c r="I27206" s="50"/>
      <c r="O27206" s="36" t="s">
        <v>48</v>
      </c>
      <c r="R27206" s="36" t="s">
        <v>48</v>
      </c>
    </row>
    <row r="27207">
      <c r="H27207" s="50"/>
      <c r="I27207" s="50"/>
      <c r="O27207" s="36" t="s">
        <v>48</v>
      </c>
      <c r="R27207" s="36" t="s">
        <v>48</v>
      </c>
    </row>
    <row r="27208">
      <c r="H27208" s="50"/>
      <c r="I27208" s="50"/>
      <c r="O27208" s="36" t="s">
        <v>48</v>
      </c>
      <c r="R27208" s="36" t="s">
        <v>48</v>
      </c>
    </row>
    <row r="27209">
      <c r="H27209" s="50"/>
      <c r="I27209" s="50"/>
      <c r="O27209" s="36" t="s">
        <v>48</v>
      </c>
      <c r="R27209" s="36" t="s">
        <v>48</v>
      </c>
    </row>
    <row r="27210">
      <c r="H27210" s="50"/>
      <c r="I27210" s="50"/>
      <c r="O27210" s="36" t="s">
        <v>48</v>
      </c>
      <c r="R27210" s="36" t="s">
        <v>48</v>
      </c>
    </row>
    <row r="27211">
      <c r="H27211" s="50"/>
      <c r="I27211" s="50"/>
      <c r="O27211" s="36" t="s">
        <v>48</v>
      </c>
      <c r="R27211" s="36" t="s">
        <v>48</v>
      </c>
    </row>
    <row r="27212">
      <c r="H27212" s="50"/>
      <c r="I27212" s="50"/>
      <c r="O27212" s="36" t="s">
        <v>48</v>
      </c>
      <c r="R27212" s="36" t="s">
        <v>48</v>
      </c>
    </row>
    <row r="27213">
      <c r="H27213" s="50"/>
      <c r="I27213" s="50"/>
      <c r="O27213" s="36" t="s">
        <v>48</v>
      </c>
      <c r="R27213" s="36" t="s">
        <v>48</v>
      </c>
    </row>
    <row r="27214">
      <c r="H27214" s="50"/>
      <c r="I27214" s="50"/>
      <c r="O27214" s="36" t="s">
        <v>48</v>
      </c>
      <c r="R27214" s="36" t="s">
        <v>48</v>
      </c>
    </row>
    <row r="27215">
      <c r="H27215" s="50"/>
      <c r="I27215" s="50"/>
      <c r="O27215" s="36" t="s">
        <v>48</v>
      </c>
      <c r="R27215" s="36" t="s">
        <v>48</v>
      </c>
    </row>
    <row r="27216">
      <c r="H27216" s="50"/>
      <c r="I27216" s="50"/>
      <c r="O27216" s="36" t="s">
        <v>48</v>
      </c>
      <c r="R27216" s="36" t="s">
        <v>48</v>
      </c>
    </row>
    <row r="27217">
      <c r="H27217" s="50"/>
      <c r="I27217" s="50"/>
      <c r="O27217" s="36" t="s">
        <v>48</v>
      </c>
      <c r="R27217" s="36" t="s">
        <v>48</v>
      </c>
    </row>
    <row r="27218">
      <c r="H27218" s="50"/>
      <c r="I27218" s="50"/>
      <c r="O27218" s="36" t="s">
        <v>48</v>
      </c>
      <c r="R27218" s="36" t="s">
        <v>48</v>
      </c>
    </row>
    <row r="27219">
      <c r="H27219" s="50"/>
      <c r="I27219" s="50"/>
      <c r="O27219" s="36" t="s">
        <v>48</v>
      </c>
      <c r="R27219" s="36" t="s">
        <v>48</v>
      </c>
    </row>
    <row r="27220">
      <c r="H27220" s="50"/>
      <c r="I27220" s="50"/>
      <c r="O27220" s="36" t="s">
        <v>48</v>
      </c>
      <c r="R27220" s="36" t="s">
        <v>48</v>
      </c>
    </row>
    <row r="27221">
      <c r="H27221" s="50"/>
      <c r="I27221" s="50"/>
      <c r="O27221" s="36" t="s">
        <v>48</v>
      </c>
      <c r="R27221" s="36" t="s">
        <v>48</v>
      </c>
    </row>
    <row r="27222">
      <c r="H27222" s="50"/>
      <c r="I27222" s="50"/>
      <c r="O27222" s="36" t="s">
        <v>48</v>
      </c>
      <c r="R27222" s="36" t="s">
        <v>48</v>
      </c>
    </row>
    <row r="27223">
      <c r="H27223" s="50"/>
      <c r="I27223" s="50"/>
      <c r="O27223" s="36" t="s">
        <v>48</v>
      </c>
      <c r="R27223" s="36" t="s">
        <v>48</v>
      </c>
    </row>
    <row r="27224">
      <c r="H27224" s="50"/>
      <c r="I27224" s="50"/>
      <c r="O27224" s="36" t="s">
        <v>48</v>
      </c>
      <c r="R27224" s="36" t="s">
        <v>48</v>
      </c>
    </row>
    <row r="27225">
      <c r="H27225" s="50"/>
      <c r="I27225" s="50"/>
      <c r="O27225" s="36" t="s">
        <v>48</v>
      </c>
      <c r="R27225" s="36" t="s">
        <v>48</v>
      </c>
    </row>
    <row r="27226">
      <c r="H27226" s="50"/>
      <c r="I27226" s="50"/>
      <c r="O27226" s="36" t="s">
        <v>48</v>
      </c>
      <c r="R27226" s="36" t="s">
        <v>48</v>
      </c>
    </row>
    <row r="27227">
      <c r="H27227" s="50"/>
      <c r="I27227" s="50"/>
      <c r="O27227" s="36" t="s">
        <v>48</v>
      </c>
      <c r="R27227" s="36" t="s">
        <v>48</v>
      </c>
    </row>
    <row r="27228">
      <c r="H27228" s="50"/>
      <c r="I27228" s="50"/>
      <c r="O27228" s="36" t="s">
        <v>48</v>
      </c>
      <c r="R27228" s="36" t="s">
        <v>48</v>
      </c>
    </row>
    <row r="27229">
      <c r="H27229" s="50"/>
      <c r="I27229" s="50"/>
      <c r="O27229" s="36" t="s">
        <v>48</v>
      </c>
      <c r="R27229" s="36" t="s">
        <v>48</v>
      </c>
    </row>
    <row r="27230">
      <c r="H27230" s="50"/>
      <c r="I27230" s="50"/>
      <c r="O27230" s="36" t="s">
        <v>48</v>
      </c>
      <c r="R27230" s="36" t="s">
        <v>48</v>
      </c>
    </row>
    <row r="27231">
      <c r="H27231" s="50"/>
      <c r="I27231" s="50"/>
      <c r="O27231" s="36" t="s">
        <v>48</v>
      </c>
      <c r="R27231" s="36" t="s">
        <v>48</v>
      </c>
    </row>
    <row r="27232">
      <c r="H27232" s="50"/>
      <c r="I27232" s="50"/>
      <c r="O27232" s="36" t="s">
        <v>48</v>
      </c>
      <c r="R27232" s="36" t="s">
        <v>48</v>
      </c>
    </row>
    <row r="27233">
      <c r="H27233" s="50"/>
      <c r="I27233" s="50"/>
      <c r="O27233" s="36" t="s">
        <v>48</v>
      </c>
      <c r="R27233" s="36" t="s">
        <v>48</v>
      </c>
    </row>
    <row r="27234">
      <c r="H27234" s="50"/>
      <c r="I27234" s="50"/>
      <c r="O27234" s="36" t="s">
        <v>48</v>
      </c>
      <c r="R27234" s="36" t="s">
        <v>48</v>
      </c>
    </row>
    <row r="27235">
      <c r="H27235" s="50"/>
      <c r="I27235" s="50"/>
      <c r="O27235" s="36" t="s">
        <v>48</v>
      </c>
      <c r="R27235" s="36" t="s">
        <v>48</v>
      </c>
    </row>
    <row r="27236">
      <c r="H27236" s="50"/>
      <c r="I27236" s="50"/>
      <c r="O27236" s="36" t="s">
        <v>48</v>
      </c>
      <c r="R27236" s="36" t="s">
        <v>48</v>
      </c>
    </row>
    <row r="27237">
      <c r="H27237" s="50"/>
      <c r="I27237" s="50"/>
      <c r="O27237" s="36" t="s">
        <v>48</v>
      </c>
      <c r="R27237" s="36" t="s">
        <v>48</v>
      </c>
    </row>
    <row r="27238">
      <c r="H27238" s="50"/>
      <c r="I27238" s="50"/>
      <c r="O27238" s="36" t="s">
        <v>48</v>
      </c>
      <c r="R27238" s="36" t="s">
        <v>48</v>
      </c>
    </row>
    <row r="27239">
      <c r="H27239" s="50"/>
      <c r="I27239" s="50"/>
      <c r="O27239" s="36" t="s">
        <v>48</v>
      </c>
      <c r="R27239" s="36" t="s">
        <v>48</v>
      </c>
    </row>
    <row r="27240">
      <c r="H27240" s="50"/>
      <c r="I27240" s="50"/>
      <c r="O27240" s="36" t="s">
        <v>48</v>
      </c>
      <c r="R27240" s="36" t="s">
        <v>48</v>
      </c>
    </row>
    <row r="27241">
      <c r="H27241" s="50"/>
      <c r="I27241" s="50"/>
      <c r="O27241" s="36" t="s">
        <v>48</v>
      </c>
      <c r="R27241" s="36" t="s">
        <v>48</v>
      </c>
    </row>
    <row r="27242">
      <c r="H27242" s="50"/>
      <c r="I27242" s="50"/>
      <c r="O27242" s="36" t="s">
        <v>48</v>
      </c>
      <c r="R27242" s="36" t="s">
        <v>48</v>
      </c>
    </row>
    <row r="27243">
      <c r="H27243" s="50"/>
      <c r="I27243" s="50"/>
      <c r="O27243" s="36" t="s">
        <v>48</v>
      </c>
      <c r="R27243" s="36" t="s">
        <v>48</v>
      </c>
    </row>
    <row r="27244">
      <c r="H27244" s="50"/>
      <c r="I27244" s="50"/>
      <c r="O27244" s="36" t="s">
        <v>48</v>
      </c>
      <c r="R27244" s="36" t="s">
        <v>48</v>
      </c>
    </row>
    <row r="27245">
      <c r="H27245" s="50"/>
      <c r="I27245" s="50"/>
      <c r="O27245" s="36" t="s">
        <v>48</v>
      </c>
      <c r="R27245" s="36" t="s">
        <v>48</v>
      </c>
    </row>
    <row r="27246">
      <c r="H27246" s="50"/>
      <c r="I27246" s="50"/>
      <c r="O27246" s="36" t="s">
        <v>48</v>
      </c>
      <c r="R27246" s="36" t="s">
        <v>48</v>
      </c>
    </row>
    <row r="27247">
      <c r="H27247" s="50"/>
      <c r="I27247" s="50"/>
      <c r="O27247" s="36" t="s">
        <v>48</v>
      </c>
      <c r="R27247" s="36" t="s">
        <v>48</v>
      </c>
    </row>
    <row r="27248">
      <c r="H27248" s="50"/>
      <c r="I27248" s="50"/>
      <c r="O27248" s="36" t="s">
        <v>48</v>
      </c>
      <c r="R27248" s="36" t="s">
        <v>48</v>
      </c>
    </row>
    <row r="27249">
      <c r="H27249" s="50"/>
      <c r="I27249" s="50"/>
      <c r="O27249" s="36" t="s">
        <v>48</v>
      </c>
      <c r="R27249" s="36" t="s">
        <v>48</v>
      </c>
    </row>
    <row r="27250">
      <c r="H27250" s="50"/>
      <c r="I27250" s="50"/>
      <c r="O27250" s="36" t="s">
        <v>48</v>
      </c>
      <c r="R27250" s="36" t="s">
        <v>48</v>
      </c>
    </row>
    <row r="27251">
      <c r="H27251" s="50"/>
      <c r="I27251" s="50"/>
      <c r="O27251" s="36" t="s">
        <v>48</v>
      </c>
      <c r="R27251" s="36" t="s">
        <v>48</v>
      </c>
    </row>
    <row r="27252">
      <c r="H27252" s="50"/>
      <c r="I27252" s="50"/>
      <c r="O27252" s="36" t="s">
        <v>48</v>
      </c>
      <c r="R27252" s="36" t="s">
        <v>48</v>
      </c>
    </row>
    <row r="27253">
      <c r="H27253" s="50"/>
      <c r="I27253" s="50"/>
      <c r="O27253" s="36" t="s">
        <v>48</v>
      </c>
      <c r="R27253" s="36" t="s">
        <v>48</v>
      </c>
    </row>
    <row r="27254">
      <c r="H27254" s="50"/>
      <c r="I27254" s="50"/>
      <c r="O27254" s="36" t="s">
        <v>48</v>
      </c>
      <c r="R27254" s="36" t="s">
        <v>48</v>
      </c>
    </row>
    <row r="27255">
      <c r="H27255" s="50"/>
      <c r="I27255" s="50"/>
      <c r="O27255" s="36" t="s">
        <v>48</v>
      </c>
      <c r="R27255" s="36" t="s">
        <v>48</v>
      </c>
    </row>
    <row r="27256">
      <c r="H27256" s="50"/>
      <c r="I27256" s="50"/>
      <c r="O27256" s="36" t="s">
        <v>48</v>
      </c>
      <c r="R27256" s="36" t="s">
        <v>48</v>
      </c>
    </row>
    <row r="27257">
      <c r="H27257" s="50"/>
      <c r="I27257" s="50"/>
      <c r="O27257" s="36" t="s">
        <v>48</v>
      </c>
      <c r="R27257" s="36" t="s">
        <v>48</v>
      </c>
    </row>
    <row r="27258">
      <c r="H27258" s="50"/>
      <c r="I27258" s="50"/>
      <c r="O27258" s="36" t="s">
        <v>48</v>
      </c>
      <c r="R27258" s="36" t="s">
        <v>48</v>
      </c>
    </row>
    <row r="27259">
      <c r="H27259" s="50"/>
      <c r="I27259" s="50"/>
      <c r="O27259" s="36" t="s">
        <v>48</v>
      </c>
      <c r="R27259" s="36" t="s">
        <v>48</v>
      </c>
    </row>
    <row r="27260">
      <c r="H27260" s="50"/>
      <c r="I27260" s="50"/>
      <c r="O27260" s="36" t="s">
        <v>48</v>
      </c>
      <c r="R27260" s="36" t="s">
        <v>48</v>
      </c>
    </row>
    <row r="27261">
      <c r="H27261" s="50"/>
      <c r="I27261" s="50"/>
      <c r="O27261" s="36" t="s">
        <v>48</v>
      </c>
      <c r="R27261" s="36" t="s">
        <v>48</v>
      </c>
    </row>
    <row r="27262">
      <c r="H27262" s="50"/>
      <c r="I27262" s="50"/>
      <c r="O27262" s="36" t="s">
        <v>48</v>
      </c>
      <c r="R27262" s="36" t="s">
        <v>48</v>
      </c>
    </row>
    <row r="27263">
      <c r="H27263" s="50"/>
      <c r="I27263" s="50"/>
      <c r="O27263" s="36" t="s">
        <v>48</v>
      </c>
      <c r="R27263" s="36" t="s">
        <v>48</v>
      </c>
    </row>
    <row r="27264">
      <c r="H27264" s="50"/>
      <c r="I27264" s="50"/>
      <c r="O27264" s="36" t="s">
        <v>48</v>
      </c>
      <c r="R27264" s="36" t="s">
        <v>48</v>
      </c>
    </row>
    <row r="27265">
      <c r="H27265" s="50"/>
      <c r="I27265" s="50"/>
      <c r="O27265" s="36" t="s">
        <v>48</v>
      </c>
      <c r="R27265" s="36" t="s">
        <v>48</v>
      </c>
    </row>
    <row r="27266">
      <c r="H27266" s="50"/>
      <c r="I27266" s="50"/>
      <c r="O27266" s="36" t="s">
        <v>48</v>
      </c>
      <c r="R27266" s="36" t="s">
        <v>48</v>
      </c>
    </row>
    <row r="27267">
      <c r="H27267" s="50"/>
      <c r="I27267" s="50"/>
      <c r="O27267" s="36" t="s">
        <v>48</v>
      </c>
      <c r="R27267" s="36" t="s">
        <v>48</v>
      </c>
    </row>
    <row r="27268">
      <c r="H27268" s="50"/>
      <c r="I27268" s="50"/>
      <c r="O27268" s="36" t="s">
        <v>48</v>
      </c>
      <c r="R27268" s="36" t="s">
        <v>48</v>
      </c>
    </row>
    <row r="27269">
      <c r="H27269" s="50"/>
      <c r="I27269" s="50"/>
      <c r="O27269" s="36" t="s">
        <v>48</v>
      </c>
      <c r="R27269" s="36" t="s">
        <v>48</v>
      </c>
    </row>
    <row r="27270">
      <c r="H27270" s="50"/>
      <c r="I27270" s="50"/>
      <c r="O27270" s="36" t="s">
        <v>48</v>
      </c>
      <c r="R27270" s="36" t="s">
        <v>48</v>
      </c>
    </row>
    <row r="27271">
      <c r="H27271" s="50"/>
      <c r="I27271" s="50"/>
      <c r="O27271" s="36" t="s">
        <v>48</v>
      </c>
      <c r="R27271" s="36" t="s">
        <v>48</v>
      </c>
    </row>
    <row r="27272">
      <c r="H27272" s="50"/>
      <c r="I27272" s="50"/>
      <c r="O27272" s="36" t="s">
        <v>48</v>
      </c>
      <c r="R27272" s="36" t="s">
        <v>48</v>
      </c>
    </row>
    <row r="27273">
      <c r="H27273" s="50"/>
      <c r="I27273" s="50"/>
      <c r="O27273" s="36" t="s">
        <v>48</v>
      </c>
      <c r="R27273" s="36" t="s">
        <v>48</v>
      </c>
    </row>
    <row r="27274">
      <c r="H27274" s="50"/>
      <c r="I27274" s="50"/>
      <c r="O27274" s="36" t="s">
        <v>48</v>
      </c>
      <c r="R27274" s="36" t="s">
        <v>48</v>
      </c>
    </row>
    <row r="27275">
      <c r="H27275" s="50"/>
      <c r="I27275" s="50"/>
      <c r="O27275" s="36" t="s">
        <v>48</v>
      </c>
      <c r="R27275" s="36" t="s">
        <v>48</v>
      </c>
    </row>
    <row r="27276">
      <c r="H27276" s="50"/>
      <c r="I27276" s="50"/>
      <c r="O27276" s="36" t="s">
        <v>48</v>
      </c>
      <c r="R27276" s="36" t="s">
        <v>48</v>
      </c>
    </row>
    <row r="27277">
      <c r="H27277" s="50"/>
      <c r="I27277" s="50"/>
      <c r="O27277" s="36" t="s">
        <v>48</v>
      </c>
      <c r="R27277" s="36" t="s">
        <v>48</v>
      </c>
    </row>
    <row r="27278">
      <c r="H27278" s="50"/>
      <c r="I27278" s="50"/>
      <c r="O27278" s="36" t="s">
        <v>48</v>
      </c>
      <c r="R27278" s="36" t="s">
        <v>48</v>
      </c>
    </row>
    <row r="27279">
      <c r="H27279" s="50"/>
      <c r="I27279" s="50"/>
      <c r="O27279" s="36" t="s">
        <v>48</v>
      </c>
      <c r="R27279" s="36" t="s">
        <v>48</v>
      </c>
    </row>
    <row r="27280">
      <c r="H27280" s="50"/>
      <c r="I27280" s="50"/>
      <c r="O27280" s="36" t="s">
        <v>48</v>
      </c>
      <c r="R27280" s="36" t="s">
        <v>48</v>
      </c>
    </row>
    <row r="27281">
      <c r="H27281" s="50"/>
      <c r="I27281" s="50"/>
      <c r="O27281" s="36" t="s">
        <v>48</v>
      </c>
      <c r="R27281" s="36" t="s">
        <v>48</v>
      </c>
    </row>
    <row r="27282">
      <c r="H27282" s="50"/>
      <c r="I27282" s="50"/>
      <c r="O27282" s="36" t="s">
        <v>48</v>
      </c>
      <c r="R27282" s="36" t="s">
        <v>48</v>
      </c>
    </row>
    <row r="27283">
      <c r="H27283" s="50"/>
      <c r="I27283" s="50"/>
      <c r="O27283" s="36" t="s">
        <v>48</v>
      </c>
      <c r="R27283" s="36" t="s">
        <v>48</v>
      </c>
    </row>
    <row r="27284">
      <c r="H27284" s="50"/>
      <c r="I27284" s="50"/>
      <c r="O27284" s="36" t="s">
        <v>48</v>
      </c>
      <c r="R27284" s="36" t="s">
        <v>48</v>
      </c>
    </row>
    <row r="27285">
      <c r="H27285" s="50"/>
      <c r="I27285" s="50"/>
      <c r="O27285" s="36" t="s">
        <v>48</v>
      </c>
      <c r="R27285" s="36" t="s">
        <v>48</v>
      </c>
    </row>
    <row r="27286">
      <c r="H27286" s="50"/>
      <c r="I27286" s="50"/>
      <c r="O27286" s="36" t="s">
        <v>48</v>
      </c>
      <c r="R27286" s="36" t="s">
        <v>48</v>
      </c>
    </row>
    <row r="27287">
      <c r="H27287" s="50"/>
      <c r="I27287" s="50"/>
      <c r="O27287" s="36" t="s">
        <v>48</v>
      </c>
      <c r="R27287" s="36" t="s">
        <v>48</v>
      </c>
    </row>
    <row r="27288">
      <c r="H27288" s="50"/>
      <c r="I27288" s="50"/>
      <c r="O27288" s="36" t="s">
        <v>48</v>
      </c>
      <c r="R27288" s="36" t="s">
        <v>48</v>
      </c>
    </row>
    <row r="27289">
      <c r="H27289" s="50"/>
      <c r="I27289" s="50"/>
      <c r="O27289" s="36" t="s">
        <v>48</v>
      </c>
      <c r="R27289" s="36" t="s">
        <v>48</v>
      </c>
    </row>
    <row r="27290">
      <c r="H27290" s="50"/>
      <c r="I27290" s="50"/>
      <c r="O27290" s="36" t="s">
        <v>48</v>
      </c>
      <c r="R27290" s="36" t="s">
        <v>48</v>
      </c>
    </row>
    <row r="27291">
      <c r="H27291" s="50"/>
      <c r="I27291" s="50"/>
      <c r="O27291" s="36" t="s">
        <v>48</v>
      </c>
      <c r="R27291" s="36" t="s">
        <v>48</v>
      </c>
    </row>
    <row r="27292">
      <c r="H27292" s="50"/>
      <c r="I27292" s="50"/>
      <c r="O27292" s="36" t="s">
        <v>48</v>
      </c>
      <c r="R27292" s="36" t="s">
        <v>48</v>
      </c>
    </row>
    <row r="27293">
      <c r="H27293" s="50"/>
      <c r="I27293" s="50"/>
      <c r="O27293" s="36" t="s">
        <v>48</v>
      </c>
      <c r="R27293" s="36" t="s">
        <v>48</v>
      </c>
    </row>
    <row r="27294">
      <c r="H27294" s="50"/>
      <c r="I27294" s="50"/>
      <c r="O27294" s="36" t="s">
        <v>48</v>
      </c>
      <c r="R27294" s="36" t="s">
        <v>48</v>
      </c>
    </row>
    <row r="27295">
      <c r="H27295" s="50"/>
      <c r="I27295" s="50"/>
      <c r="O27295" s="36" t="s">
        <v>48</v>
      </c>
      <c r="R27295" s="36" t="s">
        <v>48</v>
      </c>
    </row>
    <row r="27296">
      <c r="H27296" s="50"/>
      <c r="I27296" s="50"/>
      <c r="O27296" s="36" t="s">
        <v>48</v>
      </c>
      <c r="R27296" s="36" t="s">
        <v>48</v>
      </c>
    </row>
    <row r="27297">
      <c r="H27297" s="50"/>
      <c r="I27297" s="50"/>
      <c r="O27297" s="36" t="s">
        <v>48</v>
      </c>
      <c r="R27297" s="36" t="s">
        <v>48</v>
      </c>
    </row>
    <row r="27298">
      <c r="H27298" s="50"/>
      <c r="I27298" s="50"/>
      <c r="O27298" s="36" t="s">
        <v>48</v>
      </c>
      <c r="R27298" s="36" t="s">
        <v>48</v>
      </c>
    </row>
    <row r="27299">
      <c r="H27299" s="50"/>
      <c r="I27299" s="50"/>
      <c r="O27299" s="36" t="s">
        <v>48</v>
      </c>
      <c r="R27299" s="36" t="s">
        <v>48</v>
      </c>
    </row>
    <row r="27300">
      <c r="H27300" s="50"/>
      <c r="I27300" s="50"/>
      <c r="O27300" s="36" t="s">
        <v>48</v>
      </c>
      <c r="R27300" s="36" t="s">
        <v>48</v>
      </c>
    </row>
    <row r="27301">
      <c r="H27301" s="50"/>
      <c r="I27301" s="50"/>
      <c r="O27301" s="36" t="s">
        <v>48</v>
      </c>
      <c r="R27301" s="36" t="s">
        <v>48</v>
      </c>
    </row>
    <row r="27302">
      <c r="H27302" s="50"/>
      <c r="I27302" s="50"/>
      <c r="O27302" s="36" t="s">
        <v>48</v>
      </c>
      <c r="R27302" s="36" t="s">
        <v>48</v>
      </c>
    </row>
    <row r="27303">
      <c r="H27303" s="50"/>
      <c r="I27303" s="50"/>
      <c r="O27303" s="36" t="s">
        <v>48</v>
      </c>
      <c r="R27303" s="36" t="s">
        <v>48</v>
      </c>
    </row>
    <row r="27304">
      <c r="H27304" s="50"/>
      <c r="I27304" s="50"/>
      <c r="O27304" s="36" t="s">
        <v>48</v>
      </c>
      <c r="R27304" s="36" t="s">
        <v>48</v>
      </c>
    </row>
    <row r="27305">
      <c r="H27305" s="50"/>
      <c r="I27305" s="50"/>
      <c r="O27305" s="36" t="s">
        <v>48</v>
      </c>
      <c r="R27305" s="36" t="s">
        <v>48</v>
      </c>
    </row>
    <row r="27306">
      <c r="H27306" s="50"/>
      <c r="I27306" s="50"/>
      <c r="O27306" s="36" t="s">
        <v>48</v>
      </c>
      <c r="R27306" s="36" t="s">
        <v>48</v>
      </c>
    </row>
    <row r="27307">
      <c r="H27307" s="50"/>
      <c r="I27307" s="50"/>
      <c r="O27307" s="36" t="s">
        <v>48</v>
      </c>
      <c r="R27307" s="36" t="s">
        <v>48</v>
      </c>
    </row>
    <row r="27308">
      <c r="H27308" s="50"/>
      <c r="I27308" s="50"/>
      <c r="O27308" s="36" t="s">
        <v>48</v>
      </c>
      <c r="R27308" s="36" t="s">
        <v>48</v>
      </c>
    </row>
    <row r="27309">
      <c r="H27309" s="50"/>
      <c r="I27309" s="50"/>
      <c r="O27309" s="36" t="s">
        <v>48</v>
      </c>
      <c r="R27309" s="36" t="s">
        <v>48</v>
      </c>
    </row>
    <row r="27310">
      <c r="H27310" s="50"/>
      <c r="I27310" s="50"/>
      <c r="O27310" s="36" t="s">
        <v>48</v>
      </c>
      <c r="R27310" s="36" t="s">
        <v>48</v>
      </c>
    </row>
    <row r="27311">
      <c r="H27311" s="50"/>
      <c r="I27311" s="50"/>
      <c r="O27311" s="36" t="s">
        <v>48</v>
      </c>
      <c r="R27311" s="36" t="s">
        <v>48</v>
      </c>
    </row>
    <row r="27312">
      <c r="H27312" s="50"/>
      <c r="I27312" s="50"/>
      <c r="O27312" s="36" t="s">
        <v>48</v>
      </c>
      <c r="R27312" s="36" t="s">
        <v>48</v>
      </c>
    </row>
    <row r="27313">
      <c r="H27313" s="50"/>
      <c r="I27313" s="50"/>
      <c r="O27313" s="36" t="s">
        <v>48</v>
      </c>
      <c r="R27313" s="36" t="s">
        <v>48</v>
      </c>
    </row>
    <row r="27314">
      <c r="H27314" s="50"/>
      <c r="I27314" s="50"/>
      <c r="O27314" s="36" t="s">
        <v>48</v>
      </c>
      <c r="R27314" s="36" t="s">
        <v>48</v>
      </c>
    </row>
    <row r="27315">
      <c r="H27315" s="50"/>
      <c r="I27315" s="50"/>
      <c r="O27315" s="36" t="s">
        <v>48</v>
      </c>
      <c r="R27315" s="36" t="s">
        <v>48</v>
      </c>
    </row>
    <row r="27316">
      <c r="H27316" s="50"/>
      <c r="I27316" s="50"/>
      <c r="O27316" s="36" t="s">
        <v>48</v>
      </c>
      <c r="R27316" s="36" t="s">
        <v>48</v>
      </c>
    </row>
    <row r="27317">
      <c r="H27317" s="50"/>
      <c r="I27317" s="50"/>
      <c r="O27317" s="36" t="s">
        <v>48</v>
      </c>
      <c r="R27317" s="36" t="s">
        <v>48</v>
      </c>
    </row>
    <row r="27318">
      <c r="H27318" s="50"/>
      <c r="I27318" s="50"/>
      <c r="O27318" s="36" t="s">
        <v>48</v>
      </c>
      <c r="R27318" s="36" t="s">
        <v>48</v>
      </c>
    </row>
    <row r="27319">
      <c r="H27319" s="50"/>
      <c r="I27319" s="50"/>
      <c r="O27319" s="36" t="s">
        <v>48</v>
      </c>
      <c r="R27319" s="36" t="s">
        <v>48</v>
      </c>
    </row>
    <row r="27320">
      <c r="H27320" s="50"/>
      <c r="I27320" s="50"/>
      <c r="O27320" s="36" t="s">
        <v>48</v>
      </c>
      <c r="R27320" s="36" t="s">
        <v>48</v>
      </c>
    </row>
    <row r="27321">
      <c r="H27321" s="50"/>
      <c r="I27321" s="50"/>
      <c r="O27321" s="36" t="s">
        <v>48</v>
      </c>
      <c r="R27321" s="36" t="s">
        <v>48</v>
      </c>
    </row>
    <row r="27322">
      <c r="H27322" s="50"/>
      <c r="I27322" s="50"/>
      <c r="O27322" s="36" t="s">
        <v>48</v>
      </c>
      <c r="R27322" s="36" t="s">
        <v>48</v>
      </c>
    </row>
    <row r="27323">
      <c r="H27323" s="50"/>
      <c r="I27323" s="50"/>
      <c r="O27323" s="36" t="s">
        <v>48</v>
      </c>
      <c r="R27323" s="36" t="s">
        <v>48</v>
      </c>
    </row>
    <row r="27324">
      <c r="H27324" s="50"/>
      <c r="I27324" s="50"/>
      <c r="O27324" s="36" t="s">
        <v>48</v>
      </c>
      <c r="R27324" s="36" t="s">
        <v>48</v>
      </c>
    </row>
    <row r="27325">
      <c r="H27325" s="50"/>
      <c r="I27325" s="50"/>
      <c r="O27325" s="36" t="s">
        <v>48</v>
      </c>
      <c r="R27325" s="36" t="s">
        <v>48</v>
      </c>
    </row>
    <row r="27326">
      <c r="H27326" s="50"/>
      <c r="I27326" s="50"/>
      <c r="O27326" s="36" t="s">
        <v>48</v>
      </c>
      <c r="R27326" s="36" t="s">
        <v>48</v>
      </c>
    </row>
    <row r="27327">
      <c r="H27327" s="50"/>
      <c r="I27327" s="50"/>
      <c r="O27327" s="36" t="s">
        <v>48</v>
      </c>
      <c r="R27327" s="36" t="s">
        <v>48</v>
      </c>
    </row>
    <row r="27328">
      <c r="H27328" s="50"/>
      <c r="I27328" s="50"/>
      <c r="O27328" s="36" t="s">
        <v>48</v>
      </c>
      <c r="R27328" s="36" t="s">
        <v>48</v>
      </c>
    </row>
    <row r="27329">
      <c r="H27329" s="50"/>
      <c r="I27329" s="50"/>
      <c r="O27329" s="36" t="s">
        <v>48</v>
      </c>
      <c r="R27329" s="36" t="s">
        <v>48</v>
      </c>
    </row>
    <row r="27330">
      <c r="H27330" s="50"/>
      <c r="I27330" s="50"/>
      <c r="O27330" s="36" t="s">
        <v>48</v>
      </c>
      <c r="R27330" s="36" t="s">
        <v>48</v>
      </c>
    </row>
    <row r="27331">
      <c r="H27331" s="50"/>
      <c r="I27331" s="50"/>
      <c r="O27331" s="36" t="s">
        <v>48</v>
      </c>
      <c r="R27331" s="36" t="s">
        <v>48</v>
      </c>
    </row>
    <row r="27332">
      <c r="H27332" s="50"/>
      <c r="I27332" s="50"/>
      <c r="O27332" s="36" t="s">
        <v>48</v>
      </c>
      <c r="R27332" s="36" t="s">
        <v>48</v>
      </c>
    </row>
    <row r="27333">
      <c r="H27333" s="50"/>
      <c r="I27333" s="50"/>
      <c r="O27333" s="36" t="s">
        <v>48</v>
      </c>
      <c r="R27333" s="36" t="s">
        <v>48</v>
      </c>
    </row>
    <row r="27334">
      <c r="H27334" s="50"/>
      <c r="I27334" s="50"/>
      <c r="O27334" s="36" t="s">
        <v>48</v>
      </c>
      <c r="R27334" s="36" t="s">
        <v>48</v>
      </c>
    </row>
    <row r="27335">
      <c r="H27335" s="50"/>
      <c r="I27335" s="50"/>
      <c r="O27335" s="36" t="s">
        <v>48</v>
      </c>
      <c r="R27335" s="36" t="s">
        <v>48</v>
      </c>
    </row>
    <row r="27336">
      <c r="H27336" s="50"/>
      <c r="I27336" s="50"/>
      <c r="O27336" s="36" t="s">
        <v>48</v>
      </c>
      <c r="R27336" s="36" t="s">
        <v>48</v>
      </c>
    </row>
    <row r="27337">
      <c r="H27337" s="50"/>
      <c r="I27337" s="50"/>
      <c r="O27337" s="36" t="s">
        <v>48</v>
      </c>
      <c r="R27337" s="36" t="s">
        <v>48</v>
      </c>
    </row>
    <row r="27338">
      <c r="H27338" s="50"/>
      <c r="I27338" s="50"/>
      <c r="O27338" s="36" t="s">
        <v>48</v>
      </c>
      <c r="R27338" s="36" t="s">
        <v>48</v>
      </c>
    </row>
    <row r="27339">
      <c r="H27339" s="50"/>
      <c r="I27339" s="50"/>
      <c r="O27339" s="36" t="s">
        <v>48</v>
      </c>
      <c r="R27339" s="36" t="s">
        <v>48</v>
      </c>
    </row>
    <row r="27340">
      <c r="H27340" s="50"/>
      <c r="I27340" s="50"/>
      <c r="O27340" s="36" t="s">
        <v>48</v>
      </c>
      <c r="R27340" s="36" t="s">
        <v>48</v>
      </c>
    </row>
    <row r="27341">
      <c r="H27341" s="50"/>
      <c r="I27341" s="50"/>
      <c r="O27341" s="36" t="s">
        <v>48</v>
      </c>
      <c r="R27341" s="36" t="s">
        <v>48</v>
      </c>
    </row>
    <row r="27342">
      <c r="H27342" s="50"/>
      <c r="I27342" s="50"/>
      <c r="O27342" s="36" t="s">
        <v>48</v>
      </c>
      <c r="R27342" s="36" t="s">
        <v>48</v>
      </c>
    </row>
    <row r="27343">
      <c r="H27343" s="50"/>
      <c r="I27343" s="50"/>
      <c r="O27343" s="36" t="s">
        <v>48</v>
      </c>
      <c r="R27343" s="36" t="s">
        <v>48</v>
      </c>
    </row>
    <row r="27344">
      <c r="H27344" s="50"/>
      <c r="I27344" s="50"/>
      <c r="O27344" s="36" t="s">
        <v>48</v>
      </c>
      <c r="R27344" s="36" t="s">
        <v>48</v>
      </c>
    </row>
    <row r="27345">
      <c r="H27345" s="50"/>
      <c r="I27345" s="50"/>
      <c r="O27345" s="36" t="s">
        <v>48</v>
      </c>
      <c r="R27345" s="36" t="s">
        <v>48</v>
      </c>
    </row>
    <row r="27346">
      <c r="H27346" s="50"/>
      <c r="I27346" s="50"/>
      <c r="O27346" s="36" t="s">
        <v>48</v>
      </c>
      <c r="R27346" s="36" t="s">
        <v>48</v>
      </c>
    </row>
    <row r="27347">
      <c r="H27347" s="50"/>
      <c r="I27347" s="50"/>
      <c r="O27347" s="36" t="s">
        <v>48</v>
      </c>
      <c r="R27347" s="36" t="s">
        <v>48</v>
      </c>
    </row>
    <row r="27348">
      <c r="H27348" s="50"/>
      <c r="I27348" s="50"/>
      <c r="O27348" s="36" t="s">
        <v>48</v>
      </c>
      <c r="R27348" s="36" t="s">
        <v>48</v>
      </c>
    </row>
    <row r="27349">
      <c r="H27349" s="50"/>
      <c r="I27349" s="50"/>
      <c r="O27349" s="36" t="s">
        <v>48</v>
      </c>
      <c r="R27349" s="36" t="s">
        <v>48</v>
      </c>
    </row>
    <row r="27350">
      <c r="H27350" s="50"/>
      <c r="I27350" s="50"/>
      <c r="O27350" s="36" t="s">
        <v>48</v>
      </c>
      <c r="R27350" s="36" t="s">
        <v>48</v>
      </c>
    </row>
    <row r="27351">
      <c r="H27351" s="50"/>
      <c r="I27351" s="50"/>
      <c r="O27351" s="36" t="s">
        <v>48</v>
      </c>
      <c r="R27351" s="36" t="s">
        <v>48</v>
      </c>
    </row>
    <row r="27352">
      <c r="H27352" s="50"/>
      <c r="I27352" s="50"/>
      <c r="O27352" s="36" t="s">
        <v>48</v>
      </c>
      <c r="R27352" s="36" t="s">
        <v>48</v>
      </c>
    </row>
    <row r="27353">
      <c r="H27353" s="50"/>
      <c r="I27353" s="50"/>
      <c r="O27353" s="36" t="s">
        <v>48</v>
      </c>
      <c r="R27353" s="36" t="s">
        <v>48</v>
      </c>
    </row>
    <row r="27354">
      <c r="H27354" s="50"/>
      <c r="I27354" s="50"/>
      <c r="O27354" s="36" t="s">
        <v>48</v>
      </c>
      <c r="R27354" s="36" t="s">
        <v>48</v>
      </c>
    </row>
    <row r="27355">
      <c r="H27355" s="50"/>
      <c r="I27355" s="50"/>
      <c r="O27355" s="36" t="s">
        <v>48</v>
      </c>
      <c r="R27355" s="36" t="s">
        <v>48</v>
      </c>
    </row>
    <row r="27356">
      <c r="H27356" s="50"/>
      <c r="I27356" s="50"/>
      <c r="O27356" s="36" t="s">
        <v>48</v>
      </c>
      <c r="R27356" s="36" t="s">
        <v>48</v>
      </c>
    </row>
    <row r="27357">
      <c r="H27357" s="50"/>
      <c r="I27357" s="50"/>
      <c r="O27357" s="36" t="s">
        <v>48</v>
      </c>
      <c r="R27357" s="36" t="s">
        <v>48</v>
      </c>
    </row>
    <row r="27358">
      <c r="H27358" s="50"/>
      <c r="I27358" s="50"/>
      <c r="O27358" s="36" t="s">
        <v>48</v>
      </c>
      <c r="R27358" s="36" t="s">
        <v>48</v>
      </c>
    </row>
    <row r="27359">
      <c r="H27359" s="50"/>
      <c r="I27359" s="50"/>
      <c r="O27359" s="36" t="s">
        <v>48</v>
      </c>
      <c r="R27359" s="36" t="s">
        <v>48</v>
      </c>
    </row>
    <row r="27360">
      <c r="H27360" s="50"/>
      <c r="I27360" s="50"/>
      <c r="O27360" s="36" t="s">
        <v>48</v>
      </c>
      <c r="R27360" s="36" t="s">
        <v>48</v>
      </c>
    </row>
    <row r="27361">
      <c r="H27361" s="50"/>
      <c r="I27361" s="50"/>
      <c r="O27361" s="36" t="s">
        <v>48</v>
      </c>
      <c r="R27361" s="36" t="s">
        <v>48</v>
      </c>
    </row>
    <row r="27362">
      <c r="H27362" s="50"/>
      <c r="I27362" s="50"/>
      <c r="O27362" s="36" t="s">
        <v>48</v>
      </c>
      <c r="R27362" s="36" t="s">
        <v>48</v>
      </c>
    </row>
    <row r="27363">
      <c r="H27363" s="50"/>
      <c r="I27363" s="50"/>
      <c r="O27363" s="36" t="s">
        <v>48</v>
      </c>
      <c r="R27363" s="36" t="s">
        <v>48</v>
      </c>
    </row>
    <row r="27364">
      <c r="H27364" s="50"/>
      <c r="I27364" s="50"/>
      <c r="O27364" s="36" t="s">
        <v>48</v>
      </c>
      <c r="R27364" s="36" t="s">
        <v>48</v>
      </c>
    </row>
    <row r="27365">
      <c r="H27365" s="50"/>
      <c r="I27365" s="50"/>
      <c r="O27365" s="36" t="s">
        <v>48</v>
      </c>
      <c r="R27365" s="36" t="s">
        <v>48</v>
      </c>
    </row>
    <row r="27366">
      <c r="H27366" s="50"/>
      <c r="I27366" s="50"/>
      <c r="O27366" s="36" t="s">
        <v>48</v>
      </c>
      <c r="R27366" s="36" t="s">
        <v>48</v>
      </c>
    </row>
    <row r="27367">
      <c r="H27367" s="50"/>
      <c r="I27367" s="50"/>
      <c r="O27367" s="36" t="s">
        <v>48</v>
      </c>
      <c r="R27367" s="36" t="s">
        <v>48</v>
      </c>
    </row>
    <row r="27368">
      <c r="H27368" s="50"/>
      <c r="I27368" s="50"/>
      <c r="O27368" s="36" t="s">
        <v>48</v>
      </c>
      <c r="R27368" s="36" t="s">
        <v>48</v>
      </c>
    </row>
    <row r="27369">
      <c r="H27369" s="50"/>
      <c r="I27369" s="50"/>
      <c r="O27369" s="36" t="s">
        <v>48</v>
      </c>
      <c r="R27369" s="36" t="s">
        <v>48</v>
      </c>
    </row>
    <row r="27370">
      <c r="H27370" s="50"/>
      <c r="I27370" s="50"/>
      <c r="O27370" s="36" t="s">
        <v>48</v>
      </c>
      <c r="R27370" s="36" t="s">
        <v>48</v>
      </c>
    </row>
    <row r="27371">
      <c r="H27371" s="50"/>
      <c r="I27371" s="50"/>
      <c r="O27371" s="36" t="s">
        <v>48</v>
      </c>
      <c r="R27371" s="36" t="s">
        <v>48</v>
      </c>
    </row>
    <row r="27372">
      <c r="H27372" s="50"/>
      <c r="I27372" s="50"/>
      <c r="O27372" s="36" t="s">
        <v>48</v>
      </c>
      <c r="R27372" s="36" t="s">
        <v>48</v>
      </c>
    </row>
    <row r="27373">
      <c r="H27373" s="50"/>
      <c r="I27373" s="50"/>
      <c r="O27373" s="36" t="s">
        <v>48</v>
      </c>
      <c r="R27373" s="36" t="s">
        <v>48</v>
      </c>
    </row>
    <row r="27374">
      <c r="H27374" s="50"/>
      <c r="I27374" s="50"/>
      <c r="O27374" s="36" t="s">
        <v>48</v>
      </c>
      <c r="R27374" s="36" t="s">
        <v>48</v>
      </c>
    </row>
    <row r="27375">
      <c r="H27375" s="50"/>
      <c r="I27375" s="50"/>
      <c r="O27375" s="36" t="s">
        <v>48</v>
      </c>
      <c r="R27375" s="36" t="s">
        <v>48</v>
      </c>
    </row>
    <row r="27376">
      <c r="H27376" s="50"/>
      <c r="I27376" s="50"/>
      <c r="O27376" s="36" t="s">
        <v>48</v>
      </c>
      <c r="R27376" s="36" t="s">
        <v>48</v>
      </c>
    </row>
    <row r="27377">
      <c r="H27377" s="50"/>
      <c r="I27377" s="50"/>
      <c r="O27377" s="36" t="s">
        <v>48</v>
      </c>
      <c r="R27377" s="36" t="s">
        <v>48</v>
      </c>
    </row>
    <row r="27378">
      <c r="H27378" s="50"/>
      <c r="I27378" s="50"/>
      <c r="O27378" s="36" t="s">
        <v>48</v>
      </c>
      <c r="R27378" s="36" t="s">
        <v>48</v>
      </c>
    </row>
    <row r="27379">
      <c r="H27379" s="50"/>
      <c r="I27379" s="50"/>
      <c r="O27379" s="36" t="s">
        <v>48</v>
      </c>
      <c r="R27379" s="36" t="s">
        <v>48</v>
      </c>
    </row>
    <row r="27380">
      <c r="H27380" s="50"/>
      <c r="I27380" s="50"/>
      <c r="O27380" s="36" t="s">
        <v>48</v>
      </c>
      <c r="R27380" s="36" t="s">
        <v>48</v>
      </c>
    </row>
    <row r="27381">
      <c r="H27381" s="50"/>
      <c r="I27381" s="50"/>
      <c r="O27381" s="36" t="s">
        <v>48</v>
      </c>
      <c r="R27381" s="36" t="s">
        <v>48</v>
      </c>
    </row>
    <row r="27382">
      <c r="H27382" s="50"/>
      <c r="I27382" s="50"/>
      <c r="O27382" s="36" t="s">
        <v>48</v>
      </c>
      <c r="R27382" s="36" t="s">
        <v>48</v>
      </c>
    </row>
    <row r="27383">
      <c r="H27383" s="50"/>
      <c r="I27383" s="50"/>
      <c r="O27383" s="36" t="s">
        <v>48</v>
      </c>
      <c r="R27383" s="36" t="s">
        <v>48</v>
      </c>
    </row>
    <row r="27384">
      <c r="H27384" s="50"/>
      <c r="I27384" s="50"/>
      <c r="O27384" s="36" t="s">
        <v>48</v>
      </c>
      <c r="R27384" s="36" t="s">
        <v>48</v>
      </c>
    </row>
    <row r="27385">
      <c r="H27385" s="50"/>
      <c r="I27385" s="50"/>
      <c r="O27385" s="36" t="s">
        <v>48</v>
      </c>
      <c r="R27385" s="36" t="s">
        <v>48</v>
      </c>
    </row>
    <row r="27386">
      <c r="H27386" s="50"/>
      <c r="I27386" s="50"/>
      <c r="O27386" s="36" t="s">
        <v>48</v>
      </c>
      <c r="R27386" s="36" t="s">
        <v>48</v>
      </c>
    </row>
    <row r="27387">
      <c r="H27387" s="50"/>
      <c r="I27387" s="50"/>
      <c r="O27387" s="36" t="s">
        <v>48</v>
      </c>
      <c r="R27387" s="36" t="s">
        <v>48</v>
      </c>
    </row>
    <row r="27388">
      <c r="H27388" s="50"/>
      <c r="I27388" s="50"/>
      <c r="O27388" s="36" t="s">
        <v>48</v>
      </c>
      <c r="R27388" s="36" t="s">
        <v>48</v>
      </c>
    </row>
    <row r="27389">
      <c r="H27389" s="50"/>
      <c r="I27389" s="50"/>
      <c r="O27389" s="36" t="s">
        <v>48</v>
      </c>
      <c r="R27389" s="36" t="s">
        <v>48</v>
      </c>
    </row>
    <row r="27390">
      <c r="H27390" s="50"/>
      <c r="I27390" s="50"/>
      <c r="O27390" s="36" t="s">
        <v>48</v>
      </c>
      <c r="R27390" s="36" t="s">
        <v>48</v>
      </c>
    </row>
    <row r="27391">
      <c r="H27391" s="50"/>
      <c r="I27391" s="50"/>
      <c r="O27391" s="36" t="s">
        <v>48</v>
      </c>
      <c r="R27391" s="36" t="s">
        <v>48</v>
      </c>
    </row>
    <row r="27392">
      <c r="H27392" s="50"/>
      <c r="I27392" s="50"/>
      <c r="O27392" s="36" t="s">
        <v>48</v>
      </c>
      <c r="R27392" s="36" t="s">
        <v>48</v>
      </c>
    </row>
    <row r="27393">
      <c r="H27393" s="50"/>
      <c r="I27393" s="50"/>
      <c r="O27393" s="36" t="s">
        <v>48</v>
      </c>
      <c r="R27393" s="36" t="s">
        <v>48</v>
      </c>
    </row>
    <row r="27394">
      <c r="H27394" s="50"/>
      <c r="I27394" s="50"/>
      <c r="O27394" s="36" t="s">
        <v>48</v>
      </c>
      <c r="R27394" s="36" t="s">
        <v>48</v>
      </c>
    </row>
    <row r="27395">
      <c r="H27395" s="50"/>
      <c r="I27395" s="50"/>
      <c r="O27395" s="36" t="s">
        <v>48</v>
      </c>
      <c r="R27395" s="36" t="s">
        <v>48</v>
      </c>
    </row>
    <row r="27396">
      <c r="H27396" s="50"/>
      <c r="I27396" s="50"/>
      <c r="O27396" s="36" t="s">
        <v>48</v>
      </c>
      <c r="R27396" s="36" t="s">
        <v>48</v>
      </c>
    </row>
    <row r="27397">
      <c r="H27397" s="50"/>
      <c r="I27397" s="50"/>
      <c r="O27397" s="36" t="s">
        <v>48</v>
      </c>
      <c r="R27397" s="36" t="s">
        <v>48</v>
      </c>
    </row>
    <row r="27398">
      <c r="H27398" s="50"/>
      <c r="I27398" s="50"/>
      <c r="O27398" s="36" t="s">
        <v>48</v>
      </c>
      <c r="R27398" s="36" t="s">
        <v>48</v>
      </c>
    </row>
    <row r="27399">
      <c r="H27399" s="50"/>
      <c r="I27399" s="50"/>
      <c r="O27399" s="36" t="s">
        <v>48</v>
      </c>
      <c r="R27399" s="36" t="s">
        <v>48</v>
      </c>
    </row>
    <row r="27400">
      <c r="H27400" s="50"/>
      <c r="I27400" s="50"/>
      <c r="O27400" s="36" t="s">
        <v>48</v>
      </c>
      <c r="R27400" s="36" t="s">
        <v>48</v>
      </c>
    </row>
    <row r="27401">
      <c r="H27401" s="50"/>
      <c r="I27401" s="50"/>
      <c r="O27401" s="36" t="s">
        <v>48</v>
      </c>
      <c r="R27401" s="36" t="s">
        <v>48</v>
      </c>
    </row>
    <row r="27402">
      <c r="H27402" s="50"/>
      <c r="I27402" s="50"/>
      <c r="O27402" s="36" t="s">
        <v>48</v>
      </c>
      <c r="R27402" s="36" t="s">
        <v>48</v>
      </c>
    </row>
    <row r="27403">
      <c r="H27403" s="50"/>
      <c r="I27403" s="50"/>
      <c r="O27403" s="36" t="s">
        <v>48</v>
      </c>
      <c r="R27403" s="36" t="s">
        <v>48</v>
      </c>
    </row>
    <row r="27404">
      <c r="H27404" s="50"/>
      <c r="I27404" s="50"/>
      <c r="O27404" s="36" t="s">
        <v>48</v>
      </c>
      <c r="R27404" s="36" t="s">
        <v>48</v>
      </c>
    </row>
    <row r="27405">
      <c r="H27405" s="50"/>
      <c r="I27405" s="50"/>
      <c r="O27405" s="36" t="s">
        <v>48</v>
      </c>
      <c r="R27405" s="36" t="s">
        <v>48</v>
      </c>
    </row>
    <row r="27406">
      <c r="H27406" s="50"/>
      <c r="I27406" s="50"/>
      <c r="O27406" s="36" t="s">
        <v>48</v>
      </c>
      <c r="R27406" s="36" t="s">
        <v>48</v>
      </c>
    </row>
    <row r="27407">
      <c r="H27407" s="50"/>
      <c r="I27407" s="50"/>
      <c r="O27407" s="36" t="s">
        <v>48</v>
      </c>
      <c r="R27407" s="36" t="s">
        <v>48</v>
      </c>
    </row>
    <row r="27408">
      <c r="H27408" s="50"/>
      <c r="I27408" s="50"/>
      <c r="O27408" s="36" t="s">
        <v>48</v>
      </c>
      <c r="R27408" s="36" t="s">
        <v>48</v>
      </c>
    </row>
    <row r="27409">
      <c r="H27409" s="50"/>
      <c r="I27409" s="50"/>
      <c r="O27409" s="36" t="s">
        <v>48</v>
      </c>
      <c r="R27409" s="36" t="s">
        <v>48</v>
      </c>
    </row>
    <row r="27410">
      <c r="H27410" s="50"/>
      <c r="I27410" s="50"/>
      <c r="O27410" s="36" t="s">
        <v>48</v>
      </c>
      <c r="R27410" s="36" t="s">
        <v>48</v>
      </c>
    </row>
    <row r="27411">
      <c r="H27411" s="50"/>
      <c r="I27411" s="50"/>
      <c r="O27411" s="36" t="s">
        <v>48</v>
      </c>
      <c r="R27411" s="36" t="s">
        <v>48</v>
      </c>
    </row>
    <row r="27412">
      <c r="H27412" s="50"/>
      <c r="I27412" s="50"/>
      <c r="O27412" s="36" t="s">
        <v>48</v>
      </c>
      <c r="R27412" s="36" t="s">
        <v>48</v>
      </c>
    </row>
    <row r="27413">
      <c r="H27413" s="50"/>
      <c r="I27413" s="50"/>
      <c r="O27413" s="36" t="s">
        <v>48</v>
      </c>
      <c r="R27413" s="36" t="s">
        <v>48</v>
      </c>
    </row>
    <row r="27414">
      <c r="H27414" s="50"/>
      <c r="I27414" s="50"/>
      <c r="O27414" s="36" t="s">
        <v>48</v>
      </c>
      <c r="R27414" s="36" t="s">
        <v>48</v>
      </c>
    </row>
    <row r="27415">
      <c r="H27415" s="50"/>
      <c r="I27415" s="50"/>
      <c r="O27415" s="36" t="s">
        <v>48</v>
      </c>
      <c r="R27415" s="36" t="s">
        <v>48</v>
      </c>
    </row>
    <row r="27416">
      <c r="H27416" s="50"/>
      <c r="I27416" s="50"/>
      <c r="O27416" s="36" t="s">
        <v>48</v>
      </c>
      <c r="R27416" s="36" t="s">
        <v>48</v>
      </c>
    </row>
    <row r="27417">
      <c r="H27417" s="50"/>
      <c r="I27417" s="50"/>
      <c r="O27417" s="36" t="s">
        <v>48</v>
      </c>
      <c r="R27417" s="36" t="s">
        <v>48</v>
      </c>
    </row>
    <row r="27418">
      <c r="H27418" s="50"/>
      <c r="I27418" s="50"/>
      <c r="O27418" s="36" t="s">
        <v>48</v>
      </c>
      <c r="R27418" s="36" t="s">
        <v>48</v>
      </c>
    </row>
    <row r="27419">
      <c r="H27419" s="50"/>
      <c r="I27419" s="50"/>
      <c r="O27419" s="36" t="s">
        <v>48</v>
      </c>
      <c r="R27419" s="36" t="s">
        <v>48</v>
      </c>
    </row>
    <row r="27420">
      <c r="H27420" s="50"/>
      <c r="I27420" s="50"/>
      <c r="O27420" s="36" t="s">
        <v>48</v>
      </c>
      <c r="R27420" s="36" t="s">
        <v>48</v>
      </c>
    </row>
    <row r="27421">
      <c r="H27421" s="50"/>
      <c r="I27421" s="50"/>
      <c r="O27421" s="36" t="s">
        <v>48</v>
      </c>
      <c r="R27421" s="36" t="s">
        <v>48</v>
      </c>
    </row>
    <row r="27422">
      <c r="H27422" s="50"/>
      <c r="I27422" s="50"/>
      <c r="O27422" s="36" t="s">
        <v>48</v>
      </c>
      <c r="R27422" s="36" t="s">
        <v>48</v>
      </c>
    </row>
    <row r="27423">
      <c r="H27423" s="50"/>
      <c r="I27423" s="50"/>
      <c r="O27423" s="36" t="s">
        <v>48</v>
      </c>
      <c r="R27423" s="36" t="s">
        <v>48</v>
      </c>
    </row>
    <row r="27424">
      <c r="H27424" s="50"/>
      <c r="I27424" s="50"/>
      <c r="O27424" s="36" t="s">
        <v>48</v>
      </c>
      <c r="R27424" s="36" t="s">
        <v>48</v>
      </c>
    </row>
    <row r="27425">
      <c r="H27425" s="50"/>
      <c r="I27425" s="50"/>
      <c r="O27425" s="36" t="s">
        <v>48</v>
      </c>
      <c r="R27425" s="36" t="s">
        <v>48</v>
      </c>
    </row>
    <row r="27426">
      <c r="H27426" s="50"/>
      <c r="I27426" s="50"/>
      <c r="O27426" s="36" t="s">
        <v>48</v>
      </c>
      <c r="R27426" s="36" t="s">
        <v>48</v>
      </c>
    </row>
    <row r="27427">
      <c r="H27427" s="50"/>
      <c r="I27427" s="50"/>
      <c r="O27427" s="36" t="s">
        <v>48</v>
      </c>
      <c r="R27427" s="36" t="s">
        <v>48</v>
      </c>
    </row>
    <row r="27428">
      <c r="H27428" s="50"/>
      <c r="I27428" s="50"/>
      <c r="O27428" s="36" t="s">
        <v>48</v>
      </c>
      <c r="R27428" s="36" t="s">
        <v>48</v>
      </c>
    </row>
    <row r="27429">
      <c r="H27429" s="50"/>
      <c r="I27429" s="50"/>
      <c r="O27429" s="36" t="s">
        <v>48</v>
      </c>
      <c r="R27429" s="36" t="s">
        <v>48</v>
      </c>
    </row>
    <row r="27430">
      <c r="H27430" s="50"/>
      <c r="I27430" s="50"/>
      <c r="O27430" s="36" t="s">
        <v>48</v>
      </c>
      <c r="R27430" s="36" t="s">
        <v>48</v>
      </c>
    </row>
    <row r="27431">
      <c r="H27431" s="50"/>
      <c r="I27431" s="50"/>
      <c r="O27431" s="36" t="s">
        <v>48</v>
      </c>
      <c r="R27431" s="36" t="s">
        <v>48</v>
      </c>
    </row>
    <row r="27432">
      <c r="H27432" s="50"/>
      <c r="I27432" s="50"/>
      <c r="O27432" s="36" t="s">
        <v>48</v>
      </c>
      <c r="R27432" s="36" t="s">
        <v>48</v>
      </c>
    </row>
    <row r="27433">
      <c r="H27433" s="50"/>
      <c r="I27433" s="50"/>
      <c r="O27433" s="36" t="s">
        <v>48</v>
      </c>
      <c r="R27433" s="36" t="s">
        <v>48</v>
      </c>
    </row>
    <row r="27434">
      <c r="H27434" s="50"/>
      <c r="I27434" s="50"/>
      <c r="O27434" s="36" t="s">
        <v>48</v>
      </c>
      <c r="R27434" s="36" t="s">
        <v>48</v>
      </c>
    </row>
    <row r="27435">
      <c r="H27435" s="50"/>
      <c r="I27435" s="50"/>
      <c r="O27435" s="36" t="s">
        <v>48</v>
      </c>
      <c r="R27435" s="36" t="s">
        <v>48</v>
      </c>
    </row>
    <row r="27436">
      <c r="H27436" s="50"/>
      <c r="I27436" s="50"/>
      <c r="O27436" s="36" t="s">
        <v>48</v>
      </c>
      <c r="R27436" s="36" t="s">
        <v>48</v>
      </c>
    </row>
    <row r="27437">
      <c r="H27437" s="50"/>
      <c r="I27437" s="50"/>
      <c r="O27437" s="36" t="s">
        <v>48</v>
      </c>
      <c r="R27437" s="36" t="s">
        <v>48</v>
      </c>
    </row>
    <row r="27438">
      <c r="H27438" s="50"/>
      <c r="I27438" s="50"/>
      <c r="O27438" s="36" t="s">
        <v>48</v>
      </c>
      <c r="R27438" s="36" t="s">
        <v>48</v>
      </c>
    </row>
    <row r="27439">
      <c r="H27439" s="50"/>
      <c r="I27439" s="50"/>
      <c r="O27439" s="36" t="s">
        <v>48</v>
      </c>
      <c r="R27439" s="36" t="s">
        <v>48</v>
      </c>
    </row>
    <row r="27440">
      <c r="H27440" s="50"/>
      <c r="I27440" s="50"/>
      <c r="O27440" s="36" t="s">
        <v>48</v>
      </c>
      <c r="R27440" s="36" t="s">
        <v>48</v>
      </c>
    </row>
    <row r="27441">
      <c r="H27441" s="50"/>
      <c r="I27441" s="50"/>
      <c r="O27441" s="36" t="s">
        <v>48</v>
      </c>
      <c r="R27441" s="36" t="s">
        <v>48</v>
      </c>
    </row>
    <row r="27442">
      <c r="H27442" s="50"/>
      <c r="I27442" s="50"/>
      <c r="O27442" s="36" t="s">
        <v>48</v>
      </c>
      <c r="R27442" s="36" t="s">
        <v>48</v>
      </c>
    </row>
    <row r="27443">
      <c r="H27443" s="50"/>
      <c r="I27443" s="50"/>
      <c r="O27443" s="36" t="s">
        <v>48</v>
      </c>
      <c r="R27443" s="36" t="s">
        <v>48</v>
      </c>
    </row>
    <row r="27444">
      <c r="H27444" s="50"/>
      <c r="I27444" s="50"/>
      <c r="O27444" s="36" t="s">
        <v>48</v>
      </c>
      <c r="R27444" s="36" t="s">
        <v>48</v>
      </c>
    </row>
    <row r="27445">
      <c r="H27445" s="50"/>
      <c r="I27445" s="50"/>
      <c r="O27445" s="36" t="s">
        <v>48</v>
      </c>
      <c r="R27445" s="36" t="s">
        <v>48</v>
      </c>
    </row>
    <row r="27446">
      <c r="H27446" s="50"/>
      <c r="I27446" s="50"/>
      <c r="O27446" s="36" t="s">
        <v>48</v>
      </c>
      <c r="R27446" s="36" t="s">
        <v>48</v>
      </c>
    </row>
    <row r="27447">
      <c r="H27447" s="50"/>
      <c r="I27447" s="50"/>
      <c r="O27447" s="36" t="s">
        <v>48</v>
      </c>
      <c r="R27447" s="36" t="s">
        <v>48</v>
      </c>
    </row>
    <row r="27448">
      <c r="H27448" s="50"/>
      <c r="I27448" s="50"/>
      <c r="O27448" s="36" t="s">
        <v>48</v>
      </c>
      <c r="R27448" s="36" t="s">
        <v>48</v>
      </c>
    </row>
    <row r="27449">
      <c r="H27449" s="50"/>
      <c r="I27449" s="50"/>
      <c r="O27449" s="36" t="s">
        <v>48</v>
      </c>
      <c r="R27449" s="36" t="s">
        <v>48</v>
      </c>
    </row>
    <row r="27450">
      <c r="H27450" s="50"/>
      <c r="I27450" s="50"/>
      <c r="O27450" s="36" t="s">
        <v>48</v>
      </c>
      <c r="R27450" s="36" t="s">
        <v>48</v>
      </c>
    </row>
    <row r="27451">
      <c r="H27451" s="50"/>
      <c r="I27451" s="50"/>
      <c r="O27451" s="36" t="s">
        <v>48</v>
      </c>
      <c r="R27451" s="36" t="s">
        <v>48</v>
      </c>
    </row>
    <row r="27452">
      <c r="H27452" s="50"/>
      <c r="I27452" s="50"/>
      <c r="O27452" s="36" t="s">
        <v>48</v>
      </c>
      <c r="R27452" s="36" t="s">
        <v>48</v>
      </c>
    </row>
    <row r="27453">
      <c r="H27453" s="50"/>
      <c r="I27453" s="50"/>
      <c r="O27453" s="36" t="s">
        <v>48</v>
      </c>
      <c r="R27453" s="36" t="s">
        <v>48</v>
      </c>
    </row>
    <row r="27454">
      <c r="H27454" s="50"/>
      <c r="I27454" s="50"/>
      <c r="O27454" s="36" t="s">
        <v>48</v>
      </c>
      <c r="R27454" s="36" t="s">
        <v>48</v>
      </c>
    </row>
    <row r="27455">
      <c r="H27455" s="50"/>
      <c r="I27455" s="50"/>
      <c r="O27455" s="36" t="s">
        <v>48</v>
      </c>
      <c r="R27455" s="36" t="s">
        <v>48</v>
      </c>
    </row>
    <row r="27456">
      <c r="H27456" s="50"/>
      <c r="I27456" s="50"/>
      <c r="O27456" s="36" t="s">
        <v>48</v>
      </c>
      <c r="R27456" s="36" t="s">
        <v>48</v>
      </c>
    </row>
    <row r="27457">
      <c r="H27457" s="50"/>
      <c r="I27457" s="50"/>
      <c r="O27457" s="36" t="s">
        <v>48</v>
      </c>
      <c r="R27457" s="36" t="s">
        <v>48</v>
      </c>
    </row>
    <row r="27458">
      <c r="H27458" s="50"/>
      <c r="I27458" s="50"/>
      <c r="O27458" s="36" t="s">
        <v>48</v>
      </c>
      <c r="R27458" s="36" t="s">
        <v>48</v>
      </c>
    </row>
    <row r="27459">
      <c r="H27459" s="50"/>
      <c r="I27459" s="50"/>
      <c r="O27459" s="36" t="s">
        <v>48</v>
      </c>
      <c r="R27459" s="36" t="s">
        <v>48</v>
      </c>
    </row>
    <row r="27460">
      <c r="H27460" s="50"/>
      <c r="I27460" s="50"/>
      <c r="O27460" s="36" t="s">
        <v>48</v>
      </c>
      <c r="R27460" s="36" t="s">
        <v>48</v>
      </c>
    </row>
    <row r="27461">
      <c r="H27461" s="50"/>
      <c r="I27461" s="50"/>
      <c r="O27461" s="36" t="s">
        <v>48</v>
      </c>
      <c r="R27461" s="36" t="s">
        <v>48</v>
      </c>
    </row>
    <row r="27462">
      <c r="H27462" s="50"/>
      <c r="I27462" s="50"/>
      <c r="O27462" s="36" t="s">
        <v>48</v>
      </c>
      <c r="R27462" s="36" t="s">
        <v>48</v>
      </c>
    </row>
    <row r="27463">
      <c r="H27463" s="50"/>
      <c r="I27463" s="50"/>
      <c r="O27463" s="36" t="s">
        <v>48</v>
      </c>
      <c r="R27463" s="36" t="s">
        <v>48</v>
      </c>
    </row>
    <row r="27464">
      <c r="H27464" s="50"/>
      <c r="I27464" s="50"/>
      <c r="O27464" s="36" t="s">
        <v>48</v>
      </c>
      <c r="R27464" s="36" t="s">
        <v>48</v>
      </c>
    </row>
    <row r="27465">
      <c r="H27465" s="50"/>
      <c r="I27465" s="50"/>
      <c r="O27465" s="36" t="s">
        <v>48</v>
      </c>
      <c r="R27465" s="36" t="s">
        <v>48</v>
      </c>
    </row>
    <row r="27466">
      <c r="H27466" s="50"/>
      <c r="I27466" s="50"/>
      <c r="O27466" s="36" t="s">
        <v>48</v>
      </c>
      <c r="R27466" s="36" t="s">
        <v>48</v>
      </c>
    </row>
    <row r="27467">
      <c r="H27467" s="50"/>
      <c r="I27467" s="50"/>
      <c r="O27467" s="36" t="s">
        <v>48</v>
      </c>
      <c r="R27467" s="36" t="s">
        <v>48</v>
      </c>
    </row>
    <row r="27468">
      <c r="H27468" s="50"/>
      <c r="I27468" s="50"/>
      <c r="O27468" s="36" t="s">
        <v>48</v>
      </c>
      <c r="R27468" s="36" t="s">
        <v>48</v>
      </c>
    </row>
    <row r="27469">
      <c r="H27469" s="50"/>
      <c r="I27469" s="50"/>
      <c r="O27469" s="36" t="s">
        <v>48</v>
      </c>
      <c r="R27469" s="36" t="s">
        <v>48</v>
      </c>
    </row>
    <row r="27470">
      <c r="H27470" s="50"/>
      <c r="I27470" s="50"/>
      <c r="O27470" s="36" t="s">
        <v>48</v>
      </c>
      <c r="R27470" s="36" t="s">
        <v>48</v>
      </c>
    </row>
    <row r="27471">
      <c r="H27471" s="50"/>
      <c r="I27471" s="50"/>
      <c r="O27471" s="36" t="s">
        <v>48</v>
      </c>
      <c r="R27471" s="36" t="s">
        <v>48</v>
      </c>
    </row>
    <row r="27472">
      <c r="H27472" s="50"/>
      <c r="I27472" s="50"/>
      <c r="O27472" s="36" t="s">
        <v>48</v>
      </c>
      <c r="R27472" s="36" t="s">
        <v>48</v>
      </c>
    </row>
    <row r="27473">
      <c r="H27473" s="50"/>
      <c r="I27473" s="50"/>
      <c r="O27473" s="36" t="s">
        <v>48</v>
      </c>
      <c r="R27473" s="36" t="s">
        <v>48</v>
      </c>
    </row>
    <row r="27474">
      <c r="H27474" s="50"/>
      <c r="I27474" s="50"/>
      <c r="O27474" s="36" t="s">
        <v>48</v>
      </c>
      <c r="R27474" s="36" t="s">
        <v>48</v>
      </c>
    </row>
    <row r="27475">
      <c r="H27475" s="50"/>
      <c r="I27475" s="50"/>
      <c r="O27475" s="36" t="s">
        <v>48</v>
      </c>
      <c r="R27475" s="36" t="s">
        <v>48</v>
      </c>
    </row>
    <row r="27476">
      <c r="H27476" s="50"/>
      <c r="I27476" s="50"/>
      <c r="O27476" s="36" t="s">
        <v>48</v>
      </c>
      <c r="R27476" s="36" t="s">
        <v>48</v>
      </c>
    </row>
    <row r="27477">
      <c r="H27477" s="50"/>
      <c r="I27477" s="50"/>
      <c r="O27477" s="36" t="s">
        <v>48</v>
      </c>
      <c r="R27477" s="36" t="s">
        <v>48</v>
      </c>
    </row>
    <row r="27478">
      <c r="H27478" s="50"/>
      <c r="I27478" s="50"/>
      <c r="O27478" s="36" t="s">
        <v>48</v>
      </c>
      <c r="R27478" s="36" t="s">
        <v>48</v>
      </c>
    </row>
    <row r="27479">
      <c r="H27479" s="50"/>
      <c r="I27479" s="50"/>
      <c r="O27479" s="36" t="s">
        <v>48</v>
      </c>
      <c r="R27479" s="36" t="s">
        <v>48</v>
      </c>
    </row>
    <row r="27480">
      <c r="H27480" s="50"/>
      <c r="I27480" s="50"/>
      <c r="O27480" s="36" t="s">
        <v>48</v>
      </c>
      <c r="R27480" s="36" t="s">
        <v>48</v>
      </c>
    </row>
    <row r="27481">
      <c r="H27481" s="50"/>
      <c r="I27481" s="50"/>
      <c r="O27481" s="36" t="s">
        <v>48</v>
      </c>
      <c r="R27481" s="36" t="s">
        <v>48</v>
      </c>
    </row>
    <row r="27482">
      <c r="H27482" s="50"/>
      <c r="I27482" s="50"/>
      <c r="O27482" s="36" t="s">
        <v>48</v>
      </c>
      <c r="R27482" s="36" t="s">
        <v>48</v>
      </c>
    </row>
    <row r="27483">
      <c r="H27483" s="50"/>
      <c r="I27483" s="50"/>
      <c r="O27483" s="36" t="s">
        <v>48</v>
      </c>
      <c r="R27483" s="36" t="s">
        <v>48</v>
      </c>
    </row>
    <row r="27484">
      <c r="H27484" s="50"/>
      <c r="I27484" s="50"/>
      <c r="O27484" s="36" t="s">
        <v>48</v>
      </c>
      <c r="R27484" s="36" t="s">
        <v>48</v>
      </c>
    </row>
    <row r="27485">
      <c r="H27485" s="50"/>
      <c r="I27485" s="50"/>
      <c r="O27485" s="36" t="s">
        <v>48</v>
      </c>
      <c r="R27485" s="36" t="s">
        <v>48</v>
      </c>
    </row>
    <row r="27486">
      <c r="H27486" s="50"/>
      <c r="I27486" s="50"/>
      <c r="O27486" s="36" t="s">
        <v>48</v>
      </c>
      <c r="R27486" s="36" t="s">
        <v>48</v>
      </c>
    </row>
    <row r="27487">
      <c r="H27487" s="50"/>
      <c r="I27487" s="50"/>
      <c r="O27487" s="36" t="s">
        <v>48</v>
      </c>
      <c r="R27487" s="36" t="s">
        <v>48</v>
      </c>
    </row>
    <row r="27488">
      <c r="H27488" s="50"/>
      <c r="I27488" s="50"/>
      <c r="O27488" s="36" t="s">
        <v>48</v>
      </c>
      <c r="R27488" s="36" t="s">
        <v>48</v>
      </c>
    </row>
    <row r="27489">
      <c r="H27489" s="50"/>
      <c r="I27489" s="50"/>
      <c r="O27489" s="36" t="s">
        <v>48</v>
      </c>
      <c r="R27489" s="36" t="s">
        <v>48</v>
      </c>
    </row>
    <row r="27490">
      <c r="H27490" s="50"/>
      <c r="I27490" s="50"/>
      <c r="O27490" s="36" t="s">
        <v>48</v>
      </c>
      <c r="R27490" s="36" t="s">
        <v>48</v>
      </c>
    </row>
    <row r="27491">
      <c r="H27491" s="50"/>
      <c r="I27491" s="50"/>
      <c r="O27491" s="36" t="s">
        <v>48</v>
      </c>
      <c r="R27491" s="36" t="s">
        <v>48</v>
      </c>
    </row>
    <row r="27492">
      <c r="H27492" s="50"/>
      <c r="I27492" s="50"/>
      <c r="O27492" s="36" t="s">
        <v>48</v>
      </c>
      <c r="R27492" s="36" t="s">
        <v>48</v>
      </c>
    </row>
    <row r="27493">
      <c r="H27493" s="50"/>
      <c r="I27493" s="50"/>
      <c r="O27493" s="36" t="s">
        <v>48</v>
      </c>
      <c r="R27493" s="36" t="s">
        <v>48</v>
      </c>
    </row>
    <row r="27494">
      <c r="H27494" s="50"/>
      <c r="I27494" s="50"/>
      <c r="O27494" s="36" t="s">
        <v>48</v>
      </c>
      <c r="R27494" s="36" t="s">
        <v>48</v>
      </c>
    </row>
    <row r="27495">
      <c r="H27495" s="50"/>
      <c r="I27495" s="50"/>
      <c r="O27495" s="36" t="s">
        <v>48</v>
      </c>
      <c r="R27495" s="36" t="s">
        <v>48</v>
      </c>
    </row>
    <row r="27496">
      <c r="H27496" s="50"/>
      <c r="I27496" s="50"/>
      <c r="O27496" s="36" t="s">
        <v>48</v>
      </c>
      <c r="R27496" s="36" t="s">
        <v>48</v>
      </c>
    </row>
    <row r="27497">
      <c r="H27497" s="50"/>
      <c r="I27497" s="50"/>
      <c r="O27497" s="36" t="s">
        <v>48</v>
      </c>
      <c r="R27497" s="36" t="s">
        <v>48</v>
      </c>
    </row>
    <row r="27498">
      <c r="H27498" s="50"/>
      <c r="I27498" s="50"/>
      <c r="O27498" s="36" t="s">
        <v>48</v>
      </c>
      <c r="R27498" s="36" t="s">
        <v>48</v>
      </c>
    </row>
    <row r="27499">
      <c r="H27499" s="50"/>
      <c r="I27499" s="50"/>
      <c r="O27499" s="36" t="s">
        <v>48</v>
      </c>
      <c r="R27499" s="36" t="s">
        <v>48</v>
      </c>
    </row>
    <row r="27500">
      <c r="H27500" s="50"/>
      <c r="I27500" s="50"/>
      <c r="O27500" s="36" t="s">
        <v>48</v>
      </c>
      <c r="R27500" s="36" t="s">
        <v>48</v>
      </c>
    </row>
    <row r="27501">
      <c r="H27501" s="50"/>
      <c r="I27501" s="50"/>
      <c r="O27501" s="36" t="s">
        <v>48</v>
      </c>
      <c r="R27501" s="36" t="s">
        <v>48</v>
      </c>
    </row>
    <row r="27502">
      <c r="H27502" s="50"/>
      <c r="I27502" s="50"/>
      <c r="O27502" s="36" t="s">
        <v>48</v>
      </c>
      <c r="R27502" s="36" t="s">
        <v>48</v>
      </c>
    </row>
    <row r="27503">
      <c r="H27503" s="50"/>
      <c r="I27503" s="50"/>
      <c r="O27503" s="36" t="s">
        <v>48</v>
      </c>
      <c r="R27503" s="36" t="s">
        <v>48</v>
      </c>
    </row>
    <row r="27504">
      <c r="H27504" s="50"/>
      <c r="I27504" s="50"/>
      <c r="O27504" s="36" t="s">
        <v>48</v>
      </c>
      <c r="R27504" s="36" t="s">
        <v>48</v>
      </c>
    </row>
    <row r="27505">
      <c r="H27505" s="50"/>
      <c r="I27505" s="50"/>
      <c r="O27505" s="36" t="s">
        <v>48</v>
      </c>
      <c r="R27505" s="36" t="s">
        <v>48</v>
      </c>
    </row>
    <row r="27506">
      <c r="H27506" s="50"/>
      <c r="I27506" s="50"/>
      <c r="O27506" s="36" t="s">
        <v>48</v>
      </c>
      <c r="R27506" s="36" t="s">
        <v>48</v>
      </c>
    </row>
    <row r="27507">
      <c r="H27507" s="50"/>
      <c r="I27507" s="50"/>
      <c r="O27507" s="36" t="s">
        <v>48</v>
      </c>
      <c r="R27507" s="36" t="s">
        <v>48</v>
      </c>
    </row>
    <row r="27508">
      <c r="H27508" s="50"/>
      <c r="I27508" s="50"/>
      <c r="O27508" s="36" t="s">
        <v>48</v>
      </c>
      <c r="R27508" s="36" t="s">
        <v>48</v>
      </c>
    </row>
    <row r="27509">
      <c r="H27509" s="50"/>
      <c r="I27509" s="50"/>
      <c r="O27509" s="36" t="s">
        <v>48</v>
      </c>
      <c r="R27509" s="36" t="s">
        <v>48</v>
      </c>
    </row>
    <row r="27510">
      <c r="H27510" s="50"/>
      <c r="I27510" s="50"/>
      <c r="O27510" s="36" t="s">
        <v>48</v>
      </c>
      <c r="R27510" s="36" t="s">
        <v>48</v>
      </c>
    </row>
    <row r="27511">
      <c r="H27511" s="50"/>
      <c r="I27511" s="50"/>
      <c r="O27511" s="36" t="s">
        <v>48</v>
      </c>
      <c r="R27511" s="36" t="s">
        <v>48</v>
      </c>
    </row>
    <row r="27512">
      <c r="H27512" s="50"/>
      <c r="I27512" s="50"/>
      <c r="O27512" s="36" t="s">
        <v>48</v>
      </c>
      <c r="R27512" s="36" t="s">
        <v>48</v>
      </c>
    </row>
    <row r="27513">
      <c r="H27513" s="50"/>
      <c r="I27513" s="50"/>
      <c r="O27513" s="36" t="s">
        <v>48</v>
      </c>
      <c r="R27513" s="36" t="s">
        <v>48</v>
      </c>
    </row>
    <row r="27514">
      <c r="H27514" s="50"/>
      <c r="I27514" s="50"/>
      <c r="O27514" s="36" t="s">
        <v>48</v>
      </c>
      <c r="R27514" s="36" t="s">
        <v>48</v>
      </c>
    </row>
    <row r="27515">
      <c r="H27515" s="50"/>
      <c r="I27515" s="50"/>
      <c r="O27515" s="36" t="s">
        <v>48</v>
      </c>
      <c r="R27515" s="36" t="s">
        <v>48</v>
      </c>
    </row>
    <row r="27516">
      <c r="H27516" s="50"/>
      <c r="I27516" s="50"/>
      <c r="O27516" s="36" t="s">
        <v>48</v>
      </c>
      <c r="R27516" s="36" t="s">
        <v>48</v>
      </c>
    </row>
    <row r="27517">
      <c r="H27517" s="50"/>
      <c r="I27517" s="50"/>
      <c r="O27517" s="36" t="s">
        <v>48</v>
      </c>
      <c r="R27517" s="36" t="s">
        <v>48</v>
      </c>
    </row>
    <row r="27518">
      <c r="H27518" s="50"/>
      <c r="I27518" s="50"/>
      <c r="O27518" s="36" t="s">
        <v>48</v>
      </c>
      <c r="R27518" s="36" t="s">
        <v>48</v>
      </c>
    </row>
    <row r="27519">
      <c r="H27519" s="50"/>
      <c r="I27519" s="50"/>
      <c r="O27519" s="36" t="s">
        <v>48</v>
      </c>
      <c r="R27519" s="36" t="s">
        <v>48</v>
      </c>
    </row>
    <row r="27520">
      <c r="H27520" s="50"/>
      <c r="I27520" s="50"/>
      <c r="O27520" s="36" t="s">
        <v>48</v>
      </c>
      <c r="R27520" s="36" t="s">
        <v>48</v>
      </c>
    </row>
    <row r="27521">
      <c r="H27521" s="50"/>
      <c r="I27521" s="50"/>
      <c r="O27521" s="36" t="s">
        <v>48</v>
      </c>
      <c r="R27521" s="36" t="s">
        <v>48</v>
      </c>
    </row>
    <row r="27522">
      <c r="H27522" s="50"/>
      <c r="I27522" s="50"/>
      <c r="O27522" s="36" t="s">
        <v>48</v>
      </c>
      <c r="R27522" s="36" t="s">
        <v>48</v>
      </c>
    </row>
    <row r="27523">
      <c r="H27523" s="50"/>
      <c r="I27523" s="50"/>
      <c r="O27523" s="36" t="s">
        <v>48</v>
      </c>
      <c r="R27523" s="36" t="s">
        <v>48</v>
      </c>
    </row>
    <row r="27524">
      <c r="H27524" s="50"/>
      <c r="I27524" s="50"/>
      <c r="O27524" s="36" t="s">
        <v>48</v>
      </c>
      <c r="R27524" s="36" t="s">
        <v>48</v>
      </c>
    </row>
    <row r="27525">
      <c r="H27525" s="50"/>
      <c r="I27525" s="50"/>
      <c r="O27525" s="36" t="s">
        <v>48</v>
      </c>
      <c r="R27525" s="36" t="s">
        <v>48</v>
      </c>
    </row>
    <row r="27526">
      <c r="H27526" s="50"/>
      <c r="I27526" s="50"/>
      <c r="O27526" s="36" t="s">
        <v>48</v>
      </c>
      <c r="R27526" s="36" t="s">
        <v>48</v>
      </c>
    </row>
    <row r="27527">
      <c r="H27527" s="50"/>
      <c r="I27527" s="50"/>
      <c r="O27527" s="36" t="s">
        <v>48</v>
      </c>
      <c r="R27527" s="36" t="s">
        <v>48</v>
      </c>
    </row>
    <row r="27528">
      <c r="H27528" s="50"/>
      <c r="I27528" s="50"/>
      <c r="O27528" s="36" t="s">
        <v>48</v>
      </c>
      <c r="R27528" s="36" t="s">
        <v>48</v>
      </c>
    </row>
    <row r="27529">
      <c r="H27529" s="50"/>
      <c r="I27529" s="50"/>
      <c r="O27529" s="36" t="s">
        <v>48</v>
      </c>
      <c r="R27529" s="36" t="s">
        <v>48</v>
      </c>
    </row>
    <row r="27530">
      <c r="H27530" s="50"/>
      <c r="I27530" s="50"/>
      <c r="O27530" s="36" t="s">
        <v>48</v>
      </c>
      <c r="R27530" s="36" t="s">
        <v>48</v>
      </c>
    </row>
    <row r="27531">
      <c r="H27531" s="50"/>
      <c r="I27531" s="50"/>
      <c r="O27531" s="36" t="s">
        <v>48</v>
      </c>
      <c r="R27531" s="36" t="s">
        <v>48</v>
      </c>
    </row>
    <row r="27532">
      <c r="H27532" s="50"/>
      <c r="I27532" s="50"/>
      <c r="O27532" s="36" t="s">
        <v>48</v>
      </c>
      <c r="R27532" s="36" t="s">
        <v>48</v>
      </c>
    </row>
    <row r="27533">
      <c r="H27533" s="50"/>
      <c r="I27533" s="50"/>
      <c r="O27533" s="36" t="s">
        <v>48</v>
      </c>
      <c r="R27533" s="36" t="s">
        <v>48</v>
      </c>
    </row>
    <row r="27534">
      <c r="H27534" s="50"/>
      <c r="I27534" s="50"/>
      <c r="O27534" s="36" t="s">
        <v>48</v>
      </c>
      <c r="R27534" s="36" t="s">
        <v>48</v>
      </c>
    </row>
    <row r="27535">
      <c r="H27535" s="50"/>
      <c r="I27535" s="50"/>
      <c r="O27535" s="36" t="s">
        <v>48</v>
      </c>
      <c r="R27535" s="36" t="s">
        <v>48</v>
      </c>
    </row>
    <row r="27536">
      <c r="H27536" s="50"/>
      <c r="I27536" s="50"/>
      <c r="O27536" s="36" t="s">
        <v>48</v>
      </c>
      <c r="R27536" s="36" t="s">
        <v>48</v>
      </c>
    </row>
    <row r="27537">
      <c r="H27537" s="50"/>
      <c r="I27537" s="50"/>
      <c r="O27537" s="36" t="s">
        <v>48</v>
      </c>
      <c r="R27537" s="36" t="s">
        <v>48</v>
      </c>
    </row>
    <row r="27538">
      <c r="H27538" s="50"/>
      <c r="I27538" s="50"/>
      <c r="O27538" s="36" t="s">
        <v>48</v>
      </c>
      <c r="R27538" s="36" t="s">
        <v>48</v>
      </c>
    </row>
    <row r="27539">
      <c r="H27539" s="50"/>
      <c r="I27539" s="50"/>
      <c r="O27539" s="36" t="s">
        <v>48</v>
      </c>
      <c r="R27539" s="36" t="s">
        <v>48</v>
      </c>
    </row>
    <row r="27540">
      <c r="H27540" s="50"/>
      <c r="I27540" s="50"/>
      <c r="O27540" s="36" t="s">
        <v>48</v>
      </c>
      <c r="R27540" s="36" t="s">
        <v>48</v>
      </c>
    </row>
    <row r="27541">
      <c r="H27541" s="50"/>
      <c r="I27541" s="50"/>
      <c r="O27541" s="36" t="s">
        <v>48</v>
      </c>
      <c r="R27541" s="36" t="s">
        <v>48</v>
      </c>
    </row>
    <row r="27542">
      <c r="H27542" s="50"/>
      <c r="I27542" s="50"/>
      <c r="O27542" s="36" t="s">
        <v>48</v>
      </c>
      <c r="R27542" s="36" t="s">
        <v>48</v>
      </c>
    </row>
    <row r="27543">
      <c r="H27543" s="50"/>
      <c r="I27543" s="50"/>
      <c r="O27543" s="36" t="s">
        <v>48</v>
      </c>
      <c r="R27543" s="36" t="s">
        <v>48</v>
      </c>
    </row>
    <row r="27544">
      <c r="H27544" s="50"/>
      <c r="I27544" s="50"/>
      <c r="O27544" s="36" t="s">
        <v>48</v>
      </c>
      <c r="R27544" s="36" t="s">
        <v>48</v>
      </c>
    </row>
    <row r="27545">
      <c r="H27545" s="50"/>
      <c r="I27545" s="50"/>
      <c r="O27545" s="36" t="s">
        <v>48</v>
      </c>
      <c r="R27545" s="36" t="s">
        <v>48</v>
      </c>
    </row>
    <row r="27546">
      <c r="H27546" s="50"/>
      <c r="I27546" s="50"/>
      <c r="O27546" s="36" t="s">
        <v>48</v>
      </c>
      <c r="R27546" s="36" t="s">
        <v>48</v>
      </c>
    </row>
    <row r="27547">
      <c r="H27547" s="50"/>
      <c r="I27547" s="50"/>
      <c r="O27547" s="36" t="s">
        <v>48</v>
      </c>
      <c r="R27547" s="36" t="s">
        <v>48</v>
      </c>
    </row>
    <row r="27548">
      <c r="H27548" s="50"/>
      <c r="I27548" s="50"/>
      <c r="O27548" s="36" t="s">
        <v>48</v>
      </c>
      <c r="R27548" s="36" t="s">
        <v>48</v>
      </c>
    </row>
    <row r="27549">
      <c r="H27549" s="50"/>
      <c r="I27549" s="50"/>
      <c r="O27549" s="36" t="s">
        <v>48</v>
      </c>
      <c r="R27549" s="36" t="s">
        <v>48</v>
      </c>
    </row>
    <row r="27550">
      <c r="H27550" s="50"/>
      <c r="I27550" s="50"/>
      <c r="O27550" s="36" t="s">
        <v>48</v>
      </c>
      <c r="R27550" s="36" t="s">
        <v>48</v>
      </c>
    </row>
    <row r="27551">
      <c r="H27551" s="50"/>
      <c r="I27551" s="50"/>
      <c r="O27551" s="36" t="s">
        <v>48</v>
      </c>
      <c r="R27551" s="36" t="s">
        <v>48</v>
      </c>
    </row>
    <row r="27552">
      <c r="H27552" s="50"/>
      <c r="I27552" s="50"/>
      <c r="O27552" s="36" t="s">
        <v>48</v>
      </c>
      <c r="R27552" s="36" t="s">
        <v>48</v>
      </c>
    </row>
    <row r="27553">
      <c r="H27553" s="50"/>
      <c r="I27553" s="50"/>
      <c r="O27553" s="36" t="s">
        <v>48</v>
      </c>
      <c r="R27553" s="36" t="s">
        <v>48</v>
      </c>
    </row>
    <row r="27554">
      <c r="H27554" s="50"/>
      <c r="I27554" s="50"/>
      <c r="O27554" s="36" t="s">
        <v>48</v>
      </c>
      <c r="R27554" s="36" t="s">
        <v>48</v>
      </c>
    </row>
    <row r="27555">
      <c r="H27555" s="50"/>
      <c r="I27555" s="50"/>
      <c r="O27555" s="36" t="s">
        <v>48</v>
      </c>
      <c r="R27555" s="36" t="s">
        <v>48</v>
      </c>
    </row>
    <row r="27556">
      <c r="H27556" s="50"/>
      <c r="I27556" s="50"/>
      <c r="O27556" s="36" t="s">
        <v>48</v>
      </c>
      <c r="R27556" s="36" t="s">
        <v>48</v>
      </c>
    </row>
    <row r="27557">
      <c r="H27557" s="50"/>
      <c r="I27557" s="50"/>
      <c r="O27557" s="36" t="s">
        <v>48</v>
      </c>
      <c r="R27557" s="36" t="s">
        <v>48</v>
      </c>
    </row>
    <row r="27558">
      <c r="H27558" s="50"/>
      <c r="I27558" s="50"/>
      <c r="O27558" s="36" t="s">
        <v>48</v>
      </c>
      <c r="R27558" s="36" t="s">
        <v>48</v>
      </c>
    </row>
    <row r="27559">
      <c r="H27559" s="50"/>
      <c r="I27559" s="50"/>
      <c r="O27559" s="36" t="s">
        <v>48</v>
      </c>
      <c r="R27559" s="36" t="s">
        <v>48</v>
      </c>
    </row>
    <row r="27560">
      <c r="H27560" s="50"/>
      <c r="I27560" s="50"/>
      <c r="O27560" s="36" t="s">
        <v>48</v>
      </c>
      <c r="R27560" s="36" t="s">
        <v>48</v>
      </c>
    </row>
    <row r="27561">
      <c r="H27561" s="50"/>
      <c r="I27561" s="50"/>
      <c r="O27561" s="36" t="s">
        <v>48</v>
      </c>
      <c r="R27561" s="36" t="s">
        <v>48</v>
      </c>
    </row>
    <row r="27562">
      <c r="H27562" s="50"/>
      <c r="I27562" s="50"/>
      <c r="O27562" s="36" t="s">
        <v>48</v>
      </c>
      <c r="R27562" s="36" t="s">
        <v>48</v>
      </c>
    </row>
    <row r="27563">
      <c r="H27563" s="50"/>
      <c r="I27563" s="50"/>
      <c r="O27563" s="36" t="s">
        <v>48</v>
      </c>
      <c r="R27563" s="36" t="s">
        <v>48</v>
      </c>
    </row>
    <row r="27564">
      <c r="H27564" s="50"/>
      <c r="I27564" s="50"/>
      <c r="O27564" s="36" t="s">
        <v>48</v>
      </c>
      <c r="R27564" s="36" t="s">
        <v>48</v>
      </c>
    </row>
    <row r="27565">
      <c r="H27565" s="50"/>
      <c r="I27565" s="50"/>
      <c r="O27565" s="36" t="s">
        <v>48</v>
      </c>
      <c r="R27565" s="36" t="s">
        <v>48</v>
      </c>
    </row>
    <row r="27566">
      <c r="H27566" s="50"/>
      <c r="I27566" s="50"/>
      <c r="O27566" s="36" t="s">
        <v>48</v>
      </c>
      <c r="R27566" s="36" t="s">
        <v>48</v>
      </c>
    </row>
    <row r="27567">
      <c r="H27567" s="50"/>
      <c r="I27567" s="50"/>
      <c r="O27567" s="36" t="s">
        <v>48</v>
      </c>
      <c r="R27567" s="36" t="s">
        <v>48</v>
      </c>
    </row>
    <row r="27568">
      <c r="H27568" s="50"/>
      <c r="I27568" s="50"/>
      <c r="O27568" s="36" t="s">
        <v>48</v>
      </c>
      <c r="R27568" s="36" t="s">
        <v>48</v>
      </c>
    </row>
    <row r="27569">
      <c r="H27569" s="50"/>
      <c r="I27569" s="50"/>
      <c r="O27569" s="36" t="s">
        <v>48</v>
      </c>
      <c r="R27569" s="36" t="s">
        <v>48</v>
      </c>
    </row>
    <row r="27570">
      <c r="H27570" s="50"/>
      <c r="I27570" s="50"/>
      <c r="O27570" s="36" t="s">
        <v>48</v>
      </c>
      <c r="R27570" s="36" t="s">
        <v>48</v>
      </c>
    </row>
    <row r="27571">
      <c r="H27571" s="50"/>
      <c r="I27571" s="50"/>
      <c r="O27571" s="36" t="s">
        <v>48</v>
      </c>
      <c r="R27571" s="36" t="s">
        <v>48</v>
      </c>
    </row>
    <row r="27572">
      <c r="H27572" s="50"/>
      <c r="I27572" s="50"/>
      <c r="O27572" s="36" t="s">
        <v>48</v>
      </c>
      <c r="R27572" s="36" t="s">
        <v>48</v>
      </c>
    </row>
    <row r="27573">
      <c r="H27573" s="50"/>
      <c r="I27573" s="50"/>
      <c r="O27573" s="36" t="s">
        <v>48</v>
      </c>
      <c r="R27573" s="36" t="s">
        <v>48</v>
      </c>
    </row>
    <row r="27574">
      <c r="H27574" s="50"/>
      <c r="I27574" s="50"/>
      <c r="O27574" s="36" t="s">
        <v>48</v>
      </c>
      <c r="R27574" s="36" t="s">
        <v>48</v>
      </c>
    </row>
    <row r="27575">
      <c r="H27575" s="50"/>
      <c r="I27575" s="50"/>
      <c r="O27575" s="36" t="s">
        <v>48</v>
      </c>
      <c r="R27575" s="36" t="s">
        <v>48</v>
      </c>
    </row>
    <row r="27576">
      <c r="H27576" s="50"/>
      <c r="I27576" s="50"/>
      <c r="O27576" s="36" t="s">
        <v>48</v>
      </c>
      <c r="R27576" s="36" t="s">
        <v>48</v>
      </c>
    </row>
    <row r="27577">
      <c r="H27577" s="50"/>
      <c r="I27577" s="50"/>
      <c r="O27577" s="36" t="s">
        <v>48</v>
      </c>
      <c r="R27577" s="36" t="s">
        <v>48</v>
      </c>
    </row>
    <row r="27578">
      <c r="H27578" s="50"/>
      <c r="I27578" s="50"/>
      <c r="O27578" s="36" t="s">
        <v>48</v>
      </c>
      <c r="R27578" s="36" t="s">
        <v>48</v>
      </c>
    </row>
    <row r="27579">
      <c r="H27579" s="50"/>
      <c r="I27579" s="50"/>
      <c r="O27579" s="36" t="s">
        <v>48</v>
      </c>
      <c r="R27579" s="36" t="s">
        <v>48</v>
      </c>
    </row>
    <row r="27580">
      <c r="H27580" s="50"/>
      <c r="I27580" s="50"/>
      <c r="O27580" s="36" t="s">
        <v>48</v>
      </c>
      <c r="R27580" s="36" t="s">
        <v>48</v>
      </c>
    </row>
    <row r="27581">
      <c r="H27581" s="50"/>
      <c r="I27581" s="50"/>
      <c r="O27581" s="36" t="s">
        <v>48</v>
      </c>
      <c r="R27581" s="36" t="s">
        <v>48</v>
      </c>
    </row>
    <row r="27582">
      <c r="H27582" s="50"/>
      <c r="I27582" s="50"/>
      <c r="O27582" s="36" t="s">
        <v>48</v>
      </c>
      <c r="R27582" s="36" t="s">
        <v>48</v>
      </c>
    </row>
    <row r="27583">
      <c r="H27583" s="50"/>
      <c r="I27583" s="50"/>
      <c r="O27583" s="36" t="s">
        <v>48</v>
      </c>
      <c r="R27583" s="36" t="s">
        <v>48</v>
      </c>
    </row>
    <row r="27584">
      <c r="H27584" s="50"/>
      <c r="I27584" s="50"/>
      <c r="O27584" s="36" t="s">
        <v>48</v>
      </c>
      <c r="R27584" s="36" t="s">
        <v>48</v>
      </c>
    </row>
    <row r="27585">
      <c r="H27585" s="50"/>
      <c r="I27585" s="50"/>
      <c r="O27585" s="36" t="s">
        <v>48</v>
      </c>
      <c r="R27585" s="36" t="s">
        <v>48</v>
      </c>
    </row>
    <row r="27586">
      <c r="H27586" s="50"/>
      <c r="I27586" s="50"/>
      <c r="O27586" s="36" t="s">
        <v>48</v>
      </c>
      <c r="R27586" s="36" t="s">
        <v>48</v>
      </c>
    </row>
    <row r="27587">
      <c r="H27587" s="50"/>
      <c r="I27587" s="50"/>
      <c r="O27587" s="36" t="s">
        <v>48</v>
      </c>
      <c r="R27587" s="36" t="s">
        <v>48</v>
      </c>
    </row>
    <row r="27588">
      <c r="H27588" s="50"/>
      <c r="I27588" s="50"/>
      <c r="O27588" s="36" t="s">
        <v>48</v>
      </c>
      <c r="R27588" s="36" t="s">
        <v>48</v>
      </c>
    </row>
    <row r="27589">
      <c r="H27589" s="50"/>
      <c r="I27589" s="50"/>
      <c r="O27589" s="36" t="s">
        <v>48</v>
      </c>
      <c r="R27589" s="36" t="s">
        <v>48</v>
      </c>
    </row>
    <row r="27590">
      <c r="H27590" s="50"/>
      <c r="I27590" s="50"/>
      <c r="O27590" s="36" t="s">
        <v>48</v>
      </c>
      <c r="R27590" s="36" t="s">
        <v>48</v>
      </c>
    </row>
    <row r="27591">
      <c r="H27591" s="50"/>
      <c r="I27591" s="50"/>
      <c r="O27591" s="36" t="s">
        <v>48</v>
      </c>
      <c r="R27591" s="36" t="s">
        <v>48</v>
      </c>
    </row>
    <row r="27592">
      <c r="H27592" s="50"/>
      <c r="I27592" s="50"/>
      <c r="O27592" s="36" t="s">
        <v>48</v>
      </c>
      <c r="R27592" s="36" t="s">
        <v>48</v>
      </c>
    </row>
    <row r="27593">
      <c r="H27593" s="50"/>
      <c r="I27593" s="50"/>
      <c r="O27593" s="36" t="s">
        <v>48</v>
      </c>
      <c r="R27593" s="36" t="s">
        <v>48</v>
      </c>
    </row>
    <row r="27594">
      <c r="H27594" s="50"/>
      <c r="I27594" s="50"/>
      <c r="O27594" s="36" t="s">
        <v>48</v>
      </c>
      <c r="R27594" s="36" t="s">
        <v>48</v>
      </c>
    </row>
    <row r="27595">
      <c r="H27595" s="50"/>
      <c r="I27595" s="50"/>
      <c r="O27595" s="36" t="s">
        <v>48</v>
      </c>
      <c r="R27595" s="36" t="s">
        <v>48</v>
      </c>
    </row>
    <row r="27596">
      <c r="H27596" s="50"/>
      <c r="I27596" s="50"/>
      <c r="O27596" s="36" t="s">
        <v>48</v>
      </c>
      <c r="R27596" s="36" t="s">
        <v>48</v>
      </c>
    </row>
    <row r="27597">
      <c r="H27597" s="50"/>
      <c r="I27597" s="50"/>
      <c r="O27597" s="36" t="s">
        <v>48</v>
      </c>
      <c r="R27597" s="36" t="s">
        <v>48</v>
      </c>
    </row>
    <row r="27598">
      <c r="H27598" s="50"/>
      <c r="I27598" s="50"/>
      <c r="O27598" s="36" t="s">
        <v>48</v>
      </c>
      <c r="R27598" s="36" t="s">
        <v>48</v>
      </c>
    </row>
    <row r="27599">
      <c r="H27599" s="50"/>
      <c r="I27599" s="50"/>
      <c r="O27599" s="36" t="s">
        <v>48</v>
      </c>
      <c r="R27599" s="36" t="s">
        <v>48</v>
      </c>
    </row>
    <row r="27600">
      <c r="H27600" s="50"/>
      <c r="I27600" s="50"/>
      <c r="O27600" s="36" t="s">
        <v>48</v>
      </c>
      <c r="R27600" s="36" t="s">
        <v>48</v>
      </c>
    </row>
    <row r="27601">
      <c r="H27601" s="50"/>
      <c r="I27601" s="50"/>
      <c r="O27601" s="36" t="s">
        <v>48</v>
      </c>
      <c r="R27601" s="36" t="s">
        <v>48</v>
      </c>
    </row>
    <row r="27602">
      <c r="H27602" s="50"/>
      <c r="I27602" s="50"/>
      <c r="O27602" s="36" t="s">
        <v>48</v>
      </c>
      <c r="R27602" s="36" t="s">
        <v>48</v>
      </c>
    </row>
    <row r="27603">
      <c r="H27603" s="50"/>
      <c r="I27603" s="50"/>
      <c r="O27603" s="36" t="s">
        <v>48</v>
      </c>
      <c r="R27603" s="36" t="s">
        <v>48</v>
      </c>
    </row>
    <row r="27604">
      <c r="H27604" s="50"/>
      <c r="I27604" s="50"/>
      <c r="O27604" s="36" t="s">
        <v>48</v>
      </c>
      <c r="R27604" s="36" t="s">
        <v>48</v>
      </c>
    </row>
    <row r="27605">
      <c r="H27605" s="50"/>
      <c r="I27605" s="50"/>
      <c r="O27605" s="36" t="s">
        <v>48</v>
      </c>
      <c r="R27605" s="36" t="s">
        <v>48</v>
      </c>
    </row>
    <row r="27606">
      <c r="H27606" s="50"/>
      <c r="I27606" s="50"/>
      <c r="O27606" s="36" t="s">
        <v>48</v>
      </c>
      <c r="R27606" s="36" t="s">
        <v>48</v>
      </c>
    </row>
    <row r="27607">
      <c r="H27607" s="50"/>
      <c r="I27607" s="50"/>
      <c r="O27607" s="36" t="s">
        <v>48</v>
      </c>
      <c r="R27607" s="36" t="s">
        <v>48</v>
      </c>
    </row>
    <row r="27608">
      <c r="H27608" s="50"/>
      <c r="I27608" s="50"/>
      <c r="O27608" s="36" t="s">
        <v>48</v>
      </c>
      <c r="R27608" s="36" t="s">
        <v>48</v>
      </c>
    </row>
    <row r="27609">
      <c r="H27609" s="50"/>
      <c r="I27609" s="50"/>
      <c r="O27609" s="36" t="s">
        <v>48</v>
      </c>
      <c r="R27609" s="36" t="s">
        <v>48</v>
      </c>
    </row>
    <row r="27610">
      <c r="H27610" s="50"/>
      <c r="I27610" s="50"/>
      <c r="O27610" s="36" t="s">
        <v>48</v>
      </c>
      <c r="R27610" s="36" t="s">
        <v>48</v>
      </c>
    </row>
    <row r="27611">
      <c r="H27611" s="50"/>
      <c r="I27611" s="50"/>
      <c r="O27611" s="36" t="s">
        <v>48</v>
      </c>
      <c r="R27611" s="36" t="s">
        <v>48</v>
      </c>
    </row>
    <row r="27612">
      <c r="H27612" s="50"/>
      <c r="I27612" s="50"/>
      <c r="O27612" s="36" t="s">
        <v>48</v>
      </c>
      <c r="R27612" s="36" t="s">
        <v>48</v>
      </c>
    </row>
    <row r="27613">
      <c r="H27613" s="50"/>
      <c r="I27613" s="50"/>
      <c r="O27613" s="36" t="s">
        <v>48</v>
      </c>
      <c r="R27613" s="36" t="s">
        <v>48</v>
      </c>
    </row>
    <row r="27614">
      <c r="H27614" s="50"/>
      <c r="I27614" s="50"/>
      <c r="O27614" s="36" t="s">
        <v>48</v>
      </c>
      <c r="R27614" s="36" t="s">
        <v>48</v>
      </c>
    </row>
    <row r="27615">
      <c r="H27615" s="50"/>
      <c r="I27615" s="50"/>
      <c r="O27615" s="36" t="s">
        <v>48</v>
      </c>
      <c r="R27615" s="36" t="s">
        <v>48</v>
      </c>
    </row>
    <row r="27616">
      <c r="H27616" s="50"/>
      <c r="I27616" s="50"/>
      <c r="O27616" s="36" t="s">
        <v>48</v>
      </c>
      <c r="R27616" s="36" t="s">
        <v>48</v>
      </c>
    </row>
    <row r="27617">
      <c r="H27617" s="50"/>
      <c r="I27617" s="50"/>
      <c r="O27617" s="36" t="s">
        <v>48</v>
      </c>
      <c r="R27617" s="36" t="s">
        <v>48</v>
      </c>
    </row>
    <row r="27618">
      <c r="H27618" s="50"/>
      <c r="I27618" s="50"/>
      <c r="O27618" s="36" t="s">
        <v>48</v>
      </c>
      <c r="R27618" s="36" t="s">
        <v>48</v>
      </c>
    </row>
    <row r="27619">
      <c r="H27619" s="50"/>
      <c r="I27619" s="50"/>
      <c r="O27619" s="36" t="s">
        <v>48</v>
      </c>
      <c r="R27619" s="36" t="s">
        <v>48</v>
      </c>
    </row>
    <row r="27620">
      <c r="H27620" s="50"/>
      <c r="I27620" s="50"/>
      <c r="O27620" s="36" t="s">
        <v>48</v>
      </c>
      <c r="R27620" s="36" t="s">
        <v>48</v>
      </c>
    </row>
    <row r="27621">
      <c r="H27621" s="50"/>
      <c r="I27621" s="50"/>
      <c r="O27621" s="36" t="s">
        <v>48</v>
      </c>
      <c r="R27621" s="36" t="s">
        <v>48</v>
      </c>
    </row>
    <row r="27622">
      <c r="H27622" s="50"/>
      <c r="I27622" s="50"/>
      <c r="O27622" s="36" t="s">
        <v>48</v>
      </c>
      <c r="R27622" s="36" t="s">
        <v>48</v>
      </c>
    </row>
    <row r="27623">
      <c r="H27623" s="50"/>
      <c r="I27623" s="50"/>
      <c r="O27623" s="36" t="s">
        <v>48</v>
      </c>
      <c r="R27623" s="36" t="s">
        <v>48</v>
      </c>
    </row>
    <row r="27624">
      <c r="H27624" s="50"/>
      <c r="I27624" s="50"/>
      <c r="O27624" s="36" t="s">
        <v>48</v>
      </c>
      <c r="R27624" s="36" t="s">
        <v>48</v>
      </c>
    </row>
    <row r="27625">
      <c r="H27625" s="50"/>
      <c r="I27625" s="50"/>
      <c r="O27625" s="36" t="s">
        <v>48</v>
      </c>
      <c r="R27625" s="36" t="s">
        <v>48</v>
      </c>
    </row>
    <row r="27626">
      <c r="H27626" s="50"/>
      <c r="I27626" s="50"/>
      <c r="O27626" s="36" t="s">
        <v>48</v>
      </c>
      <c r="R27626" s="36" t="s">
        <v>48</v>
      </c>
    </row>
    <row r="27627">
      <c r="H27627" s="50"/>
      <c r="I27627" s="50"/>
      <c r="O27627" s="36" t="s">
        <v>48</v>
      </c>
      <c r="R27627" s="36" t="s">
        <v>48</v>
      </c>
    </row>
    <row r="27628">
      <c r="H27628" s="50"/>
      <c r="I27628" s="50"/>
      <c r="O27628" s="36" t="s">
        <v>48</v>
      </c>
      <c r="R27628" s="36" t="s">
        <v>48</v>
      </c>
    </row>
    <row r="27629">
      <c r="H27629" s="50"/>
      <c r="I27629" s="50"/>
      <c r="O27629" s="36" t="s">
        <v>48</v>
      </c>
      <c r="R27629" s="36" t="s">
        <v>48</v>
      </c>
    </row>
    <row r="27630">
      <c r="H27630" s="50"/>
      <c r="I27630" s="50"/>
      <c r="O27630" s="36" t="s">
        <v>48</v>
      </c>
      <c r="R27630" s="36" t="s">
        <v>48</v>
      </c>
    </row>
    <row r="27631">
      <c r="H27631" s="50"/>
      <c r="I27631" s="50"/>
      <c r="O27631" s="36" t="s">
        <v>48</v>
      </c>
      <c r="R27631" s="36" t="s">
        <v>48</v>
      </c>
    </row>
    <row r="27632">
      <c r="H27632" s="50"/>
      <c r="I27632" s="50"/>
      <c r="O27632" s="36" t="s">
        <v>48</v>
      </c>
      <c r="R27632" s="36" t="s">
        <v>48</v>
      </c>
    </row>
    <row r="27633">
      <c r="H27633" s="50"/>
      <c r="I27633" s="50"/>
      <c r="O27633" s="36" t="s">
        <v>48</v>
      </c>
      <c r="R27633" s="36" t="s">
        <v>48</v>
      </c>
    </row>
    <row r="27634">
      <c r="H27634" s="50"/>
      <c r="I27634" s="50"/>
      <c r="O27634" s="36" t="s">
        <v>48</v>
      </c>
      <c r="R27634" s="36" t="s">
        <v>48</v>
      </c>
    </row>
    <row r="27635">
      <c r="H27635" s="50"/>
      <c r="I27635" s="50"/>
      <c r="O27635" s="36" t="s">
        <v>48</v>
      </c>
      <c r="R27635" s="36" t="s">
        <v>48</v>
      </c>
    </row>
    <row r="27636">
      <c r="H27636" s="50"/>
      <c r="I27636" s="50"/>
      <c r="O27636" s="36" t="s">
        <v>48</v>
      </c>
      <c r="R27636" s="36" t="s">
        <v>48</v>
      </c>
    </row>
    <row r="27637">
      <c r="H27637" s="50"/>
      <c r="I27637" s="50"/>
      <c r="O27637" s="36" t="s">
        <v>48</v>
      </c>
      <c r="R27637" s="36" t="s">
        <v>48</v>
      </c>
    </row>
    <row r="27638">
      <c r="H27638" s="50"/>
      <c r="I27638" s="50"/>
      <c r="O27638" s="36" t="s">
        <v>48</v>
      </c>
      <c r="R27638" s="36" t="s">
        <v>48</v>
      </c>
    </row>
    <row r="27639">
      <c r="H27639" s="50"/>
      <c r="I27639" s="50"/>
      <c r="O27639" s="36" t="s">
        <v>48</v>
      </c>
      <c r="R27639" s="36" t="s">
        <v>48</v>
      </c>
    </row>
    <row r="27640">
      <c r="H27640" s="50"/>
      <c r="I27640" s="50"/>
      <c r="O27640" s="36" t="s">
        <v>48</v>
      </c>
      <c r="R27640" s="36" t="s">
        <v>48</v>
      </c>
    </row>
    <row r="27641">
      <c r="H27641" s="50"/>
      <c r="I27641" s="50"/>
      <c r="O27641" s="36" t="s">
        <v>48</v>
      </c>
      <c r="R27641" s="36" t="s">
        <v>48</v>
      </c>
    </row>
    <row r="27642">
      <c r="H27642" s="50"/>
      <c r="I27642" s="50"/>
      <c r="O27642" s="36" t="s">
        <v>48</v>
      </c>
      <c r="R27642" s="36" t="s">
        <v>48</v>
      </c>
    </row>
    <row r="27643">
      <c r="H27643" s="50"/>
      <c r="I27643" s="50"/>
      <c r="O27643" s="36" t="s">
        <v>48</v>
      </c>
      <c r="R27643" s="36" t="s">
        <v>48</v>
      </c>
    </row>
    <row r="27644">
      <c r="H27644" s="50"/>
      <c r="I27644" s="50"/>
      <c r="O27644" s="36" t="s">
        <v>48</v>
      </c>
      <c r="R27644" s="36" t="s">
        <v>48</v>
      </c>
    </row>
    <row r="27645">
      <c r="H27645" s="50"/>
      <c r="I27645" s="50"/>
      <c r="O27645" s="36" t="s">
        <v>48</v>
      </c>
      <c r="R27645" s="36" t="s">
        <v>48</v>
      </c>
    </row>
    <row r="27646">
      <c r="H27646" s="50"/>
      <c r="I27646" s="50"/>
      <c r="O27646" s="36" t="s">
        <v>48</v>
      </c>
      <c r="R27646" s="36" t="s">
        <v>48</v>
      </c>
    </row>
    <row r="27647">
      <c r="H27647" s="50"/>
      <c r="I27647" s="50"/>
      <c r="O27647" s="36" t="s">
        <v>48</v>
      </c>
      <c r="R27647" s="36" t="s">
        <v>48</v>
      </c>
    </row>
    <row r="27648">
      <c r="H27648" s="50"/>
      <c r="I27648" s="50"/>
      <c r="O27648" s="36" t="s">
        <v>48</v>
      </c>
      <c r="R27648" s="36" t="s">
        <v>48</v>
      </c>
    </row>
    <row r="27649">
      <c r="H27649" s="50"/>
      <c r="I27649" s="50"/>
      <c r="O27649" s="36" t="s">
        <v>48</v>
      </c>
      <c r="R27649" s="36" t="s">
        <v>48</v>
      </c>
    </row>
    <row r="27650">
      <c r="H27650" s="50"/>
      <c r="I27650" s="50"/>
      <c r="O27650" s="36" t="s">
        <v>48</v>
      </c>
      <c r="R27650" s="36" t="s">
        <v>48</v>
      </c>
    </row>
    <row r="27651">
      <c r="H27651" s="50"/>
      <c r="I27651" s="50"/>
      <c r="O27651" s="36" t="s">
        <v>48</v>
      </c>
      <c r="R27651" s="36" t="s">
        <v>48</v>
      </c>
    </row>
    <row r="27652">
      <c r="H27652" s="50"/>
      <c r="I27652" s="50"/>
      <c r="O27652" s="36" t="s">
        <v>48</v>
      </c>
      <c r="R27652" s="36" t="s">
        <v>48</v>
      </c>
    </row>
    <row r="27653">
      <c r="H27653" s="50"/>
      <c r="I27653" s="50"/>
      <c r="O27653" s="36" t="s">
        <v>48</v>
      </c>
      <c r="R27653" s="36" t="s">
        <v>48</v>
      </c>
    </row>
    <row r="27654">
      <c r="H27654" s="50"/>
      <c r="I27654" s="50"/>
      <c r="O27654" s="36" t="s">
        <v>48</v>
      </c>
      <c r="R27654" s="36" t="s">
        <v>48</v>
      </c>
    </row>
    <row r="27655">
      <c r="H27655" s="50"/>
      <c r="I27655" s="50"/>
      <c r="O27655" s="36" t="s">
        <v>48</v>
      </c>
      <c r="R27655" s="36" t="s">
        <v>48</v>
      </c>
    </row>
    <row r="27656">
      <c r="H27656" s="50"/>
      <c r="I27656" s="50"/>
      <c r="O27656" s="36" t="s">
        <v>48</v>
      </c>
      <c r="R27656" s="36" t="s">
        <v>48</v>
      </c>
    </row>
    <row r="27657">
      <c r="H27657" s="50"/>
      <c r="I27657" s="50"/>
      <c r="O27657" s="36" t="s">
        <v>48</v>
      </c>
      <c r="R27657" s="36" t="s">
        <v>48</v>
      </c>
    </row>
    <row r="27658">
      <c r="H27658" s="50"/>
      <c r="I27658" s="50"/>
      <c r="O27658" s="36" t="s">
        <v>48</v>
      </c>
      <c r="R27658" s="36" t="s">
        <v>48</v>
      </c>
    </row>
    <row r="27659">
      <c r="H27659" s="50"/>
      <c r="I27659" s="50"/>
      <c r="O27659" s="36" t="s">
        <v>48</v>
      </c>
      <c r="R27659" s="36" t="s">
        <v>48</v>
      </c>
    </row>
    <row r="27660">
      <c r="H27660" s="50"/>
      <c r="I27660" s="50"/>
      <c r="O27660" s="36" t="s">
        <v>48</v>
      </c>
      <c r="R27660" s="36" t="s">
        <v>48</v>
      </c>
    </row>
    <row r="27661">
      <c r="H27661" s="50"/>
      <c r="I27661" s="50"/>
      <c r="O27661" s="36" t="s">
        <v>48</v>
      </c>
      <c r="R27661" s="36" t="s">
        <v>48</v>
      </c>
    </row>
    <row r="27662">
      <c r="H27662" s="50"/>
      <c r="I27662" s="50"/>
      <c r="O27662" s="36" t="s">
        <v>48</v>
      </c>
      <c r="R27662" s="36" t="s">
        <v>48</v>
      </c>
    </row>
    <row r="27663">
      <c r="H27663" s="50"/>
      <c r="I27663" s="50"/>
      <c r="O27663" s="36" t="s">
        <v>48</v>
      </c>
      <c r="R27663" s="36" t="s">
        <v>48</v>
      </c>
    </row>
    <row r="27664">
      <c r="H27664" s="50"/>
      <c r="I27664" s="50"/>
      <c r="O27664" s="36" t="s">
        <v>48</v>
      </c>
      <c r="R27664" s="36" t="s">
        <v>48</v>
      </c>
    </row>
    <row r="27665">
      <c r="H27665" s="50"/>
      <c r="I27665" s="50"/>
      <c r="O27665" s="36" t="s">
        <v>48</v>
      </c>
      <c r="R27665" s="36" t="s">
        <v>48</v>
      </c>
    </row>
    <row r="27666">
      <c r="H27666" s="50"/>
      <c r="I27666" s="50"/>
      <c r="O27666" s="36" t="s">
        <v>48</v>
      </c>
      <c r="R27666" s="36" t="s">
        <v>48</v>
      </c>
    </row>
    <row r="27667">
      <c r="H27667" s="50"/>
      <c r="I27667" s="50"/>
      <c r="O27667" s="36" t="s">
        <v>48</v>
      </c>
      <c r="R27667" s="36" t="s">
        <v>48</v>
      </c>
    </row>
    <row r="27668">
      <c r="H27668" s="50"/>
      <c r="I27668" s="50"/>
      <c r="O27668" s="36" t="s">
        <v>48</v>
      </c>
      <c r="R27668" s="36" t="s">
        <v>48</v>
      </c>
    </row>
    <row r="27669">
      <c r="H27669" s="50"/>
      <c r="I27669" s="50"/>
      <c r="O27669" s="36" t="s">
        <v>48</v>
      </c>
      <c r="R27669" s="36" t="s">
        <v>48</v>
      </c>
    </row>
    <row r="27670">
      <c r="H27670" s="50"/>
      <c r="I27670" s="50"/>
      <c r="O27670" s="36" t="s">
        <v>48</v>
      </c>
      <c r="R27670" s="36" t="s">
        <v>48</v>
      </c>
    </row>
    <row r="27671">
      <c r="H27671" s="50"/>
      <c r="I27671" s="50"/>
      <c r="O27671" s="36" t="s">
        <v>48</v>
      </c>
      <c r="R27671" s="36" t="s">
        <v>48</v>
      </c>
    </row>
    <row r="27672">
      <c r="H27672" s="50"/>
      <c r="I27672" s="50"/>
      <c r="O27672" s="36" t="s">
        <v>48</v>
      </c>
      <c r="R27672" s="36" t="s">
        <v>48</v>
      </c>
    </row>
    <row r="27673">
      <c r="H27673" s="50"/>
      <c r="I27673" s="50"/>
      <c r="O27673" s="36" t="s">
        <v>48</v>
      </c>
      <c r="R27673" s="36" t="s">
        <v>48</v>
      </c>
    </row>
    <row r="27674">
      <c r="H27674" s="50"/>
      <c r="I27674" s="50"/>
      <c r="O27674" s="36" t="s">
        <v>48</v>
      </c>
      <c r="R27674" s="36" t="s">
        <v>48</v>
      </c>
    </row>
    <row r="27675">
      <c r="H27675" s="50"/>
      <c r="I27675" s="50"/>
      <c r="O27675" s="36" t="s">
        <v>48</v>
      </c>
      <c r="R27675" s="36" t="s">
        <v>48</v>
      </c>
    </row>
    <row r="27676">
      <c r="H27676" s="50"/>
      <c r="I27676" s="50"/>
      <c r="O27676" s="36" t="s">
        <v>48</v>
      </c>
      <c r="R27676" s="36" t="s">
        <v>48</v>
      </c>
    </row>
    <row r="27677">
      <c r="H27677" s="50"/>
      <c r="I27677" s="50"/>
      <c r="O27677" s="36" t="s">
        <v>48</v>
      </c>
      <c r="R27677" s="36" t="s">
        <v>48</v>
      </c>
    </row>
    <row r="27678">
      <c r="H27678" s="50"/>
      <c r="I27678" s="50"/>
      <c r="O27678" s="36" t="s">
        <v>48</v>
      </c>
      <c r="R27678" s="36" t="s">
        <v>48</v>
      </c>
    </row>
    <row r="27679">
      <c r="H27679" s="50"/>
      <c r="I27679" s="50"/>
      <c r="O27679" s="36" t="s">
        <v>48</v>
      </c>
      <c r="R27679" s="36" t="s">
        <v>48</v>
      </c>
    </row>
    <row r="27680">
      <c r="H27680" s="50"/>
      <c r="I27680" s="50"/>
      <c r="O27680" s="36" t="s">
        <v>48</v>
      </c>
      <c r="R27680" s="36" t="s">
        <v>48</v>
      </c>
    </row>
    <row r="27681">
      <c r="H27681" s="50"/>
      <c r="I27681" s="50"/>
      <c r="O27681" s="36" t="s">
        <v>48</v>
      </c>
      <c r="R27681" s="36" t="s">
        <v>48</v>
      </c>
    </row>
    <row r="27682">
      <c r="H27682" s="50"/>
      <c r="I27682" s="50"/>
      <c r="O27682" s="36" t="s">
        <v>48</v>
      </c>
      <c r="R27682" s="36" t="s">
        <v>48</v>
      </c>
    </row>
    <row r="27683">
      <c r="H27683" s="50"/>
      <c r="I27683" s="50"/>
      <c r="O27683" s="36" t="s">
        <v>48</v>
      </c>
      <c r="R27683" s="36" t="s">
        <v>48</v>
      </c>
    </row>
    <row r="27684">
      <c r="H27684" s="50"/>
      <c r="I27684" s="50"/>
      <c r="O27684" s="36" t="s">
        <v>48</v>
      </c>
      <c r="R27684" s="36" t="s">
        <v>48</v>
      </c>
    </row>
    <row r="27685">
      <c r="H27685" s="50"/>
      <c r="I27685" s="50"/>
      <c r="O27685" s="36" t="s">
        <v>48</v>
      </c>
      <c r="R27685" s="36" t="s">
        <v>48</v>
      </c>
    </row>
    <row r="27686">
      <c r="H27686" s="50"/>
      <c r="I27686" s="50"/>
      <c r="O27686" s="36" t="s">
        <v>48</v>
      </c>
      <c r="R27686" s="36" t="s">
        <v>48</v>
      </c>
    </row>
    <row r="27687">
      <c r="H27687" s="50"/>
      <c r="I27687" s="50"/>
      <c r="O27687" s="36" t="s">
        <v>48</v>
      </c>
      <c r="R27687" s="36" t="s">
        <v>48</v>
      </c>
    </row>
    <row r="27688">
      <c r="H27688" s="50"/>
      <c r="I27688" s="50"/>
      <c r="O27688" s="36" t="s">
        <v>48</v>
      </c>
      <c r="R27688" s="36" t="s">
        <v>48</v>
      </c>
    </row>
    <row r="27689">
      <c r="H27689" s="50"/>
      <c r="I27689" s="50"/>
      <c r="O27689" s="36" t="s">
        <v>48</v>
      </c>
      <c r="R27689" s="36" t="s">
        <v>48</v>
      </c>
    </row>
    <row r="27690">
      <c r="H27690" s="50"/>
      <c r="I27690" s="50"/>
      <c r="O27690" s="36" t="s">
        <v>48</v>
      </c>
      <c r="R27690" s="36" t="s">
        <v>48</v>
      </c>
    </row>
    <row r="27691">
      <c r="H27691" s="50"/>
      <c r="I27691" s="50"/>
      <c r="O27691" s="36" t="s">
        <v>48</v>
      </c>
      <c r="R27691" s="36" t="s">
        <v>48</v>
      </c>
    </row>
    <row r="27692">
      <c r="H27692" s="50"/>
      <c r="I27692" s="50"/>
      <c r="O27692" s="36" t="s">
        <v>48</v>
      </c>
      <c r="R27692" s="36" t="s">
        <v>48</v>
      </c>
    </row>
    <row r="27693">
      <c r="H27693" s="50"/>
      <c r="I27693" s="50"/>
      <c r="O27693" s="36" t="s">
        <v>48</v>
      </c>
      <c r="R27693" s="36" t="s">
        <v>48</v>
      </c>
    </row>
    <row r="27694">
      <c r="H27694" s="50"/>
      <c r="I27694" s="50"/>
      <c r="O27694" s="36" t="s">
        <v>48</v>
      </c>
      <c r="R27694" s="36" t="s">
        <v>48</v>
      </c>
    </row>
    <row r="27695">
      <c r="H27695" s="50"/>
      <c r="I27695" s="50"/>
      <c r="O27695" s="36" t="s">
        <v>48</v>
      </c>
      <c r="R27695" s="36" t="s">
        <v>48</v>
      </c>
    </row>
    <row r="27696">
      <c r="H27696" s="50"/>
      <c r="I27696" s="50"/>
      <c r="O27696" s="36" t="s">
        <v>48</v>
      </c>
      <c r="R27696" s="36" t="s">
        <v>48</v>
      </c>
    </row>
    <row r="27697">
      <c r="H27697" s="50"/>
      <c r="I27697" s="50"/>
      <c r="O27697" s="36" t="s">
        <v>48</v>
      </c>
      <c r="R27697" s="36" t="s">
        <v>48</v>
      </c>
    </row>
    <row r="27698">
      <c r="H27698" s="50"/>
      <c r="I27698" s="50"/>
      <c r="O27698" s="36" t="s">
        <v>48</v>
      </c>
      <c r="R27698" s="36" t="s">
        <v>48</v>
      </c>
    </row>
    <row r="27699">
      <c r="H27699" s="50"/>
      <c r="I27699" s="50"/>
      <c r="O27699" s="36" t="s">
        <v>48</v>
      </c>
      <c r="R27699" s="36" t="s">
        <v>48</v>
      </c>
    </row>
    <row r="27700">
      <c r="H27700" s="50"/>
      <c r="I27700" s="50"/>
      <c r="O27700" s="36" t="s">
        <v>48</v>
      </c>
      <c r="R27700" s="36" t="s">
        <v>48</v>
      </c>
    </row>
    <row r="27701">
      <c r="H27701" s="50"/>
      <c r="I27701" s="50"/>
      <c r="O27701" s="36" t="s">
        <v>48</v>
      </c>
      <c r="R27701" s="36" t="s">
        <v>48</v>
      </c>
    </row>
    <row r="27702">
      <c r="H27702" s="50"/>
      <c r="I27702" s="50"/>
      <c r="O27702" s="36" t="s">
        <v>48</v>
      </c>
      <c r="R27702" s="36" t="s">
        <v>48</v>
      </c>
    </row>
    <row r="27703">
      <c r="H27703" s="50"/>
      <c r="I27703" s="50"/>
      <c r="O27703" s="36" t="s">
        <v>48</v>
      </c>
      <c r="R27703" s="36" t="s">
        <v>48</v>
      </c>
    </row>
    <row r="27704">
      <c r="H27704" s="50"/>
      <c r="I27704" s="50"/>
      <c r="O27704" s="36" t="s">
        <v>48</v>
      </c>
      <c r="R27704" s="36" t="s">
        <v>48</v>
      </c>
    </row>
    <row r="27705">
      <c r="H27705" s="50"/>
      <c r="I27705" s="50"/>
      <c r="O27705" s="36" t="s">
        <v>48</v>
      </c>
      <c r="R27705" s="36" t="s">
        <v>48</v>
      </c>
    </row>
    <row r="27706">
      <c r="H27706" s="50"/>
      <c r="I27706" s="50"/>
      <c r="O27706" s="36" t="s">
        <v>48</v>
      </c>
      <c r="R27706" s="36" t="s">
        <v>48</v>
      </c>
    </row>
    <row r="27707">
      <c r="H27707" s="50"/>
      <c r="I27707" s="50"/>
      <c r="O27707" s="36" t="s">
        <v>48</v>
      </c>
      <c r="R27707" s="36" t="s">
        <v>48</v>
      </c>
    </row>
    <row r="27708">
      <c r="H27708" s="50"/>
      <c r="I27708" s="50"/>
      <c r="O27708" s="36" t="s">
        <v>48</v>
      </c>
      <c r="R27708" s="36" t="s">
        <v>48</v>
      </c>
    </row>
    <row r="27709">
      <c r="H27709" s="50"/>
      <c r="I27709" s="50"/>
      <c r="O27709" s="36" t="s">
        <v>48</v>
      </c>
      <c r="R27709" s="36" t="s">
        <v>48</v>
      </c>
    </row>
    <row r="27710">
      <c r="H27710" s="50"/>
      <c r="I27710" s="50"/>
      <c r="O27710" s="36" t="s">
        <v>48</v>
      </c>
      <c r="R27710" s="36" t="s">
        <v>48</v>
      </c>
    </row>
    <row r="27711">
      <c r="H27711" s="50"/>
      <c r="I27711" s="50"/>
      <c r="O27711" s="36" t="s">
        <v>48</v>
      </c>
      <c r="R27711" s="36" t="s">
        <v>48</v>
      </c>
    </row>
    <row r="27712">
      <c r="H27712" s="50"/>
      <c r="I27712" s="50"/>
      <c r="O27712" s="36" t="s">
        <v>48</v>
      </c>
      <c r="R27712" s="36" t="s">
        <v>48</v>
      </c>
    </row>
    <row r="27713">
      <c r="H27713" s="50"/>
      <c r="I27713" s="50"/>
      <c r="O27713" s="36" t="s">
        <v>48</v>
      </c>
      <c r="R27713" s="36" t="s">
        <v>48</v>
      </c>
    </row>
    <row r="27714">
      <c r="H27714" s="50"/>
      <c r="I27714" s="50"/>
      <c r="O27714" s="36" t="s">
        <v>48</v>
      </c>
      <c r="R27714" s="36" t="s">
        <v>48</v>
      </c>
    </row>
    <row r="27715">
      <c r="H27715" s="50"/>
      <c r="I27715" s="50"/>
      <c r="O27715" s="36" t="s">
        <v>48</v>
      </c>
      <c r="R27715" s="36" t="s">
        <v>48</v>
      </c>
    </row>
    <row r="27716">
      <c r="H27716" s="50"/>
      <c r="I27716" s="50"/>
      <c r="O27716" s="36" t="s">
        <v>48</v>
      </c>
      <c r="R27716" s="36" t="s">
        <v>48</v>
      </c>
    </row>
    <row r="27717">
      <c r="H27717" s="50"/>
      <c r="I27717" s="50"/>
      <c r="O27717" s="36" t="s">
        <v>48</v>
      </c>
      <c r="R27717" s="36" t="s">
        <v>48</v>
      </c>
    </row>
    <row r="27718">
      <c r="H27718" s="50"/>
      <c r="I27718" s="50"/>
      <c r="O27718" s="36" t="s">
        <v>48</v>
      </c>
      <c r="R27718" s="36" t="s">
        <v>48</v>
      </c>
    </row>
    <row r="27719">
      <c r="H27719" s="50"/>
      <c r="I27719" s="50"/>
      <c r="O27719" s="36" t="s">
        <v>48</v>
      </c>
      <c r="R27719" s="36" t="s">
        <v>48</v>
      </c>
    </row>
    <row r="27720">
      <c r="H27720" s="50"/>
      <c r="I27720" s="50"/>
      <c r="O27720" s="36" t="s">
        <v>48</v>
      </c>
      <c r="R27720" s="36" t="s">
        <v>48</v>
      </c>
    </row>
    <row r="27721">
      <c r="H27721" s="50"/>
      <c r="I27721" s="50"/>
      <c r="O27721" s="36" t="s">
        <v>48</v>
      </c>
      <c r="R27721" s="36" t="s">
        <v>48</v>
      </c>
    </row>
    <row r="27722">
      <c r="H27722" s="50"/>
      <c r="I27722" s="50"/>
      <c r="O27722" s="36" t="s">
        <v>48</v>
      </c>
      <c r="R27722" s="36" t="s">
        <v>48</v>
      </c>
    </row>
    <row r="27723">
      <c r="H27723" s="50"/>
      <c r="I27723" s="50"/>
      <c r="O27723" s="36" t="s">
        <v>48</v>
      </c>
      <c r="R27723" s="36" t="s">
        <v>48</v>
      </c>
    </row>
    <row r="27724">
      <c r="H27724" s="50"/>
      <c r="I27724" s="50"/>
      <c r="O27724" s="36" t="s">
        <v>48</v>
      </c>
      <c r="R27724" s="36" t="s">
        <v>48</v>
      </c>
    </row>
    <row r="27725">
      <c r="H27725" s="50"/>
      <c r="I27725" s="50"/>
      <c r="O27725" s="36" t="s">
        <v>48</v>
      </c>
      <c r="R27725" s="36" t="s">
        <v>48</v>
      </c>
    </row>
    <row r="27726">
      <c r="H27726" s="50"/>
      <c r="I27726" s="50"/>
      <c r="O27726" s="36" t="s">
        <v>48</v>
      </c>
      <c r="R27726" s="36" t="s">
        <v>48</v>
      </c>
    </row>
    <row r="27727">
      <c r="H27727" s="50"/>
      <c r="I27727" s="50"/>
      <c r="O27727" s="36" t="s">
        <v>48</v>
      </c>
      <c r="R27727" s="36" t="s">
        <v>48</v>
      </c>
    </row>
    <row r="27728">
      <c r="H27728" s="50"/>
      <c r="I27728" s="50"/>
      <c r="O27728" s="36" t="s">
        <v>48</v>
      </c>
      <c r="R27728" s="36" t="s">
        <v>48</v>
      </c>
    </row>
    <row r="27729">
      <c r="H27729" s="50"/>
      <c r="I27729" s="50"/>
      <c r="O27729" s="36" t="s">
        <v>48</v>
      </c>
      <c r="R27729" s="36" t="s">
        <v>48</v>
      </c>
    </row>
    <row r="27730">
      <c r="H27730" s="50"/>
      <c r="I27730" s="50"/>
      <c r="O27730" s="36" t="s">
        <v>48</v>
      </c>
      <c r="R27730" s="36" t="s">
        <v>48</v>
      </c>
    </row>
    <row r="27731">
      <c r="H27731" s="50"/>
      <c r="I27731" s="50"/>
      <c r="O27731" s="36" t="s">
        <v>48</v>
      </c>
      <c r="R27731" s="36" t="s">
        <v>48</v>
      </c>
    </row>
    <row r="27732">
      <c r="H27732" s="50"/>
      <c r="I27732" s="50"/>
      <c r="O27732" s="36" t="s">
        <v>48</v>
      </c>
      <c r="R27732" s="36" t="s">
        <v>48</v>
      </c>
    </row>
    <row r="27733">
      <c r="H27733" s="50"/>
      <c r="I27733" s="50"/>
      <c r="O27733" s="36" t="s">
        <v>48</v>
      </c>
      <c r="R27733" s="36" t="s">
        <v>48</v>
      </c>
    </row>
    <row r="27734">
      <c r="H27734" s="50"/>
      <c r="I27734" s="50"/>
      <c r="O27734" s="36" t="s">
        <v>48</v>
      </c>
      <c r="R27734" s="36" t="s">
        <v>48</v>
      </c>
    </row>
    <row r="27735">
      <c r="H27735" s="50"/>
      <c r="I27735" s="50"/>
      <c r="O27735" s="36" t="s">
        <v>48</v>
      </c>
      <c r="R27735" s="36" t="s">
        <v>48</v>
      </c>
    </row>
    <row r="27736">
      <c r="H27736" s="50"/>
      <c r="I27736" s="50"/>
      <c r="O27736" s="36" t="s">
        <v>48</v>
      </c>
      <c r="R27736" s="36" t="s">
        <v>48</v>
      </c>
    </row>
    <row r="27737">
      <c r="H27737" s="50"/>
      <c r="I27737" s="50"/>
      <c r="O27737" s="36" t="s">
        <v>48</v>
      </c>
      <c r="R27737" s="36" t="s">
        <v>48</v>
      </c>
    </row>
    <row r="27738">
      <c r="H27738" s="50"/>
      <c r="I27738" s="50"/>
      <c r="O27738" s="36" t="s">
        <v>48</v>
      </c>
      <c r="R27738" s="36" t="s">
        <v>48</v>
      </c>
    </row>
    <row r="27739">
      <c r="H27739" s="50"/>
      <c r="I27739" s="50"/>
      <c r="O27739" s="36" t="s">
        <v>48</v>
      </c>
      <c r="R27739" s="36" t="s">
        <v>48</v>
      </c>
    </row>
    <row r="27740">
      <c r="H27740" s="50"/>
      <c r="I27740" s="50"/>
      <c r="O27740" s="36" t="s">
        <v>48</v>
      </c>
      <c r="R27740" s="36" t="s">
        <v>48</v>
      </c>
    </row>
    <row r="27741">
      <c r="H27741" s="50"/>
      <c r="I27741" s="50"/>
      <c r="O27741" s="36" t="s">
        <v>48</v>
      </c>
      <c r="R27741" s="36" t="s">
        <v>48</v>
      </c>
    </row>
    <row r="27742">
      <c r="H27742" s="50"/>
      <c r="I27742" s="50"/>
      <c r="O27742" s="36" t="s">
        <v>48</v>
      </c>
      <c r="R27742" s="36" t="s">
        <v>48</v>
      </c>
    </row>
    <row r="27743">
      <c r="H27743" s="50"/>
      <c r="I27743" s="50"/>
      <c r="O27743" s="36" t="s">
        <v>48</v>
      </c>
      <c r="R27743" s="36" t="s">
        <v>48</v>
      </c>
    </row>
    <row r="27744">
      <c r="H27744" s="50"/>
      <c r="I27744" s="50"/>
      <c r="O27744" s="36" t="s">
        <v>48</v>
      </c>
      <c r="R27744" s="36" t="s">
        <v>48</v>
      </c>
    </row>
    <row r="27745">
      <c r="H27745" s="50"/>
      <c r="I27745" s="50"/>
      <c r="O27745" s="36" t="s">
        <v>48</v>
      </c>
      <c r="R27745" s="36" t="s">
        <v>48</v>
      </c>
    </row>
    <row r="27746">
      <c r="H27746" s="50"/>
      <c r="I27746" s="50"/>
      <c r="O27746" s="36" t="s">
        <v>48</v>
      </c>
      <c r="R27746" s="36" t="s">
        <v>48</v>
      </c>
    </row>
    <row r="27747">
      <c r="H27747" s="50"/>
      <c r="I27747" s="50"/>
      <c r="O27747" s="36" t="s">
        <v>48</v>
      </c>
      <c r="R27747" s="36" t="s">
        <v>48</v>
      </c>
    </row>
    <row r="27748">
      <c r="H27748" s="50"/>
      <c r="I27748" s="50"/>
      <c r="O27748" s="36" t="s">
        <v>48</v>
      </c>
      <c r="R27748" s="36" t="s">
        <v>48</v>
      </c>
    </row>
    <row r="27749">
      <c r="H27749" s="50"/>
      <c r="I27749" s="50"/>
      <c r="O27749" s="36" t="s">
        <v>48</v>
      </c>
      <c r="R27749" s="36" t="s">
        <v>48</v>
      </c>
    </row>
    <row r="27750">
      <c r="H27750" s="50"/>
      <c r="I27750" s="50"/>
      <c r="O27750" s="36" t="s">
        <v>48</v>
      </c>
      <c r="R27750" s="36" t="s">
        <v>48</v>
      </c>
    </row>
    <row r="27751">
      <c r="H27751" s="50"/>
      <c r="I27751" s="50"/>
      <c r="O27751" s="36" t="s">
        <v>48</v>
      </c>
      <c r="R27751" s="36" t="s">
        <v>48</v>
      </c>
    </row>
    <row r="27752">
      <c r="H27752" s="50"/>
      <c r="I27752" s="50"/>
      <c r="O27752" s="36" t="s">
        <v>48</v>
      </c>
      <c r="R27752" s="36" t="s">
        <v>48</v>
      </c>
    </row>
    <row r="27753">
      <c r="H27753" s="50"/>
      <c r="I27753" s="50"/>
      <c r="O27753" s="36" t="s">
        <v>48</v>
      </c>
      <c r="R27753" s="36" t="s">
        <v>48</v>
      </c>
    </row>
    <row r="27754">
      <c r="H27754" s="50"/>
      <c r="I27754" s="50"/>
      <c r="O27754" s="36" t="s">
        <v>48</v>
      </c>
      <c r="R27754" s="36" t="s">
        <v>48</v>
      </c>
    </row>
    <row r="27755">
      <c r="H27755" s="50"/>
      <c r="I27755" s="50"/>
      <c r="O27755" s="36" t="s">
        <v>48</v>
      </c>
      <c r="R27755" s="36" t="s">
        <v>48</v>
      </c>
    </row>
    <row r="27756">
      <c r="H27756" s="50"/>
      <c r="I27756" s="50"/>
      <c r="O27756" s="36" t="s">
        <v>48</v>
      </c>
      <c r="R27756" s="36" t="s">
        <v>48</v>
      </c>
    </row>
    <row r="27757">
      <c r="H27757" s="50"/>
      <c r="I27757" s="50"/>
      <c r="O27757" s="36" t="s">
        <v>48</v>
      </c>
      <c r="R27757" s="36" t="s">
        <v>48</v>
      </c>
    </row>
    <row r="27758">
      <c r="H27758" s="50"/>
      <c r="I27758" s="50"/>
      <c r="O27758" s="36" t="s">
        <v>48</v>
      </c>
      <c r="R27758" s="36" t="s">
        <v>48</v>
      </c>
    </row>
    <row r="27759">
      <c r="H27759" s="50"/>
      <c r="I27759" s="50"/>
      <c r="O27759" s="36" t="s">
        <v>48</v>
      </c>
      <c r="R27759" s="36" t="s">
        <v>48</v>
      </c>
    </row>
    <row r="27760">
      <c r="H27760" s="50"/>
      <c r="I27760" s="50"/>
      <c r="O27760" s="36" t="s">
        <v>48</v>
      </c>
      <c r="R27760" s="36" t="s">
        <v>48</v>
      </c>
    </row>
    <row r="27761">
      <c r="H27761" s="50"/>
      <c r="I27761" s="50"/>
      <c r="O27761" s="36" t="s">
        <v>48</v>
      </c>
      <c r="R27761" s="36" t="s">
        <v>48</v>
      </c>
    </row>
    <row r="27762">
      <c r="H27762" s="50"/>
      <c r="I27762" s="50"/>
      <c r="O27762" s="36" t="s">
        <v>48</v>
      </c>
      <c r="R27762" s="36" t="s">
        <v>48</v>
      </c>
    </row>
    <row r="27763">
      <c r="H27763" s="50"/>
      <c r="I27763" s="50"/>
      <c r="O27763" s="36" t="s">
        <v>48</v>
      </c>
      <c r="R27763" s="36" t="s">
        <v>48</v>
      </c>
    </row>
    <row r="27764">
      <c r="H27764" s="50"/>
      <c r="I27764" s="50"/>
      <c r="O27764" s="36" t="s">
        <v>48</v>
      </c>
      <c r="R27764" s="36" t="s">
        <v>48</v>
      </c>
    </row>
    <row r="27765">
      <c r="H27765" s="50"/>
      <c r="I27765" s="50"/>
      <c r="O27765" s="36" t="s">
        <v>48</v>
      </c>
      <c r="R27765" s="36" t="s">
        <v>48</v>
      </c>
    </row>
    <row r="27766">
      <c r="H27766" s="50"/>
      <c r="I27766" s="50"/>
      <c r="O27766" s="36" t="s">
        <v>48</v>
      </c>
      <c r="R27766" s="36" t="s">
        <v>48</v>
      </c>
    </row>
    <row r="27767">
      <c r="H27767" s="50"/>
      <c r="I27767" s="50"/>
      <c r="O27767" s="36" t="s">
        <v>48</v>
      </c>
      <c r="R27767" s="36" t="s">
        <v>48</v>
      </c>
    </row>
    <row r="27768">
      <c r="H27768" s="50"/>
      <c r="I27768" s="50"/>
      <c r="O27768" s="36" t="s">
        <v>48</v>
      </c>
      <c r="R27768" s="36" t="s">
        <v>48</v>
      </c>
    </row>
    <row r="27769">
      <c r="H27769" s="50"/>
      <c r="I27769" s="50"/>
      <c r="O27769" s="36" t="s">
        <v>48</v>
      </c>
      <c r="R27769" s="36" t="s">
        <v>48</v>
      </c>
    </row>
    <row r="27770">
      <c r="H27770" s="50"/>
      <c r="I27770" s="50"/>
      <c r="O27770" s="36" t="s">
        <v>48</v>
      </c>
      <c r="R27770" s="36" t="s">
        <v>48</v>
      </c>
    </row>
    <row r="27771">
      <c r="H27771" s="50"/>
      <c r="I27771" s="50"/>
      <c r="O27771" s="36" t="s">
        <v>48</v>
      </c>
      <c r="R27771" s="36" t="s">
        <v>48</v>
      </c>
    </row>
    <row r="27772">
      <c r="H27772" s="50"/>
      <c r="I27772" s="50"/>
      <c r="O27772" s="36" t="s">
        <v>48</v>
      </c>
      <c r="R27772" s="36" t="s">
        <v>48</v>
      </c>
    </row>
    <row r="27773">
      <c r="H27773" s="50"/>
      <c r="I27773" s="50"/>
      <c r="O27773" s="36" t="s">
        <v>48</v>
      </c>
      <c r="R27773" s="36" t="s">
        <v>48</v>
      </c>
    </row>
    <row r="27774">
      <c r="H27774" s="50"/>
      <c r="I27774" s="50"/>
      <c r="O27774" s="36" t="s">
        <v>48</v>
      </c>
      <c r="R27774" s="36" t="s">
        <v>48</v>
      </c>
    </row>
    <row r="27775">
      <c r="H27775" s="50"/>
      <c r="I27775" s="50"/>
      <c r="O27775" s="36" t="s">
        <v>48</v>
      </c>
      <c r="R27775" s="36" t="s">
        <v>48</v>
      </c>
    </row>
    <row r="27776">
      <c r="H27776" s="50"/>
      <c r="I27776" s="50"/>
      <c r="O27776" s="36" t="s">
        <v>48</v>
      </c>
      <c r="R27776" s="36" t="s">
        <v>48</v>
      </c>
    </row>
    <row r="27777">
      <c r="H27777" s="50"/>
      <c r="I27777" s="50"/>
      <c r="O27777" s="36" t="s">
        <v>48</v>
      </c>
      <c r="R27777" s="36" t="s">
        <v>48</v>
      </c>
    </row>
    <row r="27778">
      <c r="H27778" s="50"/>
      <c r="I27778" s="50"/>
      <c r="O27778" s="36" t="s">
        <v>48</v>
      </c>
      <c r="R27778" s="36" t="s">
        <v>48</v>
      </c>
    </row>
    <row r="27779">
      <c r="H27779" s="50"/>
      <c r="I27779" s="50"/>
      <c r="O27779" s="36" t="s">
        <v>48</v>
      </c>
      <c r="R27779" s="36" t="s">
        <v>48</v>
      </c>
    </row>
    <row r="27780">
      <c r="H27780" s="50"/>
      <c r="I27780" s="50"/>
      <c r="O27780" s="36" t="s">
        <v>48</v>
      </c>
      <c r="R27780" s="36" t="s">
        <v>48</v>
      </c>
    </row>
    <row r="27781">
      <c r="H27781" s="50"/>
      <c r="I27781" s="50"/>
      <c r="O27781" s="36" t="s">
        <v>48</v>
      </c>
      <c r="R27781" s="36" t="s">
        <v>48</v>
      </c>
    </row>
    <row r="27782">
      <c r="H27782" s="50"/>
      <c r="I27782" s="50"/>
      <c r="O27782" s="36" t="s">
        <v>48</v>
      </c>
      <c r="R27782" s="36" t="s">
        <v>48</v>
      </c>
    </row>
    <row r="27783">
      <c r="H27783" s="50"/>
      <c r="I27783" s="50"/>
      <c r="O27783" s="36" t="s">
        <v>48</v>
      </c>
      <c r="R27783" s="36" t="s">
        <v>48</v>
      </c>
    </row>
    <row r="27784">
      <c r="H27784" s="50"/>
      <c r="I27784" s="50"/>
      <c r="O27784" s="36" t="s">
        <v>48</v>
      </c>
      <c r="R27784" s="36" t="s">
        <v>48</v>
      </c>
    </row>
    <row r="27785">
      <c r="H27785" s="50"/>
      <c r="I27785" s="50"/>
      <c r="O27785" s="36" t="s">
        <v>48</v>
      </c>
      <c r="R27785" s="36" t="s">
        <v>48</v>
      </c>
    </row>
    <row r="27786">
      <c r="H27786" s="50"/>
      <c r="I27786" s="50"/>
      <c r="O27786" s="36" t="s">
        <v>48</v>
      </c>
      <c r="R27786" s="36" t="s">
        <v>48</v>
      </c>
    </row>
    <row r="27787">
      <c r="H27787" s="50"/>
      <c r="I27787" s="50"/>
      <c r="O27787" s="36" t="s">
        <v>48</v>
      </c>
      <c r="R27787" s="36" t="s">
        <v>48</v>
      </c>
    </row>
    <row r="27788">
      <c r="H27788" s="50"/>
      <c r="I27788" s="50"/>
      <c r="O27788" s="36" t="s">
        <v>48</v>
      </c>
      <c r="R27788" s="36" t="s">
        <v>48</v>
      </c>
    </row>
    <row r="27789">
      <c r="H27789" s="50"/>
      <c r="I27789" s="50"/>
      <c r="O27789" s="36" t="s">
        <v>48</v>
      </c>
      <c r="R27789" s="36" t="s">
        <v>48</v>
      </c>
    </row>
    <row r="27790">
      <c r="H27790" s="50"/>
      <c r="I27790" s="50"/>
      <c r="O27790" s="36" t="s">
        <v>48</v>
      </c>
      <c r="R27790" s="36" t="s">
        <v>48</v>
      </c>
    </row>
    <row r="27791">
      <c r="H27791" s="50"/>
      <c r="I27791" s="50"/>
      <c r="O27791" s="36" t="s">
        <v>48</v>
      </c>
      <c r="R27791" s="36" t="s">
        <v>48</v>
      </c>
    </row>
    <row r="27792">
      <c r="H27792" s="50"/>
      <c r="I27792" s="50"/>
      <c r="O27792" s="36" t="s">
        <v>48</v>
      </c>
      <c r="R27792" s="36" t="s">
        <v>48</v>
      </c>
    </row>
    <row r="27793">
      <c r="H27793" s="50"/>
      <c r="I27793" s="50"/>
      <c r="O27793" s="36" t="s">
        <v>48</v>
      </c>
      <c r="R27793" s="36" t="s">
        <v>48</v>
      </c>
    </row>
    <row r="27794">
      <c r="H27794" s="50"/>
      <c r="I27794" s="50"/>
      <c r="O27794" s="36" t="s">
        <v>48</v>
      </c>
      <c r="R27794" s="36" t="s">
        <v>48</v>
      </c>
    </row>
    <row r="27795">
      <c r="H27795" s="50"/>
      <c r="I27795" s="50"/>
      <c r="O27795" s="36" t="s">
        <v>48</v>
      </c>
      <c r="R27795" s="36" t="s">
        <v>48</v>
      </c>
    </row>
    <row r="27796">
      <c r="H27796" s="50"/>
      <c r="I27796" s="50"/>
      <c r="O27796" s="36" t="s">
        <v>48</v>
      </c>
      <c r="R27796" s="36" t="s">
        <v>48</v>
      </c>
    </row>
    <row r="27797">
      <c r="H27797" s="50"/>
      <c r="I27797" s="50"/>
      <c r="O27797" s="36" t="s">
        <v>48</v>
      </c>
      <c r="R27797" s="36" t="s">
        <v>48</v>
      </c>
    </row>
    <row r="27798">
      <c r="H27798" s="50"/>
      <c r="I27798" s="50"/>
      <c r="O27798" s="36" t="s">
        <v>48</v>
      </c>
      <c r="R27798" s="36" t="s">
        <v>48</v>
      </c>
    </row>
    <row r="27799">
      <c r="H27799" s="50"/>
      <c r="I27799" s="50"/>
      <c r="O27799" s="36" t="s">
        <v>48</v>
      </c>
      <c r="R27799" s="36" t="s">
        <v>48</v>
      </c>
    </row>
    <row r="27800">
      <c r="H27800" s="50"/>
      <c r="I27800" s="50"/>
      <c r="O27800" s="36" t="s">
        <v>48</v>
      </c>
      <c r="R27800" s="36" t="s">
        <v>48</v>
      </c>
    </row>
    <row r="27801">
      <c r="H27801" s="50"/>
      <c r="I27801" s="50"/>
      <c r="O27801" s="36" t="s">
        <v>48</v>
      </c>
      <c r="R27801" s="36" t="s">
        <v>48</v>
      </c>
    </row>
    <row r="27802">
      <c r="H27802" s="50"/>
      <c r="I27802" s="50"/>
      <c r="O27802" s="36" t="s">
        <v>48</v>
      </c>
      <c r="R27802" s="36" t="s">
        <v>48</v>
      </c>
    </row>
    <row r="27803">
      <c r="H27803" s="50"/>
      <c r="I27803" s="50"/>
      <c r="O27803" s="36" t="s">
        <v>48</v>
      </c>
      <c r="R27803" s="36" t="s">
        <v>48</v>
      </c>
    </row>
    <row r="27804">
      <c r="H27804" s="50"/>
      <c r="I27804" s="50"/>
      <c r="O27804" s="36" t="s">
        <v>48</v>
      </c>
      <c r="R27804" s="36" t="s">
        <v>48</v>
      </c>
    </row>
    <row r="27805">
      <c r="H27805" s="50"/>
      <c r="I27805" s="50"/>
      <c r="O27805" s="36" t="s">
        <v>48</v>
      </c>
      <c r="R27805" s="36" t="s">
        <v>48</v>
      </c>
    </row>
    <row r="27806">
      <c r="H27806" s="50"/>
      <c r="I27806" s="50"/>
      <c r="O27806" s="36" t="s">
        <v>48</v>
      </c>
      <c r="R27806" s="36" t="s">
        <v>48</v>
      </c>
    </row>
    <row r="27807">
      <c r="H27807" s="50"/>
      <c r="I27807" s="50"/>
      <c r="O27807" s="36" t="s">
        <v>48</v>
      </c>
      <c r="R27807" s="36" t="s">
        <v>48</v>
      </c>
    </row>
    <row r="27808">
      <c r="H27808" s="50"/>
      <c r="I27808" s="50"/>
      <c r="O27808" s="36" t="s">
        <v>48</v>
      </c>
      <c r="R27808" s="36" t="s">
        <v>48</v>
      </c>
    </row>
    <row r="27809">
      <c r="H27809" s="50"/>
      <c r="I27809" s="50"/>
      <c r="O27809" s="36" t="s">
        <v>48</v>
      </c>
      <c r="R27809" s="36" t="s">
        <v>48</v>
      </c>
    </row>
    <row r="27810">
      <c r="H27810" s="50"/>
      <c r="I27810" s="50"/>
      <c r="O27810" s="36" t="s">
        <v>48</v>
      </c>
      <c r="R27810" s="36" t="s">
        <v>48</v>
      </c>
    </row>
    <row r="27811">
      <c r="H27811" s="50"/>
      <c r="I27811" s="50"/>
      <c r="O27811" s="36" t="s">
        <v>48</v>
      </c>
      <c r="R27811" s="36" t="s">
        <v>48</v>
      </c>
    </row>
    <row r="27812">
      <c r="H27812" s="50"/>
      <c r="I27812" s="50"/>
      <c r="O27812" s="36" t="s">
        <v>48</v>
      </c>
      <c r="R27812" s="36" t="s">
        <v>48</v>
      </c>
    </row>
    <row r="27813">
      <c r="H27813" s="50"/>
      <c r="I27813" s="50"/>
      <c r="O27813" s="36" t="s">
        <v>48</v>
      </c>
      <c r="R27813" s="36" t="s">
        <v>48</v>
      </c>
    </row>
    <row r="27814">
      <c r="H27814" s="50"/>
      <c r="I27814" s="50"/>
      <c r="O27814" s="36" t="s">
        <v>48</v>
      </c>
      <c r="R27814" s="36" t="s">
        <v>48</v>
      </c>
    </row>
    <row r="27815">
      <c r="H27815" s="50"/>
      <c r="I27815" s="50"/>
      <c r="O27815" s="36" t="s">
        <v>48</v>
      </c>
      <c r="R27815" s="36" t="s">
        <v>48</v>
      </c>
    </row>
    <row r="27816">
      <c r="H27816" s="50"/>
      <c r="I27816" s="50"/>
      <c r="O27816" s="36" t="s">
        <v>48</v>
      </c>
      <c r="R27816" s="36" t="s">
        <v>48</v>
      </c>
    </row>
    <row r="27817">
      <c r="H27817" s="50"/>
      <c r="I27817" s="50"/>
      <c r="O27817" s="36" t="s">
        <v>48</v>
      </c>
      <c r="R27817" s="36" t="s">
        <v>48</v>
      </c>
    </row>
    <row r="27818">
      <c r="H27818" s="50"/>
      <c r="I27818" s="50"/>
      <c r="O27818" s="36" t="s">
        <v>48</v>
      </c>
      <c r="R27818" s="36" t="s">
        <v>48</v>
      </c>
    </row>
    <row r="27819">
      <c r="H27819" s="50"/>
      <c r="I27819" s="50"/>
      <c r="O27819" s="36" t="s">
        <v>48</v>
      </c>
      <c r="R27819" s="36" t="s">
        <v>48</v>
      </c>
    </row>
    <row r="27820">
      <c r="H27820" s="50"/>
      <c r="I27820" s="50"/>
      <c r="O27820" s="36" t="s">
        <v>48</v>
      </c>
      <c r="R27820" s="36" t="s">
        <v>48</v>
      </c>
    </row>
    <row r="27821">
      <c r="H27821" s="50"/>
      <c r="I27821" s="50"/>
      <c r="O27821" s="36" t="s">
        <v>48</v>
      </c>
      <c r="R27821" s="36" t="s">
        <v>48</v>
      </c>
    </row>
    <row r="27822">
      <c r="H27822" s="50"/>
      <c r="I27822" s="50"/>
      <c r="O27822" s="36" t="s">
        <v>48</v>
      </c>
      <c r="R27822" s="36" t="s">
        <v>48</v>
      </c>
    </row>
    <row r="27823">
      <c r="H27823" s="50"/>
      <c r="I27823" s="50"/>
      <c r="O27823" s="36" t="s">
        <v>48</v>
      </c>
      <c r="R27823" s="36" t="s">
        <v>48</v>
      </c>
    </row>
    <row r="27824">
      <c r="H27824" s="50"/>
      <c r="I27824" s="50"/>
      <c r="O27824" s="36" t="s">
        <v>48</v>
      </c>
      <c r="R27824" s="36" t="s">
        <v>48</v>
      </c>
    </row>
    <row r="27825">
      <c r="H27825" s="50"/>
      <c r="I27825" s="50"/>
      <c r="O27825" s="36" t="s">
        <v>48</v>
      </c>
      <c r="R27825" s="36" t="s">
        <v>48</v>
      </c>
    </row>
    <row r="27826">
      <c r="H27826" s="50"/>
      <c r="I27826" s="50"/>
      <c r="O27826" s="36" t="s">
        <v>48</v>
      </c>
      <c r="R27826" s="36" t="s">
        <v>48</v>
      </c>
    </row>
    <row r="27827">
      <c r="H27827" s="50"/>
      <c r="I27827" s="50"/>
      <c r="O27827" s="36" t="s">
        <v>48</v>
      </c>
      <c r="R27827" s="36" t="s">
        <v>48</v>
      </c>
    </row>
    <row r="27828">
      <c r="H27828" s="50"/>
      <c r="I27828" s="50"/>
      <c r="O27828" s="36" t="s">
        <v>48</v>
      </c>
      <c r="R27828" s="36" t="s">
        <v>48</v>
      </c>
    </row>
    <row r="27829">
      <c r="H27829" s="50"/>
      <c r="I27829" s="50"/>
      <c r="O27829" s="36" t="s">
        <v>48</v>
      </c>
      <c r="R27829" s="36" t="s">
        <v>48</v>
      </c>
    </row>
    <row r="27830">
      <c r="H27830" s="50"/>
      <c r="I27830" s="50"/>
      <c r="O27830" s="36" t="s">
        <v>48</v>
      </c>
      <c r="R27830" s="36" t="s">
        <v>48</v>
      </c>
    </row>
    <row r="27831">
      <c r="H27831" s="50"/>
      <c r="I27831" s="50"/>
      <c r="O27831" s="36" t="s">
        <v>48</v>
      </c>
      <c r="R27831" s="36" t="s">
        <v>48</v>
      </c>
    </row>
    <row r="27832">
      <c r="H27832" s="50"/>
      <c r="I27832" s="50"/>
      <c r="O27832" s="36" t="s">
        <v>48</v>
      </c>
      <c r="R27832" s="36" t="s">
        <v>48</v>
      </c>
    </row>
    <row r="27833">
      <c r="H27833" s="50"/>
      <c r="I27833" s="50"/>
      <c r="O27833" s="36" t="s">
        <v>48</v>
      </c>
      <c r="R27833" s="36" t="s">
        <v>48</v>
      </c>
    </row>
    <row r="27834">
      <c r="H27834" s="50"/>
      <c r="I27834" s="50"/>
      <c r="O27834" s="36" t="s">
        <v>48</v>
      </c>
      <c r="R27834" s="36" t="s">
        <v>48</v>
      </c>
    </row>
    <row r="27835">
      <c r="H27835" s="50"/>
      <c r="I27835" s="50"/>
      <c r="O27835" s="36" t="s">
        <v>48</v>
      </c>
      <c r="R27835" s="36" t="s">
        <v>48</v>
      </c>
    </row>
    <row r="27836">
      <c r="H27836" s="50"/>
      <c r="I27836" s="50"/>
      <c r="O27836" s="36" t="s">
        <v>48</v>
      </c>
      <c r="R27836" s="36" t="s">
        <v>48</v>
      </c>
    </row>
    <row r="27837">
      <c r="H27837" s="50"/>
      <c r="I27837" s="50"/>
      <c r="O27837" s="36" t="s">
        <v>48</v>
      </c>
      <c r="R27837" s="36" t="s">
        <v>48</v>
      </c>
    </row>
    <row r="27838">
      <c r="H27838" s="50"/>
      <c r="I27838" s="50"/>
      <c r="O27838" s="36" t="s">
        <v>48</v>
      </c>
      <c r="R27838" s="36" t="s">
        <v>48</v>
      </c>
    </row>
    <row r="27839">
      <c r="H27839" s="50"/>
      <c r="I27839" s="50"/>
      <c r="O27839" s="36" t="s">
        <v>48</v>
      </c>
      <c r="R27839" s="36" t="s">
        <v>48</v>
      </c>
    </row>
    <row r="27840">
      <c r="H27840" s="50"/>
      <c r="I27840" s="50"/>
      <c r="O27840" s="36" t="s">
        <v>48</v>
      </c>
      <c r="R27840" s="36" t="s">
        <v>48</v>
      </c>
    </row>
    <row r="27841">
      <c r="H27841" s="50"/>
      <c r="I27841" s="50"/>
      <c r="O27841" s="36" t="s">
        <v>48</v>
      </c>
      <c r="R27841" s="36" t="s">
        <v>48</v>
      </c>
    </row>
    <row r="27842">
      <c r="H27842" s="50"/>
      <c r="I27842" s="50"/>
      <c r="O27842" s="36" t="s">
        <v>48</v>
      </c>
      <c r="R27842" s="36" t="s">
        <v>48</v>
      </c>
    </row>
    <row r="27843">
      <c r="H27843" s="50"/>
      <c r="I27843" s="50"/>
      <c r="O27843" s="36" t="s">
        <v>48</v>
      </c>
      <c r="R27843" s="36" t="s">
        <v>48</v>
      </c>
    </row>
    <row r="27844">
      <c r="H27844" s="50"/>
      <c r="I27844" s="50"/>
      <c r="O27844" s="36" t="s">
        <v>48</v>
      </c>
      <c r="R27844" s="36" t="s">
        <v>48</v>
      </c>
    </row>
    <row r="27845">
      <c r="H27845" s="50"/>
      <c r="I27845" s="50"/>
      <c r="O27845" s="36" t="s">
        <v>48</v>
      </c>
      <c r="R27845" s="36" t="s">
        <v>48</v>
      </c>
    </row>
    <row r="27846">
      <c r="H27846" s="50"/>
      <c r="I27846" s="50"/>
      <c r="O27846" s="36" t="s">
        <v>48</v>
      </c>
      <c r="R27846" s="36" t="s">
        <v>48</v>
      </c>
    </row>
    <row r="27847">
      <c r="H27847" s="50"/>
      <c r="I27847" s="50"/>
      <c r="O27847" s="36" t="s">
        <v>48</v>
      </c>
      <c r="R27847" s="36" t="s">
        <v>48</v>
      </c>
    </row>
    <row r="27848">
      <c r="H27848" s="50"/>
      <c r="I27848" s="50"/>
      <c r="O27848" s="36" t="s">
        <v>48</v>
      </c>
      <c r="R27848" s="36" t="s">
        <v>48</v>
      </c>
    </row>
    <row r="27849">
      <c r="H27849" s="50"/>
      <c r="I27849" s="50"/>
      <c r="O27849" s="36" t="s">
        <v>48</v>
      </c>
      <c r="R27849" s="36" t="s">
        <v>48</v>
      </c>
    </row>
    <row r="27850">
      <c r="H27850" s="50"/>
      <c r="I27850" s="50"/>
      <c r="O27850" s="36" t="s">
        <v>48</v>
      </c>
      <c r="R27850" s="36" t="s">
        <v>48</v>
      </c>
    </row>
    <row r="27851">
      <c r="H27851" s="50"/>
      <c r="I27851" s="50"/>
      <c r="O27851" s="36" t="s">
        <v>48</v>
      </c>
      <c r="R27851" s="36" t="s">
        <v>48</v>
      </c>
    </row>
    <row r="27852">
      <c r="H27852" s="50"/>
      <c r="I27852" s="50"/>
      <c r="O27852" s="36" t="s">
        <v>48</v>
      </c>
      <c r="R27852" s="36" t="s">
        <v>48</v>
      </c>
    </row>
    <row r="27853">
      <c r="H27853" s="50"/>
      <c r="I27853" s="50"/>
      <c r="O27853" s="36" t="s">
        <v>48</v>
      </c>
      <c r="R27853" s="36" t="s">
        <v>48</v>
      </c>
    </row>
    <row r="27854">
      <c r="H27854" s="50"/>
      <c r="I27854" s="50"/>
      <c r="O27854" s="36" t="s">
        <v>48</v>
      </c>
      <c r="R27854" s="36" t="s">
        <v>48</v>
      </c>
    </row>
    <row r="27855">
      <c r="H27855" s="50"/>
      <c r="I27855" s="50"/>
      <c r="O27855" s="36" t="s">
        <v>48</v>
      </c>
      <c r="R27855" s="36" t="s">
        <v>48</v>
      </c>
    </row>
    <row r="27856">
      <c r="H27856" s="50"/>
      <c r="I27856" s="50"/>
      <c r="O27856" s="36" t="s">
        <v>48</v>
      </c>
      <c r="R27856" s="36" t="s">
        <v>48</v>
      </c>
    </row>
    <row r="27857">
      <c r="H27857" s="50"/>
      <c r="I27857" s="50"/>
      <c r="O27857" s="36" t="s">
        <v>48</v>
      </c>
      <c r="R27857" s="36" t="s">
        <v>48</v>
      </c>
    </row>
    <row r="27858">
      <c r="H27858" s="50"/>
      <c r="I27858" s="50"/>
      <c r="O27858" s="36" t="s">
        <v>48</v>
      </c>
      <c r="R27858" s="36" t="s">
        <v>48</v>
      </c>
    </row>
    <row r="27859">
      <c r="H27859" s="50"/>
      <c r="I27859" s="50"/>
      <c r="O27859" s="36" t="s">
        <v>48</v>
      </c>
      <c r="R27859" s="36" t="s">
        <v>48</v>
      </c>
    </row>
    <row r="27860">
      <c r="H27860" s="50"/>
      <c r="I27860" s="50"/>
      <c r="O27860" s="36" t="s">
        <v>48</v>
      </c>
      <c r="R27860" s="36" t="s">
        <v>48</v>
      </c>
    </row>
    <row r="27861">
      <c r="H27861" s="50"/>
      <c r="I27861" s="50"/>
      <c r="O27861" s="36" t="s">
        <v>48</v>
      </c>
      <c r="R27861" s="36" t="s">
        <v>48</v>
      </c>
    </row>
    <row r="27862">
      <c r="H27862" s="50"/>
      <c r="I27862" s="50"/>
      <c r="O27862" s="36" t="s">
        <v>48</v>
      </c>
      <c r="R27862" s="36" t="s">
        <v>48</v>
      </c>
    </row>
    <row r="27863">
      <c r="H27863" s="50"/>
      <c r="I27863" s="50"/>
      <c r="O27863" s="36" t="s">
        <v>48</v>
      </c>
      <c r="R27863" s="36" t="s">
        <v>48</v>
      </c>
    </row>
    <row r="27864">
      <c r="H27864" s="50"/>
      <c r="I27864" s="50"/>
      <c r="O27864" s="36" t="s">
        <v>48</v>
      </c>
      <c r="R27864" s="36" t="s">
        <v>48</v>
      </c>
    </row>
    <row r="27865">
      <c r="H27865" s="50"/>
      <c r="I27865" s="50"/>
      <c r="O27865" s="36" t="s">
        <v>48</v>
      </c>
      <c r="R27865" s="36" t="s">
        <v>48</v>
      </c>
    </row>
    <row r="27866">
      <c r="H27866" s="50"/>
      <c r="I27866" s="50"/>
      <c r="O27866" s="36" t="s">
        <v>48</v>
      </c>
      <c r="R27866" s="36" t="s">
        <v>48</v>
      </c>
    </row>
    <row r="27867">
      <c r="H27867" s="50"/>
      <c r="I27867" s="50"/>
      <c r="O27867" s="36" t="s">
        <v>48</v>
      </c>
      <c r="R27867" s="36" t="s">
        <v>48</v>
      </c>
    </row>
    <row r="27868">
      <c r="H27868" s="50"/>
      <c r="I27868" s="50"/>
      <c r="O27868" s="36" t="s">
        <v>48</v>
      </c>
      <c r="R27868" s="36" t="s">
        <v>48</v>
      </c>
    </row>
    <row r="27869">
      <c r="H27869" s="50"/>
      <c r="I27869" s="50"/>
      <c r="O27869" s="36" t="s">
        <v>48</v>
      </c>
      <c r="R27869" s="36" t="s">
        <v>48</v>
      </c>
    </row>
    <row r="27870">
      <c r="H27870" s="50"/>
      <c r="I27870" s="50"/>
      <c r="O27870" s="36" t="s">
        <v>48</v>
      </c>
      <c r="R27870" s="36" t="s">
        <v>48</v>
      </c>
    </row>
    <row r="27871">
      <c r="H27871" s="50"/>
      <c r="I27871" s="50"/>
      <c r="O27871" s="36" t="s">
        <v>48</v>
      </c>
      <c r="R27871" s="36" t="s">
        <v>48</v>
      </c>
    </row>
    <row r="27872">
      <c r="H27872" s="50"/>
      <c r="I27872" s="50"/>
      <c r="O27872" s="36" t="s">
        <v>48</v>
      </c>
      <c r="R27872" s="36" t="s">
        <v>48</v>
      </c>
    </row>
    <row r="27873">
      <c r="H27873" s="50"/>
      <c r="I27873" s="50"/>
      <c r="O27873" s="36" t="s">
        <v>48</v>
      </c>
      <c r="R27873" s="36" t="s">
        <v>48</v>
      </c>
    </row>
    <row r="27874">
      <c r="H27874" s="50"/>
      <c r="I27874" s="50"/>
      <c r="O27874" s="36" t="s">
        <v>48</v>
      </c>
      <c r="R27874" s="36" t="s">
        <v>48</v>
      </c>
    </row>
    <row r="27875">
      <c r="H27875" s="50"/>
      <c r="I27875" s="50"/>
      <c r="O27875" s="36" t="s">
        <v>48</v>
      </c>
      <c r="R27875" s="36" t="s">
        <v>48</v>
      </c>
    </row>
    <row r="27876">
      <c r="H27876" s="50"/>
      <c r="I27876" s="50"/>
      <c r="O27876" s="36" t="s">
        <v>48</v>
      </c>
      <c r="R27876" s="36" t="s">
        <v>48</v>
      </c>
    </row>
    <row r="27877">
      <c r="H27877" s="50"/>
      <c r="I27877" s="50"/>
      <c r="O27877" s="36" t="s">
        <v>48</v>
      </c>
      <c r="R27877" s="36" t="s">
        <v>48</v>
      </c>
    </row>
    <row r="27878">
      <c r="H27878" s="50"/>
      <c r="I27878" s="50"/>
      <c r="O27878" s="36" t="s">
        <v>48</v>
      </c>
      <c r="R27878" s="36" t="s">
        <v>48</v>
      </c>
    </row>
    <row r="27879">
      <c r="H27879" s="50"/>
      <c r="I27879" s="50"/>
      <c r="O27879" s="36" t="s">
        <v>48</v>
      </c>
      <c r="R27879" s="36" t="s">
        <v>48</v>
      </c>
    </row>
    <row r="27880">
      <c r="H27880" s="50"/>
      <c r="I27880" s="50"/>
      <c r="O27880" s="36" t="s">
        <v>48</v>
      </c>
      <c r="R27880" s="36" t="s">
        <v>48</v>
      </c>
    </row>
    <row r="27881">
      <c r="H27881" s="50"/>
      <c r="I27881" s="50"/>
      <c r="O27881" s="36" t="s">
        <v>48</v>
      </c>
      <c r="R27881" s="36" t="s">
        <v>48</v>
      </c>
    </row>
    <row r="27882">
      <c r="H27882" s="50"/>
      <c r="I27882" s="50"/>
      <c r="O27882" s="36" t="s">
        <v>48</v>
      </c>
      <c r="R27882" s="36" t="s">
        <v>48</v>
      </c>
    </row>
    <row r="27883">
      <c r="H27883" s="50"/>
      <c r="I27883" s="50"/>
      <c r="O27883" s="36" t="s">
        <v>48</v>
      </c>
      <c r="R27883" s="36" t="s">
        <v>48</v>
      </c>
    </row>
    <row r="27884">
      <c r="H27884" s="50"/>
      <c r="I27884" s="50"/>
      <c r="O27884" s="36" t="s">
        <v>48</v>
      </c>
      <c r="R27884" s="36" t="s">
        <v>48</v>
      </c>
    </row>
    <row r="27885">
      <c r="H27885" s="50"/>
      <c r="I27885" s="50"/>
      <c r="O27885" s="36" t="s">
        <v>48</v>
      </c>
      <c r="R27885" s="36" t="s">
        <v>48</v>
      </c>
    </row>
    <row r="27886">
      <c r="H27886" s="50"/>
      <c r="I27886" s="50"/>
      <c r="O27886" s="36" t="s">
        <v>48</v>
      </c>
      <c r="R27886" s="36" t="s">
        <v>48</v>
      </c>
    </row>
    <row r="27887">
      <c r="H27887" s="50"/>
      <c r="I27887" s="50"/>
      <c r="O27887" s="36" t="s">
        <v>48</v>
      </c>
      <c r="R27887" s="36" t="s">
        <v>48</v>
      </c>
    </row>
    <row r="27888">
      <c r="H27888" s="50"/>
      <c r="I27888" s="50"/>
      <c r="O27888" s="36" t="s">
        <v>48</v>
      </c>
      <c r="R27888" s="36" t="s">
        <v>48</v>
      </c>
    </row>
    <row r="27889">
      <c r="H27889" s="50"/>
      <c r="I27889" s="50"/>
      <c r="O27889" s="36" t="s">
        <v>48</v>
      </c>
      <c r="R27889" s="36" t="s">
        <v>48</v>
      </c>
    </row>
    <row r="27890">
      <c r="H27890" s="50"/>
      <c r="I27890" s="50"/>
      <c r="O27890" s="36" t="s">
        <v>48</v>
      </c>
      <c r="R27890" s="36" t="s">
        <v>48</v>
      </c>
    </row>
    <row r="27891">
      <c r="H27891" s="50"/>
      <c r="I27891" s="50"/>
      <c r="O27891" s="36" t="s">
        <v>48</v>
      </c>
      <c r="R27891" s="36" t="s">
        <v>48</v>
      </c>
    </row>
    <row r="27892">
      <c r="H27892" s="50"/>
      <c r="I27892" s="50"/>
      <c r="O27892" s="36" t="s">
        <v>48</v>
      </c>
      <c r="R27892" s="36" t="s">
        <v>48</v>
      </c>
    </row>
    <row r="27893">
      <c r="H27893" s="50"/>
      <c r="I27893" s="50"/>
      <c r="O27893" s="36" t="s">
        <v>48</v>
      </c>
      <c r="R27893" s="36" t="s">
        <v>48</v>
      </c>
    </row>
    <row r="27894">
      <c r="H27894" s="50"/>
      <c r="I27894" s="50"/>
      <c r="O27894" s="36" t="s">
        <v>48</v>
      </c>
      <c r="R27894" s="36" t="s">
        <v>48</v>
      </c>
    </row>
    <row r="27895">
      <c r="H27895" s="50"/>
      <c r="I27895" s="50"/>
      <c r="O27895" s="36" t="s">
        <v>48</v>
      </c>
      <c r="R27895" s="36" t="s">
        <v>48</v>
      </c>
    </row>
    <row r="27896">
      <c r="H27896" s="50"/>
      <c r="I27896" s="50"/>
      <c r="O27896" s="36" t="s">
        <v>48</v>
      </c>
      <c r="R27896" s="36" t="s">
        <v>48</v>
      </c>
    </row>
    <row r="27897">
      <c r="H27897" s="50"/>
      <c r="I27897" s="50"/>
      <c r="O27897" s="36" t="s">
        <v>48</v>
      </c>
      <c r="R27897" s="36" t="s">
        <v>48</v>
      </c>
    </row>
    <row r="27898">
      <c r="H27898" s="50"/>
      <c r="I27898" s="50"/>
      <c r="O27898" s="36" t="s">
        <v>48</v>
      </c>
      <c r="R27898" s="36" t="s">
        <v>48</v>
      </c>
    </row>
    <row r="27899">
      <c r="H27899" s="50"/>
      <c r="I27899" s="50"/>
      <c r="O27899" s="36" t="s">
        <v>48</v>
      </c>
      <c r="R27899" s="36" t="s">
        <v>48</v>
      </c>
    </row>
    <row r="27900">
      <c r="H27900" s="50"/>
      <c r="I27900" s="50"/>
      <c r="O27900" s="36" t="s">
        <v>48</v>
      </c>
      <c r="R27900" s="36" t="s">
        <v>48</v>
      </c>
    </row>
    <row r="27901">
      <c r="H27901" s="50"/>
      <c r="I27901" s="50"/>
      <c r="O27901" s="36" t="s">
        <v>48</v>
      </c>
      <c r="R27901" s="36" t="s">
        <v>48</v>
      </c>
    </row>
    <row r="27902">
      <c r="H27902" s="50"/>
      <c r="I27902" s="50"/>
      <c r="O27902" s="36" t="s">
        <v>48</v>
      </c>
      <c r="R27902" s="36" t="s">
        <v>48</v>
      </c>
    </row>
    <row r="27903">
      <c r="H27903" s="50"/>
      <c r="I27903" s="50"/>
      <c r="O27903" s="36" t="s">
        <v>48</v>
      </c>
      <c r="R27903" s="36" t="s">
        <v>48</v>
      </c>
    </row>
    <row r="27904">
      <c r="H27904" s="50"/>
      <c r="I27904" s="50"/>
      <c r="O27904" s="36" t="s">
        <v>48</v>
      </c>
      <c r="R27904" s="36" t="s">
        <v>48</v>
      </c>
    </row>
    <row r="27905">
      <c r="H27905" s="50"/>
      <c r="I27905" s="50"/>
      <c r="O27905" s="36" t="s">
        <v>48</v>
      </c>
      <c r="R27905" s="36" t="s">
        <v>48</v>
      </c>
    </row>
    <row r="27906">
      <c r="H27906" s="50"/>
      <c r="I27906" s="50"/>
      <c r="O27906" s="36" t="s">
        <v>48</v>
      </c>
      <c r="R27906" s="36" t="s">
        <v>48</v>
      </c>
    </row>
    <row r="27907">
      <c r="H27907" s="50"/>
      <c r="I27907" s="50"/>
      <c r="O27907" s="36" t="s">
        <v>48</v>
      </c>
      <c r="R27907" s="36" t="s">
        <v>48</v>
      </c>
    </row>
    <row r="27908">
      <c r="H27908" s="50"/>
      <c r="I27908" s="50"/>
      <c r="O27908" s="36" t="s">
        <v>48</v>
      </c>
      <c r="R27908" s="36" t="s">
        <v>48</v>
      </c>
    </row>
    <row r="27909">
      <c r="H27909" s="50"/>
      <c r="I27909" s="50"/>
      <c r="O27909" s="36" t="s">
        <v>48</v>
      </c>
      <c r="R27909" s="36" t="s">
        <v>48</v>
      </c>
    </row>
    <row r="27910">
      <c r="H27910" s="50"/>
      <c r="I27910" s="50"/>
      <c r="O27910" s="36" t="s">
        <v>48</v>
      </c>
      <c r="R27910" s="36" t="s">
        <v>48</v>
      </c>
    </row>
    <row r="27911">
      <c r="H27911" s="50"/>
      <c r="I27911" s="50"/>
      <c r="O27911" s="36" t="s">
        <v>48</v>
      </c>
      <c r="R27911" s="36" t="s">
        <v>48</v>
      </c>
    </row>
    <row r="27912">
      <c r="H27912" s="50"/>
      <c r="I27912" s="50"/>
      <c r="O27912" s="36" t="s">
        <v>48</v>
      </c>
      <c r="R27912" s="36" t="s">
        <v>48</v>
      </c>
    </row>
    <row r="27913">
      <c r="H27913" s="50"/>
      <c r="I27913" s="50"/>
      <c r="O27913" s="36" t="s">
        <v>48</v>
      </c>
      <c r="R27913" s="36" t="s">
        <v>48</v>
      </c>
    </row>
    <row r="27914">
      <c r="H27914" s="50"/>
      <c r="I27914" s="50"/>
      <c r="O27914" s="36" t="s">
        <v>48</v>
      </c>
      <c r="R27914" s="36" t="s">
        <v>48</v>
      </c>
    </row>
    <row r="27915">
      <c r="H27915" s="50"/>
      <c r="I27915" s="50"/>
      <c r="O27915" s="36" t="s">
        <v>48</v>
      </c>
      <c r="R27915" s="36" t="s">
        <v>48</v>
      </c>
    </row>
    <row r="27916">
      <c r="H27916" s="50"/>
      <c r="I27916" s="50"/>
      <c r="O27916" s="36" t="s">
        <v>48</v>
      </c>
      <c r="R27916" s="36" t="s">
        <v>48</v>
      </c>
    </row>
    <row r="27917">
      <c r="H27917" s="50"/>
      <c r="I27917" s="50"/>
      <c r="O27917" s="36" t="s">
        <v>48</v>
      </c>
      <c r="R27917" s="36" t="s">
        <v>48</v>
      </c>
    </row>
    <row r="27918">
      <c r="H27918" s="50"/>
      <c r="I27918" s="50"/>
      <c r="O27918" s="36" t="s">
        <v>48</v>
      </c>
      <c r="R27918" s="36" t="s">
        <v>48</v>
      </c>
    </row>
    <row r="27919">
      <c r="H27919" s="50"/>
      <c r="I27919" s="50"/>
      <c r="O27919" s="36" t="s">
        <v>48</v>
      </c>
      <c r="R27919" s="36" t="s">
        <v>48</v>
      </c>
    </row>
    <row r="27920">
      <c r="H27920" s="50"/>
      <c r="I27920" s="50"/>
      <c r="O27920" s="36" t="s">
        <v>48</v>
      </c>
      <c r="R27920" s="36" t="s">
        <v>48</v>
      </c>
    </row>
    <row r="27921">
      <c r="H27921" s="50"/>
      <c r="I27921" s="50"/>
      <c r="O27921" s="36" t="s">
        <v>48</v>
      </c>
      <c r="R27921" s="36" t="s">
        <v>48</v>
      </c>
    </row>
    <row r="27922">
      <c r="H27922" s="50"/>
      <c r="I27922" s="50"/>
      <c r="O27922" s="36" t="s">
        <v>48</v>
      </c>
      <c r="R27922" s="36" t="s">
        <v>48</v>
      </c>
    </row>
    <row r="27923">
      <c r="H27923" s="50"/>
      <c r="I27923" s="50"/>
      <c r="O27923" s="36" t="s">
        <v>48</v>
      </c>
      <c r="R27923" s="36" t="s">
        <v>48</v>
      </c>
    </row>
    <row r="27924">
      <c r="H27924" s="50"/>
      <c r="I27924" s="50"/>
      <c r="O27924" s="36" t="s">
        <v>48</v>
      </c>
      <c r="R27924" s="36" t="s">
        <v>48</v>
      </c>
    </row>
    <row r="27925">
      <c r="H27925" s="50"/>
      <c r="I27925" s="50"/>
      <c r="O27925" s="36" t="s">
        <v>48</v>
      </c>
      <c r="R27925" s="36" t="s">
        <v>48</v>
      </c>
    </row>
    <row r="27926">
      <c r="H27926" s="50"/>
      <c r="I27926" s="50"/>
      <c r="O27926" s="36" t="s">
        <v>48</v>
      </c>
      <c r="R27926" s="36" t="s">
        <v>48</v>
      </c>
    </row>
    <row r="27927">
      <c r="H27927" s="50"/>
      <c r="I27927" s="50"/>
      <c r="O27927" s="36" t="s">
        <v>48</v>
      </c>
      <c r="R27927" s="36" t="s">
        <v>48</v>
      </c>
    </row>
    <row r="27928">
      <c r="H27928" s="50"/>
      <c r="I27928" s="50"/>
      <c r="O27928" s="36" t="s">
        <v>48</v>
      </c>
      <c r="R27928" s="36" t="s">
        <v>48</v>
      </c>
    </row>
    <row r="27929">
      <c r="H27929" s="50"/>
      <c r="I27929" s="50"/>
      <c r="O27929" s="36" t="s">
        <v>48</v>
      </c>
      <c r="R27929" s="36" t="s">
        <v>48</v>
      </c>
    </row>
    <row r="27930">
      <c r="H27930" s="50"/>
      <c r="I27930" s="50"/>
      <c r="O27930" s="36" t="s">
        <v>48</v>
      </c>
      <c r="R27930" s="36" t="s">
        <v>48</v>
      </c>
    </row>
    <row r="27931">
      <c r="H27931" s="50"/>
      <c r="I27931" s="50"/>
      <c r="O27931" s="36" t="s">
        <v>48</v>
      </c>
      <c r="R27931" s="36" t="s">
        <v>48</v>
      </c>
    </row>
    <row r="27932">
      <c r="H27932" s="50"/>
      <c r="I27932" s="50"/>
      <c r="O27932" s="36" t="s">
        <v>48</v>
      </c>
      <c r="R27932" s="36" t="s">
        <v>48</v>
      </c>
    </row>
    <row r="27933">
      <c r="H27933" s="50"/>
      <c r="I27933" s="50"/>
      <c r="O27933" s="36" t="s">
        <v>48</v>
      </c>
      <c r="R27933" s="36" t="s">
        <v>48</v>
      </c>
    </row>
    <row r="27934">
      <c r="H27934" s="50"/>
      <c r="I27934" s="50"/>
      <c r="O27934" s="36" t="s">
        <v>48</v>
      </c>
      <c r="R27934" s="36" t="s">
        <v>48</v>
      </c>
    </row>
    <row r="27935">
      <c r="H27935" s="50"/>
      <c r="I27935" s="50"/>
      <c r="O27935" s="36" t="s">
        <v>48</v>
      </c>
      <c r="R27935" s="36" t="s">
        <v>48</v>
      </c>
    </row>
    <row r="27936">
      <c r="H27936" s="50"/>
      <c r="I27936" s="50"/>
      <c r="O27936" s="36" t="s">
        <v>48</v>
      </c>
      <c r="R27936" s="36" t="s">
        <v>48</v>
      </c>
    </row>
    <row r="27937">
      <c r="H27937" s="50"/>
      <c r="I27937" s="50"/>
      <c r="O27937" s="36" t="s">
        <v>48</v>
      </c>
      <c r="R27937" s="36" t="s">
        <v>48</v>
      </c>
    </row>
    <row r="27938">
      <c r="H27938" s="50"/>
      <c r="I27938" s="50"/>
      <c r="O27938" s="36" t="s">
        <v>48</v>
      </c>
      <c r="R27938" s="36" t="s">
        <v>48</v>
      </c>
    </row>
    <row r="27939">
      <c r="H27939" s="50"/>
      <c r="I27939" s="50"/>
      <c r="O27939" s="36" t="s">
        <v>48</v>
      </c>
      <c r="R27939" s="36" t="s">
        <v>48</v>
      </c>
    </row>
    <row r="27940">
      <c r="H27940" s="50"/>
      <c r="I27940" s="50"/>
      <c r="O27940" s="36" t="s">
        <v>48</v>
      </c>
      <c r="R27940" s="36" t="s">
        <v>48</v>
      </c>
    </row>
    <row r="27941">
      <c r="H27941" s="50"/>
      <c r="I27941" s="50"/>
      <c r="O27941" s="36" t="s">
        <v>48</v>
      </c>
      <c r="R27941" s="36" t="s">
        <v>48</v>
      </c>
    </row>
    <row r="27942">
      <c r="H27942" s="50"/>
      <c r="I27942" s="50"/>
      <c r="O27942" s="36" t="s">
        <v>48</v>
      </c>
      <c r="R27942" s="36" t="s">
        <v>48</v>
      </c>
    </row>
    <row r="27943">
      <c r="H27943" s="50"/>
      <c r="I27943" s="50"/>
      <c r="O27943" s="36" t="s">
        <v>48</v>
      </c>
      <c r="R27943" s="36" t="s">
        <v>48</v>
      </c>
    </row>
    <row r="27944">
      <c r="H27944" s="50"/>
      <c r="I27944" s="50"/>
      <c r="O27944" s="36" t="s">
        <v>48</v>
      </c>
      <c r="R27944" s="36" t="s">
        <v>48</v>
      </c>
    </row>
    <row r="27945">
      <c r="H27945" s="50"/>
      <c r="I27945" s="50"/>
      <c r="O27945" s="36" t="s">
        <v>48</v>
      </c>
      <c r="R27945" s="36" t="s">
        <v>48</v>
      </c>
    </row>
    <row r="27946">
      <c r="H27946" s="50"/>
      <c r="I27946" s="50"/>
      <c r="O27946" s="36" t="s">
        <v>48</v>
      </c>
      <c r="R27946" s="36" t="s">
        <v>48</v>
      </c>
    </row>
    <row r="27947">
      <c r="H27947" s="50"/>
      <c r="I27947" s="50"/>
      <c r="O27947" s="36" t="s">
        <v>48</v>
      </c>
      <c r="R27947" s="36" t="s">
        <v>48</v>
      </c>
    </row>
    <row r="27948">
      <c r="H27948" s="50"/>
      <c r="I27948" s="50"/>
      <c r="O27948" s="36" t="s">
        <v>48</v>
      </c>
      <c r="R27948" s="36" t="s">
        <v>48</v>
      </c>
    </row>
    <row r="27949">
      <c r="H27949" s="50"/>
      <c r="I27949" s="50"/>
      <c r="O27949" s="36" t="s">
        <v>48</v>
      </c>
      <c r="R27949" s="36" t="s">
        <v>48</v>
      </c>
    </row>
    <row r="27950">
      <c r="H27950" s="50"/>
      <c r="I27950" s="50"/>
      <c r="O27950" s="36" t="s">
        <v>48</v>
      </c>
      <c r="R27950" s="36" t="s">
        <v>48</v>
      </c>
    </row>
    <row r="27951">
      <c r="H27951" s="50"/>
      <c r="I27951" s="50"/>
      <c r="O27951" s="36" t="s">
        <v>48</v>
      </c>
      <c r="R27951" s="36" t="s">
        <v>48</v>
      </c>
    </row>
    <row r="27952">
      <c r="H27952" s="50"/>
      <c r="I27952" s="50"/>
      <c r="O27952" s="36" t="s">
        <v>48</v>
      </c>
      <c r="R27952" s="36" t="s">
        <v>48</v>
      </c>
    </row>
    <row r="27953">
      <c r="H27953" s="50"/>
      <c r="I27953" s="50"/>
      <c r="O27953" s="36" t="s">
        <v>48</v>
      </c>
      <c r="R27953" s="36" t="s">
        <v>48</v>
      </c>
    </row>
    <row r="27954">
      <c r="H27954" s="50"/>
      <c r="I27954" s="50"/>
      <c r="O27954" s="36" t="s">
        <v>48</v>
      </c>
      <c r="R27954" s="36" t="s">
        <v>48</v>
      </c>
    </row>
    <row r="27955">
      <c r="H27955" s="50"/>
      <c r="I27955" s="50"/>
      <c r="O27955" s="36" t="s">
        <v>48</v>
      </c>
      <c r="R27955" s="36" t="s">
        <v>48</v>
      </c>
    </row>
    <row r="27956">
      <c r="H27956" s="50"/>
      <c r="I27956" s="50"/>
      <c r="O27956" s="36" t="s">
        <v>48</v>
      </c>
      <c r="R27956" s="36" t="s">
        <v>48</v>
      </c>
    </row>
    <row r="27957">
      <c r="H27957" s="50"/>
      <c r="I27957" s="50"/>
      <c r="O27957" s="36" t="s">
        <v>48</v>
      </c>
      <c r="R27957" s="36" t="s">
        <v>48</v>
      </c>
    </row>
    <row r="27958">
      <c r="H27958" s="50"/>
      <c r="I27958" s="50"/>
      <c r="O27958" s="36" t="s">
        <v>48</v>
      </c>
      <c r="R27958" s="36" t="s">
        <v>48</v>
      </c>
    </row>
    <row r="27959">
      <c r="H27959" s="50"/>
      <c r="I27959" s="50"/>
      <c r="O27959" s="36" t="s">
        <v>48</v>
      </c>
      <c r="R27959" s="36" t="s">
        <v>48</v>
      </c>
    </row>
    <row r="27960">
      <c r="H27960" s="50"/>
      <c r="I27960" s="50"/>
      <c r="O27960" s="36" t="s">
        <v>48</v>
      </c>
      <c r="R27960" s="36" t="s">
        <v>48</v>
      </c>
    </row>
    <row r="27961">
      <c r="H27961" s="50"/>
      <c r="I27961" s="50"/>
      <c r="O27961" s="36" t="s">
        <v>48</v>
      </c>
      <c r="R27961" s="36" t="s">
        <v>48</v>
      </c>
    </row>
    <row r="27962">
      <c r="H27962" s="50"/>
      <c r="I27962" s="50"/>
      <c r="O27962" s="36" t="s">
        <v>48</v>
      </c>
      <c r="R27962" s="36" t="s">
        <v>48</v>
      </c>
    </row>
    <row r="27963">
      <c r="H27963" s="50"/>
      <c r="I27963" s="50"/>
      <c r="O27963" s="36" t="s">
        <v>48</v>
      </c>
      <c r="R27963" s="36" t="s">
        <v>48</v>
      </c>
    </row>
    <row r="27964">
      <c r="H27964" s="50"/>
      <c r="I27964" s="50"/>
      <c r="O27964" s="36" t="s">
        <v>48</v>
      </c>
      <c r="R27964" s="36" t="s">
        <v>48</v>
      </c>
    </row>
    <row r="27965">
      <c r="H27965" s="50"/>
      <c r="I27965" s="50"/>
      <c r="O27965" s="36" t="s">
        <v>48</v>
      </c>
      <c r="R27965" s="36" t="s">
        <v>48</v>
      </c>
    </row>
    <row r="27966">
      <c r="H27966" s="50"/>
      <c r="I27966" s="50"/>
      <c r="O27966" s="36" t="s">
        <v>48</v>
      </c>
      <c r="R27966" s="36" t="s">
        <v>48</v>
      </c>
    </row>
    <row r="27967">
      <c r="H27967" s="50"/>
      <c r="I27967" s="50"/>
      <c r="O27967" s="36" t="s">
        <v>48</v>
      </c>
      <c r="R27967" s="36" t="s">
        <v>48</v>
      </c>
    </row>
    <row r="27968">
      <c r="H27968" s="50"/>
      <c r="I27968" s="50"/>
      <c r="O27968" s="36" t="s">
        <v>48</v>
      </c>
      <c r="R27968" s="36" t="s">
        <v>48</v>
      </c>
    </row>
    <row r="27969">
      <c r="H27969" s="50"/>
      <c r="I27969" s="50"/>
      <c r="O27969" s="36" t="s">
        <v>48</v>
      </c>
      <c r="R27969" s="36" t="s">
        <v>48</v>
      </c>
    </row>
    <row r="27970">
      <c r="H27970" s="50"/>
      <c r="I27970" s="50"/>
      <c r="O27970" s="36" t="s">
        <v>48</v>
      </c>
      <c r="R27970" s="36" t="s">
        <v>48</v>
      </c>
    </row>
    <row r="27971">
      <c r="H27971" s="50"/>
      <c r="I27971" s="50"/>
      <c r="O27971" s="36" t="s">
        <v>48</v>
      </c>
      <c r="R27971" s="36" t="s">
        <v>48</v>
      </c>
    </row>
    <row r="27972">
      <c r="H27972" s="50"/>
      <c r="I27972" s="50"/>
      <c r="O27972" s="36" t="s">
        <v>48</v>
      </c>
      <c r="R27972" s="36" t="s">
        <v>48</v>
      </c>
    </row>
    <row r="27973">
      <c r="H27973" s="50"/>
      <c r="I27973" s="50"/>
      <c r="O27973" s="36" t="s">
        <v>48</v>
      </c>
      <c r="R27973" s="36" t="s">
        <v>48</v>
      </c>
    </row>
    <row r="27974">
      <c r="H27974" s="50"/>
      <c r="I27974" s="50"/>
      <c r="O27974" s="36" t="s">
        <v>48</v>
      </c>
      <c r="R27974" s="36" t="s">
        <v>48</v>
      </c>
    </row>
    <row r="27975">
      <c r="H27975" s="50"/>
      <c r="I27975" s="50"/>
      <c r="O27975" s="36" t="s">
        <v>48</v>
      </c>
      <c r="R27975" s="36" t="s">
        <v>48</v>
      </c>
    </row>
    <row r="27976">
      <c r="H27976" s="50"/>
      <c r="I27976" s="50"/>
      <c r="O27976" s="36" t="s">
        <v>48</v>
      </c>
      <c r="R27976" s="36" t="s">
        <v>48</v>
      </c>
    </row>
    <row r="27977">
      <c r="H27977" s="50"/>
      <c r="I27977" s="50"/>
      <c r="O27977" s="36" t="s">
        <v>48</v>
      </c>
      <c r="R27977" s="36" t="s">
        <v>48</v>
      </c>
    </row>
    <row r="27978">
      <c r="H27978" s="50"/>
      <c r="I27978" s="50"/>
      <c r="O27978" s="36" t="s">
        <v>48</v>
      </c>
      <c r="R27978" s="36" t="s">
        <v>48</v>
      </c>
    </row>
    <row r="27979">
      <c r="H27979" s="50"/>
      <c r="I27979" s="50"/>
      <c r="O27979" s="36" t="s">
        <v>48</v>
      </c>
      <c r="R27979" s="36" t="s">
        <v>48</v>
      </c>
    </row>
    <row r="27980">
      <c r="H27980" s="50"/>
      <c r="I27980" s="50"/>
      <c r="O27980" s="36" t="s">
        <v>48</v>
      </c>
      <c r="R27980" s="36" t="s">
        <v>48</v>
      </c>
    </row>
    <row r="27981">
      <c r="H27981" s="50"/>
      <c r="I27981" s="50"/>
      <c r="O27981" s="36" t="s">
        <v>48</v>
      </c>
      <c r="R27981" s="36" t="s">
        <v>48</v>
      </c>
    </row>
    <row r="27982">
      <c r="H27982" s="50"/>
      <c r="I27982" s="50"/>
      <c r="O27982" s="36" t="s">
        <v>48</v>
      </c>
      <c r="R27982" s="36" t="s">
        <v>48</v>
      </c>
    </row>
    <row r="27983">
      <c r="H27983" s="50"/>
      <c r="I27983" s="50"/>
      <c r="O27983" s="36" t="s">
        <v>48</v>
      </c>
      <c r="R27983" s="36" t="s">
        <v>48</v>
      </c>
    </row>
    <row r="27984">
      <c r="H27984" s="50"/>
      <c r="I27984" s="50"/>
      <c r="O27984" s="36" t="s">
        <v>48</v>
      </c>
      <c r="R27984" s="36" t="s">
        <v>48</v>
      </c>
    </row>
    <row r="27985">
      <c r="H27985" s="50"/>
      <c r="I27985" s="50"/>
      <c r="O27985" s="36" t="s">
        <v>48</v>
      </c>
      <c r="R27985" s="36" t="s">
        <v>48</v>
      </c>
    </row>
    <row r="27986">
      <c r="H27986" s="50"/>
      <c r="I27986" s="50"/>
      <c r="O27986" s="36" t="s">
        <v>48</v>
      </c>
      <c r="R27986" s="36" t="s">
        <v>48</v>
      </c>
    </row>
    <row r="27987">
      <c r="H27987" s="50"/>
      <c r="I27987" s="50"/>
      <c r="O27987" s="36" t="s">
        <v>48</v>
      </c>
      <c r="R27987" s="36" t="s">
        <v>48</v>
      </c>
    </row>
    <row r="27988">
      <c r="H27988" s="50"/>
      <c r="I27988" s="50"/>
      <c r="O27988" s="36" t="s">
        <v>48</v>
      </c>
      <c r="R27988" s="36" t="s">
        <v>48</v>
      </c>
    </row>
    <row r="27989">
      <c r="H27989" s="50"/>
      <c r="I27989" s="50"/>
      <c r="O27989" s="36" t="s">
        <v>48</v>
      </c>
      <c r="R27989" s="36" t="s">
        <v>48</v>
      </c>
    </row>
    <row r="27990">
      <c r="H27990" s="50"/>
      <c r="I27990" s="50"/>
      <c r="O27990" s="36" t="s">
        <v>48</v>
      </c>
      <c r="R27990" s="36" t="s">
        <v>48</v>
      </c>
    </row>
    <row r="27991">
      <c r="H27991" s="50"/>
      <c r="I27991" s="50"/>
      <c r="O27991" s="36" t="s">
        <v>48</v>
      </c>
      <c r="R27991" s="36" t="s">
        <v>48</v>
      </c>
    </row>
    <row r="27992">
      <c r="H27992" s="50"/>
      <c r="I27992" s="50"/>
      <c r="O27992" s="36" t="s">
        <v>48</v>
      </c>
      <c r="R27992" s="36" t="s">
        <v>48</v>
      </c>
    </row>
    <row r="27993">
      <c r="H27993" s="50"/>
      <c r="I27993" s="50"/>
      <c r="O27993" s="36" t="s">
        <v>48</v>
      </c>
      <c r="R27993" s="36" t="s">
        <v>48</v>
      </c>
    </row>
    <row r="27994">
      <c r="H27994" s="50"/>
      <c r="I27994" s="50"/>
      <c r="O27994" s="36" t="s">
        <v>48</v>
      </c>
      <c r="R27994" s="36" t="s">
        <v>48</v>
      </c>
    </row>
    <row r="27995">
      <c r="H27995" s="50"/>
      <c r="I27995" s="50"/>
      <c r="O27995" s="36" t="s">
        <v>48</v>
      </c>
      <c r="R27995" s="36" t="s">
        <v>48</v>
      </c>
    </row>
    <row r="27996">
      <c r="H27996" s="50"/>
      <c r="I27996" s="50"/>
      <c r="O27996" s="36" t="s">
        <v>48</v>
      </c>
      <c r="R27996" s="36" t="s">
        <v>48</v>
      </c>
    </row>
    <row r="27997">
      <c r="H27997" s="50"/>
      <c r="I27997" s="50"/>
      <c r="O27997" s="36" t="s">
        <v>48</v>
      </c>
      <c r="R27997" s="36" t="s">
        <v>48</v>
      </c>
    </row>
    <row r="27998">
      <c r="H27998" s="50"/>
      <c r="I27998" s="50"/>
      <c r="O27998" s="36" t="s">
        <v>48</v>
      </c>
      <c r="R27998" s="36" t="s">
        <v>48</v>
      </c>
    </row>
    <row r="27999">
      <c r="H27999" s="50"/>
      <c r="I27999" s="50"/>
      <c r="O27999" s="36" t="s">
        <v>48</v>
      </c>
      <c r="R27999" s="36" t="s">
        <v>48</v>
      </c>
    </row>
    <row r="28000">
      <c r="H28000" s="50"/>
      <c r="I28000" s="50"/>
      <c r="O28000" s="36" t="s">
        <v>48</v>
      </c>
      <c r="R28000" s="36" t="s">
        <v>48</v>
      </c>
    </row>
    <row r="28001">
      <c r="H28001" s="50"/>
      <c r="I28001" s="50"/>
      <c r="O28001" s="36" t="s">
        <v>48</v>
      </c>
      <c r="R28001" s="36" t="s">
        <v>48</v>
      </c>
    </row>
    <row r="28002">
      <c r="H28002" s="50"/>
      <c r="I28002" s="50"/>
      <c r="O28002" s="36" t="s">
        <v>48</v>
      </c>
      <c r="R28002" s="36" t="s">
        <v>48</v>
      </c>
    </row>
    <row r="28003">
      <c r="H28003" s="50"/>
      <c r="I28003" s="50"/>
      <c r="O28003" s="36" t="s">
        <v>48</v>
      </c>
      <c r="R28003" s="36" t="s">
        <v>48</v>
      </c>
    </row>
    <row r="28004">
      <c r="H28004" s="50"/>
      <c r="I28004" s="50"/>
      <c r="O28004" s="36" t="s">
        <v>48</v>
      </c>
      <c r="R28004" s="36" t="s">
        <v>48</v>
      </c>
    </row>
    <row r="28005">
      <c r="H28005" s="50"/>
      <c r="I28005" s="50"/>
      <c r="O28005" s="36" t="s">
        <v>48</v>
      </c>
      <c r="R28005" s="36" t="s">
        <v>48</v>
      </c>
    </row>
    <row r="28006">
      <c r="H28006" s="50"/>
      <c r="I28006" s="50"/>
      <c r="O28006" s="36" t="s">
        <v>48</v>
      </c>
      <c r="R28006" s="36" t="s">
        <v>48</v>
      </c>
    </row>
    <row r="28007">
      <c r="H28007" s="50"/>
      <c r="I28007" s="50"/>
      <c r="O28007" s="36" t="s">
        <v>48</v>
      </c>
      <c r="R28007" s="36" t="s">
        <v>48</v>
      </c>
    </row>
    <row r="28008">
      <c r="H28008" s="50"/>
      <c r="I28008" s="50"/>
      <c r="O28008" s="36" t="s">
        <v>48</v>
      </c>
      <c r="R28008" s="36" t="s">
        <v>48</v>
      </c>
    </row>
    <row r="28009">
      <c r="H28009" s="50"/>
      <c r="I28009" s="50"/>
      <c r="O28009" s="36" t="s">
        <v>48</v>
      </c>
      <c r="R28009" s="36" t="s">
        <v>48</v>
      </c>
    </row>
    <row r="28010">
      <c r="H28010" s="50"/>
      <c r="I28010" s="50"/>
      <c r="O28010" s="36" t="s">
        <v>48</v>
      </c>
      <c r="R28010" s="36" t="s">
        <v>48</v>
      </c>
    </row>
    <row r="28011">
      <c r="H28011" s="50"/>
      <c r="I28011" s="50"/>
      <c r="O28011" s="36" t="s">
        <v>48</v>
      </c>
      <c r="R28011" s="36" t="s">
        <v>48</v>
      </c>
    </row>
    <row r="28012">
      <c r="H28012" s="50"/>
      <c r="I28012" s="50"/>
      <c r="O28012" s="36" t="s">
        <v>48</v>
      </c>
      <c r="R28012" s="36" t="s">
        <v>48</v>
      </c>
    </row>
    <row r="28013">
      <c r="H28013" s="50"/>
      <c r="I28013" s="50"/>
      <c r="O28013" s="36" t="s">
        <v>48</v>
      </c>
      <c r="R28013" s="36" t="s">
        <v>48</v>
      </c>
    </row>
    <row r="28014">
      <c r="H28014" s="50"/>
      <c r="I28014" s="50"/>
      <c r="O28014" s="36" t="s">
        <v>48</v>
      </c>
      <c r="R28014" s="36" t="s">
        <v>48</v>
      </c>
    </row>
    <row r="28015">
      <c r="H28015" s="50"/>
      <c r="I28015" s="50"/>
      <c r="O28015" s="36" t="s">
        <v>48</v>
      </c>
      <c r="R28015" s="36" t="s">
        <v>48</v>
      </c>
    </row>
    <row r="28016">
      <c r="H28016" s="50"/>
      <c r="I28016" s="50"/>
      <c r="O28016" s="36" t="s">
        <v>48</v>
      </c>
      <c r="R28016" s="36" t="s">
        <v>48</v>
      </c>
    </row>
    <row r="28017">
      <c r="H28017" s="50"/>
      <c r="I28017" s="50"/>
      <c r="O28017" s="36" t="s">
        <v>48</v>
      </c>
      <c r="R28017" s="36" t="s">
        <v>48</v>
      </c>
    </row>
    <row r="28018">
      <c r="H28018" s="50"/>
      <c r="I28018" s="50"/>
      <c r="O28018" s="36" t="s">
        <v>48</v>
      </c>
      <c r="R28018" s="36" t="s">
        <v>48</v>
      </c>
    </row>
    <row r="28019">
      <c r="H28019" s="50"/>
      <c r="I28019" s="50"/>
      <c r="O28019" s="36" t="s">
        <v>48</v>
      </c>
      <c r="R28019" s="36" t="s">
        <v>48</v>
      </c>
    </row>
    <row r="28020">
      <c r="H28020" s="50"/>
      <c r="I28020" s="50"/>
      <c r="O28020" s="36" t="s">
        <v>48</v>
      </c>
      <c r="R28020" s="36" t="s">
        <v>48</v>
      </c>
    </row>
    <row r="28021">
      <c r="H28021" s="50"/>
      <c r="I28021" s="50"/>
      <c r="O28021" s="36" t="s">
        <v>48</v>
      </c>
      <c r="R28021" s="36" t="s">
        <v>48</v>
      </c>
    </row>
    <row r="28022">
      <c r="H28022" s="50"/>
      <c r="I28022" s="50"/>
      <c r="O28022" s="36" t="s">
        <v>48</v>
      </c>
      <c r="R28022" s="36" t="s">
        <v>48</v>
      </c>
    </row>
    <row r="28023">
      <c r="H28023" s="50"/>
      <c r="I28023" s="50"/>
      <c r="O28023" s="36" t="s">
        <v>48</v>
      </c>
      <c r="R28023" s="36" t="s">
        <v>48</v>
      </c>
    </row>
    <row r="28024">
      <c r="H28024" s="50"/>
      <c r="I28024" s="50"/>
      <c r="O28024" s="36" t="s">
        <v>48</v>
      </c>
      <c r="R28024" s="36" t="s">
        <v>48</v>
      </c>
    </row>
    <row r="28025">
      <c r="H28025" s="50"/>
      <c r="I28025" s="50"/>
      <c r="O28025" s="36" t="s">
        <v>48</v>
      </c>
      <c r="R28025" s="36" t="s">
        <v>48</v>
      </c>
    </row>
    <row r="28026">
      <c r="H28026" s="50"/>
      <c r="I28026" s="50"/>
      <c r="O28026" s="36" t="s">
        <v>48</v>
      </c>
      <c r="R28026" s="36" t="s">
        <v>48</v>
      </c>
    </row>
    <row r="28027">
      <c r="H28027" s="50"/>
      <c r="I28027" s="50"/>
      <c r="O28027" s="36" t="s">
        <v>48</v>
      </c>
      <c r="R28027" s="36" t="s">
        <v>48</v>
      </c>
    </row>
    <row r="28028">
      <c r="H28028" s="50"/>
      <c r="I28028" s="50"/>
      <c r="O28028" s="36" t="s">
        <v>48</v>
      </c>
      <c r="R28028" s="36" t="s">
        <v>48</v>
      </c>
    </row>
    <row r="28029">
      <c r="H28029" s="50"/>
      <c r="I28029" s="50"/>
      <c r="O28029" s="36" t="s">
        <v>48</v>
      </c>
      <c r="R28029" s="36" t="s">
        <v>48</v>
      </c>
    </row>
    <row r="28030">
      <c r="H28030" s="50"/>
      <c r="I28030" s="50"/>
      <c r="O28030" s="36" t="s">
        <v>48</v>
      </c>
      <c r="R28030" s="36" t="s">
        <v>48</v>
      </c>
    </row>
    <row r="28031">
      <c r="H28031" s="50"/>
      <c r="I28031" s="50"/>
      <c r="O28031" s="36" t="s">
        <v>48</v>
      </c>
      <c r="R28031" s="36" t="s">
        <v>48</v>
      </c>
    </row>
    <row r="28032">
      <c r="H28032" s="50"/>
      <c r="I28032" s="50"/>
      <c r="O28032" s="36" t="s">
        <v>48</v>
      </c>
      <c r="R28032" s="36" t="s">
        <v>48</v>
      </c>
    </row>
    <row r="28033">
      <c r="H28033" s="50"/>
      <c r="I28033" s="50"/>
      <c r="O28033" s="36" t="s">
        <v>48</v>
      </c>
      <c r="R28033" s="36" t="s">
        <v>48</v>
      </c>
    </row>
    <row r="28034">
      <c r="H28034" s="50"/>
      <c r="I28034" s="50"/>
      <c r="O28034" s="36" t="s">
        <v>48</v>
      </c>
      <c r="R28034" s="36" t="s">
        <v>48</v>
      </c>
    </row>
    <row r="28035">
      <c r="H28035" s="50"/>
      <c r="I28035" s="50"/>
      <c r="O28035" s="36" t="s">
        <v>48</v>
      </c>
      <c r="R28035" s="36" t="s">
        <v>48</v>
      </c>
    </row>
    <row r="28036">
      <c r="H28036" s="50"/>
      <c r="I28036" s="50"/>
      <c r="O28036" s="36" t="s">
        <v>48</v>
      </c>
      <c r="R28036" s="36" t="s">
        <v>48</v>
      </c>
    </row>
    <row r="28037">
      <c r="H28037" s="50"/>
      <c r="I28037" s="50"/>
      <c r="O28037" s="36" t="s">
        <v>48</v>
      </c>
      <c r="R28037" s="36" t="s">
        <v>48</v>
      </c>
    </row>
    <row r="28038">
      <c r="H28038" s="50"/>
      <c r="I28038" s="50"/>
      <c r="O28038" s="36" t="s">
        <v>48</v>
      </c>
      <c r="R28038" s="36" t="s">
        <v>48</v>
      </c>
    </row>
    <row r="28039">
      <c r="H28039" s="50"/>
      <c r="I28039" s="50"/>
      <c r="O28039" s="36" t="s">
        <v>48</v>
      </c>
      <c r="R28039" s="36" t="s">
        <v>48</v>
      </c>
    </row>
    <row r="28040">
      <c r="H28040" s="50"/>
      <c r="I28040" s="50"/>
      <c r="O28040" s="36" t="s">
        <v>48</v>
      </c>
      <c r="R28040" s="36" t="s">
        <v>48</v>
      </c>
    </row>
    <row r="28041">
      <c r="H28041" s="50"/>
      <c r="I28041" s="50"/>
      <c r="O28041" s="36" t="s">
        <v>48</v>
      </c>
      <c r="R28041" s="36" t="s">
        <v>48</v>
      </c>
    </row>
    <row r="28042">
      <c r="H28042" s="50"/>
      <c r="I28042" s="50"/>
      <c r="O28042" s="36" t="s">
        <v>48</v>
      </c>
      <c r="R28042" s="36" t="s">
        <v>48</v>
      </c>
    </row>
    <row r="28043">
      <c r="H28043" s="50"/>
      <c r="I28043" s="50"/>
      <c r="O28043" s="36" t="s">
        <v>48</v>
      </c>
      <c r="R28043" s="36" t="s">
        <v>48</v>
      </c>
    </row>
    <row r="28044">
      <c r="H28044" s="50"/>
      <c r="I28044" s="50"/>
      <c r="O28044" s="36" t="s">
        <v>48</v>
      </c>
      <c r="R28044" s="36" t="s">
        <v>48</v>
      </c>
    </row>
    <row r="28045">
      <c r="H28045" s="50"/>
      <c r="I28045" s="50"/>
      <c r="O28045" s="36" t="s">
        <v>48</v>
      </c>
      <c r="R28045" s="36" t="s">
        <v>48</v>
      </c>
    </row>
    <row r="28046">
      <c r="H28046" s="50"/>
      <c r="I28046" s="50"/>
      <c r="O28046" s="36" t="s">
        <v>48</v>
      </c>
      <c r="R28046" s="36" t="s">
        <v>48</v>
      </c>
    </row>
    <row r="28047">
      <c r="H28047" s="50"/>
      <c r="I28047" s="50"/>
      <c r="O28047" s="36" t="s">
        <v>48</v>
      </c>
      <c r="R28047" s="36" t="s">
        <v>48</v>
      </c>
    </row>
    <row r="28048">
      <c r="H28048" s="50"/>
      <c r="I28048" s="50"/>
      <c r="O28048" s="36" t="s">
        <v>48</v>
      </c>
      <c r="R28048" s="36" t="s">
        <v>48</v>
      </c>
    </row>
    <row r="28049">
      <c r="H28049" s="50"/>
      <c r="I28049" s="50"/>
      <c r="O28049" s="36" t="s">
        <v>48</v>
      </c>
      <c r="R28049" s="36" t="s">
        <v>48</v>
      </c>
    </row>
    <row r="28050">
      <c r="H28050" s="50"/>
      <c r="I28050" s="50"/>
      <c r="O28050" s="36" t="s">
        <v>48</v>
      </c>
      <c r="R28050" s="36" t="s">
        <v>48</v>
      </c>
    </row>
    <row r="28051">
      <c r="H28051" s="50"/>
      <c r="I28051" s="50"/>
      <c r="O28051" s="36" t="s">
        <v>48</v>
      </c>
      <c r="R28051" s="36" t="s">
        <v>48</v>
      </c>
    </row>
    <row r="28052">
      <c r="H28052" s="50"/>
      <c r="I28052" s="50"/>
      <c r="O28052" s="36" t="s">
        <v>48</v>
      </c>
      <c r="R28052" s="36" t="s">
        <v>48</v>
      </c>
    </row>
    <row r="28053">
      <c r="H28053" s="50"/>
      <c r="I28053" s="50"/>
      <c r="O28053" s="36" t="s">
        <v>48</v>
      </c>
      <c r="R28053" s="36" t="s">
        <v>48</v>
      </c>
    </row>
    <row r="28054">
      <c r="H28054" s="50"/>
      <c r="I28054" s="50"/>
      <c r="O28054" s="36" t="s">
        <v>48</v>
      </c>
      <c r="R28054" s="36" t="s">
        <v>48</v>
      </c>
    </row>
    <row r="28055">
      <c r="H28055" s="50"/>
      <c r="I28055" s="50"/>
      <c r="O28055" s="36" t="s">
        <v>48</v>
      </c>
      <c r="R28055" s="36" t="s">
        <v>48</v>
      </c>
    </row>
    <row r="28056">
      <c r="H28056" s="50"/>
      <c r="I28056" s="50"/>
      <c r="O28056" s="36" t="s">
        <v>48</v>
      </c>
      <c r="R28056" s="36" t="s">
        <v>48</v>
      </c>
    </row>
    <row r="28057">
      <c r="H28057" s="50"/>
      <c r="I28057" s="50"/>
      <c r="O28057" s="36" t="s">
        <v>48</v>
      </c>
      <c r="R28057" s="36" t="s">
        <v>48</v>
      </c>
    </row>
    <row r="28058">
      <c r="H28058" s="50"/>
      <c r="I28058" s="50"/>
      <c r="O28058" s="36" t="s">
        <v>48</v>
      </c>
      <c r="R28058" s="36" t="s">
        <v>48</v>
      </c>
    </row>
    <row r="28059">
      <c r="H28059" s="50"/>
      <c r="I28059" s="50"/>
      <c r="O28059" s="36" t="s">
        <v>48</v>
      </c>
      <c r="R28059" s="36" t="s">
        <v>48</v>
      </c>
    </row>
    <row r="28060">
      <c r="H28060" s="50"/>
      <c r="I28060" s="50"/>
      <c r="O28060" s="36" t="s">
        <v>48</v>
      </c>
      <c r="R28060" s="36" t="s">
        <v>48</v>
      </c>
    </row>
    <row r="28061">
      <c r="H28061" s="50"/>
      <c r="I28061" s="50"/>
      <c r="O28061" s="36" t="s">
        <v>48</v>
      </c>
      <c r="R28061" s="36" t="s">
        <v>48</v>
      </c>
    </row>
    <row r="28062">
      <c r="H28062" s="50"/>
      <c r="I28062" s="50"/>
      <c r="O28062" s="36" t="s">
        <v>48</v>
      </c>
      <c r="R28062" s="36" t="s">
        <v>48</v>
      </c>
    </row>
    <row r="28063">
      <c r="H28063" s="50"/>
      <c r="I28063" s="50"/>
      <c r="O28063" s="36" t="s">
        <v>48</v>
      </c>
      <c r="R28063" s="36" t="s">
        <v>48</v>
      </c>
    </row>
    <row r="28064">
      <c r="H28064" s="50"/>
      <c r="I28064" s="50"/>
      <c r="O28064" s="36" t="s">
        <v>48</v>
      </c>
      <c r="R28064" s="36" t="s">
        <v>48</v>
      </c>
    </row>
    <row r="28065">
      <c r="H28065" s="50"/>
      <c r="I28065" s="50"/>
      <c r="O28065" s="36" t="s">
        <v>48</v>
      </c>
      <c r="R28065" s="36" t="s">
        <v>48</v>
      </c>
    </row>
    <row r="28066">
      <c r="H28066" s="50"/>
      <c r="I28066" s="50"/>
      <c r="O28066" s="36" t="s">
        <v>48</v>
      </c>
      <c r="R28066" s="36" t="s">
        <v>48</v>
      </c>
    </row>
    <row r="28067">
      <c r="H28067" s="50"/>
      <c r="I28067" s="50"/>
      <c r="O28067" s="36" t="s">
        <v>48</v>
      </c>
      <c r="R28067" s="36" t="s">
        <v>48</v>
      </c>
    </row>
    <row r="28068">
      <c r="H28068" s="50"/>
      <c r="I28068" s="50"/>
      <c r="O28068" s="36" t="s">
        <v>48</v>
      </c>
      <c r="R28068" s="36" t="s">
        <v>48</v>
      </c>
    </row>
    <row r="28069">
      <c r="H28069" s="50"/>
      <c r="I28069" s="50"/>
      <c r="O28069" s="36" t="s">
        <v>48</v>
      </c>
      <c r="R28069" s="36" t="s">
        <v>48</v>
      </c>
    </row>
    <row r="28070">
      <c r="H28070" s="50"/>
      <c r="I28070" s="50"/>
      <c r="O28070" s="36" t="s">
        <v>48</v>
      </c>
      <c r="R28070" s="36" t="s">
        <v>48</v>
      </c>
    </row>
    <row r="28071">
      <c r="H28071" s="50"/>
      <c r="I28071" s="50"/>
      <c r="O28071" s="36" t="s">
        <v>48</v>
      </c>
      <c r="R28071" s="36" t="s">
        <v>48</v>
      </c>
    </row>
    <row r="28072">
      <c r="H28072" s="50"/>
      <c r="I28072" s="50"/>
      <c r="O28072" s="36" t="s">
        <v>48</v>
      </c>
      <c r="R28072" s="36" t="s">
        <v>48</v>
      </c>
    </row>
    <row r="28073">
      <c r="H28073" s="50"/>
      <c r="I28073" s="50"/>
      <c r="O28073" s="36" t="s">
        <v>48</v>
      </c>
      <c r="R28073" s="36" t="s">
        <v>48</v>
      </c>
    </row>
    <row r="28074">
      <c r="H28074" s="50"/>
      <c r="I28074" s="50"/>
      <c r="O28074" s="36" t="s">
        <v>48</v>
      </c>
      <c r="R28074" s="36" t="s">
        <v>48</v>
      </c>
    </row>
    <row r="28075">
      <c r="H28075" s="50"/>
      <c r="I28075" s="50"/>
      <c r="O28075" s="36" t="s">
        <v>48</v>
      </c>
      <c r="R28075" s="36" t="s">
        <v>48</v>
      </c>
    </row>
    <row r="28076">
      <c r="H28076" s="50"/>
      <c r="I28076" s="50"/>
      <c r="O28076" s="36" t="s">
        <v>48</v>
      </c>
      <c r="R28076" s="36" t="s">
        <v>48</v>
      </c>
    </row>
    <row r="28077">
      <c r="H28077" s="50"/>
      <c r="I28077" s="50"/>
      <c r="O28077" s="36" t="s">
        <v>48</v>
      </c>
      <c r="R28077" s="36" t="s">
        <v>48</v>
      </c>
    </row>
    <row r="28078">
      <c r="H28078" s="50"/>
      <c r="I28078" s="50"/>
      <c r="O28078" s="36" t="s">
        <v>48</v>
      </c>
      <c r="R28078" s="36" t="s">
        <v>48</v>
      </c>
    </row>
    <row r="28079">
      <c r="H28079" s="50"/>
      <c r="I28079" s="50"/>
      <c r="O28079" s="36" t="s">
        <v>48</v>
      </c>
      <c r="R28079" s="36" t="s">
        <v>48</v>
      </c>
    </row>
    <row r="28080">
      <c r="H28080" s="50"/>
      <c r="I28080" s="50"/>
      <c r="O28080" s="36" t="s">
        <v>48</v>
      </c>
      <c r="R28080" s="36" t="s">
        <v>48</v>
      </c>
    </row>
    <row r="28081">
      <c r="H28081" s="50"/>
      <c r="I28081" s="50"/>
      <c r="O28081" s="36" t="s">
        <v>48</v>
      </c>
      <c r="R28081" s="36" t="s">
        <v>48</v>
      </c>
    </row>
    <row r="28082">
      <c r="H28082" s="50"/>
      <c r="I28082" s="50"/>
      <c r="O28082" s="36" t="s">
        <v>48</v>
      </c>
      <c r="R28082" s="36" t="s">
        <v>48</v>
      </c>
    </row>
    <row r="28083">
      <c r="H28083" s="50"/>
      <c r="I28083" s="50"/>
      <c r="O28083" s="36" t="s">
        <v>48</v>
      </c>
      <c r="R28083" s="36" t="s">
        <v>48</v>
      </c>
    </row>
    <row r="28084">
      <c r="H28084" s="50"/>
      <c r="I28084" s="50"/>
      <c r="O28084" s="36" t="s">
        <v>48</v>
      </c>
      <c r="R28084" s="36" t="s">
        <v>48</v>
      </c>
    </row>
    <row r="28085">
      <c r="H28085" s="50"/>
      <c r="I28085" s="50"/>
      <c r="O28085" s="36" t="s">
        <v>48</v>
      </c>
      <c r="R28085" s="36" t="s">
        <v>48</v>
      </c>
    </row>
    <row r="28086">
      <c r="H28086" s="50"/>
      <c r="I28086" s="50"/>
      <c r="O28086" s="36" t="s">
        <v>48</v>
      </c>
      <c r="R28086" s="36" t="s">
        <v>48</v>
      </c>
    </row>
    <row r="28087">
      <c r="H28087" s="50"/>
      <c r="I28087" s="50"/>
      <c r="O28087" s="36" t="s">
        <v>48</v>
      </c>
      <c r="R28087" s="36" t="s">
        <v>48</v>
      </c>
    </row>
    <row r="28088">
      <c r="H28088" s="50"/>
      <c r="I28088" s="50"/>
      <c r="O28088" s="36" t="s">
        <v>48</v>
      </c>
      <c r="R28088" s="36" t="s">
        <v>48</v>
      </c>
    </row>
    <row r="28089">
      <c r="H28089" s="50"/>
      <c r="I28089" s="50"/>
      <c r="O28089" s="36" t="s">
        <v>48</v>
      </c>
      <c r="R28089" s="36" t="s">
        <v>48</v>
      </c>
    </row>
    <row r="28090">
      <c r="H28090" s="50"/>
      <c r="I28090" s="50"/>
      <c r="O28090" s="36" t="s">
        <v>48</v>
      </c>
      <c r="R28090" s="36" t="s">
        <v>48</v>
      </c>
    </row>
    <row r="28091">
      <c r="H28091" s="50"/>
      <c r="I28091" s="50"/>
      <c r="O28091" s="36" t="s">
        <v>48</v>
      </c>
      <c r="R28091" s="36" t="s">
        <v>48</v>
      </c>
    </row>
    <row r="28092">
      <c r="H28092" s="50"/>
      <c r="I28092" s="50"/>
      <c r="O28092" s="36" t="s">
        <v>48</v>
      </c>
      <c r="R28092" s="36" t="s">
        <v>48</v>
      </c>
    </row>
    <row r="28093">
      <c r="H28093" s="50"/>
      <c r="I28093" s="50"/>
      <c r="O28093" s="36" t="s">
        <v>48</v>
      </c>
      <c r="R28093" s="36" t="s">
        <v>48</v>
      </c>
    </row>
    <row r="28094">
      <c r="H28094" s="50"/>
      <c r="I28094" s="50"/>
      <c r="O28094" s="36" t="s">
        <v>48</v>
      </c>
      <c r="R28094" s="36" t="s">
        <v>48</v>
      </c>
    </row>
    <row r="28095">
      <c r="H28095" s="50"/>
      <c r="I28095" s="50"/>
      <c r="O28095" s="36" t="s">
        <v>48</v>
      </c>
      <c r="R28095" s="36" t="s">
        <v>48</v>
      </c>
    </row>
    <row r="28096">
      <c r="H28096" s="50"/>
      <c r="I28096" s="50"/>
      <c r="O28096" s="36" t="s">
        <v>48</v>
      </c>
      <c r="R28096" s="36" t="s">
        <v>48</v>
      </c>
    </row>
    <row r="28097">
      <c r="H28097" s="50"/>
      <c r="I28097" s="50"/>
      <c r="O28097" s="36" t="s">
        <v>48</v>
      </c>
      <c r="R28097" s="36" t="s">
        <v>48</v>
      </c>
    </row>
    <row r="28098">
      <c r="H28098" s="50"/>
      <c r="I28098" s="50"/>
      <c r="O28098" s="36" t="s">
        <v>48</v>
      </c>
      <c r="R28098" s="36" t="s">
        <v>48</v>
      </c>
    </row>
    <row r="28099">
      <c r="H28099" s="50"/>
      <c r="I28099" s="50"/>
      <c r="O28099" s="36" t="s">
        <v>48</v>
      </c>
      <c r="R28099" s="36" t="s">
        <v>48</v>
      </c>
    </row>
    <row r="28100">
      <c r="H28100" s="50"/>
      <c r="I28100" s="50"/>
      <c r="O28100" s="36" t="s">
        <v>48</v>
      </c>
      <c r="R28100" s="36" t="s">
        <v>48</v>
      </c>
    </row>
    <row r="28101">
      <c r="H28101" s="50"/>
      <c r="I28101" s="50"/>
      <c r="O28101" s="36" t="s">
        <v>48</v>
      </c>
      <c r="R28101" s="36" t="s">
        <v>48</v>
      </c>
    </row>
    <row r="28102">
      <c r="H28102" s="50"/>
      <c r="I28102" s="50"/>
      <c r="O28102" s="36" t="s">
        <v>48</v>
      </c>
      <c r="R28102" s="36" t="s">
        <v>48</v>
      </c>
    </row>
    <row r="28103">
      <c r="H28103" s="50"/>
      <c r="I28103" s="50"/>
      <c r="O28103" s="36" t="s">
        <v>48</v>
      </c>
      <c r="R28103" s="36" t="s">
        <v>48</v>
      </c>
    </row>
    <row r="28104">
      <c r="H28104" s="50"/>
      <c r="I28104" s="50"/>
      <c r="O28104" s="36" t="s">
        <v>48</v>
      </c>
      <c r="R28104" s="36" t="s">
        <v>48</v>
      </c>
    </row>
    <row r="28105">
      <c r="H28105" s="50"/>
      <c r="I28105" s="50"/>
      <c r="O28105" s="36" t="s">
        <v>48</v>
      </c>
      <c r="R28105" s="36" t="s">
        <v>48</v>
      </c>
    </row>
    <row r="28106">
      <c r="H28106" s="50"/>
      <c r="I28106" s="50"/>
      <c r="O28106" s="36" t="s">
        <v>48</v>
      </c>
      <c r="R28106" s="36" t="s">
        <v>48</v>
      </c>
    </row>
    <row r="28107">
      <c r="H28107" s="50"/>
      <c r="I28107" s="50"/>
      <c r="O28107" s="36" t="s">
        <v>48</v>
      </c>
      <c r="R28107" s="36" t="s">
        <v>48</v>
      </c>
    </row>
    <row r="28108">
      <c r="H28108" s="50"/>
      <c r="I28108" s="50"/>
      <c r="O28108" s="36" t="s">
        <v>48</v>
      </c>
      <c r="R28108" s="36" t="s">
        <v>48</v>
      </c>
    </row>
    <row r="28109">
      <c r="H28109" s="50"/>
      <c r="I28109" s="50"/>
      <c r="O28109" s="36" t="s">
        <v>48</v>
      </c>
      <c r="R28109" s="36" t="s">
        <v>48</v>
      </c>
    </row>
    <row r="28110">
      <c r="H28110" s="50"/>
      <c r="I28110" s="50"/>
      <c r="O28110" s="36" t="s">
        <v>48</v>
      </c>
      <c r="R28110" s="36" t="s">
        <v>48</v>
      </c>
    </row>
    <row r="28111">
      <c r="H28111" s="50"/>
      <c r="I28111" s="50"/>
      <c r="O28111" s="36" t="s">
        <v>48</v>
      </c>
      <c r="R28111" s="36" t="s">
        <v>48</v>
      </c>
    </row>
    <row r="28112">
      <c r="H28112" s="50"/>
      <c r="I28112" s="50"/>
      <c r="O28112" s="36" t="s">
        <v>48</v>
      </c>
      <c r="R28112" s="36" t="s">
        <v>48</v>
      </c>
    </row>
    <row r="28113">
      <c r="H28113" s="50"/>
      <c r="I28113" s="50"/>
      <c r="O28113" s="36" t="s">
        <v>48</v>
      </c>
      <c r="R28113" s="36" t="s">
        <v>48</v>
      </c>
    </row>
    <row r="28114">
      <c r="H28114" s="50"/>
      <c r="I28114" s="50"/>
      <c r="O28114" s="36" t="s">
        <v>48</v>
      </c>
      <c r="R28114" s="36" t="s">
        <v>48</v>
      </c>
    </row>
    <row r="28115">
      <c r="H28115" s="50"/>
      <c r="I28115" s="50"/>
      <c r="O28115" s="36" t="s">
        <v>48</v>
      </c>
      <c r="R28115" s="36" t="s">
        <v>48</v>
      </c>
    </row>
    <row r="28116">
      <c r="H28116" s="50"/>
      <c r="I28116" s="50"/>
      <c r="O28116" s="36" t="s">
        <v>48</v>
      </c>
      <c r="R28116" s="36" t="s">
        <v>48</v>
      </c>
    </row>
    <row r="28117">
      <c r="H28117" s="50"/>
      <c r="I28117" s="50"/>
      <c r="O28117" s="36" t="s">
        <v>48</v>
      </c>
      <c r="R28117" s="36" t="s">
        <v>48</v>
      </c>
    </row>
    <row r="28118">
      <c r="H28118" s="50"/>
      <c r="I28118" s="50"/>
      <c r="O28118" s="36" t="s">
        <v>48</v>
      </c>
      <c r="R28118" s="36" t="s">
        <v>48</v>
      </c>
    </row>
    <row r="28119">
      <c r="H28119" s="50"/>
      <c r="I28119" s="50"/>
      <c r="O28119" s="36" t="s">
        <v>48</v>
      </c>
      <c r="R28119" s="36" t="s">
        <v>48</v>
      </c>
    </row>
    <row r="28120">
      <c r="H28120" s="50"/>
      <c r="I28120" s="50"/>
      <c r="O28120" s="36" t="s">
        <v>48</v>
      </c>
      <c r="R28120" s="36" t="s">
        <v>48</v>
      </c>
    </row>
    <row r="28121">
      <c r="H28121" s="50"/>
      <c r="I28121" s="50"/>
      <c r="O28121" s="36" t="s">
        <v>48</v>
      </c>
      <c r="R28121" s="36" t="s">
        <v>48</v>
      </c>
    </row>
    <row r="28122">
      <c r="H28122" s="50"/>
      <c r="I28122" s="50"/>
      <c r="O28122" s="36" t="s">
        <v>48</v>
      </c>
      <c r="R28122" s="36" t="s">
        <v>48</v>
      </c>
    </row>
    <row r="28123">
      <c r="H28123" s="50"/>
      <c r="I28123" s="50"/>
      <c r="O28123" s="36" t="s">
        <v>48</v>
      </c>
      <c r="R28123" s="36" t="s">
        <v>48</v>
      </c>
    </row>
    <row r="28124">
      <c r="H28124" s="50"/>
      <c r="I28124" s="50"/>
      <c r="O28124" s="36" t="s">
        <v>48</v>
      </c>
      <c r="R28124" s="36" t="s">
        <v>48</v>
      </c>
    </row>
    <row r="28125">
      <c r="H28125" s="50"/>
      <c r="I28125" s="50"/>
      <c r="O28125" s="36" t="s">
        <v>48</v>
      </c>
      <c r="R28125" s="36" t="s">
        <v>48</v>
      </c>
    </row>
    <row r="28126">
      <c r="H28126" s="50"/>
      <c r="I28126" s="50"/>
      <c r="O28126" s="36" t="s">
        <v>48</v>
      </c>
      <c r="R28126" s="36" t="s">
        <v>48</v>
      </c>
    </row>
    <row r="28127">
      <c r="H28127" s="50"/>
      <c r="I28127" s="50"/>
      <c r="O28127" s="36" t="s">
        <v>48</v>
      </c>
      <c r="R28127" s="36" t="s">
        <v>48</v>
      </c>
    </row>
    <row r="28128">
      <c r="H28128" s="50"/>
      <c r="I28128" s="50"/>
      <c r="O28128" s="36" t="s">
        <v>48</v>
      </c>
      <c r="R28128" s="36" t="s">
        <v>48</v>
      </c>
    </row>
    <row r="28129">
      <c r="H28129" s="50"/>
      <c r="I28129" s="50"/>
      <c r="O28129" s="36" t="s">
        <v>48</v>
      </c>
      <c r="R28129" s="36" t="s">
        <v>48</v>
      </c>
    </row>
    <row r="28130">
      <c r="H28130" s="50"/>
      <c r="I28130" s="50"/>
      <c r="O28130" s="36" t="s">
        <v>48</v>
      </c>
      <c r="R28130" s="36" t="s">
        <v>48</v>
      </c>
    </row>
    <row r="28131">
      <c r="H28131" s="50"/>
      <c r="I28131" s="50"/>
      <c r="O28131" s="36" t="s">
        <v>48</v>
      </c>
      <c r="R28131" s="36" t="s">
        <v>48</v>
      </c>
    </row>
    <row r="28132">
      <c r="H28132" s="50"/>
      <c r="I28132" s="50"/>
      <c r="O28132" s="36" t="s">
        <v>48</v>
      </c>
      <c r="R28132" s="36" t="s">
        <v>48</v>
      </c>
    </row>
    <row r="28133">
      <c r="H28133" s="50"/>
      <c r="I28133" s="50"/>
      <c r="O28133" s="36" t="s">
        <v>48</v>
      </c>
      <c r="R28133" s="36" t="s">
        <v>48</v>
      </c>
    </row>
    <row r="28134">
      <c r="H28134" s="50"/>
      <c r="I28134" s="50"/>
      <c r="O28134" s="36" t="s">
        <v>48</v>
      </c>
      <c r="R28134" s="36" t="s">
        <v>48</v>
      </c>
    </row>
    <row r="28135">
      <c r="H28135" s="50"/>
      <c r="I28135" s="50"/>
      <c r="O28135" s="36" t="s">
        <v>48</v>
      </c>
      <c r="R28135" s="36" t="s">
        <v>48</v>
      </c>
    </row>
    <row r="28136">
      <c r="H28136" s="50"/>
      <c r="I28136" s="50"/>
      <c r="O28136" s="36" t="s">
        <v>48</v>
      </c>
      <c r="R28136" s="36" t="s">
        <v>48</v>
      </c>
    </row>
    <row r="28137">
      <c r="H28137" s="50"/>
      <c r="I28137" s="50"/>
      <c r="O28137" s="36" t="s">
        <v>48</v>
      </c>
      <c r="R28137" s="36" t="s">
        <v>48</v>
      </c>
    </row>
    <row r="28138">
      <c r="H28138" s="50"/>
      <c r="I28138" s="50"/>
      <c r="O28138" s="36" t="s">
        <v>48</v>
      </c>
      <c r="R28138" s="36" t="s">
        <v>48</v>
      </c>
    </row>
    <row r="28139">
      <c r="H28139" s="50"/>
      <c r="I28139" s="50"/>
      <c r="O28139" s="36" t="s">
        <v>48</v>
      </c>
      <c r="R28139" s="36" t="s">
        <v>48</v>
      </c>
    </row>
    <row r="28140">
      <c r="H28140" s="50"/>
      <c r="I28140" s="50"/>
      <c r="O28140" s="36" t="s">
        <v>48</v>
      </c>
      <c r="R28140" s="36" t="s">
        <v>48</v>
      </c>
    </row>
    <row r="28141">
      <c r="H28141" s="50"/>
      <c r="I28141" s="50"/>
      <c r="O28141" s="36" t="s">
        <v>48</v>
      </c>
      <c r="R28141" s="36" t="s">
        <v>48</v>
      </c>
    </row>
    <row r="28142">
      <c r="H28142" s="50"/>
      <c r="I28142" s="50"/>
      <c r="O28142" s="36" t="s">
        <v>48</v>
      </c>
      <c r="R28142" s="36" t="s">
        <v>48</v>
      </c>
    </row>
    <row r="28143">
      <c r="H28143" s="50"/>
      <c r="I28143" s="50"/>
      <c r="O28143" s="36" t="s">
        <v>48</v>
      </c>
      <c r="R28143" s="36" t="s">
        <v>48</v>
      </c>
    </row>
    <row r="28144">
      <c r="H28144" s="50"/>
      <c r="I28144" s="50"/>
      <c r="O28144" s="36" t="s">
        <v>48</v>
      </c>
      <c r="R28144" s="36" t="s">
        <v>48</v>
      </c>
    </row>
    <row r="28145">
      <c r="H28145" s="50"/>
      <c r="I28145" s="50"/>
      <c r="O28145" s="36" t="s">
        <v>48</v>
      </c>
      <c r="R28145" s="36" t="s">
        <v>48</v>
      </c>
    </row>
    <row r="28146">
      <c r="H28146" s="50"/>
      <c r="I28146" s="50"/>
      <c r="O28146" s="36" t="s">
        <v>48</v>
      </c>
      <c r="R28146" s="36" t="s">
        <v>48</v>
      </c>
    </row>
    <row r="28147">
      <c r="H28147" s="50"/>
      <c r="I28147" s="50"/>
      <c r="O28147" s="36" t="s">
        <v>48</v>
      </c>
      <c r="R28147" s="36" t="s">
        <v>48</v>
      </c>
    </row>
    <row r="28148">
      <c r="H28148" s="50"/>
      <c r="I28148" s="50"/>
      <c r="O28148" s="36" t="s">
        <v>48</v>
      </c>
      <c r="R28148" s="36" t="s">
        <v>48</v>
      </c>
    </row>
    <row r="28149">
      <c r="H28149" s="50"/>
      <c r="I28149" s="50"/>
      <c r="O28149" s="36" t="s">
        <v>48</v>
      </c>
      <c r="R28149" s="36" t="s">
        <v>48</v>
      </c>
    </row>
    <row r="28150">
      <c r="H28150" s="50"/>
      <c r="I28150" s="50"/>
      <c r="O28150" s="36" t="s">
        <v>48</v>
      </c>
      <c r="R28150" s="36" t="s">
        <v>48</v>
      </c>
    </row>
    <row r="28151">
      <c r="H28151" s="50"/>
      <c r="I28151" s="50"/>
      <c r="O28151" s="36" t="s">
        <v>48</v>
      </c>
      <c r="R28151" s="36" t="s">
        <v>48</v>
      </c>
    </row>
    <row r="28152">
      <c r="H28152" s="50"/>
      <c r="I28152" s="50"/>
      <c r="O28152" s="36" t="s">
        <v>48</v>
      </c>
      <c r="R28152" s="36" t="s">
        <v>48</v>
      </c>
    </row>
    <row r="28153">
      <c r="H28153" s="50"/>
      <c r="I28153" s="50"/>
      <c r="O28153" s="36" t="s">
        <v>48</v>
      </c>
      <c r="R28153" s="36" t="s">
        <v>48</v>
      </c>
    </row>
    <row r="28154">
      <c r="H28154" s="50"/>
      <c r="I28154" s="50"/>
      <c r="O28154" s="36" t="s">
        <v>48</v>
      </c>
      <c r="R28154" s="36" t="s">
        <v>48</v>
      </c>
    </row>
    <row r="28155">
      <c r="H28155" s="50"/>
      <c r="I28155" s="50"/>
      <c r="O28155" s="36" t="s">
        <v>48</v>
      </c>
      <c r="R28155" s="36" t="s">
        <v>48</v>
      </c>
    </row>
    <row r="28156">
      <c r="H28156" s="50"/>
      <c r="I28156" s="50"/>
      <c r="O28156" s="36" t="s">
        <v>48</v>
      </c>
      <c r="R28156" s="36" t="s">
        <v>48</v>
      </c>
    </row>
    <row r="28157">
      <c r="H28157" s="50"/>
      <c r="I28157" s="50"/>
      <c r="O28157" s="36" t="s">
        <v>48</v>
      </c>
      <c r="R28157" s="36" t="s">
        <v>48</v>
      </c>
    </row>
    <row r="28158">
      <c r="H28158" s="50"/>
      <c r="I28158" s="50"/>
      <c r="O28158" s="36" t="s">
        <v>48</v>
      </c>
      <c r="R28158" s="36" t="s">
        <v>48</v>
      </c>
    </row>
    <row r="28159">
      <c r="H28159" s="50"/>
      <c r="I28159" s="50"/>
      <c r="O28159" s="36" t="s">
        <v>48</v>
      </c>
      <c r="R28159" s="36" t="s">
        <v>48</v>
      </c>
    </row>
    <row r="28160">
      <c r="H28160" s="50"/>
      <c r="I28160" s="50"/>
      <c r="O28160" s="36" t="s">
        <v>48</v>
      </c>
      <c r="R28160" s="36" t="s">
        <v>48</v>
      </c>
    </row>
    <row r="28161">
      <c r="H28161" s="50"/>
      <c r="I28161" s="50"/>
      <c r="O28161" s="36" t="s">
        <v>48</v>
      </c>
      <c r="R28161" s="36" t="s">
        <v>48</v>
      </c>
    </row>
    <row r="28162">
      <c r="H28162" s="50"/>
      <c r="I28162" s="50"/>
      <c r="O28162" s="36" t="s">
        <v>48</v>
      </c>
      <c r="R28162" s="36" t="s">
        <v>48</v>
      </c>
    </row>
    <row r="28163">
      <c r="H28163" s="50"/>
      <c r="I28163" s="50"/>
      <c r="O28163" s="36" t="s">
        <v>48</v>
      </c>
      <c r="R28163" s="36" t="s">
        <v>48</v>
      </c>
    </row>
    <row r="28164">
      <c r="H28164" s="50"/>
      <c r="I28164" s="50"/>
      <c r="O28164" s="36" t="s">
        <v>48</v>
      </c>
      <c r="R28164" s="36" t="s">
        <v>48</v>
      </c>
    </row>
    <row r="28165">
      <c r="H28165" s="50"/>
      <c r="I28165" s="50"/>
      <c r="O28165" s="36" t="s">
        <v>48</v>
      </c>
      <c r="R28165" s="36" t="s">
        <v>48</v>
      </c>
    </row>
    <row r="28166">
      <c r="H28166" s="50"/>
      <c r="I28166" s="50"/>
      <c r="O28166" s="36" t="s">
        <v>48</v>
      </c>
      <c r="R28166" s="36" t="s">
        <v>48</v>
      </c>
    </row>
    <row r="28167">
      <c r="H28167" s="50"/>
      <c r="I28167" s="50"/>
      <c r="O28167" s="36" t="s">
        <v>48</v>
      </c>
      <c r="R28167" s="36" t="s">
        <v>48</v>
      </c>
    </row>
    <row r="28168">
      <c r="H28168" s="50"/>
      <c r="I28168" s="50"/>
      <c r="O28168" s="36" t="s">
        <v>48</v>
      </c>
      <c r="R28168" s="36" t="s">
        <v>48</v>
      </c>
    </row>
    <row r="28169">
      <c r="H28169" s="50"/>
      <c r="I28169" s="50"/>
      <c r="O28169" s="36" t="s">
        <v>48</v>
      </c>
      <c r="R28169" s="36" t="s">
        <v>48</v>
      </c>
    </row>
    <row r="28170">
      <c r="H28170" s="50"/>
      <c r="I28170" s="50"/>
      <c r="O28170" s="36" t="s">
        <v>48</v>
      </c>
      <c r="R28170" s="36" t="s">
        <v>48</v>
      </c>
    </row>
    <row r="28171">
      <c r="H28171" s="50"/>
      <c r="I28171" s="50"/>
      <c r="O28171" s="36" t="s">
        <v>48</v>
      </c>
      <c r="R28171" s="36" t="s">
        <v>48</v>
      </c>
    </row>
    <row r="28172">
      <c r="H28172" s="50"/>
      <c r="I28172" s="50"/>
      <c r="O28172" s="36" t="s">
        <v>48</v>
      </c>
      <c r="R28172" s="36" t="s">
        <v>48</v>
      </c>
    </row>
    <row r="28173">
      <c r="H28173" s="50"/>
      <c r="I28173" s="50"/>
      <c r="O28173" s="36" t="s">
        <v>48</v>
      </c>
      <c r="R28173" s="36" t="s">
        <v>48</v>
      </c>
    </row>
    <row r="28174">
      <c r="H28174" s="50"/>
      <c r="I28174" s="50"/>
      <c r="O28174" s="36" t="s">
        <v>48</v>
      </c>
      <c r="R28174" s="36" t="s">
        <v>48</v>
      </c>
    </row>
    <row r="28175">
      <c r="H28175" s="50"/>
      <c r="I28175" s="50"/>
      <c r="O28175" s="36" t="s">
        <v>48</v>
      </c>
      <c r="R28175" s="36" t="s">
        <v>48</v>
      </c>
    </row>
    <row r="28176">
      <c r="H28176" s="50"/>
      <c r="I28176" s="50"/>
      <c r="O28176" s="36" t="s">
        <v>48</v>
      </c>
      <c r="R28176" s="36" t="s">
        <v>48</v>
      </c>
    </row>
    <row r="28177">
      <c r="H28177" s="50"/>
      <c r="I28177" s="50"/>
      <c r="O28177" s="36" t="s">
        <v>48</v>
      </c>
      <c r="R28177" s="36" t="s">
        <v>48</v>
      </c>
    </row>
    <row r="28178">
      <c r="H28178" s="50"/>
      <c r="I28178" s="50"/>
      <c r="O28178" s="36" t="s">
        <v>48</v>
      </c>
      <c r="R28178" s="36" t="s">
        <v>48</v>
      </c>
    </row>
    <row r="28179">
      <c r="H28179" s="50"/>
      <c r="I28179" s="50"/>
      <c r="O28179" s="36" t="s">
        <v>48</v>
      </c>
      <c r="R28179" s="36" t="s">
        <v>48</v>
      </c>
    </row>
    <row r="28180">
      <c r="H28180" s="50"/>
      <c r="I28180" s="50"/>
      <c r="O28180" s="36" t="s">
        <v>48</v>
      </c>
      <c r="R28180" s="36" t="s">
        <v>48</v>
      </c>
    </row>
    <row r="28181">
      <c r="H28181" s="50"/>
      <c r="I28181" s="50"/>
      <c r="O28181" s="36" t="s">
        <v>48</v>
      </c>
      <c r="R28181" s="36" t="s">
        <v>48</v>
      </c>
    </row>
    <row r="28182">
      <c r="H28182" s="50"/>
      <c r="I28182" s="50"/>
      <c r="O28182" s="36" t="s">
        <v>48</v>
      </c>
      <c r="R28182" s="36" t="s">
        <v>48</v>
      </c>
    </row>
    <row r="28183">
      <c r="H28183" s="50"/>
      <c r="I28183" s="50"/>
      <c r="O28183" s="36" t="s">
        <v>48</v>
      </c>
      <c r="R28183" s="36" t="s">
        <v>48</v>
      </c>
    </row>
    <row r="28184">
      <c r="H28184" s="50"/>
      <c r="I28184" s="50"/>
      <c r="O28184" s="36" t="s">
        <v>48</v>
      </c>
      <c r="R28184" s="36" t="s">
        <v>48</v>
      </c>
    </row>
    <row r="28185">
      <c r="H28185" s="50"/>
      <c r="I28185" s="50"/>
      <c r="O28185" s="36" t="s">
        <v>48</v>
      </c>
      <c r="R28185" s="36" t="s">
        <v>48</v>
      </c>
    </row>
    <row r="28186">
      <c r="H28186" s="50"/>
      <c r="I28186" s="50"/>
      <c r="O28186" s="36" t="s">
        <v>48</v>
      </c>
      <c r="R28186" s="36" t="s">
        <v>48</v>
      </c>
    </row>
    <row r="28187">
      <c r="H28187" s="50"/>
      <c r="I28187" s="50"/>
      <c r="O28187" s="36" t="s">
        <v>48</v>
      </c>
      <c r="R28187" s="36" t="s">
        <v>48</v>
      </c>
    </row>
    <row r="28188">
      <c r="H28188" s="50"/>
      <c r="I28188" s="50"/>
      <c r="O28188" s="36" t="s">
        <v>48</v>
      </c>
      <c r="R28188" s="36" t="s">
        <v>48</v>
      </c>
    </row>
    <row r="28189">
      <c r="H28189" s="50"/>
      <c r="I28189" s="50"/>
      <c r="O28189" s="36" t="s">
        <v>48</v>
      </c>
      <c r="R28189" s="36" t="s">
        <v>48</v>
      </c>
    </row>
    <row r="28190">
      <c r="H28190" s="50"/>
      <c r="I28190" s="50"/>
      <c r="O28190" s="36" t="s">
        <v>48</v>
      </c>
      <c r="R28190" s="36" t="s">
        <v>48</v>
      </c>
    </row>
    <row r="28191">
      <c r="H28191" s="50"/>
      <c r="I28191" s="50"/>
      <c r="O28191" s="36" t="s">
        <v>48</v>
      </c>
      <c r="R28191" s="36" t="s">
        <v>48</v>
      </c>
    </row>
    <row r="28192">
      <c r="H28192" s="50"/>
      <c r="I28192" s="50"/>
      <c r="O28192" s="36" t="s">
        <v>48</v>
      </c>
      <c r="R28192" s="36" t="s">
        <v>48</v>
      </c>
    </row>
    <row r="28193">
      <c r="H28193" s="50"/>
      <c r="I28193" s="50"/>
      <c r="O28193" s="36" t="s">
        <v>48</v>
      </c>
      <c r="R28193" s="36" t="s">
        <v>48</v>
      </c>
    </row>
    <row r="28194">
      <c r="H28194" s="50"/>
      <c r="I28194" s="50"/>
      <c r="O28194" s="36" t="s">
        <v>48</v>
      </c>
      <c r="R28194" s="36" t="s">
        <v>48</v>
      </c>
    </row>
    <row r="28195">
      <c r="H28195" s="50"/>
      <c r="I28195" s="50"/>
      <c r="O28195" s="36" t="s">
        <v>48</v>
      </c>
      <c r="R28195" s="36" t="s">
        <v>48</v>
      </c>
    </row>
    <row r="28196">
      <c r="H28196" s="50"/>
      <c r="I28196" s="50"/>
      <c r="O28196" s="36" t="s">
        <v>48</v>
      </c>
      <c r="R28196" s="36" t="s">
        <v>48</v>
      </c>
    </row>
    <row r="28197">
      <c r="H28197" s="50"/>
      <c r="I28197" s="50"/>
      <c r="O28197" s="36" t="s">
        <v>48</v>
      </c>
      <c r="R28197" s="36" t="s">
        <v>48</v>
      </c>
    </row>
    <row r="28198">
      <c r="H28198" s="50"/>
      <c r="I28198" s="50"/>
      <c r="O28198" s="36" t="s">
        <v>48</v>
      </c>
      <c r="R28198" s="36" t="s">
        <v>48</v>
      </c>
    </row>
    <row r="28199">
      <c r="H28199" s="50"/>
      <c r="I28199" s="50"/>
      <c r="O28199" s="36" t="s">
        <v>48</v>
      </c>
      <c r="R28199" s="36" t="s">
        <v>48</v>
      </c>
    </row>
    <row r="28200">
      <c r="H28200" s="50"/>
      <c r="I28200" s="50"/>
      <c r="O28200" s="36" t="s">
        <v>48</v>
      </c>
      <c r="R28200" s="36" t="s">
        <v>48</v>
      </c>
    </row>
    <row r="28201">
      <c r="H28201" s="50"/>
      <c r="I28201" s="50"/>
      <c r="O28201" s="36" t="s">
        <v>48</v>
      </c>
      <c r="R28201" s="36" t="s">
        <v>48</v>
      </c>
    </row>
    <row r="28202">
      <c r="H28202" s="50"/>
      <c r="I28202" s="50"/>
      <c r="O28202" s="36" t="s">
        <v>48</v>
      </c>
      <c r="R28202" s="36" t="s">
        <v>48</v>
      </c>
    </row>
    <row r="28203">
      <c r="H28203" s="50"/>
      <c r="I28203" s="50"/>
      <c r="O28203" s="36" t="s">
        <v>48</v>
      </c>
      <c r="R28203" s="36" t="s">
        <v>48</v>
      </c>
    </row>
    <row r="28204">
      <c r="H28204" s="50"/>
      <c r="I28204" s="50"/>
      <c r="O28204" s="36" t="s">
        <v>48</v>
      </c>
      <c r="R28204" s="36" t="s">
        <v>48</v>
      </c>
    </row>
    <row r="28205">
      <c r="H28205" s="50"/>
      <c r="I28205" s="50"/>
      <c r="O28205" s="36" t="s">
        <v>48</v>
      </c>
      <c r="R28205" s="36" t="s">
        <v>48</v>
      </c>
    </row>
    <row r="28206">
      <c r="H28206" s="50"/>
      <c r="I28206" s="50"/>
      <c r="O28206" s="36" t="s">
        <v>48</v>
      </c>
      <c r="R28206" s="36" t="s">
        <v>48</v>
      </c>
    </row>
    <row r="28207">
      <c r="H28207" s="50"/>
      <c r="I28207" s="50"/>
      <c r="O28207" s="36" t="s">
        <v>48</v>
      </c>
      <c r="R28207" s="36" t="s">
        <v>48</v>
      </c>
    </row>
    <row r="28208">
      <c r="H28208" s="50"/>
      <c r="I28208" s="50"/>
      <c r="O28208" s="36" t="s">
        <v>48</v>
      </c>
      <c r="R28208" s="36" t="s">
        <v>48</v>
      </c>
    </row>
    <row r="28209">
      <c r="H28209" s="50"/>
      <c r="I28209" s="50"/>
      <c r="O28209" s="36" t="s">
        <v>48</v>
      </c>
      <c r="R28209" s="36" t="s">
        <v>48</v>
      </c>
    </row>
    <row r="28210">
      <c r="H28210" s="50"/>
      <c r="I28210" s="50"/>
      <c r="O28210" s="36" t="s">
        <v>48</v>
      </c>
      <c r="R28210" s="36" t="s">
        <v>48</v>
      </c>
    </row>
    <row r="28211">
      <c r="H28211" s="50"/>
      <c r="I28211" s="50"/>
      <c r="O28211" s="36" t="s">
        <v>48</v>
      </c>
      <c r="R28211" s="36" t="s">
        <v>48</v>
      </c>
    </row>
    <row r="28212">
      <c r="H28212" s="50"/>
      <c r="I28212" s="50"/>
      <c r="O28212" s="36" t="s">
        <v>48</v>
      </c>
      <c r="R28212" s="36" t="s">
        <v>48</v>
      </c>
    </row>
    <row r="28213">
      <c r="H28213" s="50"/>
      <c r="I28213" s="50"/>
      <c r="O28213" s="36" t="s">
        <v>48</v>
      </c>
      <c r="R28213" s="36" t="s">
        <v>48</v>
      </c>
    </row>
    <row r="28214">
      <c r="H28214" s="50"/>
      <c r="I28214" s="50"/>
      <c r="O28214" s="36" t="s">
        <v>48</v>
      </c>
      <c r="R28214" s="36" t="s">
        <v>48</v>
      </c>
    </row>
    <row r="28215">
      <c r="H28215" s="50"/>
      <c r="I28215" s="50"/>
      <c r="O28215" s="36" t="s">
        <v>48</v>
      </c>
      <c r="R28215" s="36" t="s">
        <v>48</v>
      </c>
    </row>
    <row r="28216">
      <c r="H28216" s="50"/>
      <c r="I28216" s="50"/>
      <c r="O28216" s="36" t="s">
        <v>48</v>
      </c>
      <c r="R28216" s="36" t="s">
        <v>48</v>
      </c>
    </row>
    <row r="28217">
      <c r="H28217" s="50"/>
      <c r="I28217" s="50"/>
      <c r="O28217" s="36" t="s">
        <v>48</v>
      </c>
      <c r="R28217" s="36" t="s">
        <v>48</v>
      </c>
    </row>
    <row r="28218">
      <c r="H28218" s="50"/>
      <c r="I28218" s="50"/>
      <c r="O28218" s="36" t="s">
        <v>48</v>
      </c>
      <c r="R28218" s="36" t="s">
        <v>48</v>
      </c>
    </row>
    <row r="28219">
      <c r="H28219" s="50"/>
      <c r="I28219" s="50"/>
      <c r="O28219" s="36" t="s">
        <v>48</v>
      </c>
      <c r="R28219" s="36" t="s">
        <v>48</v>
      </c>
    </row>
    <row r="28220">
      <c r="H28220" s="50"/>
      <c r="I28220" s="50"/>
      <c r="O28220" s="36" t="s">
        <v>48</v>
      </c>
      <c r="R28220" s="36" t="s">
        <v>48</v>
      </c>
    </row>
    <row r="28221">
      <c r="H28221" s="50"/>
      <c r="I28221" s="50"/>
      <c r="O28221" s="36" t="s">
        <v>48</v>
      </c>
      <c r="R28221" s="36" t="s">
        <v>48</v>
      </c>
    </row>
    <row r="28222">
      <c r="H28222" s="50"/>
      <c r="I28222" s="50"/>
      <c r="O28222" s="36" t="s">
        <v>48</v>
      </c>
      <c r="R28222" s="36" t="s">
        <v>48</v>
      </c>
    </row>
    <row r="28223">
      <c r="H28223" s="50"/>
      <c r="I28223" s="50"/>
      <c r="O28223" s="36" t="s">
        <v>48</v>
      </c>
      <c r="R28223" s="36" t="s">
        <v>48</v>
      </c>
    </row>
    <row r="28224">
      <c r="H28224" s="50"/>
      <c r="I28224" s="50"/>
      <c r="O28224" s="36" t="s">
        <v>48</v>
      </c>
      <c r="R28224" s="36" t="s">
        <v>48</v>
      </c>
    </row>
    <row r="28225">
      <c r="H28225" s="50"/>
      <c r="I28225" s="50"/>
      <c r="O28225" s="36" t="s">
        <v>48</v>
      </c>
      <c r="R28225" s="36" t="s">
        <v>48</v>
      </c>
    </row>
    <row r="28226">
      <c r="H28226" s="50"/>
      <c r="I28226" s="50"/>
      <c r="O28226" s="36" t="s">
        <v>48</v>
      </c>
      <c r="R28226" s="36" t="s">
        <v>48</v>
      </c>
    </row>
    <row r="28227">
      <c r="H28227" s="50"/>
      <c r="I28227" s="50"/>
      <c r="O28227" s="36" t="s">
        <v>48</v>
      </c>
      <c r="R28227" s="36" t="s">
        <v>48</v>
      </c>
    </row>
    <row r="28228">
      <c r="H28228" s="50"/>
      <c r="I28228" s="50"/>
      <c r="O28228" s="36" t="s">
        <v>48</v>
      </c>
      <c r="R28228" s="36" t="s">
        <v>48</v>
      </c>
    </row>
    <row r="28229">
      <c r="H28229" s="50"/>
      <c r="I28229" s="50"/>
      <c r="O28229" s="36" t="s">
        <v>48</v>
      </c>
      <c r="R28229" s="36" t="s">
        <v>48</v>
      </c>
    </row>
    <row r="28230">
      <c r="H28230" s="50"/>
      <c r="I28230" s="50"/>
      <c r="O28230" s="36" t="s">
        <v>48</v>
      </c>
      <c r="R28230" s="36" t="s">
        <v>48</v>
      </c>
    </row>
    <row r="28231">
      <c r="H28231" s="50"/>
      <c r="I28231" s="50"/>
      <c r="O28231" s="36" t="s">
        <v>48</v>
      </c>
      <c r="R28231" s="36" t="s">
        <v>48</v>
      </c>
    </row>
    <row r="28232">
      <c r="H28232" s="50"/>
      <c r="I28232" s="50"/>
      <c r="O28232" s="36" t="s">
        <v>48</v>
      </c>
      <c r="R28232" s="36" t="s">
        <v>48</v>
      </c>
    </row>
    <row r="28233">
      <c r="H28233" s="50"/>
      <c r="I28233" s="50"/>
      <c r="O28233" s="36" t="s">
        <v>48</v>
      </c>
      <c r="R28233" s="36" t="s">
        <v>48</v>
      </c>
    </row>
    <row r="28234">
      <c r="H28234" s="50"/>
      <c r="I28234" s="50"/>
      <c r="O28234" s="36" t="s">
        <v>48</v>
      </c>
      <c r="R28234" s="36" t="s">
        <v>48</v>
      </c>
    </row>
    <row r="28235">
      <c r="H28235" s="50"/>
      <c r="I28235" s="50"/>
      <c r="O28235" s="36" t="s">
        <v>48</v>
      </c>
      <c r="R28235" s="36" t="s">
        <v>48</v>
      </c>
    </row>
    <row r="28236">
      <c r="H28236" s="50"/>
      <c r="I28236" s="50"/>
      <c r="O28236" s="36" t="s">
        <v>48</v>
      </c>
      <c r="R28236" s="36" t="s">
        <v>48</v>
      </c>
    </row>
    <row r="28237">
      <c r="H28237" s="50"/>
      <c r="I28237" s="50"/>
      <c r="O28237" s="36" t="s">
        <v>48</v>
      </c>
      <c r="R28237" s="36" t="s">
        <v>48</v>
      </c>
    </row>
    <row r="28238">
      <c r="H28238" s="50"/>
      <c r="I28238" s="50"/>
      <c r="O28238" s="36" t="s">
        <v>48</v>
      </c>
      <c r="R28238" s="36" t="s">
        <v>48</v>
      </c>
    </row>
    <row r="28239">
      <c r="H28239" s="50"/>
      <c r="I28239" s="50"/>
      <c r="O28239" s="36" t="s">
        <v>48</v>
      </c>
      <c r="R28239" s="36" t="s">
        <v>48</v>
      </c>
    </row>
    <row r="28240">
      <c r="H28240" s="50"/>
      <c r="I28240" s="50"/>
      <c r="O28240" s="36" t="s">
        <v>48</v>
      </c>
      <c r="R28240" s="36" t="s">
        <v>48</v>
      </c>
    </row>
    <row r="28241">
      <c r="H28241" s="50"/>
      <c r="I28241" s="50"/>
      <c r="O28241" s="36" t="s">
        <v>48</v>
      </c>
      <c r="R28241" s="36" t="s">
        <v>48</v>
      </c>
    </row>
    <row r="28242">
      <c r="H28242" s="50"/>
      <c r="I28242" s="50"/>
      <c r="O28242" s="36" t="s">
        <v>48</v>
      </c>
      <c r="R28242" s="36" t="s">
        <v>48</v>
      </c>
    </row>
    <row r="28243">
      <c r="H28243" s="50"/>
      <c r="I28243" s="50"/>
      <c r="O28243" s="36" t="s">
        <v>48</v>
      </c>
      <c r="R28243" s="36" t="s">
        <v>48</v>
      </c>
    </row>
    <row r="28244">
      <c r="H28244" s="50"/>
      <c r="I28244" s="50"/>
      <c r="O28244" s="36" t="s">
        <v>48</v>
      </c>
      <c r="R28244" s="36" t="s">
        <v>48</v>
      </c>
    </row>
    <row r="28245">
      <c r="H28245" s="50"/>
      <c r="I28245" s="50"/>
      <c r="O28245" s="36" t="s">
        <v>48</v>
      </c>
      <c r="R28245" s="36" t="s">
        <v>48</v>
      </c>
    </row>
    <row r="28246">
      <c r="H28246" s="50"/>
      <c r="I28246" s="50"/>
      <c r="O28246" s="36" t="s">
        <v>48</v>
      </c>
      <c r="R28246" s="36" t="s">
        <v>48</v>
      </c>
    </row>
    <row r="28247">
      <c r="H28247" s="50"/>
      <c r="I28247" s="50"/>
      <c r="O28247" s="36" t="s">
        <v>48</v>
      </c>
      <c r="R28247" s="36" t="s">
        <v>48</v>
      </c>
    </row>
    <row r="28248">
      <c r="H28248" s="50"/>
      <c r="I28248" s="50"/>
      <c r="O28248" s="36" t="s">
        <v>48</v>
      </c>
      <c r="R28248" s="36" t="s">
        <v>48</v>
      </c>
    </row>
    <row r="28249">
      <c r="H28249" s="50"/>
      <c r="I28249" s="50"/>
      <c r="O28249" s="36" t="s">
        <v>48</v>
      </c>
      <c r="R28249" s="36" t="s">
        <v>48</v>
      </c>
    </row>
    <row r="28250">
      <c r="H28250" s="50"/>
      <c r="I28250" s="50"/>
      <c r="O28250" s="36" t="s">
        <v>48</v>
      </c>
      <c r="R28250" s="36" t="s">
        <v>48</v>
      </c>
    </row>
    <row r="28251">
      <c r="H28251" s="50"/>
      <c r="I28251" s="50"/>
      <c r="O28251" s="36" t="s">
        <v>48</v>
      </c>
      <c r="R28251" s="36" t="s">
        <v>48</v>
      </c>
    </row>
    <row r="28252">
      <c r="H28252" s="50"/>
      <c r="I28252" s="50"/>
      <c r="O28252" s="36" t="s">
        <v>48</v>
      </c>
      <c r="R28252" s="36" t="s">
        <v>48</v>
      </c>
    </row>
    <row r="28253">
      <c r="H28253" s="50"/>
      <c r="I28253" s="50"/>
      <c r="O28253" s="36" t="s">
        <v>48</v>
      </c>
      <c r="R28253" s="36" t="s">
        <v>48</v>
      </c>
    </row>
    <row r="28254">
      <c r="H28254" s="50"/>
      <c r="I28254" s="50"/>
      <c r="O28254" s="36" t="s">
        <v>48</v>
      </c>
      <c r="R28254" s="36" t="s">
        <v>48</v>
      </c>
    </row>
    <row r="28255">
      <c r="H28255" s="50"/>
      <c r="I28255" s="50"/>
      <c r="O28255" s="36" t="s">
        <v>48</v>
      </c>
      <c r="R28255" s="36" t="s">
        <v>48</v>
      </c>
    </row>
    <row r="28256">
      <c r="H28256" s="50"/>
      <c r="I28256" s="50"/>
      <c r="O28256" s="36" t="s">
        <v>48</v>
      </c>
      <c r="R28256" s="36" t="s">
        <v>48</v>
      </c>
    </row>
    <row r="28257">
      <c r="H28257" s="50"/>
      <c r="I28257" s="50"/>
      <c r="O28257" s="36" t="s">
        <v>48</v>
      </c>
      <c r="R28257" s="36" t="s">
        <v>48</v>
      </c>
    </row>
    <row r="28258">
      <c r="H28258" s="50"/>
      <c r="I28258" s="50"/>
      <c r="O28258" s="36" t="s">
        <v>48</v>
      </c>
      <c r="R28258" s="36" t="s">
        <v>48</v>
      </c>
    </row>
    <row r="28259">
      <c r="H28259" s="50"/>
      <c r="I28259" s="50"/>
      <c r="O28259" s="36" t="s">
        <v>48</v>
      </c>
      <c r="R28259" s="36" t="s">
        <v>48</v>
      </c>
    </row>
    <row r="28260">
      <c r="H28260" s="50"/>
      <c r="I28260" s="50"/>
      <c r="O28260" s="36" t="s">
        <v>48</v>
      </c>
      <c r="R28260" s="36" t="s">
        <v>48</v>
      </c>
    </row>
    <row r="28261">
      <c r="H28261" s="50"/>
      <c r="I28261" s="50"/>
      <c r="O28261" s="36" t="s">
        <v>48</v>
      </c>
      <c r="R28261" s="36" t="s">
        <v>48</v>
      </c>
    </row>
    <row r="28262">
      <c r="H28262" s="50"/>
      <c r="I28262" s="50"/>
      <c r="O28262" s="36" t="s">
        <v>48</v>
      </c>
      <c r="R28262" s="36" t="s">
        <v>48</v>
      </c>
    </row>
    <row r="28263">
      <c r="H28263" s="50"/>
      <c r="I28263" s="50"/>
      <c r="O28263" s="36" t="s">
        <v>48</v>
      </c>
      <c r="R28263" s="36" t="s">
        <v>48</v>
      </c>
    </row>
    <row r="28264">
      <c r="H28264" s="50"/>
      <c r="I28264" s="50"/>
      <c r="O28264" s="36" t="s">
        <v>48</v>
      </c>
      <c r="R28264" s="36" t="s">
        <v>48</v>
      </c>
    </row>
    <row r="28265">
      <c r="H28265" s="50"/>
      <c r="I28265" s="50"/>
      <c r="O28265" s="36" t="s">
        <v>48</v>
      </c>
      <c r="R28265" s="36" t="s">
        <v>48</v>
      </c>
    </row>
    <row r="28266">
      <c r="H28266" s="50"/>
      <c r="I28266" s="50"/>
      <c r="O28266" s="36" t="s">
        <v>48</v>
      </c>
      <c r="R28266" s="36" t="s">
        <v>48</v>
      </c>
    </row>
    <row r="28267">
      <c r="H28267" s="50"/>
      <c r="I28267" s="50"/>
      <c r="O28267" s="36" t="s">
        <v>48</v>
      </c>
      <c r="R28267" s="36" t="s">
        <v>48</v>
      </c>
    </row>
    <row r="28268">
      <c r="H28268" s="50"/>
      <c r="I28268" s="50"/>
      <c r="O28268" s="36" t="s">
        <v>48</v>
      </c>
      <c r="R28268" s="36" t="s">
        <v>48</v>
      </c>
    </row>
    <row r="28269">
      <c r="H28269" s="50"/>
      <c r="I28269" s="50"/>
      <c r="O28269" s="36" t="s">
        <v>48</v>
      </c>
      <c r="R28269" s="36" t="s">
        <v>48</v>
      </c>
    </row>
    <row r="28270">
      <c r="H28270" s="50"/>
      <c r="I28270" s="50"/>
      <c r="O28270" s="36" t="s">
        <v>48</v>
      </c>
      <c r="R28270" s="36" t="s">
        <v>48</v>
      </c>
    </row>
    <row r="28271">
      <c r="H28271" s="50"/>
      <c r="I28271" s="50"/>
      <c r="O28271" s="36" t="s">
        <v>48</v>
      </c>
      <c r="R28271" s="36" t="s">
        <v>48</v>
      </c>
    </row>
    <row r="28272">
      <c r="H28272" s="50"/>
      <c r="I28272" s="50"/>
      <c r="O28272" s="36" t="s">
        <v>48</v>
      </c>
      <c r="R28272" s="36" t="s">
        <v>48</v>
      </c>
    </row>
    <row r="28273">
      <c r="H28273" s="50"/>
      <c r="I28273" s="50"/>
      <c r="O28273" s="36" t="s">
        <v>48</v>
      </c>
      <c r="R28273" s="36" t="s">
        <v>48</v>
      </c>
    </row>
    <row r="28274">
      <c r="H28274" s="50"/>
      <c r="I28274" s="50"/>
      <c r="O28274" s="36" t="s">
        <v>48</v>
      </c>
      <c r="R28274" s="36" t="s">
        <v>48</v>
      </c>
    </row>
    <row r="28275">
      <c r="H28275" s="50"/>
      <c r="I28275" s="50"/>
      <c r="O28275" s="36" t="s">
        <v>48</v>
      </c>
      <c r="R28275" s="36" t="s">
        <v>48</v>
      </c>
    </row>
    <row r="28276">
      <c r="H28276" s="50"/>
      <c r="I28276" s="50"/>
      <c r="O28276" s="36" t="s">
        <v>48</v>
      </c>
      <c r="R28276" s="36" t="s">
        <v>48</v>
      </c>
    </row>
    <row r="28277">
      <c r="H28277" s="50"/>
      <c r="I28277" s="50"/>
      <c r="O28277" s="36" t="s">
        <v>48</v>
      </c>
      <c r="R28277" s="36" t="s">
        <v>48</v>
      </c>
    </row>
    <row r="28278">
      <c r="H28278" s="50"/>
      <c r="I28278" s="50"/>
      <c r="O28278" s="36" t="s">
        <v>48</v>
      </c>
      <c r="R28278" s="36" t="s">
        <v>48</v>
      </c>
    </row>
    <row r="28279">
      <c r="H28279" s="50"/>
      <c r="I28279" s="50"/>
      <c r="O28279" s="36" t="s">
        <v>48</v>
      </c>
      <c r="R28279" s="36" t="s">
        <v>48</v>
      </c>
    </row>
    <row r="28280">
      <c r="H28280" s="50"/>
      <c r="I28280" s="50"/>
      <c r="O28280" s="36" t="s">
        <v>48</v>
      </c>
      <c r="R28280" s="36" t="s">
        <v>48</v>
      </c>
    </row>
    <row r="28281">
      <c r="H28281" s="50"/>
      <c r="I28281" s="50"/>
      <c r="O28281" s="36" t="s">
        <v>48</v>
      </c>
      <c r="R28281" s="36" t="s">
        <v>48</v>
      </c>
    </row>
    <row r="28282">
      <c r="H28282" s="50"/>
      <c r="I28282" s="50"/>
      <c r="O28282" s="36" t="s">
        <v>48</v>
      </c>
      <c r="R28282" s="36" t="s">
        <v>48</v>
      </c>
    </row>
    <row r="28283">
      <c r="H28283" s="50"/>
      <c r="I28283" s="50"/>
      <c r="O28283" s="36" t="s">
        <v>48</v>
      </c>
      <c r="R28283" s="36" t="s">
        <v>48</v>
      </c>
    </row>
    <row r="28284">
      <c r="H28284" s="50"/>
      <c r="I28284" s="50"/>
      <c r="O28284" s="36" t="s">
        <v>48</v>
      </c>
      <c r="R28284" s="36" t="s">
        <v>48</v>
      </c>
    </row>
    <row r="28285">
      <c r="H28285" s="50"/>
      <c r="I28285" s="50"/>
      <c r="O28285" s="36" t="s">
        <v>48</v>
      </c>
      <c r="R28285" s="36" t="s">
        <v>48</v>
      </c>
    </row>
    <row r="28286">
      <c r="H28286" s="50"/>
      <c r="I28286" s="50"/>
      <c r="O28286" s="36" t="s">
        <v>48</v>
      </c>
      <c r="R28286" s="36" t="s">
        <v>48</v>
      </c>
    </row>
    <row r="28287">
      <c r="H28287" s="50"/>
      <c r="I28287" s="50"/>
      <c r="O28287" s="36" t="s">
        <v>48</v>
      </c>
      <c r="R28287" s="36" t="s">
        <v>48</v>
      </c>
    </row>
    <row r="28288">
      <c r="H28288" s="50"/>
      <c r="I28288" s="50"/>
      <c r="O28288" s="36" t="s">
        <v>48</v>
      </c>
      <c r="R28288" s="36" t="s">
        <v>48</v>
      </c>
    </row>
    <row r="28289">
      <c r="H28289" s="50"/>
      <c r="I28289" s="50"/>
      <c r="O28289" s="36" t="s">
        <v>48</v>
      </c>
      <c r="R28289" s="36" t="s">
        <v>48</v>
      </c>
    </row>
    <row r="28290">
      <c r="H28290" s="50"/>
      <c r="I28290" s="50"/>
      <c r="O28290" s="36" t="s">
        <v>48</v>
      </c>
      <c r="R28290" s="36" t="s">
        <v>48</v>
      </c>
    </row>
    <row r="28291">
      <c r="H28291" s="50"/>
      <c r="I28291" s="50"/>
      <c r="O28291" s="36" t="s">
        <v>48</v>
      </c>
      <c r="R28291" s="36" t="s">
        <v>48</v>
      </c>
    </row>
    <row r="28292">
      <c r="H28292" s="50"/>
      <c r="I28292" s="50"/>
      <c r="O28292" s="36" t="s">
        <v>48</v>
      </c>
      <c r="R28292" s="36" t="s">
        <v>48</v>
      </c>
    </row>
    <row r="28293">
      <c r="H28293" s="50"/>
      <c r="I28293" s="50"/>
      <c r="O28293" s="36" t="s">
        <v>48</v>
      </c>
      <c r="R28293" s="36" t="s">
        <v>48</v>
      </c>
    </row>
    <row r="28294">
      <c r="H28294" s="50"/>
      <c r="I28294" s="50"/>
      <c r="O28294" s="36" t="s">
        <v>48</v>
      </c>
      <c r="R28294" s="36" t="s">
        <v>48</v>
      </c>
    </row>
    <row r="28295">
      <c r="H28295" s="50"/>
      <c r="I28295" s="50"/>
      <c r="O28295" s="36" t="s">
        <v>48</v>
      </c>
      <c r="R28295" s="36" t="s">
        <v>48</v>
      </c>
    </row>
    <row r="28296">
      <c r="H28296" s="50"/>
      <c r="I28296" s="50"/>
      <c r="O28296" s="36" t="s">
        <v>48</v>
      </c>
      <c r="R28296" s="36" t="s">
        <v>48</v>
      </c>
    </row>
    <row r="28297">
      <c r="H28297" s="50"/>
      <c r="I28297" s="50"/>
      <c r="O28297" s="36" t="s">
        <v>48</v>
      </c>
      <c r="R28297" s="36" t="s">
        <v>48</v>
      </c>
    </row>
    <row r="28298">
      <c r="H28298" s="50"/>
      <c r="I28298" s="50"/>
      <c r="O28298" s="36" t="s">
        <v>48</v>
      </c>
      <c r="R28298" s="36" t="s">
        <v>48</v>
      </c>
    </row>
    <row r="28299">
      <c r="H28299" s="50"/>
      <c r="I28299" s="50"/>
      <c r="O28299" s="36" t="s">
        <v>48</v>
      </c>
      <c r="R28299" s="36" t="s">
        <v>48</v>
      </c>
    </row>
    <row r="28300">
      <c r="H28300" s="50"/>
      <c r="I28300" s="50"/>
      <c r="O28300" s="36" t="s">
        <v>48</v>
      </c>
      <c r="R28300" s="36" t="s">
        <v>48</v>
      </c>
    </row>
    <row r="28301">
      <c r="H28301" s="50"/>
      <c r="I28301" s="50"/>
      <c r="O28301" s="36" t="s">
        <v>48</v>
      </c>
      <c r="R28301" s="36" t="s">
        <v>48</v>
      </c>
    </row>
    <row r="28302">
      <c r="H28302" s="50"/>
      <c r="I28302" s="50"/>
      <c r="O28302" s="36" t="s">
        <v>48</v>
      </c>
      <c r="R28302" s="36" t="s">
        <v>48</v>
      </c>
    </row>
    <row r="28303">
      <c r="H28303" s="50"/>
      <c r="I28303" s="50"/>
      <c r="O28303" s="36" t="s">
        <v>48</v>
      </c>
      <c r="R28303" s="36" t="s">
        <v>48</v>
      </c>
    </row>
    <row r="28304">
      <c r="H28304" s="50"/>
      <c r="I28304" s="50"/>
      <c r="O28304" s="36" t="s">
        <v>48</v>
      </c>
      <c r="R28304" s="36" t="s">
        <v>48</v>
      </c>
    </row>
    <row r="28305">
      <c r="H28305" s="50"/>
      <c r="I28305" s="50"/>
      <c r="O28305" s="36" t="s">
        <v>48</v>
      </c>
      <c r="R28305" s="36" t="s">
        <v>48</v>
      </c>
    </row>
    <row r="28306">
      <c r="H28306" s="50"/>
      <c r="I28306" s="50"/>
      <c r="O28306" s="36" t="s">
        <v>48</v>
      </c>
      <c r="R28306" s="36" t="s">
        <v>48</v>
      </c>
    </row>
    <row r="28307">
      <c r="H28307" s="50"/>
      <c r="I28307" s="50"/>
      <c r="O28307" s="36" t="s">
        <v>48</v>
      </c>
      <c r="R28307" s="36" t="s">
        <v>48</v>
      </c>
    </row>
    <row r="28308">
      <c r="H28308" s="50"/>
      <c r="I28308" s="50"/>
      <c r="O28308" s="36" t="s">
        <v>48</v>
      </c>
      <c r="R28308" s="36" t="s">
        <v>48</v>
      </c>
    </row>
    <row r="28309">
      <c r="H28309" s="50"/>
      <c r="I28309" s="50"/>
      <c r="O28309" s="36" t="s">
        <v>48</v>
      </c>
      <c r="R28309" s="36" t="s">
        <v>48</v>
      </c>
    </row>
    <row r="28310">
      <c r="H28310" s="50"/>
      <c r="I28310" s="50"/>
      <c r="O28310" s="36" t="s">
        <v>48</v>
      </c>
      <c r="R28310" s="36" t="s">
        <v>48</v>
      </c>
    </row>
    <row r="28311">
      <c r="H28311" s="50"/>
      <c r="I28311" s="50"/>
      <c r="O28311" s="36" t="s">
        <v>48</v>
      </c>
      <c r="R28311" s="36" t="s">
        <v>48</v>
      </c>
    </row>
    <row r="28312">
      <c r="H28312" s="50"/>
      <c r="I28312" s="50"/>
      <c r="O28312" s="36" t="s">
        <v>48</v>
      </c>
      <c r="R28312" s="36" t="s">
        <v>48</v>
      </c>
    </row>
    <row r="28313">
      <c r="H28313" s="50"/>
      <c r="I28313" s="50"/>
      <c r="O28313" s="36" t="s">
        <v>48</v>
      </c>
      <c r="R28313" s="36" t="s">
        <v>48</v>
      </c>
    </row>
    <row r="28314">
      <c r="H28314" s="50"/>
      <c r="I28314" s="50"/>
      <c r="O28314" s="36" t="s">
        <v>48</v>
      </c>
      <c r="R28314" s="36" t="s">
        <v>48</v>
      </c>
    </row>
    <row r="28315">
      <c r="H28315" s="50"/>
      <c r="I28315" s="50"/>
      <c r="O28315" s="36" t="s">
        <v>48</v>
      </c>
      <c r="R28315" s="36" t="s">
        <v>48</v>
      </c>
    </row>
    <row r="28316">
      <c r="H28316" s="50"/>
      <c r="I28316" s="50"/>
      <c r="O28316" s="36" t="s">
        <v>48</v>
      </c>
      <c r="R28316" s="36" t="s">
        <v>48</v>
      </c>
    </row>
    <row r="28317">
      <c r="H28317" s="50"/>
      <c r="I28317" s="50"/>
      <c r="O28317" s="36" t="s">
        <v>48</v>
      </c>
      <c r="R28317" s="36" t="s">
        <v>48</v>
      </c>
    </row>
    <row r="28318">
      <c r="H28318" s="50"/>
      <c r="I28318" s="50"/>
      <c r="O28318" s="36" t="s">
        <v>48</v>
      </c>
      <c r="R28318" s="36" t="s">
        <v>48</v>
      </c>
    </row>
    <row r="28319">
      <c r="H28319" s="50"/>
      <c r="I28319" s="50"/>
      <c r="O28319" s="36" t="s">
        <v>48</v>
      </c>
      <c r="R28319" s="36" t="s">
        <v>48</v>
      </c>
    </row>
    <row r="28320">
      <c r="H28320" s="50"/>
      <c r="I28320" s="50"/>
      <c r="O28320" s="36" t="s">
        <v>48</v>
      </c>
      <c r="R28320" s="36" t="s">
        <v>48</v>
      </c>
    </row>
    <row r="28321">
      <c r="H28321" s="50"/>
      <c r="I28321" s="50"/>
      <c r="O28321" s="36" t="s">
        <v>48</v>
      </c>
      <c r="R28321" s="36" t="s">
        <v>48</v>
      </c>
    </row>
    <row r="28322">
      <c r="H28322" s="50"/>
      <c r="I28322" s="50"/>
      <c r="O28322" s="36" t="s">
        <v>48</v>
      </c>
      <c r="R28322" s="36" t="s">
        <v>48</v>
      </c>
    </row>
    <row r="28323">
      <c r="H28323" s="50"/>
      <c r="I28323" s="50"/>
      <c r="O28323" s="36" t="s">
        <v>48</v>
      </c>
      <c r="R28323" s="36" t="s">
        <v>48</v>
      </c>
    </row>
    <row r="28324">
      <c r="H28324" s="50"/>
      <c r="I28324" s="50"/>
      <c r="O28324" s="36" t="s">
        <v>48</v>
      </c>
      <c r="R28324" s="36" t="s">
        <v>48</v>
      </c>
    </row>
    <row r="28325">
      <c r="H28325" s="50"/>
      <c r="I28325" s="50"/>
      <c r="O28325" s="36" t="s">
        <v>48</v>
      </c>
      <c r="R28325" s="36" t="s">
        <v>48</v>
      </c>
    </row>
    <row r="28326">
      <c r="H28326" s="50"/>
      <c r="I28326" s="50"/>
      <c r="O28326" s="36" t="s">
        <v>48</v>
      </c>
      <c r="R28326" s="36" t="s">
        <v>48</v>
      </c>
    </row>
    <row r="28327">
      <c r="H28327" s="50"/>
      <c r="I28327" s="50"/>
      <c r="O28327" s="36" t="s">
        <v>48</v>
      </c>
      <c r="R28327" s="36" t="s">
        <v>48</v>
      </c>
    </row>
    <row r="28328">
      <c r="H28328" s="50"/>
      <c r="I28328" s="50"/>
      <c r="O28328" s="36" t="s">
        <v>48</v>
      </c>
      <c r="R28328" s="36" t="s">
        <v>48</v>
      </c>
    </row>
    <row r="28329">
      <c r="H28329" s="50"/>
      <c r="I28329" s="50"/>
      <c r="O28329" s="36" t="s">
        <v>48</v>
      </c>
      <c r="R28329" s="36" t="s">
        <v>48</v>
      </c>
    </row>
    <row r="28330">
      <c r="H28330" s="50"/>
      <c r="I28330" s="50"/>
      <c r="O28330" s="36" t="s">
        <v>48</v>
      </c>
      <c r="R28330" s="36" t="s">
        <v>48</v>
      </c>
    </row>
    <row r="28331">
      <c r="H28331" s="50"/>
      <c r="I28331" s="50"/>
      <c r="O28331" s="36" t="s">
        <v>48</v>
      </c>
      <c r="R28331" s="36" t="s">
        <v>48</v>
      </c>
    </row>
    <row r="28332">
      <c r="H28332" s="50"/>
      <c r="I28332" s="50"/>
      <c r="O28332" s="36" t="s">
        <v>48</v>
      </c>
      <c r="R28332" s="36" t="s">
        <v>48</v>
      </c>
    </row>
    <row r="28333">
      <c r="H28333" s="50"/>
      <c r="I28333" s="50"/>
      <c r="O28333" s="36" t="s">
        <v>48</v>
      </c>
      <c r="R28333" s="36" t="s">
        <v>48</v>
      </c>
    </row>
    <row r="28334">
      <c r="H28334" s="50"/>
      <c r="I28334" s="50"/>
      <c r="O28334" s="36" t="s">
        <v>48</v>
      </c>
      <c r="R28334" s="36" t="s">
        <v>48</v>
      </c>
    </row>
    <row r="28335">
      <c r="H28335" s="50"/>
      <c r="I28335" s="50"/>
      <c r="O28335" s="36" t="s">
        <v>48</v>
      </c>
      <c r="R28335" s="36" t="s">
        <v>48</v>
      </c>
    </row>
    <row r="28336">
      <c r="H28336" s="50"/>
      <c r="I28336" s="50"/>
      <c r="O28336" s="36" t="s">
        <v>48</v>
      </c>
      <c r="R28336" s="36" t="s">
        <v>48</v>
      </c>
    </row>
    <row r="28337">
      <c r="H28337" s="50"/>
      <c r="I28337" s="50"/>
      <c r="O28337" s="36" t="s">
        <v>48</v>
      </c>
      <c r="R28337" s="36" t="s">
        <v>48</v>
      </c>
    </row>
    <row r="28338">
      <c r="H28338" s="50"/>
      <c r="I28338" s="50"/>
      <c r="O28338" s="36" t="s">
        <v>48</v>
      </c>
      <c r="R28338" s="36" t="s">
        <v>48</v>
      </c>
    </row>
    <row r="28339">
      <c r="H28339" s="50"/>
      <c r="I28339" s="50"/>
      <c r="O28339" s="36" t="s">
        <v>48</v>
      </c>
      <c r="R28339" s="36" t="s">
        <v>48</v>
      </c>
    </row>
    <row r="28340">
      <c r="H28340" s="50"/>
      <c r="I28340" s="50"/>
      <c r="O28340" s="36" t="s">
        <v>48</v>
      </c>
      <c r="R28340" s="36" t="s">
        <v>48</v>
      </c>
    </row>
    <row r="28341">
      <c r="H28341" s="50"/>
      <c r="I28341" s="50"/>
      <c r="O28341" s="36" t="s">
        <v>48</v>
      </c>
      <c r="R28341" s="36" t="s">
        <v>48</v>
      </c>
    </row>
    <row r="28342">
      <c r="H28342" s="50"/>
      <c r="I28342" s="50"/>
      <c r="O28342" s="36" t="s">
        <v>48</v>
      </c>
      <c r="R28342" s="36" t="s">
        <v>48</v>
      </c>
    </row>
    <row r="28343">
      <c r="H28343" s="50"/>
      <c r="I28343" s="50"/>
      <c r="O28343" s="36" t="s">
        <v>48</v>
      </c>
      <c r="R28343" s="36" t="s">
        <v>48</v>
      </c>
    </row>
    <row r="28344">
      <c r="H28344" s="50"/>
      <c r="I28344" s="50"/>
      <c r="O28344" s="36" t="s">
        <v>48</v>
      </c>
      <c r="R28344" s="36" t="s">
        <v>48</v>
      </c>
    </row>
    <row r="28345">
      <c r="H28345" s="50"/>
      <c r="I28345" s="50"/>
      <c r="O28345" s="36" t="s">
        <v>48</v>
      </c>
      <c r="R28345" s="36" t="s">
        <v>48</v>
      </c>
    </row>
    <row r="28346">
      <c r="H28346" s="50"/>
      <c r="I28346" s="50"/>
      <c r="O28346" s="36" t="s">
        <v>48</v>
      </c>
      <c r="R28346" s="36" t="s">
        <v>48</v>
      </c>
    </row>
    <row r="28347">
      <c r="H28347" s="50"/>
      <c r="I28347" s="50"/>
      <c r="O28347" s="36" t="s">
        <v>48</v>
      </c>
      <c r="R28347" s="36" t="s">
        <v>48</v>
      </c>
    </row>
    <row r="28348">
      <c r="H28348" s="50"/>
      <c r="I28348" s="50"/>
      <c r="O28348" s="36" t="s">
        <v>48</v>
      </c>
      <c r="R28348" s="36" t="s">
        <v>48</v>
      </c>
    </row>
    <row r="28349">
      <c r="H28349" s="50"/>
      <c r="I28349" s="50"/>
      <c r="O28349" s="36" t="s">
        <v>48</v>
      </c>
      <c r="R28349" s="36" t="s">
        <v>48</v>
      </c>
    </row>
    <row r="28350">
      <c r="H28350" s="50"/>
      <c r="I28350" s="50"/>
      <c r="O28350" s="36" t="s">
        <v>48</v>
      </c>
      <c r="R28350" s="36" t="s">
        <v>48</v>
      </c>
    </row>
    <row r="28351">
      <c r="H28351" s="50"/>
      <c r="I28351" s="50"/>
      <c r="O28351" s="36" t="s">
        <v>48</v>
      </c>
      <c r="R28351" s="36" t="s">
        <v>48</v>
      </c>
    </row>
    <row r="28352">
      <c r="H28352" s="50"/>
      <c r="I28352" s="50"/>
      <c r="O28352" s="36" t="s">
        <v>48</v>
      </c>
      <c r="R28352" s="36" t="s">
        <v>48</v>
      </c>
    </row>
    <row r="28353">
      <c r="H28353" s="50"/>
      <c r="I28353" s="50"/>
      <c r="O28353" s="36" t="s">
        <v>48</v>
      </c>
      <c r="R28353" s="36" t="s">
        <v>48</v>
      </c>
    </row>
    <row r="28354">
      <c r="H28354" s="50"/>
      <c r="I28354" s="50"/>
      <c r="O28354" s="36" t="s">
        <v>48</v>
      </c>
      <c r="R28354" s="36" t="s">
        <v>48</v>
      </c>
    </row>
    <row r="28355">
      <c r="H28355" s="50"/>
      <c r="I28355" s="50"/>
      <c r="O28355" s="36" t="s">
        <v>48</v>
      </c>
      <c r="R28355" s="36" t="s">
        <v>48</v>
      </c>
    </row>
    <row r="28356">
      <c r="H28356" s="50"/>
      <c r="I28356" s="50"/>
      <c r="O28356" s="36" t="s">
        <v>48</v>
      </c>
      <c r="R28356" s="36" t="s">
        <v>48</v>
      </c>
    </row>
    <row r="28357">
      <c r="H28357" s="50"/>
      <c r="I28357" s="50"/>
      <c r="O28357" s="36" t="s">
        <v>48</v>
      </c>
      <c r="R28357" s="36" t="s">
        <v>48</v>
      </c>
    </row>
    <row r="28358">
      <c r="H28358" s="50"/>
      <c r="I28358" s="50"/>
      <c r="O28358" s="36" t="s">
        <v>48</v>
      </c>
      <c r="R28358" s="36" t="s">
        <v>48</v>
      </c>
    </row>
    <row r="28359">
      <c r="H28359" s="50"/>
      <c r="I28359" s="50"/>
      <c r="O28359" s="36" t="s">
        <v>48</v>
      </c>
      <c r="R28359" s="36" t="s">
        <v>48</v>
      </c>
    </row>
    <row r="28360">
      <c r="H28360" s="50"/>
      <c r="I28360" s="50"/>
      <c r="O28360" s="36" t="s">
        <v>48</v>
      </c>
      <c r="R28360" s="36" t="s">
        <v>48</v>
      </c>
    </row>
    <row r="28361">
      <c r="H28361" s="50"/>
      <c r="I28361" s="50"/>
      <c r="O28361" s="36" t="s">
        <v>48</v>
      </c>
      <c r="R28361" s="36" t="s">
        <v>48</v>
      </c>
    </row>
    <row r="28362">
      <c r="H28362" s="50"/>
      <c r="I28362" s="50"/>
      <c r="O28362" s="36" t="s">
        <v>48</v>
      </c>
      <c r="R28362" s="36" t="s">
        <v>48</v>
      </c>
    </row>
    <row r="28363">
      <c r="H28363" s="50"/>
      <c r="I28363" s="50"/>
      <c r="O28363" s="36" t="s">
        <v>48</v>
      </c>
      <c r="R28363" s="36" t="s">
        <v>48</v>
      </c>
    </row>
    <row r="28364">
      <c r="H28364" s="50"/>
      <c r="I28364" s="50"/>
      <c r="O28364" s="36" t="s">
        <v>48</v>
      </c>
      <c r="R28364" s="36" t="s">
        <v>48</v>
      </c>
    </row>
    <row r="28365">
      <c r="H28365" s="50"/>
      <c r="I28365" s="50"/>
      <c r="O28365" s="36" t="s">
        <v>48</v>
      </c>
      <c r="R28365" s="36" t="s">
        <v>48</v>
      </c>
    </row>
    <row r="28366">
      <c r="H28366" s="50"/>
      <c r="I28366" s="50"/>
      <c r="O28366" s="36" t="s">
        <v>48</v>
      </c>
      <c r="R28366" s="36" t="s">
        <v>48</v>
      </c>
    </row>
    <row r="28367">
      <c r="H28367" s="50"/>
      <c r="I28367" s="50"/>
      <c r="O28367" s="36" t="s">
        <v>48</v>
      </c>
      <c r="R28367" s="36" t="s">
        <v>48</v>
      </c>
    </row>
    <row r="28368">
      <c r="H28368" s="50"/>
      <c r="I28368" s="50"/>
      <c r="O28368" s="36" t="s">
        <v>48</v>
      </c>
      <c r="R28368" s="36" t="s">
        <v>48</v>
      </c>
    </row>
    <row r="28369">
      <c r="H28369" s="50"/>
      <c r="I28369" s="50"/>
      <c r="O28369" s="36" t="s">
        <v>48</v>
      </c>
      <c r="R28369" s="36" t="s">
        <v>48</v>
      </c>
    </row>
    <row r="28370">
      <c r="H28370" s="50"/>
      <c r="I28370" s="50"/>
      <c r="O28370" s="36" t="s">
        <v>48</v>
      </c>
      <c r="R28370" s="36" t="s">
        <v>48</v>
      </c>
    </row>
    <row r="28371">
      <c r="H28371" s="50"/>
      <c r="I28371" s="50"/>
      <c r="O28371" s="36" t="s">
        <v>48</v>
      </c>
      <c r="R28371" s="36" t="s">
        <v>48</v>
      </c>
    </row>
    <row r="28372">
      <c r="H28372" s="50"/>
      <c r="I28372" s="50"/>
      <c r="O28372" s="36" t="s">
        <v>48</v>
      </c>
      <c r="R28372" s="36" t="s">
        <v>48</v>
      </c>
    </row>
    <row r="28373">
      <c r="H28373" s="50"/>
      <c r="I28373" s="50"/>
      <c r="O28373" s="36" t="s">
        <v>48</v>
      </c>
      <c r="R28373" s="36" t="s">
        <v>48</v>
      </c>
    </row>
    <row r="28374">
      <c r="H28374" s="50"/>
      <c r="I28374" s="50"/>
      <c r="O28374" s="36" t="s">
        <v>48</v>
      </c>
      <c r="R28374" s="36" t="s">
        <v>48</v>
      </c>
    </row>
    <row r="28375">
      <c r="H28375" s="50"/>
      <c r="I28375" s="50"/>
      <c r="O28375" s="36" t="s">
        <v>48</v>
      </c>
      <c r="R28375" s="36" t="s">
        <v>48</v>
      </c>
    </row>
    <row r="28376">
      <c r="H28376" s="50"/>
      <c r="I28376" s="50"/>
      <c r="O28376" s="36" t="s">
        <v>48</v>
      </c>
      <c r="R28376" s="36" t="s">
        <v>48</v>
      </c>
    </row>
    <row r="28377">
      <c r="H28377" s="50"/>
      <c r="I28377" s="50"/>
      <c r="O28377" s="36" t="s">
        <v>48</v>
      </c>
      <c r="R28377" s="36" t="s">
        <v>48</v>
      </c>
    </row>
    <row r="28378">
      <c r="H28378" s="50"/>
      <c r="I28378" s="50"/>
      <c r="O28378" s="36" t="s">
        <v>48</v>
      </c>
      <c r="R28378" s="36" t="s">
        <v>48</v>
      </c>
    </row>
    <row r="28379">
      <c r="H28379" s="50"/>
      <c r="I28379" s="50"/>
      <c r="O28379" s="36" t="s">
        <v>48</v>
      </c>
      <c r="R28379" s="36" t="s">
        <v>48</v>
      </c>
    </row>
    <row r="28380">
      <c r="H28380" s="50"/>
      <c r="I28380" s="50"/>
      <c r="O28380" s="36" t="s">
        <v>48</v>
      </c>
      <c r="R28380" s="36" t="s">
        <v>48</v>
      </c>
    </row>
    <row r="28381">
      <c r="H28381" s="50"/>
      <c r="I28381" s="50"/>
      <c r="O28381" s="36" t="s">
        <v>48</v>
      </c>
      <c r="R28381" s="36" t="s">
        <v>48</v>
      </c>
    </row>
    <row r="28382">
      <c r="H28382" s="50"/>
      <c r="I28382" s="50"/>
      <c r="O28382" s="36" t="s">
        <v>48</v>
      </c>
      <c r="R28382" s="36" t="s">
        <v>48</v>
      </c>
    </row>
    <row r="28383">
      <c r="H28383" s="50"/>
      <c r="I28383" s="50"/>
      <c r="O28383" s="36" t="s">
        <v>48</v>
      </c>
      <c r="R28383" s="36" t="s">
        <v>48</v>
      </c>
    </row>
    <row r="28384">
      <c r="H28384" s="50"/>
      <c r="I28384" s="50"/>
      <c r="O28384" s="36" t="s">
        <v>48</v>
      </c>
      <c r="R28384" s="36" t="s">
        <v>48</v>
      </c>
    </row>
    <row r="28385">
      <c r="H28385" s="50"/>
      <c r="I28385" s="50"/>
      <c r="O28385" s="36" t="s">
        <v>48</v>
      </c>
      <c r="R28385" s="36" t="s">
        <v>48</v>
      </c>
    </row>
    <row r="28386">
      <c r="H28386" s="50"/>
      <c r="I28386" s="50"/>
      <c r="O28386" s="36" t="s">
        <v>48</v>
      </c>
      <c r="R28386" s="36" t="s">
        <v>48</v>
      </c>
    </row>
    <row r="28387">
      <c r="H28387" s="50"/>
      <c r="I28387" s="50"/>
      <c r="O28387" s="36" t="s">
        <v>48</v>
      </c>
      <c r="R28387" s="36" t="s">
        <v>48</v>
      </c>
    </row>
    <row r="28388">
      <c r="H28388" s="50"/>
      <c r="I28388" s="50"/>
      <c r="O28388" s="36" t="s">
        <v>48</v>
      </c>
      <c r="R28388" s="36" t="s">
        <v>48</v>
      </c>
    </row>
    <row r="28389">
      <c r="H28389" s="50"/>
      <c r="I28389" s="50"/>
      <c r="O28389" s="36" t="s">
        <v>48</v>
      </c>
      <c r="R28389" s="36" t="s">
        <v>48</v>
      </c>
    </row>
    <row r="28390">
      <c r="H28390" s="50"/>
      <c r="I28390" s="50"/>
      <c r="O28390" s="36" t="s">
        <v>48</v>
      </c>
      <c r="R28390" s="36" t="s">
        <v>48</v>
      </c>
    </row>
    <row r="28391">
      <c r="H28391" s="50"/>
      <c r="I28391" s="50"/>
      <c r="O28391" s="36" t="s">
        <v>48</v>
      </c>
      <c r="R28391" s="36" t="s">
        <v>48</v>
      </c>
    </row>
    <row r="28392">
      <c r="H28392" s="50"/>
      <c r="I28392" s="50"/>
      <c r="O28392" s="36" t="s">
        <v>48</v>
      </c>
      <c r="R28392" s="36" t="s">
        <v>48</v>
      </c>
    </row>
    <row r="28393">
      <c r="H28393" s="50"/>
      <c r="I28393" s="50"/>
      <c r="O28393" s="36" t="s">
        <v>48</v>
      </c>
      <c r="R28393" s="36" t="s">
        <v>48</v>
      </c>
    </row>
    <row r="28394">
      <c r="H28394" s="50"/>
      <c r="I28394" s="50"/>
      <c r="O28394" s="36" t="s">
        <v>48</v>
      </c>
      <c r="R28394" s="36" t="s">
        <v>48</v>
      </c>
    </row>
    <row r="28395">
      <c r="H28395" s="50"/>
      <c r="I28395" s="50"/>
      <c r="O28395" s="36" t="s">
        <v>48</v>
      </c>
      <c r="R28395" s="36" t="s">
        <v>48</v>
      </c>
    </row>
    <row r="28396">
      <c r="H28396" s="50"/>
      <c r="I28396" s="50"/>
      <c r="O28396" s="36" t="s">
        <v>48</v>
      </c>
      <c r="R28396" s="36" t="s">
        <v>48</v>
      </c>
    </row>
    <row r="28397">
      <c r="H28397" s="50"/>
      <c r="I28397" s="50"/>
      <c r="O28397" s="36" t="s">
        <v>48</v>
      </c>
      <c r="R28397" s="36" t="s">
        <v>48</v>
      </c>
    </row>
    <row r="28398">
      <c r="H28398" s="50"/>
      <c r="I28398" s="50"/>
      <c r="O28398" s="36" t="s">
        <v>48</v>
      </c>
      <c r="R28398" s="36" t="s">
        <v>48</v>
      </c>
    </row>
    <row r="28399">
      <c r="H28399" s="50"/>
      <c r="I28399" s="50"/>
      <c r="O28399" s="36" t="s">
        <v>48</v>
      </c>
      <c r="R28399" s="36" t="s">
        <v>48</v>
      </c>
    </row>
    <row r="28400">
      <c r="H28400" s="50"/>
      <c r="I28400" s="50"/>
      <c r="O28400" s="36" t="s">
        <v>48</v>
      </c>
      <c r="R28400" s="36" t="s">
        <v>48</v>
      </c>
    </row>
    <row r="28401">
      <c r="H28401" s="50"/>
      <c r="I28401" s="50"/>
      <c r="O28401" s="36" t="s">
        <v>48</v>
      </c>
      <c r="R28401" s="36" t="s">
        <v>48</v>
      </c>
    </row>
    <row r="28402">
      <c r="H28402" s="50"/>
      <c r="I28402" s="50"/>
      <c r="O28402" s="36" t="s">
        <v>48</v>
      </c>
      <c r="R28402" s="36" t="s">
        <v>48</v>
      </c>
    </row>
    <row r="28403">
      <c r="H28403" s="50"/>
      <c r="I28403" s="50"/>
      <c r="O28403" s="36" t="s">
        <v>48</v>
      </c>
      <c r="R28403" s="36" t="s">
        <v>48</v>
      </c>
    </row>
    <row r="28404">
      <c r="H28404" s="50"/>
      <c r="I28404" s="50"/>
      <c r="O28404" s="36" t="s">
        <v>48</v>
      </c>
      <c r="R28404" s="36" t="s">
        <v>48</v>
      </c>
    </row>
    <row r="28405">
      <c r="H28405" s="50"/>
      <c r="I28405" s="50"/>
      <c r="O28405" s="36" t="s">
        <v>48</v>
      </c>
      <c r="R28405" s="36" t="s">
        <v>48</v>
      </c>
    </row>
    <row r="28406">
      <c r="H28406" s="50"/>
      <c r="I28406" s="50"/>
      <c r="O28406" s="36" t="s">
        <v>48</v>
      </c>
      <c r="R28406" s="36" t="s">
        <v>48</v>
      </c>
    </row>
    <row r="28407">
      <c r="H28407" s="50"/>
      <c r="I28407" s="50"/>
      <c r="O28407" s="36" t="s">
        <v>48</v>
      </c>
      <c r="R28407" s="36" t="s">
        <v>48</v>
      </c>
    </row>
    <row r="28408">
      <c r="H28408" s="50"/>
      <c r="I28408" s="50"/>
      <c r="O28408" s="36" t="s">
        <v>48</v>
      </c>
      <c r="R28408" s="36" t="s">
        <v>48</v>
      </c>
    </row>
    <row r="28409">
      <c r="H28409" s="50"/>
      <c r="I28409" s="50"/>
      <c r="O28409" s="36" t="s">
        <v>48</v>
      </c>
      <c r="R28409" s="36" t="s">
        <v>48</v>
      </c>
    </row>
    <row r="28410">
      <c r="H28410" s="50"/>
      <c r="I28410" s="50"/>
      <c r="O28410" s="36" t="s">
        <v>48</v>
      </c>
      <c r="R28410" s="36" t="s">
        <v>48</v>
      </c>
    </row>
    <row r="28411">
      <c r="H28411" s="50"/>
      <c r="I28411" s="50"/>
      <c r="O28411" s="36" t="s">
        <v>48</v>
      </c>
      <c r="R28411" s="36" t="s">
        <v>48</v>
      </c>
    </row>
    <row r="28412">
      <c r="H28412" s="50"/>
      <c r="I28412" s="50"/>
      <c r="O28412" s="36" t="s">
        <v>48</v>
      </c>
      <c r="R28412" s="36" t="s">
        <v>48</v>
      </c>
    </row>
    <row r="28413">
      <c r="H28413" s="50"/>
      <c r="I28413" s="50"/>
      <c r="O28413" s="36" t="s">
        <v>48</v>
      </c>
      <c r="R28413" s="36" t="s">
        <v>48</v>
      </c>
    </row>
    <row r="28414">
      <c r="H28414" s="50"/>
      <c r="I28414" s="50"/>
      <c r="O28414" s="36" t="s">
        <v>48</v>
      </c>
      <c r="R28414" s="36" t="s">
        <v>48</v>
      </c>
    </row>
    <row r="28415">
      <c r="H28415" s="50"/>
      <c r="I28415" s="50"/>
      <c r="O28415" s="36" t="s">
        <v>48</v>
      </c>
      <c r="R28415" s="36" t="s">
        <v>48</v>
      </c>
    </row>
    <row r="28416">
      <c r="H28416" s="50"/>
      <c r="I28416" s="50"/>
      <c r="O28416" s="36" t="s">
        <v>48</v>
      </c>
      <c r="R28416" s="36" t="s">
        <v>48</v>
      </c>
    </row>
    <row r="28417">
      <c r="H28417" s="50"/>
      <c r="I28417" s="50"/>
      <c r="O28417" s="36" t="s">
        <v>48</v>
      </c>
      <c r="R28417" s="36" t="s">
        <v>48</v>
      </c>
    </row>
    <row r="28418">
      <c r="H28418" s="50"/>
      <c r="I28418" s="50"/>
      <c r="O28418" s="36" t="s">
        <v>48</v>
      </c>
      <c r="R28418" s="36" t="s">
        <v>48</v>
      </c>
    </row>
    <row r="28419">
      <c r="H28419" s="50"/>
      <c r="I28419" s="50"/>
      <c r="O28419" s="36" t="s">
        <v>48</v>
      </c>
      <c r="R28419" s="36" t="s">
        <v>48</v>
      </c>
    </row>
    <row r="28420">
      <c r="H28420" s="50"/>
      <c r="I28420" s="50"/>
      <c r="O28420" s="36" t="s">
        <v>48</v>
      </c>
      <c r="R28420" s="36" t="s">
        <v>48</v>
      </c>
    </row>
    <row r="28421">
      <c r="H28421" s="50"/>
      <c r="I28421" s="50"/>
      <c r="O28421" s="36" t="s">
        <v>48</v>
      </c>
      <c r="R28421" s="36" t="s">
        <v>48</v>
      </c>
    </row>
    <row r="28422">
      <c r="H28422" s="50"/>
      <c r="I28422" s="50"/>
      <c r="O28422" s="36" t="s">
        <v>48</v>
      </c>
      <c r="R28422" s="36" t="s">
        <v>48</v>
      </c>
    </row>
    <row r="28423">
      <c r="H28423" s="50"/>
      <c r="I28423" s="50"/>
      <c r="O28423" s="36" t="s">
        <v>48</v>
      </c>
      <c r="R28423" s="36" t="s">
        <v>48</v>
      </c>
    </row>
    <row r="28424">
      <c r="H28424" s="50"/>
      <c r="I28424" s="50"/>
      <c r="O28424" s="36" t="s">
        <v>48</v>
      </c>
      <c r="R28424" s="36" t="s">
        <v>48</v>
      </c>
    </row>
    <row r="28425">
      <c r="H28425" s="50"/>
      <c r="I28425" s="50"/>
      <c r="O28425" s="36" t="s">
        <v>48</v>
      </c>
      <c r="R28425" s="36" t="s">
        <v>48</v>
      </c>
    </row>
    <row r="28426">
      <c r="H28426" s="50"/>
      <c r="I28426" s="50"/>
      <c r="O28426" s="36" t="s">
        <v>48</v>
      </c>
      <c r="R28426" s="36" t="s">
        <v>48</v>
      </c>
    </row>
    <row r="28427">
      <c r="H28427" s="50"/>
      <c r="I28427" s="50"/>
      <c r="O28427" s="36" t="s">
        <v>48</v>
      </c>
      <c r="R28427" s="36" t="s">
        <v>48</v>
      </c>
    </row>
    <row r="28428">
      <c r="H28428" s="50"/>
      <c r="I28428" s="50"/>
      <c r="O28428" s="36" t="s">
        <v>48</v>
      </c>
      <c r="R28428" s="36" t="s">
        <v>48</v>
      </c>
    </row>
    <row r="28429">
      <c r="H28429" s="50"/>
      <c r="I28429" s="50"/>
      <c r="O28429" s="36" t="s">
        <v>48</v>
      </c>
      <c r="R28429" s="36" t="s">
        <v>48</v>
      </c>
    </row>
    <row r="28430">
      <c r="H28430" s="50"/>
      <c r="I28430" s="50"/>
      <c r="O28430" s="36" t="s">
        <v>48</v>
      </c>
      <c r="R28430" s="36" t="s">
        <v>48</v>
      </c>
    </row>
    <row r="28431">
      <c r="H28431" s="50"/>
      <c r="I28431" s="50"/>
      <c r="O28431" s="36" t="s">
        <v>48</v>
      </c>
      <c r="R28431" s="36" t="s">
        <v>48</v>
      </c>
    </row>
    <row r="28432">
      <c r="H28432" s="50"/>
      <c r="I28432" s="50"/>
      <c r="O28432" s="36" t="s">
        <v>48</v>
      </c>
      <c r="R28432" s="36" t="s">
        <v>48</v>
      </c>
    </row>
    <row r="28433">
      <c r="H28433" s="50"/>
      <c r="I28433" s="50"/>
      <c r="O28433" s="36" t="s">
        <v>48</v>
      </c>
      <c r="R28433" s="36" t="s">
        <v>48</v>
      </c>
    </row>
    <row r="28434">
      <c r="H28434" s="50"/>
      <c r="I28434" s="50"/>
      <c r="O28434" s="36" t="s">
        <v>48</v>
      </c>
      <c r="R28434" s="36" t="s">
        <v>48</v>
      </c>
    </row>
    <row r="28435">
      <c r="H28435" s="50"/>
      <c r="I28435" s="50"/>
      <c r="O28435" s="36" t="s">
        <v>48</v>
      </c>
      <c r="R28435" s="36" t="s">
        <v>48</v>
      </c>
    </row>
    <row r="28436">
      <c r="H28436" s="50"/>
      <c r="I28436" s="50"/>
      <c r="O28436" s="36" t="s">
        <v>48</v>
      </c>
      <c r="R28436" s="36" t="s">
        <v>48</v>
      </c>
    </row>
    <row r="28437">
      <c r="H28437" s="50"/>
      <c r="I28437" s="50"/>
      <c r="O28437" s="36" t="s">
        <v>48</v>
      </c>
      <c r="R28437" s="36" t="s">
        <v>48</v>
      </c>
    </row>
    <row r="28438">
      <c r="H28438" s="50"/>
      <c r="I28438" s="50"/>
      <c r="O28438" s="36" t="s">
        <v>48</v>
      </c>
      <c r="R28438" s="36" t="s">
        <v>48</v>
      </c>
    </row>
    <row r="28439">
      <c r="H28439" s="50"/>
      <c r="I28439" s="50"/>
      <c r="O28439" s="36" t="s">
        <v>48</v>
      </c>
      <c r="R28439" s="36" t="s">
        <v>48</v>
      </c>
    </row>
    <row r="28440">
      <c r="H28440" s="50"/>
      <c r="I28440" s="50"/>
      <c r="O28440" s="36" t="s">
        <v>48</v>
      </c>
      <c r="R28440" s="36" t="s">
        <v>48</v>
      </c>
    </row>
    <row r="28441">
      <c r="H28441" s="50"/>
      <c r="I28441" s="50"/>
      <c r="O28441" s="36" t="s">
        <v>48</v>
      </c>
      <c r="R28441" s="36" t="s">
        <v>48</v>
      </c>
    </row>
    <row r="28442">
      <c r="H28442" s="50"/>
      <c r="I28442" s="50"/>
      <c r="O28442" s="36" t="s">
        <v>48</v>
      </c>
      <c r="R28442" s="36" t="s">
        <v>48</v>
      </c>
    </row>
    <row r="28443">
      <c r="H28443" s="50"/>
      <c r="I28443" s="50"/>
      <c r="O28443" s="36" t="s">
        <v>48</v>
      </c>
      <c r="R28443" s="36" t="s">
        <v>48</v>
      </c>
    </row>
    <row r="28444">
      <c r="H28444" s="50"/>
      <c r="I28444" s="50"/>
      <c r="O28444" s="36" t="s">
        <v>48</v>
      </c>
      <c r="R28444" s="36" t="s">
        <v>48</v>
      </c>
    </row>
    <row r="28445">
      <c r="H28445" s="50"/>
      <c r="I28445" s="50"/>
      <c r="O28445" s="36" t="s">
        <v>48</v>
      </c>
      <c r="R28445" s="36" t="s">
        <v>48</v>
      </c>
    </row>
    <row r="28446">
      <c r="H28446" s="50"/>
      <c r="I28446" s="50"/>
      <c r="O28446" s="36" t="s">
        <v>48</v>
      </c>
      <c r="R28446" s="36" t="s">
        <v>48</v>
      </c>
    </row>
    <row r="28447">
      <c r="H28447" s="50"/>
      <c r="I28447" s="50"/>
      <c r="O28447" s="36" t="s">
        <v>48</v>
      </c>
      <c r="R28447" s="36" t="s">
        <v>48</v>
      </c>
    </row>
    <row r="28448">
      <c r="H28448" s="50"/>
      <c r="I28448" s="50"/>
      <c r="O28448" s="36" t="s">
        <v>48</v>
      </c>
      <c r="R28448" s="36" t="s">
        <v>48</v>
      </c>
    </row>
    <row r="28449">
      <c r="H28449" s="50"/>
      <c r="I28449" s="50"/>
      <c r="O28449" s="36" t="s">
        <v>48</v>
      </c>
      <c r="R28449" s="36" t="s">
        <v>48</v>
      </c>
    </row>
    <row r="28450">
      <c r="H28450" s="50"/>
      <c r="I28450" s="50"/>
      <c r="O28450" s="36" t="s">
        <v>48</v>
      </c>
      <c r="R28450" s="36" t="s">
        <v>48</v>
      </c>
    </row>
    <row r="28451">
      <c r="H28451" s="50"/>
      <c r="I28451" s="50"/>
      <c r="O28451" s="36" t="s">
        <v>48</v>
      </c>
      <c r="R28451" s="36" t="s">
        <v>48</v>
      </c>
    </row>
    <row r="28452">
      <c r="H28452" s="50"/>
      <c r="I28452" s="50"/>
      <c r="O28452" s="36" t="s">
        <v>48</v>
      </c>
      <c r="R28452" s="36" t="s">
        <v>48</v>
      </c>
    </row>
    <row r="28453">
      <c r="H28453" s="50"/>
      <c r="I28453" s="50"/>
      <c r="O28453" s="36" t="s">
        <v>48</v>
      </c>
      <c r="R28453" s="36" t="s">
        <v>48</v>
      </c>
    </row>
    <row r="28454">
      <c r="H28454" s="50"/>
      <c r="I28454" s="50"/>
      <c r="O28454" s="36" t="s">
        <v>48</v>
      </c>
      <c r="R28454" s="36" t="s">
        <v>48</v>
      </c>
    </row>
    <row r="28455">
      <c r="H28455" s="50"/>
      <c r="I28455" s="50"/>
      <c r="O28455" s="36" t="s">
        <v>48</v>
      </c>
      <c r="R28455" s="36" t="s">
        <v>48</v>
      </c>
    </row>
    <row r="28456">
      <c r="H28456" s="50"/>
      <c r="I28456" s="50"/>
      <c r="O28456" s="36" t="s">
        <v>48</v>
      </c>
      <c r="R28456" s="36" t="s">
        <v>48</v>
      </c>
    </row>
    <row r="28457">
      <c r="H28457" s="50"/>
      <c r="I28457" s="50"/>
      <c r="O28457" s="36" t="s">
        <v>48</v>
      </c>
      <c r="R28457" s="36" t="s">
        <v>48</v>
      </c>
    </row>
    <row r="28458">
      <c r="H28458" s="50"/>
      <c r="I28458" s="50"/>
      <c r="O28458" s="36" t="s">
        <v>48</v>
      </c>
      <c r="R28458" s="36" t="s">
        <v>48</v>
      </c>
    </row>
    <row r="28459">
      <c r="H28459" s="50"/>
      <c r="I28459" s="50"/>
      <c r="O28459" s="36" t="s">
        <v>48</v>
      </c>
      <c r="R28459" s="36" t="s">
        <v>48</v>
      </c>
    </row>
    <row r="28460">
      <c r="H28460" s="50"/>
      <c r="I28460" s="50"/>
      <c r="O28460" s="36" t="s">
        <v>48</v>
      </c>
      <c r="R28460" s="36" t="s">
        <v>48</v>
      </c>
    </row>
    <row r="28461">
      <c r="H28461" s="50"/>
      <c r="I28461" s="50"/>
      <c r="O28461" s="36" t="s">
        <v>48</v>
      </c>
      <c r="R28461" s="36" t="s">
        <v>48</v>
      </c>
    </row>
    <row r="28462">
      <c r="H28462" s="50"/>
      <c r="I28462" s="50"/>
      <c r="O28462" s="36" t="s">
        <v>48</v>
      </c>
      <c r="R28462" s="36" t="s">
        <v>48</v>
      </c>
    </row>
    <row r="28463">
      <c r="H28463" s="50"/>
      <c r="I28463" s="50"/>
      <c r="O28463" s="36" t="s">
        <v>48</v>
      </c>
      <c r="R28463" s="36" t="s">
        <v>48</v>
      </c>
    </row>
    <row r="28464">
      <c r="H28464" s="50"/>
      <c r="I28464" s="50"/>
      <c r="O28464" s="36" t="s">
        <v>48</v>
      </c>
      <c r="R28464" s="36" t="s">
        <v>48</v>
      </c>
    </row>
    <row r="28465">
      <c r="H28465" s="50"/>
      <c r="I28465" s="50"/>
      <c r="O28465" s="36" t="s">
        <v>48</v>
      </c>
      <c r="R28465" s="36" t="s">
        <v>48</v>
      </c>
    </row>
    <row r="28466">
      <c r="H28466" s="50"/>
      <c r="I28466" s="50"/>
      <c r="O28466" s="36" t="s">
        <v>48</v>
      </c>
      <c r="R28466" s="36" t="s">
        <v>48</v>
      </c>
    </row>
    <row r="28467">
      <c r="H28467" s="50"/>
      <c r="I28467" s="50"/>
      <c r="O28467" s="36" t="s">
        <v>48</v>
      </c>
      <c r="R28467" s="36" t="s">
        <v>48</v>
      </c>
    </row>
    <row r="28468">
      <c r="H28468" s="50"/>
      <c r="I28468" s="50"/>
      <c r="O28468" s="36" t="s">
        <v>48</v>
      </c>
      <c r="R28468" s="36" t="s">
        <v>48</v>
      </c>
    </row>
    <row r="28469">
      <c r="H28469" s="50"/>
      <c r="I28469" s="50"/>
      <c r="O28469" s="36" t="s">
        <v>48</v>
      </c>
      <c r="R28469" s="36" t="s">
        <v>48</v>
      </c>
    </row>
    <row r="28470">
      <c r="H28470" s="50"/>
      <c r="I28470" s="50"/>
      <c r="O28470" s="36" t="s">
        <v>48</v>
      </c>
      <c r="R28470" s="36" t="s">
        <v>48</v>
      </c>
    </row>
    <row r="28471">
      <c r="H28471" s="50"/>
      <c r="I28471" s="50"/>
      <c r="O28471" s="36" t="s">
        <v>48</v>
      </c>
      <c r="R28471" s="36" t="s">
        <v>48</v>
      </c>
    </row>
    <row r="28472">
      <c r="H28472" s="50"/>
      <c r="I28472" s="50"/>
      <c r="O28472" s="36" t="s">
        <v>48</v>
      </c>
      <c r="R28472" s="36" t="s">
        <v>48</v>
      </c>
    </row>
    <row r="28473">
      <c r="H28473" s="50"/>
      <c r="I28473" s="50"/>
      <c r="O28473" s="36" t="s">
        <v>48</v>
      </c>
      <c r="R28473" s="36" t="s">
        <v>48</v>
      </c>
    </row>
    <row r="28474">
      <c r="H28474" s="50"/>
      <c r="I28474" s="50"/>
      <c r="O28474" s="36" t="s">
        <v>48</v>
      </c>
      <c r="R28474" s="36" t="s">
        <v>48</v>
      </c>
    </row>
    <row r="28475">
      <c r="H28475" s="50"/>
      <c r="I28475" s="50"/>
      <c r="O28475" s="36" t="s">
        <v>48</v>
      </c>
      <c r="R28475" s="36" t="s">
        <v>48</v>
      </c>
    </row>
    <row r="28476">
      <c r="H28476" s="50"/>
      <c r="I28476" s="50"/>
      <c r="O28476" s="36" t="s">
        <v>48</v>
      </c>
      <c r="R28476" s="36" t="s">
        <v>48</v>
      </c>
    </row>
    <row r="28477">
      <c r="H28477" s="50"/>
      <c r="I28477" s="50"/>
      <c r="O28477" s="36" t="s">
        <v>48</v>
      </c>
      <c r="R28477" s="36" t="s">
        <v>48</v>
      </c>
    </row>
    <row r="28478">
      <c r="H28478" s="50"/>
      <c r="I28478" s="50"/>
      <c r="O28478" s="36" t="s">
        <v>48</v>
      </c>
      <c r="R28478" s="36" t="s">
        <v>48</v>
      </c>
    </row>
    <row r="28479">
      <c r="H28479" s="50"/>
      <c r="I28479" s="50"/>
      <c r="O28479" s="36" t="s">
        <v>48</v>
      </c>
      <c r="R28479" s="36" t="s">
        <v>48</v>
      </c>
    </row>
    <row r="28480">
      <c r="H28480" s="50"/>
      <c r="I28480" s="50"/>
      <c r="O28480" s="36" t="s">
        <v>48</v>
      </c>
      <c r="R28480" s="36" t="s">
        <v>48</v>
      </c>
    </row>
    <row r="28481">
      <c r="H28481" s="50"/>
      <c r="I28481" s="50"/>
      <c r="O28481" s="36" t="s">
        <v>48</v>
      </c>
      <c r="R28481" s="36" t="s">
        <v>48</v>
      </c>
    </row>
    <row r="28482">
      <c r="H28482" s="50"/>
      <c r="I28482" s="50"/>
      <c r="O28482" s="36" t="s">
        <v>48</v>
      </c>
      <c r="R28482" s="36" t="s">
        <v>48</v>
      </c>
    </row>
    <row r="28483">
      <c r="H28483" s="50"/>
      <c r="I28483" s="50"/>
      <c r="O28483" s="36" t="s">
        <v>48</v>
      </c>
      <c r="R28483" s="36" t="s">
        <v>48</v>
      </c>
    </row>
    <row r="28484">
      <c r="H28484" s="50"/>
      <c r="I28484" s="50"/>
      <c r="O28484" s="36" t="s">
        <v>48</v>
      </c>
      <c r="R28484" s="36" t="s">
        <v>48</v>
      </c>
    </row>
    <row r="28485">
      <c r="H28485" s="50"/>
      <c r="I28485" s="50"/>
      <c r="O28485" s="36" t="s">
        <v>48</v>
      </c>
      <c r="R28485" s="36" t="s">
        <v>48</v>
      </c>
    </row>
    <row r="28486">
      <c r="H28486" s="50"/>
      <c r="I28486" s="50"/>
      <c r="O28486" s="36" t="s">
        <v>48</v>
      </c>
      <c r="R28486" s="36" t="s">
        <v>48</v>
      </c>
    </row>
    <row r="28487">
      <c r="H28487" s="50"/>
      <c r="I28487" s="50"/>
      <c r="O28487" s="36" t="s">
        <v>48</v>
      </c>
      <c r="R28487" s="36" t="s">
        <v>48</v>
      </c>
    </row>
    <row r="28488">
      <c r="H28488" s="50"/>
      <c r="I28488" s="50"/>
      <c r="O28488" s="36" t="s">
        <v>48</v>
      </c>
      <c r="R28488" s="36" t="s">
        <v>48</v>
      </c>
    </row>
    <row r="28489">
      <c r="H28489" s="50"/>
      <c r="I28489" s="50"/>
      <c r="O28489" s="36" t="s">
        <v>48</v>
      </c>
      <c r="R28489" s="36" t="s">
        <v>48</v>
      </c>
    </row>
    <row r="28490">
      <c r="H28490" s="50"/>
      <c r="I28490" s="50"/>
      <c r="O28490" s="36" t="s">
        <v>48</v>
      </c>
      <c r="R28490" s="36" t="s">
        <v>48</v>
      </c>
    </row>
    <row r="28491">
      <c r="H28491" s="50"/>
      <c r="I28491" s="50"/>
      <c r="O28491" s="36" t="s">
        <v>48</v>
      </c>
      <c r="R28491" s="36" t="s">
        <v>48</v>
      </c>
    </row>
    <row r="28492">
      <c r="H28492" s="50"/>
      <c r="I28492" s="50"/>
      <c r="O28492" s="36" t="s">
        <v>48</v>
      </c>
      <c r="R28492" s="36" t="s">
        <v>48</v>
      </c>
    </row>
    <row r="28493">
      <c r="H28493" s="50"/>
      <c r="I28493" s="50"/>
      <c r="O28493" s="36" t="s">
        <v>48</v>
      </c>
      <c r="R28493" s="36" t="s">
        <v>48</v>
      </c>
    </row>
    <row r="28494">
      <c r="H28494" s="50"/>
      <c r="I28494" s="50"/>
      <c r="O28494" s="36" t="s">
        <v>48</v>
      </c>
      <c r="R28494" s="36" t="s">
        <v>48</v>
      </c>
    </row>
    <row r="28495">
      <c r="H28495" s="50"/>
      <c r="I28495" s="50"/>
      <c r="O28495" s="36" t="s">
        <v>48</v>
      </c>
      <c r="R28495" s="36" t="s">
        <v>48</v>
      </c>
    </row>
    <row r="28496">
      <c r="H28496" s="50"/>
      <c r="I28496" s="50"/>
      <c r="O28496" s="36" t="s">
        <v>48</v>
      </c>
      <c r="R28496" s="36" t="s">
        <v>48</v>
      </c>
    </row>
    <row r="28497">
      <c r="H28497" s="50"/>
      <c r="I28497" s="50"/>
      <c r="O28497" s="36" t="s">
        <v>48</v>
      </c>
      <c r="R28497" s="36" t="s">
        <v>48</v>
      </c>
    </row>
    <row r="28498">
      <c r="H28498" s="50"/>
      <c r="I28498" s="50"/>
      <c r="O28498" s="36" t="s">
        <v>48</v>
      </c>
      <c r="R28498" s="36" t="s">
        <v>48</v>
      </c>
    </row>
    <row r="28499">
      <c r="H28499" s="50"/>
      <c r="I28499" s="50"/>
      <c r="O28499" s="36" t="s">
        <v>48</v>
      </c>
      <c r="R28499" s="36" t="s">
        <v>48</v>
      </c>
    </row>
    <row r="28500">
      <c r="H28500" s="50"/>
      <c r="I28500" s="50"/>
      <c r="O28500" s="36" t="s">
        <v>48</v>
      </c>
      <c r="R28500" s="36" t="s">
        <v>48</v>
      </c>
    </row>
    <row r="28501">
      <c r="H28501" s="50"/>
      <c r="I28501" s="50"/>
      <c r="O28501" s="36" t="s">
        <v>48</v>
      </c>
      <c r="R28501" s="36" t="s">
        <v>48</v>
      </c>
    </row>
    <row r="28502">
      <c r="H28502" s="50"/>
      <c r="I28502" s="50"/>
      <c r="O28502" s="36" t="s">
        <v>48</v>
      </c>
      <c r="R28502" s="36" t="s">
        <v>48</v>
      </c>
    </row>
    <row r="28503">
      <c r="H28503" s="50"/>
      <c r="I28503" s="50"/>
      <c r="O28503" s="36" t="s">
        <v>48</v>
      </c>
      <c r="R28503" s="36" t="s">
        <v>48</v>
      </c>
    </row>
    <row r="28504">
      <c r="H28504" s="50"/>
      <c r="I28504" s="50"/>
      <c r="O28504" s="36" t="s">
        <v>48</v>
      </c>
      <c r="R28504" s="36" t="s">
        <v>48</v>
      </c>
    </row>
    <row r="28505">
      <c r="H28505" s="50"/>
      <c r="I28505" s="50"/>
      <c r="O28505" s="36" t="s">
        <v>48</v>
      </c>
      <c r="R28505" s="36" t="s">
        <v>48</v>
      </c>
    </row>
    <row r="28506">
      <c r="H28506" s="50"/>
      <c r="I28506" s="50"/>
      <c r="O28506" s="36" t="s">
        <v>48</v>
      </c>
      <c r="R28506" s="36" t="s">
        <v>48</v>
      </c>
    </row>
    <row r="28507">
      <c r="H28507" s="50"/>
      <c r="I28507" s="50"/>
      <c r="O28507" s="36" t="s">
        <v>48</v>
      </c>
      <c r="R28507" s="36" t="s">
        <v>48</v>
      </c>
    </row>
    <row r="28508">
      <c r="H28508" s="50"/>
      <c r="I28508" s="50"/>
      <c r="O28508" s="36" t="s">
        <v>48</v>
      </c>
      <c r="R28508" s="36" t="s">
        <v>48</v>
      </c>
    </row>
    <row r="28509">
      <c r="H28509" s="50"/>
      <c r="I28509" s="50"/>
      <c r="O28509" s="36" t="s">
        <v>48</v>
      </c>
      <c r="R28509" s="36" t="s">
        <v>48</v>
      </c>
    </row>
    <row r="28510">
      <c r="H28510" s="50"/>
      <c r="I28510" s="50"/>
      <c r="O28510" s="36" t="s">
        <v>48</v>
      </c>
      <c r="R28510" s="36" t="s">
        <v>48</v>
      </c>
    </row>
    <row r="28511">
      <c r="H28511" s="50"/>
      <c r="I28511" s="50"/>
      <c r="O28511" s="36" t="s">
        <v>48</v>
      </c>
      <c r="R28511" s="36" t="s">
        <v>48</v>
      </c>
    </row>
    <row r="28512">
      <c r="H28512" s="50"/>
      <c r="I28512" s="50"/>
      <c r="O28512" s="36" t="s">
        <v>48</v>
      </c>
      <c r="R28512" s="36" t="s">
        <v>48</v>
      </c>
    </row>
    <row r="28513">
      <c r="H28513" s="50"/>
      <c r="I28513" s="50"/>
      <c r="O28513" s="36" t="s">
        <v>48</v>
      </c>
      <c r="R28513" s="36" t="s">
        <v>48</v>
      </c>
    </row>
    <row r="28514">
      <c r="H28514" s="50"/>
      <c r="I28514" s="50"/>
      <c r="O28514" s="36" t="s">
        <v>48</v>
      </c>
      <c r="R28514" s="36" t="s">
        <v>48</v>
      </c>
    </row>
    <row r="28515">
      <c r="H28515" s="50"/>
      <c r="I28515" s="50"/>
      <c r="O28515" s="36" t="s">
        <v>48</v>
      </c>
      <c r="R28515" s="36" t="s">
        <v>48</v>
      </c>
    </row>
    <row r="28516">
      <c r="H28516" s="50"/>
      <c r="I28516" s="50"/>
      <c r="O28516" s="36" t="s">
        <v>48</v>
      </c>
      <c r="R28516" s="36" t="s">
        <v>48</v>
      </c>
    </row>
    <row r="28517">
      <c r="H28517" s="50"/>
      <c r="I28517" s="50"/>
      <c r="O28517" s="36" t="s">
        <v>48</v>
      </c>
      <c r="R28517" s="36" t="s">
        <v>48</v>
      </c>
    </row>
    <row r="28518">
      <c r="H28518" s="50"/>
      <c r="I28518" s="50"/>
      <c r="O28518" s="36" t="s">
        <v>48</v>
      </c>
      <c r="R28518" s="36" t="s">
        <v>48</v>
      </c>
    </row>
    <row r="28519">
      <c r="H28519" s="50"/>
      <c r="I28519" s="50"/>
      <c r="O28519" s="36" t="s">
        <v>48</v>
      </c>
      <c r="R28519" s="36" t="s">
        <v>48</v>
      </c>
    </row>
    <row r="28520">
      <c r="H28520" s="50"/>
      <c r="I28520" s="50"/>
      <c r="O28520" s="36" t="s">
        <v>48</v>
      </c>
      <c r="R28520" s="36" t="s">
        <v>48</v>
      </c>
    </row>
    <row r="28521">
      <c r="H28521" s="50"/>
      <c r="I28521" s="50"/>
      <c r="O28521" s="36" t="s">
        <v>48</v>
      </c>
      <c r="R28521" s="36" t="s">
        <v>48</v>
      </c>
    </row>
    <row r="28522">
      <c r="H28522" s="50"/>
      <c r="I28522" s="50"/>
      <c r="O28522" s="36" t="s">
        <v>48</v>
      </c>
      <c r="R28522" s="36" t="s">
        <v>48</v>
      </c>
    </row>
    <row r="28523">
      <c r="H28523" s="50"/>
      <c r="I28523" s="50"/>
      <c r="O28523" s="36" t="s">
        <v>48</v>
      </c>
      <c r="R28523" s="36" t="s">
        <v>48</v>
      </c>
    </row>
    <row r="28524">
      <c r="H28524" s="50"/>
      <c r="I28524" s="50"/>
      <c r="O28524" s="36" t="s">
        <v>48</v>
      </c>
      <c r="R28524" s="36" t="s">
        <v>48</v>
      </c>
    </row>
    <row r="28525">
      <c r="H28525" s="50"/>
      <c r="I28525" s="50"/>
      <c r="O28525" s="36" t="s">
        <v>48</v>
      </c>
      <c r="R28525" s="36" t="s">
        <v>48</v>
      </c>
    </row>
    <row r="28526">
      <c r="H28526" s="50"/>
      <c r="I28526" s="50"/>
      <c r="O28526" s="36" t="s">
        <v>48</v>
      </c>
      <c r="R28526" s="36" t="s">
        <v>48</v>
      </c>
    </row>
    <row r="28527">
      <c r="H28527" s="50"/>
      <c r="I28527" s="50"/>
      <c r="O28527" s="36" t="s">
        <v>48</v>
      </c>
      <c r="R28527" s="36" t="s">
        <v>48</v>
      </c>
    </row>
    <row r="28528">
      <c r="H28528" s="50"/>
      <c r="I28528" s="50"/>
      <c r="O28528" s="36" t="s">
        <v>48</v>
      </c>
      <c r="R28528" s="36" t="s">
        <v>48</v>
      </c>
    </row>
    <row r="28529">
      <c r="H28529" s="50"/>
      <c r="I28529" s="50"/>
      <c r="O28529" s="36" t="s">
        <v>48</v>
      </c>
      <c r="R28529" s="36" t="s">
        <v>48</v>
      </c>
    </row>
    <row r="28530">
      <c r="H28530" s="50"/>
      <c r="I28530" s="50"/>
      <c r="O28530" s="36" t="s">
        <v>48</v>
      </c>
      <c r="R28530" s="36" t="s">
        <v>48</v>
      </c>
    </row>
    <row r="28531">
      <c r="H28531" s="50"/>
      <c r="I28531" s="50"/>
      <c r="O28531" s="36" t="s">
        <v>48</v>
      </c>
      <c r="R28531" s="36" t="s">
        <v>48</v>
      </c>
    </row>
    <row r="28532">
      <c r="H28532" s="50"/>
      <c r="I28532" s="50"/>
      <c r="O28532" s="36" t="s">
        <v>48</v>
      </c>
      <c r="R28532" s="36" t="s">
        <v>48</v>
      </c>
    </row>
    <row r="28533">
      <c r="H28533" s="50"/>
      <c r="I28533" s="50"/>
      <c r="O28533" s="36" t="s">
        <v>48</v>
      </c>
      <c r="R28533" s="36" t="s">
        <v>48</v>
      </c>
    </row>
    <row r="28534">
      <c r="H28534" s="50"/>
      <c r="I28534" s="50"/>
      <c r="O28534" s="36" t="s">
        <v>48</v>
      </c>
      <c r="R28534" s="36" t="s">
        <v>48</v>
      </c>
    </row>
    <row r="28535">
      <c r="H28535" s="50"/>
      <c r="I28535" s="50"/>
      <c r="O28535" s="36" t="s">
        <v>48</v>
      </c>
      <c r="R28535" s="36" t="s">
        <v>48</v>
      </c>
    </row>
    <row r="28536">
      <c r="H28536" s="50"/>
      <c r="I28536" s="50"/>
      <c r="O28536" s="36" t="s">
        <v>48</v>
      </c>
      <c r="R28536" s="36" t="s">
        <v>48</v>
      </c>
    </row>
    <row r="28537">
      <c r="H28537" s="50"/>
      <c r="I28537" s="50"/>
      <c r="O28537" s="36" t="s">
        <v>48</v>
      </c>
      <c r="R28537" s="36" t="s">
        <v>48</v>
      </c>
    </row>
    <row r="28538">
      <c r="H28538" s="50"/>
      <c r="I28538" s="50"/>
      <c r="O28538" s="36" t="s">
        <v>48</v>
      </c>
      <c r="R28538" s="36" t="s">
        <v>48</v>
      </c>
    </row>
    <row r="28539">
      <c r="H28539" s="50"/>
      <c r="I28539" s="50"/>
      <c r="O28539" s="36" t="s">
        <v>48</v>
      </c>
      <c r="R28539" s="36" t="s">
        <v>48</v>
      </c>
    </row>
    <row r="28540">
      <c r="H28540" s="50"/>
      <c r="I28540" s="50"/>
      <c r="O28540" s="36" t="s">
        <v>48</v>
      </c>
      <c r="R28540" s="36" t="s">
        <v>48</v>
      </c>
    </row>
    <row r="28541">
      <c r="H28541" s="50"/>
      <c r="I28541" s="50"/>
      <c r="O28541" s="36" t="s">
        <v>48</v>
      </c>
      <c r="R28541" s="36" t="s">
        <v>48</v>
      </c>
    </row>
    <row r="28542">
      <c r="H28542" s="50"/>
      <c r="I28542" s="50"/>
      <c r="O28542" s="36" t="s">
        <v>48</v>
      </c>
      <c r="R28542" s="36" t="s">
        <v>48</v>
      </c>
    </row>
    <row r="28543">
      <c r="H28543" s="50"/>
      <c r="I28543" s="50"/>
      <c r="O28543" s="36" t="s">
        <v>48</v>
      </c>
      <c r="R28543" s="36" t="s">
        <v>48</v>
      </c>
    </row>
    <row r="28544">
      <c r="H28544" s="50"/>
      <c r="I28544" s="50"/>
      <c r="O28544" s="36" t="s">
        <v>48</v>
      </c>
      <c r="R28544" s="36" t="s">
        <v>48</v>
      </c>
    </row>
    <row r="28545">
      <c r="H28545" s="50"/>
      <c r="I28545" s="50"/>
      <c r="O28545" s="36" t="s">
        <v>48</v>
      </c>
      <c r="R28545" s="36" t="s">
        <v>48</v>
      </c>
    </row>
    <row r="28546">
      <c r="H28546" s="50"/>
      <c r="I28546" s="50"/>
      <c r="O28546" s="36" t="s">
        <v>48</v>
      </c>
      <c r="R28546" s="36" t="s">
        <v>48</v>
      </c>
    </row>
    <row r="28547">
      <c r="H28547" s="50"/>
      <c r="I28547" s="50"/>
      <c r="O28547" s="36" t="s">
        <v>48</v>
      </c>
      <c r="R28547" s="36" t="s">
        <v>48</v>
      </c>
    </row>
    <row r="28548">
      <c r="H28548" s="50"/>
      <c r="I28548" s="50"/>
      <c r="O28548" s="36" t="s">
        <v>48</v>
      </c>
      <c r="R28548" s="36" t="s">
        <v>48</v>
      </c>
    </row>
    <row r="28549">
      <c r="H28549" s="50"/>
      <c r="I28549" s="50"/>
      <c r="O28549" s="36" t="s">
        <v>48</v>
      </c>
      <c r="R28549" s="36" t="s">
        <v>48</v>
      </c>
    </row>
    <row r="28550">
      <c r="H28550" s="50"/>
      <c r="I28550" s="50"/>
      <c r="O28550" s="36" t="s">
        <v>48</v>
      </c>
      <c r="R28550" s="36" t="s">
        <v>48</v>
      </c>
    </row>
    <row r="28551">
      <c r="H28551" s="50"/>
      <c r="I28551" s="50"/>
      <c r="O28551" s="36" t="s">
        <v>48</v>
      </c>
      <c r="R28551" s="36" t="s">
        <v>48</v>
      </c>
    </row>
    <row r="28552">
      <c r="H28552" s="50"/>
      <c r="I28552" s="50"/>
      <c r="O28552" s="36" t="s">
        <v>48</v>
      </c>
      <c r="R28552" s="36" t="s">
        <v>48</v>
      </c>
    </row>
    <row r="28553">
      <c r="H28553" s="50"/>
      <c r="I28553" s="50"/>
      <c r="O28553" s="36" t="s">
        <v>48</v>
      </c>
      <c r="R28553" s="36" t="s">
        <v>48</v>
      </c>
    </row>
    <row r="28554">
      <c r="H28554" s="50"/>
      <c r="I28554" s="50"/>
      <c r="O28554" s="36" t="s">
        <v>48</v>
      </c>
      <c r="R28554" s="36" t="s">
        <v>48</v>
      </c>
    </row>
    <row r="28555">
      <c r="H28555" s="50"/>
      <c r="I28555" s="50"/>
      <c r="O28555" s="36" t="s">
        <v>48</v>
      </c>
      <c r="R28555" s="36" t="s">
        <v>48</v>
      </c>
    </row>
    <row r="28556">
      <c r="H28556" s="50"/>
      <c r="I28556" s="50"/>
      <c r="O28556" s="36" t="s">
        <v>48</v>
      </c>
      <c r="R28556" s="36" t="s">
        <v>48</v>
      </c>
    </row>
    <row r="28557">
      <c r="H28557" s="50"/>
      <c r="I28557" s="50"/>
      <c r="O28557" s="36" t="s">
        <v>48</v>
      </c>
      <c r="R28557" s="36" t="s">
        <v>48</v>
      </c>
    </row>
    <row r="28558">
      <c r="H28558" s="50"/>
      <c r="I28558" s="50"/>
      <c r="O28558" s="36" t="s">
        <v>48</v>
      </c>
      <c r="R28558" s="36" t="s">
        <v>48</v>
      </c>
    </row>
    <row r="28559">
      <c r="H28559" s="50"/>
      <c r="I28559" s="50"/>
      <c r="O28559" s="36" t="s">
        <v>48</v>
      </c>
      <c r="R28559" s="36" t="s">
        <v>48</v>
      </c>
    </row>
    <row r="28560">
      <c r="H28560" s="50"/>
      <c r="I28560" s="50"/>
      <c r="O28560" s="36" t="s">
        <v>48</v>
      </c>
      <c r="R28560" s="36" t="s">
        <v>48</v>
      </c>
    </row>
    <row r="28561">
      <c r="H28561" s="50"/>
      <c r="I28561" s="50"/>
      <c r="O28561" s="36" t="s">
        <v>48</v>
      </c>
      <c r="R28561" s="36" t="s">
        <v>48</v>
      </c>
    </row>
    <row r="28562">
      <c r="H28562" s="50"/>
      <c r="I28562" s="50"/>
      <c r="O28562" s="36" t="s">
        <v>48</v>
      </c>
      <c r="R28562" s="36" t="s">
        <v>48</v>
      </c>
    </row>
    <row r="28563">
      <c r="H28563" s="50"/>
      <c r="I28563" s="50"/>
      <c r="O28563" s="36" t="s">
        <v>48</v>
      </c>
      <c r="R28563" s="36" t="s">
        <v>48</v>
      </c>
    </row>
    <row r="28564">
      <c r="H28564" s="50"/>
      <c r="I28564" s="50"/>
      <c r="O28564" s="36" t="s">
        <v>48</v>
      </c>
      <c r="R28564" s="36" t="s">
        <v>48</v>
      </c>
    </row>
    <row r="28565">
      <c r="H28565" s="50"/>
      <c r="I28565" s="50"/>
      <c r="O28565" s="36" t="s">
        <v>48</v>
      </c>
      <c r="R28565" s="36" t="s">
        <v>48</v>
      </c>
    </row>
    <row r="28566">
      <c r="H28566" s="50"/>
      <c r="I28566" s="50"/>
      <c r="O28566" s="36" t="s">
        <v>48</v>
      </c>
      <c r="R28566" s="36" t="s">
        <v>48</v>
      </c>
    </row>
    <row r="28567">
      <c r="H28567" s="50"/>
      <c r="I28567" s="50"/>
      <c r="O28567" s="36" t="s">
        <v>48</v>
      </c>
      <c r="R28567" s="36" t="s">
        <v>48</v>
      </c>
    </row>
    <row r="28568">
      <c r="H28568" s="50"/>
      <c r="I28568" s="50"/>
      <c r="O28568" s="36" t="s">
        <v>48</v>
      </c>
      <c r="R28568" s="36" t="s">
        <v>48</v>
      </c>
    </row>
    <row r="28569">
      <c r="H28569" s="50"/>
      <c r="I28569" s="50"/>
      <c r="O28569" s="36" t="s">
        <v>48</v>
      </c>
      <c r="R28569" s="36" t="s">
        <v>48</v>
      </c>
    </row>
    <row r="28570">
      <c r="H28570" s="50"/>
      <c r="I28570" s="50"/>
      <c r="O28570" s="36" t="s">
        <v>48</v>
      </c>
      <c r="R28570" s="36" t="s">
        <v>48</v>
      </c>
    </row>
    <row r="28571">
      <c r="H28571" s="50"/>
      <c r="I28571" s="50"/>
      <c r="O28571" s="36" t="s">
        <v>48</v>
      </c>
      <c r="R28571" s="36" t="s">
        <v>48</v>
      </c>
    </row>
    <row r="28572">
      <c r="H28572" s="50"/>
      <c r="I28572" s="50"/>
      <c r="O28572" s="36" t="s">
        <v>48</v>
      </c>
      <c r="R28572" s="36" t="s">
        <v>48</v>
      </c>
    </row>
    <row r="28573">
      <c r="H28573" s="50"/>
      <c r="I28573" s="50"/>
      <c r="O28573" s="36" t="s">
        <v>48</v>
      </c>
      <c r="R28573" s="36" t="s">
        <v>48</v>
      </c>
    </row>
    <row r="28574">
      <c r="H28574" s="50"/>
      <c r="I28574" s="50"/>
      <c r="O28574" s="36" t="s">
        <v>48</v>
      </c>
      <c r="R28574" s="36" t="s">
        <v>48</v>
      </c>
    </row>
    <row r="28575">
      <c r="H28575" s="50"/>
      <c r="I28575" s="50"/>
      <c r="O28575" s="36" t="s">
        <v>48</v>
      </c>
      <c r="R28575" s="36" t="s">
        <v>48</v>
      </c>
    </row>
    <row r="28576">
      <c r="H28576" s="50"/>
      <c r="I28576" s="50"/>
      <c r="O28576" s="36" t="s">
        <v>48</v>
      </c>
      <c r="R28576" s="36" t="s">
        <v>48</v>
      </c>
    </row>
    <row r="28577">
      <c r="H28577" s="50"/>
      <c r="I28577" s="50"/>
      <c r="O28577" s="36" t="s">
        <v>48</v>
      </c>
      <c r="R28577" s="36" t="s">
        <v>48</v>
      </c>
    </row>
    <row r="28578">
      <c r="H28578" s="50"/>
      <c r="I28578" s="50"/>
      <c r="O28578" s="36" t="s">
        <v>48</v>
      </c>
      <c r="R28578" s="36" t="s">
        <v>48</v>
      </c>
    </row>
    <row r="28579">
      <c r="H28579" s="50"/>
      <c r="I28579" s="50"/>
      <c r="O28579" s="36" t="s">
        <v>48</v>
      </c>
      <c r="R28579" s="36" t="s">
        <v>48</v>
      </c>
    </row>
    <row r="28580">
      <c r="H28580" s="50"/>
      <c r="I28580" s="50"/>
      <c r="O28580" s="36" t="s">
        <v>48</v>
      </c>
      <c r="R28580" s="36" t="s">
        <v>48</v>
      </c>
    </row>
    <row r="28581">
      <c r="H28581" s="50"/>
      <c r="I28581" s="50"/>
      <c r="O28581" s="36" t="s">
        <v>48</v>
      </c>
      <c r="R28581" s="36" t="s">
        <v>48</v>
      </c>
    </row>
    <row r="28582">
      <c r="H28582" s="50"/>
      <c r="I28582" s="50"/>
      <c r="O28582" s="36" t="s">
        <v>48</v>
      </c>
      <c r="R28582" s="36" t="s">
        <v>48</v>
      </c>
    </row>
    <row r="28583">
      <c r="H28583" s="50"/>
      <c r="I28583" s="50"/>
      <c r="O28583" s="36" t="s">
        <v>48</v>
      </c>
      <c r="R28583" s="36" t="s">
        <v>48</v>
      </c>
    </row>
    <row r="28584">
      <c r="H28584" s="50"/>
      <c r="I28584" s="50"/>
      <c r="O28584" s="36" t="s">
        <v>48</v>
      </c>
      <c r="R28584" s="36" t="s">
        <v>48</v>
      </c>
    </row>
    <row r="28585">
      <c r="H28585" s="50"/>
      <c r="I28585" s="50"/>
      <c r="O28585" s="36" t="s">
        <v>48</v>
      </c>
      <c r="R28585" s="36" t="s">
        <v>48</v>
      </c>
    </row>
    <row r="28586">
      <c r="H28586" s="50"/>
      <c r="I28586" s="50"/>
      <c r="O28586" s="36" t="s">
        <v>48</v>
      </c>
      <c r="R28586" s="36" t="s">
        <v>48</v>
      </c>
    </row>
    <row r="28587">
      <c r="H28587" s="50"/>
      <c r="I28587" s="50"/>
      <c r="O28587" s="36" t="s">
        <v>48</v>
      </c>
      <c r="R28587" s="36" t="s">
        <v>48</v>
      </c>
    </row>
    <row r="28588">
      <c r="H28588" s="50"/>
      <c r="I28588" s="50"/>
      <c r="O28588" s="36" t="s">
        <v>48</v>
      </c>
      <c r="R28588" s="36" t="s">
        <v>48</v>
      </c>
    </row>
    <row r="28589">
      <c r="H28589" s="50"/>
      <c r="I28589" s="50"/>
      <c r="O28589" s="36" t="s">
        <v>48</v>
      </c>
      <c r="R28589" s="36" t="s">
        <v>48</v>
      </c>
    </row>
    <row r="28590">
      <c r="H28590" s="50"/>
      <c r="I28590" s="50"/>
      <c r="O28590" s="36" t="s">
        <v>48</v>
      </c>
      <c r="R28590" s="36" t="s">
        <v>48</v>
      </c>
    </row>
    <row r="28591">
      <c r="H28591" s="50"/>
      <c r="I28591" s="50"/>
      <c r="O28591" s="36" t="s">
        <v>48</v>
      </c>
      <c r="R28591" s="36" t="s">
        <v>48</v>
      </c>
    </row>
    <row r="28592">
      <c r="H28592" s="50"/>
      <c r="I28592" s="50"/>
      <c r="O28592" s="36" t="s">
        <v>48</v>
      </c>
      <c r="R28592" s="36" t="s">
        <v>48</v>
      </c>
    </row>
    <row r="28593">
      <c r="H28593" s="50"/>
      <c r="I28593" s="50"/>
      <c r="O28593" s="36" t="s">
        <v>48</v>
      </c>
      <c r="R28593" s="36" t="s">
        <v>48</v>
      </c>
    </row>
    <row r="28594">
      <c r="H28594" s="50"/>
      <c r="I28594" s="50"/>
      <c r="O28594" s="36" t="s">
        <v>48</v>
      </c>
      <c r="R28594" s="36" t="s">
        <v>48</v>
      </c>
    </row>
    <row r="28595">
      <c r="H28595" s="50"/>
      <c r="I28595" s="50"/>
      <c r="O28595" s="36" t="s">
        <v>48</v>
      </c>
      <c r="R28595" s="36" t="s">
        <v>48</v>
      </c>
    </row>
    <row r="28596">
      <c r="H28596" s="50"/>
      <c r="I28596" s="50"/>
      <c r="O28596" s="36" t="s">
        <v>48</v>
      </c>
      <c r="R28596" s="36" t="s">
        <v>48</v>
      </c>
    </row>
    <row r="28597">
      <c r="H28597" s="50"/>
      <c r="I28597" s="50"/>
      <c r="O28597" s="36" t="s">
        <v>48</v>
      </c>
      <c r="R28597" s="36" t="s">
        <v>48</v>
      </c>
    </row>
    <row r="28598">
      <c r="H28598" s="50"/>
      <c r="I28598" s="50"/>
      <c r="O28598" s="36" t="s">
        <v>48</v>
      </c>
      <c r="R28598" s="36" t="s">
        <v>48</v>
      </c>
    </row>
    <row r="28599">
      <c r="H28599" s="50"/>
      <c r="I28599" s="50"/>
      <c r="O28599" s="36" t="s">
        <v>48</v>
      </c>
      <c r="R28599" s="36" t="s">
        <v>48</v>
      </c>
    </row>
    <row r="28600">
      <c r="H28600" s="50"/>
      <c r="I28600" s="50"/>
      <c r="O28600" s="36" t="s">
        <v>48</v>
      </c>
      <c r="R28600" s="36" t="s">
        <v>48</v>
      </c>
    </row>
    <row r="28601">
      <c r="H28601" s="50"/>
      <c r="I28601" s="50"/>
      <c r="O28601" s="36" t="s">
        <v>48</v>
      </c>
      <c r="R28601" s="36" t="s">
        <v>48</v>
      </c>
    </row>
    <row r="28602">
      <c r="H28602" s="50"/>
      <c r="I28602" s="50"/>
      <c r="O28602" s="36" t="s">
        <v>48</v>
      </c>
      <c r="R28602" s="36" t="s">
        <v>48</v>
      </c>
    </row>
    <row r="28603">
      <c r="H28603" s="50"/>
      <c r="I28603" s="50"/>
      <c r="O28603" s="36" t="s">
        <v>48</v>
      </c>
      <c r="R28603" s="36" t="s">
        <v>48</v>
      </c>
    </row>
    <row r="28604">
      <c r="H28604" s="50"/>
      <c r="I28604" s="50"/>
      <c r="O28604" s="36" t="s">
        <v>48</v>
      </c>
      <c r="R28604" s="36" t="s">
        <v>48</v>
      </c>
    </row>
    <row r="28605">
      <c r="H28605" s="50"/>
      <c r="I28605" s="50"/>
      <c r="O28605" s="36" t="s">
        <v>48</v>
      </c>
      <c r="R28605" s="36" t="s">
        <v>48</v>
      </c>
    </row>
    <row r="28606">
      <c r="H28606" s="50"/>
      <c r="I28606" s="50"/>
      <c r="O28606" s="36" t="s">
        <v>48</v>
      </c>
      <c r="R28606" s="36" t="s">
        <v>48</v>
      </c>
    </row>
    <row r="28607">
      <c r="H28607" s="50"/>
      <c r="I28607" s="50"/>
      <c r="O28607" s="36" t="s">
        <v>48</v>
      </c>
      <c r="R28607" s="36" t="s">
        <v>48</v>
      </c>
    </row>
    <row r="28608">
      <c r="H28608" s="50"/>
      <c r="I28608" s="50"/>
      <c r="O28608" s="36" t="s">
        <v>48</v>
      </c>
      <c r="R28608" s="36" t="s">
        <v>48</v>
      </c>
    </row>
    <row r="28609">
      <c r="H28609" s="50"/>
      <c r="I28609" s="50"/>
      <c r="O28609" s="36" t="s">
        <v>48</v>
      </c>
      <c r="R28609" s="36" t="s">
        <v>48</v>
      </c>
    </row>
    <row r="28610">
      <c r="H28610" s="50"/>
      <c r="I28610" s="50"/>
      <c r="O28610" s="36" t="s">
        <v>48</v>
      </c>
      <c r="R28610" s="36" t="s">
        <v>48</v>
      </c>
    </row>
    <row r="28611">
      <c r="H28611" s="50"/>
      <c r="I28611" s="50"/>
      <c r="O28611" s="36" t="s">
        <v>48</v>
      </c>
      <c r="R28611" s="36" t="s">
        <v>48</v>
      </c>
    </row>
    <row r="28612">
      <c r="H28612" s="50"/>
      <c r="I28612" s="50"/>
      <c r="O28612" s="36" t="s">
        <v>48</v>
      </c>
      <c r="R28612" s="36" t="s">
        <v>48</v>
      </c>
    </row>
    <row r="28613">
      <c r="H28613" s="50"/>
      <c r="I28613" s="50"/>
      <c r="O28613" s="36" t="s">
        <v>48</v>
      </c>
      <c r="R28613" s="36" t="s">
        <v>48</v>
      </c>
    </row>
    <row r="28614">
      <c r="H28614" s="50"/>
      <c r="I28614" s="50"/>
      <c r="O28614" s="36" t="s">
        <v>48</v>
      </c>
      <c r="R28614" s="36" t="s">
        <v>48</v>
      </c>
    </row>
    <row r="28615">
      <c r="H28615" s="50"/>
      <c r="I28615" s="50"/>
      <c r="O28615" s="36" t="s">
        <v>48</v>
      </c>
      <c r="R28615" s="36" t="s">
        <v>48</v>
      </c>
    </row>
    <row r="28616">
      <c r="H28616" s="50"/>
      <c r="I28616" s="50"/>
      <c r="O28616" s="36" t="s">
        <v>48</v>
      </c>
      <c r="R28616" s="36" t="s">
        <v>48</v>
      </c>
    </row>
    <row r="28617">
      <c r="H28617" s="50"/>
      <c r="I28617" s="50"/>
      <c r="O28617" s="36" t="s">
        <v>48</v>
      </c>
      <c r="R28617" s="36" t="s">
        <v>48</v>
      </c>
    </row>
    <row r="28618">
      <c r="H28618" s="50"/>
      <c r="I28618" s="50"/>
      <c r="O28618" s="36" t="s">
        <v>48</v>
      </c>
      <c r="R28618" s="36" t="s">
        <v>48</v>
      </c>
    </row>
    <row r="28619">
      <c r="H28619" s="50"/>
      <c r="I28619" s="50"/>
      <c r="O28619" s="36" t="s">
        <v>48</v>
      </c>
      <c r="R28619" s="36" t="s">
        <v>48</v>
      </c>
    </row>
    <row r="28620">
      <c r="H28620" s="50"/>
      <c r="I28620" s="50"/>
      <c r="O28620" s="36" t="s">
        <v>48</v>
      </c>
      <c r="R28620" s="36" t="s">
        <v>48</v>
      </c>
    </row>
    <row r="28621">
      <c r="H28621" s="50"/>
      <c r="I28621" s="50"/>
      <c r="O28621" s="36" t="s">
        <v>48</v>
      </c>
      <c r="R28621" s="36" t="s">
        <v>48</v>
      </c>
    </row>
    <row r="28622">
      <c r="H28622" s="50"/>
      <c r="I28622" s="50"/>
      <c r="O28622" s="36" t="s">
        <v>48</v>
      </c>
      <c r="R28622" s="36" t="s">
        <v>48</v>
      </c>
    </row>
    <row r="28623">
      <c r="H28623" s="50"/>
      <c r="I28623" s="50"/>
      <c r="O28623" s="36" t="s">
        <v>48</v>
      </c>
      <c r="R28623" s="36" t="s">
        <v>48</v>
      </c>
    </row>
    <row r="28624">
      <c r="H28624" s="50"/>
      <c r="I28624" s="50"/>
      <c r="O28624" s="36" t="s">
        <v>48</v>
      </c>
      <c r="R28624" s="36" t="s">
        <v>48</v>
      </c>
    </row>
    <row r="28625">
      <c r="H28625" s="50"/>
      <c r="I28625" s="50"/>
      <c r="O28625" s="36" t="s">
        <v>48</v>
      </c>
      <c r="R28625" s="36" t="s">
        <v>48</v>
      </c>
    </row>
    <row r="28626">
      <c r="H28626" s="50"/>
      <c r="I28626" s="50"/>
      <c r="O28626" s="36" t="s">
        <v>48</v>
      </c>
      <c r="R28626" s="36" t="s">
        <v>48</v>
      </c>
    </row>
    <row r="28627">
      <c r="H28627" s="50"/>
      <c r="I28627" s="50"/>
      <c r="O28627" s="36" t="s">
        <v>48</v>
      </c>
      <c r="R28627" s="36" t="s">
        <v>48</v>
      </c>
    </row>
    <row r="28628">
      <c r="H28628" s="50"/>
      <c r="I28628" s="50"/>
      <c r="O28628" s="36" t="s">
        <v>48</v>
      </c>
      <c r="R28628" s="36" t="s">
        <v>48</v>
      </c>
    </row>
    <row r="28629">
      <c r="H28629" s="50"/>
      <c r="I28629" s="50"/>
      <c r="O28629" s="36" t="s">
        <v>48</v>
      </c>
      <c r="R28629" s="36" t="s">
        <v>48</v>
      </c>
    </row>
    <row r="28630">
      <c r="H28630" s="50"/>
      <c r="I28630" s="50"/>
      <c r="O28630" s="36" t="s">
        <v>48</v>
      </c>
      <c r="R28630" s="36" t="s">
        <v>48</v>
      </c>
    </row>
    <row r="28631">
      <c r="H28631" s="50"/>
      <c r="I28631" s="50"/>
      <c r="O28631" s="36" t="s">
        <v>48</v>
      </c>
      <c r="R28631" s="36" t="s">
        <v>48</v>
      </c>
    </row>
    <row r="28632">
      <c r="H28632" s="50"/>
      <c r="I28632" s="50"/>
      <c r="O28632" s="36" t="s">
        <v>48</v>
      </c>
      <c r="R28632" s="36" t="s">
        <v>48</v>
      </c>
    </row>
    <row r="28633">
      <c r="H28633" s="50"/>
      <c r="I28633" s="50"/>
      <c r="O28633" s="36" t="s">
        <v>48</v>
      </c>
      <c r="R28633" s="36" t="s">
        <v>48</v>
      </c>
    </row>
    <row r="28634">
      <c r="H28634" s="50"/>
      <c r="I28634" s="50"/>
      <c r="O28634" s="36" t="s">
        <v>48</v>
      </c>
      <c r="R28634" s="36" t="s">
        <v>48</v>
      </c>
    </row>
    <row r="28635">
      <c r="H28635" s="50"/>
      <c r="I28635" s="50"/>
      <c r="O28635" s="36" t="s">
        <v>48</v>
      </c>
      <c r="R28635" s="36" t="s">
        <v>48</v>
      </c>
    </row>
    <row r="28636">
      <c r="H28636" s="50"/>
      <c r="I28636" s="50"/>
      <c r="O28636" s="36" t="s">
        <v>48</v>
      </c>
      <c r="R28636" s="36" t="s">
        <v>48</v>
      </c>
    </row>
    <row r="28637">
      <c r="H28637" s="50"/>
      <c r="I28637" s="50"/>
      <c r="O28637" s="36" t="s">
        <v>48</v>
      </c>
      <c r="R28637" s="36" t="s">
        <v>48</v>
      </c>
    </row>
    <row r="28638">
      <c r="H28638" s="50"/>
      <c r="I28638" s="50"/>
      <c r="O28638" s="36" t="s">
        <v>48</v>
      </c>
      <c r="R28638" s="36" t="s">
        <v>48</v>
      </c>
    </row>
    <row r="28639">
      <c r="H28639" s="50"/>
      <c r="I28639" s="50"/>
      <c r="O28639" s="36" t="s">
        <v>48</v>
      </c>
      <c r="R28639" s="36" t="s">
        <v>48</v>
      </c>
    </row>
    <row r="28640">
      <c r="H28640" s="50"/>
      <c r="I28640" s="50"/>
      <c r="O28640" s="36" t="s">
        <v>48</v>
      </c>
      <c r="R28640" s="36" t="s">
        <v>48</v>
      </c>
    </row>
    <row r="28641">
      <c r="H28641" s="50"/>
      <c r="I28641" s="50"/>
      <c r="O28641" s="36" t="s">
        <v>48</v>
      </c>
      <c r="R28641" s="36" t="s">
        <v>48</v>
      </c>
    </row>
    <row r="28642">
      <c r="H28642" s="50"/>
      <c r="I28642" s="50"/>
      <c r="O28642" s="36" t="s">
        <v>48</v>
      </c>
      <c r="R28642" s="36" t="s">
        <v>48</v>
      </c>
    </row>
    <row r="28643">
      <c r="H28643" s="50"/>
      <c r="I28643" s="50"/>
      <c r="O28643" s="36" t="s">
        <v>48</v>
      </c>
      <c r="R28643" s="36" t="s">
        <v>48</v>
      </c>
    </row>
    <row r="28644">
      <c r="H28644" s="50"/>
      <c r="I28644" s="50"/>
      <c r="O28644" s="36" t="s">
        <v>48</v>
      </c>
      <c r="R28644" s="36" t="s">
        <v>48</v>
      </c>
    </row>
    <row r="28645">
      <c r="H28645" s="50"/>
      <c r="I28645" s="50"/>
      <c r="O28645" s="36" t="s">
        <v>48</v>
      </c>
      <c r="R28645" s="36" t="s">
        <v>48</v>
      </c>
    </row>
    <row r="28646">
      <c r="H28646" s="50"/>
      <c r="I28646" s="50"/>
      <c r="O28646" s="36" t="s">
        <v>48</v>
      </c>
      <c r="R28646" s="36" t="s">
        <v>48</v>
      </c>
    </row>
    <row r="28647">
      <c r="H28647" s="50"/>
      <c r="I28647" s="50"/>
      <c r="O28647" s="36" t="s">
        <v>48</v>
      </c>
      <c r="R28647" s="36" t="s">
        <v>48</v>
      </c>
    </row>
    <row r="28648">
      <c r="H28648" s="50"/>
      <c r="I28648" s="50"/>
      <c r="O28648" s="36" t="s">
        <v>48</v>
      </c>
      <c r="R28648" s="36" t="s">
        <v>48</v>
      </c>
    </row>
    <row r="28649">
      <c r="H28649" s="50"/>
      <c r="I28649" s="50"/>
      <c r="O28649" s="36" t="s">
        <v>48</v>
      </c>
      <c r="R28649" s="36" t="s">
        <v>48</v>
      </c>
    </row>
    <row r="28650">
      <c r="H28650" s="50"/>
      <c r="I28650" s="50"/>
      <c r="O28650" s="36" t="s">
        <v>48</v>
      </c>
      <c r="R28650" s="36" t="s">
        <v>48</v>
      </c>
    </row>
    <row r="28651">
      <c r="H28651" s="50"/>
      <c r="I28651" s="50"/>
      <c r="O28651" s="36" t="s">
        <v>48</v>
      </c>
      <c r="R28651" s="36" t="s">
        <v>48</v>
      </c>
    </row>
    <row r="28652">
      <c r="H28652" s="50"/>
      <c r="I28652" s="50"/>
      <c r="O28652" s="36" t="s">
        <v>48</v>
      </c>
      <c r="R28652" s="36" t="s">
        <v>48</v>
      </c>
    </row>
    <row r="28653">
      <c r="H28653" s="50"/>
      <c r="I28653" s="50"/>
      <c r="O28653" s="36" t="s">
        <v>48</v>
      </c>
      <c r="R28653" s="36" t="s">
        <v>48</v>
      </c>
    </row>
    <row r="28654">
      <c r="H28654" s="50"/>
      <c r="I28654" s="50"/>
      <c r="O28654" s="36" t="s">
        <v>48</v>
      </c>
      <c r="R28654" s="36" t="s">
        <v>48</v>
      </c>
    </row>
    <row r="28655">
      <c r="H28655" s="50"/>
      <c r="I28655" s="50"/>
      <c r="O28655" s="36" t="s">
        <v>48</v>
      </c>
      <c r="R28655" s="36" t="s">
        <v>48</v>
      </c>
    </row>
    <row r="28656">
      <c r="H28656" s="50"/>
      <c r="I28656" s="50"/>
      <c r="O28656" s="36" t="s">
        <v>48</v>
      </c>
      <c r="R28656" s="36" t="s">
        <v>48</v>
      </c>
    </row>
    <row r="28657">
      <c r="H28657" s="50"/>
      <c r="I28657" s="50"/>
      <c r="O28657" s="36" t="s">
        <v>48</v>
      </c>
      <c r="R28657" s="36" t="s">
        <v>48</v>
      </c>
    </row>
    <row r="28658">
      <c r="H28658" s="50"/>
      <c r="I28658" s="50"/>
      <c r="O28658" s="36" t="s">
        <v>48</v>
      </c>
      <c r="R28658" s="36" t="s">
        <v>48</v>
      </c>
    </row>
    <row r="28659">
      <c r="H28659" s="50"/>
      <c r="I28659" s="50"/>
      <c r="O28659" s="36" t="s">
        <v>48</v>
      </c>
      <c r="R28659" s="36" t="s">
        <v>48</v>
      </c>
    </row>
    <row r="28660">
      <c r="H28660" s="50"/>
      <c r="I28660" s="50"/>
      <c r="O28660" s="36" t="s">
        <v>48</v>
      </c>
      <c r="R28660" s="36" t="s">
        <v>48</v>
      </c>
    </row>
    <row r="28661">
      <c r="H28661" s="50"/>
      <c r="I28661" s="50"/>
      <c r="O28661" s="36" t="s">
        <v>48</v>
      </c>
      <c r="R28661" s="36" t="s">
        <v>48</v>
      </c>
    </row>
    <row r="28662">
      <c r="H28662" s="50"/>
      <c r="I28662" s="50"/>
      <c r="O28662" s="36" t="s">
        <v>48</v>
      </c>
      <c r="R28662" s="36" t="s">
        <v>48</v>
      </c>
    </row>
    <row r="28663">
      <c r="H28663" s="50"/>
      <c r="I28663" s="50"/>
      <c r="O28663" s="36" t="s">
        <v>48</v>
      </c>
      <c r="R28663" s="36" t="s">
        <v>48</v>
      </c>
    </row>
    <row r="28664">
      <c r="H28664" s="50"/>
      <c r="I28664" s="50"/>
      <c r="O28664" s="36" t="s">
        <v>48</v>
      </c>
      <c r="R28664" s="36" t="s">
        <v>48</v>
      </c>
    </row>
    <row r="28665">
      <c r="H28665" s="50"/>
      <c r="I28665" s="50"/>
      <c r="O28665" s="36" t="s">
        <v>48</v>
      </c>
      <c r="R28665" s="36" t="s">
        <v>48</v>
      </c>
    </row>
    <row r="28666">
      <c r="H28666" s="50"/>
      <c r="I28666" s="50"/>
      <c r="O28666" s="36" t="s">
        <v>48</v>
      </c>
      <c r="R28666" s="36" t="s">
        <v>48</v>
      </c>
    </row>
    <row r="28667">
      <c r="H28667" s="50"/>
      <c r="I28667" s="50"/>
      <c r="O28667" s="36" t="s">
        <v>48</v>
      </c>
      <c r="R28667" s="36" t="s">
        <v>48</v>
      </c>
    </row>
    <row r="28668">
      <c r="H28668" s="50"/>
      <c r="I28668" s="50"/>
      <c r="O28668" s="36" t="s">
        <v>48</v>
      </c>
      <c r="R28668" s="36" t="s">
        <v>48</v>
      </c>
    </row>
    <row r="28669">
      <c r="H28669" s="50"/>
      <c r="I28669" s="50"/>
      <c r="O28669" s="36" t="s">
        <v>48</v>
      </c>
      <c r="R28669" s="36" t="s">
        <v>48</v>
      </c>
    </row>
    <row r="28670">
      <c r="H28670" s="50"/>
      <c r="I28670" s="50"/>
      <c r="O28670" s="36" t="s">
        <v>48</v>
      </c>
      <c r="R28670" s="36" t="s">
        <v>48</v>
      </c>
    </row>
    <row r="28671">
      <c r="H28671" s="50"/>
      <c r="I28671" s="50"/>
      <c r="O28671" s="36" t="s">
        <v>48</v>
      </c>
      <c r="R28671" s="36" t="s">
        <v>48</v>
      </c>
    </row>
    <row r="28672">
      <c r="H28672" s="50"/>
      <c r="I28672" s="50"/>
      <c r="O28672" s="36" t="s">
        <v>48</v>
      </c>
      <c r="R28672" s="36" t="s">
        <v>48</v>
      </c>
    </row>
    <row r="28673">
      <c r="H28673" s="50"/>
      <c r="I28673" s="50"/>
      <c r="O28673" s="36" t="s">
        <v>48</v>
      </c>
      <c r="R28673" s="36" t="s">
        <v>48</v>
      </c>
    </row>
    <row r="28674">
      <c r="H28674" s="50"/>
      <c r="I28674" s="50"/>
      <c r="O28674" s="36" t="s">
        <v>48</v>
      </c>
      <c r="R28674" s="36" t="s">
        <v>48</v>
      </c>
    </row>
    <row r="28675">
      <c r="H28675" s="50"/>
      <c r="I28675" s="50"/>
      <c r="O28675" s="36" t="s">
        <v>48</v>
      </c>
      <c r="R28675" s="36" t="s">
        <v>48</v>
      </c>
    </row>
    <row r="28676">
      <c r="H28676" s="50"/>
      <c r="I28676" s="50"/>
      <c r="O28676" s="36" t="s">
        <v>48</v>
      </c>
      <c r="R28676" s="36" t="s">
        <v>48</v>
      </c>
    </row>
    <row r="28677">
      <c r="H28677" s="50"/>
      <c r="I28677" s="50"/>
      <c r="O28677" s="36" t="s">
        <v>48</v>
      </c>
      <c r="R28677" s="36" t="s">
        <v>48</v>
      </c>
    </row>
    <row r="28678">
      <c r="H28678" s="50"/>
      <c r="I28678" s="50"/>
      <c r="O28678" s="36" t="s">
        <v>48</v>
      </c>
      <c r="R28678" s="36" t="s">
        <v>48</v>
      </c>
    </row>
    <row r="28679">
      <c r="H28679" s="50"/>
      <c r="I28679" s="50"/>
      <c r="O28679" s="36" t="s">
        <v>48</v>
      </c>
      <c r="R28679" s="36" t="s">
        <v>48</v>
      </c>
    </row>
    <row r="28680">
      <c r="H28680" s="50"/>
      <c r="I28680" s="50"/>
      <c r="O28680" s="36" t="s">
        <v>48</v>
      </c>
      <c r="R28680" s="36" t="s">
        <v>48</v>
      </c>
    </row>
    <row r="28681">
      <c r="H28681" s="50"/>
      <c r="I28681" s="50"/>
      <c r="O28681" s="36" t="s">
        <v>48</v>
      </c>
      <c r="R28681" s="36" t="s">
        <v>48</v>
      </c>
    </row>
    <row r="28682">
      <c r="H28682" s="50"/>
      <c r="I28682" s="50"/>
      <c r="O28682" s="36" t="s">
        <v>48</v>
      </c>
      <c r="R28682" s="36" t="s">
        <v>48</v>
      </c>
    </row>
    <row r="28683">
      <c r="H28683" s="50"/>
      <c r="I28683" s="50"/>
      <c r="O28683" s="36" t="s">
        <v>48</v>
      </c>
      <c r="R28683" s="36" t="s">
        <v>48</v>
      </c>
    </row>
    <row r="28684">
      <c r="H28684" s="50"/>
      <c r="I28684" s="50"/>
      <c r="O28684" s="36" t="s">
        <v>48</v>
      </c>
      <c r="R28684" s="36" t="s">
        <v>48</v>
      </c>
    </row>
    <row r="28685">
      <c r="H28685" s="50"/>
      <c r="I28685" s="50"/>
      <c r="O28685" s="36" t="s">
        <v>48</v>
      </c>
      <c r="R28685" s="36" t="s">
        <v>48</v>
      </c>
    </row>
    <row r="28686">
      <c r="H28686" s="50"/>
      <c r="I28686" s="50"/>
      <c r="O28686" s="36" t="s">
        <v>48</v>
      </c>
      <c r="R28686" s="36" t="s">
        <v>48</v>
      </c>
    </row>
    <row r="28687">
      <c r="H28687" s="50"/>
      <c r="I28687" s="50"/>
      <c r="O28687" s="36" t="s">
        <v>48</v>
      </c>
      <c r="R28687" s="36" t="s">
        <v>48</v>
      </c>
    </row>
    <row r="28688">
      <c r="H28688" s="50"/>
      <c r="I28688" s="50"/>
      <c r="O28688" s="36" t="s">
        <v>48</v>
      </c>
      <c r="R28688" s="36" t="s">
        <v>48</v>
      </c>
    </row>
    <row r="28689">
      <c r="H28689" s="50"/>
      <c r="I28689" s="50"/>
      <c r="O28689" s="36" t="s">
        <v>48</v>
      </c>
      <c r="R28689" s="36" t="s">
        <v>48</v>
      </c>
    </row>
    <row r="28690">
      <c r="H28690" s="50"/>
      <c r="I28690" s="50"/>
      <c r="O28690" s="36" t="s">
        <v>48</v>
      </c>
      <c r="R28690" s="36" t="s">
        <v>48</v>
      </c>
    </row>
    <row r="28691">
      <c r="H28691" s="50"/>
      <c r="I28691" s="50"/>
      <c r="O28691" s="36" t="s">
        <v>48</v>
      </c>
      <c r="R28691" s="36" t="s">
        <v>48</v>
      </c>
    </row>
    <row r="28692">
      <c r="H28692" s="50"/>
      <c r="I28692" s="50"/>
      <c r="O28692" s="36" t="s">
        <v>48</v>
      </c>
      <c r="R28692" s="36" t="s">
        <v>48</v>
      </c>
    </row>
    <row r="28693">
      <c r="H28693" s="50"/>
      <c r="I28693" s="50"/>
      <c r="O28693" s="36" t="s">
        <v>48</v>
      </c>
      <c r="R28693" s="36" t="s">
        <v>48</v>
      </c>
    </row>
    <row r="28694">
      <c r="H28694" s="50"/>
      <c r="I28694" s="50"/>
      <c r="O28694" s="36" t="s">
        <v>48</v>
      </c>
      <c r="R28694" s="36" t="s">
        <v>48</v>
      </c>
    </row>
    <row r="28695">
      <c r="H28695" s="50"/>
      <c r="I28695" s="50"/>
      <c r="O28695" s="36" t="s">
        <v>48</v>
      </c>
      <c r="R28695" s="36" t="s">
        <v>48</v>
      </c>
    </row>
    <row r="28696">
      <c r="H28696" s="50"/>
      <c r="I28696" s="50"/>
      <c r="O28696" s="36" t="s">
        <v>48</v>
      </c>
      <c r="R28696" s="36" t="s">
        <v>48</v>
      </c>
    </row>
    <row r="28697">
      <c r="H28697" s="50"/>
      <c r="I28697" s="50"/>
      <c r="O28697" s="36" t="s">
        <v>48</v>
      </c>
      <c r="R28697" s="36" t="s">
        <v>48</v>
      </c>
    </row>
    <row r="28698">
      <c r="H28698" s="50"/>
      <c r="I28698" s="50"/>
      <c r="O28698" s="36" t="s">
        <v>48</v>
      </c>
      <c r="R28698" s="36" t="s">
        <v>48</v>
      </c>
    </row>
    <row r="28699">
      <c r="H28699" s="50"/>
      <c r="I28699" s="50"/>
      <c r="O28699" s="36" t="s">
        <v>48</v>
      </c>
      <c r="R28699" s="36" t="s">
        <v>48</v>
      </c>
    </row>
    <row r="28700">
      <c r="H28700" s="50"/>
      <c r="I28700" s="50"/>
      <c r="O28700" s="36" t="s">
        <v>48</v>
      </c>
      <c r="R28700" s="36" t="s">
        <v>48</v>
      </c>
    </row>
    <row r="28701">
      <c r="H28701" s="50"/>
      <c r="I28701" s="50"/>
      <c r="O28701" s="36" t="s">
        <v>48</v>
      </c>
      <c r="R28701" s="36" t="s">
        <v>48</v>
      </c>
    </row>
    <row r="28702">
      <c r="H28702" s="50"/>
      <c r="I28702" s="50"/>
      <c r="O28702" s="36" t="s">
        <v>48</v>
      </c>
      <c r="R28702" s="36" t="s">
        <v>48</v>
      </c>
    </row>
    <row r="28703">
      <c r="H28703" s="50"/>
      <c r="I28703" s="50"/>
      <c r="O28703" s="36" t="s">
        <v>48</v>
      </c>
      <c r="R28703" s="36" t="s">
        <v>48</v>
      </c>
    </row>
    <row r="28704">
      <c r="H28704" s="50"/>
      <c r="I28704" s="50"/>
      <c r="O28704" s="36" t="s">
        <v>48</v>
      </c>
      <c r="R28704" s="36" t="s">
        <v>48</v>
      </c>
    </row>
    <row r="28705">
      <c r="H28705" s="50"/>
      <c r="I28705" s="50"/>
      <c r="O28705" s="36" t="s">
        <v>48</v>
      </c>
      <c r="R28705" s="36" t="s">
        <v>48</v>
      </c>
    </row>
    <row r="28706">
      <c r="H28706" s="50"/>
      <c r="I28706" s="50"/>
      <c r="O28706" s="36" t="s">
        <v>48</v>
      </c>
      <c r="R28706" s="36" t="s">
        <v>48</v>
      </c>
    </row>
    <row r="28707">
      <c r="H28707" s="50"/>
      <c r="I28707" s="50"/>
      <c r="O28707" s="36" t="s">
        <v>48</v>
      </c>
      <c r="R28707" s="36" t="s">
        <v>48</v>
      </c>
    </row>
    <row r="28708">
      <c r="H28708" s="50"/>
      <c r="I28708" s="50"/>
      <c r="O28708" s="36" t="s">
        <v>48</v>
      </c>
      <c r="R28708" s="36" t="s">
        <v>48</v>
      </c>
    </row>
    <row r="28709">
      <c r="H28709" s="50"/>
      <c r="I28709" s="50"/>
      <c r="O28709" s="36" t="s">
        <v>48</v>
      </c>
      <c r="R28709" s="36" t="s">
        <v>48</v>
      </c>
    </row>
    <row r="28710">
      <c r="H28710" s="50"/>
      <c r="I28710" s="50"/>
      <c r="O28710" s="36" t="s">
        <v>48</v>
      </c>
      <c r="R28710" s="36" t="s">
        <v>48</v>
      </c>
    </row>
    <row r="28711">
      <c r="H28711" s="50"/>
      <c r="I28711" s="50"/>
      <c r="O28711" s="36" t="s">
        <v>48</v>
      </c>
      <c r="R28711" s="36" t="s">
        <v>48</v>
      </c>
    </row>
    <row r="28712">
      <c r="H28712" s="50"/>
      <c r="I28712" s="50"/>
      <c r="O28712" s="36" t="s">
        <v>48</v>
      </c>
      <c r="R28712" s="36" t="s">
        <v>48</v>
      </c>
    </row>
    <row r="28713">
      <c r="H28713" s="50"/>
      <c r="I28713" s="50"/>
      <c r="O28713" s="36" t="s">
        <v>48</v>
      </c>
      <c r="R28713" s="36" t="s">
        <v>48</v>
      </c>
    </row>
    <row r="28714">
      <c r="H28714" s="50"/>
      <c r="I28714" s="50"/>
      <c r="O28714" s="36" t="s">
        <v>48</v>
      </c>
      <c r="R28714" s="36" t="s">
        <v>48</v>
      </c>
    </row>
    <row r="28715">
      <c r="H28715" s="50"/>
      <c r="I28715" s="50"/>
      <c r="O28715" s="36" t="s">
        <v>48</v>
      </c>
      <c r="R28715" s="36" t="s">
        <v>48</v>
      </c>
    </row>
    <row r="28716">
      <c r="H28716" s="50"/>
      <c r="I28716" s="50"/>
      <c r="O28716" s="36" t="s">
        <v>48</v>
      </c>
      <c r="R28716" s="36" t="s">
        <v>48</v>
      </c>
    </row>
    <row r="28717">
      <c r="H28717" s="50"/>
      <c r="I28717" s="50"/>
      <c r="O28717" s="36" t="s">
        <v>48</v>
      </c>
      <c r="R28717" s="36" t="s">
        <v>48</v>
      </c>
    </row>
    <row r="28718">
      <c r="H28718" s="50"/>
      <c r="I28718" s="50"/>
      <c r="O28718" s="36" t="s">
        <v>48</v>
      </c>
      <c r="R28718" s="36" t="s">
        <v>48</v>
      </c>
    </row>
    <row r="28719">
      <c r="H28719" s="50"/>
      <c r="I28719" s="50"/>
      <c r="O28719" s="36" t="s">
        <v>48</v>
      </c>
      <c r="R28719" s="36" t="s">
        <v>48</v>
      </c>
    </row>
    <row r="28720">
      <c r="H28720" s="50"/>
      <c r="I28720" s="50"/>
      <c r="O28720" s="36" t="s">
        <v>48</v>
      </c>
      <c r="R28720" s="36" t="s">
        <v>48</v>
      </c>
    </row>
    <row r="28721">
      <c r="H28721" s="50"/>
      <c r="I28721" s="50"/>
      <c r="O28721" s="36" t="s">
        <v>48</v>
      </c>
      <c r="R28721" s="36" t="s">
        <v>48</v>
      </c>
    </row>
    <row r="28722">
      <c r="H28722" s="50"/>
      <c r="I28722" s="50"/>
      <c r="O28722" s="36" t="s">
        <v>48</v>
      </c>
      <c r="R28722" s="36" t="s">
        <v>48</v>
      </c>
    </row>
    <row r="28723">
      <c r="H28723" s="50"/>
      <c r="I28723" s="50"/>
      <c r="O28723" s="36" t="s">
        <v>48</v>
      </c>
      <c r="R28723" s="36" t="s">
        <v>48</v>
      </c>
    </row>
    <row r="28724">
      <c r="H28724" s="50"/>
      <c r="I28724" s="50"/>
      <c r="O28724" s="36" t="s">
        <v>48</v>
      </c>
      <c r="R28724" s="36" t="s">
        <v>48</v>
      </c>
    </row>
    <row r="28725">
      <c r="H28725" s="50"/>
      <c r="I28725" s="50"/>
      <c r="O28725" s="36" t="s">
        <v>48</v>
      </c>
      <c r="R28725" s="36" t="s">
        <v>48</v>
      </c>
    </row>
    <row r="28726">
      <c r="H28726" s="50"/>
      <c r="I28726" s="50"/>
      <c r="O28726" s="36" t="s">
        <v>48</v>
      </c>
      <c r="R28726" s="36" t="s">
        <v>48</v>
      </c>
    </row>
    <row r="28727">
      <c r="H28727" s="50"/>
      <c r="I28727" s="50"/>
      <c r="O28727" s="36" t="s">
        <v>48</v>
      </c>
      <c r="R28727" s="36" t="s">
        <v>48</v>
      </c>
    </row>
    <row r="28728">
      <c r="H28728" s="50"/>
      <c r="I28728" s="50"/>
      <c r="O28728" s="36" t="s">
        <v>48</v>
      </c>
      <c r="R28728" s="36" t="s">
        <v>48</v>
      </c>
    </row>
    <row r="28729">
      <c r="H28729" s="50"/>
      <c r="I28729" s="50"/>
      <c r="O28729" s="36" t="s">
        <v>48</v>
      </c>
      <c r="R28729" s="36" t="s">
        <v>48</v>
      </c>
    </row>
    <row r="28730">
      <c r="H28730" s="50"/>
      <c r="I28730" s="50"/>
      <c r="O28730" s="36" t="s">
        <v>48</v>
      </c>
      <c r="R28730" s="36" t="s">
        <v>48</v>
      </c>
    </row>
    <row r="28731">
      <c r="H28731" s="50"/>
      <c r="I28731" s="50"/>
      <c r="O28731" s="36" t="s">
        <v>48</v>
      </c>
      <c r="R28731" s="36" t="s">
        <v>48</v>
      </c>
    </row>
    <row r="28732">
      <c r="H28732" s="50"/>
      <c r="I28732" s="50"/>
      <c r="O28732" s="36" t="s">
        <v>48</v>
      </c>
      <c r="R28732" s="36" t="s">
        <v>48</v>
      </c>
    </row>
    <row r="28733">
      <c r="H28733" s="50"/>
      <c r="I28733" s="50"/>
      <c r="O28733" s="36" t="s">
        <v>48</v>
      </c>
      <c r="R28733" s="36" t="s">
        <v>48</v>
      </c>
    </row>
    <row r="28734">
      <c r="H28734" s="50"/>
      <c r="I28734" s="50"/>
      <c r="O28734" s="36" t="s">
        <v>48</v>
      </c>
      <c r="R28734" s="36" t="s">
        <v>48</v>
      </c>
    </row>
    <row r="28735">
      <c r="H28735" s="50"/>
      <c r="I28735" s="50"/>
      <c r="O28735" s="36" t="s">
        <v>48</v>
      </c>
      <c r="R28735" s="36" t="s">
        <v>48</v>
      </c>
    </row>
    <row r="28736">
      <c r="H28736" s="50"/>
      <c r="I28736" s="50"/>
      <c r="O28736" s="36" t="s">
        <v>48</v>
      </c>
      <c r="R28736" s="36" t="s">
        <v>48</v>
      </c>
    </row>
    <row r="28737">
      <c r="H28737" s="50"/>
      <c r="I28737" s="50"/>
      <c r="O28737" s="36" t="s">
        <v>48</v>
      </c>
      <c r="R28737" s="36" t="s">
        <v>48</v>
      </c>
    </row>
    <row r="28738">
      <c r="H28738" s="50"/>
      <c r="I28738" s="50"/>
      <c r="O28738" s="36" t="s">
        <v>48</v>
      </c>
      <c r="R28738" s="36" t="s">
        <v>48</v>
      </c>
    </row>
    <row r="28739">
      <c r="H28739" s="50"/>
      <c r="I28739" s="50"/>
      <c r="O28739" s="36" t="s">
        <v>48</v>
      </c>
      <c r="R28739" s="36" t="s">
        <v>48</v>
      </c>
    </row>
    <row r="28740">
      <c r="H28740" s="50"/>
      <c r="I28740" s="50"/>
      <c r="O28740" s="36" t="s">
        <v>48</v>
      </c>
      <c r="R28740" s="36" t="s">
        <v>48</v>
      </c>
    </row>
    <row r="28741">
      <c r="H28741" s="50"/>
      <c r="I28741" s="50"/>
      <c r="O28741" s="36" t="s">
        <v>48</v>
      </c>
      <c r="R28741" s="36" t="s">
        <v>48</v>
      </c>
    </row>
    <row r="28742">
      <c r="H28742" s="50"/>
      <c r="I28742" s="50"/>
      <c r="O28742" s="36" t="s">
        <v>48</v>
      </c>
      <c r="R28742" s="36" t="s">
        <v>48</v>
      </c>
    </row>
    <row r="28743">
      <c r="H28743" s="50"/>
      <c r="I28743" s="50"/>
      <c r="O28743" s="36" t="s">
        <v>48</v>
      </c>
      <c r="R28743" s="36" t="s">
        <v>48</v>
      </c>
    </row>
    <row r="28744">
      <c r="H28744" s="50"/>
      <c r="I28744" s="50"/>
      <c r="O28744" s="36" t="s">
        <v>48</v>
      </c>
      <c r="R28744" s="36" t="s">
        <v>48</v>
      </c>
    </row>
    <row r="28745">
      <c r="H28745" s="50"/>
      <c r="I28745" s="50"/>
      <c r="O28745" s="36" t="s">
        <v>48</v>
      </c>
      <c r="R28745" s="36" t="s">
        <v>48</v>
      </c>
    </row>
    <row r="28746">
      <c r="H28746" s="50"/>
      <c r="I28746" s="50"/>
      <c r="O28746" s="36" t="s">
        <v>48</v>
      </c>
      <c r="R28746" s="36" t="s">
        <v>48</v>
      </c>
    </row>
    <row r="28747">
      <c r="H28747" s="50"/>
      <c r="I28747" s="50"/>
      <c r="O28747" s="36" t="s">
        <v>48</v>
      </c>
      <c r="R28747" s="36" t="s">
        <v>48</v>
      </c>
    </row>
    <row r="28748">
      <c r="H28748" s="50"/>
      <c r="I28748" s="50"/>
      <c r="O28748" s="36" t="s">
        <v>48</v>
      </c>
      <c r="R28748" s="36" t="s">
        <v>48</v>
      </c>
    </row>
    <row r="28749">
      <c r="H28749" s="50"/>
      <c r="I28749" s="50"/>
      <c r="O28749" s="36" t="s">
        <v>48</v>
      </c>
      <c r="R28749" s="36" t="s">
        <v>48</v>
      </c>
    </row>
    <row r="28750">
      <c r="H28750" s="50"/>
      <c r="I28750" s="50"/>
      <c r="O28750" s="36" t="s">
        <v>48</v>
      </c>
      <c r="R28750" s="36" t="s">
        <v>48</v>
      </c>
    </row>
    <row r="28751">
      <c r="H28751" s="50"/>
      <c r="I28751" s="50"/>
      <c r="O28751" s="36" t="s">
        <v>48</v>
      </c>
      <c r="R28751" s="36" t="s">
        <v>48</v>
      </c>
    </row>
    <row r="28752">
      <c r="H28752" s="50"/>
      <c r="I28752" s="50"/>
      <c r="O28752" s="36" t="s">
        <v>48</v>
      </c>
      <c r="R28752" s="36" t="s">
        <v>48</v>
      </c>
    </row>
    <row r="28753">
      <c r="H28753" s="50"/>
      <c r="I28753" s="50"/>
      <c r="O28753" s="36" t="s">
        <v>48</v>
      </c>
      <c r="R28753" s="36" t="s">
        <v>48</v>
      </c>
    </row>
    <row r="28754">
      <c r="H28754" s="50"/>
      <c r="I28754" s="50"/>
      <c r="O28754" s="36" t="s">
        <v>48</v>
      </c>
      <c r="R28754" s="36" t="s">
        <v>48</v>
      </c>
    </row>
    <row r="28755">
      <c r="H28755" s="50"/>
      <c r="I28755" s="50"/>
      <c r="O28755" s="36" t="s">
        <v>48</v>
      </c>
      <c r="R28755" s="36" t="s">
        <v>48</v>
      </c>
    </row>
    <row r="28756">
      <c r="H28756" s="50"/>
      <c r="I28756" s="50"/>
      <c r="O28756" s="36" t="s">
        <v>48</v>
      </c>
      <c r="R28756" s="36" t="s">
        <v>48</v>
      </c>
    </row>
    <row r="28757">
      <c r="H28757" s="50"/>
      <c r="I28757" s="50"/>
      <c r="O28757" s="36" t="s">
        <v>48</v>
      </c>
      <c r="R28757" s="36" t="s">
        <v>48</v>
      </c>
    </row>
    <row r="28758">
      <c r="H28758" s="50"/>
      <c r="I28758" s="50"/>
      <c r="O28758" s="36" t="s">
        <v>48</v>
      </c>
      <c r="R28758" s="36" t="s">
        <v>48</v>
      </c>
    </row>
    <row r="28759">
      <c r="H28759" s="50"/>
      <c r="I28759" s="50"/>
      <c r="O28759" s="36" t="s">
        <v>48</v>
      </c>
      <c r="R28759" s="36" t="s">
        <v>48</v>
      </c>
    </row>
    <row r="28760">
      <c r="H28760" s="50"/>
      <c r="I28760" s="50"/>
      <c r="O28760" s="36" t="s">
        <v>48</v>
      </c>
      <c r="R28760" s="36" t="s">
        <v>48</v>
      </c>
    </row>
    <row r="28761">
      <c r="H28761" s="50"/>
      <c r="I28761" s="50"/>
      <c r="O28761" s="36" t="s">
        <v>48</v>
      </c>
      <c r="R28761" s="36" t="s">
        <v>48</v>
      </c>
    </row>
    <row r="28762">
      <c r="H28762" s="50"/>
      <c r="I28762" s="50"/>
      <c r="O28762" s="36" t="s">
        <v>48</v>
      </c>
      <c r="R28762" s="36" t="s">
        <v>48</v>
      </c>
    </row>
    <row r="28763">
      <c r="H28763" s="50"/>
      <c r="I28763" s="50"/>
      <c r="O28763" s="36" t="s">
        <v>48</v>
      </c>
      <c r="R28763" s="36" t="s">
        <v>48</v>
      </c>
    </row>
    <row r="28764">
      <c r="H28764" s="50"/>
      <c r="I28764" s="50"/>
      <c r="O28764" s="36" t="s">
        <v>48</v>
      </c>
      <c r="R28764" s="36" t="s">
        <v>48</v>
      </c>
    </row>
    <row r="28765">
      <c r="H28765" s="50"/>
      <c r="I28765" s="50"/>
      <c r="O28765" s="36" t="s">
        <v>48</v>
      </c>
      <c r="R28765" s="36" t="s">
        <v>48</v>
      </c>
    </row>
    <row r="28766">
      <c r="H28766" s="50"/>
      <c r="I28766" s="50"/>
      <c r="O28766" s="36" t="s">
        <v>48</v>
      </c>
      <c r="R28766" s="36" t="s">
        <v>48</v>
      </c>
    </row>
    <row r="28767">
      <c r="H28767" s="50"/>
      <c r="I28767" s="50"/>
      <c r="O28767" s="36" t="s">
        <v>48</v>
      </c>
      <c r="R28767" s="36" t="s">
        <v>48</v>
      </c>
    </row>
    <row r="28768">
      <c r="H28768" s="50"/>
      <c r="I28768" s="50"/>
      <c r="O28768" s="36" t="s">
        <v>48</v>
      </c>
      <c r="R28768" s="36" t="s">
        <v>48</v>
      </c>
    </row>
    <row r="28769">
      <c r="H28769" s="50"/>
      <c r="I28769" s="50"/>
      <c r="O28769" s="36" t="s">
        <v>48</v>
      </c>
      <c r="R28769" s="36" t="s">
        <v>48</v>
      </c>
    </row>
    <row r="28770">
      <c r="H28770" s="50"/>
      <c r="I28770" s="50"/>
      <c r="O28770" s="36" t="s">
        <v>48</v>
      </c>
      <c r="R28770" s="36" t="s">
        <v>48</v>
      </c>
    </row>
    <row r="28771">
      <c r="H28771" s="50"/>
      <c r="I28771" s="50"/>
      <c r="O28771" s="36" t="s">
        <v>48</v>
      </c>
      <c r="R28771" s="36" t="s">
        <v>48</v>
      </c>
    </row>
    <row r="28772">
      <c r="H28772" s="50"/>
      <c r="I28772" s="50"/>
      <c r="O28772" s="36" t="s">
        <v>48</v>
      </c>
      <c r="R28772" s="36" t="s">
        <v>48</v>
      </c>
    </row>
    <row r="28773">
      <c r="H28773" s="50"/>
      <c r="I28773" s="50"/>
      <c r="O28773" s="36" t="s">
        <v>48</v>
      </c>
      <c r="R28773" s="36" t="s">
        <v>48</v>
      </c>
    </row>
    <row r="28774">
      <c r="H28774" s="50"/>
      <c r="I28774" s="50"/>
      <c r="O28774" s="36" t="s">
        <v>48</v>
      </c>
      <c r="R28774" s="36" t="s">
        <v>48</v>
      </c>
    </row>
    <row r="28775">
      <c r="H28775" s="50"/>
      <c r="I28775" s="50"/>
      <c r="O28775" s="36" t="s">
        <v>48</v>
      </c>
      <c r="R28775" s="36" t="s">
        <v>48</v>
      </c>
    </row>
    <row r="28776">
      <c r="H28776" s="50"/>
      <c r="I28776" s="50"/>
      <c r="O28776" s="36" t="s">
        <v>48</v>
      </c>
      <c r="R28776" s="36" t="s">
        <v>48</v>
      </c>
    </row>
    <row r="28777">
      <c r="H28777" s="50"/>
      <c r="I28777" s="50"/>
      <c r="O28777" s="36" t="s">
        <v>48</v>
      </c>
      <c r="R28777" s="36" t="s">
        <v>48</v>
      </c>
    </row>
    <row r="28778">
      <c r="H28778" s="50"/>
      <c r="I28778" s="50"/>
      <c r="O28778" s="36" t="s">
        <v>48</v>
      </c>
      <c r="R28778" s="36" t="s">
        <v>48</v>
      </c>
    </row>
    <row r="28779">
      <c r="H28779" s="50"/>
      <c r="I28779" s="50"/>
      <c r="O28779" s="36" t="s">
        <v>48</v>
      </c>
      <c r="R28779" s="36" t="s">
        <v>48</v>
      </c>
    </row>
    <row r="28780">
      <c r="H28780" s="50"/>
      <c r="I28780" s="50"/>
      <c r="O28780" s="36" t="s">
        <v>48</v>
      </c>
      <c r="R28780" s="36" t="s">
        <v>48</v>
      </c>
    </row>
    <row r="28781">
      <c r="H28781" s="50"/>
      <c r="I28781" s="50"/>
      <c r="O28781" s="36" t="s">
        <v>48</v>
      </c>
      <c r="R28781" s="36" t="s">
        <v>48</v>
      </c>
    </row>
    <row r="28782">
      <c r="H28782" s="50"/>
      <c r="I28782" s="50"/>
      <c r="O28782" s="36" t="s">
        <v>48</v>
      </c>
      <c r="R28782" s="36" t="s">
        <v>48</v>
      </c>
    </row>
    <row r="28783">
      <c r="H28783" s="50"/>
      <c r="I28783" s="50"/>
      <c r="O28783" s="36" t="s">
        <v>48</v>
      </c>
      <c r="R28783" s="36" t="s">
        <v>48</v>
      </c>
    </row>
    <row r="28784">
      <c r="H28784" s="50"/>
      <c r="I28784" s="50"/>
      <c r="O28784" s="36" t="s">
        <v>48</v>
      </c>
      <c r="R28784" s="36" t="s">
        <v>48</v>
      </c>
    </row>
    <row r="28785">
      <c r="H28785" s="50"/>
      <c r="I28785" s="50"/>
      <c r="O28785" s="36" t="s">
        <v>48</v>
      </c>
      <c r="R28785" s="36" t="s">
        <v>48</v>
      </c>
    </row>
    <row r="28786">
      <c r="H28786" s="50"/>
      <c r="I28786" s="50"/>
      <c r="O28786" s="36" t="s">
        <v>48</v>
      </c>
      <c r="R28786" s="36" t="s">
        <v>48</v>
      </c>
    </row>
    <row r="28787">
      <c r="H28787" s="50"/>
      <c r="I28787" s="50"/>
      <c r="O28787" s="36" t="s">
        <v>48</v>
      </c>
      <c r="R28787" s="36" t="s">
        <v>48</v>
      </c>
    </row>
    <row r="28788">
      <c r="H28788" s="50"/>
      <c r="I28788" s="50"/>
      <c r="O28788" s="36" t="s">
        <v>48</v>
      </c>
      <c r="R28788" s="36" t="s">
        <v>48</v>
      </c>
    </row>
    <row r="28789">
      <c r="H28789" s="50"/>
      <c r="I28789" s="50"/>
      <c r="O28789" s="36" t="s">
        <v>48</v>
      </c>
      <c r="R28789" s="36" t="s">
        <v>48</v>
      </c>
    </row>
    <row r="28790">
      <c r="H28790" s="50"/>
      <c r="I28790" s="50"/>
      <c r="O28790" s="36" t="s">
        <v>48</v>
      </c>
      <c r="R28790" s="36" t="s">
        <v>48</v>
      </c>
    </row>
    <row r="28791">
      <c r="H28791" s="50"/>
      <c r="I28791" s="50"/>
      <c r="O28791" s="36" t="s">
        <v>48</v>
      </c>
      <c r="R28791" s="36" t="s">
        <v>48</v>
      </c>
    </row>
    <row r="28792">
      <c r="H28792" s="50"/>
      <c r="I28792" s="50"/>
      <c r="O28792" s="36" t="s">
        <v>48</v>
      </c>
      <c r="R28792" s="36" t="s">
        <v>48</v>
      </c>
    </row>
    <row r="28793">
      <c r="H28793" s="50"/>
      <c r="I28793" s="50"/>
      <c r="O28793" s="36" t="s">
        <v>48</v>
      </c>
      <c r="R28793" s="36" t="s">
        <v>48</v>
      </c>
    </row>
    <row r="28794">
      <c r="H28794" s="50"/>
      <c r="I28794" s="50"/>
      <c r="O28794" s="36" t="s">
        <v>48</v>
      </c>
      <c r="R28794" s="36" t="s">
        <v>48</v>
      </c>
    </row>
    <row r="28795">
      <c r="H28795" s="50"/>
      <c r="I28795" s="50"/>
      <c r="O28795" s="36" t="s">
        <v>48</v>
      </c>
      <c r="R28795" s="36" t="s">
        <v>48</v>
      </c>
    </row>
    <row r="28796">
      <c r="H28796" s="50"/>
      <c r="I28796" s="50"/>
      <c r="O28796" s="36" t="s">
        <v>48</v>
      </c>
      <c r="R28796" s="36" t="s">
        <v>48</v>
      </c>
    </row>
    <row r="28797">
      <c r="H28797" s="50"/>
      <c r="I28797" s="50"/>
      <c r="O28797" s="36" t="s">
        <v>48</v>
      </c>
      <c r="R28797" s="36" t="s">
        <v>48</v>
      </c>
    </row>
    <row r="28798">
      <c r="H28798" s="50"/>
      <c r="I28798" s="50"/>
      <c r="O28798" s="36" t="s">
        <v>48</v>
      </c>
      <c r="R28798" s="36" t="s">
        <v>48</v>
      </c>
    </row>
    <row r="28799">
      <c r="H28799" s="50"/>
      <c r="I28799" s="50"/>
      <c r="O28799" s="36" t="s">
        <v>48</v>
      </c>
      <c r="R28799" s="36" t="s">
        <v>48</v>
      </c>
    </row>
    <row r="28800">
      <c r="H28800" s="50"/>
      <c r="I28800" s="50"/>
      <c r="O28800" s="36" t="s">
        <v>48</v>
      </c>
      <c r="R28800" s="36" t="s">
        <v>48</v>
      </c>
    </row>
    <row r="28801">
      <c r="H28801" s="50"/>
      <c r="I28801" s="50"/>
      <c r="O28801" s="36" t="s">
        <v>48</v>
      </c>
      <c r="R28801" s="36" t="s">
        <v>48</v>
      </c>
    </row>
    <row r="28802">
      <c r="H28802" s="50"/>
      <c r="I28802" s="50"/>
      <c r="O28802" s="36" t="s">
        <v>48</v>
      </c>
      <c r="R28802" s="36" t="s">
        <v>48</v>
      </c>
    </row>
    <row r="28803">
      <c r="H28803" s="50"/>
      <c r="I28803" s="50"/>
      <c r="O28803" s="36" t="s">
        <v>48</v>
      </c>
      <c r="R28803" s="36" t="s">
        <v>48</v>
      </c>
    </row>
    <row r="28804">
      <c r="H28804" s="50"/>
      <c r="I28804" s="50"/>
      <c r="O28804" s="36" t="s">
        <v>48</v>
      </c>
      <c r="R28804" s="36" t="s">
        <v>48</v>
      </c>
    </row>
    <row r="28805">
      <c r="H28805" s="50"/>
      <c r="I28805" s="50"/>
      <c r="O28805" s="36" t="s">
        <v>48</v>
      </c>
      <c r="R28805" s="36" t="s">
        <v>48</v>
      </c>
    </row>
    <row r="28806">
      <c r="H28806" s="50"/>
      <c r="I28806" s="50"/>
      <c r="O28806" s="36" t="s">
        <v>48</v>
      </c>
      <c r="R28806" s="36" t="s">
        <v>48</v>
      </c>
    </row>
    <row r="28807">
      <c r="H28807" s="50"/>
      <c r="I28807" s="50"/>
      <c r="O28807" s="36" t="s">
        <v>48</v>
      </c>
      <c r="R28807" s="36" t="s">
        <v>48</v>
      </c>
    </row>
    <row r="28808">
      <c r="H28808" s="50"/>
      <c r="I28808" s="50"/>
      <c r="O28808" s="36" t="s">
        <v>48</v>
      </c>
      <c r="R28808" s="36" t="s">
        <v>48</v>
      </c>
    </row>
    <row r="28809">
      <c r="H28809" s="50"/>
      <c r="I28809" s="50"/>
      <c r="O28809" s="36" t="s">
        <v>48</v>
      </c>
      <c r="R28809" s="36" t="s">
        <v>48</v>
      </c>
    </row>
    <row r="28810">
      <c r="H28810" s="50"/>
      <c r="I28810" s="50"/>
      <c r="O28810" s="36" t="s">
        <v>48</v>
      </c>
      <c r="R28810" s="36" t="s">
        <v>48</v>
      </c>
    </row>
    <row r="28811">
      <c r="H28811" s="50"/>
      <c r="I28811" s="50"/>
      <c r="O28811" s="36" t="s">
        <v>48</v>
      </c>
      <c r="R28811" s="36" t="s">
        <v>48</v>
      </c>
    </row>
    <row r="28812">
      <c r="H28812" s="50"/>
      <c r="I28812" s="50"/>
      <c r="O28812" s="36" t="s">
        <v>48</v>
      </c>
      <c r="R28812" s="36" t="s">
        <v>48</v>
      </c>
    </row>
    <row r="28813">
      <c r="H28813" s="50"/>
      <c r="I28813" s="50"/>
      <c r="O28813" s="36" t="s">
        <v>48</v>
      </c>
      <c r="R28813" s="36" t="s">
        <v>48</v>
      </c>
    </row>
    <row r="28814">
      <c r="H28814" s="50"/>
      <c r="I28814" s="50"/>
      <c r="O28814" s="36" t="s">
        <v>48</v>
      </c>
      <c r="R28814" s="36" t="s">
        <v>48</v>
      </c>
    </row>
    <row r="28815">
      <c r="H28815" s="50"/>
      <c r="I28815" s="50"/>
      <c r="O28815" s="36" t="s">
        <v>48</v>
      </c>
      <c r="R28815" s="36" t="s">
        <v>48</v>
      </c>
    </row>
    <row r="28816">
      <c r="H28816" s="50"/>
      <c r="I28816" s="50"/>
      <c r="O28816" s="36" t="s">
        <v>48</v>
      </c>
      <c r="R28816" s="36" t="s">
        <v>48</v>
      </c>
    </row>
    <row r="28817">
      <c r="H28817" s="50"/>
      <c r="I28817" s="50"/>
      <c r="O28817" s="36" t="s">
        <v>48</v>
      </c>
      <c r="R28817" s="36" t="s">
        <v>48</v>
      </c>
    </row>
    <row r="28818">
      <c r="H28818" s="50"/>
      <c r="I28818" s="50"/>
      <c r="O28818" s="36" t="s">
        <v>48</v>
      </c>
      <c r="R28818" s="36" t="s">
        <v>48</v>
      </c>
    </row>
    <row r="28819">
      <c r="H28819" s="50"/>
      <c r="I28819" s="50"/>
      <c r="O28819" s="36" t="s">
        <v>48</v>
      </c>
      <c r="R28819" s="36" t="s">
        <v>48</v>
      </c>
    </row>
    <row r="28820">
      <c r="H28820" s="50"/>
      <c r="I28820" s="50"/>
      <c r="O28820" s="36" t="s">
        <v>48</v>
      </c>
      <c r="R28820" s="36" t="s">
        <v>48</v>
      </c>
    </row>
    <row r="28821">
      <c r="H28821" s="50"/>
      <c r="I28821" s="50"/>
      <c r="O28821" s="36" t="s">
        <v>48</v>
      </c>
      <c r="R28821" s="36" t="s">
        <v>48</v>
      </c>
    </row>
    <row r="28822">
      <c r="H28822" s="50"/>
      <c r="I28822" s="50"/>
      <c r="O28822" s="36" t="s">
        <v>48</v>
      </c>
      <c r="R28822" s="36" t="s">
        <v>48</v>
      </c>
    </row>
    <row r="28823">
      <c r="H28823" s="50"/>
      <c r="I28823" s="50"/>
      <c r="O28823" s="36" t="s">
        <v>48</v>
      </c>
      <c r="R28823" s="36" t="s">
        <v>48</v>
      </c>
    </row>
    <row r="28824">
      <c r="H28824" s="50"/>
      <c r="I28824" s="50"/>
      <c r="O28824" s="36" t="s">
        <v>48</v>
      </c>
      <c r="R28824" s="36" t="s">
        <v>48</v>
      </c>
    </row>
    <row r="28825">
      <c r="H28825" s="50"/>
      <c r="I28825" s="50"/>
      <c r="O28825" s="36" t="s">
        <v>48</v>
      </c>
      <c r="R28825" s="36" t="s">
        <v>48</v>
      </c>
    </row>
    <row r="28826">
      <c r="H28826" s="50"/>
      <c r="I28826" s="50"/>
      <c r="O28826" s="36" t="s">
        <v>48</v>
      </c>
      <c r="R28826" s="36" t="s">
        <v>48</v>
      </c>
    </row>
    <row r="28827">
      <c r="H28827" s="50"/>
      <c r="I28827" s="50"/>
      <c r="O28827" s="36" t="s">
        <v>48</v>
      </c>
      <c r="R28827" s="36" t="s">
        <v>48</v>
      </c>
    </row>
    <row r="28828">
      <c r="H28828" s="50"/>
      <c r="I28828" s="50"/>
      <c r="O28828" s="36" t="s">
        <v>48</v>
      </c>
      <c r="R28828" s="36" t="s">
        <v>48</v>
      </c>
    </row>
    <row r="28829">
      <c r="H28829" s="50"/>
      <c r="I28829" s="50"/>
      <c r="O28829" s="36" t="s">
        <v>48</v>
      </c>
      <c r="R28829" s="36" t="s">
        <v>48</v>
      </c>
    </row>
    <row r="28830">
      <c r="H28830" s="50"/>
      <c r="I28830" s="50"/>
      <c r="O28830" s="36" t="s">
        <v>48</v>
      </c>
      <c r="R28830" s="36" t="s">
        <v>48</v>
      </c>
    </row>
    <row r="28831">
      <c r="H28831" s="50"/>
      <c r="I28831" s="50"/>
      <c r="O28831" s="36" t="s">
        <v>48</v>
      </c>
      <c r="R28831" s="36" t="s">
        <v>48</v>
      </c>
    </row>
    <row r="28832">
      <c r="H28832" s="50"/>
      <c r="I28832" s="50"/>
      <c r="O28832" s="36" t="s">
        <v>48</v>
      </c>
      <c r="R28832" s="36" t="s">
        <v>48</v>
      </c>
    </row>
    <row r="28833">
      <c r="H28833" s="50"/>
      <c r="I28833" s="50"/>
      <c r="O28833" s="36" t="s">
        <v>48</v>
      </c>
      <c r="R28833" s="36" t="s">
        <v>48</v>
      </c>
    </row>
    <row r="28834">
      <c r="H28834" s="50"/>
      <c r="I28834" s="50"/>
      <c r="O28834" s="36" t="s">
        <v>48</v>
      </c>
      <c r="R28834" s="36" t="s">
        <v>48</v>
      </c>
    </row>
    <row r="28835">
      <c r="H28835" s="50"/>
      <c r="I28835" s="50"/>
      <c r="O28835" s="36" t="s">
        <v>48</v>
      </c>
      <c r="R28835" s="36" t="s">
        <v>48</v>
      </c>
    </row>
    <row r="28836">
      <c r="H28836" s="50"/>
      <c r="I28836" s="50"/>
      <c r="O28836" s="36" t="s">
        <v>48</v>
      </c>
      <c r="R28836" s="36" t="s">
        <v>48</v>
      </c>
    </row>
    <row r="28837">
      <c r="H28837" s="50"/>
      <c r="I28837" s="50"/>
      <c r="O28837" s="36" t="s">
        <v>48</v>
      </c>
      <c r="R28837" s="36" t="s">
        <v>48</v>
      </c>
    </row>
    <row r="28838">
      <c r="H28838" s="50"/>
      <c r="I28838" s="50"/>
      <c r="O28838" s="36" t="s">
        <v>48</v>
      </c>
      <c r="R28838" s="36" t="s">
        <v>48</v>
      </c>
    </row>
    <row r="28839">
      <c r="H28839" s="50"/>
      <c r="I28839" s="50"/>
      <c r="O28839" s="36" t="s">
        <v>48</v>
      </c>
      <c r="R28839" s="36" t="s">
        <v>48</v>
      </c>
    </row>
    <row r="28840">
      <c r="H28840" s="50"/>
      <c r="I28840" s="50"/>
      <c r="O28840" s="36" t="s">
        <v>48</v>
      </c>
      <c r="R28840" s="36" t="s">
        <v>48</v>
      </c>
    </row>
    <row r="28841">
      <c r="H28841" s="50"/>
      <c r="I28841" s="50"/>
      <c r="O28841" s="36" t="s">
        <v>48</v>
      </c>
      <c r="R28841" s="36" t="s">
        <v>48</v>
      </c>
    </row>
    <row r="28842">
      <c r="H28842" s="50"/>
      <c r="I28842" s="50"/>
      <c r="O28842" s="36" t="s">
        <v>48</v>
      </c>
      <c r="R28842" s="36" t="s">
        <v>48</v>
      </c>
    </row>
    <row r="28843">
      <c r="H28843" s="50"/>
      <c r="I28843" s="50"/>
      <c r="O28843" s="36" t="s">
        <v>48</v>
      </c>
      <c r="R28843" s="36" t="s">
        <v>48</v>
      </c>
    </row>
    <row r="28844">
      <c r="H28844" s="50"/>
      <c r="I28844" s="50"/>
      <c r="O28844" s="36" t="s">
        <v>48</v>
      </c>
      <c r="R28844" s="36" t="s">
        <v>48</v>
      </c>
    </row>
    <row r="28845">
      <c r="H28845" s="50"/>
      <c r="I28845" s="50"/>
      <c r="O28845" s="36" t="s">
        <v>48</v>
      </c>
      <c r="R28845" s="36" t="s">
        <v>48</v>
      </c>
    </row>
    <row r="28846">
      <c r="H28846" s="50"/>
      <c r="I28846" s="50"/>
      <c r="O28846" s="36" t="s">
        <v>48</v>
      </c>
      <c r="R28846" s="36" t="s">
        <v>48</v>
      </c>
    </row>
    <row r="28847">
      <c r="H28847" s="50"/>
      <c r="I28847" s="50"/>
      <c r="O28847" s="36" t="s">
        <v>48</v>
      </c>
      <c r="R28847" s="36" t="s">
        <v>48</v>
      </c>
    </row>
    <row r="28848">
      <c r="H28848" s="50"/>
      <c r="I28848" s="50"/>
      <c r="O28848" s="36" t="s">
        <v>48</v>
      </c>
      <c r="R28848" s="36" t="s">
        <v>48</v>
      </c>
    </row>
    <row r="28849">
      <c r="H28849" s="50"/>
      <c r="I28849" s="50"/>
      <c r="O28849" s="36" t="s">
        <v>48</v>
      </c>
      <c r="R28849" s="36" t="s">
        <v>48</v>
      </c>
    </row>
    <row r="28850">
      <c r="H28850" s="50"/>
      <c r="I28850" s="50"/>
      <c r="O28850" s="36" t="s">
        <v>48</v>
      </c>
      <c r="R28850" s="36" t="s">
        <v>48</v>
      </c>
    </row>
    <row r="28851">
      <c r="H28851" s="50"/>
      <c r="I28851" s="50"/>
      <c r="O28851" s="36" t="s">
        <v>48</v>
      </c>
      <c r="R28851" s="36" t="s">
        <v>48</v>
      </c>
    </row>
    <row r="28852">
      <c r="H28852" s="50"/>
      <c r="I28852" s="50"/>
      <c r="O28852" s="36" t="s">
        <v>48</v>
      </c>
      <c r="R28852" s="36" t="s">
        <v>48</v>
      </c>
    </row>
    <row r="28853">
      <c r="H28853" s="50"/>
      <c r="I28853" s="50"/>
      <c r="O28853" s="36" t="s">
        <v>48</v>
      </c>
      <c r="R28853" s="36" t="s">
        <v>48</v>
      </c>
    </row>
    <row r="28854">
      <c r="H28854" s="50"/>
      <c r="I28854" s="50"/>
      <c r="O28854" s="36" t="s">
        <v>48</v>
      </c>
      <c r="R28854" s="36" t="s">
        <v>48</v>
      </c>
    </row>
    <row r="28855">
      <c r="H28855" s="50"/>
      <c r="I28855" s="50"/>
      <c r="O28855" s="36" t="s">
        <v>48</v>
      </c>
      <c r="R28855" s="36" t="s">
        <v>48</v>
      </c>
    </row>
    <row r="28856">
      <c r="H28856" s="50"/>
      <c r="I28856" s="50"/>
      <c r="O28856" s="36" t="s">
        <v>48</v>
      </c>
      <c r="R28856" s="36" t="s">
        <v>48</v>
      </c>
    </row>
    <row r="28857">
      <c r="H28857" s="50"/>
      <c r="I28857" s="50"/>
      <c r="O28857" s="36" t="s">
        <v>48</v>
      </c>
      <c r="R28857" s="36" t="s">
        <v>48</v>
      </c>
    </row>
    <row r="28858">
      <c r="H28858" s="50"/>
      <c r="I28858" s="50"/>
      <c r="O28858" s="36" t="s">
        <v>48</v>
      </c>
      <c r="R28858" s="36" t="s">
        <v>48</v>
      </c>
    </row>
    <row r="28859">
      <c r="H28859" s="50"/>
      <c r="I28859" s="50"/>
      <c r="O28859" s="36" t="s">
        <v>48</v>
      </c>
      <c r="R28859" s="36" t="s">
        <v>48</v>
      </c>
    </row>
    <row r="28860">
      <c r="H28860" s="50"/>
      <c r="I28860" s="50"/>
      <c r="O28860" s="36" t="s">
        <v>48</v>
      </c>
      <c r="R28860" s="36" t="s">
        <v>48</v>
      </c>
    </row>
    <row r="28861">
      <c r="H28861" s="50"/>
      <c r="I28861" s="50"/>
      <c r="O28861" s="36" t="s">
        <v>48</v>
      </c>
      <c r="R28861" s="36" t="s">
        <v>48</v>
      </c>
    </row>
    <row r="28862">
      <c r="H28862" s="50"/>
      <c r="I28862" s="50"/>
      <c r="O28862" s="36" t="s">
        <v>48</v>
      </c>
      <c r="R28862" s="36" t="s">
        <v>48</v>
      </c>
    </row>
    <row r="28863">
      <c r="H28863" s="50"/>
      <c r="I28863" s="50"/>
      <c r="O28863" s="36" t="s">
        <v>48</v>
      </c>
      <c r="R28863" s="36" t="s">
        <v>48</v>
      </c>
    </row>
    <row r="28864">
      <c r="H28864" s="50"/>
      <c r="I28864" s="50"/>
      <c r="O28864" s="36" t="s">
        <v>48</v>
      </c>
      <c r="R28864" s="36" t="s">
        <v>48</v>
      </c>
    </row>
    <row r="28865">
      <c r="H28865" s="50"/>
      <c r="I28865" s="50"/>
      <c r="O28865" s="36" t="s">
        <v>48</v>
      </c>
      <c r="R28865" s="36" t="s">
        <v>48</v>
      </c>
    </row>
    <row r="28866">
      <c r="H28866" s="50"/>
      <c r="I28866" s="50"/>
      <c r="O28866" s="36" t="s">
        <v>48</v>
      </c>
      <c r="R28866" s="36" t="s">
        <v>48</v>
      </c>
    </row>
    <row r="28867">
      <c r="H28867" s="50"/>
      <c r="I28867" s="50"/>
      <c r="O28867" s="36" t="s">
        <v>48</v>
      </c>
      <c r="R28867" s="36" t="s">
        <v>48</v>
      </c>
    </row>
    <row r="28868">
      <c r="H28868" s="50"/>
      <c r="I28868" s="50"/>
      <c r="O28868" s="36" t="s">
        <v>48</v>
      </c>
      <c r="R28868" s="36" t="s">
        <v>48</v>
      </c>
    </row>
    <row r="28869">
      <c r="H28869" s="50"/>
      <c r="I28869" s="50"/>
      <c r="O28869" s="36" t="s">
        <v>48</v>
      </c>
      <c r="R28869" s="36" t="s">
        <v>48</v>
      </c>
    </row>
    <row r="28870">
      <c r="H28870" s="50"/>
      <c r="I28870" s="50"/>
      <c r="O28870" s="36" t="s">
        <v>48</v>
      </c>
      <c r="R28870" s="36" t="s">
        <v>48</v>
      </c>
    </row>
    <row r="28871">
      <c r="H28871" s="50"/>
      <c r="I28871" s="50"/>
      <c r="O28871" s="36" t="s">
        <v>48</v>
      </c>
      <c r="R28871" s="36" t="s">
        <v>48</v>
      </c>
    </row>
    <row r="28872">
      <c r="H28872" s="50"/>
      <c r="I28872" s="50"/>
      <c r="O28872" s="36" t="s">
        <v>48</v>
      </c>
      <c r="R28872" s="36" t="s">
        <v>48</v>
      </c>
    </row>
    <row r="28873">
      <c r="H28873" s="50"/>
      <c r="I28873" s="50"/>
      <c r="O28873" s="36" t="s">
        <v>48</v>
      </c>
      <c r="R28873" s="36" t="s">
        <v>48</v>
      </c>
    </row>
    <row r="28874">
      <c r="H28874" s="50"/>
      <c r="I28874" s="50"/>
      <c r="O28874" s="36" t="s">
        <v>48</v>
      </c>
      <c r="R28874" s="36" t="s">
        <v>48</v>
      </c>
    </row>
    <row r="28875">
      <c r="H28875" s="50"/>
      <c r="I28875" s="50"/>
      <c r="O28875" s="36" t="s">
        <v>48</v>
      </c>
      <c r="R28875" s="36" t="s">
        <v>48</v>
      </c>
    </row>
    <row r="28876">
      <c r="H28876" s="50"/>
      <c r="I28876" s="50"/>
      <c r="O28876" s="36" t="s">
        <v>48</v>
      </c>
      <c r="R28876" s="36" t="s">
        <v>48</v>
      </c>
    </row>
    <row r="28877">
      <c r="H28877" s="50"/>
      <c r="I28877" s="50"/>
      <c r="O28877" s="36" t="s">
        <v>48</v>
      </c>
      <c r="R28877" s="36" t="s">
        <v>48</v>
      </c>
    </row>
    <row r="28878">
      <c r="H28878" s="50"/>
      <c r="I28878" s="50"/>
      <c r="O28878" s="36" t="s">
        <v>48</v>
      </c>
      <c r="R28878" s="36" t="s">
        <v>48</v>
      </c>
    </row>
    <row r="28879">
      <c r="H28879" s="50"/>
      <c r="I28879" s="50"/>
      <c r="O28879" s="36" t="s">
        <v>48</v>
      </c>
      <c r="R28879" s="36" t="s">
        <v>48</v>
      </c>
    </row>
    <row r="28880">
      <c r="H28880" s="50"/>
      <c r="I28880" s="50"/>
      <c r="O28880" s="36" t="s">
        <v>48</v>
      </c>
      <c r="R28880" s="36" t="s">
        <v>48</v>
      </c>
    </row>
    <row r="28881">
      <c r="H28881" s="50"/>
      <c r="I28881" s="50"/>
      <c r="O28881" s="36" t="s">
        <v>48</v>
      </c>
      <c r="R28881" s="36" t="s">
        <v>48</v>
      </c>
    </row>
    <row r="28882">
      <c r="H28882" s="50"/>
      <c r="I28882" s="50"/>
      <c r="O28882" s="36" t="s">
        <v>48</v>
      </c>
      <c r="R28882" s="36" t="s">
        <v>48</v>
      </c>
    </row>
    <row r="28883">
      <c r="H28883" s="50"/>
      <c r="I28883" s="50"/>
      <c r="O28883" s="36" t="s">
        <v>48</v>
      </c>
      <c r="R28883" s="36" t="s">
        <v>48</v>
      </c>
    </row>
    <row r="28884">
      <c r="H28884" s="50"/>
      <c r="I28884" s="50"/>
      <c r="O28884" s="36" t="s">
        <v>48</v>
      </c>
      <c r="R28884" s="36" t="s">
        <v>48</v>
      </c>
    </row>
    <row r="28885">
      <c r="H28885" s="50"/>
      <c r="I28885" s="50"/>
      <c r="O28885" s="36" t="s">
        <v>48</v>
      </c>
      <c r="R28885" s="36" t="s">
        <v>48</v>
      </c>
    </row>
    <row r="28886">
      <c r="H28886" s="50"/>
      <c r="I28886" s="50"/>
      <c r="O28886" s="36" t="s">
        <v>48</v>
      </c>
      <c r="R28886" s="36" t="s">
        <v>48</v>
      </c>
    </row>
    <row r="28887">
      <c r="H28887" s="50"/>
      <c r="I28887" s="50"/>
      <c r="O28887" s="36" t="s">
        <v>48</v>
      </c>
      <c r="R28887" s="36" t="s">
        <v>48</v>
      </c>
    </row>
    <row r="28888">
      <c r="H28888" s="50"/>
      <c r="I28888" s="50"/>
      <c r="O28888" s="36" t="s">
        <v>48</v>
      </c>
      <c r="R28888" s="36" t="s">
        <v>48</v>
      </c>
    </row>
    <row r="28889">
      <c r="H28889" s="50"/>
      <c r="I28889" s="50"/>
      <c r="O28889" s="36" t="s">
        <v>48</v>
      </c>
      <c r="R28889" s="36" t="s">
        <v>48</v>
      </c>
    </row>
    <row r="28890">
      <c r="H28890" s="50"/>
      <c r="I28890" s="50"/>
      <c r="O28890" s="36" t="s">
        <v>48</v>
      </c>
      <c r="R28890" s="36" t="s">
        <v>48</v>
      </c>
    </row>
    <row r="28891">
      <c r="H28891" s="50"/>
      <c r="I28891" s="50"/>
      <c r="O28891" s="36" t="s">
        <v>48</v>
      </c>
      <c r="R28891" s="36" t="s">
        <v>48</v>
      </c>
    </row>
    <row r="28892">
      <c r="H28892" s="50"/>
      <c r="I28892" s="50"/>
      <c r="O28892" s="36" t="s">
        <v>48</v>
      </c>
      <c r="R28892" s="36" t="s">
        <v>48</v>
      </c>
    </row>
    <row r="28893">
      <c r="H28893" s="50"/>
      <c r="I28893" s="50"/>
      <c r="O28893" s="36" t="s">
        <v>48</v>
      </c>
      <c r="R28893" s="36" t="s">
        <v>48</v>
      </c>
    </row>
    <row r="28894">
      <c r="H28894" s="50"/>
      <c r="I28894" s="50"/>
      <c r="O28894" s="36" t="s">
        <v>48</v>
      </c>
      <c r="R28894" s="36" t="s">
        <v>48</v>
      </c>
    </row>
    <row r="28895">
      <c r="H28895" s="50"/>
      <c r="I28895" s="50"/>
      <c r="O28895" s="36" t="s">
        <v>48</v>
      </c>
      <c r="R28895" s="36" t="s">
        <v>48</v>
      </c>
    </row>
    <row r="28896">
      <c r="H28896" s="50"/>
      <c r="I28896" s="50"/>
      <c r="O28896" s="36" t="s">
        <v>48</v>
      </c>
      <c r="R28896" s="36" t="s">
        <v>48</v>
      </c>
    </row>
    <row r="28897">
      <c r="H28897" s="50"/>
      <c r="I28897" s="50"/>
      <c r="O28897" s="36" t="s">
        <v>48</v>
      </c>
      <c r="R28897" s="36" t="s">
        <v>48</v>
      </c>
    </row>
    <row r="28898">
      <c r="H28898" s="50"/>
      <c r="I28898" s="50"/>
      <c r="O28898" s="36" t="s">
        <v>48</v>
      </c>
      <c r="R28898" s="36" t="s">
        <v>48</v>
      </c>
    </row>
    <row r="28899">
      <c r="H28899" s="50"/>
      <c r="I28899" s="50"/>
      <c r="O28899" s="36" t="s">
        <v>48</v>
      </c>
      <c r="R28899" s="36" t="s">
        <v>48</v>
      </c>
    </row>
    <row r="28900">
      <c r="H28900" s="50"/>
      <c r="I28900" s="50"/>
      <c r="O28900" s="36" t="s">
        <v>48</v>
      </c>
      <c r="R28900" s="36" t="s">
        <v>48</v>
      </c>
    </row>
    <row r="28901">
      <c r="H28901" s="50"/>
      <c r="I28901" s="50"/>
      <c r="O28901" s="36" t="s">
        <v>48</v>
      </c>
      <c r="R28901" s="36" t="s">
        <v>48</v>
      </c>
    </row>
    <row r="28902">
      <c r="H28902" s="50"/>
      <c r="I28902" s="50"/>
      <c r="O28902" s="36" t="s">
        <v>48</v>
      </c>
      <c r="R28902" s="36" t="s">
        <v>48</v>
      </c>
    </row>
    <row r="28903">
      <c r="H28903" s="50"/>
      <c r="I28903" s="50"/>
      <c r="O28903" s="36" t="s">
        <v>48</v>
      </c>
      <c r="R28903" s="36" t="s">
        <v>48</v>
      </c>
    </row>
    <row r="28904">
      <c r="H28904" s="50"/>
      <c r="I28904" s="50"/>
      <c r="O28904" s="36" t="s">
        <v>48</v>
      </c>
      <c r="R28904" s="36" t="s">
        <v>48</v>
      </c>
    </row>
    <row r="28905">
      <c r="H28905" s="50"/>
      <c r="I28905" s="50"/>
      <c r="O28905" s="36" t="s">
        <v>48</v>
      </c>
      <c r="R28905" s="36" t="s">
        <v>48</v>
      </c>
    </row>
    <row r="28906">
      <c r="H28906" s="50"/>
      <c r="I28906" s="50"/>
      <c r="O28906" s="36" t="s">
        <v>48</v>
      </c>
      <c r="R28906" s="36" t="s">
        <v>48</v>
      </c>
    </row>
    <row r="28907">
      <c r="H28907" s="50"/>
      <c r="I28907" s="50"/>
      <c r="O28907" s="36" t="s">
        <v>48</v>
      </c>
      <c r="R28907" s="36" t="s">
        <v>48</v>
      </c>
    </row>
    <row r="28908">
      <c r="H28908" s="50"/>
      <c r="I28908" s="50"/>
      <c r="O28908" s="36" t="s">
        <v>48</v>
      </c>
      <c r="R28908" s="36" t="s">
        <v>48</v>
      </c>
    </row>
    <row r="28909">
      <c r="H28909" s="50"/>
      <c r="I28909" s="50"/>
      <c r="O28909" s="36" t="s">
        <v>48</v>
      </c>
      <c r="R28909" s="36" t="s">
        <v>48</v>
      </c>
    </row>
    <row r="28910">
      <c r="H28910" s="50"/>
      <c r="I28910" s="50"/>
      <c r="O28910" s="36" t="s">
        <v>48</v>
      </c>
      <c r="R28910" s="36" t="s">
        <v>48</v>
      </c>
    </row>
    <row r="28911">
      <c r="H28911" s="50"/>
      <c r="I28911" s="50"/>
      <c r="O28911" s="36" t="s">
        <v>48</v>
      </c>
      <c r="R28911" s="36" t="s">
        <v>48</v>
      </c>
    </row>
    <row r="28912">
      <c r="H28912" s="50"/>
      <c r="I28912" s="50"/>
      <c r="O28912" s="36" t="s">
        <v>48</v>
      </c>
      <c r="R28912" s="36" t="s">
        <v>48</v>
      </c>
    </row>
    <row r="28913">
      <c r="H28913" s="50"/>
      <c r="I28913" s="50"/>
      <c r="O28913" s="36" t="s">
        <v>48</v>
      </c>
      <c r="R28913" s="36" t="s">
        <v>48</v>
      </c>
    </row>
    <row r="28914">
      <c r="H28914" s="50"/>
      <c r="I28914" s="50"/>
      <c r="O28914" s="36" t="s">
        <v>48</v>
      </c>
      <c r="R28914" s="36" t="s">
        <v>48</v>
      </c>
    </row>
    <row r="28915">
      <c r="H28915" s="50"/>
      <c r="I28915" s="50"/>
      <c r="O28915" s="36" t="s">
        <v>48</v>
      </c>
      <c r="R28915" s="36" t="s">
        <v>48</v>
      </c>
    </row>
    <row r="28916">
      <c r="H28916" s="50"/>
      <c r="I28916" s="50"/>
      <c r="O28916" s="36" t="s">
        <v>48</v>
      </c>
      <c r="R28916" s="36" t="s">
        <v>48</v>
      </c>
    </row>
    <row r="28917">
      <c r="H28917" s="50"/>
      <c r="I28917" s="50"/>
      <c r="O28917" s="36" t="s">
        <v>48</v>
      </c>
      <c r="R28917" s="36" t="s">
        <v>48</v>
      </c>
    </row>
    <row r="28918">
      <c r="H28918" s="50"/>
      <c r="I28918" s="50"/>
      <c r="O28918" s="36" t="s">
        <v>48</v>
      </c>
      <c r="R28918" s="36" t="s">
        <v>48</v>
      </c>
    </row>
    <row r="28919">
      <c r="H28919" s="50"/>
      <c r="I28919" s="50"/>
      <c r="O28919" s="36" t="s">
        <v>48</v>
      </c>
      <c r="R28919" s="36" t="s">
        <v>48</v>
      </c>
    </row>
    <row r="28920">
      <c r="H28920" s="50"/>
      <c r="I28920" s="50"/>
      <c r="O28920" s="36" t="s">
        <v>48</v>
      </c>
      <c r="R28920" s="36" t="s">
        <v>48</v>
      </c>
    </row>
    <row r="28921">
      <c r="H28921" s="50"/>
      <c r="I28921" s="50"/>
      <c r="O28921" s="36" t="s">
        <v>48</v>
      </c>
      <c r="R28921" s="36" t="s">
        <v>48</v>
      </c>
    </row>
    <row r="28922">
      <c r="H28922" s="50"/>
      <c r="I28922" s="50"/>
      <c r="O28922" s="36" t="s">
        <v>48</v>
      </c>
      <c r="R28922" s="36" t="s">
        <v>48</v>
      </c>
    </row>
    <row r="28923">
      <c r="H28923" s="50"/>
      <c r="I28923" s="50"/>
      <c r="O28923" s="36" t="s">
        <v>48</v>
      </c>
      <c r="R28923" s="36" t="s">
        <v>48</v>
      </c>
    </row>
    <row r="28924">
      <c r="H28924" s="50"/>
      <c r="I28924" s="50"/>
      <c r="O28924" s="36" t="s">
        <v>48</v>
      </c>
      <c r="R28924" s="36" t="s">
        <v>48</v>
      </c>
    </row>
    <row r="28925">
      <c r="H28925" s="50"/>
      <c r="I28925" s="50"/>
      <c r="O28925" s="36" t="s">
        <v>48</v>
      </c>
      <c r="R28925" s="36" t="s">
        <v>48</v>
      </c>
    </row>
    <row r="28926">
      <c r="H28926" s="50"/>
      <c r="I28926" s="50"/>
      <c r="O28926" s="36" t="s">
        <v>48</v>
      </c>
      <c r="R28926" s="36" t="s">
        <v>48</v>
      </c>
    </row>
    <row r="28927">
      <c r="H28927" s="50"/>
      <c r="I28927" s="50"/>
      <c r="O28927" s="36" t="s">
        <v>48</v>
      </c>
      <c r="R28927" s="36" t="s">
        <v>48</v>
      </c>
    </row>
    <row r="28928">
      <c r="H28928" s="50"/>
      <c r="I28928" s="50"/>
      <c r="O28928" s="36" t="s">
        <v>48</v>
      </c>
      <c r="R28928" s="36" t="s">
        <v>48</v>
      </c>
    </row>
    <row r="28929">
      <c r="H28929" s="50"/>
      <c r="I28929" s="50"/>
      <c r="O28929" s="36" t="s">
        <v>48</v>
      </c>
      <c r="R28929" s="36" t="s">
        <v>48</v>
      </c>
    </row>
    <row r="28930">
      <c r="H28930" s="50"/>
      <c r="I28930" s="50"/>
      <c r="O28930" s="36" t="s">
        <v>48</v>
      </c>
      <c r="R28930" s="36" t="s">
        <v>48</v>
      </c>
    </row>
    <row r="28931">
      <c r="H28931" s="50"/>
      <c r="I28931" s="50"/>
      <c r="O28931" s="36" t="s">
        <v>48</v>
      </c>
      <c r="R28931" s="36" t="s">
        <v>48</v>
      </c>
    </row>
    <row r="28932">
      <c r="H28932" s="50"/>
      <c r="I28932" s="50"/>
      <c r="O28932" s="36" t="s">
        <v>48</v>
      </c>
      <c r="R28932" s="36" t="s">
        <v>48</v>
      </c>
    </row>
    <row r="28933">
      <c r="H28933" s="50"/>
      <c r="I28933" s="50"/>
      <c r="O28933" s="36" t="s">
        <v>48</v>
      </c>
      <c r="R28933" s="36" t="s">
        <v>48</v>
      </c>
    </row>
    <row r="28934">
      <c r="H28934" s="50"/>
      <c r="I28934" s="50"/>
      <c r="O28934" s="36" t="s">
        <v>48</v>
      </c>
      <c r="R28934" s="36" t="s">
        <v>48</v>
      </c>
    </row>
    <row r="28935">
      <c r="H28935" s="50"/>
      <c r="I28935" s="50"/>
      <c r="O28935" s="36" t="s">
        <v>48</v>
      </c>
      <c r="R28935" s="36" t="s">
        <v>48</v>
      </c>
    </row>
    <row r="28936">
      <c r="H28936" s="50"/>
      <c r="I28936" s="50"/>
      <c r="O28936" s="36" t="s">
        <v>48</v>
      </c>
      <c r="R28936" s="36" t="s">
        <v>48</v>
      </c>
    </row>
    <row r="28937">
      <c r="H28937" s="50"/>
      <c r="I28937" s="50"/>
      <c r="O28937" s="36" t="s">
        <v>48</v>
      </c>
      <c r="R28937" s="36" t="s">
        <v>48</v>
      </c>
    </row>
    <row r="28938">
      <c r="H28938" s="50"/>
      <c r="I28938" s="50"/>
      <c r="O28938" s="36" t="s">
        <v>48</v>
      </c>
      <c r="R28938" s="36" t="s">
        <v>48</v>
      </c>
    </row>
    <row r="28939">
      <c r="H28939" s="50"/>
      <c r="I28939" s="50"/>
      <c r="O28939" s="36" t="s">
        <v>48</v>
      </c>
      <c r="R28939" s="36" t="s">
        <v>48</v>
      </c>
    </row>
    <row r="28940">
      <c r="H28940" s="50"/>
      <c r="I28940" s="50"/>
      <c r="O28940" s="36" t="s">
        <v>48</v>
      </c>
      <c r="R28940" s="36" t="s">
        <v>48</v>
      </c>
    </row>
    <row r="28941">
      <c r="H28941" s="50"/>
      <c r="I28941" s="50"/>
      <c r="O28941" s="36" t="s">
        <v>48</v>
      </c>
      <c r="R28941" s="36" t="s">
        <v>48</v>
      </c>
    </row>
    <row r="28942">
      <c r="H28942" s="50"/>
      <c r="I28942" s="50"/>
      <c r="O28942" s="36" t="s">
        <v>48</v>
      </c>
      <c r="R28942" s="36" t="s">
        <v>48</v>
      </c>
    </row>
    <row r="28943">
      <c r="H28943" s="50"/>
      <c r="I28943" s="50"/>
      <c r="O28943" s="36" t="s">
        <v>48</v>
      </c>
      <c r="R28943" s="36" t="s">
        <v>48</v>
      </c>
    </row>
    <row r="28944">
      <c r="H28944" s="50"/>
      <c r="I28944" s="50"/>
      <c r="O28944" s="36" t="s">
        <v>48</v>
      </c>
      <c r="R28944" s="36" t="s">
        <v>48</v>
      </c>
    </row>
    <row r="28945">
      <c r="H28945" s="50"/>
      <c r="I28945" s="50"/>
      <c r="O28945" s="36" t="s">
        <v>48</v>
      </c>
      <c r="R28945" s="36" t="s">
        <v>48</v>
      </c>
    </row>
    <row r="28946">
      <c r="H28946" s="50"/>
      <c r="I28946" s="50"/>
      <c r="O28946" s="36" t="s">
        <v>48</v>
      </c>
      <c r="R28946" s="36" t="s">
        <v>48</v>
      </c>
    </row>
    <row r="28947">
      <c r="H28947" s="50"/>
      <c r="I28947" s="50"/>
      <c r="O28947" s="36" t="s">
        <v>48</v>
      </c>
      <c r="R28947" s="36" t="s">
        <v>48</v>
      </c>
    </row>
    <row r="28948">
      <c r="H28948" s="50"/>
      <c r="I28948" s="50"/>
      <c r="O28948" s="36" t="s">
        <v>48</v>
      </c>
      <c r="R28948" s="36" t="s">
        <v>48</v>
      </c>
    </row>
    <row r="28949">
      <c r="H28949" s="50"/>
      <c r="I28949" s="50"/>
      <c r="O28949" s="36" t="s">
        <v>48</v>
      </c>
      <c r="R28949" s="36" t="s">
        <v>48</v>
      </c>
    </row>
    <row r="28950">
      <c r="H28950" s="50"/>
      <c r="I28950" s="50"/>
      <c r="O28950" s="36" t="s">
        <v>48</v>
      </c>
      <c r="R28950" s="36" t="s">
        <v>48</v>
      </c>
    </row>
    <row r="28951">
      <c r="H28951" s="50"/>
      <c r="I28951" s="50"/>
      <c r="O28951" s="36" t="s">
        <v>48</v>
      </c>
      <c r="R28951" s="36" t="s">
        <v>48</v>
      </c>
    </row>
    <row r="28952">
      <c r="H28952" s="50"/>
      <c r="I28952" s="50"/>
      <c r="O28952" s="36" t="s">
        <v>48</v>
      </c>
      <c r="R28952" s="36" t="s">
        <v>48</v>
      </c>
    </row>
    <row r="28953">
      <c r="H28953" s="50"/>
      <c r="I28953" s="50"/>
      <c r="O28953" s="36" t="s">
        <v>48</v>
      </c>
      <c r="R28953" s="36" t="s">
        <v>48</v>
      </c>
    </row>
    <row r="28954">
      <c r="H28954" s="50"/>
      <c r="I28954" s="50"/>
      <c r="O28954" s="36" t="s">
        <v>48</v>
      </c>
      <c r="R28954" s="36" t="s">
        <v>48</v>
      </c>
    </row>
    <row r="28955">
      <c r="H28955" s="50"/>
      <c r="I28955" s="50"/>
      <c r="O28955" s="36" t="s">
        <v>48</v>
      </c>
      <c r="R28955" s="36" t="s">
        <v>48</v>
      </c>
    </row>
    <row r="28956">
      <c r="H28956" s="50"/>
      <c r="I28956" s="50"/>
      <c r="O28956" s="36" t="s">
        <v>48</v>
      </c>
      <c r="R28956" s="36" t="s">
        <v>48</v>
      </c>
    </row>
    <row r="28957">
      <c r="H28957" s="50"/>
      <c r="I28957" s="50"/>
      <c r="O28957" s="36" t="s">
        <v>48</v>
      </c>
      <c r="R28957" s="36" t="s">
        <v>48</v>
      </c>
    </row>
    <row r="28958">
      <c r="H28958" s="50"/>
      <c r="I28958" s="50"/>
      <c r="O28958" s="36" t="s">
        <v>48</v>
      </c>
      <c r="R28958" s="36" t="s">
        <v>48</v>
      </c>
    </row>
    <row r="28959">
      <c r="H28959" s="50"/>
      <c r="I28959" s="50"/>
      <c r="O28959" s="36" t="s">
        <v>48</v>
      </c>
      <c r="R28959" s="36" t="s">
        <v>48</v>
      </c>
    </row>
    <row r="28960">
      <c r="H28960" s="50"/>
      <c r="I28960" s="50"/>
      <c r="O28960" s="36" t="s">
        <v>48</v>
      </c>
      <c r="R28960" s="36" t="s">
        <v>48</v>
      </c>
    </row>
    <row r="28961">
      <c r="H28961" s="50"/>
      <c r="I28961" s="50"/>
      <c r="O28961" s="36" t="s">
        <v>48</v>
      </c>
      <c r="R28961" s="36" t="s">
        <v>48</v>
      </c>
    </row>
    <row r="28962">
      <c r="H28962" s="50"/>
      <c r="I28962" s="50"/>
      <c r="O28962" s="36" t="s">
        <v>48</v>
      </c>
      <c r="R28962" s="36" t="s">
        <v>48</v>
      </c>
    </row>
    <row r="28963">
      <c r="H28963" s="50"/>
      <c r="I28963" s="50"/>
      <c r="O28963" s="36" t="s">
        <v>48</v>
      </c>
      <c r="R28963" s="36" t="s">
        <v>48</v>
      </c>
    </row>
    <row r="28964">
      <c r="H28964" s="50"/>
      <c r="I28964" s="50"/>
      <c r="O28964" s="36" t="s">
        <v>48</v>
      </c>
      <c r="R28964" s="36" t="s">
        <v>48</v>
      </c>
    </row>
    <row r="28965">
      <c r="H28965" s="50"/>
      <c r="I28965" s="50"/>
      <c r="O28965" s="36" t="s">
        <v>48</v>
      </c>
      <c r="R28965" s="36" t="s">
        <v>48</v>
      </c>
    </row>
    <row r="28966">
      <c r="H28966" s="50"/>
      <c r="I28966" s="50"/>
      <c r="O28966" s="36" t="s">
        <v>48</v>
      </c>
      <c r="R28966" s="36" t="s">
        <v>48</v>
      </c>
    </row>
    <row r="28967">
      <c r="H28967" s="50"/>
      <c r="I28967" s="50"/>
      <c r="O28967" s="36" t="s">
        <v>48</v>
      </c>
      <c r="R28967" s="36" t="s">
        <v>48</v>
      </c>
    </row>
    <row r="28968">
      <c r="H28968" s="50"/>
      <c r="I28968" s="50"/>
      <c r="O28968" s="36" t="s">
        <v>48</v>
      </c>
      <c r="R28968" s="36" t="s">
        <v>48</v>
      </c>
    </row>
    <row r="28969">
      <c r="H28969" s="50"/>
      <c r="I28969" s="50"/>
      <c r="O28969" s="36" t="s">
        <v>48</v>
      </c>
      <c r="R28969" s="36" t="s">
        <v>48</v>
      </c>
    </row>
    <row r="28970">
      <c r="H28970" s="50"/>
      <c r="I28970" s="50"/>
      <c r="O28970" s="36" t="s">
        <v>48</v>
      </c>
      <c r="R28970" s="36" t="s">
        <v>48</v>
      </c>
    </row>
    <row r="28971">
      <c r="H28971" s="50"/>
      <c r="I28971" s="50"/>
      <c r="O28971" s="36" t="s">
        <v>48</v>
      </c>
      <c r="R28971" s="36" t="s">
        <v>48</v>
      </c>
    </row>
    <row r="28972">
      <c r="H28972" s="50"/>
      <c r="I28972" s="50"/>
      <c r="O28972" s="36" t="s">
        <v>48</v>
      </c>
      <c r="R28972" s="36" t="s">
        <v>48</v>
      </c>
    </row>
    <row r="28973">
      <c r="H28973" s="50"/>
      <c r="I28973" s="50"/>
      <c r="O28973" s="36" t="s">
        <v>48</v>
      </c>
      <c r="R28973" s="36" t="s">
        <v>48</v>
      </c>
    </row>
    <row r="28974">
      <c r="H28974" s="50"/>
      <c r="I28974" s="50"/>
      <c r="O28974" s="36" t="s">
        <v>48</v>
      </c>
      <c r="R28974" s="36" t="s">
        <v>48</v>
      </c>
    </row>
    <row r="28975">
      <c r="H28975" s="50"/>
      <c r="I28975" s="50"/>
      <c r="O28975" s="36" t="s">
        <v>48</v>
      </c>
      <c r="R28975" s="36" t="s">
        <v>48</v>
      </c>
    </row>
    <row r="28976">
      <c r="H28976" s="50"/>
      <c r="I28976" s="50"/>
      <c r="O28976" s="36" t="s">
        <v>48</v>
      </c>
      <c r="R28976" s="36" t="s">
        <v>48</v>
      </c>
    </row>
    <row r="28977">
      <c r="H28977" s="50"/>
      <c r="I28977" s="50"/>
      <c r="O28977" s="36" t="s">
        <v>48</v>
      </c>
      <c r="R28977" s="36" t="s">
        <v>48</v>
      </c>
    </row>
    <row r="28978">
      <c r="H28978" s="50"/>
      <c r="I28978" s="50"/>
      <c r="O28978" s="36" t="s">
        <v>48</v>
      </c>
      <c r="R28978" s="36" t="s">
        <v>48</v>
      </c>
    </row>
    <row r="28979">
      <c r="H28979" s="50"/>
      <c r="I28979" s="50"/>
      <c r="O28979" s="36" t="s">
        <v>48</v>
      </c>
      <c r="R28979" s="36" t="s">
        <v>48</v>
      </c>
    </row>
    <row r="28980">
      <c r="H28980" s="50"/>
      <c r="I28980" s="50"/>
      <c r="O28980" s="36" t="s">
        <v>48</v>
      </c>
      <c r="R28980" s="36" t="s">
        <v>48</v>
      </c>
    </row>
    <row r="28981">
      <c r="H28981" s="50"/>
      <c r="I28981" s="50"/>
      <c r="O28981" s="36" t="s">
        <v>48</v>
      </c>
      <c r="R28981" s="36" t="s">
        <v>48</v>
      </c>
    </row>
    <row r="28982">
      <c r="H28982" s="50"/>
      <c r="I28982" s="50"/>
      <c r="O28982" s="36" t="s">
        <v>48</v>
      </c>
      <c r="R28982" s="36" t="s">
        <v>48</v>
      </c>
    </row>
    <row r="28983">
      <c r="H28983" s="50"/>
      <c r="I28983" s="50"/>
      <c r="O28983" s="36" t="s">
        <v>48</v>
      </c>
      <c r="R28983" s="36" t="s">
        <v>48</v>
      </c>
    </row>
    <row r="28984">
      <c r="H28984" s="50"/>
      <c r="I28984" s="50"/>
      <c r="O28984" s="36" t="s">
        <v>48</v>
      </c>
      <c r="R28984" s="36" t="s">
        <v>48</v>
      </c>
    </row>
    <row r="28985">
      <c r="H28985" s="50"/>
      <c r="I28985" s="50"/>
      <c r="O28985" s="36" t="s">
        <v>48</v>
      </c>
      <c r="R28985" s="36" t="s">
        <v>48</v>
      </c>
    </row>
    <row r="28986">
      <c r="H28986" s="50"/>
      <c r="I28986" s="50"/>
      <c r="O28986" s="36" t="s">
        <v>48</v>
      </c>
      <c r="R28986" s="36" t="s">
        <v>48</v>
      </c>
    </row>
    <row r="28987">
      <c r="H28987" s="50"/>
      <c r="I28987" s="50"/>
      <c r="O28987" s="36" t="s">
        <v>48</v>
      </c>
      <c r="R28987" s="36" t="s">
        <v>48</v>
      </c>
    </row>
    <row r="28988">
      <c r="H28988" s="50"/>
      <c r="I28988" s="50"/>
      <c r="O28988" s="36" t="s">
        <v>48</v>
      </c>
      <c r="R28988" s="36" t="s">
        <v>48</v>
      </c>
    </row>
    <row r="28989">
      <c r="H28989" s="50"/>
      <c r="I28989" s="50"/>
      <c r="O28989" s="36" t="s">
        <v>48</v>
      </c>
      <c r="R28989" s="36" t="s">
        <v>48</v>
      </c>
    </row>
    <row r="28990">
      <c r="H28990" s="50"/>
      <c r="I28990" s="50"/>
      <c r="O28990" s="36" t="s">
        <v>48</v>
      </c>
      <c r="R28990" s="36" t="s">
        <v>48</v>
      </c>
    </row>
    <row r="28991">
      <c r="H28991" s="50"/>
      <c r="I28991" s="50"/>
      <c r="O28991" s="36" t="s">
        <v>48</v>
      </c>
      <c r="R28991" s="36" t="s">
        <v>48</v>
      </c>
    </row>
    <row r="28992">
      <c r="H28992" s="50"/>
      <c r="I28992" s="50"/>
      <c r="O28992" s="36" t="s">
        <v>48</v>
      </c>
      <c r="R28992" s="36" t="s">
        <v>48</v>
      </c>
    </row>
    <row r="28993">
      <c r="H28993" s="50"/>
      <c r="I28993" s="50"/>
      <c r="O28993" s="36" t="s">
        <v>48</v>
      </c>
      <c r="R28993" s="36" t="s">
        <v>48</v>
      </c>
    </row>
    <row r="28994">
      <c r="H28994" s="50"/>
      <c r="I28994" s="50"/>
      <c r="O28994" s="36" t="s">
        <v>48</v>
      </c>
      <c r="R28994" s="36" t="s">
        <v>48</v>
      </c>
    </row>
    <row r="28995">
      <c r="H28995" s="50"/>
      <c r="I28995" s="50"/>
      <c r="O28995" s="36" t="s">
        <v>48</v>
      </c>
      <c r="R28995" s="36" t="s">
        <v>48</v>
      </c>
    </row>
    <row r="28996">
      <c r="H28996" s="50"/>
      <c r="I28996" s="50"/>
      <c r="O28996" s="36" t="s">
        <v>48</v>
      </c>
      <c r="R28996" s="36" t="s">
        <v>48</v>
      </c>
    </row>
    <row r="28997">
      <c r="H28997" s="50"/>
      <c r="I28997" s="50"/>
      <c r="O28997" s="36" t="s">
        <v>48</v>
      </c>
      <c r="R28997" s="36" t="s">
        <v>48</v>
      </c>
    </row>
    <row r="28998">
      <c r="H28998" s="50"/>
      <c r="I28998" s="50"/>
      <c r="O28998" s="36" t="s">
        <v>48</v>
      </c>
      <c r="R28998" s="36" t="s">
        <v>48</v>
      </c>
    </row>
    <row r="28999">
      <c r="H28999" s="50"/>
      <c r="I28999" s="50"/>
      <c r="O28999" s="36" t="s">
        <v>48</v>
      </c>
      <c r="R28999" s="36" t="s">
        <v>48</v>
      </c>
    </row>
    <row r="29000">
      <c r="H29000" s="50"/>
      <c r="I29000" s="50"/>
      <c r="O29000" s="36" t="s">
        <v>48</v>
      </c>
      <c r="R29000" s="36" t="s">
        <v>48</v>
      </c>
    </row>
    <row r="29001">
      <c r="H29001" s="50"/>
      <c r="I29001" s="50"/>
      <c r="O29001" s="36" t="s">
        <v>48</v>
      </c>
      <c r="R29001" s="36" t="s">
        <v>48</v>
      </c>
    </row>
    <row r="29002">
      <c r="H29002" s="50"/>
      <c r="I29002" s="50"/>
      <c r="O29002" s="36" t="s">
        <v>48</v>
      </c>
      <c r="R29002" s="36" t="s">
        <v>48</v>
      </c>
    </row>
    <row r="29003">
      <c r="H29003" s="50"/>
      <c r="I29003" s="50"/>
      <c r="O29003" s="36" t="s">
        <v>48</v>
      </c>
      <c r="R29003" s="36" t="s">
        <v>48</v>
      </c>
    </row>
    <row r="29004">
      <c r="H29004" s="50"/>
      <c r="I29004" s="50"/>
      <c r="O29004" s="36" t="s">
        <v>48</v>
      </c>
      <c r="R29004" s="36" t="s">
        <v>48</v>
      </c>
    </row>
    <row r="29005">
      <c r="H29005" s="50"/>
      <c r="I29005" s="50"/>
      <c r="O29005" s="36" t="s">
        <v>48</v>
      </c>
      <c r="R29005" s="36" t="s">
        <v>48</v>
      </c>
    </row>
    <row r="29006">
      <c r="H29006" s="50"/>
      <c r="I29006" s="50"/>
      <c r="O29006" s="36" t="s">
        <v>48</v>
      </c>
      <c r="R29006" s="36" t="s">
        <v>48</v>
      </c>
    </row>
    <row r="29007">
      <c r="H29007" s="50"/>
      <c r="I29007" s="50"/>
      <c r="O29007" s="36" t="s">
        <v>48</v>
      </c>
      <c r="R29007" s="36" t="s">
        <v>48</v>
      </c>
    </row>
    <row r="29008">
      <c r="H29008" s="50"/>
      <c r="I29008" s="50"/>
      <c r="O29008" s="36" t="s">
        <v>48</v>
      </c>
      <c r="R29008" s="36" t="s">
        <v>48</v>
      </c>
    </row>
    <row r="29009">
      <c r="H29009" s="50"/>
      <c r="I29009" s="50"/>
      <c r="O29009" s="36" t="s">
        <v>48</v>
      </c>
      <c r="R29009" s="36" t="s">
        <v>48</v>
      </c>
    </row>
    <row r="29010">
      <c r="H29010" s="50"/>
      <c r="I29010" s="50"/>
      <c r="O29010" s="36" t="s">
        <v>48</v>
      </c>
      <c r="R29010" s="36" t="s">
        <v>48</v>
      </c>
    </row>
    <row r="29011">
      <c r="H29011" s="50"/>
      <c r="I29011" s="50"/>
      <c r="O29011" s="36" t="s">
        <v>48</v>
      </c>
      <c r="R29011" s="36" t="s">
        <v>48</v>
      </c>
    </row>
    <row r="29012">
      <c r="H29012" s="50"/>
      <c r="I29012" s="50"/>
      <c r="O29012" s="36" t="s">
        <v>48</v>
      </c>
      <c r="R29012" s="36" t="s">
        <v>48</v>
      </c>
    </row>
    <row r="29013">
      <c r="H29013" s="50"/>
      <c r="I29013" s="50"/>
      <c r="O29013" s="36" t="s">
        <v>48</v>
      </c>
      <c r="R29013" s="36" t="s">
        <v>48</v>
      </c>
    </row>
    <row r="29014">
      <c r="H29014" s="50"/>
      <c r="I29014" s="50"/>
      <c r="O29014" s="36" t="s">
        <v>48</v>
      </c>
      <c r="R29014" s="36" t="s">
        <v>48</v>
      </c>
    </row>
    <row r="29015">
      <c r="H29015" s="50"/>
      <c r="I29015" s="50"/>
      <c r="O29015" s="36" t="s">
        <v>48</v>
      </c>
      <c r="R29015" s="36" t="s">
        <v>48</v>
      </c>
    </row>
    <row r="29016">
      <c r="H29016" s="50"/>
      <c r="I29016" s="50"/>
      <c r="O29016" s="36" t="s">
        <v>48</v>
      </c>
      <c r="R29016" s="36" t="s">
        <v>48</v>
      </c>
    </row>
    <row r="29017">
      <c r="H29017" s="50"/>
      <c r="I29017" s="50"/>
      <c r="O29017" s="36" t="s">
        <v>48</v>
      </c>
      <c r="R29017" s="36" t="s">
        <v>48</v>
      </c>
    </row>
    <row r="29018">
      <c r="H29018" s="50"/>
      <c r="I29018" s="50"/>
      <c r="O29018" s="36" t="s">
        <v>48</v>
      </c>
      <c r="R29018" s="36" t="s">
        <v>48</v>
      </c>
    </row>
    <row r="29019">
      <c r="H29019" s="50"/>
      <c r="I29019" s="50"/>
      <c r="O29019" s="36" t="s">
        <v>48</v>
      </c>
      <c r="R29019" s="36" t="s">
        <v>48</v>
      </c>
    </row>
    <row r="29020">
      <c r="H29020" s="50"/>
      <c r="I29020" s="50"/>
      <c r="O29020" s="36" t="s">
        <v>48</v>
      </c>
      <c r="R29020" s="36" t="s">
        <v>48</v>
      </c>
    </row>
    <row r="29021">
      <c r="H29021" s="50"/>
      <c r="I29021" s="50"/>
      <c r="O29021" s="36" t="s">
        <v>48</v>
      </c>
      <c r="R29021" s="36" t="s">
        <v>48</v>
      </c>
    </row>
    <row r="29022">
      <c r="H29022" s="50"/>
      <c r="I29022" s="50"/>
      <c r="O29022" s="36" t="s">
        <v>48</v>
      </c>
      <c r="R29022" s="36" t="s">
        <v>48</v>
      </c>
    </row>
    <row r="29023">
      <c r="H29023" s="50"/>
      <c r="I29023" s="50"/>
      <c r="O29023" s="36" t="s">
        <v>48</v>
      </c>
      <c r="R29023" s="36" t="s">
        <v>48</v>
      </c>
    </row>
    <row r="29024">
      <c r="H29024" s="50"/>
      <c r="I29024" s="50"/>
      <c r="O29024" s="36" t="s">
        <v>48</v>
      </c>
      <c r="R29024" s="36" t="s">
        <v>48</v>
      </c>
    </row>
    <row r="29025">
      <c r="H29025" s="50"/>
      <c r="I29025" s="50"/>
      <c r="O29025" s="36" t="s">
        <v>48</v>
      </c>
      <c r="R29025" s="36" t="s">
        <v>48</v>
      </c>
    </row>
    <row r="29026">
      <c r="H29026" s="50"/>
      <c r="I29026" s="50"/>
      <c r="O29026" s="36" t="s">
        <v>48</v>
      </c>
      <c r="R29026" s="36" t="s">
        <v>48</v>
      </c>
    </row>
    <row r="29027">
      <c r="H29027" s="50"/>
      <c r="I29027" s="50"/>
      <c r="O29027" s="36" t="s">
        <v>48</v>
      </c>
      <c r="R29027" s="36" t="s">
        <v>48</v>
      </c>
    </row>
    <row r="29028">
      <c r="H29028" s="50"/>
      <c r="I29028" s="50"/>
      <c r="O29028" s="36" t="s">
        <v>48</v>
      </c>
      <c r="R29028" s="36" t="s">
        <v>48</v>
      </c>
    </row>
    <row r="29029">
      <c r="H29029" s="50"/>
      <c r="I29029" s="50"/>
      <c r="O29029" s="36" t="s">
        <v>48</v>
      </c>
      <c r="R29029" s="36" t="s">
        <v>48</v>
      </c>
    </row>
    <row r="29030">
      <c r="H29030" s="50"/>
      <c r="I29030" s="50"/>
      <c r="O29030" s="36" t="s">
        <v>48</v>
      </c>
      <c r="R29030" s="36" t="s">
        <v>48</v>
      </c>
    </row>
    <row r="29031">
      <c r="H29031" s="50"/>
      <c r="I29031" s="50"/>
      <c r="O29031" s="36" t="s">
        <v>48</v>
      </c>
      <c r="R29031" s="36" t="s">
        <v>48</v>
      </c>
    </row>
    <row r="29032">
      <c r="H29032" s="50"/>
      <c r="I29032" s="50"/>
      <c r="O29032" s="36" t="s">
        <v>48</v>
      </c>
      <c r="R29032" s="36" t="s">
        <v>48</v>
      </c>
    </row>
    <row r="29033">
      <c r="H29033" s="50"/>
      <c r="I29033" s="50"/>
      <c r="O29033" s="36" t="s">
        <v>48</v>
      </c>
      <c r="R29033" s="36" t="s">
        <v>48</v>
      </c>
    </row>
    <row r="29034">
      <c r="H29034" s="50"/>
      <c r="I29034" s="50"/>
      <c r="O29034" s="36" t="s">
        <v>48</v>
      </c>
      <c r="R29034" s="36" t="s">
        <v>48</v>
      </c>
    </row>
    <row r="29035">
      <c r="H29035" s="50"/>
      <c r="I29035" s="50"/>
      <c r="O29035" s="36" t="s">
        <v>48</v>
      </c>
      <c r="R29035" s="36" t="s">
        <v>48</v>
      </c>
    </row>
    <row r="29036">
      <c r="H29036" s="50"/>
      <c r="I29036" s="50"/>
      <c r="O29036" s="36" t="s">
        <v>48</v>
      </c>
      <c r="R29036" s="36" t="s">
        <v>48</v>
      </c>
    </row>
    <row r="29037">
      <c r="H29037" s="50"/>
      <c r="I29037" s="50"/>
      <c r="O29037" s="36" t="s">
        <v>48</v>
      </c>
      <c r="R29037" s="36" t="s">
        <v>48</v>
      </c>
    </row>
    <row r="29038">
      <c r="H29038" s="50"/>
      <c r="I29038" s="50"/>
      <c r="O29038" s="36" t="s">
        <v>48</v>
      </c>
      <c r="R29038" s="36" t="s">
        <v>48</v>
      </c>
    </row>
    <row r="29039">
      <c r="H29039" s="50"/>
      <c r="I29039" s="50"/>
      <c r="O29039" s="36" t="s">
        <v>48</v>
      </c>
      <c r="R29039" s="36" t="s">
        <v>48</v>
      </c>
    </row>
    <row r="29040">
      <c r="H29040" s="50"/>
      <c r="I29040" s="50"/>
      <c r="O29040" s="36" t="s">
        <v>48</v>
      </c>
      <c r="R29040" s="36" t="s">
        <v>48</v>
      </c>
    </row>
    <row r="29041">
      <c r="H29041" s="50"/>
      <c r="I29041" s="50"/>
      <c r="O29041" s="36" t="s">
        <v>48</v>
      </c>
      <c r="R29041" s="36" t="s">
        <v>48</v>
      </c>
    </row>
    <row r="29042">
      <c r="H29042" s="50"/>
      <c r="I29042" s="50"/>
      <c r="O29042" s="36" t="s">
        <v>48</v>
      </c>
      <c r="R29042" s="36" t="s">
        <v>48</v>
      </c>
    </row>
    <row r="29043">
      <c r="H29043" s="50"/>
      <c r="I29043" s="50"/>
      <c r="O29043" s="36" t="s">
        <v>48</v>
      </c>
      <c r="R29043" s="36" t="s">
        <v>48</v>
      </c>
    </row>
    <row r="29044">
      <c r="H29044" s="50"/>
      <c r="I29044" s="50"/>
      <c r="O29044" s="36" t="s">
        <v>48</v>
      </c>
      <c r="R29044" s="36" t="s">
        <v>48</v>
      </c>
    </row>
    <row r="29045">
      <c r="H29045" s="50"/>
      <c r="I29045" s="50"/>
      <c r="O29045" s="36" t="s">
        <v>48</v>
      </c>
      <c r="R29045" s="36" t="s">
        <v>48</v>
      </c>
    </row>
    <row r="29046">
      <c r="H29046" s="50"/>
      <c r="I29046" s="50"/>
      <c r="O29046" s="36" t="s">
        <v>48</v>
      </c>
      <c r="R29046" s="36" t="s">
        <v>48</v>
      </c>
    </row>
    <row r="29047">
      <c r="H29047" s="50"/>
      <c r="I29047" s="50"/>
      <c r="O29047" s="36" t="s">
        <v>48</v>
      </c>
      <c r="R29047" s="36" t="s">
        <v>48</v>
      </c>
    </row>
    <row r="29048">
      <c r="H29048" s="50"/>
      <c r="I29048" s="50"/>
      <c r="O29048" s="36" t="s">
        <v>48</v>
      </c>
      <c r="R29048" s="36" t="s">
        <v>48</v>
      </c>
    </row>
    <row r="29049">
      <c r="H29049" s="50"/>
      <c r="I29049" s="50"/>
      <c r="O29049" s="36" t="s">
        <v>48</v>
      </c>
      <c r="R29049" s="36" t="s">
        <v>48</v>
      </c>
    </row>
    <row r="29050">
      <c r="H29050" s="50"/>
      <c r="I29050" s="50"/>
      <c r="O29050" s="36" t="s">
        <v>48</v>
      </c>
      <c r="R29050" s="36" t="s">
        <v>48</v>
      </c>
    </row>
    <row r="29051">
      <c r="H29051" s="50"/>
      <c r="I29051" s="50"/>
      <c r="O29051" s="36" t="s">
        <v>48</v>
      </c>
      <c r="R29051" s="36" t="s">
        <v>48</v>
      </c>
    </row>
    <row r="29052">
      <c r="H29052" s="50"/>
      <c r="I29052" s="50"/>
      <c r="O29052" s="36" t="s">
        <v>48</v>
      </c>
      <c r="R29052" s="36" t="s">
        <v>48</v>
      </c>
    </row>
    <row r="29053">
      <c r="H29053" s="50"/>
      <c r="I29053" s="50"/>
      <c r="O29053" s="36" t="s">
        <v>48</v>
      </c>
      <c r="R29053" s="36" t="s">
        <v>48</v>
      </c>
    </row>
    <row r="29054">
      <c r="H29054" s="50"/>
      <c r="I29054" s="50"/>
      <c r="O29054" s="36" t="s">
        <v>48</v>
      </c>
      <c r="R29054" s="36" t="s">
        <v>48</v>
      </c>
    </row>
    <row r="29055">
      <c r="H29055" s="50"/>
      <c r="I29055" s="50"/>
      <c r="O29055" s="36" t="s">
        <v>48</v>
      </c>
      <c r="R29055" s="36" t="s">
        <v>48</v>
      </c>
    </row>
    <row r="29056">
      <c r="H29056" s="50"/>
      <c r="I29056" s="50"/>
      <c r="O29056" s="36" t="s">
        <v>48</v>
      </c>
      <c r="R29056" s="36" t="s">
        <v>48</v>
      </c>
    </row>
    <row r="29057">
      <c r="H29057" s="50"/>
      <c r="I29057" s="50"/>
      <c r="O29057" s="36" t="s">
        <v>48</v>
      </c>
      <c r="R29057" s="36" t="s">
        <v>48</v>
      </c>
    </row>
    <row r="29058">
      <c r="H29058" s="50"/>
      <c r="I29058" s="50"/>
      <c r="O29058" s="36" t="s">
        <v>48</v>
      </c>
      <c r="R29058" s="36" t="s">
        <v>48</v>
      </c>
    </row>
    <row r="29059">
      <c r="H29059" s="50"/>
      <c r="I29059" s="50"/>
      <c r="O29059" s="36" t="s">
        <v>48</v>
      </c>
      <c r="R29059" s="36" t="s">
        <v>48</v>
      </c>
    </row>
    <row r="29060">
      <c r="H29060" s="50"/>
      <c r="I29060" s="50"/>
      <c r="O29060" s="36" t="s">
        <v>48</v>
      </c>
      <c r="R29060" s="36" t="s">
        <v>48</v>
      </c>
    </row>
    <row r="29061">
      <c r="H29061" s="50"/>
      <c r="I29061" s="50"/>
      <c r="O29061" s="36" t="s">
        <v>48</v>
      </c>
      <c r="R29061" s="36" t="s">
        <v>48</v>
      </c>
    </row>
    <row r="29062">
      <c r="H29062" s="50"/>
      <c r="I29062" s="50"/>
      <c r="O29062" s="36" t="s">
        <v>48</v>
      </c>
      <c r="R29062" s="36" t="s">
        <v>48</v>
      </c>
    </row>
    <row r="29063">
      <c r="H29063" s="50"/>
      <c r="I29063" s="50"/>
      <c r="O29063" s="36" t="s">
        <v>48</v>
      </c>
      <c r="R29063" s="36" t="s">
        <v>48</v>
      </c>
    </row>
    <row r="29064">
      <c r="H29064" s="50"/>
      <c r="I29064" s="50"/>
      <c r="O29064" s="36" t="s">
        <v>48</v>
      </c>
      <c r="R29064" s="36" t="s">
        <v>48</v>
      </c>
    </row>
    <row r="29065">
      <c r="H29065" s="50"/>
      <c r="I29065" s="50"/>
      <c r="O29065" s="36" t="s">
        <v>48</v>
      </c>
      <c r="R29065" s="36" t="s">
        <v>48</v>
      </c>
    </row>
    <row r="29066">
      <c r="H29066" s="50"/>
      <c r="I29066" s="50"/>
      <c r="O29066" s="36" t="s">
        <v>48</v>
      </c>
      <c r="R29066" s="36" t="s">
        <v>48</v>
      </c>
    </row>
    <row r="29067">
      <c r="H29067" s="50"/>
      <c r="I29067" s="50"/>
      <c r="O29067" s="36" t="s">
        <v>48</v>
      </c>
      <c r="R29067" s="36" t="s">
        <v>48</v>
      </c>
    </row>
    <row r="29068">
      <c r="H29068" s="50"/>
      <c r="I29068" s="50"/>
      <c r="O29068" s="36" t="s">
        <v>48</v>
      </c>
      <c r="R29068" s="36" t="s">
        <v>48</v>
      </c>
    </row>
    <row r="29069">
      <c r="H29069" s="50"/>
      <c r="I29069" s="50"/>
      <c r="O29069" s="36" t="s">
        <v>48</v>
      </c>
      <c r="R29069" s="36" t="s">
        <v>48</v>
      </c>
    </row>
    <row r="29070">
      <c r="H29070" s="50"/>
      <c r="I29070" s="50"/>
      <c r="O29070" s="36" t="s">
        <v>48</v>
      </c>
      <c r="R29070" s="36" t="s">
        <v>48</v>
      </c>
    </row>
    <row r="29071">
      <c r="H29071" s="50"/>
      <c r="I29071" s="50"/>
      <c r="O29071" s="36" t="s">
        <v>48</v>
      </c>
      <c r="R29071" s="36" t="s">
        <v>48</v>
      </c>
    </row>
    <row r="29072">
      <c r="H29072" s="50"/>
      <c r="I29072" s="50"/>
      <c r="O29072" s="36" t="s">
        <v>48</v>
      </c>
      <c r="R29072" s="36" t="s">
        <v>48</v>
      </c>
    </row>
    <row r="29073">
      <c r="H29073" s="50"/>
      <c r="I29073" s="50"/>
      <c r="O29073" s="36" t="s">
        <v>48</v>
      </c>
      <c r="R29073" s="36" t="s">
        <v>48</v>
      </c>
    </row>
    <row r="29074">
      <c r="H29074" s="50"/>
      <c r="I29074" s="50"/>
      <c r="O29074" s="36" t="s">
        <v>48</v>
      </c>
      <c r="R29074" s="36" t="s">
        <v>48</v>
      </c>
    </row>
    <row r="29075">
      <c r="H29075" s="50"/>
      <c r="I29075" s="50"/>
      <c r="O29075" s="36" t="s">
        <v>48</v>
      </c>
      <c r="R29075" s="36" t="s">
        <v>48</v>
      </c>
    </row>
    <row r="29076">
      <c r="H29076" s="50"/>
      <c r="I29076" s="50"/>
      <c r="O29076" s="36" t="s">
        <v>48</v>
      </c>
      <c r="R29076" s="36" t="s">
        <v>48</v>
      </c>
    </row>
    <row r="29077">
      <c r="H29077" s="50"/>
      <c r="I29077" s="50"/>
      <c r="O29077" s="36" t="s">
        <v>48</v>
      </c>
      <c r="R29077" s="36" t="s">
        <v>48</v>
      </c>
    </row>
    <row r="29078">
      <c r="H29078" s="50"/>
      <c r="I29078" s="50"/>
      <c r="O29078" s="36" t="s">
        <v>48</v>
      </c>
      <c r="R29078" s="36" t="s">
        <v>48</v>
      </c>
    </row>
    <row r="29079">
      <c r="H29079" s="50"/>
      <c r="I29079" s="50"/>
      <c r="O29079" s="36" t="s">
        <v>48</v>
      </c>
      <c r="R29079" s="36" t="s">
        <v>48</v>
      </c>
    </row>
    <row r="29080">
      <c r="H29080" s="50"/>
      <c r="I29080" s="50"/>
      <c r="O29080" s="36" t="s">
        <v>48</v>
      </c>
      <c r="R29080" s="36" t="s">
        <v>48</v>
      </c>
    </row>
    <row r="29081">
      <c r="H29081" s="50"/>
      <c r="I29081" s="50"/>
      <c r="O29081" s="36" t="s">
        <v>48</v>
      </c>
      <c r="R29081" s="36" t="s">
        <v>48</v>
      </c>
    </row>
    <row r="29082">
      <c r="H29082" s="50"/>
      <c r="I29082" s="50"/>
      <c r="O29082" s="36" t="s">
        <v>48</v>
      </c>
      <c r="R29082" s="36" t="s">
        <v>48</v>
      </c>
    </row>
    <row r="29083">
      <c r="H29083" s="50"/>
      <c r="I29083" s="50"/>
      <c r="O29083" s="36" t="s">
        <v>48</v>
      </c>
      <c r="R29083" s="36" t="s">
        <v>48</v>
      </c>
    </row>
    <row r="29084">
      <c r="H29084" s="50"/>
      <c r="I29084" s="50"/>
      <c r="O29084" s="36" t="s">
        <v>48</v>
      </c>
      <c r="R29084" s="36" t="s">
        <v>48</v>
      </c>
    </row>
    <row r="29085">
      <c r="H29085" s="50"/>
      <c r="I29085" s="50"/>
      <c r="O29085" s="36" t="s">
        <v>48</v>
      </c>
      <c r="R29085" s="36" t="s">
        <v>48</v>
      </c>
    </row>
    <row r="29086">
      <c r="H29086" s="50"/>
      <c r="I29086" s="50"/>
      <c r="O29086" s="36" t="s">
        <v>48</v>
      </c>
      <c r="R29086" s="36" t="s">
        <v>48</v>
      </c>
    </row>
    <row r="29087">
      <c r="H29087" s="50"/>
      <c r="I29087" s="50"/>
      <c r="O29087" s="36" t="s">
        <v>48</v>
      </c>
      <c r="R29087" s="36" t="s">
        <v>48</v>
      </c>
    </row>
    <row r="29088">
      <c r="H29088" s="50"/>
      <c r="I29088" s="50"/>
      <c r="O29088" s="36" t="s">
        <v>48</v>
      </c>
      <c r="R29088" s="36" t="s">
        <v>48</v>
      </c>
    </row>
    <row r="29089">
      <c r="H29089" s="50"/>
      <c r="I29089" s="50"/>
      <c r="O29089" s="36" t="s">
        <v>48</v>
      </c>
      <c r="R29089" s="36" t="s">
        <v>48</v>
      </c>
    </row>
    <row r="29090">
      <c r="H29090" s="50"/>
      <c r="I29090" s="50"/>
      <c r="O29090" s="36" t="s">
        <v>48</v>
      </c>
      <c r="R29090" s="36" t="s">
        <v>48</v>
      </c>
    </row>
    <row r="29091">
      <c r="H29091" s="50"/>
      <c r="I29091" s="50"/>
      <c r="O29091" s="36" t="s">
        <v>48</v>
      </c>
      <c r="R29091" s="36" t="s">
        <v>48</v>
      </c>
    </row>
    <row r="29092">
      <c r="H29092" s="50"/>
      <c r="I29092" s="50"/>
      <c r="O29092" s="36" t="s">
        <v>48</v>
      </c>
      <c r="R29092" s="36" t="s">
        <v>48</v>
      </c>
    </row>
    <row r="29093">
      <c r="H29093" s="50"/>
      <c r="I29093" s="50"/>
      <c r="O29093" s="36" t="s">
        <v>48</v>
      </c>
      <c r="R29093" s="36" t="s">
        <v>48</v>
      </c>
    </row>
    <row r="29094">
      <c r="H29094" s="50"/>
      <c r="I29094" s="50"/>
      <c r="O29094" s="36" t="s">
        <v>48</v>
      </c>
      <c r="R29094" s="36" t="s">
        <v>48</v>
      </c>
    </row>
    <row r="29095">
      <c r="H29095" s="50"/>
      <c r="I29095" s="50"/>
      <c r="O29095" s="36" t="s">
        <v>48</v>
      </c>
      <c r="R29095" s="36" t="s">
        <v>48</v>
      </c>
    </row>
    <row r="29096">
      <c r="H29096" s="50"/>
      <c r="I29096" s="50"/>
      <c r="O29096" s="36" t="s">
        <v>48</v>
      </c>
      <c r="R29096" s="36" t="s">
        <v>48</v>
      </c>
    </row>
    <row r="29097">
      <c r="H29097" s="50"/>
      <c r="I29097" s="50"/>
      <c r="O29097" s="36" t="s">
        <v>48</v>
      </c>
      <c r="R29097" s="36" t="s">
        <v>48</v>
      </c>
    </row>
    <row r="29098">
      <c r="H29098" s="50"/>
      <c r="I29098" s="50"/>
      <c r="O29098" s="36" t="s">
        <v>48</v>
      </c>
      <c r="R29098" s="36" t="s">
        <v>48</v>
      </c>
    </row>
    <row r="29099">
      <c r="H29099" s="50"/>
      <c r="I29099" s="50"/>
      <c r="O29099" s="36" t="s">
        <v>48</v>
      </c>
      <c r="R29099" s="36" t="s">
        <v>48</v>
      </c>
    </row>
    <row r="29100">
      <c r="H29100" s="50"/>
      <c r="I29100" s="50"/>
      <c r="O29100" s="36" t="s">
        <v>48</v>
      </c>
      <c r="R29100" s="36" t="s">
        <v>48</v>
      </c>
    </row>
    <row r="29101">
      <c r="H29101" s="50"/>
      <c r="I29101" s="50"/>
      <c r="O29101" s="36" t="s">
        <v>48</v>
      </c>
      <c r="R29101" s="36" t="s">
        <v>48</v>
      </c>
    </row>
    <row r="29102">
      <c r="H29102" s="50"/>
      <c r="I29102" s="50"/>
      <c r="O29102" s="36" t="s">
        <v>48</v>
      </c>
      <c r="R29102" s="36" t="s">
        <v>48</v>
      </c>
    </row>
    <row r="29103">
      <c r="H29103" s="50"/>
      <c r="I29103" s="50"/>
      <c r="O29103" s="36" t="s">
        <v>48</v>
      </c>
      <c r="R29103" s="36" t="s">
        <v>48</v>
      </c>
    </row>
    <row r="29104">
      <c r="H29104" s="50"/>
      <c r="I29104" s="50"/>
      <c r="O29104" s="36" t="s">
        <v>48</v>
      </c>
      <c r="R29104" s="36" t="s">
        <v>48</v>
      </c>
    </row>
    <row r="29105">
      <c r="H29105" s="50"/>
      <c r="I29105" s="50"/>
      <c r="O29105" s="36" t="s">
        <v>48</v>
      </c>
      <c r="R29105" s="36" t="s">
        <v>48</v>
      </c>
    </row>
    <row r="29106">
      <c r="H29106" s="50"/>
      <c r="I29106" s="50"/>
      <c r="O29106" s="36" t="s">
        <v>48</v>
      </c>
      <c r="R29106" s="36" t="s">
        <v>48</v>
      </c>
    </row>
    <row r="29107">
      <c r="H29107" s="50"/>
      <c r="I29107" s="50"/>
      <c r="O29107" s="36" t="s">
        <v>48</v>
      </c>
      <c r="R29107" s="36" t="s">
        <v>48</v>
      </c>
    </row>
    <row r="29108">
      <c r="H29108" s="50"/>
      <c r="I29108" s="50"/>
      <c r="O29108" s="36" t="s">
        <v>48</v>
      </c>
      <c r="R29108" s="36" t="s">
        <v>48</v>
      </c>
    </row>
    <row r="29109">
      <c r="H29109" s="50"/>
      <c r="I29109" s="50"/>
      <c r="O29109" s="36" t="s">
        <v>48</v>
      </c>
      <c r="R29109" s="36" t="s">
        <v>48</v>
      </c>
    </row>
    <row r="29110">
      <c r="H29110" s="50"/>
      <c r="I29110" s="50"/>
      <c r="O29110" s="36" t="s">
        <v>48</v>
      </c>
      <c r="R29110" s="36" t="s">
        <v>48</v>
      </c>
    </row>
    <row r="29111">
      <c r="H29111" s="50"/>
      <c r="I29111" s="50"/>
      <c r="O29111" s="36" t="s">
        <v>48</v>
      </c>
      <c r="R29111" s="36" t="s">
        <v>48</v>
      </c>
    </row>
    <row r="29112">
      <c r="H29112" s="50"/>
      <c r="I29112" s="50"/>
      <c r="O29112" s="36" t="s">
        <v>48</v>
      </c>
      <c r="R29112" s="36" t="s">
        <v>48</v>
      </c>
    </row>
    <row r="29113">
      <c r="H29113" s="50"/>
      <c r="I29113" s="50"/>
      <c r="O29113" s="36" t="s">
        <v>48</v>
      </c>
      <c r="R29113" s="36" t="s">
        <v>48</v>
      </c>
    </row>
    <row r="29114">
      <c r="H29114" s="50"/>
      <c r="I29114" s="50"/>
      <c r="O29114" s="36" t="s">
        <v>48</v>
      </c>
      <c r="R29114" s="36" t="s">
        <v>48</v>
      </c>
    </row>
    <row r="29115">
      <c r="H29115" s="50"/>
      <c r="I29115" s="50"/>
      <c r="O29115" s="36" t="s">
        <v>48</v>
      </c>
      <c r="R29115" s="36" t="s">
        <v>48</v>
      </c>
    </row>
    <row r="29116">
      <c r="H29116" s="50"/>
      <c r="I29116" s="50"/>
      <c r="O29116" s="36" t="s">
        <v>48</v>
      </c>
      <c r="R29116" s="36" t="s">
        <v>48</v>
      </c>
    </row>
    <row r="29117">
      <c r="H29117" s="50"/>
      <c r="I29117" s="50"/>
      <c r="O29117" s="36" t="s">
        <v>48</v>
      </c>
      <c r="R29117" s="36" t="s">
        <v>48</v>
      </c>
    </row>
    <row r="29118">
      <c r="H29118" s="50"/>
      <c r="I29118" s="50"/>
      <c r="O29118" s="36" t="s">
        <v>48</v>
      </c>
      <c r="R29118" s="36" t="s">
        <v>48</v>
      </c>
    </row>
    <row r="29119">
      <c r="H29119" s="50"/>
      <c r="I29119" s="50"/>
      <c r="O29119" s="36" t="s">
        <v>48</v>
      </c>
      <c r="R29119" s="36" t="s">
        <v>48</v>
      </c>
    </row>
    <row r="29120">
      <c r="H29120" s="50"/>
      <c r="I29120" s="50"/>
      <c r="O29120" s="36" t="s">
        <v>48</v>
      </c>
      <c r="R29120" s="36" t="s">
        <v>48</v>
      </c>
    </row>
    <row r="29121">
      <c r="H29121" s="50"/>
      <c r="I29121" s="50"/>
      <c r="O29121" s="36" t="s">
        <v>48</v>
      </c>
      <c r="R29121" s="36" t="s">
        <v>48</v>
      </c>
    </row>
    <row r="29122">
      <c r="H29122" s="50"/>
      <c r="I29122" s="50"/>
      <c r="O29122" s="36" t="s">
        <v>48</v>
      </c>
      <c r="R29122" s="36" t="s">
        <v>48</v>
      </c>
    </row>
    <row r="29123">
      <c r="H29123" s="50"/>
      <c r="I29123" s="50"/>
      <c r="O29123" s="36" t="s">
        <v>48</v>
      </c>
      <c r="R29123" s="36" t="s">
        <v>48</v>
      </c>
    </row>
    <row r="29124">
      <c r="H29124" s="50"/>
      <c r="I29124" s="50"/>
      <c r="O29124" s="36" t="s">
        <v>48</v>
      </c>
      <c r="R29124" s="36" t="s">
        <v>48</v>
      </c>
    </row>
    <row r="29125">
      <c r="H29125" s="50"/>
      <c r="I29125" s="50"/>
      <c r="O29125" s="36" t="s">
        <v>48</v>
      </c>
      <c r="R29125" s="36" t="s">
        <v>48</v>
      </c>
    </row>
    <row r="29126">
      <c r="H29126" s="50"/>
      <c r="I29126" s="50"/>
      <c r="O29126" s="36" t="s">
        <v>48</v>
      </c>
      <c r="R29126" s="36" t="s">
        <v>48</v>
      </c>
    </row>
    <row r="29127">
      <c r="H29127" s="50"/>
      <c r="I29127" s="50"/>
      <c r="O29127" s="36" t="s">
        <v>48</v>
      </c>
      <c r="R29127" s="36" t="s">
        <v>48</v>
      </c>
    </row>
    <row r="29128">
      <c r="H29128" s="50"/>
      <c r="I29128" s="50"/>
      <c r="O29128" s="36" t="s">
        <v>48</v>
      </c>
      <c r="R29128" s="36" t="s">
        <v>48</v>
      </c>
    </row>
    <row r="29129">
      <c r="H29129" s="50"/>
      <c r="I29129" s="50"/>
      <c r="O29129" s="36" t="s">
        <v>48</v>
      </c>
      <c r="R29129" s="36" t="s">
        <v>48</v>
      </c>
    </row>
    <row r="29130">
      <c r="H29130" s="50"/>
      <c r="I29130" s="50"/>
      <c r="O29130" s="36" t="s">
        <v>48</v>
      </c>
      <c r="R29130" s="36" t="s">
        <v>48</v>
      </c>
    </row>
    <row r="29131">
      <c r="H29131" s="50"/>
      <c r="I29131" s="50"/>
      <c r="O29131" s="36" t="s">
        <v>48</v>
      </c>
      <c r="R29131" s="36" t="s">
        <v>48</v>
      </c>
    </row>
    <row r="29132">
      <c r="H29132" s="50"/>
      <c r="I29132" s="50"/>
      <c r="O29132" s="36" t="s">
        <v>48</v>
      </c>
      <c r="R29132" s="36" t="s">
        <v>48</v>
      </c>
    </row>
    <row r="29133">
      <c r="H29133" s="50"/>
      <c r="I29133" s="50"/>
      <c r="O29133" s="36" t="s">
        <v>48</v>
      </c>
      <c r="R29133" s="36" t="s">
        <v>48</v>
      </c>
    </row>
    <row r="29134">
      <c r="H29134" s="50"/>
      <c r="I29134" s="50"/>
      <c r="O29134" s="36" t="s">
        <v>48</v>
      </c>
      <c r="R29134" s="36" t="s">
        <v>48</v>
      </c>
    </row>
    <row r="29135">
      <c r="H29135" s="50"/>
      <c r="I29135" s="50"/>
      <c r="O29135" s="36" t="s">
        <v>48</v>
      </c>
      <c r="R29135" s="36" t="s">
        <v>48</v>
      </c>
    </row>
    <row r="29136">
      <c r="H29136" s="50"/>
      <c r="I29136" s="50"/>
      <c r="O29136" s="36" t="s">
        <v>48</v>
      </c>
      <c r="R29136" s="36" t="s">
        <v>48</v>
      </c>
    </row>
    <row r="29137">
      <c r="H29137" s="50"/>
      <c r="I29137" s="50"/>
      <c r="O29137" s="36" t="s">
        <v>48</v>
      </c>
      <c r="R29137" s="36" t="s">
        <v>48</v>
      </c>
    </row>
    <row r="29138">
      <c r="H29138" s="50"/>
      <c r="I29138" s="50"/>
      <c r="O29138" s="36" t="s">
        <v>48</v>
      </c>
      <c r="R29138" s="36" t="s">
        <v>48</v>
      </c>
    </row>
    <row r="29139">
      <c r="H29139" s="50"/>
      <c r="I29139" s="50"/>
      <c r="O29139" s="36" t="s">
        <v>48</v>
      </c>
      <c r="R29139" s="36" t="s">
        <v>48</v>
      </c>
    </row>
    <row r="29140">
      <c r="H29140" s="50"/>
      <c r="I29140" s="50"/>
      <c r="O29140" s="36" t="s">
        <v>48</v>
      </c>
      <c r="R29140" s="36" t="s">
        <v>48</v>
      </c>
    </row>
    <row r="29141">
      <c r="H29141" s="50"/>
      <c r="I29141" s="50"/>
      <c r="O29141" s="36" t="s">
        <v>48</v>
      </c>
      <c r="R29141" s="36" t="s">
        <v>48</v>
      </c>
    </row>
    <row r="29142">
      <c r="H29142" s="50"/>
      <c r="I29142" s="50"/>
      <c r="O29142" s="36" t="s">
        <v>48</v>
      </c>
      <c r="R29142" s="36" t="s">
        <v>48</v>
      </c>
    </row>
    <row r="29143">
      <c r="H29143" s="50"/>
      <c r="I29143" s="50"/>
      <c r="O29143" s="36" t="s">
        <v>48</v>
      </c>
      <c r="R29143" s="36" t="s">
        <v>48</v>
      </c>
    </row>
    <row r="29144">
      <c r="H29144" s="50"/>
      <c r="I29144" s="50"/>
      <c r="O29144" s="36" t="s">
        <v>48</v>
      </c>
      <c r="R29144" s="36" t="s">
        <v>48</v>
      </c>
    </row>
    <row r="29145">
      <c r="H29145" s="50"/>
      <c r="I29145" s="50"/>
      <c r="O29145" s="36" t="s">
        <v>48</v>
      </c>
      <c r="R29145" s="36" t="s">
        <v>48</v>
      </c>
    </row>
    <row r="29146">
      <c r="H29146" s="50"/>
      <c r="I29146" s="50"/>
      <c r="O29146" s="36" t="s">
        <v>48</v>
      </c>
      <c r="R29146" s="36" t="s">
        <v>48</v>
      </c>
    </row>
    <row r="29147">
      <c r="H29147" s="50"/>
      <c r="I29147" s="50"/>
      <c r="O29147" s="36" t="s">
        <v>48</v>
      </c>
      <c r="R29147" s="36" t="s">
        <v>48</v>
      </c>
    </row>
    <row r="29148">
      <c r="H29148" s="50"/>
      <c r="I29148" s="50"/>
      <c r="O29148" s="36" t="s">
        <v>48</v>
      </c>
      <c r="R29148" s="36" t="s">
        <v>48</v>
      </c>
    </row>
    <row r="29149">
      <c r="H29149" s="50"/>
      <c r="I29149" s="50"/>
      <c r="O29149" s="36" t="s">
        <v>48</v>
      </c>
      <c r="R29149" s="36" t="s">
        <v>48</v>
      </c>
    </row>
    <row r="29150">
      <c r="H29150" s="50"/>
      <c r="I29150" s="50"/>
      <c r="O29150" s="36" t="s">
        <v>48</v>
      </c>
      <c r="R29150" s="36" t="s">
        <v>48</v>
      </c>
    </row>
    <row r="29151">
      <c r="H29151" s="50"/>
      <c r="I29151" s="50"/>
      <c r="O29151" s="36" t="s">
        <v>48</v>
      </c>
      <c r="R29151" s="36" t="s">
        <v>48</v>
      </c>
    </row>
    <row r="29152">
      <c r="H29152" s="50"/>
      <c r="I29152" s="50"/>
      <c r="O29152" s="36" t="s">
        <v>48</v>
      </c>
      <c r="R29152" s="36" t="s">
        <v>48</v>
      </c>
    </row>
    <row r="29153">
      <c r="H29153" s="50"/>
      <c r="I29153" s="50"/>
      <c r="O29153" s="36" t="s">
        <v>48</v>
      </c>
      <c r="R29153" s="36" t="s">
        <v>48</v>
      </c>
    </row>
    <row r="29154">
      <c r="H29154" s="50"/>
      <c r="I29154" s="50"/>
      <c r="O29154" s="36" t="s">
        <v>48</v>
      </c>
      <c r="R29154" s="36" t="s">
        <v>48</v>
      </c>
    </row>
    <row r="29155">
      <c r="H29155" s="50"/>
      <c r="I29155" s="50"/>
      <c r="O29155" s="36" t="s">
        <v>48</v>
      </c>
      <c r="R29155" s="36" t="s">
        <v>48</v>
      </c>
    </row>
    <row r="29156">
      <c r="H29156" s="50"/>
      <c r="I29156" s="50"/>
      <c r="O29156" s="36" t="s">
        <v>48</v>
      </c>
      <c r="R29156" s="36" t="s">
        <v>48</v>
      </c>
    </row>
    <row r="29157">
      <c r="H29157" s="50"/>
      <c r="I29157" s="50"/>
      <c r="O29157" s="36" t="s">
        <v>48</v>
      </c>
      <c r="R29157" s="36" t="s">
        <v>48</v>
      </c>
    </row>
    <row r="29158">
      <c r="H29158" s="50"/>
      <c r="I29158" s="50"/>
      <c r="O29158" s="36" t="s">
        <v>48</v>
      </c>
      <c r="R29158" s="36" t="s">
        <v>48</v>
      </c>
    </row>
    <row r="29159">
      <c r="H29159" s="50"/>
      <c r="I29159" s="50"/>
      <c r="O29159" s="36" t="s">
        <v>48</v>
      </c>
      <c r="R29159" s="36" t="s">
        <v>48</v>
      </c>
    </row>
    <row r="29160">
      <c r="H29160" s="50"/>
      <c r="I29160" s="50"/>
      <c r="O29160" s="36" t="s">
        <v>48</v>
      </c>
      <c r="R29160" s="36" t="s">
        <v>48</v>
      </c>
    </row>
    <row r="29161">
      <c r="H29161" s="50"/>
      <c r="I29161" s="50"/>
      <c r="O29161" s="36" t="s">
        <v>48</v>
      </c>
      <c r="R29161" s="36" t="s">
        <v>48</v>
      </c>
    </row>
    <row r="29162">
      <c r="H29162" s="50"/>
      <c r="I29162" s="50"/>
      <c r="O29162" s="36" t="s">
        <v>48</v>
      </c>
      <c r="R29162" s="36" t="s">
        <v>48</v>
      </c>
    </row>
    <row r="29163">
      <c r="H29163" s="50"/>
      <c r="I29163" s="50"/>
      <c r="O29163" s="36" t="s">
        <v>48</v>
      </c>
      <c r="R29163" s="36" t="s">
        <v>48</v>
      </c>
    </row>
    <row r="29164">
      <c r="H29164" s="50"/>
      <c r="I29164" s="50"/>
      <c r="O29164" s="36" t="s">
        <v>48</v>
      </c>
      <c r="R29164" s="36" t="s">
        <v>48</v>
      </c>
    </row>
    <row r="29165">
      <c r="H29165" s="50"/>
      <c r="I29165" s="50"/>
      <c r="O29165" s="36" t="s">
        <v>48</v>
      </c>
      <c r="R29165" s="36" t="s">
        <v>48</v>
      </c>
    </row>
    <row r="29166">
      <c r="H29166" s="50"/>
      <c r="I29166" s="50"/>
      <c r="O29166" s="36" t="s">
        <v>48</v>
      </c>
      <c r="R29166" s="36" t="s">
        <v>48</v>
      </c>
    </row>
    <row r="29167">
      <c r="H29167" s="50"/>
      <c r="I29167" s="50"/>
      <c r="O29167" s="36" t="s">
        <v>48</v>
      </c>
      <c r="R29167" s="36" t="s">
        <v>48</v>
      </c>
    </row>
    <row r="29168">
      <c r="H29168" s="50"/>
      <c r="I29168" s="50"/>
      <c r="O29168" s="36" t="s">
        <v>48</v>
      </c>
      <c r="R29168" s="36" t="s">
        <v>48</v>
      </c>
    </row>
    <row r="29169">
      <c r="H29169" s="50"/>
      <c r="I29169" s="50"/>
      <c r="O29169" s="36" t="s">
        <v>48</v>
      </c>
      <c r="R29169" s="36" t="s">
        <v>48</v>
      </c>
    </row>
    <row r="29170">
      <c r="H29170" s="50"/>
      <c r="I29170" s="50"/>
      <c r="O29170" s="36" t="s">
        <v>48</v>
      </c>
      <c r="R29170" s="36" t="s">
        <v>48</v>
      </c>
    </row>
    <row r="29171">
      <c r="H29171" s="50"/>
      <c r="I29171" s="50"/>
      <c r="O29171" s="36" t="s">
        <v>48</v>
      </c>
      <c r="R29171" s="36" t="s">
        <v>48</v>
      </c>
    </row>
    <row r="29172">
      <c r="H29172" s="50"/>
      <c r="I29172" s="50"/>
      <c r="O29172" s="36" t="s">
        <v>48</v>
      </c>
      <c r="R29172" s="36" t="s">
        <v>48</v>
      </c>
    </row>
    <row r="29173">
      <c r="H29173" s="50"/>
      <c r="I29173" s="50"/>
      <c r="O29173" s="36" t="s">
        <v>48</v>
      </c>
      <c r="R29173" s="36" t="s">
        <v>48</v>
      </c>
    </row>
    <row r="29174">
      <c r="H29174" s="50"/>
      <c r="I29174" s="50"/>
      <c r="O29174" s="36" t="s">
        <v>48</v>
      </c>
      <c r="R29174" s="36" t="s">
        <v>48</v>
      </c>
    </row>
    <row r="29175">
      <c r="H29175" s="50"/>
      <c r="I29175" s="50"/>
      <c r="O29175" s="36" t="s">
        <v>48</v>
      </c>
      <c r="R29175" s="36" t="s">
        <v>48</v>
      </c>
    </row>
    <row r="29176">
      <c r="H29176" s="50"/>
      <c r="I29176" s="50"/>
      <c r="O29176" s="36" t="s">
        <v>48</v>
      </c>
      <c r="R29176" s="36" t="s">
        <v>48</v>
      </c>
    </row>
    <row r="29177">
      <c r="H29177" s="50"/>
      <c r="I29177" s="50"/>
      <c r="O29177" s="36" t="s">
        <v>48</v>
      </c>
      <c r="R29177" s="36" t="s">
        <v>48</v>
      </c>
    </row>
    <row r="29178">
      <c r="H29178" s="50"/>
      <c r="I29178" s="50"/>
      <c r="O29178" s="36" t="s">
        <v>48</v>
      </c>
      <c r="R29178" s="36" t="s">
        <v>48</v>
      </c>
    </row>
    <row r="29179">
      <c r="H29179" s="50"/>
      <c r="I29179" s="50"/>
      <c r="O29179" s="36" t="s">
        <v>48</v>
      </c>
      <c r="R29179" s="36" t="s">
        <v>48</v>
      </c>
    </row>
    <row r="29180">
      <c r="H29180" s="50"/>
      <c r="I29180" s="50"/>
      <c r="O29180" s="36" t="s">
        <v>48</v>
      </c>
      <c r="R29180" s="36" t="s">
        <v>48</v>
      </c>
    </row>
    <row r="29181">
      <c r="H29181" s="50"/>
      <c r="I29181" s="50"/>
      <c r="O29181" s="36" t="s">
        <v>48</v>
      </c>
      <c r="R29181" s="36" t="s">
        <v>48</v>
      </c>
    </row>
    <row r="29182">
      <c r="H29182" s="50"/>
      <c r="I29182" s="50"/>
      <c r="O29182" s="36" t="s">
        <v>48</v>
      </c>
      <c r="R29182" s="36" t="s">
        <v>48</v>
      </c>
    </row>
    <row r="29183">
      <c r="H29183" s="50"/>
      <c r="I29183" s="50"/>
      <c r="O29183" s="36" t="s">
        <v>48</v>
      </c>
      <c r="R29183" s="36" t="s">
        <v>48</v>
      </c>
    </row>
    <row r="29184">
      <c r="H29184" s="50"/>
      <c r="I29184" s="50"/>
      <c r="O29184" s="36" t="s">
        <v>48</v>
      </c>
      <c r="R29184" s="36" t="s">
        <v>48</v>
      </c>
    </row>
    <row r="29185">
      <c r="H29185" s="50"/>
      <c r="I29185" s="50"/>
      <c r="O29185" s="36" t="s">
        <v>48</v>
      </c>
      <c r="R29185" s="36" t="s">
        <v>48</v>
      </c>
    </row>
    <row r="29186">
      <c r="H29186" s="50"/>
      <c r="I29186" s="50"/>
      <c r="O29186" s="36" t="s">
        <v>48</v>
      </c>
      <c r="R29186" s="36" t="s">
        <v>48</v>
      </c>
    </row>
    <row r="29187">
      <c r="H29187" s="50"/>
      <c r="I29187" s="50"/>
      <c r="O29187" s="36" t="s">
        <v>48</v>
      </c>
      <c r="R29187" s="36" t="s">
        <v>48</v>
      </c>
    </row>
    <row r="29188">
      <c r="H29188" s="50"/>
      <c r="I29188" s="50"/>
      <c r="O29188" s="36" t="s">
        <v>48</v>
      </c>
      <c r="R29188" s="36" t="s">
        <v>48</v>
      </c>
    </row>
    <row r="29189">
      <c r="H29189" s="50"/>
      <c r="I29189" s="50"/>
      <c r="O29189" s="36" t="s">
        <v>48</v>
      </c>
      <c r="R29189" s="36" t="s">
        <v>48</v>
      </c>
    </row>
    <row r="29190">
      <c r="H29190" s="50"/>
      <c r="I29190" s="50"/>
      <c r="O29190" s="36" t="s">
        <v>48</v>
      </c>
      <c r="R29190" s="36" t="s">
        <v>48</v>
      </c>
    </row>
    <row r="29191">
      <c r="H29191" s="50"/>
      <c r="I29191" s="50"/>
      <c r="O29191" s="36" t="s">
        <v>48</v>
      </c>
      <c r="R29191" s="36" t="s">
        <v>48</v>
      </c>
    </row>
    <row r="29192">
      <c r="H29192" s="50"/>
      <c r="I29192" s="50"/>
      <c r="O29192" s="36" t="s">
        <v>48</v>
      </c>
      <c r="R29192" s="36" t="s">
        <v>48</v>
      </c>
    </row>
    <row r="29193">
      <c r="H29193" s="50"/>
      <c r="I29193" s="50"/>
      <c r="O29193" s="36" t="s">
        <v>48</v>
      </c>
      <c r="R29193" s="36" t="s">
        <v>48</v>
      </c>
    </row>
    <row r="29194">
      <c r="H29194" s="50"/>
      <c r="I29194" s="50"/>
      <c r="O29194" s="36" t="s">
        <v>48</v>
      </c>
      <c r="R29194" s="36" t="s">
        <v>48</v>
      </c>
    </row>
    <row r="29195">
      <c r="H29195" s="50"/>
      <c r="I29195" s="50"/>
      <c r="O29195" s="36" t="s">
        <v>48</v>
      </c>
      <c r="R29195" s="36" t="s">
        <v>48</v>
      </c>
    </row>
    <row r="29196">
      <c r="H29196" s="50"/>
      <c r="I29196" s="50"/>
      <c r="O29196" s="36" t="s">
        <v>48</v>
      </c>
      <c r="R29196" s="36" t="s">
        <v>48</v>
      </c>
    </row>
    <row r="29197">
      <c r="H29197" s="50"/>
      <c r="I29197" s="50"/>
      <c r="O29197" s="36" t="s">
        <v>48</v>
      </c>
      <c r="R29197" s="36" t="s">
        <v>48</v>
      </c>
    </row>
    <row r="29198">
      <c r="H29198" s="50"/>
      <c r="I29198" s="50"/>
      <c r="O29198" s="36" t="s">
        <v>48</v>
      </c>
      <c r="R29198" s="36" t="s">
        <v>48</v>
      </c>
    </row>
    <row r="29199">
      <c r="H29199" s="50"/>
      <c r="I29199" s="50"/>
      <c r="O29199" s="36" t="s">
        <v>48</v>
      </c>
      <c r="R29199" s="36" t="s">
        <v>48</v>
      </c>
    </row>
    <row r="29200">
      <c r="H29200" s="50"/>
      <c r="I29200" s="50"/>
      <c r="O29200" s="36" t="s">
        <v>48</v>
      </c>
      <c r="R29200" s="36" t="s">
        <v>48</v>
      </c>
    </row>
    <row r="29201">
      <c r="H29201" s="50"/>
      <c r="I29201" s="50"/>
      <c r="O29201" s="36" t="s">
        <v>48</v>
      </c>
      <c r="R29201" s="36" t="s">
        <v>48</v>
      </c>
    </row>
    <row r="29202">
      <c r="H29202" s="50"/>
      <c r="I29202" s="50"/>
      <c r="O29202" s="36" t="s">
        <v>48</v>
      </c>
      <c r="R29202" s="36" t="s">
        <v>48</v>
      </c>
    </row>
    <row r="29203">
      <c r="H29203" s="50"/>
      <c r="I29203" s="50"/>
      <c r="O29203" s="36" t="s">
        <v>48</v>
      </c>
      <c r="R29203" s="36" t="s">
        <v>48</v>
      </c>
    </row>
    <row r="29204">
      <c r="H29204" s="50"/>
      <c r="I29204" s="50"/>
      <c r="O29204" s="36" t="s">
        <v>48</v>
      </c>
      <c r="R29204" s="36" t="s">
        <v>48</v>
      </c>
    </row>
    <row r="29205">
      <c r="H29205" s="50"/>
      <c r="I29205" s="50"/>
      <c r="O29205" s="36" t="s">
        <v>48</v>
      </c>
      <c r="R29205" s="36" t="s">
        <v>48</v>
      </c>
    </row>
    <row r="29206">
      <c r="H29206" s="50"/>
      <c r="I29206" s="50"/>
      <c r="O29206" s="36" t="s">
        <v>48</v>
      </c>
      <c r="R29206" s="36" t="s">
        <v>48</v>
      </c>
    </row>
    <row r="29207">
      <c r="H29207" s="50"/>
      <c r="I29207" s="50"/>
      <c r="O29207" s="36" t="s">
        <v>48</v>
      </c>
      <c r="R29207" s="36" t="s">
        <v>48</v>
      </c>
    </row>
    <row r="29208">
      <c r="H29208" s="50"/>
      <c r="I29208" s="50"/>
      <c r="O29208" s="36" t="s">
        <v>48</v>
      </c>
      <c r="R29208" s="36" t="s">
        <v>48</v>
      </c>
    </row>
    <row r="29209">
      <c r="H29209" s="50"/>
      <c r="I29209" s="50"/>
      <c r="O29209" s="36" t="s">
        <v>48</v>
      </c>
      <c r="R29209" s="36" t="s">
        <v>48</v>
      </c>
    </row>
    <row r="29210">
      <c r="H29210" s="50"/>
      <c r="I29210" s="50"/>
      <c r="O29210" s="36" t="s">
        <v>48</v>
      </c>
      <c r="R29210" s="36" t="s">
        <v>48</v>
      </c>
    </row>
    <row r="29211">
      <c r="H29211" s="50"/>
      <c r="I29211" s="50"/>
      <c r="O29211" s="36" t="s">
        <v>48</v>
      </c>
      <c r="R29211" s="36" t="s">
        <v>48</v>
      </c>
    </row>
    <row r="29212">
      <c r="H29212" s="50"/>
      <c r="I29212" s="50"/>
      <c r="O29212" s="36" t="s">
        <v>48</v>
      </c>
      <c r="R29212" s="36" t="s">
        <v>48</v>
      </c>
    </row>
    <row r="29213">
      <c r="H29213" s="50"/>
      <c r="I29213" s="50"/>
      <c r="O29213" s="36" t="s">
        <v>48</v>
      </c>
      <c r="R29213" s="36" t="s">
        <v>48</v>
      </c>
    </row>
    <row r="29214">
      <c r="H29214" s="50"/>
      <c r="I29214" s="50"/>
      <c r="O29214" s="36" t="s">
        <v>48</v>
      </c>
      <c r="R29214" s="36" t="s">
        <v>48</v>
      </c>
    </row>
    <row r="29215">
      <c r="H29215" s="50"/>
      <c r="I29215" s="50"/>
      <c r="O29215" s="36" t="s">
        <v>48</v>
      </c>
      <c r="R29215" s="36" t="s">
        <v>48</v>
      </c>
    </row>
    <row r="29216">
      <c r="H29216" s="50"/>
      <c r="I29216" s="50"/>
      <c r="O29216" s="36" t="s">
        <v>48</v>
      </c>
      <c r="R29216" s="36" t="s">
        <v>48</v>
      </c>
    </row>
    <row r="29217">
      <c r="H29217" s="50"/>
      <c r="I29217" s="50"/>
      <c r="O29217" s="36" t="s">
        <v>48</v>
      </c>
      <c r="R29217" s="36" t="s">
        <v>48</v>
      </c>
    </row>
    <row r="29218">
      <c r="H29218" s="50"/>
      <c r="I29218" s="50"/>
      <c r="O29218" s="36" t="s">
        <v>48</v>
      </c>
      <c r="R29218" s="36" t="s">
        <v>48</v>
      </c>
    </row>
    <row r="29219">
      <c r="H29219" s="50"/>
      <c r="I29219" s="50"/>
      <c r="O29219" s="36" t="s">
        <v>48</v>
      </c>
      <c r="R29219" s="36" t="s">
        <v>48</v>
      </c>
    </row>
    <row r="29220">
      <c r="H29220" s="50"/>
      <c r="I29220" s="50"/>
      <c r="O29220" s="36" t="s">
        <v>48</v>
      </c>
      <c r="R29220" s="36" t="s">
        <v>48</v>
      </c>
    </row>
    <row r="29221">
      <c r="H29221" s="50"/>
      <c r="I29221" s="50"/>
      <c r="O29221" s="36" t="s">
        <v>48</v>
      </c>
      <c r="R29221" s="36" t="s">
        <v>48</v>
      </c>
    </row>
    <row r="29222">
      <c r="H29222" s="50"/>
      <c r="I29222" s="50"/>
      <c r="O29222" s="36" t="s">
        <v>48</v>
      </c>
      <c r="R29222" s="36" t="s">
        <v>48</v>
      </c>
    </row>
    <row r="29223">
      <c r="H29223" s="50"/>
      <c r="I29223" s="50"/>
      <c r="O29223" s="36" t="s">
        <v>48</v>
      </c>
      <c r="R29223" s="36" t="s">
        <v>48</v>
      </c>
    </row>
    <row r="29224">
      <c r="H29224" s="50"/>
      <c r="I29224" s="50"/>
      <c r="O29224" s="36" t="s">
        <v>48</v>
      </c>
      <c r="R29224" s="36" t="s">
        <v>48</v>
      </c>
    </row>
    <row r="29225">
      <c r="H29225" s="50"/>
      <c r="I29225" s="50"/>
      <c r="O29225" s="36" t="s">
        <v>48</v>
      </c>
      <c r="R29225" s="36" t="s">
        <v>48</v>
      </c>
    </row>
    <row r="29226">
      <c r="H29226" s="50"/>
      <c r="I29226" s="50"/>
      <c r="O29226" s="36" t="s">
        <v>48</v>
      </c>
      <c r="R29226" s="36" t="s">
        <v>48</v>
      </c>
    </row>
    <row r="29227">
      <c r="H29227" s="50"/>
      <c r="I29227" s="50"/>
      <c r="O29227" s="36" t="s">
        <v>48</v>
      </c>
      <c r="R29227" s="36" t="s">
        <v>48</v>
      </c>
    </row>
    <row r="29228">
      <c r="H29228" s="50"/>
      <c r="I29228" s="50"/>
      <c r="O29228" s="36" t="s">
        <v>48</v>
      </c>
      <c r="R29228" s="36" t="s">
        <v>48</v>
      </c>
    </row>
    <row r="29229">
      <c r="H29229" s="50"/>
      <c r="I29229" s="50"/>
      <c r="O29229" s="36" t="s">
        <v>48</v>
      </c>
      <c r="R29229" s="36" t="s">
        <v>48</v>
      </c>
    </row>
    <row r="29230">
      <c r="H29230" s="50"/>
      <c r="I29230" s="50"/>
      <c r="O29230" s="36" t="s">
        <v>48</v>
      </c>
      <c r="R29230" s="36" t="s">
        <v>48</v>
      </c>
    </row>
    <row r="29231">
      <c r="H29231" s="50"/>
      <c r="I29231" s="50"/>
      <c r="O29231" s="36" t="s">
        <v>48</v>
      </c>
      <c r="R29231" s="36" t="s">
        <v>48</v>
      </c>
    </row>
    <row r="29232">
      <c r="H29232" s="50"/>
      <c r="I29232" s="50"/>
      <c r="O29232" s="36" t="s">
        <v>48</v>
      </c>
      <c r="R29232" s="36" t="s">
        <v>48</v>
      </c>
    </row>
    <row r="29233">
      <c r="H29233" s="50"/>
      <c r="I29233" s="50"/>
      <c r="O29233" s="36" t="s">
        <v>48</v>
      </c>
      <c r="R29233" s="36" t="s">
        <v>48</v>
      </c>
    </row>
    <row r="29234">
      <c r="H29234" s="50"/>
      <c r="I29234" s="50"/>
      <c r="O29234" s="36" t="s">
        <v>48</v>
      </c>
      <c r="R29234" s="36" t="s">
        <v>48</v>
      </c>
    </row>
    <row r="29235">
      <c r="H29235" s="50"/>
      <c r="I29235" s="50"/>
      <c r="O29235" s="36" t="s">
        <v>48</v>
      </c>
      <c r="R29235" s="36" t="s">
        <v>48</v>
      </c>
    </row>
    <row r="29236">
      <c r="H29236" s="50"/>
      <c r="I29236" s="50"/>
      <c r="O29236" s="36" t="s">
        <v>48</v>
      </c>
      <c r="R29236" s="36" t="s">
        <v>48</v>
      </c>
    </row>
    <row r="29237">
      <c r="H29237" s="50"/>
      <c r="I29237" s="50"/>
      <c r="O29237" s="36" t="s">
        <v>48</v>
      </c>
      <c r="R29237" s="36" t="s">
        <v>48</v>
      </c>
    </row>
    <row r="29238">
      <c r="H29238" s="50"/>
      <c r="I29238" s="50"/>
      <c r="O29238" s="36" t="s">
        <v>48</v>
      </c>
      <c r="R29238" s="36" t="s">
        <v>48</v>
      </c>
    </row>
    <row r="29239">
      <c r="H29239" s="50"/>
      <c r="I29239" s="50"/>
      <c r="O29239" s="36" t="s">
        <v>48</v>
      </c>
      <c r="R29239" s="36" t="s">
        <v>48</v>
      </c>
    </row>
    <row r="29240">
      <c r="H29240" s="50"/>
      <c r="I29240" s="50"/>
      <c r="O29240" s="36" t="s">
        <v>48</v>
      </c>
      <c r="R29240" s="36" t="s">
        <v>48</v>
      </c>
    </row>
    <row r="29241">
      <c r="H29241" s="50"/>
      <c r="I29241" s="50"/>
      <c r="O29241" s="36" t="s">
        <v>48</v>
      </c>
      <c r="R29241" s="36" t="s">
        <v>48</v>
      </c>
    </row>
    <row r="29242">
      <c r="H29242" s="50"/>
      <c r="I29242" s="50"/>
      <c r="O29242" s="36" t="s">
        <v>48</v>
      </c>
      <c r="R29242" s="36" t="s">
        <v>48</v>
      </c>
    </row>
    <row r="29243">
      <c r="H29243" s="50"/>
      <c r="I29243" s="50"/>
      <c r="O29243" s="36" t="s">
        <v>48</v>
      </c>
      <c r="R29243" s="36" t="s">
        <v>48</v>
      </c>
    </row>
    <row r="29244">
      <c r="H29244" s="50"/>
      <c r="I29244" s="50"/>
      <c r="O29244" s="36" t="s">
        <v>48</v>
      </c>
      <c r="R29244" s="36" t="s">
        <v>48</v>
      </c>
    </row>
    <row r="29245">
      <c r="H29245" s="50"/>
      <c r="I29245" s="50"/>
      <c r="O29245" s="36" t="s">
        <v>48</v>
      </c>
      <c r="R29245" s="36" t="s">
        <v>48</v>
      </c>
    </row>
    <row r="29246">
      <c r="H29246" s="50"/>
      <c r="I29246" s="50"/>
      <c r="O29246" s="36" t="s">
        <v>48</v>
      </c>
      <c r="R29246" s="36" t="s">
        <v>48</v>
      </c>
    </row>
    <row r="29247">
      <c r="H29247" s="50"/>
      <c r="I29247" s="50"/>
      <c r="O29247" s="36" t="s">
        <v>48</v>
      </c>
      <c r="R29247" s="36" t="s">
        <v>48</v>
      </c>
    </row>
    <row r="29248">
      <c r="H29248" s="50"/>
      <c r="I29248" s="50"/>
      <c r="O29248" s="36" t="s">
        <v>48</v>
      </c>
      <c r="R29248" s="36" t="s">
        <v>48</v>
      </c>
    </row>
    <row r="29249">
      <c r="H29249" s="50"/>
      <c r="I29249" s="50"/>
      <c r="O29249" s="36" t="s">
        <v>48</v>
      </c>
      <c r="R29249" s="36" t="s">
        <v>48</v>
      </c>
    </row>
    <row r="29250">
      <c r="H29250" s="50"/>
      <c r="I29250" s="50"/>
      <c r="O29250" s="36" t="s">
        <v>48</v>
      </c>
      <c r="R29250" s="36" t="s">
        <v>48</v>
      </c>
    </row>
    <row r="29251">
      <c r="H29251" s="50"/>
      <c r="I29251" s="50"/>
      <c r="O29251" s="36" t="s">
        <v>48</v>
      </c>
      <c r="R29251" s="36" t="s">
        <v>48</v>
      </c>
    </row>
    <row r="29252">
      <c r="H29252" s="50"/>
      <c r="I29252" s="50"/>
      <c r="O29252" s="36" t="s">
        <v>48</v>
      </c>
      <c r="R29252" s="36" t="s">
        <v>48</v>
      </c>
    </row>
    <row r="29253">
      <c r="H29253" s="50"/>
      <c r="I29253" s="50"/>
      <c r="O29253" s="36" t="s">
        <v>48</v>
      </c>
      <c r="R29253" s="36" t="s">
        <v>48</v>
      </c>
    </row>
    <row r="29254">
      <c r="H29254" s="50"/>
      <c r="I29254" s="50"/>
      <c r="O29254" s="36" t="s">
        <v>48</v>
      </c>
      <c r="R29254" s="36" t="s">
        <v>48</v>
      </c>
    </row>
    <row r="29255">
      <c r="H29255" s="50"/>
      <c r="I29255" s="50"/>
      <c r="O29255" s="36" t="s">
        <v>48</v>
      </c>
      <c r="R29255" s="36" t="s">
        <v>48</v>
      </c>
    </row>
    <row r="29256">
      <c r="H29256" s="50"/>
      <c r="I29256" s="50"/>
      <c r="O29256" s="36" t="s">
        <v>48</v>
      </c>
      <c r="R29256" s="36" t="s">
        <v>48</v>
      </c>
    </row>
    <row r="29257">
      <c r="H29257" s="50"/>
      <c r="I29257" s="50"/>
      <c r="O29257" s="36" t="s">
        <v>48</v>
      </c>
      <c r="R29257" s="36" t="s">
        <v>48</v>
      </c>
    </row>
    <row r="29258">
      <c r="H29258" s="50"/>
      <c r="I29258" s="50"/>
      <c r="O29258" s="36" t="s">
        <v>48</v>
      </c>
      <c r="R29258" s="36" t="s">
        <v>48</v>
      </c>
    </row>
    <row r="29259">
      <c r="H29259" s="50"/>
      <c r="I29259" s="50"/>
      <c r="O29259" s="36" t="s">
        <v>48</v>
      </c>
      <c r="R29259" s="36" t="s">
        <v>48</v>
      </c>
    </row>
    <row r="29260">
      <c r="H29260" s="50"/>
      <c r="I29260" s="50"/>
      <c r="O29260" s="36" t="s">
        <v>48</v>
      </c>
      <c r="R29260" s="36" t="s">
        <v>48</v>
      </c>
    </row>
    <row r="29261">
      <c r="H29261" s="50"/>
      <c r="I29261" s="50"/>
      <c r="O29261" s="36" t="s">
        <v>48</v>
      </c>
      <c r="R29261" s="36" t="s">
        <v>48</v>
      </c>
    </row>
    <row r="29262">
      <c r="H29262" s="50"/>
      <c r="I29262" s="50"/>
      <c r="O29262" s="36" t="s">
        <v>48</v>
      </c>
      <c r="R29262" s="36" t="s">
        <v>48</v>
      </c>
    </row>
    <row r="29263">
      <c r="H29263" s="50"/>
      <c r="I29263" s="50"/>
      <c r="O29263" s="36" t="s">
        <v>48</v>
      </c>
      <c r="R29263" s="36" t="s">
        <v>48</v>
      </c>
    </row>
    <row r="29264">
      <c r="H29264" s="50"/>
      <c r="I29264" s="50"/>
      <c r="O29264" s="36" t="s">
        <v>48</v>
      </c>
      <c r="R29264" s="36" t="s">
        <v>48</v>
      </c>
    </row>
    <row r="29265">
      <c r="H29265" s="50"/>
      <c r="I29265" s="50"/>
      <c r="O29265" s="36" t="s">
        <v>48</v>
      </c>
      <c r="R29265" s="36" t="s">
        <v>48</v>
      </c>
    </row>
    <row r="29266">
      <c r="H29266" s="50"/>
      <c r="I29266" s="50"/>
      <c r="O29266" s="36" t="s">
        <v>48</v>
      </c>
      <c r="R29266" s="36" t="s">
        <v>48</v>
      </c>
    </row>
    <row r="29267">
      <c r="H29267" s="50"/>
      <c r="I29267" s="50"/>
      <c r="O29267" s="36" t="s">
        <v>48</v>
      </c>
      <c r="R29267" s="36" t="s">
        <v>48</v>
      </c>
    </row>
    <row r="29268">
      <c r="H29268" s="50"/>
      <c r="I29268" s="50"/>
      <c r="O29268" s="36" t="s">
        <v>48</v>
      </c>
      <c r="R29268" s="36" t="s">
        <v>48</v>
      </c>
    </row>
    <row r="29269">
      <c r="H29269" s="50"/>
      <c r="I29269" s="50"/>
      <c r="O29269" s="36" t="s">
        <v>48</v>
      </c>
      <c r="R29269" s="36" t="s">
        <v>48</v>
      </c>
    </row>
    <row r="29270">
      <c r="H29270" s="50"/>
      <c r="I29270" s="50"/>
      <c r="O29270" s="36" t="s">
        <v>48</v>
      </c>
      <c r="R29270" s="36" t="s">
        <v>48</v>
      </c>
    </row>
    <row r="29271">
      <c r="H29271" s="50"/>
      <c r="I29271" s="50"/>
      <c r="O29271" s="36" t="s">
        <v>48</v>
      </c>
      <c r="R29271" s="36" t="s">
        <v>48</v>
      </c>
    </row>
    <row r="29272">
      <c r="H29272" s="50"/>
      <c r="I29272" s="50"/>
      <c r="O29272" s="36" t="s">
        <v>48</v>
      </c>
      <c r="R29272" s="36" t="s">
        <v>48</v>
      </c>
    </row>
    <row r="29273">
      <c r="H29273" s="50"/>
      <c r="I29273" s="50"/>
      <c r="O29273" s="36" t="s">
        <v>48</v>
      </c>
      <c r="R29273" s="36" t="s">
        <v>48</v>
      </c>
    </row>
    <row r="29274">
      <c r="H29274" s="50"/>
      <c r="I29274" s="50"/>
      <c r="O29274" s="36" t="s">
        <v>48</v>
      </c>
      <c r="R29274" s="36" t="s">
        <v>48</v>
      </c>
    </row>
    <row r="29275">
      <c r="H29275" s="50"/>
      <c r="I29275" s="50"/>
      <c r="O29275" s="36" t="s">
        <v>48</v>
      </c>
      <c r="R29275" s="36" t="s">
        <v>48</v>
      </c>
    </row>
    <row r="29276">
      <c r="H29276" s="50"/>
      <c r="I29276" s="50"/>
      <c r="O29276" s="36" t="s">
        <v>48</v>
      </c>
      <c r="R29276" s="36" t="s">
        <v>48</v>
      </c>
    </row>
    <row r="29277">
      <c r="H29277" s="50"/>
      <c r="I29277" s="50"/>
      <c r="O29277" s="36" t="s">
        <v>48</v>
      </c>
      <c r="R29277" s="36" t="s">
        <v>48</v>
      </c>
    </row>
    <row r="29278">
      <c r="H29278" s="50"/>
      <c r="I29278" s="50"/>
      <c r="O29278" s="36" t="s">
        <v>48</v>
      </c>
      <c r="R29278" s="36" t="s">
        <v>48</v>
      </c>
    </row>
    <row r="29279">
      <c r="H29279" s="50"/>
      <c r="I29279" s="50"/>
      <c r="O29279" s="36" t="s">
        <v>48</v>
      </c>
      <c r="R29279" s="36" t="s">
        <v>48</v>
      </c>
    </row>
    <row r="29280">
      <c r="H29280" s="50"/>
      <c r="I29280" s="50"/>
      <c r="O29280" s="36" t="s">
        <v>48</v>
      </c>
      <c r="R29280" s="36" t="s">
        <v>48</v>
      </c>
    </row>
    <row r="29281">
      <c r="H29281" s="50"/>
      <c r="I29281" s="50"/>
      <c r="O29281" s="36" t="s">
        <v>48</v>
      </c>
      <c r="R29281" s="36" t="s">
        <v>48</v>
      </c>
    </row>
    <row r="29282">
      <c r="H29282" s="50"/>
      <c r="I29282" s="50"/>
      <c r="O29282" s="36" t="s">
        <v>48</v>
      </c>
      <c r="R29282" s="36" t="s">
        <v>48</v>
      </c>
    </row>
    <row r="29283">
      <c r="H29283" s="50"/>
      <c r="I29283" s="50"/>
      <c r="O29283" s="36" t="s">
        <v>48</v>
      </c>
      <c r="R29283" s="36" t="s">
        <v>48</v>
      </c>
    </row>
    <row r="29284">
      <c r="H29284" s="50"/>
      <c r="I29284" s="50"/>
      <c r="O29284" s="36" t="s">
        <v>48</v>
      </c>
      <c r="R29284" s="36" t="s">
        <v>48</v>
      </c>
    </row>
    <row r="29285">
      <c r="H29285" s="50"/>
      <c r="I29285" s="50"/>
      <c r="O29285" s="36" t="s">
        <v>48</v>
      </c>
      <c r="R29285" s="36" t="s">
        <v>48</v>
      </c>
    </row>
    <row r="29286">
      <c r="H29286" s="50"/>
      <c r="I29286" s="50"/>
      <c r="O29286" s="36" t="s">
        <v>48</v>
      </c>
      <c r="R29286" s="36" t="s">
        <v>48</v>
      </c>
    </row>
    <row r="29287">
      <c r="H29287" s="50"/>
      <c r="I29287" s="50"/>
      <c r="O29287" s="36" t="s">
        <v>48</v>
      </c>
      <c r="R29287" s="36" t="s">
        <v>48</v>
      </c>
    </row>
    <row r="29288">
      <c r="H29288" s="50"/>
      <c r="I29288" s="50"/>
      <c r="O29288" s="36" t="s">
        <v>48</v>
      </c>
      <c r="R29288" s="36" t="s">
        <v>48</v>
      </c>
    </row>
    <row r="29289">
      <c r="H29289" s="50"/>
      <c r="I29289" s="50"/>
      <c r="O29289" s="36" t="s">
        <v>48</v>
      </c>
      <c r="R29289" s="36" t="s">
        <v>48</v>
      </c>
    </row>
    <row r="29290">
      <c r="H29290" s="50"/>
      <c r="I29290" s="50"/>
      <c r="O29290" s="36" t="s">
        <v>48</v>
      </c>
      <c r="R29290" s="36" t="s">
        <v>48</v>
      </c>
    </row>
    <row r="29291">
      <c r="H29291" s="50"/>
      <c r="I29291" s="50"/>
      <c r="O29291" s="36" t="s">
        <v>48</v>
      </c>
      <c r="R29291" s="36" t="s">
        <v>48</v>
      </c>
    </row>
    <row r="29292">
      <c r="H29292" s="50"/>
      <c r="I29292" s="50"/>
      <c r="O29292" s="36" t="s">
        <v>48</v>
      </c>
      <c r="R29292" s="36" t="s">
        <v>48</v>
      </c>
    </row>
    <row r="29293">
      <c r="H29293" s="50"/>
      <c r="I29293" s="50"/>
      <c r="O29293" s="36" t="s">
        <v>48</v>
      </c>
      <c r="R29293" s="36" t="s">
        <v>48</v>
      </c>
    </row>
    <row r="29294">
      <c r="H29294" s="50"/>
      <c r="I29294" s="50"/>
      <c r="O29294" s="36" t="s">
        <v>48</v>
      </c>
      <c r="R29294" s="36" t="s">
        <v>48</v>
      </c>
    </row>
    <row r="29295">
      <c r="H29295" s="50"/>
      <c r="I29295" s="50"/>
      <c r="O29295" s="36" t="s">
        <v>48</v>
      </c>
      <c r="R29295" s="36" t="s">
        <v>48</v>
      </c>
    </row>
    <row r="29296">
      <c r="H29296" s="50"/>
      <c r="I29296" s="50"/>
      <c r="O29296" s="36" t="s">
        <v>48</v>
      </c>
      <c r="R29296" s="36" t="s">
        <v>48</v>
      </c>
    </row>
    <row r="29297">
      <c r="H29297" s="50"/>
      <c r="I29297" s="50"/>
      <c r="O29297" s="36" t="s">
        <v>48</v>
      </c>
      <c r="R29297" s="36" t="s">
        <v>48</v>
      </c>
    </row>
    <row r="29298">
      <c r="H29298" s="50"/>
      <c r="I29298" s="50"/>
      <c r="O29298" s="36" t="s">
        <v>48</v>
      </c>
      <c r="R29298" s="36" t="s">
        <v>48</v>
      </c>
    </row>
    <row r="29299">
      <c r="H29299" s="50"/>
      <c r="I29299" s="50"/>
      <c r="O29299" s="36" t="s">
        <v>48</v>
      </c>
      <c r="R29299" s="36" t="s">
        <v>48</v>
      </c>
    </row>
    <row r="29300">
      <c r="H29300" s="50"/>
      <c r="I29300" s="50"/>
      <c r="O29300" s="36" t="s">
        <v>48</v>
      </c>
      <c r="R29300" s="36" t="s">
        <v>48</v>
      </c>
    </row>
    <row r="29301">
      <c r="H29301" s="50"/>
      <c r="I29301" s="50"/>
      <c r="O29301" s="36" t="s">
        <v>48</v>
      </c>
      <c r="R29301" s="36" t="s">
        <v>48</v>
      </c>
    </row>
    <row r="29302">
      <c r="H29302" s="50"/>
      <c r="I29302" s="50"/>
      <c r="O29302" s="36" t="s">
        <v>48</v>
      </c>
      <c r="R29302" s="36" t="s">
        <v>48</v>
      </c>
    </row>
    <row r="29303">
      <c r="H29303" s="50"/>
      <c r="I29303" s="50"/>
      <c r="O29303" s="36" t="s">
        <v>48</v>
      </c>
      <c r="R29303" s="36" t="s">
        <v>48</v>
      </c>
    </row>
    <row r="29304">
      <c r="H29304" s="50"/>
      <c r="I29304" s="50"/>
      <c r="O29304" s="36" t="s">
        <v>48</v>
      </c>
      <c r="R29304" s="36" t="s">
        <v>48</v>
      </c>
    </row>
    <row r="29305">
      <c r="H29305" s="50"/>
      <c r="I29305" s="50"/>
      <c r="O29305" s="36" t="s">
        <v>48</v>
      </c>
      <c r="R29305" s="36" t="s">
        <v>48</v>
      </c>
    </row>
    <row r="29306">
      <c r="H29306" s="50"/>
      <c r="I29306" s="50"/>
      <c r="O29306" s="36" t="s">
        <v>48</v>
      </c>
      <c r="R29306" s="36" t="s">
        <v>48</v>
      </c>
    </row>
    <row r="29307">
      <c r="H29307" s="50"/>
      <c r="I29307" s="50"/>
      <c r="O29307" s="36" t="s">
        <v>48</v>
      </c>
      <c r="R29307" s="36" t="s">
        <v>48</v>
      </c>
    </row>
    <row r="29308">
      <c r="H29308" s="50"/>
      <c r="I29308" s="50"/>
      <c r="O29308" s="36" t="s">
        <v>48</v>
      </c>
      <c r="R29308" s="36" t="s">
        <v>48</v>
      </c>
    </row>
    <row r="29309">
      <c r="H29309" s="50"/>
      <c r="I29309" s="50"/>
      <c r="O29309" s="36" t="s">
        <v>48</v>
      </c>
      <c r="R29309" s="36" t="s">
        <v>48</v>
      </c>
    </row>
    <row r="29310">
      <c r="H29310" s="50"/>
      <c r="I29310" s="50"/>
      <c r="O29310" s="36" t="s">
        <v>48</v>
      </c>
      <c r="R29310" s="36" t="s">
        <v>48</v>
      </c>
    </row>
    <row r="29311">
      <c r="H29311" s="50"/>
      <c r="I29311" s="50"/>
      <c r="O29311" s="36" t="s">
        <v>48</v>
      </c>
      <c r="R29311" s="36" t="s">
        <v>48</v>
      </c>
    </row>
    <row r="29312">
      <c r="H29312" s="50"/>
      <c r="I29312" s="50"/>
      <c r="O29312" s="36" t="s">
        <v>48</v>
      </c>
      <c r="R29312" s="36" t="s">
        <v>48</v>
      </c>
    </row>
    <row r="29313">
      <c r="H29313" s="50"/>
      <c r="I29313" s="50"/>
      <c r="O29313" s="36" t="s">
        <v>48</v>
      </c>
      <c r="R29313" s="36" t="s">
        <v>48</v>
      </c>
    </row>
    <row r="29314">
      <c r="H29314" s="50"/>
      <c r="I29314" s="50"/>
      <c r="O29314" s="36" t="s">
        <v>48</v>
      </c>
      <c r="R29314" s="36" t="s">
        <v>48</v>
      </c>
    </row>
    <row r="29315">
      <c r="H29315" s="50"/>
      <c r="I29315" s="50"/>
      <c r="O29315" s="36" t="s">
        <v>48</v>
      </c>
      <c r="R29315" s="36" t="s">
        <v>48</v>
      </c>
    </row>
    <row r="29316">
      <c r="H29316" s="50"/>
      <c r="I29316" s="50"/>
      <c r="O29316" s="36" t="s">
        <v>48</v>
      </c>
      <c r="R29316" s="36" t="s">
        <v>48</v>
      </c>
    </row>
    <row r="29317">
      <c r="H29317" s="50"/>
      <c r="I29317" s="50"/>
      <c r="O29317" s="36" t="s">
        <v>48</v>
      </c>
      <c r="R29317" s="36" t="s">
        <v>48</v>
      </c>
    </row>
    <row r="29318">
      <c r="H29318" s="50"/>
      <c r="I29318" s="50"/>
      <c r="O29318" s="36" t="s">
        <v>48</v>
      </c>
      <c r="R29318" s="36" t="s">
        <v>48</v>
      </c>
    </row>
    <row r="29319">
      <c r="H29319" s="50"/>
      <c r="I29319" s="50"/>
      <c r="O29319" s="36" t="s">
        <v>48</v>
      </c>
      <c r="R29319" s="36" t="s">
        <v>48</v>
      </c>
    </row>
    <row r="29320">
      <c r="H29320" s="50"/>
      <c r="I29320" s="50"/>
      <c r="O29320" s="36" t="s">
        <v>48</v>
      </c>
      <c r="R29320" s="36" t="s">
        <v>48</v>
      </c>
    </row>
    <row r="29321">
      <c r="H29321" s="50"/>
      <c r="I29321" s="50"/>
      <c r="O29321" s="36" t="s">
        <v>48</v>
      </c>
      <c r="R29321" s="36" t="s">
        <v>48</v>
      </c>
    </row>
    <row r="29322">
      <c r="H29322" s="50"/>
      <c r="I29322" s="50"/>
      <c r="O29322" s="36" t="s">
        <v>48</v>
      </c>
      <c r="R29322" s="36" t="s">
        <v>48</v>
      </c>
    </row>
    <row r="29323">
      <c r="H29323" s="50"/>
      <c r="I29323" s="50"/>
      <c r="O29323" s="36" t="s">
        <v>48</v>
      </c>
      <c r="R29323" s="36" t="s">
        <v>48</v>
      </c>
    </row>
    <row r="29324">
      <c r="H29324" s="50"/>
      <c r="I29324" s="50"/>
      <c r="O29324" s="36" t="s">
        <v>48</v>
      </c>
      <c r="R29324" s="36" t="s">
        <v>48</v>
      </c>
    </row>
    <row r="29325">
      <c r="H29325" s="50"/>
      <c r="I29325" s="50"/>
      <c r="O29325" s="36" t="s">
        <v>48</v>
      </c>
      <c r="R29325" s="36" t="s">
        <v>48</v>
      </c>
    </row>
    <row r="29326">
      <c r="H29326" s="50"/>
      <c r="I29326" s="50"/>
      <c r="O29326" s="36" t="s">
        <v>48</v>
      </c>
      <c r="R29326" s="36" t="s">
        <v>48</v>
      </c>
    </row>
    <row r="29327">
      <c r="H29327" s="50"/>
      <c r="I29327" s="50"/>
      <c r="O29327" s="36" t="s">
        <v>48</v>
      </c>
      <c r="R29327" s="36" t="s">
        <v>48</v>
      </c>
    </row>
    <row r="29328">
      <c r="H29328" s="50"/>
      <c r="I29328" s="50"/>
      <c r="O29328" s="36" t="s">
        <v>48</v>
      </c>
      <c r="R29328" s="36" t="s">
        <v>48</v>
      </c>
    </row>
    <row r="29329">
      <c r="H29329" s="50"/>
      <c r="I29329" s="50"/>
      <c r="O29329" s="36" t="s">
        <v>48</v>
      </c>
      <c r="R29329" s="36" t="s">
        <v>48</v>
      </c>
    </row>
    <row r="29330">
      <c r="H29330" s="50"/>
      <c r="I29330" s="50"/>
      <c r="O29330" s="36" t="s">
        <v>48</v>
      </c>
      <c r="R29330" s="36" t="s">
        <v>48</v>
      </c>
    </row>
    <row r="29331">
      <c r="H29331" s="50"/>
      <c r="I29331" s="50"/>
      <c r="O29331" s="36" t="s">
        <v>48</v>
      </c>
      <c r="R29331" s="36" t="s">
        <v>48</v>
      </c>
    </row>
    <row r="29332">
      <c r="H29332" s="50"/>
      <c r="I29332" s="50"/>
      <c r="O29332" s="36" t="s">
        <v>48</v>
      </c>
      <c r="R29332" s="36" t="s">
        <v>48</v>
      </c>
    </row>
    <row r="29333">
      <c r="H29333" s="50"/>
      <c r="I29333" s="50"/>
      <c r="O29333" s="36" t="s">
        <v>48</v>
      </c>
      <c r="R29333" s="36" t="s">
        <v>48</v>
      </c>
    </row>
    <row r="29334">
      <c r="H29334" s="50"/>
      <c r="I29334" s="50"/>
      <c r="O29334" s="36" t="s">
        <v>48</v>
      </c>
      <c r="R29334" s="36" t="s">
        <v>48</v>
      </c>
    </row>
    <row r="29335">
      <c r="H29335" s="50"/>
      <c r="I29335" s="50"/>
      <c r="O29335" s="36" t="s">
        <v>48</v>
      </c>
      <c r="R29335" s="36" t="s">
        <v>48</v>
      </c>
    </row>
    <row r="29336">
      <c r="H29336" s="50"/>
      <c r="I29336" s="50"/>
      <c r="O29336" s="36" t="s">
        <v>48</v>
      </c>
      <c r="R29336" s="36" t="s">
        <v>48</v>
      </c>
    </row>
    <row r="29337">
      <c r="H29337" s="50"/>
      <c r="I29337" s="50"/>
      <c r="O29337" s="36" t="s">
        <v>48</v>
      </c>
      <c r="R29337" s="36" t="s">
        <v>48</v>
      </c>
    </row>
    <row r="29338">
      <c r="H29338" s="50"/>
      <c r="I29338" s="50"/>
      <c r="O29338" s="36" t="s">
        <v>48</v>
      </c>
      <c r="R29338" s="36" t="s">
        <v>48</v>
      </c>
    </row>
    <row r="29339">
      <c r="H29339" s="50"/>
      <c r="I29339" s="50"/>
      <c r="O29339" s="36" t="s">
        <v>48</v>
      </c>
      <c r="R29339" s="36" t="s">
        <v>48</v>
      </c>
    </row>
    <row r="29340">
      <c r="H29340" s="50"/>
      <c r="I29340" s="50"/>
      <c r="O29340" s="36" t="s">
        <v>48</v>
      </c>
      <c r="R29340" s="36" t="s">
        <v>48</v>
      </c>
    </row>
    <row r="29341">
      <c r="H29341" s="50"/>
      <c r="I29341" s="50"/>
      <c r="O29341" s="36" t="s">
        <v>48</v>
      </c>
      <c r="R29341" s="36" t="s">
        <v>48</v>
      </c>
    </row>
    <row r="29342">
      <c r="H29342" s="50"/>
      <c r="I29342" s="50"/>
      <c r="O29342" s="36" t="s">
        <v>48</v>
      </c>
      <c r="R29342" s="36" t="s">
        <v>48</v>
      </c>
    </row>
    <row r="29343">
      <c r="H29343" s="50"/>
      <c r="I29343" s="50"/>
      <c r="O29343" s="36" t="s">
        <v>48</v>
      </c>
      <c r="R29343" s="36" t="s">
        <v>48</v>
      </c>
    </row>
    <row r="29344">
      <c r="H29344" s="50"/>
      <c r="I29344" s="50"/>
      <c r="O29344" s="36" t="s">
        <v>48</v>
      </c>
      <c r="R29344" s="36" t="s">
        <v>48</v>
      </c>
    </row>
    <row r="29345">
      <c r="H29345" s="50"/>
      <c r="I29345" s="50"/>
      <c r="O29345" s="36" t="s">
        <v>48</v>
      </c>
      <c r="R29345" s="36" t="s">
        <v>48</v>
      </c>
    </row>
    <row r="29346">
      <c r="H29346" s="50"/>
      <c r="I29346" s="50"/>
      <c r="O29346" s="36" t="s">
        <v>48</v>
      </c>
      <c r="R29346" s="36" t="s">
        <v>48</v>
      </c>
    </row>
    <row r="29347">
      <c r="H29347" s="50"/>
      <c r="I29347" s="50"/>
      <c r="O29347" s="36" t="s">
        <v>48</v>
      </c>
      <c r="R29347" s="36" t="s">
        <v>48</v>
      </c>
    </row>
    <row r="29348">
      <c r="H29348" s="50"/>
      <c r="I29348" s="50"/>
      <c r="O29348" s="36" t="s">
        <v>48</v>
      </c>
      <c r="R29348" s="36" t="s">
        <v>48</v>
      </c>
    </row>
    <row r="29349">
      <c r="H29349" s="50"/>
      <c r="I29349" s="50"/>
      <c r="O29349" s="36" t="s">
        <v>48</v>
      </c>
      <c r="R29349" s="36" t="s">
        <v>48</v>
      </c>
    </row>
    <row r="29350">
      <c r="H29350" s="50"/>
      <c r="I29350" s="50"/>
      <c r="O29350" s="36" t="s">
        <v>48</v>
      </c>
      <c r="R29350" s="36" t="s">
        <v>48</v>
      </c>
    </row>
    <row r="29351">
      <c r="H29351" s="50"/>
      <c r="I29351" s="50"/>
      <c r="O29351" s="36" t="s">
        <v>48</v>
      </c>
      <c r="R29351" s="36" t="s">
        <v>48</v>
      </c>
    </row>
    <row r="29352">
      <c r="H29352" s="50"/>
      <c r="I29352" s="50"/>
      <c r="O29352" s="36" t="s">
        <v>48</v>
      </c>
      <c r="R29352" s="36" t="s">
        <v>48</v>
      </c>
    </row>
    <row r="29353">
      <c r="H29353" s="50"/>
      <c r="I29353" s="50"/>
      <c r="O29353" s="36" t="s">
        <v>48</v>
      </c>
      <c r="R29353" s="36" t="s">
        <v>48</v>
      </c>
    </row>
    <row r="29354">
      <c r="H29354" s="50"/>
      <c r="I29354" s="50"/>
      <c r="O29354" s="36" t="s">
        <v>48</v>
      </c>
      <c r="R29354" s="36" t="s">
        <v>48</v>
      </c>
    </row>
    <row r="29355">
      <c r="H29355" s="50"/>
      <c r="I29355" s="50"/>
      <c r="O29355" s="36" t="s">
        <v>48</v>
      </c>
      <c r="R29355" s="36" t="s">
        <v>48</v>
      </c>
    </row>
    <row r="29356">
      <c r="H29356" s="50"/>
      <c r="I29356" s="50"/>
      <c r="O29356" s="36" t="s">
        <v>48</v>
      </c>
      <c r="R29356" s="36" t="s">
        <v>48</v>
      </c>
    </row>
    <row r="29357">
      <c r="H29357" s="50"/>
      <c r="I29357" s="50"/>
      <c r="O29357" s="36" t="s">
        <v>48</v>
      </c>
      <c r="R29357" s="36" t="s">
        <v>48</v>
      </c>
    </row>
    <row r="29358">
      <c r="H29358" s="50"/>
      <c r="I29358" s="50"/>
      <c r="O29358" s="36" t="s">
        <v>48</v>
      </c>
      <c r="R29358" s="36" t="s">
        <v>48</v>
      </c>
    </row>
    <row r="29359">
      <c r="H29359" s="50"/>
      <c r="I29359" s="50"/>
      <c r="O29359" s="36" t="s">
        <v>48</v>
      </c>
      <c r="R29359" s="36" t="s">
        <v>48</v>
      </c>
    </row>
    <row r="29360">
      <c r="H29360" s="50"/>
      <c r="I29360" s="50"/>
      <c r="O29360" s="36" t="s">
        <v>48</v>
      </c>
      <c r="R29360" s="36" t="s">
        <v>48</v>
      </c>
    </row>
    <row r="29361">
      <c r="H29361" s="50"/>
      <c r="I29361" s="50"/>
      <c r="O29361" s="36" t="s">
        <v>48</v>
      </c>
      <c r="R29361" s="36" t="s">
        <v>48</v>
      </c>
    </row>
    <row r="29362">
      <c r="H29362" s="50"/>
      <c r="I29362" s="50"/>
      <c r="O29362" s="36" t="s">
        <v>48</v>
      </c>
      <c r="R29362" s="36" t="s">
        <v>48</v>
      </c>
    </row>
    <row r="29363">
      <c r="H29363" s="50"/>
      <c r="I29363" s="50"/>
      <c r="O29363" s="36" t="s">
        <v>48</v>
      </c>
      <c r="R29363" s="36" t="s">
        <v>48</v>
      </c>
    </row>
    <row r="29364">
      <c r="H29364" s="50"/>
      <c r="I29364" s="50"/>
      <c r="O29364" s="36" t="s">
        <v>48</v>
      </c>
      <c r="R29364" s="36" t="s">
        <v>48</v>
      </c>
    </row>
    <row r="29365">
      <c r="H29365" s="50"/>
      <c r="I29365" s="50"/>
      <c r="O29365" s="36" t="s">
        <v>48</v>
      </c>
      <c r="R29365" s="36" t="s">
        <v>48</v>
      </c>
    </row>
    <row r="29366">
      <c r="H29366" s="50"/>
      <c r="I29366" s="50"/>
      <c r="O29366" s="36" t="s">
        <v>48</v>
      </c>
      <c r="R29366" s="36" t="s">
        <v>48</v>
      </c>
    </row>
    <row r="29367">
      <c r="H29367" s="50"/>
      <c r="I29367" s="50"/>
      <c r="O29367" s="36" t="s">
        <v>48</v>
      </c>
      <c r="R29367" s="36" t="s">
        <v>48</v>
      </c>
    </row>
    <row r="29368">
      <c r="H29368" s="50"/>
      <c r="I29368" s="50"/>
      <c r="O29368" s="36" t="s">
        <v>48</v>
      </c>
      <c r="R29368" s="36" t="s">
        <v>48</v>
      </c>
    </row>
    <row r="29369">
      <c r="H29369" s="50"/>
      <c r="I29369" s="50"/>
      <c r="O29369" s="36" t="s">
        <v>48</v>
      </c>
      <c r="R29369" s="36" t="s">
        <v>48</v>
      </c>
    </row>
    <row r="29370">
      <c r="H29370" s="50"/>
      <c r="I29370" s="50"/>
      <c r="O29370" s="36" t="s">
        <v>48</v>
      </c>
      <c r="R29370" s="36" t="s">
        <v>48</v>
      </c>
    </row>
    <row r="29371">
      <c r="H29371" s="50"/>
      <c r="I29371" s="50"/>
      <c r="O29371" s="36" t="s">
        <v>48</v>
      </c>
      <c r="R29371" s="36" t="s">
        <v>48</v>
      </c>
    </row>
    <row r="29372">
      <c r="H29372" s="50"/>
      <c r="I29372" s="50"/>
      <c r="O29372" s="36" t="s">
        <v>48</v>
      </c>
      <c r="R29372" s="36" t="s">
        <v>48</v>
      </c>
    </row>
    <row r="29373">
      <c r="H29373" s="50"/>
      <c r="I29373" s="50"/>
      <c r="O29373" s="36" t="s">
        <v>48</v>
      </c>
      <c r="R29373" s="36" t="s">
        <v>48</v>
      </c>
    </row>
    <row r="29374">
      <c r="H29374" s="50"/>
      <c r="I29374" s="50"/>
      <c r="O29374" s="36" t="s">
        <v>48</v>
      </c>
      <c r="R29374" s="36" t="s">
        <v>48</v>
      </c>
    </row>
    <row r="29375">
      <c r="H29375" s="50"/>
      <c r="I29375" s="50"/>
      <c r="O29375" s="36" t="s">
        <v>48</v>
      </c>
      <c r="R29375" s="36" t="s">
        <v>48</v>
      </c>
    </row>
    <row r="29376">
      <c r="H29376" s="50"/>
      <c r="I29376" s="50"/>
      <c r="O29376" s="36" t="s">
        <v>48</v>
      </c>
      <c r="R29376" s="36" t="s">
        <v>48</v>
      </c>
    </row>
    <row r="29377">
      <c r="H29377" s="50"/>
      <c r="I29377" s="50"/>
      <c r="O29377" s="36" t="s">
        <v>48</v>
      </c>
      <c r="R29377" s="36" t="s">
        <v>48</v>
      </c>
    </row>
    <row r="29378">
      <c r="H29378" s="50"/>
      <c r="I29378" s="50"/>
      <c r="O29378" s="36" t="s">
        <v>48</v>
      </c>
      <c r="R29378" s="36" t="s">
        <v>48</v>
      </c>
    </row>
    <row r="29379">
      <c r="H29379" s="50"/>
      <c r="I29379" s="50"/>
      <c r="O29379" s="36" t="s">
        <v>48</v>
      </c>
      <c r="R29379" s="36" t="s">
        <v>48</v>
      </c>
    </row>
    <row r="29380">
      <c r="H29380" s="50"/>
      <c r="I29380" s="50"/>
      <c r="O29380" s="36" t="s">
        <v>48</v>
      </c>
      <c r="R29380" s="36" t="s">
        <v>48</v>
      </c>
    </row>
    <row r="29381">
      <c r="H29381" s="50"/>
      <c r="I29381" s="50"/>
      <c r="O29381" s="36" t="s">
        <v>48</v>
      </c>
      <c r="R29381" s="36" t="s">
        <v>48</v>
      </c>
    </row>
    <row r="29382">
      <c r="H29382" s="50"/>
      <c r="I29382" s="50"/>
      <c r="O29382" s="36" t="s">
        <v>48</v>
      </c>
      <c r="R29382" s="36" t="s">
        <v>48</v>
      </c>
    </row>
    <row r="29383">
      <c r="H29383" s="50"/>
      <c r="I29383" s="50"/>
      <c r="O29383" s="36" t="s">
        <v>48</v>
      </c>
      <c r="R29383" s="36" t="s">
        <v>48</v>
      </c>
    </row>
    <row r="29384">
      <c r="H29384" s="50"/>
      <c r="I29384" s="50"/>
      <c r="O29384" s="36" t="s">
        <v>48</v>
      </c>
      <c r="R29384" s="36" t="s">
        <v>48</v>
      </c>
    </row>
    <row r="29385">
      <c r="H29385" s="50"/>
      <c r="I29385" s="50"/>
      <c r="O29385" s="36" t="s">
        <v>48</v>
      </c>
      <c r="R29385" s="36" t="s">
        <v>48</v>
      </c>
    </row>
    <row r="29386">
      <c r="H29386" s="50"/>
      <c r="I29386" s="50"/>
      <c r="O29386" s="36" t="s">
        <v>48</v>
      </c>
      <c r="R29386" s="36" t="s">
        <v>48</v>
      </c>
    </row>
    <row r="29387">
      <c r="H29387" s="50"/>
      <c r="I29387" s="50"/>
      <c r="O29387" s="36" t="s">
        <v>48</v>
      </c>
      <c r="R29387" s="36" t="s">
        <v>48</v>
      </c>
    </row>
    <row r="29388">
      <c r="H29388" s="50"/>
      <c r="I29388" s="50"/>
      <c r="O29388" s="36" t="s">
        <v>48</v>
      </c>
      <c r="R29388" s="36" t="s">
        <v>48</v>
      </c>
    </row>
    <row r="29389">
      <c r="H29389" s="50"/>
      <c r="I29389" s="50"/>
      <c r="O29389" s="36" t="s">
        <v>48</v>
      </c>
      <c r="R29389" s="36" t="s">
        <v>48</v>
      </c>
    </row>
    <row r="29390">
      <c r="H29390" s="50"/>
      <c r="I29390" s="50"/>
      <c r="O29390" s="36" t="s">
        <v>48</v>
      </c>
      <c r="R29390" s="36" t="s">
        <v>48</v>
      </c>
    </row>
    <row r="29391">
      <c r="H29391" s="50"/>
      <c r="I29391" s="50"/>
      <c r="O29391" s="36" t="s">
        <v>48</v>
      </c>
      <c r="R29391" s="36" t="s">
        <v>48</v>
      </c>
    </row>
    <row r="29392">
      <c r="H29392" s="50"/>
      <c r="I29392" s="50"/>
      <c r="O29392" s="36" t="s">
        <v>48</v>
      </c>
      <c r="R29392" s="36" t="s">
        <v>48</v>
      </c>
    </row>
    <row r="29393">
      <c r="H29393" s="50"/>
      <c r="I29393" s="50"/>
      <c r="O29393" s="36" t="s">
        <v>48</v>
      </c>
      <c r="R29393" s="36" t="s">
        <v>48</v>
      </c>
    </row>
    <row r="29394">
      <c r="H29394" s="50"/>
      <c r="I29394" s="50"/>
      <c r="O29394" s="36" t="s">
        <v>48</v>
      </c>
      <c r="R29394" s="36" t="s">
        <v>48</v>
      </c>
    </row>
    <row r="29395">
      <c r="H29395" s="50"/>
      <c r="I29395" s="50"/>
      <c r="O29395" s="36" t="s">
        <v>48</v>
      </c>
      <c r="R29395" s="36" t="s">
        <v>48</v>
      </c>
    </row>
    <row r="29396">
      <c r="H29396" s="50"/>
      <c r="I29396" s="50"/>
      <c r="O29396" s="36" t="s">
        <v>48</v>
      </c>
      <c r="R29396" s="36" t="s">
        <v>48</v>
      </c>
    </row>
    <row r="29397">
      <c r="H29397" s="50"/>
      <c r="I29397" s="50"/>
      <c r="O29397" s="36" t="s">
        <v>48</v>
      </c>
      <c r="R29397" s="36" t="s">
        <v>48</v>
      </c>
    </row>
    <row r="29398">
      <c r="H29398" s="50"/>
      <c r="I29398" s="50"/>
      <c r="O29398" s="36" t="s">
        <v>48</v>
      </c>
      <c r="R29398" s="36" t="s">
        <v>48</v>
      </c>
    </row>
    <row r="29399">
      <c r="H29399" s="50"/>
      <c r="I29399" s="50"/>
      <c r="O29399" s="36" t="s">
        <v>48</v>
      </c>
      <c r="R29399" s="36" t="s">
        <v>48</v>
      </c>
    </row>
    <row r="29400">
      <c r="H29400" s="50"/>
      <c r="I29400" s="50"/>
      <c r="O29400" s="36" t="s">
        <v>48</v>
      </c>
      <c r="R29400" s="36" t="s">
        <v>48</v>
      </c>
    </row>
    <row r="29401">
      <c r="H29401" s="50"/>
      <c r="I29401" s="50"/>
      <c r="O29401" s="36" t="s">
        <v>48</v>
      </c>
      <c r="R29401" s="36" t="s">
        <v>48</v>
      </c>
    </row>
    <row r="29402">
      <c r="H29402" s="50"/>
      <c r="I29402" s="50"/>
      <c r="O29402" s="36" t="s">
        <v>48</v>
      </c>
      <c r="R29402" s="36" t="s">
        <v>48</v>
      </c>
    </row>
    <row r="29403">
      <c r="H29403" s="50"/>
      <c r="I29403" s="50"/>
      <c r="O29403" s="36" t="s">
        <v>48</v>
      </c>
      <c r="R29403" s="36" t="s">
        <v>48</v>
      </c>
    </row>
    <row r="29404">
      <c r="H29404" s="50"/>
      <c r="I29404" s="50"/>
      <c r="O29404" s="36" t="s">
        <v>48</v>
      </c>
      <c r="R29404" s="36" t="s">
        <v>48</v>
      </c>
    </row>
    <row r="29405">
      <c r="H29405" s="50"/>
      <c r="I29405" s="50"/>
      <c r="O29405" s="36" t="s">
        <v>48</v>
      </c>
      <c r="R29405" s="36" t="s">
        <v>48</v>
      </c>
    </row>
    <row r="29406">
      <c r="H29406" s="50"/>
      <c r="I29406" s="50"/>
      <c r="O29406" s="36" t="s">
        <v>48</v>
      </c>
      <c r="R29406" s="36" t="s">
        <v>48</v>
      </c>
    </row>
    <row r="29407">
      <c r="H29407" s="50"/>
      <c r="I29407" s="50"/>
      <c r="O29407" s="36" t="s">
        <v>48</v>
      </c>
      <c r="R29407" s="36" t="s">
        <v>48</v>
      </c>
    </row>
    <row r="29408">
      <c r="H29408" s="50"/>
      <c r="I29408" s="50"/>
      <c r="O29408" s="36" t="s">
        <v>48</v>
      </c>
      <c r="R29408" s="36" t="s">
        <v>48</v>
      </c>
    </row>
    <row r="29409">
      <c r="H29409" s="50"/>
      <c r="I29409" s="50"/>
      <c r="O29409" s="36" t="s">
        <v>48</v>
      </c>
      <c r="R29409" s="36" t="s">
        <v>48</v>
      </c>
    </row>
    <row r="29410">
      <c r="H29410" s="50"/>
      <c r="I29410" s="50"/>
      <c r="O29410" s="36" t="s">
        <v>48</v>
      </c>
      <c r="R29410" s="36" t="s">
        <v>48</v>
      </c>
    </row>
    <row r="29411">
      <c r="H29411" s="50"/>
      <c r="I29411" s="50"/>
      <c r="O29411" s="36" t="s">
        <v>48</v>
      </c>
      <c r="R29411" s="36" t="s">
        <v>48</v>
      </c>
    </row>
    <row r="29412">
      <c r="H29412" s="50"/>
      <c r="I29412" s="50"/>
      <c r="O29412" s="36" t="s">
        <v>48</v>
      </c>
      <c r="R29412" s="36" t="s">
        <v>48</v>
      </c>
    </row>
    <row r="29413">
      <c r="H29413" s="50"/>
      <c r="I29413" s="50"/>
      <c r="O29413" s="36" t="s">
        <v>48</v>
      </c>
      <c r="R29413" s="36" t="s">
        <v>48</v>
      </c>
    </row>
    <row r="29414">
      <c r="H29414" s="50"/>
      <c r="I29414" s="50"/>
      <c r="O29414" s="36" t="s">
        <v>48</v>
      </c>
      <c r="R29414" s="36" t="s">
        <v>48</v>
      </c>
    </row>
    <row r="29415">
      <c r="H29415" s="50"/>
      <c r="I29415" s="50"/>
      <c r="O29415" s="36" t="s">
        <v>48</v>
      </c>
      <c r="R29415" s="36" t="s">
        <v>48</v>
      </c>
    </row>
    <row r="29416">
      <c r="H29416" s="50"/>
      <c r="I29416" s="50"/>
      <c r="O29416" s="36" t="s">
        <v>48</v>
      </c>
      <c r="R29416" s="36" t="s">
        <v>48</v>
      </c>
    </row>
    <row r="29417">
      <c r="H29417" s="50"/>
      <c r="I29417" s="50"/>
      <c r="O29417" s="36" t="s">
        <v>48</v>
      </c>
      <c r="R29417" s="36" t="s">
        <v>48</v>
      </c>
    </row>
    <row r="29418">
      <c r="H29418" s="50"/>
      <c r="I29418" s="50"/>
      <c r="O29418" s="36" t="s">
        <v>48</v>
      </c>
      <c r="R29418" s="36" t="s">
        <v>48</v>
      </c>
    </row>
    <row r="29419">
      <c r="H29419" s="50"/>
      <c r="I29419" s="50"/>
      <c r="O29419" s="36" t="s">
        <v>48</v>
      </c>
      <c r="R29419" s="36" t="s">
        <v>48</v>
      </c>
    </row>
    <row r="29420">
      <c r="H29420" s="50"/>
      <c r="I29420" s="50"/>
      <c r="O29420" s="36" t="s">
        <v>48</v>
      </c>
      <c r="R29420" s="36" t="s">
        <v>48</v>
      </c>
    </row>
    <row r="29421">
      <c r="H29421" s="50"/>
      <c r="I29421" s="50"/>
      <c r="O29421" s="36" t="s">
        <v>48</v>
      </c>
      <c r="R29421" s="36" t="s">
        <v>48</v>
      </c>
    </row>
    <row r="29422">
      <c r="H29422" s="50"/>
      <c r="I29422" s="50"/>
      <c r="O29422" s="36" t="s">
        <v>48</v>
      </c>
      <c r="R29422" s="36" t="s">
        <v>48</v>
      </c>
    </row>
    <row r="29423">
      <c r="H29423" s="50"/>
      <c r="I29423" s="50"/>
      <c r="O29423" s="36" t="s">
        <v>48</v>
      </c>
      <c r="R29423" s="36" t="s">
        <v>48</v>
      </c>
    </row>
    <row r="29424">
      <c r="H29424" s="50"/>
      <c r="I29424" s="50"/>
      <c r="O29424" s="36" t="s">
        <v>48</v>
      </c>
      <c r="R29424" s="36" t="s">
        <v>48</v>
      </c>
    </row>
    <row r="29425">
      <c r="H29425" s="50"/>
      <c r="I29425" s="50"/>
      <c r="O29425" s="36" t="s">
        <v>48</v>
      </c>
      <c r="R29425" s="36" t="s">
        <v>48</v>
      </c>
    </row>
    <row r="29426">
      <c r="H29426" s="50"/>
      <c r="I29426" s="50"/>
      <c r="O29426" s="36" t="s">
        <v>48</v>
      </c>
      <c r="R29426" s="36" t="s">
        <v>48</v>
      </c>
    </row>
    <row r="29427">
      <c r="H29427" s="50"/>
      <c r="I29427" s="50"/>
      <c r="O29427" s="36" t="s">
        <v>48</v>
      </c>
      <c r="R29427" s="36" t="s">
        <v>48</v>
      </c>
    </row>
    <row r="29428">
      <c r="H29428" s="50"/>
      <c r="I29428" s="50"/>
      <c r="O29428" s="36" t="s">
        <v>48</v>
      </c>
      <c r="R29428" s="36" t="s">
        <v>48</v>
      </c>
    </row>
    <row r="29429">
      <c r="H29429" s="50"/>
      <c r="I29429" s="50"/>
      <c r="O29429" s="36" t="s">
        <v>48</v>
      </c>
      <c r="R29429" s="36" t="s">
        <v>48</v>
      </c>
    </row>
    <row r="29430">
      <c r="H29430" s="50"/>
      <c r="I29430" s="50"/>
      <c r="O29430" s="36" t="s">
        <v>48</v>
      </c>
      <c r="R29430" s="36" t="s">
        <v>48</v>
      </c>
    </row>
    <row r="29431">
      <c r="H29431" s="50"/>
      <c r="I29431" s="50"/>
      <c r="O29431" s="36" t="s">
        <v>48</v>
      </c>
      <c r="R29431" s="36" t="s">
        <v>48</v>
      </c>
    </row>
    <row r="29432">
      <c r="H29432" s="50"/>
      <c r="I29432" s="50"/>
      <c r="O29432" s="36" t="s">
        <v>48</v>
      </c>
      <c r="R29432" s="36" t="s">
        <v>48</v>
      </c>
    </row>
    <row r="29433">
      <c r="H29433" s="50"/>
      <c r="I29433" s="50"/>
      <c r="O29433" s="36" t="s">
        <v>48</v>
      </c>
      <c r="R29433" s="36" t="s">
        <v>48</v>
      </c>
    </row>
    <row r="29434">
      <c r="H29434" s="50"/>
      <c r="I29434" s="50"/>
      <c r="O29434" s="36" t="s">
        <v>48</v>
      </c>
      <c r="R29434" s="36" t="s">
        <v>48</v>
      </c>
    </row>
    <row r="29435">
      <c r="H29435" s="50"/>
      <c r="I29435" s="50"/>
      <c r="O29435" s="36" t="s">
        <v>48</v>
      </c>
      <c r="R29435" s="36" t="s">
        <v>48</v>
      </c>
    </row>
    <row r="29436">
      <c r="H29436" s="50"/>
      <c r="I29436" s="50"/>
      <c r="O29436" s="36" t="s">
        <v>48</v>
      </c>
      <c r="R29436" s="36" t="s">
        <v>48</v>
      </c>
    </row>
    <row r="29437">
      <c r="H29437" s="50"/>
      <c r="I29437" s="50"/>
      <c r="O29437" s="36" t="s">
        <v>48</v>
      </c>
      <c r="R29437" s="36" t="s">
        <v>48</v>
      </c>
    </row>
    <row r="29438">
      <c r="H29438" s="50"/>
      <c r="I29438" s="50"/>
      <c r="O29438" s="36" t="s">
        <v>48</v>
      </c>
      <c r="R29438" s="36" t="s">
        <v>48</v>
      </c>
    </row>
    <row r="29439">
      <c r="H29439" s="50"/>
      <c r="I29439" s="50"/>
      <c r="O29439" s="36" t="s">
        <v>48</v>
      </c>
      <c r="R29439" s="36" t="s">
        <v>48</v>
      </c>
    </row>
    <row r="29440">
      <c r="H29440" s="50"/>
      <c r="I29440" s="50"/>
      <c r="O29440" s="36" t="s">
        <v>48</v>
      </c>
      <c r="R29440" s="36" t="s">
        <v>48</v>
      </c>
    </row>
    <row r="29441">
      <c r="H29441" s="50"/>
      <c r="I29441" s="50"/>
      <c r="O29441" s="36" t="s">
        <v>48</v>
      </c>
      <c r="R29441" s="36" t="s">
        <v>48</v>
      </c>
    </row>
    <row r="29442">
      <c r="H29442" s="50"/>
      <c r="I29442" s="50"/>
      <c r="O29442" s="36" t="s">
        <v>48</v>
      </c>
      <c r="R29442" s="36" t="s">
        <v>48</v>
      </c>
    </row>
    <row r="29443">
      <c r="H29443" s="50"/>
      <c r="I29443" s="50"/>
      <c r="O29443" s="36" t="s">
        <v>48</v>
      </c>
      <c r="R29443" s="36" t="s">
        <v>48</v>
      </c>
    </row>
    <row r="29444">
      <c r="H29444" s="50"/>
      <c r="I29444" s="50"/>
      <c r="O29444" s="36" t="s">
        <v>48</v>
      </c>
      <c r="R29444" s="36" t="s">
        <v>48</v>
      </c>
    </row>
    <row r="29445">
      <c r="H29445" s="50"/>
      <c r="I29445" s="50"/>
      <c r="O29445" s="36" t="s">
        <v>48</v>
      </c>
      <c r="R29445" s="36" t="s">
        <v>48</v>
      </c>
    </row>
    <row r="29446">
      <c r="H29446" s="50"/>
      <c r="I29446" s="50"/>
      <c r="O29446" s="36" t="s">
        <v>48</v>
      </c>
      <c r="R29446" s="36" t="s">
        <v>48</v>
      </c>
    </row>
    <row r="29447">
      <c r="H29447" s="50"/>
      <c r="I29447" s="50"/>
      <c r="O29447" s="36" t="s">
        <v>48</v>
      </c>
      <c r="R29447" s="36" t="s">
        <v>48</v>
      </c>
    </row>
    <row r="29448">
      <c r="H29448" s="50"/>
      <c r="I29448" s="50"/>
      <c r="O29448" s="36" t="s">
        <v>48</v>
      </c>
      <c r="R29448" s="36" t="s">
        <v>48</v>
      </c>
    </row>
    <row r="29449">
      <c r="H29449" s="50"/>
      <c r="I29449" s="50"/>
      <c r="O29449" s="36" t="s">
        <v>48</v>
      </c>
      <c r="R29449" s="36" t="s">
        <v>48</v>
      </c>
    </row>
    <row r="29450">
      <c r="H29450" s="50"/>
      <c r="I29450" s="50"/>
      <c r="O29450" s="36" t="s">
        <v>48</v>
      </c>
      <c r="R29450" s="36" t="s">
        <v>48</v>
      </c>
    </row>
    <row r="29451">
      <c r="H29451" s="50"/>
      <c r="I29451" s="50"/>
      <c r="O29451" s="36" t="s">
        <v>48</v>
      </c>
      <c r="R29451" s="36" t="s">
        <v>48</v>
      </c>
    </row>
    <row r="29452">
      <c r="H29452" s="50"/>
      <c r="I29452" s="50"/>
      <c r="O29452" s="36" t="s">
        <v>48</v>
      </c>
      <c r="R29452" s="36" t="s">
        <v>48</v>
      </c>
    </row>
    <row r="29453">
      <c r="H29453" s="50"/>
      <c r="I29453" s="50"/>
      <c r="O29453" s="36" t="s">
        <v>48</v>
      </c>
      <c r="R29453" s="36" t="s">
        <v>48</v>
      </c>
    </row>
    <row r="29454">
      <c r="H29454" s="50"/>
      <c r="I29454" s="50"/>
      <c r="O29454" s="36" t="s">
        <v>48</v>
      </c>
      <c r="R29454" s="36" t="s">
        <v>48</v>
      </c>
    </row>
    <row r="29455">
      <c r="H29455" s="50"/>
      <c r="I29455" s="50"/>
      <c r="O29455" s="36" t="s">
        <v>48</v>
      </c>
      <c r="R29455" s="36" t="s">
        <v>48</v>
      </c>
    </row>
    <row r="29456">
      <c r="H29456" s="50"/>
      <c r="I29456" s="50"/>
      <c r="O29456" s="36" t="s">
        <v>48</v>
      </c>
      <c r="R29456" s="36" t="s">
        <v>48</v>
      </c>
    </row>
    <row r="29457">
      <c r="H29457" s="50"/>
      <c r="I29457" s="50"/>
      <c r="O29457" s="36" t="s">
        <v>48</v>
      </c>
      <c r="R29457" s="36" t="s">
        <v>48</v>
      </c>
    </row>
    <row r="29458">
      <c r="H29458" s="50"/>
      <c r="I29458" s="50"/>
      <c r="O29458" s="36" t="s">
        <v>48</v>
      </c>
      <c r="R29458" s="36" t="s">
        <v>48</v>
      </c>
    </row>
    <row r="29459">
      <c r="H29459" s="50"/>
      <c r="I29459" s="50"/>
      <c r="O29459" s="36" t="s">
        <v>48</v>
      </c>
      <c r="R29459" s="36" t="s">
        <v>48</v>
      </c>
    </row>
    <row r="29460">
      <c r="H29460" s="50"/>
      <c r="I29460" s="50"/>
      <c r="O29460" s="36" t="s">
        <v>48</v>
      </c>
      <c r="R29460" s="36" t="s">
        <v>48</v>
      </c>
    </row>
    <row r="29461">
      <c r="H29461" s="50"/>
      <c r="I29461" s="50"/>
      <c r="O29461" s="36" t="s">
        <v>48</v>
      </c>
      <c r="R29461" s="36" t="s">
        <v>48</v>
      </c>
    </row>
    <row r="29462">
      <c r="H29462" s="50"/>
      <c r="I29462" s="50"/>
      <c r="O29462" s="36" t="s">
        <v>48</v>
      </c>
      <c r="R29462" s="36" t="s">
        <v>48</v>
      </c>
    </row>
    <row r="29463">
      <c r="H29463" s="50"/>
      <c r="I29463" s="50"/>
      <c r="O29463" s="36" t="s">
        <v>48</v>
      </c>
      <c r="R29463" s="36" t="s">
        <v>48</v>
      </c>
    </row>
    <row r="29464">
      <c r="H29464" s="50"/>
      <c r="I29464" s="50"/>
      <c r="O29464" s="36" t="s">
        <v>48</v>
      </c>
      <c r="R29464" s="36" t="s">
        <v>48</v>
      </c>
    </row>
    <row r="29465">
      <c r="H29465" s="50"/>
      <c r="I29465" s="50"/>
      <c r="O29465" s="36" t="s">
        <v>48</v>
      </c>
      <c r="R29465" s="36" t="s">
        <v>48</v>
      </c>
    </row>
    <row r="29466">
      <c r="H29466" s="50"/>
      <c r="I29466" s="50"/>
      <c r="O29466" s="36" t="s">
        <v>48</v>
      </c>
      <c r="R29466" s="36" t="s">
        <v>48</v>
      </c>
    </row>
    <row r="29467">
      <c r="H29467" s="50"/>
      <c r="I29467" s="50"/>
      <c r="O29467" s="36" t="s">
        <v>48</v>
      </c>
      <c r="R29467" s="36" t="s">
        <v>48</v>
      </c>
    </row>
    <row r="29468">
      <c r="H29468" s="50"/>
      <c r="I29468" s="50"/>
      <c r="O29468" s="36" t="s">
        <v>48</v>
      </c>
      <c r="R29468" s="36" t="s">
        <v>48</v>
      </c>
    </row>
    <row r="29469">
      <c r="H29469" s="50"/>
      <c r="I29469" s="50"/>
      <c r="O29469" s="36" t="s">
        <v>48</v>
      </c>
      <c r="R29469" s="36" t="s">
        <v>48</v>
      </c>
    </row>
    <row r="29470">
      <c r="H29470" s="50"/>
      <c r="I29470" s="50"/>
      <c r="O29470" s="36" t="s">
        <v>48</v>
      </c>
      <c r="R29470" s="36" t="s">
        <v>48</v>
      </c>
    </row>
    <row r="29471">
      <c r="H29471" s="50"/>
      <c r="I29471" s="50"/>
      <c r="O29471" s="36" t="s">
        <v>48</v>
      </c>
      <c r="R29471" s="36" t="s">
        <v>48</v>
      </c>
    </row>
    <row r="29472">
      <c r="H29472" s="50"/>
      <c r="I29472" s="50"/>
      <c r="O29472" s="36" t="s">
        <v>48</v>
      </c>
      <c r="R29472" s="36" t="s">
        <v>48</v>
      </c>
    </row>
    <row r="29473">
      <c r="H29473" s="50"/>
      <c r="I29473" s="50"/>
      <c r="O29473" s="36" t="s">
        <v>48</v>
      </c>
      <c r="R29473" s="36" t="s">
        <v>48</v>
      </c>
    </row>
    <row r="29474">
      <c r="H29474" s="50"/>
      <c r="I29474" s="50"/>
      <c r="O29474" s="36" t="s">
        <v>48</v>
      </c>
      <c r="R29474" s="36" t="s">
        <v>48</v>
      </c>
    </row>
    <row r="29475">
      <c r="H29475" s="50"/>
      <c r="I29475" s="50"/>
      <c r="O29475" s="36" t="s">
        <v>48</v>
      </c>
      <c r="R29475" s="36" t="s">
        <v>48</v>
      </c>
    </row>
    <row r="29476">
      <c r="H29476" s="50"/>
      <c r="I29476" s="50"/>
      <c r="O29476" s="36" t="s">
        <v>48</v>
      </c>
      <c r="R29476" s="36" t="s">
        <v>48</v>
      </c>
    </row>
    <row r="29477">
      <c r="H29477" s="50"/>
      <c r="I29477" s="50"/>
      <c r="O29477" s="36" t="s">
        <v>48</v>
      </c>
      <c r="R29477" s="36" t="s">
        <v>48</v>
      </c>
    </row>
    <row r="29478">
      <c r="H29478" s="50"/>
      <c r="I29478" s="50"/>
      <c r="O29478" s="36" t="s">
        <v>48</v>
      </c>
      <c r="R29478" s="36" t="s">
        <v>48</v>
      </c>
    </row>
    <row r="29479">
      <c r="H29479" s="50"/>
      <c r="I29479" s="50"/>
      <c r="O29479" s="36" t="s">
        <v>48</v>
      </c>
      <c r="R29479" s="36" t="s">
        <v>48</v>
      </c>
    </row>
    <row r="29480">
      <c r="H29480" s="50"/>
      <c r="I29480" s="50"/>
      <c r="O29480" s="36" t="s">
        <v>48</v>
      </c>
      <c r="R29480" s="36" t="s">
        <v>48</v>
      </c>
    </row>
    <row r="29481">
      <c r="H29481" s="50"/>
      <c r="I29481" s="50"/>
      <c r="O29481" s="36" t="s">
        <v>48</v>
      </c>
      <c r="R29481" s="36" t="s">
        <v>48</v>
      </c>
    </row>
    <row r="29482">
      <c r="H29482" s="50"/>
      <c r="I29482" s="50"/>
      <c r="O29482" s="36" t="s">
        <v>48</v>
      </c>
      <c r="R29482" s="36" t="s">
        <v>48</v>
      </c>
    </row>
    <row r="29483">
      <c r="H29483" s="50"/>
      <c r="I29483" s="50"/>
      <c r="O29483" s="36" t="s">
        <v>48</v>
      </c>
      <c r="R29483" s="36" t="s">
        <v>48</v>
      </c>
    </row>
    <row r="29484">
      <c r="H29484" s="50"/>
      <c r="I29484" s="50"/>
      <c r="O29484" s="36" t="s">
        <v>48</v>
      </c>
      <c r="R29484" s="36" t="s">
        <v>48</v>
      </c>
    </row>
    <row r="29485">
      <c r="H29485" s="50"/>
      <c r="I29485" s="50"/>
      <c r="O29485" s="36" t="s">
        <v>48</v>
      </c>
      <c r="R29485" s="36" t="s">
        <v>48</v>
      </c>
    </row>
    <row r="29486">
      <c r="H29486" s="50"/>
      <c r="I29486" s="50"/>
      <c r="O29486" s="36" t="s">
        <v>48</v>
      </c>
      <c r="R29486" s="36" t="s">
        <v>48</v>
      </c>
    </row>
    <row r="29487">
      <c r="H29487" s="50"/>
      <c r="I29487" s="50"/>
      <c r="O29487" s="36" t="s">
        <v>48</v>
      </c>
      <c r="R29487" s="36" t="s">
        <v>48</v>
      </c>
    </row>
    <row r="29488">
      <c r="H29488" s="50"/>
      <c r="I29488" s="50"/>
      <c r="O29488" s="36" t="s">
        <v>48</v>
      </c>
      <c r="R29488" s="36" t="s">
        <v>48</v>
      </c>
    </row>
    <row r="29489">
      <c r="H29489" s="50"/>
      <c r="I29489" s="50"/>
      <c r="O29489" s="36" t="s">
        <v>48</v>
      </c>
      <c r="R29489" s="36" t="s">
        <v>48</v>
      </c>
    </row>
    <row r="29490">
      <c r="H29490" s="50"/>
      <c r="I29490" s="50"/>
      <c r="O29490" s="36" t="s">
        <v>48</v>
      </c>
      <c r="R29490" s="36" t="s">
        <v>48</v>
      </c>
    </row>
    <row r="29491">
      <c r="H29491" s="50"/>
      <c r="I29491" s="50"/>
      <c r="O29491" s="36" t="s">
        <v>48</v>
      </c>
      <c r="R29491" s="36" t="s">
        <v>48</v>
      </c>
    </row>
    <row r="29492">
      <c r="H29492" s="50"/>
      <c r="I29492" s="50"/>
      <c r="O29492" s="36" t="s">
        <v>48</v>
      </c>
      <c r="R29492" s="36" t="s">
        <v>48</v>
      </c>
    </row>
    <row r="29493">
      <c r="H29493" s="50"/>
      <c r="I29493" s="50"/>
      <c r="O29493" s="36" t="s">
        <v>48</v>
      </c>
      <c r="R29493" s="36" t="s">
        <v>48</v>
      </c>
    </row>
    <row r="29494">
      <c r="H29494" s="50"/>
      <c r="I29494" s="50"/>
      <c r="O29494" s="36" t="s">
        <v>48</v>
      </c>
      <c r="R29494" s="36" t="s">
        <v>48</v>
      </c>
    </row>
    <row r="29495">
      <c r="H29495" s="50"/>
      <c r="I29495" s="50"/>
      <c r="O29495" s="36" t="s">
        <v>48</v>
      </c>
      <c r="R29495" s="36" t="s">
        <v>48</v>
      </c>
    </row>
    <row r="29496">
      <c r="H29496" s="50"/>
      <c r="I29496" s="50"/>
      <c r="O29496" s="36" t="s">
        <v>48</v>
      </c>
      <c r="R29496" s="36" t="s">
        <v>48</v>
      </c>
    </row>
    <row r="29497">
      <c r="H29497" s="50"/>
      <c r="I29497" s="50"/>
      <c r="O29497" s="36" t="s">
        <v>48</v>
      </c>
      <c r="R29497" s="36" t="s">
        <v>48</v>
      </c>
    </row>
    <row r="29498">
      <c r="H29498" s="50"/>
      <c r="I29498" s="50"/>
      <c r="O29498" s="36" t="s">
        <v>48</v>
      </c>
      <c r="R29498" s="36" t="s">
        <v>48</v>
      </c>
    </row>
    <row r="29499">
      <c r="H29499" s="50"/>
      <c r="I29499" s="50"/>
      <c r="O29499" s="36" t="s">
        <v>48</v>
      </c>
      <c r="R29499" s="36" t="s">
        <v>48</v>
      </c>
    </row>
    <row r="29500">
      <c r="H29500" s="50"/>
      <c r="I29500" s="50"/>
      <c r="O29500" s="36" t="s">
        <v>48</v>
      </c>
      <c r="R29500" s="36" t="s">
        <v>48</v>
      </c>
    </row>
    <row r="29501">
      <c r="H29501" s="50"/>
      <c r="I29501" s="50"/>
      <c r="O29501" s="36" t="s">
        <v>48</v>
      </c>
      <c r="R29501" s="36" t="s">
        <v>48</v>
      </c>
    </row>
    <row r="29502">
      <c r="H29502" s="50"/>
      <c r="I29502" s="50"/>
      <c r="O29502" s="36" t="s">
        <v>48</v>
      </c>
      <c r="R29502" s="36" t="s">
        <v>48</v>
      </c>
    </row>
    <row r="29503">
      <c r="H29503" s="50"/>
      <c r="I29503" s="50"/>
      <c r="O29503" s="36" t="s">
        <v>48</v>
      </c>
      <c r="R29503" s="36" t="s">
        <v>48</v>
      </c>
    </row>
    <row r="29504">
      <c r="H29504" s="50"/>
      <c r="I29504" s="50"/>
      <c r="O29504" s="36" t="s">
        <v>48</v>
      </c>
      <c r="R29504" s="36" t="s">
        <v>48</v>
      </c>
    </row>
    <row r="29505">
      <c r="H29505" s="50"/>
      <c r="I29505" s="50"/>
      <c r="O29505" s="36" t="s">
        <v>48</v>
      </c>
      <c r="R29505" s="36" t="s">
        <v>48</v>
      </c>
    </row>
    <row r="29506">
      <c r="H29506" s="50"/>
      <c r="I29506" s="50"/>
      <c r="O29506" s="36" t="s">
        <v>48</v>
      </c>
      <c r="R29506" s="36" t="s">
        <v>48</v>
      </c>
    </row>
    <row r="29507">
      <c r="H29507" s="50"/>
      <c r="I29507" s="50"/>
      <c r="O29507" s="36" t="s">
        <v>48</v>
      </c>
      <c r="R29507" s="36" t="s">
        <v>48</v>
      </c>
    </row>
    <row r="29508">
      <c r="H29508" s="50"/>
      <c r="I29508" s="50"/>
      <c r="O29508" s="36" t="s">
        <v>48</v>
      </c>
      <c r="R29508" s="36" t="s">
        <v>48</v>
      </c>
    </row>
    <row r="29509">
      <c r="H29509" s="50"/>
      <c r="I29509" s="50"/>
      <c r="O29509" s="36" t="s">
        <v>48</v>
      </c>
      <c r="R29509" s="36" t="s">
        <v>48</v>
      </c>
    </row>
    <row r="29510">
      <c r="H29510" s="50"/>
      <c r="I29510" s="50"/>
      <c r="O29510" s="36" t="s">
        <v>48</v>
      </c>
      <c r="R29510" s="36" t="s">
        <v>48</v>
      </c>
    </row>
    <row r="29511">
      <c r="H29511" s="50"/>
      <c r="I29511" s="50"/>
      <c r="O29511" s="36" t="s">
        <v>48</v>
      </c>
      <c r="R29511" s="36" t="s">
        <v>48</v>
      </c>
    </row>
    <row r="29512">
      <c r="H29512" s="50"/>
      <c r="I29512" s="50"/>
      <c r="O29512" s="36" t="s">
        <v>48</v>
      </c>
      <c r="R29512" s="36" t="s">
        <v>48</v>
      </c>
    </row>
    <row r="29513">
      <c r="H29513" s="50"/>
      <c r="I29513" s="50"/>
      <c r="O29513" s="36" t="s">
        <v>48</v>
      </c>
      <c r="R29513" s="36" t="s">
        <v>48</v>
      </c>
    </row>
    <row r="29514">
      <c r="H29514" s="50"/>
      <c r="I29514" s="50"/>
      <c r="O29514" s="36" t="s">
        <v>48</v>
      </c>
      <c r="R29514" s="36" t="s">
        <v>48</v>
      </c>
    </row>
    <row r="29515">
      <c r="H29515" s="50"/>
      <c r="I29515" s="50"/>
      <c r="O29515" s="36" t="s">
        <v>48</v>
      </c>
      <c r="R29515" s="36" t="s">
        <v>48</v>
      </c>
    </row>
    <row r="29516">
      <c r="H29516" s="50"/>
      <c r="I29516" s="50"/>
      <c r="O29516" s="36" t="s">
        <v>48</v>
      </c>
      <c r="R29516" s="36" t="s">
        <v>48</v>
      </c>
    </row>
    <row r="29517">
      <c r="H29517" s="50"/>
      <c r="I29517" s="50"/>
      <c r="O29517" s="36" t="s">
        <v>48</v>
      </c>
      <c r="R29517" s="36" t="s">
        <v>48</v>
      </c>
    </row>
    <row r="29518">
      <c r="H29518" s="50"/>
      <c r="I29518" s="50"/>
      <c r="O29518" s="36" t="s">
        <v>48</v>
      </c>
      <c r="R29518" s="36" t="s">
        <v>48</v>
      </c>
    </row>
    <row r="29519">
      <c r="H29519" s="50"/>
      <c r="I29519" s="50"/>
      <c r="O29519" s="36" t="s">
        <v>48</v>
      </c>
      <c r="R29519" s="36" t="s">
        <v>48</v>
      </c>
    </row>
    <row r="29520">
      <c r="H29520" s="50"/>
      <c r="I29520" s="50"/>
      <c r="O29520" s="36" t="s">
        <v>48</v>
      </c>
      <c r="R29520" s="36" t="s">
        <v>48</v>
      </c>
    </row>
    <row r="29521">
      <c r="H29521" s="50"/>
      <c r="I29521" s="50"/>
      <c r="O29521" s="36" t="s">
        <v>48</v>
      </c>
      <c r="R29521" s="36" t="s">
        <v>48</v>
      </c>
    </row>
    <row r="29522">
      <c r="H29522" s="50"/>
      <c r="I29522" s="50"/>
      <c r="O29522" s="36" t="s">
        <v>48</v>
      </c>
      <c r="R29522" s="36" t="s">
        <v>48</v>
      </c>
    </row>
    <row r="29523">
      <c r="H29523" s="50"/>
      <c r="I29523" s="50"/>
      <c r="O29523" s="36" t="s">
        <v>48</v>
      </c>
      <c r="R29523" s="36" t="s">
        <v>48</v>
      </c>
    </row>
    <row r="29524">
      <c r="H29524" s="50"/>
      <c r="I29524" s="50"/>
      <c r="O29524" s="36" t="s">
        <v>48</v>
      </c>
      <c r="R29524" s="36" t="s">
        <v>48</v>
      </c>
    </row>
    <row r="29525">
      <c r="H29525" s="50"/>
      <c r="I29525" s="50"/>
      <c r="O29525" s="36" t="s">
        <v>48</v>
      </c>
      <c r="R29525" s="36" t="s">
        <v>48</v>
      </c>
    </row>
    <row r="29526">
      <c r="H29526" s="50"/>
      <c r="I29526" s="50"/>
      <c r="O29526" s="36" t="s">
        <v>48</v>
      </c>
      <c r="R29526" s="36" t="s">
        <v>48</v>
      </c>
    </row>
    <row r="29527">
      <c r="H29527" s="50"/>
      <c r="I29527" s="50"/>
      <c r="O29527" s="36" t="s">
        <v>48</v>
      </c>
      <c r="R29527" s="36" t="s">
        <v>48</v>
      </c>
    </row>
    <row r="29528">
      <c r="H29528" s="50"/>
      <c r="I29528" s="50"/>
      <c r="O29528" s="36" t="s">
        <v>48</v>
      </c>
      <c r="R29528" s="36" t="s">
        <v>48</v>
      </c>
    </row>
    <row r="29529">
      <c r="H29529" s="50"/>
      <c r="I29529" s="50"/>
      <c r="O29529" s="36" t="s">
        <v>48</v>
      </c>
      <c r="R29529" s="36" t="s">
        <v>48</v>
      </c>
    </row>
    <row r="29530">
      <c r="H29530" s="50"/>
      <c r="I29530" s="50"/>
      <c r="O29530" s="36" t="s">
        <v>48</v>
      </c>
      <c r="R29530" s="36" t="s">
        <v>48</v>
      </c>
    </row>
    <row r="29531">
      <c r="H29531" s="50"/>
      <c r="I29531" s="50"/>
      <c r="O29531" s="36" t="s">
        <v>48</v>
      </c>
      <c r="R29531" s="36" t="s">
        <v>48</v>
      </c>
    </row>
    <row r="29532">
      <c r="H29532" s="50"/>
      <c r="I29532" s="50"/>
      <c r="O29532" s="36" t="s">
        <v>48</v>
      </c>
      <c r="R29532" s="36" t="s">
        <v>48</v>
      </c>
    </row>
    <row r="29533">
      <c r="H29533" s="50"/>
      <c r="I29533" s="50"/>
      <c r="O29533" s="36" t="s">
        <v>48</v>
      </c>
      <c r="R29533" s="36" t="s">
        <v>48</v>
      </c>
    </row>
    <row r="29534">
      <c r="H29534" s="50"/>
      <c r="I29534" s="50"/>
      <c r="O29534" s="36" t="s">
        <v>48</v>
      </c>
      <c r="R29534" s="36" t="s">
        <v>48</v>
      </c>
    </row>
    <row r="29535">
      <c r="H29535" s="50"/>
      <c r="I29535" s="50"/>
      <c r="O29535" s="36" t="s">
        <v>48</v>
      </c>
      <c r="R29535" s="36" t="s">
        <v>48</v>
      </c>
    </row>
    <row r="29536">
      <c r="H29536" s="50"/>
      <c r="I29536" s="50"/>
      <c r="O29536" s="36" t="s">
        <v>48</v>
      </c>
      <c r="R29536" s="36" t="s">
        <v>48</v>
      </c>
    </row>
    <row r="29537">
      <c r="H29537" s="50"/>
      <c r="I29537" s="50"/>
      <c r="O29537" s="36" t="s">
        <v>48</v>
      </c>
      <c r="R29537" s="36" t="s">
        <v>48</v>
      </c>
    </row>
    <row r="29538">
      <c r="H29538" s="50"/>
      <c r="I29538" s="50"/>
      <c r="O29538" s="36" t="s">
        <v>48</v>
      </c>
      <c r="R29538" s="36" t="s">
        <v>48</v>
      </c>
    </row>
    <row r="29539">
      <c r="H29539" s="50"/>
      <c r="I29539" s="50"/>
      <c r="O29539" s="36" t="s">
        <v>48</v>
      </c>
      <c r="R29539" s="36" t="s">
        <v>48</v>
      </c>
    </row>
    <row r="29540">
      <c r="H29540" s="50"/>
      <c r="I29540" s="50"/>
      <c r="O29540" s="36" t="s">
        <v>48</v>
      </c>
      <c r="R29540" s="36" t="s">
        <v>48</v>
      </c>
    </row>
    <row r="29541">
      <c r="H29541" s="50"/>
      <c r="I29541" s="50"/>
      <c r="O29541" s="36" t="s">
        <v>48</v>
      </c>
      <c r="R29541" s="36" t="s">
        <v>48</v>
      </c>
    </row>
    <row r="29542">
      <c r="H29542" s="50"/>
      <c r="I29542" s="50"/>
      <c r="O29542" s="36" t="s">
        <v>48</v>
      </c>
      <c r="R29542" s="36" t="s">
        <v>48</v>
      </c>
    </row>
    <row r="29543">
      <c r="H29543" s="50"/>
      <c r="I29543" s="50"/>
      <c r="O29543" s="36" t="s">
        <v>48</v>
      </c>
      <c r="R29543" s="36" t="s">
        <v>48</v>
      </c>
    </row>
    <row r="29544">
      <c r="H29544" s="50"/>
      <c r="I29544" s="50"/>
      <c r="O29544" s="36" t="s">
        <v>48</v>
      </c>
      <c r="R29544" s="36" t="s">
        <v>48</v>
      </c>
    </row>
    <row r="29545">
      <c r="H29545" s="50"/>
      <c r="I29545" s="50"/>
      <c r="O29545" s="36" t="s">
        <v>48</v>
      </c>
      <c r="R29545" s="36" t="s">
        <v>48</v>
      </c>
    </row>
    <row r="29546">
      <c r="H29546" s="50"/>
      <c r="I29546" s="50"/>
      <c r="O29546" s="36" t="s">
        <v>48</v>
      </c>
      <c r="R29546" s="36" t="s">
        <v>48</v>
      </c>
    </row>
    <row r="29547">
      <c r="H29547" s="50"/>
      <c r="I29547" s="50"/>
      <c r="O29547" s="36" t="s">
        <v>48</v>
      </c>
      <c r="R29547" s="36" t="s">
        <v>48</v>
      </c>
    </row>
    <row r="29548">
      <c r="H29548" s="50"/>
      <c r="I29548" s="50"/>
      <c r="O29548" s="36" t="s">
        <v>48</v>
      </c>
      <c r="R29548" s="36" t="s">
        <v>48</v>
      </c>
    </row>
    <row r="29549">
      <c r="H29549" s="50"/>
      <c r="I29549" s="50"/>
      <c r="O29549" s="36" t="s">
        <v>48</v>
      </c>
      <c r="R29549" s="36" t="s">
        <v>48</v>
      </c>
    </row>
    <row r="29550">
      <c r="H29550" s="50"/>
      <c r="I29550" s="50"/>
      <c r="O29550" s="36" t="s">
        <v>48</v>
      </c>
      <c r="R29550" s="36" t="s">
        <v>48</v>
      </c>
    </row>
    <row r="29551">
      <c r="H29551" s="50"/>
      <c r="I29551" s="50"/>
      <c r="O29551" s="36" t="s">
        <v>48</v>
      </c>
      <c r="R29551" s="36" t="s">
        <v>48</v>
      </c>
    </row>
    <row r="29552">
      <c r="H29552" s="50"/>
      <c r="I29552" s="50"/>
      <c r="O29552" s="36" t="s">
        <v>48</v>
      </c>
      <c r="R29552" s="36" t="s">
        <v>48</v>
      </c>
    </row>
    <row r="29553">
      <c r="H29553" s="50"/>
      <c r="I29553" s="50"/>
      <c r="O29553" s="36" t="s">
        <v>48</v>
      </c>
      <c r="R29553" s="36" t="s">
        <v>48</v>
      </c>
    </row>
    <row r="29554">
      <c r="H29554" s="50"/>
      <c r="I29554" s="50"/>
      <c r="O29554" s="36" t="s">
        <v>48</v>
      </c>
      <c r="R29554" s="36" t="s">
        <v>48</v>
      </c>
    </row>
    <row r="29555">
      <c r="H29555" s="50"/>
      <c r="I29555" s="50"/>
      <c r="O29555" s="36" t="s">
        <v>48</v>
      </c>
      <c r="R29555" s="36" t="s">
        <v>48</v>
      </c>
    </row>
    <row r="29556">
      <c r="H29556" s="50"/>
      <c r="I29556" s="50"/>
      <c r="O29556" s="36" t="s">
        <v>48</v>
      </c>
      <c r="R29556" s="36" t="s">
        <v>48</v>
      </c>
    </row>
    <row r="29557">
      <c r="H29557" s="50"/>
      <c r="I29557" s="50"/>
      <c r="O29557" s="36" t="s">
        <v>48</v>
      </c>
      <c r="R29557" s="36" t="s">
        <v>48</v>
      </c>
    </row>
    <row r="29558">
      <c r="H29558" s="50"/>
      <c r="I29558" s="50"/>
      <c r="O29558" s="36" t="s">
        <v>48</v>
      </c>
      <c r="R29558" s="36" t="s">
        <v>48</v>
      </c>
    </row>
    <row r="29559">
      <c r="H29559" s="50"/>
      <c r="I29559" s="50"/>
      <c r="O29559" s="36" t="s">
        <v>48</v>
      </c>
      <c r="R29559" s="36" t="s">
        <v>48</v>
      </c>
    </row>
    <row r="29560">
      <c r="H29560" s="50"/>
      <c r="I29560" s="50"/>
      <c r="O29560" s="36" t="s">
        <v>48</v>
      </c>
      <c r="R29560" s="36" t="s">
        <v>48</v>
      </c>
    </row>
    <row r="29561">
      <c r="H29561" s="50"/>
      <c r="I29561" s="50"/>
      <c r="O29561" s="36" t="s">
        <v>48</v>
      </c>
      <c r="R29561" s="36" t="s">
        <v>48</v>
      </c>
    </row>
    <row r="29562">
      <c r="H29562" s="50"/>
      <c r="I29562" s="50"/>
      <c r="O29562" s="36" t="s">
        <v>48</v>
      </c>
      <c r="R29562" s="36" t="s">
        <v>48</v>
      </c>
    </row>
    <row r="29563">
      <c r="H29563" s="50"/>
      <c r="I29563" s="50"/>
      <c r="O29563" s="36" t="s">
        <v>48</v>
      </c>
      <c r="R29563" s="36" t="s">
        <v>48</v>
      </c>
    </row>
    <row r="29564">
      <c r="H29564" s="50"/>
      <c r="I29564" s="50"/>
      <c r="O29564" s="36" t="s">
        <v>48</v>
      </c>
      <c r="R29564" s="36" t="s">
        <v>48</v>
      </c>
    </row>
    <row r="29565">
      <c r="H29565" s="50"/>
      <c r="I29565" s="50"/>
      <c r="O29565" s="36" t="s">
        <v>48</v>
      </c>
      <c r="R29565" s="36" t="s">
        <v>48</v>
      </c>
    </row>
    <row r="29566">
      <c r="H29566" s="50"/>
      <c r="I29566" s="50"/>
      <c r="O29566" s="36" t="s">
        <v>48</v>
      </c>
      <c r="R29566" s="36" t="s">
        <v>48</v>
      </c>
    </row>
    <row r="29567">
      <c r="H29567" s="50"/>
      <c r="I29567" s="50"/>
      <c r="O29567" s="36" t="s">
        <v>48</v>
      </c>
      <c r="R29567" s="36" t="s">
        <v>48</v>
      </c>
    </row>
    <row r="29568">
      <c r="H29568" s="50"/>
      <c r="I29568" s="50"/>
      <c r="O29568" s="36" t="s">
        <v>48</v>
      </c>
      <c r="R29568" s="36" t="s">
        <v>48</v>
      </c>
    </row>
    <row r="29569">
      <c r="H29569" s="50"/>
      <c r="I29569" s="50"/>
      <c r="O29569" s="36" t="s">
        <v>48</v>
      </c>
      <c r="R29569" s="36" t="s">
        <v>48</v>
      </c>
    </row>
    <row r="29570">
      <c r="H29570" s="50"/>
      <c r="I29570" s="50"/>
      <c r="O29570" s="36" t="s">
        <v>48</v>
      </c>
      <c r="R29570" s="36" t="s">
        <v>48</v>
      </c>
    </row>
    <row r="29571">
      <c r="H29571" s="50"/>
      <c r="I29571" s="50"/>
      <c r="O29571" s="36" t="s">
        <v>48</v>
      </c>
      <c r="R29571" s="36" t="s">
        <v>48</v>
      </c>
    </row>
    <row r="29572">
      <c r="H29572" s="50"/>
      <c r="I29572" s="50"/>
      <c r="O29572" s="36" t="s">
        <v>48</v>
      </c>
      <c r="R29572" s="36" t="s">
        <v>48</v>
      </c>
    </row>
    <row r="29573">
      <c r="H29573" s="50"/>
      <c r="I29573" s="50"/>
      <c r="O29573" s="36" t="s">
        <v>48</v>
      </c>
      <c r="R29573" s="36" t="s">
        <v>48</v>
      </c>
    </row>
    <row r="29574">
      <c r="H29574" s="50"/>
      <c r="I29574" s="50"/>
      <c r="O29574" s="36" t="s">
        <v>48</v>
      </c>
      <c r="R29574" s="36" t="s">
        <v>48</v>
      </c>
    </row>
    <row r="29575">
      <c r="H29575" s="50"/>
      <c r="I29575" s="50"/>
      <c r="O29575" s="36" t="s">
        <v>48</v>
      </c>
      <c r="R29575" s="36" t="s">
        <v>48</v>
      </c>
    </row>
    <row r="29576">
      <c r="H29576" s="50"/>
      <c r="I29576" s="50"/>
      <c r="O29576" s="36" t="s">
        <v>48</v>
      </c>
      <c r="R29576" s="36" t="s">
        <v>48</v>
      </c>
    </row>
    <row r="29577">
      <c r="H29577" s="50"/>
      <c r="I29577" s="50"/>
      <c r="O29577" s="36" t="s">
        <v>48</v>
      </c>
      <c r="R29577" s="36" t="s">
        <v>48</v>
      </c>
    </row>
    <row r="29578">
      <c r="H29578" s="50"/>
      <c r="I29578" s="50"/>
      <c r="O29578" s="36" t="s">
        <v>48</v>
      </c>
      <c r="R29578" s="36" t="s">
        <v>48</v>
      </c>
    </row>
    <row r="29579">
      <c r="H29579" s="50"/>
      <c r="I29579" s="50"/>
      <c r="O29579" s="36" t="s">
        <v>48</v>
      </c>
      <c r="R29579" s="36" t="s">
        <v>48</v>
      </c>
    </row>
    <row r="29580">
      <c r="H29580" s="50"/>
      <c r="I29580" s="50"/>
      <c r="O29580" s="36" t="s">
        <v>48</v>
      </c>
      <c r="R29580" s="36" t="s">
        <v>48</v>
      </c>
    </row>
    <row r="29581">
      <c r="H29581" s="50"/>
      <c r="I29581" s="50"/>
      <c r="O29581" s="36" t="s">
        <v>48</v>
      </c>
      <c r="R29581" s="36" t="s">
        <v>48</v>
      </c>
    </row>
    <row r="29582">
      <c r="H29582" s="50"/>
      <c r="I29582" s="50"/>
      <c r="O29582" s="36" t="s">
        <v>48</v>
      </c>
      <c r="R29582" s="36" t="s">
        <v>48</v>
      </c>
    </row>
    <row r="29583">
      <c r="H29583" s="50"/>
      <c r="I29583" s="50"/>
      <c r="O29583" s="36" t="s">
        <v>48</v>
      </c>
      <c r="R29583" s="36" t="s">
        <v>48</v>
      </c>
    </row>
    <row r="29584">
      <c r="H29584" s="50"/>
      <c r="I29584" s="50"/>
      <c r="O29584" s="36" t="s">
        <v>48</v>
      </c>
      <c r="R29584" s="36" t="s">
        <v>48</v>
      </c>
    </row>
    <row r="29585">
      <c r="H29585" s="50"/>
      <c r="I29585" s="50"/>
      <c r="O29585" s="36" t="s">
        <v>48</v>
      </c>
      <c r="R29585" s="36" t="s">
        <v>48</v>
      </c>
    </row>
    <row r="29586">
      <c r="H29586" s="50"/>
      <c r="I29586" s="50"/>
      <c r="O29586" s="36" t="s">
        <v>48</v>
      </c>
      <c r="R29586" s="36" t="s">
        <v>48</v>
      </c>
    </row>
    <row r="29587">
      <c r="H29587" s="50"/>
      <c r="I29587" s="50"/>
      <c r="O29587" s="36" t="s">
        <v>48</v>
      </c>
      <c r="R29587" s="36" t="s">
        <v>48</v>
      </c>
    </row>
    <row r="29588">
      <c r="H29588" s="50"/>
      <c r="I29588" s="50"/>
      <c r="O29588" s="36" t="s">
        <v>48</v>
      </c>
      <c r="R29588" s="36" t="s">
        <v>48</v>
      </c>
    </row>
    <row r="29589">
      <c r="H29589" s="50"/>
      <c r="I29589" s="50"/>
      <c r="O29589" s="36" t="s">
        <v>48</v>
      </c>
      <c r="R29589" s="36" t="s">
        <v>48</v>
      </c>
    </row>
    <row r="29590">
      <c r="H29590" s="50"/>
      <c r="I29590" s="50"/>
      <c r="O29590" s="36" t="s">
        <v>48</v>
      </c>
      <c r="R29590" s="36" t="s">
        <v>48</v>
      </c>
    </row>
    <row r="29591">
      <c r="H29591" s="50"/>
      <c r="I29591" s="50"/>
      <c r="O29591" s="36" t="s">
        <v>48</v>
      </c>
      <c r="R29591" s="36" t="s">
        <v>48</v>
      </c>
    </row>
    <row r="29592">
      <c r="H29592" s="50"/>
      <c r="I29592" s="50"/>
      <c r="O29592" s="36" t="s">
        <v>48</v>
      </c>
      <c r="R29592" s="36" t="s">
        <v>48</v>
      </c>
    </row>
    <row r="29593">
      <c r="H29593" s="50"/>
      <c r="I29593" s="50"/>
      <c r="O29593" s="36" t="s">
        <v>48</v>
      </c>
      <c r="R29593" s="36" t="s">
        <v>48</v>
      </c>
    </row>
    <row r="29594">
      <c r="H29594" s="50"/>
      <c r="I29594" s="50"/>
      <c r="O29594" s="36" t="s">
        <v>48</v>
      </c>
      <c r="R29594" s="36" t="s">
        <v>48</v>
      </c>
    </row>
    <row r="29595">
      <c r="H29595" s="50"/>
      <c r="I29595" s="50"/>
      <c r="O29595" s="36" t="s">
        <v>48</v>
      </c>
      <c r="R29595" s="36" t="s">
        <v>48</v>
      </c>
    </row>
    <row r="29596">
      <c r="H29596" s="50"/>
      <c r="I29596" s="50"/>
      <c r="O29596" s="36" t="s">
        <v>48</v>
      </c>
      <c r="R29596" s="36" t="s">
        <v>48</v>
      </c>
    </row>
    <row r="29597">
      <c r="H29597" s="50"/>
      <c r="I29597" s="50"/>
      <c r="O29597" s="36" t="s">
        <v>48</v>
      </c>
      <c r="R29597" s="36" t="s">
        <v>48</v>
      </c>
    </row>
    <row r="29598">
      <c r="H29598" s="50"/>
      <c r="I29598" s="50"/>
      <c r="O29598" s="36" t="s">
        <v>48</v>
      </c>
      <c r="R29598" s="36" t="s">
        <v>48</v>
      </c>
    </row>
    <row r="29599">
      <c r="H29599" s="50"/>
      <c r="I29599" s="50"/>
      <c r="O29599" s="36" t="s">
        <v>48</v>
      </c>
      <c r="R29599" s="36" t="s">
        <v>48</v>
      </c>
    </row>
    <row r="29600">
      <c r="H29600" s="50"/>
      <c r="I29600" s="50"/>
      <c r="O29600" s="36" t="s">
        <v>48</v>
      </c>
      <c r="R29600" s="36" t="s">
        <v>48</v>
      </c>
    </row>
    <row r="29601">
      <c r="H29601" s="50"/>
      <c r="I29601" s="50"/>
      <c r="O29601" s="36" t="s">
        <v>48</v>
      </c>
      <c r="R29601" s="36" t="s">
        <v>48</v>
      </c>
    </row>
    <row r="29602">
      <c r="H29602" s="50"/>
      <c r="I29602" s="50"/>
      <c r="O29602" s="36" t="s">
        <v>48</v>
      </c>
      <c r="R29602" s="36" t="s">
        <v>48</v>
      </c>
    </row>
    <row r="29603">
      <c r="H29603" s="50"/>
      <c r="I29603" s="50"/>
      <c r="O29603" s="36" t="s">
        <v>48</v>
      </c>
      <c r="R29603" s="36" t="s">
        <v>48</v>
      </c>
    </row>
    <row r="29604">
      <c r="H29604" s="50"/>
      <c r="I29604" s="50"/>
      <c r="O29604" s="36" t="s">
        <v>48</v>
      </c>
      <c r="R29604" s="36" t="s">
        <v>48</v>
      </c>
    </row>
    <row r="29605">
      <c r="H29605" s="50"/>
      <c r="I29605" s="50"/>
      <c r="O29605" s="36" t="s">
        <v>48</v>
      </c>
      <c r="R29605" s="36" t="s">
        <v>48</v>
      </c>
    </row>
    <row r="29606">
      <c r="H29606" s="50"/>
      <c r="I29606" s="50"/>
      <c r="O29606" s="36" t="s">
        <v>48</v>
      </c>
      <c r="R29606" s="36" t="s">
        <v>48</v>
      </c>
    </row>
    <row r="29607">
      <c r="H29607" s="50"/>
      <c r="I29607" s="50"/>
      <c r="O29607" s="36" t="s">
        <v>48</v>
      </c>
      <c r="R29607" s="36" t="s">
        <v>48</v>
      </c>
    </row>
    <row r="29608">
      <c r="H29608" s="50"/>
      <c r="I29608" s="50"/>
      <c r="O29608" s="36" t="s">
        <v>48</v>
      </c>
      <c r="R29608" s="36" t="s">
        <v>48</v>
      </c>
    </row>
    <row r="29609">
      <c r="H29609" s="50"/>
      <c r="I29609" s="50"/>
      <c r="O29609" s="36" t="s">
        <v>48</v>
      </c>
      <c r="R29609" s="36" t="s">
        <v>48</v>
      </c>
    </row>
    <row r="29610">
      <c r="H29610" s="50"/>
      <c r="I29610" s="50"/>
      <c r="O29610" s="36" t="s">
        <v>48</v>
      </c>
      <c r="R29610" s="36" t="s">
        <v>48</v>
      </c>
    </row>
    <row r="29611">
      <c r="H29611" s="50"/>
      <c r="I29611" s="50"/>
      <c r="O29611" s="36" t="s">
        <v>48</v>
      </c>
      <c r="R29611" s="36" t="s">
        <v>48</v>
      </c>
    </row>
    <row r="29612">
      <c r="H29612" s="50"/>
      <c r="I29612" s="50"/>
      <c r="O29612" s="36" t="s">
        <v>48</v>
      </c>
      <c r="R29612" s="36" t="s">
        <v>48</v>
      </c>
    </row>
    <row r="29613">
      <c r="H29613" s="50"/>
      <c r="I29613" s="50"/>
      <c r="O29613" s="36" t="s">
        <v>48</v>
      </c>
      <c r="R29613" s="36" t="s">
        <v>48</v>
      </c>
    </row>
    <row r="29614">
      <c r="H29614" s="50"/>
      <c r="I29614" s="50"/>
      <c r="O29614" s="36" t="s">
        <v>48</v>
      </c>
      <c r="R29614" s="36" t="s">
        <v>48</v>
      </c>
    </row>
    <row r="29615">
      <c r="H29615" s="50"/>
      <c r="I29615" s="50"/>
      <c r="O29615" s="36" t="s">
        <v>48</v>
      </c>
      <c r="R29615" s="36" t="s">
        <v>48</v>
      </c>
    </row>
    <row r="29616">
      <c r="H29616" s="50"/>
      <c r="I29616" s="50"/>
      <c r="O29616" s="36" t="s">
        <v>48</v>
      </c>
      <c r="R29616" s="36" t="s">
        <v>48</v>
      </c>
    </row>
    <row r="29617">
      <c r="H29617" s="50"/>
      <c r="I29617" s="50"/>
      <c r="O29617" s="36" t="s">
        <v>48</v>
      </c>
      <c r="R29617" s="36" t="s">
        <v>48</v>
      </c>
    </row>
    <row r="29618">
      <c r="H29618" s="50"/>
      <c r="I29618" s="50"/>
      <c r="O29618" s="36" t="s">
        <v>48</v>
      </c>
      <c r="R29618" s="36" t="s">
        <v>48</v>
      </c>
    </row>
    <row r="29619">
      <c r="H29619" s="50"/>
      <c r="I29619" s="50"/>
      <c r="O29619" s="36" t="s">
        <v>48</v>
      </c>
      <c r="R29619" s="36" t="s">
        <v>48</v>
      </c>
    </row>
    <row r="29620">
      <c r="H29620" s="50"/>
      <c r="I29620" s="50"/>
      <c r="O29620" s="36" t="s">
        <v>48</v>
      </c>
      <c r="R29620" s="36" t="s">
        <v>48</v>
      </c>
    </row>
    <row r="29621">
      <c r="H29621" s="50"/>
      <c r="I29621" s="50"/>
      <c r="O29621" s="36" t="s">
        <v>48</v>
      </c>
      <c r="R29621" s="36" t="s">
        <v>48</v>
      </c>
    </row>
    <row r="29622">
      <c r="H29622" s="50"/>
      <c r="I29622" s="50"/>
      <c r="O29622" s="36" t="s">
        <v>48</v>
      </c>
      <c r="R29622" s="36" t="s">
        <v>48</v>
      </c>
    </row>
    <row r="29623">
      <c r="H29623" s="50"/>
      <c r="I29623" s="50"/>
      <c r="O29623" s="36" t="s">
        <v>48</v>
      </c>
      <c r="R29623" s="36" t="s">
        <v>48</v>
      </c>
    </row>
    <row r="29624">
      <c r="H29624" s="50"/>
      <c r="I29624" s="50"/>
      <c r="O29624" s="36" t="s">
        <v>48</v>
      </c>
      <c r="R29624" s="36" t="s">
        <v>48</v>
      </c>
    </row>
    <row r="29625">
      <c r="H29625" s="50"/>
      <c r="I29625" s="50"/>
      <c r="O29625" s="36" t="s">
        <v>48</v>
      </c>
      <c r="R29625" s="36" t="s">
        <v>48</v>
      </c>
    </row>
    <row r="29626">
      <c r="H29626" s="50"/>
      <c r="I29626" s="50"/>
      <c r="O29626" s="36" t="s">
        <v>48</v>
      </c>
      <c r="R29626" s="36" t="s">
        <v>48</v>
      </c>
    </row>
    <row r="29627">
      <c r="H29627" s="50"/>
      <c r="I29627" s="50"/>
      <c r="O29627" s="36" t="s">
        <v>48</v>
      </c>
      <c r="R29627" s="36" t="s">
        <v>48</v>
      </c>
    </row>
    <row r="29628">
      <c r="H29628" s="50"/>
      <c r="I29628" s="50"/>
      <c r="O29628" s="36" t="s">
        <v>48</v>
      </c>
      <c r="R29628" s="36" t="s">
        <v>48</v>
      </c>
    </row>
    <row r="29629">
      <c r="H29629" s="50"/>
      <c r="I29629" s="50"/>
      <c r="O29629" s="36" t="s">
        <v>48</v>
      </c>
      <c r="R29629" s="36" t="s">
        <v>48</v>
      </c>
    </row>
    <row r="29630">
      <c r="H29630" s="50"/>
      <c r="I29630" s="50"/>
      <c r="O29630" s="36" t="s">
        <v>48</v>
      </c>
      <c r="R29630" s="36" t="s">
        <v>48</v>
      </c>
    </row>
    <row r="29631">
      <c r="H29631" s="50"/>
      <c r="I29631" s="50"/>
      <c r="O29631" s="36" t="s">
        <v>48</v>
      </c>
      <c r="R29631" s="36" t="s">
        <v>48</v>
      </c>
    </row>
    <row r="29632">
      <c r="H29632" s="50"/>
      <c r="I29632" s="50"/>
      <c r="O29632" s="36" t="s">
        <v>48</v>
      </c>
      <c r="R29632" s="36" t="s">
        <v>48</v>
      </c>
    </row>
    <row r="29633">
      <c r="H29633" s="50"/>
      <c r="I29633" s="50"/>
      <c r="O29633" s="36" t="s">
        <v>48</v>
      </c>
      <c r="R29633" s="36" t="s">
        <v>48</v>
      </c>
    </row>
    <row r="29634">
      <c r="H29634" s="50"/>
      <c r="I29634" s="50"/>
      <c r="O29634" s="36" t="s">
        <v>48</v>
      </c>
      <c r="R29634" s="36" t="s">
        <v>48</v>
      </c>
    </row>
    <row r="29635">
      <c r="H29635" s="50"/>
      <c r="I29635" s="50"/>
      <c r="O29635" s="36" t="s">
        <v>48</v>
      </c>
      <c r="R29635" s="36" t="s">
        <v>48</v>
      </c>
    </row>
    <row r="29636">
      <c r="H29636" s="50"/>
      <c r="I29636" s="50"/>
      <c r="O29636" s="36" t="s">
        <v>48</v>
      </c>
      <c r="R29636" s="36" t="s">
        <v>48</v>
      </c>
    </row>
    <row r="29637">
      <c r="H29637" s="50"/>
      <c r="I29637" s="50"/>
      <c r="O29637" s="36" t="s">
        <v>48</v>
      </c>
      <c r="R29637" s="36" t="s">
        <v>48</v>
      </c>
    </row>
    <row r="29638">
      <c r="H29638" s="50"/>
      <c r="I29638" s="50"/>
      <c r="O29638" s="36" t="s">
        <v>48</v>
      </c>
      <c r="R29638" s="36" t="s">
        <v>48</v>
      </c>
    </row>
    <row r="29639">
      <c r="H29639" s="50"/>
      <c r="I29639" s="50"/>
      <c r="O29639" s="36" t="s">
        <v>48</v>
      </c>
      <c r="R29639" s="36" t="s">
        <v>48</v>
      </c>
    </row>
    <row r="29640">
      <c r="H29640" s="50"/>
      <c r="I29640" s="50"/>
      <c r="O29640" s="36" t="s">
        <v>48</v>
      </c>
      <c r="R29640" s="36" t="s">
        <v>48</v>
      </c>
    </row>
    <row r="29641">
      <c r="H29641" s="50"/>
      <c r="I29641" s="50"/>
      <c r="O29641" s="36" t="s">
        <v>48</v>
      </c>
      <c r="R29641" s="36" t="s">
        <v>48</v>
      </c>
    </row>
    <row r="29642">
      <c r="H29642" s="50"/>
      <c r="I29642" s="50"/>
      <c r="O29642" s="36" t="s">
        <v>48</v>
      </c>
      <c r="R29642" s="36" t="s">
        <v>48</v>
      </c>
    </row>
    <row r="29643">
      <c r="H29643" s="50"/>
      <c r="I29643" s="50"/>
      <c r="O29643" s="36" t="s">
        <v>48</v>
      </c>
      <c r="R29643" s="36" t="s">
        <v>48</v>
      </c>
    </row>
    <row r="29644">
      <c r="H29644" s="50"/>
      <c r="I29644" s="50"/>
      <c r="O29644" s="36" t="s">
        <v>48</v>
      </c>
      <c r="R29644" s="36" t="s">
        <v>48</v>
      </c>
    </row>
    <row r="29645">
      <c r="H29645" s="50"/>
      <c r="I29645" s="50"/>
      <c r="O29645" s="36" t="s">
        <v>48</v>
      </c>
      <c r="R29645" s="36" t="s">
        <v>48</v>
      </c>
    </row>
    <row r="29646">
      <c r="H29646" s="50"/>
      <c r="I29646" s="50"/>
      <c r="O29646" s="36" t="s">
        <v>48</v>
      </c>
      <c r="R29646" s="36" t="s">
        <v>48</v>
      </c>
    </row>
    <row r="29647">
      <c r="H29647" s="50"/>
      <c r="I29647" s="50"/>
      <c r="O29647" s="36" t="s">
        <v>48</v>
      </c>
      <c r="R29647" s="36" t="s">
        <v>48</v>
      </c>
    </row>
    <row r="29648">
      <c r="H29648" s="50"/>
      <c r="I29648" s="50"/>
      <c r="O29648" s="36" t="s">
        <v>48</v>
      </c>
      <c r="R29648" s="36" t="s">
        <v>48</v>
      </c>
    </row>
    <row r="29649">
      <c r="H29649" s="50"/>
      <c r="I29649" s="50"/>
      <c r="O29649" s="36" t="s">
        <v>48</v>
      </c>
      <c r="R29649" s="36" t="s">
        <v>48</v>
      </c>
    </row>
    <row r="29650">
      <c r="H29650" s="50"/>
      <c r="I29650" s="50"/>
      <c r="O29650" s="36" t="s">
        <v>48</v>
      </c>
      <c r="R29650" s="36" t="s">
        <v>48</v>
      </c>
    </row>
    <row r="29651">
      <c r="H29651" s="50"/>
      <c r="I29651" s="50"/>
      <c r="O29651" s="36" t="s">
        <v>48</v>
      </c>
      <c r="R29651" s="36" t="s">
        <v>48</v>
      </c>
    </row>
    <row r="29652">
      <c r="H29652" s="50"/>
      <c r="I29652" s="50"/>
      <c r="O29652" s="36" t="s">
        <v>48</v>
      </c>
      <c r="R29652" s="36" t="s">
        <v>48</v>
      </c>
    </row>
    <row r="29653">
      <c r="H29653" s="50"/>
      <c r="I29653" s="50"/>
      <c r="O29653" s="36" t="s">
        <v>48</v>
      </c>
      <c r="R29653" s="36" t="s">
        <v>48</v>
      </c>
    </row>
    <row r="29654">
      <c r="H29654" s="50"/>
      <c r="I29654" s="50"/>
      <c r="O29654" s="36" t="s">
        <v>48</v>
      </c>
      <c r="R29654" s="36" t="s">
        <v>48</v>
      </c>
    </row>
    <row r="29655">
      <c r="H29655" s="50"/>
      <c r="I29655" s="50"/>
      <c r="O29655" s="36" t="s">
        <v>48</v>
      </c>
      <c r="R29655" s="36" t="s">
        <v>48</v>
      </c>
    </row>
    <row r="29656">
      <c r="H29656" s="50"/>
      <c r="I29656" s="50"/>
      <c r="O29656" s="36" t="s">
        <v>48</v>
      </c>
      <c r="R29656" s="36" t="s">
        <v>48</v>
      </c>
    </row>
    <row r="29657">
      <c r="H29657" s="50"/>
      <c r="I29657" s="50"/>
      <c r="O29657" s="36" t="s">
        <v>48</v>
      </c>
      <c r="R29657" s="36" t="s">
        <v>48</v>
      </c>
    </row>
    <row r="29658">
      <c r="H29658" s="50"/>
      <c r="I29658" s="50"/>
      <c r="O29658" s="36" t="s">
        <v>48</v>
      </c>
      <c r="R29658" s="36" t="s">
        <v>48</v>
      </c>
    </row>
    <row r="29659">
      <c r="H29659" s="50"/>
      <c r="I29659" s="50"/>
      <c r="O29659" s="36" t="s">
        <v>48</v>
      </c>
      <c r="R29659" s="36" t="s">
        <v>48</v>
      </c>
    </row>
    <row r="29660">
      <c r="H29660" s="50"/>
      <c r="I29660" s="50"/>
      <c r="O29660" s="36" t="s">
        <v>48</v>
      </c>
      <c r="R29660" s="36" t="s">
        <v>48</v>
      </c>
    </row>
    <row r="29661">
      <c r="H29661" s="50"/>
      <c r="I29661" s="50"/>
      <c r="O29661" s="36" t="s">
        <v>48</v>
      </c>
      <c r="R29661" s="36" t="s">
        <v>48</v>
      </c>
    </row>
    <row r="29662">
      <c r="H29662" s="50"/>
      <c r="I29662" s="50"/>
      <c r="O29662" s="36" t="s">
        <v>48</v>
      </c>
      <c r="R29662" s="36" t="s">
        <v>48</v>
      </c>
    </row>
    <row r="29663">
      <c r="H29663" s="50"/>
      <c r="I29663" s="50"/>
      <c r="O29663" s="36" t="s">
        <v>48</v>
      </c>
      <c r="R29663" s="36" t="s">
        <v>48</v>
      </c>
    </row>
    <row r="29664">
      <c r="H29664" s="50"/>
      <c r="I29664" s="50"/>
      <c r="O29664" s="36" t="s">
        <v>48</v>
      </c>
      <c r="R29664" s="36" t="s">
        <v>48</v>
      </c>
    </row>
    <row r="29665">
      <c r="H29665" s="50"/>
      <c r="I29665" s="50"/>
      <c r="O29665" s="36" t="s">
        <v>48</v>
      </c>
      <c r="R29665" s="36" t="s">
        <v>48</v>
      </c>
    </row>
    <row r="29666">
      <c r="H29666" s="50"/>
      <c r="I29666" s="50"/>
      <c r="O29666" s="36" t="s">
        <v>48</v>
      </c>
      <c r="R29666" s="36" t="s">
        <v>48</v>
      </c>
    </row>
    <row r="29667">
      <c r="H29667" s="50"/>
      <c r="I29667" s="50"/>
      <c r="O29667" s="36" t="s">
        <v>48</v>
      </c>
      <c r="R29667" s="36" t="s">
        <v>48</v>
      </c>
    </row>
    <row r="29668">
      <c r="H29668" s="50"/>
      <c r="I29668" s="50"/>
      <c r="O29668" s="36" t="s">
        <v>48</v>
      </c>
      <c r="R29668" s="36" t="s">
        <v>48</v>
      </c>
    </row>
    <row r="29669">
      <c r="H29669" s="50"/>
      <c r="I29669" s="50"/>
      <c r="O29669" s="36" t="s">
        <v>48</v>
      </c>
      <c r="R29669" s="36" t="s">
        <v>48</v>
      </c>
    </row>
    <row r="29670">
      <c r="H29670" s="50"/>
      <c r="I29670" s="50"/>
      <c r="O29670" s="36" t="s">
        <v>48</v>
      </c>
      <c r="R29670" s="36" t="s">
        <v>48</v>
      </c>
    </row>
    <row r="29671">
      <c r="H29671" s="50"/>
      <c r="I29671" s="50"/>
      <c r="O29671" s="36" t="s">
        <v>48</v>
      </c>
      <c r="R29671" s="36" t="s">
        <v>48</v>
      </c>
    </row>
    <row r="29672">
      <c r="H29672" s="50"/>
      <c r="I29672" s="50"/>
      <c r="O29672" s="36" t="s">
        <v>48</v>
      </c>
      <c r="R29672" s="36" t="s">
        <v>48</v>
      </c>
    </row>
    <row r="29673">
      <c r="H29673" s="50"/>
      <c r="I29673" s="50"/>
      <c r="O29673" s="36" t="s">
        <v>48</v>
      </c>
      <c r="R29673" s="36" t="s">
        <v>48</v>
      </c>
    </row>
    <row r="29674">
      <c r="H29674" s="50"/>
      <c r="I29674" s="50"/>
      <c r="O29674" s="36" t="s">
        <v>48</v>
      </c>
      <c r="R29674" s="36" t="s">
        <v>48</v>
      </c>
    </row>
    <row r="29675">
      <c r="H29675" s="50"/>
      <c r="I29675" s="50"/>
      <c r="O29675" s="36" t="s">
        <v>48</v>
      </c>
      <c r="R29675" s="36" t="s">
        <v>48</v>
      </c>
    </row>
    <row r="29676">
      <c r="H29676" s="50"/>
      <c r="I29676" s="50"/>
      <c r="O29676" s="36" t="s">
        <v>48</v>
      </c>
      <c r="R29676" s="36" t="s">
        <v>48</v>
      </c>
    </row>
    <row r="29677">
      <c r="H29677" s="50"/>
      <c r="I29677" s="50"/>
      <c r="O29677" s="36" t="s">
        <v>48</v>
      </c>
      <c r="R29677" s="36" t="s">
        <v>48</v>
      </c>
    </row>
    <row r="29678">
      <c r="H29678" s="50"/>
      <c r="I29678" s="50"/>
      <c r="O29678" s="36" t="s">
        <v>48</v>
      </c>
      <c r="R29678" s="36" t="s">
        <v>48</v>
      </c>
    </row>
    <row r="29679">
      <c r="H29679" s="50"/>
      <c r="I29679" s="50"/>
      <c r="O29679" s="36" t="s">
        <v>48</v>
      </c>
      <c r="R29679" s="36" t="s">
        <v>48</v>
      </c>
    </row>
    <row r="29680">
      <c r="H29680" s="50"/>
      <c r="I29680" s="50"/>
      <c r="O29680" s="36" t="s">
        <v>48</v>
      </c>
      <c r="R29680" s="36" t="s">
        <v>48</v>
      </c>
    </row>
    <row r="29681">
      <c r="H29681" s="50"/>
      <c r="I29681" s="50"/>
      <c r="O29681" s="36" t="s">
        <v>48</v>
      </c>
      <c r="R29681" s="36" t="s">
        <v>48</v>
      </c>
    </row>
    <row r="29682">
      <c r="H29682" s="50"/>
      <c r="I29682" s="50"/>
      <c r="O29682" s="36" t="s">
        <v>48</v>
      </c>
      <c r="R29682" s="36" t="s">
        <v>48</v>
      </c>
    </row>
    <row r="29683">
      <c r="H29683" s="50"/>
      <c r="I29683" s="50"/>
      <c r="O29683" s="36" t="s">
        <v>48</v>
      </c>
      <c r="R29683" s="36" t="s">
        <v>48</v>
      </c>
    </row>
    <row r="29684">
      <c r="H29684" s="50"/>
      <c r="I29684" s="50"/>
      <c r="O29684" s="36" t="s">
        <v>48</v>
      </c>
      <c r="R29684" s="36" t="s">
        <v>48</v>
      </c>
    </row>
    <row r="29685">
      <c r="H29685" s="50"/>
      <c r="I29685" s="50"/>
      <c r="O29685" s="36" t="s">
        <v>48</v>
      </c>
      <c r="R29685" s="36" t="s">
        <v>48</v>
      </c>
    </row>
    <row r="29686">
      <c r="H29686" s="50"/>
      <c r="I29686" s="50"/>
      <c r="O29686" s="36" t="s">
        <v>48</v>
      </c>
      <c r="R29686" s="36" t="s">
        <v>48</v>
      </c>
    </row>
    <row r="29687">
      <c r="H29687" s="50"/>
      <c r="I29687" s="50"/>
      <c r="O29687" s="36" t="s">
        <v>48</v>
      </c>
      <c r="R29687" s="36" t="s">
        <v>48</v>
      </c>
    </row>
    <row r="29688">
      <c r="H29688" s="50"/>
      <c r="I29688" s="50"/>
      <c r="O29688" s="36" t="s">
        <v>48</v>
      </c>
      <c r="R29688" s="36" t="s">
        <v>48</v>
      </c>
    </row>
    <row r="29689">
      <c r="H29689" s="50"/>
      <c r="I29689" s="50"/>
      <c r="O29689" s="36" t="s">
        <v>48</v>
      </c>
      <c r="R29689" s="36" t="s">
        <v>48</v>
      </c>
    </row>
    <row r="29690">
      <c r="H29690" s="50"/>
      <c r="I29690" s="50"/>
      <c r="O29690" s="36" t="s">
        <v>48</v>
      </c>
      <c r="R29690" s="36" t="s">
        <v>48</v>
      </c>
    </row>
    <row r="29691">
      <c r="H29691" s="50"/>
      <c r="I29691" s="50"/>
      <c r="O29691" s="36" t="s">
        <v>48</v>
      </c>
      <c r="R29691" s="36" t="s">
        <v>48</v>
      </c>
    </row>
    <row r="29692">
      <c r="H29692" s="50"/>
      <c r="I29692" s="50"/>
      <c r="O29692" s="36" t="s">
        <v>48</v>
      </c>
      <c r="R29692" s="36" t="s">
        <v>48</v>
      </c>
    </row>
    <row r="29693">
      <c r="H29693" s="50"/>
      <c r="I29693" s="50"/>
      <c r="O29693" s="36" t="s">
        <v>48</v>
      </c>
      <c r="R29693" s="36" t="s">
        <v>48</v>
      </c>
    </row>
    <row r="29694">
      <c r="H29694" s="50"/>
      <c r="I29694" s="50"/>
      <c r="O29694" s="36" t="s">
        <v>48</v>
      </c>
      <c r="R29694" s="36" t="s">
        <v>48</v>
      </c>
    </row>
    <row r="29695">
      <c r="H29695" s="50"/>
      <c r="I29695" s="50"/>
      <c r="O29695" s="36" t="s">
        <v>48</v>
      </c>
      <c r="R29695" s="36" t="s">
        <v>48</v>
      </c>
    </row>
    <row r="29696">
      <c r="H29696" s="50"/>
      <c r="I29696" s="50"/>
      <c r="O29696" s="36" t="s">
        <v>48</v>
      </c>
      <c r="R29696" s="36" t="s">
        <v>48</v>
      </c>
    </row>
    <row r="29697">
      <c r="H29697" s="50"/>
      <c r="I29697" s="50"/>
      <c r="O29697" s="36" t="s">
        <v>48</v>
      </c>
      <c r="R29697" s="36" t="s">
        <v>48</v>
      </c>
    </row>
    <row r="29698">
      <c r="H29698" s="50"/>
      <c r="I29698" s="50"/>
      <c r="O29698" s="36" t="s">
        <v>48</v>
      </c>
      <c r="R29698" s="36" t="s">
        <v>48</v>
      </c>
    </row>
    <row r="29699">
      <c r="H29699" s="50"/>
      <c r="I29699" s="50"/>
      <c r="O29699" s="36" t="s">
        <v>48</v>
      </c>
      <c r="R29699" s="36" t="s">
        <v>48</v>
      </c>
    </row>
    <row r="29700">
      <c r="H29700" s="50"/>
      <c r="I29700" s="50"/>
      <c r="O29700" s="36" t="s">
        <v>48</v>
      </c>
      <c r="R29700" s="36" t="s">
        <v>48</v>
      </c>
    </row>
    <row r="29701">
      <c r="H29701" s="50"/>
      <c r="I29701" s="50"/>
      <c r="O29701" s="36" t="s">
        <v>48</v>
      </c>
      <c r="R29701" s="36" t="s">
        <v>48</v>
      </c>
    </row>
    <row r="29702">
      <c r="H29702" s="50"/>
      <c r="I29702" s="50"/>
      <c r="O29702" s="36" t="s">
        <v>48</v>
      </c>
      <c r="R29702" s="36" t="s">
        <v>48</v>
      </c>
    </row>
    <row r="29703">
      <c r="H29703" s="50"/>
      <c r="I29703" s="50"/>
      <c r="O29703" s="36" t="s">
        <v>48</v>
      </c>
      <c r="R29703" s="36" t="s">
        <v>48</v>
      </c>
    </row>
    <row r="29704">
      <c r="H29704" s="50"/>
      <c r="I29704" s="50"/>
      <c r="O29704" s="36" t="s">
        <v>48</v>
      </c>
      <c r="R29704" s="36" t="s">
        <v>48</v>
      </c>
    </row>
    <row r="29705">
      <c r="H29705" s="50"/>
      <c r="I29705" s="50"/>
      <c r="O29705" s="36" t="s">
        <v>48</v>
      </c>
      <c r="R29705" s="36" t="s">
        <v>48</v>
      </c>
    </row>
    <row r="29706">
      <c r="H29706" s="50"/>
      <c r="I29706" s="50"/>
      <c r="O29706" s="36" t="s">
        <v>48</v>
      </c>
      <c r="R29706" s="36" t="s">
        <v>48</v>
      </c>
    </row>
    <row r="29707">
      <c r="H29707" s="50"/>
      <c r="I29707" s="50"/>
      <c r="O29707" s="36" t="s">
        <v>48</v>
      </c>
      <c r="R29707" s="36" t="s">
        <v>48</v>
      </c>
    </row>
    <row r="29708">
      <c r="H29708" s="50"/>
      <c r="I29708" s="50"/>
      <c r="O29708" s="36" t="s">
        <v>48</v>
      </c>
      <c r="R29708" s="36" t="s">
        <v>48</v>
      </c>
    </row>
    <row r="29709">
      <c r="H29709" s="50"/>
      <c r="I29709" s="50"/>
      <c r="O29709" s="36" t="s">
        <v>48</v>
      </c>
      <c r="R29709" s="36" t="s">
        <v>48</v>
      </c>
    </row>
    <row r="29710">
      <c r="H29710" s="50"/>
      <c r="I29710" s="50"/>
      <c r="O29710" s="36" t="s">
        <v>48</v>
      </c>
      <c r="R29710" s="36" t="s">
        <v>48</v>
      </c>
    </row>
    <row r="29711">
      <c r="H29711" s="50"/>
      <c r="I29711" s="50"/>
      <c r="O29711" s="36" t="s">
        <v>48</v>
      </c>
      <c r="R29711" s="36" t="s">
        <v>48</v>
      </c>
    </row>
    <row r="29712">
      <c r="H29712" s="50"/>
      <c r="I29712" s="50"/>
      <c r="O29712" s="36" t="s">
        <v>48</v>
      </c>
      <c r="R29712" s="36" t="s">
        <v>48</v>
      </c>
    </row>
    <row r="29713">
      <c r="H29713" s="50"/>
      <c r="I29713" s="50"/>
      <c r="O29713" s="36" t="s">
        <v>48</v>
      </c>
      <c r="R29713" s="36" t="s">
        <v>48</v>
      </c>
    </row>
    <row r="29714">
      <c r="H29714" s="50"/>
      <c r="I29714" s="50"/>
      <c r="O29714" s="36" t="s">
        <v>48</v>
      </c>
      <c r="R29714" s="36" t="s">
        <v>48</v>
      </c>
    </row>
    <row r="29715">
      <c r="H29715" s="50"/>
      <c r="I29715" s="50"/>
      <c r="O29715" s="36" t="s">
        <v>48</v>
      </c>
      <c r="R29715" s="36" t="s">
        <v>48</v>
      </c>
    </row>
    <row r="29716">
      <c r="H29716" s="50"/>
      <c r="I29716" s="50"/>
      <c r="O29716" s="36" t="s">
        <v>48</v>
      </c>
      <c r="R29716" s="36" t="s">
        <v>48</v>
      </c>
    </row>
    <row r="29717">
      <c r="H29717" s="50"/>
      <c r="I29717" s="50"/>
      <c r="O29717" s="36" t="s">
        <v>48</v>
      </c>
      <c r="R29717" s="36" t="s">
        <v>48</v>
      </c>
    </row>
    <row r="29718">
      <c r="H29718" s="50"/>
      <c r="I29718" s="50"/>
      <c r="O29718" s="36" t="s">
        <v>48</v>
      </c>
      <c r="R29718" s="36" t="s">
        <v>48</v>
      </c>
    </row>
    <row r="29719">
      <c r="H29719" s="50"/>
      <c r="I29719" s="50"/>
      <c r="O29719" s="36" t="s">
        <v>48</v>
      </c>
      <c r="R29719" s="36" t="s">
        <v>48</v>
      </c>
    </row>
    <row r="29720">
      <c r="H29720" s="50"/>
      <c r="I29720" s="50"/>
      <c r="O29720" s="36" t="s">
        <v>48</v>
      </c>
      <c r="R29720" s="36" t="s">
        <v>48</v>
      </c>
    </row>
    <row r="29721">
      <c r="H29721" s="50"/>
      <c r="I29721" s="50"/>
      <c r="O29721" s="36" t="s">
        <v>48</v>
      </c>
      <c r="R29721" s="36" t="s">
        <v>48</v>
      </c>
    </row>
    <row r="29722">
      <c r="H29722" s="50"/>
      <c r="I29722" s="50"/>
      <c r="O29722" s="36" t="s">
        <v>48</v>
      </c>
      <c r="R29722" s="36" t="s">
        <v>48</v>
      </c>
    </row>
    <row r="29723">
      <c r="H29723" s="50"/>
      <c r="I29723" s="50"/>
      <c r="O29723" s="36" t="s">
        <v>48</v>
      </c>
      <c r="R29723" s="36" t="s">
        <v>48</v>
      </c>
    </row>
    <row r="29724">
      <c r="H29724" s="50"/>
      <c r="I29724" s="50"/>
      <c r="O29724" s="36" t="s">
        <v>48</v>
      </c>
      <c r="R29724" s="36" t="s">
        <v>48</v>
      </c>
    </row>
    <row r="29725">
      <c r="H29725" s="50"/>
      <c r="I29725" s="50"/>
      <c r="O29725" s="36" t="s">
        <v>48</v>
      </c>
      <c r="R29725" s="36" t="s">
        <v>48</v>
      </c>
    </row>
    <row r="29726">
      <c r="H29726" s="50"/>
      <c r="I29726" s="50"/>
      <c r="O29726" s="36" t="s">
        <v>48</v>
      </c>
      <c r="R29726" s="36" t="s">
        <v>48</v>
      </c>
    </row>
    <row r="29727">
      <c r="H29727" s="50"/>
      <c r="I29727" s="50"/>
      <c r="O29727" s="36" t="s">
        <v>48</v>
      </c>
      <c r="R29727" s="36" t="s">
        <v>48</v>
      </c>
    </row>
    <row r="29728">
      <c r="H29728" s="50"/>
      <c r="I29728" s="50"/>
      <c r="O29728" s="36" t="s">
        <v>48</v>
      </c>
      <c r="R29728" s="36" t="s">
        <v>48</v>
      </c>
    </row>
    <row r="29729">
      <c r="H29729" s="50"/>
      <c r="I29729" s="50"/>
      <c r="O29729" s="36" t="s">
        <v>48</v>
      </c>
      <c r="R29729" s="36" t="s">
        <v>48</v>
      </c>
    </row>
    <row r="29730">
      <c r="H29730" s="50"/>
      <c r="I29730" s="50"/>
      <c r="O29730" s="36" t="s">
        <v>48</v>
      </c>
      <c r="R29730" s="36" t="s">
        <v>48</v>
      </c>
    </row>
    <row r="29731">
      <c r="H29731" s="50"/>
      <c r="I29731" s="50"/>
      <c r="O29731" s="36" t="s">
        <v>48</v>
      </c>
      <c r="R29731" s="36" t="s">
        <v>48</v>
      </c>
    </row>
    <row r="29732">
      <c r="H29732" s="50"/>
      <c r="I29732" s="50"/>
      <c r="O29732" s="36" t="s">
        <v>48</v>
      </c>
      <c r="R29732" s="36" t="s">
        <v>48</v>
      </c>
    </row>
    <row r="29733">
      <c r="H29733" s="50"/>
      <c r="I29733" s="50"/>
      <c r="O29733" s="36" t="s">
        <v>48</v>
      </c>
      <c r="R29733" s="36" t="s">
        <v>48</v>
      </c>
    </row>
    <row r="29734">
      <c r="H29734" s="50"/>
      <c r="I29734" s="50"/>
      <c r="O29734" s="36" t="s">
        <v>48</v>
      </c>
      <c r="R29734" s="36" t="s">
        <v>48</v>
      </c>
    </row>
    <row r="29735">
      <c r="H29735" s="50"/>
      <c r="I29735" s="50"/>
      <c r="O29735" s="36" t="s">
        <v>48</v>
      </c>
      <c r="R29735" s="36" t="s">
        <v>48</v>
      </c>
    </row>
    <row r="29736">
      <c r="H29736" s="50"/>
      <c r="I29736" s="50"/>
      <c r="O29736" s="36" t="s">
        <v>48</v>
      </c>
      <c r="R29736" s="36" t="s">
        <v>48</v>
      </c>
    </row>
    <row r="29737">
      <c r="H29737" s="50"/>
      <c r="I29737" s="50"/>
      <c r="O29737" s="36" t="s">
        <v>48</v>
      </c>
      <c r="R29737" s="36" t="s">
        <v>48</v>
      </c>
    </row>
    <row r="29738">
      <c r="H29738" s="50"/>
      <c r="I29738" s="50"/>
      <c r="O29738" s="36" t="s">
        <v>48</v>
      </c>
      <c r="R29738" s="36" t="s">
        <v>48</v>
      </c>
    </row>
    <row r="29739">
      <c r="H29739" s="50"/>
      <c r="I29739" s="50"/>
      <c r="O29739" s="36" t="s">
        <v>48</v>
      </c>
      <c r="R29739" s="36" t="s">
        <v>48</v>
      </c>
    </row>
    <row r="29740">
      <c r="H29740" s="50"/>
      <c r="I29740" s="50"/>
      <c r="O29740" s="36" t="s">
        <v>48</v>
      </c>
      <c r="R29740" s="36" t="s">
        <v>48</v>
      </c>
    </row>
    <row r="29741">
      <c r="H29741" s="50"/>
      <c r="I29741" s="50"/>
      <c r="O29741" s="36" t="s">
        <v>48</v>
      </c>
      <c r="R29741" s="36" t="s">
        <v>48</v>
      </c>
    </row>
    <row r="29742">
      <c r="H29742" s="50"/>
      <c r="I29742" s="50"/>
      <c r="O29742" s="36" t="s">
        <v>48</v>
      </c>
      <c r="R29742" s="36" t="s">
        <v>48</v>
      </c>
    </row>
    <row r="29743">
      <c r="H29743" s="50"/>
      <c r="I29743" s="50"/>
      <c r="O29743" s="36" t="s">
        <v>48</v>
      </c>
      <c r="R29743" s="36" t="s">
        <v>48</v>
      </c>
    </row>
    <row r="29744">
      <c r="H29744" s="50"/>
      <c r="I29744" s="50"/>
      <c r="O29744" s="36" t="s">
        <v>48</v>
      </c>
      <c r="R29744" s="36" t="s">
        <v>48</v>
      </c>
    </row>
    <row r="29745">
      <c r="H29745" s="50"/>
      <c r="I29745" s="50"/>
      <c r="O29745" s="36" t="s">
        <v>48</v>
      </c>
      <c r="R29745" s="36" t="s">
        <v>48</v>
      </c>
    </row>
    <row r="29746">
      <c r="H29746" s="50"/>
      <c r="I29746" s="50"/>
      <c r="O29746" s="36" t="s">
        <v>48</v>
      </c>
      <c r="R29746" s="36" t="s">
        <v>48</v>
      </c>
    </row>
    <row r="29747">
      <c r="H29747" s="50"/>
      <c r="I29747" s="50"/>
      <c r="O29747" s="36" t="s">
        <v>48</v>
      </c>
      <c r="R29747" s="36" t="s">
        <v>48</v>
      </c>
    </row>
    <row r="29748">
      <c r="H29748" s="50"/>
      <c r="I29748" s="50"/>
      <c r="O29748" s="36" t="s">
        <v>48</v>
      </c>
      <c r="R29748" s="36" t="s">
        <v>48</v>
      </c>
    </row>
    <row r="29749">
      <c r="H29749" s="50"/>
      <c r="I29749" s="50"/>
      <c r="O29749" s="36" t="s">
        <v>48</v>
      </c>
      <c r="R29749" s="36" t="s">
        <v>48</v>
      </c>
    </row>
    <row r="29750">
      <c r="H29750" s="50"/>
      <c r="I29750" s="50"/>
      <c r="O29750" s="36" t="s">
        <v>48</v>
      </c>
      <c r="R29750" s="36" t="s">
        <v>48</v>
      </c>
    </row>
    <row r="29751">
      <c r="H29751" s="50"/>
      <c r="I29751" s="50"/>
      <c r="O29751" s="36" t="s">
        <v>48</v>
      </c>
      <c r="R29751" s="36" t="s">
        <v>48</v>
      </c>
    </row>
    <row r="29752">
      <c r="H29752" s="50"/>
      <c r="I29752" s="50"/>
      <c r="O29752" s="36" t="s">
        <v>48</v>
      </c>
      <c r="R29752" s="36" t="s">
        <v>48</v>
      </c>
    </row>
    <row r="29753">
      <c r="H29753" s="50"/>
      <c r="I29753" s="50"/>
      <c r="O29753" s="36" t="s">
        <v>48</v>
      </c>
      <c r="R29753" s="36" t="s">
        <v>48</v>
      </c>
    </row>
    <row r="29754">
      <c r="H29754" s="50"/>
      <c r="I29754" s="50"/>
      <c r="O29754" s="36" t="s">
        <v>48</v>
      </c>
      <c r="R29754" s="36" t="s">
        <v>48</v>
      </c>
    </row>
    <row r="29755">
      <c r="H29755" s="50"/>
      <c r="I29755" s="50"/>
      <c r="O29755" s="36" t="s">
        <v>48</v>
      </c>
      <c r="R29755" s="36" t="s">
        <v>48</v>
      </c>
    </row>
    <row r="29756">
      <c r="H29756" s="50"/>
      <c r="I29756" s="50"/>
      <c r="O29756" s="36" t="s">
        <v>48</v>
      </c>
      <c r="R29756" s="36" t="s">
        <v>48</v>
      </c>
    </row>
    <row r="29757">
      <c r="H29757" s="50"/>
      <c r="I29757" s="50"/>
      <c r="O29757" s="36" t="s">
        <v>48</v>
      </c>
      <c r="R29757" s="36" t="s">
        <v>48</v>
      </c>
    </row>
    <row r="29758">
      <c r="H29758" s="50"/>
      <c r="I29758" s="50"/>
      <c r="O29758" s="36" t="s">
        <v>48</v>
      </c>
      <c r="R29758" s="36" t="s">
        <v>48</v>
      </c>
    </row>
    <row r="29759">
      <c r="H29759" s="50"/>
      <c r="I29759" s="50"/>
      <c r="O29759" s="36" t="s">
        <v>48</v>
      </c>
      <c r="R29759" s="36" t="s">
        <v>48</v>
      </c>
    </row>
    <row r="29760">
      <c r="H29760" s="50"/>
      <c r="I29760" s="50"/>
      <c r="O29760" s="36" t="s">
        <v>48</v>
      </c>
      <c r="R29760" s="36" t="s">
        <v>48</v>
      </c>
    </row>
    <row r="29761">
      <c r="H29761" s="50"/>
      <c r="I29761" s="50"/>
      <c r="O29761" s="36" t="s">
        <v>48</v>
      </c>
      <c r="R29761" s="36" t="s">
        <v>48</v>
      </c>
    </row>
    <row r="29762">
      <c r="H29762" s="50"/>
      <c r="I29762" s="50"/>
      <c r="O29762" s="36" t="s">
        <v>48</v>
      </c>
      <c r="R29762" s="36" t="s">
        <v>48</v>
      </c>
    </row>
    <row r="29763">
      <c r="H29763" s="50"/>
      <c r="I29763" s="50"/>
      <c r="O29763" s="36" t="s">
        <v>48</v>
      </c>
      <c r="R29763" s="36" t="s">
        <v>48</v>
      </c>
    </row>
    <row r="29764">
      <c r="H29764" s="50"/>
      <c r="I29764" s="50"/>
      <c r="O29764" s="36" t="s">
        <v>48</v>
      </c>
      <c r="R29764" s="36" t="s">
        <v>48</v>
      </c>
    </row>
    <row r="29765">
      <c r="H29765" s="50"/>
      <c r="I29765" s="50"/>
      <c r="O29765" s="36" t="s">
        <v>48</v>
      </c>
      <c r="R29765" s="36" t="s">
        <v>48</v>
      </c>
    </row>
    <row r="29766">
      <c r="H29766" s="50"/>
      <c r="I29766" s="50"/>
      <c r="O29766" s="36" t="s">
        <v>48</v>
      </c>
      <c r="R29766" s="36" t="s">
        <v>48</v>
      </c>
    </row>
    <row r="29767">
      <c r="H29767" s="50"/>
      <c r="I29767" s="50"/>
      <c r="O29767" s="36" t="s">
        <v>48</v>
      </c>
      <c r="R29767" s="36" t="s">
        <v>48</v>
      </c>
    </row>
    <row r="29768">
      <c r="H29768" s="50"/>
      <c r="I29768" s="50"/>
      <c r="O29768" s="36" t="s">
        <v>48</v>
      </c>
      <c r="R29768" s="36" t="s">
        <v>48</v>
      </c>
    </row>
    <row r="29769">
      <c r="H29769" s="50"/>
      <c r="I29769" s="50"/>
      <c r="O29769" s="36" t="s">
        <v>48</v>
      </c>
      <c r="R29769" s="36" t="s">
        <v>48</v>
      </c>
    </row>
    <row r="29770">
      <c r="H29770" s="50"/>
      <c r="I29770" s="50"/>
      <c r="O29770" s="36" t="s">
        <v>48</v>
      </c>
      <c r="R29770" s="36" t="s">
        <v>48</v>
      </c>
    </row>
    <row r="29771">
      <c r="H29771" s="50"/>
      <c r="I29771" s="50"/>
      <c r="O29771" s="36" t="s">
        <v>48</v>
      </c>
      <c r="R29771" s="36" t="s">
        <v>48</v>
      </c>
    </row>
    <row r="29772">
      <c r="H29772" s="50"/>
      <c r="I29772" s="50"/>
      <c r="O29772" s="36" t="s">
        <v>48</v>
      </c>
      <c r="R29772" s="36" t="s">
        <v>48</v>
      </c>
    </row>
    <row r="29773">
      <c r="H29773" s="50"/>
      <c r="I29773" s="50"/>
      <c r="O29773" s="36" t="s">
        <v>48</v>
      </c>
      <c r="R29773" s="36" t="s">
        <v>48</v>
      </c>
    </row>
    <row r="29774">
      <c r="H29774" s="50"/>
      <c r="I29774" s="50"/>
      <c r="O29774" s="36" t="s">
        <v>48</v>
      </c>
      <c r="R29774" s="36" t="s">
        <v>48</v>
      </c>
    </row>
    <row r="29775">
      <c r="H29775" s="50"/>
      <c r="I29775" s="50"/>
      <c r="O29775" s="36" t="s">
        <v>48</v>
      </c>
      <c r="R29775" s="36" t="s">
        <v>48</v>
      </c>
    </row>
    <row r="29776">
      <c r="H29776" s="50"/>
      <c r="I29776" s="50"/>
      <c r="O29776" s="36" t="s">
        <v>48</v>
      </c>
      <c r="R29776" s="36" t="s">
        <v>48</v>
      </c>
    </row>
    <row r="29777">
      <c r="H29777" s="50"/>
      <c r="I29777" s="50"/>
      <c r="O29777" s="36" t="s">
        <v>48</v>
      </c>
      <c r="R29777" s="36" t="s">
        <v>48</v>
      </c>
    </row>
    <row r="29778">
      <c r="H29778" s="50"/>
      <c r="I29778" s="50"/>
      <c r="O29778" s="36" t="s">
        <v>48</v>
      </c>
      <c r="R29778" s="36" t="s">
        <v>48</v>
      </c>
    </row>
    <row r="29779">
      <c r="H29779" s="50"/>
      <c r="I29779" s="50"/>
      <c r="O29779" s="36" t="s">
        <v>48</v>
      </c>
      <c r="R29779" s="36" t="s">
        <v>48</v>
      </c>
    </row>
    <row r="29780">
      <c r="H29780" s="50"/>
      <c r="I29780" s="50"/>
      <c r="O29780" s="36" t="s">
        <v>48</v>
      </c>
      <c r="R29780" s="36" t="s">
        <v>48</v>
      </c>
    </row>
    <row r="29781">
      <c r="H29781" s="50"/>
      <c r="I29781" s="50"/>
      <c r="O29781" s="36" t="s">
        <v>48</v>
      </c>
      <c r="R29781" s="36" t="s">
        <v>48</v>
      </c>
    </row>
    <row r="29782">
      <c r="H29782" s="50"/>
      <c r="I29782" s="50"/>
      <c r="O29782" s="36" t="s">
        <v>48</v>
      </c>
      <c r="R29782" s="36" t="s">
        <v>48</v>
      </c>
    </row>
    <row r="29783">
      <c r="H29783" s="50"/>
      <c r="I29783" s="50"/>
      <c r="O29783" s="36" t="s">
        <v>48</v>
      </c>
      <c r="R29783" s="36" t="s">
        <v>48</v>
      </c>
    </row>
    <row r="29784">
      <c r="H29784" s="50"/>
      <c r="I29784" s="50"/>
      <c r="O29784" s="36" t="s">
        <v>48</v>
      </c>
      <c r="R29784" s="36" t="s">
        <v>48</v>
      </c>
    </row>
    <row r="29785">
      <c r="H29785" s="50"/>
      <c r="I29785" s="50"/>
      <c r="O29785" s="36" t="s">
        <v>48</v>
      </c>
      <c r="R29785" s="36" t="s">
        <v>48</v>
      </c>
    </row>
    <row r="29786">
      <c r="H29786" s="50"/>
      <c r="I29786" s="50"/>
      <c r="O29786" s="36" t="s">
        <v>48</v>
      </c>
      <c r="R29786" s="36" t="s">
        <v>48</v>
      </c>
    </row>
    <row r="29787">
      <c r="H29787" s="50"/>
      <c r="I29787" s="50"/>
      <c r="O29787" s="36" t="s">
        <v>48</v>
      </c>
      <c r="R29787" s="36" t="s">
        <v>48</v>
      </c>
    </row>
    <row r="29788">
      <c r="H29788" s="50"/>
      <c r="I29788" s="50"/>
      <c r="O29788" s="36" t="s">
        <v>48</v>
      </c>
      <c r="R29788" s="36" t="s">
        <v>48</v>
      </c>
    </row>
    <row r="29789">
      <c r="H29789" s="50"/>
      <c r="I29789" s="50"/>
      <c r="O29789" s="36" t="s">
        <v>48</v>
      </c>
      <c r="R29789" s="36" t="s">
        <v>48</v>
      </c>
    </row>
    <row r="29790">
      <c r="H29790" s="50"/>
      <c r="I29790" s="50"/>
      <c r="O29790" s="36" t="s">
        <v>48</v>
      </c>
      <c r="R29790" s="36" t="s">
        <v>48</v>
      </c>
    </row>
    <row r="29791">
      <c r="H29791" s="50"/>
      <c r="I29791" s="50"/>
      <c r="O29791" s="36" t="s">
        <v>48</v>
      </c>
      <c r="R29791" s="36" t="s">
        <v>48</v>
      </c>
    </row>
    <row r="29792">
      <c r="H29792" s="50"/>
      <c r="I29792" s="50"/>
      <c r="O29792" s="36" t="s">
        <v>48</v>
      </c>
      <c r="R29792" s="36" t="s">
        <v>48</v>
      </c>
    </row>
    <row r="29793">
      <c r="H29793" s="50"/>
      <c r="I29793" s="50"/>
      <c r="O29793" s="36" t="s">
        <v>48</v>
      </c>
      <c r="R29793" s="36" t="s">
        <v>48</v>
      </c>
    </row>
    <row r="29794">
      <c r="H29794" s="50"/>
      <c r="I29794" s="50"/>
      <c r="O29794" s="36" t="s">
        <v>48</v>
      </c>
      <c r="R29794" s="36" t="s">
        <v>48</v>
      </c>
    </row>
    <row r="29795">
      <c r="H29795" s="50"/>
      <c r="I29795" s="50"/>
      <c r="O29795" s="36" t="s">
        <v>48</v>
      </c>
      <c r="R29795" s="36" t="s">
        <v>48</v>
      </c>
    </row>
    <row r="29796">
      <c r="H29796" s="50"/>
      <c r="I29796" s="50"/>
      <c r="O29796" s="36" t="s">
        <v>48</v>
      </c>
      <c r="R29796" s="36" t="s">
        <v>48</v>
      </c>
    </row>
    <row r="29797">
      <c r="H29797" s="50"/>
      <c r="I29797" s="50"/>
      <c r="O29797" s="36" t="s">
        <v>48</v>
      </c>
      <c r="R29797" s="36" t="s">
        <v>48</v>
      </c>
    </row>
    <row r="29798">
      <c r="H29798" s="50"/>
      <c r="I29798" s="50"/>
      <c r="O29798" s="36" t="s">
        <v>48</v>
      </c>
      <c r="R29798" s="36" t="s">
        <v>48</v>
      </c>
    </row>
    <row r="29799">
      <c r="H29799" s="50"/>
      <c r="I29799" s="50"/>
      <c r="O29799" s="36" t="s">
        <v>48</v>
      </c>
      <c r="R29799" s="36" t="s">
        <v>48</v>
      </c>
    </row>
    <row r="29800">
      <c r="H29800" s="50"/>
      <c r="I29800" s="50"/>
      <c r="O29800" s="36" t="s">
        <v>48</v>
      </c>
      <c r="R29800" s="36" t="s">
        <v>48</v>
      </c>
    </row>
    <row r="29801">
      <c r="H29801" s="50"/>
      <c r="I29801" s="50"/>
      <c r="O29801" s="36" t="s">
        <v>48</v>
      </c>
      <c r="R29801" s="36" t="s">
        <v>48</v>
      </c>
    </row>
    <row r="29802">
      <c r="H29802" s="50"/>
      <c r="I29802" s="50"/>
      <c r="O29802" s="36" t="s">
        <v>48</v>
      </c>
      <c r="R29802" s="36" t="s">
        <v>48</v>
      </c>
    </row>
    <row r="29803">
      <c r="H29803" s="50"/>
      <c r="I29803" s="50"/>
      <c r="O29803" s="36" t="s">
        <v>48</v>
      </c>
      <c r="R29803" s="36" t="s">
        <v>48</v>
      </c>
    </row>
    <row r="29804">
      <c r="H29804" s="50"/>
      <c r="I29804" s="50"/>
      <c r="O29804" s="36" t="s">
        <v>48</v>
      </c>
      <c r="R29804" s="36" t="s">
        <v>48</v>
      </c>
    </row>
    <row r="29805">
      <c r="H29805" s="50"/>
      <c r="I29805" s="50"/>
      <c r="O29805" s="36" t="s">
        <v>48</v>
      </c>
      <c r="R29805" s="36" t="s">
        <v>48</v>
      </c>
    </row>
    <row r="29806">
      <c r="H29806" s="50"/>
      <c r="I29806" s="50"/>
      <c r="O29806" s="36" t="s">
        <v>48</v>
      </c>
      <c r="R29806" s="36" t="s">
        <v>48</v>
      </c>
    </row>
    <row r="29807">
      <c r="H29807" s="50"/>
      <c r="I29807" s="50"/>
      <c r="O29807" s="36" t="s">
        <v>48</v>
      </c>
      <c r="R29807" s="36" t="s">
        <v>48</v>
      </c>
    </row>
    <row r="29808">
      <c r="H29808" s="50"/>
      <c r="I29808" s="50"/>
      <c r="O29808" s="36" t="s">
        <v>48</v>
      </c>
      <c r="R29808" s="36" t="s">
        <v>48</v>
      </c>
    </row>
    <row r="29809">
      <c r="H29809" s="50"/>
      <c r="I29809" s="50"/>
      <c r="O29809" s="36" t="s">
        <v>48</v>
      </c>
      <c r="R29809" s="36" t="s">
        <v>48</v>
      </c>
    </row>
    <row r="29810">
      <c r="H29810" s="50"/>
      <c r="I29810" s="50"/>
      <c r="O29810" s="36" t="s">
        <v>48</v>
      </c>
      <c r="R29810" s="36" t="s">
        <v>48</v>
      </c>
    </row>
    <row r="29811">
      <c r="H29811" s="50"/>
      <c r="I29811" s="50"/>
      <c r="O29811" s="36" t="s">
        <v>48</v>
      </c>
      <c r="R29811" s="36" t="s">
        <v>48</v>
      </c>
    </row>
    <row r="29812">
      <c r="H29812" s="50"/>
      <c r="I29812" s="50"/>
      <c r="O29812" s="36" t="s">
        <v>48</v>
      </c>
      <c r="R29812" s="36" t="s">
        <v>48</v>
      </c>
    </row>
    <row r="29813">
      <c r="H29813" s="50"/>
      <c r="I29813" s="50"/>
      <c r="O29813" s="36" t="s">
        <v>48</v>
      </c>
      <c r="R29813" s="36" t="s">
        <v>48</v>
      </c>
    </row>
    <row r="29814">
      <c r="H29814" s="50"/>
      <c r="I29814" s="50"/>
      <c r="O29814" s="36" t="s">
        <v>48</v>
      </c>
      <c r="R29814" s="36" t="s">
        <v>48</v>
      </c>
    </row>
    <row r="29815">
      <c r="H29815" s="50"/>
      <c r="I29815" s="50"/>
      <c r="O29815" s="36" t="s">
        <v>48</v>
      </c>
      <c r="R29815" s="36" t="s">
        <v>48</v>
      </c>
    </row>
    <row r="29816">
      <c r="H29816" s="50"/>
      <c r="I29816" s="50"/>
      <c r="O29816" s="36" t="s">
        <v>48</v>
      </c>
      <c r="R29816" s="36" t="s">
        <v>48</v>
      </c>
    </row>
    <row r="29817">
      <c r="H29817" s="50"/>
      <c r="I29817" s="50"/>
      <c r="O29817" s="36" t="s">
        <v>48</v>
      </c>
      <c r="R29817" s="36" t="s">
        <v>48</v>
      </c>
    </row>
    <row r="29818">
      <c r="H29818" s="50"/>
      <c r="I29818" s="50"/>
      <c r="O29818" s="36" t="s">
        <v>48</v>
      </c>
      <c r="R29818" s="36" t="s">
        <v>48</v>
      </c>
    </row>
    <row r="29819">
      <c r="H29819" s="50"/>
      <c r="I29819" s="50"/>
      <c r="O29819" s="36" t="s">
        <v>48</v>
      </c>
      <c r="R29819" s="36" t="s">
        <v>48</v>
      </c>
    </row>
    <row r="29820">
      <c r="H29820" s="50"/>
      <c r="I29820" s="50"/>
      <c r="O29820" s="36" t="s">
        <v>48</v>
      </c>
      <c r="R29820" s="36" t="s">
        <v>48</v>
      </c>
    </row>
    <row r="29821">
      <c r="H29821" s="50"/>
      <c r="I29821" s="50"/>
      <c r="O29821" s="36" t="s">
        <v>48</v>
      </c>
      <c r="R29821" s="36" t="s">
        <v>48</v>
      </c>
    </row>
    <row r="29822">
      <c r="H29822" s="50"/>
      <c r="I29822" s="50"/>
      <c r="O29822" s="36" t="s">
        <v>48</v>
      </c>
      <c r="R29822" s="36" t="s">
        <v>48</v>
      </c>
    </row>
    <row r="29823">
      <c r="H29823" s="50"/>
      <c r="I29823" s="50"/>
      <c r="O29823" s="36" t="s">
        <v>48</v>
      </c>
      <c r="R29823" s="36" t="s">
        <v>48</v>
      </c>
    </row>
    <row r="29824">
      <c r="H29824" s="50"/>
      <c r="I29824" s="50"/>
      <c r="O29824" s="36" t="s">
        <v>48</v>
      </c>
      <c r="R29824" s="36" t="s">
        <v>48</v>
      </c>
    </row>
    <row r="29825">
      <c r="H29825" s="50"/>
      <c r="I29825" s="50"/>
      <c r="O29825" s="36" t="s">
        <v>48</v>
      </c>
      <c r="R29825" s="36" t="s">
        <v>48</v>
      </c>
    </row>
    <row r="29826">
      <c r="H29826" s="50"/>
      <c r="I29826" s="50"/>
      <c r="O29826" s="36" t="s">
        <v>48</v>
      </c>
      <c r="R29826" s="36" t="s">
        <v>48</v>
      </c>
    </row>
    <row r="29827">
      <c r="H29827" s="50"/>
      <c r="I29827" s="50"/>
      <c r="O29827" s="36" t="s">
        <v>48</v>
      </c>
      <c r="R29827" s="36" t="s">
        <v>48</v>
      </c>
    </row>
    <row r="29828">
      <c r="H29828" s="50"/>
      <c r="I29828" s="50"/>
      <c r="O29828" s="36" t="s">
        <v>48</v>
      </c>
      <c r="R29828" s="36" t="s">
        <v>48</v>
      </c>
    </row>
    <row r="29829">
      <c r="H29829" s="50"/>
      <c r="I29829" s="50"/>
      <c r="O29829" s="36" t="s">
        <v>48</v>
      </c>
      <c r="R29829" s="36" t="s">
        <v>48</v>
      </c>
    </row>
    <row r="29830">
      <c r="H29830" s="50"/>
      <c r="I29830" s="50"/>
      <c r="O29830" s="36" t="s">
        <v>48</v>
      </c>
      <c r="R29830" s="36" t="s">
        <v>48</v>
      </c>
    </row>
    <row r="29831">
      <c r="H29831" s="50"/>
      <c r="I29831" s="50"/>
      <c r="O29831" s="36" t="s">
        <v>48</v>
      </c>
      <c r="R29831" s="36" t="s">
        <v>48</v>
      </c>
    </row>
    <row r="29832">
      <c r="H29832" s="50"/>
      <c r="I29832" s="50"/>
      <c r="O29832" s="36" t="s">
        <v>48</v>
      </c>
      <c r="R29832" s="36" t="s">
        <v>48</v>
      </c>
    </row>
    <row r="29833">
      <c r="H29833" s="50"/>
      <c r="I29833" s="50"/>
      <c r="O29833" s="36" t="s">
        <v>48</v>
      </c>
      <c r="R29833" s="36" t="s">
        <v>48</v>
      </c>
    </row>
    <row r="29834">
      <c r="H29834" s="50"/>
      <c r="I29834" s="50"/>
      <c r="O29834" s="36" t="s">
        <v>48</v>
      </c>
      <c r="R29834" s="36" t="s">
        <v>48</v>
      </c>
    </row>
    <row r="29835">
      <c r="H29835" s="50"/>
      <c r="I29835" s="50"/>
      <c r="O29835" s="36" t="s">
        <v>48</v>
      </c>
      <c r="R29835" s="36" t="s">
        <v>48</v>
      </c>
    </row>
    <row r="29836">
      <c r="H29836" s="50"/>
      <c r="I29836" s="50"/>
      <c r="O29836" s="36" t="s">
        <v>48</v>
      </c>
      <c r="R29836" s="36" t="s">
        <v>48</v>
      </c>
    </row>
    <row r="29837">
      <c r="H29837" s="50"/>
      <c r="I29837" s="50"/>
      <c r="O29837" s="36" t="s">
        <v>48</v>
      </c>
      <c r="R29837" s="36" t="s">
        <v>48</v>
      </c>
    </row>
    <row r="29838">
      <c r="H29838" s="50"/>
      <c r="I29838" s="50"/>
      <c r="O29838" s="36" t="s">
        <v>48</v>
      </c>
      <c r="R29838" s="36" t="s">
        <v>48</v>
      </c>
    </row>
    <row r="29839">
      <c r="H29839" s="50"/>
      <c r="I29839" s="50"/>
      <c r="O29839" s="36" t="s">
        <v>48</v>
      </c>
      <c r="R29839" s="36" t="s">
        <v>48</v>
      </c>
    </row>
    <row r="29840">
      <c r="H29840" s="50"/>
      <c r="I29840" s="50"/>
      <c r="O29840" s="36" t="s">
        <v>48</v>
      </c>
      <c r="R29840" s="36" t="s">
        <v>48</v>
      </c>
    </row>
    <row r="29841">
      <c r="H29841" s="50"/>
      <c r="I29841" s="50"/>
      <c r="O29841" s="36" t="s">
        <v>48</v>
      </c>
      <c r="R29841" s="36" t="s">
        <v>48</v>
      </c>
    </row>
    <row r="29842">
      <c r="H29842" s="50"/>
      <c r="I29842" s="50"/>
      <c r="O29842" s="36" t="s">
        <v>48</v>
      </c>
      <c r="R29842" s="36" t="s">
        <v>48</v>
      </c>
    </row>
    <row r="29843">
      <c r="H29843" s="50"/>
      <c r="I29843" s="50"/>
      <c r="O29843" s="36" t="s">
        <v>48</v>
      </c>
      <c r="R29843" s="36" t="s">
        <v>48</v>
      </c>
    </row>
    <row r="29844">
      <c r="H29844" s="50"/>
      <c r="I29844" s="50"/>
      <c r="O29844" s="36" t="s">
        <v>48</v>
      </c>
      <c r="R29844" s="36" t="s">
        <v>48</v>
      </c>
    </row>
    <row r="29845">
      <c r="H29845" s="50"/>
      <c r="I29845" s="50"/>
      <c r="O29845" s="36" t="s">
        <v>48</v>
      </c>
      <c r="R29845" s="36" t="s">
        <v>48</v>
      </c>
    </row>
    <row r="29846">
      <c r="H29846" s="50"/>
      <c r="I29846" s="50"/>
      <c r="O29846" s="36" t="s">
        <v>48</v>
      </c>
      <c r="R29846" s="36" t="s">
        <v>48</v>
      </c>
    </row>
    <row r="29847">
      <c r="H29847" s="50"/>
      <c r="I29847" s="50"/>
      <c r="O29847" s="36" t="s">
        <v>48</v>
      </c>
      <c r="R29847" s="36" t="s">
        <v>48</v>
      </c>
    </row>
    <row r="29848">
      <c r="H29848" s="50"/>
      <c r="I29848" s="50"/>
      <c r="O29848" s="36" t="s">
        <v>48</v>
      </c>
      <c r="R29848" s="36" t="s">
        <v>48</v>
      </c>
    </row>
    <row r="29849">
      <c r="H29849" s="50"/>
      <c r="I29849" s="50"/>
      <c r="O29849" s="36" t="s">
        <v>48</v>
      </c>
      <c r="R29849" s="36" t="s">
        <v>48</v>
      </c>
    </row>
    <row r="29850">
      <c r="H29850" s="50"/>
      <c r="I29850" s="50"/>
      <c r="O29850" s="36" t="s">
        <v>48</v>
      </c>
      <c r="R29850" s="36" t="s">
        <v>48</v>
      </c>
    </row>
    <row r="29851">
      <c r="H29851" s="50"/>
      <c r="I29851" s="50"/>
      <c r="O29851" s="36" t="s">
        <v>48</v>
      </c>
      <c r="R29851" s="36" t="s">
        <v>48</v>
      </c>
    </row>
    <row r="29852">
      <c r="H29852" s="50"/>
      <c r="I29852" s="50"/>
      <c r="O29852" s="36" t="s">
        <v>48</v>
      </c>
      <c r="R29852" s="36" t="s">
        <v>48</v>
      </c>
    </row>
    <row r="29853">
      <c r="H29853" s="50"/>
      <c r="I29853" s="50"/>
      <c r="O29853" s="36" t="s">
        <v>48</v>
      </c>
      <c r="R29853" s="36" t="s">
        <v>48</v>
      </c>
    </row>
    <row r="29854">
      <c r="H29854" s="50"/>
      <c r="I29854" s="50"/>
      <c r="O29854" s="36" t="s">
        <v>48</v>
      </c>
      <c r="R29854" s="36" t="s">
        <v>48</v>
      </c>
    </row>
    <row r="29855">
      <c r="H29855" s="50"/>
      <c r="I29855" s="50"/>
      <c r="O29855" s="36" t="s">
        <v>48</v>
      </c>
      <c r="R29855" s="36" t="s">
        <v>48</v>
      </c>
    </row>
    <row r="29856">
      <c r="H29856" s="50"/>
      <c r="I29856" s="50"/>
      <c r="O29856" s="36" t="s">
        <v>48</v>
      </c>
      <c r="R29856" s="36" t="s">
        <v>48</v>
      </c>
    </row>
    <row r="29857">
      <c r="H29857" s="50"/>
      <c r="I29857" s="50"/>
      <c r="O29857" s="36" t="s">
        <v>48</v>
      </c>
      <c r="R29857" s="36" t="s">
        <v>48</v>
      </c>
    </row>
    <row r="29858">
      <c r="H29858" s="50"/>
      <c r="I29858" s="50"/>
      <c r="O29858" s="36" t="s">
        <v>48</v>
      </c>
      <c r="R29858" s="36" t="s">
        <v>48</v>
      </c>
    </row>
    <row r="29859">
      <c r="H29859" s="50"/>
      <c r="I29859" s="50"/>
      <c r="O29859" s="36" t="s">
        <v>48</v>
      </c>
      <c r="R29859" s="36" t="s">
        <v>48</v>
      </c>
    </row>
    <row r="29860">
      <c r="H29860" s="50"/>
      <c r="I29860" s="50"/>
      <c r="O29860" s="36" t="s">
        <v>48</v>
      </c>
      <c r="R29860" s="36" t="s">
        <v>48</v>
      </c>
    </row>
    <row r="29861">
      <c r="H29861" s="50"/>
      <c r="I29861" s="50"/>
      <c r="O29861" s="36" t="s">
        <v>48</v>
      </c>
      <c r="R29861" s="36" t="s">
        <v>48</v>
      </c>
    </row>
    <row r="29862">
      <c r="H29862" s="50"/>
      <c r="I29862" s="50"/>
      <c r="O29862" s="36" t="s">
        <v>48</v>
      </c>
      <c r="R29862" s="36" t="s">
        <v>48</v>
      </c>
    </row>
    <row r="29863">
      <c r="H29863" s="50"/>
      <c r="I29863" s="50"/>
      <c r="O29863" s="36" t="s">
        <v>48</v>
      </c>
      <c r="R29863" s="36" t="s">
        <v>48</v>
      </c>
    </row>
    <row r="29864">
      <c r="H29864" s="50"/>
      <c r="I29864" s="50"/>
      <c r="O29864" s="36" t="s">
        <v>48</v>
      </c>
      <c r="R29864" s="36" t="s">
        <v>48</v>
      </c>
    </row>
    <row r="29865">
      <c r="H29865" s="50"/>
      <c r="I29865" s="50"/>
      <c r="O29865" s="36" t="s">
        <v>48</v>
      </c>
      <c r="R29865" s="36" t="s">
        <v>48</v>
      </c>
    </row>
    <row r="29866">
      <c r="H29866" s="50"/>
      <c r="I29866" s="50"/>
      <c r="O29866" s="36" t="s">
        <v>48</v>
      </c>
      <c r="R29866" s="36" t="s">
        <v>48</v>
      </c>
    </row>
    <row r="29867">
      <c r="H29867" s="50"/>
      <c r="I29867" s="50"/>
      <c r="O29867" s="36" t="s">
        <v>48</v>
      </c>
      <c r="R29867" s="36" t="s">
        <v>48</v>
      </c>
    </row>
    <row r="29868">
      <c r="H29868" s="50"/>
      <c r="I29868" s="50"/>
      <c r="O29868" s="36" t="s">
        <v>48</v>
      </c>
      <c r="R29868" s="36" t="s">
        <v>48</v>
      </c>
    </row>
    <row r="29869">
      <c r="H29869" s="50"/>
      <c r="I29869" s="50"/>
      <c r="O29869" s="36" t="s">
        <v>48</v>
      </c>
      <c r="R29869" s="36" t="s">
        <v>48</v>
      </c>
    </row>
    <row r="29870">
      <c r="H29870" s="50"/>
      <c r="I29870" s="50"/>
      <c r="O29870" s="36" t="s">
        <v>48</v>
      </c>
      <c r="R29870" s="36" t="s">
        <v>48</v>
      </c>
    </row>
    <row r="29871">
      <c r="H29871" s="50"/>
      <c r="I29871" s="50"/>
      <c r="O29871" s="36" t="s">
        <v>48</v>
      </c>
      <c r="R29871" s="36" t="s">
        <v>48</v>
      </c>
    </row>
    <row r="29872">
      <c r="H29872" s="50"/>
      <c r="I29872" s="50"/>
      <c r="O29872" s="36" t="s">
        <v>48</v>
      </c>
      <c r="R29872" s="36" t="s">
        <v>48</v>
      </c>
    </row>
    <row r="29873">
      <c r="H29873" s="50"/>
      <c r="I29873" s="50"/>
      <c r="O29873" s="36" t="s">
        <v>48</v>
      </c>
      <c r="R29873" s="36" t="s">
        <v>48</v>
      </c>
    </row>
    <row r="29874">
      <c r="H29874" s="50"/>
      <c r="I29874" s="50"/>
      <c r="O29874" s="36" t="s">
        <v>48</v>
      </c>
      <c r="R29874" s="36" t="s">
        <v>48</v>
      </c>
    </row>
    <row r="29875">
      <c r="H29875" s="50"/>
      <c r="I29875" s="50"/>
      <c r="O29875" s="36" t="s">
        <v>48</v>
      </c>
      <c r="R29875" s="36" t="s">
        <v>48</v>
      </c>
    </row>
    <row r="29876">
      <c r="H29876" s="50"/>
      <c r="I29876" s="50"/>
      <c r="O29876" s="36" t="s">
        <v>48</v>
      </c>
      <c r="R29876" s="36" t="s">
        <v>48</v>
      </c>
    </row>
    <row r="29877">
      <c r="H29877" s="50"/>
      <c r="I29877" s="50"/>
      <c r="O29877" s="36" t="s">
        <v>48</v>
      </c>
      <c r="R29877" s="36" t="s">
        <v>48</v>
      </c>
    </row>
    <row r="29878">
      <c r="H29878" s="50"/>
      <c r="I29878" s="50"/>
      <c r="O29878" s="36" t="s">
        <v>48</v>
      </c>
      <c r="R29878" s="36" t="s">
        <v>48</v>
      </c>
    </row>
    <row r="29879">
      <c r="H29879" s="50"/>
      <c r="I29879" s="50"/>
      <c r="O29879" s="36" t="s">
        <v>48</v>
      </c>
      <c r="R29879" s="36" t="s">
        <v>48</v>
      </c>
    </row>
    <row r="29880">
      <c r="H29880" s="50"/>
      <c r="I29880" s="50"/>
      <c r="O29880" s="36" t="s">
        <v>48</v>
      </c>
      <c r="R29880" s="36" t="s">
        <v>48</v>
      </c>
    </row>
    <row r="29881">
      <c r="H29881" s="50"/>
      <c r="I29881" s="50"/>
      <c r="O29881" s="36" t="s">
        <v>48</v>
      </c>
      <c r="R29881" s="36" t="s">
        <v>48</v>
      </c>
    </row>
    <row r="29882">
      <c r="H29882" s="50"/>
      <c r="I29882" s="50"/>
      <c r="O29882" s="36" t="s">
        <v>48</v>
      </c>
      <c r="R29882" s="36" t="s">
        <v>48</v>
      </c>
    </row>
    <row r="29883">
      <c r="H29883" s="50"/>
      <c r="I29883" s="50"/>
      <c r="O29883" s="36" t="s">
        <v>48</v>
      </c>
      <c r="R29883" s="36" t="s">
        <v>48</v>
      </c>
    </row>
    <row r="29884">
      <c r="H29884" s="50"/>
      <c r="I29884" s="50"/>
      <c r="O29884" s="36" t="s">
        <v>48</v>
      </c>
      <c r="R29884" s="36" t="s">
        <v>48</v>
      </c>
    </row>
    <row r="29885">
      <c r="H29885" s="50"/>
      <c r="I29885" s="50"/>
      <c r="O29885" s="36" t="s">
        <v>48</v>
      </c>
      <c r="R29885" s="36" t="s">
        <v>48</v>
      </c>
    </row>
    <row r="29886">
      <c r="H29886" s="50"/>
      <c r="I29886" s="50"/>
      <c r="O29886" s="36" t="s">
        <v>48</v>
      </c>
      <c r="R29886" s="36" t="s">
        <v>48</v>
      </c>
    </row>
    <row r="29887">
      <c r="H29887" s="50"/>
      <c r="I29887" s="50"/>
      <c r="O29887" s="36" t="s">
        <v>48</v>
      </c>
      <c r="R29887" s="36" t="s">
        <v>48</v>
      </c>
    </row>
    <row r="29888">
      <c r="H29888" s="50"/>
      <c r="I29888" s="50"/>
      <c r="O29888" s="36" t="s">
        <v>48</v>
      </c>
      <c r="R29888" s="36" t="s">
        <v>48</v>
      </c>
    </row>
    <row r="29889">
      <c r="H29889" s="50"/>
      <c r="I29889" s="50"/>
      <c r="O29889" s="36" t="s">
        <v>48</v>
      </c>
      <c r="R29889" s="36" t="s">
        <v>48</v>
      </c>
    </row>
    <row r="29890">
      <c r="H29890" s="50"/>
      <c r="I29890" s="50"/>
      <c r="O29890" s="36" t="s">
        <v>48</v>
      </c>
      <c r="R29890" s="36" t="s">
        <v>48</v>
      </c>
    </row>
    <row r="29891">
      <c r="H29891" s="50"/>
      <c r="I29891" s="50"/>
      <c r="O29891" s="36" t="s">
        <v>48</v>
      </c>
      <c r="R29891" s="36" t="s">
        <v>48</v>
      </c>
    </row>
    <row r="29892">
      <c r="H29892" s="50"/>
      <c r="I29892" s="50"/>
      <c r="O29892" s="36" t="s">
        <v>48</v>
      </c>
      <c r="R29892" s="36" t="s">
        <v>48</v>
      </c>
    </row>
    <row r="29893">
      <c r="H29893" s="50"/>
      <c r="I29893" s="50"/>
      <c r="O29893" s="36" t="s">
        <v>48</v>
      </c>
      <c r="R29893" s="36" t="s">
        <v>48</v>
      </c>
    </row>
    <row r="29894">
      <c r="H29894" s="50"/>
      <c r="I29894" s="50"/>
      <c r="O29894" s="36" t="s">
        <v>48</v>
      </c>
      <c r="R29894" s="36" t="s">
        <v>48</v>
      </c>
    </row>
    <row r="29895">
      <c r="H29895" s="50"/>
      <c r="I29895" s="50"/>
      <c r="O29895" s="36" t="s">
        <v>48</v>
      </c>
      <c r="R29895" s="36" t="s">
        <v>48</v>
      </c>
    </row>
    <row r="29896">
      <c r="H29896" s="50"/>
      <c r="I29896" s="50"/>
      <c r="O29896" s="36" t="s">
        <v>48</v>
      </c>
      <c r="R29896" s="36" t="s">
        <v>48</v>
      </c>
    </row>
    <row r="29897">
      <c r="H29897" s="50"/>
      <c r="I29897" s="50"/>
      <c r="O29897" s="36" t="s">
        <v>48</v>
      </c>
      <c r="R29897" s="36" t="s">
        <v>48</v>
      </c>
    </row>
    <row r="29898">
      <c r="H29898" s="50"/>
      <c r="I29898" s="50"/>
      <c r="O29898" s="36" t="s">
        <v>48</v>
      </c>
      <c r="R29898" s="36" t="s">
        <v>48</v>
      </c>
    </row>
    <row r="29899">
      <c r="H29899" s="50"/>
      <c r="I29899" s="50"/>
      <c r="O29899" s="36" t="s">
        <v>48</v>
      </c>
      <c r="R29899" s="36" t="s">
        <v>48</v>
      </c>
    </row>
    <row r="29900">
      <c r="H29900" s="50"/>
      <c r="I29900" s="50"/>
      <c r="O29900" s="36" t="s">
        <v>48</v>
      </c>
      <c r="R29900" s="36" t="s">
        <v>48</v>
      </c>
    </row>
    <row r="29901">
      <c r="H29901" s="50"/>
      <c r="I29901" s="50"/>
      <c r="O29901" s="36" t="s">
        <v>48</v>
      </c>
      <c r="R29901" s="36" t="s">
        <v>48</v>
      </c>
    </row>
    <row r="29902">
      <c r="H29902" s="50"/>
      <c r="I29902" s="50"/>
      <c r="O29902" s="36" t="s">
        <v>48</v>
      </c>
      <c r="R29902" s="36" t="s">
        <v>48</v>
      </c>
    </row>
    <row r="29903">
      <c r="H29903" s="50"/>
      <c r="I29903" s="50"/>
      <c r="O29903" s="36" t="s">
        <v>48</v>
      </c>
      <c r="R29903" s="36" t="s">
        <v>48</v>
      </c>
    </row>
    <row r="29904">
      <c r="H29904" s="50"/>
      <c r="I29904" s="50"/>
      <c r="O29904" s="36" t="s">
        <v>48</v>
      </c>
      <c r="R29904" s="36" t="s">
        <v>48</v>
      </c>
    </row>
    <row r="29905">
      <c r="H29905" s="50"/>
      <c r="I29905" s="50"/>
      <c r="O29905" s="36" t="s">
        <v>48</v>
      </c>
      <c r="R29905" s="36" t="s">
        <v>48</v>
      </c>
    </row>
    <row r="29906">
      <c r="H29906" s="50"/>
      <c r="I29906" s="50"/>
      <c r="O29906" s="36" t="s">
        <v>48</v>
      </c>
      <c r="R29906" s="36" t="s">
        <v>48</v>
      </c>
    </row>
    <row r="29907">
      <c r="H29907" s="50"/>
      <c r="I29907" s="50"/>
      <c r="O29907" s="36" t="s">
        <v>48</v>
      </c>
      <c r="R29907" s="36" t="s">
        <v>48</v>
      </c>
    </row>
    <row r="29908">
      <c r="H29908" s="50"/>
      <c r="I29908" s="50"/>
      <c r="O29908" s="36" t="s">
        <v>48</v>
      </c>
      <c r="R29908" s="36" t="s">
        <v>48</v>
      </c>
    </row>
    <row r="29909">
      <c r="H29909" s="50"/>
      <c r="I29909" s="50"/>
      <c r="O29909" s="36" t="s">
        <v>48</v>
      </c>
      <c r="R29909" s="36" t="s">
        <v>48</v>
      </c>
    </row>
    <row r="29910">
      <c r="H29910" s="50"/>
      <c r="I29910" s="50"/>
      <c r="O29910" s="36" t="s">
        <v>48</v>
      </c>
      <c r="R29910" s="36" t="s">
        <v>48</v>
      </c>
    </row>
    <row r="29911">
      <c r="H29911" s="50"/>
      <c r="I29911" s="50"/>
      <c r="O29911" s="36" t="s">
        <v>48</v>
      </c>
      <c r="R29911" s="36" t="s">
        <v>48</v>
      </c>
    </row>
    <row r="29912">
      <c r="H29912" s="50"/>
      <c r="I29912" s="50"/>
      <c r="O29912" s="36" t="s">
        <v>48</v>
      </c>
      <c r="R29912" s="36" t="s">
        <v>48</v>
      </c>
    </row>
    <row r="29913">
      <c r="H29913" s="50"/>
      <c r="I29913" s="50"/>
      <c r="O29913" s="36" t="s">
        <v>48</v>
      </c>
      <c r="R29913" s="36" t="s">
        <v>48</v>
      </c>
    </row>
    <row r="29914">
      <c r="H29914" s="50"/>
      <c r="I29914" s="50"/>
      <c r="O29914" s="36" t="s">
        <v>48</v>
      </c>
      <c r="R29914" s="36" t="s">
        <v>48</v>
      </c>
    </row>
    <row r="29915">
      <c r="H29915" s="50"/>
      <c r="I29915" s="50"/>
      <c r="O29915" s="36" t="s">
        <v>48</v>
      </c>
      <c r="R29915" s="36" t="s">
        <v>48</v>
      </c>
    </row>
    <row r="29916">
      <c r="H29916" s="50"/>
      <c r="I29916" s="50"/>
      <c r="O29916" s="36" t="s">
        <v>48</v>
      </c>
      <c r="R29916" s="36" t="s">
        <v>48</v>
      </c>
    </row>
    <row r="29917">
      <c r="H29917" s="50"/>
      <c r="I29917" s="50"/>
      <c r="O29917" s="36" t="s">
        <v>48</v>
      </c>
      <c r="R29917" s="36" t="s">
        <v>48</v>
      </c>
    </row>
    <row r="29918">
      <c r="H29918" s="50"/>
      <c r="I29918" s="50"/>
      <c r="O29918" s="36" t="s">
        <v>48</v>
      </c>
      <c r="R29918" s="36" t="s">
        <v>48</v>
      </c>
    </row>
    <row r="29919">
      <c r="H29919" s="50"/>
      <c r="I29919" s="50"/>
      <c r="O29919" s="36" t="s">
        <v>48</v>
      </c>
      <c r="R29919" s="36" t="s">
        <v>48</v>
      </c>
    </row>
    <row r="29920">
      <c r="H29920" s="50"/>
      <c r="I29920" s="50"/>
      <c r="O29920" s="36" t="s">
        <v>48</v>
      </c>
      <c r="R29920" s="36" t="s">
        <v>48</v>
      </c>
    </row>
    <row r="29921">
      <c r="H29921" s="50"/>
      <c r="I29921" s="50"/>
      <c r="O29921" s="36" t="s">
        <v>48</v>
      </c>
      <c r="R29921" s="36" t="s">
        <v>48</v>
      </c>
    </row>
    <row r="29922">
      <c r="H29922" s="50"/>
      <c r="I29922" s="50"/>
      <c r="O29922" s="36" t="s">
        <v>48</v>
      </c>
      <c r="R29922" s="36" t="s">
        <v>48</v>
      </c>
    </row>
    <row r="29923">
      <c r="H29923" s="50"/>
      <c r="I29923" s="50"/>
      <c r="O29923" s="36" t="s">
        <v>48</v>
      </c>
      <c r="R29923" s="36" t="s">
        <v>48</v>
      </c>
    </row>
    <row r="29924">
      <c r="H29924" s="50"/>
      <c r="I29924" s="50"/>
      <c r="O29924" s="36" t="s">
        <v>48</v>
      </c>
      <c r="R29924" s="36" t="s">
        <v>48</v>
      </c>
    </row>
    <row r="29925">
      <c r="H29925" s="50"/>
      <c r="I29925" s="50"/>
      <c r="O29925" s="36" t="s">
        <v>48</v>
      </c>
      <c r="R29925" s="36" t="s">
        <v>48</v>
      </c>
    </row>
    <row r="29926">
      <c r="H29926" s="50"/>
      <c r="I29926" s="50"/>
      <c r="O29926" s="36" t="s">
        <v>48</v>
      </c>
      <c r="R29926" s="36" t="s">
        <v>48</v>
      </c>
    </row>
    <row r="29927">
      <c r="H29927" s="50"/>
      <c r="I29927" s="50"/>
      <c r="O29927" s="36" t="s">
        <v>48</v>
      </c>
      <c r="R29927" s="36" t="s">
        <v>48</v>
      </c>
    </row>
    <row r="29928">
      <c r="H29928" s="50"/>
      <c r="I29928" s="50"/>
      <c r="O29928" s="36" t="s">
        <v>48</v>
      </c>
      <c r="R29928" s="36" t="s">
        <v>48</v>
      </c>
    </row>
    <row r="29929">
      <c r="H29929" s="50"/>
      <c r="I29929" s="50"/>
      <c r="O29929" s="36" t="s">
        <v>48</v>
      </c>
      <c r="R29929" s="36" t="s">
        <v>48</v>
      </c>
    </row>
    <row r="29930">
      <c r="H29930" s="50"/>
      <c r="I29930" s="50"/>
      <c r="O29930" s="36" t="s">
        <v>48</v>
      </c>
      <c r="R29930" s="36" t="s">
        <v>48</v>
      </c>
    </row>
    <row r="29931">
      <c r="H29931" s="50"/>
      <c r="I29931" s="50"/>
      <c r="O29931" s="36" t="s">
        <v>48</v>
      </c>
      <c r="R29931" s="36" t="s">
        <v>48</v>
      </c>
    </row>
    <row r="29932">
      <c r="H29932" s="50"/>
      <c r="I29932" s="50"/>
      <c r="O29932" s="36" t="s">
        <v>48</v>
      </c>
      <c r="R29932" s="36" t="s">
        <v>48</v>
      </c>
    </row>
    <row r="29933">
      <c r="H29933" s="50"/>
      <c r="I29933" s="50"/>
      <c r="O29933" s="36" t="s">
        <v>48</v>
      </c>
      <c r="R29933" s="36" t="s">
        <v>48</v>
      </c>
    </row>
    <row r="29934">
      <c r="H29934" s="50"/>
      <c r="I29934" s="50"/>
      <c r="O29934" s="36" t="s">
        <v>48</v>
      </c>
      <c r="R29934" s="36" t="s">
        <v>48</v>
      </c>
    </row>
    <row r="29935">
      <c r="H29935" s="50"/>
      <c r="I29935" s="50"/>
      <c r="O29935" s="36" t="s">
        <v>48</v>
      </c>
      <c r="R29935" s="36" t="s">
        <v>48</v>
      </c>
    </row>
    <row r="29936">
      <c r="H29936" s="50"/>
      <c r="I29936" s="50"/>
      <c r="O29936" s="36" t="s">
        <v>48</v>
      </c>
      <c r="R29936" s="36" t="s">
        <v>48</v>
      </c>
    </row>
    <row r="29937">
      <c r="H29937" s="50"/>
      <c r="I29937" s="50"/>
      <c r="O29937" s="36" t="s">
        <v>48</v>
      </c>
      <c r="R29937" s="36" t="s">
        <v>48</v>
      </c>
    </row>
    <row r="29938">
      <c r="H29938" s="50"/>
      <c r="I29938" s="50"/>
      <c r="O29938" s="36" t="s">
        <v>48</v>
      </c>
      <c r="R29938" s="36" t="s">
        <v>48</v>
      </c>
    </row>
    <row r="29939">
      <c r="H29939" s="50"/>
      <c r="I29939" s="50"/>
      <c r="O29939" s="36" t="s">
        <v>48</v>
      </c>
      <c r="R29939" s="36" t="s">
        <v>48</v>
      </c>
    </row>
    <row r="29940">
      <c r="H29940" s="50"/>
      <c r="I29940" s="50"/>
      <c r="O29940" s="36" t="s">
        <v>48</v>
      </c>
      <c r="R29940" s="36" t="s">
        <v>48</v>
      </c>
    </row>
    <row r="29941">
      <c r="H29941" s="50"/>
      <c r="I29941" s="50"/>
      <c r="O29941" s="36" t="s">
        <v>48</v>
      </c>
      <c r="R29941" s="36" t="s">
        <v>48</v>
      </c>
    </row>
    <row r="29942">
      <c r="H29942" s="50"/>
      <c r="I29942" s="50"/>
      <c r="O29942" s="36" t="s">
        <v>48</v>
      </c>
      <c r="R29942" s="36" t="s">
        <v>48</v>
      </c>
    </row>
    <row r="29943">
      <c r="H29943" s="50"/>
      <c r="I29943" s="50"/>
      <c r="O29943" s="36" t="s">
        <v>48</v>
      </c>
      <c r="R29943" s="36" t="s">
        <v>48</v>
      </c>
    </row>
    <row r="29944">
      <c r="H29944" s="50"/>
      <c r="I29944" s="50"/>
      <c r="O29944" s="36" t="s">
        <v>48</v>
      </c>
      <c r="R29944" s="36" t="s">
        <v>48</v>
      </c>
    </row>
    <row r="29945">
      <c r="H29945" s="50"/>
      <c r="I29945" s="50"/>
      <c r="O29945" s="36" t="s">
        <v>48</v>
      </c>
      <c r="R29945" s="36" t="s">
        <v>48</v>
      </c>
    </row>
    <row r="29946">
      <c r="H29946" s="50"/>
      <c r="I29946" s="50"/>
      <c r="O29946" s="36" t="s">
        <v>48</v>
      </c>
      <c r="R29946" s="36" t="s">
        <v>48</v>
      </c>
    </row>
    <row r="29947">
      <c r="H29947" s="50"/>
      <c r="I29947" s="50"/>
      <c r="O29947" s="36" t="s">
        <v>48</v>
      </c>
      <c r="R29947" s="36" t="s">
        <v>48</v>
      </c>
    </row>
    <row r="29948">
      <c r="H29948" s="50"/>
      <c r="I29948" s="50"/>
      <c r="O29948" s="36" t="s">
        <v>48</v>
      </c>
      <c r="R29948" s="36" t="s">
        <v>48</v>
      </c>
    </row>
    <row r="29949">
      <c r="H29949" s="50"/>
      <c r="I29949" s="50"/>
      <c r="O29949" s="36" t="s">
        <v>48</v>
      </c>
      <c r="R29949" s="36" t="s">
        <v>48</v>
      </c>
    </row>
    <row r="29950">
      <c r="H29950" s="50"/>
      <c r="I29950" s="50"/>
      <c r="O29950" s="36" t="s">
        <v>48</v>
      </c>
      <c r="R29950" s="36" t="s">
        <v>48</v>
      </c>
    </row>
    <row r="29951">
      <c r="H29951" s="50"/>
      <c r="I29951" s="50"/>
      <c r="O29951" s="36" t="s">
        <v>48</v>
      </c>
      <c r="R29951" s="36" t="s">
        <v>48</v>
      </c>
    </row>
    <row r="29952">
      <c r="H29952" s="50"/>
      <c r="I29952" s="50"/>
      <c r="O29952" s="36" t="s">
        <v>48</v>
      </c>
      <c r="R29952" s="36" t="s">
        <v>48</v>
      </c>
    </row>
    <row r="29953">
      <c r="H29953" s="50"/>
      <c r="I29953" s="50"/>
      <c r="O29953" s="36" t="s">
        <v>48</v>
      </c>
      <c r="R29953" s="36" t="s">
        <v>48</v>
      </c>
    </row>
    <row r="29954">
      <c r="H29954" s="50"/>
      <c r="I29954" s="50"/>
      <c r="O29954" s="36" t="s">
        <v>48</v>
      </c>
      <c r="R29954" s="36" t="s">
        <v>48</v>
      </c>
    </row>
    <row r="29955">
      <c r="H29955" s="50"/>
      <c r="I29955" s="50"/>
      <c r="O29955" s="36" t="s">
        <v>48</v>
      </c>
      <c r="R29955" s="36" t="s">
        <v>48</v>
      </c>
    </row>
    <row r="29956">
      <c r="H29956" s="50"/>
      <c r="I29956" s="50"/>
      <c r="O29956" s="36" t="s">
        <v>48</v>
      </c>
      <c r="R29956" s="36" t="s">
        <v>48</v>
      </c>
    </row>
    <row r="29957">
      <c r="H29957" s="50"/>
      <c r="I29957" s="50"/>
      <c r="O29957" s="36" t="s">
        <v>48</v>
      </c>
      <c r="R29957" s="36" t="s">
        <v>48</v>
      </c>
    </row>
    <row r="29958">
      <c r="H29958" s="50"/>
      <c r="I29958" s="50"/>
      <c r="O29958" s="36" t="s">
        <v>48</v>
      </c>
      <c r="R29958" s="36" t="s">
        <v>48</v>
      </c>
    </row>
    <row r="29959">
      <c r="H29959" s="50"/>
      <c r="I29959" s="50"/>
      <c r="O29959" s="36" t="s">
        <v>48</v>
      </c>
      <c r="R29959" s="36" t="s">
        <v>48</v>
      </c>
    </row>
    <row r="29960">
      <c r="H29960" s="50"/>
      <c r="I29960" s="50"/>
      <c r="O29960" s="36" t="s">
        <v>48</v>
      </c>
      <c r="R29960" s="36" t="s">
        <v>48</v>
      </c>
    </row>
    <row r="29961">
      <c r="H29961" s="50"/>
      <c r="I29961" s="50"/>
      <c r="O29961" s="36" t="s">
        <v>48</v>
      </c>
      <c r="R29961" s="36" t="s">
        <v>48</v>
      </c>
    </row>
    <row r="29962">
      <c r="H29962" s="50"/>
      <c r="I29962" s="50"/>
      <c r="O29962" s="36" t="s">
        <v>48</v>
      </c>
      <c r="R29962" s="36" t="s">
        <v>48</v>
      </c>
    </row>
    <row r="29963">
      <c r="H29963" s="50"/>
      <c r="I29963" s="50"/>
      <c r="O29963" s="36" t="s">
        <v>48</v>
      </c>
      <c r="R29963" s="36" t="s">
        <v>48</v>
      </c>
    </row>
    <row r="29964">
      <c r="H29964" s="50"/>
      <c r="I29964" s="50"/>
      <c r="O29964" s="36" t="s">
        <v>48</v>
      </c>
      <c r="R29964" s="36" t="s">
        <v>48</v>
      </c>
    </row>
    <row r="29965">
      <c r="H29965" s="50"/>
      <c r="I29965" s="50"/>
      <c r="O29965" s="36" t="s">
        <v>48</v>
      </c>
      <c r="R29965" s="36" t="s">
        <v>48</v>
      </c>
    </row>
    <row r="29966">
      <c r="H29966" s="50"/>
      <c r="I29966" s="50"/>
      <c r="O29966" s="36" t="s">
        <v>48</v>
      </c>
      <c r="R29966" s="36" t="s">
        <v>48</v>
      </c>
    </row>
    <row r="29967">
      <c r="H29967" s="50"/>
      <c r="I29967" s="50"/>
      <c r="O29967" s="36" t="s">
        <v>48</v>
      </c>
      <c r="R29967" s="36" t="s">
        <v>48</v>
      </c>
    </row>
    <row r="29968">
      <c r="H29968" s="50"/>
      <c r="I29968" s="50"/>
      <c r="O29968" s="36" t="s">
        <v>48</v>
      </c>
      <c r="R29968" s="36" t="s">
        <v>48</v>
      </c>
    </row>
    <row r="29969">
      <c r="H29969" s="50"/>
      <c r="I29969" s="50"/>
      <c r="O29969" s="36" t="s">
        <v>48</v>
      </c>
      <c r="R29969" s="36" t="s">
        <v>48</v>
      </c>
    </row>
    <row r="29970">
      <c r="H29970" s="50"/>
      <c r="I29970" s="50"/>
      <c r="O29970" s="36" t="s">
        <v>48</v>
      </c>
      <c r="R29970" s="36" t="s">
        <v>48</v>
      </c>
    </row>
    <row r="29971">
      <c r="H29971" s="50"/>
      <c r="I29971" s="50"/>
      <c r="O29971" s="36" t="s">
        <v>48</v>
      </c>
      <c r="R29971" s="36" t="s">
        <v>48</v>
      </c>
    </row>
    <row r="29972">
      <c r="H29972" s="50"/>
      <c r="I29972" s="50"/>
      <c r="O29972" s="36" t="s">
        <v>48</v>
      </c>
      <c r="R29972" s="36" t="s">
        <v>48</v>
      </c>
    </row>
    <row r="29973">
      <c r="H29973" s="50"/>
      <c r="I29973" s="50"/>
      <c r="O29973" s="36" t="s">
        <v>48</v>
      </c>
      <c r="R29973" s="36" t="s">
        <v>48</v>
      </c>
    </row>
    <row r="29974">
      <c r="H29974" s="50"/>
      <c r="I29974" s="50"/>
      <c r="O29974" s="36" t="s">
        <v>48</v>
      </c>
      <c r="R29974" s="36" t="s">
        <v>48</v>
      </c>
    </row>
    <row r="29975">
      <c r="H29975" s="50"/>
      <c r="I29975" s="50"/>
      <c r="O29975" s="36" t="s">
        <v>48</v>
      </c>
      <c r="R29975" s="36" t="s">
        <v>48</v>
      </c>
    </row>
    <row r="29976">
      <c r="H29976" s="50"/>
      <c r="I29976" s="50"/>
      <c r="O29976" s="36" t="s">
        <v>48</v>
      </c>
      <c r="R29976" s="36" t="s">
        <v>48</v>
      </c>
    </row>
    <row r="29977">
      <c r="H29977" s="50"/>
      <c r="I29977" s="50"/>
      <c r="O29977" s="36" t="s">
        <v>48</v>
      </c>
      <c r="R29977" s="36" t="s">
        <v>48</v>
      </c>
    </row>
    <row r="29978">
      <c r="H29978" s="50"/>
      <c r="I29978" s="50"/>
      <c r="O29978" s="36" t="s">
        <v>48</v>
      </c>
      <c r="R29978" s="36" t="s">
        <v>48</v>
      </c>
    </row>
    <row r="29979">
      <c r="H29979" s="50"/>
      <c r="I29979" s="50"/>
      <c r="O29979" s="36" t="s">
        <v>48</v>
      </c>
      <c r="R29979" s="36" t="s">
        <v>48</v>
      </c>
    </row>
    <row r="29980">
      <c r="H29980" s="50"/>
      <c r="I29980" s="50"/>
      <c r="O29980" s="36" t="s">
        <v>48</v>
      </c>
      <c r="R29980" s="36" t="s">
        <v>48</v>
      </c>
    </row>
    <row r="29981">
      <c r="H29981" s="50"/>
      <c r="I29981" s="50"/>
      <c r="O29981" s="36" t="s">
        <v>48</v>
      </c>
      <c r="R29981" s="36" t="s">
        <v>48</v>
      </c>
    </row>
    <row r="29982">
      <c r="H29982" s="50"/>
      <c r="I29982" s="50"/>
      <c r="O29982" s="36" t="s">
        <v>48</v>
      </c>
      <c r="R29982" s="36" t="s">
        <v>48</v>
      </c>
    </row>
    <row r="29983">
      <c r="H29983" s="50"/>
      <c r="I29983" s="50"/>
      <c r="O29983" s="36" t="s">
        <v>48</v>
      </c>
      <c r="R29983" s="36" t="s">
        <v>48</v>
      </c>
    </row>
    <row r="29984">
      <c r="H29984" s="50"/>
      <c r="I29984" s="50"/>
      <c r="O29984" s="36" t="s">
        <v>48</v>
      </c>
      <c r="R29984" s="36" t="s">
        <v>48</v>
      </c>
    </row>
    <row r="29985">
      <c r="H29985" s="50"/>
      <c r="I29985" s="50"/>
      <c r="O29985" s="36" t="s">
        <v>48</v>
      </c>
      <c r="R29985" s="36" t="s">
        <v>48</v>
      </c>
    </row>
    <row r="29986">
      <c r="H29986" s="50"/>
      <c r="I29986" s="50"/>
      <c r="O29986" s="36" t="s">
        <v>48</v>
      </c>
      <c r="R29986" s="36" t="s">
        <v>48</v>
      </c>
    </row>
    <row r="29987">
      <c r="H29987" s="50"/>
      <c r="I29987" s="50"/>
      <c r="O29987" s="36" t="s">
        <v>48</v>
      </c>
      <c r="R29987" s="36" t="s">
        <v>48</v>
      </c>
    </row>
    <row r="29988">
      <c r="H29988" s="50"/>
      <c r="I29988" s="50"/>
      <c r="O29988" s="36" t="s">
        <v>48</v>
      </c>
      <c r="R29988" s="36" t="s">
        <v>48</v>
      </c>
    </row>
    <row r="29989">
      <c r="H29989" s="50"/>
      <c r="I29989" s="50"/>
      <c r="O29989" s="36" t="s">
        <v>48</v>
      </c>
      <c r="R29989" s="36" t="s">
        <v>48</v>
      </c>
    </row>
    <row r="29990">
      <c r="H29990" s="50"/>
      <c r="I29990" s="50"/>
      <c r="O29990" s="36" t="s">
        <v>48</v>
      </c>
      <c r="R29990" s="36" t="s">
        <v>48</v>
      </c>
    </row>
    <row r="29991">
      <c r="H29991" s="50"/>
      <c r="I29991" s="50"/>
      <c r="O29991" s="36" t="s">
        <v>48</v>
      </c>
      <c r="R29991" s="36" t="s">
        <v>48</v>
      </c>
    </row>
    <row r="29992">
      <c r="H29992" s="50"/>
      <c r="I29992" s="50"/>
      <c r="O29992" s="36" t="s">
        <v>48</v>
      </c>
      <c r="R29992" s="36" t="s">
        <v>48</v>
      </c>
    </row>
    <row r="29993">
      <c r="H29993" s="50"/>
      <c r="I29993" s="50"/>
      <c r="O29993" s="36" t="s">
        <v>48</v>
      </c>
      <c r="R29993" s="36" t="s">
        <v>48</v>
      </c>
    </row>
    <row r="29994">
      <c r="H29994" s="50"/>
      <c r="I29994" s="50"/>
      <c r="O29994" s="36" t="s">
        <v>48</v>
      </c>
      <c r="R29994" s="36" t="s">
        <v>48</v>
      </c>
    </row>
    <row r="29995">
      <c r="H29995" s="50"/>
      <c r="I29995" s="50"/>
      <c r="O29995" s="36" t="s">
        <v>48</v>
      </c>
      <c r="R29995" s="36" t="s">
        <v>48</v>
      </c>
    </row>
    <row r="29996">
      <c r="H29996" s="50"/>
      <c r="I29996" s="50"/>
      <c r="O29996" s="36" t="s">
        <v>48</v>
      </c>
      <c r="R29996" s="36" t="s">
        <v>48</v>
      </c>
    </row>
    <row r="29997">
      <c r="H29997" s="50"/>
      <c r="I29997" s="50"/>
      <c r="O29997" s="36" t="s">
        <v>48</v>
      </c>
      <c r="R29997" s="36" t="s">
        <v>48</v>
      </c>
    </row>
    <row r="29998">
      <c r="H29998" s="50"/>
      <c r="I29998" s="50"/>
      <c r="O29998" s="36" t="s">
        <v>48</v>
      </c>
      <c r="R29998" s="36" t="s">
        <v>48</v>
      </c>
    </row>
    <row r="29999">
      <c r="H29999" s="50"/>
      <c r="I29999" s="50"/>
      <c r="O29999" s="36" t="s">
        <v>48</v>
      </c>
      <c r="R29999" s="36" t="s">
        <v>48</v>
      </c>
    </row>
    <row r="30000">
      <c r="H30000" s="50"/>
      <c r="I30000" s="50"/>
      <c r="O30000" s="36" t="s">
        <v>48</v>
      </c>
      <c r="R30000" s="36" t="s">
        <v>48</v>
      </c>
    </row>
    <row r="30001">
      <c r="H30001" s="50"/>
      <c r="I30001" s="50"/>
      <c r="O30001" s="36" t="s">
        <v>48</v>
      </c>
      <c r="R30001" s="36" t="s">
        <v>48</v>
      </c>
    </row>
    <row r="30002">
      <c r="H30002" s="50"/>
      <c r="I30002" s="50"/>
      <c r="O30002" s="36" t="s">
        <v>48</v>
      </c>
      <c r="R30002" s="36" t="s">
        <v>48</v>
      </c>
    </row>
    <row r="30003">
      <c r="H30003" s="50"/>
      <c r="I30003" s="50"/>
      <c r="O30003" s="36" t="s">
        <v>48</v>
      </c>
      <c r="R30003" s="36" t="s">
        <v>48</v>
      </c>
    </row>
    <row r="30004">
      <c r="H30004" s="50"/>
      <c r="I30004" s="50"/>
      <c r="O30004" s="36" t="s">
        <v>48</v>
      </c>
      <c r="R30004" s="36" t="s">
        <v>48</v>
      </c>
    </row>
    <row r="30005">
      <c r="H30005" s="50"/>
      <c r="I30005" s="50"/>
      <c r="O30005" s="36" t="s">
        <v>48</v>
      </c>
      <c r="R30005" s="36" t="s">
        <v>48</v>
      </c>
    </row>
    <row r="30006">
      <c r="H30006" s="50"/>
      <c r="I30006" s="50"/>
      <c r="O30006" s="36" t="s">
        <v>48</v>
      </c>
      <c r="R30006" s="36" t="s">
        <v>48</v>
      </c>
    </row>
    <row r="30007">
      <c r="H30007" s="50"/>
      <c r="I30007" s="50"/>
      <c r="O30007" s="36" t="s">
        <v>48</v>
      </c>
      <c r="R30007" s="36" t="s">
        <v>48</v>
      </c>
    </row>
    <row r="30008">
      <c r="H30008" s="50"/>
      <c r="I30008" s="50"/>
      <c r="O30008" s="36" t="s">
        <v>48</v>
      </c>
      <c r="R30008" s="36" t="s">
        <v>48</v>
      </c>
    </row>
    <row r="30009">
      <c r="H30009" s="50"/>
      <c r="I30009" s="50"/>
      <c r="O30009" s="36" t="s">
        <v>48</v>
      </c>
      <c r="R30009" s="36" t="s">
        <v>48</v>
      </c>
    </row>
    <row r="30010">
      <c r="H30010" s="50"/>
      <c r="I30010" s="50"/>
      <c r="O30010" s="36" t="s">
        <v>48</v>
      </c>
      <c r="R30010" s="36" t="s">
        <v>48</v>
      </c>
    </row>
    <row r="30011">
      <c r="H30011" s="50"/>
      <c r="I30011" s="50"/>
      <c r="O30011" s="36" t="s">
        <v>48</v>
      </c>
      <c r="R30011" s="36" t="s">
        <v>48</v>
      </c>
    </row>
    <row r="30012">
      <c r="H30012" s="50"/>
      <c r="I30012" s="50"/>
      <c r="O30012" s="36" t="s">
        <v>48</v>
      </c>
      <c r="R30012" s="36" t="s">
        <v>48</v>
      </c>
    </row>
    <row r="30013">
      <c r="H30013" s="50"/>
      <c r="I30013" s="50"/>
      <c r="O30013" s="36" t="s">
        <v>48</v>
      </c>
      <c r="R30013" s="36" t="s">
        <v>48</v>
      </c>
    </row>
    <row r="30014">
      <c r="H30014" s="50"/>
      <c r="I30014" s="50"/>
      <c r="O30014" s="36" t="s">
        <v>48</v>
      </c>
      <c r="R30014" s="36" t="s">
        <v>48</v>
      </c>
    </row>
    <row r="30015">
      <c r="H30015" s="50"/>
      <c r="I30015" s="50"/>
      <c r="O30015" s="36" t="s">
        <v>48</v>
      </c>
      <c r="R30015" s="36" t="s">
        <v>48</v>
      </c>
    </row>
    <row r="30016">
      <c r="H30016" s="50"/>
      <c r="I30016" s="50"/>
      <c r="O30016" s="36" t="s">
        <v>48</v>
      </c>
      <c r="R30016" s="36" t="s">
        <v>48</v>
      </c>
    </row>
    <row r="30017">
      <c r="H30017" s="50"/>
      <c r="I30017" s="50"/>
      <c r="O30017" s="36" t="s">
        <v>48</v>
      </c>
      <c r="R30017" s="36" t="s">
        <v>48</v>
      </c>
    </row>
    <row r="30018">
      <c r="H30018" s="50"/>
      <c r="I30018" s="50"/>
      <c r="O30018" s="36" t="s">
        <v>48</v>
      </c>
      <c r="R30018" s="36" t="s">
        <v>48</v>
      </c>
    </row>
    <row r="30019">
      <c r="H30019" s="50"/>
      <c r="I30019" s="50"/>
      <c r="O30019" s="36" t="s">
        <v>48</v>
      </c>
      <c r="R30019" s="36" t="s">
        <v>48</v>
      </c>
    </row>
    <row r="30020">
      <c r="H30020" s="50"/>
      <c r="I30020" s="50"/>
      <c r="O30020" s="36" t="s">
        <v>48</v>
      </c>
      <c r="R30020" s="36" t="s">
        <v>48</v>
      </c>
    </row>
    <row r="30021">
      <c r="H30021" s="50"/>
      <c r="I30021" s="50"/>
      <c r="O30021" s="36" t="s">
        <v>48</v>
      </c>
      <c r="R30021" s="36" t="s">
        <v>48</v>
      </c>
    </row>
    <row r="30022">
      <c r="H30022" s="50"/>
      <c r="I30022" s="50"/>
      <c r="O30022" s="36" t="s">
        <v>48</v>
      </c>
      <c r="R30022" s="36" t="s">
        <v>48</v>
      </c>
    </row>
    <row r="30023">
      <c r="H30023" s="50"/>
      <c r="I30023" s="50"/>
      <c r="O30023" s="36" t="s">
        <v>48</v>
      </c>
      <c r="R30023" s="36" t="s">
        <v>48</v>
      </c>
    </row>
    <row r="30024">
      <c r="H30024" s="50"/>
      <c r="I30024" s="50"/>
      <c r="O30024" s="36" t="s">
        <v>48</v>
      </c>
      <c r="R30024" s="36" t="s">
        <v>48</v>
      </c>
    </row>
    <row r="30025">
      <c r="H30025" s="50"/>
      <c r="I30025" s="50"/>
      <c r="O30025" s="36" t="s">
        <v>48</v>
      </c>
      <c r="R30025" s="36" t="s">
        <v>48</v>
      </c>
    </row>
    <row r="30026">
      <c r="H30026" s="50"/>
      <c r="I30026" s="50"/>
      <c r="O30026" s="36" t="s">
        <v>48</v>
      </c>
      <c r="R30026" s="36" t="s">
        <v>48</v>
      </c>
    </row>
    <row r="30027">
      <c r="H30027" s="50"/>
      <c r="I30027" s="50"/>
      <c r="O30027" s="36" t="s">
        <v>48</v>
      </c>
      <c r="R30027" s="36" t="s">
        <v>48</v>
      </c>
    </row>
    <row r="30028">
      <c r="H30028" s="50"/>
      <c r="I30028" s="50"/>
      <c r="O30028" s="36" t="s">
        <v>48</v>
      </c>
      <c r="R30028" s="36" t="s">
        <v>48</v>
      </c>
    </row>
    <row r="30029">
      <c r="H30029" s="50"/>
      <c r="I30029" s="50"/>
      <c r="O30029" s="36" t="s">
        <v>48</v>
      </c>
      <c r="R30029" s="36" t="s">
        <v>48</v>
      </c>
    </row>
    <row r="30030">
      <c r="H30030" s="50"/>
      <c r="I30030" s="50"/>
      <c r="O30030" s="36" t="s">
        <v>48</v>
      </c>
      <c r="R30030" s="36" t="s">
        <v>48</v>
      </c>
    </row>
    <row r="30031">
      <c r="H30031" s="50"/>
      <c r="I30031" s="50"/>
      <c r="O30031" s="36" t="s">
        <v>48</v>
      </c>
      <c r="R30031" s="36" t="s">
        <v>48</v>
      </c>
    </row>
    <row r="30032">
      <c r="H30032" s="50"/>
      <c r="I30032" s="50"/>
      <c r="O30032" s="36" t="s">
        <v>48</v>
      </c>
      <c r="R30032" s="36" t="s">
        <v>48</v>
      </c>
    </row>
    <row r="30033">
      <c r="H30033" s="50"/>
      <c r="I30033" s="50"/>
      <c r="O30033" s="36" t="s">
        <v>48</v>
      </c>
      <c r="R30033" s="36" t="s">
        <v>48</v>
      </c>
    </row>
    <row r="30034">
      <c r="H30034" s="50"/>
      <c r="I30034" s="50"/>
      <c r="O30034" s="36" t="s">
        <v>48</v>
      </c>
      <c r="R30034" s="36" t="s">
        <v>48</v>
      </c>
    </row>
    <row r="30035">
      <c r="H30035" s="50"/>
      <c r="I30035" s="50"/>
      <c r="O30035" s="36" t="s">
        <v>48</v>
      </c>
      <c r="R30035" s="36" t="s">
        <v>48</v>
      </c>
    </row>
    <row r="30036">
      <c r="H30036" s="50"/>
      <c r="I30036" s="50"/>
      <c r="O30036" s="36" t="s">
        <v>48</v>
      </c>
      <c r="R30036" s="36" t="s">
        <v>48</v>
      </c>
    </row>
    <row r="30037">
      <c r="H30037" s="50"/>
      <c r="I30037" s="50"/>
      <c r="O30037" s="36" t="s">
        <v>48</v>
      </c>
      <c r="R30037" s="36" t="s">
        <v>48</v>
      </c>
    </row>
    <row r="30038">
      <c r="H30038" s="50"/>
      <c r="I30038" s="50"/>
      <c r="O30038" s="36" t="s">
        <v>48</v>
      </c>
      <c r="R30038" s="36" t="s">
        <v>48</v>
      </c>
    </row>
    <row r="30039">
      <c r="H30039" s="50"/>
      <c r="I30039" s="50"/>
      <c r="O30039" s="36" t="s">
        <v>48</v>
      </c>
      <c r="R30039" s="36" t="s">
        <v>48</v>
      </c>
    </row>
    <row r="30040">
      <c r="H30040" s="50"/>
      <c r="I30040" s="50"/>
      <c r="O30040" s="36" t="s">
        <v>48</v>
      </c>
      <c r="R30040" s="36" t="s">
        <v>48</v>
      </c>
    </row>
    <row r="30041">
      <c r="H30041" s="50"/>
      <c r="I30041" s="50"/>
      <c r="O30041" s="36" t="s">
        <v>48</v>
      </c>
      <c r="R30041" s="36" t="s">
        <v>48</v>
      </c>
    </row>
    <row r="30042">
      <c r="H30042" s="50"/>
      <c r="I30042" s="50"/>
      <c r="O30042" s="36" t="s">
        <v>48</v>
      </c>
      <c r="R30042" s="36" t="s">
        <v>48</v>
      </c>
    </row>
    <row r="30043">
      <c r="H30043" s="50"/>
      <c r="I30043" s="50"/>
      <c r="O30043" s="36" t="s">
        <v>48</v>
      </c>
      <c r="R30043" s="36" t="s">
        <v>48</v>
      </c>
    </row>
    <row r="30044">
      <c r="H30044" s="50"/>
      <c r="I30044" s="50"/>
      <c r="O30044" s="36" t="s">
        <v>48</v>
      </c>
      <c r="R30044" s="36" t="s">
        <v>48</v>
      </c>
    </row>
    <row r="30045">
      <c r="H30045" s="50"/>
      <c r="I30045" s="50"/>
      <c r="O30045" s="36" t="s">
        <v>48</v>
      </c>
      <c r="R30045" s="36" t="s">
        <v>48</v>
      </c>
    </row>
    <row r="30046">
      <c r="H30046" s="50"/>
      <c r="I30046" s="50"/>
      <c r="O30046" s="36" t="s">
        <v>48</v>
      </c>
      <c r="R30046" s="36" t="s">
        <v>48</v>
      </c>
    </row>
    <row r="30047">
      <c r="H30047" s="50"/>
      <c r="I30047" s="50"/>
      <c r="O30047" s="36" t="s">
        <v>48</v>
      </c>
      <c r="R30047" s="36" t="s">
        <v>48</v>
      </c>
    </row>
    <row r="30048">
      <c r="H30048" s="50"/>
      <c r="I30048" s="50"/>
      <c r="O30048" s="36" t="s">
        <v>48</v>
      </c>
      <c r="R30048" s="36" t="s">
        <v>48</v>
      </c>
    </row>
    <row r="30049">
      <c r="H30049" s="50"/>
      <c r="I30049" s="50"/>
      <c r="O30049" s="36" t="s">
        <v>48</v>
      </c>
      <c r="R30049" s="36" t="s">
        <v>48</v>
      </c>
    </row>
    <row r="30050">
      <c r="H30050" s="50"/>
      <c r="I30050" s="50"/>
      <c r="O30050" s="36" t="s">
        <v>48</v>
      </c>
      <c r="R30050" s="36" t="s">
        <v>48</v>
      </c>
    </row>
    <row r="30051">
      <c r="H30051" s="50"/>
      <c r="I30051" s="50"/>
      <c r="O30051" s="36" t="s">
        <v>48</v>
      </c>
      <c r="R30051" s="36" t="s">
        <v>48</v>
      </c>
    </row>
    <row r="30052">
      <c r="H30052" s="50"/>
      <c r="I30052" s="50"/>
      <c r="O30052" s="36" t="s">
        <v>48</v>
      </c>
      <c r="R30052" s="36" t="s">
        <v>48</v>
      </c>
    </row>
    <row r="30053">
      <c r="H30053" s="50"/>
      <c r="I30053" s="50"/>
      <c r="O30053" s="36" t="s">
        <v>48</v>
      </c>
      <c r="R30053" s="36" t="s">
        <v>48</v>
      </c>
    </row>
    <row r="30054">
      <c r="H30054" s="50"/>
      <c r="I30054" s="50"/>
      <c r="O30054" s="36" t="s">
        <v>48</v>
      </c>
      <c r="R30054" s="36" t="s">
        <v>48</v>
      </c>
    </row>
    <row r="30055">
      <c r="H30055" s="50"/>
      <c r="I30055" s="50"/>
      <c r="O30055" s="36" t="s">
        <v>48</v>
      </c>
      <c r="R30055" s="36" t="s">
        <v>48</v>
      </c>
    </row>
    <row r="30056">
      <c r="H30056" s="50"/>
      <c r="I30056" s="50"/>
      <c r="O30056" s="36" t="s">
        <v>48</v>
      </c>
      <c r="R30056" s="36" t="s">
        <v>48</v>
      </c>
    </row>
    <row r="30057">
      <c r="H30057" s="50"/>
      <c r="I30057" s="50"/>
      <c r="O30057" s="36" t="s">
        <v>48</v>
      </c>
      <c r="R30057" s="36" t="s">
        <v>48</v>
      </c>
    </row>
    <row r="30058">
      <c r="H30058" s="50"/>
      <c r="I30058" s="50"/>
      <c r="O30058" s="36" t="s">
        <v>48</v>
      </c>
      <c r="R30058" s="36" t="s">
        <v>48</v>
      </c>
    </row>
    <row r="30059">
      <c r="H30059" s="50"/>
      <c r="I30059" s="50"/>
      <c r="O30059" s="36" t="s">
        <v>48</v>
      </c>
      <c r="R30059" s="36" t="s">
        <v>48</v>
      </c>
    </row>
    <row r="30060">
      <c r="H30060" s="50"/>
      <c r="I30060" s="50"/>
      <c r="O30060" s="36" t="s">
        <v>48</v>
      </c>
      <c r="R30060" s="36" t="s">
        <v>48</v>
      </c>
    </row>
    <row r="30061">
      <c r="H30061" s="50"/>
      <c r="I30061" s="50"/>
      <c r="O30061" s="36" t="s">
        <v>48</v>
      </c>
      <c r="R30061" s="36" t="s">
        <v>48</v>
      </c>
    </row>
    <row r="30062">
      <c r="H30062" s="50"/>
      <c r="I30062" s="50"/>
      <c r="O30062" s="36" t="s">
        <v>48</v>
      </c>
      <c r="R30062" s="36" t="s">
        <v>48</v>
      </c>
    </row>
    <row r="30063">
      <c r="H30063" s="50"/>
      <c r="I30063" s="50"/>
      <c r="O30063" s="36" t="s">
        <v>48</v>
      </c>
      <c r="R30063" s="36" t="s">
        <v>48</v>
      </c>
    </row>
    <row r="30064">
      <c r="H30064" s="50"/>
      <c r="I30064" s="50"/>
      <c r="O30064" s="36" t="s">
        <v>48</v>
      </c>
      <c r="R30064" s="36" t="s">
        <v>48</v>
      </c>
    </row>
    <row r="30065">
      <c r="H30065" s="50"/>
      <c r="I30065" s="50"/>
      <c r="O30065" s="36" t="s">
        <v>48</v>
      </c>
      <c r="R30065" s="36" t="s">
        <v>48</v>
      </c>
    </row>
    <row r="30066">
      <c r="H30066" s="50"/>
      <c r="I30066" s="50"/>
      <c r="O30066" s="36" t="s">
        <v>48</v>
      </c>
      <c r="R30066" s="36" t="s">
        <v>48</v>
      </c>
    </row>
    <row r="30067">
      <c r="H30067" s="50"/>
      <c r="I30067" s="50"/>
      <c r="O30067" s="36" t="s">
        <v>48</v>
      </c>
      <c r="R30067" s="36" t="s">
        <v>48</v>
      </c>
    </row>
    <row r="30068">
      <c r="H30068" s="50"/>
      <c r="I30068" s="50"/>
      <c r="O30068" s="36" t="s">
        <v>48</v>
      </c>
      <c r="R30068" s="36" t="s">
        <v>48</v>
      </c>
    </row>
    <row r="30069">
      <c r="H30069" s="50"/>
      <c r="I30069" s="50"/>
      <c r="O30069" s="36" t="s">
        <v>48</v>
      </c>
      <c r="R30069" s="36" t="s">
        <v>48</v>
      </c>
    </row>
    <row r="30070">
      <c r="H30070" s="50"/>
      <c r="I30070" s="50"/>
      <c r="O30070" s="36" t="s">
        <v>48</v>
      </c>
      <c r="R30070" s="36" t="s">
        <v>48</v>
      </c>
    </row>
    <row r="30071">
      <c r="H30071" s="50"/>
      <c r="I30071" s="50"/>
      <c r="O30071" s="36" t="s">
        <v>48</v>
      </c>
      <c r="R30071" s="36" t="s">
        <v>48</v>
      </c>
    </row>
    <row r="30072">
      <c r="H30072" s="50"/>
      <c r="I30072" s="50"/>
      <c r="O30072" s="36" t="s">
        <v>48</v>
      </c>
      <c r="R30072" s="36" t="s">
        <v>48</v>
      </c>
    </row>
    <row r="30073">
      <c r="H30073" s="50"/>
      <c r="I30073" s="50"/>
      <c r="O30073" s="36" t="s">
        <v>48</v>
      </c>
      <c r="R30073" s="36" t="s">
        <v>48</v>
      </c>
    </row>
    <row r="30074">
      <c r="H30074" s="50"/>
      <c r="I30074" s="50"/>
      <c r="O30074" s="36" t="s">
        <v>48</v>
      </c>
      <c r="R30074" s="36" t="s">
        <v>48</v>
      </c>
    </row>
    <row r="30075">
      <c r="H30075" s="50"/>
      <c r="I30075" s="50"/>
      <c r="O30075" s="36" t="s">
        <v>48</v>
      </c>
      <c r="R30075" s="36" t="s">
        <v>48</v>
      </c>
    </row>
    <row r="30076">
      <c r="H30076" s="50"/>
      <c r="I30076" s="50"/>
      <c r="O30076" s="36" t="s">
        <v>48</v>
      </c>
      <c r="R30076" s="36" t="s">
        <v>48</v>
      </c>
    </row>
    <row r="30077">
      <c r="H30077" s="50"/>
      <c r="I30077" s="50"/>
      <c r="O30077" s="36" t="s">
        <v>48</v>
      </c>
      <c r="R30077" s="36" t="s">
        <v>48</v>
      </c>
    </row>
    <row r="30078">
      <c r="H30078" s="50"/>
      <c r="I30078" s="50"/>
      <c r="O30078" s="36" t="s">
        <v>48</v>
      </c>
      <c r="R30078" s="36" t="s">
        <v>48</v>
      </c>
    </row>
    <row r="30079">
      <c r="H30079" s="50"/>
      <c r="I30079" s="50"/>
      <c r="O30079" s="36" t="s">
        <v>48</v>
      </c>
      <c r="R30079" s="36" t="s">
        <v>48</v>
      </c>
    </row>
    <row r="30080">
      <c r="H30080" s="50"/>
      <c r="I30080" s="50"/>
      <c r="O30080" s="36" t="s">
        <v>48</v>
      </c>
      <c r="R30080" s="36" t="s">
        <v>48</v>
      </c>
    </row>
    <row r="30081">
      <c r="H30081" s="50"/>
      <c r="I30081" s="50"/>
      <c r="O30081" s="36" t="s">
        <v>48</v>
      </c>
      <c r="R30081" s="36" t="s">
        <v>48</v>
      </c>
    </row>
    <row r="30082">
      <c r="H30082" s="50"/>
      <c r="I30082" s="50"/>
      <c r="O30082" s="36" t="s">
        <v>48</v>
      </c>
      <c r="R30082" s="36" t="s">
        <v>48</v>
      </c>
    </row>
    <row r="30083">
      <c r="H30083" s="50"/>
      <c r="I30083" s="50"/>
      <c r="O30083" s="36" t="s">
        <v>48</v>
      </c>
      <c r="R30083" s="36" t="s">
        <v>48</v>
      </c>
    </row>
    <row r="30084">
      <c r="H30084" s="50"/>
      <c r="I30084" s="50"/>
      <c r="O30084" s="36" t="s">
        <v>48</v>
      </c>
      <c r="R30084" s="36" t="s">
        <v>48</v>
      </c>
    </row>
    <row r="30085">
      <c r="H30085" s="50"/>
      <c r="I30085" s="50"/>
      <c r="O30085" s="36" t="s">
        <v>48</v>
      </c>
      <c r="R30085" s="36" t="s">
        <v>48</v>
      </c>
    </row>
    <row r="30086">
      <c r="H30086" s="50"/>
      <c r="I30086" s="50"/>
      <c r="O30086" s="36" t="s">
        <v>48</v>
      </c>
      <c r="R30086" s="36" t="s">
        <v>48</v>
      </c>
    </row>
    <row r="30087">
      <c r="H30087" s="50"/>
      <c r="I30087" s="50"/>
      <c r="O30087" s="36" t="s">
        <v>48</v>
      </c>
      <c r="R30087" s="36" t="s">
        <v>48</v>
      </c>
    </row>
    <row r="30088">
      <c r="H30088" s="50"/>
      <c r="I30088" s="50"/>
      <c r="O30088" s="36" t="s">
        <v>48</v>
      </c>
      <c r="R30088" s="36" t="s">
        <v>48</v>
      </c>
    </row>
    <row r="30089">
      <c r="H30089" s="50"/>
      <c r="I30089" s="50"/>
      <c r="O30089" s="36" t="s">
        <v>48</v>
      </c>
      <c r="R30089" s="36" t="s">
        <v>48</v>
      </c>
    </row>
    <row r="30090">
      <c r="H30090" s="50"/>
      <c r="I30090" s="50"/>
      <c r="O30090" s="36" t="s">
        <v>48</v>
      </c>
      <c r="R30090" s="36" t="s">
        <v>48</v>
      </c>
    </row>
    <row r="30091">
      <c r="H30091" s="50"/>
      <c r="I30091" s="50"/>
      <c r="O30091" s="36" t="s">
        <v>48</v>
      </c>
      <c r="R30091" s="36" t="s">
        <v>48</v>
      </c>
    </row>
    <row r="30092">
      <c r="H30092" s="50"/>
      <c r="I30092" s="50"/>
      <c r="O30092" s="36" t="s">
        <v>48</v>
      </c>
      <c r="R30092" s="36" t="s">
        <v>48</v>
      </c>
    </row>
    <row r="30093">
      <c r="H30093" s="50"/>
      <c r="I30093" s="50"/>
      <c r="O30093" s="36" t="s">
        <v>48</v>
      </c>
      <c r="R30093" s="36" t="s">
        <v>48</v>
      </c>
    </row>
    <row r="30094">
      <c r="H30094" s="50"/>
      <c r="I30094" s="50"/>
      <c r="O30094" s="36" t="s">
        <v>48</v>
      </c>
      <c r="R30094" s="36" t="s">
        <v>48</v>
      </c>
    </row>
    <row r="30095">
      <c r="H30095" s="50"/>
      <c r="I30095" s="50"/>
      <c r="O30095" s="36" t="s">
        <v>48</v>
      </c>
      <c r="R30095" s="36" t="s">
        <v>48</v>
      </c>
    </row>
    <row r="30096">
      <c r="H30096" s="50"/>
      <c r="I30096" s="50"/>
      <c r="O30096" s="36" t="s">
        <v>48</v>
      </c>
      <c r="R30096" s="36" t="s">
        <v>48</v>
      </c>
    </row>
    <row r="30097">
      <c r="H30097" s="50"/>
      <c r="I30097" s="50"/>
      <c r="O30097" s="36" t="s">
        <v>48</v>
      </c>
      <c r="R30097" s="36" t="s">
        <v>48</v>
      </c>
    </row>
    <row r="30098">
      <c r="H30098" s="50"/>
      <c r="I30098" s="50"/>
      <c r="O30098" s="36" t="s">
        <v>48</v>
      </c>
      <c r="R30098" s="36" t="s">
        <v>48</v>
      </c>
    </row>
    <row r="30099">
      <c r="H30099" s="50"/>
      <c r="I30099" s="50"/>
      <c r="O30099" s="36" t="s">
        <v>48</v>
      </c>
      <c r="R30099" s="36" t="s">
        <v>48</v>
      </c>
    </row>
    <row r="30100">
      <c r="H30100" s="50"/>
      <c r="I30100" s="50"/>
      <c r="O30100" s="36" t="s">
        <v>48</v>
      </c>
      <c r="R30100" s="36" t="s">
        <v>48</v>
      </c>
    </row>
    <row r="30101">
      <c r="H30101" s="50"/>
      <c r="I30101" s="50"/>
      <c r="O30101" s="36" t="s">
        <v>48</v>
      </c>
      <c r="R30101" s="36" t="s">
        <v>48</v>
      </c>
    </row>
    <row r="30102">
      <c r="H30102" s="50"/>
      <c r="I30102" s="50"/>
      <c r="O30102" s="36" t="s">
        <v>48</v>
      </c>
      <c r="R30102" s="36" t="s">
        <v>48</v>
      </c>
    </row>
    <row r="30103">
      <c r="H30103" s="50"/>
      <c r="I30103" s="50"/>
      <c r="O30103" s="36" t="s">
        <v>48</v>
      </c>
      <c r="R30103" s="36" t="s">
        <v>48</v>
      </c>
    </row>
    <row r="30104">
      <c r="H30104" s="50"/>
      <c r="I30104" s="50"/>
      <c r="O30104" s="36" t="s">
        <v>48</v>
      </c>
      <c r="R30104" s="36" t="s">
        <v>48</v>
      </c>
    </row>
    <row r="30105">
      <c r="H30105" s="50"/>
      <c r="I30105" s="50"/>
      <c r="O30105" s="36" t="s">
        <v>48</v>
      </c>
      <c r="R30105" s="36" t="s">
        <v>48</v>
      </c>
    </row>
    <row r="30106">
      <c r="H30106" s="50"/>
      <c r="I30106" s="50"/>
      <c r="O30106" s="36" t="s">
        <v>48</v>
      </c>
      <c r="R30106" s="36" t="s">
        <v>48</v>
      </c>
    </row>
    <row r="30107">
      <c r="H30107" s="50"/>
      <c r="I30107" s="50"/>
      <c r="O30107" s="36" t="s">
        <v>48</v>
      </c>
      <c r="R30107" s="36" t="s">
        <v>48</v>
      </c>
    </row>
    <row r="30108">
      <c r="H30108" s="50"/>
      <c r="I30108" s="50"/>
      <c r="O30108" s="36" t="s">
        <v>48</v>
      </c>
      <c r="R30108" s="36" t="s">
        <v>48</v>
      </c>
    </row>
    <row r="30109">
      <c r="H30109" s="50"/>
      <c r="I30109" s="50"/>
      <c r="O30109" s="36" t="s">
        <v>48</v>
      </c>
      <c r="R30109" s="36" t="s">
        <v>48</v>
      </c>
    </row>
    <row r="30110">
      <c r="H30110" s="50"/>
      <c r="I30110" s="50"/>
      <c r="O30110" s="36" t="s">
        <v>48</v>
      </c>
      <c r="R30110" s="36" t="s">
        <v>48</v>
      </c>
    </row>
    <row r="30111">
      <c r="H30111" s="50"/>
      <c r="I30111" s="50"/>
      <c r="O30111" s="36" t="s">
        <v>48</v>
      </c>
      <c r="R30111" s="36" t="s">
        <v>48</v>
      </c>
    </row>
    <row r="30112">
      <c r="H30112" s="50"/>
      <c r="I30112" s="50"/>
      <c r="O30112" s="36" t="s">
        <v>48</v>
      </c>
      <c r="R30112" s="36" t="s">
        <v>48</v>
      </c>
    </row>
    <row r="30113">
      <c r="H30113" s="50"/>
      <c r="I30113" s="50"/>
      <c r="O30113" s="36" t="s">
        <v>48</v>
      </c>
      <c r="R30113" s="36" t="s">
        <v>48</v>
      </c>
    </row>
    <row r="30114">
      <c r="H30114" s="50"/>
      <c r="I30114" s="50"/>
      <c r="O30114" s="36" t="s">
        <v>48</v>
      </c>
      <c r="R30114" s="36" t="s">
        <v>48</v>
      </c>
    </row>
    <row r="30115">
      <c r="H30115" s="50"/>
      <c r="I30115" s="50"/>
      <c r="O30115" s="36" t="s">
        <v>48</v>
      </c>
      <c r="R30115" s="36" t="s">
        <v>48</v>
      </c>
    </row>
    <row r="30116">
      <c r="H30116" s="50"/>
      <c r="I30116" s="50"/>
      <c r="O30116" s="36" t="s">
        <v>48</v>
      </c>
      <c r="R30116" s="36" t="s">
        <v>48</v>
      </c>
    </row>
    <row r="30117">
      <c r="H30117" s="50"/>
      <c r="I30117" s="50"/>
      <c r="O30117" s="36" t="s">
        <v>48</v>
      </c>
      <c r="R30117" s="36" t="s">
        <v>48</v>
      </c>
    </row>
    <row r="30118">
      <c r="H30118" s="50"/>
      <c r="I30118" s="50"/>
      <c r="O30118" s="36" t="s">
        <v>48</v>
      </c>
      <c r="R30118" s="36" t="s">
        <v>48</v>
      </c>
    </row>
    <row r="30119">
      <c r="H30119" s="50"/>
      <c r="I30119" s="50"/>
      <c r="O30119" s="36" t="s">
        <v>48</v>
      </c>
      <c r="R30119" s="36" t="s">
        <v>48</v>
      </c>
    </row>
    <row r="30120">
      <c r="H30120" s="50"/>
      <c r="I30120" s="50"/>
      <c r="O30120" s="36" t="s">
        <v>48</v>
      </c>
      <c r="R30120" s="36" t="s">
        <v>48</v>
      </c>
    </row>
    <row r="30121">
      <c r="H30121" s="50"/>
      <c r="I30121" s="50"/>
      <c r="O30121" s="36" t="s">
        <v>48</v>
      </c>
      <c r="R30121" s="36" t="s">
        <v>48</v>
      </c>
    </row>
    <row r="30122">
      <c r="H30122" s="50"/>
      <c r="I30122" s="50"/>
      <c r="O30122" s="36" t="s">
        <v>48</v>
      </c>
      <c r="R30122" s="36" t="s">
        <v>48</v>
      </c>
    </row>
    <row r="30123">
      <c r="H30123" s="50"/>
      <c r="I30123" s="50"/>
      <c r="O30123" s="36" t="s">
        <v>48</v>
      </c>
      <c r="R30123" s="36" t="s">
        <v>48</v>
      </c>
    </row>
    <row r="30124">
      <c r="H30124" s="50"/>
      <c r="I30124" s="50"/>
      <c r="O30124" s="36" t="s">
        <v>48</v>
      </c>
      <c r="R30124" s="36" t="s">
        <v>48</v>
      </c>
    </row>
    <row r="30125">
      <c r="H30125" s="50"/>
      <c r="I30125" s="50"/>
      <c r="O30125" s="36" t="s">
        <v>48</v>
      </c>
      <c r="R30125" s="36" t="s">
        <v>48</v>
      </c>
    </row>
    <row r="30126">
      <c r="H30126" s="50"/>
      <c r="I30126" s="50"/>
      <c r="O30126" s="36" t="s">
        <v>48</v>
      </c>
      <c r="R30126" s="36" t="s">
        <v>48</v>
      </c>
    </row>
    <row r="30127">
      <c r="H30127" s="50"/>
      <c r="I30127" s="50"/>
      <c r="O30127" s="36" t="s">
        <v>48</v>
      </c>
      <c r="R30127" s="36" t="s">
        <v>48</v>
      </c>
    </row>
    <row r="30128">
      <c r="H30128" s="50"/>
      <c r="I30128" s="50"/>
      <c r="O30128" s="36" t="s">
        <v>48</v>
      </c>
      <c r="R30128" s="36" t="s">
        <v>48</v>
      </c>
    </row>
    <row r="30129">
      <c r="H30129" s="50"/>
      <c r="I30129" s="50"/>
      <c r="O30129" s="36" t="s">
        <v>48</v>
      </c>
      <c r="R30129" s="36" t="s">
        <v>48</v>
      </c>
    </row>
    <row r="30130">
      <c r="H30130" s="50"/>
      <c r="I30130" s="50"/>
      <c r="O30130" s="36" t="s">
        <v>48</v>
      </c>
      <c r="R30130" s="36" t="s">
        <v>48</v>
      </c>
    </row>
    <row r="30131">
      <c r="H30131" s="50"/>
      <c r="I30131" s="50"/>
      <c r="O30131" s="36" t="s">
        <v>48</v>
      </c>
      <c r="R30131" s="36" t="s">
        <v>48</v>
      </c>
    </row>
    <row r="30132">
      <c r="H30132" s="50"/>
      <c r="I30132" s="50"/>
      <c r="O30132" s="36" t="s">
        <v>48</v>
      </c>
      <c r="R30132" s="36" t="s">
        <v>48</v>
      </c>
    </row>
    <row r="30133">
      <c r="H30133" s="50"/>
      <c r="I30133" s="50"/>
      <c r="O30133" s="36" t="s">
        <v>48</v>
      </c>
      <c r="R30133" s="36" t="s">
        <v>48</v>
      </c>
    </row>
    <row r="30134">
      <c r="H30134" s="50"/>
      <c r="I30134" s="50"/>
      <c r="O30134" s="36" t="s">
        <v>48</v>
      </c>
      <c r="R30134" s="36" t="s">
        <v>48</v>
      </c>
    </row>
    <row r="30135">
      <c r="H30135" s="50"/>
      <c r="I30135" s="50"/>
      <c r="O30135" s="36" t="s">
        <v>48</v>
      </c>
      <c r="R30135" s="36" t="s">
        <v>48</v>
      </c>
    </row>
    <row r="30136">
      <c r="H30136" s="50"/>
      <c r="I30136" s="50"/>
      <c r="O30136" s="36" t="s">
        <v>48</v>
      </c>
      <c r="R30136" s="36" t="s">
        <v>48</v>
      </c>
    </row>
    <row r="30137">
      <c r="H30137" s="50"/>
      <c r="I30137" s="50"/>
      <c r="O30137" s="36" t="s">
        <v>48</v>
      </c>
      <c r="R30137" s="36" t="s">
        <v>48</v>
      </c>
    </row>
    <row r="30138">
      <c r="H30138" s="50"/>
      <c r="I30138" s="50"/>
      <c r="O30138" s="36" t="s">
        <v>48</v>
      </c>
      <c r="R30138" s="36" t="s">
        <v>48</v>
      </c>
    </row>
    <row r="30139">
      <c r="H30139" s="50"/>
      <c r="I30139" s="50"/>
      <c r="O30139" s="36" t="s">
        <v>48</v>
      </c>
      <c r="R30139" s="36" t="s">
        <v>48</v>
      </c>
    </row>
    <row r="30140">
      <c r="H30140" s="50"/>
      <c r="I30140" s="50"/>
      <c r="O30140" s="36" t="s">
        <v>48</v>
      </c>
      <c r="R30140" s="36" t="s">
        <v>48</v>
      </c>
    </row>
    <row r="30141">
      <c r="H30141" s="50"/>
      <c r="I30141" s="50"/>
      <c r="O30141" s="36" t="s">
        <v>48</v>
      </c>
      <c r="R30141" s="36" t="s">
        <v>48</v>
      </c>
    </row>
    <row r="30142">
      <c r="H30142" s="50"/>
      <c r="I30142" s="50"/>
      <c r="O30142" s="36" t="s">
        <v>48</v>
      </c>
      <c r="R30142" s="36" t="s">
        <v>48</v>
      </c>
    </row>
    <row r="30143">
      <c r="H30143" s="50"/>
      <c r="I30143" s="50"/>
      <c r="O30143" s="36" t="s">
        <v>48</v>
      </c>
      <c r="R30143" s="36" t="s">
        <v>48</v>
      </c>
    </row>
    <row r="30144">
      <c r="H30144" s="50"/>
      <c r="I30144" s="50"/>
      <c r="O30144" s="36" t="s">
        <v>48</v>
      </c>
      <c r="R30144" s="36" t="s">
        <v>48</v>
      </c>
    </row>
    <row r="30145">
      <c r="H30145" s="50"/>
      <c r="I30145" s="50"/>
      <c r="O30145" s="36" t="s">
        <v>48</v>
      </c>
      <c r="R30145" s="36" t="s">
        <v>48</v>
      </c>
    </row>
    <row r="30146">
      <c r="H30146" s="50"/>
      <c r="I30146" s="50"/>
      <c r="O30146" s="36" t="s">
        <v>48</v>
      </c>
      <c r="R30146" s="36" t="s">
        <v>48</v>
      </c>
    </row>
    <row r="30147">
      <c r="H30147" s="50"/>
      <c r="I30147" s="50"/>
      <c r="O30147" s="36" t="s">
        <v>48</v>
      </c>
      <c r="R30147" s="36" t="s">
        <v>48</v>
      </c>
    </row>
    <row r="30148">
      <c r="H30148" s="50"/>
      <c r="I30148" s="50"/>
      <c r="O30148" s="36" t="s">
        <v>48</v>
      </c>
      <c r="R30148" s="36" t="s">
        <v>48</v>
      </c>
    </row>
    <row r="30149">
      <c r="H30149" s="50"/>
      <c r="I30149" s="50"/>
      <c r="O30149" s="36" t="s">
        <v>48</v>
      </c>
      <c r="R30149" s="36" t="s">
        <v>48</v>
      </c>
    </row>
    <row r="30150">
      <c r="H30150" s="50"/>
      <c r="I30150" s="50"/>
      <c r="O30150" s="36" t="s">
        <v>48</v>
      </c>
      <c r="R30150" s="36" t="s">
        <v>48</v>
      </c>
    </row>
    <row r="30151">
      <c r="H30151" s="50"/>
      <c r="I30151" s="50"/>
      <c r="O30151" s="36" t="s">
        <v>48</v>
      </c>
      <c r="R30151" s="36" t="s">
        <v>48</v>
      </c>
    </row>
    <row r="30152">
      <c r="H30152" s="50"/>
      <c r="I30152" s="50"/>
      <c r="O30152" s="36" t="s">
        <v>48</v>
      </c>
      <c r="R30152" s="36" t="s">
        <v>48</v>
      </c>
    </row>
    <row r="30153">
      <c r="H30153" s="50"/>
      <c r="I30153" s="50"/>
      <c r="O30153" s="36" t="s">
        <v>48</v>
      </c>
      <c r="R30153" s="36" t="s">
        <v>48</v>
      </c>
    </row>
    <row r="30154">
      <c r="H30154" s="50"/>
      <c r="I30154" s="50"/>
      <c r="O30154" s="36" t="s">
        <v>48</v>
      </c>
      <c r="R30154" s="36" t="s">
        <v>48</v>
      </c>
    </row>
    <row r="30155">
      <c r="H30155" s="50"/>
      <c r="I30155" s="50"/>
      <c r="O30155" s="36" t="s">
        <v>48</v>
      </c>
      <c r="R30155" s="36" t="s">
        <v>48</v>
      </c>
    </row>
    <row r="30156">
      <c r="H30156" s="50"/>
      <c r="I30156" s="50"/>
      <c r="O30156" s="36" t="s">
        <v>48</v>
      </c>
      <c r="R30156" s="36" t="s">
        <v>48</v>
      </c>
    </row>
    <row r="30157">
      <c r="H30157" s="50"/>
      <c r="I30157" s="50"/>
      <c r="O30157" s="36" t="s">
        <v>48</v>
      </c>
      <c r="R30157" s="36" t="s">
        <v>48</v>
      </c>
    </row>
    <row r="30158">
      <c r="H30158" s="50"/>
      <c r="I30158" s="50"/>
      <c r="O30158" s="36" t="s">
        <v>48</v>
      </c>
      <c r="R30158" s="36" t="s">
        <v>48</v>
      </c>
    </row>
    <row r="30159">
      <c r="H30159" s="50"/>
      <c r="I30159" s="50"/>
      <c r="O30159" s="36" t="s">
        <v>48</v>
      </c>
      <c r="R30159" s="36" t="s">
        <v>48</v>
      </c>
    </row>
    <row r="30160">
      <c r="H30160" s="50"/>
      <c r="I30160" s="50"/>
      <c r="O30160" s="36" t="s">
        <v>48</v>
      </c>
      <c r="R30160" s="36" t="s">
        <v>48</v>
      </c>
    </row>
    <row r="30161">
      <c r="H30161" s="50"/>
      <c r="I30161" s="50"/>
      <c r="O30161" s="36" t="s">
        <v>48</v>
      </c>
      <c r="R30161" s="36" t="s">
        <v>48</v>
      </c>
    </row>
    <row r="30162">
      <c r="H30162" s="50"/>
      <c r="I30162" s="50"/>
      <c r="O30162" s="36" t="s">
        <v>48</v>
      </c>
      <c r="R30162" s="36" t="s">
        <v>48</v>
      </c>
    </row>
    <row r="30163">
      <c r="H30163" s="50"/>
      <c r="I30163" s="50"/>
      <c r="O30163" s="36" t="s">
        <v>48</v>
      </c>
      <c r="R30163" s="36" t="s">
        <v>48</v>
      </c>
    </row>
    <row r="30164">
      <c r="H30164" s="50"/>
      <c r="I30164" s="50"/>
      <c r="O30164" s="36" t="s">
        <v>48</v>
      </c>
      <c r="R30164" s="36" t="s">
        <v>48</v>
      </c>
    </row>
    <row r="30165">
      <c r="H30165" s="50"/>
      <c r="I30165" s="50"/>
      <c r="O30165" s="36" t="s">
        <v>48</v>
      </c>
      <c r="R30165" s="36" t="s">
        <v>48</v>
      </c>
    </row>
    <row r="30166">
      <c r="H30166" s="50"/>
      <c r="I30166" s="50"/>
      <c r="O30166" s="36" t="s">
        <v>48</v>
      </c>
      <c r="R30166" s="36" t="s">
        <v>48</v>
      </c>
    </row>
    <row r="30167">
      <c r="H30167" s="50"/>
      <c r="I30167" s="50"/>
      <c r="O30167" s="36" t="s">
        <v>48</v>
      </c>
      <c r="R30167" s="36" t="s">
        <v>48</v>
      </c>
    </row>
    <row r="30168">
      <c r="H30168" s="50"/>
      <c r="I30168" s="50"/>
      <c r="O30168" s="36" t="s">
        <v>48</v>
      </c>
      <c r="R30168" s="36" t="s">
        <v>48</v>
      </c>
    </row>
    <row r="30169">
      <c r="H30169" s="50"/>
      <c r="I30169" s="50"/>
      <c r="O30169" s="36" t="s">
        <v>48</v>
      </c>
      <c r="R30169" s="36" t="s">
        <v>48</v>
      </c>
    </row>
    <row r="30170">
      <c r="H30170" s="50"/>
      <c r="I30170" s="50"/>
      <c r="O30170" s="36" t="s">
        <v>48</v>
      </c>
      <c r="R30170" s="36" t="s">
        <v>48</v>
      </c>
    </row>
    <row r="30171">
      <c r="H30171" s="50"/>
      <c r="I30171" s="50"/>
      <c r="O30171" s="36" t="s">
        <v>48</v>
      </c>
      <c r="R30171" s="36" t="s">
        <v>48</v>
      </c>
    </row>
    <row r="30172">
      <c r="H30172" s="50"/>
      <c r="I30172" s="50"/>
      <c r="O30172" s="36" t="s">
        <v>48</v>
      </c>
      <c r="R30172" s="36" t="s">
        <v>48</v>
      </c>
    </row>
    <row r="30173">
      <c r="H30173" s="50"/>
      <c r="I30173" s="50"/>
      <c r="O30173" s="36" t="s">
        <v>48</v>
      </c>
      <c r="R30173" s="36" t="s">
        <v>48</v>
      </c>
    </row>
    <row r="30174">
      <c r="H30174" s="50"/>
      <c r="I30174" s="50"/>
      <c r="O30174" s="36" t="s">
        <v>48</v>
      </c>
      <c r="R30174" s="36" t="s">
        <v>48</v>
      </c>
    </row>
    <row r="30175">
      <c r="H30175" s="50"/>
      <c r="I30175" s="50"/>
      <c r="O30175" s="36" t="s">
        <v>48</v>
      </c>
      <c r="R30175" s="36" t="s">
        <v>48</v>
      </c>
    </row>
    <row r="30176">
      <c r="H30176" s="50"/>
      <c r="I30176" s="50"/>
      <c r="O30176" s="36" t="s">
        <v>48</v>
      </c>
      <c r="R30176" s="36" t="s">
        <v>48</v>
      </c>
    </row>
    <row r="30177">
      <c r="H30177" s="50"/>
      <c r="I30177" s="50"/>
      <c r="O30177" s="36" t="s">
        <v>48</v>
      </c>
      <c r="R30177" s="36" t="s">
        <v>48</v>
      </c>
    </row>
    <row r="30178">
      <c r="H30178" s="50"/>
      <c r="I30178" s="50"/>
      <c r="O30178" s="36" t="s">
        <v>48</v>
      </c>
      <c r="R30178" s="36" t="s">
        <v>48</v>
      </c>
    </row>
    <row r="30179">
      <c r="H30179" s="50"/>
      <c r="I30179" s="50"/>
      <c r="O30179" s="36" t="s">
        <v>48</v>
      </c>
      <c r="R30179" s="36" t="s">
        <v>48</v>
      </c>
    </row>
    <row r="30180">
      <c r="H30180" s="50"/>
      <c r="I30180" s="50"/>
      <c r="O30180" s="36" t="s">
        <v>48</v>
      </c>
      <c r="R30180" s="36" t="s">
        <v>48</v>
      </c>
    </row>
    <row r="30181">
      <c r="H30181" s="50"/>
      <c r="I30181" s="50"/>
      <c r="O30181" s="36" t="s">
        <v>48</v>
      </c>
      <c r="R30181" s="36" t="s">
        <v>48</v>
      </c>
    </row>
    <row r="30182">
      <c r="H30182" s="50"/>
      <c r="I30182" s="50"/>
      <c r="O30182" s="36" t="s">
        <v>48</v>
      </c>
      <c r="R30182" s="36" t="s">
        <v>48</v>
      </c>
    </row>
    <row r="30183">
      <c r="H30183" s="50"/>
      <c r="I30183" s="50"/>
      <c r="O30183" s="36" t="s">
        <v>48</v>
      </c>
      <c r="R30183" s="36" t="s">
        <v>48</v>
      </c>
    </row>
    <row r="30184">
      <c r="H30184" s="50"/>
      <c r="I30184" s="50"/>
      <c r="O30184" s="36" t="s">
        <v>48</v>
      </c>
      <c r="R30184" s="36" t="s">
        <v>48</v>
      </c>
    </row>
    <row r="30185">
      <c r="H30185" s="50"/>
      <c r="I30185" s="50"/>
      <c r="O30185" s="36" t="s">
        <v>48</v>
      </c>
      <c r="R30185" s="36" t="s">
        <v>48</v>
      </c>
    </row>
    <row r="30186">
      <c r="H30186" s="50"/>
      <c r="I30186" s="50"/>
      <c r="O30186" s="36" t="s">
        <v>48</v>
      </c>
      <c r="R30186" s="36" t="s">
        <v>48</v>
      </c>
    </row>
    <row r="30187">
      <c r="H30187" s="50"/>
      <c r="I30187" s="50"/>
      <c r="O30187" s="36" t="s">
        <v>48</v>
      </c>
      <c r="R30187" s="36" t="s">
        <v>48</v>
      </c>
    </row>
    <row r="30188">
      <c r="H30188" s="50"/>
      <c r="I30188" s="50"/>
      <c r="O30188" s="36" t="s">
        <v>48</v>
      </c>
      <c r="R30188" s="36" t="s">
        <v>48</v>
      </c>
    </row>
    <row r="30189">
      <c r="H30189" s="50"/>
      <c r="I30189" s="50"/>
      <c r="O30189" s="36" t="s">
        <v>48</v>
      </c>
      <c r="R30189" s="36" t="s">
        <v>48</v>
      </c>
    </row>
    <row r="30190">
      <c r="H30190" s="50"/>
      <c r="I30190" s="50"/>
      <c r="O30190" s="36" t="s">
        <v>48</v>
      </c>
      <c r="R30190" s="36" t="s">
        <v>48</v>
      </c>
    </row>
    <row r="30191">
      <c r="H30191" s="50"/>
      <c r="I30191" s="50"/>
      <c r="O30191" s="36" t="s">
        <v>48</v>
      </c>
      <c r="R30191" s="36" t="s">
        <v>48</v>
      </c>
    </row>
    <row r="30192">
      <c r="H30192" s="50"/>
      <c r="I30192" s="50"/>
      <c r="O30192" s="36" t="s">
        <v>48</v>
      </c>
      <c r="R30192" s="36" t="s">
        <v>48</v>
      </c>
    </row>
    <row r="30193">
      <c r="H30193" s="50"/>
      <c r="I30193" s="50"/>
      <c r="O30193" s="36" t="s">
        <v>48</v>
      </c>
      <c r="R30193" s="36" t="s">
        <v>48</v>
      </c>
    </row>
    <row r="30194">
      <c r="H30194" s="50"/>
      <c r="I30194" s="50"/>
      <c r="O30194" s="36" t="s">
        <v>48</v>
      </c>
      <c r="R30194" s="36" t="s">
        <v>48</v>
      </c>
    </row>
    <row r="30195">
      <c r="H30195" s="50"/>
      <c r="I30195" s="50"/>
      <c r="O30195" s="36" t="s">
        <v>48</v>
      </c>
      <c r="R30195" s="36" t="s">
        <v>48</v>
      </c>
    </row>
    <row r="30196">
      <c r="H30196" s="50"/>
      <c r="I30196" s="50"/>
      <c r="O30196" s="36" t="s">
        <v>48</v>
      </c>
      <c r="R30196" s="36" t="s">
        <v>48</v>
      </c>
    </row>
    <row r="30197">
      <c r="H30197" s="50"/>
      <c r="I30197" s="50"/>
      <c r="O30197" s="36" t="s">
        <v>48</v>
      </c>
      <c r="R30197" s="36" t="s">
        <v>48</v>
      </c>
    </row>
    <row r="30198">
      <c r="H30198" s="50"/>
      <c r="I30198" s="50"/>
      <c r="O30198" s="36" t="s">
        <v>48</v>
      </c>
      <c r="R30198" s="36" t="s">
        <v>48</v>
      </c>
    </row>
    <row r="30199">
      <c r="H30199" s="50"/>
      <c r="I30199" s="50"/>
      <c r="O30199" s="36" t="s">
        <v>48</v>
      </c>
      <c r="R30199" s="36" t="s">
        <v>48</v>
      </c>
    </row>
    <row r="30200">
      <c r="H30200" s="50"/>
      <c r="I30200" s="50"/>
      <c r="O30200" s="36" t="s">
        <v>48</v>
      </c>
      <c r="R30200" s="36" t="s">
        <v>48</v>
      </c>
    </row>
    <row r="30201">
      <c r="H30201" s="50"/>
      <c r="I30201" s="50"/>
      <c r="O30201" s="36" t="s">
        <v>48</v>
      </c>
      <c r="R30201" s="36" t="s">
        <v>48</v>
      </c>
    </row>
    <row r="30202">
      <c r="H30202" s="50"/>
      <c r="I30202" s="50"/>
      <c r="O30202" s="36" t="s">
        <v>48</v>
      </c>
      <c r="R30202" s="36" t="s">
        <v>48</v>
      </c>
    </row>
    <row r="30203">
      <c r="H30203" s="50"/>
      <c r="I30203" s="50"/>
      <c r="O30203" s="36" t="s">
        <v>48</v>
      </c>
      <c r="R30203" s="36" t="s">
        <v>48</v>
      </c>
    </row>
    <row r="30204">
      <c r="H30204" s="50"/>
      <c r="I30204" s="50"/>
      <c r="O30204" s="36" t="s">
        <v>48</v>
      </c>
      <c r="R30204" s="36" t="s">
        <v>48</v>
      </c>
    </row>
    <row r="30205">
      <c r="H30205" s="50"/>
      <c r="I30205" s="50"/>
      <c r="O30205" s="36" t="s">
        <v>48</v>
      </c>
      <c r="R30205" s="36" t="s">
        <v>48</v>
      </c>
    </row>
    <row r="30206">
      <c r="H30206" s="50"/>
      <c r="I30206" s="50"/>
      <c r="O30206" s="36" t="s">
        <v>48</v>
      </c>
      <c r="R30206" s="36" t="s">
        <v>48</v>
      </c>
    </row>
    <row r="30207">
      <c r="H30207" s="50"/>
      <c r="I30207" s="50"/>
      <c r="O30207" s="36" t="s">
        <v>48</v>
      </c>
      <c r="R30207" s="36" t="s">
        <v>48</v>
      </c>
    </row>
    <row r="30208">
      <c r="H30208" s="50"/>
      <c r="I30208" s="50"/>
      <c r="O30208" s="36" t="s">
        <v>48</v>
      </c>
      <c r="R30208" s="36" t="s">
        <v>48</v>
      </c>
    </row>
    <row r="30209">
      <c r="H30209" s="50"/>
      <c r="I30209" s="50"/>
      <c r="O30209" s="36" t="s">
        <v>48</v>
      </c>
      <c r="R30209" s="36" t="s">
        <v>48</v>
      </c>
    </row>
    <row r="30210">
      <c r="H30210" s="50"/>
      <c r="I30210" s="50"/>
      <c r="O30210" s="36" t="s">
        <v>48</v>
      </c>
      <c r="R30210" s="36" t="s">
        <v>48</v>
      </c>
    </row>
    <row r="30211">
      <c r="H30211" s="50"/>
      <c r="I30211" s="50"/>
      <c r="O30211" s="36" t="s">
        <v>48</v>
      </c>
      <c r="R30211" s="36" t="s">
        <v>48</v>
      </c>
    </row>
    <row r="30212">
      <c r="H30212" s="50"/>
      <c r="I30212" s="50"/>
      <c r="O30212" s="36" t="s">
        <v>48</v>
      </c>
      <c r="R30212" s="36" t="s">
        <v>48</v>
      </c>
    </row>
    <row r="30213">
      <c r="H30213" s="50"/>
      <c r="I30213" s="50"/>
      <c r="O30213" s="36" t="s">
        <v>48</v>
      </c>
      <c r="R30213" s="36" t="s">
        <v>48</v>
      </c>
    </row>
    <row r="30214">
      <c r="H30214" s="50"/>
      <c r="I30214" s="50"/>
      <c r="O30214" s="36" t="s">
        <v>48</v>
      </c>
      <c r="R30214" s="36" t="s">
        <v>48</v>
      </c>
    </row>
    <row r="30215">
      <c r="H30215" s="50"/>
      <c r="I30215" s="50"/>
      <c r="O30215" s="36" t="s">
        <v>48</v>
      </c>
      <c r="R30215" s="36" t="s">
        <v>48</v>
      </c>
    </row>
    <row r="30216">
      <c r="H30216" s="50"/>
      <c r="I30216" s="50"/>
      <c r="O30216" s="36" t="s">
        <v>48</v>
      </c>
      <c r="R30216" s="36" t="s">
        <v>48</v>
      </c>
    </row>
    <row r="30217">
      <c r="H30217" s="50"/>
      <c r="I30217" s="50"/>
      <c r="O30217" s="36" t="s">
        <v>48</v>
      </c>
      <c r="R30217" s="36" t="s">
        <v>48</v>
      </c>
    </row>
    <row r="30218">
      <c r="H30218" s="50"/>
      <c r="I30218" s="50"/>
      <c r="O30218" s="36" t="s">
        <v>48</v>
      </c>
      <c r="R30218" s="36" t="s">
        <v>48</v>
      </c>
    </row>
    <row r="30219">
      <c r="H30219" s="50"/>
      <c r="I30219" s="50"/>
      <c r="O30219" s="36" t="s">
        <v>48</v>
      </c>
      <c r="R30219" s="36" t="s">
        <v>48</v>
      </c>
    </row>
    <row r="30220">
      <c r="H30220" s="50"/>
      <c r="I30220" s="50"/>
      <c r="O30220" s="36" t="s">
        <v>48</v>
      </c>
      <c r="R30220" s="36" t="s">
        <v>48</v>
      </c>
    </row>
    <row r="30221">
      <c r="H30221" s="50"/>
      <c r="I30221" s="50"/>
      <c r="O30221" s="36" t="s">
        <v>48</v>
      </c>
      <c r="R30221" s="36" t="s">
        <v>48</v>
      </c>
    </row>
    <row r="30222">
      <c r="H30222" s="50"/>
      <c r="I30222" s="50"/>
      <c r="O30222" s="36" t="s">
        <v>48</v>
      </c>
      <c r="R30222" s="36" t="s">
        <v>48</v>
      </c>
    </row>
    <row r="30223">
      <c r="H30223" s="50"/>
      <c r="I30223" s="50"/>
      <c r="O30223" s="36" t="s">
        <v>48</v>
      </c>
      <c r="R30223" s="36" t="s">
        <v>48</v>
      </c>
    </row>
    <row r="30224">
      <c r="H30224" s="50"/>
      <c r="I30224" s="50"/>
      <c r="O30224" s="36" t="s">
        <v>48</v>
      </c>
      <c r="R30224" s="36" t="s">
        <v>48</v>
      </c>
    </row>
    <row r="30225">
      <c r="H30225" s="50"/>
      <c r="I30225" s="50"/>
      <c r="O30225" s="36" t="s">
        <v>48</v>
      </c>
      <c r="R30225" s="36" t="s">
        <v>48</v>
      </c>
    </row>
    <row r="30226">
      <c r="H30226" s="50"/>
      <c r="I30226" s="50"/>
      <c r="O30226" s="36" t="s">
        <v>48</v>
      </c>
      <c r="R30226" s="36" t="s">
        <v>48</v>
      </c>
    </row>
    <row r="30227">
      <c r="H30227" s="50"/>
      <c r="I30227" s="50"/>
      <c r="O30227" s="36" t="s">
        <v>48</v>
      </c>
      <c r="R30227" s="36" t="s">
        <v>48</v>
      </c>
    </row>
    <row r="30228">
      <c r="H30228" s="50"/>
      <c r="I30228" s="50"/>
      <c r="O30228" s="36" t="s">
        <v>48</v>
      </c>
      <c r="R30228" s="36" t="s">
        <v>48</v>
      </c>
    </row>
    <row r="30229">
      <c r="H30229" s="50"/>
      <c r="I30229" s="50"/>
      <c r="O30229" s="36" t="s">
        <v>48</v>
      </c>
      <c r="R30229" s="36" t="s">
        <v>48</v>
      </c>
    </row>
    <row r="30230">
      <c r="H30230" s="50"/>
      <c r="I30230" s="50"/>
      <c r="O30230" s="36" t="s">
        <v>48</v>
      </c>
      <c r="R30230" s="36" t="s">
        <v>48</v>
      </c>
    </row>
    <row r="30231">
      <c r="H30231" s="50"/>
      <c r="I30231" s="50"/>
      <c r="O30231" s="36" t="s">
        <v>48</v>
      </c>
      <c r="R30231" s="36" t="s">
        <v>48</v>
      </c>
    </row>
    <row r="30232">
      <c r="H30232" s="50"/>
      <c r="I30232" s="50"/>
      <c r="O30232" s="36" t="s">
        <v>48</v>
      </c>
      <c r="R30232" s="36" t="s">
        <v>48</v>
      </c>
    </row>
    <row r="30233">
      <c r="H30233" s="50"/>
      <c r="I30233" s="50"/>
      <c r="O30233" s="36" t="s">
        <v>48</v>
      </c>
      <c r="R30233" s="36" t="s">
        <v>48</v>
      </c>
    </row>
    <row r="30234">
      <c r="H30234" s="50"/>
      <c r="I30234" s="50"/>
      <c r="O30234" s="36" t="s">
        <v>48</v>
      </c>
      <c r="R30234" s="36" t="s">
        <v>48</v>
      </c>
    </row>
    <row r="30235">
      <c r="H30235" s="50"/>
      <c r="I30235" s="50"/>
      <c r="O30235" s="36" t="s">
        <v>48</v>
      </c>
      <c r="R30235" s="36" t="s">
        <v>48</v>
      </c>
    </row>
    <row r="30236">
      <c r="H30236" s="50"/>
      <c r="I30236" s="50"/>
      <c r="O30236" s="36" t="s">
        <v>48</v>
      </c>
      <c r="R30236" s="36" t="s">
        <v>48</v>
      </c>
    </row>
    <row r="30237">
      <c r="H30237" s="50"/>
      <c r="I30237" s="50"/>
      <c r="O30237" s="36" t="s">
        <v>48</v>
      </c>
      <c r="R30237" s="36" t="s">
        <v>48</v>
      </c>
    </row>
    <row r="30238">
      <c r="H30238" s="50"/>
      <c r="I30238" s="50"/>
      <c r="O30238" s="36" t="s">
        <v>48</v>
      </c>
      <c r="R30238" s="36" t="s">
        <v>48</v>
      </c>
    </row>
    <row r="30239">
      <c r="H30239" s="50"/>
      <c r="I30239" s="50"/>
      <c r="O30239" s="36" t="s">
        <v>48</v>
      </c>
      <c r="R30239" s="36" t="s">
        <v>48</v>
      </c>
    </row>
    <row r="30240">
      <c r="H30240" s="50"/>
      <c r="I30240" s="50"/>
      <c r="O30240" s="36" t="s">
        <v>48</v>
      </c>
      <c r="R30240" s="36" t="s">
        <v>48</v>
      </c>
    </row>
    <row r="30241">
      <c r="H30241" s="50"/>
      <c r="I30241" s="50"/>
      <c r="O30241" s="36" t="s">
        <v>48</v>
      </c>
      <c r="R30241" s="36" t="s">
        <v>48</v>
      </c>
    </row>
    <row r="30242">
      <c r="H30242" s="50"/>
      <c r="I30242" s="50"/>
      <c r="O30242" s="36" t="s">
        <v>48</v>
      </c>
      <c r="R30242" s="36" t="s">
        <v>48</v>
      </c>
    </row>
    <row r="30243">
      <c r="H30243" s="50"/>
      <c r="I30243" s="50"/>
      <c r="O30243" s="36" t="s">
        <v>48</v>
      </c>
      <c r="R30243" s="36" t="s">
        <v>48</v>
      </c>
    </row>
    <row r="30244">
      <c r="H30244" s="50"/>
      <c r="I30244" s="50"/>
      <c r="O30244" s="36" t="s">
        <v>48</v>
      </c>
      <c r="R30244" s="36" t="s">
        <v>48</v>
      </c>
    </row>
    <row r="30245">
      <c r="H30245" s="50"/>
      <c r="I30245" s="50"/>
      <c r="O30245" s="36" t="s">
        <v>48</v>
      </c>
      <c r="R30245" s="36" t="s">
        <v>48</v>
      </c>
    </row>
    <row r="30246">
      <c r="H30246" s="50"/>
      <c r="I30246" s="50"/>
      <c r="O30246" s="36" t="s">
        <v>48</v>
      </c>
      <c r="R30246" s="36" t="s">
        <v>48</v>
      </c>
    </row>
    <row r="30247">
      <c r="H30247" s="50"/>
      <c r="I30247" s="50"/>
      <c r="O30247" s="36" t="s">
        <v>48</v>
      </c>
      <c r="R30247" s="36" t="s">
        <v>48</v>
      </c>
    </row>
    <row r="30248">
      <c r="H30248" s="50"/>
      <c r="I30248" s="50"/>
      <c r="O30248" s="36" t="s">
        <v>48</v>
      </c>
      <c r="R30248" s="36" t="s">
        <v>48</v>
      </c>
    </row>
    <row r="30249">
      <c r="H30249" s="50"/>
      <c r="I30249" s="50"/>
      <c r="O30249" s="36" t="s">
        <v>48</v>
      </c>
      <c r="R30249" s="36" t="s">
        <v>48</v>
      </c>
    </row>
    <row r="30250">
      <c r="H30250" s="50"/>
      <c r="I30250" s="50"/>
      <c r="O30250" s="36" t="s">
        <v>48</v>
      </c>
      <c r="R30250" s="36" t="s">
        <v>48</v>
      </c>
    </row>
    <row r="30251">
      <c r="H30251" s="50"/>
      <c r="I30251" s="50"/>
      <c r="O30251" s="36" t="s">
        <v>48</v>
      </c>
      <c r="R30251" s="36" t="s">
        <v>48</v>
      </c>
    </row>
    <row r="30252">
      <c r="H30252" s="50"/>
      <c r="I30252" s="50"/>
      <c r="O30252" s="36" t="s">
        <v>48</v>
      </c>
      <c r="R30252" s="36" t="s">
        <v>48</v>
      </c>
    </row>
    <row r="30253">
      <c r="H30253" s="50"/>
      <c r="I30253" s="50"/>
      <c r="O30253" s="36" t="s">
        <v>48</v>
      </c>
      <c r="R30253" s="36" t="s">
        <v>48</v>
      </c>
    </row>
    <row r="30254">
      <c r="H30254" s="50"/>
      <c r="I30254" s="50"/>
      <c r="O30254" s="36" t="s">
        <v>48</v>
      </c>
      <c r="R30254" s="36" t="s">
        <v>48</v>
      </c>
    </row>
    <row r="30255">
      <c r="H30255" s="50"/>
      <c r="I30255" s="50"/>
      <c r="O30255" s="36" t="s">
        <v>48</v>
      </c>
      <c r="R30255" s="36" t="s">
        <v>48</v>
      </c>
    </row>
    <row r="30256">
      <c r="H30256" s="50"/>
      <c r="I30256" s="50"/>
      <c r="O30256" s="36" t="s">
        <v>48</v>
      </c>
      <c r="R30256" s="36" t="s">
        <v>48</v>
      </c>
    </row>
    <row r="30257">
      <c r="H30257" s="50"/>
      <c r="I30257" s="50"/>
      <c r="O30257" s="36" t="s">
        <v>48</v>
      </c>
      <c r="R30257" s="36" t="s">
        <v>48</v>
      </c>
    </row>
    <row r="30258">
      <c r="H30258" s="50"/>
      <c r="I30258" s="50"/>
      <c r="O30258" s="36" t="s">
        <v>48</v>
      </c>
      <c r="R30258" s="36" t="s">
        <v>48</v>
      </c>
    </row>
    <row r="30259">
      <c r="H30259" s="50"/>
      <c r="I30259" s="50"/>
      <c r="O30259" s="36" t="s">
        <v>48</v>
      </c>
      <c r="R30259" s="36" t="s">
        <v>48</v>
      </c>
    </row>
    <row r="30260">
      <c r="H30260" s="50"/>
      <c r="I30260" s="50"/>
      <c r="O30260" s="36" t="s">
        <v>48</v>
      </c>
      <c r="R30260" s="36" t="s">
        <v>48</v>
      </c>
    </row>
    <row r="30261">
      <c r="H30261" s="50"/>
      <c r="I30261" s="50"/>
      <c r="O30261" s="36" t="s">
        <v>48</v>
      </c>
      <c r="R30261" s="36" t="s">
        <v>48</v>
      </c>
    </row>
    <row r="30262">
      <c r="H30262" s="50"/>
      <c r="I30262" s="50"/>
      <c r="O30262" s="36" t="s">
        <v>48</v>
      </c>
      <c r="R30262" s="36" t="s">
        <v>48</v>
      </c>
    </row>
    <row r="30263">
      <c r="H30263" s="50"/>
      <c r="I30263" s="50"/>
      <c r="O30263" s="36" t="s">
        <v>48</v>
      </c>
      <c r="R30263" s="36" t="s">
        <v>48</v>
      </c>
    </row>
    <row r="30264">
      <c r="H30264" s="50"/>
      <c r="I30264" s="50"/>
      <c r="O30264" s="36" t="s">
        <v>48</v>
      </c>
      <c r="R30264" s="36" t="s">
        <v>48</v>
      </c>
    </row>
    <row r="30265">
      <c r="H30265" s="50"/>
      <c r="I30265" s="50"/>
      <c r="O30265" s="36" t="s">
        <v>48</v>
      </c>
      <c r="R30265" s="36" t="s">
        <v>48</v>
      </c>
    </row>
    <row r="30266">
      <c r="H30266" s="50"/>
      <c r="I30266" s="50"/>
      <c r="O30266" s="36" t="s">
        <v>48</v>
      </c>
      <c r="R30266" s="36" t="s">
        <v>48</v>
      </c>
    </row>
    <row r="30267">
      <c r="H30267" s="50"/>
      <c r="I30267" s="50"/>
      <c r="O30267" s="36" t="s">
        <v>48</v>
      </c>
      <c r="R30267" s="36" t="s">
        <v>48</v>
      </c>
    </row>
    <row r="30268">
      <c r="H30268" s="50"/>
      <c r="I30268" s="50"/>
      <c r="O30268" s="36" t="s">
        <v>48</v>
      </c>
      <c r="R30268" s="36" t="s">
        <v>48</v>
      </c>
    </row>
    <row r="30269">
      <c r="H30269" s="50"/>
      <c r="I30269" s="50"/>
      <c r="O30269" s="36" t="s">
        <v>48</v>
      </c>
      <c r="R30269" s="36" t="s">
        <v>48</v>
      </c>
    </row>
    <row r="30270">
      <c r="H30270" s="50"/>
      <c r="I30270" s="50"/>
      <c r="O30270" s="36" t="s">
        <v>48</v>
      </c>
      <c r="R30270" s="36" t="s">
        <v>48</v>
      </c>
    </row>
    <row r="30271">
      <c r="H30271" s="50"/>
      <c r="I30271" s="50"/>
      <c r="O30271" s="36" t="s">
        <v>48</v>
      </c>
      <c r="R30271" s="36" t="s">
        <v>48</v>
      </c>
    </row>
    <row r="30272">
      <c r="H30272" s="50"/>
      <c r="I30272" s="50"/>
      <c r="O30272" s="36" t="s">
        <v>48</v>
      </c>
      <c r="R30272" s="36" t="s">
        <v>48</v>
      </c>
    </row>
    <row r="30273">
      <c r="H30273" s="50"/>
      <c r="I30273" s="50"/>
      <c r="O30273" s="36" t="s">
        <v>48</v>
      </c>
      <c r="R30273" s="36" t="s">
        <v>48</v>
      </c>
    </row>
    <row r="30274">
      <c r="H30274" s="50"/>
      <c r="I30274" s="50"/>
      <c r="O30274" s="36" t="s">
        <v>48</v>
      </c>
      <c r="R30274" s="36" t="s">
        <v>48</v>
      </c>
    </row>
    <row r="30275">
      <c r="H30275" s="50"/>
      <c r="I30275" s="50"/>
      <c r="O30275" s="36" t="s">
        <v>48</v>
      </c>
      <c r="R30275" s="36" t="s">
        <v>48</v>
      </c>
    </row>
    <row r="30276">
      <c r="H30276" s="50"/>
      <c r="I30276" s="50"/>
      <c r="O30276" s="36" t="s">
        <v>48</v>
      </c>
      <c r="R30276" s="36" t="s">
        <v>48</v>
      </c>
    </row>
    <row r="30277">
      <c r="H30277" s="50"/>
      <c r="I30277" s="50"/>
      <c r="O30277" s="36" t="s">
        <v>48</v>
      </c>
      <c r="R30277" s="36" t="s">
        <v>48</v>
      </c>
    </row>
    <row r="30278">
      <c r="H30278" s="50"/>
      <c r="I30278" s="50"/>
      <c r="O30278" s="36" t="s">
        <v>48</v>
      </c>
      <c r="R30278" s="36" t="s">
        <v>48</v>
      </c>
    </row>
    <row r="30279">
      <c r="H30279" s="50"/>
      <c r="I30279" s="50"/>
      <c r="O30279" s="36" t="s">
        <v>48</v>
      </c>
      <c r="R30279" s="36" t="s">
        <v>48</v>
      </c>
    </row>
    <row r="30280">
      <c r="H30280" s="50"/>
      <c r="I30280" s="50"/>
      <c r="O30280" s="36" t="s">
        <v>48</v>
      </c>
      <c r="R30280" s="36" t="s">
        <v>48</v>
      </c>
    </row>
    <row r="30281">
      <c r="H30281" s="50"/>
      <c r="I30281" s="50"/>
      <c r="O30281" s="36" t="s">
        <v>48</v>
      </c>
      <c r="R30281" s="36" t="s">
        <v>48</v>
      </c>
    </row>
    <row r="30282">
      <c r="H30282" s="50"/>
      <c r="I30282" s="50"/>
      <c r="O30282" s="36" t="s">
        <v>48</v>
      </c>
      <c r="R30282" s="36" t="s">
        <v>48</v>
      </c>
    </row>
    <row r="30283">
      <c r="H30283" s="50"/>
      <c r="I30283" s="50"/>
      <c r="O30283" s="36" t="s">
        <v>48</v>
      </c>
      <c r="R30283" s="36" t="s">
        <v>48</v>
      </c>
    </row>
    <row r="30284">
      <c r="H30284" s="50"/>
      <c r="I30284" s="50"/>
      <c r="O30284" s="36" t="s">
        <v>48</v>
      </c>
      <c r="R30284" s="36" t="s">
        <v>48</v>
      </c>
    </row>
    <row r="30285">
      <c r="H30285" s="50"/>
      <c r="I30285" s="50"/>
      <c r="O30285" s="36" t="s">
        <v>48</v>
      </c>
      <c r="R30285" s="36" t="s">
        <v>48</v>
      </c>
    </row>
    <row r="30286">
      <c r="H30286" s="50"/>
      <c r="I30286" s="50"/>
      <c r="O30286" s="36" t="s">
        <v>48</v>
      </c>
      <c r="R30286" s="36" t="s">
        <v>48</v>
      </c>
    </row>
    <row r="30287">
      <c r="H30287" s="50"/>
      <c r="I30287" s="50"/>
      <c r="O30287" s="36" t="s">
        <v>48</v>
      </c>
      <c r="R30287" s="36" t="s">
        <v>48</v>
      </c>
    </row>
    <row r="30288">
      <c r="H30288" s="50"/>
      <c r="I30288" s="50"/>
      <c r="O30288" s="36" t="s">
        <v>48</v>
      </c>
      <c r="R30288" s="36" t="s">
        <v>48</v>
      </c>
    </row>
    <row r="30289">
      <c r="H30289" s="50"/>
      <c r="I30289" s="50"/>
      <c r="O30289" s="36" t="s">
        <v>48</v>
      </c>
      <c r="R30289" s="36" t="s">
        <v>48</v>
      </c>
    </row>
    <row r="30290">
      <c r="H30290" s="50"/>
      <c r="I30290" s="50"/>
      <c r="O30290" s="36" t="s">
        <v>48</v>
      </c>
      <c r="R30290" s="36" t="s">
        <v>48</v>
      </c>
    </row>
    <row r="30291">
      <c r="H30291" s="50"/>
      <c r="I30291" s="50"/>
      <c r="O30291" s="36" t="s">
        <v>48</v>
      </c>
      <c r="R30291" s="36" t="s">
        <v>48</v>
      </c>
    </row>
    <row r="30292">
      <c r="H30292" s="50"/>
      <c r="I30292" s="50"/>
      <c r="O30292" s="36" t="s">
        <v>48</v>
      </c>
      <c r="R30292" s="36" t="s">
        <v>48</v>
      </c>
    </row>
    <row r="30293">
      <c r="H30293" s="50"/>
      <c r="I30293" s="50"/>
      <c r="O30293" s="36" t="s">
        <v>48</v>
      </c>
      <c r="R30293" s="36" t="s">
        <v>48</v>
      </c>
    </row>
    <row r="30294">
      <c r="H30294" s="50"/>
      <c r="I30294" s="50"/>
      <c r="O30294" s="36" t="s">
        <v>48</v>
      </c>
      <c r="R30294" s="36" t="s">
        <v>48</v>
      </c>
    </row>
    <row r="30295">
      <c r="H30295" s="50"/>
      <c r="I30295" s="50"/>
      <c r="O30295" s="36" t="s">
        <v>48</v>
      </c>
      <c r="R30295" s="36" t="s">
        <v>48</v>
      </c>
    </row>
    <row r="30296">
      <c r="H30296" s="50"/>
      <c r="I30296" s="50"/>
      <c r="O30296" s="36" t="s">
        <v>48</v>
      </c>
      <c r="R30296" s="36" t="s">
        <v>48</v>
      </c>
    </row>
    <row r="30297">
      <c r="H30297" s="50"/>
      <c r="I30297" s="50"/>
      <c r="O30297" s="36" t="s">
        <v>48</v>
      </c>
      <c r="R30297" s="36" t="s">
        <v>48</v>
      </c>
    </row>
    <row r="30298">
      <c r="H30298" s="50"/>
      <c r="I30298" s="50"/>
      <c r="O30298" s="36" t="s">
        <v>48</v>
      </c>
      <c r="R30298" s="36" t="s">
        <v>48</v>
      </c>
    </row>
    <row r="30299">
      <c r="H30299" s="50"/>
      <c r="I30299" s="50"/>
      <c r="O30299" s="36" t="s">
        <v>48</v>
      </c>
      <c r="R30299" s="36" t="s">
        <v>48</v>
      </c>
    </row>
    <row r="30300">
      <c r="H30300" s="50"/>
      <c r="I30300" s="50"/>
      <c r="O30300" s="36" t="s">
        <v>48</v>
      </c>
      <c r="R30300" s="36" t="s">
        <v>48</v>
      </c>
    </row>
    <row r="30301">
      <c r="H30301" s="50"/>
      <c r="I30301" s="50"/>
      <c r="O30301" s="36" t="s">
        <v>48</v>
      </c>
      <c r="R30301" s="36" t="s">
        <v>48</v>
      </c>
    </row>
    <row r="30302">
      <c r="H30302" s="50"/>
      <c r="I30302" s="50"/>
      <c r="O30302" s="36" t="s">
        <v>48</v>
      </c>
      <c r="R30302" s="36" t="s">
        <v>48</v>
      </c>
    </row>
    <row r="30303">
      <c r="H30303" s="50"/>
      <c r="I30303" s="50"/>
      <c r="O30303" s="36" t="s">
        <v>48</v>
      </c>
      <c r="R30303" s="36" t="s">
        <v>48</v>
      </c>
    </row>
    <row r="30304">
      <c r="H30304" s="50"/>
      <c r="I30304" s="50"/>
      <c r="O30304" s="36" t="s">
        <v>48</v>
      </c>
      <c r="R30304" s="36" t="s">
        <v>48</v>
      </c>
    </row>
    <row r="30305">
      <c r="H30305" s="50"/>
      <c r="I30305" s="50"/>
      <c r="O30305" s="36" t="s">
        <v>48</v>
      </c>
      <c r="R30305" s="36" t="s">
        <v>48</v>
      </c>
    </row>
    <row r="30306">
      <c r="H30306" s="50"/>
      <c r="I30306" s="50"/>
      <c r="O30306" s="36" t="s">
        <v>48</v>
      </c>
      <c r="R30306" s="36" t="s">
        <v>48</v>
      </c>
    </row>
    <row r="30307">
      <c r="H30307" s="50"/>
      <c r="I30307" s="50"/>
      <c r="O30307" s="36" t="s">
        <v>48</v>
      </c>
      <c r="R30307" s="36" t="s">
        <v>48</v>
      </c>
    </row>
    <row r="30308">
      <c r="H30308" s="50"/>
      <c r="I30308" s="50"/>
      <c r="O30308" s="36" t="s">
        <v>48</v>
      </c>
      <c r="R30308" s="36" t="s">
        <v>48</v>
      </c>
    </row>
    <row r="30309">
      <c r="H30309" s="50"/>
      <c r="I30309" s="50"/>
      <c r="O30309" s="36" t="s">
        <v>48</v>
      </c>
      <c r="R30309" s="36" t="s">
        <v>48</v>
      </c>
    </row>
    <row r="30310">
      <c r="H30310" s="50"/>
      <c r="I30310" s="50"/>
      <c r="O30310" s="36" t="s">
        <v>48</v>
      </c>
      <c r="R30310" s="36" t="s">
        <v>48</v>
      </c>
    </row>
    <row r="30311">
      <c r="H30311" s="50"/>
      <c r="I30311" s="50"/>
      <c r="O30311" s="36" t="s">
        <v>48</v>
      </c>
      <c r="R30311" s="36" t="s">
        <v>48</v>
      </c>
    </row>
    <row r="30312">
      <c r="H30312" s="50"/>
      <c r="I30312" s="50"/>
      <c r="O30312" s="36" t="s">
        <v>48</v>
      </c>
      <c r="R30312" s="36" t="s">
        <v>48</v>
      </c>
    </row>
    <row r="30313">
      <c r="H30313" s="50"/>
      <c r="I30313" s="50"/>
      <c r="O30313" s="36" t="s">
        <v>48</v>
      </c>
      <c r="R30313" s="36" t="s">
        <v>48</v>
      </c>
    </row>
    <row r="30314">
      <c r="H30314" s="50"/>
      <c r="I30314" s="50"/>
      <c r="O30314" s="36" t="s">
        <v>48</v>
      </c>
      <c r="R30314" s="36" t="s">
        <v>48</v>
      </c>
    </row>
    <row r="30315">
      <c r="H30315" s="50"/>
      <c r="I30315" s="50"/>
      <c r="O30315" s="36" t="s">
        <v>48</v>
      </c>
      <c r="R30315" s="36" t="s">
        <v>48</v>
      </c>
    </row>
    <row r="30316">
      <c r="H30316" s="50"/>
      <c r="I30316" s="50"/>
      <c r="O30316" s="36" t="s">
        <v>48</v>
      </c>
      <c r="R30316" s="36" t="s">
        <v>48</v>
      </c>
    </row>
    <row r="30317">
      <c r="H30317" s="50"/>
      <c r="I30317" s="50"/>
      <c r="O30317" s="36" t="s">
        <v>48</v>
      </c>
      <c r="R30317" s="36" t="s">
        <v>48</v>
      </c>
    </row>
    <row r="30318">
      <c r="H30318" s="50"/>
      <c r="I30318" s="50"/>
      <c r="O30318" s="36" t="s">
        <v>48</v>
      </c>
      <c r="R30318" s="36" t="s">
        <v>48</v>
      </c>
    </row>
    <row r="30319">
      <c r="H30319" s="50"/>
      <c r="I30319" s="50"/>
      <c r="O30319" s="36" t="s">
        <v>48</v>
      </c>
      <c r="R30319" s="36" t="s">
        <v>48</v>
      </c>
    </row>
    <row r="30320">
      <c r="H30320" s="50"/>
      <c r="I30320" s="50"/>
      <c r="O30320" s="36" t="s">
        <v>48</v>
      </c>
      <c r="R30320" s="36" t="s">
        <v>48</v>
      </c>
    </row>
    <row r="30321">
      <c r="H30321" s="50"/>
      <c r="I30321" s="50"/>
      <c r="O30321" s="36" t="s">
        <v>48</v>
      </c>
      <c r="R30321" s="36" t="s">
        <v>48</v>
      </c>
    </row>
    <row r="30322">
      <c r="H30322" s="50"/>
      <c r="I30322" s="50"/>
      <c r="O30322" s="36" t="s">
        <v>48</v>
      </c>
      <c r="R30322" s="36" t="s">
        <v>48</v>
      </c>
    </row>
    <row r="30323">
      <c r="H30323" s="50"/>
      <c r="I30323" s="50"/>
      <c r="O30323" s="36" t="s">
        <v>48</v>
      </c>
      <c r="R30323" s="36" t="s">
        <v>48</v>
      </c>
    </row>
    <row r="30324">
      <c r="H30324" s="50"/>
      <c r="I30324" s="50"/>
      <c r="O30324" s="36" t="s">
        <v>48</v>
      </c>
      <c r="R30324" s="36" t="s">
        <v>48</v>
      </c>
    </row>
    <row r="30325">
      <c r="H30325" s="50"/>
      <c r="I30325" s="50"/>
      <c r="O30325" s="36" t="s">
        <v>48</v>
      </c>
      <c r="R30325" s="36" t="s">
        <v>48</v>
      </c>
    </row>
    <row r="30326">
      <c r="H30326" s="50"/>
      <c r="I30326" s="50"/>
      <c r="O30326" s="36" t="s">
        <v>48</v>
      </c>
      <c r="R30326" s="36" t="s">
        <v>48</v>
      </c>
    </row>
    <row r="30327">
      <c r="H30327" s="50"/>
      <c r="I30327" s="50"/>
      <c r="O30327" s="36" t="s">
        <v>48</v>
      </c>
      <c r="R30327" s="36" t="s">
        <v>48</v>
      </c>
    </row>
    <row r="30328">
      <c r="H30328" s="50"/>
      <c r="I30328" s="50"/>
      <c r="O30328" s="36" t="s">
        <v>48</v>
      </c>
      <c r="R30328" s="36" t="s">
        <v>48</v>
      </c>
    </row>
    <row r="30329">
      <c r="H30329" s="50"/>
      <c r="I30329" s="50"/>
      <c r="O30329" s="36" t="s">
        <v>48</v>
      </c>
      <c r="R30329" s="36" t="s">
        <v>48</v>
      </c>
    </row>
    <row r="30330">
      <c r="H30330" s="50"/>
      <c r="I30330" s="50"/>
      <c r="O30330" s="36" t="s">
        <v>48</v>
      </c>
      <c r="R30330" s="36" t="s">
        <v>48</v>
      </c>
    </row>
    <row r="30331">
      <c r="H30331" s="50"/>
      <c r="I30331" s="50"/>
      <c r="O30331" s="36" t="s">
        <v>48</v>
      </c>
      <c r="R30331" s="36" t="s">
        <v>48</v>
      </c>
    </row>
    <row r="30332">
      <c r="H30332" s="50"/>
      <c r="I30332" s="50"/>
      <c r="O30332" s="36" t="s">
        <v>48</v>
      </c>
      <c r="R30332" s="36" t="s">
        <v>48</v>
      </c>
    </row>
    <row r="30333">
      <c r="H30333" s="50"/>
      <c r="I30333" s="50"/>
      <c r="O30333" s="36" t="s">
        <v>48</v>
      </c>
      <c r="R30333" s="36" t="s">
        <v>48</v>
      </c>
    </row>
    <row r="30334">
      <c r="H30334" s="50"/>
      <c r="I30334" s="50"/>
      <c r="O30334" s="36" t="s">
        <v>48</v>
      </c>
      <c r="R30334" s="36" t="s">
        <v>48</v>
      </c>
    </row>
    <row r="30335">
      <c r="H30335" s="50"/>
      <c r="I30335" s="50"/>
      <c r="O30335" s="36" t="s">
        <v>48</v>
      </c>
      <c r="R30335" s="36" t="s">
        <v>48</v>
      </c>
    </row>
    <row r="30336">
      <c r="H30336" s="50"/>
      <c r="I30336" s="50"/>
      <c r="O30336" s="36" t="s">
        <v>48</v>
      </c>
      <c r="R30336" s="36" t="s">
        <v>48</v>
      </c>
    </row>
    <row r="30337">
      <c r="H30337" s="50"/>
      <c r="I30337" s="50"/>
      <c r="O30337" s="36" t="s">
        <v>48</v>
      </c>
      <c r="R30337" s="36" t="s">
        <v>48</v>
      </c>
    </row>
    <row r="30338">
      <c r="H30338" s="50"/>
      <c r="I30338" s="50"/>
      <c r="O30338" s="36" t="s">
        <v>48</v>
      </c>
      <c r="R30338" s="36" t="s">
        <v>48</v>
      </c>
    </row>
    <row r="30339">
      <c r="H30339" s="50"/>
      <c r="I30339" s="50"/>
      <c r="O30339" s="36" t="s">
        <v>48</v>
      </c>
      <c r="R30339" s="36" t="s">
        <v>48</v>
      </c>
    </row>
    <row r="30340">
      <c r="H30340" s="50"/>
      <c r="I30340" s="50"/>
      <c r="O30340" s="36" t="s">
        <v>48</v>
      </c>
      <c r="R30340" s="36" t="s">
        <v>48</v>
      </c>
    </row>
    <row r="30341">
      <c r="H30341" s="50"/>
      <c r="I30341" s="50"/>
      <c r="O30341" s="36" t="s">
        <v>48</v>
      </c>
      <c r="R30341" s="36" t="s">
        <v>48</v>
      </c>
    </row>
    <row r="30342">
      <c r="H30342" s="50"/>
      <c r="I30342" s="50"/>
      <c r="O30342" s="36" t="s">
        <v>48</v>
      </c>
      <c r="R30342" s="36" t="s">
        <v>48</v>
      </c>
    </row>
    <row r="30343">
      <c r="H30343" s="50"/>
      <c r="I30343" s="50"/>
      <c r="O30343" s="36" t="s">
        <v>48</v>
      </c>
      <c r="R30343" s="36" t="s">
        <v>48</v>
      </c>
    </row>
    <row r="30344">
      <c r="H30344" s="50"/>
      <c r="I30344" s="50"/>
      <c r="O30344" s="36" t="s">
        <v>48</v>
      </c>
      <c r="R30344" s="36" t="s">
        <v>48</v>
      </c>
    </row>
    <row r="30345">
      <c r="H30345" s="50"/>
      <c r="I30345" s="50"/>
      <c r="O30345" s="36" t="s">
        <v>48</v>
      </c>
      <c r="R30345" s="36" t="s">
        <v>48</v>
      </c>
    </row>
    <row r="30346">
      <c r="H30346" s="50"/>
      <c r="I30346" s="50"/>
      <c r="O30346" s="36" t="s">
        <v>48</v>
      </c>
      <c r="R30346" s="36" t="s">
        <v>48</v>
      </c>
    </row>
    <row r="30347">
      <c r="H30347" s="50"/>
      <c r="I30347" s="50"/>
      <c r="O30347" s="36" t="s">
        <v>48</v>
      </c>
      <c r="R30347" s="36" t="s">
        <v>48</v>
      </c>
    </row>
    <row r="30348">
      <c r="H30348" s="50"/>
      <c r="I30348" s="50"/>
      <c r="O30348" s="36" t="s">
        <v>48</v>
      </c>
      <c r="R30348" s="36" t="s">
        <v>48</v>
      </c>
    </row>
    <row r="30349">
      <c r="H30349" s="50"/>
      <c r="I30349" s="50"/>
      <c r="O30349" s="36" t="s">
        <v>48</v>
      </c>
      <c r="R30349" s="36" t="s">
        <v>48</v>
      </c>
    </row>
    <row r="30350">
      <c r="H30350" s="50"/>
      <c r="I30350" s="50"/>
      <c r="O30350" s="36" t="s">
        <v>48</v>
      </c>
      <c r="R30350" s="36" t="s">
        <v>48</v>
      </c>
    </row>
    <row r="30351">
      <c r="H30351" s="50"/>
      <c r="I30351" s="50"/>
      <c r="O30351" s="36" t="s">
        <v>48</v>
      </c>
      <c r="R30351" s="36" t="s">
        <v>48</v>
      </c>
    </row>
    <row r="30352">
      <c r="H30352" s="50"/>
      <c r="I30352" s="50"/>
      <c r="O30352" s="36" t="s">
        <v>48</v>
      </c>
      <c r="R30352" s="36" t="s">
        <v>48</v>
      </c>
    </row>
    <row r="30353">
      <c r="H30353" s="50"/>
      <c r="I30353" s="50"/>
      <c r="O30353" s="36" t="s">
        <v>48</v>
      </c>
      <c r="R30353" s="36" t="s">
        <v>48</v>
      </c>
    </row>
    <row r="30354">
      <c r="H30354" s="50"/>
      <c r="I30354" s="50"/>
      <c r="O30354" s="36" t="s">
        <v>48</v>
      </c>
      <c r="R30354" s="36" t="s">
        <v>48</v>
      </c>
    </row>
    <row r="30355">
      <c r="H30355" s="50"/>
      <c r="I30355" s="50"/>
      <c r="O30355" s="36" t="s">
        <v>48</v>
      </c>
      <c r="R30355" s="36" t="s">
        <v>48</v>
      </c>
    </row>
    <row r="30356">
      <c r="H30356" s="50"/>
      <c r="I30356" s="50"/>
      <c r="O30356" s="36" t="s">
        <v>48</v>
      </c>
      <c r="R30356" s="36" t="s">
        <v>48</v>
      </c>
    </row>
    <row r="30357">
      <c r="H30357" s="50"/>
      <c r="I30357" s="50"/>
      <c r="O30357" s="36" t="s">
        <v>48</v>
      </c>
      <c r="R30357" s="36" t="s">
        <v>48</v>
      </c>
    </row>
    <row r="30358">
      <c r="H30358" s="50"/>
      <c r="I30358" s="50"/>
      <c r="O30358" s="36" t="s">
        <v>48</v>
      </c>
      <c r="R30358" s="36" t="s">
        <v>48</v>
      </c>
    </row>
    <row r="30359">
      <c r="H30359" s="50"/>
      <c r="I30359" s="50"/>
      <c r="O30359" s="36" t="s">
        <v>48</v>
      </c>
      <c r="R30359" s="36" t="s">
        <v>48</v>
      </c>
    </row>
    <row r="30360">
      <c r="H30360" s="50"/>
      <c r="I30360" s="50"/>
      <c r="O30360" s="36" t="s">
        <v>48</v>
      </c>
      <c r="R30360" s="36" t="s">
        <v>48</v>
      </c>
    </row>
    <row r="30361">
      <c r="H30361" s="50"/>
      <c r="I30361" s="50"/>
      <c r="O30361" s="36" t="s">
        <v>48</v>
      </c>
      <c r="R30361" s="36" t="s">
        <v>48</v>
      </c>
    </row>
    <row r="30362">
      <c r="H30362" s="50"/>
      <c r="I30362" s="50"/>
      <c r="O30362" s="36" t="s">
        <v>48</v>
      </c>
      <c r="R30362" s="36" t="s">
        <v>48</v>
      </c>
    </row>
    <row r="30363">
      <c r="H30363" s="50"/>
      <c r="I30363" s="50"/>
      <c r="O30363" s="36" t="s">
        <v>48</v>
      </c>
      <c r="R30363" s="36" t="s">
        <v>48</v>
      </c>
    </row>
    <row r="30364">
      <c r="H30364" s="50"/>
      <c r="I30364" s="50"/>
      <c r="O30364" s="36" t="s">
        <v>48</v>
      </c>
      <c r="R30364" s="36" t="s">
        <v>48</v>
      </c>
    </row>
    <row r="30365">
      <c r="H30365" s="50"/>
      <c r="I30365" s="50"/>
      <c r="O30365" s="36" t="s">
        <v>48</v>
      </c>
      <c r="R30365" s="36" t="s">
        <v>48</v>
      </c>
    </row>
    <row r="30366">
      <c r="H30366" s="50"/>
      <c r="I30366" s="50"/>
      <c r="O30366" s="36" t="s">
        <v>48</v>
      </c>
      <c r="R30366" s="36" t="s">
        <v>48</v>
      </c>
    </row>
    <row r="30367">
      <c r="H30367" s="50"/>
      <c r="I30367" s="50"/>
      <c r="O30367" s="36" t="s">
        <v>48</v>
      </c>
      <c r="R30367" s="36" t="s">
        <v>48</v>
      </c>
    </row>
    <row r="30368">
      <c r="H30368" s="50"/>
      <c r="I30368" s="50"/>
      <c r="O30368" s="36" t="s">
        <v>48</v>
      </c>
      <c r="R30368" s="36" t="s">
        <v>48</v>
      </c>
    </row>
    <row r="30369">
      <c r="H30369" s="50"/>
      <c r="I30369" s="50"/>
      <c r="O30369" s="36" t="s">
        <v>48</v>
      </c>
      <c r="R30369" s="36" t="s">
        <v>48</v>
      </c>
    </row>
    <row r="30370">
      <c r="H30370" s="50"/>
      <c r="I30370" s="50"/>
      <c r="O30370" s="36" t="s">
        <v>48</v>
      </c>
      <c r="R30370" s="36" t="s">
        <v>48</v>
      </c>
    </row>
    <row r="30371">
      <c r="H30371" s="50"/>
      <c r="I30371" s="50"/>
      <c r="O30371" s="36" t="s">
        <v>48</v>
      </c>
      <c r="R30371" s="36" t="s">
        <v>48</v>
      </c>
    </row>
    <row r="30372">
      <c r="H30372" s="50"/>
      <c r="I30372" s="50"/>
      <c r="O30372" s="36" t="s">
        <v>48</v>
      </c>
      <c r="R30372" s="36" t="s">
        <v>48</v>
      </c>
    </row>
    <row r="30373">
      <c r="H30373" s="50"/>
      <c r="I30373" s="50"/>
      <c r="O30373" s="36" t="s">
        <v>48</v>
      </c>
      <c r="R30373" s="36" t="s">
        <v>48</v>
      </c>
    </row>
    <row r="30374">
      <c r="H30374" s="50"/>
      <c r="I30374" s="50"/>
      <c r="O30374" s="36" t="s">
        <v>48</v>
      </c>
      <c r="R30374" s="36" t="s">
        <v>48</v>
      </c>
    </row>
    <row r="30375">
      <c r="H30375" s="50"/>
      <c r="I30375" s="50"/>
      <c r="O30375" s="36" t="s">
        <v>48</v>
      </c>
      <c r="R30375" s="36" t="s">
        <v>48</v>
      </c>
    </row>
    <row r="30376">
      <c r="H30376" s="50"/>
      <c r="I30376" s="50"/>
      <c r="O30376" s="36" t="s">
        <v>48</v>
      </c>
      <c r="R30376" s="36" t="s">
        <v>48</v>
      </c>
    </row>
    <row r="30377">
      <c r="H30377" s="50"/>
      <c r="I30377" s="50"/>
      <c r="O30377" s="36" t="s">
        <v>48</v>
      </c>
      <c r="R30377" s="36" t="s">
        <v>48</v>
      </c>
    </row>
    <row r="30378">
      <c r="H30378" s="50"/>
      <c r="I30378" s="50"/>
      <c r="O30378" s="36" t="s">
        <v>48</v>
      </c>
      <c r="R30378" s="36" t="s">
        <v>48</v>
      </c>
    </row>
    <row r="30379">
      <c r="H30379" s="50"/>
      <c r="I30379" s="50"/>
      <c r="O30379" s="36" t="s">
        <v>48</v>
      </c>
      <c r="R30379" s="36" t="s">
        <v>48</v>
      </c>
    </row>
    <row r="30380">
      <c r="H30380" s="50"/>
      <c r="I30380" s="50"/>
      <c r="O30380" s="36" t="s">
        <v>48</v>
      </c>
      <c r="R30380" s="36" t="s">
        <v>48</v>
      </c>
    </row>
    <row r="30381">
      <c r="H30381" s="50"/>
      <c r="I30381" s="50"/>
      <c r="O30381" s="36" t="s">
        <v>48</v>
      </c>
      <c r="R30381" s="36" t="s">
        <v>48</v>
      </c>
    </row>
    <row r="30382">
      <c r="H30382" s="50"/>
      <c r="I30382" s="50"/>
      <c r="O30382" s="36" t="s">
        <v>48</v>
      </c>
      <c r="R30382" s="36" t="s">
        <v>48</v>
      </c>
    </row>
    <row r="30383">
      <c r="H30383" s="50"/>
      <c r="I30383" s="50"/>
      <c r="O30383" s="36" t="s">
        <v>48</v>
      </c>
      <c r="R30383" s="36" t="s">
        <v>48</v>
      </c>
    </row>
    <row r="30384">
      <c r="H30384" s="50"/>
      <c r="I30384" s="50"/>
      <c r="O30384" s="36" t="s">
        <v>48</v>
      </c>
      <c r="R30384" s="36" t="s">
        <v>48</v>
      </c>
    </row>
    <row r="30385">
      <c r="H30385" s="50"/>
      <c r="I30385" s="50"/>
      <c r="O30385" s="36" t="s">
        <v>48</v>
      </c>
      <c r="R30385" s="36" t="s">
        <v>48</v>
      </c>
    </row>
    <row r="30386">
      <c r="H30386" s="50"/>
      <c r="I30386" s="50"/>
      <c r="O30386" s="36" t="s">
        <v>48</v>
      </c>
      <c r="R30386" s="36" t="s">
        <v>48</v>
      </c>
    </row>
    <row r="30387">
      <c r="H30387" s="50"/>
      <c r="I30387" s="50"/>
      <c r="O30387" s="36" t="s">
        <v>48</v>
      </c>
      <c r="R30387" s="36" t="s">
        <v>48</v>
      </c>
    </row>
    <row r="30388">
      <c r="H30388" s="50"/>
      <c r="I30388" s="50"/>
      <c r="O30388" s="36" t="s">
        <v>48</v>
      </c>
      <c r="R30388" s="36" t="s">
        <v>48</v>
      </c>
    </row>
    <row r="30389">
      <c r="H30389" s="50"/>
      <c r="I30389" s="50"/>
      <c r="O30389" s="36" t="s">
        <v>48</v>
      </c>
      <c r="R30389" s="36" t="s">
        <v>48</v>
      </c>
    </row>
    <row r="30390">
      <c r="H30390" s="50"/>
      <c r="I30390" s="50"/>
      <c r="O30390" s="36" t="s">
        <v>48</v>
      </c>
      <c r="R30390" s="36" t="s">
        <v>48</v>
      </c>
    </row>
    <row r="30391">
      <c r="H30391" s="50"/>
      <c r="I30391" s="50"/>
      <c r="O30391" s="36" t="s">
        <v>48</v>
      </c>
      <c r="R30391" s="36" t="s">
        <v>48</v>
      </c>
    </row>
    <row r="30392">
      <c r="H30392" s="50"/>
      <c r="I30392" s="50"/>
      <c r="O30392" s="36" t="s">
        <v>48</v>
      </c>
      <c r="R30392" s="36" t="s">
        <v>48</v>
      </c>
    </row>
    <row r="30393">
      <c r="H30393" s="50"/>
      <c r="I30393" s="50"/>
      <c r="O30393" s="36" t="s">
        <v>48</v>
      </c>
      <c r="R30393" s="36" t="s">
        <v>48</v>
      </c>
    </row>
    <row r="30394">
      <c r="H30394" s="50"/>
      <c r="I30394" s="50"/>
      <c r="O30394" s="36" t="s">
        <v>48</v>
      </c>
      <c r="R30394" s="36" t="s">
        <v>48</v>
      </c>
    </row>
    <row r="30395">
      <c r="H30395" s="50"/>
      <c r="I30395" s="50"/>
      <c r="O30395" s="36" t="s">
        <v>48</v>
      </c>
      <c r="R30395" s="36" t="s">
        <v>48</v>
      </c>
    </row>
    <row r="30396">
      <c r="H30396" s="50"/>
      <c r="I30396" s="50"/>
      <c r="O30396" s="36" t="s">
        <v>48</v>
      </c>
      <c r="R30396" s="36" t="s">
        <v>48</v>
      </c>
    </row>
    <row r="30397">
      <c r="H30397" s="50"/>
      <c r="I30397" s="50"/>
      <c r="O30397" s="36" t="s">
        <v>48</v>
      </c>
      <c r="R30397" s="36" t="s">
        <v>48</v>
      </c>
    </row>
    <row r="30398">
      <c r="H30398" s="50"/>
      <c r="I30398" s="50"/>
      <c r="O30398" s="36" t="s">
        <v>48</v>
      </c>
      <c r="R30398" s="36" t="s">
        <v>48</v>
      </c>
    </row>
    <row r="30399">
      <c r="H30399" s="50"/>
      <c r="I30399" s="50"/>
      <c r="O30399" s="36" t="s">
        <v>48</v>
      </c>
      <c r="R30399" s="36" t="s">
        <v>48</v>
      </c>
    </row>
    <row r="30400">
      <c r="H30400" s="50"/>
      <c r="I30400" s="50"/>
      <c r="O30400" s="36" t="s">
        <v>48</v>
      </c>
      <c r="R30400" s="36" t="s">
        <v>48</v>
      </c>
    </row>
    <row r="30401">
      <c r="H30401" s="50"/>
      <c r="I30401" s="50"/>
      <c r="O30401" s="36" t="s">
        <v>48</v>
      </c>
      <c r="R30401" s="36" t="s">
        <v>48</v>
      </c>
    </row>
    <row r="30402">
      <c r="H30402" s="50"/>
      <c r="I30402" s="50"/>
      <c r="O30402" s="36" t="s">
        <v>48</v>
      </c>
      <c r="R30402" s="36" t="s">
        <v>48</v>
      </c>
    </row>
    <row r="30403">
      <c r="H30403" s="50"/>
      <c r="I30403" s="50"/>
      <c r="O30403" s="36" t="s">
        <v>48</v>
      </c>
      <c r="R30403" s="36" t="s">
        <v>48</v>
      </c>
    </row>
    <row r="30404">
      <c r="H30404" s="50"/>
      <c r="I30404" s="50"/>
      <c r="O30404" s="36" t="s">
        <v>48</v>
      </c>
      <c r="R30404" s="36" t="s">
        <v>48</v>
      </c>
    </row>
    <row r="30405">
      <c r="H30405" s="50"/>
      <c r="I30405" s="50"/>
      <c r="O30405" s="36" t="s">
        <v>48</v>
      </c>
      <c r="R30405" s="36" t="s">
        <v>48</v>
      </c>
    </row>
    <row r="30406">
      <c r="H30406" s="50"/>
      <c r="I30406" s="50"/>
      <c r="O30406" s="36" t="s">
        <v>48</v>
      </c>
      <c r="R30406" s="36" t="s">
        <v>48</v>
      </c>
    </row>
    <row r="30407">
      <c r="H30407" s="50"/>
      <c r="I30407" s="50"/>
      <c r="O30407" s="36" t="s">
        <v>48</v>
      </c>
      <c r="R30407" s="36" t="s">
        <v>48</v>
      </c>
    </row>
    <row r="30408">
      <c r="H30408" s="50"/>
      <c r="I30408" s="50"/>
      <c r="O30408" s="36" t="s">
        <v>48</v>
      </c>
      <c r="R30408" s="36" t="s">
        <v>48</v>
      </c>
    </row>
    <row r="30409">
      <c r="H30409" s="50"/>
      <c r="I30409" s="50"/>
      <c r="O30409" s="36" t="s">
        <v>48</v>
      </c>
      <c r="R30409" s="36" t="s">
        <v>48</v>
      </c>
    </row>
    <row r="30410">
      <c r="H30410" s="50"/>
      <c r="I30410" s="50"/>
      <c r="O30410" s="36" t="s">
        <v>48</v>
      </c>
      <c r="R30410" s="36" t="s">
        <v>48</v>
      </c>
    </row>
    <row r="30411">
      <c r="H30411" s="50"/>
      <c r="I30411" s="50"/>
      <c r="O30411" s="36" t="s">
        <v>48</v>
      </c>
      <c r="R30411" s="36" t="s">
        <v>48</v>
      </c>
    </row>
    <row r="30412">
      <c r="H30412" s="50"/>
      <c r="I30412" s="50"/>
      <c r="O30412" s="36" t="s">
        <v>48</v>
      </c>
      <c r="R30412" s="36" t="s">
        <v>48</v>
      </c>
    </row>
    <row r="30413">
      <c r="H30413" s="50"/>
      <c r="I30413" s="50"/>
      <c r="O30413" s="36" t="s">
        <v>48</v>
      </c>
      <c r="R30413" s="36" t="s">
        <v>48</v>
      </c>
    </row>
    <row r="30414">
      <c r="H30414" s="50"/>
      <c r="I30414" s="50"/>
      <c r="O30414" s="36" t="s">
        <v>48</v>
      </c>
      <c r="R30414" s="36" t="s">
        <v>48</v>
      </c>
    </row>
    <row r="30415">
      <c r="H30415" s="50"/>
      <c r="I30415" s="50"/>
      <c r="O30415" s="36" t="s">
        <v>48</v>
      </c>
      <c r="R30415" s="36" t="s">
        <v>48</v>
      </c>
    </row>
    <row r="30416">
      <c r="H30416" s="50"/>
      <c r="I30416" s="50"/>
      <c r="O30416" s="36" t="s">
        <v>48</v>
      </c>
      <c r="R30416" s="36" t="s">
        <v>48</v>
      </c>
    </row>
    <row r="30417">
      <c r="H30417" s="50"/>
      <c r="I30417" s="50"/>
      <c r="O30417" s="36" t="s">
        <v>48</v>
      </c>
      <c r="R30417" s="36" t="s">
        <v>48</v>
      </c>
    </row>
    <row r="30418">
      <c r="H30418" s="50"/>
      <c r="I30418" s="50"/>
      <c r="O30418" s="36" t="s">
        <v>48</v>
      </c>
      <c r="R30418" s="36" t="s">
        <v>48</v>
      </c>
    </row>
    <row r="30419">
      <c r="H30419" s="50"/>
      <c r="I30419" s="50"/>
      <c r="O30419" s="36" t="s">
        <v>48</v>
      </c>
      <c r="R30419" s="36" t="s">
        <v>48</v>
      </c>
    </row>
    <row r="30420">
      <c r="H30420" s="50"/>
      <c r="I30420" s="50"/>
      <c r="O30420" s="36" t="s">
        <v>48</v>
      </c>
      <c r="R30420" s="36" t="s">
        <v>48</v>
      </c>
    </row>
    <row r="30421">
      <c r="H30421" s="50"/>
      <c r="I30421" s="50"/>
      <c r="O30421" s="36" t="s">
        <v>48</v>
      </c>
      <c r="R30421" s="36" t="s">
        <v>48</v>
      </c>
    </row>
    <row r="30422">
      <c r="H30422" s="50"/>
      <c r="I30422" s="50"/>
      <c r="O30422" s="36" t="s">
        <v>48</v>
      </c>
      <c r="R30422" s="36" t="s">
        <v>48</v>
      </c>
    </row>
    <row r="30423">
      <c r="H30423" s="50"/>
      <c r="I30423" s="50"/>
      <c r="O30423" s="36" t="s">
        <v>48</v>
      </c>
      <c r="R30423" s="36" t="s">
        <v>48</v>
      </c>
    </row>
    <row r="30424">
      <c r="H30424" s="50"/>
      <c r="I30424" s="50"/>
      <c r="O30424" s="36" t="s">
        <v>48</v>
      </c>
      <c r="R30424" s="36" t="s">
        <v>48</v>
      </c>
    </row>
    <row r="30425">
      <c r="H30425" s="50"/>
      <c r="I30425" s="50"/>
      <c r="O30425" s="36" t="s">
        <v>48</v>
      </c>
      <c r="R30425" s="36" t="s">
        <v>48</v>
      </c>
    </row>
    <row r="30426">
      <c r="H30426" s="50"/>
      <c r="I30426" s="50"/>
      <c r="O30426" s="36" t="s">
        <v>48</v>
      </c>
      <c r="R30426" s="36" t="s">
        <v>48</v>
      </c>
    </row>
    <row r="30427">
      <c r="H30427" s="50"/>
      <c r="I30427" s="50"/>
      <c r="O30427" s="36" t="s">
        <v>48</v>
      </c>
      <c r="R30427" s="36" t="s">
        <v>48</v>
      </c>
    </row>
    <row r="30428">
      <c r="H30428" s="50"/>
      <c r="I30428" s="50"/>
      <c r="O30428" s="36" t="s">
        <v>48</v>
      </c>
      <c r="R30428" s="36" t="s">
        <v>48</v>
      </c>
    </row>
    <row r="30429">
      <c r="H30429" s="50"/>
      <c r="I30429" s="50"/>
      <c r="O30429" s="36" t="s">
        <v>48</v>
      </c>
      <c r="R30429" s="36" t="s">
        <v>48</v>
      </c>
    </row>
    <row r="30430">
      <c r="H30430" s="50"/>
      <c r="I30430" s="50"/>
      <c r="O30430" s="36" t="s">
        <v>48</v>
      </c>
      <c r="R30430" s="36" t="s">
        <v>48</v>
      </c>
    </row>
    <row r="30431">
      <c r="H30431" s="50"/>
      <c r="I30431" s="50"/>
      <c r="O30431" s="36" t="s">
        <v>48</v>
      </c>
      <c r="R30431" s="36" t="s">
        <v>48</v>
      </c>
    </row>
    <row r="30432">
      <c r="H30432" s="50"/>
      <c r="I30432" s="50"/>
      <c r="O30432" s="36" t="s">
        <v>48</v>
      </c>
      <c r="R30432" s="36" t="s">
        <v>48</v>
      </c>
    </row>
    <row r="30433">
      <c r="H30433" s="50"/>
      <c r="I30433" s="50"/>
      <c r="O30433" s="36" t="s">
        <v>48</v>
      </c>
      <c r="R30433" s="36" t="s">
        <v>48</v>
      </c>
    </row>
    <row r="30434">
      <c r="H30434" s="50"/>
      <c r="I30434" s="50"/>
      <c r="O30434" s="36" t="s">
        <v>48</v>
      </c>
      <c r="R30434" s="36" t="s">
        <v>48</v>
      </c>
    </row>
    <row r="30435">
      <c r="H30435" s="50"/>
      <c r="I30435" s="50"/>
      <c r="O30435" s="36" t="s">
        <v>48</v>
      </c>
      <c r="R30435" s="36" t="s">
        <v>48</v>
      </c>
    </row>
    <row r="30436">
      <c r="H30436" s="50"/>
      <c r="I30436" s="50"/>
      <c r="O30436" s="36" t="s">
        <v>48</v>
      </c>
      <c r="R30436" s="36" t="s">
        <v>48</v>
      </c>
    </row>
    <row r="30437">
      <c r="H30437" s="50"/>
      <c r="I30437" s="50"/>
      <c r="O30437" s="36" t="s">
        <v>48</v>
      </c>
      <c r="R30437" s="36" t="s">
        <v>48</v>
      </c>
    </row>
    <row r="30438">
      <c r="H30438" s="50"/>
      <c r="I30438" s="50"/>
      <c r="O30438" s="36" t="s">
        <v>48</v>
      </c>
      <c r="R30438" s="36" t="s">
        <v>48</v>
      </c>
    </row>
    <row r="30439">
      <c r="H30439" s="50"/>
      <c r="I30439" s="50"/>
      <c r="O30439" s="36" t="s">
        <v>48</v>
      </c>
      <c r="R30439" s="36" t="s">
        <v>48</v>
      </c>
    </row>
    <row r="30440">
      <c r="H30440" s="50"/>
      <c r="I30440" s="50"/>
      <c r="O30440" s="36" t="s">
        <v>48</v>
      </c>
      <c r="R30440" s="36" t="s">
        <v>48</v>
      </c>
    </row>
    <row r="30441">
      <c r="H30441" s="50"/>
      <c r="I30441" s="50"/>
      <c r="O30441" s="36" t="s">
        <v>48</v>
      </c>
      <c r="R30441" s="36" t="s">
        <v>48</v>
      </c>
    </row>
    <row r="30442">
      <c r="H30442" s="50"/>
      <c r="I30442" s="50"/>
      <c r="O30442" s="36" t="s">
        <v>48</v>
      </c>
      <c r="R30442" s="36" t="s">
        <v>48</v>
      </c>
    </row>
    <row r="30443">
      <c r="H30443" s="50"/>
      <c r="I30443" s="50"/>
      <c r="O30443" s="36" t="s">
        <v>48</v>
      </c>
      <c r="R30443" s="36" t="s">
        <v>48</v>
      </c>
    </row>
    <row r="30444">
      <c r="H30444" s="50"/>
      <c r="I30444" s="50"/>
      <c r="O30444" s="36" t="s">
        <v>48</v>
      </c>
      <c r="R30444" s="36" t="s">
        <v>48</v>
      </c>
    </row>
    <row r="30445">
      <c r="H30445" s="50"/>
      <c r="I30445" s="50"/>
      <c r="O30445" s="36" t="s">
        <v>48</v>
      </c>
      <c r="R30445" s="36" t="s">
        <v>48</v>
      </c>
    </row>
    <row r="30446">
      <c r="H30446" s="50"/>
      <c r="I30446" s="50"/>
      <c r="O30446" s="36" t="s">
        <v>48</v>
      </c>
      <c r="R30446" s="36" t="s">
        <v>48</v>
      </c>
    </row>
    <row r="30447">
      <c r="H30447" s="50"/>
      <c r="I30447" s="50"/>
      <c r="O30447" s="36" t="s">
        <v>48</v>
      </c>
      <c r="R30447" s="36" t="s">
        <v>48</v>
      </c>
    </row>
    <row r="30448">
      <c r="H30448" s="50"/>
      <c r="I30448" s="50"/>
      <c r="O30448" s="36" t="s">
        <v>48</v>
      </c>
      <c r="R30448" s="36" t="s">
        <v>48</v>
      </c>
    </row>
    <row r="30449">
      <c r="H30449" s="50"/>
      <c r="I30449" s="50"/>
      <c r="O30449" s="36" t="s">
        <v>48</v>
      </c>
      <c r="R30449" s="36" t="s">
        <v>48</v>
      </c>
    </row>
    <row r="30450">
      <c r="H30450" s="50"/>
      <c r="I30450" s="50"/>
      <c r="O30450" s="36" t="s">
        <v>48</v>
      </c>
      <c r="R30450" s="36" t="s">
        <v>48</v>
      </c>
    </row>
    <row r="30451">
      <c r="H30451" s="50"/>
      <c r="I30451" s="50"/>
      <c r="O30451" s="36" t="s">
        <v>48</v>
      </c>
      <c r="R30451" s="36" t="s">
        <v>48</v>
      </c>
    </row>
    <row r="30452">
      <c r="H30452" s="50"/>
      <c r="I30452" s="50"/>
      <c r="O30452" s="36" t="s">
        <v>48</v>
      </c>
      <c r="R30452" s="36" t="s">
        <v>48</v>
      </c>
    </row>
    <row r="30453">
      <c r="H30453" s="50"/>
      <c r="I30453" s="50"/>
      <c r="O30453" s="36" t="s">
        <v>48</v>
      </c>
      <c r="R30453" s="36" t="s">
        <v>48</v>
      </c>
    </row>
    <row r="30454">
      <c r="H30454" s="50"/>
      <c r="I30454" s="50"/>
      <c r="O30454" s="36" t="s">
        <v>48</v>
      </c>
      <c r="R30454" s="36" t="s">
        <v>48</v>
      </c>
    </row>
    <row r="30455">
      <c r="H30455" s="50"/>
      <c r="I30455" s="50"/>
      <c r="O30455" s="36" t="s">
        <v>48</v>
      </c>
      <c r="R30455" s="36" t="s">
        <v>48</v>
      </c>
    </row>
    <row r="30456">
      <c r="H30456" s="50"/>
      <c r="I30456" s="50"/>
      <c r="O30456" s="36" t="s">
        <v>48</v>
      </c>
      <c r="R30456" s="36" t="s">
        <v>48</v>
      </c>
    </row>
    <row r="30457">
      <c r="H30457" s="50"/>
      <c r="I30457" s="50"/>
      <c r="O30457" s="36" t="s">
        <v>48</v>
      </c>
      <c r="R30457" s="36" t="s">
        <v>48</v>
      </c>
    </row>
    <row r="30458">
      <c r="H30458" s="50"/>
      <c r="I30458" s="50"/>
      <c r="O30458" s="36" t="s">
        <v>48</v>
      </c>
      <c r="R30458" s="36" t="s">
        <v>48</v>
      </c>
    </row>
    <row r="30459">
      <c r="H30459" s="50"/>
      <c r="I30459" s="50"/>
      <c r="O30459" s="36" t="s">
        <v>48</v>
      </c>
      <c r="R30459" s="36" t="s">
        <v>48</v>
      </c>
    </row>
    <row r="30460">
      <c r="H30460" s="50"/>
      <c r="I30460" s="50"/>
      <c r="O30460" s="36" t="s">
        <v>48</v>
      </c>
      <c r="R30460" s="36" t="s">
        <v>48</v>
      </c>
    </row>
    <row r="30461">
      <c r="H30461" s="50"/>
      <c r="I30461" s="50"/>
      <c r="O30461" s="36" t="s">
        <v>48</v>
      </c>
      <c r="R30461" s="36" t="s">
        <v>48</v>
      </c>
    </row>
    <row r="30462">
      <c r="H30462" s="50"/>
      <c r="I30462" s="50"/>
      <c r="O30462" s="36" t="s">
        <v>48</v>
      </c>
      <c r="R30462" s="36" t="s">
        <v>48</v>
      </c>
    </row>
    <row r="30463">
      <c r="H30463" s="50"/>
      <c r="I30463" s="50"/>
      <c r="O30463" s="36" t="s">
        <v>48</v>
      </c>
      <c r="R30463" s="36" t="s">
        <v>48</v>
      </c>
    </row>
    <row r="30464">
      <c r="H30464" s="50"/>
      <c r="I30464" s="50"/>
      <c r="O30464" s="36" t="s">
        <v>48</v>
      </c>
      <c r="R30464" s="36" t="s">
        <v>48</v>
      </c>
    </row>
    <row r="30465">
      <c r="H30465" s="50"/>
      <c r="I30465" s="50"/>
      <c r="O30465" s="36" t="s">
        <v>48</v>
      </c>
      <c r="R30465" s="36" t="s">
        <v>48</v>
      </c>
    </row>
    <row r="30466">
      <c r="H30466" s="50"/>
      <c r="I30466" s="50"/>
      <c r="O30466" s="36" t="s">
        <v>48</v>
      </c>
      <c r="R30466" s="36" t="s">
        <v>48</v>
      </c>
    </row>
    <row r="30467">
      <c r="H30467" s="50"/>
      <c r="I30467" s="50"/>
      <c r="O30467" s="36" t="s">
        <v>48</v>
      </c>
      <c r="R30467" s="36" t="s">
        <v>48</v>
      </c>
    </row>
    <row r="30468">
      <c r="H30468" s="50"/>
      <c r="I30468" s="50"/>
      <c r="O30468" s="36" t="s">
        <v>48</v>
      </c>
      <c r="R30468" s="36" t="s">
        <v>48</v>
      </c>
    </row>
    <row r="30469">
      <c r="H30469" s="50"/>
      <c r="I30469" s="50"/>
      <c r="O30469" s="36" t="s">
        <v>48</v>
      </c>
      <c r="R30469" s="36" t="s">
        <v>48</v>
      </c>
    </row>
    <row r="30470">
      <c r="H30470" s="50"/>
      <c r="I30470" s="50"/>
      <c r="O30470" s="36" t="s">
        <v>48</v>
      </c>
      <c r="R30470" s="36" t="s">
        <v>48</v>
      </c>
    </row>
    <row r="30471">
      <c r="H30471" s="50"/>
      <c r="I30471" s="50"/>
      <c r="O30471" s="36" t="s">
        <v>48</v>
      </c>
      <c r="R30471" s="36" t="s">
        <v>48</v>
      </c>
    </row>
    <row r="30472">
      <c r="H30472" s="50"/>
      <c r="I30472" s="50"/>
      <c r="O30472" s="36" t="s">
        <v>48</v>
      </c>
      <c r="R30472" s="36" t="s">
        <v>48</v>
      </c>
    </row>
    <row r="30473">
      <c r="H30473" s="50"/>
      <c r="I30473" s="50"/>
      <c r="O30473" s="36" t="s">
        <v>48</v>
      </c>
      <c r="R30473" s="36" t="s">
        <v>48</v>
      </c>
    </row>
    <row r="30474">
      <c r="H30474" s="50"/>
      <c r="I30474" s="50"/>
      <c r="O30474" s="36" t="s">
        <v>48</v>
      </c>
      <c r="R30474" s="36" t="s">
        <v>48</v>
      </c>
    </row>
    <row r="30475">
      <c r="H30475" s="50"/>
      <c r="I30475" s="50"/>
      <c r="O30475" s="36" t="s">
        <v>48</v>
      </c>
      <c r="R30475" s="36" t="s">
        <v>48</v>
      </c>
    </row>
    <row r="30476">
      <c r="H30476" s="50"/>
      <c r="I30476" s="50"/>
      <c r="O30476" s="36" t="s">
        <v>48</v>
      </c>
      <c r="R30476" s="36" t="s">
        <v>48</v>
      </c>
    </row>
    <row r="30477">
      <c r="H30477" s="50"/>
      <c r="I30477" s="50"/>
      <c r="O30477" s="36" t="s">
        <v>48</v>
      </c>
      <c r="R30477" s="36" t="s">
        <v>48</v>
      </c>
    </row>
    <row r="30478">
      <c r="H30478" s="50"/>
      <c r="I30478" s="50"/>
      <c r="O30478" s="36" t="s">
        <v>48</v>
      </c>
      <c r="R30478" s="36" t="s">
        <v>48</v>
      </c>
    </row>
    <row r="30479">
      <c r="H30479" s="50"/>
      <c r="I30479" s="50"/>
      <c r="O30479" s="36" t="s">
        <v>48</v>
      </c>
      <c r="R30479" s="36" t="s">
        <v>48</v>
      </c>
    </row>
    <row r="30480">
      <c r="H30480" s="50"/>
      <c r="I30480" s="50"/>
      <c r="O30480" s="36" t="s">
        <v>48</v>
      </c>
      <c r="R30480" s="36" t="s">
        <v>48</v>
      </c>
    </row>
    <row r="30481">
      <c r="H30481" s="50"/>
      <c r="I30481" s="50"/>
      <c r="O30481" s="36" t="s">
        <v>48</v>
      </c>
      <c r="R30481" s="36" t="s">
        <v>48</v>
      </c>
    </row>
    <row r="30482">
      <c r="H30482" s="50"/>
      <c r="I30482" s="50"/>
      <c r="O30482" s="36" t="s">
        <v>48</v>
      </c>
      <c r="R30482" s="36" t="s">
        <v>48</v>
      </c>
    </row>
    <row r="30483">
      <c r="H30483" s="50"/>
      <c r="I30483" s="50"/>
      <c r="O30483" s="36" t="s">
        <v>48</v>
      </c>
      <c r="R30483" s="36" t="s">
        <v>48</v>
      </c>
    </row>
    <row r="30484">
      <c r="H30484" s="50"/>
      <c r="I30484" s="50"/>
      <c r="O30484" s="36" t="s">
        <v>48</v>
      </c>
      <c r="R30484" s="36" t="s">
        <v>48</v>
      </c>
    </row>
    <row r="30485">
      <c r="H30485" s="50"/>
      <c r="I30485" s="50"/>
      <c r="O30485" s="36" t="s">
        <v>48</v>
      </c>
      <c r="R30485" s="36" t="s">
        <v>48</v>
      </c>
    </row>
    <row r="30486">
      <c r="H30486" s="50"/>
      <c r="I30486" s="50"/>
      <c r="O30486" s="36" t="s">
        <v>48</v>
      </c>
      <c r="R30486" s="36" t="s">
        <v>48</v>
      </c>
    </row>
    <row r="30487">
      <c r="H30487" s="50"/>
      <c r="I30487" s="50"/>
      <c r="O30487" s="36" t="s">
        <v>48</v>
      </c>
      <c r="R30487" s="36" t="s">
        <v>48</v>
      </c>
    </row>
    <row r="30488">
      <c r="H30488" s="50"/>
      <c r="I30488" s="50"/>
      <c r="O30488" s="36" t="s">
        <v>48</v>
      </c>
      <c r="R30488" s="36" t="s">
        <v>48</v>
      </c>
    </row>
    <row r="30489">
      <c r="H30489" s="50"/>
      <c r="I30489" s="50"/>
      <c r="O30489" s="36" t="s">
        <v>48</v>
      </c>
      <c r="R30489" s="36" t="s">
        <v>48</v>
      </c>
    </row>
    <row r="30490">
      <c r="H30490" s="50"/>
      <c r="I30490" s="50"/>
      <c r="O30490" s="36" t="s">
        <v>48</v>
      </c>
      <c r="R30490" s="36" t="s">
        <v>48</v>
      </c>
    </row>
    <row r="30491">
      <c r="H30491" s="50"/>
      <c r="I30491" s="50"/>
      <c r="O30491" s="36" t="s">
        <v>48</v>
      </c>
      <c r="R30491" s="36" t="s">
        <v>48</v>
      </c>
    </row>
    <row r="30492">
      <c r="H30492" s="50"/>
      <c r="I30492" s="50"/>
      <c r="O30492" s="36" t="s">
        <v>48</v>
      </c>
      <c r="R30492" s="36" t="s">
        <v>48</v>
      </c>
    </row>
    <row r="30493">
      <c r="H30493" s="50"/>
      <c r="I30493" s="50"/>
      <c r="O30493" s="36" t="s">
        <v>48</v>
      </c>
      <c r="R30493" s="36" t="s">
        <v>48</v>
      </c>
    </row>
    <row r="30494">
      <c r="H30494" s="50"/>
      <c r="I30494" s="50"/>
      <c r="O30494" s="36" t="s">
        <v>48</v>
      </c>
      <c r="R30494" s="36" t="s">
        <v>48</v>
      </c>
    </row>
    <row r="30495">
      <c r="H30495" s="50"/>
      <c r="I30495" s="50"/>
      <c r="O30495" s="36" t="s">
        <v>48</v>
      </c>
      <c r="R30495" s="36" t="s">
        <v>48</v>
      </c>
    </row>
    <row r="30496">
      <c r="H30496" s="50"/>
      <c r="I30496" s="50"/>
      <c r="O30496" s="36" t="s">
        <v>48</v>
      </c>
      <c r="R30496" s="36" t="s">
        <v>48</v>
      </c>
    </row>
    <row r="30497">
      <c r="H30497" s="50"/>
      <c r="I30497" s="50"/>
      <c r="O30497" s="36" t="s">
        <v>48</v>
      </c>
      <c r="R30497" s="36" t="s">
        <v>48</v>
      </c>
    </row>
    <row r="30498">
      <c r="H30498" s="50"/>
      <c r="I30498" s="50"/>
      <c r="O30498" s="36" t="s">
        <v>48</v>
      </c>
      <c r="R30498" s="36" t="s">
        <v>48</v>
      </c>
    </row>
    <row r="30499">
      <c r="H30499" s="50"/>
      <c r="I30499" s="50"/>
      <c r="O30499" s="36" t="s">
        <v>48</v>
      </c>
      <c r="R30499" s="36" t="s">
        <v>48</v>
      </c>
    </row>
    <row r="30500">
      <c r="H30500" s="50"/>
      <c r="I30500" s="50"/>
      <c r="O30500" s="36" t="s">
        <v>48</v>
      </c>
      <c r="R30500" s="36" t="s">
        <v>48</v>
      </c>
    </row>
    <row r="30501">
      <c r="H30501" s="50"/>
      <c r="I30501" s="50"/>
      <c r="O30501" s="36" t="s">
        <v>48</v>
      </c>
      <c r="R30501" s="36" t="s">
        <v>48</v>
      </c>
    </row>
    <row r="30502">
      <c r="H30502" s="50"/>
      <c r="I30502" s="50"/>
      <c r="O30502" s="36" t="s">
        <v>48</v>
      </c>
      <c r="R30502" s="36" t="s">
        <v>48</v>
      </c>
    </row>
    <row r="30503">
      <c r="H30503" s="50"/>
      <c r="I30503" s="50"/>
      <c r="O30503" s="36" t="s">
        <v>48</v>
      </c>
      <c r="R30503" s="36" t="s">
        <v>48</v>
      </c>
    </row>
    <row r="30504">
      <c r="H30504" s="50"/>
      <c r="I30504" s="50"/>
      <c r="O30504" s="36" t="s">
        <v>48</v>
      </c>
      <c r="R30504" s="36" t="s">
        <v>48</v>
      </c>
    </row>
    <row r="30505">
      <c r="H30505" s="50"/>
      <c r="I30505" s="50"/>
      <c r="O30505" s="36" t="s">
        <v>48</v>
      </c>
      <c r="R30505" s="36" t="s">
        <v>48</v>
      </c>
    </row>
    <row r="30506">
      <c r="H30506" s="50"/>
      <c r="I30506" s="50"/>
      <c r="O30506" s="36" t="s">
        <v>48</v>
      </c>
      <c r="R30506" s="36" t="s">
        <v>48</v>
      </c>
    </row>
    <row r="30507">
      <c r="H30507" s="50"/>
      <c r="I30507" s="50"/>
      <c r="O30507" s="36" t="s">
        <v>48</v>
      </c>
      <c r="R30507" s="36" t="s">
        <v>48</v>
      </c>
    </row>
    <row r="30508">
      <c r="H30508" s="50"/>
      <c r="I30508" s="50"/>
      <c r="O30508" s="36" t="s">
        <v>48</v>
      </c>
      <c r="R30508" s="36" t="s">
        <v>48</v>
      </c>
    </row>
    <row r="30509">
      <c r="H30509" s="50"/>
      <c r="I30509" s="50"/>
      <c r="O30509" s="36" t="s">
        <v>48</v>
      </c>
      <c r="R30509" s="36" t="s">
        <v>48</v>
      </c>
    </row>
    <row r="30510">
      <c r="H30510" s="50"/>
      <c r="I30510" s="50"/>
      <c r="O30510" s="36" t="s">
        <v>48</v>
      </c>
      <c r="R30510" s="36" t="s">
        <v>48</v>
      </c>
    </row>
    <row r="30511">
      <c r="H30511" s="50"/>
      <c r="I30511" s="50"/>
      <c r="O30511" s="36" t="s">
        <v>48</v>
      </c>
      <c r="R30511" s="36" t="s">
        <v>48</v>
      </c>
    </row>
    <row r="30512">
      <c r="H30512" s="50"/>
      <c r="I30512" s="50"/>
      <c r="O30512" s="36" t="s">
        <v>48</v>
      </c>
      <c r="R30512" s="36" t="s">
        <v>48</v>
      </c>
    </row>
    <row r="30513">
      <c r="H30513" s="50"/>
      <c r="I30513" s="50"/>
      <c r="O30513" s="36" t="s">
        <v>48</v>
      </c>
      <c r="R30513" s="36" t="s">
        <v>48</v>
      </c>
    </row>
    <row r="30514">
      <c r="H30514" s="50"/>
      <c r="I30514" s="50"/>
      <c r="O30514" s="36" t="s">
        <v>48</v>
      </c>
      <c r="R30514" s="36" t="s">
        <v>48</v>
      </c>
    </row>
    <row r="30515">
      <c r="H30515" s="50"/>
      <c r="I30515" s="50"/>
      <c r="O30515" s="36" t="s">
        <v>48</v>
      </c>
      <c r="R30515" s="36" t="s">
        <v>48</v>
      </c>
    </row>
    <row r="30516">
      <c r="H30516" s="50"/>
      <c r="I30516" s="50"/>
      <c r="O30516" s="36" t="s">
        <v>48</v>
      </c>
      <c r="R30516" s="36" t="s">
        <v>48</v>
      </c>
    </row>
    <row r="30517">
      <c r="H30517" s="50"/>
      <c r="I30517" s="50"/>
      <c r="O30517" s="36" t="s">
        <v>48</v>
      </c>
      <c r="R30517" s="36" t="s">
        <v>48</v>
      </c>
    </row>
    <row r="30518">
      <c r="H30518" s="50"/>
      <c r="I30518" s="50"/>
      <c r="O30518" s="36" t="s">
        <v>48</v>
      </c>
      <c r="R30518" s="36" t="s">
        <v>48</v>
      </c>
    </row>
    <row r="30519">
      <c r="H30519" s="50"/>
      <c r="I30519" s="50"/>
      <c r="O30519" s="36" t="s">
        <v>48</v>
      </c>
      <c r="R30519" s="36" t="s">
        <v>48</v>
      </c>
    </row>
    <row r="30520">
      <c r="H30520" s="50"/>
      <c r="I30520" s="50"/>
      <c r="O30520" s="36" t="s">
        <v>48</v>
      </c>
      <c r="R30520" s="36" t="s">
        <v>48</v>
      </c>
    </row>
    <row r="30521">
      <c r="H30521" s="50"/>
      <c r="I30521" s="50"/>
      <c r="O30521" s="36" t="s">
        <v>48</v>
      </c>
      <c r="R30521" s="36" t="s">
        <v>48</v>
      </c>
    </row>
    <row r="30522">
      <c r="H30522" s="50"/>
      <c r="I30522" s="50"/>
      <c r="O30522" s="36" t="s">
        <v>48</v>
      </c>
      <c r="R30522" s="36" t="s">
        <v>48</v>
      </c>
    </row>
    <row r="30523">
      <c r="H30523" s="50"/>
      <c r="I30523" s="50"/>
      <c r="O30523" s="36" t="s">
        <v>48</v>
      </c>
      <c r="R30523" s="36" t="s">
        <v>48</v>
      </c>
    </row>
    <row r="30524">
      <c r="H30524" s="50"/>
      <c r="I30524" s="50"/>
      <c r="O30524" s="36" t="s">
        <v>48</v>
      </c>
      <c r="R30524" s="36" t="s">
        <v>48</v>
      </c>
    </row>
    <row r="30525">
      <c r="H30525" s="50"/>
      <c r="I30525" s="50"/>
      <c r="O30525" s="36" t="s">
        <v>48</v>
      </c>
      <c r="R30525" s="36" t="s">
        <v>48</v>
      </c>
    </row>
    <row r="30526">
      <c r="H30526" s="50"/>
      <c r="I30526" s="50"/>
      <c r="O30526" s="36" t="s">
        <v>48</v>
      </c>
      <c r="R30526" s="36" t="s">
        <v>48</v>
      </c>
    </row>
    <row r="30527">
      <c r="H30527" s="50"/>
      <c r="I30527" s="50"/>
      <c r="O30527" s="36" t="s">
        <v>48</v>
      </c>
      <c r="R30527" s="36" t="s">
        <v>48</v>
      </c>
    </row>
    <row r="30528">
      <c r="H30528" s="50"/>
      <c r="I30528" s="50"/>
      <c r="O30528" s="36" t="s">
        <v>48</v>
      </c>
      <c r="R30528" s="36" t="s">
        <v>48</v>
      </c>
    </row>
    <row r="30529">
      <c r="H30529" s="50"/>
      <c r="I30529" s="50"/>
      <c r="O30529" s="36" t="s">
        <v>48</v>
      </c>
      <c r="R30529" s="36" t="s">
        <v>48</v>
      </c>
    </row>
    <row r="30530">
      <c r="H30530" s="50"/>
      <c r="I30530" s="50"/>
      <c r="O30530" s="36" t="s">
        <v>48</v>
      </c>
      <c r="R30530" s="36" t="s">
        <v>48</v>
      </c>
    </row>
    <row r="30531">
      <c r="H30531" s="50"/>
      <c r="I30531" s="50"/>
      <c r="O30531" s="36" t="s">
        <v>48</v>
      </c>
      <c r="R30531" s="36" t="s">
        <v>48</v>
      </c>
    </row>
    <row r="30532">
      <c r="H30532" s="50"/>
      <c r="I30532" s="50"/>
      <c r="O30532" s="36" t="s">
        <v>48</v>
      </c>
      <c r="R30532" s="36" t="s">
        <v>48</v>
      </c>
    </row>
    <row r="30533">
      <c r="H30533" s="50"/>
      <c r="I30533" s="50"/>
      <c r="O30533" s="36" t="s">
        <v>48</v>
      </c>
      <c r="R30533" s="36" t="s">
        <v>48</v>
      </c>
    </row>
    <row r="30534">
      <c r="H30534" s="50"/>
      <c r="I30534" s="50"/>
      <c r="O30534" s="36" t="s">
        <v>48</v>
      </c>
      <c r="R30534" s="36" t="s">
        <v>48</v>
      </c>
    </row>
    <row r="30535">
      <c r="H30535" s="50"/>
      <c r="I30535" s="50"/>
      <c r="O30535" s="36" t="s">
        <v>48</v>
      </c>
      <c r="R30535" s="36" t="s">
        <v>48</v>
      </c>
    </row>
    <row r="30536">
      <c r="H30536" s="50"/>
      <c r="I30536" s="50"/>
      <c r="O30536" s="36" t="s">
        <v>48</v>
      </c>
      <c r="R30536" s="36" t="s">
        <v>48</v>
      </c>
    </row>
    <row r="30537">
      <c r="H30537" s="50"/>
      <c r="I30537" s="50"/>
      <c r="O30537" s="36" t="s">
        <v>48</v>
      </c>
      <c r="R30537" s="36" t="s">
        <v>48</v>
      </c>
    </row>
    <row r="30538">
      <c r="H30538" s="50"/>
      <c r="I30538" s="50"/>
      <c r="O30538" s="36" t="s">
        <v>48</v>
      </c>
      <c r="R30538" s="36" t="s">
        <v>48</v>
      </c>
    </row>
    <row r="30539">
      <c r="H30539" s="50"/>
      <c r="I30539" s="50"/>
      <c r="O30539" s="36" t="s">
        <v>48</v>
      </c>
      <c r="R30539" s="36" t="s">
        <v>48</v>
      </c>
    </row>
    <row r="30540">
      <c r="H30540" s="50"/>
      <c r="I30540" s="50"/>
      <c r="O30540" s="36" t="s">
        <v>48</v>
      </c>
      <c r="R30540" s="36" t="s">
        <v>48</v>
      </c>
    </row>
    <row r="30541">
      <c r="H30541" s="50"/>
      <c r="I30541" s="50"/>
      <c r="O30541" s="36" t="s">
        <v>48</v>
      </c>
      <c r="R30541" s="36" t="s">
        <v>48</v>
      </c>
    </row>
    <row r="30542">
      <c r="H30542" s="50"/>
      <c r="I30542" s="50"/>
      <c r="O30542" s="36" t="s">
        <v>48</v>
      </c>
      <c r="R30542" s="36" t="s">
        <v>48</v>
      </c>
    </row>
    <row r="30543">
      <c r="H30543" s="50"/>
      <c r="I30543" s="50"/>
      <c r="O30543" s="36" t="s">
        <v>48</v>
      </c>
      <c r="R30543" s="36" t="s">
        <v>48</v>
      </c>
    </row>
    <row r="30544">
      <c r="H30544" s="50"/>
      <c r="I30544" s="50"/>
      <c r="O30544" s="36" t="s">
        <v>48</v>
      </c>
      <c r="R30544" s="36" t="s">
        <v>48</v>
      </c>
    </row>
    <row r="30545">
      <c r="H30545" s="50"/>
      <c r="I30545" s="50"/>
      <c r="O30545" s="36" t="s">
        <v>48</v>
      </c>
      <c r="R30545" s="36" t="s">
        <v>48</v>
      </c>
    </row>
    <row r="30546">
      <c r="H30546" s="50"/>
      <c r="I30546" s="50"/>
      <c r="O30546" s="36" t="s">
        <v>48</v>
      </c>
      <c r="R30546" s="36" t="s">
        <v>48</v>
      </c>
    </row>
    <row r="30547">
      <c r="H30547" s="50"/>
      <c r="I30547" s="50"/>
      <c r="O30547" s="36" t="s">
        <v>48</v>
      </c>
      <c r="R30547" s="36" t="s">
        <v>48</v>
      </c>
    </row>
    <row r="30548">
      <c r="H30548" s="50"/>
      <c r="I30548" s="50"/>
      <c r="O30548" s="36" t="s">
        <v>48</v>
      </c>
      <c r="R30548" s="36" t="s">
        <v>48</v>
      </c>
    </row>
    <row r="30549">
      <c r="H30549" s="50"/>
      <c r="I30549" s="50"/>
      <c r="O30549" s="36" t="s">
        <v>48</v>
      </c>
      <c r="R30549" s="36" t="s">
        <v>48</v>
      </c>
    </row>
    <row r="30550">
      <c r="H30550" s="50"/>
      <c r="I30550" s="50"/>
      <c r="O30550" s="36" t="s">
        <v>48</v>
      </c>
      <c r="R30550" s="36" t="s">
        <v>48</v>
      </c>
    </row>
    <row r="30551">
      <c r="H30551" s="50"/>
      <c r="I30551" s="50"/>
      <c r="O30551" s="36" t="s">
        <v>48</v>
      </c>
      <c r="R30551" s="36" t="s">
        <v>48</v>
      </c>
    </row>
    <row r="30552">
      <c r="H30552" s="50"/>
      <c r="I30552" s="50"/>
      <c r="O30552" s="36" t="s">
        <v>48</v>
      </c>
      <c r="R30552" s="36" t="s">
        <v>48</v>
      </c>
    </row>
    <row r="30553">
      <c r="H30553" s="50"/>
      <c r="I30553" s="50"/>
      <c r="O30553" s="36" t="s">
        <v>48</v>
      </c>
      <c r="R30553" s="36" t="s">
        <v>48</v>
      </c>
    </row>
    <row r="30554">
      <c r="H30554" s="50"/>
      <c r="I30554" s="50"/>
      <c r="O30554" s="36" t="s">
        <v>48</v>
      </c>
      <c r="R30554" s="36" t="s">
        <v>48</v>
      </c>
    </row>
    <row r="30555">
      <c r="H30555" s="50"/>
      <c r="I30555" s="50"/>
      <c r="O30555" s="36" t="s">
        <v>48</v>
      </c>
      <c r="R30555" s="36" t="s">
        <v>48</v>
      </c>
    </row>
    <row r="30556">
      <c r="H30556" s="50"/>
      <c r="I30556" s="50"/>
      <c r="O30556" s="36" t="s">
        <v>48</v>
      </c>
      <c r="R30556" s="36" t="s">
        <v>48</v>
      </c>
    </row>
    <row r="30557">
      <c r="H30557" s="50"/>
      <c r="I30557" s="50"/>
      <c r="O30557" s="36" t="s">
        <v>48</v>
      </c>
      <c r="R30557" s="36" t="s">
        <v>48</v>
      </c>
    </row>
    <row r="30558">
      <c r="H30558" s="50"/>
      <c r="I30558" s="50"/>
      <c r="O30558" s="36" t="s">
        <v>48</v>
      </c>
      <c r="R30558" s="36" t="s">
        <v>48</v>
      </c>
    </row>
    <row r="30559">
      <c r="H30559" s="50"/>
      <c r="I30559" s="50"/>
      <c r="O30559" s="36" t="s">
        <v>48</v>
      </c>
      <c r="R30559" s="36" t="s">
        <v>48</v>
      </c>
    </row>
    <row r="30560">
      <c r="H30560" s="50"/>
      <c r="I30560" s="50"/>
      <c r="O30560" s="36" t="s">
        <v>48</v>
      </c>
      <c r="R30560" s="36" t="s">
        <v>48</v>
      </c>
    </row>
    <row r="30561">
      <c r="H30561" s="50"/>
      <c r="I30561" s="50"/>
      <c r="O30561" s="36" t="s">
        <v>48</v>
      </c>
      <c r="R30561" s="36" t="s">
        <v>48</v>
      </c>
    </row>
    <row r="30562">
      <c r="H30562" s="50"/>
      <c r="I30562" s="50"/>
      <c r="O30562" s="36" t="s">
        <v>48</v>
      </c>
      <c r="R30562" s="36" t="s">
        <v>48</v>
      </c>
    </row>
    <row r="30563">
      <c r="H30563" s="50"/>
      <c r="I30563" s="50"/>
      <c r="O30563" s="36" t="s">
        <v>48</v>
      </c>
      <c r="R30563" s="36" t="s">
        <v>48</v>
      </c>
    </row>
    <row r="30564">
      <c r="H30564" s="50"/>
      <c r="I30564" s="50"/>
      <c r="O30564" s="36" t="s">
        <v>48</v>
      </c>
      <c r="R30564" s="36" t="s">
        <v>48</v>
      </c>
    </row>
    <row r="30565">
      <c r="H30565" s="50"/>
      <c r="I30565" s="50"/>
      <c r="O30565" s="36" t="s">
        <v>48</v>
      </c>
      <c r="R30565" s="36" t="s">
        <v>48</v>
      </c>
    </row>
    <row r="30566">
      <c r="H30566" s="50"/>
      <c r="I30566" s="50"/>
      <c r="O30566" s="36" t="s">
        <v>48</v>
      </c>
      <c r="R30566" s="36" t="s">
        <v>48</v>
      </c>
    </row>
    <row r="30567">
      <c r="H30567" s="50"/>
      <c r="I30567" s="50"/>
      <c r="O30567" s="36" t="s">
        <v>48</v>
      </c>
      <c r="R30567" s="36" t="s">
        <v>48</v>
      </c>
    </row>
    <row r="30568">
      <c r="H30568" s="50"/>
      <c r="I30568" s="50"/>
      <c r="O30568" s="36" t="s">
        <v>48</v>
      </c>
      <c r="R30568" s="36" t="s">
        <v>48</v>
      </c>
    </row>
    <row r="30569">
      <c r="H30569" s="50"/>
      <c r="I30569" s="50"/>
      <c r="O30569" s="36" t="s">
        <v>48</v>
      </c>
      <c r="R30569" s="36" t="s">
        <v>48</v>
      </c>
    </row>
    <row r="30570">
      <c r="H30570" s="50"/>
      <c r="I30570" s="50"/>
      <c r="O30570" s="36" t="s">
        <v>48</v>
      </c>
      <c r="R30570" s="36" t="s">
        <v>48</v>
      </c>
    </row>
    <row r="30571">
      <c r="H30571" s="50"/>
      <c r="I30571" s="50"/>
      <c r="O30571" s="36" t="s">
        <v>48</v>
      </c>
      <c r="R30571" s="36" t="s">
        <v>48</v>
      </c>
    </row>
    <row r="30572">
      <c r="H30572" s="50"/>
      <c r="I30572" s="50"/>
      <c r="O30572" s="36" t="s">
        <v>48</v>
      </c>
      <c r="R30572" s="36" t="s">
        <v>48</v>
      </c>
    </row>
    <row r="30573">
      <c r="H30573" s="50"/>
      <c r="I30573" s="50"/>
      <c r="O30573" s="36" t="s">
        <v>48</v>
      </c>
      <c r="R30573" s="36" t="s">
        <v>48</v>
      </c>
    </row>
    <row r="30574">
      <c r="H30574" s="50"/>
      <c r="I30574" s="50"/>
      <c r="O30574" s="36" t="s">
        <v>48</v>
      </c>
      <c r="R30574" s="36" t="s">
        <v>48</v>
      </c>
    </row>
    <row r="30575">
      <c r="H30575" s="50"/>
      <c r="I30575" s="50"/>
      <c r="O30575" s="36" t="s">
        <v>48</v>
      </c>
      <c r="R30575" s="36" t="s">
        <v>48</v>
      </c>
    </row>
    <row r="30576">
      <c r="H30576" s="50"/>
      <c r="I30576" s="50"/>
      <c r="O30576" s="36" t="s">
        <v>48</v>
      </c>
      <c r="R30576" s="36" t="s">
        <v>48</v>
      </c>
    </row>
    <row r="30577">
      <c r="H30577" s="50"/>
      <c r="I30577" s="50"/>
      <c r="O30577" s="36" t="s">
        <v>48</v>
      </c>
      <c r="R30577" s="36" t="s">
        <v>48</v>
      </c>
    </row>
    <row r="30578">
      <c r="H30578" s="50"/>
      <c r="I30578" s="50"/>
      <c r="O30578" s="36" t="s">
        <v>48</v>
      </c>
      <c r="R30578" s="36" t="s">
        <v>48</v>
      </c>
    </row>
    <row r="30579">
      <c r="H30579" s="50"/>
      <c r="I30579" s="50"/>
      <c r="O30579" s="36" t="s">
        <v>48</v>
      </c>
      <c r="R30579" s="36" t="s">
        <v>48</v>
      </c>
    </row>
    <row r="30580">
      <c r="H30580" s="50"/>
      <c r="I30580" s="50"/>
      <c r="O30580" s="36" t="s">
        <v>48</v>
      </c>
      <c r="R30580" s="36" t="s">
        <v>48</v>
      </c>
    </row>
    <row r="30581">
      <c r="H30581" s="50"/>
      <c r="I30581" s="50"/>
      <c r="O30581" s="36" t="s">
        <v>48</v>
      </c>
      <c r="R30581" s="36" t="s">
        <v>48</v>
      </c>
    </row>
    <row r="30582">
      <c r="H30582" s="50"/>
      <c r="I30582" s="50"/>
      <c r="O30582" s="36" t="s">
        <v>48</v>
      </c>
      <c r="R30582" s="36" t="s">
        <v>48</v>
      </c>
    </row>
    <row r="30583">
      <c r="H30583" s="50"/>
      <c r="I30583" s="50"/>
      <c r="O30583" s="36" t="s">
        <v>48</v>
      </c>
      <c r="R30583" s="36" t="s">
        <v>48</v>
      </c>
    </row>
    <row r="30584">
      <c r="H30584" s="50"/>
      <c r="I30584" s="50"/>
      <c r="O30584" s="36" t="s">
        <v>48</v>
      </c>
      <c r="R30584" s="36" t="s">
        <v>48</v>
      </c>
    </row>
    <row r="30585">
      <c r="H30585" s="50"/>
      <c r="I30585" s="50"/>
      <c r="O30585" s="36" t="s">
        <v>48</v>
      </c>
      <c r="R30585" s="36" t="s">
        <v>48</v>
      </c>
    </row>
    <row r="30586">
      <c r="H30586" s="50"/>
      <c r="I30586" s="50"/>
      <c r="O30586" s="36" t="s">
        <v>48</v>
      </c>
      <c r="R30586" s="36" t="s">
        <v>48</v>
      </c>
    </row>
    <row r="30587">
      <c r="H30587" s="50"/>
      <c r="I30587" s="50"/>
      <c r="O30587" s="36" t="s">
        <v>48</v>
      </c>
      <c r="R30587" s="36" t="s">
        <v>48</v>
      </c>
    </row>
    <row r="30588">
      <c r="H30588" s="50"/>
      <c r="I30588" s="50"/>
      <c r="O30588" s="36" t="s">
        <v>48</v>
      </c>
      <c r="R30588" s="36" t="s">
        <v>48</v>
      </c>
    </row>
    <row r="30589">
      <c r="H30589" s="50"/>
      <c r="I30589" s="50"/>
      <c r="O30589" s="36" t="s">
        <v>48</v>
      </c>
      <c r="R30589" s="36" t="s">
        <v>48</v>
      </c>
    </row>
    <row r="30590">
      <c r="H30590" s="50"/>
      <c r="I30590" s="50"/>
      <c r="O30590" s="36" t="s">
        <v>48</v>
      </c>
      <c r="R30590" s="36" t="s">
        <v>48</v>
      </c>
    </row>
    <row r="30591">
      <c r="H30591" s="50"/>
      <c r="I30591" s="50"/>
      <c r="O30591" s="36" t="s">
        <v>48</v>
      </c>
      <c r="R30591" s="36" t="s">
        <v>48</v>
      </c>
    </row>
    <row r="30592">
      <c r="H30592" s="50"/>
      <c r="I30592" s="50"/>
      <c r="O30592" s="36" t="s">
        <v>48</v>
      </c>
      <c r="R30592" s="36" t="s">
        <v>48</v>
      </c>
    </row>
    <row r="30593">
      <c r="H30593" s="50"/>
      <c r="I30593" s="50"/>
      <c r="O30593" s="36" t="s">
        <v>48</v>
      </c>
      <c r="R30593" s="36" t="s">
        <v>48</v>
      </c>
    </row>
    <row r="30594">
      <c r="H30594" s="50"/>
      <c r="I30594" s="50"/>
      <c r="O30594" s="36" t="s">
        <v>48</v>
      </c>
      <c r="R30594" s="36" t="s">
        <v>48</v>
      </c>
    </row>
    <row r="30595">
      <c r="H30595" s="50"/>
      <c r="I30595" s="50"/>
      <c r="O30595" s="36" t="s">
        <v>48</v>
      </c>
      <c r="R30595" s="36" t="s">
        <v>48</v>
      </c>
    </row>
    <row r="30596">
      <c r="H30596" s="50"/>
      <c r="I30596" s="50"/>
      <c r="O30596" s="36" t="s">
        <v>48</v>
      </c>
      <c r="R30596" s="36" t="s">
        <v>48</v>
      </c>
    </row>
    <row r="30597">
      <c r="H30597" s="50"/>
      <c r="I30597" s="50"/>
      <c r="O30597" s="36" t="s">
        <v>48</v>
      </c>
      <c r="R30597" s="36" t="s">
        <v>48</v>
      </c>
    </row>
    <row r="30598">
      <c r="H30598" s="50"/>
      <c r="I30598" s="50"/>
      <c r="O30598" s="36" t="s">
        <v>48</v>
      </c>
      <c r="R30598" s="36" t="s">
        <v>48</v>
      </c>
    </row>
    <row r="30599">
      <c r="H30599" s="50"/>
      <c r="I30599" s="50"/>
      <c r="O30599" s="36" t="s">
        <v>48</v>
      </c>
      <c r="R30599" s="36" t="s">
        <v>48</v>
      </c>
    </row>
    <row r="30600">
      <c r="H30600" s="50"/>
      <c r="I30600" s="50"/>
      <c r="O30600" s="36" t="s">
        <v>48</v>
      </c>
      <c r="R30600" s="36" t="s">
        <v>48</v>
      </c>
    </row>
    <row r="30601">
      <c r="H30601" s="50"/>
      <c r="I30601" s="50"/>
      <c r="O30601" s="36" t="s">
        <v>48</v>
      </c>
      <c r="R30601" s="36" t="s">
        <v>48</v>
      </c>
    </row>
    <row r="30602">
      <c r="H30602" s="50"/>
      <c r="I30602" s="50"/>
      <c r="O30602" s="36" t="s">
        <v>48</v>
      </c>
      <c r="R30602" s="36" t="s">
        <v>48</v>
      </c>
    </row>
    <row r="30603">
      <c r="H30603" s="50"/>
      <c r="I30603" s="50"/>
      <c r="O30603" s="36" t="s">
        <v>48</v>
      </c>
      <c r="R30603" s="36" t="s">
        <v>48</v>
      </c>
    </row>
    <row r="30604">
      <c r="H30604" s="50"/>
      <c r="I30604" s="50"/>
      <c r="O30604" s="36" t="s">
        <v>48</v>
      </c>
      <c r="R30604" s="36" t="s">
        <v>48</v>
      </c>
    </row>
    <row r="30605">
      <c r="H30605" s="50"/>
      <c r="I30605" s="50"/>
      <c r="O30605" s="36" t="s">
        <v>48</v>
      </c>
      <c r="R30605" s="36" t="s">
        <v>48</v>
      </c>
    </row>
    <row r="30606">
      <c r="H30606" s="50"/>
      <c r="I30606" s="50"/>
      <c r="O30606" s="36" t="s">
        <v>48</v>
      </c>
      <c r="R30606" s="36" t="s">
        <v>48</v>
      </c>
    </row>
    <row r="30607">
      <c r="H30607" s="50"/>
      <c r="I30607" s="50"/>
      <c r="O30607" s="36" t="s">
        <v>48</v>
      </c>
      <c r="R30607" s="36" t="s">
        <v>48</v>
      </c>
    </row>
    <row r="30608">
      <c r="H30608" s="50"/>
      <c r="I30608" s="50"/>
      <c r="O30608" s="36" t="s">
        <v>48</v>
      </c>
      <c r="R30608" s="36" t="s">
        <v>48</v>
      </c>
    </row>
    <row r="30609">
      <c r="H30609" s="50"/>
      <c r="I30609" s="50"/>
      <c r="O30609" s="36" t="s">
        <v>48</v>
      </c>
      <c r="R30609" s="36" t="s">
        <v>48</v>
      </c>
    </row>
    <row r="30610">
      <c r="H30610" s="50"/>
      <c r="I30610" s="50"/>
      <c r="O30610" s="36" t="s">
        <v>48</v>
      </c>
      <c r="R30610" s="36" t="s">
        <v>48</v>
      </c>
    </row>
    <row r="30611">
      <c r="H30611" s="50"/>
      <c r="I30611" s="50"/>
      <c r="O30611" s="36" t="s">
        <v>48</v>
      </c>
      <c r="R30611" s="36" t="s">
        <v>48</v>
      </c>
    </row>
    <row r="30612">
      <c r="H30612" s="50"/>
      <c r="I30612" s="50"/>
      <c r="O30612" s="36" t="s">
        <v>48</v>
      </c>
      <c r="R30612" s="36" t="s">
        <v>48</v>
      </c>
    </row>
    <row r="30613">
      <c r="H30613" s="50"/>
      <c r="I30613" s="50"/>
      <c r="O30613" s="36" t="s">
        <v>48</v>
      </c>
      <c r="R30613" s="36" t="s">
        <v>48</v>
      </c>
    </row>
    <row r="30614">
      <c r="H30614" s="50"/>
      <c r="I30614" s="50"/>
      <c r="O30614" s="36" t="s">
        <v>48</v>
      </c>
      <c r="R30614" s="36" t="s">
        <v>48</v>
      </c>
    </row>
    <row r="30615">
      <c r="H30615" s="50"/>
      <c r="I30615" s="50"/>
      <c r="O30615" s="36" t="s">
        <v>48</v>
      </c>
      <c r="R30615" s="36" t="s">
        <v>48</v>
      </c>
    </row>
    <row r="30616">
      <c r="H30616" s="50"/>
      <c r="I30616" s="50"/>
      <c r="O30616" s="36" t="s">
        <v>48</v>
      </c>
      <c r="R30616" s="36" t="s">
        <v>48</v>
      </c>
    </row>
    <row r="30617">
      <c r="H30617" s="50"/>
      <c r="I30617" s="50"/>
      <c r="O30617" s="36" t="s">
        <v>48</v>
      </c>
      <c r="R30617" s="36" t="s">
        <v>48</v>
      </c>
    </row>
    <row r="30618">
      <c r="H30618" s="50"/>
      <c r="I30618" s="50"/>
      <c r="O30618" s="36" t="s">
        <v>48</v>
      </c>
      <c r="R30618" s="36" t="s">
        <v>48</v>
      </c>
    </row>
    <row r="30619">
      <c r="H30619" s="50"/>
      <c r="I30619" s="50"/>
      <c r="O30619" s="36" t="s">
        <v>48</v>
      </c>
      <c r="R30619" s="36" t="s">
        <v>48</v>
      </c>
    </row>
    <row r="30620">
      <c r="H30620" s="50"/>
      <c r="I30620" s="50"/>
      <c r="O30620" s="36" t="s">
        <v>48</v>
      </c>
      <c r="R30620" s="36" t="s">
        <v>48</v>
      </c>
    </row>
    <row r="30621">
      <c r="H30621" s="50"/>
      <c r="I30621" s="50"/>
      <c r="O30621" s="36" t="s">
        <v>48</v>
      </c>
      <c r="R30621" s="36" t="s">
        <v>48</v>
      </c>
    </row>
    <row r="30622">
      <c r="H30622" s="50"/>
      <c r="I30622" s="50"/>
      <c r="O30622" s="36" t="s">
        <v>48</v>
      </c>
      <c r="R30622" s="36" t="s">
        <v>48</v>
      </c>
    </row>
    <row r="30623">
      <c r="H30623" s="50"/>
      <c r="I30623" s="50"/>
      <c r="O30623" s="36" t="s">
        <v>48</v>
      </c>
      <c r="R30623" s="36" t="s">
        <v>48</v>
      </c>
    </row>
    <row r="30624">
      <c r="H30624" s="50"/>
      <c r="I30624" s="50"/>
      <c r="O30624" s="36" t="s">
        <v>48</v>
      </c>
      <c r="R30624" s="36" t="s">
        <v>48</v>
      </c>
    </row>
    <row r="30625">
      <c r="H30625" s="50"/>
      <c r="I30625" s="50"/>
      <c r="O30625" s="36" t="s">
        <v>48</v>
      </c>
      <c r="R30625" s="36" t="s">
        <v>48</v>
      </c>
    </row>
    <row r="30626">
      <c r="H30626" s="50"/>
      <c r="I30626" s="50"/>
      <c r="O30626" s="36" t="s">
        <v>48</v>
      </c>
      <c r="R30626" s="36" t="s">
        <v>48</v>
      </c>
    </row>
    <row r="30627">
      <c r="H30627" s="50"/>
      <c r="I30627" s="50"/>
      <c r="O30627" s="36" t="s">
        <v>48</v>
      </c>
      <c r="R30627" s="36" t="s">
        <v>48</v>
      </c>
    </row>
    <row r="30628">
      <c r="H30628" s="50"/>
      <c r="I30628" s="50"/>
      <c r="O30628" s="36" t="s">
        <v>48</v>
      </c>
      <c r="R30628" s="36" t="s">
        <v>48</v>
      </c>
    </row>
    <row r="30629">
      <c r="H30629" s="50"/>
      <c r="I30629" s="50"/>
      <c r="O30629" s="36" t="s">
        <v>48</v>
      </c>
      <c r="R30629" s="36" t="s">
        <v>48</v>
      </c>
    </row>
    <row r="30630">
      <c r="H30630" s="50"/>
      <c r="I30630" s="50"/>
      <c r="O30630" s="36" t="s">
        <v>48</v>
      </c>
      <c r="R30630" s="36" t="s">
        <v>48</v>
      </c>
    </row>
    <row r="30631">
      <c r="H30631" s="50"/>
      <c r="I30631" s="50"/>
      <c r="O30631" s="36" t="s">
        <v>48</v>
      </c>
      <c r="R30631" s="36" t="s">
        <v>48</v>
      </c>
    </row>
    <row r="30632">
      <c r="H30632" s="50"/>
      <c r="I30632" s="50"/>
      <c r="O30632" s="36" t="s">
        <v>48</v>
      </c>
      <c r="R30632" s="36" t="s">
        <v>48</v>
      </c>
    </row>
    <row r="30633">
      <c r="H30633" s="50"/>
      <c r="I30633" s="50"/>
      <c r="O30633" s="36" t="s">
        <v>48</v>
      </c>
      <c r="R30633" s="36" t="s">
        <v>48</v>
      </c>
    </row>
    <row r="30634">
      <c r="H30634" s="50"/>
      <c r="I30634" s="50"/>
      <c r="O30634" s="36" t="s">
        <v>48</v>
      </c>
      <c r="R30634" s="36" t="s">
        <v>48</v>
      </c>
    </row>
    <row r="30635">
      <c r="H30635" s="50"/>
      <c r="I30635" s="50"/>
      <c r="O30635" s="36" t="s">
        <v>48</v>
      </c>
      <c r="R30635" s="36" t="s">
        <v>48</v>
      </c>
    </row>
    <row r="30636">
      <c r="H30636" s="50"/>
      <c r="I30636" s="50"/>
      <c r="O30636" s="36" t="s">
        <v>48</v>
      </c>
      <c r="R30636" s="36" t="s">
        <v>48</v>
      </c>
    </row>
    <row r="30637">
      <c r="H30637" s="50"/>
      <c r="I30637" s="50"/>
      <c r="O30637" s="36" t="s">
        <v>48</v>
      </c>
      <c r="R30637" s="36" t="s">
        <v>48</v>
      </c>
    </row>
    <row r="30638">
      <c r="H30638" s="50"/>
      <c r="I30638" s="50"/>
      <c r="O30638" s="36" t="s">
        <v>48</v>
      </c>
      <c r="R30638" s="36" t="s">
        <v>48</v>
      </c>
    </row>
    <row r="30639">
      <c r="H30639" s="50"/>
      <c r="I30639" s="50"/>
      <c r="O30639" s="36" t="s">
        <v>48</v>
      </c>
      <c r="R30639" s="36" t="s">
        <v>48</v>
      </c>
    </row>
    <row r="30640">
      <c r="H30640" s="50"/>
      <c r="I30640" s="50"/>
      <c r="O30640" s="36" t="s">
        <v>48</v>
      </c>
      <c r="R30640" s="36" t="s">
        <v>48</v>
      </c>
    </row>
    <row r="30641">
      <c r="H30641" s="50"/>
      <c r="I30641" s="50"/>
      <c r="O30641" s="36" t="s">
        <v>48</v>
      </c>
      <c r="R30641" s="36" t="s">
        <v>48</v>
      </c>
    </row>
    <row r="30642">
      <c r="H30642" s="50"/>
      <c r="I30642" s="50"/>
      <c r="O30642" s="36" t="s">
        <v>48</v>
      </c>
      <c r="R30642" s="36" t="s">
        <v>48</v>
      </c>
    </row>
    <row r="30643">
      <c r="H30643" s="50"/>
      <c r="I30643" s="50"/>
      <c r="O30643" s="36" t="s">
        <v>48</v>
      </c>
      <c r="R30643" s="36" t="s">
        <v>48</v>
      </c>
    </row>
    <row r="30644">
      <c r="H30644" s="50"/>
      <c r="I30644" s="50"/>
      <c r="O30644" s="36" t="s">
        <v>48</v>
      </c>
      <c r="R30644" s="36" t="s">
        <v>48</v>
      </c>
    </row>
    <row r="30645">
      <c r="H30645" s="50"/>
      <c r="I30645" s="50"/>
      <c r="O30645" s="36" t="s">
        <v>48</v>
      </c>
      <c r="R30645" s="36" t="s">
        <v>48</v>
      </c>
    </row>
    <row r="30646">
      <c r="H30646" s="50"/>
      <c r="I30646" s="50"/>
      <c r="O30646" s="36" t="s">
        <v>48</v>
      </c>
      <c r="R30646" s="36" t="s">
        <v>48</v>
      </c>
    </row>
    <row r="30647">
      <c r="H30647" s="50"/>
      <c r="I30647" s="50"/>
      <c r="O30647" s="36" t="s">
        <v>48</v>
      </c>
      <c r="R30647" s="36" t="s">
        <v>48</v>
      </c>
    </row>
    <row r="30648">
      <c r="H30648" s="50"/>
      <c r="I30648" s="50"/>
      <c r="O30648" s="36" t="s">
        <v>48</v>
      </c>
      <c r="R30648" s="36" t="s">
        <v>48</v>
      </c>
    </row>
    <row r="30649">
      <c r="H30649" s="50"/>
      <c r="I30649" s="50"/>
      <c r="O30649" s="36" t="s">
        <v>48</v>
      </c>
      <c r="R30649" s="36" t="s">
        <v>48</v>
      </c>
    </row>
    <row r="30650">
      <c r="H30650" s="50"/>
      <c r="I30650" s="50"/>
      <c r="O30650" s="36" t="s">
        <v>48</v>
      </c>
      <c r="R30650" s="36" t="s">
        <v>48</v>
      </c>
    </row>
    <row r="30651">
      <c r="H30651" s="50"/>
      <c r="I30651" s="50"/>
      <c r="O30651" s="36" t="s">
        <v>48</v>
      </c>
      <c r="R30651" s="36" t="s">
        <v>48</v>
      </c>
    </row>
    <row r="30652">
      <c r="H30652" s="50"/>
      <c r="I30652" s="50"/>
      <c r="O30652" s="36" t="s">
        <v>48</v>
      </c>
      <c r="R30652" s="36" t="s">
        <v>48</v>
      </c>
    </row>
    <row r="30653">
      <c r="H30653" s="50"/>
      <c r="I30653" s="50"/>
      <c r="O30653" s="36" t="s">
        <v>48</v>
      </c>
      <c r="R30653" s="36" t="s">
        <v>48</v>
      </c>
    </row>
    <row r="30654">
      <c r="H30654" s="50"/>
      <c r="I30654" s="50"/>
      <c r="O30654" s="36" t="s">
        <v>48</v>
      </c>
      <c r="R30654" s="36" t="s">
        <v>48</v>
      </c>
    </row>
    <row r="30655">
      <c r="H30655" s="50"/>
      <c r="I30655" s="50"/>
      <c r="O30655" s="36" t="s">
        <v>48</v>
      </c>
      <c r="R30655" s="36" t="s">
        <v>48</v>
      </c>
    </row>
    <row r="30656">
      <c r="H30656" s="50"/>
      <c r="I30656" s="50"/>
      <c r="O30656" s="36" t="s">
        <v>48</v>
      </c>
      <c r="R30656" s="36" t="s">
        <v>48</v>
      </c>
    </row>
    <row r="30657">
      <c r="H30657" s="50"/>
      <c r="I30657" s="50"/>
      <c r="O30657" s="36" t="s">
        <v>48</v>
      </c>
      <c r="R30657" s="36" t="s">
        <v>48</v>
      </c>
    </row>
    <row r="30658">
      <c r="H30658" s="50"/>
      <c r="I30658" s="50"/>
      <c r="O30658" s="36" t="s">
        <v>48</v>
      </c>
      <c r="R30658" s="36" t="s">
        <v>48</v>
      </c>
    </row>
    <row r="30659">
      <c r="H30659" s="50"/>
      <c r="I30659" s="50"/>
      <c r="O30659" s="36" t="s">
        <v>48</v>
      </c>
      <c r="R30659" s="36" t="s">
        <v>48</v>
      </c>
    </row>
    <row r="30660">
      <c r="H30660" s="50"/>
      <c r="I30660" s="50"/>
      <c r="O30660" s="36" t="s">
        <v>48</v>
      </c>
      <c r="R30660" s="36" t="s">
        <v>48</v>
      </c>
    </row>
    <row r="30661">
      <c r="H30661" s="50"/>
      <c r="I30661" s="50"/>
      <c r="O30661" s="36" t="s">
        <v>48</v>
      </c>
      <c r="R30661" s="36" t="s">
        <v>48</v>
      </c>
    </row>
    <row r="30662">
      <c r="H30662" s="50"/>
      <c r="I30662" s="50"/>
      <c r="O30662" s="36" t="s">
        <v>48</v>
      </c>
      <c r="R30662" s="36" t="s">
        <v>48</v>
      </c>
    </row>
    <row r="30663">
      <c r="H30663" s="50"/>
      <c r="I30663" s="50"/>
      <c r="O30663" s="36" t="s">
        <v>48</v>
      </c>
      <c r="R30663" s="36" t="s">
        <v>48</v>
      </c>
    </row>
    <row r="30664">
      <c r="H30664" s="50"/>
      <c r="I30664" s="50"/>
      <c r="O30664" s="36" t="s">
        <v>48</v>
      </c>
      <c r="R30664" s="36" t="s">
        <v>48</v>
      </c>
    </row>
    <row r="30665">
      <c r="H30665" s="50"/>
      <c r="I30665" s="50"/>
      <c r="O30665" s="36" t="s">
        <v>48</v>
      </c>
      <c r="R30665" s="36" t="s">
        <v>48</v>
      </c>
    </row>
    <row r="30666">
      <c r="H30666" s="50"/>
      <c r="I30666" s="50"/>
      <c r="O30666" s="36" t="s">
        <v>48</v>
      </c>
      <c r="R30666" s="36" t="s">
        <v>48</v>
      </c>
    </row>
    <row r="30667">
      <c r="H30667" s="50"/>
      <c r="I30667" s="50"/>
      <c r="O30667" s="36" t="s">
        <v>48</v>
      </c>
      <c r="R30667" s="36" t="s">
        <v>48</v>
      </c>
    </row>
    <row r="30668">
      <c r="H30668" s="50"/>
      <c r="I30668" s="50"/>
      <c r="O30668" s="36" t="s">
        <v>48</v>
      </c>
      <c r="R30668" s="36" t="s">
        <v>48</v>
      </c>
    </row>
    <row r="30669">
      <c r="H30669" s="50"/>
      <c r="I30669" s="50"/>
      <c r="O30669" s="36" t="s">
        <v>48</v>
      </c>
      <c r="R30669" s="36" t="s">
        <v>48</v>
      </c>
    </row>
    <row r="30670">
      <c r="H30670" s="50"/>
      <c r="I30670" s="50"/>
      <c r="O30670" s="36" t="s">
        <v>48</v>
      </c>
      <c r="R30670" s="36" t="s">
        <v>48</v>
      </c>
    </row>
    <row r="30671">
      <c r="H30671" s="50"/>
      <c r="I30671" s="50"/>
      <c r="O30671" s="36" t="s">
        <v>48</v>
      </c>
      <c r="R30671" s="36" t="s">
        <v>48</v>
      </c>
    </row>
    <row r="30672">
      <c r="H30672" s="50"/>
      <c r="I30672" s="50"/>
      <c r="O30672" s="36" t="s">
        <v>48</v>
      </c>
      <c r="R30672" s="36" t="s">
        <v>48</v>
      </c>
    </row>
    <row r="30673">
      <c r="H30673" s="50"/>
      <c r="I30673" s="50"/>
      <c r="O30673" s="36" t="s">
        <v>48</v>
      </c>
      <c r="R30673" s="36" t="s">
        <v>48</v>
      </c>
    </row>
    <row r="30674">
      <c r="H30674" s="50"/>
      <c r="I30674" s="50"/>
      <c r="O30674" s="36" t="s">
        <v>48</v>
      </c>
      <c r="R30674" s="36" t="s">
        <v>48</v>
      </c>
    </row>
    <row r="30675">
      <c r="H30675" s="50"/>
      <c r="I30675" s="50"/>
      <c r="O30675" s="36" t="s">
        <v>48</v>
      </c>
      <c r="R30675" s="36" t="s">
        <v>48</v>
      </c>
    </row>
    <row r="30676">
      <c r="H30676" s="50"/>
      <c r="I30676" s="50"/>
      <c r="O30676" s="36" t="s">
        <v>48</v>
      </c>
      <c r="R30676" s="36" t="s">
        <v>48</v>
      </c>
    </row>
    <row r="30677">
      <c r="H30677" s="50"/>
      <c r="I30677" s="50"/>
      <c r="O30677" s="36" t="s">
        <v>48</v>
      </c>
      <c r="R30677" s="36" t="s">
        <v>48</v>
      </c>
    </row>
    <row r="30678">
      <c r="H30678" s="50"/>
      <c r="I30678" s="50"/>
      <c r="O30678" s="36" t="s">
        <v>48</v>
      </c>
      <c r="R30678" s="36" t="s">
        <v>48</v>
      </c>
    </row>
    <row r="30679">
      <c r="H30679" s="50"/>
      <c r="I30679" s="50"/>
      <c r="O30679" s="36" t="s">
        <v>48</v>
      </c>
      <c r="R30679" s="36" t="s">
        <v>48</v>
      </c>
    </row>
    <row r="30680">
      <c r="H30680" s="50"/>
      <c r="I30680" s="50"/>
      <c r="O30680" s="36" t="s">
        <v>48</v>
      </c>
      <c r="R30680" s="36" t="s">
        <v>48</v>
      </c>
    </row>
    <row r="30681">
      <c r="H30681" s="50"/>
      <c r="I30681" s="50"/>
      <c r="O30681" s="36" t="s">
        <v>48</v>
      </c>
      <c r="R30681" s="36" t="s">
        <v>48</v>
      </c>
    </row>
    <row r="30682">
      <c r="H30682" s="50"/>
      <c r="I30682" s="50"/>
      <c r="O30682" s="36" t="s">
        <v>48</v>
      </c>
      <c r="R30682" s="36" t="s">
        <v>48</v>
      </c>
    </row>
    <row r="30683">
      <c r="H30683" s="50"/>
      <c r="I30683" s="50"/>
      <c r="O30683" s="36" t="s">
        <v>48</v>
      </c>
      <c r="R30683" s="36" t="s">
        <v>48</v>
      </c>
    </row>
    <row r="30684">
      <c r="H30684" s="50"/>
      <c r="I30684" s="50"/>
      <c r="O30684" s="36" t="s">
        <v>48</v>
      </c>
      <c r="R30684" s="36" t="s">
        <v>48</v>
      </c>
    </row>
    <row r="30685">
      <c r="H30685" s="50"/>
      <c r="I30685" s="50"/>
      <c r="O30685" s="36" t="s">
        <v>48</v>
      </c>
      <c r="R30685" s="36" t="s">
        <v>48</v>
      </c>
    </row>
    <row r="30686">
      <c r="H30686" s="50"/>
      <c r="I30686" s="50"/>
      <c r="O30686" s="36" t="s">
        <v>48</v>
      </c>
      <c r="R30686" s="36" t="s">
        <v>48</v>
      </c>
    </row>
    <row r="30687">
      <c r="H30687" s="50"/>
      <c r="I30687" s="50"/>
      <c r="O30687" s="36" t="s">
        <v>48</v>
      </c>
      <c r="R30687" s="36" t="s">
        <v>48</v>
      </c>
    </row>
    <row r="30688">
      <c r="H30688" s="50"/>
      <c r="I30688" s="50"/>
      <c r="O30688" s="36" t="s">
        <v>48</v>
      </c>
      <c r="R30688" s="36" t="s">
        <v>48</v>
      </c>
    </row>
    <row r="30689">
      <c r="H30689" s="50"/>
      <c r="I30689" s="50"/>
      <c r="O30689" s="36" t="s">
        <v>48</v>
      </c>
      <c r="R30689" s="36" t="s">
        <v>48</v>
      </c>
    </row>
    <row r="30690">
      <c r="H30690" s="50"/>
      <c r="I30690" s="50"/>
      <c r="O30690" s="36" t="s">
        <v>48</v>
      </c>
      <c r="R30690" s="36" t="s">
        <v>48</v>
      </c>
    </row>
    <row r="30691">
      <c r="H30691" s="50"/>
      <c r="I30691" s="50"/>
      <c r="O30691" s="36" t="s">
        <v>48</v>
      </c>
      <c r="R30691" s="36" t="s">
        <v>48</v>
      </c>
    </row>
    <row r="30692">
      <c r="H30692" s="50"/>
      <c r="I30692" s="50"/>
      <c r="O30692" s="36" t="s">
        <v>48</v>
      </c>
      <c r="R30692" s="36" t="s">
        <v>48</v>
      </c>
    </row>
    <row r="30693">
      <c r="H30693" s="50"/>
      <c r="I30693" s="50"/>
      <c r="O30693" s="36" t="s">
        <v>48</v>
      </c>
      <c r="R30693" s="36" t="s">
        <v>48</v>
      </c>
    </row>
    <row r="30694">
      <c r="H30694" s="50"/>
      <c r="I30694" s="50"/>
      <c r="O30694" s="36" t="s">
        <v>48</v>
      </c>
      <c r="R30694" s="36" t="s">
        <v>48</v>
      </c>
    </row>
    <row r="30695">
      <c r="H30695" s="50"/>
      <c r="I30695" s="50"/>
      <c r="O30695" s="36" t="s">
        <v>48</v>
      </c>
      <c r="R30695" s="36" t="s">
        <v>48</v>
      </c>
    </row>
    <row r="30696">
      <c r="H30696" s="50"/>
      <c r="I30696" s="50"/>
      <c r="O30696" s="36" t="s">
        <v>48</v>
      </c>
      <c r="R30696" s="36" t="s">
        <v>48</v>
      </c>
    </row>
    <row r="30697">
      <c r="H30697" s="50"/>
      <c r="I30697" s="50"/>
      <c r="O30697" s="36" t="s">
        <v>48</v>
      </c>
      <c r="R30697" s="36" t="s">
        <v>48</v>
      </c>
    </row>
    <row r="30698">
      <c r="H30698" s="50"/>
      <c r="I30698" s="50"/>
      <c r="O30698" s="36" t="s">
        <v>48</v>
      </c>
      <c r="R30698" s="36" t="s">
        <v>48</v>
      </c>
    </row>
    <row r="30699">
      <c r="H30699" s="50"/>
      <c r="I30699" s="50"/>
      <c r="O30699" s="36" t="s">
        <v>48</v>
      </c>
      <c r="R30699" s="36" t="s">
        <v>48</v>
      </c>
    </row>
    <row r="30700">
      <c r="H30700" s="50"/>
      <c r="I30700" s="50"/>
      <c r="O30700" s="36" t="s">
        <v>48</v>
      </c>
      <c r="R30700" s="36" t="s">
        <v>48</v>
      </c>
    </row>
    <row r="30701">
      <c r="H30701" s="50"/>
      <c r="I30701" s="50"/>
      <c r="O30701" s="36" t="s">
        <v>48</v>
      </c>
      <c r="R30701" s="36" t="s">
        <v>48</v>
      </c>
    </row>
    <row r="30702">
      <c r="H30702" s="50"/>
      <c r="I30702" s="50"/>
      <c r="O30702" s="36" t="s">
        <v>48</v>
      </c>
      <c r="R30702" s="36" t="s">
        <v>48</v>
      </c>
    </row>
    <row r="30703">
      <c r="H30703" s="50"/>
      <c r="I30703" s="50"/>
      <c r="O30703" s="36" t="s">
        <v>48</v>
      </c>
      <c r="R30703" s="36" t="s">
        <v>48</v>
      </c>
    </row>
    <row r="30704">
      <c r="H30704" s="50"/>
      <c r="I30704" s="50"/>
      <c r="O30704" s="36" t="s">
        <v>48</v>
      </c>
      <c r="R30704" s="36" t="s">
        <v>48</v>
      </c>
    </row>
    <row r="30705">
      <c r="H30705" s="50"/>
      <c r="I30705" s="50"/>
      <c r="O30705" s="36" t="s">
        <v>48</v>
      </c>
      <c r="R30705" s="36" t="s">
        <v>48</v>
      </c>
    </row>
    <row r="30706">
      <c r="H30706" s="50"/>
      <c r="I30706" s="50"/>
      <c r="O30706" s="36" t="s">
        <v>48</v>
      </c>
      <c r="R30706" s="36" t="s">
        <v>48</v>
      </c>
    </row>
    <row r="30707">
      <c r="H30707" s="50"/>
      <c r="I30707" s="50"/>
      <c r="O30707" s="36" t="s">
        <v>48</v>
      </c>
      <c r="R30707" s="36" t="s">
        <v>48</v>
      </c>
    </row>
    <row r="30708">
      <c r="H30708" s="50"/>
      <c r="I30708" s="50"/>
      <c r="O30708" s="36" t="s">
        <v>48</v>
      </c>
      <c r="R30708" s="36" t="s">
        <v>48</v>
      </c>
    </row>
    <row r="30709">
      <c r="H30709" s="50"/>
      <c r="I30709" s="50"/>
      <c r="O30709" s="36" t="s">
        <v>48</v>
      </c>
      <c r="R30709" s="36" t="s">
        <v>48</v>
      </c>
    </row>
    <row r="30710">
      <c r="H30710" s="50"/>
      <c r="I30710" s="50"/>
      <c r="O30710" s="36" t="s">
        <v>48</v>
      </c>
      <c r="R30710" s="36" t="s">
        <v>48</v>
      </c>
    </row>
    <row r="30711">
      <c r="H30711" s="50"/>
      <c r="I30711" s="50"/>
      <c r="O30711" s="36" t="s">
        <v>48</v>
      </c>
      <c r="R30711" s="36" t="s">
        <v>48</v>
      </c>
    </row>
    <row r="30712">
      <c r="H30712" s="50"/>
      <c r="I30712" s="50"/>
      <c r="O30712" s="36" t="s">
        <v>48</v>
      </c>
      <c r="R30712" s="36" t="s">
        <v>48</v>
      </c>
    </row>
    <row r="30713">
      <c r="H30713" s="50"/>
      <c r="I30713" s="50"/>
      <c r="O30713" s="36" t="s">
        <v>48</v>
      </c>
      <c r="R30713" s="36" t="s">
        <v>48</v>
      </c>
    </row>
    <row r="30714">
      <c r="H30714" s="50"/>
      <c r="I30714" s="50"/>
      <c r="O30714" s="36" t="s">
        <v>48</v>
      </c>
      <c r="R30714" s="36" t="s">
        <v>48</v>
      </c>
    </row>
    <row r="30715">
      <c r="H30715" s="50"/>
      <c r="I30715" s="50"/>
      <c r="O30715" s="36" t="s">
        <v>48</v>
      </c>
      <c r="R30715" s="36" t="s">
        <v>48</v>
      </c>
    </row>
    <row r="30716">
      <c r="H30716" s="50"/>
      <c r="I30716" s="50"/>
      <c r="O30716" s="36" t="s">
        <v>48</v>
      </c>
      <c r="R30716" s="36" t="s">
        <v>48</v>
      </c>
    </row>
    <row r="30717">
      <c r="H30717" s="50"/>
      <c r="I30717" s="50"/>
      <c r="O30717" s="36" t="s">
        <v>48</v>
      </c>
      <c r="R30717" s="36" t="s">
        <v>48</v>
      </c>
    </row>
    <row r="30718">
      <c r="H30718" s="50"/>
      <c r="I30718" s="50"/>
      <c r="O30718" s="36" t="s">
        <v>48</v>
      </c>
      <c r="R30718" s="36" t="s">
        <v>48</v>
      </c>
    </row>
    <row r="30719">
      <c r="H30719" s="50"/>
      <c r="I30719" s="50"/>
      <c r="O30719" s="36" t="s">
        <v>48</v>
      </c>
      <c r="R30719" s="36" t="s">
        <v>48</v>
      </c>
    </row>
    <row r="30720">
      <c r="H30720" s="50"/>
      <c r="I30720" s="50"/>
      <c r="O30720" s="36" t="s">
        <v>48</v>
      </c>
      <c r="R30720" s="36" t="s">
        <v>48</v>
      </c>
    </row>
    <row r="30721">
      <c r="H30721" s="50"/>
      <c r="I30721" s="50"/>
      <c r="O30721" s="36" t="s">
        <v>48</v>
      </c>
      <c r="R30721" s="36" t="s">
        <v>48</v>
      </c>
    </row>
    <row r="30722">
      <c r="H30722" s="50"/>
      <c r="I30722" s="50"/>
      <c r="O30722" s="36" t="s">
        <v>48</v>
      </c>
      <c r="R30722" s="36" t="s">
        <v>48</v>
      </c>
    </row>
    <row r="30723">
      <c r="H30723" s="50"/>
      <c r="I30723" s="50"/>
      <c r="O30723" s="36" t="s">
        <v>48</v>
      </c>
      <c r="R30723" s="36" t="s">
        <v>48</v>
      </c>
    </row>
    <row r="30724">
      <c r="H30724" s="50"/>
      <c r="I30724" s="50"/>
      <c r="O30724" s="36" t="s">
        <v>48</v>
      </c>
      <c r="R30724" s="36" t="s">
        <v>48</v>
      </c>
    </row>
    <row r="30725">
      <c r="H30725" s="50"/>
      <c r="I30725" s="50"/>
      <c r="O30725" s="36" t="s">
        <v>48</v>
      </c>
      <c r="R30725" s="36" t="s">
        <v>48</v>
      </c>
    </row>
    <row r="30726">
      <c r="H30726" s="50"/>
      <c r="I30726" s="50"/>
      <c r="O30726" s="36" t="s">
        <v>48</v>
      </c>
      <c r="R30726" s="36" t="s">
        <v>48</v>
      </c>
    </row>
    <row r="30727">
      <c r="H30727" s="50"/>
      <c r="I30727" s="50"/>
      <c r="O30727" s="36" t="s">
        <v>48</v>
      </c>
      <c r="R30727" s="36" t="s">
        <v>48</v>
      </c>
    </row>
    <row r="30728">
      <c r="H30728" s="50"/>
      <c r="I30728" s="50"/>
      <c r="O30728" s="36" t="s">
        <v>48</v>
      </c>
      <c r="R30728" s="36" t="s">
        <v>48</v>
      </c>
    </row>
    <row r="30729">
      <c r="H30729" s="50"/>
      <c r="I30729" s="50"/>
      <c r="O30729" s="36" t="s">
        <v>48</v>
      </c>
      <c r="R30729" s="36" t="s">
        <v>48</v>
      </c>
    </row>
    <row r="30730">
      <c r="H30730" s="50"/>
      <c r="I30730" s="50"/>
      <c r="O30730" s="36" t="s">
        <v>48</v>
      </c>
      <c r="R30730" s="36" t="s">
        <v>48</v>
      </c>
    </row>
    <row r="30731">
      <c r="H30731" s="50"/>
      <c r="I30731" s="50"/>
      <c r="O30731" s="36" t="s">
        <v>48</v>
      </c>
      <c r="R30731" s="36" t="s">
        <v>48</v>
      </c>
    </row>
    <row r="30732">
      <c r="H30732" s="50"/>
      <c r="I30732" s="50"/>
      <c r="O30732" s="36" t="s">
        <v>48</v>
      </c>
      <c r="R30732" s="36" t="s">
        <v>48</v>
      </c>
    </row>
    <row r="30733">
      <c r="H30733" s="50"/>
      <c r="I30733" s="50"/>
      <c r="O30733" s="36" t="s">
        <v>48</v>
      </c>
      <c r="R30733" s="36" t="s">
        <v>48</v>
      </c>
    </row>
    <row r="30734">
      <c r="H30734" s="50"/>
      <c r="I30734" s="50"/>
      <c r="O30734" s="36" t="s">
        <v>48</v>
      </c>
      <c r="R30734" s="36" t="s">
        <v>48</v>
      </c>
    </row>
    <row r="30735">
      <c r="H30735" s="50"/>
      <c r="I30735" s="50"/>
      <c r="O30735" s="36" t="s">
        <v>48</v>
      </c>
      <c r="R30735" s="36" t="s">
        <v>48</v>
      </c>
    </row>
    <row r="30736">
      <c r="H30736" s="50"/>
      <c r="I30736" s="50"/>
      <c r="O30736" s="36" t="s">
        <v>48</v>
      </c>
      <c r="R30736" s="36" t="s">
        <v>48</v>
      </c>
    </row>
    <row r="30737">
      <c r="H30737" s="50"/>
      <c r="I30737" s="50"/>
      <c r="O30737" s="36" t="s">
        <v>48</v>
      </c>
      <c r="R30737" s="36" t="s">
        <v>48</v>
      </c>
    </row>
    <row r="30738">
      <c r="H30738" s="50"/>
      <c r="I30738" s="50"/>
      <c r="O30738" s="36" t="s">
        <v>48</v>
      </c>
      <c r="R30738" s="36" t="s">
        <v>48</v>
      </c>
    </row>
    <row r="30739">
      <c r="H30739" s="50"/>
      <c r="I30739" s="50"/>
      <c r="O30739" s="36" t="s">
        <v>48</v>
      </c>
      <c r="R30739" s="36" t="s">
        <v>48</v>
      </c>
    </row>
    <row r="30740">
      <c r="H30740" s="50"/>
      <c r="I30740" s="50"/>
      <c r="O30740" s="36" t="s">
        <v>48</v>
      </c>
      <c r="R30740" s="36" t="s">
        <v>48</v>
      </c>
    </row>
    <row r="30741">
      <c r="H30741" s="50"/>
      <c r="I30741" s="50"/>
      <c r="O30741" s="36" t="s">
        <v>48</v>
      </c>
      <c r="R30741" s="36" t="s">
        <v>48</v>
      </c>
    </row>
    <row r="30742">
      <c r="H30742" s="50"/>
      <c r="I30742" s="50"/>
      <c r="O30742" s="36" t="s">
        <v>48</v>
      </c>
      <c r="R30742" s="36" t="s">
        <v>48</v>
      </c>
    </row>
    <row r="30743">
      <c r="H30743" s="50"/>
      <c r="I30743" s="50"/>
      <c r="O30743" s="36" t="s">
        <v>48</v>
      </c>
      <c r="R30743" s="36" t="s">
        <v>48</v>
      </c>
    </row>
    <row r="30744">
      <c r="H30744" s="50"/>
      <c r="I30744" s="50"/>
      <c r="O30744" s="36" t="s">
        <v>48</v>
      </c>
      <c r="R30744" s="36" t="s">
        <v>48</v>
      </c>
    </row>
    <row r="30745">
      <c r="H30745" s="50"/>
      <c r="I30745" s="50"/>
      <c r="O30745" s="36" t="s">
        <v>48</v>
      </c>
      <c r="R30745" s="36" t="s">
        <v>48</v>
      </c>
    </row>
    <row r="30746">
      <c r="H30746" s="50"/>
      <c r="I30746" s="50"/>
      <c r="O30746" s="36" t="s">
        <v>48</v>
      </c>
      <c r="R30746" s="36" t="s">
        <v>48</v>
      </c>
    </row>
    <row r="30747">
      <c r="H30747" s="50"/>
      <c r="I30747" s="50"/>
      <c r="O30747" s="36" t="s">
        <v>48</v>
      </c>
      <c r="R30747" s="36" t="s">
        <v>48</v>
      </c>
    </row>
    <row r="30748">
      <c r="H30748" s="50"/>
      <c r="I30748" s="50"/>
      <c r="O30748" s="36" t="s">
        <v>48</v>
      </c>
      <c r="R30748" s="36" t="s">
        <v>48</v>
      </c>
    </row>
    <row r="30749">
      <c r="H30749" s="50"/>
      <c r="I30749" s="50"/>
      <c r="O30749" s="36" t="s">
        <v>48</v>
      </c>
      <c r="R30749" s="36" t="s">
        <v>48</v>
      </c>
    </row>
    <row r="30750">
      <c r="H30750" s="50"/>
      <c r="I30750" s="50"/>
      <c r="O30750" s="36" t="s">
        <v>48</v>
      </c>
      <c r="R30750" s="36" t="s">
        <v>48</v>
      </c>
    </row>
    <row r="30751">
      <c r="H30751" s="50"/>
      <c r="I30751" s="50"/>
      <c r="O30751" s="36" t="s">
        <v>48</v>
      </c>
      <c r="R30751" s="36" t="s">
        <v>48</v>
      </c>
    </row>
    <row r="30752">
      <c r="H30752" s="50"/>
      <c r="I30752" s="50"/>
      <c r="O30752" s="36" t="s">
        <v>48</v>
      </c>
      <c r="R30752" s="36" t="s">
        <v>48</v>
      </c>
    </row>
    <row r="30753">
      <c r="H30753" s="50"/>
      <c r="I30753" s="50"/>
      <c r="O30753" s="36" t="s">
        <v>48</v>
      </c>
      <c r="R30753" s="36" t="s">
        <v>48</v>
      </c>
    </row>
    <row r="30754">
      <c r="H30754" s="50"/>
      <c r="I30754" s="50"/>
      <c r="O30754" s="36" t="s">
        <v>48</v>
      </c>
      <c r="R30754" s="36" t="s">
        <v>48</v>
      </c>
    </row>
    <row r="30755">
      <c r="H30755" s="50"/>
      <c r="I30755" s="50"/>
      <c r="O30755" s="36" t="s">
        <v>48</v>
      </c>
      <c r="R30755" s="36" t="s">
        <v>48</v>
      </c>
    </row>
    <row r="30756">
      <c r="H30756" s="50"/>
      <c r="I30756" s="50"/>
      <c r="O30756" s="36" t="s">
        <v>48</v>
      </c>
      <c r="R30756" s="36" t="s">
        <v>48</v>
      </c>
    </row>
    <row r="30757">
      <c r="H30757" s="50"/>
      <c r="I30757" s="50"/>
      <c r="O30757" s="36" t="s">
        <v>48</v>
      </c>
      <c r="R30757" s="36" t="s">
        <v>48</v>
      </c>
    </row>
    <row r="30758">
      <c r="H30758" s="50"/>
      <c r="I30758" s="50"/>
      <c r="O30758" s="36" t="s">
        <v>48</v>
      </c>
      <c r="R30758" s="36" t="s">
        <v>48</v>
      </c>
    </row>
    <row r="30759">
      <c r="H30759" s="50"/>
      <c r="I30759" s="50"/>
      <c r="O30759" s="36" t="s">
        <v>48</v>
      </c>
      <c r="R30759" s="36" t="s">
        <v>48</v>
      </c>
    </row>
    <row r="30760">
      <c r="H30760" s="50"/>
      <c r="I30760" s="50"/>
      <c r="O30760" s="36" t="s">
        <v>48</v>
      </c>
      <c r="R30760" s="36" t="s">
        <v>48</v>
      </c>
    </row>
    <row r="30761">
      <c r="H30761" s="50"/>
      <c r="I30761" s="50"/>
      <c r="O30761" s="36" t="s">
        <v>48</v>
      </c>
      <c r="R30761" s="36" t="s">
        <v>48</v>
      </c>
    </row>
    <row r="30762">
      <c r="H30762" s="50"/>
      <c r="I30762" s="50"/>
      <c r="O30762" s="36" t="s">
        <v>48</v>
      </c>
      <c r="R30762" s="36" t="s">
        <v>48</v>
      </c>
    </row>
    <row r="30763">
      <c r="H30763" s="50"/>
      <c r="I30763" s="50"/>
      <c r="O30763" s="36" t="s">
        <v>48</v>
      </c>
      <c r="R30763" s="36" t="s">
        <v>48</v>
      </c>
    </row>
    <row r="30764">
      <c r="H30764" s="50"/>
      <c r="I30764" s="50"/>
      <c r="O30764" s="36" t="s">
        <v>48</v>
      </c>
      <c r="R30764" s="36" t="s">
        <v>48</v>
      </c>
    </row>
    <row r="30765">
      <c r="H30765" s="50"/>
      <c r="I30765" s="50"/>
      <c r="O30765" s="36" t="s">
        <v>48</v>
      </c>
      <c r="R30765" s="36" t="s">
        <v>48</v>
      </c>
    </row>
    <row r="30766">
      <c r="H30766" s="50"/>
      <c r="I30766" s="50"/>
      <c r="O30766" s="36" t="s">
        <v>48</v>
      </c>
      <c r="R30766" s="36" t="s">
        <v>48</v>
      </c>
    </row>
    <row r="30767">
      <c r="H30767" s="50"/>
      <c r="I30767" s="50"/>
      <c r="O30767" s="36" t="s">
        <v>48</v>
      </c>
      <c r="R30767" s="36" t="s">
        <v>48</v>
      </c>
    </row>
    <row r="30768">
      <c r="H30768" s="50"/>
      <c r="I30768" s="50"/>
      <c r="O30768" s="36" t="s">
        <v>48</v>
      </c>
      <c r="R30768" s="36" t="s">
        <v>48</v>
      </c>
    </row>
    <row r="30769">
      <c r="H30769" s="50"/>
      <c r="I30769" s="50"/>
      <c r="O30769" s="36" t="s">
        <v>48</v>
      </c>
      <c r="R30769" s="36" t="s">
        <v>48</v>
      </c>
    </row>
    <row r="30770">
      <c r="H30770" s="50"/>
      <c r="I30770" s="50"/>
      <c r="O30770" s="36" t="s">
        <v>48</v>
      </c>
      <c r="R30770" s="36" t="s">
        <v>48</v>
      </c>
    </row>
    <row r="30771">
      <c r="H30771" s="50"/>
      <c r="I30771" s="50"/>
      <c r="O30771" s="36" t="s">
        <v>48</v>
      </c>
      <c r="R30771" s="36" t="s">
        <v>48</v>
      </c>
    </row>
    <row r="30772">
      <c r="H30772" s="50"/>
      <c r="I30772" s="50"/>
      <c r="O30772" s="36" t="s">
        <v>48</v>
      </c>
      <c r="R30772" s="36" t="s">
        <v>48</v>
      </c>
    </row>
    <row r="30773">
      <c r="H30773" s="50"/>
      <c r="I30773" s="50"/>
      <c r="O30773" s="36" t="s">
        <v>48</v>
      </c>
      <c r="R30773" s="36" t="s">
        <v>48</v>
      </c>
    </row>
    <row r="30774">
      <c r="H30774" s="50"/>
      <c r="I30774" s="50"/>
      <c r="O30774" s="36" t="s">
        <v>48</v>
      </c>
      <c r="R30774" s="36" t="s">
        <v>48</v>
      </c>
    </row>
    <row r="30775">
      <c r="H30775" s="50"/>
      <c r="I30775" s="50"/>
      <c r="O30775" s="36" t="s">
        <v>48</v>
      </c>
      <c r="R30775" s="36" t="s">
        <v>48</v>
      </c>
    </row>
    <row r="30776">
      <c r="H30776" s="50"/>
      <c r="I30776" s="50"/>
      <c r="O30776" s="36" t="s">
        <v>48</v>
      </c>
      <c r="R30776" s="36" t="s">
        <v>48</v>
      </c>
    </row>
    <row r="30777">
      <c r="H30777" s="50"/>
      <c r="I30777" s="50"/>
      <c r="O30777" s="36" t="s">
        <v>48</v>
      </c>
      <c r="R30777" s="36" t="s">
        <v>48</v>
      </c>
    </row>
    <row r="30778">
      <c r="H30778" s="50"/>
      <c r="I30778" s="50"/>
      <c r="O30778" s="36" t="s">
        <v>48</v>
      </c>
      <c r="R30778" s="36" t="s">
        <v>48</v>
      </c>
    </row>
    <row r="30779">
      <c r="H30779" s="50"/>
      <c r="I30779" s="50"/>
      <c r="O30779" s="36" t="s">
        <v>48</v>
      </c>
      <c r="R30779" s="36" t="s">
        <v>48</v>
      </c>
    </row>
    <row r="30780">
      <c r="H30780" s="50"/>
      <c r="I30780" s="50"/>
      <c r="O30780" s="36" t="s">
        <v>48</v>
      </c>
      <c r="R30780" s="36" t="s">
        <v>48</v>
      </c>
    </row>
    <row r="30781">
      <c r="H30781" s="50"/>
      <c r="I30781" s="50"/>
      <c r="O30781" s="36" t="s">
        <v>48</v>
      </c>
      <c r="R30781" s="36" t="s">
        <v>48</v>
      </c>
    </row>
    <row r="30782">
      <c r="H30782" s="50"/>
      <c r="I30782" s="50"/>
      <c r="O30782" s="36" t="s">
        <v>48</v>
      </c>
      <c r="R30782" s="36" t="s">
        <v>48</v>
      </c>
    </row>
    <row r="30783">
      <c r="H30783" s="50"/>
      <c r="I30783" s="50"/>
      <c r="O30783" s="36" t="s">
        <v>48</v>
      </c>
      <c r="R30783" s="36" t="s">
        <v>48</v>
      </c>
    </row>
    <row r="30784">
      <c r="H30784" s="50"/>
      <c r="I30784" s="50"/>
      <c r="O30784" s="36" t="s">
        <v>48</v>
      </c>
      <c r="R30784" s="36" t="s">
        <v>48</v>
      </c>
    </row>
    <row r="30785">
      <c r="H30785" s="50"/>
      <c r="I30785" s="50"/>
      <c r="O30785" s="36" t="s">
        <v>48</v>
      </c>
      <c r="R30785" s="36" t="s">
        <v>48</v>
      </c>
    </row>
    <row r="30786">
      <c r="H30786" s="50"/>
      <c r="I30786" s="50"/>
      <c r="O30786" s="36" t="s">
        <v>48</v>
      </c>
      <c r="R30786" s="36" t="s">
        <v>48</v>
      </c>
    </row>
    <row r="30787">
      <c r="H30787" s="50"/>
      <c r="I30787" s="50"/>
      <c r="O30787" s="36" t="s">
        <v>48</v>
      </c>
      <c r="R30787" s="36" t="s">
        <v>48</v>
      </c>
    </row>
    <row r="30788">
      <c r="H30788" s="50"/>
      <c r="I30788" s="50"/>
      <c r="O30788" s="36" t="s">
        <v>48</v>
      </c>
      <c r="R30788" s="36" t="s">
        <v>48</v>
      </c>
    </row>
    <row r="30789">
      <c r="H30789" s="50"/>
      <c r="I30789" s="50"/>
      <c r="O30789" s="36" t="s">
        <v>48</v>
      </c>
      <c r="R30789" s="36" t="s">
        <v>48</v>
      </c>
    </row>
    <row r="30790">
      <c r="H30790" s="50"/>
      <c r="I30790" s="50"/>
      <c r="O30790" s="36" t="s">
        <v>48</v>
      </c>
      <c r="R30790" s="36" t="s">
        <v>48</v>
      </c>
    </row>
    <row r="30791">
      <c r="H30791" s="50"/>
      <c r="I30791" s="50"/>
      <c r="O30791" s="36" t="s">
        <v>48</v>
      </c>
      <c r="R30791" s="36" t="s">
        <v>48</v>
      </c>
    </row>
    <row r="30792">
      <c r="H30792" s="50"/>
      <c r="I30792" s="50"/>
      <c r="O30792" s="36" t="s">
        <v>48</v>
      </c>
      <c r="R30792" s="36" t="s">
        <v>48</v>
      </c>
    </row>
    <row r="30793">
      <c r="H30793" s="50"/>
      <c r="I30793" s="50"/>
      <c r="O30793" s="36" t="s">
        <v>48</v>
      </c>
      <c r="R30793" s="36" t="s">
        <v>48</v>
      </c>
    </row>
    <row r="30794">
      <c r="H30794" s="50"/>
      <c r="I30794" s="50"/>
      <c r="O30794" s="36" t="s">
        <v>48</v>
      </c>
      <c r="R30794" s="36" t="s">
        <v>48</v>
      </c>
    </row>
    <row r="30795">
      <c r="H30795" s="50"/>
      <c r="I30795" s="50"/>
      <c r="O30795" s="36" t="s">
        <v>48</v>
      </c>
      <c r="R30795" s="36" t="s">
        <v>48</v>
      </c>
    </row>
    <row r="30796">
      <c r="H30796" s="50"/>
      <c r="I30796" s="50"/>
      <c r="O30796" s="36" t="s">
        <v>48</v>
      </c>
      <c r="R30796" s="36" t="s">
        <v>48</v>
      </c>
    </row>
    <row r="30797">
      <c r="H30797" s="50"/>
      <c r="I30797" s="50"/>
      <c r="O30797" s="36" t="s">
        <v>48</v>
      </c>
      <c r="R30797" s="36" t="s">
        <v>48</v>
      </c>
    </row>
    <row r="30798">
      <c r="H30798" s="50"/>
      <c r="I30798" s="50"/>
      <c r="O30798" s="36" t="s">
        <v>48</v>
      </c>
      <c r="R30798" s="36" t="s">
        <v>48</v>
      </c>
    </row>
    <row r="30799">
      <c r="H30799" s="50"/>
      <c r="I30799" s="50"/>
      <c r="O30799" s="36" t="s">
        <v>48</v>
      </c>
      <c r="R30799" s="36" t="s">
        <v>48</v>
      </c>
    </row>
    <row r="30800">
      <c r="H30800" s="50"/>
      <c r="I30800" s="50"/>
      <c r="O30800" s="36" t="s">
        <v>48</v>
      </c>
      <c r="R30800" s="36" t="s">
        <v>48</v>
      </c>
    </row>
    <row r="30801">
      <c r="H30801" s="50"/>
      <c r="I30801" s="50"/>
      <c r="O30801" s="36" t="s">
        <v>48</v>
      </c>
      <c r="R30801" s="36" t="s">
        <v>48</v>
      </c>
    </row>
    <row r="30802">
      <c r="H30802" s="50"/>
      <c r="I30802" s="50"/>
      <c r="O30802" s="36" t="s">
        <v>48</v>
      </c>
      <c r="R30802" s="36" t="s">
        <v>48</v>
      </c>
    </row>
    <row r="30803">
      <c r="H30803" s="50"/>
      <c r="I30803" s="50"/>
      <c r="O30803" s="36" t="s">
        <v>48</v>
      </c>
      <c r="R30803" s="36" t="s">
        <v>48</v>
      </c>
    </row>
    <row r="30804">
      <c r="H30804" s="50"/>
      <c r="I30804" s="50"/>
      <c r="O30804" s="36" t="s">
        <v>48</v>
      </c>
      <c r="R30804" s="36" t="s">
        <v>48</v>
      </c>
    </row>
    <row r="30805">
      <c r="H30805" s="50"/>
      <c r="I30805" s="50"/>
      <c r="O30805" s="36" t="s">
        <v>48</v>
      </c>
      <c r="R30805" s="36" t="s">
        <v>48</v>
      </c>
    </row>
    <row r="30806">
      <c r="H30806" s="50"/>
      <c r="I30806" s="50"/>
      <c r="O30806" s="36" t="s">
        <v>48</v>
      </c>
      <c r="R30806" s="36" t="s">
        <v>48</v>
      </c>
    </row>
    <row r="30807">
      <c r="H30807" s="50"/>
      <c r="I30807" s="50"/>
      <c r="O30807" s="36" t="s">
        <v>48</v>
      </c>
      <c r="R30807" s="36" t="s">
        <v>48</v>
      </c>
    </row>
    <row r="30808">
      <c r="H30808" s="50"/>
      <c r="I30808" s="50"/>
      <c r="O30808" s="36" t="s">
        <v>48</v>
      </c>
      <c r="R30808" s="36" t="s">
        <v>48</v>
      </c>
    </row>
    <row r="30809">
      <c r="H30809" s="50"/>
      <c r="I30809" s="50"/>
      <c r="O30809" s="36" t="s">
        <v>48</v>
      </c>
      <c r="R30809" s="36" t="s">
        <v>48</v>
      </c>
    </row>
    <row r="30810">
      <c r="H30810" s="50"/>
      <c r="I30810" s="50"/>
      <c r="O30810" s="36" t="s">
        <v>48</v>
      </c>
      <c r="R30810" s="36" t="s">
        <v>48</v>
      </c>
    </row>
    <row r="30811">
      <c r="H30811" s="50"/>
      <c r="I30811" s="50"/>
      <c r="O30811" s="36" t="s">
        <v>48</v>
      </c>
      <c r="R30811" s="36" t="s">
        <v>48</v>
      </c>
    </row>
    <row r="30812">
      <c r="H30812" s="50"/>
      <c r="I30812" s="50"/>
      <c r="O30812" s="36" t="s">
        <v>48</v>
      </c>
      <c r="R30812" s="36" t="s">
        <v>48</v>
      </c>
    </row>
    <row r="30813">
      <c r="H30813" s="50"/>
      <c r="I30813" s="50"/>
      <c r="O30813" s="36" t="s">
        <v>48</v>
      </c>
      <c r="R30813" s="36" t="s">
        <v>48</v>
      </c>
    </row>
    <row r="30814">
      <c r="H30814" s="50"/>
      <c r="I30814" s="50"/>
      <c r="O30814" s="36" t="s">
        <v>48</v>
      </c>
      <c r="R30814" s="36" t="s">
        <v>48</v>
      </c>
    </row>
    <row r="30815">
      <c r="H30815" s="50"/>
      <c r="I30815" s="50"/>
      <c r="O30815" s="36" t="s">
        <v>48</v>
      </c>
      <c r="R30815" s="36" t="s">
        <v>48</v>
      </c>
    </row>
    <row r="30816">
      <c r="H30816" s="50"/>
      <c r="I30816" s="50"/>
      <c r="O30816" s="36" t="s">
        <v>48</v>
      </c>
      <c r="R30816" s="36" t="s">
        <v>48</v>
      </c>
    </row>
    <row r="30817">
      <c r="H30817" s="50"/>
      <c r="I30817" s="50"/>
      <c r="O30817" s="36" t="s">
        <v>48</v>
      </c>
      <c r="R30817" s="36" t="s">
        <v>48</v>
      </c>
    </row>
    <row r="30818">
      <c r="H30818" s="50"/>
      <c r="I30818" s="50"/>
      <c r="O30818" s="36" t="s">
        <v>48</v>
      </c>
      <c r="R30818" s="36" t="s">
        <v>48</v>
      </c>
    </row>
    <row r="30819">
      <c r="H30819" s="50"/>
      <c r="I30819" s="50"/>
      <c r="O30819" s="36" t="s">
        <v>48</v>
      </c>
      <c r="R30819" s="36" t="s">
        <v>48</v>
      </c>
    </row>
    <row r="30820">
      <c r="H30820" s="50"/>
      <c r="I30820" s="50"/>
      <c r="O30820" s="36" t="s">
        <v>48</v>
      </c>
      <c r="R30820" s="36" t="s">
        <v>48</v>
      </c>
    </row>
    <row r="30821">
      <c r="H30821" s="50"/>
      <c r="I30821" s="50"/>
      <c r="O30821" s="36" t="s">
        <v>48</v>
      </c>
      <c r="R30821" s="36" t="s">
        <v>48</v>
      </c>
    </row>
    <row r="30822">
      <c r="H30822" s="50"/>
      <c r="I30822" s="50"/>
      <c r="O30822" s="36" t="s">
        <v>48</v>
      </c>
      <c r="R30822" s="36" t="s">
        <v>48</v>
      </c>
    </row>
    <row r="30823">
      <c r="H30823" s="50"/>
      <c r="I30823" s="50"/>
      <c r="O30823" s="36" t="s">
        <v>48</v>
      </c>
      <c r="R30823" s="36" t="s">
        <v>48</v>
      </c>
    </row>
    <row r="30824">
      <c r="H30824" s="50"/>
      <c r="I30824" s="50"/>
      <c r="O30824" s="36" t="s">
        <v>48</v>
      </c>
      <c r="R30824" s="36" t="s">
        <v>48</v>
      </c>
    </row>
    <row r="30825">
      <c r="H30825" s="50"/>
      <c r="I30825" s="50"/>
      <c r="O30825" s="36" t="s">
        <v>48</v>
      </c>
      <c r="R30825" s="36" t="s">
        <v>48</v>
      </c>
    </row>
    <row r="30826">
      <c r="H30826" s="50"/>
      <c r="I30826" s="50"/>
      <c r="O30826" s="36" t="s">
        <v>48</v>
      </c>
      <c r="R30826" s="36" t="s">
        <v>48</v>
      </c>
    </row>
    <row r="30827">
      <c r="H30827" s="50"/>
      <c r="I30827" s="50"/>
      <c r="O30827" s="36" t="s">
        <v>48</v>
      </c>
      <c r="R30827" s="36" t="s">
        <v>48</v>
      </c>
    </row>
    <row r="30828">
      <c r="H30828" s="50"/>
      <c r="I30828" s="50"/>
      <c r="O30828" s="36" t="s">
        <v>48</v>
      </c>
      <c r="R30828" s="36" t="s">
        <v>48</v>
      </c>
    </row>
    <row r="30829">
      <c r="H30829" s="50"/>
      <c r="I30829" s="50"/>
      <c r="O30829" s="36" t="s">
        <v>48</v>
      </c>
      <c r="R30829" s="36" t="s">
        <v>48</v>
      </c>
    </row>
    <row r="30830">
      <c r="H30830" s="50"/>
      <c r="I30830" s="50"/>
      <c r="O30830" s="36" t="s">
        <v>48</v>
      </c>
      <c r="R30830" s="36" t="s">
        <v>48</v>
      </c>
    </row>
    <row r="30831">
      <c r="H30831" s="50"/>
      <c r="I30831" s="50"/>
      <c r="O30831" s="36" t="s">
        <v>48</v>
      </c>
      <c r="R30831" s="36" t="s">
        <v>48</v>
      </c>
    </row>
    <row r="30832">
      <c r="H30832" s="50"/>
      <c r="I30832" s="50"/>
      <c r="O30832" s="36" t="s">
        <v>48</v>
      </c>
      <c r="R30832" s="36" t="s">
        <v>48</v>
      </c>
    </row>
    <row r="30833">
      <c r="H30833" s="50"/>
      <c r="I30833" s="50"/>
      <c r="O30833" s="36" t="s">
        <v>48</v>
      </c>
      <c r="R30833" s="36" t="s">
        <v>48</v>
      </c>
    </row>
    <row r="30834">
      <c r="H30834" s="50"/>
      <c r="I30834" s="50"/>
      <c r="O30834" s="36" t="s">
        <v>48</v>
      </c>
      <c r="R30834" s="36" t="s">
        <v>48</v>
      </c>
    </row>
    <row r="30835">
      <c r="H30835" s="50"/>
      <c r="I30835" s="50"/>
      <c r="O30835" s="36" t="s">
        <v>48</v>
      </c>
      <c r="R30835" s="36" t="s">
        <v>48</v>
      </c>
    </row>
    <row r="30836">
      <c r="H30836" s="50"/>
      <c r="I30836" s="50"/>
      <c r="O30836" s="36" t="s">
        <v>48</v>
      </c>
      <c r="R30836" s="36" t="s">
        <v>48</v>
      </c>
    </row>
    <row r="30837">
      <c r="H30837" s="50"/>
      <c r="I30837" s="50"/>
      <c r="O30837" s="36" t="s">
        <v>48</v>
      </c>
      <c r="R30837" s="36" t="s">
        <v>48</v>
      </c>
    </row>
    <row r="30838">
      <c r="H30838" s="50"/>
      <c r="I30838" s="50"/>
      <c r="O30838" s="36" t="s">
        <v>48</v>
      </c>
      <c r="R30838" s="36" t="s">
        <v>48</v>
      </c>
    </row>
    <row r="30839">
      <c r="H30839" s="50"/>
      <c r="I30839" s="50"/>
      <c r="O30839" s="36" t="s">
        <v>48</v>
      </c>
      <c r="R30839" s="36" t="s">
        <v>48</v>
      </c>
    </row>
    <row r="30840">
      <c r="H30840" s="50"/>
      <c r="I30840" s="50"/>
      <c r="O30840" s="36" t="s">
        <v>48</v>
      </c>
      <c r="R30840" s="36" t="s">
        <v>48</v>
      </c>
    </row>
    <row r="30841">
      <c r="H30841" s="50"/>
      <c r="I30841" s="50"/>
      <c r="O30841" s="36" t="s">
        <v>48</v>
      </c>
      <c r="R30841" s="36" t="s">
        <v>48</v>
      </c>
    </row>
    <row r="30842">
      <c r="H30842" s="50"/>
      <c r="I30842" s="50"/>
      <c r="O30842" s="36" t="s">
        <v>48</v>
      </c>
      <c r="R30842" s="36" t="s">
        <v>48</v>
      </c>
    </row>
    <row r="30843">
      <c r="H30843" s="50"/>
      <c r="I30843" s="50"/>
      <c r="O30843" s="36" t="s">
        <v>48</v>
      </c>
      <c r="R30843" s="36" t="s">
        <v>48</v>
      </c>
    </row>
    <row r="30844">
      <c r="H30844" s="50"/>
      <c r="I30844" s="50"/>
      <c r="O30844" s="36" t="s">
        <v>48</v>
      </c>
      <c r="R30844" s="36" t="s">
        <v>48</v>
      </c>
    </row>
    <row r="30845">
      <c r="H30845" s="50"/>
      <c r="I30845" s="50"/>
      <c r="O30845" s="36" t="s">
        <v>48</v>
      </c>
      <c r="R30845" s="36" t="s">
        <v>48</v>
      </c>
    </row>
    <row r="30846">
      <c r="H30846" s="50"/>
      <c r="I30846" s="50"/>
      <c r="O30846" s="36" t="s">
        <v>48</v>
      </c>
      <c r="R30846" s="36" t="s">
        <v>48</v>
      </c>
    </row>
    <row r="30847">
      <c r="H30847" s="50"/>
      <c r="I30847" s="50"/>
      <c r="O30847" s="36" t="s">
        <v>48</v>
      </c>
      <c r="R30847" s="36" t="s">
        <v>48</v>
      </c>
    </row>
    <row r="30848">
      <c r="H30848" s="50"/>
      <c r="I30848" s="50"/>
      <c r="O30848" s="36" t="s">
        <v>48</v>
      </c>
      <c r="R30848" s="36" t="s">
        <v>48</v>
      </c>
    </row>
    <row r="30849">
      <c r="H30849" s="50"/>
      <c r="I30849" s="50"/>
      <c r="O30849" s="36" t="s">
        <v>48</v>
      </c>
      <c r="R30849" s="36" t="s">
        <v>48</v>
      </c>
    </row>
    <row r="30850">
      <c r="H30850" s="50"/>
      <c r="I30850" s="50"/>
      <c r="O30850" s="36" t="s">
        <v>48</v>
      </c>
      <c r="R30850" s="36" t="s">
        <v>48</v>
      </c>
    </row>
    <row r="30851">
      <c r="H30851" s="50"/>
      <c r="I30851" s="50"/>
      <c r="O30851" s="36" t="s">
        <v>48</v>
      </c>
      <c r="R30851" s="36" t="s">
        <v>48</v>
      </c>
    </row>
    <row r="30852">
      <c r="H30852" s="50"/>
      <c r="I30852" s="50"/>
      <c r="O30852" s="36" t="s">
        <v>48</v>
      </c>
      <c r="R30852" s="36" t="s">
        <v>48</v>
      </c>
    </row>
    <row r="30853">
      <c r="H30853" s="50"/>
      <c r="I30853" s="50"/>
      <c r="O30853" s="36" t="s">
        <v>48</v>
      </c>
      <c r="R30853" s="36" t="s">
        <v>48</v>
      </c>
    </row>
    <row r="30854">
      <c r="H30854" s="50"/>
      <c r="I30854" s="50"/>
      <c r="O30854" s="36" t="s">
        <v>48</v>
      </c>
      <c r="R30854" s="36" t="s">
        <v>48</v>
      </c>
    </row>
    <row r="30855">
      <c r="H30855" s="50"/>
      <c r="I30855" s="50"/>
      <c r="O30855" s="36" t="s">
        <v>48</v>
      </c>
      <c r="R30855" s="36" t="s">
        <v>48</v>
      </c>
    </row>
    <row r="30856">
      <c r="H30856" s="50"/>
      <c r="I30856" s="50"/>
      <c r="O30856" s="36" t="s">
        <v>48</v>
      </c>
      <c r="R30856" s="36" t="s">
        <v>48</v>
      </c>
    </row>
    <row r="30857">
      <c r="H30857" s="50"/>
      <c r="I30857" s="50"/>
      <c r="O30857" s="36" t="s">
        <v>48</v>
      </c>
      <c r="R30857" s="36" t="s">
        <v>48</v>
      </c>
    </row>
    <row r="30858">
      <c r="H30858" s="50"/>
      <c r="I30858" s="50"/>
      <c r="O30858" s="36" t="s">
        <v>48</v>
      </c>
      <c r="R30858" s="36" t="s">
        <v>48</v>
      </c>
    </row>
    <row r="30859">
      <c r="H30859" s="50"/>
      <c r="I30859" s="50"/>
      <c r="O30859" s="36" t="s">
        <v>48</v>
      </c>
      <c r="R30859" s="36" t="s">
        <v>48</v>
      </c>
    </row>
    <row r="30860">
      <c r="H30860" s="50"/>
      <c r="I30860" s="50"/>
      <c r="O30860" s="36" t="s">
        <v>48</v>
      </c>
      <c r="R30860" s="36" t="s">
        <v>48</v>
      </c>
    </row>
    <row r="30861">
      <c r="H30861" s="50"/>
      <c r="I30861" s="50"/>
      <c r="O30861" s="36" t="s">
        <v>48</v>
      </c>
      <c r="R30861" s="36" t="s">
        <v>48</v>
      </c>
    </row>
    <row r="30862">
      <c r="H30862" s="50"/>
      <c r="I30862" s="50"/>
      <c r="O30862" s="36" t="s">
        <v>48</v>
      </c>
      <c r="R30862" s="36" t="s">
        <v>48</v>
      </c>
    </row>
    <row r="30863">
      <c r="H30863" s="50"/>
      <c r="I30863" s="50"/>
      <c r="O30863" s="36" t="s">
        <v>48</v>
      </c>
      <c r="R30863" s="36" t="s">
        <v>48</v>
      </c>
    </row>
    <row r="30864">
      <c r="H30864" s="50"/>
      <c r="I30864" s="50"/>
      <c r="O30864" s="36" t="s">
        <v>48</v>
      </c>
      <c r="R30864" s="36" t="s">
        <v>48</v>
      </c>
    </row>
    <row r="30865">
      <c r="H30865" s="50"/>
      <c r="I30865" s="50"/>
      <c r="O30865" s="36" t="s">
        <v>48</v>
      </c>
      <c r="R30865" s="36" t="s">
        <v>48</v>
      </c>
    </row>
    <row r="30866">
      <c r="H30866" s="50"/>
      <c r="I30866" s="50"/>
      <c r="O30866" s="36" t="s">
        <v>48</v>
      </c>
      <c r="R30866" s="36" t="s">
        <v>48</v>
      </c>
    </row>
    <row r="30867">
      <c r="H30867" s="50"/>
      <c r="I30867" s="50"/>
      <c r="O30867" s="36" t="s">
        <v>48</v>
      </c>
      <c r="R30867" s="36" t="s">
        <v>48</v>
      </c>
    </row>
    <row r="30868">
      <c r="H30868" s="50"/>
      <c r="I30868" s="50"/>
      <c r="O30868" s="36" t="s">
        <v>48</v>
      </c>
      <c r="R30868" s="36" t="s">
        <v>48</v>
      </c>
    </row>
    <row r="30869">
      <c r="H30869" s="50"/>
      <c r="I30869" s="50"/>
      <c r="O30869" s="36" t="s">
        <v>48</v>
      </c>
      <c r="R30869" s="36" t="s">
        <v>48</v>
      </c>
    </row>
    <row r="30870">
      <c r="H30870" s="50"/>
      <c r="I30870" s="50"/>
      <c r="O30870" s="36" t="s">
        <v>48</v>
      </c>
      <c r="R30870" s="36" t="s">
        <v>48</v>
      </c>
    </row>
    <row r="30871">
      <c r="H30871" s="50"/>
      <c r="I30871" s="50"/>
      <c r="O30871" s="36" t="s">
        <v>48</v>
      </c>
      <c r="R30871" s="36" t="s">
        <v>48</v>
      </c>
    </row>
    <row r="30872">
      <c r="H30872" s="50"/>
      <c r="I30872" s="50"/>
      <c r="O30872" s="36" t="s">
        <v>48</v>
      </c>
      <c r="R30872" s="36" t="s">
        <v>48</v>
      </c>
    </row>
    <row r="30873">
      <c r="H30873" s="50"/>
      <c r="I30873" s="50"/>
      <c r="O30873" s="36" t="s">
        <v>48</v>
      </c>
      <c r="R30873" s="36" t="s">
        <v>48</v>
      </c>
    </row>
    <row r="30874">
      <c r="H30874" s="50"/>
      <c r="I30874" s="50"/>
      <c r="O30874" s="36" t="s">
        <v>48</v>
      </c>
      <c r="R30874" s="36" t="s">
        <v>48</v>
      </c>
    </row>
    <row r="30875">
      <c r="H30875" s="50"/>
      <c r="I30875" s="50"/>
      <c r="O30875" s="36" t="s">
        <v>48</v>
      </c>
      <c r="R30875" s="36" t="s">
        <v>48</v>
      </c>
    </row>
    <row r="30876">
      <c r="H30876" s="50"/>
      <c r="I30876" s="50"/>
      <c r="O30876" s="36" t="s">
        <v>48</v>
      </c>
      <c r="R30876" s="36" t="s">
        <v>48</v>
      </c>
    </row>
    <row r="30877">
      <c r="H30877" s="50"/>
      <c r="I30877" s="50"/>
      <c r="O30877" s="36" t="s">
        <v>48</v>
      </c>
      <c r="R30877" s="36" t="s">
        <v>48</v>
      </c>
    </row>
    <row r="30878">
      <c r="H30878" s="50"/>
      <c r="I30878" s="50"/>
      <c r="O30878" s="36" t="s">
        <v>48</v>
      </c>
      <c r="R30878" s="36" t="s">
        <v>48</v>
      </c>
    </row>
    <row r="30879">
      <c r="H30879" s="50"/>
      <c r="I30879" s="50"/>
      <c r="O30879" s="36" t="s">
        <v>48</v>
      </c>
      <c r="R30879" s="36" t="s">
        <v>48</v>
      </c>
    </row>
    <row r="30880">
      <c r="H30880" s="50"/>
      <c r="I30880" s="50"/>
      <c r="O30880" s="36" t="s">
        <v>48</v>
      </c>
      <c r="R30880" s="36" t="s">
        <v>48</v>
      </c>
    </row>
    <row r="30881">
      <c r="H30881" s="50"/>
      <c r="I30881" s="50"/>
      <c r="O30881" s="36" t="s">
        <v>48</v>
      </c>
      <c r="R30881" s="36" t="s">
        <v>48</v>
      </c>
    </row>
    <row r="30882">
      <c r="H30882" s="50"/>
      <c r="I30882" s="50"/>
      <c r="O30882" s="36" t="s">
        <v>48</v>
      </c>
      <c r="R30882" s="36" t="s">
        <v>48</v>
      </c>
    </row>
    <row r="30883">
      <c r="H30883" s="50"/>
      <c r="I30883" s="50"/>
      <c r="O30883" s="36" t="s">
        <v>48</v>
      </c>
      <c r="R30883" s="36" t="s">
        <v>48</v>
      </c>
    </row>
    <row r="30884">
      <c r="H30884" s="50"/>
      <c r="I30884" s="50"/>
      <c r="O30884" s="36" t="s">
        <v>48</v>
      </c>
      <c r="R30884" s="36" t="s">
        <v>48</v>
      </c>
    </row>
    <row r="30885">
      <c r="H30885" s="50"/>
      <c r="I30885" s="50"/>
      <c r="O30885" s="36" t="s">
        <v>48</v>
      </c>
      <c r="R30885" s="36" t="s">
        <v>48</v>
      </c>
    </row>
    <row r="30886">
      <c r="H30886" s="50"/>
      <c r="I30886" s="50"/>
      <c r="O30886" s="36" t="s">
        <v>48</v>
      </c>
      <c r="R30886" s="36" t="s">
        <v>48</v>
      </c>
    </row>
    <row r="30887">
      <c r="H30887" s="50"/>
      <c r="I30887" s="50"/>
      <c r="O30887" s="36" t="s">
        <v>48</v>
      </c>
      <c r="R30887" s="36" t="s">
        <v>48</v>
      </c>
    </row>
    <row r="30888">
      <c r="H30888" s="50"/>
      <c r="I30888" s="50"/>
      <c r="O30888" s="36" t="s">
        <v>48</v>
      </c>
      <c r="R30888" s="36" t="s">
        <v>48</v>
      </c>
    </row>
    <row r="30889">
      <c r="H30889" s="50"/>
      <c r="I30889" s="50"/>
      <c r="O30889" s="36" t="s">
        <v>48</v>
      </c>
      <c r="R30889" s="36" t="s">
        <v>48</v>
      </c>
    </row>
    <row r="30890">
      <c r="H30890" s="50"/>
      <c r="I30890" s="50"/>
      <c r="O30890" s="36" t="s">
        <v>48</v>
      </c>
      <c r="R30890" s="36" t="s">
        <v>48</v>
      </c>
    </row>
    <row r="30891">
      <c r="H30891" s="50"/>
      <c r="I30891" s="50"/>
      <c r="O30891" s="36" t="s">
        <v>48</v>
      </c>
      <c r="R30891" s="36" t="s">
        <v>48</v>
      </c>
    </row>
    <row r="30892">
      <c r="H30892" s="50"/>
      <c r="I30892" s="50"/>
      <c r="O30892" s="36" t="s">
        <v>48</v>
      </c>
      <c r="R30892" s="36" t="s">
        <v>48</v>
      </c>
    </row>
    <row r="30893">
      <c r="H30893" s="50"/>
      <c r="I30893" s="50"/>
      <c r="O30893" s="36" t="s">
        <v>48</v>
      </c>
      <c r="R30893" s="36" t="s">
        <v>48</v>
      </c>
    </row>
    <row r="30894">
      <c r="H30894" s="50"/>
      <c r="I30894" s="50"/>
      <c r="O30894" s="36" t="s">
        <v>48</v>
      </c>
      <c r="R30894" s="36" t="s">
        <v>48</v>
      </c>
    </row>
    <row r="30895">
      <c r="H30895" s="50"/>
      <c r="I30895" s="50"/>
      <c r="O30895" s="36" t="s">
        <v>48</v>
      </c>
      <c r="R30895" s="36" t="s">
        <v>48</v>
      </c>
    </row>
    <row r="30896">
      <c r="H30896" s="50"/>
      <c r="I30896" s="50"/>
      <c r="O30896" s="36" t="s">
        <v>48</v>
      </c>
      <c r="R30896" s="36" t="s">
        <v>48</v>
      </c>
    </row>
    <row r="30897">
      <c r="H30897" s="50"/>
      <c r="I30897" s="50"/>
      <c r="O30897" s="36" t="s">
        <v>48</v>
      </c>
      <c r="R30897" s="36" t="s">
        <v>48</v>
      </c>
    </row>
    <row r="30898">
      <c r="H30898" s="50"/>
      <c r="I30898" s="50"/>
      <c r="O30898" s="36" t="s">
        <v>48</v>
      </c>
      <c r="R30898" s="36" t="s">
        <v>48</v>
      </c>
    </row>
    <row r="30899">
      <c r="H30899" s="50"/>
      <c r="I30899" s="50"/>
      <c r="O30899" s="36" t="s">
        <v>48</v>
      </c>
      <c r="R30899" s="36" t="s">
        <v>48</v>
      </c>
    </row>
    <row r="30900">
      <c r="H30900" s="50"/>
      <c r="I30900" s="50"/>
      <c r="O30900" s="36" t="s">
        <v>48</v>
      </c>
      <c r="R30900" s="36" t="s">
        <v>48</v>
      </c>
    </row>
    <row r="30901">
      <c r="H30901" s="50"/>
      <c r="I30901" s="50"/>
      <c r="O30901" s="36" t="s">
        <v>48</v>
      </c>
      <c r="R30901" s="36" t="s">
        <v>48</v>
      </c>
    </row>
    <row r="30902">
      <c r="H30902" s="50"/>
      <c r="I30902" s="50"/>
      <c r="O30902" s="36" t="s">
        <v>48</v>
      </c>
      <c r="R30902" s="36" t="s">
        <v>48</v>
      </c>
    </row>
    <row r="30903">
      <c r="H30903" s="50"/>
      <c r="I30903" s="50"/>
      <c r="O30903" s="36" t="s">
        <v>48</v>
      </c>
      <c r="R30903" s="36" t="s">
        <v>48</v>
      </c>
    </row>
    <row r="30904">
      <c r="H30904" s="50"/>
      <c r="I30904" s="50"/>
      <c r="O30904" s="36" t="s">
        <v>48</v>
      </c>
      <c r="R30904" s="36" t="s">
        <v>48</v>
      </c>
    </row>
    <row r="30905">
      <c r="H30905" s="50"/>
      <c r="I30905" s="50"/>
      <c r="O30905" s="36" t="s">
        <v>48</v>
      </c>
      <c r="R30905" s="36" t="s">
        <v>48</v>
      </c>
    </row>
    <row r="30906">
      <c r="H30906" s="50"/>
      <c r="I30906" s="50"/>
      <c r="O30906" s="36" t="s">
        <v>48</v>
      </c>
      <c r="R30906" s="36" t="s">
        <v>48</v>
      </c>
    </row>
    <row r="30907">
      <c r="H30907" s="50"/>
      <c r="I30907" s="50"/>
      <c r="O30907" s="36" t="s">
        <v>48</v>
      </c>
      <c r="R30907" s="36" t="s">
        <v>48</v>
      </c>
    </row>
    <row r="30908">
      <c r="H30908" s="50"/>
      <c r="I30908" s="50"/>
      <c r="O30908" s="36" t="s">
        <v>48</v>
      </c>
      <c r="R30908" s="36" t="s">
        <v>48</v>
      </c>
    </row>
    <row r="30909">
      <c r="H30909" s="50"/>
      <c r="I30909" s="50"/>
      <c r="O30909" s="36" t="s">
        <v>48</v>
      </c>
      <c r="R30909" s="36" t="s">
        <v>48</v>
      </c>
    </row>
    <row r="30910">
      <c r="H30910" s="50"/>
      <c r="I30910" s="50"/>
      <c r="O30910" s="36" t="s">
        <v>48</v>
      </c>
      <c r="R30910" s="36" t="s">
        <v>48</v>
      </c>
    </row>
    <row r="30911">
      <c r="H30911" s="50"/>
      <c r="I30911" s="50"/>
      <c r="O30911" s="36" t="s">
        <v>48</v>
      </c>
      <c r="R30911" s="36" t="s">
        <v>48</v>
      </c>
    </row>
    <row r="30912">
      <c r="H30912" s="50"/>
      <c r="I30912" s="50"/>
      <c r="O30912" s="36" t="s">
        <v>48</v>
      </c>
      <c r="R30912" s="36" t="s">
        <v>48</v>
      </c>
    </row>
    <row r="30913">
      <c r="H30913" s="50"/>
      <c r="I30913" s="50"/>
      <c r="O30913" s="36" t="s">
        <v>48</v>
      </c>
      <c r="R30913" s="36" t="s">
        <v>48</v>
      </c>
    </row>
    <row r="30914">
      <c r="H30914" s="50"/>
      <c r="I30914" s="50"/>
      <c r="O30914" s="36" t="s">
        <v>48</v>
      </c>
      <c r="R30914" s="36" t="s">
        <v>48</v>
      </c>
    </row>
    <row r="30915">
      <c r="H30915" s="50"/>
      <c r="I30915" s="50"/>
      <c r="O30915" s="36" t="s">
        <v>48</v>
      </c>
      <c r="R30915" s="36" t="s">
        <v>48</v>
      </c>
    </row>
    <row r="30916">
      <c r="H30916" s="50"/>
      <c r="I30916" s="50"/>
      <c r="O30916" s="36" t="s">
        <v>48</v>
      </c>
      <c r="R30916" s="36" t="s">
        <v>48</v>
      </c>
    </row>
    <row r="30917">
      <c r="H30917" s="50"/>
      <c r="I30917" s="50"/>
      <c r="O30917" s="36" t="s">
        <v>48</v>
      </c>
      <c r="R30917" s="36" t="s">
        <v>48</v>
      </c>
    </row>
    <row r="30918">
      <c r="H30918" s="50"/>
      <c r="I30918" s="50"/>
      <c r="O30918" s="36" t="s">
        <v>48</v>
      </c>
      <c r="R30918" s="36" t="s">
        <v>48</v>
      </c>
    </row>
    <row r="30919">
      <c r="H30919" s="50"/>
      <c r="I30919" s="50"/>
      <c r="O30919" s="36" t="s">
        <v>48</v>
      </c>
      <c r="R30919" s="36" t="s">
        <v>48</v>
      </c>
    </row>
    <row r="30920">
      <c r="H30920" s="50"/>
      <c r="I30920" s="50"/>
      <c r="O30920" s="36" t="s">
        <v>48</v>
      </c>
      <c r="R30920" s="36" t="s">
        <v>48</v>
      </c>
    </row>
    <row r="30921">
      <c r="H30921" s="50"/>
      <c r="I30921" s="50"/>
      <c r="O30921" s="36" t="s">
        <v>48</v>
      </c>
      <c r="R30921" s="36" t="s">
        <v>48</v>
      </c>
    </row>
    <row r="30922">
      <c r="H30922" s="50"/>
      <c r="I30922" s="50"/>
      <c r="O30922" s="36" t="s">
        <v>48</v>
      </c>
      <c r="R30922" s="36" t="s">
        <v>48</v>
      </c>
    </row>
    <row r="30923">
      <c r="H30923" s="50"/>
      <c r="I30923" s="50"/>
      <c r="O30923" s="36" t="s">
        <v>48</v>
      </c>
      <c r="R30923" s="36" t="s">
        <v>48</v>
      </c>
    </row>
    <row r="30924">
      <c r="H30924" s="50"/>
      <c r="I30924" s="50"/>
      <c r="O30924" s="36" t="s">
        <v>48</v>
      </c>
      <c r="R30924" s="36" t="s">
        <v>48</v>
      </c>
    </row>
    <row r="30925">
      <c r="H30925" s="50"/>
      <c r="I30925" s="50"/>
      <c r="O30925" s="36" t="s">
        <v>48</v>
      </c>
      <c r="R30925" s="36" t="s">
        <v>48</v>
      </c>
    </row>
    <row r="30926">
      <c r="H30926" s="50"/>
      <c r="I30926" s="50"/>
      <c r="O30926" s="36" t="s">
        <v>48</v>
      </c>
      <c r="R30926" s="36" t="s">
        <v>48</v>
      </c>
    </row>
    <row r="30927">
      <c r="H30927" s="50"/>
      <c r="I30927" s="50"/>
      <c r="O30927" s="36" t="s">
        <v>48</v>
      </c>
      <c r="R30927" s="36" t="s">
        <v>48</v>
      </c>
    </row>
    <row r="30928">
      <c r="H30928" s="50"/>
      <c r="I30928" s="50"/>
      <c r="O30928" s="36" t="s">
        <v>48</v>
      </c>
      <c r="R30928" s="36" t="s">
        <v>48</v>
      </c>
    </row>
    <row r="30929">
      <c r="H30929" s="50"/>
      <c r="I30929" s="50"/>
      <c r="O30929" s="36" t="s">
        <v>48</v>
      </c>
      <c r="R30929" s="36" t="s">
        <v>48</v>
      </c>
    </row>
    <row r="30930">
      <c r="H30930" s="50"/>
      <c r="I30930" s="50"/>
      <c r="O30930" s="36" t="s">
        <v>48</v>
      </c>
      <c r="R30930" s="36" t="s">
        <v>48</v>
      </c>
    </row>
    <row r="30931">
      <c r="H30931" s="50"/>
      <c r="I30931" s="50"/>
      <c r="O30931" s="36" t="s">
        <v>48</v>
      </c>
      <c r="R30931" s="36" t="s">
        <v>48</v>
      </c>
    </row>
    <row r="30932">
      <c r="H30932" s="50"/>
      <c r="I30932" s="50"/>
      <c r="O30932" s="36" t="s">
        <v>48</v>
      </c>
      <c r="R30932" s="36" t="s">
        <v>48</v>
      </c>
    </row>
    <row r="30933">
      <c r="H30933" s="50"/>
      <c r="I30933" s="50"/>
      <c r="O30933" s="36" t="s">
        <v>48</v>
      </c>
      <c r="R30933" s="36" t="s">
        <v>48</v>
      </c>
    </row>
    <row r="30934">
      <c r="H30934" s="50"/>
      <c r="I30934" s="50"/>
      <c r="O30934" s="36" t="s">
        <v>48</v>
      </c>
      <c r="R30934" s="36" t="s">
        <v>48</v>
      </c>
    </row>
    <row r="30935">
      <c r="H30935" s="50"/>
      <c r="I30935" s="50"/>
      <c r="O30935" s="36" t="s">
        <v>48</v>
      </c>
      <c r="R30935" s="36" t="s">
        <v>48</v>
      </c>
    </row>
    <row r="30936">
      <c r="H30936" s="50"/>
      <c r="I30936" s="50"/>
      <c r="O30936" s="36" t="s">
        <v>48</v>
      </c>
      <c r="R30936" s="36" t="s">
        <v>48</v>
      </c>
    </row>
    <row r="30937">
      <c r="H30937" s="50"/>
      <c r="I30937" s="50"/>
      <c r="O30937" s="36" t="s">
        <v>48</v>
      </c>
      <c r="R30937" s="36" t="s">
        <v>48</v>
      </c>
    </row>
    <row r="30938">
      <c r="H30938" s="50"/>
      <c r="I30938" s="50"/>
      <c r="O30938" s="36" t="s">
        <v>48</v>
      </c>
      <c r="R30938" s="36" t="s">
        <v>48</v>
      </c>
    </row>
    <row r="30939">
      <c r="H30939" s="50"/>
      <c r="I30939" s="50"/>
      <c r="O30939" s="36" t="s">
        <v>48</v>
      </c>
      <c r="R30939" s="36" t="s">
        <v>48</v>
      </c>
    </row>
    <row r="30940">
      <c r="H30940" s="50"/>
      <c r="I30940" s="50"/>
      <c r="O30940" s="36" t="s">
        <v>48</v>
      </c>
      <c r="R30940" s="36" t="s">
        <v>48</v>
      </c>
    </row>
    <row r="30941">
      <c r="H30941" s="50"/>
      <c r="I30941" s="50"/>
      <c r="O30941" s="36" t="s">
        <v>48</v>
      </c>
      <c r="R30941" s="36" t="s">
        <v>48</v>
      </c>
    </row>
    <row r="30942">
      <c r="H30942" s="50"/>
      <c r="I30942" s="50"/>
      <c r="O30942" s="36" t="s">
        <v>48</v>
      </c>
      <c r="R30942" s="36" t="s">
        <v>48</v>
      </c>
    </row>
    <row r="30943">
      <c r="H30943" s="50"/>
      <c r="I30943" s="50"/>
      <c r="O30943" s="36" t="s">
        <v>48</v>
      </c>
      <c r="R30943" s="36" t="s">
        <v>48</v>
      </c>
    </row>
    <row r="30944">
      <c r="H30944" s="50"/>
      <c r="I30944" s="50"/>
      <c r="O30944" s="36" t="s">
        <v>48</v>
      </c>
      <c r="R30944" s="36" t="s">
        <v>48</v>
      </c>
    </row>
    <row r="30945">
      <c r="H30945" s="50"/>
      <c r="I30945" s="50"/>
      <c r="O30945" s="36" t="s">
        <v>48</v>
      </c>
      <c r="R30945" s="36" t="s">
        <v>48</v>
      </c>
    </row>
    <row r="30946">
      <c r="H30946" s="50"/>
      <c r="I30946" s="50"/>
      <c r="O30946" s="36" t="s">
        <v>48</v>
      </c>
      <c r="R30946" s="36" t="s">
        <v>48</v>
      </c>
    </row>
    <row r="30947">
      <c r="H30947" s="50"/>
      <c r="I30947" s="50"/>
      <c r="O30947" s="36" t="s">
        <v>48</v>
      </c>
      <c r="R30947" s="36" t="s">
        <v>48</v>
      </c>
    </row>
    <row r="30948">
      <c r="H30948" s="50"/>
      <c r="I30948" s="50"/>
      <c r="O30948" s="36" t="s">
        <v>48</v>
      </c>
      <c r="R30948" s="36" t="s">
        <v>48</v>
      </c>
    </row>
    <row r="30949">
      <c r="H30949" s="50"/>
      <c r="I30949" s="50"/>
      <c r="O30949" s="36" t="s">
        <v>48</v>
      </c>
      <c r="R30949" s="36" t="s">
        <v>48</v>
      </c>
    </row>
    <row r="30950">
      <c r="H30950" s="50"/>
      <c r="I30950" s="50"/>
      <c r="O30950" s="36" t="s">
        <v>48</v>
      </c>
      <c r="R30950" s="36" t="s">
        <v>48</v>
      </c>
    </row>
    <row r="30951">
      <c r="H30951" s="50"/>
      <c r="I30951" s="50"/>
      <c r="O30951" s="36" t="s">
        <v>48</v>
      </c>
      <c r="R30951" s="36" t="s">
        <v>48</v>
      </c>
    </row>
    <row r="30952">
      <c r="H30952" s="50"/>
      <c r="I30952" s="50"/>
      <c r="O30952" s="36" t="s">
        <v>48</v>
      </c>
      <c r="R30952" s="36" t="s">
        <v>48</v>
      </c>
    </row>
    <row r="30953">
      <c r="H30953" s="50"/>
      <c r="I30953" s="50"/>
      <c r="O30953" s="36" t="s">
        <v>48</v>
      </c>
      <c r="R30953" s="36" t="s">
        <v>48</v>
      </c>
    </row>
    <row r="30954">
      <c r="H30954" s="50"/>
      <c r="I30954" s="50"/>
      <c r="O30954" s="36" t="s">
        <v>48</v>
      </c>
      <c r="R30954" s="36" t="s">
        <v>48</v>
      </c>
    </row>
    <row r="30955">
      <c r="H30955" s="50"/>
      <c r="I30955" s="50"/>
      <c r="O30955" s="36" t="s">
        <v>48</v>
      </c>
      <c r="R30955" s="36" t="s">
        <v>48</v>
      </c>
    </row>
    <row r="30956">
      <c r="H30956" s="50"/>
      <c r="I30956" s="50"/>
      <c r="O30956" s="36" t="s">
        <v>48</v>
      </c>
      <c r="R30956" s="36" t="s">
        <v>48</v>
      </c>
    </row>
    <row r="30957">
      <c r="H30957" s="50"/>
      <c r="I30957" s="50"/>
      <c r="O30957" s="36" t="s">
        <v>48</v>
      </c>
      <c r="R30957" s="36" t="s">
        <v>48</v>
      </c>
    </row>
    <row r="30958">
      <c r="H30958" s="50"/>
      <c r="I30958" s="50"/>
      <c r="O30958" s="36" t="s">
        <v>48</v>
      </c>
      <c r="R30958" s="36" t="s">
        <v>48</v>
      </c>
    </row>
    <row r="30959">
      <c r="H30959" s="50"/>
      <c r="I30959" s="50"/>
      <c r="O30959" s="36" t="s">
        <v>48</v>
      </c>
      <c r="R30959" s="36" t="s">
        <v>48</v>
      </c>
    </row>
    <row r="30960">
      <c r="H30960" s="50"/>
      <c r="I30960" s="50"/>
      <c r="O30960" s="36" t="s">
        <v>48</v>
      </c>
      <c r="R30960" s="36" t="s">
        <v>48</v>
      </c>
    </row>
    <row r="30961">
      <c r="H30961" s="50"/>
      <c r="I30961" s="50"/>
      <c r="O30961" s="36" t="s">
        <v>48</v>
      </c>
      <c r="R30961" s="36" t="s">
        <v>48</v>
      </c>
    </row>
    <row r="30962">
      <c r="H30962" s="50"/>
      <c r="I30962" s="50"/>
      <c r="O30962" s="36" t="s">
        <v>48</v>
      </c>
      <c r="R30962" s="36" t="s">
        <v>48</v>
      </c>
    </row>
    <row r="30963">
      <c r="H30963" s="50"/>
      <c r="I30963" s="50"/>
      <c r="O30963" s="36" t="s">
        <v>48</v>
      </c>
      <c r="R30963" s="36" t="s">
        <v>48</v>
      </c>
    </row>
    <row r="30964">
      <c r="H30964" s="50"/>
      <c r="I30964" s="50"/>
      <c r="O30964" s="36" t="s">
        <v>48</v>
      </c>
      <c r="R30964" s="36" t="s">
        <v>48</v>
      </c>
    </row>
    <row r="30965">
      <c r="H30965" s="50"/>
      <c r="I30965" s="50"/>
      <c r="O30965" s="36" t="s">
        <v>48</v>
      </c>
      <c r="R30965" s="36" t="s">
        <v>48</v>
      </c>
    </row>
    <row r="30966">
      <c r="H30966" s="50"/>
      <c r="I30966" s="50"/>
      <c r="O30966" s="36" t="s">
        <v>48</v>
      </c>
      <c r="R30966" s="36" t="s">
        <v>48</v>
      </c>
    </row>
    <row r="30967">
      <c r="H30967" s="50"/>
      <c r="I30967" s="50"/>
      <c r="O30967" s="36" t="s">
        <v>48</v>
      </c>
      <c r="R30967" s="36" t="s">
        <v>48</v>
      </c>
    </row>
    <row r="30968">
      <c r="H30968" s="50"/>
      <c r="I30968" s="50"/>
      <c r="O30968" s="36" t="s">
        <v>48</v>
      </c>
      <c r="R30968" s="36" t="s">
        <v>48</v>
      </c>
    </row>
    <row r="30969">
      <c r="H30969" s="50"/>
      <c r="I30969" s="50"/>
      <c r="O30969" s="36" t="s">
        <v>48</v>
      </c>
      <c r="R30969" s="36" t="s">
        <v>48</v>
      </c>
    </row>
    <row r="30970">
      <c r="H30970" s="50"/>
      <c r="I30970" s="50"/>
      <c r="O30970" s="36" t="s">
        <v>48</v>
      </c>
      <c r="R30970" s="36" t="s">
        <v>48</v>
      </c>
    </row>
    <row r="30971">
      <c r="H30971" s="50"/>
      <c r="I30971" s="50"/>
      <c r="O30971" s="36" t="s">
        <v>48</v>
      </c>
      <c r="R30971" s="36" t="s">
        <v>48</v>
      </c>
    </row>
    <row r="30972">
      <c r="H30972" s="50"/>
      <c r="I30972" s="50"/>
      <c r="O30972" s="36" t="s">
        <v>48</v>
      </c>
      <c r="R30972" s="36" t="s">
        <v>48</v>
      </c>
    </row>
    <row r="30973">
      <c r="H30973" s="50"/>
      <c r="I30973" s="50"/>
      <c r="O30973" s="36" t="s">
        <v>48</v>
      </c>
      <c r="R30973" s="36" t="s">
        <v>48</v>
      </c>
    </row>
    <row r="30974">
      <c r="H30974" s="50"/>
      <c r="I30974" s="50"/>
      <c r="O30974" s="36" t="s">
        <v>48</v>
      </c>
      <c r="R30974" s="36" t="s">
        <v>48</v>
      </c>
    </row>
    <row r="30975">
      <c r="H30975" s="50"/>
      <c r="I30975" s="50"/>
      <c r="O30975" s="36" t="s">
        <v>48</v>
      </c>
      <c r="R30975" s="36" t="s">
        <v>48</v>
      </c>
    </row>
    <row r="30976">
      <c r="H30976" s="50"/>
      <c r="I30976" s="50"/>
      <c r="O30976" s="36" t="s">
        <v>48</v>
      </c>
      <c r="R30976" s="36" t="s">
        <v>48</v>
      </c>
    </row>
    <row r="30977">
      <c r="H30977" s="50"/>
      <c r="I30977" s="50"/>
      <c r="O30977" s="36" t="s">
        <v>48</v>
      </c>
      <c r="R30977" s="36" t="s">
        <v>48</v>
      </c>
    </row>
    <row r="30978">
      <c r="H30978" s="50"/>
      <c r="I30978" s="50"/>
      <c r="O30978" s="36" t="s">
        <v>48</v>
      </c>
      <c r="R30978" s="36" t="s">
        <v>48</v>
      </c>
    </row>
    <row r="30979">
      <c r="H30979" s="50"/>
      <c r="I30979" s="50"/>
      <c r="O30979" s="36" t="s">
        <v>48</v>
      </c>
      <c r="R30979" s="36" t="s">
        <v>48</v>
      </c>
    </row>
    <row r="30980">
      <c r="H30980" s="50"/>
      <c r="I30980" s="50"/>
      <c r="O30980" s="36" t="s">
        <v>48</v>
      </c>
      <c r="R30980" s="36" t="s">
        <v>48</v>
      </c>
    </row>
    <row r="30981">
      <c r="H30981" s="50"/>
      <c r="I30981" s="50"/>
      <c r="O30981" s="36" t="s">
        <v>48</v>
      </c>
      <c r="R30981" s="36" t="s">
        <v>48</v>
      </c>
    </row>
    <row r="30982">
      <c r="H30982" s="50"/>
      <c r="I30982" s="50"/>
      <c r="O30982" s="36" t="s">
        <v>48</v>
      </c>
      <c r="R30982" s="36" t="s">
        <v>48</v>
      </c>
    </row>
    <row r="30983">
      <c r="H30983" s="50"/>
      <c r="I30983" s="50"/>
      <c r="O30983" s="36" t="s">
        <v>48</v>
      </c>
      <c r="R30983" s="36" t="s">
        <v>48</v>
      </c>
    </row>
    <row r="30984">
      <c r="H30984" s="50"/>
      <c r="I30984" s="50"/>
      <c r="O30984" s="36" t="s">
        <v>48</v>
      </c>
      <c r="R30984" s="36" t="s">
        <v>48</v>
      </c>
    </row>
    <row r="30985">
      <c r="H30985" s="50"/>
      <c r="I30985" s="50"/>
      <c r="O30985" s="36" t="s">
        <v>48</v>
      </c>
      <c r="R30985" s="36" t="s">
        <v>48</v>
      </c>
    </row>
    <row r="30986">
      <c r="H30986" s="50"/>
      <c r="I30986" s="50"/>
      <c r="O30986" s="36" t="s">
        <v>48</v>
      </c>
      <c r="R30986" s="36" t="s">
        <v>48</v>
      </c>
    </row>
    <row r="30987">
      <c r="H30987" s="50"/>
      <c r="I30987" s="50"/>
      <c r="O30987" s="36" t="s">
        <v>48</v>
      </c>
      <c r="R30987" s="36" t="s">
        <v>48</v>
      </c>
    </row>
    <row r="30988">
      <c r="H30988" s="50"/>
      <c r="I30988" s="50"/>
      <c r="O30988" s="36" t="s">
        <v>48</v>
      </c>
      <c r="R30988" s="36" t="s">
        <v>48</v>
      </c>
    </row>
    <row r="30989">
      <c r="H30989" s="50"/>
      <c r="I30989" s="50"/>
      <c r="O30989" s="36" t="s">
        <v>48</v>
      </c>
      <c r="R30989" s="36" t="s">
        <v>48</v>
      </c>
    </row>
    <row r="30990">
      <c r="H30990" s="50"/>
      <c r="I30990" s="50"/>
      <c r="O30990" s="36" t="s">
        <v>48</v>
      </c>
      <c r="R30990" s="36" t="s">
        <v>48</v>
      </c>
    </row>
    <row r="30991">
      <c r="H30991" s="50"/>
      <c r="I30991" s="50"/>
      <c r="O30991" s="36" t="s">
        <v>48</v>
      </c>
      <c r="R30991" s="36" t="s">
        <v>48</v>
      </c>
    </row>
    <row r="30992">
      <c r="H30992" s="50"/>
      <c r="I30992" s="50"/>
      <c r="O30992" s="36" t="s">
        <v>48</v>
      </c>
      <c r="R30992" s="36" t="s">
        <v>48</v>
      </c>
    </row>
    <row r="30993">
      <c r="H30993" s="50"/>
      <c r="I30993" s="50"/>
      <c r="O30993" s="36" t="s">
        <v>48</v>
      </c>
      <c r="R30993" s="36" t="s">
        <v>48</v>
      </c>
    </row>
    <row r="30994">
      <c r="H30994" s="50"/>
      <c r="I30994" s="50"/>
      <c r="O30994" s="36" t="s">
        <v>48</v>
      </c>
      <c r="R30994" s="36" t="s">
        <v>48</v>
      </c>
    </row>
    <row r="30995">
      <c r="H30995" s="50"/>
      <c r="I30995" s="50"/>
      <c r="O30995" s="36" t="s">
        <v>48</v>
      </c>
      <c r="R30995" s="36" t="s">
        <v>48</v>
      </c>
    </row>
    <row r="30996">
      <c r="H30996" s="50"/>
      <c r="I30996" s="50"/>
      <c r="O30996" s="36" t="s">
        <v>48</v>
      </c>
      <c r="R30996" s="36" t="s">
        <v>48</v>
      </c>
    </row>
    <row r="30997">
      <c r="H30997" s="50"/>
      <c r="I30997" s="50"/>
      <c r="O30997" s="36" t="s">
        <v>48</v>
      </c>
      <c r="R30997" s="36" t="s">
        <v>48</v>
      </c>
    </row>
    <row r="30998">
      <c r="H30998" s="50"/>
      <c r="I30998" s="50"/>
      <c r="O30998" s="36" t="s">
        <v>48</v>
      </c>
      <c r="R30998" s="36" t="s">
        <v>48</v>
      </c>
    </row>
    <row r="30999">
      <c r="H30999" s="50"/>
      <c r="I30999" s="50"/>
      <c r="O30999" s="36" t="s">
        <v>48</v>
      </c>
      <c r="R30999" s="36" t="s">
        <v>48</v>
      </c>
    </row>
    <row r="31000">
      <c r="H31000" s="50"/>
      <c r="I31000" s="50"/>
      <c r="O31000" s="36" t="s">
        <v>48</v>
      </c>
      <c r="R31000" s="36" t="s">
        <v>48</v>
      </c>
    </row>
    <row r="31001">
      <c r="H31001" s="50"/>
      <c r="I31001" s="50"/>
      <c r="O31001" s="36" t="s">
        <v>48</v>
      </c>
      <c r="R31001" s="36" t="s">
        <v>48</v>
      </c>
    </row>
    <row r="31002">
      <c r="H31002" s="50"/>
      <c r="I31002" s="50"/>
      <c r="O31002" s="36" t="s">
        <v>48</v>
      </c>
      <c r="R31002" s="36" t="s">
        <v>48</v>
      </c>
    </row>
    <row r="31003">
      <c r="H31003" s="50"/>
      <c r="I31003" s="50"/>
      <c r="O31003" s="36" t="s">
        <v>48</v>
      </c>
      <c r="R31003" s="36" t="s">
        <v>48</v>
      </c>
    </row>
    <row r="31004">
      <c r="H31004" s="50"/>
      <c r="I31004" s="50"/>
      <c r="O31004" s="36" t="s">
        <v>48</v>
      </c>
      <c r="R31004" s="36" t="s">
        <v>48</v>
      </c>
    </row>
    <row r="31005">
      <c r="H31005" s="50"/>
      <c r="I31005" s="50"/>
      <c r="O31005" s="36" t="s">
        <v>48</v>
      </c>
      <c r="R31005" s="36" t="s">
        <v>48</v>
      </c>
    </row>
    <row r="31006">
      <c r="H31006" s="50"/>
      <c r="I31006" s="50"/>
      <c r="O31006" s="36" t="s">
        <v>48</v>
      </c>
      <c r="R31006" s="36" t="s">
        <v>48</v>
      </c>
    </row>
    <row r="31007">
      <c r="H31007" s="50"/>
      <c r="I31007" s="50"/>
      <c r="O31007" s="36" t="s">
        <v>48</v>
      </c>
      <c r="R31007" s="36" t="s">
        <v>48</v>
      </c>
    </row>
    <row r="31008">
      <c r="H31008" s="50"/>
      <c r="I31008" s="50"/>
      <c r="O31008" s="36" t="s">
        <v>48</v>
      </c>
      <c r="R31008" s="36" t="s">
        <v>48</v>
      </c>
    </row>
    <row r="31009">
      <c r="H31009" s="50"/>
      <c r="I31009" s="50"/>
      <c r="O31009" s="36" t="s">
        <v>48</v>
      </c>
      <c r="R31009" s="36" t="s">
        <v>48</v>
      </c>
    </row>
    <row r="31010">
      <c r="H31010" s="50"/>
      <c r="I31010" s="50"/>
      <c r="O31010" s="36" t="s">
        <v>48</v>
      </c>
      <c r="R31010" s="36" t="s">
        <v>48</v>
      </c>
    </row>
    <row r="31011">
      <c r="H31011" s="50"/>
      <c r="I31011" s="50"/>
      <c r="O31011" s="36" t="s">
        <v>48</v>
      </c>
      <c r="R31011" s="36" t="s">
        <v>48</v>
      </c>
    </row>
    <row r="31012">
      <c r="H31012" s="50"/>
      <c r="I31012" s="50"/>
      <c r="O31012" s="36" t="s">
        <v>48</v>
      </c>
      <c r="R31012" s="36" t="s">
        <v>48</v>
      </c>
    </row>
    <row r="31013">
      <c r="H31013" s="50"/>
      <c r="I31013" s="50"/>
      <c r="O31013" s="36" t="s">
        <v>48</v>
      </c>
      <c r="R31013" s="36" t="s">
        <v>48</v>
      </c>
    </row>
    <row r="31014">
      <c r="H31014" s="50"/>
      <c r="I31014" s="50"/>
      <c r="O31014" s="36" t="s">
        <v>48</v>
      </c>
      <c r="R31014" s="36" t="s">
        <v>48</v>
      </c>
    </row>
    <row r="31015">
      <c r="H31015" s="50"/>
      <c r="I31015" s="50"/>
      <c r="O31015" s="36" t="s">
        <v>48</v>
      </c>
      <c r="R31015" s="36" t="s">
        <v>48</v>
      </c>
    </row>
    <row r="31016">
      <c r="H31016" s="50"/>
      <c r="I31016" s="50"/>
      <c r="O31016" s="36" t="s">
        <v>48</v>
      </c>
      <c r="R31016" s="36" t="s">
        <v>48</v>
      </c>
    </row>
    <row r="31017">
      <c r="H31017" s="50"/>
      <c r="I31017" s="50"/>
      <c r="O31017" s="36" t="s">
        <v>48</v>
      </c>
      <c r="R31017" s="36" t="s">
        <v>48</v>
      </c>
    </row>
    <row r="31018">
      <c r="H31018" s="50"/>
      <c r="I31018" s="50"/>
      <c r="O31018" s="36" t="s">
        <v>48</v>
      </c>
      <c r="R31018" s="36" t="s">
        <v>48</v>
      </c>
    </row>
    <row r="31019">
      <c r="H31019" s="50"/>
      <c r="I31019" s="50"/>
      <c r="O31019" s="36" t="s">
        <v>48</v>
      </c>
      <c r="R31019" s="36" t="s">
        <v>48</v>
      </c>
    </row>
    <row r="31020">
      <c r="H31020" s="50"/>
      <c r="I31020" s="50"/>
      <c r="O31020" s="36" t="s">
        <v>48</v>
      </c>
      <c r="R31020" s="36" t="s">
        <v>48</v>
      </c>
    </row>
    <row r="31021">
      <c r="H31021" s="50"/>
      <c r="I31021" s="50"/>
      <c r="O31021" s="36" t="s">
        <v>48</v>
      </c>
      <c r="R31021" s="36" t="s">
        <v>48</v>
      </c>
    </row>
    <row r="31022">
      <c r="H31022" s="50"/>
      <c r="I31022" s="50"/>
      <c r="O31022" s="36" t="s">
        <v>48</v>
      </c>
      <c r="R31022" s="36" t="s">
        <v>48</v>
      </c>
    </row>
    <row r="31023">
      <c r="H31023" s="50"/>
      <c r="I31023" s="50"/>
      <c r="O31023" s="36" t="s">
        <v>48</v>
      </c>
      <c r="R31023" s="36" t="s">
        <v>48</v>
      </c>
    </row>
    <row r="31024">
      <c r="H31024" s="50"/>
      <c r="I31024" s="50"/>
      <c r="O31024" s="36" t="s">
        <v>48</v>
      </c>
      <c r="R31024" s="36" t="s">
        <v>48</v>
      </c>
    </row>
    <row r="31025">
      <c r="H31025" s="50"/>
      <c r="I31025" s="50"/>
      <c r="O31025" s="36" t="s">
        <v>48</v>
      </c>
      <c r="R31025" s="36" t="s">
        <v>48</v>
      </c>
    </row>
    <row r="31026">
      <c r="H31026" s="50"/>
      <c r="I31026" s="50"/>
      <c r="O31026" s="36" t="s">
        <v>48</v>
      </c>
      <c r="R31026" s="36" t="s">
        <v>48</v>
      </c>
    </row>
    <row r="31027">
      <c r="H31027" s="50"/>
      <c r="I31027" s="50"/>
      <c r="O31027" s="36" t="s">
        <v>48</v>
      </c>
      <c r="R31027" s="36" t="s">
        <v>48</v>
      </c>
    </row>
    <row r="31028">
      <c r="H31028" s="50"/>
      <c r="I31028" s="50"/>
      <c r="O31028" s="36" t="s">
        <v>48</v>
      </c>
      <c r="R31028" s="36" t="s">
        <v>48</v>
      </c>
    </row>
    <row r="31029">
      <c r="H31029" s="50"/>
      <c r="I31029" s="50"/>
      <c r="O31029" s="36" t="s">
        <v>48</v>
      </c>
      <c r="R31029" s="36" t="s">
        <v>48</v>
      </c>
    </row>
    <row r="31030">
      <c r="H31030" s="50"/>
      <c r="I31030" s="50"/>
      <c r="O31030" s="36" t="s">
        <v>48</v>
      </c>
      <c r="R31030" s="36" t="s">
        <v>48</v>
      </c>
    </row>
    <row r="31031">
      <c r="H31031" s="50"/>
      <c r="I31031" s="50"/>
      <c r="O31031" s="36" t="s">
        <v>48</v>
      </c>
      <c r="R31031" s="36" t="s">
        <v>48</v>
      </c>
    </row>
    <row r="31032">
      <c r="H31032" s="50"/>
      <c r="I31032" s="50"/>
      <c r="O31032" s="36" t="s">
        <v>48</v>
      </c>
      <c r="R31032" s="36" t="s">
        <v>48</v>
      </c>
    </row>
    <row r="31033">
      <c r="H31033" s="50"/>
      <c r="I31033" s="50"/>
      <c r="O31033" s="36" t="s">
        <v>48</v>
      </c>
      <c r="R31033" s="36" t="s">
        <v>48</v>
      </c>
    </row>
    <row r="31034">
      <c r="H31034" s="50"/>
      <c r="I31034" s="50"/>
      <c r="O31034" s="36" t="s">
        <v>48</v>
      </c>
      <c r="R31034" s="36" t="s">
        <v>48</v>
      </c>
    </row>
    <row r="31035">
      <c r="H31035" s="50"/>
      <c r="I31035" s="50"/>
      <c r="O31035" s="36" t="s">
        <v>48</v>
      </c>
      <c r="R31035" s="36" t="s">
        <v>48</v>
      </c>
    </row>
    <row r="31036">
      <c r="H31036" s="50"/>
      <c r="I31036" s="50"/>
      <c r="O31036" s="36" t="s">
        <v>48</v>
      </c>
      <c r="R31036" s="36" t="s">
        <v>48</v>
      </c>
    </row>
    <row r="31037">
      <c r="H31037" s="50"/>
      <c r="I31037" s="50"/>
      <c r="O31037" s="36" t="s">
        <v>48</v>
      </c>
      <c r="R31037" s="36" t="s">
        <v>48</v>
      </c>
    </row>
    <row r="31038">
      <c r="H31038" s="50"/>
      <c r="I31038" s="50"/>
      <c r="O31038" s="36" t="s">
        <v>48</v>
      </c>
      <c r="R31038" s="36" t="s">
        <v>48</v>
      </c>
    </row>
    <row r="31039">
      <c r="H31039" s="50"/>
      <c r="I31039" s="50"/>
      <c r="O31039" s="36" t="s">
        <v>48</v>
      </c>
      <c r="R31039" s="36" t="s">
        <v>48</v>
      </c>
    </row>
    <row r="31040">
      <c r="H31040" s="50"/>
      <c r="I31040" s="50"/>
      <c r="O31040" s="36" t="s">
        <v>48</v>
      </c>
      <c r="R31040" s="36" t="s">
        <v>48</v>
      </c>
    </row>
    <row r="31041">
      <c r="H31041" s="50"/>
      <c r="I31041" s="50"/>
      <c r="O31041" s="36" t="s">
        <v>48</v>
      </c>
      <c r="R31041" s="36" t="s">
        <v>48</v>
      </c>
    </row>
    <row r="31042">
      <c r="H31042" s="50"/>
      <c r="I31042" s="50"/>
      <c r="O31042" s="36" t="s">
        <v>48</v>
      </c>
      <c r="R31042" s="36" t="s">
        <v>48</v>
      </c>
    </row>
    <row r="31043">
      <c r="H31043" s="50"/>
      <c r="I31043" s="50"/>
      <c r="O31043" s="36" t="s">
        <v>48</v>
      </c>
      <c r="R31043" s="36" t="s">
        <v>48</v>
      </c>
    </row>
    <row r="31044">
      <c r="H31044" s="50"/>
      <c r="I31044" s="50"/>
      <c r="O31044" s="36" t="s">
        <v>48</v>
      </c>
      <c r="R31044" s="36" t="s">
        <v>48</v>
      </c>
    </row>
    <row r="31045">
      <c r="H31045" s="50"/>
      <c r="I31045" s="50"/>
      <c r="O31045" s="36" t="s">
        <v>48</v>
      </c>
      <c r="R31045" s="36" t="s">
        <v>48</v>
      </c>
    </row>
    <row r="31046">
      <c r="H31046" s="50"/>
      <c r="I31046" s="50"/>
      <c r="O31046" s="36" t="s">
        <v>48</v>
      </c>
      <c r="R31046" s="36" t="s">
        <v>48</v>
      </c>
    </row>
    <row r="31047">
      <c r="H31047" s="50"/>
      <c r="I31047" s="50"/>
      <c r="O31047" s="36" t="s">
        <v>48</v>
      </c>
      <c r="R31047" s="36" t="s">
        <v>48</v>
      </c>
    </row>
    <row r="31048">
      <c r="H31048" s="50"/>
      <c r="I31048" s="50"/>
      <c r="O31048" s="36" t="s">
        <v>48</v>
      </c>
      <c r="R31048" s="36" t="s">
        <v>48</v>
      </c>
    </row>
    <row r="31049">
      <c r="H31049" s="50"/>
      <c r="I31049" s="50"/>
      <c r="O31049" s="36" t="s">
        <v>48</v>
      </c>
      <c r="R31049" s="36" t="s">
        <v>48</v>
      </c>
    </row>
    <row r="31050">
      <c r="H31050" s="50"/>
      <c r="I31050" s="50"/>
      <c r="O31050" s="36" t="s">
        <v>48</v>
      </c>
      <c r="R31050" s="36" t="s">
        <v>48</v>
      </c>
    </row>
    <row r="31051">
      <c r="H31051" s="50"/>
      <c r="I31051" s="50"/>
      <c r="O31051" s="36" t="s">
        <v>48</v>
      </c>
      <c r="R31051" s="36" t="s">
        <v>48</v>
      </c>
    </row>
    <row r="31052">
      <c r="H31052" s="50"/>
      <c r="I31052" s="50"/>
      <c r="O31052" s="36" t="s">
        <v>48</v>
      </c>
      <c r="R31052" s="36" t="s">
        <v>48</v>
      </c>
    </row>
    <row r="31053">
      <c r="H31053" s="50"/>
      <c r="I31053" s="50"/>
      <c r="O31053" s="36" t="s">
        <v>48</v>
      </c>
      <c r="R31053" s="36" t="s">
        <v>48</v>
      </c>
    </row>
    <row r="31054">
      <c r="H31054" s="50"/>
      <c r="I31054" s="50"/>
      <c r="O31054" s="36" t="s">
        <v>48</v>
      </c>
      <c r="R31054" s="36" t="s">
        <v>48</v>
      </c>
    </row>
    <row r="31055">
      <c r="H31055" s="50"/>
      <c r="I31055" s="50"/>
      <c r="O31055" s="36" t="s">
        <v>48</v>
      </c>
      <c r="R31055" s="36" t="s">
        <v>48</v>
      </c>
    </row>
    <row r="31056">
      <c r="H31056" s="50"/>
      <c r="I31056" s="50"/>
      <c r="O31056" s="36" t="s">
        <v>48</v>
      </c>
      <c r="R31056" s="36" t="s">
        <v>48</v>
      </c>
    </row>
    <row r="31057">
      <c r="H31057" s="50"/>
      <c r="I31057" s="50"/>
      <c r="O31057" s="36" t="s">
        <v>48</v>
      </c>
      <c r="R31057" s="36" t="s">
        <v>48</v>
      </c>
    </row>
    <row r="31058">
      <c r="H31058" s="50"/>
      <c r="I31058" s="50"/>
      <c r="O31058" s="36" t="s">
        <v>48</v>
      </c>
      <c r="R31058" s="36" t="s">
        <v>48</v>
      </c>
    </row>
    <row r="31059">
      <c r="H31059" s="50"/>
      <c r="I31059" s="50"/>
      <c r="O31059" s="36" t="s">
        <v>48</v>
      </c>
      <c r="R31059" s="36" t="s">
        <v>48</v>
      </c>
    </row>
    <row r="31060">
      <c r="H31060" s="50"/>
      <c r="I31060" s="50"/>
      <c r="O31060" s="36" t="s">
        <v>48</v>
      </c>
      <c r="R31060" s="36" t="s">
        <v>48</v>
      </c>
    </row>
    <row r="31061">
      <c r="H31061" s="50"/>
      <c r="I31061" s="50"/>
      <c r="O31061" s="36" t="s">
        <v>48</v>
      </c>
      <c r="R31061" s="36" t="s">
        <v>48</v>
      </c>
    </row>
    <row r="31062">
      <c r="H31062" s="50"/>
      <c r="I31062" s="50"/>
      <c r="O31062" s="36" t="s">
        <v>48</v>
      </c>
      <c r="R31062" s="36" t="s">
        <v>48</v>
      </c>
    </row>
    <row r="31063">
      <c r="H31063" s="50"/>
      <c r="I31063" s="50"/>
      <c r="O31063" s="36" t="s">
        <v>48</v>
      </c>
      <c r="R31063" s="36" t="s">
        <v>48</v>
      </c>
    </row>
    <row r="31064">
      <c r="H31064" s="50"/>
      <c r="I31064" s="50"/>
      <c r="O31064" s="36" t="s">
        <v>48</v>
      </c>
      <c r="R31064" s="36" t="s">
        <v>48</v>
      </c>
    </row>
    <row r="31065">
      <c r="H31065" s="50"/>
      <c r="I31065" s="50"/>
      <c r="O31065" s="36" t="s">
        <v>48</v>
      </c>
      <c r="R31065" s="36" t="s">
        <v>48</v>
      </c>
    </row>
    <row r="31066">
      <c r="H31066" s="50"/>
      <c r="I31066" s="50"/>
      <c r="O31066" s="36" t="s">
        <v>48</v>
      </c>
      <c r="R31066" s="36" t="s">
        <v>48</v>
      </c>
    </row>
    <row r="31067">
      <c r="H31067" s="50"/>
      <c r="I31067" s="50"/>
      <c r="O31067" s="36" t="s">
        <v>48</v>
      </c>
      <c r="R31067" s="36" t="s">
        <v>48</v>
      </c>
    </row>
    <row r="31068">
      <c r="H31068" s="50"/>
      <c r="I31068" s="50"/>
      <c r="O31068" s="36" t="s">
        <v>48</v>
      </c>
      <c r="R31068" s="36" t="s">
        <v>48</v>
      </c>
    </row>
    <row r="31069">
      <c r="H31069" s="50"/>
      <c r="I31069" s="50"/>
      <c r="O31069" s="36" t="s">
        <v>48</v>
      </c>
      <c r="R31069" s="36" t="s">
        <v>48</v>
      </c>
    </row>
    <row r="31070">
      <c r="H31070" s="50"/>
      <c r="I31070" s="50"/>
      <c r="O31070" s="36" t="s">
        <v>48</v>
      </c>
      <c r="R31070" s="36" t="s">
        <v>48</v>
      </c>
    </row>
    <row r="31071">
      <c r="H31071" s="50"/>
      <c r="I31071" s="50"/>
      <c r="O31071" s="36" t="s">
        <v>48</v>
      </c>
      <c r="R31071" s="36" t="s">
        <v>48</v>
      </c>
    </row>
    <row r="31072">
      <c r="H31072" s="50"/>
      <c r="I31072" s="50"/>
      <c r="O31072" s="36" t="s">
        <v>48</v>
      </c>
      <c r="R31072" s="36" t="s">
        <v>48</v>
      </c>
    </row>
    <row r="31073">
      <c r="H31073" s="50"/>
      <c r="I31073" s="50"/>
      <c r="O31073" s="36" t="s">
        <v>48</v>
      </c>
      <c r="R31073" s="36" t="s">
        <v>48</v>
      </c>
    </row>
    <row r="31074">
      <c r="H31074" s="50"/>
      <c r="I31074" s="50"/>
      <c r="O31074" s="36" t="s">
        <v>48</v>
      </c>
      <c r="R31074" s="36" t="s">
        <v>48</v>
      </c>
    </row>
    <row r="31075">
      <c r="H31075" s="50"/>
      <c r="I31075" s="50"/>
      <c r="O31075" s="36" t="s">
        <v>48</v>
      </c>
      <c r="R31075" s="36" t="s">
        <v>48</v>
      </c>
    </row>
    <row r="31076">
      <c r="H31076" s="50"/>
      <c r="I31076" s="50"/>
      <c r="O31076" s="36" t="s">
        <v>48</v>
      </c>
      <c r="R31076" s="36" t="s">
        <v>48</v>
      </c>
    </row>
    <row r="31077">
      <c r="H31077" s="50"/>
      <c r="I31077" s="50"/>
      <c r="O31077" s="36" t="s">
        <v>48</v>
      </c>
      <c r="R31077" s="36" t="s">
        <v>48</v>
      </c>
    </row>
    <row r="31078">
      <c r="H31078" s="50"/>
      <c r="I31078" s="50"/>
      <c r="O31078" s="36" t="s">
        <v>48</v>
      </c>
      <c r="R31078" s="36" t="s">
        <v>48</v>
      </c>
    </row>
    <row r="31079">
      <c r="H31079" s="50"/>
      <c r="I31079" s="50"/>
      <c r="O31079" s="36" t="s">
        <v>48</v>
      </c>
      <c r="R31079" s="36" t="s">
        <v>48</v>
      </c>
    </row>
    <row r="31080">
      <c r="H31080" s="50"/>
      <c r="I31080" s="50"/>
      <c r="O31080" s="36" t="s">
        <v>48</v>
      </c>
      <c r="R31080" s="36" t="s">
        <v>48</v>
      </c>
    </row>
    <row r="31081">
      <c r="H31081" s="50"/>
      <c r="I31081" s="50"/>
      <c r="O31081" s="36" t="s">
        <v>48</v>
      </c>
      <c r="R31081" s="36" t="s">
        <v>48</v>
      </c>
    </row>
    <row r="31082">
      <c r="H31082" s="50"/>
      <c r="I31082" s="50"/>
      <c r="O31082" s="36" t="s">
        <v>48</v>
      </c>
      <c r="R31082" s="36" t="s">
        <v>48</v>
      </c>
    </row>
    <row r="31083">
      <c r="H31083" s="50"/>
      <c r="I31083" s="50"/>
      <c r="O31083" s="36" t="s">
        <v>48</v>
      </c>
      <c r="R31083" s="36" t="s">
        <v>48</v>
      </c>
    </row>
    <row r="31084">
      <c r="H31084" s="50"/>
      <c r="I31084" s="50"/>
      <c r="O31084" s="36" t="s">
        <v>48</v>
      </c>
      <c r="R31084" s="36" t="s">
        <v>48</v>
      </c>
    </row>
    <row r="31085">
      <c r="H31085" s="50"/>
      <c r="I31085" s="50"/>
      <c r="O31085" s="36" t="s">
        <v>48</v>
      </c>
      <c r="R31085" s="36" t="s">
        <v>48</v>
      </c>
    </row>
    <row r="31086">
      <c r="H31086" s="50"/>
      <c r="I31086" s="50"/>
      <c r="O31086" s="36" t="s">
        <v>48</v>
      </c>
      <c r="R31086" s="36" t="s">
        <v>48</v>
      </c>
    </row>
    <row r="31087">
      <c r="H31087" s="50"/>
      <c r="I31087" s="50"/>
      <c r="O31087" s="36" t="s">
        <v>48</v>
      </c>
      <c r="R31087" s="36" t="s">
        <v>48</v>
      </c>
    </row>
    <row r="31088">
      <c r="H31088" s="50"/>
      <c r="I31088" s="50"/>
      <c r="O31088" s="36" t="s">
        <v>48</v>
      </c>
      <c r="R31088" s="36" t="s">
        <v>48</v>
      </c>
    </row>
    <row r="31089">
      <c r="H31089" s="50"/>
      <c r="I31089" s="50"/>
      <c r="O31089" s="36" t="s">
        <v>48</v>
      </c>
      <c r="R31089" s="36" t="s">
        <v>48</v>
      </c>
    </row>
    <row r="31090">
      <c r="H31090" s="50"/>
      <c r="I31090" s="50"/>
      <c r="O31090" s="36" t="s">
        <v>48</v>
      </c>
      <c r="R31090" s="36" t="s">
        <v>48</v>
      </c>
    </row>
    <row r="31091">
      <c r="H31091" s="50"/>
      <c r="I31091" s="50"/>
      <c r="O31091" s="36" t="s">
        <v>48</v>
      </c>
      <c r="R31091" s="36" t="s">
        <v>48</v>
      </c>
    </row>
    <row r="31092">
      <c r="H31092" s="50"/>
      <c r="I31092" s="50"/>
      <c r="O31092" s="36" t="s">
        <v>48</v>
      </c>
      <c r="R31092" s="36" t="s">
        <v>48</v>
      </c>
    </row>
    <row r="31093">
      <c r="H31093" s="50"/>
      <c r="I31093" s="50"/>
      <c r="O31093" s="36" t="s">
        <v>48</v>
      </c>
      <c r="R31093" s="36" t="s">
        <v>48</v>
      </c>
    </row>
    <row r="31094">
      <c r="H31094" s="50"/>
      <c r="I31094" s="50"/>
      <c r="O31094" s="36" t="s">
        <v>48</v>
      </c>
      <c r="R31094" s="36" t="s">
        <v>48</v>
      </c>
    </row>
    <row r="31095">
      <c r="H31095" s="50"/>
      <c r="I31095" s="50"/>
      <c r="O31095" s="36" t="s">
        <v>48</v>
      </c>
      <c r="R31095" s="36" t="s">
        <v>48</v>
      </c>
    </row>
    <row r="31096">
      <c r="H31096" s="50"/>
      <c r="I31096" s="50"/>
      <c r="O31096" s="36" t="s">
        <v>48</v>
      </c>
      <c r="R31096" s="36" t="s">
        <v>48</v>
      </c>
    </row>
    <row r="31097">
      <c r="H31097" s="50"/>
      <c r="I31097" s="50"/>
      <c r="O31097" s="36" t="s">
        <v>48</v>
      </c>
      <c r="R31097" s="36" t="s">
        <v>48</v>
      </c>
    </row>
    <row r="31098">
      <c r="H31098" s="50"/>
      <c r="I31098" s="50"/>
      <c r="O31098" s="36" t="s">
        <v>48</v>
      </c>
      <c r="R31098" s="36" t="s">
        <v>48</v>
      </c>
    </row>
    <row r="31099">
      <c r="H31099" s="50"/>
      <c r="I31099" s="50"/>
      <c r="O31099" s="36" t="s">
        <v>48</v>
      </c>
      <c r="R31099" s="36" t="s">
        <v>48</v>
      </c>
    </row>
    <row r="31100">
      <c r="H31100" s="50"/>
      <c r="I31100" s="50"/>
      <c r="O31100" s="36" t="s">
        <v>48</v>
      </c>
      <c r="R31100" s="36" t="s">
        <v>48</v>
      </c>
    </row>
    <row r="31101">
      <c r="H31101" s="50"/>
      <c r="I31101" s="50"/>
      <c r="O31101" s="36" t="s">
        <v>48</v>
      </c>
      <c r="R31101" s="36" t="s">
        <v>48</v>
      </c>
    </row>
    <row r="31102">
      <c r="H31102" s="50"/>
      <c r="I31102" s="50"/>
      <c r="O31102" s="36" t="s">
        <v>48</v>
      </c>
      <c r="R31102" s="36" t="s">
        <v>48</v>
      </c>
    </row>
    <row r="31103">
      <c r="H31103" s="50"/>
      <c r="I31103" s="50"/>
      <c r="O31103" s="36" t="s">
        <v>48</v>
      </c>
      <c r="R31103" s="36" t="s">
        <v>48</v>
      </c>
    </row>
    <row r="31104">
      <c r="H31104" s="50"/>
      <c r="I31104" s="50"/>
      <c r="O31104" s="36" t="s">
        <v>48</v>
      </c>
      <c r="R31104" s="36" t="s">
        <v>48</v>
      </c>
    </row>
    <row r="31105">
      <c r="H31105" s="50"/>
      <c r="I31105" s="50"/>
      <c r="O31105" s="36" t="s">
        <v>48</v>
      </c>
      <c r="R31105" s="36" t="s">
        <v>48</v>
      </c>
    </row>
    <row r="31106">
      <c r="H31106" s="50"/>
      <c r="I31106" s="50"/>
      <c r="O31106" s="36" t="s">
        <v>48</v>
      </c>
      <c r="R31106" s="36" t="s">
        <v>48</v>
      </c>
    </row>
    <row r="31107">
      <c r="H31107" s="50"/>
      <c r="I31107" s="50"/>
      <c r="O31107" s="36" t="s">
        <v>48</v>
      </c>
      <c r="R31107" s="36" t="s">
        <v>48</v>
      </c>
    </row>
    <row r="31108">
      <c r="H31108" s="50"/>
      <c r="I31108" s="50"/>
      <c r="O31108" s="36" t="s">
        <v>48</v>
      </c>
      <c r="R31108" s="36" t="s">
        <v>48</v>
      </c>
    </row>
    <row r="31109">
      <c r="H31109" s="50"/>
      <c r="I31109" s="50"/>
      <c r="O31109" s="36" t="s">
        <v>48</v>
      </c>
      <c r="R31109" s="36" t="s">
        <v>48</v>
      </c>
    </row>
    <row r="31110">
      <c r="H31110" s="50"/>
      <c r="I31110" s="50"/>
      <c r="O31110" s="36" t="s">
        <v>48</v>
      </c>
      <c r="R31110" s="36" t="s">
        <v>48</v>
      </c>
    </row>
    <row r="31111">
      <c r="H31111" s="50"/>
      <c r="I31111" s="50"/>
      <c r="O31111" s="36" t="s">
        <v>48</v>
      </c>
      <c r="R31111" s="36" t="s">
        <v>48</v>
      </c>
    </row>
    <row r="31112">
      <c r="H31112" s="50"/>
      <c r="I31112" s="50"/>
      <c r="O31112" s="36" t="s">
        <v>48</v>
      </c>
      <c r="R31112" s="36" t="s">
        <v>48</v>
      </c>
    </row>
    <row r="31113">
      <c r="H31113" s="50"/>
      <c r="I31113" s="50"/>
      <c r="O31113" s="36" t="s">
        <v>48</v>
      </c>
      <c r="R31113" s="36" t="s">
        <v>48</v>
      </c>
    </row>
    <row r="31114">
      <c r="H31114" s="50"/>
      <c r="I31114" s="50"/>
      <c r="O31114" s="36" t="s">
        <v>48</v>
      </c>
      <c r="R31114" s="36" t="s">
        <v>48</v>
      </c>
    </row>
    <row r="31115">
      <c r="H31115" s="50"/>
      <c r="I31115" s="50"/>
      <c r="O31115" s="36" t="s">
        <v>48</v>
      </c>
      <c r="R31115" s="36" t="s">
        <v>48</v>
      </c>
    </row>
    <row r="31116">
      <c r="H31116" s="50"/>
      <c r="I31116" s="50"/>
      <c r="O31116" s="36" t="s">
        <v>48</v>
      </c>
      <c r="R31116" s="36" t="s">
        <v>48</v>
      </c>
    </row>
    <row r="31117">
      <c r="H31117" s="50"/>
      <c r="I31117" s="50"/>
      <c r="O31117" s="36" t="s">
        <v>48</v>
      </c>
      <c r="R31117" s="36" t="s">
        <v>48</v>
      </c>
    </row>
    <row r="31118">
      <c r="H31118" s="50"/>
      <c r="I31118" s="50"/>
      <c r="O31118" s="36" t="s">
        <v>48</v>
      </c>
      <c r="R31118" s="36" t="s">
        <v>48</v>
      </c>
    </row>
    <row r="31119">
      <c r="H31119" s="50"/>
      <c r="I31119" s="50"/>
      <c r="O31119" s="36" t="s">
        <v>48</v>
      </c>
      <c r="R31119" s="36" t="s">
        <v>48</v>
      </c>
    </row>
    <row r="31120">
      <c r="H31120" s="50"/>
      <c r="I31120" s="50"/>
      <c r="O31120" s="36" t="s">
        <v>48</v>
      </c>
      <c r="R31120" s="36" t="s">
        <v>48</v>
      </c>
    </row>
    <row r="31121">
      <c r="H31121" s="50"/>
      <c r="I31121" s="50"/>
      <c r="O31121" s="36" t="s">
        <v>48</v>
      </c>
      <c r="R31121" s="36" t="s">
        <v>48</v>
      </c>
    </row>
    <row r="31122">
      <c r="H31122" s="50"/>
      <c r="I31122" s="50"/>
      <c r="O31122" s="36" t="s">
        <v>48</v>
      </c>
      <c r="R31122" s="36" t="s">
        <v>48</v>
      </c>
    </row>
    <row r="31123">
      <c r="H31123" s="50"/>
      <c r="I31123" s="50"/>
      <c r="O31123" s="36" t="s">
        <v>48</v>
      </c>
      <c r="R31123" s="36" t="s">
        <v>48</v>
      </c>
    </row>
    <row r="31124">
      <c r="H31124" s="50"/>
      <c r="I31124" s="50"/>
      <c r="O31124" s="36" t="s">
        <v>48</v>
      </c>
      <c r="R31124" s="36" t="s">
        <v>48</v>
      </c>
    </row>
    <row r="31125">
      <c r="H31125" s="50"/>
      <c r="I31125" s="50"/>
      <c r="O31125" s="36" t="s">
        <v>48</v>
      </c>
      <c r="R31125" s="36" t="s">
        <v>48</v>
      </c>
    </row>
    <row r="31126">
      <c r="H31126" s="50"/>
      <c r="I31126" s="50"/>
      <c r="O31126" s="36" t="s">
        <v>48</v>
      </c>
      <c r="R31126" s="36" t="s">
        <v>48</v>
      </c>
    </row>
    <row r="31127">
      <c r="H31127" s="50"/>
      <c r="I31127" s="50"/>
      <c r="O31127" s="36" t="s">
        <v>48</v>
      </c>
      <c r="R31127" s="36" t="s">
        <v>48</v>
      </c>
    </row>
    <row r="31128">
      <c r="H31128" s="50"/>
      <c r="I31128" s="50"/>
      <c r="O31128" s="36" t="s">
        <v>48</v>
      </c>
      <c r="R31128" s="36" t="s">
        <v>48</v>
      </c>
    </row>
    <row r="31129">
      <c r="H31129" s="50"/>
      <c r="I31129" s="50"/>
      <c r="O31129" s="36" t="s">
        <v>48</v>
      </c>
      <c r="R31129" s="36" t="s">
        <v>48</v>
      </c>
    </row>
    <row r="31130">
      <c r="H31130" s="50"/>
      <c r="I31130" s="50"/>
      <c r="O31130" s="36" t="s">
        <v>48</v>
      </c>
      <c r="R31130" s="36" t="s">
        <v>48</v>
      </c>
    </row>
    <row r="31131">
      <c r="H31131" s="50"/>
      <c r="I31131" s="50"/>
      <c r="O31131" s="36" t="s">
        <v>48</v>
      </c>
      <c r="R31131" s="36" t="s">
        <v>48</v>
      </c>
    </row>
    <row r="31132">
      <c r="H31132" s="50"/>
      <c r="I31132" s="50"/>
      <c r="O31132" s="36" t="s">
        <v>48</v>
      </c>
      <c r="R31132" s="36" t="s">
        <v>48</v>
      </c>
    </row>
    <row r="31133">
      <c r="H31133" s="50"/>
      <c r="I31133" s="50"/>
      <c r="O31133" s="36" t="s">
        <v>48</v>
      </c>
      <c r="R31133" s="36" t="s">
        <v>48</v>
      </c>
    </row>
    <row r="31134">
      <c r="H31134" s="50"/>
      <c r="I31134" s="50"/>
      <c r="O31134" s="36" t="s">
        <v>48</v>
      </c>
      <c r="R31134" s="36" t="s">
        <v>48</v>
      </c>
    </row>
    <row r="31135">
      <c r="H31135" s="50"/>
      <c r="I31135" s="50"/>
      <c r="O31135" s="36" t="s">
        <v>48</v>
      </c>
      <c r="R31135" s="36" t="s">
        <v>48</v>
      </c>
    </row>
    <row r="31136">
      <c r="H31136" s="50"/>
      <c r="I31136" s="50"/>
      <c r="O31136" s="36" t="s">
        <v>48</v>
      </c>
      <c r="R31136" s="36" t="s">
        <v>48</v>
      </c>
    </row>
    <row r="31137">
      <c r="H31137" s="50"/>
      <c r="I31137" s="50"/>
      <c r="O31137" s="36" t="s">
        <v>48</v>
      </c>
      <c r="R31137" s="36" t="s">
        <v>48</v>
      </c>
    </row>
    <row r="31138">
      <c r="H31138" s="50"/>
      <c r="I31138" s="50"/>
      <c r="O31138" s="36" t="s">
        <v>48</v>
      </c>
      <c r="R31138" s="36" t="s">
        <v>48</v>
      </c>
    </row>
    <row r="31139">
      <c r="H31139" s="50"/>
      <c r="I31139" s="50"/>
      <c r="O31139" s="36" t="s">
        <v>48</v>
      </c>
      <c r="R31139" s="36" t="s">
        <v>48</v>
      </c>
    </row>
    <row r="31140">
      <c r="H31140" s="50"/>
      <c r="I31140" s="50"/>
      <c r="O31140" s="36" t="s">
        <v>48</v>
      </c>
      <c r="R31140" s="36" t="s">
        <v>48</v>
      </c>
    </row>
    <row r="31141">
      <c r="H31141" s="50"/>
      <c r="I31141" s="50"/>
      <c r="O31141" s="36" t="s">
        <v>48</v>
      </c>
      <c r="R31141" s="36" t="s">
        <v>48</v>
      </c>
    </row>
    <row r="31142">
      <c r="H31142" s="50"/>
      <c r="I31142" s="50"/>
      <c r="O31142" s="36" t="s">
        <v>48</v>
      </c>
      <c r="R31142" s="36" t="s">
        <v>48</v>
      </c>
    </row>
    <row r="31143">
      <c r="H31143" s="50"/>
      <c r="I31143" s="50"/>
      <c r="O31143" s="36" t="s">
        <v>48</v>
      </c>
      <c r="R31143" s="36" t="s">
        <v>48</v>
      </c>
    </row>
    <row r="31144">
      <c r="H31144" s="50"/>
      <c r="I31144" s="50"/>
      <c r="O31144" s="36" t="s">
        <v>48</v>
      </c>
      <c r="R31144" s="36" t="s">
        <v>48</v>
      </c>
    </row>
    <row r="31145">
      <c r="H31145" s="50"/>
      <c r="I31145" s="50"/>
      <c r="O31145" s="36" t="s">
        <v>48</v>
      </c>
      <c r="R31145" s="36" t="s">
        <v>48</v>
      </c>
    </row>
    <row r="31146">
      <c r="H31146" s="50"/>
      <c r="I31146" s="50"/>
      <c r="O31146" s="36" t="s">
        <v>48</v>
      </c>
      <c r="R31146" s="36" t="s">
        <v>48</v>
      </c>
    </row>
    <row r="31147">
      <c r="H31147" s="50"/>
      <c r="I31147" s="50"/>
      <c r="O31147" s="36" t="s">
        <v>48</v>
      </c>
      <c r="R31147" s="36" t="s">
        <v>48</v>
      </c>
    </row>
    <row r="31148">
      <c r="H31148" s="50"/>
      <c r="I31148" s="50"/>
      <c r="O31148" s="36" t="s">
        <v>48</v>
      </c>
      <c r="R31148" s="36" t="s">
        <v>48</v>
      </c>
    </row>
    <row r="31149">
      <c r="H31149" s="50"/>
      <c r="I31149" s="50"/>
      <c r="O31149" s="36" t="s">
        <v>48</v>
      </c>
      <c r="R31149" s="36" t="s">
        <v>48</v>
      </c>
    </row>
    <row r="31150">
      <c r="H31150" s="50"/>
      <c r="I31150" s="50"/>
      <c r="O31150" s="36" t="s">
        <v>48</v>
      </c>
      <c r="R31150" s="36" t="s">
        <v>48</v>
      </c>
    </row>
    <row r="31151">
      <c r="H31151" s="50"/>
      <c r="I31151" s="50"/>
      <c r="O31151" s="36" t="s">
        <v>48</v>
      </c>
      <c r="R31151" s="36" t="s">
        <v>48</v>
      </c>
    </row>
    <row r="31152">
      <c r="H31152" s="50"/>
      <c r="I31152" s="50"/>
      <c r="O31152" s="36" t="s">
        <v>48</v>
      </c>
      <c r="R31152" s="36" t="s">
        <v>48</v>
      </c>
    </row>
    <row r="31153">
      <c r="H31153" s="50"/>
      <c r="I31153" s="50"/>
      <c r="O31153" s="36" t="s">
        <v>48</v>
      </c>
      <c r="R31153" s="36" t="s">
        <v>48</v>
      </c>
    </row>
    <row r="31154">
      <c r="H31154" s="50"/>
      <c r="I31154" s="50"/>
      <c r="O31154" s="36" t="s">
        <v>48</v>
      </c>
      <c r="R31154" s="36" t="s">
        <v>48</v>
      </c>
    </row>
    <row r="31155">
      <c r="H31155" s="50"/>
      <c r="I31155" s="50"/>
      <c r="O31155" s="36" t="s">
        <v>48</v>
      </c>
      <c r="R31155" s="36" t="s">
        <v>48</v>
      </c>
    </row>
    <row r="31156">
      <c r="H31156" s="50"/>
      <c r="I31156" s="50"/>
      <c r="O31156" s="36" t="s">
        <v>48</v>
      </c>
      <c r="R31156" s="36" t="s">
        <v>48</v>
      </c>
    </row>
    <row r="31157">
      <c r="H31157" s="50"/>
      <c r="I31157" s="50"/>
      <c r="O31157" s="36" t="s">
        <v>48</v>
      </c>
      <c r="R31157" s="36" t="s">
        <v>48</v>
      </c>
    </row>
    <row r="31158">
      <c r="H31158" s="50"/>
      <c r="I31158" s="50"/>
      <c r="O31158" s="36" t="s">
        <v>48</v>
      </c>
      <c r="R31158" s="36" t="s">
        <v>48</v>
      </c>
    </row>
    <row r="31159">
      <c r="H31159" s="50"/>
      <c r="I31159" s="50"/>
      <c r="O31159" s="36" t="s">
        <v>48</v>
      </c>
      <c r="R31159" s="36" t="s">
        <v>48</v>
      </c>
    </row>
    <row r="31160">
      <c r="H31160" s="50"/>
      <c r="I31160" s="50"/>
      <c r="O31160" s="36" t="s">
        <v>48</v>
      </c>
      <c r="R31160" s="36" t="s">
        <v>48</v>
      </c>
    </row>
    <row r="31161">
      <c r="H31161" s="50"/>
      <c r="I31161" s="50"/>
      <c r="O31161" s="36" t="s">
        <v>48</v>
      </c>
      <c r="R31161" s="36" t="s">
        <v>48</v>
      </c>
    </row>
    <row r="31162">
      <c r="H31162" s="50"/>
      <c r="I31162" s="50"/>
      <c r="O31162" s="36" t="s">
        <v>48</v>
      </c>
      <c r="R31162" s="36" t="s">
        <v>48</v>
      </c>
    </row>
    <row r="31163">
      <c r="H31163" s="50"/>
      <c r="I31163" s="50"/>
      <c r="O31163" s="36" t="s">
        <v>48</v>
      </c>
      <c r="R31163" s="36" t="s">
        <v>48</v>
      </c>
    </row>
    <row r="31164">
      <c r="H31164" s="50"/>
      <c r="I31164" s="50"/>
      <c r="O31164" s="36" t="s">
        <v>48</v>
      </c>
      <c r="R31164" s="36" t="s">
        <v>48</v>
      </c>
    </row>
    <row r="31165">
      <c r="H31165" s="50"/>
      <c r="I31165" s="50"/>
      <c r="O31165" s="36" t="s">
        <v>48</v>
      </c>
      <c r="R31165" s="36" t="s">
        <v>48</v>
      </c>
    </row>
    <row r="31166">
      <c r="H31166" s="50"/>
      <c r="I31166" s="50"/>
      <c r="O31166" s="36" t="s">
        <v>48</v>
      </c>
      <c r="R31166" s="36" t="s">
        <v>48</v>
      </c>
    </row>
    <row r="31167">
      <c r="H31167" s="50"/>
      <c r="I31167" s="50"/>
      <c r="O31167" s="36" t="s">
        <v>48</v>
      </c>
      <c r="R31167" s="36" t="s">
        <v>48</v>
      </c>
    </row>
    <row r="31168">
      <c r="H31168" s="50"/>
      <c r="I31168" s="50"/>
      <c r="O31168" s="36" t="s">
        <v>48</v>
      </c>
      <c r="R31168" s="36" t="s">
        <v>48</v>
      </c>
    </row>
    <row r="31169">
      <c r="H31169" s="50"/>
      <c r="I31169" s="50"/>
      <c r="O31169" s="36" t="s">
        <v>48</v>
      </c>
      <c r="R31169" s="36" t="s">
        <v>48</v>
      </c>
    </row>
    <row r="31170">
      <c r="H31170" s="50"/>
      <c r="I31170" s="50"/>
      <c r="O31170" s="36" t="s">
        <v>48</v>
      </c>
      <c r="R31170" s="36" t="s">
        <v>48</v>
      </c>
    </row>
    <row r="31171">
      <c r="H31171" s="50"/>
      <c r="I31171" s="50"/>
      <c r="O31171" s="36" t="s">
        <v>48</v>
      </c>
      <c r="R31171" s="36" t="s">
        <v>48</v>
      </c>
    </row>
    <row r="31172">
      <c r="H31172" s="50"/>
      <c r="I31172" s="50"/>
      <c r="O31172" s="36" t="s">
        <v>48</v>
      </c>
      <c r="R31172" s="36" t="s">
        <v>48</v>
      </c>
    </row>
    <row r="31173">
      <c r="H31173" s="50"/>
      <c r="I31173" s="50"/>
      <c r="O31173" s="36" t="s">
        <v>48</v>
      </c>
      <c r="R31173" s="36" t="s">
        <v>48</v>
      </c>
    </row>
    <row r="31174">
      <c r="H31174" s="50"/>
      <c r="I31174" s="50"/>
      <c r="O31174" s="36" t="s">
        <v>48</v>
      </c>
      <c r="R31174" s="36" t="s">
        <v>48</v>
      </c>
    </row>
    <row r="31175">
      <c r="H31175" s="50"/>
      <c r="I31175" s="50"/>
      <c r="O31175" s="36" t="s">
        <v>48</v>
      </c>
      <c r="R31175" s="36" t="s">
        <v>48</v>
      </c>
    </row>
    <row r="31176">
      <c r="H31176" s="50"/>
      <c r="I31176" s="50"/>
      <c r="O31176" s="36" t="s">
        <v>48</v>
      </c>
      <c r="R31176" s="36" t="s">
        <v>48</v>
      </c>
    </row>
    <row r="31177">
      <c r="H31177" s="50"/>
      <c r="I31177" s="50"/>
      <c r="O31177" s="36" t="s">
        <v>48</v>
      </c>
      <c r="R31177" s="36" t="s">
        <v>48</v>
      </c>
    </row>
    <row r="31178">
      <c r="H31178" s="50"/>
      <c r="I31178" s="50"/>
      <c r="O31178" s="36" t="s">
        <v>48</v>
      </c>
      <c r="R31178" s="36" t="s">
        <v>48</v>
      </c>
    </row>
    <row r="31179">
      <c r="H31179" s="50"/>
      <c r="I31179" s="50"/>
      <c r="O31179" s="36" t="s">
        <v>48</v>
      </c>
      <c r="R31179" s="36" t="s">
        <v>48</v>
      </c>
    </row>
    <row r="31180">
      <c r="H31180" s="50"/>
      <c r="I31180" s="50"/>
      <c r="O31180" s="36" t="s">
        <v>48</v>
      </c>
      <c r="R31180" s="36" t="s">
        <v>48</v>
      </c>
    </row>
    <row r="31181">
      <c r="H31181" s="50"/>
      <c r="I31181" s="50"/>
      <c r="O31181" s="36" t="s">
        <v>48</v>
      </c>
      <c r="R31181" s="36" t="s">
        <v>48</v>
      </c>
    </row>
    <row r="31182">
      <c r="H31182" s="50"/>
      <c r="I31182" s="50"/>
      <c r="O31182" s="36" t="s">
        <v>48</v>
      </c>
      <c r="R31182" s="36" t="s">
        <v>48</v>
      </c>
    </row>
    <row r="31183">
      <c r="H31183" s="50"/>
      <c r="I31183" s="50"/>
      <c r="O31183" s="36" t="s">
        <v>48</v>
      </c>
      <c r="R31183" s="36" t="s">
        <v>48</v>
      </c>
    </row>
    <row r="31184">
      <c r="H31184" s="50"/>
      <c r="I31184" s="50"/>
      <c r="O31184" s="36" t="s">
        <v>48</v>
      </c>
      <c r="R31184" s="36" t="s">
        <v>48</v>
      </c>
    </row>
    <row r="31185">
      <c r="H31185" s="50"/>
      <c r="I31185" s="50"/>
      <c r="O31185" s="36" t="s">
        <v>48</v>
      </c>
      <c r="R31185" s="36" t="s">
        <v>48</v>
      </c>
    </row>
    <row r="31186">
      <c r="H31186" s="50"/>
      <c r="I31186" s="50"/>
      <c r="O31186" s="36" t="s">
        <v>48</v>
      </c>
      <c r="R31186" s="36" t="s">
        <v>48</v>
      </c>
    </row>
    <row r="31187">
      <c r="H31187" s="50"/>
      <c r="I31187" s="50"/>
      <c r="O31187" s="36" t="s">
        <v>48</v>
      </c>
      <c r="R31187" s="36" t="s">
        <v>48</v>
      </c>
    </row>
    <row r="31188">
      <c r="H31188" s="50"/>
      <c r="I31188" s="50"/>
      <c r="O31188" s="36" t="s">
        <v>48</v>
      </c>
      <c r="R31188" s="36" t="s">
        <v>48</v>
      </c>
    </row>
    <row r="31189">
      <c r="H31189" s="50"/>
      <c r="I31189" s="50"/>
      <c r="O31189" s="36" t="s">
        <v>48</v>
      </c>
      <c r="R31189" s="36" t="s">
        <v>48</v>
      </c>
    </row>
    <row r="31190">
      <c r="H31190" s="50"/>
      <c r="I31190" s="50"/>
      <c r="O31190" s="36" t="s">
        <v>48</v>
      </c>
      <c r="R31190" s="36" t="s">
        <v>48</v>
      </c>
    </row>
    <row r="31191">
      <c r="H31191" s="50"/>
      <c r="I31191" s="50"/>
      <c r="O31191" s="36" t="s">
        <v>48</v>
      </c>
      <c r="R31191" s="36" t="s">
        <v>48</v>
      </c>
    </row>
    <row r="31192">
      <c r="H31192" s="50"/>
      <c r="I31192" s="50"/>
      <c r="O31192" s="36" t="s">
        <v>48</v>
      </c>
      <c r="R31192" s="36" t="s">
        <v>48</v>
      </c>
    </row>
    <row r="31193">
      <c r="H31193" s="50"/>
      <c r="I31193" s="50"/>
      <c r="O31193" s="36" t="s">
        <v>48</v>
      </c>
      <c r="R31193" s="36" t="s">
        <v>48</v>
      </c>
    </row>
    <row r="31194">
      <c r="H31194" s="50"/>
      <c r="I31194" s="50"/>
      <c r="O31194" s="36" t="s">
        <v>48</v>
      </c>
      <c r="R31194" s="36" t="s">
        <v>48</v>
      </c>
    </row>
    <row r="31195">
      <c r="H31195" s="50"/>
      <c r="I31195" s="50"/>
      <c r="O31195" s="36" t="s">
        <v>48</v>
      </c>
      <c r="R31195" s="36" t="s">
        <v>48</v>
      </c>
    </row>
    <row r="31196">
      <c r="H31196" s="50"/>
      <c r="I31196" s="50"/>
      <c r="O31196" s="36" t="s">
        <v>48</v>
      </c>
      <c r="R31196" s="36" t="s">
        <v>48</v>
      </c>
    </row>
    <row r="31197">
      <c r="H31197" s="50"/>
      <c r="I31197" s="50"/>
      <c r="O31197" s="36" t="s">
        <v>48</v>
      </c>
      <c r="R31197" s="36" t="s">
        <v>48</v>
      </c>
    </row>
    <row r="31198">
      <c r="H31198" s="50"/>
      <c r="I31198" s="50"/>
      <c r="O31198" s="36" t="s">
        <v>48</v>
      </c>
      <c r="R31198" s="36" t="s">
        <v>48</v>
      </c>
    </row>
    <row r="31199">
      <c r="H31199" s="50"/>
      <c r="I31199" s="50"/>
      <c r="O31199" s="36" t="s">
        <v>48</v>
      </c>
      <c r="R31199" s="36" t="s">
        <v>48</v>
      </c>
    </row>
    <row r="31200">
      <c r="H31200" s="50"/>
      <c r="I31200" s="50"/>
      <c r="O31200" s="36" t="s">
        <v>48</v>
      </c>
      <c r="R31200" s="36" t="s">
        <v>48</v>
      </c>
    </row>
    <row r="31201">
      <c r="H31201" s="50"/>
      <c r="I31201" s="50"/>
      <c r="O31201" s="36" t="s">
        <v>48</v>
      </c>
      <c r="R31201" s="36" t="s">
        <v>48</v>
      </c>
    </row>
    <row r="31202">
      <c r="H31202" s="50"/>
      <c r="I31202" s="50"/>
      <c r="O31202" s="36" t="s">
        <v>48</v>
      </c>
      <c r="R31202" s="36" t="s">
        <v>48</v>
      </c>
    </row>
    <row r="31203">
      <c r="H31203" s="50"/>
      <c r="I31203" s="50"/>
      <c r="O31203" s="36" t="s">
        <v>48</v>
      </c>
      <c r="R31203" s="36" t="s">
        <v>48</v>
      </c>
    </row>
    <row r="31204">
      <c r="H31204" s="50"/>
      <c r="I31204" s="50"/>
      <c r="O31204" s="36" t="s">
        <v>48</v>
      </c>
      <c r="R31204" s="36" t="s">
        <v>48</v>
      </c>
    </row>
    <row r="31205">
      <c r="H31205" s="50"/>
      <c r="I31205" s="50"/>
      <c r="O31205" s="36" t="s">
        <v>48</v>
      </c>
      <c r="R31205" s="36" t="s">
        <v>48</v>
      </c>
    </row>
    <row r="31206">
      <c r="H31206" s="50"/>
      <c r="I31206" s="50"/>
      <c r="O31206" s="36" t="s">
        <v>48</v>
      </c>
      <c r="R31206" s="36" t="s">
        <v>48</v>
      </c>
    </row>
    <row r="31207">
      <c r="H31207" s="50"/>
      <c r="I31207" s="50"/>
      <c r="O31207" s="36" t="s">
        <v>48</v>
      </c>
      <c r="R31207" s="36" t="s">
        <v>48</v>
      </c>
    </row>
    <row r="31208">
      <c r="H31208" s="50"/>
      <c r="I31208" s="50"/>
      <c r="O31208" s="36" t="s">
        <v>48</v>
      </c>
      <c r="R31208" s="36" t="s">
        <v>48</v>
      </c>
    </row>
    <row r="31209">
      <c r="H31209" s="50"/>
      <c r="I31209" s="50"/>
      <c r="O31209" s="36" t="s">
        <v>48</v>
      </c>
      <c r="R31209" s="36" t="s">
        <v>48</v>
      </c>
    </row>
    <row r="31210">
      <c r="H31210" s="50"/>
      <c r="I31210" s="50"/>
      <c r="O31210" s="36" t="s">
        <v>48</v>
      </c>
      <c r="R31210" s="36" t="s">
        <v>48</v>
      </c>
    </row>
    <row r="31211">
      <c r="H31211" s="50"/>
      <c r="I31211" s="50"/>
      <c r="O31211" s="36" t="s">
        <v>48</v>
      </c>
      <c r="R31211" s="36" t="s">
        <v>48</v>
      </c>
    </row>
    <row r="31212">
      <c r="H31212" s="50"/>
      <c r="I31212" s="50"/>
      <c r="O31212" s="36" t="s">
        <v>48</v>
      </c>
      <c r="R31212" s="36" t="s">
        <v>48</v>
      </c>
    </row>
    <row r="31213">
      <c r="H31213" s="50"/>
      <c r="I31213" s="50"/>
      <c r="O31213" s="36" t="s">
        <v>48</v>
      </c>
      <c r="R31213" s="36" t="s">
        <v>48</v>
      </c>
    </row>
    <row r="31214">
      <c r="H31214" s="50"/>
      <c r="I31214" s="50"/>
      <c r="O31214" s="36" t="s">
        <v>48</v>
      </c>
      <c r="R31214" s="36" t="s">
        <v>48</v>
      </c>
    </row>
    <row r="31215">
      <c r="H31215" s="50"/>
      <c r="I31215" s="50"/>
      <c r="O31215" s="36" t="s">
        <v>48</v>
      </c>
      <c r="R31215" s="36" t="s">
        <v>48</v>
      </c>
    </row>
    <row r="31216">
      <c r="H31216" s="50"/>
      <c r="I31216" s="50"/>
      <c r="O31216" s="36" t="s">
        <v>48</v>
      </c>
      <c r="R31216" s="36" t="s">
        <v>48</v>
      </c>
    </row>
    <row r="31217">
      <c r="H31217" s="50"/>
      <c r="I31217" s="50"/>
      <c r="O31217" s="36" t="s">
        <v>48</v>
      </c>
      <c r="R31217" s="36" t="s">
        <v>48</v>
      </c>
    </row>
    <row r="31218">
      <c r="H31218" s="50"/>
      <c r="I31218" s="50"/>
      <c r="O31218" s="36" t="s">
        <v>48</v>
      </c>
      <c r="R31218" s="36" t="s">
        <v>48</v>
      </c>
    </row>
    <row r="31219">
      <c r="H31219" s="50"/>
      <c r="I31219" s="50"/>
      <c r="O31219" s="36" t="s">
        <v>48</v>
      </c>
      <c r="R31219" s="36" t="s">
        <v>48</v>
      </c>
    </row>
    <row r="31220">
      <c r="H31220" s="50"/>
      <c r="I31220" s="50"/>
      <c r="O31220" s="36" t="s">
        <v>48</v>
      </c>
      <c r="R31220" s="36" t="s">
        <v>48</v>
      </c>
    </row>
    <row r="31221">
      <c r="H31221" s="50"/>
      <c r="I31221" s="50"/>
      <c r="O31221" s="36" t="s">
        <v>48</v>
      </c>
      <c r="R31221" s="36" t="s">
        <v>48</v>
      </c>
    </row>
    <row r="31222">
      <c r="H31222" s="50"/>
      <c r="I31222" s="50"/>
      <c r="O31222" s="36" t="s">
        <v>48</v>
      </c>
      <c r="R31222" s="36" t="s">
        <v>48</v>
      </c>
    </row>
    <row r="31223">
      <c r="H31223" s="50"/>
      <c r="I31223" s="50"/>
      <c r="O31223" s="36" t="s">
        <v>48</v>
      </c>
      <c r="R31223" s="36" t="s">
        <v>48</v>
      </c>
    </row>
    <row r="31224">
      <c r="H31224" s="50"/>
      <c r="I31224" s="50"/>
      <c r="O31224" s="36" t="s">
        <v>48</v>
      </c>
      <c r="R31224" s="36" t="s">
        <v>48</v>
      </c>
    </row>
    <row r="31225">
      <c r="H31225" s="50"/>
      <c r="I31225" s="50"/>
      <c r="O31225" s="36" t="s">
        <v>48</v>
      </c>
      <c r="R31225" s="36" t="s">
        <v>48</v>
      </c>
    </row>
    <row r="31226">
      <c r="H31226" s="50"/>
      <c r="I31226" s="50"/>
      <c r="O31226" s="36" t="s">
        <v>48</v>
      </c>
      <c r="R31226" s="36" t="s">
        <v>48</v>
      </c>
    </row>
    <row r="31227">
      <c r="H31227" s="50"/>
      <c r="I31227" s="50"/>
      <c r="O31227" s="36" t="s">
        <v>48</v>
      </c>
      <c r="R31227" s="36" t="s">
        <v>48</v>
      </c>
    </row>
    <row r="31228">
      <c r="H31228" s="50"/>
      <c r="I31228" s="50"/>
      <c r="O31228" s="36" t="s">
        <v>48</v>
      </c>
      <c r="R31228" s="36" t="s">
        <v>48</v>
      </c>
    </row>
    <row r="31229">
      <c r="H31229" s="50"/>
      <c r="I31229" s="50"/>
      <c r="O31229" s="36" t="s">
        <v>48</v>
      </c>
      <c r="R31229" s="36" t="s">
        <v>48</v>
      </c>
    </row>
    <row r="31230">
      <c r="H31230" s="50"/>
      <c r="I31230" s="50"/>
      <c r="O31230" s="36" t="s">
        <v>48</v>
      </c>
      <c r="R31230" s="36" t="s">
        <v>48</v>
      </c>
    </row>
    <row r="31231">
      <c r="H31231" s="50"/>
      <c r="I31231" s="50"/>
      <c r="O31231" s="36" t="s">
        <v>48</v>
      </c>
      <c r="R31231" s="36" t="s">
        <v>48</v>
      </c>
    </row>
    <row r="31232">
      <c r="H31232" s="50"/>
      <c r="I31232" s="50"/>
      <c r="O31232" s="36" t="s">
        <v>48</v>
      </c>
      <c r="R31232" s="36" t="s">
        <v>48</v>
      </c>
    </row>
    <row r="31233">
      <c r="H31233" s="50"/>
      <c r="I31233" s="50"/>
      <c r="O31233" s="36" t="s">
        <v>48</v>
      </c>
      <c r="R31233" s="36" t="s">
        <v>48</v>
      </c>
    </row>
    <row r="31234">
      <c r="H31234" s="50"/>
      <c r="I31234" s="50"/>
      <c r="O31234" s="36" t="s">
        <v>48</v>
      </c>
      <c r="R31234" s="36" t="s">
        <v>48</v>
      </c>
    </row>
    <row r="31235">
      <c r="H31235" s="50"/>
      <c r="I31235" s="50"/>
      <c r="O31235" s="36" t="s">
        <v>48</v>
      </c>
      <c r="R31235" s="36" t="s">
        <v>48</v>
      </c>
    </row>
    <row r="31236">
      <c r="H31236" s="50"/>
      <c r="I31236" s="50"/>
      <c r="O31236" s="36" t="s">
        <v>48</v>
      </c>
      <c r="R31236" s="36" t="s">
        <v>48</v>
      </c>
    </row>
    <row r="31237">
      <c r="H31237" s="50"/>
      <c r="I31237" s="50"/>
      <c r="O31237" s="36" t="s">
        <v>48</v>
      </c>
      <c r="R31237" s="36" t="s">
        <v>48</v>
      </c>
    </row>
    <row r="31238">
      <c r="H31238" s="50"/>
      <c r="I31238" s="50"/>
      <c r="O31238" s="36" t="s">
        <v>48</v>
      </c>
      <c r="R31238" s="36" t="s">
        <v>48</v>
      </c>
    </row>
    <row r="31239">
      <c r="H31239" s="50"/>
      <c r="I31239" s="50"/>
      <c r="O31239" s="36" t="s">
        <v>48</v>
      </c>
      <c r="R31239" s="36" t="s">
        <v>48</v>
      </c>
    </row>
    <row r="31240">
      <c r="H31240" s="50"/>
      <c r="I31240" s="50"/>
      <c r="O31240" s="36" t="s">
        <v>48</v>
      </c>
      <c r="R31240" s="36" t="s">
        <v>48</v>
      </c>
    </row>
    <row r="31241">
      <c r="H31241" s="50"/>
      <c r="I31241" s="50"/>
      <c r="O31241" s="36" t="s">
        <v>48</v>
      </c>
      <c r="R31241" s="36" t="s">
        <v>48</v>
      </c>
    </row>
    <row r="31242">
      <c r="H31242" s="50"/>
      <c r="I31242" s="50"/>
      <c r="O31242" s="36" t="s">
        <v>48</v>
      </c>
      <c r="R31242" s="36" t="s">
        <v>48</v>
      </c>
    </row>
    <row r="31243">
      <c r="H31243" s="50"/>
      <c r="I31243" s="50"/>
      <c r="O31243" s="36" t="s">
        <v>48</v>
      </c>
      <c r="R31243" s="36" t="s">
        <v>48</v>
      </c>
    </row>
    <row r="31244">
      <c r="H31244" s="50"/>
      <c r="I31244" s="50"/>
      <c r="O31244" s="36" t="s">
        <v>48</v>
      </c>
      <c r="R31244" s="36" t="s">
        <v>48</v>
      </c>
    </row>
    <row r="31245">
      <c r="H31245" s="50"/>
      <c r="I31245" s="50"/>
      <c r="O31245" s="36" t="s">
        <v>48</v>
      </c>
      <c r="R31245" s="36" t="s">
        <v>48</v>
      </c>
    </row>
    <row r="31246">
      <c r="H31246" s="50"/>
      <c r="I31246" s="50"/>
      <c r="O31246" s="36" t="s">
        <v>48</v>
      </c>
      <c r="R31246" s="36" t="s">
        <v>48</v>
      </c>
    </row>
    <row r="31247">
      <c r="H31247" s="50"/>
      <c r="I31247" s="50"/>
      <c r="O31247" s="36" t="s">
        <v>48</v>
      </c>
      <c r="R31247" s="36" t="s">
        <v>48</v>
      </c>
    </row>
    <row r="31248">
      <c r="H31248" s="50"/>
      <c r="I31248" s="50"/>
      <c r="O31248" s="36" t="s">
        <v>48</v>
      </c>
      <c r="R31248" s="36" t="s">
        <v>48</v>
      </c>
    </row>
    <row r="31249">
      <c r="H31249" s="50"/>
      <c r="I31249" s="50"/>
      <c r="O31249" s="36" t="s">
        <v>48</v>
      </c>
      <c r="R31249" s="36" t="s">
        <v>48</v>
      </c>
    </row>
    <row r="31250">
      <c r="H31250" s="50"/>
      <c r="I31250" s="50"/>
      <c r="O31250" s="36" t="s">
        <v>48</v>
      </c>
      <c r="R31250" s="36" t="s">
        <v>48</v>
      </c>
    </row>
    <row r="31251">
      <c r="H31251" s="50"/>
      <c r="I31251" s="50"/>
      <c r="O31251" s="36" t="s">
        <v>48</v>
      </c>
      <c r="R31251" s="36" t="s">
        <v>48</v>
      </c>
    </row>
    <row r="31252">
      <c r="H31252" s="50"/>
      <c r="I31252" s="50"/>
      <c r="O31252" s="36" t="s">
        <v>48</v>
      </c>
      <c r="R31252" s="36" t="s">
        <v>48</v>
      </c>
    </row>
    <row r="31253">
      <c r="H31253" s="50"/>
      <c r="I31253" s="50"/>
      <c r="O31253" s="36" t="s">
        <v>48</v>
      </c>
      <c r="R31253" s="36" t="s">
        <v>48</v>
      </c>
    </row>
    <row r="31254">
      <c r="H31254" s="50"/>
      <c r="I31254" s="50"/>
      <c r="O31254" s="36" t="s">
        <v>48</v>
      </c>
      <c r="R31254" s="36" t="s">
        <v>48</v>
      </c>
    </row>
    <row r="31255">
      <c r="H31255" s="50"/>
      <c r="I31255" s="50"/>
      <c r="O31255" s="36" t="s">
        <v>48</v>
      </c>
      <c r="R31255" s="36" t="s">
        <v>48</v>
      </c>
    </row>
    <row r="31256">
      <c r="H31256" s="50"/>
      <c r="I31256" s="50"/>
      <c r="O31256" s="36" t="s">
        <v>48</v>
      </c>
      <c r="R31256" s="36" t="s">
        <v>48</v>
      </c>
    </row>
    <row r="31257">
      <c r="H31257" s="50"/>
      <c r="I31257" s="50"/>
      <c r="O31257" s="36" t="s">
        <v>48</v>
      </c>
      <c r="R31257" s="36" t="s">
        <v>48</v>
      </c>
    </row>
    <row r="31258">
      <c r="H31258" s="50"/>
      <c r="I31258" s="50"/>
      <c r="O31258" s="36" t="s">
        <v>48</v>
      </c>
      <c r="R31258" s="36" t="s">
        <v>48</v>
      </c>
    </row>
    <row r="31259">
      <c r="H31259" s="50"/>
      <c r="I31259" s="50"/>
      <c r="O31259" s="36" t="s">
        <v>48</v>
      </c>
      <c r="R31259" s="36" t="s">
        <v>48</v>
      </c>
    </row>
    <row r="31260">
      <c r="H31260" s="50"/>
      <c r="I31260" s="50"/>
      <c r="O31260" s="36" t="s">
        <v>48</v>
      </c>
      <c r="R31260" s="36" t="s">
        <v>48</v>
      </c>
    </row>
    <row r="31261">
      <c r="H31261" s="50"/>
      <c r="I31261" s="50"/>
      <c r="O31261" s="36" t="s">
        <v>48</v>
      </c>
      <c r="R31261" s="36" t="s">
        <v>48</v>
      </c>
    </row>
    <row r="31262">
      <c r="H31262" s="50"/>
      <c r="I31262" s="50"/>
      <c r="O31262" s="36" t="s">
        <v>48</v>
      </c>
      <c r="R31262" s="36" t="s">
        <v>48</v>
      </c>
    </row>
    <row r="31263">
      <c r="H31263" s="50"/>
      <c r="I31263" s="50"/>
      <c r="O31263" s="36" t="s">
        <v>48</v>
      </c>
      <c r="R31263" s="36" t="s">
        <v>48</v>
      </c>
    </row>
    <row r="31264">
      <c r="H31264" s="50"/>
      <c r="I31264" s="50"/>
      <c r="O31264" s="36" t="s">
        <v>48</v>
      </c>
      <c r="R31264" s="36" t="s">
        <v>48</v>
      </c>
    </row>
    <row r="31265">
      <c r="H31265" s="50"/>
      <c r="I31265" s="50"/>
      <c r="O31265" s="36" t="s">
        <v>48</v>
      </c>
      <c r="R31265" s="36" t="s">
        <v>48</v>
      </c>
    </row>
    <row r="31266">
      <c r="H31266" s="50"/>
      <c r="I31266" s="50"/>
      <c r="O31266" s="36" t="s">
        <v>48</v>
      </c>
      <c r="R31266" s="36" t="s">
        <v>48</v>
      </c>
    </row>
    <row r="31267">
      <c r="H31267" s="50"/>
      <c r="I31267" s="50"/>
      <c r="O31267" s="36" t="s">
        <v>48</v>
      </c>
      <c r="R31267" s="36" t="s">
        <v>48</v>
      </c>
    </row>
    <row r="31268">
      <c r="H31268" s="50"/>
      <c r="I31268" s="50"/>
      <c r="O31268" s="36" t="s">
        <v>48</v>
      </c>
      <c r="R31268" s="36" t="s">
        <v>48</v>
      </c>
    </row>
    <row r="31269">
      <c r="H31269" s="50"/>
      <c r="I31269" s="50"/>
      <c r="O31269" s="36" t="s">
        <v>48</v>
      </c>
      <c r="R31269" s="36" t="s">
        <v>48</v>
      </c>
    </row>
    <row r="31270">
      <c r="H31270" s="50"/>
      <c r="I31270" s="50"/>
      <c r="O31270" s="36" t="s">
        <v>48</v>
      </c>
      <c r="R31270" s="36" t="s">
        <v>48</v>
      </c>
    </row>
    <row r="31271">
      <c r="H31271" s="50"/>
      <c r="I31271" s="50"/>
      <c r="O31271" s="36" t="s">
        <v>48</v>
      </c>
      <c r="R31271" s="36" t="s">
        <v>48</v>
      </c>
    </row>
    <row r="31272">
      <c r="H31272" s="50"/>
      <c r="I31272" s="50"/>
      <c r="O31272" s="36" t="s">
        <v>48</v>
      </c>
      <c r="R31272" s="36" t="s">
        <v>48</v>
      </c>
    </row>
    <row r="31273">
      <c r="H31273" s="50"/>
      <c r="I31273" s="50"/>
      <c r="O31273" s="36" t="s">
        <v>48</v>
      </c>
      <c r="R31273" s="36" t="s">
        <v>48</v>
      </c>
    </row>
    <row r="31274">
      <c r="H31274" s="50"/>
      <c r="I31274" s="50"/>
      <c r="O31274" s="36" t="s">
        <v>48</v>
      </c>
      <c r="R31274" s="36" t="s">
        <v>48</v>
      </c>
    </row>
    <row r="31275">
      <c r="H31275" s="50"/>
      <c r="I31275" s="50"/>
      <c r="O31275" s="36" t="s">
        <v>48</v>
      </c>
      <c r="R31275" s="36" t="s">
        <v>48</v>
      </c>
    </row>
    <row r="31276">
      <c r="H31276" s="50"/>
      <c r="I31276" s="50"/>
      <c r="O31276" s="36" t="s">
        <v>48</v>
      </c>
      <c r="R31276" s="36" t="s">
        <v>48</v>
      </c>
    </row>
    <row r="31277">
      <c r="H31277" s="50"/>
      <c r="I31277" s="50"/>
      <c r="O31277" s="36" t="s">
        <v>48</v>
      </c>
      <c r="R31277" s="36" t="s">
        <v>48</v>
      </c>
    </row>
    <row r="31278">
      <c r="H31278" s="50"/>
      <c r="I31278" s="50"/>
      <c r="O31278" s="36" t="s">
        <v>48</v>
      </c>
      <c r="R31278" s="36" t="s">
        <v>48</v>
      </c>
    </row>
    <row r="31279">
      <c r="H31279" s="50"/>
      <c r="I31279" s="50"/>
      <c r="O31279" s="36" t="s">
        <v>48</v>
      </c>
      <c r="R31279" s="36" t="s">
        <v>48</v>
      </c>
    </row>
    <row r="31280">
      <c r="H31280" s="50"/>
      <c r="I31280" s="50"/>
      <c r="O31280" s="36" t="s">
        <v>48</v>
      </c>
      <c r="R31280" s="36" t="s">
        <v>48</v>
      </c>
    </row>
    <row r="31281">
      <c r="H31281" s="50"/>
      <c r="I31281" s="50"/>
      <c r="O31281" s="36" t="s">
        <v>48</v>
      </c>
      <c r="R31281" s="36" t="s">
        <v>48</v>
      </c>
    </row>
    <row r="31282">
      <c r="H31282" s="50"/>
      <c r="I31282" s="50"/>
      <c r="O31282" s="36" t="s">
        <v>48</v>
      </c>
      <c r="R31282" s="36" t="s">
        <v>48</v>
      </c>
    </row>
    <row r="31283">
      <c r="H31283" s="50"/>
      <c r="I31283" s="50"/>
      <c r="O31283" s="36" t="s">
        <v>48</v>
      </c>
      <c r="R31283" s="36" t="s">
        <v>48</v>
      </c>
    </row>
    <row r="31284">
      <c r="H31284" s="50"/>
      <c r="I31284" s="50"/>
      <c r="O31284" s="36" t="s">
        <v>48</v>
      </c>
      <c r="R31284" s="36" t="s">
        <v>48</v>
      </c>
    </row>
    <row r="31285">
      <c r="H31285" s="50"/>
      <c r="I31285" s="50"/>
      <c r="O31285" s="36" t="s">
        <v>48</v>
      </c>
      <c r="R31285" s="36" t="s">
        <v>48</v>
      </c>
    </row>
    <row r="31286">
      <c r="H31286" s="50"/>
      <c r="I31286" s="50"/>
      <c r="O31286" s="36" t="s">
        <v>48</v>
      </c>
      <c r="R31286" s="36" t="s">
        <v>48</v>
      </c>
    </row>
    <row r="31287">
      <c r="H31287" s="50"/>
      <c r="I31287" s="50"/>
      <c r="O31287" s="36" t="s">
        <v>48</v>
      </c>
      <c r="R31287" s="36" t="s">
        <v>48</v>
      </c>
    </row>
    <row r="31288">
      <c r="H31288" s="50"/>
      <c r="I31288" s="50"/>
      <c r="O31288" s="36" t="s">
        <v>48</v>
      </c>
      <c r="R31288" s="36" t="s">
        <v>48</v>
      </c>
    </row>
    <row r="31289">
      <c r="H31289" s="50"/>
      <c r="I31289" s="50"/>
      <c r="O31289" s="36" t="s">
        <v>48</v>
      </c>
      <c r="R31289" s="36" t="s">
        <v>48</v>
      </c>
    </row>
    <row r="31290">
      <c r="H31290" s="50"/>
      <c r="I31290" s="50"/>
      <c r="O31290" s="36" t="s">
        <v>48</v>
      </c>
      <c r="R31290" s="36" t="s">
        <v>48</v>
      </c>
    </row>
    <row r="31291">
      <c r="H31291" s="50"/>
      <c r="I31291" s="50"/>
      <c r="O31291" s="36" t="s">
        <v>48</v>
      </c>
      <c r="R31291" s="36" t="s">
        <v>48</v>
      </c>
    </row>
    <row r="31292">
      <c r="H31292" s="50"/>
      <c r="I31292" s="50"/>
      <c r="O31292" s="36" t="s">
        <v>48</v>
      </c>
      <c r="R31292" s="36" t="s">
        <v>48</v>
      </c>
    </row>
    <row r="31293">
      <c r="H31293" s="50"/>
      <c r="I31293" s="50"/>
      <c r="O31293" s="36" t="s">
        <v>48</v>
      </c>
      <c r="R31293" s="36" t="s">
        <v>48</v>
      </c>
    </row>
    <row r="31294">
      <c r="H31294" s="50"/>
      <c r="I31294" s="50"/>
      <c r="O31294" s="36" t="s">
        <v>48</v>
      </c>
      <c r="R31294" s="36" t="s">
        <v>48</v>
      </c>
    </row>
    <row r="31295">
      <c r="H31295" s="50"/>
      <c r="I31295" s="50"/>
      <c r="O31295" s="36" t="s">
        <v>48</v>
      </c>
      <c r="R31295" s="36" t="s">
        <v>48</v>
      </c>
    </row>
    <row r="31296">
      <c r="H31296" s="50"/>
      <c r="I31296" s="50"/>
      <c r="O31296" s="36" t="s">
        <v>48</v>
      </c>
      <c r="R31296" s="36" t="s">
        <v>48</v>
      </c>
    </row>
    <row r="31297">
      <c r="H31297" s="50"/>
      <c r="I31297" s="50"/>
      <c r="O31297" s="36" t="s">
        <v>48</v>
      </c>
      <c r="R31297" s="36" t="s">
        <v>48</v>
      </c>
    </row>
    <row r="31298">
      <c r="H31298" s="50"/>
      <c r="I31298" s="50"/>
      <c r="O31298" s="36" t="s">
        <v>48</v>
      </c>
      <c r="R31298" s="36" t="s">
        <v>48</v>
      </c>
    </row>
    <row r="31299">
      <c r="H31299" s="50"/>
      <c r="I31299" s="50"/>
      <c r="O31299" s="36" t="s">
        <v>48</v>
      </c>
      <c r="R31299" s="36" t="s">
        <v>48</v>
      </c>
    </row>
    <row r="31300">
      <c r="H31300" s="50"/>
      <c r="I31300" s="50"/>
      <c r="O31300" s="36" t="s">
        <v>48</v>
      </c>
      <c r="R31300" s="36" t="s">
        <v>48</v>
      </c>
    </row>
    <row r="31301">
      <c r="H31301" s="50"/>
      <c r="I31301" s="50"/>
      <c r="O31301" s="36" t="s">
        <v>48</v>
      </c>
      <c r="R31301" s="36" t="s">
        <v>48</v>
      </c>
    </row>
    <row r="31302">
      <c r="H31302" s="50"/>
      <c r="I31302" s="50"/>
      <c r="O31302" s="36" t="s">
        <v>48</v>
      </c>
      <c r="R31302" s="36" t="s">
        <v>48</v>
      </c>
    </row>
    <row r="31303">
      <c r="H31303" s="50"/>
      <c r="I31303" s="50"/>
      <c r="O31303" s="36" t="s">
        <v>48</v>
      </c>
      <c r="R31303" s="36" t="s">
        <v>48</v>
      </c>
    </row>
    <row r="31304">
      <c r="H31304" s="50"/>
      <c r="I31304" s="50"/>
      <c r="O31304" s="36" t="s">
        <v>48</v>
      </c>
      <c r="R31304" s="36" t="s">
        <v>48</v>
      </c>
    </row>
    <row r="31305">
      <c r="H31305" s="50"/>
      <c r="I31305" s="50"/>
      <c r="O31305" s="36" t="s">
        <v>48</v>
      </c>
      <c r="R31305" s="36" t="s">
        <v>48</v>
      </c>
    </row>
    <row r="31306">
      <c r="H31306" s="50"/>
      <c r="I31306" s="50"/>
      <c r="O31306" s="36" t="s">
        <v>48</v>
      </c>
      <c r="R31306" s="36" t="s">
        <v>48</v>
      </c>
    </row>
    <row r="31307">
      <c r="H31307" s="50"/>
      <c r="I31307" s="50"/>
      <c r="O31307" s="36" t="s">
        <v>48</v>
      </c>
      <c r="R31307" s="36" t="s">
        <v>48</v>
      </c>
    </row>
    <row r="31308">
      <c r="H31308" s="50"/>
      <c r="I31308" s="50"/>
      <c r="O31308" s="36" t="s">
        <v>48</v>
      </c>
      <c r="R31308" s="36" t="s">
        <v>48</v>
      </c>
    </row>
    <row r="31309">
      <c r="H31309" s="50"/>
      <c r="I31309" s="50"/>
      <c r="O31309" s="36" t="s">
        <v>48</v>
      </c>
      <c r="R31309" s="36" t="s">
        <v>48</v>
      </c>
    </row>
    <row r="31310">
      <c r="H31310" s="50"/>
      <c r="I31310" s="50"/>
      <c r="O31310" s="36" t="s">
        <v>48</v>
      </c>
      <c r="R31310" s="36" t="s">
        <v>48</v>
      </c>
    </row>
    <row r="31311">
      <c r="H31311" s="50"/>
      <c r="I31311" s="50"/>
      <c r="O31311" s="36" t="s">
        <v>48</v>
      </c>
      <c r="R31311" s="36" t="s">
        <v>48</v>
      </c>
    </row>
    <row r="31312">
      <c r="H31312" s="50"/>
      <c r="I31312" s="50"/>
      <c r="O31312" s="36" t="s">
        <v>48</v>
      </c>
      <c r="R31312" s="36" t="s">
        <v>48</v>
      </c>
    </row>
    <row r="31313">
      <c r="H31313" s="50"/>
      <c r="I31313" s="50"/>
      <c r="O31313" s="36" t="s">
        <v>48</v>
      </c>
      <c r="R31313" s="36" t="s">
        <v>48</v>
      </c>
    </row>
    <row r="31314">
      <c r="H31314" s="50"/>
      <c r="I31314" s="50"/>
      <c r="O31314" s="36" t="s">
        <v>48</v>
      </c>
      <c r="R31314" s="36" t="s">
        <v>48</v>
      </c>
    </row>
    <row r="31315">
      <c r="H31315" s="50"/>
      <c r="I31315" s="50"/>
      <c r="O31315" s="36" t="s">
        <v>48</v>
      </c>
      <c r="R31315" s="36" t="s">
        <v>48</v>
      </c>
    </row>
    <row r="31316">
      <c r="H31316" s="50"/>
      <c r="I31316" s="50"/>
      <c r="O31316" s="36" t="s">
        <v>48</v>
      </c>
      <c r="R31316" s="36" t="s">
        <v>48</v>
      </c>
    </row>
    <row r="31317">
      <c r="H31317" s="50"/>
      <c r="I31317" s="50"/>
      <c r="O31317" s="36" t="s">
        <v>48</v>
      </c>
      <c r="R31317" s="36" t="s">
        <v>48</v>
      </c>
    </row>
    <row r="31318">
      <c r="H31318" s="50"/>
      <c r="I31318" s="50"/>
      <c r="O31318" s="36" t="s">
        <v>48</v>
      </c>
      <c r="R31318" s="36" t="s">
        <v>48</v>
      </c>
    </row>
    <row r="31319">
      <c r="H31319" s="50"/>
      <c r="I31319" s="50"/>
      <c r="O31319" s="36" t="s">
        <v>48</v>
      </c>
      <c r="R31319" s="36" t="s">
        <v>48</v>
      </c>
    </row>
    <row r="31320">
      <c r="H31320" s="50"/>
      <c r="I31320" s="50"/>
      <c r="O31320" s="36" t="s">
        <v>48</v>
      </c>
      <c r="R31320" s="36" t="s">
        <v>48</v>
      </c>
    </row>
    <row r="31321">
      <c r="H31321" s="50"/>
      <c r="I31321" s="50"/>
      <c r="O31321" s="36" t="s">
        <v>48</v>
      </c>
      <c r="R31321" s="36" t="s">
        <v>48</v>
      </c>
    </row>
    <row r="31322">
      <c r="H31322" s="50"/>
      <c r="I31322" s="50"/>
      <c r="O31322" s="36" t="s">
        <v>48</v>
      </c>
      <c r="R31322" s="36" t="s">
        <v>48</v>
      </c>
    </row>
    <row r="31323">
      <c r="H31323" s="50"/>
      <c r="I31323" s="50"/>
      <c r="O31323" s="36" t="s">
        <v>48</v>
      </c>
      <c r="R31323" s="36" t="s">
        <v>48</v>
      </c>
    </row>
    <row r="31324">
      <c r="H31324" s="50"/>
      <c r="I31324" s="50"/>
      <c r="O31324" s="36" t="s">
        <v>48</v>
      </c>
      <c r="R31324" s="36" t="s">
        <v>48</v>
      </c>
    </row>
    <row r="31325">
      <c r="H31325" s="50"/>
      <c r="I31325" s="50"/>
      <c r="O31325" s="36" t="s">
        <v>48</v>
      </c>
      <c r="R31325" s="36" t="s">
        <v>48</v>
      </c>
    </row>
    <row r="31326">
      <c r="H31326" s="50"/>
      <c r="I31326" s="50"/>
      <c r="O31326" s="36" t="s">
        <v>48</v>
      </c>
      <c r="R31326" s="36" t="s">
        <v>48</v>
      </c>
    </row>
    <row r="31327">
      <c r="H31327" s="50"/>
      <c r="I31327" s="50"/>
      <c r="O31327" s="36" t="s">
        <v>48</v>
      </c>
      <c r="R31327" s="36" t="s">
        <v>48</v>
      </c>
    </row>
    <row r="31328">
      <c r="H31328" s="50"/>
      <c r="I31328" s="50"/>
      <c r="O31328" s="36" t="s">
        <v>48</v>
      </c>
      <c r="R31328" s="36" t="s">
        <v>48</v>
      </c>
    </row>
    <row r="31329">
      <c r="H31329" s="50"/>
      <c r="I31329" s="50"/>
      <c r="O31329" s="36" t="s">
        <v>48</v>
      </c>
      <c r="R31329" s="36" t="s">
        <v>48</v>
      </c>
    </row>
    <row r="31330">
      <c r="H31330" s="50"/>
      <c r="I31330" s="50"/>
      <c r="O31330" s="36" t="s">
        <v>48</v>
      </c>
      <c r="R31330" s="36" t="s">
        <v>48</v>
      </c>
    </row>
    <row r="31331">
      <c r="H31331" s="50"/>
      <c r="I31331" s="50"/>
      <c r="O31331" s="36" t="s">
        <v>48</v>
      </c>
      <c r="R31331" s="36" t="s">
        <v>48</v>
      </c>
    </row>
    <row r="31332">
      <c r="H31332" s="50"/>
      <c r="I31332" s="50"/>
      <c r="O31332" s="36" t="s">
        <v>48</v>
      </c>
      <c r="R31332" s="36" t="s">
        <v>48</v>
      </c>
    </row>
    <row r="31333">
      <c r="H31333" s="50"/>
      <c r="I31333" s="50"/>
      <c r="O31333" s="36" t="s">
        <v>48</v>
      </c>
      <c r="R31333" s="36" t="s">
        <v>48</v>
      </c>
    </row>
    <row r="31334">
      <c r="H31334" s="50"/>
      <c r="I31334" s="50"/>
      <c r="O31334" s="36" t="s">
        <v>48</v>
      </c>
      <c r="R31334" s="36" t="s">
        <v>48</v>
      </c>
    </row>
    <row r="31335">
      <c r="H31335" s="50"/>
      <c r="I31335" s="50"/>
      <c r="O31335" s="36" t="s">
        <v>48</v>
      </c>
      <c r="R31335" s="36" t="s">
        <v>48</v>
      </c>
    </row>
    <row r="31336">
      <c r="H31336" s="50"/>
      <c r="I31336" s="50"/>
      <c r="O31336" s="36" t="s">
        <v>48</v>
      </c>
      <c r="R31336" s="36" t="s">
        <v>48</v>
      </c>
    </row>
    <row r="31337">
      <c r="H31337" s="50"/>
      <c r="I31337" s="50"/>
      <c r="O31337" s="36" t="s">
        <v>48</v>
      </c>
      <c r="R31337" s="36" t="s">
        <v>48</v>
      </c>
    </row>
    <row r="31338">
      <c r="H31338" s="50"/>
      <c r="I31338" s="50"/>
      <c r="O31338" s="36" t="s">
        <v>48</v>
      </c>
      <c r="R31338" s="36" t="s">
        <v>48</v>
      </c>
    </row>
    <row r="31339">
      <c r="H31339" s="50"/>
      <c r="I31339" s="50"/>
      <c r="O31339" s="36" t="s">
        <v>48</v>
      </c>
      <c r="R31339" s="36" t="s">
        <v>48</v>
      </c>
    </row>
    <row r="31340">
      <c r="H31340" s="50"/>
      <c r="I31340" s="50"/>
      <c r="O31340" s="36" t="s">
        <v>48</v>
      </c>
      <c r="R31340" s="36" t="s">
        <v>48</v>
      </c>
    </row>
    <row r="31341">
      <c r="H31341" s="50"/>
      <c r="I31341" s="50"/>
      <c r="O31341" s="36" t="s">
        <v>48</v>
      </c>
      <c r="R31341" s="36" t="s">
        <v>48</v>
      </c>
    </row>
    <row r="31342">
      <c r="H31342" s="50"/>
      <c r="I31342" s="50"/>
      <c r="O31342" s="36" t="s">
        <v>48</v>
      </c>
      <c r="R31342" s="36" t="s">
        <v>48</v>
      </c>
    </row>
    <row r="31343">
      <c r="H31343" s="50"/>
      <c r="I31343" s="50"/>
      <c r="O31343" s="36" t="s">
        <v>48</v>
      </c>
      <c r="R31343" s="36" t="s">
        <v>48</v>
      </c>
    </row>
    <row r="31344">
      <c r="H31344" s="50"/>
      <c r="I31344" s="50"/>
      <c r="O31344" s="36" t="s">
        <v>48</v>
      </c>
      <c r="R31344" s="36" t="s">
        <v>48</v>
      </c>
    </row>
    <row r="31345">
      <c r="H31345" s="50"/>
      <c r="I31345" s="50"/>
      <c r="O31345" s="36" t="s">
        <v>48</v>
      </c>
      <c r="R31345" s="36" t="s">
        <v>48</v>
      </c>
    </row>
    <row r="31346">
      <c r="H31346" s="50"/>
      <c r="I31346" s="50"/>
      <c r="O31346" s="36" t="s">
        <v>48</v>
      </c>
      <c r="R31346" s="36" t="s">
        <v>48</v>
      </c>
    </row>
    <row r="31347">
      <c r="H31347" s="50"/>
      <c r="I31347" s="50"/>
      <c r="O31347" s="36" t="s">
        <v>48</v>
      </c>
      <c r="R31347" s="36" t="s">
        <v>48</v>
      </c>
    </row>
    <row r="31348">
      <c r="H31348" s="50"/>
      <c r="I31348" s="50"/>
      <c r="O31348" s="36" t="s">
        <v>48</v>
      </c>
      <c r="R31348" s="36" t="s">
        <v>48</v>
      </c>
    </row>
    <row r="31349">
      <c r="H31349" s="50"/>
      <c r="I31349" s="50"/>
      <c r="O31349" s="36" t="s">
        <v>48</v>
      </c>
      <c r="R31349" s="36" t="s">
        <v>48</v>
      </c>
    </row>
    <row r="31350">
      <c r="H31350" s="50"/>
      <c r="I31350" s="50"/>
      <c r="O31350" s="36" t="s">
        <v>48</v>
      </c>
      <c r="R31350" s="36" t="s">
        <v>48</v>
      </c>
    </row>
    <row r="31351">
      <c r="H31351" s="50"/>
      <c r="I31351" s="50"/>
      <c r="O31351" s="36" t="s">
        <v>48</v>
      </c>
      <c r="R31351" s="36" t="s">
        <v>48</v>
      </c>
    </row>
    <row r="31352">
      <c r="H31352" s="50"/>
      <c r="I31352" s="50"/>
      <c r="O31352" s="36" t="s">
        <v>48</v>
      </c>
      <c r="R31352" s="36" t="s">
        <v>48</v>
      </c>
    </row>
    <row r="31353">
      <c r="H31353" s="50"/>
      <c r="I31353" s="50"/>
      <c r="O31353" s="36" t="s">
        <v>48</v>
      </c>
      <c r="R31353" s="36" t="s">
        <v>48</v>
      </c>
    </row>
    <row r="31354">
      <c r="H31354" s="50"/>
      <c r="I31354" s="50"/>
      <c r="O31354" s="36" t="s">
        <v>48</v>
      </c>
      <c r="R31354" s="36" t="s">
        <v>48</v>
      </c>
    </row>
    <row r="31355">
      <c r="H31355" s="50"/>
      <c r="I31355" s="50"/>
      <c r="O31355" s="36" t="s">
        <v>48</v>
      </c>
      <c r="R31355" s="36" t="s">
        <v>48</v>
      </c>
    </row>
    <row r="31356">
      <c r="H31356" s="50"/>
      <c r="I31356" s="50"/>
      <c r="O31356" s="36" t="s">
        <v>48</v>
      </c>
      <c r="R31356" s="36" t="s">
        <v>48</v>
      </c>
    </row>
    <row r="31357">
      <c r="H31357" s="50"/>
      <c r="I31357" s="50"/>
      <c r="O31357" s="36" t="s">
        <v>48</v>
      </c>
      <c r="R31357" s="36" t="s">
        <v>48</v>
      </c>
    </row>
    <row r="31358">
      <c r="H31358" s="50"/>
      <c r="I31358" s="50"/>
      <c r="O31358" s="36" t="s">
        <v>48</v>
      </c>
      <c r="R31358" s="36" t="s">
        <v>48</v>
      </c>
    </row>
    <row r="31359">
      <c r="H31359" s="50"/>
      <c r="I31359" s="50"/>
      <c r="O31359" s="36" t="s">
        <v>48</v>
      </c>
      <c r="R31359" s="36" t="s">
        <v>48</v>
      </c>
    </row>
    <row r="31360">
      <c r="H31360" s="50"/>
      <c r="I31360" s="50"/>
      <c r="O31360" s="36" t="s">
        <v>48</v>
      </c>
      <c r="R31360" s="36" t="s">
        <v>48</v>
      </c>
    </row>
    <row r="31361">
      <c r="H31361" s="50"/>
      <c r="I31361" s="50"/>
      <c r="O31361" s="36" t="s">
        <v>48</v>
      </c>
      <c r="R31361" s="36" t="s">
        <v>48</v>
      </c>
    </row>
    <row r="31362">
      <c r="H31362" s="50"/>
      <c r="I31362" s="50"/>
      <c r="O31362" s="36" t="s">
        <v>48</v>
      </c>
      <c r="R31362" s="36" t="s">
        <v>48</v>
      </c>
    </row>
    <row r="31363">
      <c r="H31363" s="50"/>
      <c r="I31363" s="50"/>
      <c r="O31363" s="36" t="s">
        <v>48</v>
      </c>
      <c r="R31363" s="36" t="s">
        <v>48</v>
      </c>
    </row>
    <row r="31364">
      <c r="H31364" s="50"/>
      <c r="I31364" s="50"/>
      <c r="O31364" s="36" t="s">
        <v>48</v>
      </c>
      <c r="R31364" s="36" t="s">
        <v>48</v>
      </c>
    </row>
    <row r="31365">
      <c r="H31365" s="50"/>
      <c r="I31365" s="50"/>
      <c r="O31365" s="36" t="s">
        <v>48</v>
      </c>
      <c r="R31365" s="36" t="s">
        <v>48</v>
      </c>
    </row>
    <row r="31366">
      <c r="H31366" s="50"/>
      <c r="I31366" s="50"/>
      <c r="O31366" s="36" t="s">
        <v>48</v>
      </c>
      <c r="R31366" s="36" t="s">
        <v>48</v>
      </c>
    </row>
    <row r="31367">
      <c r="H31367" s="50"/>
      <c r="I31367" s="50"/>
      <c r="O31367" s="36" t="s">
        <v>48</v>
      </c>
      <c r="R31367" s="36" t="s">
        <v>48</v>
      </c>
    </row>
    <row r="31368">
      <c r="H31368" s="50"/>
      <c r="I31368" s="50"/>
      <c r="O31368" s="36" t="s">
        <v>48</v>
      </c>
      <c r="R31368" s="36" t="s">
        <v>48</v>
      </c>
    </row>
    <row r="31369">
      <c r="H31369" s="50"/>
      <c r="I31369" s="50"/>
      <c r="O31369" s="36" t="s">
        <v>48</v>
      </c>
      <c r="R31369" s="36" t="s">
        <v>48</v>
      </c>
    </row>
    <row r="31370">
      <c r="H31370" s="50"/>
      <c r="I31370" s="50"/>
      <c r="O31370" s="36" t="s">
        <v>48</v>
      </c>
      <c r="R31370" s="36" t="s">
        <v>48</v>
      </c>
    </row>
    <row r="31371">
      <c r="H31371" s="50"/>
      <c r="I31371" s="50"/>
      <c r="O31371" s="36" t="s">
        <v>48</v>
      </c>
      <c r="R31371" s="36" t="s">
        <v>48</v>
      </c>
    </row>
    <row r="31372">
      <c r="H31372" s="50"/>
      <c r="I31372" s="50"/>
      <c r="O31372" s="36" t="s">
        <v>48</v>
      </c>
      <c r="R31372" s="36" t="s">
        <v>48</v>
      </c>
    </row>
    <row r="31373">
      <c r="H31373" s="50"/>
      <c r="I31373" s="50"/>
      <c r="O31373" s="36" t="s">
        <v>48</v>
      </c>
      <c r="R31373" s="36" t="s">
        <v>48</v>
      </c>
    </row>
    <row r="31374">
      <c r="H31374" s="50"/>
      <c r="I31374" s="50"/>
      <c r="O31374" s="36" t="s">
        <v>48</v>
      </c>
      <c r="R31374" s="36" t="s">
        <v>48</v>
      </c>
    </row>
    <row r="31375">
      <c r="H31375" s="50"/>
      <c r="I31375" s="50"/>
      <c r="O31375" s="36" t="s">
        <v>48</v>
      </c>
      <c r="R31375" s="36" t="s">
        <v>48</v>
      </c>
    </row>
    <row r="31376">
      <c r="H31376" s="50"/>
      <c r="I31376" s="50"/>
      <c r="O31376" s="36" t="s">
        <v>48</v>
      </c>
      <c r="R31376" s="36" t="s">
        <v>48</v>
      </c>
    </row>
    <row r="31377">
      <c r="H31377" s="50"/>
      <c r="I31377" s="50"/>
      <c r="O31377" s="36" t="s">
        <v>48</v>
      </c>
      <c r="R31377" s="36" t="s">
        <v>48</v>
      </c>
    </row>
    <row r="31378">
      <c r="H31378" s="50"/>
      <c r="I31378" s="50"/>
      <c r="O31378" s="36" t="s">
        <v>48</v>
      </c>
      <c r="R31378" s="36" t="s">
        <v>48</v>
      </c>
    </row>
    <row r="31379">
      <c r="H31379" s="50"/>
      <c r="I31379" s="50"/>
      <c r="O31379" s="36" t="s">
        <v>48</v>
      </c>
      <c r="R31379" s="36" t="s">
        <v>48</v>
      </c>
    </row>
    <row r="31380">
      <c r="H31380" s="50"/>
      <c r="I31380" s="50"/>
      <c r="O31380" s="36" t="s">
        <v>48</v>
      </c>
      <c r="R31380" s="36" t="s">
        <v>48</v>
      </c>
    </row>
    <row r="31381">
      <c r="H31381" s="50"/>
      <c r="I31381" s="50"/>
      <c r="O31381" s="36" t="s">
        <v>48</v>
      </c>
      <c r="R31381" s="36" t="s">
        <v>48</v>
      </c>
    </row>
    <row r="31382">
      <c r="H31382" s="50"/>
      <c r="I31382" s="50"/>
      <c r="O31382" s="36" t="s">
        <v>48</v>
      </c>
      <c r="R31382" s="36" t="s">
        <v>48</v>
      </c>
    </row>
    <row r="31383">
      <c r="H31383" s="50"/>
      <c r="I31383" s="50"/>
      <c r="O31383" s="36" t="s">
        <v>48</v>
      </c>
      <c r="R31383" s="36" t="s">
        <v>48</v>
      </c>
    </row>
    <row r="31384">
      <c r="H31384" s="50"/>
      <c r="I31384" s="50"/>
      <c r="O31384" s="36" t="s">
        <v>48</v>
      </c>
      <c r="R31384" s="36" t="s">
        <v>48</v>
      </c>
    </row>
    <row r="31385">
      <c r="H31385" s="50"/>
      <c r="I31385" s="50"/>
      <c r="O31385" s="36" t="s">
        <v>48</v>
      </c>
      <c r="R31385" s="36" t="s">
        <v>48</v>
      </c>
    </row>
    <row r="31386">
      <c r="H31386" s="50"/>
      <c r="I31386" s="50"/>
      <c r="O31386" s="36" t="s">
        <v>48</v>
      </c>
      <c r="R31386" s="36" t="s">
        <v>48</v>
      </c>
    </row>
    <row r="31387">
      <c r="H31387" s="50"/>
      <c r="I31387" s="50"/>
      <c r="O31387" s="36" t="s">
        <v>48</v>
      </c>
      <c r="R31387" s="36" t="s">
        <v>48</v>
      </c>
    </row>
    <row r="31388">
      <c r="H31388" s="50"/>
      <c r="I31388" s="50"/>
      <c r="O31388" s="36" t="s">
        <v>48</v>
      </c>
      <c r="R31388" s="36" t="s">
        <v>48</v>
      </c>
    </row>
    <row r="31389">
      <c r="H31389" s="50"/>
      <c r="I31389" s="50"/>
      <c r="O31389" s="36" t="s">
        <v>48</v>
      </c>
      <c r="R31389" s="36" t="s">
        <v>48</v>
      </c>
    </row>
    <row r="31390">
      <c r="H31390" s="50"/>
      <c r="I31390" s="50"/>
      <c r="O31390" s="36" t="s">
        <v>48</v>
      </c>
      <c r="R31390" s="36" t="s">
        <v>48</v>
      </c>
    </row>
    <row r="31391">
      <c r="H31391" s="50"/>
      <c r="I31391" s="50"/>
      <c r="O31391" s="36" t="s">
        <v>48</v>
      </c>
      <c r="R31391" s="36" t="s">
        <v>48</v>
      </c>
    </row>
    <row r="31392">
      <c r="H31392" s="50"/>
      <c r="I31392" s="50"/>
      <c r="O31392" s="36" t="s">
        <v>48</v>
      </c>
      <c r="R31392" s="36" t="s">
        <v>48</v>
      </c>
    </row>
    <row r="31393">
      <c r="H31393" s="50"/>
      <c r="I31393" s="50"/>
      <c r="O31393" s="36" t="s">
        <v>48</v>
      </c>
      <c r="R31393" s="36" t="s">
        <v>48</v>
      </c>
    </row>
    <row r="31394">
      <c r="H31394" s="50"/>
      <c r="I31394" s="50"/>
      <c r="O31394" s="36" t="s">
        <v>48</v>
      </c>
      <c r="R31394" s="36" t="s">
        <v>48</v>
      </c>
    </row>
    <row r="31395">
      <c r="H31395" s="50"/>
      <c r="I31395" s="50"/>
      <c r="O31395" s="36" t="s">
        <v>48</v>
      </c>
      <c r="R31395" s="36" t="s">
        <v>48</v>
      </c>
    </row>
    <row r="31396">
      <c r="H31396" s="50"/>
      <c r="I31396" s="50"/>
      <c r="O31396" s="36" t="s">
        <v>48</v>
      </c>
      <c r="R31396" s="36" t="s">
        <v>48</v>
      </c>
    </row>
    <row r="31397">
      <c r="H31397" s="50"/>
      <c r="I31397" s="50"/>
      <c r="O31397" s="36" t="s">
        <v>48</v>
      </c>
      <c r="R31397" s="36" t="s">
        <v>48</v>
      </c>
    </row>
    <row r="31398">
      <c r="H31398" s="50"/>
      <c r="I31398" s="50"/>
      <c r="O31398" s="36" t="s">
        <v>48</v>
      </c>
      <c r="R31398" s="36" t="s">
        <v>48</v>
      </c>
    </row>
    <row r="31399">
      <c r="H31399" s="50"/>
      <c r="I31399" s="50"/>
      <c r="O31399" s="36" t="s">
        <v>48</v>
      </c>
      <c r="R31399" s="36" t="s">
        <v>48</v>
      </c>
    </row>
    <row r="31400">
      <c r="H31400" s="50"/>
      <c r="I31400" s="50"/>
      <c r="O31400" s="36" t="s">
        <v>48</v>
      </c>
      <c r="R31400" s="36" t="s">
        <v>48</v>
      </c>
    </row>
    <row r="31401">
      <c r="H31401" s="50"/>
      <c r="I31401" s="50"/>
      <c r="O31401" s="36" t="s">
        <v>48</v>
      </c>
      <c r="R31401" s="36" t="s">
        <v>48</v>
      </c>
    </row>
    <row r="31402">
      <c r="H31402" s="50"/>
      <c r="I31402" s="50"/>
      <c r="O31402" s="36" t="s">
        <v>48</v>
      </c>
      <c r="R31402" s="36" t="s">
        <v>48</v>
      </c>
    </row>
    <row r="31403">
      <c r="H31403" s="50"/>
      <c r="I31403" s="50"/>
      <c r="O31403" s="36" t="s">
        <v>48</v>
      </c>
      <c r="R31403" s="36" t="s">
        <v>48</v>
      </c>
    </row>
    <row r="31404">
      <c r="H31404" s="50"/>
      <c r="I31404" s="50"/>
      <c r="O31404" s="36" t="s">
        <v>48</v>
      </c>
      <c r="R31404" s="36" t="s">
        <v>48</v>
      </c>
    </row>
    <row r="31405">
      <c r="H31405" s="50"/>
      <c r="I31405" s="50"/>
      <c r="O31405" s="36" t="s">
        <v>48</v>
      </c>
      <c r="R31405" s="36" t="s">
        <v>48</v>
      </c>
    </row>
    <row r="31406">
      <c r="H31406" s="50"/>
      <c r="I31406" s="50"/>
      <c r="O31406" s="36" t="s">
        <v>48</v>
      </c>
      <c r="R31406" s="36" t="s">
        <v>48</v>
      </c>
    </row>
    <row r="31407">
      <c r="H31407" s="50"/>
      <c r="I31407" s="50"/>
      <c r="O31407" s="36" t="s">
        <v>48</v>
      </c>
      <c r="R31407" s="36" t="s">
        <v>48</v>
      </c>
    </row>
    <row r="31408">
      <c r="H31408" s="50"/>
      <c r="I31408" s="50"/>
      <c r="O31408" s="36" t="s">
        <v>48</v>
      </c>
      <c r="R31408" s="36" t="s">
        <v>48</v>
      </c>
    </row>
    <row r="31409">
      <c r="H31409" s="50"/>
      <c r="I31409" s="50"/>
      <c r="O31409" s="36" t="s">
        <v>48</v>
      </c>
      <c r="R31409" s="36" t="s">
        <v>48</v>
      </c>
    </row>
    <row r="31410">
      <c r="H31410" s="50"/>
      <c r="I31410" s="50"/>
      <c r="O31410" s="36" t="s">
        <v>48</v>
      </c>
      <c r="R31410" s="36" t="s">
        <v>48</v>
      </c>
    </row>
    <row r="31411">
      <c r="H31411" s="50"/>
      <c r="I31411" s="50"/>
      <c r="O31411" s="36" t="s">
        <v>48</v>
      </c>
      <c r="R31411" s="36" t="s">
        <v>48</v>
      </c>
    </row>
    <row r="31412">
      <c r="H31412" s="50"/>
      <c r="I31412" s="50"/>
      <c r="O31412" s="36" t="s">
        <v>48</v>
      </c>
      <c r="R31412" s="36" t="s">
        <v>48</v>
      </c>
    </row>
    <row r="31413">
      <c r="H31413" s="50"/>
      <c r="I31413" s="50"/>
      <c r="O31413" s="36" t="s">
        <v>48</v>
      </c>
      <c r="R31413" s="36" t="s">
        <v>48</v>
      </c>
    </row>
    <row r="31414">
      <c r="H31414" s="50"/>
      <c r="I31414" s="50"/>
      <c r="O31414" s="36" t="s">
        <v>48</v>
      </c>
      <c r="R31414" s="36" t="s">
        <v>48</v>
      </c>
    </row>
    <row r="31415">
      <c r="H31415" s="50"/>
      <c r="I31415" s="50"/>
      <c r="O31415" s="36" t="s">
        <v>48</v>
      </c>
      <c r="R31415" s="36" t="s">
        <v>48</v>
      </c>
    </row>
    <row r="31416">
      <c r="H31416" s="50"/>
      <c r="I31416" s="50"/>
      <c r="O31416" s="36" t="s">
        <v>48</v>
      </c>
      <c r="R31416" s="36" t="s">
        <v>48</v>
      </c>
    </row>
    <row r="31417">
      <c r="H31417" s="50"/>
      <c r="I31417" s="50"/>
      <c r="O31417" s="36" t="s">
        <v>48</v>
      </c>
      <c r="R31417" s="36" t="s">
        <v>48</v>
      </c>
    </row>
    <row r="31418">
      <c r="H31418" s="50"/>
      <c r="I31418" s="50"/>
      <c r="O31418" s="36" t="s">
        <v>48</v>
      </c>
      <c r="R31418" s="36" t="s">
        <v>48</v>
      </c>
    </row>
    <row r="31419">
      <c r="H31419" s="50"/>
      <c r="I31419" s="50"/>
      <c r="O31419" s="36" t="s">
        <v>48</v>
      </c>
      <c r="R31419" s="36" t="s">
        <v>48</v>
      </c>
    </row>
    <row r="31420">
      <c r="H31420" s="50"/>
      <c r="I31420" s="50"/>
      <c r="O31420" s="36" t="s">
        <v>48</v>
      </c>
      <c r="R31420" s="36" t="s">
        <v>48</v>
      </c>
    </row>
    <row r="31421">
      <c r="H31421" s="50"/>
      <c r="I31421" s="50"/>
      <c r="O31421" s="36" t="s">
        <v>48</v>
      </c>
      <c r="R31421" s="36" t="s">
        <v>48</v>
      </c>
    </row>
    <row r="31422">
      <c r="H31422" s="50"/>
      <c r="I31422" s="50"/>
      <c r="O31422" s="36" t="s">
        <v>48</v>
      </c>
      <c r="R31422" s="36" t="s">
        <v>48</v>
      </c>
    </row>
    <row r="31423">
      <c r="H31423" s="50"/>
      <c r="I31423" s="50"/>
      <c r="O31423" s="36" t="s">
        <v>48</v>
      </c>
      <c r="R31423" s="36" t="s">
        <v>48</v>
      </c>
    </row>
    <row r="31424">
      <c r="H31424" s="50"/>
      <c r="I31424" s="50"/>
      <c r="O31424" s="36" t="s">
        <v>48</v>
      </c>
      <c r="R31424" s="36" t="s">
        <v>48</v>
      </c>
    </row>
    <row r="31425">
      <c r="H31425" s="50"/>
      <c r="I31425" s="50"/>
      <c r="O31425" s="36" t="s">
        <v>48</v>
      </c>
      <c r="R31425" s="36" t="s">
        <v>48</v>
      </c>
    </row>
    <row r="31426">
      <c r="H31426" s="50"/>
      <c r="I31426" s="50"/>
      <c r="O31426" s="36" t="s">
        <v>48</v>
      </c>
      <c r="R31426" s="36" t="s">
        <v>48</v>
      </c>
    </row>
    <row r="31427">
      <c r="H31427" s="50"/>
      <c r="I31427" s="50"/>
      <c r="O31427" s="36" t="s">
        <v>48</v>
      </c>
      <c r="R31427" s="36" t="s">
        <v>48</v>
      </c>
    </row>
    <row r="31428">
      <c r="H31428" s="50"/>
      <c r="I31428" s="50"/>
      <c r="O31428" s="36" t="s">
        <v>48</v>
      </c>
      <c r="R31428" s="36" t="s">
        <v>48</v>
      </c>
    </row>
    <row r="31429">
      <c r="H31429" s="50"/>
      <c r="I31429" s="50"/>
      <c r="O31429" s="36" t="s">
        <v>48</v>
      </c>
      <c r="R31429" s="36" t="s">
        <v>48</v>
      </c>
    </row>
    <row r="31430">
      <c r="H31430" s="50"/>
      <c r="I31430" s="50"/>
      <c r="O31430" s="36" t="s">
        <v>48</v>
      </c>
      <c r="R31430" s="36" t="s">
        <v>48</v>
      </c>
    </row>
    <row r="31431">
      <c r="H31431" s="50"/>
      <c r="I31431" s="50"/>
      <c r="O31431" s="36" t="s">
        <v>48</v>
      </c>
      <c r="R31431" s="36" t="s">
        <v>48</v>
      </c>
    </row>
    <row r="31432">
      <c r="H31432" s="50"/>
      <c r="I31432" s="50"/>
      <c r="O31432" s="36" t="s">
        <v>48</v>
      </c>
      <c r="R31432" s="36" t="s">
        <v>48</v>
      </c>
    </row>
    <row r="31433">
      <c r="H31433" s="50"/>
      <c r="I31433" s="50"/>
      <c r="O31433" s="36" t="s">
        <v>48</v>
      </c>
      <c r="R31433" s="36" t="s">
        <v>48</v>
      </c>
    </row>
    <row r="31434">
      <c r="H31434" s="50"/>
      <c r="I31434" s="50"/>
      <c r="O31434" s="36" t="s">
        <v>48</v>
      </c>
      <c r="R31434" s="36" t="s">
        <v>48</v>
      </c>
    </row>
    <row r="31435">
      <c r="H31435" s="50"/>
      <c r="I31435" s="50"/>
      <c r="O31435" s="36" t="s">
        <v>48</v>
      </c>
      <c r="R31435" s="36" t="s">
        <v>48</v>
      </c>
    </row>
    <row r="31436">
      <c r="H31436" s="50"/>
      <c r="I31436" s="50"/>
      <c r="O31436" s="36" t="s">
        <v>48</v>
      </c>
      <c r="R31436" s="36" t="s">
        <v>48</v>
      </c>
    </row>
    <row r="31437">
      <c r="H31437" s="50"/>
      <c r="I31437" s="50"/>
      <c r="O31437" s="36" t="s">
        <v>48</v>
      </c>
      <c r="R31437" s="36" t="s">
        <v>48</v>
      </c>
    </row>
    <row r="31438">
      <c r="H31438" s="50"/>
      <c r="I31438" s="50"/>
      <c r="O31438" s="36" t="s">
        <v>48</v>
      </c>
      <c r="R31438" s="36" t="s">
        <v>48</v>
      </c>
    </row>
    <row r="31439">
      <c r="H31439" s="50"/>
      <c r="I31439" s="50"/>
      <c r="O31439" s="36" t="s">
        <v>48</v>
      </c>
      <c r="R31439" s="36" t="s">
        <v>48</v>
      </c>
    </row>
    <row r="31440">
      <c r="H31440" s="50"/>
      <c r="I31440" s="50"/>
      <c r="O31440" s="36" t="s">
        <v>48</v>
      </c>
      <c r="R31440" s="36" t="s">
        <v>48</v>
      </c>
    </row>
    <row r="31441">
      <c r="H31441" s="50"/>
      <c r="I31441" s="50"/>
      <c r="O31441" s="36" t="s">
        <v>48</v>
      </c>
      <c r="R31441" s="36" t="s">
        <v>48</v>
      </c>
    </row>
    <row r="31442">
      <c r="H31442" s="50"/>
      <c r="I31442" s="50"/>
      <c r="O31442" s="36" t="s">
        <v>48</v>
      </c>
      <c r="R31442" s="36" t="s">
        <v>48</v>
      </c>
    </row>
    <row r="31443">
      <c r="H31443" s="50"/>
      <c r="I31443" s="50"/>
      <c r="O31443" s="36" t="s">
        <v>48</v>
      </c>
      <c r="R31443" s="36" t="s">
        <v>48</v>
      </c>
    </row>
    <row r="31444">
      <c r="H31444" s="50"/>
      <c r="I31444" s="50"/>
      <c r="O31444" s="36" t="s">
        <v>48</v>
      </c>
      <c r="R31444" s="36" t="s">
        <v>48</v>
      </c>
    </row>
    <row r="31445">
      <c r="H31445" s="50"/>
      <c r="I31445" s="50"/>
      <c r="O31445" s="36" t="s">
        <v>48</v>
      </c>
      <c r="R31445" s="36" t="s">
        <v>48</v>
      </c>
    </row>
    <row r="31446">
      <c r="H31446" s="50"/>
      <c r="I31446" s="50"/>
      <c r="O31446" s="36" t="s">
        <v>48</v>
      </c>
      <c r="R31446" s="36" t="s">
        <v>48</v>
      </c>
    </row>
    <row r="31447">
      <c r="H31447" s="50"/>
      <c r="I31447" s="50"/>
      <c r="O31447" s="36" t="s">
        <v>48</v>
      </c>
      <c r="R31447" s="36" t="s">
        <v>48</v>
      </c>
    </row>
    <row r="31448">
      <c r="H31448" s="50"/>
      <c r="I31448" s="50"/>
      <c r="O31448" s="36" t="s">
        <v>48</v>
      </c>
      <c r="R31448" s="36" t="s">
        <v>48</v>
      </c>
    </row>
    <row r="31449">
      <c r="H31449" s="50"/>
      <c r="I31449" s="50"/>
      <c r="O31449" s="36" t="s">
        <v>48</v>
      </c>
      <c r="R31449" s="36" t="s">
        <v>48</v>
      </c>
    </row>
    <row r="31450">
      <c r="H31450" s="50"/>
      <c r="I31450" s="50"/>
      <c r="O31450" s="36" t="s">
        <v>48</v>
      </c>
      <c r="R31450" s="36" t="s">
        <v>48</v>
      </c>
    </row>
    <row r="31451">
      <c r="H31451" s="50"/>
      <c r="I31451" s="50"/>
      <c r="O31451" s="36" t="s">
        <v>48</v>
      </c>
      <c r="R31451" s="36" t="s">
        <v>48</v>
      </c>
    </row>
    <row r="31452">
      <c r="H31452" s="50"/>
      <c r="I31452" s="50"/>
      <c r="O31452" s="36" t="s">
        <v>48</v>
      </c>
      <c r="R31452" s="36" t="s">
        <v>48</v>
      </c>
    </row>
    <row r="31453">
      <c r="H31453" s="50"/>
      <c r="I31453" s="50"/>
      <c r="O31453" s="36" t="s">
        <v>48</v>
      </c>
      <c r="R31453" s="36" t="s">
        <v>48</v>
      </c>
    </row>
    <row r="31454">
      <c r="H31454" s="50"/>
      <c r="I31454" s="50"/>
      <c r="O31454" s="36" t="s">
        <v>48</v>
      </c>
      <c r="R31454" s="36" t="s">
        <v>48</v>
      </c>
    </row>
    <row r="31455">
      <c r="H31455" s="50"/>
      <c r="I31455" s="50"/>
      <c r="O31455" s="36" t="s">
        <v>48</v>
      </c>
      <c r="R31455" s="36" t="s">
        <v>48</v>
      </c>
    </row>
    <row r="31456">
      <c r="H31456" s="50"/>
      <c r="I31456" s="50"/>
      <c r="O31456" s="36" t="s">
        <v>48</v>
      </c>
      <c r="R31456" s="36" t="s">
        <v>48</v>
      </c>
    </row>
    <row r="31457">
      <c r="H31457" s="50"/>
      <c r="I31457" s="50"/>
      <c r="O31457" s="36" t="s">
        <v>48</v>
      </c>
      <c r="R31457" s="36" t="s">
        <v>48</v>
      </c>
    </row>
    <row r="31458">
      <c r="H31458" s="50"/>
      <c r="I31458" s="50"/>
      <c r="O31458" s="36" t="s">
        <v>48</v>
      </c>
      <c r="R31458" s="36" t="s">
        <v>48</v>
      </c>
    </row>
    <row r="31459">
      <c r="H31459" s="50"/>
      <c r="I31459" s="50"/>
      <c r="O31459" s="36" t="s">
        <v>48</v>
      </c>
      <c r="R31459" s="36" t="s">
        <v>48</v>
      </c>
    </row>
    <row r="31460">
      <c r="H31460" s="50"/>
      <c r="I31460" s="50"/>
      <c r="O31460" s="36" t="s">
        <v>48</v>
      </c>
      <c r="R31460" s="36" t="s">
        <v>48</v>
      </c>
    </row>
    <row r="31461">
      <c r="H31461" s="50"/>
      <c r="I31461" s="50"/>
      <c r="O31461" s="36" t="s">
        <v>48</v>
      </c>
      <c r="R31461" s="36" t="s">
        <v>48</v>
      </c>
    </row>
    <row r="31462">
      <c r="H31462" s="50"/>
      <c r="I31462" s="50"/>
      <c r="O31462" s="36" t="s">
        <v>48</v>
      </c>
      <c r="R31462" s="36" t="s">
        <v>48</v>
      </c>
    </row>
    <row r="31463">
      <c r="H31463" s="50"/>
      <c r="I31463" s="50"/>
      <c r="O31463" s="36" t="s">
        <v>48</v>
      </c>
      <c r="R31463" s="36" t="s">
        <v>48</v>
      </c>
    </row>
    <row r="31464">
      <c r="H31464" s="50"/>
      <c r="I31464" s="50"/>
      <c r="O31464" s="36" t="s">
        <v>48</v>
      </c>
      <c r="R31464" s="36" t="s">
        <v>48</v>
      </c>
    </row>
    <row r="31465">
      <c r="H31465" s="50"/>
      <c r="I31465" s="50"/>
      <c r="O31465" s="36" t="s">
        <v>48</v>
      </c>
      <c r="R31465" s="36" t="s">
        <v>48</v>
      </c>
    </row>
    <row r="31466">
      <c r="H31466" s="50"/>
      <c r="I31466" s="50"/>
      <c r="O31466" s="36" t="s">
        <v>48</v>
      </c>
      <c r="R31466" s="36" t="s">
        <v>48</v>
      </c>
    </row>
    <row r="31467">
      <c r="H31467" s="50"/>
      <c r="I31467" s="50"/>
      <c r="O31467" s="36" t="s">
        <v>48</v>
      </c>
      <c r="R31467" s="36" t="s">
        <v>48</v>
      </c>
    </row>
    <row r="31468">
      <c r="H31468" s="50"/>
      <c r="I31468" s="50"/>
      <c r="O31468" s="36" t="s">
        <v>48</v>
      </c>
      <c r="R31468" s="36" t="s">
        <v>48</v>
      </c>
    </row>
    <row r="31469">
      <c r="H31469" s="50"/>
      <c r="I31469" s="50"/>
      <c r="O31469" s="36" t="s">
        <v>48</v>
      </c>
      <c r="R31469" s="36" t="s">
        <v>48</v>
      </c>
    </row>
    <row r="31470">
      <c r="H31470" s="50"/>
      <c r="I31470" s="50"/>
      <c r="O31470" s="36" t="s">
        <v>48</v>
      </c>
      <c r="R31470" s="36" t="s">
        <v>48</v>
      </c>
    </row>
    <row r="31471">
      <c r="H31471" s="50"/>
      <c r="I31471" s="50"/>
      <c r="O31471" s="36" t="s">
        <v>48</v>
      </c>
      <c r="R31471" s="36" t="s">
        <v>48</v>
      </c>
    </row>
    <row r="31472">
      <c r="H31472" s="50"/>
      <c r="I31472" s="50"/>
      <c r="O31472" s="36" t="s">
        <v>48</v>
      </c>
      <c r="R31472" s="36" t="s">
        <v>48</v>
      </c>
    </row>
    <row r="31473">
      <c r="H31473" s="50"/>
      <c r="I31473" s="50"/>
      <c r="O31473" s="36" t="s">
        <v>48</v>
      </c>
      <c r="R31473" s="36" t="s">
        <v>48</v>
      </c>
    </row>
    <row r="31474">
      <c r="H31474" s="50"/>
      <c r="I31474" s="50"/>
      <c r="O31474" s="36" t="s">
        <v>48</v>
      </c>
      <c r="R31474" s="36" t="s">
        <v>48</v>
      </c>
    </row>
    <row r="31475">
      <c r="H31475" s="50"/>
      <c r="I31475" s="50"/>
      <c r="O31475" s="36" t="s">
        <v>48</v>
      </c>
      <c r="R31475" s="36" t="s">
        <v>48</v>
      </c>
    </row>
    <row r="31476">
      <c r="H31476" s="50"/>
      <c r="I31476" s="50"/>
      <c r="O31476" s="36" t="s">
        <v>48</v>
      </c>
      <c r="R31476" s="36" t="s">
        <v>48</v>
      </c>
    </row>
    <row r="31477">
      <c r="H31477" s="50"/>
      <c r="I31477" s="50"/>
      <c r="O31477" s="36" t="s">
        <v>48</v>
      </c>
      <c r="R31477" s="36" t="s">
        <v>48</v>
      </c>
    </row>
    <row r="31478">
      <c r="H31478" s="50"/>
      <c r="I31478" s="50"/>
      <c r="O31478" s="36" t="s">
        <v>48</v>
      </c>
      <c r="R31478" s="36" t="s">
        <v>48</v>
      </c>
    </row>
    <row r="31479">
      <c r="H31479" s="50"/>
      <c r="I31479" s="50"/>
      <c r="O31479" s="36" t="s">
        <v>48</v>
      </c>
      <c r="R31479" s="36" t="s">
        <v>48</v>
      </c>
    </row>
    <row r="31480">
      <c r="H31480" s="50"/>
      <c r="I31480" s="50"/>
      <c r="O31480" s="36" t="s">
        <v>48</v>
      </c>
      <c r="R31480" s="36" t="s">
        <v>48</v>
      </c>
    </row>
    <row r="31481">
      <c r="H31481" s="50"/>
      <c r="I31481" s="50"/>
      <c r="O31481" s="36" t="s">
        <v>48</v>
      </c>
      <c r="R31481" s="36" t="s">
        <v>48</v>
      </c>
    </row>
    <row r="31482">
      <c r="H31482" s="50"/>
      <c r="I31482" s="50"/>
      <c r="O31482" s="36" t="s">
        <v>48</v>
      </c>
      <c r="R31482" s="36" t="s">
        <v>48</v>
      </c>
    </row>
    <row r="31483">
      <c r="H31483" s="50"/>
      <c r="I31483" s="50"/>
      <c r="O31483" s="36" t="s">
        <v>48</v>
      </c>
      <c r="R31483" s="36" t="s">
        <v>48</v>
      </c>
    </row>
    <row r="31484">
      <c r="H31484" s="50"/>
      <c r="I31484" s="50"/>
      <c r="O31484" s="36" t="s">
        <v>48</v>
      </c>
      <c r="R31484" s="36" t="s">
        <v>48</v>
      </c>
    </row>
    <row r="31485">
      <c r="H31485" s="50"/>
      <c r="I31485" s="50"/>
      <c r="O31485" s="36" t="s">
        <v>48</v>
      </c>
      <c r="R31485" s="36" t="s">
        <v>48</v>
      </c>
    </row>
    <row r="31486">
      <c r="H31486" s="50"/>
      <c r="I31486" s="50"/>
      <c r="O31486" s="36" t="s">
        <v>48</v>
      </c>
      <c r="R31486" s="36" t="s">
        <v>48</v>
      </c>
    </row>
    <row r="31487">
      <c r="H31487" s="50"/>
      <c r="I31487" s="50"/>
      <c r="O31487" s="36" t="s">
        <v>48</v>
      </c>
      <c r="R31487" s="36" t="s">
        <v>48</v>
      </c>
    </row>
    <row r="31488">
      <c r="H31488" s="50"/>
      <c r="I31488" s="50"/>
      <c r="O31488" s="36" t="s">
        <v>48</v>
      </c>
      <c r="R31488" s="36" t="s">
        <v>48</v>
      </c>
    </row>
    <row r="31489">
      <c r="H31489" s="50"/>
      <c r="I31489" s="50"/>
      <c r="O31489" s="36" t="s">
        <v>48</v>
      </c>
      <c r="R31489" s="36" t="s">
        <v>48</v>
      </c>
    </row>
    <row r="31490">
      <c r="H31490" s="50"/>
      <c r="I31490" s="50"/>
      <c r="O31490" s="36" t="s">
        <v>48</v>
      </c>
      <c r="R31490" s="36" t="s">
        <v>48</v>
      </c>
    </row>
    <row r="31491">
      <c r="H31491" s="50"/>
      <c r="I31491" s="50"/>
      <c r="O31491" s="36" t="s">
        <v>48</v>
      </c>
      <c r="R31491" s="36" t="s">
        <v>48</v>
      </c>
    </row>
    <row r="31492">
      <c r="H31492" s="50"/>
      <c r="I31492" s="50"/>
      <c r="O31492" s="36" t="s">
        <v>48</v>
      </c>
      <c r="R31492" s="36" t="s">
        <v>48</v>
      </c>
    </row>
    <row r="31493">
      <c r="H31493" s="50"/>
      <c r="I31493" s="50"/>
      <c r="O31493" s="36" t="s">
        <v>48</v>
      </c>
      <c r="R31493" s="36" t="s">
        <v>48</v>
      </c>
    </row>
    <row r="31494">
      <c r="H31494" s="50"/>
      <c r="I31494" s="50"/>
      <c r="O31494" s="36" t="s">
        <v>48</v>
      </c>
      <c r="R31494" s="36" t="s">
        <v>48</v>
      </c>
    </row>
    <row r="31495">
      <c r="H31495" s="50"/>
      <c r="I31495" s="50"/>
      <c r="O31495" s="36" t="s">
        <v>48</v>
      </c>
      <c r="R31495" s="36" t="s">
        <v>48</v>
      </c>
    </row>
    <row r="31496">
      <c r="H31496" s="50"/>
      <c r="I31496" s="50"/>
      <c r="O31496" s="36" t="s">
        <v>48</v>
      </c>
      <c r="R31496" s="36" t="s">
        <v>48</v>
      </c>
    </row>
    <row r="31497">
      <c r="H31497" s="50"/>
      <c r="I31497" s="50"/>
      <c r="O31497" s="36" t="s">
        <v>48</v>
      </c>
      <c r="R31497" s="36" t="s">
        <v>48</v>
      </c>
    </row>
    <row r="31498">
      <c r="H31498" s="50"/>
      <c r="I31498" s="50"/>
      <c r="O31498" s="36" t="s">
        <v>48</v>
      </c>
      <c r="R31498" s="36" t="s">
        <v>48</v>
      </c>
    </row>
    <row r="31499">
      <c r="H31499" s="50"/>
      <c r="I31499" s="50"/>
      <c r="O31499" s="36" t="s">
        <v>48</v>
      </c>
      <c r="R31499" s="36" t="s">
        <v>48</v>
      </c>
    </row>
    <row r="31500">
      <c r="H31500" s="50"/>
      <c r="I31500" s="50"/>
      <c r="O31500" s="36" t="s">
        <v>48</v>
      </c>
      <c r="R31500" s="36" t="s">
        <v>48</v>
      </c>
    </row>
    <row r="31501">
      <c r="H31501" s="50"/>
      <c r="I31501" s="50"/>
      <c r="O31501" s="36" t="s">
        <v>48</v>
      </c>
      <c r="R31501" s="36" t="s">
        <v>48</v>
      </c>
    </row>
    <row r="31502">
      <c r="H31502" s="50"/>
      <c r="I31502" s="50"/>
      <c r="O31502" s="36" t="s">
        <v>48</v>
      </c>
      <c r="R31502" s="36" t="s">
        <v>48</v>
      </c>
    </row>
    <row r="31503">
      <c r="H31503" s="50"/>
      <c r="I31503" s="50"/>
      <c r="O31503" s="36" t="s">
        <v>48</v>
      </c>
      <c r="R31503" s="36" t="s">
        <v>48</v>
      </c>
    </row>
    <row r="31504">
      <c r="H31504" s="50"/>
      <c r="I31504" s="50"/>
      <c r="O31504" s="36" t="s">
        <v>48</v>
      </c>
      <c r="R31504" s="36" t="s">
        <v>48</v>
      </c>
    </row>
    <row r="31505">
      <c r="H31505" s="50"/>
      <c r="I31505" s="50"/>
      <c r="O31505" s="36" t="s">
        <v>48</v>
      </c>
      <c r="R31505" s="36" t="s">
        <v>48</v>
      </c>
    </row>
    <row r="31506">
      <c r="H31506" s="50"/>
      <c r="I31506" s="50"/>
      <c r="O31506" s="36" t="s">
        <v>48</v>
      </c>
      <c r="R31506" s="36" t="s">
        <v>48</v>
      </c>
    </row>
    <row r="31507">
      <c r="H31507" s="50"/>
      <c r="I31507" s="50"/>
      <c r="O31507" s="36" t="s">
        <v>48</v>
      </c>
      <c r="R31507" s="36" t="s">
        <v>48</v>
      </c>
    </row>
    <row r="31508">
      <c r="H31508" s="50"/>
      <c r="I31508" s="50"/>
      <c r="O31508" s="36" t="s">
        <v>48</v>
      </c>
      <c r="R31508" s="36" t="s">
        <v>48</v>
      </c>
    </row>
    <row r="31509">
      <c r="H31509" s="50"/>
      <c r="I31509" s="50"/>
      <c r="O31509" s="36" t="s">
        <v>48</v>
      </c>
      <c r="R31509" s="36" t="s">
        <v>48</v>
      </c>
    </row>
    <row r="31510">
      <c r="H31510" s="50"/>
      <c r="I31510" s="50"/>
      <c r="O31510" s="36" t="s">
        <v>48</v>
      </c>
      <c r="R31510" s="36" t="s">
        <v>48</v>
      </c>
    </row>
    <row r="31511">
      <c r="H31511" s="50"/>
      <c r="I31511" s="50"/>
      <c r="O31511" s="36" t="s">
        <v>48</v>
      </c>
      <c r="R31511" s="36" t="s">
        <v>48</v>
      </c>
    </row>
    <row r="31512">
      <c r="H31512" s="50"/>
      <c r="I31512" s="50"/>
      <c r="O31512" s="36" t="s">
        <v>48</v>
      </c>
      <c r="R31512" s="36" t="s">
        <v>48</v>
      </c>
    </row>
    <row r="31513">
      <c r="H31513" s="50"/>
      <c r="I31513" s="50"/>
      <c r="O31513" s="36" t="s">
        <v>48</v>
      </c>
      <c r="R31513" s="36" t="s">
        <v>48</v>
      </c>
    </row>
    <row r="31514">
      <c r="H31514" s="50"/>
      <c r="I31514" s="50"/>
      <c r="O31514" s="36" t="s">
        <v>48</v>
      </c>
      <c r="R31514" s="36" t="s">
        <v>48</v>
      </c>
    </row>
    <row r="31515">
      <c r="H31515" s="50"/>
      <c r="I31515" s="50"/>
      <c r="O31515" s="36" t="s">
        <v>48</v>
      </c>
      <c r="R31515" s="36" t="s">
        <v>48</v>
      </c>
    </row>
    <row r="31516">
      <c r="H31516" s="50"/>
      <c r="I31516" s="50"/>
      <c r="O31516" s="36" t="s">
        <v>48</v>
      </c>
      <c r="R31516" s="36" t="s">
        <v>48</v>
      </c>
    </row>
    <row r="31517">
      <c r="H31517" s="50"/>
      <c r="I31517" s="50"/>
      <c r="O31517" s="36" t="s">
        <v>48</v>
      </c>
      <c r="R31517" s="36" t="s">
        <v>48</v>
      </c>
    </row>
    <row r="31518">
      <c r="H31518" s="50"/>
      <c r="I31518" s="50"/>
      <c r="O31518" s="36" t="s">
        <v>48</v>
      </c>
      <c r="R31518" s="36" t="s">
        <v>48</v>
      </c>
    </row>
    <row r="31519">
      <c r="H31519" s="50"/>
      <c r="I31519" s="50"/>
      <c r="O31519" s="36" t="s">
        <v>48</v>
      </c>
      <c r="R31519" s="36" t="s">
        <v>48</v>
      </c>
    </row>
    <row r="31520">
      <c r="H31520" s="50"/>
      <c r="I31520" s="50"/>
      <c r="O31520" s="36" t="s">
        <v>48</v>
      </c>
      <c r="R31520" s="36" t="s">
        <v>48</v>
      </c>
    </row>
    <row r="31521">
      <c r="H31521" s="50"/>
      <c r="I31521" s="50"/>
      <c r="O31521" s="36" t="s">
        <v>48</v>
      </c>
      <c r="R31521" s="36" t="s">
        <v>48</v>
      </c>
    </row>
    <row r="31522">
      <c r="H31522" s="50"/>
      <c r="I31522" s="50"/>
      <c r="O31522" s="36" t="s">
        <v>48</v>
      </c>
      <c r="R31522" s="36" t="s">
        <v>48</v>
      </c>
    </row>
    <row r="31523">
      <c r="H31523" s="50"/>
      <c r="I31523" s="50"/>
      <c r="O31523" s="36" t="s">
        <v>48</v>
      </c>
      <c r="R31523" s="36" t="s">
        <v>48</v>
      </c>
    </row>
    <row r="31524">
      <c r="H31524" s="50"/>
      <c r="I31524" s="50"/>
      <c r="O31524" s="36" t="s">
        <v>48</v>
      </c>
      <c r="R31524" s="36" t="s">
        <v>48</v>
      </c>
    </row>
    <row r="31525">
      <c r="H31525" s="50"/>
      <c r="I31525" s="50"/>
      <c r="O31525" s="36" t="s">
        <v>48</v>
      </c>
      <c r="R31525" s="36" t="s">
        <v>48</v>
      </c>
    </row>
    <row r="31526">
      <c r="H31526" s="50"/>
      <c r="I31526" s="50"/>
      <c r="O31526" s="36" t="s">
        <v>48</v>
      </c>
      <c r="R31526" s="36" t="s">
        <v>48</v>
      </c>
    </row>
    <row r="31527">
      <c r="H31527" s="50"/>
      <c r="I31527" s="50"/>
      <c r="O31527" s="36" t="s">
        <v>48</v>
      </c>
      <c r="R31527" s="36" t="s">
        <v>48</v>
      </c>
    </row>
    <row r="31528">
      <c r="H31528" s="50"/>
      <c r="I31528" s="50"/>
      <c r="O31528" s="36" t="s">
        <v>48</v>
      </c>
      <c r="R31528" s="36" t="s">
        <v>48</v>
      </c>
    </row>
    <row r="31529">
      <c r="H31529" s="50"/>
      <c r="I31529" s="50"/>
      <c r="O31529" s="36" t="s">
        <v>48</v>
      </c>
      <c r="R31529" s="36" t="s">
        <v>48</v>
      </c>
    </row>
    <row r="31530">
      <c r="H31530" s="50"/>
      <c r="I31530" s="50"/>
      <c r="O31530" s="36" t="s">
        <v>48</v>
      </c>
      <c r="R31530" s="36" t="s">
        <v>48</v>
      </c>
    </row>
    <row r="31531">
      <c r="H31531" s="50"/>
      <c r="I31531" s="50"/>
      <c r="O31531" s="36" t="s">
        <v>48</v>
      </c>
      <c r="R31531" s="36" t="s">
        <v>48</v>
      </c>
    </row>
    <row r="31532">
      <c r="H31532" s="50"/>
      <c r="I31532" s="50"/>
      <c r="O31532" s="36" t="s">
        <v>48</v>
      </c>
      <c r="R31532" s="36" t="s">
        <v>48</v>
      </c>
    </row>
    <row r="31533">
      <c r="H31533" s="50"/>
      <c r="I31533" s="50"/>
      <c r="O31533" s="36" t="s">
        <v>48</v>
      </c>
      <c r="R31533" s="36" t="s">
        <v>48</v>
      </c>
    </row>
    <row r="31534">
      <c r="H31534" s="50"/>
      <c r="I31534" s="50"/>
      <c r="O31534" s="36" t="s">
        <v>48</v>
      </c>
      <c r="R31534" s="36" t="s">
        <v>48</v>
      </c>
    </row>
    <row r="31535">
      <c r="H31535" s="50"/>
      <c r="I31535" s="50"/>
      <c r="O31535" s="36" t="s">
        <v>48</v>
      </c>
      <c r="R31535" s="36" t="s">
        <v>48</v>
      </c>
    </row>
    <row r="31536">
      <c r="H31536" s="50"/>
      <c r="I31536" s="50"/>
      <c r="O31536" s="36" t="s">
        <v>48</v>
      </c>
      <c r="R31536" s="36" t="s">
        <v>48</v>
      </c>
    </row>
    <row r="31537">
      <c r="H31537" s="50"/>
      <c r="I31537" s="50"/>
      <c r="O31537" s="36" t="s">
        <v>48</v>
      </c>
      <c r="R31537" s="36" t="s">
        <v>48</v>
      </c>
    </row>
    <row r="31538">
      <c r="H31538" s="50"/>
      <c r="I31538" s="50"/>
      <c r="O31538" s="36" t="s">
        <v>48</v>
      </c>
      <c r="R31538" s="36" t="s">
        <v>48</v>
      </c>
    </row>
    <row r="31539">
      <c r="H31539" s="50"/>
      <c r="I31539" s="50"/>
      <c r="O31539" s="36" t="s">
        <v>48</v>
      </c>
      <c r="R31539" s="36" t="s">
        <v>48</v>
      </c>
    </row>
    <row r="31540">
      <c r="H31540" s="50"/>
      <c r="I31540" s="50"/>
      <c r="O31540" s="36" t="s">
        <v>48</v>
      </c>
      <c r="R31540" s="36" t="s">
        <v>48</v>
      </c>
    </row>
    <row r="31541">
      <c r="H31541" s="50"/>
      <c r="I31541" s="50"/>
      <c r="O31541" s="36" t="s">
        <v>48</v>
      </c>
      <c r="R31541" s="36" t="s">
        <v>48</v>
      </c>
    </row>
    <row r="31542">
      <c r="H31542" s="50"/>
      <c r="I31542" s="50"/>
      <c r="O31542" s="36" t="s">
        <v>48</v>
      </c>
      <c r="R31542" s="36" t="s">
        <v>48</v>
      </c>
    </row>
    <row r="31543">
      <c r="H31543" s="50"/>
      <c r="I31543" s="50"/>
      <c r="O31543" s="36" t="s">
        <v>48</v>
      </c>
      <c r="R31543" s="36" t="s">
        <v>48</v>
      </c>
    </row>
    <row r="31544">
      <c r="H31544" s="50"/>
      <c r="I31544" s="50"/>
      <c r="O31544" s="36" t="s">
        <v>48</v>
      </c>
      <c r="R31544" s="36" t="s">
        <v>48</v>
      </c>
    </row>
    <row r="31545">
      <c r="H31545" s="50"/>
      <c r="I31545" s="50"/>
      <c r="O31545" s="36" t="s">
        <v>48</v>
      </c>
      <c r="R31545" s="36" t="s">
        <v>48</v>
      </c>
    </row>
    <row r="31546">
      <c r="H31546" s="50"/>
      <c r="I31546" s="50"/>
      <c r="O31546" s="36" t="s">
        <v>48</v>
      </c>
      <c r="R31546" s="36" t="s">
        <v>48</v>
      </c>
    </row>
    <row r="31547">
      <c r="H31547" s="50"/>
      <c r="I31547" s="50"/>
      <c r="O31547" s="36" t="s">
        <v>48</v>
      </c>
      <c r="R31547" s="36" t="s">
        <v>48</v>
      </c>
    </row>
    <row r="31548">
      <c r="H31548" s="50"/>
      <c r="I31548" s="50"/>
      <c r="O31548" s="36" t="s">
        <v>48</v>
      </c>
      <c r="R31548" s="36" t="s">
        <v>48</v>
      </c>
    </row>
    <row r="31549">
      <c r="H31549" s="50"/>
      <c r="I31549" s="50"/>
      <c r="O31549" s="36" t="s">
        <v>48</v>
      </c>
      <c r="R31549" s="36" t="s">
        <v>48</v>
      </c>
    </row>
    <row r="31550">
      <c r="H31550" s="50"/>
      <c r="I31550" s="50"/>
      <c r="O31550" s="36" t="s">
        <v>48</v>
      </c>
      <c r="R31550" s="36" t="s">
        <v>48</v>
      </c>
    </row>
    <row r="31551">
      <c r="H31551" s="50"/>
      <c r="I31551" s="50"/>
      <c r="O31551" s="36" t="s">
        <v>48</v>
      </c>
      <c r="R31551" s="36" t="s">
        <v>48</v>
      </c>
    </row>
    <row r="31552">
      <c r="H31552" s="50"/>
      <c r="I31552" s="50"/>
      <c r="O31552" s="36" t="s">
        <v>48</v>
      </c>
      <c r="R31552" s="36" t="s">
        <v>48</v>
      </c>
    </row>
    <row r="31553">
      <c r="H31553" s="50"/>
      <c r="I31553" s="50"/>
      <c r="O31553" s="36" t="s">
        <v>48</v>
      </c>
      <c r="R31553" s="36" t="s">
        <v>48</v>
      </c>
    </row>
    <row r="31554">
      <c r="H31554" s="50"/>
      <c r="I31554" s="50"/>
      <c r="O31554" s="36" t="s">
        <v>48</v>
      </c>
      <c r="R31554" s="36" t="s">
        <v>48</v>
      </c>
    </row>
    <row r="31555">
      <c r="H31555" s="50"/>
      <c r="I31555" s="50"/>
      <c r="O31555" s="36" t="s">
        <v>48</v>
      </c>
      <c r="R31555" s="36" t="s">
        <v>48</v>
      </c>
    </row>
    <row r="31556">
      <c r="H31556" s="50"/>
      <c r="I31556" s="50"/>
      <c r="O31556" s="36" t="s">
        <v>48</v>
      </c>
      <c r="R31556" s="36" t="s">
        <v>48</v>
      </c>
    </row>
    <row r="31557">
      <c r="H31557" s="50"/>
      <c r="I31557" s="50"/>
      <c r="O31557" s="36" t="s">
        <v>48</v>
      </c>
      <c r="R31557" s="36" t="s">
        <v>48</v>
      </c>
    </row>
    <row r="31558">
      <c r="H31558" s="50"/>
      <c r="I31558" s="50"/>
      <c r="O31558" s="36" t="s">
        <v>48</v>
      </c>
      <c r="R31558" s="36" t="s">
        <v>48</v>
      </c>
    </row>
    <row r="31559">
      <c r="H31559" s="50"/>
      <c r="I31559" s="50"/>
      <c r="O31559" s="36" t="s">
        <v>48</v>
      </c>
      <c r="R31559" s="36" t="s">
        <v>48</v>
      </c>
    </row>
    <row r="31560">
      <c r="H31560" s="50"/>
      <c r="I31560" s="50"/>
      <c r="O31560" s="36" t="s">
        <v>48</v>
      </c>
      <c r="R31560" s="36" t="s">
        <v>48</v>
      </c>
    </row>
    <row r="31561">
      <c r="H31561" s="50"/>
      <c r="I31561" s="50"/>
      <c r="O31561" s="36" t="s">
        <v>48</v>
      </c>
      <c r="R31561" s="36" t="s">
        <v>48</v>
      </c>
    </row>
    <row r="31562">
      <c r="H31562" s="50"/>
      <c r="I31562" s="50"/>
      <c r="O31562" s="36" t="s">
        <v>48</v>
      </c>
      <c r="R31562" s="36" t="s">
        <v>48</v>
      </c>
    </row>
    <row r="31563">
      <c r="H31563" s="50"/>
      <c r="I31563" s="50"/>
      <c r="O31563" s="36" t="s">
        <v>48</v>
      </c>
      <c r="R31563" s="36" t="s">
        <v>48</v>
      </c>
    </row>
    <row r="31564">
      <c r="H31564" s="50"/>
      <c r="I31564" s="50"/>
      <c r="O31564" s="36" t="s">
        <v>48</v>
      </c>
      <c r="R31564" s="36" t="s">
        <v>48</v>
      </c>
    </row>
    <row r="31565">
      <c r="H31565" s="50"/>
      <c r="I31565" s="50"/>
      <c r="O31565" s="36" t="s">
        <v>48</v>
      </c>
      <c r="R31565" s="36" t="s">
        <v>48</v>
      </c>
    </row>
    <row r="31566">
      <c r="H31566" s="50"/>
      <c r="I31566" s="50"/>
      <c r="O31566" s="36" t="s">
        <v>48</v>
      </c>
      <c r="R31566" s="36" t="s">
        <v>48</v>
      </c>
    </row>
    <row r="31567">
      <c r="H31567" s="50"/>
      <c r="I31567" s="50"/>
      <c r="O31567" s="36" t="s">
        <v>48</v>
      </c>
      <c r="R31567" s="36" t="s">
        <v>48</v>
      </c>
    </row>
    <row r="31568">
      <c r="H31568" s="50"/>
      <c r="I31568" s="50"/>
      <c r="O31568" s="36" t="s">
        <v>48</v>
      </c>
      <c r="R31568" s="36" t="s">
        <v>48</v>
      </c>
    </row>
    <row r="31569">
      <c r="H31569" s="50"/>
      <c r="I31569" s="50"/>
      <c r="O31569" s="36" t="s">
        <v>48</v>
      </c>
      <c r="R31569" s="36" t="s">
        <v>48</v>
      </c>
    </row>
    <row r="31570">
      <c r="H31570" s="50"/>
      <c r="I31570" s="50"/>
      <c r="O31570" s="36" t="s">
        <v>48</v>
      </c>
      <c r="R31570" s="36" t="s">
        <v>48</v>
      </c>
    </row>
    <row r="31571">
      <c r="H31571" s="50"/>
      <c r="I31571" s="50"/>
      <c r="O31571" s="36" t="s">
        <v>48</v>
      </c>
      <c r="R31571" s="36" t="s">
        <v>48</v>
      </c>
    </row>
    <row r="31572">
      <c r="H31572" s="50"/>
      <c r="I31572" s="50"/>
      <c r="O31572" s="36" t="s">
        <v>48</v>
      </c>
      <c r="R31572" s="36" t="s">
        <v>48</v>
      </c>
    </row>
    <row r="31573">
      <c r="H31573" s="50"/>
      <c r="I31573" s="50"/>
      <c r="O31573" s="36" t="s">
        <v>48</v>
      </c>
      <c r="R31573" s="36" t="s">
        <v>48</v>
      </c>
    </row>
    <row r="31574">
      <c r="H31574" s="50"/>
      <c r="I31574" s="50"/>
      <c r="O31574" s="36" t="s">
        <v>48</v>
      </c>
      <c r="R31574" s="36" t="s">
        <v>48</v>
      </c>
    </row>
    <row r="31575">
      <c r="H31575" s="50"/>
      <c r="I31575" s="50"/>
      <c r="O31575" s="36" t="s">
        <v>48</v>
      </c>
      <c r="R31575" s="36" t="s">
        <v>48</v>
      </c>
    </row>
    <row r="31576">
      <c r="H31576" s="50"/>
      <c r="I31576" s="50"/>
      <c r="O31576" s="36" t="s">
        <v>48</v>
      </c>
      <c r="R31576" s="36" t="s">
        <v>48</v>
      </c>
    </row>
    <row r="31577">
      <c r="H31577" s="50"/>
      <c r="I31577" s="50"/>
      <c r="O31577" s="36" t="s">
        <v>48</v>
      </c>
      <c r="R31577" s="36" t="s">
        <v>48</v>
      </c>
    </row>
    <row r="31578">
      <c r="H31578" s="50"/>
      <c r="I31578" s="50"/>
      <c r="O31578" s="36" t="s">
        <v>48</v>
      </c>
      <c r="R31578" s="36" t="s">
        <v>48</v>
      </c>
    </row>
    <row r="31579">
      <c r="H31579" s="50"/>
      <c r="I31579" s="50"/>
      <c r="O31579" s="36" t="s">
        <v>48</v>
      </c>
      <c r="R31579" s="36" t="s">
        <v>48</v>
      </c>
    </row>
    <row r="31580">
      <c r="H31580" s="50"/>
      <c r="I31580" s="50"/>
      <c r="O31580" s="36" t="s">
        <v>48</v>
      </c>
      <c r="R31580" s="36" t="s">
        <v>48</v>
      </c>
    </row>
    <row r="31581">
      <c r="H31581" s="50"/>
      <c r="I31581" s="50"/>
      <c r="O31581" s="36" t="s">
        <v>48</v>
      </c>
      <c r="R31581" s="36" t="s">
        <v>48</v>
      </c>
    </row>
    <row r="31582">
      <c r="H31582" s="50"/>
      <c r="I31582" s="50"/>
      <c r="O31582" s="36" t="s">
        <v>48</v>
      </c>
      <c r="R31582" s="36" t="s">
        <v>48</v>
      </c>
    </row>
    <row r="31583">
      <c r="H31583" s="50"/>
      <c r="I31583" s="50"/>
      <c r="O31583" s="36" t="s">
        <v>48</v>
      </c>
      <c r="R31583" s="36" t="s">
        <v>48</v>
      </c>
    </row>
    <row r="31584">
      <c r="H31584" s="50"/>
      <c r="I31584" s="50"/>
      <c r="O31584" s="36" t="s">
        <v>48</v>
      </c>
      <c r="R31584" s="36" t="s">
        <v>48</v>
      </c>
    </row>
    <row r="31585">
      <c r="H31585" s="50"/>
      <c r="I31585" s="50"/>
      <c r="O31585" s="36" t="s">
        <v>48</v>
      </c>
      <c r="R31585" s="36" t="s">
        <v>48</v>
      </c>
    </row>
    <row r="31586">
      <c r="H31586" s="50"/>
      <c r="I31586" s="50"/>
      <c r="O31586" s="36" t="s">
        <v>48</v>
      </c>
      <c r="R31586" s="36" t="s">
        <v>48</v>
      </c>
    </row>
    <row r="31587">
      <c r="H31587" s="50"/>
      <c r="I31587" s="50"/>
      <c r="O31587" s="36" t="s">
        <v>48</v>
      </c>
      <c r="R31587" s="36" t="s">
        <v>48</v>
      </c>
    </row>
    <row r="31588">
      <c r="H31588" s="50"/>
      <c r="I31588" s="50"/>
      <c r="O31588" s="36" t="s">
        <v>48</v>
      </c>
      <c r="R31588" s="36" t="s">
        <v>48</v>
      </c>
    </row>
    <row r="31589">
      <c r="H31589" s="50"/>
      <c r="I31589" s="50"/>
      <c r="O31589" s="36" t="s">
        <v>48</v>
      </c>
      <c r="R31589" s="36" t="s">
        <v>48</v>
      </c>
    </row>
    <row r="31590">
      <c r="H31590" s="50"/>
      <c r="I31590" s="50"/>
      <c r="O31590" s="36" t="s">
        <v>48</v>
      </c>
      <c r="R31590" s="36" t="s">
        <v>48</v>
      </c>
    </row>
    <row r="31591">
      <c r="H31591" s="50"/>
      <c r="I31591" s="50"/>
      <c r="O31591" s="36" t="s">
        <v>48</v>
      </c>
      <c r="R31591" s="36" t="s">
        <v>48</v>
      </c>
    </row>
    <row r="31592">
      <c r="H31592" s="50"/>
      <c r="I31592" s="50"/>
      <c r="O31592" s="36" t="s">
        <v>48</v>
      </c>
      <c r="R31592" s="36" t="s">
        <v>48</v>
      </c>
    </row>
    <row r="31593">
      <c r="H31593" s="50"/>
      <c r="I31593" s="50"/>
      <c r="O31593" s="36" t="s">
        <v>48</v>
      </c>
      <c r="R31593" s="36" t="s">
        <v>48</v>
      </c>
    </row>
    <row r="31594">
      <c r="H31594" s="50"/>
      <c r="I31594" s="50"/>
      <c r="O31594" s="36" t="s">
        <v>48</v>
      </c>
      <c r="R31594" s="36" t="s">
        <v>48</v>
      </c>
    </row>
    <row r="31595">
      <c r="H31595" s="50"/>
      <c r="I31595" s="50"/>
      <c r="O31595" s="36" t="s">
        <v>48</v>
      </c>
      <c r="R31595" s="36" t="s">
        <v>48</v>
      </c>
    </row>
    <row r="31596">
      <c r="H31596" s="50"/>
      <c r="I31596" s="50"/>
      <c r="O31596" s="36" t="s">
        <v>48</v>
      </c>
      <c r="R31596" s="36" t="s">
        <v>48</v>
      </c>
    </row>
    <row r="31597">
      <c r="H31597" s="50"/>
      <c r="I31597" s="50"/>
      <c r="O31597" s="36" t="s">
        <v>48</v>
      </c>
      <c r="R31597" s="36" t="s">
        <v>48</v>
      </c>
    </row>
    <row r="31598">
      <c r="H31598" s="50"/>
      <c r="I31598" s="50"/>
      <c r="O31598" s="36" t="s">
        <v>48</v>
      </c>
      <c r="R31598" s="36" t="s">
        <v>48</v>
      </c>
    </row>
    <row r="31599">
      <c r="H31599" s="50"/>
      <c r="I31599" s="50"/>
      <c r="O31599" s="36" t="s">
        <v>48</v>
      </c>
      <c r="R31599" s="36" t="s">
        <v>48</v>
      </c>
    </row>
    <row r="31600">
      <c r="H31600" s="50"/>
      <c r="I31600" s="50"/>
      <c r="O31600" s="36" t="s">
        <v>48</v>
      </c>
      <c r="R31600" s="36" t="s">
        <v>48</v>
      </c>
    </row>
    <row r="31601">
      <c r="H31601" s="50"/>
      <c r="I31601" s="50"/>
      <c r="O31601" s="36" t="s">
        <v>48</v>
      </c>
      <c r="R31601" s="36" t="s">
        <v>48</v>
      </c>
    </row>
    <row r="31602">
      <c r="H31602" s="50"/>
      <c r="I31602" s="50"/>
      <c r="O31602" s="36" t="s">
        <v>48</v>
      </c>
      <c r="R31602" s="36" t="s">
        <v>48</v>
      </c>
    </row>
    <row r="31603">
      <c r="H31603" s="50"/>
      <c r="I31603" s="50"/>
      <c r="O31603" s="36" t="s">
        <v>48</v>
      </c>
      <c r="R31603" s="36" t="s">
        <v>48</v>
      </c>
    </row>
    <row r="31604">
      <c r="H31604" s="50"/>
      <c r="I31604" s="50"/>
      <c r="O31604" s="36" t="s">
        <v>48</v>
      </c>
      <c r="R31604" s="36" t="s">
        <v>48</v>
      </c>
    </row>
    <row r="31605">
      <c r="H31605" s="50"/>
      <c r="I31605" s="50"/>
      <c r="O31605" s="36" t="s">
        <v>48</v>
      </c>
      <c r="R31605" s="36" t="s">
        <v>48</v>
      </c>
    </row>
    <row r="31606">
      <c r="H31606" s="50"/>
      <c r="I31606" s="50"/>
      <c r="O31606" s="36" t="s">
        <v>48</v>
      </c>
      <c r="R31606" s="36" t="s">
        <v>48</v>
      </c>
    </row>
    <row r="31607">
      <c r="H31607" s="50"/>
      <c r="I31607" s="50"/>
      <c r="O31607" s="36" t="s">
        <v>48</v>
      </c>
      <c r="R31607" s="36" t="s">
        <v>48</v>
      </c>
    </row>
    <row r="31608">
      <c r="H31608" s="50"/>
      <c r="I31608" s="50"/>
      <c r="O31608" s="36" t="s">
        <v>48</v>
      </c>
      <c r="R31608" s="36" t="s">
        <v>48</v>
      </c>
    </row>
    <row r="31609">
      <c r="H31609" s="50"/>
      <c r="I31609" s="50"/>
      <c r="O31609" s="36" t="s">
        <v>48</v>
      </c>
      <c r="R31609" s="36" t="s">
        <v>48</v>
      </c>
    </row>
    <row r="31610">
      <c r="H31610" s="50"/>
      <c r="I31610" s="50"/>
      <c r="O31610" s="36" t="s">
        <v>48</v>
      </c>
      <c r="R31610" s="36" t="s">
        <v>48</v>
      </c>
    </row>
    <row r="31611">
      <c r="H31611" s="50"/>
      <c r="I31611" s="50"/>
      <c r="O31611" s="36" t="s">
        <v>48</v>
      </c>
      <c r="R31611" s="36" t="s">
        <v>48</v>
      </c>
    </row>
    <row r="31612">
      <c r="H31612" s="50"/>
      <c r="I31612" s="50"/>
      <c r="O31612" s="36" t="s">
        <v>48</v>
      </c>
      <c r="R31612" s="36" t="s">
        <v>48</v>
      </c>
    </row>
    <row r="31613">
      <c r="H31613" s="50"/>
      <c r="I31613" s="50"/>
      <c r="O31613" s="36" t="s">
        <v>48</v>
      </c>
      <c r="R31613" s="36" t="s">
        <v>48</v>
      </c>
    </row>
    <row r="31614">
      <c r="H31614" s="50"/>
      <c r="I31614" s="50"/>
      <c r="O31614" s="36" t="s">
        <v>48</v>
      </c>
      <c r="R31614" s="36" t="s">
        <v>48</v>
      </c>
    </row>
    <row r="31615">
      <c r="H31615" s="50"/>
      <c r="I31615" s="50"/>
      <c r="O31615" s="36" t="s">
        <v>48</v>
      </c>
      <c r="R31615" s="36" t="s">
        <v>48</v>
      </c>
    </row>
    <row r="31616">
      <c r="H31616" s="50"/>
      <c r="I31616" s="50"/>
      <c r="O31616" s="36" t="s">
        <v>48</v>
      </c>
      <c r="R31616" s="36" t="s">
        <v>48</v>
      </c>
    </row>
    <row r="31617">
      <c r="H31617" s="50"/>
      <c r="I31617" s="50"/>
      <c r="O31617" s="36" t="s">
        <v>48</v>
      </c>
      <c r="R31617" s="36" t="s">
        <v>48</v>
      </c>
    </row>
    <row r="31618">
      <c r="H31618" s="50"/>
      <c r="I31618" s="50"/>
      <c r="O31618" s="36" t="s">
        <v>48</v>
      </c>
      <c r="R31618" s="36" t="s">
        <v>48</v>
      </c>
    </row>
    <row r="31619">
      <c r="H31619" s="50"/>
      <c r="I31619" s="50"/>
      <c r="O31619" s="36" t="s">
        <v>48</v>
      </c>
      <c r="R31619" s="36" t="s">
        <v>48</v>
      </c>
    </row>
    <row r="31620">
      <c r="H31620" s="50"/>
      <c r="I31620" s="50"/>
      <c r="O31620" s="36" t="s">
        <v>48</v>
      </c>
      <c r="R31620" s="36" t="s">
        <v>48</v>
      </c>
    </row>
    <row r="31621">
      <c r="H31621" s="50"/>
      <c r="I31621" s="50"/>
      <c r="O31621" s="36" t="s">
        <v>48</v>
      </c>
      <c r="R31621" s="36" t="s">
        <v>48</v>
      </c>
    </row>
    <row r="31622">
      <c r="H31622" s="50"/>
      <c r="I31622" s="50"/>
      <c r="O31622" s="36" t="s">
        <v>48</v>
      </c>
      <c r="R31622" s="36" t="s">
        <v>48</v>
      </c>
    </row>
    <row r="31623">
      <c r="H31623" s="50"/>
      <c r="I31623" s="50"/>
      <c r="O31623" s="36" t="s">
        <v>48</v>
      </c>
      <c r="R31623" s="36" t="s">
        <v>48</v>
      </c>
    </row>
    <row r="31624">
      <c r="H31624" s="50"/>
      <c r="I31624" s="50"/>
      <c r="O31624" s="36" t="s">
        <v>48</v>
      </c>
      <c r="R31624" s="36" t="s">
        <v>48</v>
      </c>
    </row>
    <row r="31625">
      <c r="H31625" s="50"/>
      <c r="I31625" s="50"/>
      <c r="O31625" s="36" t="s">
        <v>48</v>
      </c>
      <c r="R31625" s="36" t="s">
        <v>48</v>
      </c>
    </row>
    <row r="31626">
      <c r="H31626" s="50"/>
      <c r="I31626" s="50"/>
      <c r="O31626" s="36" t="s">
        <v>48</v>
      </c>
      <c r="R31626" s="36" t="s">
        <v>48</v>
      </c>
    </row>
    <row r="31627">
      <c r="H31627" s="50"/>
      <c r="I31627" s="50"/>
      <c r="O31627" s="36" t="s">
        <v>48</v>
      </c>
      <c r="R31627" s="36" t="s">
        <v>48</v>
      </c>
    </row>
    <row r="31628">
      <c r="H31628" s="50"/>
      <c r="I31628" s="50"/>
      <c r="O31628" s="36" t="s">
        <v>48</v>
      </c>
      <c r="R31628" s="36" t="s">
        <v>48</v>
      </c>
    </row>
    <row r="31629">
      <c r="H31629" s="50"/>
      <c r="I31629" s="50"/>
      <c r="O31629" s="36" t="s">
        <v>48</v>
      </c>
      <c r="R31629" s="36" t="s">
        <v>48</v>
      </c>
    </row>
    <row r="31630">
      <c r="H31630" s="50"/>
      <c r="I31630" s="50"/>
      <c r="O31630" s="36" t="s">
        <v>48</v>
      </c>
      <c r="R31630" s="36" t="s">
        <v>48</v>
      </c>
    </row>
    <row r="31631">
      <c r="H31631" s="50"/>
      <c r="I31631" s="50"/>
      <c r="O31631" s="36" t="s">
        <v>48</v>
      </c>
      <c r="R31631" s="36" t="s">
        <v>48</v>
      </c>
    </row>
    <row r="31632">
      <c r="H31632" s="50"/>
      <c r="I31632" s="50"/>
      <c r="O31632" s="36" t="s">
        <v>48</v>
      </c>
      <c r="R31632" s="36" t="s">
        <v>48</v>
      </c>
    </row>
    <row r="31633">
      <c r="H31633" s="50"/>
      <c r="I31633" s="50"/>
      <c r="O31633" s="36" t="s">
        <v>48</v>
      </c>
      <c r="R31633" s="36" t="s">
        <v>48</v>
      </c>
    </row>
    <row r="31634">
      <c r="H31634" s="50"/>
      <c r="I31634" s="50"/>
      <c r="O31634" s="36" t="s">
        <v>48</v>
      </c>
      <c r="R31634" s="36" t="s">
        <v>48</v>
      </c>
    </row>
    <row r="31635">
      <c r="H31635" s="50"/>
      <c r="I31635" s="50"/>
      <c r="O31635" s="36" t="s">
        <v>48</v>
      </c>
      <c r="R31635" s="36" t="s">
        <v>48</v>
      </c>
    </row>
    <row r="31636">
      <c r="H31636" s="50"/>
      <c r="I31636" s="50"/>
      <c r="O31636" s="36" t="s">
        <v>48</v>
      </c>
      <c r="R31636" s="36" t="s">
        <v>48</v>
      </c>
    </row>
    <row r="31637">
      <c r="H31637" s="50"/>
      <c r="I31637" s="50"/>
      <c r="O31637" s="36" t="s">
        <v>48</v>
      </c>
      <c r="R31637" s="36" t="s">
        <v>48</v>
      </c>
    </row>
    <row r="31638">
      <c r="H31638" s="50"/>
      <c r="I31638" s="50"/>
      <c r="O31638" s="36" t="s">
        <v>48</v>
      </c>
      <c r="R31638" s="36" t="s">
        <v>48</v>
      </c>
    </row>
    <row r="31639">
      <c r="H31639" s="50"/>
      <c r="I31639" s="50"/>
      <c r="O31639" s="36" t="s">
        <v>48</v>
      </c>
      <c r="R31639" s="36" t="s">
        <v>48</v>
      </c>
    </row>
    <row r="31640">
      <c r="H31640" s="50"/>
      <c r="I31640" s="50"/>
      <c r="O31640" s="36" t="s">
        <v>48</v>
      </c>
      <c r="R31640" s="36" t="s">
        <v>48</v>
      </c>
    </row>
    <row r="31641">
      <c r="H31641" s="50"/>
      <c r="I31641" s="50"/>
      <c r="O31641" s="36" t="s">
        <v>48</v>
      </c>
      <c r="R31641" s="36" t="s">
        <v>48</v>
      </c>
    </row>
    <row r="31642">
      <c r="H31642" s="50"/>
      <c r="I31642" s="50"/>
      <c r="O31642" s="36" t="s">
        <v>48</v>
      </c>
      <c r="R31642" s="36" t="s">
        <v>48</v>
      </c>
    </row>
    <row r="31643">
      <c r="H31643" s="50"/>
      <c r="I31643" s="50"/>
      <c r="O31643" s="36" t="s">
        <v>48</v>
      </c>
      <c r="R31643" s="36" t="s">
        <v>48</v>
      </c>
    </row>
    <row r="31644">
      <c r="H31644" s="50"/>
      <c r="I31644" s="50"/>
      <c r="O31644" s="36" t="s">
        <v>48</v>
      </c>
      <c r="R31644" s="36" t="s">
        <v>48</v>
      </c>
    </row>
    <row r="31645">
      <c r="H31645" s="50"/>
      <c r="I31645" s="50"/>
      <c r="O31645" s="36" t="s">
        <v>48</v>
      </c>
      <c r="R31645" s="36" t="s">
        <v>48</v>
      </c>
    </row>
    <row r="31646">
      <c r="H31646" s="50"/>
      <c r="I31646" s="50"/>
      <c r="O31646" s="36" t="s">
        <v>48</v>
      </c>
      <c r="R31646" s="36" t="s">
        <v>48</v>
      </c>
    </row>
    <row r="31647">
      <c r="H31647" s="50"/>
      <c r="I31647" s="50"/>
      <c r="O31647" s="36" t="s">
        <v>48</v>
      </c>
      <c r="R31647" s="36" t="s">
        <v>48</v>
      </c>
    </row>
    <row r="31648">
      <c r="H31648" s="50"/>
      <c r="I31648" s="50"/>
      <c r="O31648" s="36" t="s">
        <v>48</v>
      </c>
      <c r="R31648" s="36" t="s">
        <v>48</v>
      </c>
    </row>
    <row r="31649">
      <c r="H31649" s="50"/>
      <c r="I31649" s="50"/>
      <c r="O31649" s="36" t="s">
        <v>48</v>
      </c>
      <c r="R31649" s="36" t="s">
        <v>48</v>
      </c>
    </row>
    <row r="31650">
      <c r="H31650" s="50"/>
      <c r="I31650" s="50"/>
      <c r="O31650" s="36" t="s">
        <v>48</v>
      </c>
      <c r="R31650" s="36" t="s">
        <v>48</v>
      </c>
    </row>
    <row r="31651">
      <c r="H31651" s="50"/>
      <c r="I31651" s="50"/>
      <c r="O31651" s="36" t="s">
        <v>48</v>
      </c>
      <c r="R31651" s="36" t="s">
        <v>48</v>
      </c>
    </row>
    <row r="31652">
      <c r="H31652" s="50"/>
      <c r="I31652" s="50"/>
      <c r="O31652" s="36" t="s">
        <v>48</v>
      </c>
      <c r="R31652" s="36" t="s">
        <v>48</v>
      </c>
    </row>
    <row r="31653">
      <c r="H31653" s="50"/>
      <c r="I31653" s="50"/>
      <c r="O31653" s="36" t="s">
        <v>48</v>
      </c>
      <c r="R31653" s="36" t="s">
        <v>48</v>
      </c>
    </row>
    <row r="31654">
      <c r="H31654" s="50"/>
      <c r="I31654" s="50"/>
      <c r="O31654" s="36" t="s">
        <v>48</v>
      </c>
      <c r="R31654" s="36" t="s">
        <v>48</v>
      </c>
    </row>
    <row r="31655">
      <c r="H31655" s="50"/>
      <c r="I31655" s="50"/>
      <c r="O31655" s="36" t="s">
        <v>48</v>
      </c>
      <c r="R31655" s="36" t="s">
        <v>48</v>
      </c>
    </row>
    <row r="31656">
      <c r="H31656" s="50"/>
      <c r="I31656" s="50"/>
      <c r="O31656" s="36" t="s">
        <v>48</v>
      </c>
      <c r="R31656" s="36" t="s">
        <v>48</v>
      </c>
    </row>
    <row r="31657">
      <c r="H31657" s="50"/>
      <c r="I31657" s="50"/>
      <c r="O31657" s="36" t="s">
        <v>48</v>
      </c>
      <c r="R31657" s="36" t="s">
        <v>48</v>
      </c>
    </row>
    <row r="31658">
      <c r="H31658" s="50"/>
      <c r="I31658" s="50"/>
      <c r="O31658" s="36" t="s">
        <v>48</v>
      </c>
      <c r="R31658" s="36" t="s">
        <v>48</v>
      </c>
    </row>
    <row r="31659">
      <c r="H31659" s="50"/>
      <c r="I31659" s="50"/>
      <c r="O31659" s="36" t="s">
        <v>48</v>
      </c>
      <c r="R31659" s="36" t="s">
        <v>48</v>
      </c>
    </row>
    <row r="31660">
      <c r="H31660" s="50"/>
      <c r="I31660" s="50"/>
      <c r="O31660" s="36" t="s">
        <v>48</v>
      </c>
      <c r="R31660" s="36" t="s">
        <v>48</v>
      </c>
    </row>
    <row r="31661">
      <c r="H31661" s="50"/>
      <c r="I31661" s="50"/>
      <c r="O31661" s="36" t="s">
        <v>48</v>
      </c>
      <c r="R31661" s="36" t="s">
        <v>48</v>
      </c>
    </row>
    <row r="31662">
      <c r="H31662" s="50"/>
      <c r="I31662" s="50"/>
      <c r="O31662" s="36" t="s">
        <v>48</v>
      </c>
      <c r="R31662" s="36" t="s">
        <v>48</v>
      </c>
    </row>
    <row r="31663">
      <c r="H31663" s="50"/>
      <c r="I31663" s="50"/>
      <c r="O31663" s="36" t="s">
        <v>48</v>
      </c>
      <c r="R31663" s="36" t="s">
        <v>48</v>
      </c>
    </row>
    <row r="31664">
      <c r="H31664" s="50"/>
      <c r="I31664" s="50"/>
      <c r="O31664" s="36" t="s">
        <v>48</v>
      </c>
      <c r="R31664" s="36" t="s">
        <v>48</v>
      </c>
    </row>
    <row r="31665">
      <c r="H31665" s="50"/>
      <c r="I31665" s="50"/>
      <c r="O31665" s="36" t="s">
        <v>48</v>
      </c>
      <c r="R31665" s="36" t="s">
        <v>48</v>
      </c>
    </row>
    <row r="31666">
      <c r="H31666" s="50"/>
      <c r="I31666" s="50"/>
      <c r="O31666" s="36" t="s">
        <v>48</v>
      </c>
      <c r="R31666" s="36" t="s">
        <v>48</v>
      </c>
    </row>
    <row r="31667">
      <c r="H31667" s="50"/>
      <c r="I31667" s="50"/>
      <c r="O31667" s="36" t="s">
        <v>48</v>
      </c>
      <c r="R31667" s="36" t="s">
        <v>48</v>
      </c>
    </row>
    <row r="31668">
      <c r="H31668" s="50"/>
      <c r="I31668" s="50"/>
      <c r="O31668" s="36" t="s">
        <v>48</v>
      </c>
      <c r="R31668" s="36" t="s">
        <v>48</v>
      </c>
    </row>
    <row r="31669">
      <c r="H31669" s="50"/>
      <c r="I31669" s="50"/>
      <c r="O31669" s="36" t="s">
        <v>48</v>
      </c>
      <c r="R31669" s="36" t="s">
        <v>48</v>
      </c>
    </row>
    <row r="31670">
      <c r="H31670" s="50"/>
      <c r="I31670" s="50"/>
      <c r="O31670" s="36" t="s">
        <v>48</v>
      </c>
      <c r="R31670" s="36" t="s">
        <v>48</v>
      </c>
    </row>
    <row r="31671">
      <c r="H31671" s="50"/>
      <c r="I31671" s="50"/>
      <c r="O31671" s="36" t="s">
        <v>48</v>
      </c>
      <c r="R31671" s="36" t="s">
        <v>48</v>
      </c>
    </row>
    <row r="31672">
      <c r="H31672" s="50"/>
      <c r="I31672" s="50"/>
      <c r="O31672" s="36" t="s">
        <v>48</v>
      </c>
      <c r="R31672" s="36" t="s">
        <v>48</v>
      </c>
    </row>
    <row r="31673">
      <c r="H31673" s="50"/>
      <c r="I31673" s="50"/>
      <c r="O31673" s="36" t="s">
        <v>48</v>
      </c>
      <c r="R31673" s="36" t="s">
        <v>48</v>
      </c>
    </row>
    <row r="31674">
      <c r="H31674" s="50"/>
      <c r="I31674" s="50"/>
      <c r="O31674" s="36" t="s">
        <v>48</v>
      </c>
      <c r="R31674" s="36" t="s">
        <v>48</v>
      </c>
    </row>
    <row r="31675">
      <c r="H31675" s="50"/>
      <c r="I31675" s="50"/>
      <c r="O31675" s="36" t="s">
        <v>48</v>
      </c>
      <c r="R31675" s="36" t="s">
        <v>48</v>
      </c>
    </row>
    <row r="31676">
      <c r="H31676" s="50"/>
      <c r="I31676" s="50"/>
      <c r="O31676" s="36" t="s">
        <v>48</v>
      </c>
      <c r="R31676" s="36" t="s">
        <v>48</v>
      </c>
    </row>
    <row r="31677">
      <c r="H31677" s="50"/>
      <c r="I31677" s="50"/>
      <c r="O31677" s="36" t="s">
        <v>48</v>
      </c>
      <c r="R31677" s="36" t="s">
        <v>48</v>
      </c>
    </row>
    <row r="31678">
      <c r="H31678" s="50"/>
      <c r="I31678" s="50"/>
      <c r="O31678" s="36" t="s">
        <v>48</v>
      </c>
      <c r="R31678" s="36" t="s">
        <v>48</v>
      </c>
    </row>
    <row r="31679">
      <c r="H31679" s="50"/>
      <c r="I31679" s="50"/>
      <c r="O31679" s="36" t="s">
        <v>48</v>
      </c>
      <c r="R31679" s="36" t="s">
        <v>48</v>
      </c>
    </row>
    <row r="31680">
      <c r="H31680" s="50"/>
      <c r="I31680" s="50"/>
      <c r="O31680" s="36" t="s">
        <v>48</v>
      </c>
      <c r="R31680" s="36" t="s">
        <v>48</v>
      </c>
    </row>
    <row r="31681">
      <c r="H31681" s="50"/>
      <c r="I31681" s="50"/>
      <c r="O31681" s="36" t="s">
        <v>48</v>
      </c>
      <c r="R31681" s="36" t="s">
        <v>48</v>
      </c>
    </row>
    <row r="31682">
      <c r="H31682" s="50"/>
      <c r="I31682" s="50"/>
      <c r="O31682" s="36" t="s">
        <v>48</v>
      </c>
      <c r="R31682" s="36" t="s">
        <v>48</v>
      </c>
    </row>
    <row r="31683">
      <c r="H31683" s="50"/>
      <c r="I31683" s="50"/>
      <c r="O31683" s="36" t="s">
        <v>48</v>
      </c>
      <c r="R31683" s="36" t="s">
        <v>48</v>
      </c>
    </row>
    <row r="31684">
      <c r="H31684" s="50"/>
      <c r="I31684" s="50"/>
      <c r="O31684" s="36" t="s">
        <v>48</v>
      </c>
      <c r="R31684" s="36" t="s">
        <v>48</v>
      </c>
    </row>
    <row r="31685">
      <c r="H31685" s="50"/>
      <c r="I31685" s="50"/>
      <c r="O31685" s="36" t="s">
        <v>48</v>
      </c>
      <c r="R31685" s="36" t="s">
        <v>48</v>
      </c>
    </row>
    <row r="31686">
      <c r="H31686" s="50"/>
      <c r="I31686" s="50"/>
      <c r="O31686" s="36" t="s">
        <v>48</v>
      </c>
      <c r="R31686" s="36" t="s">
        <v>48</v>
      </c>
    </row>
    <row r="31687">
      <c r="H31687" s="50"/>
      <c r="I31687" s="50"/>
      <c r="O31687" s="36" t="s">
        <v>48</v>
      </c>
      <c r="R31687" s="36" t="s">
        <v>48</v>
      </c>
    </row>
    <row r="31688">
      <c r="H31688" s="50"/>
      <c r="I31688" s="50"/>
      <c r="O31688" s="36" t="s">
        <v>48</v>
      </c>
      <c r="R31688" s="36" t="s">
        <v>48</v>
      </c>
    </row>
    <row r="31689">
      <c r="H31689" s="50"/>
      <c r="I31689" s="50"/>
      <c r="O31689" s="36" t="s">
        <v>48</v>
      </c>
      <c r="R31689" s="36" t="s">
        <v>48</v>
      </c>
    </row>
    <row r="31690">
      <c r="H31690" s="50"/>
      <c r="I31690" s="50"/>
      <c r="O31690" s="36" t="s">
        <v>48</v>
      </c>
      <c r="R31690" s="36" t="s">
        <v>48</v>
      </c>
    </row>
    <row r="31691">
      <c r="H31691" s="50"/>
      <c r="I31691" s="50"/>
      <c r="O31691" s="36" t="s">
        <v>48</v>
      </c>
      <c r="R31691" s="36" t="s">
        <v>48</v>
      </c>
    </row>
    <row r="31692">
      <c r="H31692" s="50"/>
      <c r="I31692" s="50"/>
      <c r="O31692" s="36" t="s">
        <v>48</v>
      </c>
      <c r="R31692" s="36" t="s">
        <v>48</v>
      </c>
    </row>
    <row r="31693">
      <c r="H31693" s="50"/>
      <c r="I31693" s="50"/>
      <c r="O31693" s="36" t="s">
        <v>48</v>
      </c>
      <c r="R31693" s="36" t="s">
        <v>48</v>
      </c>
    </row>
    <row r="31694">
      <c r="H31694" s="50"/>
      <c r="I31694" s="50"/>
      <c r="O31694" s="36" t="s">
        <v>48</v>
      </c>
      <c r="R31694" s="36" t="s">
        <v>48</v>
      </c>
    </row>
    <row r="31695">
      <c r="H31695" s="50"/>
      <c r="I31695" s="50"/>
      <c r="O31695" s="36" t="s">
        <v>48</v>
      </c>
      <c r="R31695" s="36" t="s">
        <v>48</v>
      </c>
    </row>
    <row r="31696">
      <c r="H31696" s="50"/>
      <c r="I31696" s="50"/>
      <c r="O31696" s="36" t="s">
        <v>48</v>
      </c>
      <c r="R31696" s="36" t="s">
        <v>48</v>
      </c>
    </row>
    <row r="31697">
      <c r="H31697" s="50"/>
      <c r="I31697" s="50"/>
      <c r="O31697" s="36" t="s">
        <v>48</v>
      </c>
      <c r="R31697" s="36" t="s">
        <v>48</v>
      </c>
    </row>
    <row r="31698">
      <c r="H31698" s="50"/>
      <c r="I31698" s="50"/>
      <c r="O31698" s="36" t="s">
        <v>48</v>
      </c>
      <c r="R31698" s="36" t="s">
        <v>48</v>
      </c>
    </row>
    <row r="31699">
      <c r="H31699" s="50"/>
      <c r="I31699" s="50"/>
      <c r="O31699" s="36" t="s">
        <v>48</v>
      </c>
      <c r="R31699" s="36" t="s">
        <v>48</v>
      </c>
    </row>
    <row r="31700">
      <c r="H31700" s="50"/>
      <c r="I31700" s="50"/>
      <c r="O31700" s="36" t="s">
        <v>48</v>
      </c>
      <c r="R31700" s="36" t="s">
        <v>48</v>
      </c>
    </row>
    <row r="31701">
      <c r="H31701" s="50"/>
      <c r="I31701" s="50"/>
      <c r="O31701" s="36" t="s">
        <v>48</v>
      </c>
      <c r="R31701" s="36" t="s">
        <v>48</v>
      </c>
    </row>
    <row r="31702">
      <c r="H31702" s="50"/>
      <c r="I31702" s="50"/>
      <c r="O31702" s="36" t="s">
        <v>48</v>
      </c>
      <c r="R31702" s="36" t="s">
        <v>48</v>
      </c>
    </row>
    <row r="31703">
      <c r="H31703" s="50"/>
      <c r="I31703" s="50"/>
      <c r="O31703" s="36" t="s">
        <v>48</v>
      </c>
      <c r="R31703" s="36" t="s">
        <v>48</v>
      </c>
    </row>
    <row r="31704">
      <c r="H31704" s="50"/>
      <c r="I31704" s="50"/>
      <c r="O31704" s="36" t="s">
        <v>48</v>
      </c>
      <c r="R31704" s="36" t="s">
        <v>48</v>
      </c>
    </row>
    <row r="31705">
      <c r="H31705" s="50"/>
      <c r="I31705" s="50"/>
      <c r="O31705" s="36" t="s">
        <v>48</v>
      </c>
      <c r="R31705" s="36" t="s">
        <v>48</v>
      </c>
    </row>
    <row r="31706">
      <c r="H31706" s="50"/>
      <c r="I31706" s="50"/>
      <c r="O31706" s="36" t="s">
        <v>48</v>
      </c>
      <c r="R31706" s="36" t="s">
        <v>48</v>
      </c>
    </row>
    <row r="31707">
      <c r="H31707" s="50"/>
      <c r="I31707" s="50"/>
      <c r="O31707" s="36" t="s">
        <v>48</v>
      </c>
      <c r="R31707" s="36" t="s">
        <v>48</v>
      </c>
    </row>
    <row r="31708">
      <c r="H31708" s="50"/>
      <c r="I31708" s="50"/>
      <c r="O31708" s="36" t="s">
        <v>48</v>
      </c>
      <c r="R31708" s="36" t="s">
        <v>48</v>
      </c>
    </row>
    <row r="31709">
      <c r="H31709" s="50"/>
      <c r="I31709" s="50"/>
      <c r="O31709" s="36" t="s">
        <v>48</v>
      </c>
      <c r="R31709" s="36" t="s">
        <v>48</v>
      </c>
    </row>
    <row r="31710">
      <c r="H31710" s="50"/>
      <c r="I31710" s="50"/>
      <c r="O31710" s="36" t="s">
        <v>48</v>
      </c>
      <c r="R31710" s="36" t="s">
        <v>48</v>
      </c>
    </row>
    <row r="31711">
      <c r="H31711" s="50"/>
      <c r="I31711" s="50"/>
      <c r="O31711" s="36" t="s">
        <v>48</v>
      </c>
      <c r="R31711" s="36" t="s">
        <v>48</v>
      </c>
    </row>
    <row r="31712">
      <c r="H31712" s="50"/>
      <c r="I31712" s="50"/>
      <c r="O31712" s="36" t="s">
        <v>48</v>
      </c>
      <c r="R31712" s="36" t="s">
        <v>48</v>
      </c>
    </row>
    <row r="31713">
      <c r="H31713" s="50"/>
      <c r="I31713" s="50"/>
      <c r="O31713" s="36" t="s">
        <v>48</v>
      </c>
      <c r="R31713" s="36" t="s">
        <v>48</v>
      </c>
    </row>
    <row r="31714">
      <c r="H31714" s="50"/>
      <c r="I31714" s="50"/>
      <c r="O31714" s="36" t="s">
        <v>48</v>
      </c>
      <c r="R31714" s="36" t="s">
        <v>48</v>
      </c>
    </row>
    <row r="31715">
      <c r="H31715" s="50"/>
      <c r="I31715" s="50"/>
      <c r="O31715" s="36" t="s">
        <v>48</v>
      </c>
      <c r="R31715" s="36" t="s">
        <v>48</v>
      </c>
    </row>
    <row r="31716">
      <c r="H31716" s="50"/>
      <c r="I31716" s="50"/>
      <c r="O31716" s="36" t="s">
        <v>48</v>
      </c>
      <c r="R31716" s="36" t="s">
        <v>48</v>
      </c>
    </row>
    <row r="31717">
      <c r="H31717" s="50"/>
      <c r="I31717" s="50"/>
      <c r="O31717" s="36" t="s">
        <v>48</v>
      </c>
      <c r="R31717" s="36" t="s">
        <v>48</v>
      </c>
    </row>
    <row r="31718">
      <c r="H31718" s="50"/>
      <c r="I31718" s="50"/>
      <c r="O31718" s="36" t="s">
        <v>48</v>
      </c>
      <c r="R31718" s="36" t="s">
        <v>48</v>
      </c>
    </row>
    <row r="31719">
      <c r="H31719" s="50"/>
      <c r="I31719" s="50"/>
      <c r="O31719" s="36" t="s">
        <v>48</v>
      </c>
      <c r="R31719" s="36" t="s">
        <v>48</v>
      </c>
    </row>
    <row r="31720">
      <c r="H31720" s="50"/>
      <c r="I31720" s="50"/>
      <c r="O31720" s="36" t="s">
        <v>48</v>
      </c>
      <c r="R31720" s="36" t="s">
        <v>48</v>
      </c>
    </row>
    <row r="31721">
      <c r="H31721" s="50"/>
      <c r="I31721" s="50"/>
      <c r="O31721" s="36" t="s">
        <v>48</v>
      </c>
      <c r="R31721" s="36" t="s">
        <v>48</v>
      </c>
    </row>
    <row r="31722">
      <c r="H31722" s="50"/>
      <c r="I31722" s="50"/>
      <c r="O31722" s="36" t="s">
        <v>48</v>
      </c>
      <c r="R31722" s="36" t="s">
        <v>48</v>
      </c>
    </row>
    <row r="31723">
      <c r="H31723" s="50"/>
      <c r="I31723" s="50"/>
      <c r="O31723" s="36" t="s">
        <v>48</v>
      </c>
      <c r="R31723" s="36" t="s">
        <v>48</v>
      </c>
    </row>
    <row r="31724">
      <c r="H31724" s="50"/>
      <c r="I31724" s="50"/>
      <c r="O31724" s="36" t="s">
        <v>48</v>
      </c>
      <c r="R31724" s="36" t="s">
        <v>48</v>
      </c>
    </row>
    <row r="31725">
      <c r="H31725" s="50"/>
      <c r="I31725" s="50"/>
      <c r="O31725" s="36" t="s">
        <v>48</v>
      </c>
      <c r="R31725" s="36" t="s">
        <v>48</v>
      </c>
    </row>
    <row r="31726">
      <c r="H31726" s="50"/>
      <c r="I31726" s="50"/>
      <c r="O31726" s="36" t="s">
        <v>48</v>
      </c>
      <c r="R31726" s="36" t="s">
        <v>48</v>
      </c>
    </row>
    <row r="31727">
      <c r="H31727" s="50"/>
      <c r="I31727" s="50"/>
      <c r="O31727" s="36" t="s">
        <v>48</v>
      </c>
      <c r="R31727" s="36" t="s">
        <v>48</v>
      </c>
    </row>
    <row r="31728">
      <c r="H31728" s="50"/>
      <c r="I31728" s="50"/>
      <c r="O31728" s="36" t="s">
        <v>48</v>
      </c>
      <c r="R31728" s="36" t="s">
        <v>48</v>
      </c>
    </row>
    <row r="31729">
      <c r="H31729" s="50"/>
      <c r="I31729" s="50"/>
      <c r="O31729" s="36" t="s">
        <v>48</v>
      </c>
      <c r="R31729" s="36" t="s">
        <v>48</v>
      </c>
    </row>
    <row r="31730">
      <c r="H31730" s="50"/>
      <c r="I31730" s="50"/>
      <c r="O31730" s="36" t="s">
        <v>48</v>
      </c>
      <c r="R31730" s="36" t="s">
        <v>48</v>
      </c>
    </row>
    <row r="31731">
      <c r="H31731" s="50"/>
      <c r="I31731" s="50"/>
      <c r="O31731" s="36" t="s">
        <v>48</v>
      </c>
      <c r="R31731" s="36" t="s">
        <v>48</v>
      </c>
    </row>
    <row r="31732">
      <c r="H31732" s="50"/>
      <c r="I31732" s="50"/>
      <c r="O31732" s="36" t="s">
        <v>48</v>
      </c>
      <c r="R31732" s="36" t="s">
        <v>48</v>
      </c>
    </row>
    <row r="31733">
      <c r="H31733" s="50"/>
      <c r="I31733" s="50"/>
      <c r="O31733" s="36" t="s">
        <v>48</v>
      </c>
      <c r="R31733" s="36" t="s">
        <v>48</v>
      </c>
    </row>
    <row r="31734">
      <c r="H31734" s="50"/>
      <c r="I31734" s="50"/>
      <c r="O31734" s="36" t="s">
        <v>48</v>
      </c>
      <c r="R31734" s="36" t="s">
        <v>48</v>
      </c>
    </row>
    <row r="31735">
      <c r="H31735" s="50"/>
      <c r="I31735" s="50"/>
      <c r="O31735" s="36" t="s">
        <v>48</v>
      </c>
      <c r="R31735" s="36" t="s">
        <v>48</v>
      </c>
    </row>
    <row r="31736">
      <c r="H31736" s="50"/>
      <c r="I31736" s="50"/>
      <c r="O31736" s="36" t="s">
        <v>48</v>
      </c>
      <c r="R31736" s="36" t="s">
        <v>48</v>
      </c>
    </row>
    <row r="31737">
      <c r="H31737" s="50"/>
      <c r="I31737" s="50"/>
      <c r="O31737" s="36" t="s">
        <v>48</v>
      </c>
      <c r="R31737" s="36" t="s">
        <v>48</v>
      </c>
    </row>
    <row r="31738">
      <c r="H31738" s="50"/>
      <c r="I31738" s="50"/>
      <c r="O31738" s="36" t="s">
        <v>48</v>
      </c>
      <c r="R31738" s="36" t="s">
        <v>48</v>
      </c>
    </row>
    <row r="31739">
      <c r="H31739" s="50"/>
      <c r="I31739" s="50"/>
      <c r="O31739" s="36" t="s">
        <v>48</v>
      </c>
      <c r="R31739" s="36" t="s">
        <v>48</v>
      </c>
    </row>
    <row r="31740">
      <c r="H31740" s="50"/>
      <c r="I31740" s="50"/>
      <c r="O31740" s="36" t="s">
        <v>48</v>
      </c>
      <c r="R31740" s="36" t="s">
        <v>48</v>
      </c>
    </row>
    <row r="31741">
      <c r="H31741" s="50"/>
      <c r="I31741" s="50"/>
      <c r="O31741" s="36" t="s">
        <v>48</v>
      </c>
      <c r="R31741" s="36" t="s">
        <v>48</v>
      </c>
    </row>
    <row r="31742">
      <c r="H31742" s="50"/>
      <c r="I31742" s="50"/>
      <c r="O31742" s="36" t="s">
        <v>48</v>
      </c>
      <c r="R31742" s="36" t="s">
        <v>48</v>
      </c>
    </row>
    <row r="31743">
      <c r="H31743" s="50"/>
      <c r="I31743" s="50"/>
      <c r="O31743" s="36" t="s">
        <v>48</v>
      </c>
      <c r="R31743" s="36" t="s">
        <v>48</v>
      </c>
    </row>
    <row r="31744">
      <c r="H31744" s="50"/>
      <c r="I31744" s="50"/>
      <c r="O31744" s="36" t="s">
        <v>48</v>
      </c>
      <c r="R31744" s="36" t="s">
        <v>48</v>
      </c>
    </row>
    <row r="31745">
      <c r="H31745" s="50"/>
      <c r="I31745" s="50"/>
      <c r="O31745" s="36" t="s">
        <v>48</v>
      </c>
      <c r="R31745" s="36" t="s">
        <v>48</v>
      </c>
    </row>
    <row r="31746">
      <c r="H31746" s="50"/>
      <c r="I31746" s="50"/>
      <c r="O31746" s="36" t="s">
        <v>48</v>
      </c>
      <c r="R31746" s="36" t="s">
        <v>48</v>
      </c>
    </row>
    <row r="31747">
      <c r="H31747" s="50"/>
      <c r="I31747" s="50"/>
      <c r="O31747" s="36" t="s">
        <v>48</v>
      </c>
      <c r="R31747" s="36" t="s">
        <v>48</v>
      </c>
    </row>
    <row r="31748">
      <c r="H31748" s="50"/>
      <c r="I31748" s="50"/>
      <c r="O31748" s="36" t="s">
        <v>48</v>
      </c>
      <c r="R31748" s="36" t="s">
        <v>48</v>
      </c>
    </row>
    <row r="31749">
      <c r="H31749" s="50"/>
      <c r="I31749" s="50"/>
      <c r="O31749" s="36" t="s">
        <v>48</v>
      </c>
      <c r="R31749" s="36" t="s">
        <v>48</v>
      </c>
    </row>
    <row r="31750">
      <c r="H31750" s="50"/>
      <c r="I31750" s="50"/>
      <c r="O31750" s="36" t="s">
        <v>48</v>
      </c>
      <c r="R31750" s="36" t="s">
        <v>48</v>
      </c>
    </row>
    <row r="31751">
      <c r="H31751" s="50"/>
      <c r="I31751" s="50"/>
      <c r="O31751" s="36" t="s">
        <v>48</v>
      </c>
      <c r="R31751" s="36" t="s">
        <v>48</v>
      </c>
    </row>
    <row r="31752">
      <c r="H31752" s="50"/>
      <c r="I31752" s="50"/>
      <c r="O31752" s="36" t="s">
        <v>48</v>
      </c>
      <c r="R31752" s="36" t="s">
        <v>48</v>
      </c>
    </row>
    <row r="31753">
      <c r="H31753" s="50"/>
      <c r="I31753" s="50"/>
      <c r="O31753" s="36" t="s">
        <v>48</v>
      </c>
      <c r="R31753" s="36" t="s">
        <v>48</v>
      </c>
    </row>
    <row r="31754">
      <c r="H31754" s="50"/>
      <c r="I31754" s="50"/>
      <c r="O31754" s="36" t="s">
        <v>48</v>
      </c>
      <c r="R31754" s="36" t="s">
        <v>48</v>
      </c>
    </row>
    <row r="31755">
      <c r="H31755" s="50"/>
      <c r="I31755" s="50"/>
      <c r="O31755" s="36" t="s">
        <v>48</v>
      </c>
      <c r="R31755" s="36" t="s">
        <v>48</v>
      </c>
    </row>
    <row r="31756">
      <c r="H31756" s="50"/>
      <c r="I31756" s="50"/>
      <c r="O31756" s="36" t="s">
        <v>48</v>
      </c>
      <c r="R31756" s="36" t="s">
        <v>48</v>
      </c>
    </row>
    <row r="31757">
      <c r="H31757" s="50"/>
      <c r="I31757" s="50"/>
      <c r="O31757" s="36" t="s">
        <v>48</v>
      </c>
      <c r="R31757" s="36" t="s">
        <v>48</v>
      </c>
    </row>
    <row r="31758">
      <c r="H31758" s="50"/>
      <c r="I31758" s="50"/>
      <c r="O31758" s="36" t="s">
        <v>48</v>
      </c>
      <c r="R31758" s="36" t="s">
        <v>48</v>
      </c>
    </row>
    <row r="31759">
      <c r="H31759" s="50"/>
      <c r="I31759" s="50"/>
      <c r="O31759" s="36" t="s">
        <v>48</v>
      </c>
      <c r="R31759" s="36" t="s">
        <v>48</v>
      </c>
    </row>
    <row r="31760">
      <c r="H31760" s="50"/>
      <c r="I31760" s="50"/>
      <c r="O31760" s="36" t="s">
        <v>48</v>
      </c>
      <c r="R31760" s="36" t="s">
        <v>48</v>
      </c>
    </row>
    <row r="31761">
      <c r="H31761" s="50"/>
      <c r="I31761" s="50"/>
      <c r="O31761" s="36" t="s">
        <v>48</v>
      </c>
      <c r="R31761" s="36" t="s">
        <v>48</v>
      </c>
    </row>
    <row r="31762">
      <c r="H31762" s="50"/>
      <c r="I31762" s="50"/>
      <c r="O31762" s="36" t="s">
        <v>48</v>
      </c>
      <c r="R31762" s="36" t="s">
        <v>48</v>
      </c>
    </row>
    <row r="31763">
      <c r="H31763" s="50"/>
      <c r="I31763" s="50"/>
      <c r="O31763" s="36" t="s">
        <v>48</v>
      </c>
      <c r="R31763" s="36" t="s">
        <v>48</v>
      </c>
    </row>
    <row r="31764">
      <c r="H31764" s="50"/>
      <c r="I31764" s="50"/>
      <c r="O31764" s="36" t="s">
        <v>48</v>
      </c>
      <c r="R31764" s="36" t="s">
        <v>48</v>
      </c>
    </row>
    <row r="31765">
      <c r="H31765" s="50"/>
      <c r="I31765" s="50"/>
      <c r="O31765" s="36" t="s">
        <v>48</v>
      </c>
      <c r="R31765" s="36" t="s">
        <v>48</v>
      </c>
    </row>
    <row r="31766">
      <c r="H31766" s="50"/>
      <c r="I31766" s="50"/>
      <c r="O31766" s="36" t="s">
        <v>48</v>
      </c>
      <c r="R31766" s="36" t="s">
        <v>48</v>
      </c>
    </row>
    <row r="31767">
      <c r="H31767" s="50"/>
      <c r="I31767" s="50"/>
      <c r="O31767" s="36" t="s">
        <v>48</v>
      </c>
      <c r="R31767" s="36" t="s">
        <v>48</v>
      </c>
    </row>
    <row r="31768">
      <c r="H31768" s="50"/>
      <c r="I31768" s="50"/>
      <c r="O31768" s="36" t="s">
        <v>48</v>
      </c>
      <c r="R31768" s="36" t="s">
        <v>48</v>
      </c>
    </row>
    <row r="31769">
      <c r="H31769" s="50"/>
      <c r="I31769" s="50"/>
      <c r="O31769" s="36" t="s">
        <v>48</v>
      </c>
      <c r="R31769" s="36" t="s">
        <v>48</v>
      </c>
    </row>
    <row r="31770">
      <c r="H31770" s="50"/>
      <c r="I31770" s="50"/>
      <c r="O31770" s="36" t="s">
        <v>48</v>
      </c>
      <c r="R31770" s="36" t="s">
        <v>48</v>
      </c>
    </row>
    <row r="31771">
      <c r="H31771" s="50"/>
      <c r="I31771" s="50"/>
      <c r="O31771" s="36" t="s">
        <v>48</v>
      </c>
      <c r="R31771" s="36" t="s">
        <v>48</v>
      </c>
    </row>
    <row r="31772">
      <c r="H31772" s="50"/>
      <c r="I31772" s="50"/>
      <c r="O31772" s="36" t="s">
        <v>48</v>
      </c>
      <c r="R31772" s="36" t="s">
        <v>48</v>
      </c>
    </row>
    <row r="31773">
      <c r="H31773" s="50"/>
      <c r="I31773" s="50"/>
      <c r="O31773" s="36" t="s">
        <v>48</v>
      </c>
      <c r="R31773" s="36" t="s">
        <v>48</v>
      </c>
    </row>
    <row r="31774">
      <c r="H31774" s="50"/>
      <c r="I31774" s="50"/>
      <c r="O31774" s="36" t="s">
        <v>48</v>
      </c>
      <c r="R31774" s="36" t="s">
        <v>48</v>
      </c>
    </row>
    <row r="31775">
      <c r="H31775" s="50"/>
      <c r="I31775" s="50"/>
      <c r="O31775" s="36" t="s">
        <v>48</v>
      </c>
      <c r="R31775" s="36" t="s">
        <v>48</v>
      </c>
    </row>
    <row r="31776">
      <c r="H31776" s="50"/>
      <c r="I31776" s="50"/>
      <c r="O31776" s="36" t="s">
        <v>48</v>
      </c>
      <c r="R31776" s="36" t="s">
        <v>48</v>
      </c>
    </row>
    <row r="31777">
      <c r="H31777" s="50"/>
      <c r="I31777" s="50"/>
      <c r="O31777" s="36" t="s">
        <v>48</v>
      </c>
      <c r="R31777" s="36" t="s">
        <v>48</v>
      </c>
    </row>
    <row r="31778">
      <c r="H31778" s="50"/>
      <c r="I31778" s="50"/>
      <c r="O31778" s="36" t="s">
        <v>48</v>
      </c>
      <c r="R31778" s="36" t="s">
        <v>48</v>
      </c>
    </row>
    <row r="31779">
      <c r="H31779" s="50"/>
      <c r="I31779" s="50"/>
      <c r="O31779" s="36" t="s">
        <v>48</v>
      </c>
      <c r="R31779" s="36" t="s">
        <v>48</v>
      </c>
    </row>
    <row r="31780">
      <c r="H31780" s="50"/>
      <c r="I31780" s="50"/>
      <c r="O31780" s="36" t="s">
        <v>48</v>
      </c>
      <c r="R31780" s="36" t="s">
        <v>48</v>
      </c>
    </row>
    <row r="31781">
      <c r="H31781" s="50"/>
      <c r="I31781" s="50"/>
      <c r="O31781" s="36" t="s">
        <v>48</v>
      </c>
      <c r="R31781" s="36" t="s">
        <v>48</v>
      </c>
    </row>
    <row r="31782">
      <c r="H31782" s="50"/>
      <c r="I31782" s="50"/>
      <c r="O31782" s="36" t="s">
        <v>48</v>
      </c>
      <c r="R31782" s="36" t="s">
        <v>48</v>
      </c>
    </row>
    <row r="31783">
      <c r="H31783" s="50"/>
      <c r="I31783" s="50"/>
      <c r="O31783" s="36" t="s">
        <v>48</v>
      </c>
      <c r="R31783" s="36" t="s">
        <v>48</v>
      </c>
    </row>
    <row r="31784">
      <c r="H31784" s="50"/>
      <c r="I31784" s="50"/>
      <c r="O31784" s="36" t="s">
        <v>48</v>
      </c>
      <c r="R31784" s="36" t="s">
        <v>48</v>
      </c>
    </row>
    <row r="31785">
      <c r="H31785" s="50"/>
      <c r="I31785" s="50"/>
      <c r="O31785" s="36" t="s">
        <v>48</v>
      </c>
      <c r="R31785" s="36" t="s">
        <v>48</v>
      </c>
    </row>
    <row r="31786">
      <c r="H31786" s="50"/>
      <c r="I31786" s="50"/>
      <c r="O31786" s="36" t="s">
        <v>48</v>
      </c>
      <c r="R31786" s="36" t="s">
        <v>48</v>
      </c>
    </row>
    <row r="31787">
      <c r="H31787" s="50"/>
      <c r="I31787" s="50"/>
      <c r="O31787" s="36" t="s">
        <v>48</v>
      </c>
      <c r="R31787" s="36" t="s">
        <v>48</v>
      </c>
    </row>
    <row r="31788">
      <c r="H31788" s="50"/>
      <c r="I31788" s="50"/>
      <c r="O31788" s="36" t="s">
        <v>48</v>
      </c>
      <c r="R31788" s="36" t="s">
        <v>48</v>
      </c>
    </row>
    <row r="31789">
      <c r="H31789" s="50"/>
      <c r="I31789" s="50"/>
      <c r="O31789" s="36" t="s">
        <v>48</v>
      </c>
      <c r="R31789" s="36" t="s">
        <v>48</v>
      </c>
    </row>
    <row r="31790">
      <c r="H31790" s="50"/>
      <c r="I31790" s="50"/>
      <c r="O31790" s="36" t="s">
        <v>48</v>
      </c>
      <c r="R31790" s="36" t="s">
        <v>48</v>
      </c>
    </row>
    <row r="31791">
      <c r="H31791" s="50"/>
      <c r="I31791" s="50"/>
      <c r="O31791" s="36" t="s">
        <v>48</v>
      </c>
      <c r="R31791" s="36" t="s">
        <v>48</v>
      </c>
    </row>
    <row r="31792">
      <c r="H31792" s="50"/>
      <c r="I31792" s="50"/>
      <c r="O31792" s="36" t="s">
        <v>48</v>
      </c>
      <c r="R31792" s="36" t="s">
        <v>48</v>
      </c>
    </row>
    <row r="31793">
      <c r="H31793" s="50"/>
      <c r="I31793" s="50"/>
      <c r="O31793" s="36" t="s">
        <v>48</v>
      </c>
      <c r="R31793" s="36" t="s">
        <v>48</v>
      </c>
    </row>
    <row r="31794">
      <c r="H31794" s="50"/>
      <c r="I31794" s="50"/>
      <c r="O31794" s="36" t="s">
        <v>48</v>
      </c>
      <c r="R31794" s="36" t="s">
        <v>48</v>
      </c>
    </row>
    <row r="31795">
      <c r="H31795" s="50"/>
      <c r="I31795" s="50"/>
      <c r="O31795" s="36" t="s">
        <v>48</v>
      </c>
      <c r="R31795" s="36" t="s">
        <v>48</v>
      </c>
    </row>
    <row r="31796">
      <c r="H31796" s="50"/>
      <c r="I31796" s="50"/>
      <c r="O31796" s="36" t="s">
        <v>48</v>
      </c>
      <c r="R31796" s="36" t="s">
        <v>48</v>
      </c>
    </row>
    <row r="31797">
      <c r="H31797" s="50"/>
      <c r="I31797" s="50"/>
      <c r="O31797" s="36" t="s">
        <v>48</v>
      </c>
      <c r="R31797" s="36" t="s">
        <v>48</v>
      </c>
    </row>
    <row r="31798">
      <c r="H31798" s="50"/>
      <c r="I31798" s="50"/>
      <c r="O31798" s="36" t="s">
        <v>48</v>
      </c>
      <c r="R31798" s="36" t="s">
        <v>48</v>
      </c>
    </row>
    <row r="31799">
      <c r="H31799" s="50"/>
      <c r="I31799" s="50"/>
      <c r="O31799" s="36" t="s">
        <v>48</v>
      </c>
      <c r="R31799" s="36" t="s">
        <v>48</v>
      </c>
    </row>
    <row r="31800">
      <c r="H31800" s="50"/>
      <c r="I31800" s="50"/>
      <c r="O31800" s="36" t="s">
        <v>48</v>
      </c>
      <c r="R31800" s="36" t="s">
        <v>48</v>
      </c>
    </row>
    <row r="31801">
      <c r="H31801" s="50"/>
      <c r="I31801" s="50"/>
      <c r="O31801" s="36" t="s">
        <v>48</v>
      </c>
      <c r="R31801" s="36" t="s">
        <v>48</v>
      </c>
    </row>
    <row r="31802">
      <c r="H31802" s="50"/>
      <c r="I31802" s="50"/>
      <c r="O31802" s="36" t="s">
        <v>48</v>
      </c>
      <c r="R31802" s="36" t="s">
        <v>48</v>
      </c>
    </row>
    <row r="31803">
      <c r="H31803" s="50"/>
      <c r="I31803" s="50"/>
      <c r="O31803" s="36" t="s">
        <v>48</v>
      </c>
      <c r="R31803" s="36" t="s">
        <v>48</v>
      </c>
    </row>
    <row r="31804">
      <c r="H31804" s="50"/>
      <c r="I31804" s="50"/>
      <c r="O31804" s="36" t="s">
        <v>48</v>
      </c>
      <c r="R31804" s="36" t="s">
        <v>48</v>
      </c>
    </row>
    <row r="31805">
      <c r="H31805" s="50"/>
      <c r="I31805" s="50"/>
      <c r="O31805" s="36" t="s">
        <v>48</v>
      </c>
      <c r="R31805" s="36" t="s">
        <v>48</v>
      </c>
    </row>
    <row r="31806">
      <c r="H31806" s="50"/>
      <c r="I31806" s="50"/>
      <c r="O31806" s="36" t="s">
        <v>48</v>
      </c>
      <c r="R31806" s="36" t="s">
        <v>48</v>
      </c>
    </row>
    <row r="31807">
      <c r="H31807" s="50"/>
      <c r="I31807" s="50"/>
      <c r="O31807" s="36" t="s">
        <v>48</v>
      </c>
      <c r="R31807" s="36" t="s">
        <v>48</v>
      </c>
    </row>
    <row r="31808">
      <c r="H31808" s="50"/>
      <c r="I31808" s="50"/>
      <c r="O31808" s="36" t="s">
        <v>48</v>
      </c>
      <c r="R31808" s="36" t="s">
        <v>48</v>
      </c>
    </row>
    <row r="31809">
      <c r="H31809" s="50"/>
      <c r="I31809" s="50"/>
      <c r="O31809" s="36" t="s">
        <v>48</v>
      </c>
      <c r="R31809" s="36" t="s">
        <v>48</v>
      </c>
    </row>
    <row r="31810">
      <c r="H31810" s="50"/>
      <c r="I31810" s="50"/>
      <c r="O31810" s="36" t="s">
        <v>48</v>
      </c>
      <c r="R31810" s="36" t="s">
        <v>48</v>
      </c>
    </row>
    <row r="31811">
      <c r="H31811" s="50"/>
      <c r="I31811" s="50"/>
      <c r="O31811" s="36" t="s">
        <v>48</v>
      </c>
      <c r="R31811" s="36" t="s">
        <v>48</v>
      </c>
    </row>
    <row r="31812">
      <c r="H31812" s="50"/>
      <c r="I31812" s="50"/>
      <c r="O31812" s="36" t="s">
        <v>48</v>
      </c>
      <c r="R31812" s="36" t="s">
        <v>48</v>
      </c>
    </row>
    <row r="31813">
      <c r="H31813" s="50"/>
      <c r="I31813" s="50"/>
      <c r="O31813" s="36" t="s">
        <v>48</v>
      </c>
      <c r="R31813" s="36" t="s">
        <v>48</v>
      </c>
    </row>
    <row r="31814">
      <c r="H31814" s="50"/>
      <c r="I31814" s="50"/>
      <c r="O31814" s="36" t="s">
        <v>48</v>
      </c>
      <c r="R31814" s="36" t="s">
        <v>48</v>
      </c>
    </row>
    <row r="31815">
      <c r="H31815" s="50"/>
      <c r="I31815" s="50"/>
      <c r="O31815" s="36" t="s">
        <v>48</v>
      </c>
      <c r="R31815" s="36" t="s">
        <v>48</v>
      </c>
    </row>
    <row r="31816">
      <c r="H31816" s="50"/>
      <c r="I31816" s="50"/>
      <c r="O31816" s="36" t="s">
        <v>48</v>
      </c>
      <c r="R31816" s="36" t="s">
        <v>48</v>
      </c>
    </row>
    <row r="31817">
      <c r="H31817" s="50"/>
      <c r="I31817" s="50"/>
      <c r="O31817" s="36" t="s">
        <v>48</v>
      </c>
      <c r="R31817" s="36" t="s">
        <v>48</v>
      </c>
    </row>
    <row r="31818">
      <c r="H31818" s="50"/>
      <c r="I31818" s="50"/>
      <c r="O31818" s="36" t="s">
        <v>48</v>
      </c>
      <c r="R31818" s="36" t="s">
        <v>48</v>
      </c>
    </row>
    <row r="31819">
      <c r="H31819" s="50"/>
      <c r="I31819" s="50"/>
      <c r="O31819" s="36" t="s">
        <v>48</v>
      </c>
      <c r="R31819" s="36" t="s">
        <v>48</v>
      </c>
    </row>
    <row r="31820">
      <c r="H31820" s="50"/>
      <c r="I31820" s="50"/>
      <c r="O31820" s="36" t="s">
        <v>48</v>
      </c>
      <c r="R31820" s="36" t="s">
        <v>48</v>
      </c>
    </row>
    <row r="31821">
      <c r="H31821" s="50"/>
      <c r="I31821" s="50"/>
      <c r="O31821" s="36" t="s">
        <v>48</v>
      </c>
      <c r="R31821" s="36" t="s">
        <v>48</v>
      </c>
    </row>
    <row r="31822">
      <c r="H31822" s="50"/>
      <c r="I31822" s="50"/>
      <c r="O31822" s="36" t="s">
        <v>48</v>
      </c>
      <c r="R31822" s="36" t="s">
        <v>48</v>
      </c>
    </row>
    <row r="31823">
      <c r="H31823" s="50"/>
      <c r="I31823" s="50"/>
      <c r="O31823" s="36" t="s">
        <v>48</v>
      </c>
      <c r="R31823" s="36" t="s">
        <v>48</v>
      </c>
    </row>
    <row r="31824">
      <c r="H31824" s="50"/>
      <c r="I31824" s="50"/>
      <c r="O31824" s="36" t="s">
        <v>48</v>
      </c>
      <c r="R31824" s="36" t="s">
        <v>48</v>
      </c>
    </row>
    <row r="31825">
      <c r="H31825" s="50"/>
      <c r="I31825" s="50"/>
      <c r="O31825" s="36" t="s">
        <v>48</v>
      </c>
      <c r="R31825" s="36" t="s">
        <v>48</v>
      </c>
    </row>
    <row r="31826">
      <c r="H31826" s="50"/>
      <c r="I31826" s="50"/>
      <c r="O31826" s="36" t="s">
        <v>48</v>
      </c>
      <c r="R31826" s="36" t="s">
        <v>48</v>
      </c>
    </row>
    <row r="31827">
      <c r="H31827" s="50"/>
      <c r="I31827" s="50"/>
      <c r="O31827" s="36" t="s">
        <v>48</v>
      </c>
      <c r="R31827" s="36" t="s">
        <v>48</v>
      </c>
    </row>
    <row r="31828">
      <c r="H31828" s="50"/>
      <c r="I31828" s="50"/>
      <c r="O31828" s="36" t="s">
        <v>48</v>
      </c>
      <c r="R31828" s="36" t="s">
        <v>48</v>
      </c>
    </row>
    <row r="31829">
      <c r="H31829" s="50"/>
      <c r="I31829" s="50"/>
      <c r="O31829" s="36" t="s">
        <v>48</v>
      </c>
      <c r="R31829" s="36" t="s">
        <v>48</v>
      </c>
    </row>
    <row r="31830">
      <c r="H31830" s="50"/>
      <c r="I31830" s="50"/>
      <c r="O31830" s="36" t="s">
        <v>48</v>
      </c>
      <c r="R31830" s="36" t="s">
        <v>48</v>
      </c>
    </row>
    <row r="31831">
      <c r="H31831" s="50"/>
      <c r="I31831" s="50"/>
      <c r="O31831" s="36" t="s">
        <v>48</v>
      </c>
      <c r="R31831" s="36" t="s">
        <v>48</v>
      </c>
    </row>
    <row r="31832">
      <c r="H31832" s="50"/>
      <c r="I31832" s="50"/>
      <c r="O31832" s="36" t="s">
        <v>48</v>
      </c>
      <c r="R31832" s="36" t="s">
        <v>48</v>
      </c>
    </row>
    <row r="31833">
      <c r="H31833" s="50"/>
      <c r="I31833" s="50"/>
      <c r="O31833" s="36" t="s">
        <v>48</v>
      </c>
      <c r="R31833" s="36" t="s">
        <v>48</v>
      </c>
    </row>
    <row r="31834">
      <c r="H31834" s="50"/>
      <c r="I31834" s="50"/>
      <c r="O31834" s="36" t="s">
        <v>48</v>
      </c>
      <c r="R31834" s="36" t="s">
        <v>48</v>
      </c>
    </row>
    <row r="31835">
      <c r="H31835" s="50"/>
      <c r="I31835" s="50"/>
      <c r="O31835" s="36" t="s">
        <v>48</v>
      </c>
      <c r="R31835" s="36" t="s">
        <v>48</v>
      </c>
    </row>
    <row r="31836">
      <c r="H31836" s="50"/>
      <c r="I31836" s="50"/>
      <c r="O31836" s="36" t="s">
        <v>48</v>
      </c>
      <c r="R31836" s="36" t="s">
        <v>48</v>
      </c>
    </row>
    <row r="31837">
      <c r="H31837" s="50"/>
      <c r="I31837" s="50"/>
      <c r="O31837" s="36" t="s">
        <v>48</v>
      </c>
      <c r="R31837" s="36" t="s">
        <v>48</v>
      </c>
    </row>
    <row r="31838">
      <c r="H31838" s="50"/>
      <c r="I31838" s="50"/>
      <c r="O31838" s="36" t="s">
        <v>48</v>
      </c>
      <c r="R31838" s="36" t="s">
        <v>48</v>
      </c>
    </row>
    <row r="31839">
      <c r="H31839" s="50"/>
      <c r="I31839" s="50"/>
      <c r="O31839" s="36" t="s">
        <v>48</v>
      </c>
      <c r="R31839" s="36" t="s">
        <v>48</v>
      </c>
    </row>
    <row r="31840">
      <c r="H31840" s="50"/>
      <c r="I31840" s="50"/>
      <c r="O31840" s="36" t="s">
        <v>48</v>
      </c>
      <c r="R31840" s="36" t="s">
        <v>48</v>
      </c>
    </row>
    <row r="31841">
      <c r="H31841" s="50"/>
      <c r="I31841" s="50"/>
      <c r="O31841" s="36" t="s">
        <v>48</v>
      </c>
      <c r="R31841" s="36" t="s">
        <v>48</v>
      </c>
    </row>
    <row r="31842">
      <c r="H31842" s="50"/>
      <c r="I31842" s="50"/>
      <c r="O31842" s="36" t="s">
        <v>48</v>
      </c>
      <c r="R31842" s="36" t="s">
        <v>48</v>
      </c>
    </row>
    <row r="31843">
      <c r="H31843" s="50"/>
      <c r="I31843" s="50"/>
      <c r="O31843" s="36" t="s">
        <v>48</v>
      </c>
      <c r="R31843" s="36" t="s">
        <v>48</v>
      </c>
    </row>
    <row r="31844">
      <c r="H31844" s="50"/>
      <c r="I31844" s="50"/>
      <c r="O31844" s="36" t="s">
        <v>48</v>
      </c>
      <c r="R31844" s="36" t="s">
        <v>48</v>
      </c>
    </row>
    <row r="31845">
      <c r="H31845" s="50"/>
      <c r="I31845" s="50"/>
      <c r="O31845" s="36" t="s">
        <v>48</v>
      </c>
      <c r="R31845" s="36" t="s">
        <v>48</v>
      </c>
    </row>
    <row r="31846">
      <c r="H31846" s="50"/>
      <c r="I31846" s="50"/>
      <c r="O31846" s="36" t="s">
        <v>48</v>
      </c>
      <c r="R31846" s="36" t="s">
        <v>48</v>
      </c>
    </row>
    <row r="31847">
      <c r="H31847" s="50"/>
      <c r="I31847" s="50"/>
      <c r="O31847" s="36" t="s">
        <v>48</v>
      </c>
      <c r="R31847" s="36" t="s">
        <v>48</v>
      </c>
    </row>
    <row r="31848">
      <c r="H31848" s="50"/>
      <c r="I31848" s="50"/>
      <c r="O31848" s="36" t="s">
        <v>48</v>
      </c>
      <c r="R31848" s="36" t="s">
        <v>48</v>
      </c>
    </row>
    <row r="31849">
      <c r="H31849" s="50"/>
      <c r="I31849" s="50"/>
      <c r="O31849" s="36" t="s">
        <v>48</v>
      </c>
      <c r="R31849" s="36" t="s">
        <v>48</v>
      </c>
    </row>
    <row r="31850">
      <c r="H31850" s="50"/>
      <c r="I31850" s="50"/>
      <c r="O31850" s="36" t="s">
        <v>48</v>
      </c>
      <c r="R31850" s="36" t="s">
        <v>48</v>
      </c>
    </row>
    <row r="31851">
      <c r="H31851" s="50"/>
      <c r="I31851" s="50"/>
      <c r="O31851" s="36" t="s">
        <v>48</v>
      </c>
      <c r="R31851" s="36" t="s">
        <v>48</v>
      </c>
    </row>
    <row r="31852">
      <c r="H31852" s="50"/>
      <c r="I31852" s="50"/>
      <c r="O31852" s="36" t="s">
        <v>48</v>
      </c>
      <c r="R31852" s="36" t="s">
        <v>48</v>
      </c>
    </row>
    <row r="31853">
      <c r="H31853" s="50"/>
      <c r="I31853" s="50"/>
      <c r="O31853" s="36" t="s">
        <v>48</v>
      </c>
      <c r="R31853" s="36" t="s">
        <v>48</v>
      </c>
    </row>
    <row r="31854">
      <c r="H31854" s="50"/>
      <c r="I31854" s="50"/>
      <c r="O31854" s="36" t="s">
        <v>48</v>
      </c>
      <c r="R31854" s="36" t="s">
        <v>48</v>
      </c>
    </row>
    <row r="31855">
      <c r="H31855" s="50"/>
      <c r="I31855" s="50"/>
      <c r="O31855" s="36" t="s">
        <v>48</v>
      </c>
      <c r="R31855" s="36" t="s">
        <v>48</v>
      </c>
    </row>
    <row r="31856">
      <c r="H31856" s="50"/>
      <c r="I31856" s="50"/>
      <c r="O31856" s="36" t="s">
        <v>48</v>
      </c>
      <c r="R31856" s="36" t="s">
        <v>48</v>
      </c>
    </row>
    <row r="31857">
      <c r="H31857" s="50"/>
      <c r="I31857" s="50"/>
      <c r="O31857" s="36" t="s">
        <v>48</v>
      </c>
      <c r="R31857" s="36" t="s">
        <v>48</v>
      </c>
    </row>
    <row r="31858">
      <c r="H31858" s="50"/>
      <c r="I31858" s="50"/>
      <c r="O31858" s="36" t="s">
        <v>48</v>
      </c>
      <c r="R31858" s="36" t="s">
        <v>48</v>
      </c>
    </row>
    <row r="31859">
      <c r="H31859" s="50"/>
      <c r="I31859" s="50"/>
      <c r="O31859" s="36" t="s">
        <v>48</v>
      </c>
      <c r="R31859" s="36" t="s">
        <v>48</v>
      </c>
    </row>
    <row r="31860">
      <c r="H31860" s="50"/>
      <c r="I31860" s="50"/>
      <c r="O31860" s="36" t="s">
        <v>48</v>
      </c>
      <c r="R31860" s="36" t="s">
        <v>48</v>
      </c>
    </row>
    <row r="31861">
      <c r="H31861" s="50"/>
      <c r="I31861" s="50"/>
      <c r="O31861" s="36" t="s">
        <v>48</v>
      </c>
      <c r="R31861" s="36" t="s">
        <v>48</v>
      </c>
    </row>
    <row r="31862">
      <c r="H31862" s="50"/>
      <c r="I31862" s="50"/>
      <c r="O31862" s="36" t="s">
        <v>48</v>
      </c>
      <c r="R31862" s="36" t="s">
        <v>48</v>
      </c>
    </row>
    <row r="31863">
      <c r="H31863" s="50"/>
      <c r="I31863" s="50"/>
      <c r="O31863" s="36" t="s">
        <v>48</v>
      </c>
      <c r="R31863" s="36" t="s">
        <v>48</v>
      </c>
    </row>
    <row r="31864">
      <c r="H31864" s="50"/>
      <c r="I31864" s="50"/>
      <c r="O31864" s="36" t="s">
        <v>48</v>
      </c>
      <c r="R31864" s="36" t="s">
        <v>48</v>
      </c>
    </row>
    <row r="31865">
      <c r="H31865" s="50"/>
      <c r="I31865" s="50"/>
      <c r="O31865" s="36" t="s">
        <v>48</v>
      </c>
      <c r="R31865" s="36" t="s">
        <v>48</v>
      </c>
    </row>
    <row r="31866">
      <c r="H31866" s="50"/>
      <c r="I31866" s="50"/>
      <c r="O31866" s="36" t="s">
        <v>48</v>
      </c>
      <c r="R31866" s="36" t="s">
        <v>48</v>
      </c>
    </row>
    <row r="31867">
      <c r="H31867" s="50"/>
      <c r="I31867" s="50"/>
      <c r="O31867" s="36" t="s">
        <v>48</v>
      </c>
      <c r="R31867" s="36" t="s">
        <v>48</v>
      </c>
    </row>
    <row r="31868">
      <c r="H31868" s="50"/>
      <c r="I31868" s="50"/>
      <c r="O31868" s="36" t="s">
        <v>48</v>
      </c>
      <c r="R31868" s="36" t="s">
        <v>48</v>
      </c>
    </row>
    <row r="31869">
      <c r="H31869" s="50"/>
      <c r="I31869" s="50"/>
      <c r="O31869" s="36" t="s">
        <v>48</v>
      </c>
      <c r="R31869" s="36" t="s">
        <v>48</v>
      </c>
    </row>
    <row r="31870">
      <c r="H31870" s="50"/>
      <c r="I31870" s="50"/>
      <c r="O31870" s="36" t="s">
        <v>48</v>
      </c>
      <c r="R31870" s="36" t="s">
        <v>48</v>
      </c>
    </row>
    <row r="31871">
      <c r="H31871" s="50"/>
      <c r="I31871" s="50"/>
      <c r="O31871" s="36" t="s">
        <v>48</v>
      </c>
      <c r="R31871" s="36" t="s">
        <v>48</v>
      </c>
    </row>
    <row r="31872">
      <c r="H31872" s="50"/>
      <c r="I31872" s="50"/>
      <c r="O31872" s="36" t="s">
        <v>48</v>
      </c>
      <c r="R31872" s="36" t="s">
        <v>48</v>
      </c>
    </row>
    <row r="31873">
      <c r="H31873" s="50"/>
      <c r="I31873" s="50"/>
      <c r="O31873" s="36" t="s">
        <v>48</v>
      </c>
      <c r="R31873" s="36" t="s">
        <v>48</v>
      </c>
    </row>
    <row r="31874">
      <c r="H31874" s="50"/>
      <c r="I31874" s="50"/>
      <c r="O31874" s="36" t="s">
        <v>48</v>
      </c>
      <c r="R31874" s="36" t="s">
        <v>48</v>
      </c>
    </row>
    <row r="31875">
      <c r="H31875" s="50"/>
      <c r="I31875" s="50"/>
      <c r="O31875" s="36" t="s">
        <v>48</v>
      </c>
      <c r="R31875" s="36" t="s">
        <v>48</v>
      </c>
    </row>
    <row r="31876">
      <c r="H31876" s="50"/>
      <c r="I31876" s="50"/>
      <c r="O31876" s="36" t="s">
        <v>48</v>
      </c>
      <c r="R31876" s="36" t="s">
        <v>48</v>
      </c>
    </row>
    <row r="31877">
      <c r="H31877" s="50"/>
      <c r="I31877" s="50"/>
      <c r="O31877" s="36" t="s">
        <v>48</v>
      </c>
      <c r="R31877" s="36" t="s">
        <v>48</v>
      </c>
    </row>
    <row r="31878">
      <c r="H31878" s="50"/>
      <c r="I31878" s="50"/>
      <c r="O31878" s="36" t="s">
        <v>48</v>
      </c>
      <c r="R31878" s="36" t="s">
        <v>48</v>
      </c>
    </row>
    <row r="31879">
      <c r="H31879" s="50"/>
      <c r="I31879" s="50"/>
      <c r="O31879" s="36" t="s">
        <v>48</v>
      </c>
      <c r="R31879" s="36" t="s">
        <v>48</v>
      </c>
    </row>
    <row r="31880">
      <c r="H31880" s="50"/>
      <c r="I31880" s="50"/>
      <c r="O31880" s="36" t="s">
        <v>48</v>
      </c>
      <c r="R31880" s="36" t="s">
        <v>48</v>
      </c>
    </row>
    <row r="31881">
      <c r="H31881" s="50"/>
      <c r="I31881" s="50"/>
      <c r="O31881" s="36" t="s">
        <v>48</v>
      </c>
      <c r="R31881" s="36" t="s">
        <v>48</v>
      </c>
    </row>
    <row r="31882">
      <c r="H31882" s="50"/>
      <c r="I31882" s="50"/>
      <c r="O31882" s="36" t="s">
        <v>48</v>
      </c>
      <c r="R31882" s="36" t="s">
        <v>48</v>
      </c>
    </row>
    <row r="31883">
      <c r="H31883" s="50"/>
      <c r="I31883" s="50"/>
      <c r="O31883" s="36" t="s">
        <v>48</v>
      </c>
      <c r="R31883" s="36" t="s">
        <v>48</v>
      </c>
    </row>
    <row r="31884">
      <c r="H31884" s="50"/>
      <c r="I31884" s="50"/>
      <c r="O31884" s="36" t="s">
        <v>48</v>
      </c>
      <c r="R31884" s="36" t="s">
        <v>48</v>
      </c>
    </row>
    <row r="31885">
      <c r="H31885" s="50"/>
      <c r="I31885" s="50"/>
      <c r="O31885" s="36" t="s">
        <v>48</v>
      </c>
      <c r="R31885" s="36" t="s">
        <v>48</v>
      </c>
    </row>
    <row r="31886">
      <c r="H31886" s="50"/>
      <c r="I31886" s="50"/>
      <c r="O31886" s="36" t="s">
        <v>48</v>
      </c>
      <c r="R31886" s="36" t="s">
        <v>48</v>
      </c>
    </row>
    <row r="31887">
      <c r="H31887" s="50"/>
      <c r="I31887" s="50"/>
      <c r="O31887" s="36" t="s">
        <v>48</v>
      </c>
      <c r="R31887" s="36" t="s">
        <v>48</v>
      </c>
    </row>
    <row r="31888">
      <c r="H31888" s="50"/>
      <c r="I31888" s="50"/>
      <c r="O31888" s="36" t="s">
        <v>48</v>
      </c>
      <c r="R31888" s="36" t="s">
        <v>48</v>
      </c>
    </row>
    <row r="31889">
      <c r="H31889" s="50"/>
      <c r="I31889" s="50"/>
      <c r="O31889" s="36" t="s">
        <v>48</v>
      </c>
      <c r="R31889" s="36" t="s">
        <v>48</v>
      </c>
    </row>
    <row r="31890">
      <c r="H31890" s="50"/>
      <c r="I31890" s="50"/>
      <c r="O31890" s="36" t="s">
        <v>48</v>
      </c>
      <c r="R31890" s="36" t="s">
        <v>48</v>
      </c>
    </row>
    <row r="31891">
      <c r="H31891" s="50"/>
      <c r="I31891" s="50"/>
      <c r="O31891" s="36" t="s">
        <v>48</v>
      </c>
      <c r="R31891" s="36" t="s">
        <v>48</v>
      </c>
    </row>
    <row r="31892">
      <c r="H31892" s="50"/>
      <c r="I31892" s="50"/>
      <c r="O31892" s="36" t="s">
        <v>48</v>
      </c>
      <c r="R31892" s="36" t="s">
        <v>48</v>
      </c>
    </row>
    <row r="31893">
      <c r="H31893" s="50"/>
      <c r="I31893" s="50"/>
      <c r="O31893" s="36" t="s">
        <v>48</v>
      </c>
      <c r="R31893" s="36" t="s">
        <v>48</v>
      </c>
    </row>
    <row r="31894">
      <c r="H31894" s="50"/>
      <c r="I31894" s="50"/>
      <c r="O31894" s="36" t="s">
        <v>48</v>
      </c>
      <c r="R31894" s="36" t="s">
        <v>48</v>
      </c>
    </row>
    <row r="31895">
      <c r="H31895" s="50"/>
      <c r="I31895" s="50"/>
      <c r="O31895" s="36" t="s">
        <v>48</v>
      </c>
      <c r="R31895" s="36" t="s">
        <v>48</v>
      </c>
    </row>
    <row r="31896">
      <c r="H31896" s="50"/>
      <c r="I31896" s="50"/>
      <c r="O31896" s="36" t="s">
        <v>48</v>
      </c>
      <c r="R31896" s="36" t="s">
        <v>48</v>
      </c>
    </row>
    <row r="31897">
      <c r="H31897" s="50"/>
      <c r="I31897" s="50"/>
      <c r="O31897" s="36" t="s">
        <v>48</v>
      </c>
      <c r="R31897" s="36" t="s">
        <v>48</v>
      </c>
    </row>
    <row r="31898">
      <c r="H31898" s="50"/>
      <c r="I31898" s="50"/>
      <c r="O31898" s="36" t="s">
        <v>48</v>
      </c>
      <c r="R31898" s="36" t="s">
        <v>48</v>
      </c>
    </row>
    <row r="31899">
      <c r="H31899" s="50"/>
      <c r="I31899" s="50"/>
      <c r="O31899" s="36" t="s">
        <v>48</v>
      </c>
      <c r="R31899" s="36" t="s">
        <v>48</v>
      </c>
    </row>
    <row r="31900">
      <c r="H31900" s="50"/>
      <c r="I31900" s="50"/>
      <c r="O31900" s="36" t="s">
        <v>48</v>
      </c>
      <c r="R31900" s="36" t="s">
        <v>48</v>
      </c>
    </row>
    <row r="31901">
      <c r="H31901" s="50"/>
      <c r="I31901" s="50"/>
      <c r="O31901" s="36" t="s">
        <v>48</v>
      </c>
      <c r="R31901" s="36" t="s">
        <v>48</v>
      </c>
    </row>
    <row r="31902">
      <c r="H31902" s="50"/>
      <c r="I31902" s="50"/>
      <c r="O31902" s="36" t="s">
        <v>48</v>
      </c>
      <c r="R31902" s="36" t="s">
        <v>48</v>
      </c>
    </row>
    <row r="31903">
      <c r="H31903" s="50"/>
      <c r="I31903" s="50"/>
      <c r="O31903" s="36" t="s">
        <v>48</v>
      </c>
      <c r="R31903" s="36" t="s">
        <v>48</v>
      </c>
    </row>
    <row r="31904">
      <c r="H31904" s="50"/>
      <c r="I31904" s="50"/>
      <c r="O31904" s="36" t="s">
        <v>48</v>
      </c>
      <c r="R31904" s="36" t="s">
        <v>48</v>
      </c>
    </row>
    <row r="31905">
      <c r="H31905" s="50"/>
      <c r="I31905" s="50"/>
      <c r="O31905" s="36" t="s">
        <v>48</v>
      </c>
      <c r="R31905" s="36" t="s">
        <v>48</v>
      </c>
    </row>
    <row r="31906">
      <c r="H31906" s="50"/>
      <c r="I31906" s="50"/>
      <c r="O31906" s="36" t="s">
        <v>48</v>
      </c>
      <c r="R31906" s="36" t="s">
        <v>48</v>
      </c>
    </row>
    <row r="31907">
      <c r="H31907" s="50"/>
      <c r="I31907" s="50"/>
      <c r="O31907" s="36" t="s">
        <v>48</v>
      </c>
      <c r="R31907" s="36" t="s">
        <v>48</v>
      </c>
    </row>
    <row r="31908">
      <c r="H31908" s="50"/>
      <c r="I31908" s="50"/>
      <c r="O31908" s="36" t="s">
        <v>48</v>
      </c>
      <c r="R31908" s="36" t="s">
        <v>48</v>
      </c>
    </row>
    <row r="31909">
      <c r="H31909" s="50"/>
      <c r="I31909" s="50"/>
      <c r="O31909" s="36" t="s">
        <v>48</v>
      </c>
      <c r="R31909" s="36" t="s">
        <v>48</v>
      </c>
    </row>
    <row r="31910">
      <c r="H31910" s="50"/>
      <c r="I31910" s="50"/>
      <c r="O31910" s="36" t="s">
        <v>48</v>
      </c>
      <c r="R31910" s="36" t="s">
        <v>48</v>
      </c>
    </row>
    <row r="31911">
      <c r="H31911" s="50"/>
      <c r="I31911" s="50"/>
      <c r="O31911" s="36" t="s">
        <v>48</v>
      </c>
      <c r="R31911" s="36" t="s">
        <v>48</v>
      </c>
    </row>
    <row r="31912">
      <c r="H31912" s="50"/>
      <c r="I31912" s="50"/>
      <c r="O31912" s="36" t="s">
        <v>48</v>
      </c>
      <c r="R31912" s="36" t="s">
        <v>48</v>
      </c>
    </row>
    <row r="31913">
      <c r="H31913" s="50"/>
      <c r="I31913" s="50"/>
      <c r="O31913" s="36" t="s">
        <v>48</v>
      </c>
      <c r="R31913" s="36" t="s">
        <v>48</v>
      </c>
    </row>
    <row r="31914">
      <c r="H31914" s="50"/>
      <c r="I31914" s="50"/>
      <c r="O31914" s="36" t="s">
        <v>48</v>
      </c>
      <c r="R31914" s="36" t="s">
        <v>48</v>
      </c>
    </row>
    <row r="31915">
      <c r="H31915" s="50"/>
      <c r="I31915" s="50"/>
      <c r="O31915" s="36" t="s">
        <v>48</v>
      </c>
      <c r="R31915" s="36" t="s">
        <v>48</v>
      </c>
    </row>
    <row r="31916">
      <c r="H31916" s="50"/>
      <c r="I31916" s="50"/>
      <c r="O31916" s="36" t="s">
        <v>48</v>
      </c>
      <c r="R31916" s="36" t="s">
        <v>48</v>
      </c>
    </row>
    <row r="31917">
      <c r="H31917" s="50"/>
      <c r="I31917" s="50"/>
      <c r="O31917" s="36" t="s">
        <v>48</v>
      </c>
      <c r="R31917" s="36" t="s">
        <v>48</v>
      </c>
    </row>
    <row r="31918">
      <c r="H31918" s="50"/>
      <c r="I31918" s="50"/>
      <c r="O31918" s="36" t="s">
        <v>48</v>
      </c>
      <c r="R31918" s="36" t="s">
        <v>48</v>
      </c>
    </row>
    <row r="31919">
      <c r="H31919" s="50"/>
      <c r="I31919" s="50"/>
      <c r="O31919" s="36" t="s">
        <v>48</v>
      </c>
      <c r="R31919" s="36" t="s">
        <v>48</v>
      </c>
    </row>
    <row r="31920">
      <c r="H31920" s="50"/>
      <c r="I31920" s="50"/>
      <c r="O31920" s="36" t="s">
        <v>48</v>
      </c>
      <c r="R31920" s="36" t="s">
        <v>48</v>
      </c>
    </row>
    <row r="31921">
      <c r="H31921" s="50"/>
      <c r="I31921" s="50"/>
      <c r="O31921" s="36" t="s">
        <v>48</v>
      </c>
      <c r="R31921" s="36" t="s">
        <v>48</v>
      </c>
    </row>
    <row r="31922">
      <c r="H31922" s="50"/>
      <c r="I31922" s="50"/>
      <c r="O31922" s="36" t="s">
        <v>48</v>
      </c>
      <c r="R31922" s="36" t="s">
        <v>48</v>
      </c>
    </row>
    <row r="31923">
      <c r="H31923" s="50"/>
      <c r="I31923" s="50"/>
      <c r="O31923" s="36" t="s">
        <v>48</v>
      </c>
      <c r="R31923" s="36" t="s">
        <v>48</v>
      </c>
    </row>
    <row r="31924">
      <c r="H31924" s="50"/>
      <c r="I31924" s="50"/>
      <c r="O31924" s="36" t="s">
        <v>48</v>
      </c>
      <c r="R31924" s="36" t="s">
        <v>48</v>
      </c>
    </row>
    <row r="31925">
      <c r="H31925" s="50"/>
      <c r="I31925" s="50"/>
      <c r="O31925" s="36" t="s">
        <v>48</v>
      </c>
      <c r="R31925" s="36" t="s">
        <v>48</v>
      </c>
    </row>
    <row r="31926">
      <c r="H31926" s="50"/>
      <c r="I31926" s="50"/>
      <c r="O31926" s="36" t="s">
        <v>48</v>
      </c>
      <c r="R31926" s="36" t="s">
        <v>48</v>
      </c>
    </row>
    <row r="31927">
      <c r="H31927" s="50"/>
      <c r="I31927" s="50"/>
      <c r="O31927" s="36" t="s">
        <v>48</v>
      </c>
      <c r="R31927" s="36" t="s">
        <v>48</v>
      </c>
    </row>
    <row r="31928">
      <c r="H31928" s="50"/>
      <c r="I31928" s="50"/>
      <c r="O31928" s="36" t="s">
        <v>48</v>
      </c>
      <c r="R31928" s="36" t="s">
        <v>48</v>
      </c>
    </row>
    <row r="31929">
      <c r="H31929" s="50"/>
      <c r="I31929" s="50"/>
      <c r="O31929" s="36" t="s">
        <v>48</v>
      </c>
      <c r="R31929" s="36" t="s">
        <v>48</v>
      </c>
    </row>
    <row r="31930">
      <c r="H31930" s="50"/>
      <c r="I31930" s="50"/>
      <c r="O31930" s="36" t="s">
        <v>48</v>
      </c>
      <c r="R31930" s="36" t="s">
        <v>48</v>
      </c>
    </row>
    <row r="31931">
      <c r="H31931" s="50"/>
      <c r="I31931" s="50"/>
      <c r="O31931" s="36" t="s">
        <v>48</v>
      </c>
      <c r="R31931" s="36" t="s">
        <v>48</v>
      </c>
    </row>
    <row r="31932">
      <c r="H31932" s="50"/>
      <c r="I31932" s="50"/>
      <c r="O31932" s="36" t="s">
        <v>48</v>
      </c>
      <c r="R31932" s="36" t="s">
        <v>48</v>
      </c>
    </row>
    <row r="31933">
      <c r="H31933" s="50"/>
      <c r="I31933" s="50"/>
      <c r="O31933" s="36" t="s">
        <v>48</v>
      </c>
      <c r="R31933" s="36" t="s">
        <v>48</v>
      </c>
    </row>
    <row r="31934">
      <c r="H31934" s="50"/>
      <c r="I31934" s="50"/>
      <c r="O31934" s="36" t="s">
        <v>48</v>
      </c>
      <c r="R31934" s="36" t="s">
        <v>48</v>
      </c>
    </row>
    <row r="31935">
      <c r="H31935" s="50"/>
      <c r="I31935" s="50"/>
      <c r="O31935" s="36" t="s">
        <v>48</v>
      </c>
      <c r="R31935" s="36" t="s">
        <v>48</v>
      </c>
    </row>
    <row r="31936">
      <c r="H31936" s="50"/>
      <c r="I31936" s="50"/>
      <c r="O31936" s="36" t="s">
        <v>48</v>
      </c>
      <c r="R31936" s="36" t="s">
        <v>48</v>
      </c>
    </row>
    <row r="31937">
      <c r="H31937" s="50"/>
      <c r="I31937" s="50"/>
      <c r="O31937" s="36" t="s">
        <v>48</v>
      </c>
      <c r="R31937" s="36" t="s">
        <v>48</v>
      </c>
    </row>
    <row r="31938">
      <c r="H31938" s="50"/>
      <c r="I31938" s="50"/>
      <c r="O31938" s="36" t="s">
        <v>48</v>
      </c>
      <c r="R31938" s="36" t="s">
        <v>48</v>
      </c>
    </row>
    <row r="31939">
      <c r="H31939" s="50"/>
      <c r="I31939" s="50"/>
      <c r="O31939" s="36" t="s">
        <v>48</v>
      </c>
      <c r="R31939" s="36" t="s">
        <v>48</v>
      </c>
    </row>
    <row r="31940">
      <c r="H31940" s="50"/>
      <c r="I31940" s="50"/>
      <c r="O31940" s="36" t="s">
        <v>48</v>
      </c>
      <c r="R31940" s="36" t="s">
        <v>48</v>
      </c>
    </row>
    <row r="31941">
      <c r="H31941" s="50"/>
      <c r="I31941" s="50"/>
      <c r="O31941" s="36" t="s">
        <v>48</v>
      </c>
      <c r="R31941" s="36" t="s">
        <v>48</v>
      </c>
    </row>
    <row r="31942">
      <c r="H31942" s="50"/>
      <c r="I31942" s="50"/>
      <c r="O31942" s="36" t="s">
        <v>48</v>
      </c>
      <c r="R31942" s="36" t="s">
        <v>48</v>
      </c>
    </row>
    <row r="31943">
      <c r="H31943" s="50"/>
      <c r="I31943" s="50"/>
      <c r="O31943" s="36" t="s">
        <v>48</v>
      </c>
      <c r="R31943" s="36" t="s">
        <v>48</v>
      </c>
    </row>
    <row r="31944">
      <c r="H31944" s="50"/>
      <c r="I31944" s="50"/>
      <c r="O31944" s="36" t="s">
        <v>48</v>
      </c>
      <c r="R31944" s="36" t="s">
        <v>48</v>
      </c>
    </row>
    <row r="31945">
      <c r="H31945" s="50"/>
      <c r="I31945" s="50"/>
      <c r="O31945" s="36" t="s">
        <v>48</v>
      </c>
      <c r="R31945" s="36" t="s">
        <v>48</v>
      </c>
    </row>
    <row r="31946">
      <c r="H31946" s="50"/>
      <c r="I31946" s="50"/>
      <c r="O31946" s="36" t="s">
        <v>48</v>
      </c>
      <c r="R31946" s="36" t="s">
        <v>48</v>
      </c>
    </row>
    <row r="31947">
      <c r="H31947" s="50"/>
      <c r="I31947" s="50"/>
      <c r="O31947" s="36" t="s">
        <v>48</v>
      </c>
      <c r="R31947" s="36" t="s">
        <v>48</v>
      </c>
    </row>
    <row r="31948">
      <c r="H31948" s="50"/>
      <c r="I31948" s="50"/>
      <c r="O31948" s="36" t="s">
        <v>48</v>
      </c>
      <c r="R31948" s="36" t="s">
        <v>48</v>
      </c>
    </row>
    <row r="31949">
      <c r="H31949" s="50"/>
      <c r="I31949" s="50"/>
      <c r="O31949" s="36" t="s">
        <v>48</v>
      </c>
      <c r="R31949" s="36" t="s">
        <v>48</v>
      </c>
    </row>
    <row r="31950">
      <c r="H31950" s="50"/>
      <c r="I31950" s="50"/>
      <c r="O31950" s="36" t="s">
        <v>48</v>
      </c>
      <c r="R31950" s="36" t="s">
        <v>48</v>
      </c>
    </row>
    <row r="31951">
      <c r="H31951" s="50"/>
      <c r="I31951" s="50"/>
      <c r="O31951" s="36" t="s">
        <v>48</v>
      </c>
      <c r="R31951" s="36" t="s">
        <v>48</v>
      </c>
    </row>
    <row r="31952">
      <c r="H31952" s="50"/>
      <c r="I31952" s="50"/>
      <c r="O31952" s="36" t="s">
        <v>48</v>
      </c>
      <c r="R31952" s="36" t="s">
        <v>48</v>
      </c>
    </row>
    <row r="31953">
      <c r="H31953" s="50"/>
      <c r="I31953" s="50"/>
      <c r="O31953" s="36" t="s">
        <v>48</v>
      </c>
      <c r="R31953" s="36" t="s">
        <v>48</v>
      </c>
    </row>
    <row r="31954">
      <c r="H31954" s="50"/>
      <c r="I31954" s="50"/>
      <c r="O31954" s="36" t="s">
        <v>48</v>
      </c>
      <c r="R31954" s="36" t="s">
        <v>48</v>
      </c>
    </row>
    <row r="31955">
      <c r="H31955" s="50"/>
      <c r="I31955" s="50"/>
      <c r="O31955" s="36" t="s">
        <v>48</v>
      </c>
      <c r="R31955" s="36" t="s">
        <v>48</v>
      </c>
    </row>
    <row r="31956">
      <c r="H31956" s="50"/>
      <c r="I31956" s="50"/>
      <c r="O31956" s="36" t="s">
        <v>48</v>
      </c>
      <c r="R31956" s="36" t="s">
        <v>48</v>
      </c>
    </row>
    <row r="31957">
      <c r="H31957" s="50"/>
      <c r="I31957" s="50"/>
      <c r="O31957" s="36" t="s">
        <v>48</v>
      </c>
      <c r="R31957" s="36" t="s">
        <v>48</v>
      </c>
    </row>
    <row r="31958">
      <c r="H31958" s="50"/>
      <c r="I31958" s="50"/>
      <c r="O31958" s="36" t="s">
        <v>48</v>
      </c>
      <c r="R31958" s="36" t="s">
        <v>48</v>
      </c>
    </row>
    <row r="31959">
      <c r="H31959" s="50"/>
      <c r="I31959" s="50"/>
      <c r="O31959" s="36" t="s">
        <v>48</v>
      </c>
      <c r="R31959" s="36" t="s">
        <v>48</v>
      </c>
    </row>
    <row r="31960">
      <c r="H31960" s="50"/>
      <c r="I31960" s="50"/>
      <c r="O31960" s="36" t="s">
        <v>48</v>
      </c>
      <c r="R31960" s="36" t="s">
        <v>48</v>
      </c>
    </row>
    <row r="31961">
      <c r="H31961" s="50"/>
      <c r="I31961" s="50"/>
      <c r="O31961" s="36" t="s">
        <v>48</v>
      </c>
      <c r="R31961" s="36" t="s">
        <v>48</v>
      </c>
    </row>
    <row r="31962">
      <c r="H31962" s="50"/>
      <c r="I31962" s="50"/>
      <c r="O31962" s="36" t="s">
        <v>48</v>
      </c>
      <c r="R31962" s="36" t="s">
        <v>48</v>
      </c>
    </row>
    <row r="31963">
      <c r="H31963" s="50"/>
      <c r="I31963" s="50"/>
      <c r="O31963" s="36" t="s">
        <v>48</v>
      </c>
      <c r="R31963" s="36" t="s">
        <v>48</v>
      </c>
    </row>
    <row r="31964">
      <c r="H31964" s="50"/>
      <c r="I31964" s="50"/>
      <c r="O31964" s="36" t="s">
        <v>48</v>
      </c>
      <c r="R31964" s="36" t="s">
        <v>48</v>
      </c>
    </row>
    <row r="31965">
      <c r="H31965" s="50"/>
      <c r="I31965" s="50"/>
      <c r="O31965" s="36" t="s">
        <v>48</v>
      </c>
      <c r="R31965" s="36" t="s">
        <v>48</v>
      </c>
    </row>
    <row r="31966">
      <c r="H31966" s="50"/>
      <c r="I31966" s="50"/>
      <c r="O31966" s="36" t="s">
        <v>48</v>
      </c>
      <c r="R31966" s="36" t="s">
        <v>48</v>
      </c>
    </row>
    <row r="31967">
      <c r="H31967" s="50"/>
      <c r="I31967" s="50"/>
      <c r="O31967" s="36" t="s">
        <v>48</v>
      </c>
      <c r="R31967" s="36" t="s">
        <v>48</v>
      </c>
    </row>
    <row r="31968">
      <c r="H31968" s="50"/>
      <c r="I31968" s="50"/>
      <c r="O31968" s="36" t="s">
        <v>48</v>
      </c>
      <c r="R31968" s="36" t="s">
        <v>48</v>
      </c>
    </row>
    <row r="31969">
      <c r="H31969" s="50"/>
      <c r="I31969" s="50"/>
      <c r="O31969" s="36" t="s">
        <v>48</v>
      </c>
      <c r="R31969" s="36" t="s">
        <v>48</v>
      </c>
    </row>
    <row r="31970">
      <c r="H31970" s="50"/>
      <c r="I31970" s="50"/>
      <c r="O31970" s="36" t="s">
        <v>48</v>
      </c>
      <c r="R31970" s="36" t="s">
        <v>48</v>
      </c>
    </row>
    <row r="31971">
      <c r="H31971" s="50"/>
      <c r="I31971" s="50"/>
      <c r="O31971" s="36" t="s">
        <v>48</v>
      </c>
      <c r="R31971" s="36" t="s">
        <v>48</v>
      </c>
    </row>
    <row r="31972">
      <c r="H31972" s="50"/>
      <c r="I31972" s="50"/>
      <c r="O31972" s="36" t="s">
        <v>48</v>
      </c>
      <c r="R31972" s="36" t="s">
        <v>48</v>
      </c>
    </row>
    <row r="31973">
      <c r="H31973" s="50"/>
      <c r="I31973" s="50"/>
      <c r="O31973" s="36" t="s">
        <v>48</v>
      </c>
      <c r="R31973" s="36" t="s">
        <v>48</v>
      </c>
    </row>
    <row r="31974">
      <c r="H31974" s="50"/>
      <c r="I31974" s="50"/>
      <c r="O31974" s="36" t="s">
        <v>48</v>
      </c>
      <c r="R31974" s="36" t="s">
        <v>48</v>
      </c>
    </row>
    <row r="31975">
      <c r="H31975" s="50"/>
      <c r="I31975" s="50"/>
      <c r="O31975" s="36" t="s">
        <v>48</v>
      </c>
      <c r="R31975" s="36" t="s">
        <v>48</v>
      </c>
    </row>
    <row r="31976">
      <c r="H31976" s="50"/>
      <c r="I31976" s="50"/>
      <c r="O31976" s="36" t="s">
        <v>48</v>
      </c>
      <c r="R31976" s="36" t="s">
        <v>48</v>
      </c>
    </row>
    <row r="31977">
      <c r="H31977" s="50"/>
      <c r="I31977" s="50"/>
      <c r="O31977" s="36" t="s">
        <v>48</v>
      </c>
      <c r="R31977" s="36" t="s">
        <v>48</v>
      </c>
    </row>
    <row r="31978">
      <c r="H31978" s="50"/>
      <c r="I31978" s="50"/>
      <c r="O31978" s="36" t="s">
        <v>48</v>
      </c>
      <c r="R31978" s="36" t="s">
        <v>48</v>
      </c>
    </row>
    <row r="31979">
      <c r="H31979" s="50"/>
      <c r="I31979" s="50"/>
      <c r="O31979" s="36" t="s">
        <v>48</v>
      </c>
      <c r="R31979" s="36" t="s">
        <v>48</v>
      </c>
    </row>
    <row r="31980">
      <c r="H31980" s="50"/>
      <c r="I31980" s="50"/>
      <c r="O31980" s="36" t="s">
        <v>48</v>
      </c>
      <c r="R31980" s="36" t="s">
        <v>48</v>
      </c>
    </row>
    <row r="31981">
      <c r="H31981" s="50"/>
      <c r="I31981" s="50"/>
      <c r="O31981" s="36" t="s">
        <v>48</v>
      </c>
      <c r="R31981" s="36" t="s">
        <v>48</v>
      </c>
    </row>
    <row r="31982">
      <c r="H31982" s="50"/>
      <c r="I31982" s="50"/>
      <c r="O31982" s="36" t="s">
        <v>48</v>
      </c>
      <c r="R31982" s="36" t="s">
        <v>48</v>
      </c>
    </row>
    <row r="31983">
      <c r="H31983" s="50"/>
      <c r="I31983" s="50"/>
      <c r="O31983" s="36" t="s">
        <v>48</v>
      </c>
      <c r="R31983" s="36" t="s">
        <v>48</v>
      </c>
    </row>
    <row r="31984">
      <c r="H31984" s="50"/>
      <c r="I31984" s="50"/>
      <c r="O31984" s="36" t="s">
        <v>48</v>
      </c>
      <c r="R31984" s="36" t="s">
        <v>48</v>
      </c>
    </row>
    <row r="31985">
      <c r="H31985" s="50"/>
      <c r="I31985" s="50"/>
      <c r="O31985" s="36" t="s">
        <v>48</v>
      </c>
      <c r="R31985" s="36" t="s">
        <v>48</v>
      </c>
    </row>
    <row r="31986">
      <c r="H31986" s="50"/>
      <c r="I31986" s="50"/>
      <c r="O31986" s="36" t="s">
        <v>48</v>
      </c>
      <c r="R31986" s="36" t="s">
        <v>48</v>
      </c>
    </row>
    <row r="31987">
      <c r="H31987" s="50"/>
      <c r="I31987" s="50"/>
      <c r="O31987" s="36" t="s">
        <v>48</v>
      </c>
      <c r="R31987" s="36" t="s">
        <v>48</v>
      </c>
    </row>
    <row r="31988">
      <c r="H31988" s="50"/>
      <c r="I31988" s="50"/>
      <c r="O31988" s="36" t="s">
        <v>48</v>
      </c>
      <c r="R31988" s="36" t="s">
        <v>48</v>
      </c>
    </row>
    <row r="31989">
      <c r="H31989" s="50"/>
      <c r="I31989" s="50"/>
      <c r="O31989" s="36" t="s">
        <v>48</v>
      </c>
      <c r="R31989" s="36" t="s">
        <v>48</v>
      </c>
    </row>
    <row r="31990">
      <c r="H31990" s="50"/>
      <c r="I31990" s="50"/>
      <c r="O31990" s="36" t="s">
        <v>48</v>
      </c>
      <c r="R31990" s="36" t="s">
        <v>48</v>
      </c>
    </row>
    <row r="31991">
      <c r="H31991" s="50"/>
      <c r="I31991" s="50"/>
      <c r="O31991" s="36" t="s">
        <v>48</v>
      </c>
      <c r="R31991" s="36" t="s">
        <v>48</v>
      </c>
    </row>
    <row r="31992">
      <c r="H31992" s="50"/>
      <c r="I31992" s="50"/>
      <c r="O31992" s="36" t="s">
        <v>48</v>
      </c>
      <c r="R31992" s="36" t="s">
        <v>48</v>
      </c>
    </row>
    <row r="31993">
      <c r="H31993" s="50"/>
      <c r="I31993" s="50"/>
      <c r="O31993" s="36" t="s">
        <v>48</v>
      </c>
      <c r="R31993" s="36" t="s">
        <v>48</v>
      </c>
    </row>
    <row r="31994">
      <c r="H31994" s="50"/>
      <c r="I31994" s="50"/>
      <c r="O31994" s="36" t="s">
        <v>48</v>
      </c>
      <c r="R31994" s="36" t="s">
        <v>48</v>
      </c>
    </row>
    <row r="31995">
      <c r="H31995" s="50"/>
      <c r="I31995" s="50"/>
      <c r="O31995" s="36" t="s">
        <v>48</v>
      </c>
      <c r="R31995" s="36" t="s">
        <v>48</v>
      </c>
    </row>
    <row r="31996">
      <c r="H31996" s="50"/>
      <c r="I31996" s="50"/>
      <c r="O31996" s="36" t="s">
        <v>48</v>
      </c>
      <c r="R31996" s="36" t="s">
        <v>48</v>
      </c>
    </row>
    <row r="31997">
      <c r="H31997" s="50"/>
      <c r="I31997" s="50"/>
      <c r="O31997" s="36" t="s">
        <v>48</v>
      </c>
      <c r="R31997" s="36" t="s">
        <v>48</v>
      </c>
    </row>
    <row r="31998">
      <c r="H31998" s="50"/>
      <c r="I31998" s="50"/>
      <c r="O31998" s="36" t="s">
        <v>48</v>
      </c>
      <c r="R31998" s="36" t="s">
        <v>48</v>
      </c>
    </row>
    <row r="31999">
      <c r="H31999" s="50"/>
      <c r="I31999" s="50"/>
      <c r="O31999" s="36" t="s">
        <v>48</v>
      </c>
      <c r="R31999" s="36" t="s">
        <v>48</v>
      </c>
    </row>
    <row r="32000">
      <c r="H32000" s="50"/>
      <c r="I32000" s="50"/>
      <c r="O32000" s="36" t="s">
        <v>48</v>
      </c>
      <c r="R32000" s="36" t="s">
        <v>48</v>
      </c>
    </row>
    <row r="32001">
      <c r="H32001" s="50"/>
      <c r="I32001" s="50"/>
      <c r="O32001" s="36" t="s">
        <v>48</v>
      </c>
      <c r="R32001" s="36" t="s">
        <v>48</v>
      </c>
    </row>
    <row r="32002">
      <c r="H32002" s="50"/>
      <c r="I32002" s="50"/>
      <c r="O32002" s="36" t="s">
        <v>48</v>
      </c>
      <c r="R32002" s="36" t="s">
        <v>48</v>
      </c>
    </row>
    <row r="32003">
      <c r="H32003" s="50"/>
      <c r="I32003" s="50"/>
      <c r="O32003" s="36" t="s">
        <v>48</v>
      </c>
      <c r="R32003" s="36" t="s">
        <v>48</v>
      </c>
    </row>
    <row r="32004">
      <c r="H32004" s="50"/>
      <c r="I32004" s="50"/>
      <c r="O32004" s="36" t="s">
        <v>48</v>
      </c>
      <c r="R32004" s="36" t="s">
        <v>48</v>
      </c>
    </row>
    <row r="32005">
      <c r="H32005" s="50"/>
      <c r="I32005" s="50"/>
      <c r="O32005" s="36" t="s">
        <v>48</v>
      </c>
      <c r="R32005" s="36" t="s">
        <v>48</v>
      </c>
    </row>
    <row r="32006">
      <c r="H32006" s="50"/>
      <c r="I32006" s="50"/>
      <c r="O32006" s="36" t="s">
        <v>48</v>
      </c>
      <c r="R32006" s="36" t="s">
        <v>48</v>
      </c>
    </row>
    <row r="32007">
      <c r="H32007" s="50"/>
      <c r="I32007" s="50"/>
      <c r="O32007" s="36" t="s">
        <v>48</v>
      </c>
      <c r="R32007" s="36" t="s">
        <v>48</v>
      </c>
    </row>
    <row r="32008">
      <c r="H32008" s="50"/>
      <c r="I32008" s="50"/>
      <c r="O32008" s="36" t="s">
        <v>48</v>
      </c>
      <c r="R32008" s="36" t="s">
        <v>48</v>
      </c>
    </row>
    <row r="32009">
      <c r="H32009" s="50"/>
      <c r="I32009" s="50"/>
      <c r="O32009" s="36" t="s">
        <v>48</v>
      </c>
      <c r="R32009" s="36" t="s">
        <v>48</v>
      </c>
    </row>
    <row r="32010">
      <c r="H32010" s="50"/>
      <c r="I32010" s="50"/>
      <c r="O32010" s="36" t="s">
        <v>48</v>
      </c>
      <c r="R32010" s="36" t="s">
        <v>48</v>
      </c>
    </row>
    <row r="32011">
      <c r="H32011" s="50"/>
      <c r="I32011" s="50"/>
      <c r="O32011" s="36" t="s">
        <v>48</v>
      </c>
      <c r="R32011" s="36" t="s">
        <v>48</v>
      </c>
    </row>
    <row r="32012">
      <c r="H32012" s="50"/>
      <c r="I32012" s="50"/>
      <c r="O32012" s="36" t="s">
        <v>48</v>
      </c>
      <c r="R32012" s="36" t="s">
        <v>48</v>
      </c>
    </row>
    <row r="32013">
      <c r="H32013" s="50"/>
      <c r="I32013" s="50"/>
      <c r="O32013" s="36" t="s">
        <v>48</v>
      </c>
      <c r="R32013" s="36" t="s">
        <v>48</v>
      </c>
    </row>
    <row r="32014">
      <c r="H32014" s="50"/>
      <c r="I32014" s="50"/>
      <c r="O32014" s="36" t="s">
        <v>48</v>
      </c>
      <c r="R32014" s="36" t="s">
        <v>48</v>
      </c>
    </row>
    <row r="32015">
      <c r="H32015" s="50"/>
      <c r="I32015" s="50"/>
      <c r="O32015" s="36" t="s">
        <v>48</v>
      </c>
      <c r="R32015" s="36" t="s">
        <v>48</v>
      </c>
    </row>
    <row r="32016">
      <c r="H32016" s="50"/>
      <c r="I32016" s="50"/>
      <c r="O32016" s="36" t="s">
        <v>48</v>
      </c>
      <c r="R32016" s="36" t="s">
        <v>48</v>
      </c>
    </row>
    <row r="32017">
      <c r="H32017" s="50"/>
      <c r="I32017" s="50"/>
      <c r="O32017" s="36" t="s">
        <v>48</v>
      </c>
      <c r="R32017" s="36" t="s">
        <v>48</v>
      </c>
    </row>
    <row r="32018">
      <c r="H32018" s="50"/>
      <c r="I32018" s="50"/>
      <c r="O32018" s="36" t="s">
        <v>48</v>
      </c>
      <c r="R32018" s="36" t="s">
        <v>48</v>
      </c>
    </row>
    <row r="32019">
      <c r="H32019" s="50"/>
      <c r="I32019" s="50"/>
      <c r="O32019" s="36" t="s">
        <v>48</v>
      </c>
      <c r="R32019" s="36" t="s">
        <v>48</v>
      </c>
    </row>
    <row r="32020">
      <c r="H32020" s="50"/>
      <c r="I32020" s="50"/>
      <c r="O32020" s="36" t="s">
        <v>48</v>
      </c>
      <c r="R32020" s="36" t="s">
        <v>48</v>
      </c>
    </row>
    <row r="32021">
      <c r="H32021" s="50"/>
      <c r="I32021" s="50"/>
      <c r="O32021" s="36" t="s">
        <v>48</v>
      </c>
      <c r="R32021" s="36" t="s">
        <v>48</v>
      </c>
    </row>
    <row r="32022">
      <c r="H32022" s="50"/>
      <c r="I32022" s="50"/>
      <c r="O32022" s="36" t="s">
        <v>48</v>
      </c>
      <c r="R32022" s="36" t="s">
        <v>48</v>
      </c>
    </row>
    <row r="32023">
      <c r="H32023" s="50"/>
      <c r="I32023" s="50"/>
      <c r="O32023" s="36" t="s">
        <v>48</v>
      </c>
      <c r="R32023" s="36" t="s">
        <v>48</v>
      </c>
    </row>
    <row r="32024">
      <c r="H32024" s="50"/>
      <c r="I32024" s="50"/>
      <c r="O32024" s="36" t="s">
        <v>48</v>
      </c>
      <c r="R32024" s="36" t="s">
        <v>48</v>
      </c>
    </row>
    <row r="32025">
      <c r="H32025" s="50"/>
      <c r="I32025" s="50"/>
      <c r="O32025" s="36" t="s">
        <v>48</v>
      </c>
      <c r="R32025" s="36" t="s">
        <v>48</v>
      </c>
    </row>
    <row r="32026">
      <c r="H32026" s="50"/>
      <c r="I32026" s="50"/>
      <c r="O32026" s="36" t="s">
        <v>48</v>
      </c>
      <c r="R32026" s="36" t="s">
        <v>48</v>
      </c>
    </row>
    <row r="32027">
      <c r="H32027" s="50"/>
      <c r="I32027" s="50"/>
      <c r="O32027" s="36" t="s">
        <v>48</v>
      </c>
      <c r="R32027" s="36" t="s">
        <v>48</v>
      </c>
    </row>
    <row r="32028">
      <c r="H32028" s="50"/>
      <c r="I32028" s="50"/>
      <c r="O32028" s="36" t="s">
        <v>48</v>
      </c>
      <c r="R32028" s="36" t="s">
        <v>48</v>
      </c>
    </row>
    <row r="32029">
      <c r="H32029" s="50"/>
      <c r="I32029" s="50"/>
      <c r="O32029" s="36" t="s">
        <v>48</v>
      </c>
      <c r="R32029" s="36" t="s">
        <v>48</v>
      </c>
    </row>
    <row r="32030">
      <c r="H32030" s="50"/>
      <c r="I32030" s="50"/>
      <c r="O32030" s="36" t="s">
        <v>48</v>
      </c>
      <c r="R32030" s="36" t="s">
        <v>48</v>
      </c>
    </row>
    <row r="32031">
      <c r="H32031" s="50"/>
      <c r="I32031" s="50"/>
      <c r="O32031" s="36" t="s">
        <v>48</v>
      </c>
      <c r="R32031" s="36" t="s">
        <v>48</v>
      </c>
    </row>
    <row r="32032">
      <c r="H32032" s="50"/>
      <c r="I32032" s="50"/>
      <c r="O32032" s="36" t="s">
        <v>48</v>
      </c>
      <c r="R32032" s="36" t="s">
        <v>48</v>
      </c>
    </row>
    <row r="32033">
      <c r="H32033" s="50"/>
      <c r="I32033" s="50"/>
      <c r="O32033" s="36" t="s">
        <v>48</v>
      </c>
      <c r="R32033" s="36" t="s">
        <v>48</v>
      </c>
    </row>
    <row r="32034">
      <c r="H32034" s="50"/>
      <c r="I32034" s="50"/>
      <c r="O32034" s="36" t="s">
        <v>48</v>
      </c>
      <c r="R32034" s="36" t="s">
        <v>48</v>
      </c>
    </row>
    <row r="32035">
      <c r="H32035" s="50"/>
      <c r="I32035" s="50"/>
      <c r="O32035" s="36" t="s">
        <v>48</v>
      </c>
      <c r="R32035" s="36" t="s">
        <v>48</v>
      </c>
    </row>
    <row r="32036">
      <c r="H32036" s="50"/>
      <c r="I32036" s="50"/>
      <c r="O32036" s="36" t="s">
        <v>48</v>
      </c>
      <c r="R32036" s="36" t="s">
        <v>48</v>
      </c>
    </row>
    <row r="32037">
      <c r="H32037" s="50"/>
      <c r="I32037" s="50"/>
      <c r="O32037" s="36" t="s">
        <v>48</v>
      </c>
      <c r="R32037" s="36" t="s">
        <v>48</v>
      </c>
    </row>
    <row r="32038">
      <c r="H32038" s="50"/>
      <c r="I32038" s="50"/>
      <c r="O32038" s="36" t="s">
        <v>48</v>
      </c>
      <c r="R32038" s="36" t="s">
        <v>48</v>
      </c>
    </row>
    <row r="32039">
      <c r="H32039" s="50"/>
      <c r="I32039" s="50"/>
      <c r="O32039" s="36" t="s">
        <v>48</v>
      </c>
      <c r="R32039" s="36" t="s">
        <v>48</v>
      </c>
    </row>
    <row r="32040">
      <c r="H32040" s="50"/>
      <c r="I32040" s="50"/>
      <c r="O32040" s="36" t="s">
        <v>48</v>
      </c>
      <c r="R32040" s="36" t="s">
        <v>48</v>
      </c>
    </row>
    <row r="32041">
      <c r="H32041" s="50"/>
      <c r="I32041" s="50"/>
      <c r="O32041" s="36" t="s">
        <v>48</v>
      </c>
      <c r="R32041" s="36" t="s">
        <v>48</v>
      </c>
    </row>
    <row r="32042">
      <c r="H32042" s="50"/>
      <c r="I32042" s="50"/>
      <c r="O32042" s="36" t="s">
        <v>48</v>
      </c>
      <c r="R32042" s="36" t="s">
        <v>48</v>
      </c>
    </row>
    <row r="32043">
      <c r="H32043" s="50"/>
      <c r="I32043" s="50"/>
      <c r="O32043" s="36" t="s">
        <v>48</v>
      </c>
      <c r="R32043" s="36" t="s">
        <v>48</v>
      </c>
    </row>
    <row r="32044">
      <c r="H32044" s="50"/>
      <c r="I32044" s="50"/>
      <c r="O32044" s="36" t="s">
        <v>48</v>
      </c>
      <c r="R32044" s="36" t="s">
        <v>48</v>
      </c>
    </row>
    <row r="32045">
      <c r="H32045" s="50"/>
      <c r="I32045" s="50"/>
      <c r="O32045" s="36" t="s">
        <v>48</v>
      </c>
      <c r="R32045" s="36" t="s">
        <v>48</v>
      </c>
    </row>
    <row r="32046">
      <c r="H32046" s="50"/>
      <c r="I32046" s="50"/>
      <c r="O32046" s="36" t="s">
        <v>48</v>
      </c>
      <c r="R32046" s="36" t="s">
        <v>48</v>
      </c>
    </row>
    <row r="32047">
      <c r="H32047" s="50"/>
      <c r="I32047" s="50"/>
      <c r="O32047" s="36" t="s">
        <v>48</v>
      </c>
      <c r="R32047" s="36" t="s">
        <v>48</v>
      </c>
    </row>
    <row r="32048">
      <c r="H32048" s="50"/>
      <c r="I32048" s="50"/>
      <c r="O32048" s="36" t="s">
        <v>48</v>
      </c>
      <c r="R32048" s="36" t="s">
        <v>48</v>
      </c>
    </row>
    <row r="32049">
      <c r="H32049" s="50"/>
      <c r="I32049" s="50"/>
      <c r="O32049" s="36" t="s">
        <v>48</v>
      </c>
      <c r="R32049" s="36" t="s">
        <v>48</v>
      </c>
    </row>
    <row r="32050">
      <c r="H32050" s="50"/>
      <c r="I32050" s="50"/>
      <c r="O32050" s="36" t="s">
        <v>48</v>
      </c>
      <c r="R32050" s="36" t="s">
        <v>48</v>
      </c>
    </row>
    <row r="32051">
      <c r="H32051" s="50"/>
      <c r="I32051" s="50"/>
      <c r="O32051" s="36" t="s">
        <v>48</v>
      </c>
      <c r="R32051" s="36" t="s">
        <v>48</v>
      </c>
    </row>
    <row r="32052">
      <c r="H32052" s="50"/>
      <c r="I32052" s="50"/>
      <c r="O32052" s="36" t="s">
        <v>48</v>
      </c>
      <c r="R32052" s="36" t="s">
        <v>48</v>
      </c>
    </row>
    <row r="32053">
      <c r="H32053" s="50"/>
      <c r="I32053" s="50"/>
      <c r="O32053" s="36" t="s">
        <v>48</v>
      </c>
      <c r="R32053" s="36" t="s">
        <v>48</v>
      </c>
    </row>
    <row r="32054">
      <c r="H32054" s="50"/>
      <c r="I32054" s="50"/>
      <c r="O32054" s="36" t="s">
        <v>48</v>
      </c>
      <c r="R32054" s="36" t="s">
        <v>48</v>
      </c>
    </row>
    <row r="32055">
      <c r="H32055" s="50"/>
      <c r="I32055" s="50"/>
      <c r="O32055" s="36" t="s">
        <v>48</v>
      </c>
      <c r="R32055" s="36" t="s">
        <v>48</v>
      </c>
    </row>
    <row r="32056">
      <c r="H32056" s="50"/>
      <c r="I32056" s="50"/>
      <c r="O32056" s="36" t="s">
        <v>48</v>
      </c>
      <c r="R32056" s="36" t="s">
        <v>48</v>
      </c>
    </row>
    <row r="32057">
      <c r="H32057" s="50"/>
      <c r="I32057" s="50"/>
      <c r="O32057" s="36" t="s">
        <v>48</v>
      </c>
      <c r="R32057" s="36" t="s">
        <v>48</v>
      </c>
    </row>
    <row r="32058">
      <c r="H32058" s="50"/>
      <c r="I32058" s="50"/>
      <c r="O32058" s="36" t="s">
        <v>48</v>
      </c>
      <c r="R32058" s="36" t="s">
        <v>48</v>
      </c>
    </row>
    <row r="32059">
      <c r="H32059" s="50"/>
      <c r="I32059" s="50"/>
      <c r="O32059" s="36" t="s">
        <v>48</v>
      </c>
      <c r="R32059" s="36" t="s">
        <v>48</v>
      </c>
    </row>
    <row r="32060">
      <c r="H32060" s="50"/>
      <c r="I32060" s="50"/>
      <c r="O32060" s="36" t="s">
        <v>48</v>
      </c>
      <c r="R32060" s="36" t="s">
        <v>48</v>
      </c>
    </row>
    <row r="32061">
      <c r="H32061" s="50"/>
      <c r="I32061" s="50"/>
      <c r="O32061" s="36" t="s">
        <v>48</v>
      </c>
      <c r="R32061" s="36" t="s">
        <v>48</v>
      </c>
    </row>
    <row r="32062">
      <c r="H32062" s="50"/>
      <c r="I32062" s="50"/>
      <c r="O32062" s="36" t="s">
        <v>48</v>
      </c>
      <c r="R32062" s="36" t="s">
        <v>48</v>
      </c>
    </row>
    <row r="32063">
      <c r="H32063" s="50"/>
      <c r="I32063" s="50"/>
      <c r="O32063" s="36" t="s">
        <v>48</v>
      </c>
      <c r="R32063" s="36" t="s">
        <v>48</v>
      </c>
    </row>
    <row r="32064">
      <c r="H32064" s="50"/>
      <c r="I32064" s="50"/>
      <c r="O32064" s="36" t="s">
        <v>48</v>
      </c>
      <c r="R32064" s="36" t="s">
        <v>48</v>
      </c>
    </row>
    <row r="32065">
      <c r="H32065" s="50"/>
      <c r="I32065" s="50"/>
      <c r="O32065" s="36" t="s">
        <v>48</v>
      </c>
      <c r="R32065" s="36" t="s">
        <v>48</v>
      </c>
    </row>
    <row r="32066">
      <c r="H32066" s="50"/>
      <c r="I32066" s="50"/>
      <c r="O32066" s="36" t="s">
        <v>48</v>
      </c>
      <c r="R32066" s="36" t="s">
        <v>48</v>
      </c>
    </row>
    <row r="32067">
      <c r="H32067" s="50"/>
      <c r="I32067" s="50"/>
      <c r="O32067" s="36" t="s">
        <v>48</v>
      </c>
      <c r="R32067" s="36" t="s">
        <v>48</v>
      </c>
    </row>
    <row r="32068">
      <c r="H32068" s="50"/>
      <c r="I32068" s="50"/>
      <c r="O32068" s="36" t="s">
        <v>48</v>
      </c>
      <c r="R32068" s="36" t="s">
        <v>48</v>
      </c>
    </row>
    <row r="32069">
      <c r="H32069" s="50"/>
      <c r="I32069" s="50"/>
      <c r="O32069" s="36" t="s">
        <v>48</v>
      </c>
      <c r="R32069" s="36" t="s">
        <v>48</v>
      </c>
    </row>
    <row r="32070">
      <c r="H32070" s="50"/>
      <c r="I32070" s="50"/>
      <c r="O32070" s="36" t="s">
        <v>48</v>
      </c>
      <c r="R32070" s="36" t="s">
        <v>48</v>
      </c>
    </row>
    <row r="32071">
      <c r="H32071" s="50"/>
      <c r="I32071" s="50"/>
      <c r="O32071" s="36" t="s">
        <v>48</v>
      </c>
      <c r="R32071" s="36" t="s">
        <v>48</v>
      </c>
    </row>
    <row r="32072">
      <c r="H32072" s="50"/>
      <c r="I32072" s="50"/>
      <c r="O32072" s="36" t="s">
        <v>48</v>
      </c>
      <c r="R32072" s="36" t="s">
        <v>48</v>
      </c>
    </row>
    <row r="32073">
      <c r="H32073" s="50"/>
      <c r="I32073" s="50"/>
      <c r="O32073" s="36" t="s">
        <v>48</v>
      </c>
      <c r="R32073" s="36" t="s">
        <v>48</v>
      </c>
    </row>
    <row r="32074">
      <c r="H32074" s="50"/>
      <c r="I32074" s="50"/>
      <c r="O32074" s="36" t="s">
        <v>48</v>
      </c>
      <c r="R32074" s="36" t="s">
        <v>48</v>
      </c>
    </row>
    <row r="32075">
      <c r="H32075" s="50"/>
      <c r="I32075" s="50"/>
      <c r="O32075" s="36" t="s">
        <v>48</v>
      </c>
      <c r="R32075" s="36" t="s">
        <v>48</v>
      </c>
    </row>
    <row r="32076">
      <c r="H32076" s="50"/>
      <c r="I32076" s="50"/>
      <c r="O32076" s="36" t="s">
        <v>48</v>
      </c>
      <c r="R32076" s="36" t="s">
        <v>48</v>
      </c>
    </row>
    <row r="32077">
      <c r="H32077" s="50"/>
      <c r="I32077" s="50"/>
      <c r="O32077" s="36" t="s">
        <v>48</v>
      </c>
      <c r="R32077" s="36" t="s">
        <v>48</v>
      </c>
    </row>
    <row r="32078">
      <c r="H32078" s="50"/>
      <c r="I32078" s="50"/>
      <c r="O32078" s="36" t="s">
        <v>48</v>
      </c>
      <c r="R32078" s="36" t="s">
        <v>48</v>
      </c>
    </row>
    <row r="32079">
      <c r="H32079" s="50"/>
      <c r="I32079" s="50"/>
      <c r="O32079" s="36" t="s">
        <v>48</v>
      </c>
      <c r="R32079" s="36" t="s">
        <v>48</v>
      </c>
    </row>
    <row r="32080">
      <c r="H32080" s="50"/>
      <c r="I32080" s="50"/>
      <c r="O32080" s="36" t="s">
        <v>48</v>
      </c>
      <c r="R32080" s="36" t="s">
        <v>48</v>
      </c>
    </row>
    <row r="32081">
      <c r="H32081" s="50"/>
      <c r="I32081" s="50"/>
      <c r="O32081" s="36" t="s">
        <v>48</v>
      </c>
      <c r="R32081" s="36" t="s">
        <v>48</v>
      </c>
    </row>
    <row r="32082">
      <c r="H32082" s="50"/>
      <c r="I32082" s="50"/>
      <c r="O32082" s="36" t="s">
        <v>48</v>
      </c>
      <c r="R32082" s="36" t="s">
        <v>48</v>
      </c>
    </row>
    <row r="32083">
      <c r="H32083" s="50"/>
      <c r="I32083" s="50"/>
      <c r="O32083" s="36" t="s">
        <v>48</v>
      </c>
      <c r="R32083" s="36" t="s">
        <v>48</v>
      </c>
    </row>
    <row r="32084">
      <c r="H32084" s="50"/>
      <c r="I32084" s="50"/>
      <c r="O32084" s="36" t="s">
        <v>48</v>
      </c>
      <c r="R32084" s="36" t="s">
        <v>48</v>
      </c>
    </row>
    <row r="32085">
      <c r="H32085" s="50"/>
      <c r="I32085" s="50"/>
      <c r="O32085" s="36" t="s">
        <v>48</v>
      </c>
      <c r="R32085" s="36" t="s">
        <v>48</v>
      </c>
    </row>
    <row r="32086">
      <c r="H32086" s="50"/>
      <c r="I32086" s="50"/>
      <c r="O32086" s="36" t="s">
        <v>48</v>
      </c>
      <c r="R32086" s="36" t="s">
        <v>48</v>
      </c>
    </row>
    <row r="32087">
      <c r="H32087" s="50"/>
      <c r="I32087" s="50"/>
      <c r="O32087" s="36" t="s">
        <v>48</v>
      </c>
      <c r="R32087" s="36" t="s">
        <v>48</v>
      </c>
    </row>
    <row r="32088">
      <c r="H32088" s="50"/>
      <c r="I32088" s="50"/>
      <c r="O32088" s="36" t="s">
        <v>48</v>
      </c>
      <c r="R32088" s="36" t="s">
        <v>48</v>
      </c>
    </row>
    <row r="32089">
      <c r="H32089" s="50"/>
      <c r="I32089" s="50"/>
      <c r="O32089" s="36" t="s">
        <v>48</v>
      </c>
      <c r="R32089" s="36" t="s">
        <v>48</v>
      </c>
    </row>
    <row r="32090">
      <c r="H32090" s="50"/>
      <c r="I32090" s="50"/>
      <c r="O32090" s="36" t="s">
        <v>48</v>
      </c>
      <c r="R32090" s="36" t="s">
        <v>48</v>
      </c>
    </row>
    <row r="32091">
      <c r="H32091" s="50"/>
      <c r="I32091" s="50"/>
      <c r="O32091" s="36" t="s">
        <v>48</v>
      </c>
      <c r="R32091" s="36" t="s">
        <v>48</v>
      </c>
    </row>
    <row r="32092">
      <c r="H32092" s="50"/>
      <c r="I32092" s="50"/>
      <c r="O32092" s="36" t="s">
        <v>48</v>
      </c>
      <c r="R32092" s="36" t="s">
        <v>48</v>
      </c>
    </row>
    <row r="32093">
      <c r="H32093" s="50"/>
      <c r="I32093" s="50"/>
      <c r="O32093" s="36" t="s">
        <v>48</v>
      </c>
      <c r="R32093" s="36" t="s">
        <v>48</v>
      </c>
    </row>
    <row r="32094">
      <c r="H32094" s="50"/>
      <c r="I32094" s="50"/>
      <c r="O32094" s="36" t="s">
        <v>48</v>
      </c>
      <c r="R32094" s="36" t="s">
        <v>48</v>
      </c>
    </row>
    <row r="32095">
      <c r="H32095" s="50"/>
      <c r="I32095" s="50"/>
      <c r="O32095" s="36" t="s">
        <v>48</v>
      </c>
      <c r="R32095" s="36" t="s">
        <v>48</v>
      </c>
    </row>
    <row r="32096">
      <c r="H32096" s="50"/>
      <c r="I32096" s="50"/>
      <c r="O32096" s="36" t="s">
        <v>48</v>
      </c>
      <c r="R32096" s="36" t="s">
        <v>48</v>
      </c>
    </row>
    <row r="32097">
      <c r="H32097" s="50"/>
      <c r="I32097" s="50"/>
      <c r="O32097" s="36" t="s">
        <v>48</v>
      </c>
      <c r="R32097" s="36" t="s">
        <v>48</v>
      </c>
    </row>
    <row r="32098">
      <c r="H32098" s="50"/>
      <c r="I32098" s="50"/>
      <c r="O32098" s="36" t="s">
        <v>48</v>
      </c>
      <c r="R32098" s="36" t="s">
        <v>48</v>
      </c>
    </row>
    <row r="32099">
      <c r="H32099" s="50"/>
      <c r="I32099" s="50"/>
      <c r="O32099" s="36" t="s">
        <v>48</v>
      </c>
      <c r="R32099" s="36" t="s">
        <v>48</v>
      </c>
    </row>
    <row r="32100">
      <c r="H32100" s="50"/>
      <c r="I32100" s="50"/>
      <c r="O32100" s="36" t="s">
        <v>48</v>
      </c>
      <c r="R32100" s="36" t="s">
        <v>48</v>
      </c>
    </row>
    <row r="32101">
      <c r="H32101" s="50"/>
      <c r="I32101" s="50"/>
      <c r="O32101" s="36" t="s">
        <v>48</v>
      </c>
      <c r="R32101" s="36" t="s">
        <v>48</v>
      </c>
    </row>
    <row r="32102">
      <c r="H32102" s="50"/>
      <c r="I32102" s="50"/>
      <c r="O32102" s="36" t="s">
        <v>48</v>
      </c>
      <c r="R32102" s="36" t="s">
        <v>48</v>
      </c>
    </row>
    <row r="32103">
      <c r="H32103" s="50"/>
      <c r="I32103" s="50"/>
      <c r="O32103" s="36" t="s">
        <v>48</v>
      </c>
      <c r="R32103" s="36" t="s">
        <v>48</v>
      </c>
    </row>
    <row r="32104">
      <c r="H32104" s="50"/>
      <c r="I32104" s="50"/>
      <c r="O32104" s="36" t="s">
        <v>48</v>
      </c>
      <c r="R32104" s="36" t="s">
        <v>48</v>
      </c>
    </row>
    <row r="32105">
      <c r="H32105" s="50"/>
      <c r="I32105" s="50"/>
      <c r="O32105" s="36" t="s">
        <v>48</v>
      </c>
      <c r="R32105" s="36" t="s">
        <v>48</v>
      </c>
    </row>
    <row r="32106">
      <c r="H32106" s="50"/>
      <c r="I32106" s="50"/>
      <c r="O32106" s="36" t="s">
        <v>48</v>
      </c>
      <c r="R32106" s="36" t="s">
        <v>48</v>
      </c>
    </row>
    <row r="32107">
      <c r="H32107" s="50"/>
      <c r="I32107" s="50"/>
      <c r="O32107" s="36" t="s">
        <v>48</v>
      </c>
      <c r="R32107" s="36" t="s">
        <v>48</v>
      </c>
    </row>
    <row r="32108">
      <c r="H32108" s="50"/>
      <c r="I32108" s="50"/>
      <c r="O32108" s="36" t="s">
        <v>48</v>
      </c>
      <c r="R32108" s="36" t="s">
        <v>48</v>
      </c>
    </row>
    <row r="32109">
      <c r="H32109" s="50"/>
      <c r="I32109" s="50"/>
      <c r="O32109" s="36" t="s">
        <v>48</v>
      </c>
      <c r="R32109" s="36" t="s">
        <v>48</v>
      </c>
    </row>
    <row r="32110">
      <c r="H32110" s="50"/>
      <c r="I32110" s="50"/>
      <c r="O32110" s="36" t="s">
        <v>48</v>
      </c>
      <c r="R32110" s="36" t="s">
        <v>48</v>
      </c>
    </row>
    <row r="32111">
      <c r="H32111" s="50"/>
      <c r="I32111" s="50"/>
      <c r="O32111" s="36" t="s">
        <v>48</v>
      </c>
      <c r="R32111" s="36" t="s">
        <v>48</v>
      </c>
    </row>
    <row r="32112">
      <c r="H32112" s="50"/>
      <c r="I32112" s="50"/>
      <c r="O32112" s="36" t="s">
        <v>48</v>
      </c>
      <c r="R32112" s="36" t="s">
        <v>48</v>
      </c>
    </row>
    <row r="32113">
      <c r="H32113" s="50"/>
      <c r="I32113" s="50"/>
      <c r="O32113" s="36" t="s">
        <v>48</v>
      </c>
      <c r="R32113" s="36" t="s">
        <v>48</v>
      </c>
    </row>
    <row r="32114">
      <c r="H32114" s="50"/>
      <c r="I32114" s="50"/>
      <c r="O32114" s="36" t="s">
        <v>48</v>
      </c>
      <c r="R32114" s="36" t="s">
        <v>48</v>
      </c>
    </row>
    <row r="32115">
      <c r="H32115" s="50"/>
      <c r="I32115" s="50"/>
      <c r="O32115" s="36" t="s">
        <v>48</v>
      </c>
      <c r="R32115" s="36" t="s">
        <v>48</v>
      </c>
    </row>
    <row r="32116">
      <c r="H32116" s="50"/>
      <c r="I32116" s="50"/>
      <c r="O32116" s="36" t="s">
        <v>48</v>
      </c>
      <c r="R32116" s="36" t="s">
        <v>48</v>
      </c>
    </row>
    <row r="32117">
      <c r="H32117" s="50"/>
      <c r="I32117" s="50"/>
      <c r="O32117" s="36" t="s">
        <v>48</v>
      </c>
      <c r="R32117" s="36" t="s">
        <v>48</v>
      </c>
    </row>
    <row r="32118">
      <c r="H32118" s="50"/>
      <c r="I32118" s="50"/>
      <c r="O32118" s="36" t="s">
        <v>48</v>
      </c>
      <c r="R32118" s="36" t="s">
        <v>48</v>
      </c>
    </row>
    <row r="32119">
      <c r="H32119" s="50"/>
      <c r="I32119" s="50"/>
      <c r="O32119" s="36" t="s">
        <v>48</v>
      </c>
      <c r="R32119" s="36" t="s">
        <v>48</v>
      </c>
    </row>
    <row r="32120">
      <c r="H32120" s="50"/>
      <c r="I32120" s="50"/>
      <c r="O32120" s="36" t="s">
        <v>48</v>
      </c>
      <c r="R32120" s="36" t="s">
        <v>48</v>
      </c>
    </row>
    <row r="32121">
      <c r="H32121" s="50"/>
      <c r="I32121" s="50"/>
      <c r="O32121" s="36" t="s">
        <v>48</v>
      </c>
      <c r="R32121" s="36" t="s">
        <v>48</v>
      </c>
    </row>
    <row r="32122">
      <c r="H32122" s="50"/>
      <c r="I32122" s="50"/>
      <c r="O32122" s="36" t="s">
        <v>48</v>
      </c>
      <c r="R32122" s="36" t="s">
        <v>48</v>
      </c>
    </row>
    <row r="32123">
      <c r="H32123" s="50"/>
      <c r="I32123" s="50"/>
      <c r="O32123" s="36" t="s">
        <v>48</v>
      </c>
      <c r="R32123" s="36" t="s">
        <v>48</v>
      </c>
    </row>
    <row r="32124">
      <c r="H32124" s="50"/>
      <c r="I32124" s="50"/>
      <c r="O32124" s="36" t="s">
        <v>48</v>
      </c>
      <c r="R32124" s="36" t="s">
        <v>48</v>
      </c>
    </row>
    <row r="32125">
      <c r="H32125" s="50"/>
      <c r="I32125" s="50"/>
      <c r="O32125" s="36" t="s">
        <v>48</v>
      </c>
      <c r="R32125" s="36" t="s">
        <v>48</v>
      </c>
    </row>
    <row r="32126">
      <c r="H32126" s="50"/>
      <c r="I32126" s="50"/>
      <c r="O32126" s="36" t="s">
        <v>48</v>
      </c>
      <c r="R32126" s="36" t="s">
        <v>48</v>
      </c>
    </row>
    <row r="32127">
      <c r="H32127" s="50"/>
      <c r="I32127" s="50"/>
      <c r="O32127" s="36" t="s">
        <v>48</v>
      </c>
      <c r="R32127" s="36" t="s">
        <v>48</v>
      </c>
    </row>
    <row r="32128">
      <c r="H32128" s="50"/>
      <c r="I32128" s="50"/>
      <c r="O32128" s="36" t="s">
        <v>48</v>
      </c>
      <c r="R32128" s="36" t="s">
        <v>48</v>
      </c>
    </row>
    <row r="32129">
      <c r="H32129" s="50"/>
      <c r="I32129" s="50"/>
      <c r="O32129" s="36" t="s">
        <v>48</v>
      </c>
      <c r="R32129" s="36" t="s">
        <v>48</v>
      </c>
    </row>
    <row r="32130">
      <c r="H32130" s="50"/>
      <c r="I32130" s="50"/>
      <c r="O32130" s="36" t="s">
        <v>48</v>
      </c>
      <c r="R32130" s="36" t="s">
        <v>48</v>
      </c>
    </row>
    <row r="32131">
      <c r="H32131" s="50"/>
      <c r="I32131" s="50"/>
      <c r="O32131" s="36" t="s">
        <v>48</v>
      </c>
      <c r="R32131" s="36" t="s">
        <v>48</v>
      </c>
    </row>
    <row r="32132">
      <c r="H32132" s="50"/>
      <c r="I32132" s="50"/>
      <c r="O32132" s="36" t="s">
        <v>48</v>
      </c>
      <c r="R32132" s="36" t="s">
        <v>48</v>
      </c>
    </row>
    <row r="32133">
      <c r="H32133" s="50"/>
      <c r="I32133" s="50"/>
      <c r="O32133" s="36" t="s">
        <v>48</v>
      </c>
      <c r="R32133" s="36" t="s">
        <v>48</v>
      </c>
    </row>
    <row r="32134">
      <c r="H32134" s="50"/>
      <c r="I32134" s="50"/>
      <c r="O32134" s="36" t="s">
        <v>48</v>
      </c>
      <c r="R32134" s="36" t="s">
        <v>48</v>
      </c>
    </row>
    <row r="32135">
      <c r="H32135" s="50"/>
      <c r="I32135" s="50"/>
      <c r="O32135" s="36" t="s">
        <v>48</v>
      </c>
      <c r="R32135" s="36" t="s">
        <v>48</v>
      </c>
    </row>
    <row r="32136">
      <c r="H32136" s="50"/>
      <c r="I32136" s="50"/>
      <c r="O32136" s="36" t="s">
        <v>48</v>
      </c>
      <c r="R32136" s="36" t="s">
        <v>48</v>
      </c>
    </row>
    <row r="32137">
      <c r="H32137" s="50"/>
      <c r="I32137" s="50"/>
      <c r="O32137" s="36" t="s">
        <v>48</v>
      </c>
      <c r="R32137" s="36" t="s">
        <v>48</v>
      </c>
    </row>
    <row r="32138">
      <c r="H32138" s="50"/>
      <c r="I32138" s="50"/>
      <c r="O32138" s="36" t="s">
        <v>48</v>
      </c>
      <c r="R32138" s="36" t="s">
        <v>48</v>
      </c>
    </row>
    <row r="32139">
      <c r="H32139" s="50"/>
      <c r="I32139" s="50"/>
      <c r="O32139" s="36" t="s">
        <v>48</v>
      </c>
      <c r="R32139" s="36" t="s">
        <v>48</v>
      </c>
    </row>
    <row r="32140">
      <c r="H32140" s="50"/>
      <c r="I32140" s="50"/>
      <c r="O32140" s="36" t="s">
        <v>48</v>
      </c>
      <c r="R32140" s="36" t="s">
        <v>48</v>
      </c>
    </row>
    <row r="32141">
      <c r="H32141" s="50"/>
      <c r="I32141" s="50"/>
      <c r="O32141" s="36" t="s">
        <v>48</v>
      </c>
      <c r="R32141" s="36" t="s">
        <v>48</v>
      </c>
    </row>
    <row r="32142">
      <c r="H32142" s="50"/>
      <c r="I32142" s="50"/>
      <c r="O32142" s="36" t="s">
        <v>48</v>
      </c>
      <c r="R32142" s="36" t="s">
        <v>48</v>
      </c>
    </row>
    <row r="32143">
      <c r="H32143" s="50"/>
      <c r="I32143" s="50"/>
      <c r="O32143" s="36" t="s">
        <v>48</v>
      </c>
      <c r="R32143" s="36" t="s">
        <v>48</v>
      </c>
    </row>
    <row r="32144">
      <c r="H32144" s="50"/>
      <c r="I32144" s="50"/>
      <c r="O32144" s="36" t="s">
        <v>48</v>
      </c>
      <c r="R32144" s="36" t="s">
        <v>48</v>
      </c>
    </row>
    <row r="32145">
      <c r="H32145" s="50"/>
      <c r="I32145" s="50"/>
      <c r="O32145" s="36" t="s">
        <v>48</v>
      </c>
      <c r="R32145" s="36" t="s">
        <v>48</v>
      </c>
    </row>
    <row r="32146">
      <c r="H32146" s="50"/>
      <c r="I32146" s="50"/>
      <c r="O32146" s="36" t="s">
        <v>48</v>
      </c>
      <c r="R32146" s="36" t="s">
        <v>48</v>
      </c>
    </row>
    <row r="32147">
      <c r="H32147" s="50"/>
      <c r="I32147" s="50"/>
      <c r="O32147" s="36" t="s">
        <v>48</v>
      </c>
      <c r="R32147" s="36" t="s">
        <v>48</v>
      </c>
    </row>
    <row r="32148">
      <c r="H32148" s="50"/>
      <c r="I32148" s="50"/>
      <c r="O32148" s="36" t="s">
        <v>48</v>
      </c>
      <c r="R32148" s="36" t="s">
        <v>48</v>
      </c>
    </row>
    <row r="32149">
      <c r="H32149" s="50"/>
      <c r="I32149" s="50"/>
      <c r="O32149" s="36" t="s">
        <v>48</v>
      </c>
      <c r="R32149" s="36" t="s">
        <v>48</v>
      </c>
    </row>
    <row r="32150">
      <c r="H32150" s="50"/>
      <c r="I32150" s="50"/>
      <c r="O32150" s="36" t="s">
        <v>48</v>
      </c>
      <c r="R32150" s="36" t="s">
        <v>48</v>
      </c>
    </row>
    <row r="32151">
      <c r="H32151" s="50"/>
      <c r="I32151" s="50"/>
      <c r="O32151" s="36" t="s">
        <v>48</v>
      </c>
      <c r="R32151" s="36" t="s">
        <v>48</v>
      </c>
    </row>
    <row r="32152">
      <c r="H32152" s="50"/>
      <c r="I32152" s="50"/>
      <c r="O32152" s="36" t="s">
        <v>48</v>
      </c>
      <c r="R32152" s="36" t="s">
        <v>48</v>
      </c>
    </row>
    <row r="32153">
      <c r="H32153" s="50"/>
      <c r="I32153" s="50"/>
      <c r="O32153" s="36" t="s">
        <v>48</v>
      </c>
      <c r="R32153" s="36" t="s">
        <v>48</v>
      </c>
    </row>
    <row r="32154">
      <c r="H32154" s="50"/>
      <c r="I32154" s="50"/>
      <c r="O32154" s="36" t="s">
        <v>48</v>
      </c>
      <c r="R32154" s="36" t="s">
        <v>48</v>
      </c>
    </row>
    <row r="32155">
      <c r="H32155" s="50"/>
      <c r="I32155" s="50"/>
      <c r="O32155" s="36" t="s">
        <v>48</v>
      </c>
      <c r="R32155" s="36" t="s">
        <v>48</v>
      </c>
    </row>
    <row r="32156">
      <c r="H32156" s="50"/>
      <c r="I32156" s="50"/>
      <c r="O32156" s="36" t="s">
        <v>48</v>
      </c>
      <c r="R32156" s="36" t="s">
        <v>48</v>
      </c>
    </row>
    <row r="32157">
      <c r="H32157" s="50"/>
      <c r="I32157" s="50"/>
      <c r="O32157" s="36" t="s">
        <v>48</v>
      </c>
      <c r="R32157" s="36" t="s">
        <v>48</v>
      </c>
    </row>
    <row r="32158">
      <c r="H32158" s="50"/>
      <c r="I32158" s="50"/>
      <c r="O32158" s="36" t="s">
        <v>48</v>
      </c>
      <c r="R32158" s="36" t="s">
        <v>48</v>
      </c>
    </row>
    <row r="32159">
      <c r="H32159" s="50"/>
      <c r="I32159" s="50"/>
      <c r="O32159" s="36" t="s">
        <v>48</v>
      </c>
      <c r="R32159" s="36" t="s">
        <v>48</v>
      </c>
    </row>
    <row r="32160">
      <c r="H32160" s="50"/>
      <c r="I32160" s="50"/>
      <c r="O32160" s="36" t="s">
        <v>48</v>
      </c>
      <c r="R32160" s="36" t="s">
        <v>48</v>
      </c>
    </row>
    <row r="32161">
      <c r="H32161" s="50"/>
      <c r="I32161" s="50"/>
      <c r="O32161" s="36" t="s">
        <v>48</v>
      </c>
      <c r="R32161" s="36" t="s">
        <v>48</v>
      </c>
    </row>
    <row r="32162">
      <c r="H32162" s="50"/>
      <c r="I32162" s="50"/>
      <c r="O32162" s="36" t="s">
        <v>48</v>
      </c>
      <c r="R32162" s="36" t="s">
        <v>48</v>
      </c>
    </row>
    <row r="32163">
      <c r="H32163" s="50"/>
      <c r="I32163" s="50"/>
      <c r="O32163" s="36" t="s">
        <v>48</v>
      </c>
      <c r="R32163" s="36" t="s">
        <v>48</v>
      </c>
    </row>
    <row r="32164">
      <c r="H32164" s="50"/>
      <c r="I32164" s="50"/>
      <c r="O32164" s="36" t="s">
        <v>48</v>
      </c>
      <c r="R32164" s="36" t="s">
        <v>48</v>
      </c>
    </row>
    <row r="32165">
      <c r="H32165" s="50"/>
      <c r="I32165" s="50"/>
      <c r="O32165" s="36" t="s">
        <v>48</v>
      </c>
      <c r="R32165" s="36" t="s">
        <v>48</v>
      </c>
    </row>
    <row r="32166">
      <c r="H32166" s="50"/>
      <c r="I32166" s="50"/>
      <c r="O32166" s="36" t="s">
        <v>48</v>
      </c>
      <c r="R32166" s="36" t="s">
        <v>48</v>
      </c>
    </row>
    <row r="32167">
      <c r="H32167" s="50"/>
      <c r="I32167" s="50"/>
      <c r="O32167" s="36" t="s">
        <v>48</v>
      </c>
      <c r="R32167" s="36" t="s">
        <v>48</v>
      </c>
    </row>
    <row r="32168">
      <c r="H32168" s="50"/>
      <c r="I32168" s="50"/>
      <c r="O32168" s="36" t="s">
        <v>48</v>
      </c>
      <c r="R32168" s="36" t="s">
        <v>48</v>
      </c>
    </row>
    <row r="32169">
      <c r="H32169" s="50"/>
      <c r="I32169" s="50"/>
      <c r="O32169" s="36" t="s">
        <v>48</v>
      </c>
      <c r="R32169" s="36" t="s">
        <v>48</v>
      </c>
    </row>
    <row r="32170">
      <c r="H32170" s="50"/>
      <c r="I32170" s="50"/>
      <c r="O32170" s="36" t="s">
        <v>48</v>
      </c>
      <c r="R32170" s="36" t="s">
        <v>48</v>
      </c>
    </row>
    <row r="32171">
      <c r="H32171" s="50"/>
      <c r="I32171" s="50"/>
      <c r="O32171" s="36" t="s">
        <v>48</v>
      </c>
      <c r="R32171" s="36" t="s">
        <v>48</v>
      </c>
    </row>
    <row r="32172">
      <c r="H32172" s="50"/>
      <c r="I32172" s="50"/>
      <c r="O32172" s="36" t="s">
        <v>48</v>
      </c>
      <c r="R32172" s="36" t="s">
        <v>48</v>
      </c>
    </row>
    <row r="32173">
      <c r="H32173" s="50"/>
      <c r="I32173" s="50"/>
      <c r="O32173" s="36" t="s">
        <v>48</v>
      </c>
      <c r="R32173" s="36" t="s">
        <v>48</v>
      </c>
    </row>
    <row r="32174">
      <c r="H32174" s="50"/>
      <c r="I32174" s="50"/>
      <c r="O32174" s="36" t="s">
        <v>48</v>
      </c>
      <c r="R32174" s="36" t="s">
        <v>48</v>
      </c>
    </row>
    <row r="32175">
      <c r="H32175" s="50"/>
      <c r="I32175" s="50"/>
      <c r="O32175" s="36" t="s">
        <v>48</v>
      </c>
      <c r="R32175" s="36" t="s">
        <v>48</v>
      </c>
    </row>
    <row r="32176">
      <c r="H32176" s="50"/>
      <c r="I32176" s="50"/>
      <c r="O32176" s="36" t="s">
        <v>48</v>
      </c>
      <c r="R32176" s="36" t="s">
        <v>48</v>
      </c>
    </row>
    <row r="32177">
      <c r="H32177" s="50"/>
      <c r="I32177" s="50"/>
      <c r="O32177" s="36" t="s">
        <v>48</v>
      </c>
      <c r="R32177" s="36" t="s">
        <v>48</v>
      </c>
    </row>
    <row r="32178">
      <c r="H32178" s="50"/>
      <c r="I32178" s="50"/>
      <c r="O32178" s="36" t="s">
        <v>48</v>
      </c>
      <c r="R32178" s="36" t="s">
        <v>48</v>
      </c>
    </row>
    <row r="32179">
      <c r="H32179" s="50"/>
      <c r="I32179" s="50"/>
      <c r="O32179" s="36" t="s">
        <v>48</v>
      </c>
      <c r="R32179" s="36" t="s">
        <v>48</v>
      </c>
    </row>
    <row r="32180">
      <c r="H32180" s="50"/>
      <c r="I32180" s="50"/>
      <c r="O32180" s="36" t="s">
        <v>48</v>
      </c>
      <c r="R32180" s="36" t="s">
        <v>48</v>
      </c>
    </row>
    <row r="32181">
      <c r="H32181" s="50"/>
      <c r="I32181" s="50"/>
      <c r="O32181" s="36" t="s">
        <v>48</v>
      </c>
      <c r="R32181" s="36" t="s">
        <v>48</v>
      </c>
    </row>
    <row r="32182">
      <c r="H32182" s="50"/>
      <c r="I32182" s="50"/>
      <c r="O32182" s="36" t="s">
        <v>48</v>
      </c>
      <c r="R32182" s="36" t="s">
        <v>48</v>
      </c>
    </row>
    <row r="32183">
      <c r="H32183" s="50"/>
      <c r="I32183" s="50"/>
      <c r="O32183" s="36" t="s">
        <v>48</v>
      </c>
      <c r="R32183" s="36" t="s">
        <v>48</v>
      </c>
    </row>
    <row r="32184">
      <c r="H32184" s="50"/>
      <c r="I32184" s="50"/>
      <c r="O32184" s="36" t="s">
        <v>48</v>
      </c>
      <c r="R32184" s="36" t="s">
        <v>48</v>
      </c>
    </row>
    <row r="32185">
      <c r="H32185" s="50"/>
      <c r="I32185" s="50"/>
      <c r="O32185" s="36" t="s">
        <v>48</v>
      </c>
      <c r="R32185" s="36" t="s">
        <v>48</v>
      </c>
    </row>
    <row r="32186">
      <c r="H32186" s="50"/>
      <c r="I32186" s="50"/>
      <c r="O32186" s="36" t="s">
        <v>48</v>
      </c>
      <c r="R32186" s="36" t="s">
        <v>48</v>
      </c>
    </row>
    <row r="32187">
      <c r="H32187" s="50"/>
      <c r="I32187" s="50"/>
      <c r="O32187" s="36" t="s">
        <v>48</v>
      </c>
      <c r="R32187" s="36" t="s">
        <v>48</v>
      </c>
    </row>
    <row r="32188">
      <c r="H32188" s="50"/>
      <c r="I32188" s="50"/>
      <c r="O32188" s="36" t="s">
        <v>48</v>
      </c>
      <c r="R32188" s="36" t="s">
        <v>48</v>
      </c>
    </row>
    <row r="32189">
      <c r="H32189" s="50"/>
      <c r="I32189" s="50"/>
      <c r="O32189" s="36" t="s">
        <v>48</v>
      </c>
      <c r="R32189" s="36" t="s">
        <v>48</v>
      </c>
    </row>
    <row r="32190">
      <c r="H32190" s="50"/>
      <c r="I32190" s="50"/>
      <c r="O32190" s="36" t="s">
        <v>48</v>
      </c>
      <c r="R32190" s="36" t="s">
        <v>48</v>
      </c>
    </row>
    <row r="32191">
      <c r="H32191" s="50"/>
      <c r="I32191" s="50"/>
      <c r="O32191" s="36" t="s">
        <v>48</v>
      </c>
      <c r="R32191" s="36" t="s">
        <v>48</v>
      </c>
    </row>
    <row r="32192">
      <c r="H32192" s="50"/>
      <c r="I32192" s="50"/>
      <c r="O32192" s="36" t="s">
        <v>48</v>
      </c>
      <c r="R32192" s="36" t="s">
        <v>48</v>
      </c>
    </row>
    <row r="32193">
      <c r="H32193" s="50"/>
      <c r="I32193" s="50"/>
      <c r="O32193" s="36" t="s">
        <v>48</v>
      </c>
      <c r="R32193" s="36" t="s">
        <v>48</v>
      </c>
    </row>
    <row r="32194">
      <c r="H32194" s="50"/>
      <c r="I32194" s="50"/>
      <c r="O32194" s="36" t="s">
        <v>48</v>
      </c>
      <c r="R32194" s="36" t="s">
        <v>48</v>
      </c>
    </row>
    <row r="32195">
      <c r="H32195" s="50"/>
      <c r="I32195" s="50"/>
      <c r="O32195" s="36" t="s">
        <v>48</v>
      </c>
      <c r="R32195" s="36" t="s">
        <v>48</v>
      </c>
    </row>
    <row r="32196">
      <c r="H32196" s="50"/>
      <c r="I32196" s="50"/>
      <c r="O32196" s="36" t="s">
        <v>48</v>
      </c>
      <c r="R32196" s="36" t="s">
        <v>48</v>
      </c>
    </row>
    <row r="32197">
      <c r="H32197" s="50"/>
      <c r="I32197" s="50"/>
      <c r="O32197" s="36" t="s">
        <v>48</v>
      </c>
      <c r="R32197" s="36" t="s">
        <v>48</v>
      </c>
    </row>
    <row r="32198">
      <c r="H32198" s="50"/>
      <c r="I32198" s="50"/>
      <c r="O32198" s="36" t="s">
        <v>48</v>
      </c>
      <c r="R32198" s="36" t="s">
        <v>48</v>
      </c>
    </row>
    <row r="32199">
      <c r="H32199" s="50"/>
      <c r="I32199" s="50"/>
      <c r="O32199" s="36" t="s">
        <v>48</v>
      </c>
      <c r="R32199" s="36" t="s">
        <v>48</v>
      </c>
    </row>
    <row r="32200">
      <c r="H32200" s="50"/>
      <c r="I32200" s="50"/>
      <c r="O32200" s="36" t="s">
        <v>48</v>
      </c>
      <c r="R32200" s="36" t="s">
        <v>48</v>
      </c>
    </row>
    <row r="32201">
      <c r="H32201" s="50"/>
      <c r="I32201" s="50"/>
      <c r="O32201" s="36" t="s">
        <v>48</v>
      </c>
      <c r="R32201" s="36" t="s">
        <v>48</v>
      </c>
    </row>
    <row r="32202">
      <c r="H32202" s="50"/>
      <c r="I32202" s="50"/>
      <c r="O32202" s="36" t="s">
        <v>48</v>
      </c>
      <c r="R32202" s="36" t="s">
        <v>48</v>
      </c>
    </row>
    <row r="32203">
      <c r="H32203" s="50"/>
      <c r="I32203" s="50"/>
      <c r="O32203" s="36" t="s">
        <v>48</v>
      </c>
      <c r="R32203" s="36" t="s">
        <v>48</v>
      </c>
    </row>
    <row r="32204">
      <c r="H32204" s="50"/>
      <c r="I32204" s="50"/>
      <c r="O32204" s="36" t="s">
        <v>48</v>
      </c>
      <c r="R32204" s="36" t="s">
        <v>48</v>
      </c>
    </row>
    <row r="32205">
      <c r="H32205" s="50"/>
      <c r="I32205" s="50"/>
      <c r="O32205" s="36" t="s">
        <v>48</v>
      </c>
      <c r="R32205" s="36" t="s">
        <v>48</v>
      </c>
    </row>
    <row r="32206">
      <c r="H32206" s="50"/>
      <c r="I32206" s="50"/>
      <c r="O32206" s="36" t="s">
        <v>48</v>
      </c>
      <c r="R32206" s="36" t="s">
        <v>48</v>
      </c>
    </row>
    <row r="32207">
      <c r="H32207" s="50"/>
      <c r="I32207" s="50"/>
      <c r="O32207" s="36" t="s">
        <v>48</v>
      </c>
      <c r="R32207" s="36" t="s">
        <v>48</v>
      </c>
    </row>
    <row r="32208">
      <c r="H32208" s="50"/>
      <c r="I32208" s="50"/>
      <c r="O32208" s="36" t="s">
        <v>48</v>
      </c>
      <c r="R32208" s="36" t="s">
        <v>48</v>
      </c>
    </row>
    <row r="32209">
      <c r="H32209" s="50"/>
      <c r="I32209" s="50"/>
      <c r="O32209" s="36" t="s">
        <v>48</v>
      </c>
      <c r="R32209" s="36" t="s">
        <v>48</v>
      </c>
    </row>
    <row r="32210">
      <c r="H32210" s="50"/>
      <c r="I32210" s="50"/>
      <c r="O32210" s="36" t="s">
        <v>48</v>
      </c>
      <c r="R32210" s="36" t="s">
        <v>48</v>
      </c>
    </row>
    <row r="32211">
      <c r="H32211" s="50"/>
      <c r="I32211" s="50"/>
      <c r="O32211" s="36" t="s">
        <v>48</v>
      </c>
      <c r="R32211" s="36" t="s">
        <v>48</v>
      </c>
    </row>
    <row r="32212">
      <c r="H32212" s="50"/>
      <c r="I32212" s="50"/>
      <c r="O32212" s="36" t="s">
        <v>48</v>
      </c>
      <c r="R32212" s="36" t="s">
        <v>48</v>
      </c>
    </row>
    <row r="32213">
      <c r="H32213" s="50"/>
      <c r="I32213" s="50"/>
      <c r="O32213" s="36" t="s">
        <v>48</v>
      </c>
      <c r="R32213" s="36" t="s">
        <v>48</v>
      </c>
    </row>
    <row r="32214">
      <c r="H32214" s="50"/>
      <c r="I32214" s="50"/>
      <c r="O32214" s="36" t="s">
        <v>48</v>
      </c>
      <c r="R32214" s="36" t="s">
        <v>48</v>
      </c>
    </row>
    <row r="32215">
      <c r="H32215" s="50"/>
      <c r="I32215" s="50"/>
      <c r="O32215" s="36" t="s">
        <v>48</v>
      </c>
      <c r="R32215" s="36" t="s">
        <v>48</v>
      </c>
    </row>
    <row r="32216">
      <c r="H32216" s="50"/>
      <c r="I32216" s="50"/>
      <c r="O32216" s="36" t="s">
        <v>48</v>
      </c>
      <c r="R32216" s="36" t="s">
        <v>48</v>
      </c>
    </row>
    <row r="32217">
      <c r="H32217" s="50"/>
      <c r="I32217" s="50"/>
      <c r="O32217" s="36" t="s">
        <v>48</v>
      </c>
      <c r="R32217" s="36" t="s">
        <v>48</v>
      </c>
    </row>
    <row r="32218">
      <c r="H32218" s="50"/>
      <c r="I32218" s="50"/>
      <c r="O32218" s="36" t="s">
        <v>48</v>
      </c>
      <c r="R32218" s="36" t="s">
        <v>48</v>
      </c>
    </row>
    <row r="32219">
      <c r="H32219" s="50"/>
      <c r="I32219" s="50"/>
      <c r="O32219" s="36" t="s">
        <v>48</v>
      </c>
      <c r="R32219" s="36" t="s">
        <v>48</v>
      </c>
    </row>
    <row r="32220">
      <c r="H32220" s="50"/>
      <c r="I32220" s="50"/>
      <c r="O32220" s="36" t="s">
        <v>48</v>
      </c>
      <c r="R32220" s="36" t="s">
        <v>48</v>
      </c>
    </row>
    <row r="32221">
      <c r="H32221" s="50"/>
      <c r="I32221" s="50"/>
      <c r="O32221" s="36" t="s">
        <v>48</v>
      </c>
      <c r="R32221" s="36" t="s">
        <v>48</v>
      </c>
    </row>
    <row r="32222">
      <c r="H32222" s="50"/>
      <c r="I32222" s="50"/>
      <c r="O32222" s="36" t="s">
        <v>48</v>
      </c>
      <c r="R32222" s="36" t="s">
        <v>48</v>
      </c>
    </row>
    <row r="32223">
      <c r="H32223" s="50"/>
      <c r="I32223" s="50"/>
      <c r="O32223" s="36" t="s">
        <v>48</v>
      </c>
      <c r="R32223" s="36" t="s">
        <v>48</v>
      </c>
    </row>
    <row r="32224">
      <c r="H32224" s="50"/>
      <c r="I32224" s="50"/>
      <c r="O32224" s="36" t="s">
        <v>48</v>
      </c>
      <c r="R32224" s="36" t="s">
        <v>48</v>
      </c>
    </row>
    <row r="32225">
      <c r="H32225" s="50"/>
      <c r="I32225" s="50"/>
      <c r="O32225" s="36" t="s">
        <v>48</v>
      </c>
      <c r="R32225" s="36" t="s">
        <v>48</v>
      </c>
    </row>
    <row r="32226">
      <c r="H32226" s="50"/>
      <c r="I32226" s="50"/>
      <c r="O32226" s="36" t="s">
        <v>48</v>
      </c>
      <c r="R32226" s="36" t="s">
        <v>48</v>
      </c>
    </row>
    <row r="32227">
      <c r="H32227" s="50"/>
      <c r="I32227" s="50"/>
      <c r="O32227" s="36" t="s">
        <v>48</v>
      </c>
      <c r="R32227" s="36" t="s">
        <v>48</v>
      </c>
    </row>
    <row r="32228">
      <c r="H32228" s="50"/>
      <c r="I32228" s="50"/>
      <c r="O32228" s="36" t="s">
        <v>48</v>
      </c>
      <c r="R32228" s="36" t="s">
        <v>48</v>
      </c>
    </row>
    <row r="32229">
      <c r="H32229" s="50"/>
      <c r="I32229" s="50"/>
      <c r="O32229" s="36" t="s">
        <v>48</v>
      </c>
      <c r="R32229" s="36" t="s">
        <v>48</v>
      </c>
    </row>
    <row r="32230">
      <c r="H32230" s="50"/>
      <c r="I32230" s="50"/>
      <c r="O32230" s="36" t="s">
        <v>48</v>
      </c>
      <c r="R32230" s="36" t="s">
        <v>48</v>
      </c>
    </row>
    <row r="32231">
      <c r="H32231" s="50"/>
      <c r="I32231" s="50"/>
      <c r="O32231" s="36" t="s">
        <v>48</v>
      </c>
      <c r="R32231" s="36" t="s">
        <v>48</v>
      </c>
    </row>
    <row r="32232">
      <c r="H32232" s="50"/>
      <c r="I32232" s="50"/>
      <c r="O32232" s="36" t="s">
        <v>48</v>
      </c>
      <c r="R32232" s="36" t="s">
        <v>48</v>
      </c>
    </row>
    <row r="32233">
      <c r="H32233" s="50"/>
      <c r="I32233" s="50"/>
      <c r="O32233" s="36" t="s">
        <v>48</v>
      </c>
      <c r="R32233" s="36" t="s">
        <v>48</v>
      </c>
    </row>
    <row r="32234">
      <c r="H32234" s="50"/>
      <c r="I32234" s="50"/>
      <c r="O32234" s="36" t="s">
        <v>48</v>
      </c>
      <c r="R32234" s="36" t="s">
        <v>48</v>
      </c>
    </row>
    <row r="32235">
      <c r="H32235" s="50"/>
      <c r="I32235" s="50"/>
      <c r="O32235" s="36" t="s">
        <v>48</v>
      </c>
      <c r="R32235" s="36" t="s">
        <v>48</v>
      </c>
    </row>
    <row r="32236">
      <c r="H32236" s="50"/>
      <c r="I32236" s="50"/>
      <c r="O32236" s="36" t="s">
        <v>48</v>
      </c>
      <c r="R32236" s="36" t="s">
        <v>48</v>
      </c>
    </row>
    <row r="32237">
      <c r="H32237" s="50"/>
      <c r="I32237" s="50"/>
      <c r="O32237" s="36" t="s">
        <v>48</v>
      </c>
      <c r="R32237" s="36" t="s">
        <v>48</v>
      </c>
    </row>
    <row r="32238">
      <c r="H32238" s="50"/>
      <c r="I32238" s="50"/>
      <c r="O32238" s="36" t="s">
        <v>48</v>
      </c>
      <c r="R32238" s="36" t="s">
        <v>48</v>
      </c>
    </row>
    <row r="32239">
      <c r="H32239" s="50"/>
      <c r="I32239" s="50"/>
      <c r="O32239" s="36" t="s">
        <v>48</v>
      </c>
      <c r="R32239" s="36" t="s">
        <v>48</v>
      </c>
    </row>
    <row r="32240">
      <c r="H32240" s="50"/>
      <c r="I32240" s="50"/>
      <c r="O32240" s="36" t="s">
        <v>48</v>
      </c>
      <c r="R32240" s="36" t="s">
        <v>48</v>
      </c>
    </row>
    <row r="32241">
      <c r="H32241" s="50"/>
      <c r="I32241" s="50"/>
      <c r="O32241" s="36" t="s">
        <v>48</v>
      </c>
      <c r="R32241" s="36" t="s">
        <v>48</v>
      </c>
    </row>
    <row r="32242">
      <c r="H32242" s="50"/>
      <c r="I32242" s="50"/>
      <c r="O32242" s="36" t="s">
        <v>48</v>
      </c>
      <c r="R32242" s="36" t="s">
        <v>48</v>
      </c>
    </row>
    <row r="32243">
      <c r="H32243" s="50"/>
      <c r="I32243" s="50"/>
      <c r="O32243" s="36" t="s">
        <v>48</v>
      </c>
      <c r="R32243" s="36" t="s">
        <v>48</v>
      </c>
    </row>
    <row r="32244">
      <c r="H32244" s="50"/>
      <c r="I32244" s="50"/>
      <c r="O32244" s="36" t="s">
        <v>48</v>
      </c>
      <c r="R32244" s="36" t="s">
        <v>48</v>
      </c>
    </row>
    <row r="32245">
      <c r="H32245" s="50"/>
      <c r="I32245" s="50"/>
      <c r="O32245" s="36" t="s">
        <v>48</v>
      </c>
      <c r="R32245" s="36" t="s">
        <v>48</v>
      </c>
    </row>
    <row r="32246">
      <c r="H32246" s="50"/>
      <c r="I32246" s="50"/>
      <c r="O32246" s="36" t="s">
        <v>48</v>
      </c>
      <c r="R32246" s="36" t="s">
        <v>48</v>
      </c>
    </row>
    <row r="32247">
      <c r="H32247" s="50"/>
      <c r="I32247" s="50"/>
      <c r="O32247" s="36" t="s">
        <v>48</v>
      </c>
      <c r="R32247" s="36" t="s">
        <v>48</v>
      </c>
    </row>
    <row r="32248">
      <c r="H32248" s="50"/>
      <c r="I32248" s="50"/>
      <c r="O32248" s="36" t="s">
        <v>48</v>
      </c>
      <c r="R32248" s="36" t="s">
        <v>48</v>
      </c>
    </row>
    <row r="32249">
      <c r="H32249" s="50"/>
      <c r="I32249" s="50"/>
      <c r="O32249" s="36" t="s">
        <v>48</v>
      </c>
      <c r="R32249" s="36" t="s">
        <v>48</v>
      </c>
    </row>
    <row r="32250">
      <c r="H32250" s="50"/>
      <c r="I32250" s="50"/>
      <c r="O32250" s="36" t="s">
        <v>48</v>
      </c>
      <c r="R32250" s="36" t="s">
        <v>48</v>
      </c>
    </row>
    <row r="32251">
      <c r="H32251" s="50"/>
      <c r="I32251" s="50"/>
      <c r="O32251" s="36" t="s">
        <v>48</v>
      </c>
      <c r="R32251" s="36" t="s">
        <v>48</v>
      </c>
    </row>
    <row r="32252">
      <c r="H32252" s="50"/>
      <c r="I32252" s="50"/>
      <c r="O32252" s="36" t="s">
        <v>48</v>
      </c>
      <c r="R32252" s="36" t="s">
        <v>48</v>
      </c>
    </row>
    <row r="32253">
      <c r="H32253" s="50"/>
      <c r="I32253" s="50"/>
      <c r="O32253" s="36" t="s">
        <v>48</v>
      </c>
      <c r="R32253" s="36" t="s">
        <v>48</v>
      </c>
    </row>
    <row r="32254">
      <c r="H32254" s="50"/>
      <c r="I32254" s="50"/>
      <c r="O32254" s="36" t="s">
        <v>48</v>
      </c>
      <c r="R32254" s="36" t="s">
        <v>48</v>
      </c>
    </row>
    <row r="32255">
      <c r="H32255" s="50"/>
      <c r="I32255" s="50"/>
      <c r="O32255" s="36" t="s">
        <v>48</v>
      </c>
      <c r="R32255" s="36" t="s">
        <v>48</v>
      </c>
    </row>
    <row r="32256">
      <c r="H32256" s="50"/>
      <c r="I32256" s="50"/>
      <c r="O32256" s="36" t="s">
        <v>48</v>
      </c>
      <c r="R32256" s="36" t="s">
        <v>48</v>
      </c>
    </row>
    <row r="32257">
      <c r="H32257" s="50"/>
      <c r="I32257" s="50"/>
      <c r="O32257" s="36" t="s">
        <v>48</v>
      </c>
      <c r="R32257" s="36" t="s">
        <v>48</v>
      </c>
    </row>
    <row r="32258">
      <c r="H32258" s="50"/>
      <c r="I32258" s="50"/>
      <c r="O32258" s="36" t="s">
        <v>48</v>
      </c>
      <c r="R32258" s="36" t="s">
        <v>48</v>
      </c>
    </row>
    <row r="32259">
      <c r="H32259" s="50"/>
      <c r="I32259" s="50"/>
      <c r="O32259" s="36" t="s">
        <v>48</v>
      </c>
      <c r="R32259" s="36" t="s">
        <v>48</v>
      </c>
    </row>
    <row r="32260">
      <c r="H32260" s="50"/>
      <c r="I32260" s="50"/>
      <c r="O32260" s="36" t="s">
        <v>48</v>
      </c>
      <c r="R32260" s="36" t="s">
        <v>48</v>
      </c>
    </row>
    <row r="32261">
      <c r="H32261" s="50"/>
      <c r="I32261" s="50"/>
      <c r="O32261" s="36" t="s">
        <v>48</v>
      </c>
      <c r="R32261" s="36" t="s">
        <v>48</v>
      </c>
    </row>
    <row r="32262">
      <c r="H32262" s="50"/>
      <c r="I32262" s="50"/>
      <c r="O32262" s="36" t="s">
        <v>48</v>
      </c>
      <c r="R32262" s="36" t="s">
        <v>48</v>
      </c>
    </row>
    <row r="32263">
      <c r="H32263" s="50"/>
      <c r="I32263" s="50"/>
      <c r="O32263" s="36" t="s">
        <v>48</v>
      </c>
      <c r="R32263" s="36" t="s">
        <v>48</v>
      </c>
    </row>
    <row r="32264">
      <c r="H32264" s="50"/>
      <c r="I32264" s="50"/>
      <c r="O32264" s="36" t="s">
        <v>48</v>
      </c>
      <c r="R32264" s="36" t="s">
        <v>48</v>
      </c>
    </row>
    <row r="32265">
      <c r="H32265" s="50"/>
      <c r="I32265" s="50"/>
      <c r="O32265" s="36" t="s">
        <v>48</v>
      </c>
      <c r="R32265" s="36" t="s">
        <v>48</v>
      </c>
    </row>
    <row r="32266">
      <c r="H32266" s="50"/>
      <c r="I32266" s="50"/>
      <c r="O32266" s="36" t="s">
        <v>48</v>
      </c>
      <c r="R32266" s="36" t="s">
        <v>48</v>
      </c>
    </row>
    <row r="32267">
      <c r="H32267" s="50"/>
      <c r="I32267" s="50"/>
      <c r="O32267" s="36" t="s">
        <v>48</v>
      </c>
      <c r="R32267" s="36" t="s">
        <v>48</v>
      </c>
    </row>
    <row r="32268">
      <c r="H32268" s="50"/>
      <c r="I32268" s="50"/>
      <c r="O32268" s="36" t="s">
        <v>48</v>
      </c>
      <c r="R32268" s="36" t="s">
        <v>48</v>
      </c>
    </row>
    <row r="32269">
      <c r="H32269" s="50"/>
      <c r="I32269" s="50"/>
      <c r="O32269" s="36" t="s">
        <v>48</v>
      </c>
      <c r="R32269" s="36" t="s">
        <v>48</v>
      </c>
    </row>
    <row r="32270">
      <c r="H32270" s="50"/>
      <c r="I32270" s="50"/>
      <c r="O32270" s="36" t="s">
        <v>48</v>
      </c>
      <c r="R32270" s="36" t="s">
        <v>48</v>
      </c>
    </row>
    <row r="32271">
      <c r="H32271" s="50"/>
      <c r="I32271" s="50"/>
      <c r="O32271" s="36" t="s">
        <v>48</v>
      </c>
      <c r="R32271" s="36" t="s">
        <v>48</v>
      </c>
    </row>
    <row r="32272">
      <c r="H32272" s="50"/>
      <c r="I32272" s="50"/>
      <c r="O32272" s="36" t="s">
        <v>48</v>
      </c>
      <c r="R32272" s="36" t="s">
        <v>48</v>
      </c>
    </row>
    <row r="32273">
      <c r="H32273" s="50"/>
      <c r="I32273" s="50"/>
      <c r="O32273" s="36" t="s">
        <v>48</v>
      </c>
      <c r="R32273" s="36" t="s">
        <v>48</v>
      </c>
    </row>
    <row r="32274">
      <c r="H32274" s="50"/>
      <c r="I32274" s="50"/>
      <c r="O32274" s="36" t="s">
        <v>48</v>
      </c>
      <c r="R32274" s="36" t="s">
        <v>48</v>
      </c>
    </row>
    <row r="32275">
      <c r="H32275" s="50"/>
      <c r="I32275" s="50"/>
      <c r="O32275" s="36" t="s">
        <v>48</v>
      </c>
      <c r="R32275" s="36" t="s">
        <v>48</v>
      </c>
    </row>
    <row r="32276">
      <c r="H32276" s="50"/>
      <c r="I32276" s="50"/>
      <c r="O32276" s="36" t="s">
        <v>48</v>
      </c>
      <c r="R32276" s="36" t="s">
        <v>48</v>
      </c>
    </row>
    <row r="32277">
      <c r="H32277" s="50"/>
      <c r="I32277" s="50"/>
      <c r="O32277" s="36" t="s">
        <v>48</v>
      </c>
      <c r="R32277" s="36" t="s">
        <v>48</v>
      </c>
    </row>
    <row r="32278">
      <c r="H32278" s="50"/>
      <c r="I32278" s="50"/>
      <c r="O32278" s="36" t="s">
        <v>48</v>
      </c>
      <c r="R32278" s="36" t="s">
        <v>48</v>
      </c>
    </row>
    <row r="32279">
      <c r="H32279" s="50"/>
      <c r="I32279" s="50"/>
      <c r="O32279" s="36" t="s">
        <v>48</v>
      </c>
      <c r="R32279" s="36" t="s">
        <v>48</v>
      </c>
    </row>
    <row r="32280">
      <c r="H32280" s="50"/>
      <c r="I32280" s="50"/>
      <c r="O32280" s="36" t="s">
        <v>48</v>
      </c>
      <c r="R32280" s="36" t="s">
        <v>48</v>
      </c>
    </row>
    <row r="32281">
      <c r="H32281" s="50"/>
      <c r="I32281" s="50"/>
      <c r="O32281" s="36" t="s">
        <v>48</v>
      </c>
      <c r="R32281" s="36" t="s">
        <v>48</v>
      </c>
    </row>
    <row r="32282">
      <c r="H32282" s="50"/>
      <c r="I32282" s="50"/>
      <c r="O32282" s="36" t="s">
        <v>48</v>
      </c>
      <c r="R32282" s="36" t="s">
        <v>48</v>
      </c>
    </row>
    <row r="32283">
      <c r="H32283" s="50"/>
      <c r="I32283" s="50"/>
      <c r="O32283" s="36" t="s">
        <v>48</v>
      </c>
      <c r="R32283" s="36" t="s">
        <v>48</v>
      </c>
    </row>
    <row r="32284">
      <c r="H32284" s="50"/>
      <c r="I32284" s="50"/>
      <c r="O32284" s="36" t="s">
        <v>48</v>
      </c>
      <c r="R32284" s="36" t="s">
        <v>48</v>
      </c>
    </row>
    <row r="32285">
      <c r="H32285" s="50"/>
      <c r="I32285" s="50"/>
      <c r="O32285" s="36" t="s">
        <v>48</v>
      </c>
      <c r="R32285" s="36" t="s">
        <v>48</v>
      </c>
    </row>
    <row r="32286">
      <c r="H32286" s="50"/>
      <c r="I32286" s="50"/>
      <c r="O32286" s="36" t="s">
        <v>48</v>
      </c>
      <c r="R32286" s="36" t="s">
        <v>48</v>
      </c>
    </row>
    <row r="32287">
      <c r="H32287" s="50"/>
      <c r="I32287" s="50"/>
      <c r="O32287" s="36" t="s">
        <v>48</v>
      </c>
      <c r="R32287" s="36" t="s">
        <v>48</v>
      </c>
    </row>
    <row r="32288">
      <c r="H32288" s="50"/>
      <c r="I32288" s="50"/>
      <c r="O32288" s="36" t="s">
        <v>48</v>
      </c>
      <c r="R32288" s="36" t="s">
        <v>48</v>
      </c>
    </row>
    <row r="32289">
      <c r="H32289" s="50"/>
      <c r="I32289" s="50"/>
      <c r="O32289" s="36" t="s">
        <v>48</v>
      </c>
      <c r="R32289" s="36" t="s">
        <v>48</v>
      </c>
    </row>
    <row r="32290">
      <c r="H32290" s="50"/>
      <c r="I32290" s="50"/>
      <c r="O32290" s="36" t="s">
        <v>48</v>
      </c>
      <c r="R32290" s="36" t="s">
        <v>48</v>
      </c>
    </row>
    <row r="32291">
      <c r="H32291" s="50"/>
      <c r="I32291" s="50"/>
      <c r="O32291" s="36" t="s">
        <v>48</v>
      </c>
      <c r="R32291" s="36" t="s">
        <v>48</v>
      </c>
    </row>
    <row r="32292">
      <c r="H32292" s="50"/>
      <c r="I32292" s="50"/>
      <c r="O32292" s="36" t="s">
        <v>48</v>
      </c>
      <c r="R32292" s="36" t="s">
        <v>48</v>
      </c>
    </row>
    <row r="32293">
      <c r="H32293" s="50"/>
      <c r="I32293" s="50"/>
      <c r="O32293" s="36" t="s">
        <v>48</v>
      </c>
      <c r="R32293" s="36" t="s">
        <v>48</v>
      </c>
    </row>
    <row r="32294">
      <c r="H32294" s="50"/>
      <c r="I32294" s="50"/>
      <c r="O32294" s="36" t="s">
        <v>48</v>
      </c>
      <c r="R32294" s="36" t="s">
        <v>48</v>
      </c>
    </row>
    <row r="32295">
      <c r="H32295" s="50"/>
      <c r="I32295" s="50"/>
      <c r="O32295" s="36" t="s">
        <v>48</v>
      </c>
      <c r="R32295" s="36" t="s">
        <v>48</v>
      </c>
    </row>
    <row r="32296">
      <c r="H32296" s="50"/>
      <c r="I32296" s="50"/>
      <c r="O32296" s="36" t="s">
        <v>48</v>
      </c>
      <c r="R32296" s="36" t="s">
        <v>48</v>
      </c>
    </row>
    <row r="32297">
      <c r="H32297" s="50"/>
      <c r="I32297" s="50"/>
      <c r="O32297" s="36" t="s">
        <v>48</v>
      </c>
      <c r="R32297" s="36" t="s">
        <v>48</v>
      </c>
    </row>
    <row r="32298">
      <c r="H32298" s="50"/>
      <c r="I32298" s="50"/>
      <c r="O32298" s="36" t="s">
        <v>48</v>
      </c>
      <c r="R32298" s="36" t="s">
        <v>48</v>
      </c>
    </row>
    <row r="32299">
      <c r="H32299" s="50"/>
      <c r="I32299" s="50"/>
      <c r="O32299" s="36" t="s">
        <v>48</v>
      </c>
      <c r="R32299" s="36" t="s">
        <v>48</v>
      </c>
    </row>
    <row r="32300">
      <c r="H32300" s="50"/>
      <c r="I32300" s="50"/>
      <c r="O32300" s="36" t="s">
        <v>48</v>
      </c>
      <c r="R32300" s="36" t="s">
        <v>48</v>
      </c>
    </row>
    <row r="32301">
      <c r="H32301" s="50"/>
      <c r="I32301" s="50"/>
      <c r="O32301" s="36" t="s">
        <v>48</v>
      </c>
      <c r="R32301" s="36" t="s">
        <v>48</v>
      </c>
    </row>
    <row r="32302">
      <c r="H32302" s="50"/>
      <c r="I32302" s="50"/>
      <c r="O32302" s="36" t="s">
        <v>48</v>
      </c>
      <c r="R32302" s="36" t="s">
        <v>48</v>
      </c>
    </row>
    <row r="32303">
      <c r="H32303" s="50"/>
      <c r="I32303" s="50"/>
      <c r="O32303" s="36" t="s">
        <v>48</v>
      </c>
      <c r="R32303" s="36" t="s">
        <v>48</v>
      </c>
    </row>
    <row r="32304">
      <c r="H32304" s="50"/>
      <c r="I32304" s="50"/>
      <c r="O32304" s="36" t="s">
        <v>48</v>
      </c>
      <c r="R32304" s="36" t="s">
        <v>48</v>
      </c>
    </row>
    <row r="32305">
      <c r="H32305" s="50"/>
      <c r="I32305" s="50"/>
      <c r="O32305" s="36" t="s">
        <v>48</v>
      </c>
      <c r="R32305" s="36" t="s">
        <v>48</v>
      </c>
    </row>
    <row r="32306">
      <c r="H32306" s="50"/>
      <c r="I32306" s="50"/>
      <c r="O32306" s="36" t="s">
        <v>48</v>
      </c>
      <c r="R32306" s="36" t="s">
        <v>48</v>
      </c>
    </row>
    <row r="32307">
      <c r="H32307" s="50"/>
      <c r="I32307" s="50"/>
      <c r="O32307" s="36" t="s">
        <v>48</v>
      </c>
      <c r="R32307" s="36" t="s">
        <v>48</v>
      </c>
    </row>
    <row r="32308">
      <c r="H32308" s="50"/>
      <c r="I32308" s="50"/>
      <c r="O32308" s="36" t="s">
        <v>48</v>
      </c>
      <c r="R32308" s="36" t="s">
        <v>48</v>
      </c>
    </row>
    <row r="32309">
      <c r="H32309" s="50"/>
      <c r="I32309" s="50"/>
      <c r="O32309" s="36" t="s">
        <v>48</v>
      </c>
      <c r="R32309" s="36" t="s">
        <v>48</v>
      </c>
    </row>
    <row r="32310">
      <c r="H32310" s="50"/>
      <c r="I32310" s="50"/>
      <c r="O32310" s="36" t="s">
        <v>48</v>
      </c>
      <c r="R32310" s="36" t="s">
        <v>48</v>
      </c>
    </row>
    <row r="32311">
      <c r="H32311" s="50"/>
      <c r="I32311" s="50"/>
      <c r="O32311" s="36" t="s">
        <v>48</v>
      </c>
      <c r="R32311" s="36" t="s">
        <v>48</v>
      </c>
    </row>
    <row r="32312">
      <c r="H32312" s="50"/>
      <c r="I32312" s="50"/>
      <c r="O32312" s="36" t="s">
        <v>48</v>
      </c>
      <c r="R32312" s="36" t="s">
        <v>48</v>
      </c>
    </row>
    <row r="32313">
      <c r="H32313" s="50"/>
      <c r="I32313" s="50"/>
      <c r="O32313" s="36" t="s">
        <v>48</v>
      </c>
      <c r="R32313" s="36" t="s">
        <v>48</v>
      </c>
    </row>
    <row r="32314">
      <c r="H32314" s="50"/>
      <c r="I32314" s="50"/>
      <c r="O32314" s="36" t="s">
        <v>48</v>
      </c>
      <c r="R32314" s="36" t="s">
        <v>48</v>
      </c>
    </row>
    <row r="32315">
      <c r="H32315" s="50"/>
      <c r="I32315" s="50"/>
      <c r="O32315" s="36" t="s">
        <v>48</v>
      </c>
      <c r="R32315" s="36" t="s">
        <v>48</v>
      </c>
    </row>
    <row r="32316">
      <c r="H32316" s="50"/>
      <c r="I32316" s="50"/>
      <c r="O32316" s="36" t="s">
        <v>48</v>
      </c>
      <c r="R32316" s="36" t="s">
        <v>48</v>
      </c>
    </row>
    <row r="32317">
      <c r="H32317" s="50"/>
      <c r="I32317" s="50"/>
      <c r="O32317" s="36" t="s">
        <v>48</v>
      </c>
      <c r="R32317" s="36" t="s">
        <v>48</v>
      </c>
    </row>
    <row r="32318">
      <c r="H32318" s="50"/>
      <c r="I32318" s="50"/>
      <c r="O32318" s="36" t="s">
        <v>48</v>
      </c>
      <c r="R32318" s="36" t="s">
        <v>48</v>
      </c>
    </row>
    <row r="32319">
      <c r="H32319" s="50"/>
      <c r="I32319" s="50"/>
      <c r="O32319" s="36" t="s">
        <v>48</v>
      </c>
      <c r="R32319" s="36" t="s">
        <v>48</v>
      </c>
    </row>
    <row r="32320">
      <c r="H32320" s="50"/>
      <c r="I32320" s="50"/>
      <c r="O32320" s="36" t="s">
        <v>48</v>
      </c>
      <c r="R32320" s="36" t="s">
        <v>48</v>
      </c>
    </row>
    <row r="32321">
      <c r="H32321" s="50"/>
      <c r="I32321" s="50"/>
      <c r="O32321" s="36" t="s">
        <v>48</v>
      </c>
      <c r="R32321" s="36" t="s">
        <v>48</v>
      </c>
    </row>
    <row r="32322">
      <c r="H32322" s="50"/>
      <c r="I32322" s="50"/>
      <c r="O32322" s="36" t="s">
        <v>48</v>
      </c>
      <c r="R32322" s="36" t="s">
        <v>48</v>
      </c>
    </row>
    <row r="32323">
      <c r="H32323" s="50"/>
      <c r="I32323" s="50"/>
      <c r="O32323" s="36" t="s">
        <v>48</v>
      </c>
      <c r="R32323" s="36" t="s">
        <v>48</v>
      </c>
    </row>
    <row r="32324">
      <c r="H32324" s="50"/>
      <c r="I32324" s="50"/>
      <c r="O32324" s="36" t="s">
        <v>48</v>
      </c>
      <c r="R32324" s="36" t="s">
        <v>48</v>
      </c>
    </row>
    <row r="32325">
      <c r="H32325" s="50"/>
      <c r="I32325" s="50"/>
      <c r="O32325" s="36" t="s">
        <v>48</v>
      </c>
      <c r="R32325" s="36" t="s">
        <v>48</v>
      </c>
    </row>
    <row r="32326">
      <c r="H32326" s="50"/>
      <c r="I32326" s="50"/>
      <c r="O32326" s="36" t="s">
        <v>48</v>
      </c>
      <c r="R32326" s="36" t="s">
        <v>48</v>
      </c>
    </row>
    <row r="32327">
      <c r="H32327" s="50"/>
      <c r="I32327" s="50"/>
      <c r="O32327" s="36" t="s">
        <v>48</v>
      </c>
      <c r="R32327" s="36" t="s">
        <v>48</v>
      </c>
    </row>
    <row r="32328">
      <c r="H32328" s="50"/>
      <c r="I32328" s="50"/>
      <c r="O32328" s="36" t="s">
        <v>48</v>
      </c>
      <c r="R32328" s="36" t="s">
        <v>48</v>
      </c>
    </row>
    <row r="32329">
      <c r="H32329" s="50"/>
      <c r="I32329" s="50"/>
      <c r="O32329" s="36" t="s">
        <v>48</v>
      </c>
      <c r="R32329" s="36" t="s">
        <v>48</v>
      </c>
    </row>
    <row r="32330">
      <c r="H32330" s="50"/>
      <c r="I32330" s="50"/>
      <c r="O32330" s="36" t="s">
        <v>48</v>
      </c>
      <c r="R32330" s="36" t="s">
        <v>48</v>
      </c>
    </row>
    <row r="32331">
      <c r="H32331" s="50"/>
      <c r="I32331" s="50"/>
      <c r="O32331" s="36" t="s">
        <v>48</v>
      </c>
      <c r="R32331" s="36" t="s">
        <v>48</v>
      </c>
    </row>
    <row r="32332">
      <c r="H32332" s="50"/>
      <c r="I32332" s="50"/>
      <c r="O32332" s="36" t="s">
        <v>48</v>
      </c>
      <c r="R32332" s="36" t="s">
        <v>48</v>
      </c>
    </row>
    <row r="32333">
      <c r="H32333" s="50"/>
      <c r="I32333" s="50"/>
      <c r="O32333" s="36" t="s">
        <v>48</v>
      </c>
      <c r="R32333" s="36" t="s">
        <v>48</v>
      </c>
    </row>
    <row r="32334">
      <c r="H32334" s="50"/>
      <c r="I32334" s="50"/>
      <c r="O32334" s="36" t="s">
        <v>48</v>
      </c>
      <c r="R32334" s="36" t="s">
        <v>48</v>
      </c>
    </row>
    <row r="32335">
      <c r="H32335" s="50"/>
      <c r="I32335" s="50"/>
      <c r="O32335" s="36" t="s">
        <v>48</v>
      </c>
      <c r="R32335" s="36" t="s">
        <v>48</v>
      </c>
    </row>
    <row r="32336">
      <c r="H32336" s="50"/>
      <c r="I32336" s="50"/>
      <c r="O32336" s="36" t="s">
        <v>48</v>
      </c>
      <c r="R32336" s="36" t="s">
        <v>48</v>
      </c>
    </row>
    <row r="32337">
      <c r="H32337" s="50"/>
      <c r="I32337" s="50"/>
      <c r="O32337" s="36" t="s">
        <v>48</v>
      </c>
      <c r="R32337" s="36" t="s">
        <v>48</v>
      </c>
    </row>
    <row r="32338">
      <c r="H32338" s="50"/>
      <c r="I32338" s="50"/>
      <c r="O32338" s="36" t="s">
        <v>48</v>
      </c>
      <c r="R32338" s="36" t="s">
        <v>48</v>
      </c>
    </row>
    <row r="32339">
      <c r="H32339" s="50"/>
      <c r="I32339" s="50"/>
      <c r="O32339" s="36" t="s">
        <v>48</v>
      </c>
      <c r="R32339" s="36" t="s">
        <v>48</v>
      </c>
    </row>
    <row r="32340">
      <c r="H32340" s="50"/>
      <c r="I32340" s="50"/>
      <c r="O32340" s="36" t="s">
        <v>48</v>
      </c>
      <c r="R32340" s="36" t="s">
        <v>48</v>
      </c>
    </row>
    <row r="32341">
      <c r="H32341" s="50"/>
      <c r="I32341" s="50"/>
      <c r="O32341" s="36" t="s">
        <v>48</v>
      </c>
      <c r="R32341" s="36" t="s">
        <v>48</v>
      </c>
    </row>
    <row r="32342">
      <c r="H32342" s="50"/>
      <c r="I32342" s="50"/>
      <c r="O32342" s="36" t="s">
        <v>48</v>
      </c>
      <c r="R32342" s="36" t="s">
        <v>48</v>
      </c>
    </row>
    <row r="32343">
      <c r="H32343" s="50"/>
      <c r="I32343" s="50"/>
      <c r="O32343" s="36" t="s">
        <v>48</v>
      </c>
      <c r="R32343" s="36" t="s">
        <v>48</v>
      </c>
    </row>
    <row r="32344">
      <c r="H32344" s="50"/>
      <c r="I32344" s="50"/>
      <c r="O32344" s="36" t="s">
        <v>48</v>
      </c>
      <c r="R32344" s="36" t="s">
        <v>48</v>
      </c>
    </row>
    <row r="32345">
      <c r="H32345" s="50"/>
      <c r="I32345" s="50"/>
      <c r="O32345" s="36" t="s">
        <v>48</v>
      </c>
      <c r="R32345" s="36" t="s">
        <v>48</v>
      </c>
    </row>
    <row r="32346">
      <c r="H32346" s="50"/>
      <c r="I32346" s="50"/>
      <c r="O32346" s="36" t="s">
        <v>48</v>
      </c>
      <c r="R32346" s="36" t="s">
        <v>48</v>
      </c>
    </row>
    <row r="32347">
      <c r="H32347" s="50"/>
      <c r="I32347" s="50"/>
      <c r="O32347" s="36" t="s">
        <v>48</v>
      </c>
      <c r="R32347" s="36" t="s">
        <v>48</v>
      </c>
    </row>
    <row r="32348">
      <c r="H32348" s="50"/>
      <c r="I32348" s="50"/>
      <c r="O32348" s="36" t="s">
        <v>48</v>
      </c>
      <c r="R32348" s="36" t="s">
        <v>48</v>
      </c>
    </row>
    <row r="32349">
      <c r="H32349" s="50"/>
      <c r="I32349" s="50"/>
      <c r="O32349" s="36" t="s">
        <v>48</v>
      </c>
      <c r="R32349" s="36" t="s">
        <v>48</v>
      </c>
    </row>
    <row r="32350">
      <c r="H32350" s="50"/>
      <c r="I32350" s="50"/>
      <c r="O32350" s="36" t="s">
        <v>48</v>
      </c>
      <c r="R32350" s="36" t="s">
        <v>48</v>
      </c>
    </row>
    <row r="32351">
      <c r="H32351" s="50"/>
      <c r="I32351" s="50"/>
      <c r="O32351" s="36" t="s">
        <v>48</v>
      </c>
      <c r="R32351" s="36" t="s">
        <v>48</v>
      </c>
    </row>
    <row r="32352">
      <c r="H32352" s="50"/>
      <c r="I32352" s="50"/>
      <c r="O32352" s="36" t="s">
        <v>48</v>
      </c>
      <c r="R32352" s="36" t="s">
        <v>48</v>
      </c>
    </row>
    <row r="32353">
      <c r="H32353" s="50"/>
      <c r="I32353" s="50"/>
      <c r="O32353" s="36" t="s">
        <v>48</v>
      </c>
      <c r="R32353" s="36" t="s">
        <v>48</v>
      </c>
    </row>
    <row r="32354">
      <c r="H32354" s="50"/>
      <c r="I32354" s="50"/>
      <c r="O32354" s="36" t="s">
        <v>48</v>
      </c>
      <c r="R32354" s="36" t="s">
        <v>48</v>
      </c>
    </row>
    <row r="32355">
      <c r="H32355" s="50"/>
      <c r="I32355" s="50"/>
      <c r="O32355" s="36" t="s">
        <v>48</v>
      </c>
      <c r="R32355" s="36" t="s">
        <v>48</v>
      </c>
    </row>
    <row r="32356">
      <c r="H32356" s="50"/>
      <c r="I32356" s="50"/>
      <c r="O32356" s="36" t="s">
        <v>48</v>
      </c>
      <c r="R32356" s="36" t="s">
        <v>48</v>
      </c>
    </row>
    <row r="32357">
      <c r="H32357" s="50"/>
      <c r="I32357" s="50"/>
      <c r="O32357" s="36" t="s">
        <v>48</v>
      </c>
      <c r="R32357" s="36" t="s">
        <v>48</v>
      </c>
    </row>
    <row r="32358">
      <c r="H32358" s="50"/>
      <c r="I32358" s="50"/>
      <c r="O32358" s="36" t="s">
        <v>48</v>
      </c>
      <c r="R32358" s="36" t="s">
        <v>48</v>
      </c>
    </row>
    <row r="32359">
      <c r="H32359" s="50"/>
      <c r="I32359" s="50"/>
      <c r="O32359" s="36" t="s">
        <v>48</v>
      </c>
      <c r="R32359" s="36" t="s">
        <v>48</v>
      </c>
    </row>
    <row r="32360">
      <c r="H32360" s="50"/>
      <c r="I32360" s="50"/>
      <c r="O32360" s="36" t="s">
        <v>48</v>
      </c>
      <c r="R32360" s="36" t="s">
        <v>48</v>
      </c>
    </row>
    <row r="32361">
      <c r="H32361" s="50"/>
      <c r="I32361" s="50"/>
      <c r="O32361" s="36" t="s">
        <v>48</v>
      </c>
      <c r="R32361" s="36" t="s">
        <v>48</v>
      </c>
    </row>
    <row r="32362">
      <c r="H32362" s="50"/>
      <c r="I32362" s="50"/>
      <c r="O32362" s="36" t="s">
        <v>48</v>
      </c>
      <c r="R32362" s="36" t="s">
        <v>48</v>
      </c>
    </row>
    <row r="32363">
      <c r="H32363" s="50"/>
      <c r="I32363" s="50"/>
      <c r="O32363" s="36" t="s">
        <v>48</v>
      </c>
      <c r="R32363" s="36" t="s">
        <v>48</v>
      </c>
    </row>
    <row r="32364">
      <c r="H32364" s="50"/>
      <c r="I32364" s="50"/>
      <c r="O32364" s="36" t="s">
        <v>48</v>
      </c>
      <c r="R32364" s="36" t="s">
        <v>48</v>
      </c>
    </row>
    <row r="32365">
      <c r="H32365" s="50"/>
      <c r="I32365" s="50"/>
      <c r="O32365" s="36" t="s">
        <v>48</v>
      </c>
      <c r="R32365" s="36" t="s">
        <v>48</v>
      </c>
    </row>
    <row r="32366">
      <c r="H32366" s="50"/>
      <c r="I32366" s="50"/>
      <c r="O32366" s="36" t="s">
        <v>48</v>
      </c>
      <c r="R32366" s="36" t="s">
        <v>48</v>
      </c>
    </row>
    <row r="32367">
      <c r="H32367" s="50"/>
      <c r="I32367" s="50"/>
      <c r="O32367" s="36" t="s">
        <v>48</v>
      </c>
      <c r="R32367" s="36" t="s">
        <v>48</v>
      </c>
    </row>
    <row r="32368">
      <c r="H32368" s="50"/>
      <c r="I32368" s="50"/>
      <c r="O32368" s="36" t="s">
        <v>48</v>
      </c>
      <c r="R32368" s="36" t="s">
        <v>48</v>
      </c>
    </row>
    <row r="32369">
      <c r="H32369" s="50"/>
      <c r="I32369" s="50"/>
      <c r="O32369" s="36" t="s">
        <v>48</v>
      </c>
      <c r="R32369" s="36" t="s">
        <v>48</v>
      </c>
    </row>
    <row r="32370">
      <c r="H32370" s="50"/>
      <c r="I32370" s="50"/>
      <c r="O32370" s="36" t="s">
        <v>48</v>
      </c>
      <c r="R32370" s="36" t="s">
        <v>48</v>
      </c>
    </row>
    <row r="32371">
      <c r="H32371" s="50"/>
      <c r="I32371" s="50"/>
      <c r="O32371" s="36" t="s">
        <v>48</v>
      </c>
      <c r="R32371" s="36" t="s">
        <v>48</v>
      </c>
    </row>
    <row r="32372">
      <c r="H32372" s="50"/>
      <c r="I32372" s="50"/>
      <c r="O32372" s="36" t="s">
        <v>48</v>
      </c>
      <c r="R32372" s="36" t="s">
        <v>48</v>
      </c>
    </row>
    <row r="32373">
      <c r="H32373" s="50"/>
      <c r="I32373" s="50"/>
      <c r="O32373" s="36" t="s">
        <v>48</v>
      </c>
      <c r="R32373" s="36" t="s">
        <v>48</v>
      </c>
    </row>
    <row r="32374">
      <c r="H32374" s="50"/>
      <c r="I32374" s="50"/>
      <c r="O32374" s="36" t="s">
        <v>48</v>
      </c>
      <c r="R32374" s="36" t="s">
        <v>48</v>
      </c>
    </row>
    <row r="32375">
      <c r="H32375" s="50"/>
      <c r="I32375" s="50"/>
      <c r="O32375" s="36" t="s">
        <v>48</v>
      </c>
      <c r="R32375" s="36" t="s">
        <v>48</v>
      </c>
    </row>
    <row r="32376">
      <c r="H32376" s="50"/>
      <c r="I32376" s="50"/>
      <c r="O32376" s="36" t="s">
        <v>48</v>
      </c>
      <c r="R32376" s="36" t="s">
        <v>48</v>
      </c>
    </row>
    <row r="32377">
      <c r="H32377" s="50"/>
      <c r="I32377" s="50"/>
      <c r="O32377" s="36" t="s">
        <v>48</v>
      </c>
      <c r="R32377" s="36" t="s">
        <v>48</v>
      </c>
    </row>
    <row r="32378">
      <c r="H32378" s="50"/>
      <c r="I32378" s="50"/>
      <c r="O32378" s="36" t="s">
        <v>48</v>
      </c>
      <c r="R32378" s="36" t="s">
        <v>48</v>
      </c>
    </row>
    <row r="32379">
      <c r="H32379" s="50"/>
      <c r="I32379" s="50"/>
      <c r="O32379" s="36" t="s">
        <v>48</v>
      </c>
      <c r="R32379" s="36" t="s">
        <v>48</v>
      </c>
    </row>
    <row r="32380">
      <c r="H32380" s="50"/>
      <c r="I32380" s="50"/>
      <c r="O32380" s="36" t="s">
        <v>48</v>
      </c>
      <c r="R32380" s="36" t="s">
        <v>48</v>
      </c>
    </row>
    <row r="32381">
      <c r="H32381" s="50"/>
      <c r="I32381" s="50"/>
      <c r="O32381" s="36" t="s">
        <v>48</v>
      </c>
      <c r="R32381" s="36" t="s">
        <v>48</v>
      </c>
    </row>
    <row r="32382">
      <c r="H32382" s="50"/>
      <c r="I32382" s="50"/>
      <c r="O32382" s="36" t="s">
        <v>48</v>
      </c>
      <c r="R32382" s="36" t="s">
        <v>48</v>
      </c>
    </row>
    <row r="32383">
      <c r="H32383" s="50"/>
      <c r="I32383" s="50"/>
      <c r="O32383" s="36" t="s">
        <v>48</v>
      </c>
      <c r="R32383" s="36" t="s">
        <v>48</v>
      </c>
    </row>
    <row r="32384">
      <c r="H32384" s="50"/>
      <c r="I32384" s="50"/>
      <c r="O32384" s="36" t="s">
        <v>48</v>
      </c>
      <c r="R32384" s="36" t="s">
        <v>48</v>
      </c>
    </row>
    <row r="32385">
      <c r="H32385" s="50"/>
      <c r="I32385" s="50"/>
      <c r="O32385" s="36" t="s">
        <v>48</v>
      </c>
      <c r="R32385" s="36" t="s">
        <v>48</v>
      </c>
    </row>
    <row r="32386">
      <c r="H32386" s="50"/>
      <c r="I32386" s="50"/>
      <c r="O32386" s="36" t="s">
        <v>48</v>
      </c>
      <c r="R32386" s="36" t="s">
        <v>48</v>
      </c>
    </row>
    <row r="32387">
      <c r="H32387" s="50"/>
      <c r="I32387" s="50"/>
      <c r="O32387" s="36" t="s">
        <v>48</v>
      </c>
      <c r="R32387" s="36" t="s">
        <v>48</v>
      </c>
    </row>
    <row r="32388">
      <c r="H32388" s="50"/>
      <c r="I32388" s="50"/>
      <c r="O32388" s="36" t="s">
        <v>48</v>
      </c>
      <c r="R32388" s="36" t="s">
        <v>48</v>
      </c>
    </row>
    <row r="32389">
      <c r="H32389" s="50"/>
      <c r="I32389" s="50"/>
      <c r="O32389" s="36" t="s">
        <v>48</v>
      </c>
      <c r="R32389" s="36" t="s">
        <v>48</v>
      </c>
    </row>
    <row r="32390">
      <c r="H32390" s="50"/>
      <c r="I32390" s="50"/>
      <c r="O32390" s="36" t="s">
        <v>48</v>
      </c>
      <c r="R32390" s="36" t="s">
        <v>48</v>
      </c>
    </row>
    <row r="32391">
      <c r="H32391" s="50"/>
      <c r="I32391" s="50"/>
      <c r="O32391" s="36" t="s">
        <v>48</v>
      </c>
      <c r="R32391" s="36" t="s">
        <v>48</v>
      </c>
    </row>
    <row r="32392">
      <c r="H32392" s="50"/>
      <c r="I32392" s="50"/>
      <c r="O32392" s="36" t="s">
        <v>48</v>
      </c>
      <c r="R32392" s="36" t="s">
        <v>48</v>
      </c>
    </row>
    <row r="32393">
      <c r="H32393" s="50"/>
      <c r="I32393" s="50"/>
      <c r="O32393" s="36" t="s">
        <v>48</v>
      </c>
      <c r="R32393" s="36" t="s">
        <v>48</v>
      </c>
    </row>
    <row r="32394">
      <c r="H32394" s="50"/>
      <c r="I32394" s="50"/>
      <c r="O32394" s="36" t="s">
        <v>48</v>
      </c>
      <c r="R32394" s="36" t="s">
        <v>48</v>
      </c>
    </row>
    <row r="32395">
      <c r="H32395" s="50"/>
      <c r="I32395" s="50"/>
      <c r="O32395" s="36" t="s">
        <v>48</v>
      </c>
      <c r="R32395" s="36" t="s">
        <v>48</v>
      </c>
    </row>
    <row r="32396">
      <c r="H32396" s="50"/>
      <c r="I32396" s="50"/>
      <c r="O32396" s="36" t="s">
        <v>48</v>
      </c>
      <c r="R32396" s="36" t="s">
        <v>48</v>
      </c>
    </row>
    <row r="32397">
      <c r="H32397" s="50"/>
      <c r="I32397" s="50"/>
      <c r="O32397" s="36" t="s">
        <v>48</v>
      </c>
      <c r="R32397" s="36" t="s">
        <v>48</v>
      </c>
    </row>
    <row r="32398">
      <c r="H32398" s="50"/>
      <c r="I32398" s="50"/>
      <c r="O32398" s="36" t="s">
        <v>48</v>
      </c>
      <c r="R32398" s="36" t="s">
        <v>48</v>
      </c>
    </row>
    <row r="32399">
      <c r="H32399" s="50"/>
      <c r="I32399" s="50"/>
      <c r="O32399" s="36" t="s">
        <v>48</v>
      </c>
      <c r="R32399" s="36" t="s">
        <v>48</v>
      </c>
    </row>
    <row r="32400">
      <c r="H32400" s="50"/>
      <c r="I32400" s="50"/>
      <c r="O32400" s="36" t="s">
        <v>48</v>
      </c>
      <c r="R32400" s="36" t="s">
        <v>48</v>
      </c>
    </row>
    <row r="32401">
      <c r="H32401" s="50"/>
      <c r="I32401" s="50"/>
      <c r="O32401" s="36" t="s">
        <v>48</v>
      </c>
      <c r="R32401" s="36" t="s">
        <v>48</v>
      </c>
    </row>
    <row r="32402">
      <c r="H32402" s="50"/>
      <c r="I32402" s="50"/>
      <c r="O32402" s="36" t="s">
        <v>48</v>
      </c>
      <c r="R32402" s="36" t="s">
        <v>48</v>
      </c>
    </row>
    <row r="32403">
      <c r="H32403" s="50"/>
      <c r="I32403" s="50"/>
      <c r="O32403" s="36" t="s">
        <v>48</v>
      </c>
      <c r="R32403" s="36" t="s">
        <v>48</v>
      </c>
    </row>
    <row r="32404">
      <c r="H32404" s="50"/>
      <c r="I32404" s="50"/>
      <c r="O32404" s="36" t="s">
        <v>48</v>
      </c>
      <c r="R32404" s="36" t="s">
        <v>48</v>
      </c>
    </row>
    <row r="32405">
      <c r="H32405" s="50"/>
      <c r="I32405" s="50"/>
      <c r="O32405" s="36" t="s">
        <v>48</v>
      </c>
      <c r="R32405" s="36" t="s">
        <v>48</v>
      </c>
    </row>
    <row r="32406">
      <c r="H32406" s="50"/>
      <c r="I32406" s="50"/>
      <c r="O32406" s="36" t="s">
        <v>48</v>
      </c>
      <c r="R32406" s="36" t="s">
        <v>48</v>
      </c>
    </row>
    <row r="32407">
      <c r="H32407" s="50"/>
      <c r="I32407" s="50"/>
      <c r="O32407" s="36" t="s">
        <v>48</v>
      </c>
      <c r="R32407" s="36" t="s">
        <v>48</v>
      </c>
    </row>
    <row r="32408">
      <c r="H32408" s="50"/>
      <c r="I32408" s="50"/>
      <c r="O32408" s="36" t="s">
        <v>48</v>
      </c>
      <c r="R32408" s="36" t="s">
        <v>48</v>
      </c>
    </row>
    <row r="32409">
      <c r="H32409" s="50"/>
      <c r="I32409" s="50"/>
      <c r="O32409" s="36" t="s">
        <v>48</v>
      </c>
      <c r="R32409" s="36" t="s">
        <v>48</v>
      </c>
    </row>
    <row r="32410">
      <c r="H32410" s="50"/>
      <c r="I32410" s="50"/>
      <c r="O32410" s="36" t="s">
        <v>48</v>
      </c>
      <c r="R32410" s="36" t="s">
        <v>48</v>
      </c>
    </row>
    <row r="32411">
      <c r="H32411" s="50"/>
      <c r="I32411" s="50"/>
      <c r="O32411" s="36" t="s">
        <v>48</v>
      </c>
      <c r="R32411" s="36" t="s">
        <v>48</v>
      </c>
    </row>
    <row r="32412">
      <c r="H32412" s="50"/>
      <c r="I32412" s="50"/>
      <c r="O32412" s="36" t="s">
        <v>48</v>
      </c>
      <c r="R32412" s="36" t="s">
        <v>48</v>
      </c>
    </row>
    <row r="32413">
      <c r="H32413" s="50"/>
      <c r="I32413" s="50"/>
      <c r="O32413" s="36" t="s">
        <v>48</v>
      </c>
      <c r="R32413" s="36" t="s">
        <v>48</v>
      </c>
    </row>
    <row r="32414">
      <c r="H32414" s="50"/>
      <c r="I32414" s="50"/>
      <c r="O32414" s="36" t="s">
        <v>48</v>
      </c>
      <c r="R32414" s="36" t="s">
        <v>48</v>
      </c>
    </row>
    <row r="32415">
      <c r="H32415" s="50"/>
      <c r="I32415" s="50"/>
      <c r="O32415" s="36" t="s">
        <v>48</v>
      </c>
      <c r="R32415" s="36" t="s">
        <v>48</v>
      </c>
    </row>
    <row r="32416">
      <c r="H32416" s="50"/>
      <c r="I32416" s="50"/>
      <c r="O32416" s="36" t="s">
        <v>48</v>
      </c>
      <c r="R32416" s="36" t="s">
        <v>48</v>
      </c>
    </row>
    <row r="32417">
      <c r="H32417" s="50"/>
      <c r="I32417" s="50"/>
      <c r="O32417" s="36" t="s">
        <v>48</v>
      </c>
      <c r="R32417" s="36" t="s">
        <v>48</v>
      </c>
    </row>
    <row r="32418">
      <c r="H32418" s="50"/>
      <c r="I32418" s="50"/>
      <c r="O32418" s="36" t="s">
        <v>48</v>
      </c>
      <c r="R32418" s="36" t="s">
        <v>48</v>
      </c>
    </row>
    <row r="32419">
      <c r="H32419" s="50"/>
      <c r="I32419" s="50"/>
      <c r="O32419" s="36" t="s">
        <v>48</v>
      </c>
      <c r="R32419" s="36" t="s">
        <v>48</v>
      </c>
    </row>
    <row r="32420">
      <c r="H32420" s="50"/>
      <c r="I32420" s="50"/>
      <c r="O32420" s="36" t="s">
        <v>48</v>
      </c>
      <c r="R32420" s="36" t="s">
        <v>48</v>
      </c>
    </row>
    <row r="32421">
      <c r="H32421" s="50"/>
      <c r="I32421" s="50"/>
      <c r="O32421" s="36" t="s">
        <v>48</v>
      </c>
      <c r="R32421" s="36" t="s">
        <v>48</v>
      </c>
    </row>
    <row r="32422">
      <c r="H32422" s="50"/>
      <c r="I32422" s="50"/>
      <c r="O32422" s="36" t="s">
        <v>48</v>
      </c>
      <c r="R32422" s="36" t="s">
        <v>48</v>
      </c>
    </row>
    <row r="32423">
      <c r="H32423" s="50"/>
      <c r="I32423" s="50"/>
      <c r="O32423" s="36" t="s">
        <v>48</v>
      </c>
      <c r="R32423" s="36" t="s">
        <v>48</v>
      </c>
    </row>
    <row r="32424">
      <c r="H32424" s="50"/>
      <c r="I32424" s="50"/>
      <c r="O32424" s="36" t="s">
        <v>48</v>
      </c>
      <c r="R32424" s="36" t="s">
        <v>48</v>
      </c>
    </row>
    <row r="32425">
      <c r="H32425" s="50"/>
      <c r="I32425" s="50"/>
      <c r="O32425" s="36" t="s">
        <v>48</v>
      </c>
      <c r="R32425" s="36" t="s">
        <v>48</v>
      </c>
    </row>
    <row r="32426">
      <c r="H32426" s="50"/>
      <c r="I32426" s="50"/>
      <c r="O32426" s="36" t="s">
        <v>48</v>
      </c>
      <c r="R32426" s="36" t="s">
        <v>48</v>
      </c>
    </row>
    <row r="32427">
      <c r="H32427" s="50"/>
      <c r="I32427" s="50"/>
      <c r="O32427" s="36" t="s">
        <v>48</v>
      </c>
      <c r="R32427" s="36" t="s">
        <v>48</v>
      </c>
    </row>
    <row r="32428">
      <c r="H32428" s="50"/>
      <c r="I32428" s="50"/>
      <c r="O32428" s="36" t="s">
        <v>48</v>
      </c>
      <c r="R32428" s="36" t="s">
        <v>48</v>
      </c>
    </row>
    <row r="32429">
      <c r="H32429" s="50"/>
      <c r="I32429" s="50"/>
      <c r="O32429" s="36" t="s">
        <v>48</v>
      </c>
      <c r="R32429" s="36" t="s">
        <v>48</v>
      </c>
    </row>
    <row r="32430">
      <c r="H32430" s="50"/>
      <c r="I32430" s="50"/>
      <c r="O32430" s="36" t="s">
        <v>48</v>
      </c>
      <c r="R32430" s="36" t="s">
        <v>48</v>
      </c>
    </row>
    <row r="32431">
      <c r="H32431" s="50"/>
      <c r="I32431" s="50"/>
      <c r="O32431" s="36" t="s">
        <v>48</v>
      </c>
      <c r="R32431" s="36" t="s">
        <v>48</v>
      </c>
    </row>
    <row r="32432">
      <c r="H32432" s="50"/>
      <c r="I32432" s="50"/>
      <c r="O32432" s="36" t="s">
        <v>48</v>
      </c>
      <c r="R32432" s="36" t="s">
        <v>48</v>
      </c>
    </row>
    <row r="32433">
      <c r="H32433" s="50"/>
      <c r="I32433" s="50"/>
      <c r="O32433" s="36" t="s">
        <v>48</v>
      </c>
      <c r="R32433" s="36" t="s">
        <v>48</v>
      </c>
    </row>
    <row r="32434">
      <c r="H32434" s="50"/>
      <c r="I32434" s="50"/>
      <c r="O32434" s="36" t="s">
        <v>48</v>
      </c>
      <c r="R32434" s="36" t="s">
        <v>48</v>
      </c>
    </row>
    <row r="32435">
      <c r="H32435" s="50"/>
      <c r="I32435" s="50"/>
      <c r="O32435" s="36" t="s">
        <v>48</v>
      </c>
      <c r="R32435" s="36" t="s">
        <v>48</v>
      </c>
    </row>
    <row r="32436">
      <c r="H32436" s="50"/>
      <c r="I32436" s="50"/>
      <c r="O32436" s="36" t="s">
        <v>48</v>
      </c>
      <c r="R32436" s="36" t="s">
        <v>48</v>
      </c>
    </row>
    <row r="32437">
      <c r="H32437" s="50"/>
      <c r="I32437" s="50"/>
      <c r="O32437" s="36" t="s">
        <v>48</v>
      </c>
      <c r="R32437" s="36" t="s">
        <v>48</v>
      </c>
    </row>
    <row r="32438">
      <c r="H32438" s="50"/>
      <c r="I32438" s="50"/>
      <c r="O32438" s="36" t="s">
        <v>48</v>
      </c>
      <c r="R32438" s="36" t="s">
        <v>48</v>
      </c>
    </row>
    <row r="32439">
      <c r="H32439" s="50"/>
      <c r="I32439" s="50"/>
      <c r="O32439" s="36" t="s">
        <v>48</v>
      </c>
      <c r="R32439" s="36" t="s">
        <v>48</v>
      </c>
    </row>
    <row r="32440">
      <c r="H32440" s="50"/>
      <c r="I32440" s="50"/>
      <c r="O32440" s="36" t="s">
        <v>48</v>
      </c>
      <c r="R32440" s="36" t="s">
        <v>48</v>
      </c>
    </row>
    <row r="32441">
      <c r="H32441" s="50"/>
      <c r="I32441" s="50"/>
      <c r="O32441" s="36" t="s">
        <v>48</v>
      </c>
      <c r="R32441" s="36" t="s">
        <v>48</v>
      </c>
    </row>
    <row r="32442">
      <c r="H32442" s="50"/>
      <c r="I32442" s="50"/>
      <c r="O32442" s="36" t="s">
        <v>48</v>
      </c>
      <c r="R32442" s="36" t="s">
        <v>48</v>
      </c>
    </row>
    <row r="32443">
      <c r="H32443" s="50"/>
      <c r="I32443" s="50"/>
      <c r="O32443" s="36" t="s">
        <v>48</v>
      </c>
      <c r="R32443" s="36" t="s">
        <v>48</v>
      </c>
    </row>
    <row r="32444">
      <c r="H32444" s="50"/>
      <c r="I32444" s="50"/>
      <c r="O32444" s="36" t="s">
        <v>48</v>
      </c>
      <c r="R32444" s="36" t="s">
        <v>48</v>
      </c>
    </row>
    <row r="32445">
      <c r="H32445" s="50"/>
      <c r="I32445" s="50"/>
      <c r="O32445" s="36" t="s">
        <v>48</v>
      </c>
      <c r="R32445" s="36" t="s">
        <v>48</v>
      </c>
    </row>
    <row r="32446">
      <c r="H32446" s="50"/>
      <c r="I32446" s="50"/>
      <c r="O32446" s="36" t="s">
        <v>48</v>
      </c>
      <c r="R32446" s="36" t="s">
        <v>48</v>
      </c>
    </row>
    <row r="32447">
      <c r="H32447" s="50"/>
      <c r="I32447" s="50"/>
      <c r="O32447" s="36" t="s">
        <v>48</v>
      </c>
      <c r="R32447" s="36" t="s">
        <v>48</v>
      </c>
    </row>
    <row r="32448">
      <c r="H32448" s="50"/>
      <c r="I32448" s="50"/>
      <c r="O32448" s="36" t="s">
        <v>48</v>
      </c>
      <c r="R32448" s="36" t="s">
        <v>48</v>
      </c>
    </row>
    <row r="32449">
      <c r="H32449" s="50"/>
      <c r="I32449" s="50"/>
      <c r="O32449" s="36" t="s">
        <v>48</v>
      </c>
      <c r="R32449" s="36" t="s">
        <v>48</v>
      </c>
    </row>
    <row r="32450">
      <c r="H32450" s="50"/>
      <c r="I32450" s="50"/>
      <c r="O32450" s="36" t="s">
        <v>48</v>
      </c>
      <c r="R32450" s="36" t="s">
        <v>48</v>
      </c>
    </row>
    <row r="32451">
      <c r="H32451" s="50"/>
      <c r="I32451" s="50"/>
      <c r="O32451" s="36" t="s">
        <v>48</v>
      </c>
      <c r="R32451" s="36" t="s">
        <v>48</v>
      </c>
    </row>
    <row r="32452">
      <c r="H32452" s="50"/>
      <c r="I32452" s="50"/>
      <c r="O32452" s="36" t="s">
        <v>48</v>
      </c>
      <c r="R32452" s="36" t="s">
        <v>48</v>
      </c>
    </row>
    <row r="32453">
      <c r="H32453" s="50"/>
      <c r="I32453" s="50"/>
      <c r="O32453" s="36" t="s">
        <v>48</v>
      </c>
      <c r="R32453" s="36" t="s">
        <v>48</v>
      </c>
    </row>
    <row r="32454">
      <c r="H32454" s="50"/>
      <c r="I32454" s="50"/>
      <c r="O32454" s="36" t="s">
        <v>48</v>
      </c>
      <c r="R32454" s="36" t="s">
        <v>48</v>
      </c>
    </row>
    <row r="32455">
      <c r="H32455" s="50"/>
      <c r="I32455" s="50"/>
      <c r="O32455" s="36" t="s">
        <v>48</v>
      </c>
      <c r="R32455" s="36" t="s">
        <v>48</v>
      </c>
    </row>
    <row r="32456">
      <c r="H32456" s="50"/>
      <c r="I32456" s="50"/>
      <c r="O32456" s="36" t="s">
        <v>48</v>
      </c>
      <c r="R32456" s="36" t="s">
        <v>48</v>
      </c>
    </row>
    <row r="32457">
      <c r="H32457" s="50"/>
      <c r="I32457" s="50"/>
      <c r="O32457" s="36" t="s">
        <v>48</v>
      </c>
      <c r="R32457" s="36" t="s">
        <v>48</v>
      </c>
    </row>
    <row r="32458">
      <c r="H32458" s="50"/>
      <c r="I32458" s="50"/>
      <c r="O32458" s="36" t="s">
        <v>48</v>
      </c>
      <c r="R32458" s="36" t="s">
        <v>48</v>
      </c>
    </row>
    <row r="32459">
      <c r="H32459" s="50"/>
      <c r="I32459" s="50"/>
      <c r="O32459" s="36" t="s">
        <v>48</v>
      </c>
      <c r="R32459" s="36" t="s">
        <v>48</v>
      </c>
    </row>
    <row r="32460">
      <c r="H32460" s="50"/>
      <c r="I32460" s="50"/>
      <c r="O32460" s="36" t="s">
        <v>48</v>
      </c>
      <c r="R32460" s="36" t="s">
        <v>48</v>
      </c>
    </row>
    <row r="32461">
      <c r="H32461" s="50"/>
      <c r="I32461" s="50"/>
      <c r="O32461" s="36" t="s">
        <v>48</v>
      </c>
      <c r="R32461" s="36" t="s">
        <v>48</v>
      </c>
    </row>
    <row r="32462">
      <c r="H32462" s="50"/>
      <c r="I32462" s="50"/>
      <c r="O32462" s="36" t="s">
        <v>48</v>
      </c>
      <c r="R32462" s="36" t="s">
        <v>48</v>
      </c>
    </row>
    <row r="32463">
      <c r="H32463" s="50"/>
      <c r="I32463" s="50"/>
      <c r="O32463" s="36" t="s">
        <v>48</v>
      </c>
      <c r="R32463" s="36" t="s">
        <v>48</v>
      </c>
    </row>
    <row r="32464">
      <c r="H32464" s="50"/>
      <c r="I32464" s="50"/>
      <c r="O32464" s="36" t="s">
        <v>48</v>
      </c>
      <c r="R32464" s="36" t="s">
        <v>48</v>
      </c>
    </row>
    <row r="32465">
      <c r="H32465" s="50"/>
      <c r="I32465" s="50"/>
      <c r="O32465" s="36" t="s">
        <v>48</v>
      </c>
      <c r="R32465" s="36" t="s">
        <v>48</v>
      </c>
    </row>
    <row r="32466">
      <c r="H32466" s="50"/>
      <c r="I32466" s="50"/>
      <c r="O32466" s="36" t="s">
        <v>48</v>
      </c>
      <c r="R32466" s="36" t="s">
        <v>48</v>
      </c>
    </row>
    <row r="32467">
      <c r="H32467" s="50"/>
      <c r="I32467" s="50"/>
      <c r="O32467" s="36" t="s">
        <v>48</v>
      </c>
      <c r="R32467" s="36" t="s">
        <v>48</v>
      </c>
    </row>
    <row r="32468">
      <c r="H32468" s="50"/>
      <c r="I32468" s="50"/>
      <c r="O32468" s="36" t="s">
        <v>48</v>
      </c>
      <c r="R32468" s="36" t="s">
        <v>48</v>
      </c>
    </row>
    <row r="32469">
      <c r="H32469" s="50"/>
      <c r="I32469" s="50"/>
      <c r="O32469" s="36" t="s">
        <v>48</v>
      </c>
      <c r="R32469" s="36" t="s">
        <v>48</v>
      </c>
    </row>
    <row r="32470">
      <c r="H32470" s="50"/>
      <c r="I32470" s="50"/>
      <c r="O32470" s="36" t="s">
        <v>48</v>
      </c>
      <c r="R32470" s="36" t="s">
        <v>48</v>
      </c>
    </row>
    <row r="32471">
      <c r="H32471" s="50"/>
      <c r="I32471" s="50"/>
      <c r="O32471" s="36" t="s">
        <v>48</v>
      </c>
      <c r="R32471" s="36" t="s">
        <v>48</v>
      </c>
    </row>
    <row r="32472">
      <c r="H32472" s="50"/>
      <c r="I32472" s="50"/>
      <c r="O32472" s="36" t="s">
        <v>48</v>
      </c>
      <c r="R32472" s="36" t="s">
        <v>48</v>
      </c>
    </row>
    <row r="32473">
      <c r="H32473" s="50"/>
      <c r="I32473" s="50"/>
      <c r="O32473" s="36" t="s">
        <v>48</v>
      </c>
      <c r="R32473" s="36" t="s">
        <v>48</v>
      </c>
    </row>
    <row r="32474">
      <c r="H32474" s="50"/>
      <c r="I32474" s="50"/>
      <c r="O32474" s="36" t="s">
        <v>48</v>
      </c>
      <c r="R32474" s="36" t="s">
        <v>48</v>
      </c>
    </row>
    <row r="32475">
      <c r="H32475" s="50"/>
      <c r="I32475" s="50"/>
      <c r="O32475" s="36" t="s">
        <v>48</v>
      </c>
      <c r="R32475" s="36" t="s">
        <v>48</v>
      </c>
    </row>
    <row r="32476">
      <c r="H32476" s="50"/>
      <c r="I32476" s="50"/>
      <c r="O32476" s="36" t="s">
        <v>48</v>
      </c>
      <c r="R32476" s="36" t="s">
        <v>48</v>
      </c>
    </row>
    <row r="32477">
      <c r="H32477" s="50"/>
      <c r="I32477" s="50"/>
      <c r="O32477" s="36" t="s">
        <v>48</v>
      </c>
      <c r="R32477" s="36" t="s">
        <v>48</v>
      </c>
    </row>
    <row r="32478">
      <c r="H32478" s="50"/>
      <c r="I32478" s="50"/>
      <c r="O32478" s="36" t="s">
        <v>48</v>
      </c>
      <c r="R32478" s="36" t="s">
        <v>48</v>
      </c>
    </row>
    <row r="32479">
      <c r="H32479" s="50"/>
      <c r="I32479" s="50"/>
      <c r="O32479" s="36" t="s">
        <v>48</v>
      </c>
      <c r="R32479" s="36" t="s">
        <v>48</v>
      </c>
    </row>
    <row r="32480">
      <c r="H32480" s="50"/>
      <c r="I32480" s="50"/>
      <c r="O32480" s="36" t="s">
        <v>48</v>
      </c>
      <c r="R32480" s="36" t="s">
        <v>48</v>
      </c>
    </row>
    <row r="32481">
      <c r="H32481" s="50"/>
      <c r="I32481" s="50"/>
      <c r="O32481" s="36" t="s">
        <v>48</v>
      </c>
      <c r="R32481" s="36" t="s">
        <v>48</v>
      </c>
    </row>
    <row r="32482">
      <c r="H32482" s="50"/>
      <c r="I32482" s="50"/>
      <c r="O32482" s="36" t="s">
        <v>48</v>
      </c>
      <c r="R32482" s="36" t="s">
        <v>48</v>
      </c>
    </row>
    <row r="32483">
      <c r="H32483" s="50"/>
      <c r="I32483" s="50"/>
      <c r="O32483" s="36" t="s">
        <v>48</v>
      </c>
      <c r="R32483" s="36" t="s">
        <v>48</v>
      </c>
    </row>
    <row r="32484">
      <c r="H32484" s="50"/>
      <c r="I32484" s="50"/>
      <c r="O32484" s="36" t="s">
        <v>48</v>
      </c>
      <c r="R32484" s="36" t="s">
        <v>48</v>
      </c>
    </row>
    <row r="32485">
      <c r="H32485" s="50"/>
      <c r="I32485" s="50"/>
      <c r="O32485" s="36" t="s">
        <v>48</v>
      </c>
      <c r="R32485" s="36" t="s">
        <v>48</v>
      </c>
    </row>
    <row r="32486">
      <c r="H32486" s="50"/>
      <c r="I32486" s="50"/>
      <c r="O32486" s="36" t="s">
        <v>48</v>
      </c>
      <c r="R32486" s="36" t="s">
        <v>48</v>
      </c>
    </row>
    <row r="32487">
      <c r="H32487" s="50"/>
      <c r="I32487" s="50"/>
      <c r="O32487" s="36" t="s">
        <v>48</v>
      </c>
      <c r="R32487" s="36" t="s">
        <v>48</v>
      </c>
    </row>
    <row r="32488">
      <c r="H32488" s="50"/>
      <c r="I32488" s="50"/>
      <c r="O32488" s="36" t="s">
        <v>48</v>
      </c>
      <c r="R32488" s="36" t="s">
        <v>48</v>
      </c>
    </row>
    <row r="32489">
      <c r="H32489" s="50"/>
      <c r="I32489" s="50"/>
      <c r="O32489" s="36" t="s">
        <v>48</v>
      </c>
      <c r="R32489" s="36" t="s">
        <v>48</v>
      </c>
    </row>
    <row r="32490">
      <c r="H32490" s="50"/>
      <c r="I32490" s="50"/>
      <c r="O32490" s="36" t="s">
        <v>48</v>
      </c>
      <c r="R32490" s="36" t="s">
        <v>48</v>
      </c>
    </row>
    <row r="32491">
      <c r="H32491" s="50"/>
      <c r="I32491" s="50"/>
      <c r="O32491" s="36" t="s">
        <v>48</v>
      </c>
      <c r="R32491" s="36" t="s">
        <v>48</v>
      </c>
    </row>
    <row r="32492">
      <c r="H32492" s="50"/>
      <c r="I32492" s="50"/>
      <c r="O32492" s="36" t="s">
        <v>48</v>
      </c>
      <c r="R32492" s="36" t="s">
        <v>48</v>
      </c>
    </row>
    <row r="32493">
      <c r="H32493" s="50"/>
      <c r="I32493" s="50"/>
      <c r="O32493" s="36" t="s">
        <v>48</v>
      </c>
      <c r="R32493" s="36" t="s">
        <v>48</v>
      </c>
    </row>
    <row r="32494">
      <c r="H32494" s="50"/>
      <c r="I32494" s="50"/>
      <c r="O32494" s="36" t="s">
        <v>48</v>
      </c>
      <c r="R32494" s="36" t="s">
        <v>48</v>
      </c>
    </row>
    <row r="32495">
      <c r="H32495" s="50"/>
      <c r="I32495" s="50"/>
      <c r="O32495" s="36" t="s">
        <v>48</v>
      </c>
      <c r="R32495" s="36" t="s">
        <v>48</v>
      </c>
    </row>
    <row r="32496">
      <c r="H32496" s="50"/>
      <c r="I32496" s="50"/>
      <c r="O32496" s="36" t="s">
        <v>48</v>
      </c>
      <c r="R32496" s="36" t="s">
        <v>48</v>
      </c>
    </row>
    <row r="32497">
      <c r="H32497" s="50"/>
      <c r="I32497" s="50"/>
      <c r="O32497" s="36" t="s">
        <v>48</v>
      </c>
      <c r="R32497" s="36" t="s">
        <v>48</v>
      </c>
    </row>
    <row r="32498">
      <c r="H32498" s="50"/>
      <c r="I32498" s="50"/>
      <c r="O32498" s="36" t="s">
        <v>48</v>
      </c>
      <c r="R32498" s="36" t="s">
        <v>48</v>
      </c>
    </row>
    <row r="32499">
      <c r="H32499" s="50"/>
      <c r="I32499" s="50"/>
      <c r="O32499" s="36" t="s">
        <v>48</v>
      </c>
      <c r="R32499" s="36" t="s">
        <v>48</v>
      </c>
    </row>
    <row r="32500">
      <c r="H32500" s="50"/>
      <c r="I32500" s="50"/>
      <c r="O32500" s="36" t="s">
        <v>48</v>
      </c>
      <c r="R32500" s="36" t="s">
        <v>48</v>
      </c>
    </row>
    <row r="32501">
      <c r="H32501" s="50"/>
      <c r="I32501" s="50"/>
      <c r="O32501" s="36" t="s">
        <v>48</v>
      </c>
      <c r="R32501" s="36" t="s">
        <v>48</v>
      </c>
    </row>
    <row r="32502">
      <c r="H32502" s="50"/>
      <c r="I32502" s="50"/>
      <c r="O32502" s="36" t="s">
        <v>48</v>
      </c>
      <c r="R32502" s="36" t="s">
        <v>48</v>
      </c>
    </row>
    <row r="32503">
      <c r="H32503" s="50"/>
      <c r="I32503" s="50"/>
      <c r="O32503" s="36" t="s">
        <v>48</v>
      </c>
      <c r="R32503" s="36" t="s">
        <v>48</v>
      </c>
    </row>
    <row r="32504">
      <c r="H32504" s="50"/>
      <c r="I32504" s="50"/>
      <c r="O32504" s="36" t="s">
        <v>48</v>
      </c>
      <c r="R32504" s="36" t="s">
        <v>48</v>
      </c>
    </row>
    <row r="32505">
      <c r="H32505" s="50"/>
      <c r="I32505" s="50"/>
      <c r="O32505" s="36" t="s">
        <v>48</v>
      </c>
      <c r="R32505" s="36" t="s">
        <v>48</v>
      </c>
    </row>
    <row r="32506">
      <c r="H32506" s="50"/>
      <c r="I32506" s="50"/>
      <c r="O32506" s="36" t="s">
        <v>48</v>
      </c>
      <c r="R32506" s="36" t="s">
        <v>48</v>
      </c>
    </row>
    <row r="32507">
      <c r="H32507" s="50"/>
      <c r="I32507" s="50"/>
      <c r="O32507" s="36" t="s">
        <v>48</v>
      </c>
      <c r="R32507" s="36" t="s">
        <v>48</v>
      </c>
    </row>
    <row r="32508">
      <c r="H32508" s="50"/>
      <c r="I32508" s="50"/>
      <c r="O32508" s="36" t="s">
        <v>48</v>
      </c>
      <c r="R32508" s="36" t="s">
        <v>48</v>
      </c>
    </row>
    <row r="32509">
      <c r="H32509" s="50"/>
      <c r="I32509" s="50"/>
      <c r="O32509" s="36" t="s">
        <v>48</v>
      </c>
      <c r="R32509" s="36" t="s">
        <v>48</v>
      </c>
    </row>
    <row r="32510">
      <c r="H32510" s="50"/>
      <c r="I32510" s="50"/>
      <c r="O32510" s="36" t="s">
        <v>48</v>
      </c>
      <c r="R32510" s="36" t="s">
        <v>48</v>
      </c>
    </row>
    <row r="32511">
      <c r="H32511" s="50"/>
      <c r="I32511" s="50"/>
      <c r="O32511" s="36" t="s">
        <v>48</v>
      </c>
      <c r="R32511" s="36" t="s">
        <v>48</v>
      </c>
    </row>
    <row r="32512">
      <c r="H32512" s="50"/>
      <c r="I32512" s="50"/>
      <c r="O32512" s="36" t="s">
        <v>48</v>
      </c>
      <c r="R32512" s="36" t="s">
        <v>48</v>
      </c>
    </row>
    <row r="32513">
      <c r="H32513" s="50"/>
      <c r="I32513" s="50"/>
      <c r="O32513" s="36" t="s">
        <v>48</v>
      </c>
      <c r="R32513" s="36" t="s">
        <v>48</v>
      </c>
    </row>
    <row r="32514">
      <c r="H32514" s="50"/>
      <c r="I32514" s="50"/>
      <c r="O32514" s="36" t="s">
        <v>48</v>
      </c>
      <c r="R32514" s="36" t="s">
        <v>48</v>
      </c>
    </row>
    <row r="32515">
      <c r="H32515" s="50"/>
      <c r="I32515" s="50"/>
      <c r="O32515" s="36" t="s">
        <v>48</v>
      </c>
      <c r="R32515" s="36" t="s">
        <v>48</v>
      </c>
    </row>
    <row r="32516">
      <c r="H32516" s="50"/>
      <c r="I32516" s="50"/>
      <c r="O32516" s="36" t="s">
        <v>48</v>
      </c>
      <c r="R32516" s="36" t="s">
        <v>48</v>
      </c>
    </row>
    <row r="32517">
      <c r="H32517" s="50"/>
      <c r="I32517" s="50"/>
      <c r="O32517" s="36" t="s">
        <v>48</v>
      </c>
      <c r="R32517" s="36" t="s">
        <v>48</v>
      </c>
    </row>
    <row r="32518">
      <c r="H32518" s="50"/>
      <c r="I32518" s="50"/>
      <c r="O32518" s="36" t="s">
        <v>48</v>
      </c>
      <c r="R32518" s="36" t="s">
        <v>48</v>
      </c>
    </row>
    <row r="32519">
      <c r="H32519" s="50"/>
      <c r="I32519" s="50"/>
      <c r="O32519" s="36" t="s">
        <v>48</v>
      </c>
      <c r="R32519" s="36" t="s">
        <v>48</v>
      </c>
    </row>
    <row r="32520">
      <c r="H32520" s="50"/>
      <c r="I32520" s="50"/>
      <c r="O32520" s="36" t="s">
        <v>48</v>
      </c>
      <c r="R32520" s="36" t="s">
        <v>48</v>
      </c>
    </row>
    <row r="32521">
      <c r="H32521" s="50"/>
      <c r="I32521" s="50"/>
      <c r="O32521" s="36" t="s">
        <v>48</v>
      </c>
      <c r="R32521" s="36" t="s">
        <v>48</v>
      </c>
    </row>
    <row r="32522">
      <c r="H32522" s="50"/>
      <c r="I32522" s="50"/>
      <c r="O32522" s="36" t="s">
        <v>48</v>
      </c>
      <c r="R32522" s="36" t="s">
        <v>48</v>
      </c>
    </row>
    <row r="32523">
      <c r="H32523" s="50"/>
      <c r="I32523" s="50"/>
      <c r="O32523" s="36" t="s">
        <v>48</v>
      </c>
      <c r="R32523" s="36" t="s">
        <v>48</v>
      </c>
    </row>
    <row r="32524">
      <c r="H32524" s="50"/>
      <c r="I32524" s="50"/>
      <c r="O32524" s="36" t="s">
        <v>48</v>
      </c>
      <c r="R32524" s="36" t="s">
        <v>48</v>
      </c>
    </row>
    <row r="32525">
      <c r="H32525" s="50"/>
      <c r="I32525" s="50"/>
      <c r="O32525" s="36" t="s">
        <v>48</v>
      </c>
      <c r="R32525" s="36" t="s">
        <v>48</v>
      </c>
    </row>
    <row r="32526">
      <c r="H32526" s="50"/>
      <c r="I32526" s="50"/>
      <c r="O32526" s="36" t="s">
        <v>48</v>
      </c>
      <c r="R32526" s="36" t="s">
        <v>48</v>
      </c>
    </row>
    <row r="32527">
      <c r="H32527" s="50"/>
      <c r="I32527" s="50"/>
      <c r="O32527" s="36" t="s">
        <v>48</v>
      </c>
      <c r="R32527" s="36" t="s">
        <v>48</v>
      </c>
    </row>
    <row r="32528">
      <c r="H32528" s="50"/>
      <c r="I32528" s="50"/>
      <c r="O32528" s="36" t="s">
        <v>48</v>
      </c>
      <c r="R32528" s="36" t="s">
        <v>48</v>
      </c>
    </row>
    <row r="32529">
      <c r="H32529" s="50"/>
      <c r="I32529" s="50"/>
      <c r="O32529" s="36" t="s">
        <v>48</v>
      </c>
      <c r="R32529" s="36" t="s">
        <v>48</v>
      </c>
    </row>
    <row r="32530">
      <c r="H32530" s="50"/>
      <c r="I32530" s="50"/>
      <c r="O32530" s="36" t="s">
        <v>48</v>
      </c>
      <c r="R32530" s="36" t="s">
        <v>48</v>
      </c>
    </row>
    <row r="32531">
      <c r="H32531" s="50"/>
      <c r="I32531" s="50"/>
      <c r="O32531" s="36" t="s">
        <v>48</v>
      </c>
      <c r="R32531" s="36" t="s">
        <v>48</v>
      </c>
    </row>
    <row r="32532">
      <c r="H32532" s="50"/>
      <c r="I32532" s="50"/>
      <c r="O32532" s="36" t="s">
        <v>48</v>
      </c>
      <c r="R32532" s="36" t="s">
        <v>48</v>
      </c>
    </row>
    <row r="32533">
      <c r="H32533" s="50"/>
      <c r="I32533" s="50"/>
      <c r="O32533" s="36" t="s">
        <v>48</v>
      </c>
      <c r="R32533" s="36" t="s">
        <v>48</v>
      </c>
    </row>
    <row r="32534">
      <c r="H32534" s="50"/>
      <c r="I32534" s="50"/>
      <c r="O32534" s="36" t="s">
        <v>48</v>
      </c>
      <c r="R32534" s="36" t="s">
        <v>48</v>
      </c>
    </row>
    <row r="32535">
      <c r="H32535" s="50"/>
      <c r="I32535" s="50"/>
      <c r="O32535" s="36" t="s">
        <v>48</v>
      </c>
      <c r="R32535" s="36" t="s">
        <v>48</v>
      </c>
    </row>
    <row r="32536">
      <c r="H32536" s="50"/>
      <c r="I32536" s="50"/>
      <c r="O32536" s="36" t="s">
        <v>48</v>
      </c>
      <c r="R32536" s="36" t="s">
        <v>48</v>
      </c>
    </row>
    <row r="32537">
      <c r="H32537" s="50"/>
      <c r="I32537" s="50"/>
      <c r="O32537" s="36" t="s">
        <v>48</v>
      </c>
      <c r="R32537" s="36" t="s">
        <v>48</v>
      </c>
    </row>
    <row r="32538">
      <c r="H32538" s="50"/>
      <c r="I32538" s="50"/>
      <c r="O32538" s="36" t="s">
        <v>48</v>
      </c>
      <c r="R32538" s="36" t="s">
        <v>48</v>
      </c>
    </row>
    <row r="32539">
      <c r="H32539" s="50"/>
      <c r="I32539" s="50"/>
      <c r="O32539" s="36" t="s">
        <v>48</v>
      </c>
      <c r="R32539" s="36" t="s">
        <v>48</v>
      </c>
    </row>
    <row r="32540">
      <c r="H32540" s="50"/>
      <c r="I32540" s="50"/>
      <c r="O32540" s="36" t="s">
        <v>48</v>
      </c>
      <c r="R32540" s="36" t="s">
        <v>48</v>
      </c>
    </row>
    <row r="32541">
      <c r="H32541" s="50"/>
      <c r="I32541" s="50"/>
      <c r="O32541" s="36" t="s">
        <v>48</v>
      </c>
      <c r="R32541" s="36" t="s">
        <v>48</v>
      </c>
    </row>
    <row r="32542">
      <c r="H32542" s="50"/>
      <c r="I32542" s="50"/>
      <c r="O32542" s="36" t="s">
        <v>48</v>
      </c>
      <c r="R32542" s="36" t="s">
        <v>48</v>
      </c>
    </row>
    <row r="32543">
      <c r="H32543" s="50"/>
      <c r="I32543" s="50"/>
      <c r="O32543" s="36" t="s">
        <v>48</v>
      </c>
      <c r="R32543" s="36" t="s">
        <v>48</v>
      </c>
    </row>
    <row r="32544">
      <c r="H32544" s="50"/>
      <c r="I32544" s="50"/>
      <c r="O32544" s="36" t="s">
        <v>48</v>
      </c>
      <c r="R32544" s="36" t="s">
        <v>48</v>
      </c>
    </row>
    <row r="32545">
      <c r="H32545" s="50"/>
      <c r="I32545" s="50"/>
      <c r="O32545" s="36" t="s">
        <v>48</v>
      </c>
      <c r="R32545" s="36" t="s">
        <v>48</v>
      </c>
    </row>
    <row r="32546">
      <c r="H32546" s="50"/>
      <c r="I32546" s="50"/>
      <c r="O32546" s="36" t="s">
        <v>48</v>
      </c>
      <c r="R32546" s="36" t="s">
        <v>48</v>
      </c>
    </row>
    <row r="32547">
      <c r="H32547" s="50"/>
      <c r="I32547" s="50"/>
      <c r="O32547" s="36" t="s">
        <v>48</v>
      </c>
      <c r="R32547" s="36" t="s">
        <v>48</v>
      </c>
    </row>
    <row r="32548">
      <c r="H32548" s="50"/>
      <c r="I32548" s="50"/>
      <c r="O32548" s="36" t="s">
        <v>48</v>
      </c>
      <c r="R32548" s="36" t="s">
        <v>48</v>
      </c>
    </row>
    <row r="32549">
      <c r="H32549" s="50"/>
      <c r="I32549" s="50"/>
      <c r="O32549" s="36" t="s">
        <v>48</v>
      </c>
      <c r="R32549" s="36" t="s">
        <v>48</v>
      </c>
    </row>
    <row r="32550">
      <c r="H32550" s="50"/>
      <c r="I32550" s="50"/>
      <c r="O32550" s="36" t="s">
        <v>48</v>
      </c>
      <c r="R32550" s="36" t="s">
        <v>48</v>
      </c>
    </row>
    <row r="32551">
      <c r="H32551" s="50"/>
      <c r="I32551" s="50"/>
      <c r="O32551" s="36" t="s">
        <v>48</v>
      </c>
      <c r="R32551" s="36" t="s">
        <v>48</v>
      </c>
    </row>
    <row r="32552">
      <c r="H32552" s="50"/>
      <c r="I32552" s="50"/>
      <c r="O32552" s="36" t="s">
        <v>48</v>
      </c>
      <c r="R32552" s="36" t="s">
        <v>48</v>
      </c>
    </row>
    <row r="32553">
      <c r="H32553" s="50"/>
      <c r="I32553" s="50"/>
      <c r="O32553" s="36" t="s">
        <v>48</v>
      </c>
      <c r="R32553" s="36" t="s">
        <v>48</v>
      </c>
    </row>
    <row r="32554">
      <c r="H32554" s="50"/>
      <c r="I32554" s="50"/>
      <c r="O32554" s="36" t="s">
        <v>48</v>
      </c>
      <c r="R32554" s="36" t="s">
        <v>48</v>
      </c>
    </row>
    <row r="32555">
      <c r="H32555" s="50"/>
      <c r="I32555" s="50"/>
      <c r="O32555" s="36" t="s">
        <v>48</v>
      </c>
      <c r="R32555" s="36" t="s">
        <v>48</v>
      </c>
    </row>
    <row r="32556">
      <c r="H32556" s="50"/>
      <c r="I32556" s="50"/>
      <c r="O32556" s="36" t="s">
        <v>48</v>
      </c>
      <c r="R32556" s="36" t="s">
        <v>48</v>
      </c>
    </row>
    <row r="32557">
      <c r="H32557" s="50"/>
      <c r="I32557" s="50"/>
      <c r="O32557" s="36" t="s">
        <v>48</v>
      </c>
      <c r="R32557" s="36" t="s">
        <v>48</v>
      </c>
    </row>
    <row r="32558">
      <c r="H32558" s="50"/>
      <c r="I32558" s="50"/>
      <c r="O32558" s="36" t="s">
        <v>48</v>
      </c>
      <c r="R32558" s="36" t="s">
        <v>48</v>
      </c>
    </row>
    <row r="32559">
      <c r="H32559" s="50"/>
      <c r="I32559" s="50"/>
      <c r="O32559" s="36" t="s">
        <v>48</v>
      </c>
      <c r="R32559" s="36" t="s">
        <v>48</v>
      </c>
    </row>
    <row r="32560">
      <c r="H32560" s="50"/>
      <c r="I32560" s="50"/>
      <c r="O32560" s="36" t="s">
        <v>48</v>
      </c>
      <c r="R32560" s="36" t="s">
        <v>48</v>
      </c>
    </row>
    <row r="32561">
      <c r="H32561" s="50"/>
      <c r="I32561" s="50"/>
      <c r="O32561" s="36" t="s">
        <v>48</v>
      </c>
      <c r="R32561" s="36" t="s">
        <v>48</v>
      </c>
    </row>
    <row r="32562">
      <c r="H32562" s="50"/>
      <c r="I32562" s="50"/>
      <c r="O32562" s="36" t="s">
        <v>48</v>
      </c>
      <c r="R32562" s="36" t="s">
        <v>48</v>
      </c>
    </row>
    <row r="32563">
      <c r="H32563" s="50"/>
      <c r="I32563" s="50"/>
      <c r="O32563" s="36" t="s">
        <v>48</v>
      </c>
      <c r="R32563" s="36" t="s">
        <v>48</v>
      </c>
    </row>
    <row r="32564">
      <c r="H32564" s="50"/>
      <c r="I32564" s="50"/>
      <c r="O32564" s="36" t="s">
        <v>48</v>
      </c>
      <c r="R32564" s="36" t="s">
        <v>48</v>
      </c>
    </row>
    <row r="32565">
      <c r="H32565" s="50"/>
      <c r="I32565" s="50"/>
      <c r="O32565" s="36" t="s">
        <v>48</v>
      </c>
      <c r="R32565" s="36" t="s">
        <v>48</v>
      </c>
    </row>
    <row r="32566">
      <c r="H32566" s="50"/>
      <c r="I32566" s="50"/>
      <c r="O32566" s="36" t="s">
        <v>48</v>
      </c>
      <c r="R32566" s="36" t="s">
        <v>48</v>
      </c>
    </row>
    <row r="32567">
      <c r="H32567" s="50"/>
      <c r="I32567" s="50"/>
      <c r="O32567" s="36" t="s">
        <v>48</v>
      </c>
      <c r="R32567" s="36" t="s">
        <v>48</v>
      </c>
    </row>
    <row r="32568">
      <c r="H32568" s="50"/>
      <c r="I32568" s="50"/>
      <c r="O32568" s="36" t="s">
        <v>48</v>
      </c>
      <c r="R32568" s="36" t="s">
        <v>48</v>
      </c>
    </row>
    <row r="32569">
      <c r="H32569" s="50"/>
      <c r="I32569" s="50"/>
      <c r="O32569" s="36" t="s">
        <v>48</v>
      </c>
      <c r="R32569" s="36" t="s">
        <v>48</v>
      </c>
    </row>
    <row r="32570">
      <c r="H32570" s="50"/>
      <c r="I32570" s="50"/>
      <c r="O32570" s="36" t="s">
        <v>48</v>
      </c>
      <c r="R32570" s="36" t="s">
        <v>48</v>
      </c>
    </row>
    <row r="32571">
      <c r="H32571" s="50"/>
      <c r="I32571" s="50"/>
      <c r="O32571" s="36" t="s">
        <v>48</v>
      </c>
      <c r="R32571" s="36" t="s">
        <v>48</v>
      </c>
    </row>
    <row r="32572">
      <c r="H32572" s="50"/>
      <c r="I32572" s="50"/>
      <c r="O32572" s="36" t="s">
        <v>48</v>
      </c>
      <c r="R32572" s="36" t="s">
        <v>48</v>
      </c>
    </row>
    <row r="32573">
      <c r="H32573" s="50"/>
      <c r="I32573" s="50"/>
      <c r="O32573" s="36" t="s">
        <v>48</v>
      </c>
      <c r="R32573" s="36" t="s">
        <v>48</v>
      </c>
    </row>
    <row r="32574">
      <c r="H32574" s="50"/>
      <c r="I32574" s="50"/>
      <c r="O32574" s="36" t="s">
        <v>48</v>
      </c>
      <c r="R32574" s="36" t="s">
        <v>48</v>
      </c>
    </row>
    <row r="32575">
      <c r="H32575" s="50"/>
      <c r="I32575" s="50"/>
      <c r="O32575" s="36" t="s">
        <v>48</v>
      </c>
      <c r="R32575" s="36" t="s">
        <v>48</v>
      </c>
    </row>
    <row r="32576">
      <c r="H32576" s="50"/>
      <c r="I32576" s="50"/>
      <c r="O32576" s="36" t="s">
        <v>48</v>
      </c>
      <c r="R32576" s="36" t="s">
        <v>48</v>
      </c>
    </row>
    <row r="32577">
      <c r="H32577" s="50"/>
      <c r="I32577" s="50"/>
      <c r="O32577" s="36" t="s">
        <v>48</v>
      </c>
      <c r="R32577" s="36" t="s">
        <v>48</v>
      </c>
    </row>
    <row r="32578">
      <c r="H32578" s="50"/>
      <c r="I32578" s="50"/>
      <c r="O32578" s="36" t="s">
        <v>48</v>
      </c>
      <c r="R32578" s="36" t="s">
        <v>48</v>
      </c>
    </row>
    <row r="32579">
      <c r="H32579" s="50"/>
      <c r="I32579" s="50"/>
      <c r="O32579" s="36" t="s">
        <v>48</v>
      </c>
      <c r="R32579" s="36" t="s">
        <v>48</v>
      </c>
    </row>
    <row r="32580">
      <c r="H32580" s="50"/>
      <c r="I32580" s="50"/>
      <c r="O32580" s="36" t="s">
        <v>48</v>
      </c>
      <c r="R32580" s="36" t="s">
        <v>48</v>
      </c>
    </row>
    <row r="32581">
      <c r="H32581" s="50"/>
      <c r="I32581" s="50"/>
      <c r="O32581" s="36" t="s">
        <v>48</v>
      </c>
      <c r="R32581" s="36" t="s">
        <v>48</v>
      </c>
    </row>
    <row r="32582">
      <c r="H32582" s="50"/>
      <c r="I32582" s="50"/>
      <c r="O32582" s="36" t="s">
        <v>48</v>
      </c>
      <c r="R32582" s="36" t="s">
        <v>48</v>
      </c>
    </row>
    <row r="32583">
      <c r="H32583" s="50"/>
      <c r="I32583" s="50"/>
      <c r="O32583" s="36" t="s">
        <v>48</v>
      </c>
      <c r="R32583" s="36" t="s">
        <v>48</v>
      </c>
    </row>
    <row r="32584">
      <c r="H32584" s="50"/>
      <c r="I32584" s="50"/>
      <c r="O32584" s="36" t="s">
        <v>48</v>
      </c>
      <c r="R32584" s="36" t="s">
        <v>48</v>
      </c>
    </row>
    <row r="32585">
      <c r="H32585" s="50"/>
      <c r="I32585" s="50"/>
      <c r="O32585" s="36" t="s">
        <v>48</v>
      </c>
      <c r="R32585" s="36" t="s">
        <v>48</v>
      </c>
    </row>
    <row r="32586">
      <c r="H32586" s="50"/>
      <c r="I32586" s="50"/>
      <c r="O32586" s="36" t="s">
        <v>48</v>
      </c>
      <c r="R32586" s="36" t="s">
        <v>48</v>
      </c>
    </row>
    <row r="32587">
      <c r="H32587" s="50"/>
      <c r="I32587" s="50"/>
      <c r="O32587" s="36" t="s">
        <v>48</v>
      </c>
      <c r="R32587" s="36" t="s">
        <v>48</v>
      </c>
    </row>
    <row r="32588">
      <c r="H32588" s="50"/>
      <c r="I32588" s="50"/>
      <c r="O32588" s="36" t="s">
        <v>48</v>
      </c>
      <c r="R32588" s="36" t="s">
        <v>48</v>
      </c>
    </row>
    <row r="32589">
      <c r="H32589" s="50"/>
      <c r="I32589" s="50"/>
      <c r="O32589" s="36" t="s">
        <v>48</v>
      </c>
      <c r="R32589" s="36" t="s">
        <v>48</v>
      </c>
    </row>
    <row r="32590">
      <c r="H32590" s="50"/>
      <c r="I32590" s="50"/>
      <c r="O32590" s="36" t="s">
        <v>48</v>
      </c>
      <c r="R32590" s="36" t="s">
        <v>48</v>
      </c>
    </row>
    <row r="32591">
      <c r="H32591" s="50"/>
      <c r="I32591" s="50"/>
      <c r="O32591" s="36" t="s">
        <v>48</v>
      </c>
      <c r="R32591" s="36" t="s">
        <v>48</v>
      </c>
    </row>
    <row r="32592">
      <c r="H32592" s="50"/>
      <c r="I32592" s="50"/>
      <c r="O32592" s="36" t="s">
        <v>48</v>
      </c>
      <c r="R32592" s="36" t="s">
        <v>48</v>
      </c>
    </row>
    <row r="32593">
      <c r="H32593" s="50"/>
      <c r="I32593" s="50"/>
      <c r="O32593" s="36" t="s">
        <v>48</v>
      </c>
      <c r="R32593" s="36" t="s">
        <v>48</v>
      </c>
    </row>
    <row r="32594">
      <c r="H32594" s="50"/>
      <c r="I32594" s="50"/>
      <c r="O32594" s="36" t="s">
        <v>48</v>
      </c>
      <c r="R32594" s="36" t="s">
        <v>48</v>
      </c>
    </row>
    <row r="32595">
      <c r="H32595" s="50"/>
      <c r="I32595" s="50"/>
      <c r="O32595" s="36" t="s">
        <v>48</v>
      </c>
      <c r="R32595" s="36" t="s">
        <v>48</v>
      </c>
    </row>
    <row r="32596">
      <c r="H32596" s="50"/>
      <c r="I32596" s="50"/>
      <c r="O32596" s="36" t="s">
        <v>48</v>
      </c>
      <c r="R32596" s="36" t="s">
        <v>48</v>
      </c>
    </row>
    <row r="32597">
      <c r="H32597" s="50"/>
      <c r="I32597" s="50"/>
      <c r="O32597" s="36" t="s">
        <v>48</v>
      </c>
      <c r="R32597" s="36" t="s">
        <v>48</v>
      </c>
    </row>
    <row r="32598">
      <c r="H32598" s="50"/>
      <c r="I32598" s="50"/>
      <c r="O32598" s="36" t="s">
        <v>48</v>
      </c>
      <c r="R32598" s="36" t="s">
        <v>48</v>
      </c>
    </row>
    <row r="32599">
      <c r="H32599" s="50"/>
      <c r="I32599" s="50"/>
      <c r="O32599" s="36" t="s">
        <v>48</v>
      </c>
      <c r="R32599" s="36" t="s">
        <v>48</v>
      </c>
    </row>
    <row r="32600">
      <c r="H32600" s="50"/>
      <c r="I32600" s="50"/>
      <c r="O32600" s="36" t="s">
        <v>48</v>
      </c>
      <c r="R32600" s="36" t="s">
        <v>48</v>
      </c>
    </row>
    <row r="32601">
      <c r="H32601" s="50"/>
      <c r="I32601" s="50"/>
      <c r="O32601" s="36" t="s">
        <v>48</v>
      </c>
      <c r="R32601" s="36" t="s">
        <v>48</v>
      </c>
    </row>
    <row r="32602">
      <c r="H32602" s="50"/>
      <c r="I32602" s="50"/>
      <c r="O32602" s="36" t="s">
        <v>48</v>
      </c>
      <c r="R32602" s="36" t="s">
        <v>48</v>
      </c>
    </row>
    <row r="32603">
      <c r="H32603" s="50"/>
      <c r="I32603" s="50"/>
      <c r="O32603" s="36" t="s">
        <v>48</v>
      </c>
      <c r="R32603" s="36" t="s">
        <v>48</v>
      </c>
    </row>
    <row r="32604">
      <c r="H32604" s="50"/>
      <c r="I32604" s="50"/>
      <c r="O32604" s="36" t="s">
        <v>48</v>
      </c>
      <c r="R32604" s="36" t="s">
        <v>48</v>
      </c>
    </row>
    <row r="32605">
      <c r="H32605" s="50"/>
      <c r="I32605" s="50"/>
      <c r="O32605" s="36" t="s">
        <v>48</v>
      </c>
      <c r="R32605" s="36" t="s">
        <v>48</v>
      </c>
    </row>
    <row r="32606">
      <c r="H32606" s="50"/>
      <c r="I32606" s="50"/>
      <c r="O32606" s="36" t="s">
        <v>48</v>
      </c>
      <c r="R32606" s="36" t="s">
        <v>48</v>
      </c>
    </row>
    <row r="32607">
      <c r="H32607" s="50"/>
      <c r="I32607" s="50"/>
      <c r="O32607" s="36" t="s">
        <v>48</v>
      </c>
      <c r="R32607" s="36" t="s">
        <v>48</v>
      </c>
    </row>
    <row r="32608">
      <c r="H32608" s="50"/>
      <c r="I32608" s="50"/>
      <c r="O32608" s="36" t="s">
        <v>48</v>
      </c>
      <c r="R32608" s="36" t="s">
        <v>48</v>
      </c>
    </row>
    <row r="32609">
      <c r="H32609" s="50"/>
      <c r="I32609" s="50"/>
      <c r="O32609" s="36" t="s">
        <v>48</v>
      </c>
      <c r="R32609" s="36" t="s">
        <v>48</v>
      </c>
    </row>
    <row r="32610">
      <c r="H32610" s="50"/>
      <c r="I32610" s="50"/>
      <c r="O32610" s="36" t="s">
        <v>48</v>
      </c>
      <c r="R32610" s="36" t="s">
        <v>48</v>
      </c>
    </row>
    <row r="32611">
      <c r="H32611" s="50"/>
      <c r="I32611" s="50"/>
      <c r="O32611" s="36" t="s">
        <v>48</v>
      </c>
      <c r="R32611" s="36" t="s">
        <v>48</v>
      </c>
    </row>
    <row r="32612">
      <c r="H32612" s="50"/>
      <c r="I32612" s="50"/>
      <c r="O32612" s="36" t="s">
        <v>48</v>
      </c>
      <c r="R32612" s="36" t="s">
        <v>48</v>
      </c>
    </row>
    <row r="32613">
      <c r="H32613" s="50"/>
      <c r="I32613" s="50"/>
      <c r="O32613" s="36" t="s">
        <v>48</v>
      </c>
      <c r="R32613" s="36" t="s">
        <v>48</v>
      </c>
    </row>
    <row r="32614">
      <c r="H32614" s="50"/>
      <c r="I32614" s="50"/>
      <c r="O32614" s="36" t="s">
        <v>48</v>
      </c>
      <c r="R32614" s="36" t="s">
        <v>48</v>
      </c>
    </row>
    <row r="32615">
      <c r="H32615" s="50"/>
      <c r="I32615" s="50"/>
      <c r="O32615" s="36" t="s">
        <v>48</v>
      </c>
      <c r="R32615" s="36" t="s">
        <v>48</v>
      </c>
    </row>
    <row r="32616">
      <c r="H32616" s="50"/>
      <c r="I32616" s="50"/>
      <c r="O32616" s="36" t="s">
        <v>48</v>
      </c>
      <c r="R32616" s="36" t="s">
        <v>48</v>
      </c>
    </row>
    <row r="32617">
      <c r="H32617" s="50"/>
      <c r="I32617" s="50"/>
      <c r="O32617" s="36" t="s">
        <v>48</v>
      </c>
      <c r="R32617" s="36" t="s">
        <v>48</v>
      </c>
    </row>
    <row r="32618">
      <c r="H32618" s="50"/>
      <c r="I32618" s="50"/>
      <c r="O32618" s="36" t="s">
        <v>48</v>
      </c>
      <c r="R32618" s="36" t="s">
        <v>48</v>
      </c>
    </row>
    <row r="32619">
      <c r="H32619" s="50"/>
      <c r="I32619" s="50"/>
      <c r="O32619" s="36" t="s">
        <v>48</v>
      </c>
      <c r="R32619" s="36" t="s">
        <v>48</v>
      </c>
    </row>
    <row r="32620">
      <c r="H32620" s="50"/>
      <c r="I32620" s="50"/>
      <c r="O32620" s="36" t="s">
        <v>48</v>
      </c>
      <c r="R32620" s="36" t="s">
        <v>48</v>
      </c>
    </row>
    <row r="32621">
      <c r="H32621" s="50"/>
      <c r="I32621" s="50"/>
      <c r="O32621" s="36" t="s">
        <v>48</v>
      </c>
      <c r="R32621" s="36" t="s">
        <v>48</v>
      </c>
    </row>
    <row r="32622">
      <c r="H32622" s="50"/>
      <c r="I32622" s="50"/>
      <c r="O32622" s="36" t="s">
        <v>48</v>
      </c>
      <c r="R32622" s="36" t="s">
        <v>48</v>
      </c>
    </row>
    <row r="32623">
      <c r="H32623" s="50"/>
      <c r="I32623" s="50"/>
      <c r="O32623" s="36" t="s">
        <v>48</v>
      </c>
      <c r="R32623" s="36" t="s">
        <v>48</v>
      </c>
    </row>
    <row r="32624">
      <c r="H32624" s="50"/>
      <c r="I32624" s="50"/>
      <c r="O32624" s="36" t="s">
        <v>48</v>
      </c>
      <c r="R32624" s="36" t="s">
        <v>48</v>
      </c>
    </row>
    <row r="32625">
      <c r="H32625" s="50"/>
      <c r="I32625" s="50"/>
      <c r="O32625" s="36" t="s">
        <v>48</v>
      </c>
      <c r="R32625" s="36" t="s">
        <v>48</v>
      </c>
    </row>
    <row r="32626">
      <c r="H32626" s="50"/>
      <c r="I32626" s="50"/>
      <c r="O32626" s="36" t="s">
        <v>48</v>
      </c>
      <c r="R32626" s="36" t="s">
        <v>48</v>
      </c>
    </row>
    <row r="32627">
      <c r="H32627" s="50"/>
      <c r="I32627" s="50"/>
      <c r="O32627" s="36" t="s">
        <v>48</v>
      </c>
      <c r="R32627" s="36" t="s">
        <v>48</v>
      </c>
    </row>
    <row r="32628">
      <c r="H32628" s="50"/>
      <c r="I32628" s="50"/>
      <c r="O32628" s="36" t="s">
        <v>48</v>
      </c>
      <c r="R32628" s="36" t="s">
        <v>48</v>
      </c>
    </row>
    <row r="32629">
      <c r="H32629" s="50"/>
      <c r="I32629" s="50"/>
      <c r="O32629" s="36" t="s">
        <v>48</v>
      </c>
      <c r="R32629" s="36" t="s">
        <v>48</v>
      </c>
    </row>
    <row r="32630">
      <c r="H32630" s="50"/>
      <c r="I32630" s="50"/>
      <c r="O32630" s="36" t="s">
        <v>48</v>
      </c>
      <c r="R32630" s="36" t="s">
        <v>48</v>
      </c>
    </row>
    <row r="32631">
      <c r="H32631" s="50"/>
      <c r="I32631" s="50"/>
      <c r="O32631" s="36" t="s">
        <v>48</v>
      </c>
      <c r="R32631" s="36" t="s">
        <v>48</v>
      </c>
    </row>
    <row r="32632">
      <c r="H32632" s="50"/>
      <c r="I32632" s="50"/>
      <c r="O32632" s="36" t="s">
        <v>48</v>
      </c>
      <c r="R32632" s="36" t="s">
        <v>48</v>
      </c>
    </row>
    <row r="32633">
      <c r="H32633" s="50"/>
      <c r="I32633" s="50"/>
      <c r="O32633" s="36" t="s">
        <v>48</v>
      </c>
      <c r="R32633" s="36" t="s">
        <v>48</v>
      </c>
    </row>
    <row r="32634">
      <c r="H32634" s="50"/>
      <c r="I32634" s="50"/>
      <c r="O32634" s="36" t="s">
        <v>48</v>
      </c>
      <c r="R32634" s="36" t="s">
        <v>48</v>
      </c>
    </row>
    <row r="32635">
      <c r="H32635" s="50"/>
      <c r="I32635" s="50"/>
      <c r="O32635" s="36" t="s">
        <v>48</v>
      </c>
      <c r="R32635" s="36" t="s">
        <v>48</v>
      </c>
    </row>
    <row r="32636">
      <c r="H32636" s="50"/>
      <c r="I32636" s="50"/>
      <c r="O32636" s="36" t="s">
        <v>48</v>
      </c>
      <c r="R32636" s="36" t="s">
        <v>48</v>
      </c>
    </row>
    <row r="32637">
      <c r="H32637" s="50"/>
      <c r="I32637" s="50"/>
      <c r="O32637" s="36" t="s">
        <v>48</v>
      </c>
      <c r="R32637" s="36" t="s">
        <v>48</v>
      </c>
    </row>
    <row r="32638">
      <c r="H32638" s="50"/>
      <c r="I32638" s="50"/>
      <c r="O32638" s="36" t="s">
        <v>48</v>
      </c>
      <c r="R32638" s="36" t="s">
        <v>48</v>
      </c>
    </row>
    <row r="32639">
      <c r="H32639" s="50"/>
      <c r="I32639" s="50"/>
      <c r="O32639" s="36" t="s">
        <v>48</v>
      </c>
      <c r="R32639" s="36" t="s">
        <v>48</v>
      </c>
    </row>
    <row r="32640">
      <c r="H32640" s="50"/>
      <c r="I32640" s="50"/>
      <c r="O32640" s="36" t="s">
        <v>48</v>
      </c>
      <c r="R32640" s="36" t="s">
        <v>48</v>
      </c>
    </row>
    <row r="32641">
      <c r="H32641" s="50"/>
      <c r="I32641" s="50"/>
      <c r="O32641" s="36" t="s">
        <v>48</v>
      </c>
      <c r="R32641" s="36" t="s">
        <v>48</v>
      </c>
    </row>
    <row r="32642">
      <c r="H32642" s="50"/>
      <c r="I32642" s="50"/>
      <c r="O32642" s="36" t="s">
        <v>48</v>
      </c>
      <c r="R32642" s="36" t="s">
        <v>48</v>
      </c>
    </row>
    <row r="32643">
      <c r="H32643" s="50"/>
      <c r="I32643" s="50"/>
      <c r="O32643" s="36" t="s">
        <v>48</v>
      </c>
      <c r="R32643" s="36" t="s">
        <v>48</v>
      </c>
    </row>
    <row r="32644">
      <c r="H32644" s="50"/>
      <c r="I32644" s="50"/>
      <c r="O32644" s="36" t="s">
        <v>48</v>
      </c>
      <c r="R32644" s="36" t="s">
        <v>48</v>
      </c>
    </row>
    <row r="32645">
      <c r="H32645" s="50"/>
      <c r="I32645" s="50"/>
      <c r="O32645" s="36" t="s">
        <v>48</v>
      </c>
      <c r="R32645" s="36" t="s">
        <v>48</v>
      </c>
    </row>
    <row r="32646">
      <c r="H32646" s="50"/>
      <c r="I32646" s="50"/>
      <c r="O32646" s="36" t="s">
        <v>48</v>
      </c>
      <c r="R32646" s="36" t="s">
        <v>48</v>
      </c>
    </row>
    <row r="32647">
      <c r="H32647" s="50"/>
      <c r="I32647" s="50"/>
      <c r="O32647" s="36" t="s">
        <v>48</v>
      </c>
      <c r="R32647" s="36" t="s">
        <v>48</v>
      </c>
    </row>
    <row r="32648">
      <c r="H32648" s="50"/>
      <c r="I32648" s="50"/>
      <c r="O32648" s="36" t="s">
        <v>48</v>
      </c>
      <c r="R32648" s="36" t="s">
        <v>48</v>
      </c>
    </row>
    <row r="32649">
      <c r="H32649" s="50"/>
      <c r="I32649" s="50"/>
      <c r="O32649" s="36" t="s">
        <v>48</v>
      </c>
      <c r="R32649" s="36" t="s">
        <v>48</v>
      </c>
    </row>
    <row r="32650">
      <c r="H32650" s="50"/>
      <c r="I32650" s="50"/>
      <c r="O32650" s="36" t="s">
        <v>48</v>
      </c>
      <c r="R32650" s="36" t="s">
        <v>48</v>
      </c>
    </row>
    <row r="32651">
      <c r="H32651" s="50"/>
      <c r="I32651" s="50"/>
      <c r="O32651" s="36" t="s">
        <v>48</v>
      </c>
      <c r="R32651" s="36" t="s">
        <v>48</v>
      </c>
    </row>
    <row r="32652">
      <c r="H32652" s="50"/>
      <c r="I32652" s="50"/>
      <c r="O32652" s="36" t="s">
        <v>48</v>
      </c>
      <c r="R32652" s="36" t="s">
        <v>48</v>
      </c>
    </row>
    <row r="32653">
      <c r="H32653" s="50"/>
      <c r="I32653" s="50"/>
      <c r="O32653" s="36" t="s">
        <v>48</v>
      </c>
      <c r="R32653" s="36" t="s">
        <v>48</v>
      </c>
    </row>
    <row r="32654">
      <c r="H32654" s="50"/>
      <c r="I32654" s="50"/>
      <c r="O32654" s="36" t="s">
        <v>48</v>
      </c>
      <c r="R32654" s="36" t="s">
        <v>48</v>
      </c>
    </row>
    <row r="32655">
      <c r="H32655" s="50"/>
      <c r="I32655" s="50"/>
      <c r="O32655" s="36" t="s">
        <v>48</v>
      </c>
      <c r="R32655" s="36" t="s">
        <v>48</v>
      </c>
    </row>
    <row r="32656">
      <c r="H32656" s="50"/>
      <c r="I32656" s="50"/>
      <c r="O32656" s="36" t="s">
        <v>48</v>
      </c>
      <c r="R32656" s="36" t="s">
        <v>48</v>
      </c>
    </row>
    <row r="32657">
      <c r="H32657" s="50"/>
      <c r="I32657" s="50"/>
      <c r="O32657" s="36" t="s">
        <v>48</v>
      </c>
      <c r="R32657" s="36" t="s">
        <v>48</v>
      </c>
    </row>
    <row r="32658">
      <c r="H32658" s="50"/>
      <c r="I32658" s="50"/>
      <c r="O32658" s="36" t="s">
        <v>48</v>
      </c>
      <c r="R32658" s="36" t="s">
        <v>48</v>
      </c>
    </row>
    <row r="32659">
      <c r="H32659" s="50"/>
      <c r="I32659" s="50"/>
      <c r="O32659" s="36" t="s">
        <v>48</v>
      </c>
      <c r="R32659" s="36" t="s">
        <v>48</v>
      </c>
    </row>
    <row r="32660">
      <c r="H32660" s="50"/>
      <c r="I32660" s="50"/>
      <c r="O32660" s="36" t="s">
        <v>48</v>
      </c>
      <c r="R32660" s="36" t="s">
        <v>48</v>
      </c>
    </row>
    <row r="32661">
      <c r="H32661" s="50"/>
      <c r="I32661" s="50"/>
      <c r="O32661" s="36" t="s">
        <v>48</v>
      </c>
      <c r="R32661" s="36" t="s">
        <v>48</v>
      </c>
    </row>
    <row r="32662">
      <c r="H32662" s="50"/>
      <c r="I32662" s="50"/>
      <c r="O32662" s="36" t="s">
        <v>48</v>
      </c>
      <c r="R32662" s="36" t="s">
        <v>48</v>
      </c>
    </row>
    <row r="32663">
      <c r="H32663" s="50"/>
      <c r="I32663" s="50"/>
      <c r="O32663" s="36" t="s">
        <v>48</v>
      </c>
      <c r="R32663" s="36" t="s">
        <v>48</v>
      </c>
    </row>
    <row r="32664">
      <c r="H32664" s="50"/>
      <c r="I32664" s="50"/>
      <c r="O32664" s="36" t="s">
        <v>48</v>
      </c>
      <c r="R32664" s="36" t="s">
        <v>48</v>
      </c>
    </row>
    <row r="32665">
      <c r="H32665" s="50"/>
      <c r="I32665" s="50"/>
      <c r="O32665" s="36" t="s">
        <v>48</v>
      </c>
      <c r="R32665" s="36" t="s">
        <v>48</v>
      </c>
    </row>
    <row r="32666">
      <c r="H32666" s="50"/>
      <c r="I32666" s="50"/>
      <c r="O32666" s="36" t="s">
        <v>48</v>
      </c>
      <c r="R32666" s="36" t="s">
        <v>48</v>
      </c>
    </row>
    <row r="32667">
      <c r="H32667" s="50"/>
      <c r="I32667" s="50"/>
      <c r="O32667" s="36" t="s">
        <v>48</v>
      </c>
      <c r="R32667" s="36" t="s">
        <v>48</v>
      </c>
    </row>
    <row r="32668">
      <c r="H32668" s="50"/>
      <c r="I32668" s="50"/>
      <c r="O32668" s="36" t="s">
        <v>48</v>
      </c>
      <c r="R32668" s="36" t="s">
        <v>48</v>
      </c>
    </row>
    <row r="32669">
      <c r="H32669" s="50"/>
      <c r="I32669" s="50"/>
      <c r="O32669" s="36" t="s">
        <v>48</v>
      </c>
      <c r="R32669" s="36" t="s">
        <v>48</v>
      </c>
    </row>
    <row r="32670">
      <c r="H32670" s="50"/>
      <c r="I32670" s="50"/>
      <c r="O32670" s="36" t="s">
        <v>48</v>
      </c>
      <c r="R32670" s="36" t="s">
        <v>48</v>
      </c>
    </row>
    <row r="32671">
      <c r="H32671" s="50"/>
      <c r="I32671" s="50"/>
      <c r="O32671" s="36" t="s">
        <v>48</v>
      </c>
      <c r="R32671" s="36" t="s">
        <v>48</v>
      </c>
    </row>
    <row r="32672">
      <c r="H32672" s="50"/>
      <c r="I32672" s="50"/>
      <c r="O32672" s="36" t="s">
        <v>48</v>
      </c>
      <c r="R32672" s="36" t="s">
        <v>48</v>
      </c>
    </row>
    <row r="32673">
      <c r="H32673" s="50"/>
      <c r="I32673" s="50"/>
      <c r="O32673" s="36" t="s">
        <v>48</v>
      </c>
      <c r="R32673" s="36" t="s">
        <v>48</v>
      </c>
    </row>
    <row r="32674">
      <c r="H32674" s="50"/>
      <c r="I32674" s="50"/>
      <c r="O32674" s="36" t="s">
        <v>48</v>
      </c>
      <c r="R32674" s="36" t="s">
        <v>48</v>
      </c>
    </row>
    <row r="32675">
      <c r="H32675" s="50"/>
      <c r="I32675" s="50"/>
      <c r="O32675" s="36" t="s">
        <v>48</v>
      </c>
      <c r="R32675" s="36" t="s">
        <v>48</v>
      </c>
    </row>
    <row r="32676">
      <c r="H32676" s="50"/>
      <c r="I32676" s="50"/>
      <c r="O32676" s="36" t="s">
        <v>48</v>
      </c>
      <c r="R32676" s="36" t="s">
        <v>48</v>
      </c>
    </row>
    <row r="32677">
      <c r="H32677" s="50"/>
      <c r="I32677" s="50"/>
      <c r="O32677" s="36" t="s">
        <v>48</v>
      </c>
      <c r="R32677" s="36" t="s">
        <v>48</v>
      </c>
    </row>
    <row r="32678">
      <c r="H32678" s="50"/>
      <c r="I32678" s="50"/>
      <c r="O32678" s="36" t="s">
        <v>48</v>
      </c>
      <c r="R32678" s="36" t="s">
        <v>48</v>
      </c>
    </row>
    <row r="32679">
      <c r="H32679" s="50"/>
      <c r="I32679" s="50"/>
      <c r="O32679" s="36" t="s">
        <v>48</v>
      </c>
      <c r="R32679" s="36" t="s">
        <v>48</v>
      </c>
    </row>
    <row r="32680">
      <c r="H32680" s="50"/>
      <c r="I32680" s="50"/>
      <c r="O32680" s="36" t="s">
        <v>48</v>
      </c>
      <c r="R32680" s="36" t="s">
        <v>48</v>
      </c>
    </row>
    <row r="32681">
      <c r="H32681" s="50"/>
      <c r="I32681" s="50"/>
      <c r="O32681" s="36" t="s">
        <v>48</v>
      </c>
      <c r="R32681" s="36" t="s">
        <v>48</v>
      </c>
    </row>
    <row r="32682">
      <c r="H32682" s="50"/>
      <c r="I32682" s="50"/>
      <c r="O32682" s="36" t="s">
        <v>48</v>
      </c>
      <c r="R32682" s="36" t="s">
        <v>48</v>
      </c>
    </row>
    <row r="32683">
      <c r="H32683" s="50"/>
      <c r="I32683" s="50"/>
      <c r="O32683" s="36" t="s">
        <v>48</v>
      </c>
      <c r="R32683" s="36" t="s">
        <v>48</v>
      </c>
    </row>
    <row r="32684">
      <c r="H32684" s="50"/>
      <c r="I32684" s="50"/>
      <c r="O32684" s="36" t="s">
        <v>48</v>
      </c>
      <c r="R32684" s="36" t="s">
        <v>48</v>
      </c>
    </row>
    <row r="32685">
      <c r="H32685" s="50"/>
      <c r="I32685" s="50"/>
      <c r="O32685" s="36" t="s">
        <v>48</v>
      </c>
      <c r="R32685" s="36" t="s">
        <v>48</v>
      </c>
    </row>
    <row r="32686">
      <c r="H32686" s="50"/>
      <c r="I32686" s="50"/>
      <c r="O32686" s="36" t="s">
        <v>48</v>
      </c>
      <c r="R32686" s="36" t="s">
        <v>48</v>
      </c>
    </row>
    <row r="32687">
      <c r="H32687" s="50"/>
      <c r="I32687" s="50"/>
      <c r="O32687" s="36" t="s">
        <v>48</v>
      </c>
      <c r="R32687" s="36" t="s">
        <v>48</v>
      </c>
    </row>
    <row r="32688">
      <c r="H32688" s="50"/>
      <c r="I32688" s="50"/>
      <c r="O32688" s="36" t="s">
        <v>48</v>
      </c>
      <c r="R32688" s="36" t="s">
        <v>48</v>
      </c>
    </row>
    <row r="32689">
      <c r="H32689" s="50"/>
      <c r="I32689" s="50"/>
      <c r="O32689" s="36" t="s">
        <v>48</v>
      </c>
      <c r="R32689" s="36" t="s">
        <v>48</v>
      </c>
    </row>
    <row r="32690">
      <c r="H32690" s="50"/>
      <c r="I32690" s="50"/>
      <c r="O32690" s="36" t="s">
        <v>48</v>
      </c>
      <c r="R32690" s="36" t="s">
        <v>48</v>
      </c>
    </row>
    <row r="32691">
      <c r="H32691" s="50"/>
      <c r="I32691" s="50"/>
      <c r="O32691" s="36" t="s">
        <v>48</v>
      </c>
      <c r="R32691" s="36" t="s">
        <v>48</v>
      </c>
    </row>
    <row r="32692">
      <c r="H32692" s="50"/>
      <c r="I32692" s="50"/>
      <c r="O32692" s="36" t="s">
        <v>48</v>
      </c>
      <c r="R32692" s="36" t="s">
        <v>48</v>
      </c>
    </row>
    <row r="32693">
      <c r="H32693" s="50"/>
      <c r="I32693" s="50"/>
      <c r="O32693" s="36" t="s">
        <v>48</v>
      </c>
      <c r="R32693" s="36" t="s">
        <v>48</v>
      </c>
    </row>
    <row r="32694">
      <c r="H32694" s="50"/>
      <c r="I32694" s="50"/>
      <c r="O32694" s="36" t="s">
        <v>48</v>
      </c>
      <c r="R32694" s="36" t="s">
        <v>48</v>
      </c>
    </row>
    <row r="32695">
      <c r="H32695" s="50"/>
      <c r="I32695" s="50"/>
      <c r="O32695" s="36" t="s">
        <v>48</v>
      </c>
      <c r="R32695" s="36" t="s">
        <v>48</v>
      </c>
    </row>
    <row r="32696">
      <c r="H32696" s="50"/>
      <c r="I32696" s="50"/>
      <c r="O32696" s="36" t="s">
        <v>48</v>
      </c>
      <c r="R32696" s="36" t="s">
        <v>48</v>
      </c>
    </row>
    <row r="32697">
      <c r="H32697" s="50"/>
      <c r="I32697" s="50"/>
      <c r="O32697" s="36" t="s">
        <v>48</v>
      </c>
      <c r="R32697" s="36" t="s">
        <v>48</v>
      </c>
    </row>
    <row r="32698">
      <c r="H32698" s="50"/>
      <c r="I32698" s="50"/>
      <c r="O32698" s="36" t="s">
        <v>48</v>
      </c>
      <c r="R32698" s="36" t="s">
        <v>48</v>
      </c>
    </row>
    <row r="32699">
      <c r="H32699" s="50"/>
      <c r="I32699" s="50"/>
      <c r="O32699" s="36" t="s">
        <v>48</v>
      </c>
      <c r="R32699" s="36" t="s">
        <v>48</v>
      </c>
    </row>
    <row r="32700">
      <c r="H32700" s="50"/>
      <c r="I32700" s="50"/>
      <c r="O32700" s="36" t="s">
        <v>48</v>
      </c>
      <c r="R32700" s="36" t="s">
        <v>48</v>
      </c>
    </row>
    <row r="32701">
      <c r="H32701" s="50"/>
      <c r="I32701" s="50"/>
      <c r="O32701" s="36" t="s">
        <v>48</v>
      </c>
      <c r="R32701" s="36" t="s">
        <v>48</v>
      </c>
    </row>
    <row r="32702">
      <c r="H32702" s="50"/>
      <c r="I32702" s="50"/>
      <c r="O32702" s="36" t="s">
        <v>48</v>
      </c>
      <c r="R32702" s="36" t="s">
        <v>48</v>
      </c>
    </row>
    <row r="32703">
      <c r="H32703" s="50"/>
      <c r="I32703" s="50"/>
      <c r="O32703" s="36" t="s">
        <v>48</v>
      </c>
      <c r="R32703" s="36" t="s">
        <v>48</v>
      </c>
    </row>
    <row r="32704">
      <c r="H32704" s="50"/>
      <c r="I32704" s="50"/>
      <c r="O32704" s="36" t="s">
        <v>48</v>
      </c>
      <c r="R32704" s="36" t="s">
        <v>48</v>
      </c>
    </row>
    <row r="32705">
      <c r="H32705" s="50"/>
      <c r="I32705" s="50"/>
      <c r="O32705" s="36" t="s">
        <v>48</v>
      </c>
      <c r="R32705" s="36" t="s">
        <v>48</v>
      </c>
    </row>
    <row r="32706">
      <c r="H32706" s="50"/>
      <c r="I32706" s="50"/>
      <c r="O32706" s="36" t="s">
        <v>48</v>
      </c>
      <c r="R32706" s="36" t="s">
        <v>48</v>
      </c>
    </row>
    <row r="32707">
      <c r="H32707" s="50"/>
      <c r="I32707" s="50"/>
      <c r="O32707" s="36" t="s">
        <v>48</v>
      </c>
      <c r="R32707" s="36" t="s">
        <v>48</v>
      </c>
    </row>
    <row r="32708">
      <c r="H32708" s="50"/>
      <c r="I32708" s="50"/>
      <c r="O32708" s="36" t="s">
        <v>48</v>
      </c>
      <c r="R32708" s="36" t="s">
        <v>48</v>
      </c>
    </row>
    <row r="32709">
      <c r="H32709" s="50"/>
      <c r="I32709" s="50"/>
      <c r="O32709" s="36" t="s">
        <v>48</v>
      </c>
      <c r="R32709" s="36" t="s">
        <v>48</v>
      </c>
    </row>
    <row r="32710">
      <c r="H32710" s="50"/>
      <c r="I32710" s="50"/>
      <c r="O32710" s="36" t="s">
        <v>48</v>
      </c>
      <c r="R32710" s="36" t="s">
        <v>48</v>
      </c>
    </row>
    <row r="32711">
      <c r="H32711" s="50"/>
      <c r="I32711" s="50"/>
      <c r="O32711" s="36" t="s">
        <v>48</v>
      </c>
      <c r="R32711" s="36" t="s">
        <v>48</v>
      </c>
    </row>
    <row r="32712">
      <c r="H32712" s="50"/>
      <c r="I32712" s="50"/>
      <c r="O32712" s="36" t="s">
        <v>48</v>
      </c>
      <c r="R32712" s="36" t="s">
        <v>48</v>
      </c>
    </row>
    <row r="32713">
      <c r="H32713" s="50"/>
      <c r="I32713" s="50"/>
      <c r="O32713" s="36" t="s">
        <v>48</v>
      </c>
      <c r="R32713" s="36" t="s">
        <v>48</v>
      </c>
    </row>
    <row r="32714">
      <c r="H32714" s="50"/>
      <c r="I32714" s="50"/>
      <c r="O32714" s="36" t="s">
        <v>48</v>
      </c>
      <c r="R32714" s="36" t="s">
        <v>48</v>
      </c>
    </row>
    <row r="32715">
      <c r="H32715" s="50"/>
      <c r="I32715" s="50"/>
      <c r="O32715" s="36" t="s">
        <v>48</v>
      </c>
      <c r="R32715" s="36" t="s">
        <v>48</v>
      </c>
    </row>
    <row r="32716">
      <c r="H32716" s="50"/>
      <c r="I32716" s="50"/>
      <c r="O32716" s="36" t="s">
        <v>48</v>
      </c>
      <c r="R32716" s="36" t="s">
        <v>48</v>
      </c>
    </row>
    <row r="32717">
      <c r="H32717" s="50"/>
      <c r="I32717" s="50"/>
      <c r="O32717" s="36" t="s">
        <v>48</v>
      </c>
      <c r="R32717" s="36" t="s">
        <v>48</v>
      </c>
    </row>
    <row r="32718">
      <c r="H32718" s="50"/>
      <c r="I32718" s="50"/>
      <c r="O32718" s="36" t="s">
        <v>48</v>
      </c>
      <c r="R32718" s="36" t="s">
        <v>48</v>
      </c>
    </row>
    <row r="32719">
      <c r="H32719" s="50"/>
      <c r="I32719" s="50"/>
      <c r="O32719" s="36" t="s">
        <v>48</v>
      </c>
      <c r="R32719" s="36" t="s">
        <v>48</v>
      </c>
    </row>
    <row r="32720">
      <c r="H32720" s="50"/>
      <c r="I32720" s="50"/>
      <c r="O32720" s="36" t="s">
        <v>48</v>
      </c>
      <c r="R32720" s="36" t="s">
        <v>48</v>
      </c>
    </row>
    <row r="32721">
      <c r="H32721" s="50"/>
      <c r="I32721" s="50"/>
      <c r="O32721" s="36" t="s">
        <v>48</v>
      </c>
      <c r="R32721" s="36" t="s">
        <v>48</v>
      </c>
    </row>
    <row r="32722">
      <c r="H32722" s="50"/>
      <c r="I32722" s="50"/>
      <c r="O32722" s="36" t="s">
        <v>48</v>
      </c>
      <c r="R32722" s="36" t="s">
        <v>48</v>
      </c>
    </row>
    <row r="32723">
      <c r="H32723" s="50"/>
      <c r="I32723" s="50"/>
      <c r="O32723" s="36" t="s">
        <v>48</v>
      </c>
      <c r="R32723" s="36" t="s">
        <v>48</v>
      </c>
    </row>
    <row r="32724">
      <c r="H32724" s="50"/>
      <c r="I32724" s="50"/>
      <c r="O32724" s="36" t="s">
        <v>48</v>
      </c>
      <c r="R32724" s="36" t="s">
        <v>48</v>
      </c>
    </row>
    <row r="32725">
      <c r="H32725" s="50"/>
      <c r="I32725" s="50"/>
      <c r="O32725" s="36" t="s">
        <v>48</v>
      </c>
      <c r="R32725" s="36" t="s">
        <v>48</v>
      </c>
    </row>
    <row r="32726">
      <c r="H32726" s="50"/>
      <c r="I32726" s="50"/>
      <c r="O32726" s="36" t="s">
        <v>48</v>
      </c>
      <c r="R32726" s="36" t="s">
        <v>48</v>
      </c>
    </row>
    <row r="32727">
      <c r="H32727" s="50"/>
      <c r="I32727" s="50"/>
      <c r="O32727" s="36" t="s">
        <v>48</v>
      </c>
      <c r="R32727" s="36" t="s">
        <v>48</v>
      </c>
    </row>
    <row r="32728">
      <c r="H32728" s="50"/>
      <c r="I32728" s="50"/>
      <c r="O32728" s="36" t="s">
        <v>48</v>
      </c>
      <c r="R32728" s="36" t="s">
        <v>48</v>
      </c>
    </row>
    <row r="32729">
      <c r="H32729" s="50"/>
      <c r="I32729" s="50"/>
      <c r="O32729" s="36" t="s">
        <v>48</v>
      </c>
      <c r="R32729" s="36" t="s">
        <v>48</v>
      </c>
    </row>
    <row r="32730">
      <c r="H32730" s="50"/>
      <c r="I32730" s="50"/>
      <c r="O32730" s="36" t="s">
        <v>48</v>
      </c>
      <c r="R32730" s="36" t="s">
        <v>48</v>
      </c>
    </row>
    <row r="32731">
      <c r="H32731" s="50"/>
      <c r="I32731" s="50"/>
      <c r="O32731" s="36" t="s">
        <v>48</v>
      </c>
      <c r="R32731" s="36" t="s">
        <v>48</v>
      </c>
    </row>
    <row r="32732">
      <c r="H32732" s="50"/>
      <c r="I32732" s="50"/>
      <c r="O32732" s="36" t="s">
        <v>48</v>
      </c>
      <c r="R32732" s="36" t="s">
        <v>48</v>
      </c>
    </row>
    <row r="32733">
      <c r="H32733" s="50"/>
      <c r="I32733" s="50"/>
      <c r="O32733" s="36" t="s">
        <v>48</v>
      </c>
      <c r="R32733" s="36" t="s">
        <v>48</v>
      </c>
    </row>
    <row r="32734">
      <c r="H32734" s="50"/>
      <c r="I32734" s="50"/>
      <c r="O32734" s="36" t="s">
        <v>48</v>
      </c>
      <c r="R32734" s="36" t="s">
        <v>48</v>
      </c>
    </row>
    <row r="32735">
      <c r="H32735" s="50"/>
      <c r="I32735" s="50"/>
      <c r="O32735" s="36" t="s">
        <v>48</v>
      </c>
      <c r="R32735" s="36" t="s">
        <v>48</v>
      </c>
    </row>
    <row r="32736">
      <c r="H32736" s="50"/>
      <c r="I32736" s="50"/>
      <c r="O32736" s="36" t="s">
        <v>48</v>
      </c>
      <c r="R32736" s="36" t="s">
        <v>48</v>
      </c>
    </row>
    <row r="32737">
      <c r="H32737" s="50"/>
      <c r="I32737" s="50"/>
      <c r="O32737" s="36" t="s">
        <v>48</v>
      </c>
      <c r="R32737" s="36" t="s">
        <v>48</v>
      </c>
    </row>
    <row r="32738">
      <c r="H32738" s="50"/>
      <c r="I32738" s="50"/>
      <c r="O32738" s="36" t="s">
        <v>48</v>
      </c>
      <c r="R32738" s="36" t="s">
        <v>48</v>
      </c>
    </row>
    <row r="32739">
      <c r="H32739" s="50"/>
      <c r="I32739" s="50"/>
      <c r="O32739" s="36" t="s">
        <v>48</v>
      </c>
      <c r="R32739" s="36" t="s">
        <v>48</v>
      </c>
    </row>
    <row r="32740">
      <c r="H32740" s="50"/>
      <c r="I32740" s="50"/>
      <c r="O32740" s="36" t="s">
        <v>48</v>
      </c>
      <c r="R32740" s="36" t="s">
        <v>48</v>
      </c>
    </row>
    <row r="32741">
      <c r="H32741" s="50"/>
      <c r="I32741" s="50"/>
      <c r="O32741" s="36" t="s">
        <v>48</v>
      </c>
      <c r="R32741" s="36" t="s">
        <v>48</v>
      </c>
    </row>
    <row r="32742">
      <c r="H32742" s="50"/>
      <c r="I32742" s="50"/>
      <c r="O32742" s="36" t="s">
        <v>48</v>
      </c>
      <c r="R32742" s="36" t="s">
        <v>48</v>
      </c>
    </row>
    <row r="32743">
      <c r="H32743" s="50"/>
      <c r="I32743" s="50"/>
      <c r="O32743" s="36" t="s">
        <v>48</v>
      </c>
      <c r="R32743" s="36" t="s">
        <v>48</v>
      </c>
    </row>
    <row r="32744">
      <c r="H32744" s="50"/>
      <c r="I32744" s="50"/>
      <c r="O32744" s="36" t="s">
        <v>48</v>
      </c>
      <c r="R32744" s="36" t="s">
        <v>48</v>
      </c>
    </row>
    <row r="32745">
      <c r="H32745" s="50"/>
      <c r="I32745" s="50"/>
      <c r="O32745" s="36" t="s">
        <v>48</v>
      </c>
      <c r="R32745" s="36" t="s">
        <v>48</v>
      </c>
    </row>
    <row r="32746">
      <c r="H32746" s="50"/>
      <c r="I32746" s="50"/>
      <c r="O32746" s="36" t="s">
        <v>48</v>
      </c>
      <c r="R32746" s="36" t="s">
        <v>48</v>
      </c>
    </row>
    <row r="32747">
      <c r="H32747" s="50"/>
      <c r="I32747" s="50"/>
      <c r="O32747" s="36" t="s">
        <v>48</v>
      </c>
      <c r="R32747" s="36" t="s">
        <v>48</v>
      </c>
    </row>
    <row r="32748">
      <c r="H32748" s="50"/>
      <c r="I32748" s="50"/>
      <c r="O32748" s="36" t="s">
        <v>48</v>
      </c>
      <c r="R32748" s="36" t="s">
        <v>48</v>
      </c>
    </row>
    <row r="32749">
      <c r="H32749" s="50"/>
      <c r="I32749" s="50"/>
      <c r="O32749" s="36" t="s">
        <v>48</v>
      </c>
      <c r="R32749" s="36" t="s">
        <v>48</v>
      </c>
    </row>
    <row r="32750">
      <c r="H32750" s="50"/>
      <c r="I32750" s="50"/>
      <c r="O32750" s="36" t="s">
        <v>48</v>
      </c>
      <c r="R32750" s="36" t="s">
        <v>48</v>
      </c>
    </row>
    <row r="32751">
      <c r="H32751" s="50"/>
      <c r="I32751" s="50"/>
      <c r="O32751" s="36" t="s">
        <v>48</v>
      </c>
      <c r="R32751" s="36" t="s">
        <v>48</v>
      </c>
    </row>
    <row r="32752">
      <c r="H32752" s="50"/>
      <c r="I32752" s="50"/>
      <c r="O32752" s="36" t="s">
        <v>48</v>
      </c>
      <c r="R32752" s="36" t="s">
        <v>48</v>
      </c>
    </row>
    <row r="32753">
      <c r="H32753" s="50"/>
      <c r="I32753" s="50"/>
      <c r="O32753" s="36" t="s">
        <v>48</v>
      </c>
      <c r="R32753" s="36" t="s">
        <v>48</v>
      </c>
    </row>
    <row r="32754">
      <c r="H32754" s="50"/>
      <c r="I32754" s="50"/>
      <c r="O32754" s="36" t="s">
        <v>48</v>
      </c>
      <c r="R32754" s="36" t="s">
        <v>48</v>
      </c>
    </row>
    <row r="32755">
      <c r="H32755" s="50"/>
      <c r="I32755" s="50"/>
      <c r="O32755" s="36" t="s">
        <v>48</v>
      </c>
      <c r="R32755" s="36" t="s">
        <v>48</v>
      </c>
    </row>
    <row r="32756">
      <c r="H32756" s="50"/>
      <c r="I32756" s="50"/>
      <c r="O32756" s="36" t="s">
        <v>48</v>
      </c>
      <c r="R32756" s="36" t="s">
        <v>48</v>
      </c>
    </row>
    <row r="32757">
      <c r="H32757" s="50"/>
      <c r="I32757" s="50"/>
      <c r="O32757" s="36" t="s">
        <v>48</v>
      </c>
      <c r="R32757" s="36" t="s">
        <v>48</v>
      </c>
    </row>
    <row r="32758">
      <c r="H32758" s="50"/>
      <c r="I32758" s="50"/>
      <c r="O32758" s="36" t="s">
        <v>48</v>
      </c>
      <c r="R32758" s="36" t="s">
        <v>48</v>
      </c>
    </row>
    <row r="32759">
      <c r="H32759" s="50"/>
      <c r="I32759" s="50"/>
      <c r="O32759" s="36" t="s">
        <v>48</v>
      </c>
      <c r="R32759" s="36" t="s">
        <v>48</v>
      </c>
    </row>
    <row r="32760">
      <c r="H32760" s="50"/>
      <c r="I32760" s="50"/>
      <c r="O32760" s="36" t="s">
        <v>48</v>
      </c>
      <c r="R32760" s="36" t="s">
        <v>48</v>
      </c>
    </row>
    <row r="32761">
      <c r="H32761" s="50"/>
      <c r="I32761" s="50"/>
      <c r="O32761" s="36" t="s">
        <v>48</v>
      </c>
      <c r="R32761" s="36" t="s">
        <v>48</v>
      </c>
    </row>
    <row r="32762">
      <c r="H32762" s="50"/>
      <c r="I32762" s="50"/>
      <c r="O32762" s="36" t="s">
        <v>48</v>
      </c>
      <c r="R32762" s="36" t="s">
        <v>48</v>
      </c>
    </row>
    <row r="32763">
      <c r="H32763" s="50"/>
      <c r="I32763" s="50"/>
      <c r="O32763" s="36" t="s">
        <v>48</v>
      </c>
      <c r="R32763" s="36" t="s">
        <v>48</v>
      </c>
    </row>
    <row r="32764">
      <c r="H32764" s="50"/>
      <c r="I32764" s="50"/>
      <c r="O32764" s="36" t="s">
        <v>48</v>
      </c>
      <c r="R32764" s="36" t="s">
        <v>48</v>
      </c>
    </row>
    <row r="32765">
      <c r="H32765" s="50"/>
      <c r="I32765" s="50"/>
      <c r="O32765" s="36" t="s">
        <v>48</v>
      </c>
      <c r="R32765" s="36" t="s">
        <v>48</v>
      </c>
    </row>
    <row r="32766">
      <c r="H32766" s="50"/>
      <c r="I32766" s="50"/>
      <c r="O32766" s="36" t="s">
        <v>48</v>
      </c>
      <c r="R32766" s="36" t="s">
        <v>48</v>
      </c>
    </row>
    <row r="32767">
      <c r="H32767" s="50"/>
      <c r="I32767" s="50"/>
      <c r="O32767" s="36" t="s">
        <v>48</v>
      </c>
      <c r="R32767" s="36" t="s">
        <v>48</v>
      </c>
    </row>
    <row r="32768">
      <c r="H32768" s="50"/>
      <c r="I32768" s="50"/>
      <c r="O32768" s="36" t="s">
        <v>48</v>
      </c>
      <c r="R32768" s="36" t="s">
        <v>48</v>
      </c>
    </row>
    <row r="32769">
      <c r="H32769" s="50"/>
      <c r="I32769" s="50"/>
      <c r="O32769" s="36" t="s">
        <v>48</v>
      </c>
      <c r="R32769" s="36" t="s">
        <v>48</v>
      </c>
    </row>
    <row r="32770">
      <c r="H32770" s="50"/>
      <c r="I32770" s="50"/>
      <c r="O32770" s="36" t="s">
        <v>48</v>
      </c>
      <c r="R32770" s="36" t="s">
        <v>48</v>
      </c>
    </row>
    <row r="32771">
      <c r="H32771" s="50"/>
      <c r="I32771" s="50"/>
      <c r="O32771" s="36" t="s">
        <v>48</v>
      </c>
      <c r="R32771" s="36" t="s">
        <v>48</v>
      </c>
    </row>
    <row r="32772">
      <c r="H32772" s="50"/>
      <c r="I32772" s="50"/>
      <c r="O32772" s="36" t="s">
        <v>48</v>
      </c>
      <c r="R32772" s="36" t="s">
        <v>48</v>
      </c>
    </row>
    <row r="32773">
      <c r="H32773" s="50"/>
      <c r="I32773" s="50"/>
      <c r="O32773" s="36" t="s">
        <v>48</v>
      </c>
      <c r="R32773" s="36" t="s">
        <v>48</v>
      </c>
    </row>
    <row r="32774">
      <c r="H32774" s="50"/>
      <c r="I32774" s="50"/>
      <c r="O32774" s="36" t="s">
        <v>48</v>
      </c>
      <c r="R32774" s="36" t="s">
        <v>48</v>
      </c>
    </row>
    <row r="32775">
      <c r="H32775" s="50"/>
      <c r="I32775" s="50"/>
      <c r="O32775" s="36" t="s">
        <v>48</v>
      </c>
      <c r="R32775" s="36" t="s">
        <v>48</v>
      </c>
    </row>
    <row r="32776">
      <c r="H32776" s="50"/>
      <c r="I32776" s="50"/>
      <c r="O32776" s="36" t="s">
        <v>48</v>
      </c>
      <c r="R32776" s="36" t="s">
        <v>48</v>
      </c>
    </row>
    <row r="32777">
      <c r="H32777" s="50"/>
      <c r="I32777" s="50"/>
      <c r="O32777" s="36" t="s">
        <v>48</v>
      </c>
      <c r="R32777" s="36" t="s">
        <v>48</v>
      </c>
    </row>
    <row r="32778">
      <c r="H32778" s="50"/>
      <c r="I32778" s="50"/>
      <c r="O32778" s="36" t="s">
        <v>48</v>
      </c>
      <c r="R32778" s="36" t="s">
        <v>48</v>
      </c>
    </row>
    <row r="32779">
      <c r="H32779" s="50"/>
      <c r="I32779" s="50"/>
      <c r="O32779" s="36" t="s">
        <v>48</v>
      </c>
      <c r="R32779" s="36" t="s">
        <v>48</v>
      </c>
    </row>
    <row r="32780">
      <c r="H32780" s="50"/>
      <c r="I32780" s="50"/>
      <c r="O32780" s="36" t="s">
        <v>48</v>
      </c>
      <c r="R32780" s="36" t="s">
        <v>48</v>
      </c>
    </row>
    <row r="32781">
      <c r="H32781" s="50"/>
      <c r="I32781" s="50"/>
      <c r="O32781" s="36" t="s">
        <v>48</v>
      </c>
      <c r="R32781" s="36" t="s">
        <v>48</v>
      </c>
    </row>
    <row r="32782">
      <c r="H32782" s="50"/>
      <c r="I32782" s="50"/>
      <c r="O32782" s="36" t="s">
        <v>48</v>
      </c>
      <c r="R32782" s="36" t="s">
        <v>48</v>
      </c>
    </row>
    <row r="32783">
      <c r="H32783" s="50"/>
      <c r="I32783" s="50"/>
      <c r="O32783" s="36" t="s">
        <v>48</v>
      </c>
      <c r="R32783" s="36" t="s">
        <v>48</v>
      </c>
    </row>
    <row r="32784">
      <c r="H32784" s="50"/>
      <c r="I32784" s="50"/>
      <c r="O32784" s="36" t="s">
        <v>48</v>
      </c>
      <c r="R32784" s="36" t="s">
        <v>48</v>
      </c>
    </row>
    <row r="32785">
      <c r="H32785" s="50"/>
      <c r="I32785" s="50"/>
      <c r="O32785" s="36" t="s">
        <v>48</v>
      </c>
      <c r="R32785" s="36" t="s">
        <v>48</v>
      </c>
    </row>
    <row r="32786">
      <c r="H32786" s="50"/>
      <c r="I32786" s="50"/>
      <c r="O32786" s="36" t="s">
        <v>48</v>
      </c>
      <c r="R32786" s="36" t="s">
        <v>48</v>
      </c>
    </row>
    <row r="32787">
      <c r="H32787" s="50"/>
      <c r="I32787" s="50"/>
      <c r="O32787" s="36" t="s">
        <v>48</v>
      </c>
      <c r="R32787" s="36" t="s">
        <v>48</v>
      </c>
    </row>
    <row r="32788">
      <c r="H32788" s="50"/>
      <c r="I32788" s="50"/>
      <c r="O32788" s="36" t="s">
        <v>48</v>
      </c>
      <c r="R32788" s="36" t="s">
        <v>48</v>
      </c>
    </row>
    <row r="32789">
      <c r="H32789" s="50"/>
      <c r="I32789" s="50"/>
      <c r="O32789" s="36" t="s">
        <v>48</v>
      </c>
      <c r="R32789" s="36" t="s">
        <v>48</v>
      </c>
    </row>
    <row r="32790">
      <c r="H32790" s="50"/>
      <c r="I32790" s="50"/>
      <c r="O32790" s="36" t="s">
        <v>48</v>
      </c>
      <c r="R32790" s="36" t="s">
        <v>48</v>
      </c>
    </row>
    <row r="32791">
      <c r="H32791" s="50"/>
      <c r="I32791" s="50"/>
      <c r="O32791" s="36" t="s">
        <v>48</v>
      </c>
      <c r="R32791" s="36" t="s">
        <v>48</v>
      </c>
    </row>
    <row r="32792">
      <c r="H32792" s="50"/>
      <c r="I32792" s="50"/>
      <c r="O32792" s="36" t="s">
        <v>48</v>
      </c>
      <c r="R32792" s="36" t="s">
        <v>48</v>
      </c>
    </row>
    <row r="32793">
      <c r="H32793" s="50"/>
      <c r="I32793" s="50"/>
      <c r="O32793" s="36" t="s">
        <v>48</v>
      </c>
      <c r="R32793" s="36" t="s">
        <v>48</v>
      </c>
    </row>
    <row r="32794">
      <c r="H32794" s="50"/>
      <c r="I32794" s="50"/>
      <c r="O32794" s="36" t="s">
        <v>48</v>
      </c>
      <c r="R32794" s="36" t="s">
        <v>48</v>
      </c>
    </row>
    <row r="32795">
      <c r="H32795" s="50"/>
      <c r="I32795" s="50"/>
      <c r="O32795" s="36" t="s">
        <v>48</v>
      </c>
      <c r="R32795" s="36" t="s">
        <v>48</v>
      </c>
    </row>
    <row r="32796">
      <c r="H32796" s="50"/>
      <c r="I32796" s="50"/>
      <c r="O32796" s="36" t="s">
        <v>48</v>
      </c>
      <c r="R32796" s="36" t="s">
        <v>48</v>
      </c>
    </row>
    <row r="32797">
      <c r="H32797" s="50"/>
      <c r="I32797" s="50"/>
      <c r="O32797" s="36" t="s">
        <v>48</v>
      </c>
      <c r="R32797" s="36" t="s">
        <v>48</v>
      </c>
    </row>
    <row r="32798">
      <c r="H32798" s="50"/>
      <c r="I32798" s="50"/>
      <c r="O32798" s="36" t="s">
        <v>48</v>
      </c>
      <c r="R32798" s="36" t="s">
        <v>48</v>
      </c>
    </row>
    <row r="32799">
      <c r="H32799" s="50"/>
      <c r="I32799" s="50"/>
      <c r="O32799" s="36" t="s">
        <v>48</v>
      </c>
      <c r="R32799" s="36" t="s">
        <v>48</v>
      </c>
    </row>
    <row r="32800">
      <c r="H32800" s="50"/>
      <c r="I32800" s="50"/>
      <c r="O32800" s="36" t="s">
        <v>48</v>
      </c>
      <c r="R32800" s="36" t="s">
        <v>48</v>
      </c>
    </row>
    <row r="32801">
      <c r="H32801" s="50"/>
      <c r="I32801" s="50"/>
      <c r="O32801" s="36" t="s">
        <v>48</v>
      </c>
      <c r="R32801" s="36" t="s">
        <v>48</v>
      </c>
    </row>
    <row r="32802">
      <c r="H32802" s="50"/>
      <c r="I32802" s="50"/>
      <c r="O32802" s="36" t="s">
        <v>48</v>
      </c>
      <c r="R32802" s="36" t="s">
        <v>48</v>
      </c>
    </row>
    <row r="32803">
      <c r="H32803" s="50"/>
      <c r="I32803" s="50"/>
      <c r="O32803" s="36" t="s">
        <v>48</v>
      </c>
      <c r="R32803" s="36" t="s">
        <v>48</v>
      </c>
    </row>
    <row r="32804">
      <c r="H32804" s="50"/>
      <c r="I32804" s="50"/>
      <c r="O32804" s="36" t="s">
        <v>48</v>
      </c>
      <c r="R32804" s="36" t="s">
        <v>48</v>
      </c>
    </row>
    <row r="32805">
      <c r="H32805" s="50"/>
      <c r="I32805" s="50"/>
      <c r="O32805" s="36" t="s">
        <v>48</v>
      </c>
      <c r="R32805" s="36" t="s">
        <v>48</v>
      </c>
    </row>
    <row r="32806">
      <c r="H32806" s="50"/>
      <c r="I32806" s="50"/>
      <c r="O32806" s="36" t="s">
        <v>48</v>
      </c>
      <c r="R32806" s="36" t="s">
        <v>48</v>
      </c>
    </row>
    <row r="32807">
      <c r="H32807" s="50"/>
      <c r="I32807" s="50"/>
      <c r="O32807" s="36" t="s">
        <v>48</v>
      </c>
      <c r="R32807" s="36" t="s">
        <v>48</v>
      </c>
    </row>
    <row r="32808">
      <c r="H32808" s="50"/>
      <c r="I32808" s="50"/>
      <c r="O32808" s="36" t="s">
        <v>48</v>
      </c>
      <c r="R32808" s="36" t="s">
        <v>48</v>
      </c>
    </row>
    <row r="32809">
      <c r="H32809" s="50"/>
      <c r="I32809" s="50"/>
      <c r="O32809" s="36" t="s">
        <v>48</v>
      </c>
      <c r="R32809" s="36" t="s">
        <v>48</v>
      </c>
    </row>
    <row r="32810">
      <c r="H32810" s="50"/>
      <c r="I32810" s="50"/>
      <c r="O32810" s="36" t="s">
        <v>48</v>
      </c>
      <c r="R32810" s="36" t="s">
        <v>48</v>
      </c>
    </row>
    <row r="32811">
      <c r="H32811" s="50"/>
      <c r="I32811" s="50"/>
      <c r="O32811" s="36" t="s">
        <v>48</v>
      </c>
      <c r="R32811" s="36" t="s">
        <v>48</v>
      </c>
    </row>
    <row r="32812">
      <c r="H32812" s="50"/>
      <c r="I32812" s="50"/>
      <c r="O32812" s="36" t="s">
        <v>48</v>
      </c>
      <c r="R32812" s="36" t="s">
        <v>48</v>
      </c>
    </row>
    <row r="32813">
      <c r="H32813" s="50"/>
      <c r="I32813" s="50"/>
      <c r="O32813" s="36" t="s">
        <v>48</v>
      </c>
      <c r="R32813" s="36" t="s">
        <v>48</v>
      </c>
    </row>
    <row r="32814">
      <c r="H32814" s="50"/>
      <c r="I32814" s="50"/>
      <c r="O32814" s="36" t="s">
        <v>48</v>
      </c>
      <c r="R32814" s="36" t="s">
        <v>48</v>
      </c>
    </row>
    <row r="32815">
      <c r="H32815" s="50"/>
      <c r="I32815" s="50"/>
      <c r="O32815" s="36" t="s">
        <v>48</v>
      </c>
      <c r="R32815" s="36" t="s">
        <v>48</v>
      </c>
    </row>
    <row r="32816">
      <c r="H32816" s="50"/>
      <c r="I32816" s="50"/>
      <c r="O32816" s="36" t="s">
        <v>48</v>
      </c>
      <c r="R32816" s="36" t="s">
        <v>48</v>
      </c>
    </row>
    <row r="32817">
      <c r="H32817" s="50"/>
      <c r="I32817" s="50"/>
      <c r="O32817" s="36" t="s">
        <v>48</v>
      </c>
      <c r="R32817" s="36" t="s">
        <v>48</v>
      </c>
    </row>
    <row r="32818">
      <c r="H32818" s="50"/>
      <c r="I32818" s="50"/>
      <c r="O32818" s="36" t="s">
        <v>48</v>
      </c>
      <c r="R32818" s="36" t="s">
        <v>48</v>
      </c>
    </row>
    <row r="32819">
      <c r="H32819" s="50"/>
      <c r="I32819" s="50"/>
      <c r="O32819" s="36" t="s">
        <v>48</v>
      </c>
      <c r="R32819" s="36" t="s">
        <v>48</v>
      </c>
    </row>
    <row r="32820">
      <c r="H32820" s="50"/>
      <c r="I32820" s="50"/>
      <c r="O32820" s="36" t="s">
        <v>48</v>
      </c>
      <c r="R32820" s="36" t="s">
        <v>48</v>
      </c>
    </row>
    <row r="32821">
      <c r="H32821" s="50"/>
      <c r="I32821" s="50"/>
      <c r="O32821" s="36" t="s">
        <v>48</v>
      </c>
      <c r="R32821" s="36" t="s">
        <v>48</v>
      </c>
    </row>
    <row r="32822">
      <c r="H32822" s="50"/>
      <c r="I32822" s="50"/>
      <c r="O32822" s="36" t="s">
        <v>48</v>
      </c>
      <c r="R32822" s="36" t="s">
        <v>48</v>
      </c>
    </row>
    <row r="32823">
      <c r="H32823" s="50"/>
      <c r="I32823" s="50"/>
      <c r="O32823" s="36" t="s">
        <v>48</v>
      </c>
      <c r="R32823" s="36" t="s">
        <v>48</v>
      </c>
    </row>
    <row r="32824">
      <c r="H32824" s="50"/>
      <c r="I32824" s="50"/>
      <c r="O32824" s="36" t="s">
        <v>48</v>
      </c>
      <c r="R32824" s="36" t="s">
        <v>48</v>
      </c>
    </row>
    <row r="32825">
      <c r="H32825" s="50"/>
      <c r="I32825" s="50"/>
      <c r="O32825" s="36" t="s">
        <v>48</v>
      </c>
      <c r="R32825" s="36" t="s">
        <v>48</v>
      </c>
    </row>
    <row r="32826">
      <c r="H32826" s="50"/>
      <c r="I32826" s="50"/>
      <c r="O32826" s="36" t="s">
        <v>48</v>
      </c>
      <c r="R32826" s="36" t="s">
        <v>48</v>
      </c>
    </row>
    <row r="32827">
      <c r="H32827" s="50"/>
      <c r="I32827" s="50"/>
      <c r="O32827" s="36" t="s">
        <v>48</v>
      </c>
      <c r="R32827" s="36" t="s">
        <v>48</v>
      </c>
    </row>
    <row r="32828">
      <c r="H32828" s="50"/>
      <c r="I32828" s="50"/>
      <c r="O32828" s="36" t="s">
        <v>48</v>
      </c>
      <c r="R32828" s="36" t="s">
        <v>48</v>
      </c>
    </row>
    <row r="32829">
      <c r="H32829" s="50"/>
      <c r="I32829" s="50"/>
      <c r="O32829" s="36" t="s">
        <v>48</v>
      </c>
      <c r="R32829" s="36" t="s">
        <v>48</v>
      </c>
    </row>
    <row r="32830">
      <c r="H32830" s="50"/>
      <c r="I32830" s="50"/>
      <c r="O32830" s="36" t="s">
        <v>48</v>
      </c>
      <c r="R32830" s="36" t="s">
        <v>48</v>
      </c>
    </row>
    <row r="32831">
      <c r="H32831" s="50"/>
      <c r="I32831" s="50"/>
      <c r="O32831" s="36" t="s">
        <v>48</v>
      </c>
      <c r="R32831" s="36" t="s">
        <v>48</v>
      </c>
    </row>
    <row r="32832">
      <c r="H32832" s="50"/>
      <c r="I32832" s="50"/>
      <c r="O32832" s="36" t="s">
        <v>48</v>
      </c>
      <c r="R32832" s="36" t="s">
        <v>48</v>
      </c>
    </row>
    <row r="32833">
      <c r="H32833" s="50"/>
      <c r="I32833" s="50"/>
      <c r="O32833" s="36" t="s">
        <v>48</v>
      </c>
      <c r="R32833" s="36" t="s">
        <v>48</v>
      </c>
    </row>
    <row r="32834">
      <c r="H32834" s="50"/>
      <c r="I32834" s="50"/>
      <c r="O32834" s="36" t="s">
        <v>48</v>
      </c>
      <c r="R32834" s="36" t="s">
        <v>48</v>
      </c>
    </row>
    <row r="32835">
      <c r="H32835" s="50"/>
      <c r="I32835" s="50"/>
      <c r="O32835" s="36" t="s">
        <v>48</v>
      </c>
      <c r="R32835" s="36" t="s">
        <v>48</v>
      </c>
    </row>
    <row r="32836">
      <c r="H32836" s="50"/>
      <c r="I32836" s="50"/>
      <c r="O32836" s="36" t="s">
        <v>48</v>
      </c>
      <c r="R32836" s="36" t="s">
        <v>48</v>
      </c>
    </row>
    <row r="32837">
      <c r="H32837" s="50"/>
      <c r="I32837" s="50"/>
      <c r="O32837" s="36" t="s">
        <v>48</v>
      </c>
      <c r="R32837" s="36" t="s">
        <v>48</v>
      </c>
    </row>
    <row r="32838">
      <c r="H32838" s="50"/>
      <c r="I32838" s="50"/>
      <c r="O32838" s="36" t="s">
        <v>48</v>
      </c>
      <c r="R32838" s="36" t="s">
        <v>48</v>
      </c>
    </row>
    <row r="32839">
      <c r="H32839" s="50"/>
      <c r="I32839" s="50"/>
      <c r="O32839" s="36" t="s">
        <v>48</v>
      </c>
      <c r="R32839" s="36" t="s">
        <v>48</v>
      </c>
    </row>
    <row r="32840">
      <c r="H32840" s="50"/>
      <c r="I32840" s="50"/>
      <c r="O32840" s="36" t="s">
        <v>48</v>
      </c>
      <c r="R32840" s="36" t="s">
        <v>48</v>
      </c>
    </row>
    <row r="32841">
      <c r="H32841" s="50"/>
      <c r="I32841" s="50"/>
      <c r="O32841" s="36" t="s">
        <v>48</v>
      </c>
      <c r="R32841" s="36" t="s">
        <v>48</v>
      </c>
    </row>
    <row r="32842">
      <c r="H32842" s="50"/>
      <c r="I32842" s="50"/>
      <c r="O32842" s="36" t="s">
        <v>48</v>
      </c>
      <c r="R32842" s="36" t="s">
        <v>48</v>
      </c>
    </row>
    <row r="32843">
      <c r="H32843" s="50"/>
      <c r="I32843" s="50"/>
      <c r="O32843" s="36" t="s">
        <v>48</v>
      </c>
      <c r="R32843" s="36" t="s">
        <v>48</v>
      </c>
    </row>
    <row r="32844">
      <c r="H32844" s="50"/>
      <c r="I32844" s="50"/>
      <c r="O32844" s="36" t="s">
        <v>48</v>
      </c>
      <c r="R32844" s="36" t="s">
        <v>48</v>
      </c>
    </row>
    <row r="32845">
      <c r="H32845" s="50"/>
      <c r="I32845" s="50"/>
      <c r="O32845" s="36" t="s">
        <v>48</v>
      </c>
      <c r="R32845" s="36" t="s">
        <v>48</v>
      </c>
    </row>
    <row r="32846">
      <c r="H32846" s="50"/>
      <c r="I32846" s="50"/>
      <c r="O32846" s="36" t="s">
        <v>48</v>
      </c>
      <c r="R32846" s="36" t="s">
        <v>48</v>
      </c>
    </row>
    <row r="32847">
      <c r="H32847" s="50"/>
      <c r="I32847" s="50"/>
      <c r="O32847" s="36" t="s">
        <v>48</v>
      </c>
      <c r="R32847" s="36" t="s">
        <v>48</v>
      </c>
    </row>
    <row r="32848">
      <c r="H32848" s="50"/>
      <c r="I32848" s="50"/>
      <c r="O32848" s="36" t="s">
        <v>48</v>
      </c>
      <c r="R32848" s="36" t="s">
        <v>48</v>
      </c>
    </row>
    <row r="32849">
      <c r="H32849" s="50"/>
      <c r="I32849" s="50"/>
      <c r="O32849" s="36" t="s">
        <v>48</v>
      </c>
      <c r="R32849" s="36" t="s">
        <v>48</v>
      </c>
    </row>
    <row r="32850">
      <c r="H32850" s="50"/>
      <c r="I32850" s="50"/>
      <c r="O32850" s="36" t="s">
        <v>48</v>
      </c>
      <c r="R32850" s="36" t="s">
        <v>48</v>
      </c>
    </row>
    <row r="32851">
      <c r="H32851" s="50"/>
      <c r="I32851" s="50"/>
      <c r="O32851" s="36" t="s">
        <v>48</v>
      </c>
      <c r="R32851" s="36" t="s">
        <v>48</v>
      </c>
    </row>
    <row r="32852">
      <c r="H32852" s="50"/>
      <c r="I32852" s="50"/>
      <c r="O32852" s="36" t="s">
        <v>48</v>
      </c>
      <c r="R32852" s="36" t="s">
        <v>48</v>
      </c>
    </row>
    <row r="32853">
      <c r="H32853" s="50"/>
      <c r="I32853" s="50"/>
      <c r="O32853" s="36" t="s">
        <v>48</v>
      </c>
      <c r="R32853" s="36" t="s">
        <v>48</v>
      </c>
    </row>
    <row r="32854">
      <c r="H32854" s="50"/>
      <c r="I32854" s="50"/>
      <c r="O32854" s="36" t="s">
        <v>48</v>
      </c>
      <c r="R32854" s="36" t="s">
        <v>48</v>
      </c>
    </row>
    <row r="32855">
      <c r="H32855" s="50"/>
      <c r="I32855" s="50"/>
      <c r="O32855" s="36" t="s">
        <v>48</v>
      </c>
      <c r="R32855" s="36" t="s">
        <v>48</v>
      </c>
    </row>
    <row r="32856">
      <c r="H32856" s="50"/>
      <c r="I32856" s="50"/>
      <c r="O32856" s="36" t="s">
        <v>48</v>
      </c>
      <c r="R32856" s="36" t="s">
        <v>48</v>
      </c>
    </row>
    <row r="32857">
      <c r="H32857" s="50"/>
      <c r="I32857" s="50"/>
      <c r="O32857" s="36" t="s">
        <v>48</v>
      </c>
      <c r="R32857" s="36" t="s">
        <v>48</v>
      </c>
    </row>
    <row r="32858">
      <c r="H32858" s="50"/>
      <c r="I32858" s="50"/>
      <c r="O32858" s="36" t="s">
        <v>48</v>
      </c>
      <c r="R32858" s="36" t="s">
        <v>48</v>
      </c>
    </row>
    <row r="32859">
      <c r="H32859" s="50"/>
      <c r="I32859" s="50"/>
      <c r="O32859" s="36" t="s">
        <v>48</v>
      </c>
      <c r="R32859" s="36" t="s">
        <v>48</v>
      </c>
    </row>
    <row r="32860">
      <c r="H32860" s="50"/>
      <c r="I32860" s="50"/>
      <c r="O32860" s="36" t="s">
        <v>48</v>
      </c>
      <c r="R32860" s="36" t="s">
        <v>48</v>
      </c>
    </row>
    <row r="32861">
      <c r="H32861" s="50"/>
      <c r="I32861" s="50"/>
      <c r="O32861" s="36" t="s">
        <v>48</v>
      </c>
      <c r="R32861" s="36" t="s">
        <v>48</v>
      </c>
    </row>
    <row r="32862">
      <c r="H32862" s="50"/>
      <c r="I32862" s="50"/>
      <c r="O32862" s="36" t="s">
        <v>48</v>
      </c>
      <c r="R32862" s="36" t="s">
        <v>48</v>
      </c>
    </row>
    <row r="32863">
      <c r="H32863" s="50"/>
      <c r="I32863" s="50"/>
      <c r="O32863" s="36" t="s">
        <v>48</v>
      </c>
      <c r="R32863" s="36" t="s">
        <v>48</v>
      </c>
    </row>
    <row r="32864">
      <c r="H32864" s="50"/>
      <c r="I32864" s="50"/>
      <c r="O32864" s="36" t="s">
        <v>48</v>
      </c>
      <c r="R32864" s="36" t="s">
        <v>48</v>
      </c>
    </row>
    <row r="32865">
      <c r="H32865" s="50"/>
      <c r="I32865" s="50"/>
      <c r="O32865" s="36" t="s">
        <v>48</v>
      </c>
      <c r="R32865" s="36" t="s">
        <v>48</v>
      </c>
    </row>
    <row r="32866">
      <c r="H32866" s="50"/>
      <c r="I32866" s="50"/>
      <c r="O32866" s="36" t="s">
        <v>48</v>
      </c>
      <c r="R32866" s="36" t="s">
        <v>48</v>
      </c>
    </row>
    <row r="32867">
      <c r="H32867" s="50"/>
      <c r="I32867" s="50"/>
      <c r="O32867" s="36" t="s">
        <v>48</v>
      </c>
      <c r="R32867" s="36" t="s">
        <v>48</v>
      </c>
    </row>
    <row r="32868">
      <c r="H32868" s="50"/>
      <c r="I32868" s="50"/>
      <c r="O32868" s="36" t="s">
        <v>48</v>
      </c>
      <c r="R32868" s="36" t="s">
        <v>48</v>
      </c>
    </row>
    <row r="32869">
      <c r="H32869" s="50"/>
      <c r="I32869" s="50"/>
      <c r="O32869" s="36" t="s">
        <v>48</v>
      </c>
      <c r="R32869" s="36" t="s">
        <v>48</v>
      </c>
    </row>
    <row r="32870">
      <c r="H32870" s="50"/>
      <c r="I32870" s="50"/>
      <c r="O32870" s="36" t="s">
        <v>48</v>
      </c>
      <c r="R32870" s="36" t="s">
        <v>48</v>
      </c>
    </row>
    <row r="32871">
      <c r="H32871" s="50"/>
      <c r="I32871" s="50"/>
      <c r="O32871" s="36" t="s">
        <v>48</v>
      </c>
      <c r="R32871" s="36" t="s">
        <v>48</v>
      </c>
    </row>
    <row r="32872">
      <c r="H32872" s="50"/>
      <c r="I32872" s="50"/>
      <c r="O32872" s="36" t="s">
        <v>48</v>
      </c>
      <c r="R32872" s="36" t="s">
        <v>48</v>
      </c>
    </row>
    <row r="32873">
      <c r="H32873" s="50"/>
      <c r="I32873" s="50"/>
      <c r="O32873" s="36" t="s">
        <v>48</v>
      </c>
      <c r="R32873" s="36" t="s">
        <v>48</v>
      </c>
    </row>
    <row r="32874">
      <c r="H32874" s="50"/>
      <c r="I32874" s="50"/>
      <c r="O32874" s="36" t="s">
        <v>48</v>
      </c>
      <c r="R32874" s="36" t="s">
        <v>48</v>
      </c>
    </row>
    <row r="32875">
      <c r="H32875" s="50"/>
      <c r="I32875" s="50"/>
      <c r="O32875" s="36" t="s">
        <v>48</v>
      </c>
      <c r="R32875" s="36" t="s">
        <v>48</v>
      </c>
    </row>
    <row r="32876">
      <c r="H32876" s="50"/>
      <c r="I32876" s="50"/>
      <c r="O32876" s="36" t="s">
        <v>48</v>
      </c>
      <c r="R32876" s="36" t="s">
        <v>48</v>
      </c>
    </row>
    <row r="32877">
      <c r="H32877" s="50"/>
      <c r="I32877" s="50"/>
      <c r="O32877" s="36" t="s">
        <v>48</v>
      </c>
      <c r="R32877" s="36" t="s">
        <v>48</v>
      </c>
    </row>
    <row r="32878">
      <c r="H32878" s="50"/>
      <c r="I32878" s="50"/>
      <c r="O32878" s="36" t="s">
        <v>48</v>
      </c>
      <c r="R32878" s="36" t="s">
        <v>48</v>
      </c>
    </row>
    <row r="32879">
      <c r="H32879" s="50"/>
      <c r="I32879" s="50"/>
      <c r="O32879" s="36" t="s">
        <v>48</v>
      </c>
      <c r="R32879" s="36" t="s">
        <v>48</v>
      </c>
    </row>
    <row r="32880">
      <c r="H32880" s="50"/>
      <c r="I32880" s="50"/>
      <c r="O32880" s="36" t="s">
        <v>48</v>
      </c>
      <c r="R32880" s="36" t="s">
        <v>48</v>
      </c>
    </row>
    <row r="32881">
      <c r="H32881" s="50"/>
      <c r="I32881" s="50"/>
      <c r="O32881" s="36" t="s">
        <v>48</v>
      </c>
      <c r="R32881" s="36" t="s">
        <v>48</v>
      </c>
    </row>
    <row r="32882">
      <c r="H32882" s="50"/>
      <c r="I32882" s="50"/>
      <c r="O32882" s="36" t="s">
        <v>48</v>
      </c>
      <c r="R32882" s="36" t="s">
        <v>48</v>
      </c>
    </row>
    <row r="32883">
      <c r="H32883" s="50"/>
      <c r="I32883" s="50"/>
      <c r="O32883" s="36" t="s">
        <v>48</v>
      </c>
      <c r="R32883" s="36" t="s">
        <v>48</v>
      </c>
    </row>
    <row r="32884">
      <c r="H32884" s="50"/>
      <c r="I32884" s="50"/>
      <c r="O32884" s="36" t="s">
        <v>48</v>
      </c>
      <c r="R32884" s="36" t="s">
        <v>48</v>
      </c>
    </row>
    <row r="32885">
      <c r="H32885" s="50"/>
      <c r="I32885" s="50"/>
      <c r="O32885" s="36" t="s">
        <v>48</v>
      </c>
      <c r="R32885" s="36" t="s">
        <v>48</v>
      </c>
    </row>
    <row r="32886">
      <c r="H32886" s="50"/>
      <c r="I32886" s="50"/>
      <c r="O32886" s="36" t="s">
        <v>48</v>
      </c>
      <c r="R32886" s="36" t="s">
        <v>48</v>
      </c>
    </row>
    <row r="32887">
      <c r="H32887" s="50"/>
      <c r="I32887" s="50"/>
      <c r="O32887" s="36" t="s">
        <v>48</v>
      </c>
      <c r="R32887" s="36" t="s">
        <v>48</v>
      </c>
    </row>
    <row r="32888">
      <c r="H32888" s="50"/>
      <c r="I32888" s="50"/>
      <c r="O32888" s="36" t="s">
        <v>48</v>
      </c>
      <c r="R32888" s="36" t="s">
        <v>48</v>
      </c>
    </row>
    <row r="32889">
      <c r="H32889" s="50"/>
      <c r="I32889" s="50"/>
      <c r="O32889" s="36" t="s">
        <v>48</v>
      </c>
      <c r="R32889" s="36" t="s">
        <v>48</v>
      </c>
    </row>
    <row r="32890">
      <c r="H32890" s="50"/>
      <c r="I32890" s="50"/>
      <c r="O32890" s="36" t="s">
        <v>48</v>
      </c>
      <c r="R32890" s="36" t="s">
        <v>48</v>
      </c>
    </row>
    <row r="32891">
      <c r="H32891" s="50"/>
      <c r="I32891" s="50"/>
      <c r="O32891" s="36" t="s">
        <v>48</v>
      </c>
      <c r="R32891" s="36" t="s">
        <v>48</v>
      </c>
    </row>
    <row r="32892">
      <c r="H32892" s="50"/>
      <c r="I32892" s="50"/>
      <c r="O32892" s="36" t="s">
        <v>48</v>
      </c>
      <c r="R32892" s="36" t="s">
        <v>48</v>
      </c>
    </row>
    <row r="32893">
      <c r="H32893" s="50"/>
      <c r="I32893" s="50"/>
      <c r="O32893" s="36" t="s">
        <v>48</v>
      </c>
      <c r="R32893" s="36" t="s">
        <v>48</v>
      </c>
    </row>
    <row r="32894">
      <c r="H32894" s="50"/>
      <c r="I32894" s="50"/>
      <c r="O32894" s="36" t="s">
        <v>48</v>
      </c>
      <c r="R32894" s="36" t="s">
        <v>48</v>
      </c>
    </row>
    <row r="32895">
      <c r="H32895" s="50"/>
      <c r="I32895" s="50"/>
      <c r="O32895" s="36" t="s">
        <v>48</v>
      </c>
      <c r="R32895" s="36" t="s">
        <v>48</v>
      </c>
    </row>
    <row r="32896">
      <c r="H32896" s="50"/>
      <c r="I32896" s="50"/>
      <c r="O32896" s="36" t="s">
        <v>48</v>
      </c>
      <c r="R32896" s="36" t="s">
        <v>48</v>
      </c>
    </row>
    <row r="32897">
      <c r="H32897" s="50"/>
      <c r="I32897" s="50"/>
      <c r="O32897" s="36" t="s">
        <v>48</v>
      </c>
      <c r="R32897" s="36" t="s">
        <v>48</v>
      </c>
    </row>
    <row r="32898">
      <c r="H32898" s="50"/>
      <c r="I32898" s="50"/>
      <c r="O32898" s="36" t="s">
        <v>48</v>
      </c>
      <c r="R32898" s="36" t="s">
        <v>48</v>
      </c>
    </row>
    <row r="32899">
      <c r="H32899" s="50"/>
      <c r="I32899" s="50"/>
      <c r="O32899" s="36" t="s">
        <v>48</v>
      </c>
      <c r="R32899" s="36" t="s">
        <v>48</v>
      </c>
    </row>
    <row r="32900">
      <c r="H32900" s="50"/>
      <c r="I32900" s="50"/>
      <c r="O32900" s="36" t="s">
        <v>48</v>
      </c>
      <c r="R32900" s="36" t="s">
        <v>48</v>
      </c>
    </row>
    <row r="32901">
      <c r="H32901" s="50"/>
      <c r="I32901" s="50"/>
      <c r="O32901" s="36" t="s">
        <v>48</v>
      </c>
      <c r="R32901" s="36" t="s">
        <v>48</v>
      </c>
    </row>
    <row r="32902">
      <c r="H32902" s="50"/>
      <c r="I32902" s="50"/>
      <c r="O32902" s="36" t="s">
        <v>48</v>
      </c>
      <c r="R32902" s="36" t="s">
        <v>48</v>
      </c>
    </row>
    <row r="32903">
      <c r="H32903" s="50"/>
      <c r="I32903" s="50"/>
      <c r="O32903" s="36" t="s">
        <v>48</v>
      </c>
      <c r="R32903" s="36" t="s">
        <v>48</v>
      </c>
    </row>
    <row r="32904">
      <c r="H32904" s="50"/>
      <c r="I32904" s="50"/>
      <c r="O32904" s="36" t="s">
        <v>48</v>
      </c>
      <c r="R32904" s="36" t="s">
        <v>48</v>
      </c>
    </row>
    <row r="32905">
      <c r="H32905" s="50"/>
      <c r="I32905" s="50"/>
      <c r="O32905" s="36" t="s">
        <v>48</v>
      </c>
      <c r="R32905" s="36" t="s">
        <v>48</v>
      </c>
    </row>
    <row r="32906">
      <c r="H32906" s="50"/>
      <c r="I32906" s="50"/>
      <c r="O32906" s="36" t="s">
        <v>48</v>
      </c>
      <c r="R32906" s="36" t="s">
        <v>48</v>
      </c>
    </row>
    <row r="32907">
      <c r="H32907" s="50"/>
      <c r="I32907" s="50"/>
      <c r="O32907" s="36" t="s">
        <v>48</v>
      </c>
      <c r="R32907" s="36" t="s">
        <v>48</v>
      </c>
    </row>
    <row r="32908">
      <c r="H32908" s="50"/>
      <c r="I32908" s="50"/>
      <c r="O32908" s="36" t="s">
        <v>48</v>
      </c>
      <c r="R32908" s="36" t="s">
        <v>48</v>
      </c>
    </row>
    <row r="32909">
      <c r="H32909" s="50"/>
      <c r="I32909" s="50"/>
      <c r="O32909" s="36" t="s">
        <v>48</v>
      </c>
      <c r="R32909" s="36" t="s">
        <v>48</v>
      </c>
    </row>
    <row r="32910">
      <c r="H32910" s="50"/>
      <c r="I32910" s="50"/>
      <c r="O32910" s="36" t="s">
        <v>48</v>
      </c>
      <c r="R32910" s="36" t="s">
        <v>48</v>
      </c>
    </row>
    <row r="32911">
      <c r="H32911" s="50"/>
      <c r="I32911" s="50"/>
      <c r="O32911" s="36" t="s">
        <v>48</v>
      </c>
      <c r="R32911" s="36" t="s">
        <v>48</v>
      </c>
    </row>
    <row r="32912">
      <c r="H32912" s="50"/>
      <c r="I32912" s="50"/>
      <c r="O32912" s="36" t="s">
        <v>48</v>
      </c>
      <c r="R32912" s="36" t="s">
        <v>48</v>
      </c>
    </row>
    <row r="32913">
      <c r="H32913" s="50"/>
      <c r="I32913" s="50"/>
      <c r="O32913" s="36" t="s">
        <v>48</v>
      </c>
      <c r="R32913" s="36" t="s">
        <v>48</v>
      </c>
    </row>
    <row r="32914">
      <c r="H32914" s="50"/>
      <c r="I32914" s="50"/>
      <c r="O32914" s="36" t="s">
        <v>48</v>
      </c>
      <c r="R32914" s="36" t="s">
        <v>48</v>
      </c>
    </row>
    <row r="32915">
      <c r="H32915" s="50"/>
      <c r="I32915" s="50"/>
      <c r="O32915" s="36" t="s">
        <v>48</v>
      </c>
      <c r="R32915" s="36" t="s">
        <v>48</v>
      </c>
    </row>
    <row r="32916">
      <c r="H32916" s="50"/>
      <c r="I32916" s="50"/>
      <c r="O32916" s="36" t="s">
        <v>48</v>
      </c>
      <c r="R32916" s="36" t="s">
        <v>48</v>
      </c>
    </row>
    <row r="32917">
      <c r="H32917" s="50"/>
      <c r="I32917" s="50"/>
      <c r="O32917" s="36" t="s">
        <v>48</v>
      </c>
      <c r="R32917" s="36" t="s">
        <v>48</v>
      </c>
    </row>
    <row r="32918">
      <c r="H32918" s="50"/>
      <c r="I32918" s="50"/>
      <c r="O32918" s="36" t="s">
        <v>48</v>
      </c>
      <c r="R32918" s="36" t="s">
        <v>48</v>
      </c>
    </row>
    <row r="32919">
      <c r="H32919" s="50"/>
      <c r="I32919" s="50"/>
      <c r="O32919" s="36" t="s">
        <v>48</v>
      </c>
      <c r="R32919" s="36" t="s">
        <v>48</v>
      </c>
    </row>
    <row r="32920">
      <c r="H32920" s="50"/>
      <c r="I32920" s="50"/>
      <c r="O32920" s="36" t="s">
        <v>48</v>
      </c>
      <c r="R32920" s="36" t="s">
        <v>48</v>
      </c>
    </row>
    <row r="32921">
      <c r="H32921" s="50"/>
      <c r="I32921" s="50"/>
      <c r="O32921" s="36" t="s">
        <v>48</v>
      </c>
      <c r="R32921" s="36" t="s">
        <v>48</v>
      </c>
    </row>
    <row r="32922">
      <c r="H32922" s="50"/>
      <c r="I32922" s="50"/>
      <c r="O32922" s="36" t="s">
        <v>48</v>
      </c>
      <c r="R32922" s="36" t="s">
        <v>48</v>
      </c>
    </row>
    <row r="32923">
      <c r="H32923" s="50"/>
      <c r="I32923" s="50"/>
      <c r="O32923" s="36" t="s">
        <v>48</v>
      </c>
      <c r="R32923" s="36" t="s">
        <v>48</v>
      </c>
    </row>
    <row r="32924">
      <c r="H32924" s="50"/>
      <c r="I32924" s="50"/>
      <c r="O32924" s="36" t="s">
        <v>48</v>
      </c>
      <c r="R32924" s="36" t="s">
        <v>48</v>
      </c>
    </row>
    <row r="32925">
      <c r="H32925" s="50"/>
      <c r="I32925" s="50"/>
      <c r="O32925" s="36" t="s">
        <v>48</v>
      </c>
      <c r="R32925" s="36" t="s">
        <v>48</v>
      </c>
    </row>
    <row r="32926">
      <c r="H32926" s="50"/>
      <c r="I32926" s="50"/>
      <c r="O32926" s="36" t="s">
        <v>48</v>
      </c>
      <c r="R32926" s="36" t="s">
        <v>48</v>
      </c>
    </row>
    <row r="32927">
      <c r="H32927" s="50"/>
      <c r="I32927" s="50"/>
      <c r="O32927" s="36" t="s">
        <v>48</v>
      </c>
      <c r="R32927" s="36" t="s">
        <v>48</v>
      </c>
    </row>
    <row r="32928">
      <c r="H32928" s="50"/>
      <c r="I32928" s="50"/>
      <c r="O32928" s="36" t="s">
        <v>48</v>
      </c>
      <c r="R32928" s="36" t="s">
        <v>48</v>
      </c>
    </row>
    <row r="32929">
      <c r="H32929" s="50"/>
      <c r="I32929" s="50"/>
      <c r="O32929" s="36" t="s">
        <v>48</v>
      </c>
      <c r="R32929" s="36" t="s">
        <v>48</v>
      </c>
    </row>
    <row r="32930">
      <c r="H32930" s="50"/>
      <c r="I32930" s="50"/>
      <c r="O32930" s="36" t="s">
        <v>48</v>
      </c>
      <c r="R32930" s="36" t="s">
        <v>48</v>
      </c>
    </row>
    <row r="32931">
      <c r="H32931" s="50"/>
      <c r="I32931" s="50"/>
      <c r="O32931" s="36" t="s">
        <v>48</v>
      </c>
      <c r="R32931" s="36" t="s">
        <v>48</v>
      </c>
    </row>
    <row r="32932">
      <c r="H32932" s="50"/>
      <c r="I32932" s="50"/>
      <c r="O32932" s="36" t="s">
        <v>48</v>
      </c>
      <c r="R32932" s="36" t="s">
        <v>48</v>
      </c>
    </row>
    <row r="32933">
      <c r="H32933" s="50"/>
      <c r="I32933" s="50"/>
      <c r="O32933" s="36" t="s">
        <v>48</v>
      </c>
      <c r="R32933" s="36" t="s">
        <v>48</v>
      </c>
    </row>
    <row r="32934">
      <c r="H32934" s="50"/>
      <c r="I32934" s="50"/>
      <c r="O32934" s="36" t="s">
        <v>48</v>
      </c>
      <c r="R32934" s="36" t="s">
        <v>48</v>
      </c>
    </row>
    <row r="32935">
      <c r="H32935" s="50"/>
      <c r="I32935" s="50"/>
      <c r="O32935" s="36" t="s">
        <v>48</v>
      </c>
      <c r="R32935" s="36" t="s">
        <v>48</v>
      </c>
    </row>
    <row r="32936">
      <c r="H32936" s="50"/>
      <c r="I32936" s="50"/>
      <c r="O32936" s="36" t="s">
        <v>48</v>
      </c>
      <c r="R32936" s="36" t="s">
        <v>48</v>
      </c>
    </row>
    <row r="32937">
      <c r="H32937" s="50"/>
      <c r="I32937" s="50"/>
      <c r="O32937" s="36" t="s">
        <v>48</v>
      </c>
      <c r="R32937" s="36" t="s">
        <v>48</v>
      </c>
    </row>
    <row r="32938">
      <c r="H32938" s="50"/>
      <c r="I32938" s="50"/>
      <c r="O32938" s="36" t="s">
        <v>48</v>
      </c>
      <c r="R32938" s="36" t="s">
        <v>48</v>
      </c>
    </row>
    <row r="32939">
      <c r="H32939" s="50"/>
      <c r="I32939" s="50"/>
      <c r="O32939" s="36" t="s">
        <v>48</v>
      </c>
      <c r="R32939" s="36" t="s">
        <v>48</v>
      </c>
    </row>
    <row r="32940">
      <c r="H32940" s="50"/>
      <c r="I32940" s="50"/>
      <c r="O32940" s="36" t="s">
        <v>48</v>
      </c>
      <c r="R32940" s="36" t="s">
        <v>48</v>
      </c>
    </row>
    <row r="32941">
      <c r="H32941" s="50"/>
      <c r="I32941" s="50"/>
      <c r="O32941" s="36" t="s">
        <v>48</v>
      </c>
      <c r="R32941" s="36" t="s">
        <v>48</v>
      </c>
    </row>
    <row r="32942">
      <c r="H32942" s="50"/>
      <c r="I32942" s="50"/>
      <c r="O32942" s="36" t="s">
        <v>48</v>
      </c>
      <c r="R32942" s="36" t="s">
        <v>48</v>
      </c>
    </row>
    <row r="32943">
      <c r="H32943" s="50"/>
      <c r="I32943" s="50"/>
      <c r="O32943" s="36" t="s">
        <v>48</v>
      </c>
      <c r="R32943" s="36" t="s">
        <v>48</v>
      </c>
    </row>
    <row r="32944">
      <c r="H32944" s="50"/>
      <c r="I32944" s="50"/>
      <c r="O32944" s="36" t="s">
        <v>48</v>
      </c>
      <c r="R32944" s="36" t="s">
        <v>48</v>
      </c>
    </row>
    <row r="32945">
      <c r="H32945" s="50"/>
      <c r="I32945" s="50"/>
      <c r="O32945" s="36" t="s">
        <v>48</v>
      </c>
      <c r="R32945" s="36" t="s">
        <v>48</v>
      </c>
    </row>
    <row r="32946">
      <c r="H32946" s="50"/>
      <c r="I32946" s="50"/>
      <c r="O32946" s="36" t="s">
        <v>48</v>
      </c>
      <c r="R32946" s="36" t="s">
        <v>48</v>
      </c>
    </row>
    <row r="32947">
      <c r="H32947" s="50"/>
      <c r="I32947" s="50"/>
      <c r="O32947" s="36" t="s">
        <v>48</v>
      </c>
      <c r="R32947" s="36" t="s">
        <v>48</v>
      </c>
    </row>
    <row r="32948">
      <c r="H32948" s="50"/>
      <c r="I32948" s="50"/>
      <c r="O32948" s="36" t="s">
        <v>48</v>
      </c>
      <c r="R32948" s="36" t="s">
        <v>48</v>
      </c>
    </row>
    <row r="32949">
      <c r="H32949" s="50"/>
      <c r="I32949" s="50"/>
      <c r="O32949" s="36" t="s">
        <v>48</v>
      </c>
      <c r="R32949" s="36" t="s">
        <v>48</v>
      </c>
    </row>
    <row r="32950">
      <c r="H32950" s="50"/>
      <c r="I32950" s="50"/>
      <c r="O32950" s="36" t="s">
        <v>48</v>
      </c>
      <c r="R32950" s="36" t="s">
        <v>48</v>
      </c>
    </row>
    <row r="32951">
      <c r="H32951" s="50"/>
      <c r="I32951" s="50"/>
      <c r="O32951" s="36" t="s">
        <v>48</v>
      </c>
      <c r="R32951" s="36" t="s">
        <v>48</v>
      </c>
    </row>
    <row r="32952">
      <c r="H32952" s="50"/>
      <c r="I32952" s="50"/>
      <c r="O32952" s="36" t="s">
        <v>48</v>
      </c>
      <c r="R32952" s="36" t="s">
        <v>48</v>
      </c>
    </row>
    <row r="32953">
      <c r="H32953" s="50"/>
      <c r="I32953" s="50"/>
      <c r="O32953" s="36" t="s">
        <v>48</v>
      </c>
      <c r="R32953" s="36" t="s">
        <v>48</v>
      </c>
    </row>
    <row r="32954">
      <c r="H32954" s="50"/>
      <c r="I32954" s="50"/>
      <c r="O32954" s="36" t="s">
        <v>48</v>
      </c>
      <c r="R32954" s="36" t="s">
        <v>48</v>
      </c>
    </row>
    <row r="32955">
      <c r="H32955" s="50"/>
      <c r="I32955" s="50"/>
      <c r="O32955" s="36" t="s">
        <v>48</v>
      </c>
      <c r="R32955" s="36" t="s">
        <v>48</v>
      </c>
    </row>
    <row r="32956">
      <c r="H32956" s="50"/>
      <c r="I32956" s="50"/>
      <c r="O32956" s="36" t="s">
        <v>48</v>
      </c>
      <c r="R32956" s="36" t="s">
        <v>48</v>
      </c>
    </row>
    <row r="32957">
      <c r="H32957" s="50"/>
      <c r="I32957" s="50"/>
      <c r="O32957" s="36" t="s">
        <v>48</v>
      </c>
      <c r="R32957" s="36" t="s">
        <v>48</v>
      </c>
    </row>
    <row r="32958">
      <c r="H32958" s="50"/>
      <c r="I32958" s="50"/>
      <c r="O32958" s="36" t="s">
        <v>48</v>
      </c>
      <c r="R32958" s="36" t="s">
        <v>48</v>
      </c>
    </row>
    <row r="32959">
      <c r="H32959" s="50"/>
      <c r="I32959" s="50"/>
      <c r="O32959" s="36" t="s">
        <v>48</v>
      </c>
      <c r="R32959" s="36" t="s">
        <v>48</v>
      </c>
    </row>
    <row r="32960">
      <c r="H32960" s="50"/>
      <c r="I32960" s="50"/>
      <c r="O32960" s="36" t="s">
        <v>48</v>
      </c>
      <c r="R32960" s="36" t="s">
        <v>48</v>
      </c>
    </row>
    <row r="32961">
      <c r="H32961" s="50"/>
      <c r="I32961" s="50"/>
      <c r="O32961" s="36" t="s">
        <v>48</v>
      </c>
      <c r="R32961" s="36" t="s">
        <v>48</v>
      </c>
    </row>
    <row r="32962">
      <c r="H32962" s="50"/>
      <c r="I32962" s="50"/>
      <c r="O32962" s="36" t="s">
        <v>48</v>
      </c>
      <c r="R32962" s="36" t="s">
        <v>48</v>
      </c>
    </row>
    <row r="32963">
      <c r="H32963" s="50"/>
      <c r="I32963" s="50"/>
      <c r="O32963" s="36" t="s">
        <v>48</v>
      </c>
      <c r="R32963" s="36" t="s">
        <v>48</v>
      </c>
    </row>
    <row r="32964">
      <c r="H32964" s="50"/>
      <c r="I32964" s="50"/>
      <c r="O32964" s="36" t="s">
        <v>48</v>
      </c>
      <c r="R32964" s="36" t="s">
        <v>48</v>
      </c>
    </row>
    <row r="32965">
      <c r="H32965" s="50"/>
      <c r="I32965" s="50"/>
      <c r="O32965" s="36" t="s">
        <v>48</v>
      </c>
      <c r="R32965" s="36" t="s">
        <v>48</v>
      </c>
    </row>
    <row r="32966">
      <c r="H32966" s="50"/>
      <c r="I32966" s="50"/>
      <c r="O32966" s="36" t="s">
        <v>48</v>
      </c>
      <c r="R32966" s="36" t="s">
        <v>48</v>
      </c>
    </row>
    <row r="32967">
      <c r="H32967" s="50"/>
      <c r="I32967" s="50"/>
      <c r="O32967" s="36" t="s">
        <v>48</v>
      </c>
      <c r="R32967" s="36" t="s">
        <v>48</v>
      </c>
    </row>
    <row r="32968">
      <c r="H32968" s="50"/>
      <c r="I32968" s="50"/>
      <c r="O32968" s="36" t="s">
        <v>48</v>
      </c>
      <c r="R32968" s="36" t="s">
        <v>48</v>
      </c>
    </row>
    <row r="32969">
      <c r="H32969" s="50"/>
      <c r="I32969" s="50"/>
      <c r="O32969" s="36" t="s">
        <v>48</v>
      </c>
      <c r="R32969" s="36" t="s">
        <v>48</v>
      </c>
    </row>
    <row r="32970">
      <c r="H32970" s="50"/>
      <c r="I32970" s="50"/>
      <c r="O32970" s="36" t="s">
        <v>48</v>
      </c>
      <c r="R32970" s="36" t="s">
        <v>48</v>
      </c>
    </row>
    <row r="32971">
      <c r="H32971" s="50"/>
      <c r="I32971" s="50"/>
      <c r="O32971" s="36" t="s">
        <v>48</v>
      </c>
      <c r="R32971" s="36" t="s">
        <v>48</v>
      </c>
    </row>
    <row r="32972">
      <c r="H32972" s="50"/>
      <c r="I32972" s="50"/>
      <c r="O32972" s="36" t="s">
        <v>48</v>
      </c>
      <c r="R32972" s="36" t="s">
        <v>48</v>
      </c>
    </row>
    <row r="32973">
      <c r="H32973" s="50"/>
      <c r="I32973" s="50"/>
      <c r="O32973" s="36" t="s">
        <v>48</v>
      </c>
      <c r="R32973" s="36" t="s">
        <v>48</v>
      </c>
    </row>
    <row r="32974">
      <c r="H32974" s="50"/>
      <c r="I32974" s="50"/>
      <c r="O32974" s="36" t="s">
        <v>48</v>
      </c>
      <c r="R32974" s="36" t="s">
        <v>48</v>
      </c>
    </row>
    <row r="32975">
      <c r="H32975" s="50"/>
      <c r="I32975" s="50"/>
      <c r="O32975" s="36" t="s">
        <v>48</v>
      </c>
      <c r="R32975" s="36" t="s">
        <v>48</v>
      </c>
    </row>
    <row r="32976">
      <c r="H32976" s="50"/>
      <c r="I32976" s="50"/>
      <c r="O32976" s="36" t="s">
        <v>48</v>
      </c>
      <c r="R32976" s="36" t="s">
        <v>48</v>
      </c>
    </row>
    <row r="32977">
      <c r="H32977" s="50"/>
      <c r="I32977" s="50"/>
      <c r="O32977" s="36" t="s">
        <v>48</v>
      </c>
      <c r="R32977" s="36" t="s">
        <v>48</v>
      </c>
    </row>
    <row r="32978">
      <c r="H32978" s="50"/>
      <c r="I32978" s="50"/>
      <c r="O32978" s="36" t="s">
        <v>48</v>
      </c>
      <c r="R32978" s="36" t="s">
        <v>48</v>
      </c>
    </row>
    <row r="32979">
      <c r="H32979" s="50"/>
      <c r="I32979" s="50"/>
      <c r="O32979" s="36" t="s">
        <v>48</v>
      </c>
      <c r="R32979" s="36" t="s">
        <v>48</v>
      </c>
    </row>
    <row r="32980">
      <c r="H32980" s="50"/>
      <c r="I32980" s="50"/>
      <c r="O32980" s="36" t="s">
        <v>48</v>
      </c>
      <c r="R32980" s="36" t="s">
        <v>48</v>
      </c>
    </row>
    <row r="32981">
      <c r="H32981" s="50"/>
      <c r="I32981" s="50"/>
      <c r="O32981" s="36" t="s">
        <v>48</v>
      </c>
      <c r="R32981" s="36" t="s">
        <v>48</v>
      </c>
    </row>
    <row r="32982">
      <c r="H32982" s="50"/>
      <c r="I32982" s="50"/>
      <c r="O32982" s="36" t="s">
        <v>48</v>
      </c>
      <c r="R32982" s="36" t="s">
        <v>48</v>
      </c>
    </row>
    <row r="32983">
      <c r="H32983" s="50"/>
      <c r="I32983" s="50"/>
      <c r="O32983" s="36" t="s">
        <v>48</v>
      </c>
      <c r="R32983" s="36" t="s">
        <v>48</v>
      </c>
    </row>
    <row r="32984">
      <c r="H32984" s="50"/>
      <c r="I32984" s="50"/>
      <c r="O32984" s="36" t="s">
        <v>48</v>
      </c>
      <c r="R32984" s="36" t="s">
        <v>48</v>
      </c>
    </row>
    <row r="32985">
      <c r="H32985" s="50"/>
      <c r="I32985" s="50"/>
      <c r="O32985" s="36" t="s">
        <v>48</v>
      </c>
      <c r="R32985" s="36" t="s">
        <v>48</v>
      </c>
    </row>
    <row r="32986">
      <c r="H32986" s="50"/>
      <c r="I32986" s="50"/>
      <c r="O32986" s="36" t="s">
        <v>48</v>
      </c>
      <c r="R32986" s="36" t="s">
        <v>48</v>
      </c>
    </row>
    <row r="32987">
      <c r="H32987" s="50"/>
      <c r="I32987" s="50"/>
      <c r="O32987" s="36" t="s">
        <v>48</v>
      </c>
      <c r="R32987" s="36" t="s">
        <v>48</v>
      </c>
    </row>
    <row r="32988">
      <c r="H32988" s="50"/>
      <c r="I32988" s="50"/>
      <c r="O32988" s="36" t="s">
        <v>48</v>
      </c>
      <c r="R32988" s="36" t="s">
        <v>48</v>
      </c>
    </row>
    <row r="32989">
      <c r="H32989" s="50"/>
      <c r="I32989" s="50"/>
      <c r="O32989" s="36" t="s">
        <v>48</v>
      </c>
      <c r="R32989" s="36" t="s">
        <v>48</v>
      </c>
    </row>
    <row r="32990">
      <c r="H32990" s="50"/>
      <c r="I32990" s="50"/>
      <c r="O32990" s="36" t="s">
        <v>48</v>
      </c>
      <c r="R32990" s="36" t="s">
        <v>48</v>
      </c>
    </row>
    <row r="32991">
      <c r="H32991" s="50"/>
      <c r="I32991" s="50"/>
      <c r="O32991" s="36" t="s">
        <v>48</v>
      </c>
      <c r="R32991" s="36" t="s">
        <v>48</v>
      </c>
    </row>
    <row r="32992">
      <c r="H32992" s="50"/>
      <c r="I32992" s="50"/>
      <c r="O32992" s="36" t="s">
        <v>48</v>
      </c>
      <c r="R32992" s="36" t="s">
        <v>48</v>
      </c>
    </row>
    <row r="32993">
      <c r="H32993" s="50"/>
      <c r="I32993" s="50"/>
      <c r="O32993" s="36" t="s">
        <v>48</v>
      </c>
      <c r="R32993" s="36" t="s">
        <v>48</v>
      </c>
    </row>
    <row r="32994">
      <c r="H32994" s="50"/>
      <c r="I32994" s="50"/>
      <c r="O32994" s="36" t="s">
        <v>48</v>
      </c>
      <c r="R32994" s="36" t="s">
        <v>48</v>
      </c>
    </row>
    <row r="32995">
      <c r="H32995" s="50"/>
      <c r="I32995" s="50"/>
      <c r="O32995" s="36" t="s">
        <v>48</v>
      </c>
      <c r="R32995" s="36" t="s">
        <v>48</v>
      </c>
    </row>
    <row r="32996">
      <c r="H32996" s="50"/>
      <c r="I32996" s="50"/>
      <c r="O32996" s="36" t="s">
        <v>48</v>
      </c>
      <c r="R32996" s="36" t="s">
        <v>48</v>
      </c>
    </row>
    <row r="32997">
      <c r="H32997" s="50"/>
      <c r="I32997" s="50"/>
      <c r="O32997" s="36" t="s">
        <v>48</v>
      </c>
      <c r="R32997" s="36" t="s">
        <v>48</v>
      </c>
    </row>
    <row r="32998">
      <c r="H32998" s="50"/>
      <c r="I32998" s="50"/>
      <c r="O32998" s="36" t="s">
        <v>48</v>
      </c>
      <c r="R32998" s="36" t="s">
        <v>48</v>
      </c>
    </row>
    <row r="32999">
      <c r="H32999" s="50"/>
      <c r="I32999" s="50"/>
      <c r="O32999" s="36" t="s">
        <v>48</v>
      </c>
      <c r="R32999" s="36" t="s">
        <v>48</v>
      </c>
    </row>
    <row r="33000">
      <c r="H33000" s="50"/>
      <c r="I33000" s="50"/>
      <c r="O33000" s="36" t="s">
        <v>48</v>
      </c>
      <c r="R33000" s="36" t="s">
        <v>48</v>
      </c>
    </row>
    <row r="33001">
      <c r="H33001" s="50"/>
      <c r="I33001" s="50"/>
      <c r="O33001" s="36" t="s">
        <v>48</v>
      </c>
      <c r="R33001" s="36" t="s">
        <v>48</v>
      </c>
    </row>
    <row r="33002">
      <c r="H33002" s="50"/>
      <c r="I33002" s="50"/>
      <c r="O33002" s="36" t="s">
        <v>48</v>
      </c>
      <c r="R33002" s="36" t="s">
        <v>48</v>
      </c>
    </row>
    <row r="33003">
      <c r="H33003" s="50"/>
      <c r="I33003" s="50"/>
      <c r="O33003" s="36" t="s">
        <v>48</v>
      </c>
      <c r="R33003" s="36" t="s">
        <v>48</v>
      </c>
    </row>
    <row r="33004">
      <c r="H33004" s="50"/>
      <c r="I33004" s="50"/>
      <c r="O33004" s="36" t="s">
        <v>48</v>
      </c>
      <c r="R33004" s="36" t="s">
        <v>48</v>
      </c>
    </row>
    <row r="33005">
      <c r="H33005" s="50"/>
      <c r="I33005" s="50"/>
      <c r="O33005" s="36" t="s">
        <v>48</v>
      </c>
      <c r="R33005" s="36" t="s">
        <v>48</v>
      </c>
    </row>
    <row r="33006">
      <c r="H33006" s="50"/>
      <c r="I33006" s="50"/>
      <c r="O33006" s="36" t="s">
        <v>48</v>
      </c>
      <c r="R33006" s="36" t="s">
        <v>48</v>
      </c>
    </row>
    <row r="33007">
      <c r="H33007" s="50"/>
      <c r="I33007" s="50"/>
      <c r="O33007" s="36" t="s">
        <v>48</v>
      </c>
      <c r="R33007" s="36" t="s">
        <v>48</v>
      </c>
    </row>
    <row r="33008">
      <c r="H33008" s="50"/>
      <c r="I33008" s="50"/>
      <c r="O33008" s="36" t="s">
        <v>48</v>
      </c>
      <c r="R33008" s="36" t="s">
        <v>48</v>
      </c>
    </row>
    <row r="33009">
      <c r="H33009" s="50"/>
      <c r="I33009" s="50"/>
      <c r="O33009" s="36" t="s">
        <v>48</v>
      </c>
      <c r="R33009" s="36" t="s">
        <v>48</v>
      </c>
    </row>
    <row r="33010">
      <c r="H33010" s="50"/>
      <c r="I33010" s="50"/>
      <c r="O33010" s="36" t="s">
        <v>48</v>
      </c>
      <c r="R33010" s="36" t="s">
        <v>48</v>
      </c>
    </row>
    <row r="33011">
      <c r="H33011" s="50"/>
      <c r="I33011" s="50"/>
      <c r="O33011" s="36" t="s">
        <v>48</v>
      </c>
      <c r="R33011" s="36" t="s">
        <v>48</v>
      </c>
    </row>
    <row r="33012">
      <c r="H33012" s="50"/>
      <c r="I33012" s="50"/>
      <c r="O33012" s="36" t="s">
        <v>48</v>
      </c>
      <c r="R33012" s="36" t="s">
        <v>48</v>
      </c>
    </row>
    <row r="33013">
      <c r="H33013" s="50"/>
      <c r="I33013" s="50"/>
      <c r="O33013" s="36" t="s">
        <v>48</v>
      </c>
      <c r="R33013" s="36" t="s">
        <v>48</v>
      </c>
    </row>
    <row r="33014">
      <c r="H33014" s="50"/>
      <c r="I33014" s="50"/>
      <c r="O33014" s="36" t="s">
        <v>48</v>
      </c>
      <c r="R33014" s="36" t="s">
        <v>48</v>
      </c>
    </row>
    <row r="33015">
      <c r="H33015" s="50"/>
      <c r="I33015" s="50"/>
      <c r="O33015" s="36" t="s">
        <v>48</v>
      </c>
      <c r="R33015" s="36" t="s">
        <v>48</v>
      </c>
    </row>
    <row r="33016">
      <c r="H33016" s="50"/>
      <c r="I33016" s="50"/>
      <c r="O33016" s="36" t="s">
        <v>48</v>
      </c>
      <c r="R33016" s="36" t="s">
        <v>48</v>
      </c>
    </row>
    <row r="33017">
      <c r="H33017" s="50"/>
      <c r="I33017" s="50"/>
      <c r="O33017" s="36" t="s">
        <v>48</v>
      </c>
      <c r="R33017" s="36" t="s">
        <v>48</v>
      </c>
    </row>
    <row r="33018">
      <c r="H33018" s="50"/>
      <c r="I33018" s="50"/>
      <c r="O33018" s="36" t="s">
        <v>48</v>
      </c>
      <c r="R33018" s="36" t="s">
        <v>48</v>
      </c>
    </row>
    <row r="33019">
      <c r="H33019" s="50"/>
      <c r="I33019" s="50"/>
      <c r="O33019" s="36" t="s">
        <v>48</v>
      </c>
      <c r="R33019" s="36" t="s">
        <v>48</v>
      </c>
    </row>
    <row r="33020">
      <c r="H33020" s="50"/>
      <c r="I33020" s="50"/>
      <c r="O33020" s="36" t="s">
        <v>48</v>
      </c>
      <c r="R33020" s="36" t="s">
        <v>48</v>
      </c>
    </row>
    <row r="33021">
      <c r="H33021" s="50"/>
      <c r="I33021" s="50"/>
      <c r="O33021" s="36" t="s">
        <v>48</v>
      </c>
      <c r="R33021" s="36" t="s">
        <v>48</v>
      </c>
    </row>
    <row r="33022">
      <c r="H33022" s="50"/>
      <c r="I33022" s="50"/>
      <c r="O33022" s="36" t="s">
        <v>48</v>
      </c>
      <c r="R33022" s="36" t="s">
        <v>48</v>
      </c>
    </row>
    <row r="33023">
      <c r="H33023" s="50"/>
      <c r="I33023" s="50"/>
      <c r="O33023" s="36" t="s">
        <v>48</v>
      </c>
      <c r="R33023" s="36" t="s">
        <v>48</v>
      </c>
    </row>
    <row r="33024">
      <c r="H33024" s="50"/>
      <c r="I33024" s="50"/>
      <c r="O33024" s="36" t="s">
        <v>48</v>
      </c>
      <c r="R33024" s="36" t="s">
        <v>48</v>
      </c>
    </row>
    <row r="33025">
      <c r="H33025" s="50"/>
      <c r="I33025" s="50"/>
      <c r="O33025" s="36" t="s">
        <v>48</v>
      </c>
      <c r="R33025" s="36" t="s">
        <v>48</v>
      </c>
    </row>
    <row r="33026">
      <c r="H33026" s="50"/>
      <c r="I33026" s="50"/>
      <c r="O33026" s="36" t="s">
        <v>48</v>
      </c>
      <c r="R33026" s="36" t="s">
        <v>48</v>
      </c>
    </row>
    <row r="33027">
      <c r="H33027" s="50"/>
      <c r="I33027" s="50"/>
      <c r="O33027" s="36" t="s">
        <v>48</v>
      </c>
      <c r="R33027" s="36" t="s">
        <v>48</v>
      </c>
    </row>
    <row r="33028">
      <c r="H33028" s="50"/>
      <c r="I33028" s="50"/>
      <c r="O33028" s="36" t="s">
        <v>48</v>
      </c>
      <c r="R33028" s="36" t="s">
        <v>48</v>
      </c>
    </row>
    <row r="33029">
      <c r="H33029" s="50"/>
      <c r="I33029" s="50"/>
      <c r="O33029" s="36" t="s">
        <v>48</v>
      </c>
      <c r="R33029" s="36" t="s">
        <v>48</v>
      </c>
    </row>
    <row r="33030">
      <c r="H33030" s="50"/>
      <c r="I33030" s="50"/>
      <c r="O33030" s="36" t="s">
        <v>48</v>
      </c>
      <c r="R33030" s="36" t="s">
        <v>48</v>
      </c>
    </row>
    <row r="33031">
      <c r="H33031" s="50"/>
      <c r="I33031" s="50"/>
      <c r="O33031" s="36" t="s">
        <v>48</v>
      </c>
      <c r="R33031" s="36" t="s">
        <v>48</v>
      </c>
    </row>
    <row r="33032">
      <c r="H33032" s="50"/>
      <c r="I33032" s="50"/>
      <c r="O33032" s="36" t="s">
        <v>48</v>
      </c>
      <c r="R33032" s="36" t="s">
        <v>48</v>
      </c>
    </row>
    <row r="33033">
      <c r="H33033" s="50"/>
      <c r="I33033" s="50"/>
      <c r="O33033" s="36" t="s">
        <v>48</v>
      </c>
      <c r="R33033" s="36" t="s">
        <v>48</v>
      </c>
    </row>
    <row r="33034">
      <c r="H33034" s="50"/>
      <c r="I33034" s="50"/>
      <c r="O33034" s="36" t="s">
        <v>48</v>
      </c>
      <c r="R33034" s="36" t="s">
        <v>48</v>
      </c>
    </row>
    <row r="33035">
      <c r="H33035" s="50"/>
      <c r="I33035" s="50"/>
      <c r="O33035" s="36" t="s">
        <v>48</v>
      </c>
      <c r="R33035" s="36" t="s">
        <v>48</v>
      </c>
    </row>
    <row r="33036">
      <c r="H33036" s="50"/>
      <c r="I33036" s="50"/>
      <c r="O33036" s="36" t="s">
        <v>48</v>
      </c>
      <c r="R33036" s="36" t="s">
        <v>48</v>
      </c>
    </row>
    <row r="33037">
      <c r="H33037" s="50"/>
      <c r="I33037" s="50"/>
      <c r="O33037" s="36" t="s">
        <v>48</v>
      </c>
      <c r="R33037" s="36" t="s">
        <v>48</v>
      </c>
    </row>
    <row r="33038">
      <c r="H33038" s="50"/>
      <c r="I33038" s="50"/>
      <c r="O33038" s="36" t="s">
        <v>48</v>
      </c>
      <c r="R33038" s="36" t="s">
        <v>48</v>
      </c>
    </row>
    <row r="33039">
      <c r="H33039" s="50"/>
      <c r="I33039" s="50"/>
      <c r="O33039" s="36" t="s">
        <v>48</v>
      </c>
      <c r="R33039" s="36" t="s">
        <v>48</v>
      </c>
    </row>
    <row r="33040">
      <c r="H33040" s="50"/>
      <c r="I33040" s="50"/>
      <c r="O33040" s="36" t="s">
        <v>48</v>
      </c>
      <c r="R33040" s="36" t="s">
        <v>48</v>
      </c>
    </row>
    <row r="33041">
      <c r="H33041" s="50"/>
      <c r="I33041" s="50"/>
      <c r="O33041" s="36" t="s">
        <v>48</v>
      </c>
      <c r="R33041" s="36" t="s">
        <v>48</v>
      </c>
    </row>
    <row r="33042">
      <c r="H33042" s="50"/>
      <c r="I33042" s="50"/>
      <c r="O33042" s="36" t="s">
        <v>48</v>
      </c>
      <c r="R33042" s="36" t="s">
        <v>48</v>
      </c>
    </row>
    <row r="33043">
      <c r="H33043" s="50"/>
      <c r="I33043" s="50"/>
      <c r="O33043" s="36" t="s">
        <v>48</v>
      </c>
      <c r="R33043" s="36" t="s">
        <v>48</v>
      </c>
    </row>
    <row r="33044">
      <c r="H33044" s="50"/>
      <c r="I33044" s="50"/>
      <c r="O33044" s="36" t="s">
        <v>48</v>
      </c>
      <c r="R33044" s="36" t="s">
        <v>48</v>
      </c>
    </row>
    <row r="33045">
      <c r="H33045" s="50"/>
      <c r="I33045" s="50"/>
      <c r="O33045" s="36" t="s">
        <v>48</v>
      </c>
      <c r="R33045" s="36" t="s">
        <v>48</v>
      </c>
    </row>
    <row r="33046">
      <c r="H33046" s="50"/>
      <c r="I33046" s="50"/>
      <c r="O33046" s="36" t="s">
        <v>48</v>
      </c>
      <c r="R33046" s="36" t="s">
        <v>48</v>
      </c>
    </row>
    <row r="33047">
      <c r="H33047" s="50"/>
      <c r="I33047" s="50"/>
      <c r="O33047" s="36" t="s">
        <v>48</v>
      </c>
      <c r="R33047" s="36" t="s">
        <v>48</v>
      </c>
    </row>
    <row r="33048">
      <c r="H33048" s="50"/>
      <c r="I33048" s="50"/>
      <c r="O33048" s="36" t="s">
        <v>48</v>
      </c>
      <c r="R33048" s="36" t="s">
        <v>48</v>
      </c>
    </row>
    <row r="33049">
      <c r="H33049" s="50"/>
      <c r="I33049" s="50"/>
      <c r="O33049" s="36" t="s">
        <v>48</v>
      </c>
      <c r="R33049" s="36" t="s">
        <v>48</v>
      </c>
    </row>
    <row r="33050">
      <c r="H33050" s="50"/>
      <c r="I33050" s="50"/>
      <c r="O33050" s="36" t="s">
        <v>48</v>
      </c>
      <c r="R33050" s="36" t="s">
        <v>48</v>
      </c>
    </row>
    <row r="33051">
      <c r="H33051" s="50"/>
      <c r="I33051" s="50"/>
      <c r="O33051" s="36" t="s">
        <v>48</v>
      </c>
      <c r="R33051" s="36" t="s">
        <v>48</v>
      </c>
    </row>
    <row r="33052">
      <c r="H33052" s="50"/>
      <c r="I33052" s="50"/>
      <c r="O33052" s="36" t="s">
        <v>48</v>
      </c>
      <c r="R33052" s="36" t="s">
        <v>48</v>
      </c>
    </row>
    <row r="33053">
      <c r="H33053" s="50"/>
      <c r="I33053" s="50"/>
      <c r="O33053" s="36" t="s">
        <v>48</v>
      </c>
      <c r="R33053" s="36" t="s">
        <v>48</v>
      </c>
    </row>
    <row r="33054">
      <c r="H33054" s="50"/>
      <c r="I33054" s="50"/>
      <c r="O33054" s="36" t="s">
        <v>48</v>
      </c>
      <c r="R33054" s="36" t="s">
        <v>48</v>
      </c>
    </row>
    <row r="33055">
      <c r="H33055" s="50"/>
      <c r="I33055" s="50"/>
      <c r="O33055" s="36" t="s">
        <v>48</v>
      </c>
      <c r="R33055" s="36" t="s">
        <v>48</v>
      </c>
    </row>
    <row r="33056">
      <c r="H33056" s="50"/>
      <c r="I33056" s="50"/>
      <c r="O33056" s="36" t="s">
        <v>48</v>
      </c>
      <c r="R33056" s="36" t="s">
        <v>48</v>
      </c>
    </row>
    <row r="33057">
      <c r="H33057" s="50"/>
      <c r="I33057" s="50"/>
      <c r="O33057" s="36" t="s">
        <v>48</v>
      </c>
      <c r="R33057" s="36" t="s">
        <v>48</v>
      </c>
    </row>
    <row r="33058">
      <c r="H33058" s="50"/>
      <c r="I33058" s="50"/>
      <c r="O33058" s="36" t="s">
        <v>48</v>
      </c>
      <c r="R33058" s="36" t="s">
        <v>48</v>
      </c>
    </row>
    <row r="33059">
      <c r="H33059" s="50"/>
      <c r="I33059" s="50"/>
      <c r="O33059" s="36" t="s">
        <v>48</v>
      </c>
      <c r="R33059" s="36" t="s">
        <v>48</v>
      </c>
    </row>
    <row r="33060">
      <c r="H33060" s="50"/>
      <c r="I33060" s="50"/>
      <c r="O33060" s="36" t="s">
        <v>48</v>
      </c>
      <c r="R33060" s="36" t="s">
        <v>48</v>
      </c>
    </row>
    <row r="33061">
      <c r="H33061" s="50"/>
      <c r="I33061" s="50"/>
      <c r="O33061" s="36" t="s">
        <v>48</v>
      </c>
      <c r="R33061" s="36" t="s">
        <v>48</v>
      </c>
    </row>
    <row r="33062">
      <c r="H33062" s="50"/>
      <c r="I33062" s="50"/>
      <c r="O33062" s="36" t="s">
        <v>48</v>
      </c>
      <c r="R33062" s="36" t="s">
        <v>48</v>
      </c>
    </row>
    <row r="33063">
      <c r="H33063" s="50"/>
      <c r="I33063" s="50"/>
      <c r="O33063" s="36" t="s">
        <v>48</v>
      </c>
      <c r="R33063" s="36" t="s">
        <v>48</v>
      </c>
    </row>
    <row r="33064">
      <c r="H33064" s="50"/>
      <c r="I33064" s="50"/>
      <c r="O33064" s="36" t="s">
        <v>48</v>
      </c>
      <c r="R33064" s="36" t="s">
        <v>48</v>
      </c>
    </row>
    <row r="33065">
      <c r="H33065" s="50"/>
      <c r="I33065" s="50"/>
      <c r="O33065" s="36" t="s">
        <v>48</v>
      </c>
      <c r="R33065" s="36" t="s">
        <v>48</v>
      </c>
    </row>
    <row r="33066">
      <c r="H33066" s="50"/>
      <c r="I33066" s="50"/>
      <c r="O33066" s="36" t="s">
        <v>48</v>
      </c>
      <c r="R33066" s="36" t="s">
        <v>48</v>
      </c>
    </row>
    <row r="33067">
      <c r="H33067" s="50"/>
      <c r="I33067" s="50"/>
      <c r="O33067" s="36" t="s">
        <v>48</v>
      </c>
      <c r="R33067" s="36" t="s">
        <v>48</v>
      </c>
    </row>
    <row r="33068">
      <c r="H33068" s="50"/>
      <c r="I33068" s="50"/>
      <c r="O33068" s="36" t="s">
        <v>48</v>
      </c>
      <c r="R33068" s="36" t="s">
        <v>48</v>
      </c>
    </row>
    <row r="33069">
      <c r="H33069" s="50"/>
      <c r="I33069" s="50"/>
      <c r="O33069" s="36" t="s">
        <v>48</v>
      </c>
      <c r="R33069" s="36" t="s">
        <v>48</v>
      </c>
    </row>
    <row r="33070">
      <c r="H33070" s="50"/>
      <c r="I33070" s="50"/>
      <c r="O33070" s="36" t="s">
        <v>48</v>
      </c>
      <c r="R33070" s="36" t="s">
        <v>48</v>
      </c>
    </row>
    <row r="33071">
      <c r="H33071" s="50"/>
      <c r="I33071" s="50"/>
      <c r="O33071" s="36" t="s">
        <v>48</v>
      </c>
      <c r="R33071" s="36" t="s">
        <v>48</v>
      </c>
    </row>
    <row r="33072">
      <c r="H33072" s="50"/>
      <c r="I33072" s="50"/>
      <c r="O33072" s="36" t="s">
        <v>48</v>
      </c>
      <c r="R33072" s="36" t="s">
        <v>48</v>
      </c>
    </row>
    <row r="33073">
      <c r="H33073" s="50"/>
      <c r="I33073" s="50"/>
      <c r="O33073" s="36" t="s">
        <v>48</v>
      </c>
      <c r="R33073" s="36" t="s">
        <v>48</v>
      </c>
    </row>
    <row r="33074">
      <c r="H33074" s="50"/>
      <c r="I33074" s="50"/>
      <c r="O33074" s="36" t="s">
        <v>48</v>
      </c>
      <c r="R33074" s="36" t="s">
        <v>48</v>
      </c>
    </row>
    <row r="33075">
      <c r="H33075" s="50"/>
      <c r="I33075" s="50"/>
      <c r="O33075" s="36" t="s">
        <v>48</v>
      </c>
      <c r="R33075" s="36" t="s">
        <v>48</v>
      </c>
    </row>
    <row r="33076">
      <c r="H33076" s="50"/>
      <c r="I33076" s="50"/>
      <c r="O33076" s="36" t="s">
        <v>48</v>
      </c>
      <c r="R33076" s="36" t="s">
        <v>48</v>
      </c>
    </row>
    <row r="33077">
      <c r="H33077" s="50"/>
      <c r="I33077" s="50"/>
      <c r="O33077" s="36" t="s">
        <v>48</v>
      </c>
      <c r="R33077" s="36" t="s">
        <v>48</v>
      </c>
    </row>
    <row r="33078">
      <c r="H33078" s="50"/>
      <c r="I33078" s="50"/>
      <c r="O33078" s="36" t="s">
        <v>48</v>
      </c>
      <c r="R33078" s="36" t="s">
        <v>48</v>
      </c>
    </row>
    <row r="33079">
      <c r="H33079" s="50"/>
      <c r="I33079" s="50"/>
      <c r="O33079" s="36" t="s">
        <v>48</v>
      </c>
      <c r="R33079" s="36" t="s">
        <v>48</v>
      </c>
    </row>
    <row r="33080">
      <c r="H33080" s="50"/>
      <c r="I33080" s="50"/>
      <c r="O33080" s="36" t="s">
        <v>48</v>
      </c>
      <c r="R33080" s="36" t="s">
        <v>48</v>
      </c>
    </row>
    <row r="33081">
      <c r="H33081" s="50"/>
      <c r="I33081" s="50"/>
      <c r="O33081" s="36" t="s">
        <v>48</v>
      </c>
      <c r="R33081" s="36" t="s">
        <v>48</v>
      </c>
    </row>
    <row r="33082">
      <c r="H33082" s="50"/>
      <c r="I33082" s="50"/>
      <c r="O33082" s="36" t="s">
        <v>48</v>
      </c>
      <c r="R33082" s="36" t="s">
        <v>48</v>
      </c>
    </row>
    <row r="33083">
      <c r="H33083" s="50"/>
      <c r="I33083" s="50"/>
      <c r="O33083" s="36" t="s">
        <v>48</v>
      </c>
      <c r="R33083" s="36" t="s">
        <v>48</v>
      </c>
    </row>
    <row r="33084">
      <c r="H33084" s="50"/>
      <c r="I33084" s="50"/>
      <c r="O33084" s="36" t="s">
        <v>48</v>
      </c>
      <c r="R33084" s="36" t="s">
        <v>48</v>
      </c>
    </row>
    <row r="33085">
      <c r="H33085" s="50"/>
      <c r="I33085" s="50"/>
      <c r="O33085" s="36" t="s">
        <v>48</v>
      </c>
      <c r="R33085" s="36" t="s">
        <v>48</v>
      </c>
    </row>
    <row r="33086">
      <c r="H33086" s="50"/>
      <c r="I33086" s="50"/>
      <c r="O33086" s="36" t="s">
        <v>48</v>
      </c>
      <c r="R33086" s="36" t="s">
        <v>48</v>
      </c>
    </row>
    <row r="33087">
      <c r="H33087" s="50"/>
      <c r="I33087" s="50"/>
      <c r="O33087" s="36" t="s">
        <v>48</v>
      </c>
      <c r="R33087" s="36" t="s">
        <v>48</v>
      </c>
    </row>
    <row r="33088">
      <c r="H33088" s="50"/>
      <c r="I33088" s="50"/>
      <c r="O33088" s="36" t="s">
        <v>48</v>
      </c>
      <c r="R33088" s="36" t="s">
        <v>48</v>
      </c>
    </row>
    <row r="33089">
      <c r="H33089" s="50"/>
      <c r="I33089" s="50"/>
      <c r="O33089" s="36" t="s">
        <v>48</v>
      </c>
      <c r="R33089" s="36" t="s">
        <v>48</v>
      </c>
    </row>
    <row r="33090">
      <c r="H33090" s="50"/>
      <c r="I33090" s="50"/>
      <c r="O33090" s="36" t="s">
        <v>48</v>
      </c>
      <c r="R33090" s="36" t="s">
        <v>48</v>
      </c>
    </row>
    <row r="33091">
      <c r="H33091" s="50"/>
      <c r="I33091" s="50"/>
      <c r="O33091" s="36" t="s">
        <v>48</v>
      </c>
      <c r="R33091" s="36" t="s">
        <v>48</v>
      </c>
    </row>
    <row r="33092">
      <c r="H33092" s="50"/>
      <c r="I33092" s="50"/>
      <c r="O33092" s="36" t="s">
        <v>48</v>
      </c>
      <c r="R33092" s="36" t="s">
        <v>48</v>
      </c>
    </row>
    <row r="33093">
      <c r="H33093" s="50"/>
      <c r="I33093" s="50"/>
      <c r="O33093" s="36" t="s">
        <v>48</v>
      </c>
      <c r="R33093" s="36" t="s">
        <v>48</v>
      </c>
    </row>
    <row r="33094">
      <c r="H33094" s="50"/>
      <c r="I33094" s="50"/>
      <c r="O33094" s="36" t="s">
        <v>48</v>
      </c>
      <c r="R33094" s="36" t="s">
        <v>48</v>
      </c>
    </row>
    <row r="33095">
      <c r="H33095" s="50"/>
      <c r="I33095" s="50"/>
      <c r="O33095" s="36" t="s">
        <v>48</v>
      </c>
      <c r="R33095" s="36" t="s">
        <v>48</v>
      </c>
    </row>
    <row r="33096">
      <c r="H33096" s="50"/>
      <c r="I33096" s="50"/>
      <c r="O33096" s="36" t="s">
        <v>48</v>
      </c>
      <c r="R33096" s="36" t="s">
        <v>48</v>
      </c>
    </row>
    <row r="33097">
      <c r="H33097" s="50"/>
      <c r="I33097" s="50"/>
      <c r="O33097" s="36" t="s">
        <v>48</v>
      </c>
      <c r="R33097" s="36" t="s">
        <v>48</v>
      </c>
    </row>
    <row r="33098">
      <c r="H33098" s="50"/>
      <c r="I33098" s="50"/>
      <c r="O33098" s="36" t="s">
        <v>48</v>
      </c>
      <c r="R33098" s="36" t="s">
        <v>48</v>
      </c>
    </row>
    <row r="33099">
      <c r="H33099" s="50"/>
      <c r="I33099" s="50"/>
      <c r="O33099" s="36" t="s">
        <v>48</v>
      </c>
      <c r="R33099" s="36" t="s">
        <v>48</v>
      </c>
    </row>
    <row r="33100">
      <c r="H33100" s="50"/>
      <c r="I33100" s="50"/>
      <c r="O33100" s="36" t="s">
        <v>48</v>
      </c>
      <c r="R33100" s="36" t="s">
        <v>48</v>
      </c>
    </row>
    <row r="33101">
      <c r="H33101" s="50"/>
      <c r="I33101" s="50"/>
      <c r="O33101" s="36" t="s">
        <v>48</v>
      </c>
      <c r="R33101" s="36" t="s">
        <v>48</v>
      </c>
    </row>
    <row r="33102">
      <c r="H33102" s="50"/>
      <c r="I33102" s="50"/>
      <c r="O33102" s="36" t="s">
        <v>48</v>
      </c>
      <c r="R33102" s="36" t="s">
        <v>48</v>
      </c>
    </row>
    <row r="33103">
      <c r="H33103" s="50"/>
      <c r="I33103" s="50"/>
      <c r="O33103" s="36" t="s">
        <v>48</v>
      </c>
      <c r="R33103" s="36" t="s">
        <v>48</v>
      </c>
    </row>
    <row r="33104">
      <c r="H33104" s="50"/>
      <c r="I33104" s="50"/>
      <c r="O33104" s="36" t="s">
        <v>48</v>
      </c>
      <c r="R33104" s="36" t="s">
        <v>48</v>
      </c>
    </row>
    <row r="33105">
      <c r="H33105" s="50"/>
      <c r="I33105" s="50"/>
      <c r="O33105" s="36" t="s">
        <v>48</v>
      </c>
      <c r="R33105" s="36" t="s">
        <v>48</v>
      </c>
    </row>
    <row r="33106">
      <c r="H33106" s="50"/>
      <c r="I33106" s="50"/>
      <c r="O33106" s="36" t="s">
        <v>48</v>
      </c>
      <c r="R33106" s="36" t="s">
        <v>48</v>
      </c>
    </row>
    <row r="33107">
      <c r="H33107" s="50"/>
      <c r="I33107" s="50"/>
      <c r="O33107" s="36" t="s">
        <v>48</v>
      </c>
      <c r="R33107" s="36" t="s">
        <v>48</v>
      </c>
    </row>
    <row r="33108">
      <c r="H33108" s="50"/>
      <c r="I33108" s="50"/>
      <c r="O33108" s="36" t="s">
        <v>48</v>
      </c>
      <c r="R33108" s="36" t="s">
        <v>48</v>
      </c>
    </row>
    <row r="33109">
      <c r="H33109" s="50"/>
      <c r="I33109" s="50"/>
      <c r="O33109" s="36" t="s">
        <v>48</v>
      </c>
      <c r="R33109" s="36" t="s">
        <v>48</v>
      </c>
    </row>
    <row r="33110">
      <c r="H33110" s="50"/>
      <c r="I33110" s="50"/>
      <c r="O33110" s="36" t="s">
        <v>48</v>
      </c>
      <c r="R33110" s="36" t="s">
        <v>48</v>
      </c>
    </row>
    <row r="33111">
      <c r="H33111" s="50"/>
      <c r="I33111" s="50"/>
      <c r="O33111" s="36" t="s">
        <v>48</v>
      </c>
      <c r="R33111" s="36" t="s">
        <v>48</v>
      </c>
    </row>
    <row r="33112">
      <c r="H33112" s="50"/>
      <c r="I33112" s="50"/>
      <c r="O33112" s="36" t="s">
        <v>48</v>
      </c>
      <c r="R33112" s="36" t="s">
        <v>48</v>
      </c>
    </row>
    <row r="33113">
      <c r="H33113" s="50"/>
      <c r="I33113" s="50"/>
      <c r="O33113" s="36" t="s">
        <v>48</v>
      </c>
      <c r="R33113" s="36" t="s">
        <v>48</v>
      </c>
    </row>
    <row r="33114">
      <c r="H33114" s="50"/>
      <c r="I33114" s="50"/>
      <c r="O33114" s="36" t="s">
        <v>48</v>
      </c>
      <c r="R33114" s="36" t="s">
        <v>48</v>
      </c>
    </row>
    <row r="33115">
      <c r="H33115" s="50"/>
      <c r="I33115" s="50"/>
      <c r="O33115" s="36" t="s">
        <v>48</v>
      </c>
      <c r="R33115" s="36" t="s">
        <v>48</v>
      </c>
    </row>
    <row r="33116">
      <c r="H33116" s="50"/>
      <c r="I33116" s="50"/>
      <c r="O33116" s="36" t="s">
        <v>48</v>
      </c>
      <c r="R33116" s="36" t="s">
        <v>48</v>
      </c>
    </row>
    <row r="33117">
      <c r="H33117" s="50"/>
      <c r="I33117" s="50"/>
      <c r="O33117" s="36" t="s">
        <v>48</v>
      </c>
      <c r="R33117" s="36" t="s">
        <v>48</v>
      </c>
    </row>
    <row r="33118">
      <c r="H33118" s="50"/>
      <c r="I33118" s="50"/>
      <c r="O33118" s="36" t="s">
        <v>48</v>
      </c>
      <c r="R33118" s="36" t="s">
        <v>48</v>
      </c>
    </row>
    <row r="33119">
      <c r="H33119" s="50"/>
      <c r="I33119" s="50"/>
      <c r="O33119" s="36" t="s">
        <v>48</v>
      </c>
      <c r="R33119" s="36" t="s">
        <v>48</v>
      </c>
    </row>
    <row r="33120">
      <c r="H33120" s="50"/>
      <c r="I33120" s="50"/>
      <c r="O33120" s="36" t="s">
        <v>48</v>
      </c>
      <c r="R33120" s="36" t="s">
        <v>48</v>
      </c>
    </row>
    <row r="33121">
      <c r="H33121" s="50"/>
      <c r="I33121" s="50"/>
      <c r="O33121" s="36" t="s">
        <v>48</v>
      </c>
      <c r="R33121" s="36" t="s">
        <v>48</v>
      </c>
    </row>
    <row r="33122">
      <c r="H33122" s="50"/>
      <c r="I33122" s="50"/>
      <c r="O33122" s="36" t="s">
        <v>48</v>
      </c>
      <c r="R33122" s="36" t="s">
        <v>48</v>
      </c>
    </row>
    <row r="33123">
      <c r="H33123" s="50"/>
      <c r="I33123" s="50"/>
      <c r="O33123" s="36" t="s">
        <v>48</v>
      </c>
      <c r="R33123" s="36" t="s">
        <v>48</v>
      </c>
    </row>
    <row r="33124">
      <c r="H33124" s="50"/>
      <c r="I33124" s="50"/>
      <c r="O33124" s="36" t="s">
        <v>48</v>
      </c>
      <c r="R33124" s="36" t="s">
        <v>48</v>
      </c>
    </row>
    <row r="33125">
      <c r="H33125" s="50"/>
      <c r="I33125" s="50"/>
      <c r="O33125" s="36" t="s">
        <v>48</v>
      </c>
      <c r="R33125" s="36" t="s">
        <v>48</v>
      </c>
    </row>
    <row r="33126">
      <c r="H33126" s="50"/>
      <c r="I33126" s="50"/>
      <c r="O33126" s="36" t="s">
        <v>48</v>
      </c>
      <c r="R33126" s="36" t="s">
        <v>48</v>
      </c>
    </row>
    <row r="33127">
      <c r="H33127" s="50"/>
      <c r="I33127" s="50"/>
      <c r="O33127" s="36" t="s">
        <v>48</v>
      </c>
      <c r="R33127" s="36" t="s">
        <v>48</v>
      </c>
    </row>
    <row r="33128">
      <c r="H33128" s="50"/>
      <c r="I33128" s="50"/>
      <c r="O33128" s="36" t="s">
        <v>48</v>
      </c>
      <c r="R33128" s="36" t="s">
        <v>48</v>
      </c>
    </row>
    <row r="33129">
      <c r="H33129" s="50"/>
      <c r="I33129" s="50"/>
      <c r="O33129" s="36" t="s">
        <v>48</v>
      </c>
      <c r="R33129" s="36" t="s">
        <v>48</v>
      </c>
    </row>
    <row r="33130">
      <c r="H33130" s="50"/>
      <c r="I33130" s="50"/>
      <c r="O33130" s="36" t="s">
        <v>48</v>
      </c>
      <c r="R33130" s="36" t="s">
        <v>48</v>
      </c>
    </row>
    <row r="33131">
      <c r="H33131" s="50"/>
      <c r="I33131" s="50"/>
      <c r="O33131" s="36" t="s">
        <v>48</v>
      </c>
      <c r="R33131" s="36" t="s">
        <v>48</v>
      </c>
    </row>
    <row r="33132">
      <c r="H33132" s="50"/>
      <c r="I33132" s="50"/>
      <c r="O33132" s="36" t="s">
        <v>48</v>
      </c>
      <c r="R33132" s="36" t="s">
        <v>48</v>
      </c>
    </row>
    <row r="33133">
      <c r="H33133" s="50"/>
      <c r="I33133" s="50"/>
      <c r="O33133" s="36" t="s">
        <v>48</v>
      </c>
      <c r="R33133" s="36" t="s">
        <v>48</v>
      </c>
    </row>
    <row r="33134">
      <c r="H33134" s="50"/>
      <c r="I33134" s="50"/>
      <c r="O33134" s="36" t="s">
        <v>48</v>
      </c>
      <c r="R33134" s="36" t="s">
        <v>48</v>
      </c>
    </row>
    <row r="33135">
      <c r="H33135" s="50"/>
      <c r="I33135" s="50"/>
      <c r="O33135" s="36" t="s">
        <v>48</v>
      </c>
      <c r="R33135" s="36" t="s">
        <v>48</v>
      </c>
    </row>
    <row r="33136">
      <c r="H33136" s="50"/>
      <c r="I33136" s="50"/>
      <c r="O33136" s="36" t="s">
        <v>48</v>
      </c>
      <c r="R33136" s="36" t="s">
        <v>48</v>
      </c>
    </row>
    <row r="33137">
      <c r="H33137" s="50"/>
      <c r="I33137" s="50"/>
      <c r="O33137" s="36" t="s">
        <v>48</v>
      </c>
      <c r="R33137" s="36" t="s">
        <v>48</v>
      </c>
    </row>
    <row r="33138">
      <c r="H33138" s="50"/>
      <c r="I33138" s="50"/>
      <c r="O33138" s="36" t="s">
        <v>48</v>
      </c>
      <c r="R33138" s="36" t="s">
        <v>48</v>
      </c>
    </row>
    <row r="33139">
      <c r="H33139" s="50"/>
      <c r="I33139" s="50"/>
      <c r="O33139" s="36" t="s">
        <v>48</v>
      </c>
      <c r="R33139" s="36" t="s">
        <v>48</v>
      </c>
    </row>
    <row r="33140">
      <c r="H33140" s="50"/>
      <c r="I33140" s="50"/>
      <c r="O33140" s="36" t="s">
        <v>48</v>
      </c>
      <c r="R33140" s="36" t="s">
        <v>48</v>
      </c>
    </row>
    <row r="33141">
      <c r="H33141" s="50"/>
      <c r="I33141" s="50"/>
      <c r="O33141" s="36" t="s">
        <v>48</v>
      </c>
      <c r="R33141" s="36" t="s">
        <v>48</v>
      </c>
    </row>
    <row r="33142">
      <c r="H33142" s="50"/>
      <c r="I33142" s="50"/>
      <c r="O33142" s="36" t="s">
        <v>48</v>
      </c>
      <c r="R33142" s="36" t="s">
        <v>48</v>
      </c>
    </row>
    <row r="33143">
      <c r="H33143" s="50"/>
      <c r="I33143" s="50"/>
      <c r="O33143" s="36" t="s">
        <v>48</v>
      </c>
      <c r="R33143" s="36" t="s">
        <v>48</v>
      </c>
    </row>
    <row r="33144">
      <c r="H33144" s="50"/>
      <c r="I33144" s="50"/>
      <c r="O33144" s="36" t="s">
        <v>48</v>
      </c>
      <c r="R33144" s="36" t="s">
        <v>48</v>
      </c>
    </row>
    <row r="33145">
      <c r="H33145" s="50"/>
      <c r="I33145" s="50"/>
      <c r="O33145" s="36" t="s">
        <v>48</v>
      </c>
      <c r="R33145" s="36" t="s">
        <v>48</v>
      </c>
    </row>
    <row r="33146">
      <c r="H33146" s="50"/>
      <c r="I33146" s="50"/>
      <c r="O33146" s="36" t="s">
        <v>48</v>
      </c>
      <c r="R33146" s="36" t="s">
        <v>48</v>
      </c>
    </row>
    <row r="33147">
      <c r="H33147" s="50"/>
      <c r="I33147" s="50"/>
      <c r="O33147" s="36" t="s">
        <v>48</v>
      </c>
      <c r="R33147" s="36" t="s">
        <v>48</v>
      </c>
    </row>
    <row r="33148">
      <c r="H33148" s="50"/>
      <c r="I33148" s="50"/>
      <c r="O33148" s="36" t="s">
        <v>48</v>
      </c>
      <c r="R33148" s="36" t="s">
        <v>48</v>
      </c>
    </row>
    <row r="33149">
      <c r="H33149" s="50"/>
      <c r="I33149" s="50"/>
      <c r="O33149" s="36" t="s">
        <v>48</v>
      </c>
      <c r="R33149" s="36" t="s">
        <v>48</v>
      </c>
    </row>
    <row r="33150">
      <c r="H33150" s="50"/>
      <c r="I33150" s="50"/>
      <c r="O33150" s="36" t="s">
        <v>48</v>
      </c>
      <c r="R33150" s="36" t="s">
        <v>48</v>
      </c>
    </row>
    <row r="33151">
      <c r="H33151" s="50"/>
      <c r="I33151" s="50"/>
      <c r="O33151" s="36" t="s">
        <v>48</v>
      </c>
      <c r="R33151" s="36" t="s">
        <v>48</v>
      </c>
    </row>
    <row r="33152">
      <c r="H33152" s="50"/>
      <c r="I33152" s="50"/>
      <c r="O33152" s="36" t="s">
        <v>48</v>
      </c>
      <c r="R33152" s="36" t="s">
        <v>48</v>
      </c>
    </row>
    <row r="33153">
      <c r="H33153" s="50"/>
      <c r="I33153" s="50"/>
      <c r="O33153" s="36" t="s">
        <v>48</v>
      </c>
      <c r="R33153" s="36" t="s">
        <v>48</v>
      </c>
    </row>
    <row r="33154">
      <c r="H33154" s="50"/>
      <c r="I33154" s="50"/>
      <c r="O33154" s="36" t="s">
        <v>48</v>
      </c>
      <c r="R33154" s="36" t="s">
        <v>48</v>
      </c>
    </row>
    <row r="33155">
      <c r="H33155" s="50"/>
      <c r="I33155" s="50"/>
      <c r="O33155" s="36" t="s">
        <v>48</v>
      </c>
      <c r="R33155" s="36" t="s">
        <v>48</v>
      </c>
    </row>
    <row r="33156">
      <c r="H33156" s="50"/>
      <c r="I33156" s="50"/>
      <c r="O33156" s="36" t="s">
        <v>48</v>
      </c>
      <c r="R33156" s="36" t="s">
        <v>48</v>
      </c>
    </row>
    <row r="33157">
      <c r="H33157" s="50"/>
      <c r="I33157" s="50"/>
      <c r="O33157" s="36" t="s">
        <v>48</v>
      </c>
      <c r="R33157" s="36" t="s">
        <v>48</v>
      </c>
    </row>
    <row r="33158">
      <c r="H33158" s="50"/>
      <c r="I33158" s="50"/>
      <c r="O33158" s="36" t="s">
        <v>48</v>
      </c>
      <c r="R33158" s="36" t="s">
        <v>48</v>
      </c>
    </row>
    <row r="33159">
      <c r="H33159" s="50"/>
      <c r="I33159" s="50"/>
      <c r="O33159" s="36" t="s">
        <v>48</v>
      </c>
      <c r="R33159" s="36" t="s">
        <v>48</v>
      </c>
    </row>
    <row r="33160">
      <c r="H33160" s="50"/>
      <c r="I33160" s="50"/>
      <c r="O33160" s="36" t="s">
        <v>48</v>
      </c>
      <c r="R33160" s="36" t="s">
        <v>48</v>
      </c>
    </row>
    <row r="33161">
      <c r="H33161" s="50"/>
      <c r="I33161" s="50"/>
      <c r="O33161" s="36" t="s">
        <v>48</v>
      </c>
      <c r="R33161" s="36" t="s">
        <v>48</v>
      </c>
    </row>
    <row r="33162">
      <c r="H33162" s="50"/>
      <c r="I33162" s="50"/>
      <c r="O33162" s="36" t="s">
        <v>48</v>
      </c>
      <c r="R33162" s="36" t="s">
        <v>48</v>
      </c>
    </row>
    <row r="33163">
      <c r="H33163" s="50"/>
      <c r="I33163" s="50"/>
      <c r="O33163" s="36" t="s">
        <v>48</v>
      </c>
      <c r="R33163" s="36" t="s">
        <v>48</v>
      </c>
    </row>
    <row r="33164">
      <c r="H33164" s="50"/>
      <c r="I33164" s="50"/>
      <c r="O33164" s="36" t="s">
        <v>48</v>
      </c>
      <c r="R33164" s="36" t="s">
        <v>48</v>
      </c>
    </row>
    <row r="33165">
      <c r="H33165" s="50"/>
      <c r="I33165" s="50"/>
      <c r="O33165" s="36" t="s">
        <v>48</v>
      </c>
      <c r="R33165" s="36" t="s">
        <v>48</v>
      </c>
    </row>
    <row r="33166">
      <c r="H33166" s="50"/>
      <c r="I33166" s="50"/>
      <c r="O33166" s="36" t="s">
        <v>48</v>
      </c>
      <c r="R33166" s="36" t="s">
        <v>48</v>
      </c>
    </row>
    <row r="33167">
      <c r="H33167" s="50"/>
      <c r="I33167" s="50"/>
      <c r="O33167" s="36" t="s">
        <v>48</v>
      </c>
      <c r="R33167" s="36" t="s">
        <v>48</v>
      </c>
    </row>
    <row r="33168">
      <c r="H33168" s="50"/>
      <c r="I33168" s="50"/>
      <c r="O33168" s="36" t="s">
        <v>48</v>
      </c>
      <c r="R33168" s="36" t="s">
        <v>48</v>
      </c>
    </row>
    <row r="33169">
      <c r="H33169" s="50"/>
      <c r="I33169" s="50"/>
      <c r="O33169" s="36" t="s">
        <v>48</v>
      </c>
      <c r="R33169" s="36" t="s">
        <v>48</v>
      </c>
    </row>
    <row r="33170">
      <c r="H33170" s="50"/>
      <c r="I33170" s="50"/>
      <c r="O33170" s="36" t="s">
        <v>48</v>
      </c>
      <c r="R33170" s="36" t="s">
        <v>48</v>
      </c>
    </row>
    <row r="33171">
      <c r="H33171" s="50"/>
      <c r="I33171" s="50"/>
      <c r="O33171" s="36" t="s">
        <v>48</v>
      </c>
      <c r="R33171" s="36" t="s">
        <v>48</v>
      </c>
    </row>
    <row r="33172">
      <c r="H33172" s="50"/>
      <c r="I33172" s="50"/>
      <c r="O33172" s="36" t="s">
        <v>48</v>
      </c>
      <c r="R33172" s="36" t="s">
        <v>48</v>
      </c>
    </row>
    <row r="33173">
      <c r="H33173" s="50"/>
      <c r="I33173" s="50"/>
      <c r="O33173" s="36" t="s">
        <v>48</v>
      </c>
      <c r="R33173" s="36" t="s">
        <v>48</v>
      </c>
    </row>
    <row r="33174">
      <c r="H33174" s="50"/>
      <c r="I33174" s="50"/>
      <c r="O33174" s="36" t="s">
        <v>48</v>
      </c>
      <c r="R33174" s="36" t="s">
        <v>48</v>
      </c>
    </row>
    <row r="33175">
      <c r="H33175" s="50"/>
      <c r="I33175" s="50"/>
      <c r="O33175" s="36" t="s">
        <v>48</v>
      </c>
      <c r="R33175" s="36" t="s">
        <v>48</v>
      </c>
    </row>
    <row r="33176">
      <c r="H33176" s="50"/>
      <c r="I33176" s="50"/>
      <c r="O33176" s="36" t="s">
        <v>48</v>
      </c>
      <c r="R33176" s="36" t="s">
        <v>48</v>
      </c>
    </row>
    <row r="33177">
      <c r="H33177" s="50"/>
      <c r="I33177" s="50"/>
      <c r="O33177" s="36" t="s">
        <v>48</v>
      </c>
      <c r="R33177" s="36" t="s">
        <v>48</v>
      </c>
    </row>
    <row r="33178">
      <c r="H33178" s="50"/>
      <c r="I33178" s="50"/>
      <c r="O33178" s="36" t="s">
        <v>48</v>
      </c>
      <c r="R33178" s="36" t="s">
        <v>48</v>
      </c>
    </row>
    <row r="33179">
      <c r="H33179" s="50"/>
      <c r="I33179" s="50"/>
      <c r="O33179" s="36" t="s">
        <v>48</v>
      </c>
      <c r="R33179" s="36" t="s">
        <v>48</v>
      </c>
    </row>
    <row r="33180">
      <c r="H33180" s="50"/>
      <c r="I33180" s="50"/>
      <c r="O33180" s="36" t="s">
        <v>48</v>
      </c>
      <c r="R33180" s="36" t="s">
        <v>48</v>
      </c>
    </row>
    <row r="33181">
      <c r="H33181" s="50"/>
      <c r="I33181" s="50"/>
      <c r="O33181" s="36" t="s">
        <v>48</v>
      </c>
      <c r="R33181" s="36" t="s">
        <v>48</v>
      </c>
    </row>
    <row r="33182">
      <c r="H33182" s="50"/>
      <c r="I33182" s="50"/>
      <c r="O33182" s="36" t="s">
        <v>48</v>
      </c>
      <c r="R33182" s="36" t="s">
        <v>48</v>
      </c>
    </row>
    <row r="33183">
      <c r="H33183" s="50"/>
      <c r="I33183" s="50"/>
      <c r="O33183" s="36" t="s">
        <v>48</v>
      </c>
      <c r="R33183" s="36" t="s">
        <v>48</v>
      </c>
    </row>
    <row r="33184">
      <c r="H33184" s="50"/>
      <c r="I33184" s="50"/>
      <c r="O33184" s="36" t="s">
        <v>48</v>
      </c>
      <c r="R33184" s="36" t="s">
        <v>48</v>
      </c>
    </row>
    <row r="33185">
      <c r="H33185" s="50"/>
      <c r="I33185" s="50"/>
      <c r="O33185" s="36" t="s">
        <v>48</v>
      </c>
      <c r="R33185" s="36" t="s">
        <v>48</v>
      </c>
    </row>
    <row r="33186">
      <c r="H33186" s="50"/>
      <c r="I33186" s="50"/>
      <c r="O33186" s="36" t="s">
        <v>48</v>
      </c>
      <c r="R33186" s="36" t="s">
        <v>48</v>
      </c>
    </row>
    <row r="33187">
      <c r="H33187" s="50"/>
      <c r="I33187" s="50"/>
      <c r="O33187" s="36" t="s">
        <v>48</v>
      </c>
      <c r="R33187" s="36" t="s">
        <v>48</v>
      </c>
    </row>
    <row r="33188">
      <c r="H33188" s="50"/>
      <c r="I33188" s="50"/>
      <c r="O33188" s="36" t="s">
        <v>48</v>
      </c>
      <c r="R33188" s="36" t="s">
        <v>48</v>
      </c>
    </row>
    <row r="33189">
      <c r="H33189" s="50"/>
      <c r="I33189" s="50"/>
      <c r="O33189" s="36" t="s">
        <v>48</v>
      </c>
      <c r="R33189" s="36" t="s">
        <v>48</v>
      </c>
    </row>
    <row r="33190">
      <c r="H33190" s="50"/>
      <c r="I33190" s="50"/>
      <c r="O33190" s="36" t="s">
        <v>48</v>
      </c>
      <c r="R33190" s="36" t="s">
        <v>48</v>
      </c>
    </row>
    <row r="33191">
      <c r="H33191" s="50"/>
      <c r="I33191" s="50"/>
      <c r="O33191" s="36" t="s">
        <v>48</v>
      </c>
      <c r="R33191" s="36" t="s">
        <v>48</v>
      </c>
    </row>
    <row r="33192">
      <c r="H33192" s="50"/>
      <c r="I33192" s="50"/>
      <c r="O33192" s="36" t="s">
        <v>48</v>
      </c>
      <c r="R33192" s="36" t="s">
        <v>48</v>
      </c>
    </row>
    <row r="33193">
      <c r="H33193" s="50"/>
      <c r="I33193" s="50"/>
      <c r="O33193" s="36" t="s">
        <v>48</v>
      </c>
      <c r="R33193" s="36" t="s">
        <v>48</v>
      </c>
    </row>
    <row r="33194">
      <c r="H33194" s="50"/>
      <c r="I33194" s="50"/>
      <c r="O33194" s="36" t="s">
        <v>48</v>
      </c>
      <c r="R33194" s="36" t="s">
        <v>48</v>
      </c>
    </row>
    <row r="33195">
      <c r="H33195" s="50"/>
      <c r="I33195" s="50"/>
      <c r="O33195" s="36" t="s">
        <v>48</v>
      </c>
      <c r="R33195" s="36" t="s">
        <v>48</v>
      </c>
    </row>
    <row r="33196">
      <c r="H33196" s="50"/>
      <c r="I33196" s="50"/>
      <c r="O33196" s="36" t="s">
        <v>48</v>
      </c>
      <c r="R33196" s="36" t="s">
        <v>48</v>
      </c>
    </row>
    <row r="33197">
      <c r="H33197" s="50"/>
      <c r="I33197" s="50"/>
      <c r="O33197" s="36" t="s">
        <v>48</v>
      </c>
      <c r="R33197" s="36" t="s">
        <v>48</v>
      </c>
    </row>
    <row r="33198">
      <c r="H33198" s="50"/>
      <c r="I33198" s="50"/>
      <c r="O33198" s="36" t="s">
        <v>48</v>
      </c>
      <c r="R33198" s="36" t="s">
        <v>48</v>
      </c>
    </row>
    <row r="33199">
      <c r="H33199" s="50"/>
      <c r="I33199" s="50"/>
      <c r="O33199" s="36" t="s">
        <v>48</v>
      </c>
      <c r="R33199" s="36" t="s">
        <v>48</v>
      </c>
    </row>
    <row r="33200">
      <c r="H33200" s="50"/>
      <c r="I33200" s="50"/>
      <c r="O33200" s="36" t="s">
        <v>48</v>
      </c>
      <c r="R33200" s="36" t="s">
        <v>48</v>
      </c>
    </row>
    <row r="33201">
      <c r="H33201" s="50"/>
      <c r="I33201" s="50"/>
      <c r="O33201" s="36" t="s">
        <v>48</v>
      </c>
      <c r="R33201" s="36" t="s">
        <v>48</v>
      </c>
    </row>
    <row r="33202">
      <c r="H33202" s="50"/>
      <c r="I33202" s="50"/>
      <c r="O33202" s="36" t="s">
        <v>48</v>
      </c>
      <c r="R33202" s="36" t="s">
        <v>48</v>
      </c>
    </row>
    <row r="33203">
      <c r="H33203" s="50"/>
      <c r="I33203" s="50"/>
      <c r="O33203" s="36" t="s">
        <v>48</v>
      </c>
      <c r="R33203" s="36" t="s">
        <v>48</v>
      </c>
    </row>
    <row r="33204">
      <c r="H33204" s="50"/>
      <c r="I33204" s="50"/>
      <c r="O33204" s="36" t="s">
        <v>48</v>
      </c>
      <c r="R33204" s="36" t="s">
        <v>48</v>
      </c>
    </row>
    <row r="33205">
      <c r="H33205" s="50"/>
      <c r="I33205" s="50"/>
      <c r="O33205" s="36" t="s">
        <v>48</v>
      </c>
      <c r="R33205" s="36" t="s">
        <v>48</v>
      </c>
    </row>
    <row r="33206">
      <c r="H33206" s="50"/>
      <c r="I33206" s="50"/>
      <c r="O33206" s="36" t="s">
        <v>48</v>
      </c>
      <c r="R33206" s="36" t="s">
        <v>48</v>
      </c>
    </row>
    <row r="33207">
      <c r="H33207" s="50"/>
      <c r="I33207" s="50"/>
      <c r="O33207" s="36" t="s">
        <v>48</v>
      </c>
      <c r="R33207" s="36" t="s">
        <v>48</v>
      </c>
    </row>
    <row r="33208">
      <c r="H33208" s="50"/>
      <c r="I33208" s="50"/>
      <c r="O33208" s="36" t="s">
        <v>48</v>
      </c>
      <c r="R33208" s="36" t="s">
        <v>48</v>
      </c>
    </row>
    <row r="33209">
      <c r="H33209" s="50"/>
      <c r="I33209" s="50"/>
      <c r="O33209" s="36" t="s">
        <v>48</v>
      </c>
      <c r="R33209" s="36" t="s">
        <v>48</v>
      </c>
    </row>
    <row r="33210">
      <c r="H33210" s="50"/>
      <c r="I33210" s="50"/>
      <c r="O33210" s="36" t="s">
        <v>48</v>
      </c>
      <c r="R33210" s="36" t="s">
        <v>48</v>
      </c>
    </row>
    <row r="33211">
      <c r="H33211" s="50"/>
      <c r="I33211" s="50"/>
      <c r="O33211" s="36" t="s">
        <v>48</v>
      </c>
      <c r="R33211" s="36" t="s">
        <v>48</v>
      </c>
    </row>
    <row r="33212">
      <c r="H33212" s="50"/>
      <c r="I33212" s="50"/>
      <c r="O33212" s="36" t="s">
        <v>48</v>
      </c>
      <c r="R33212" s="36" t="s">
        <v>48</v>
      </c>
    </row>
    <row r="33213">
      <c r="H33213" s="50"/>
      <c r="I33213" s="50"/>
      <c r="O33213" s="36" t="s">
        <v>48</v>
      </c>
      <c r="R33213" s="36" t="s">
        <v>48</v>
      </c>
    </row>
    <row r="33214">
      <c r="H33214" s="50"/>
      <c r="I33214" s="50"/>
      <c r="O33214" s="36" t="s">
        <v>48</v>
      </c>
      <c r="R33214" s="36" t="s">
        <v>48</v>
      </c>
    </row>
    <row r="33215">
      <c r="H33215" s="50"/>
      <c r="I33215" s="50"/>
      <c r="O33215" s="36" t="s">
        <v>48</v>
      </c>
      <c r="R33215" s="36" t="s">
        <v>48</v>
      </c>
    </row>
    <row r="33216">
      <c r="H33216" s="50"/>
      <c r="I33216" s="50"/>
      <c r="O33216" s="36" t="s">
        <v>48</v>
      </c>
      <c r="R33216" s="36" t="s">
        <v>48</v>
      </c>
    </row>
    <row r="33217">
      <c r="H33217" s="50"/>
      <c r="I33217" s="50"/>
      <c r="O33217" s="36" t="s">
        <v>48</v>
      </c>
      <c r="R33217" s="36" t="s">
        <v>48</v>
      </c>
    </row>
    <row r="33218">
      <c r="H33218" s="50"/>
      <c r="I33218" s="50"/>
      <c r="O33218" s="36" t="s">
        <v>48</v>
      </c>
      <c r="R33218" s="36" t="s">
        <v>48</v>
      </c>
    </row>
    <row r="33219">
      <c r="H33219" s="50"/>
      <c r="I33219" s="50"/>
      <c r="O33219" s="36" t="s">
        <v>48</v>
      </c>
      <c r="R33219" s="36" t="s">
        <v>48</v>
      </c>
    </row>
    <row r="33220">
      <c r="H33220" s="50"/>
      <c r="I33220" s="50"/>
      <c r="O33220" s="36" t="s">
        <v>48</v>
      </c>
      <c r="R33220" s="36" t="s">
        <v>48</v>
      </c>
    </row>
    <row r="33221">
      <c r="H33221" s="50"/>
      <c r="I33221" s="50"/>
      <c r="O33221" s="36" t="s">
        <v>48</v>
      </c>
      <c r="R33221" s="36" t="s">
        <v>48</v>
      </c>
    </row>
    <row r="33222">
      <c r="H33222" s="50"/>
      <c r="I33222" s="50"/>
      <c r="O33222" s="36" t="s">
        <v>48</v>
      </c>
      <c r="R33222" s="36" t="s">
        <v>48</v>
      </c>
    </row>
    <row r="33223">
      <c r="H33223" s="50"/>
      <c r="I33223" s="50"/>
      <c r="O33223" s="36" t="s">
        <v>48</v>
      </c>
      <c r="R33223" s="36" t="s">
        <v>48</v>
      </c>
    </row>
    <row r="33224">
      <c r="H33224" s="50"/>
      <c r="I33224" s="50"/>
      <c r="O33224" s="36" t="s">
        <v>48</v>
      </c>
      <c r="R33224" s="36" t="s">
        <v>48</v>
      </c>
    </row>
    <row r="33225">
      <c r="H33225" s="50"/>
      <c r="I33225" s="50"/>
      <c r="O33225" s="36" t="s">
        <v>48</v>
      </c>
      <c r="R33225" s="36" t="s">
        <v>48</v>
      </c>
    </row>
    <row r="33226">
      <c r="H33226" s="50"/>
      <c r="I33226" s="50"/>
      <c r="O33226" s="36" t="s">
        <v>48</v>
      </c>
      <c r="R33226" s="36" t="s">
        <v>48</v>
      </c>
    </row>
    <row r="33227">
      <c r="H33227" s="50"/>
      <c r="I33227" s="50"/>
      <c r="O33227" s="36" t="s">
        <v>48</v>
      </c>
      <c r="R33227" s="36" t="s">
        <v>48</v>
      </c>
    </row>
    <row r="33228">
      <c r="H33228" s="50"/>
      <c r="I33228" s="50"/>
      <c r="O33228" s="36" t="s">
        <v>48</v>
      </c>
      <c r="R33228" s="36" t="s">
        <v>48</v>
      </c>
    </row>
    <row r="33229">
      <c r="H33229" s="50"/>
      <c r="I33229" s="50"/>
      <c r="O33229" s="36" t="s">
        <v>48</v>
      </c>
      <c r="R33229" s="36" t="s">
        <v>48</v>
      </c>
    </row>
    <row r="33230">
      <c r="H33230" s="50"/>
      <c r="I33230" s="50"/>
      <c r="O33230" s="36" t="s">
        <v>48</v>
      </c>
      <c r="R33230" s="36" t="s">
        <v>48</v>
      </c>
    </row>
    <row r="33231">
      <c r="H33231" s="50"/>
      <c r="I33231" s="50"/>
      <c r="O33231" s="36" t="s">
        <v>48</v>
      </c>
      <c r="R33231" s="36" t="s">
        <v>48</v>
      </c>
    </row>
    <row r="33232">
      <c r="H33232" s="50"/>
      <c r="I33232" s="50"/>
      <c r="O33232" s="36" t="s">
        <v>48</v>
      </c>
      <c r="R33232" s="36" t="s">
        <v>48</v>
      </c>
    </row>
    <row r="33233">
      <c r="H33233" s="50"/>
      <c r="I33233" s="50"/>
      <c r="O33233" s="36" t="s">
        <v>48</v>
      </c>
      <c r="R33233" s="36" t="s">
        <v>48</v>
      </c>
    </row>
    <row r="33234">
      <c r="H33234" s="50"/>
      <c r="I33234" s="50"/>
      <c r="O33234" s="36" t="s">
        <v>48</v>
      </c>
      <c r="R33234" s="36" t="s">
        <v>48</v>
      </c>
    </row>
    <row r="33235">
      <c r="H33235" s="50"/>
      <c r="I33235" s="50"/>
      <c r="O33235" s="36" t="s">
        <v>48</v>
      </c>
      <c r="R33235" s="36" t="s">
        <v>48</v>
      </c>
    </row>
    <row r="33236">
      <c r="H33236" s="50"/>
      <c r="I33236" s="50"/>
      <c r="O33236" s="36" t="s">
        <v>48</v>
      </c>
      <c r="R33236" s="36" t="s">
        <v>48</v>
      </c>
    </row>
    <row r="33237">
      <c r="H33237" s="50"/>
      <c r="I33237" s="50"/>
      <c r="O33237" s="36" t="s">
        <v>48</v>
      </c>
      <c r="R33237" s="36" t="s">
        <v>48</v>
      </c>
    </row>
    <row r="33238">
      <c r="H33238" s="50"/>
      <c r="I33238" s="50"/>
      <c r="O33238" s="36" t="s">
        <v>48</v>
      </c>
      <c r="R33238" s="36" t="s">
        <v>48</v>
      </c>
    </row>
    <row r="33239">
      <c r="H33239" s="50"/>
      <c r="I33239" s="50"/>
      <c r="O33239" s="36" t="s">
        <v>48</v>
      </c>
      <c r="R33239" s="36" t="s">
        <v>48</v>
      </c>
    </row>
    <row r="33240">
      <c r="H33240" s="50"/>
      <c r="I33240" s="50"/>
      <c r="O33240" s="36" t="s">
        <v>48</v>
      </c>
      <c r="R33240" s="36" t="s">
        <v>48</v>
      </c>
    </row>
    <row r="33241">
      <c r="H33241" s="50"/>
      <c r="I33241" s="50"/>
      <c r="O33241" s="36" t="s">
        <v>48</v>
      </c>
      <c r="R33241" s="36" t="s">
        <v>48</v>
      </c>
    </row>
    <row r="33242">
      <c r="H33242" s="50"/>
      <c r="I33242" s="50"/>
      <c r="O33242" s="36" t="s">
        <v>48</v>
      </c>
      <c r="R33242" s="36" t="s">
        <v>48</v>
      </c>
    </row>
    <row r="33243">
      <c r="H33243" s="50"/>
      <c r="I33243" s="50"/>
      <c r="O33243" s="36" t="s">
        <v>48</v>
      </c>
      <c r="R33243" s="36" t="s">
        <v>48</v>
      </c>
    </row>
    <row r="33244">
      <c r="H33244" s="50"/>
      <c r="I33244" s="50"/>
      <c r="O33244" s="36" t="s">
        <v>48</v>
      </c>
      <c r="R33244" s="36" t="s">
        <v>48</v>
      </c>
    </row>
    <row r="33245">
      <c r="H33245" s="50"/>
      <c r="I33245" s="50"/>
      <c r="O33245" s="36" t="s">
        <v>48</v>
      </c>
      <c r="R33245" s="36" t="s">
        <v>48</v>
      </c>
    </row>
    <row r="33246">
      <c r="H33246" s="50"/>
      <c r="I33246" s="50"/>
      <c r="O33246" s="36" t="s">
        <v>48</v>
      </c>
      <c r="R33246" s="36" t="s">
        <v>48</v>
      </c>
    </row>
    <row r="33247">
      <c r="H33247" s="50"/>
      <c r="I33247" s="50"/>
      <c r="O33247" s="36" t="s">
        <v>48</v>
      </c>
      <c r="R33247" s="36" t="s">
        <v>48</v>
      </c>
    </row>
    <row r="33248">
      <c r="H33248" s="50"/>
      <c r="I33248" s="50"/>
      <c r="O33248" s="36" t="s">
        <v>48</v>
      </c>
      <c r="R33248" s="36" t="s">
        <v>48</v>
      </c>
    </row>
    <row r="33249">
      <c r="H33249" s="50"/>
      <c r="I33249" s="50"/>
      <c r="O33249" s="36" t="s">
        <v>48</v>
      </c>
      <c r="R33249" s="36" t="s">
        <v>48</v>
      </c>
    </row>
    <row r="33250">
      <c r="H33250" s="50"/>
      <c r="I33250" s="50"/>
      <c r="O33250" s="36" t="s">
        <v>48</v>
      </c>
      <c r="R33250" s="36" t="s">
        <v>48</v>
      </c>
    </row>
    <row r="33251">
      <c r="H33251" s="50"/>
      <c r="I33251" s="50"/>
      <c r="O33251" s="36" t="s">
        <v>48</v>
      </c>
      <c r="R33251" s="36" t="s">
        <v>48</v>
      </c>
    </row>
    <row r="33252">
      <c r="H33252" s="50"/>
      <c r="I33252" s="50"/>
      <c r="O33252" s="36" t="s">
        <v>48</v>
      </c>
      <c r="R33252" s="36" t="s">
        <v>48</v>
      </c>
    </row>
    <row r="33253">
      <c r="H33253" s="50"/>
      <c r="I33253" s="50"/>
      <c r="O33253" s="36" t="s">
        <v>48</v>
      </c>
      <c r="R33253" s="36" t="s">
        <v>48</v>
      </c>
    </row>
    <row r="33254">
      <c r="H33254" s="50"/>
      <c r="I33254" s="50"/>
      <c r="O33254" s="36" t="s">
        <v>48</v>
      </c>
      <c r="R33254" s="36" t="s">
        <v>48</v>
      </c>
    </row>
    <row r="33255">
      <c r="H33255" s="50"/>
      <c r="I33255" s="50"/>
      <c r="O33255" s="36" t="s">
        <v>48</v>
      </c>
      <c r="R33255" s="36" t="s">
        <v>48</v>
      </c>
    </row>
    <row r="33256">
      <c r="H33256" s="50"/>
      <c r="I33256" s="50"/>
      <c r="O33256" s="36" t="s">
        <v>48</v>
      </c>
      <c r="R33256" s="36" t="s">
        <v>48</v>
      </c>
    </row>
    <row r="33257">
      <c r="H33257" s="50"/>
      <c r="I33257" s="50"/>
      <c r="O33257" s="36" t="s">
        <v>48</v>
      </c>
      <c r="R33257" s="36" t="s">
        <v>48</v>
      </c>
    </row>
    <row r="33258">
      <c r="H33258" s="50"/>
      <c r="I33258" s="50"/>
      <c r="O33258" s="36" t="s">
        <v>48</v>
      </c>
      <c r="R33258" s="36" t="s">
        <v>48</v>
      </c>
    </row>
    <row r="33259">
      <c r="H33259" s="50"/>
      <c r="I33259" s="50"/>
      <c r="O33259" s="36" t="s">
        <v>48</v>
      </c>
      <c r="R33259" s="36" t="s">
        <v>48</v>
      </c>
    </row>
    <row r="33260">
      <c r="H33260" s="50"/>
      <c r="I33260" s="50"/>
      <c r="O33260" s="36" t="s">
        <v>48</v>
      </c>
      <c r="R33260" s="36" t="s">
        <v>48</v>
      </c>
    </row>
    <row r="33261">
      <c r="H33261" s="50"/>
      <c r="I33261" s="50"/>
      <c r="O33261" s="36" t="s">
        <v>48</v>
      </c>
      <c r="R33261" s="36" t="s">
        <v>48</v>
      </c>
    </row>
    <row r="33262">
      <c r="H33262" s="50"/>
      <c r="I33262" s="50"/>
      <c r="O33262" s="36" t="s">
        <v>48</v>
      </c>
      <c r="R33262" s="36" t="s">
        <v>48</v>
      </c>
    </row>
    <row r="33263">
      <c r="H33263" s="50"/>
      <c r="I33263" s="50"/>
      <c r="O33263" s="36" t="s">
        <v>48</v>
      </c>
      <c r="R33263" s="36" t="s">
        <v>48</v>
      </c>
    </row>
    <row r="33264">
      <c r="H33264" s="50"/>
      <c r="I33264" s="50"/>
      <c r="O33264" s="36" t="s">
        <v>48</v>
      </c>
      <c r="R33264" s="36" t="s">
        <v>48</v>
      </c>
    </row>
    <row r="33265">
      <c r="H33265" s="50"/>
      <c r="I33265" s="50"/>
      <c r="O33265" s="36" t="s">
        <v>48</v>
      </c>
      <c r="R33265" s="36" t="s">
        <v>48</v>
      </c>
    </row>
    <row r="33266">
      <c r="H33266" s="50"/>
      <c r="I33266" s="50"/>
      <c r="O33266" s="36" t="s">
        <v>48</v>
      </c>
      <c r="R33266" s="36" t="s">
        <v>48</v>
      </c>
    </row>
    <row r="33267">
      <c r="H33267" s="50"/>
      <c r="I33267" s="50"/>
      <c r="O33267" s="36" t="s">
        <v>48</v>
      </c>
      <c r="R33267" s="36" t="s">
        <v>48</v>
      </c>
    </row>
    <row r="33268">
      <c r="H33268" s="50"/>
      <c r="I33268" s="50"/>
      <c r="O33268" s="36" t="s">
        <v>48</v>
      </c>
      <c r="R33268" s="36" t="s">
        <v>48</v>
      </c>
    </row>
    <row r="33269">
      <c r="H33269" s="50"/>
      <c r="I33269" s="50"/>
      <c r="O33269" s="36" t="s">
        <v>48</v>
      </c>
      <c r="R33269" s="36" t="s">
        <v>48</v>
      </c>
    </row>
    <row r="33270">
      <c r="H33270" s="50"/>
      <c r="I33270" s="50"/>
      <c r="O33270" s="36" t="s">
        <v>48</v>
      </c>
      <c r="R33270" s="36" t="s">
        <v>48</v>
      </c>
    </row>
    <row r="33271">
      <c r="H33271" s="50"/>
      <c r="I33271" s="50"/>
      <c r="O33271" s="36" t="s">
        <v>48</v>
      </c>
      <c r="R33271" s="36" t="s">
        <v>48</v>
      </c>
    </row>
    <row r="33272">
      <c r="H33272" s="50"/>
      <c r="I33272" s="50"/>
      <c r="O33272" s="36" t="s">
        <v>48</v>
      </c>
      <c r="R33272" s="36" t="s">
        <v>48</v>
      </c>
    </row>
    <row r="33273">
      <c r="H33273" s="50"/>
      <c r="I33273" s="50"/>
      <c r="O33273" s="36" t="s">
        <v>48</v>
      </c>
      <c r="R33273" s="36" t="s">
        <v>48</v>
      </c>
    </row>
    <row r="33274">
      <c r="H33274" s="50"/>
      <c r="I33274" s="50"/>
      <c r="O33274" s="36" t="s">
        <v>48</v>
      </c>
      <c r="R33274" s="36" t="s">
        <v>48</v>
      </c>
    </row>
    <row r="33275">
      <c r="H33275" s="50"/>
      <c r="I33275" s="50"/>
      <c r="O33275" s="36" t="s">
        <v>48</v>
      </c>
      <c r="R33275" s="36" t="s">
        <v>48</v>
      </c>
    </row>
    <row r="33276">
      <c r="H33276" s="50"/>
      <c r="I33276" s="50"/>
      <c r="O33276" s="36" t="s">
        <v>48</v>
      </c>
      <c r="R33276" s="36" t="s">
        <v>48</v>
      </c>
    </row>
    <row r="33277">
      <c r="H33277" s="50"/>
      <c r="I33277" s="50"/>
      <c r="O33277" s="36" t="s">
        <v>48</v>
      </c>
      <c r="R33277" s="36" t="s">
        <v>48</v>
      </c>
    </row>
    <row r="33278">
      <c r="H33278" s="50"/>
      <c r="I33278" s="50"/>
      <c r="O33278" s="36" t="s">
        <v>48</v>
      </c>
      <c r="R33278" s="36" t="s">
        <v>48</v>
      </c>
    </row>
    <row r="33279">
      <c r="H33279" s="50"/>
      <c r="I33279" s="50"/>
      <c r="O33279" s="36" t="s">
        <v>48</v>
      </c>
      <c r="R33279" s="36" t="s">
        <v>48</v>
      </c>
    </row>
    <row r="33280">
      <c r="H33280" s="50"/>
      <c r="I33280" s="50"/>
      <c r="O33280" s="36" t="s">
        <v>48</v>
      </c>
      <c r="R33280" s="36" t="s">
        <v>48</v>
      </c>
    </row>
    <row r="33281">
      <c r="H33281" s="50"/>
      <c r="I33281" s="50"/>
      <c r="O33281" s="36" t="s">
        <v>48</v>
      </c>
      <c r="R33281" s="36" t="s">
        <v>48</v>
      </c>
    </row>
    <row r="33282">
      <c r="H33282" s="50"/>
      <c r="I33282" s="50"/>
      <c r="O33282" s="36" t="s">
        <v>48</v>
      </c>
      <c r="R33282" s="36" t="s">
        <v>48</v>
      </c>
    </row>
    <row r="33283">
      <c r="H33283" s="50"/>
      <c r="I33283" s="50"/>
      <c r="O33283" s="36" t="s">
        <v>48</v>
      </c>
      <c r="R33283" s="36" t="s">
        <v>48</v>
      </c>
    </row>
    <row r="33284">
      <c r="H33284" s="50"/>
      <c r="I33284" s="50"/>
      <c r="O33284" s="36" t="s">
        <v>48</v>
      </c>
      <c r="R33284" s="36" t="s">
        <v>48</v>
      </c>
    </row>
    <row r="33285">
      <c r="H33285" s="50"/>
      <c r="I33285" s="50"/>
      <c r="O33285" s="36" t="s">
        <v>48</v>
      </c>
      <c r="R33285" s="36" t="s">
        <v>48</v>
      </c>
    </row>
    <row r="33286">
      <c r="H33286" s="50"/>
      <c r="I33286" s="50"/>
      <c r="O33286" s="36" t="s">
        <v>48</v>
      </c>
      <c r="R33286" s="36" t="s">
        <v>48</v>
      </c>
    </row>
    <row r="33287">
      <c r="H33287" s="50"/>
      <c r="I33287" s="50"/>
      <c r="O33287" s="36" t="s">
        <v>48</v>
      </c>
      <c r="R33287" s="36" t="s">
        <v>48</v>
      </c>
    </row>
    <row r="33288">
      <c r="H33288" s="50"/>
      <c r="I33288" s="50"/>
      <c r="O33288" s="36" t="s">
        <v>48</v>
      </c>
      <c r="R33288" s="36" t="s">
        <v>48</v>
      </c>
    </row>
    <row r="33289">
      <c r="H33289" s="50"/>
      <c r="I33289" s="50"/>
      <c r="O33289" s="36" t="s">
        <v>48</v>
      </c>
      <c r="R33289" s="36" t="s">
        <v>48</v>
      </c>
    </row>
    <row r="33290">
      <c r="H33290" s="50"/>
      <c r="I33290" s="50"/>
      <c r="O33290" s="36" t="s">
        <v>48</v>
      </c>
      <c r="R33290" s="36" t="s">
        <v>48</v>
      </c>
    </row>
    <row r="33291">
      <c r="H33291" s="50"/>
      <c r="I33291" s="50"/>
      <c r="O33291" s="36" t="s">
        <v>48</v>
      </c>
      <c r="R33291" s="36" t="s">
        <v>48</v>
      </c>
    </row>
    <row r="33292">
      <c r="H33292" s="50"/>
      <c r="I33292" s="50"/>
      <c r="O33292" s="36" t="s">
        <v>48</v>
      </c>
      <c r="R33292" s="36" t="s">
        <v>48</v>
      </c>
    </row>
    <row r="33293">
      <c r="H33293" s="50"/>
      <c r="I33293" s="50"/>
      <c r="O33293" s="36" t="s">
        <v>48</v>
      </c>
      <c r="R33293" s="36" t="s">
        <v>48</v>
      </c>
    </row>
    <row r="33294">
      <c r="H33294" s="50"/>
      <c r="I33294" s="50"/>
      <c r="O33294" s="36" t="s">
        <v>48</v>
      </c>
      <c r="R33294" s="36" t="s">
        <v>48</v>
      </c>
    </row>
    <row r="33295">
      <c r="H33295" s="50"/>
      <c r="I33295" s="50"/>
      <c r="O33295" s="36" t="s">
        <v>48</v>
      </c>
      <c r="R33295" s="36" t="s">
        <v>48</v>
      </c>
    </row>
    <row r="33296">
      <c r="H33296" s="50"/>
      <c r="I33296" s="50"/>
      <c r="O33296" s="36" t="s">
        <v>48</v>
      </c>
      <c r="R33296" s="36" t="s">
        <v>48</v>
      </c>
    </row>
    <row r="33297">
      <c r="H33297" s="50"/>
      <c r="I33297" s="50"/>
      <c r="O33297" s="36" t="s">
        <v>48</v>
      </c>
      <c r="R33297" s="36" t="s">
        <v>48</v>
      </c>
    </row>
    <row r="33298">
      <c r="H33298" s="50"/>
      <c r="I33298" s="50"/>
      <c r="O33298" s="36" t="s">
        <v>48</v>
      </c>
      <c r="R33298" s="36" t="s">
        <v>48</v>
      </c>
    </row>
    <row r="33299">
      <c r="H33299" s="50"/>
      <c r="I33299" s="50"/>
      <c r="O33299" s="36" t="s">
        <v>48</v>
      </c>
      <c r="R33299" s="36" t="s">
        <v>48</v>
      </c>
    </row>
    <row r="33300">
      <c r="H33300" s="50"/>
      <c r="I33300" s="50"/>
      <c r="O33300" s="36" t="s">
        <v>48</v>
      </c>
      <c r="R33300" s="36" t="s">
        <v>48</v>
      </c>
    </row>
    <row r="33301">
      <c r="H33301" s="50"/>
      <c r="I33301" s="50"/>
      <c r="O33301" s="36" t="s">
        <v>48</v>
      </c>
      <c r="R33301" s="36" t="s">
        <v>48</v>
      </c>
    </row>
    <row r="33302">
      <c r="H33302" s="50"/>
      <c r="I33302" s="50"/>
      <c r="O33302" s="36" t="s">
        <v>48</v>
      </c>
      <c r="R33302" s="36" t="s">
        <v>48</v>
      </c>
    </row>
    <row r="33303">
      <c r="H33303" s="50"/>
      <c r="I33303" s="50"/>
      <c r="O33303" s="36" t="s">
        <v>48</v>
      </c>
      <c r="R33303" s="36" t="s">
        <v>48</v>
      </c>
    </row>
    <row r="33304">
      <c r="H33304" s="50"/>
      <c r="I33304" s="50"/>
      <c r="O33304" s="36" t="s">
        <v>48</v>
      </c>
      <c r="R33304" s="36" t="s">
        <v>48</v>
      </c>
    </row>
    <row r="33305">
      <c r="H33305" s="50"/>
      <c r="I33305" s="50"/>
      <c r="O33305" s="36" t="s">
        <v>48</v>
      </c>
      <c r="R33305" s="36" t="s">
        <v>48</v>
      </c>
    </row>
    <row r="33306">
      <c r="H33306" s="50"/>
      <c r="I33306" s="50"/>
      <c r="O33306" s="36" t="s">
        <v>48</v>
      </c>
      <c r="R33306" s="36" t="s">
        <v>48</v>
      </c>
    </row>
    <row r="33307">
      <c r="H33307" s="50"/>
      <c r="I33307" s="50"/>
      <c r="O33307" s="36" t="s">
        <v>48</v>
      </c>
      <c r="R33307" s="36" t="s">
        <v>48</v>
      </c>
    </row>
    <row r="33308">
      <c r="H33308" s="50"/>
      <c r="I33308" s="50"/>
      <c r="O33308" s="36" t="s">
        <v>48</v>
      </c>
      <c r="R33308" s="36" t="s">
        <v>48</v>
      </c>
    </row>
    <row r="33309">
      <c r="H33309" s="50"/>
      <c r="I33309" s="50"/>
      <c r="O33309" s="36" t="s">
        <v>48</v>
      </c>
      <c r="R33309" s="36" t="s">
        <v>48</v>
      </c>
    </row>
    <row r="33310">
      <c r="H33310" s="50"/>
      <c r="I33310" s="50"/>
      <c r="O33310" s="36" t="s">
        <v>48</v>
      </c>
      <c r="R33310" s="36" t="s">
        <v>48</v>
      </c>
    </row>
    <row r="33311">
      <c r="H33311" s="50"/>
      <c r="I33311" s="50"/>
      <c r="O33311" s="36" t="s">
        <v>48</v>
      </c>
      <c r="R33311" s="36" t="s">
        <v>48</v>
      </c>
    </row>
    <row r="33312">
      <c r="H33312" s="50"/>
      <c r="I33312" s="50"/>
      <c r="O33312" s="36" t="s">
        <v>48</v>
      </c>
      <c r="R33312" s="36" t="s">
        <v>48</v>
      </c>
    </row>
    <row r="33313">
      <c r="H33313" s="50"/>
      <c r="I33313" s="50"/>
      <c r="O33313" s="36" t="s">
        <v>48</v>
      </c>
      <c r="R33313" s="36" t="s">
        <v>48</v>
      </c>
    </row>
    <row r="33314">
      <c r="H33314" s="50"/>
      <c r="I33314" s="50"/>
      <c r="O33314" s="36" t="s">
        <v>48</v>
      </c>
      <c r="R33314" s="36" t="s">
        <v>48</v>
      </c>
    </row>
    <row r="33315">
      <c r="H33315" s="50"/>
      <c r="I33315" s="50"/>
      <c r="O33315" s="36" t="s">
        <v>48</v>
      </c>
      <c r="R33315" s="36" t="s">
        <v>48</v>
      </c>
    </row>
    <row r="33316">
      <c r="H33316" s="50"/>
      <c r="I33316" s="50"/>
      <c r="O33316" s="36" t="s">
        <v>48</v>
      </c>
      <c r="R33316" s="36" t="s">
        <v>48</v>
      </c>
    </row>
    <row r="33317">
      <c r="H33317" s="50"/>
      <c r="I33317" s="50"/>
      <c r="O33317" s="36" t="s">
        <v>48</v>
      </c>
      <c r="R33317" s="36" t="s">
        <v>48</v>
      </c>
    </row>
    <row r="33318">
      <c r="H33318" s="50"/>
      <c r="I33318" s="50"/>
      <c r="O33318" s="36" t="s">
        <v>48</v>
      </c>
      <c r="R33318" s="36" t="s">
        <v>48</v>
      </c>
    </row>
    <row r="33319">
      <c r="H33319" s="50"/>
      <c r="I33319" s="50"/>
      <c r="O33319" s="36" t="s">
        <v>48</v>
      </c>
      <c r="R33319" s="36" t="s">
        <v>48</v>
      </c>
    </row>
    <row r="33320">
      <c r="H33320" s="50"/>
      <c r="I33320" s="50"/>
      <c r="O33320" s="36" t="s">
        <v>48</v>
      </c>
      <c r="R33320" s="36" t="s">
        <v>48</v>
      </c>
    </row>
    <row r="33321">
      <c r="H33321" s="50"/>
      <c r="I33321" s="50"/>
      <c r="O33321" s="36" t="s">
        <v>48</v>
      </c>
      <c r="R33321" s="36" t="s">
        <v>48</v>
      </c>
    </row>
    <row r="33322">
      <c r="H33322" s="50"/>
      <c r="I33322" s="50"/>
      <c r="O33322" s="36" t="s">
        <v>48</v>
      </c>
      <c r="R33322" s="36" t="s">
        <v>48</v>
      </c>
    </row>
    <row r="33323">
      <c r="H33323" s="50"/>
      <c r="I33323" s="50"/>
      <c r="O33323" s="36" t="s">
        <v>48</v>
      </c>
      <c r="R33323" s="36" t="s">
        <v>48</v>
      </c>
    </row>
    <row r="33324">
      <c r="H33324" s="50"/>
      <c r="I33324" s="50"/>
      <c r="O33324" s="36" t="s">
        <v>48</v>
      </c>
      <c r="R33324" s="36" t="s">
        <v>48</v>
      </c>
    </row>
    <row r="33325">
      <c r="H33325" s="50"/>
      <c r="I33325" s="50"/>
      <c r="O33325" s="36" t="s">
        <v>48</v>
      </c>
      <c r="R33325" s="36" t="s">
        <v>48</v>
      </c>
    </row>
    <row r="33326">
      <c r="H33326" s="50"/>
      <c r="I33326" s="50"/>
      <c r="O33326" s="36" t="s">
        <v>48</v>
      </c>
      <c r="R33326" s="36" t="s">
        <v>48</v>
      </c>
    </row>
    <row r="33327">
      <c r="H33327" s="50"/>
      <c r="I33327" s="50"/>
      <c r="O33327" s="36" t="s">
        <v>48</v>
      </c>
      <c r="R33327" s="36" t="s">
        <v>48</v>
      </c>
    </row>
    <row r="33328">
      <c r="H33328" s="50"/>
      <c r="I33328" s="50"/>
      <c r="O33328" s="36" t="s">
        <v>48</v>
      </c>
      <c r="R33328" s="36" t="s">
        <v>48</v>
      </c>
    </row>
    <row r="33329">
      <c r="H33329" s="50"/>
      <c r="I33329" s="50"/>
      <c r="O33329" s="36" t="s">
        <v>48</v>
      </c>
      <c r="R33329" s="36" t="s">
        <v>48</v>
      </c>
    </row>
    <row r="33330">
      <c r="H33330" s="50"/>
      <c r="I33330" s="50"/>
      <c r="O33330" s="36" t="s">
        <v>48</v>
      </c>
      <c r="R33330" s="36" t="s">
        <v>48</v>
      </c>
    </row>
    <row r="33331">
      <c r="H33331" s="50"/>
      <c r="I33331" s="50"/>
      <c r="O33331" s="36" t="s">
        <v>48</v>
      </c>
      <c r="R33331" s="36" t="s">
        <v>48</v>
      </c>
    </row>
    <row r="33332">
      <c r="H33332" s="50"/>
      <c r="I33332" s="50"/>
      <c r="O33332" s="36" t="s">
        <v>48</v>
      </c>
      <c r="R33332" s="36" t="s">
        <v>48</v>
      </c>
    </row>
    <row r="33333">
      <c r="H33333" s="50"/>
      <c r="I33333" s="50"/>
      <c r="O33333" s="36" t="s">
        <v>48</v>
      </c>
      <c r="R33333" s="36" t="s">
        <v>48</v>
      </c>
    </row>
    <row r="33334">
      <c r="H33334" s="50"/>
      <c r="I33334" s="50"/>
      <c r="O33334" s="36" t="s">
        <v>48</v>
      </c>
      <c r="R33334" s="36" t="s">
        <v>48</v>
      </c>
    </row>
    <row r="33335">
      <c r="H33335" s="50"/>
      <c r="I33335" s="50"/>
      <c r="O33335" s="36" t="s">
        <v>48</v>
      </c>
      <c r="R33335" s="36" t="s">
        <v>48</v>
      </c>
    </row>
    <row r="33336">
      <c r="H33336" s="50"/>
      <c r="I33336" s="50"/>
      <c r="O33336" s="36" t="s">
        <v>48</v>
      </c>
      <c r="R33336" s="36" t="s">
        <v>48</v>
      </c>
    </row>
    <row r="33337">
      <c r="H33337" s="50"/>
      <c r="I33337" s="50"/>
      <c r="O33337" s="36" t="s">
        <v>48</v>
      </c>
      <c r="R33337" s="36" t="s">
        <v>48</v>
      </c>
    </row>
    <row r="33338">
      <c r="H33338" s="50"/>
      <c r="I33338" s="50"/>
      <c r="O33338" s="36" t="s">
        <v>48</v>
      </c>
      <c r="R33338" s="36" t="s">
        <v>48</v>
      </c>
    </row>
    <row r="33339">
      <c r="H33339" s="50"/>
      <c r="I33339" s="50"/>
      <c r="O33339" s="36" t="s">
        <v>48</v>
      </c>
      <c r="R33339" s="36" t="s">
        <v>48</v>
      </c>
    </row>
    <row r="33340">
      <c r="H33340" s="50"/>
      <c r="I33340" s="50"/>
      <c r="O33340" s="36" t="s">
        <v>48</v>
      </c>
      <c r="R33340" s="36" t="s">
        <v>48</v>
      </c>
    </row>
    <row r="33341">
      <c r="H33341" s="50"/>
      <c r="I33341" s="50"/>
      <c r="O33341" s="36" t="s">
        <v>48</v>
      </c>
      <c r="R33341" s="36" t="s">
        <v>48</v>
      </c>
    </row>
    <row r="33342">
      <c r="H33342" s="50"/>
      <c r="I33342" s="50"/>
      <c r="O33342" s="36" t="s">
        <v>48</v>
      </c>
      <c r="R33342" s="36" t="s">
        <v>48</v>
      </c>
    </row>
    <row r="33343">
      <c r="H33343" s="50"/>
      <c r="I33343" s="50"/>
      <c r="O33343" s="36" t="s">
        <v>48</v>
      </c>
      <c r="R33343" s="36" t="s">
        <v>48</v>
      </c>
    </row>
    <row r="33344">
      <c r="H33344" s="50"/>
      <c r="I33344" s="50"/>
      <c r="O33344" s="36" t="s">
        <v>48</v>
      </c>
      <c r="R33344" s="36" t="s">
        <v>48</v>
      </c>
    </row>
    <row r="33345">
      <c r="H33345" s="50"/>
      <c r="I33345" s="50"/>
      <c r="O33345" s="36" t="s">
        <v>48</v>
      </c>
      <c r="R33345" s="36" t="s">
        <v>48</v>
      </c>
    </row>
    <row r="33346">
      <c r="H33346" s="50"/>
      <c r="I33346" s="50"/>
      <c r="O33346" s="36" t="s">
        <v>48</v>
      </c>
      <c r="R33346" s="36" t="s">
        <v>48</v>
      </c>
    </row>
    <row r="33347">
      <c r="H33347" s="50"/>
      <c r="I33347" s="50"/>
      <c r="O33347" s="36" t="s">
        <v>48</v>
      </c>
      <c r="R33347" s="36" t="s">
        <v>48</v>
      </c>
    </row>
    <row r="33348">
      <c r="H33348" s="50"/>
      <c r="I33348" s="50"/>
      <c r="O33348" s="36" t="s">
        <v>48</v>
      </c>
      <c r="R33348" s="36" t="s">
        <v>48</v>
      </c>
    </row>
    <row r="33349">
      <c r="H33349" s="50"/>
      <c r="I33349" s="50"/>
      <c r="O33349" s="36" t="s">
        <v>48</v>
      </c>
      <c r="R33349" s="36" t="s">
        <v>48</v>
      </c>
    </row>
    <row r="33350">
      <c r="H33350" s="50"/>
      <c r="I33350" s="50"/>
      <c r="O33350" s="36" t="s">
        <v>48</v>
      </c>
      <c r="R33350" s="36" t="s">
        <v>48</v>
      </c>
    </row>
    <row r="33351">
      <c r="H33351" s="50"/>
      <c r="I33351" s="50"/>
      <c r="O33351" s="36" t="s">
        <v>48</v>
      </c>
      <c r="R33351" s="36" t="s">
        <v>48</v>
      </c>
    </row>
    <row r="33352">
      <c r="H33352" s="50"/>
      <c r="I33352" s="50"/>
      <c r="O33352" s="36" t="s">
        <v>48</v>
      </c>
      <c r="R33352" s="36" t="s">
        <v>48</v>
      </c>
    </row>
    <row r="33353">
      <c r="H33353" s="50"/>
      <c r="I33353" s="50"/>
      <c r="O33353" s="36" t="s">
        <v>48</v>
      </c>
      <c r="R33353" s="36" t="s">
        <v>48</v>
      </c>
    </row>
    <row r="33354">
      <c r="H33354" s="50"/>
      <c r="I33354" s="50"/>
      <c r="O33354" s="36" t="s">
        <v>48</v>
      </c>
      <c r="R33354" s="36" t="s">
        <v>48</v>
      </c>
    </row>
    <row r="33355">
      <c r="H33355" s="50"/>
      <c r="I33355" s="50"/>
      <c r="O33355" s="36" t="s">
        <v>48</v>
      </c>
      <c r="R33355" s="36" t="s">
        <v>48</v>
      </c>
    </row>
    <row r="33356">
      <c r="H33356" s="50"/>
      <c r="I33356" s="50"/>
      <c r="O33356" s="36" t="s">
        <v>48</v>
      </c>
      <c r="R33356" s="36" t="s">
        <v>48</v>
      </c>
    </row>
    <row r="33357">
      <c r="H33357" s="50"/>
      <c r="I33357" s="50"/>
      <c r="O33357" s="36" t="s">
        <v>48</v>
      </c>
      <c r="R33357" s="36" t="s">
        <v>48</v>
      </c>
    </row>
    <row r="33358">
      <c r="H33358" s="50"/>
      <c r="I33358" s="50"/>
      <c r="O33358" s="36" t="s">
        <v>48</v>
      </c>
      <c r="R33358" s="36" t="s">
        <v>48</v>
      </c>
    </row>
    <row r="33359">
      <c r="H33359" s="50"/>
      <c r="I33359" s="50"/>
      <c r="O33359" s="36" t="s">
        <v>48</v>
      </c>
      <c r="R33359" s="36" t="s">
        <v>48</v>
      </c>
    </row>
    <row r="33360">
      <c r="H33360" s="50"/>
      <c r="I33360" s="50"/>
      <c r="O33360" s="36" t="s">
        <v>48</v>
      </c>
      <c r="R33360" s="36" t="s">
        <v>48</v>
      </c>
    </row>
    <row r="33361">
      <c r="H33361" s="50"/>
      <c r="I33361" s="50"/>
      <c r="O33361" s="36" t="s">
        <v>48</v>
      </c>
      <c r="R33361" s="36" t="s">
        <v>48</v>
      </c>
    </row>
    <row r="33362">
      <c r="H33362" s="50"/>
      <c r="I33362" s="50"/>
      <c r="O33362" s="36" t="s">
        <v>48</v>
      </c>
      <c r="R33362" s="36" t="s">
        <v>48</v>
      </c>
    </row>
    <row r="33363">
      <c r="H33363" s="50"/>
      <c r="I33363" s="50"/>
      <c r="O33363" s="36" t="s">
        <v>48</v>
      </c>
      <c r="R33363" s="36" t="s">
        <v>48</v>
      </c>
    </row>
    <row r="33364">
      <c r="H33364" s="50"/>
      <c r="I33364" s="50"/>
      <c r="O33364" s="36" t="s">
        <v>48</v>
      </c>
      <c r="R33364" s="36" t="s">
        <v>48</v>
      </c>
    </row>
    <row r="33365">
      <c r="H33365" s="50"/>
      <c r="I33365" s="50"/>
      <c r="O33365" s="36" t="s">
        <v>48</v>
      </c>
      <c r="R33365" s="36" t="s">
        <v>48</v>
      </c>
    </row>
    <row r="33366">
      <c r="H33366" s="50"/>
      <c r="I33366" s="50"/>
      <c r="O33366" s="36" t="s">
        <v>48</v>
      </c>
      <c r="R33366" s="36" t="s">
        <v>48</v>
      </c>
    </row>
    <row r="33367">
      <c r="H33367" s="50"/>
      <c r="I33367" s="50"/>
      <c r="O33367" s="36" t="s">
        <v>48</v>
      </c>
      <c r="R33367" s="36" t="s">
        <v>48</v>
      </c>
    </row>
    <row r="33368">
      <c r="H33368" s="50"/>
      <c r="I33368" s="50"/>
      <c r="O33368" s="36" t="s">
        <v>48</v>
      </c>
      <c r="R33368" s="36" t="s">
        <v>48</v>
      </c>
    </row>
    <row r="33369">
      <c r="H33369" s="50"/>
      <c r="I33369" s="50"/>
      <c r="O33369" s="36" t="s">
        <v>48</v>
      </c>
      <c r="R33369" s="36" t="s">
        <v>48</v>
      </c>
    </row>
    <row r="33370">
      <c r="H33370" s="50"/>
      <c r="I33370" s="50"/>
      <c r="O33370" s="36" t="s">
        <v>48</v>
      </c>
      <c r="R33370" s="36" t="s">
        <v>48</v>
      </c>
    </row>
    <row r="33371">
      <c r="H33371" s="50"/>
      <c r="I33371" s="50"/>
      <c r="O33371" s="36" t="s">
        <v>48</v>
      </c>
      <c r="R33371" s="36" t="s">
        <v>48</v>
      </c>
    </row>
    <row r="33372">
      <c r="H33372" s="50"/>
      <c r="I33372" s="50"/>
      <c r="O33372" s="36" t="s">
        <v>48</v>
      </c>
      <c r="R33372" s="36" t="s">
        <v>48</v>
      </c>
    </row>
    <row r="33373">
      <c r="H33373" s="50"/>
      <c r="I33373" s="50"/>
      <c r="O33373" s="36" t="s">
        <v>48</v>
      </c>
      <c r="R33373" s="36" t="s">
        <v>48</v>
      </c>
    </row>
    <row r="33374">
      <c r="H33374" s="50"/>
      <c r="I33374" s="50"/>
      <c r="O33374" s="36" t="s">
        <v>48</v>
      </c>
      <c r="R33374" s="36" t="s">
        <v>48</v>
      </c>
    </row>
    <row r="33375">
      <c r="H33375" s="50"/>
      <c r="I33375" s="50"/>
      <c r="O33375" s="36" t="s">
        <v>48</v>
      </c>
      <c r="R33375" s="36" t="s">
        <v>48</v>
      </c>
    </row>
    <row r="33376">
      <c r="H33376" s="50"/>
      <c r="I33376" s="50"/>
      <c r="O33376" s="36" t="s">
        <v>48</v>
      </c>
      <c r="R33376" s="36" t="s">
        <v>48</v>
      </c>
    </row>
    <row r="33377">
      <c r="H33377" s="50"/>
      <c r="I33377" s="50"/>
      <c r="O33377" s="36" t="s">
        <v>48</v>
      </c>
      <c r="R33377" s="36" t="s">
        <v>48</v>
      </c>
    </row>
    <row r="33378">
      <c r="H33378" s="50"/>
      <c r="I33378" s="50"/>
      <c r="O33378" s="36" t="s">
        <v>48</v>
      </c>
      <c r="R33378" s="36" t="s">
        <v>48</v>
      </c>
    </row>
    <row r="33379">
      <c r="H33379" s="50"/>
      <c r="I33379" s="50"/>
      <c r="O33379" s="36" t="s">
        <v>48</v>
      </c>
      <c r="R33379" s="36" t="s">
        <v>48</v>
      </c>
    </row>
    <row r="33380">
      <c r="H33380" s="50"/>
      <c r="I33380" s="50"/>
      <c r="O33380" s="36" t="s">
        <v>48</v>
      </c>
      <c r="R33380" s="36" t="s">
        <v>48</v>
      </c>
    </row>
    <row r="33381">
      <c r="H33381" s="50"/>
      <c r="I33381" s="50"/>
      <c r="O33381" s="36" t="s">
        <v>48</v>
      </c>
      <c r="R33381" s="36" t="s">
        <v>48</v>
      </c>
    </row>
    <row r="33382">
      <c r="H33382" s="50"/>
      <c r="I33382" s="50"/>
      <c r="O33382" s="36" t="s">
        <v>48</v>
      </c>
      <c r="R33382" s="36" t="s">
        <v>48</v>
      </c>
    </row>
    <row r="33383">
      <c r="H33383" s="50"/>
      <c r="I33383" s="50"/>
      <c r="O33383" s="36" t="s">
        <v>48</v>
      </c>
      <c r="R33383" s="36" t="s">
        <v>48</v>
      </c>
    </row>
    <row r="33384">
      <c r="H33384" s="50"/>
      <c r="I33384" s="50"/>
      <c r="O33384" s="36" t="s">
        <v>48</v>
      </c>
      <c r="R33384" s="36" t="s">
        <v>48</v>
      </c>
    </row>
    <row r="33385">
      <c r="H33385" s="50"/>
      <c r="I33385" s="50"/>
      <c r="O33385" s="36" t="s">
        <v>48</v>
      </c>
      <c r="R33385" s="36" t="s">
        <v>48</v>
      </c>
    </row>
    <row r="33386">
      <c r="H33386" s="50"/>
      <c r="I33386" s="50"/>
      <c r="O33386" s="36" t="s">
        <v>48</v>
      </c>
      <c r="R33386" s="36" t="s">
        <v>48</v>
      </c>
    </row>
    <row r="33387">
      <c r="H33387" s="50"/>
      <c r="I33387" s="50"/>
      <c r="O33387" s="36" t="s">
        <v>48</v>
      </c>
      <c r="R33387" s="36" t="s">
        <v>48</v>
      </c>
    </row>
    <row r="33388">
      <c r="H33388" s="50"/>
      <c r="I33388" s="50"/>
      <c r="O33388" s="36" t="s">
        <v>48</v>
      </c>
      <c r="R33388" s="36" t="s">
        <v>48</v>
      </c>
    </row>
    <row r="33389">
      <c r="H33389" s="50"/>
      <c r="I33389" s="50"/>
      <c r="O33389" s="36" t="s">
        <v>48</v>
      </c>
      <c r="R33389" s="36" t="s">
        <v>48</v>
      </c>
    </row>
    <row r="33390">
      <c r="H33390" s="50"/>
      <c r="I33390" s="50"/>
      <c r="O33390" s="36" t="s">
        <v>48</v>
      </c>
      <c r="R33390" s="36" t="s">
        <v>48</v>
      </c>
    </row>
    <row r="33391">
      <c r="H33391" s="50"/>
      <c r="I33391" s="50"/>
      <c r="O33391" s="36" t="s">
        <v>48</v>
      </c>
      <c r="R33391" s="36" t="s">
        <v>48</v>
      </c>
    </row>
    <row r="33392">
      <c r="H33392" s="50"/>
      <c r="I33392" s="50"/>
      <c r="O33392" s="36" t="s">
        <v>48</v>
      </c>
      <c r="R33392" s="36" t="s">
        <v>48</v>
      </c>
    </row>
    <row r="33393">
      <c r="H33393" s="50"/>
      <c r="I33393" s="50"/>
      <c r="O33393" s="36" t="s">
        <v>48</v>
      </c>
      <c r="R33393" s="36" t="s">
        <v>48</v>
      </c>
    </row>
    <row r="33394">
      <c r="H33394" s="50"/>
      <c r="I33394" s="50"/>
      <c r="O33394" s="36" t="s">
        <v>48</v>
      </c>
      <c r="R33394" s="36" t="s">
        <v>48</v>
      </c>
    </row>
    <row r="33395">
      <c r="H33395" s="50"/>
      <c r="I33395" s="50"/>
      <c r="O33395" s="36" t="s">
        <v>48</v>
      </c>
      <c r="R33395" s="36" t="s">
        <v>48</v>
      </c>
    </row>
    <row r="33396">
      <c r="H33396" s="50"/>
      <c r="I33396" s="50"/>
      <c r="O33396" s="36" t="s">
        <v>48</v>
      </c>
      <c r="R33396" s="36" t="s">
        <v>48</v>
      </c>
    </row>
    <row r="33397">
      <c r="H33397" s="50"/>
      <c r="I33397" s="50"/>
      <c r="O33397" s="36" t="s">
        <v>48</v>
      </c>
      <c r="R33397" s="36" t="s">
        <v>48</v>
      </c>
    </row>
    <row r="33398">
      <c r="H33398" s="50"/>
      <c r="I33398" s="50"/>
      <c r="O33398" s="36" t="s">
        <v>48</v>
      </c>
      <c r="R33398" s="36" t="s">
        <v>48</v>
      </c>
    </row>
    <row r="33399">
      <c r="H33399" s="50"/>
      <c r="I33399" s="50"/>
      <c r="O33399" s="36" t="s">
        <v>48</v>
      </c>
      <c r="R33399" s="36" t="s">
        <v>48</v>
      </c>
    </row>
    <row r="33400">
      <c r="H33400" s="50"/>
      <c r="I33400" s="50"/>
      <c r="O33400" s="36" t="s">
        <v>48</v>
      </c>
      <c r="R33400" s="36" t="s">
        <v>48</v>
      </c>
    </row>
    <row r="33401">
      <c r="H33401" s="50"/>
      <c r="I33401" s="50"/>
      <c r="O33401" s="36" t="s">
        <v>48</v>
      </c>
      <c r="R33401" s="36" t="s">
        <v>48</v>
      </c>
    </row>
    <row r="33402">
      <c r="H33402" s="50"/>
      <c r="I33402" s="50"/>
      <c r="O33402" s="36" t="s">
        <v>48</v>
      </c>
      <c r="R33402" s="36" t="s">
        <v>48</v>
      </c>
    </row>
    <row r="33403">
      <c r="H33403" s="50"/>
      <c r="I33403" s="50"/>
      <c r="O33403" s="36" t="s">
        <v>48</v>
      </c>
      <c r="R33403" s="36" t="s">
        <v>48</v>
      </c>
    </row>
    <row r="33404">
      <c r="H33404" s="50"/>
      <c r="I33404" s="50"/>
      <c r="O33404" s="36" t="s">
        <v>48</v>
      </c>
      <c r="R33404" s="36" t="s">
        <v>48</v>
      </c>
    </row>
    <row r="33405">
      <c r="H33405" s="50"/>
      <c r="I33405" s="50"/>
      <c r="O33405" s="36" t="s">
        <v>48</v>
      </c>
      <c r="R33405" s="36" t="s">
        <v>48</v>
      </c>
    </row>
    <row r="33406">
      <c r="H33406" s="50"/>
      <c r="I33406" s="50"/>
      <c r="O33406" s="36" t="s">
        <v>48</v>
      </c>
      <c r="R33406" s="36" t="s">
        <v>48</v>
      </c>
    </row>
    <row r="33407">
      <c r="H33407" s="50"/>
      <c r="I33407" s="50"/>
      <c r="O33407" s="36" t="s">
        <v>48</v>
      </c>
      <c r="R33407" s="36" t="s">
        <v>48</v>
      </c>
    </row>
    <row r="33408">
      <c r="H33408" s="50"/>
      <c r="I33408" s="50"/>
      <c r="O33408" s="36" t="s">
        <v>48</v>
      </c>
      <c r="R33408" s="36" t="s">
        <v>48</v>
      </c>
    </row>
    <row r="33409">
      <c r="H33409" s="50"/>
      <c r="I33409" s="50"/>
      <c r="O33409" s="36" t="s">
        <v>48</v>
      </c>
      <c r="R33409" s="36" t="s">
        <v>48</v>
      </c>
    </row>
    <row r="33410">
      <c r="H33410" s="50"/>
      <c r="I33410" s="50"/>
      <c r="O33410" s="36" t="s">
        <v>48</v>
      </c>
      <c r="R33410" s="36" t="s">
        <v>48</v>
      </c>
    </row>
    <row r="33411">
      <c r="H33411" s="50"/>
      <c r="I33411" s="50"/>
      <c r="O33411" s="36" t="s">
        <v>48</v>
      </c>
      <c r="R33411" s="36" t="s">
        <v>48</v>
      </c>
    </row>
    <row r="33412">
      <c r="H33412" s="50"/>
      <c r="I33412" s="50"/>
      <c r="O33412" s="36" t="s">
        <v>48</v>
      </c>
      <c r="R33412" s="36" t="s">
        <v>48</v>
      </c>
    </row>
    <row r="33413">
      <c r="H33413" s="50"/>
      <c r="I33413" s="50"/>
      <c r="O33413" s="36" t="s">
        <v>48</v>
      </c>
      <c r="R33413" s="36" t="s">
        <v>48</v>
      </c>
    </row>
    <row r="33414">
      <c r="H33414" s="50"/>
      <c r="I33414" s="50"/>
      <c r="O33414" s="36" t="s">
        <v>48</v>
      </c>
      <c r="R33414" s="36" t="s">
        <v>48</v>
      </c>
    </row>
    <row r="33415">
      <c r="H33415" s="50"/>
      <c r="I33415" s="50"/>
      <c r="O33415" s="36" t="s">
        <v>48</v>
      </c>
      <c r="R33415" s="36" t="s">
        <v>48</v>
      </c>
    </row>
    <row r="33416">
      <c r="H33416" s="50"/>
      <c r="I33416" s="50"/>
      <c r="O33416" s="36" t="s">
        <v>48</v>
      </c>
      <c r="R33416" s="36" t="s">
        <v>48</v>
      </c>
    </row>
    <row r="33417">
      <c r="H33417" s="50"/>
      <c r="I33417" s="50"/>
      <c r="O33417" s="36" t="s">
        <v>48</v>
      </c>
      <c r="R33417" s="36" t="s">
        <v>48</v>
      </c>
    </row>
    <row r="33418">
      <c r="H33418" s="50"/>
      <c r="I33418" s="50"/>
      <c r="O33418" s="36" t="s">
        <v>48</v>
      </c>
      <c r="R33418" s="36" t="s">
        <v>48</v>
      </c>
    </row>
    <row r="33419">
      <c r="H33419" s="50"/>
      <c r="I33419" s="50"/>
      <c r="O33419" s="36" t="s">
        <v>48</v>
      </c>
      <c r="R33419" s="36" t="s">
        <v>48</v>
      </c>
    </row>
    <row r="33420">
      <c r="H33420" s="50"/>
      <c r="I33420" s="50"/>
      <c r="O33420" s="36" t="s">
        <v>48</v>
      </c>
      <c r="R33420" s="36" t="s">
        <v>48</v>
      </c>
    </row>
    <row r="33421">
      <c r="H33421" s="50"/>
      <c r="I33421" s="50"/>
      <c r="O33421" s="36" t="s">
        <v>48</v>
      </c>
      <c r="R33421" s="36" t="s">
        <v>48</v>
      </c>
    </row>
    <row r="33422">
      <c r="H33422" s="50"/>
      <c r="I33422" s="50"/>
      <c r="O33422" s="36" t="s">
        <v>48</v>
      </c>
      <c r="R33422" s="36" t="s">
        <v>48</v>
      </c>
    </row>
    <row r="33423">
      <c r="H33423" s="50"/>
      <c r="I33423" s="50"/>
      <c r="O33423" s="36" t="s">
        <v>48</v>
      </c>
      <c r="R33423" s="36" t="s">
        <v>48</v>
      </c>
    </row>
    <row r="33424">
      <c r="H33424" s="50"/>
      <c r="I33424" s="50"/>
      <c r="O33424" s="36" t="s">
        <v>48</v>
      </c>
      <c r="R33424" s="36" t="s">
        <v>48</v>
      </c>
    </row>
    <row r="33425">
      <c r="H33425" s="50"/>
      <c r="I33425" s="50"/>
      <c r="O33425" s="36" t="s">
        <v>48</v>
      </c>
      <c r="R33425" s="36" t="s">
        <v>48</v>
      </c>
    </row>
    <row r="33426">
      <c r="H33426" s="50"/>
      <c r="I33426" s="50"/>
      <c r="O33426" s="36" t="s">
        <v>48</v>
      </c>
      <c r="R33426" s="36" t="s">
        <v>48</v>
      </c>
    </row>
    <row r="33427">
      <c r="H33427" s="50"/>
      <c r="I33427" s="50"/>
      <c r="O33427" s="36" t="s">
        <v>48</v>
      </c>
      <c r="R33427" s="36" t="s">
        <v>48</v>
      </c>
    </row>
    <row r="33428">
      <c r="H33428" s="50"/>
      <c r="I33428" s="50"/>
      <c r="O33428" s="36" t="s">
        <v>48</v>
      </c>
      <c r="R33428" s="36" t="s">
        <v>48</v>
      </c>
    </row>
    <row r="33429">
      <c r="H33429" s="50"/>
      <c r="I33429" s="50"/>
      <c r="O33429" s="36" t="s">
        <v>48</v>
      </c>
      <c r="R33429" s="36" t="s">
        <v>48</v>
      </c>
    </row>
    <row r="33430">
      <c r="H33430" s="50"/>
      <c r="I33430" s="50"/>
      <c r="O33430" s="36" t="s">
        <v>48</v>
      </c>
      <c r="R33430" s="36" t="s">
        <v>48</v>
      </c>
    </row>
    <row r="33431">
      <c r="H33431" s="50"/>
      <c r="I33431" s="50"/>
      <c r="O33431" s="36" t="s">
        <v>48</v>
      </c>
      <c r="R33431" s="36" t="s">
        <v>48</v>
      </c>
    </row>
    <row r="33432">
      <c r="H33432" s="50"/>
      <c r="I33432" s="50"/>
      <c r="O33432" s="36" t="s">
        <v>48</v>
      </c>
      <c r="R33432" s="36" t="s">
        <v>48</v>
      </c>
    </row>
    <row r="33433">
      <c r="H33433" s="50"/>
      <c r="I33433" s="50"/>
      <c r="O33433" s="36" t="s">
        <v>48</v>
      </c>
      <c r="R33433" s="36" t="s">
        <v>48</v>
      </c>
    </row>
    <row r="33434">
      <c r="H33434" s="50"/>
      <c r="I33434" s="50"/>
      <c r="O33434" s="36" t="s">
        <v>48</v>
      </c>
      <c r="R33434" s="36" t="s">
        <v>48</v>
      </c>
    </row>
    <row r="33435">
      <c r="H33435" s="50"/>
      <c r="I33435" s="50"/>
      <c r="O33435" s="36" t="s">
        <v>48</v>
      </c>
      <c r="R33435" s="36" t="s">
        <v>48</v>
      </c>
    </row>
    <row r="33436">
      <c r="H33436" s="50"/>
      <c r="I33436" s="50"/>
      <c r="O33436" s="36" t="s">
        <v>48</v>
      </c>
      <c r="R33436" s="36" t="s">
        <v>48</v>
      </c>
    </row>
    <row r="33437">
      <c r="H33437" s="50"/>
      <c r="I33437" s="50"/>
      <c r="O33437" s="36" t="s">
        <v>48</v>
      </c>
      <c r="R33437" s="36" t="s">
        <v>48</v>
      </c>
    </row>
    <row r="33438">
      <c r="H33438" s="50"/>
      <c r="I33438" s="50"/>
      <c r="O33438" s="36" t="s">
        <v>48</v>
      </c>
      <c r="R33438" s="36" t="s">
        <v>48</v>
      </c>
    </row>
    <row r="33439">
      <c r="H33439" s="50"/>
      <c r="I33439" s="50"/>
      <c r="O33439" s="36" t="s">
        <v>48</v>
      </c>
      <c r="R33439" s="36" t="s">
        <v>48</v>
      </c>
    </row>
    <row r="33440">
      <c r="H33440" s="50"/>
      <c r="I33440" s="50"/>
      <c r="O33440" s="36" t="s">
        <v>48</v>
      </c>
      <c r="R33440" s="36" t="s">
        <v>48</v>
      </c>
    </row>
    <row r="33441">
      <c r="H33441" s="50"/>
      <c r="I33441" s="50"/>
      <c r="O33441" s="36" t="s">
        <v>48</v>
      </c>
      <c r="R33441" s="36" t="s">
        <v>48</v>
      </c>
    </row>
    <row r="33442">
      <c r="H33442" s="50"/>
      <c r="I33442" s="50"/>
      <c r="O33442" s="36" t="s">
        <v>48</v>
      </c>
      <c r="R33442" s="36" t="s">
        <v>48</v>
      </c>
    </row>
    <row r="33443">
      <c r="H33443" s="50"/>
      <c r="I33443" s="50"/>
      <c r="O33443" s="36" t="s">
        <v>48</v>
      </c>
      <c r="R33443" s="36" t="s">
        <v>48</v>
      </c>
    </row>
    <row r="33444">
      <c r="H33444" s="50"/>
      <c r="I33444" s="50"/>
      <c r="O33444" s="36" t="s">
        <v>48</v>
      </c>
      <c r="R33444" s="36" t="s">
        <v>48</v>
      </c>
    </row>
    <row r="33445">
      <c r="H33445" s="50"/>
      <c r="I33445" s="50"/>
      <c r="O33445" s="36" t="s">
        <v>48</v>
      </c>
      <c r="R33445" s="36" t="s">
        <v>48</v>
      </c>
    </row>
    <row r="33446">
      <c r="H33446" s="50"/>
      <c r="I33446" s="50"/>
      <c r="O33446" s="36" t="s">
        <v>48</v>
      </c>
      <c r="R33446" s="36" t="s">
        <v>48</v>
      </c>
    </row>
    <row r="33447">
      <c r="H33447" s="50"/>
      <c r="I33447" s="50"/>
      <c r="O33447" s="36" t="s">
        <v>48</v>
      </c>
      <c r="R33447" s="36" t="s">
        <v>48</v>
      </c>
    </row>
    <row r="33448">
      <c r="H33448" s="50"/>
      <c r="I33448" s="50"/>
      <c r="O33448" s="36" t="s">
        <v>48</v>
      </c>
      <c r="R33448" s="36" t="s">
        <v>48</v>
      </c>
    </row>
    <row r="33449">
      <c r="H33449" s="50"/>
      <c r="I33449" s="50"/>
      <c r="O33449" s="36" t="s">
        <v>48</v>
      </c>
      <c r="R33449" s="36" t="s">
        <v>48</v>
      </c>
    </row>
    <row r="33450">
      <c r="H33450" s="50"/>
      <c r="I33450" s="50"/>
      <c r="O33450" s="36" t="s">
        <v>48</v>
      </c>
      <c r="R33450" s="36" t="s">
        <v>48</v>
      </c>
    </row>
    <row r="33451">
      <c r="H33451" s="50"/>
      <c r="I33451" s="50"/>
      <c r="O33451" s="36" t="s">
        <v>48</v>
      </c>
      <c r="R33451" s="36" t="s">
        <v>48</v>
      </c>
    </row>
    <row r="33452">
      <c r="H33452" s="50"/>
      <c r="I33452" s="50"/>
      <c r="O33452" s="36" t="s">
        <v>48</v>
      </c>
      <c r="R33452" s="36" t="s">
        <v>48</v>
      </c>
    </row>
    <row r="33453">
      <c r="H33453" s="50"/>
      <c r="I33453" s="50"/>
      <c r="O33453" s="36" t="s">
        <v>48</v>
      </c>
      <c r="R33453" s="36" t="s">
        <v>48</v>
      </c>
    </row>
    <row r="33454">
      <c r="H33454" s="50"/>
      <c r="I33454" s="50"/>
      <c r="O33454" s="36" t="s">
        <v>48</v>
      </c>
      <c r="R33454" s="36" t="s">
        <v>48</v>
      </c>
    </row>
    <row r="33455">
      <c r="H33455" s="50"/>
      <c r="I33455" s="50"/>
      <c r="O33455" s="36" t="s">
        <v>48</v>
      </c>
      <c r="R33455" s="36" t="s">
        <v>48</v>
      </c>
    </row>
    <row r="33456">
      <c r="H33456" s="50"/>
      <c r="I33456" s="50"/>
      <c r="O33456" s="36" t="s">
        <v>48</v>
      </c>
      <c r="R33456" s="36" t="s">
        <v>48</v>
      </c>
    </row>
    <row r="33457">
      <c r="H33457" s="50"/>
      <c r="I33457" s="50"/>
      <c r="O33457" s="36" t="s">
        <v>48</v>
      </c>
      <c r="R33457" s="36" t="s">
        <v>48</v>
      </c>
    </row>
    <row r="33458">
      <c r="H33458" s="50"/>
      <c r="I33458" s="50"/>
      <c r="O33458" s="36" t="s">
        <v>48</v>
      </c>
      <c r="R33458" s="36" t="s">
        <v>48</v>
      </c>
    </row>
    <row r="33459">
      <c r="H33459" s="50"/>
      <c r="I33459" s="50"/>
      <c r="O33459" s="36" t="s">
        <v>48</v>
      </c>
      <c r="R33459" s="36" t="s">
        <v>48</v>
      </c>
    </row>
    <row r="33460">
      <c r="H33460" s="50"/>
      <c r="I33460" s="50"/>
      <c r="O33460" s="36" t="s">
        <v>48</v>
      </c>
      <c r="R33460" s="36" t="s">
        <v>48</v>
      </c>
    </row>
    <row r="33461">
      <c r="H33461" s="50"/>
      <c r="I33461" s="50"/>
      <c r="O33461" s="36" t="s">
        <v>48</v>
      </c>
      <c r="R33461" s="36" t="s">
        <v>48</v>
      </c>
    </row>
    <row r="33462">
      <c r="H33462" s="50"/>
      <c r="I33462" s="50"/>
      <c r="O33462" s="36" t="s">
        <v>48</v>
      </c>
      <c r="R33462" s="36" t="s">
        <v>48</v>
      </c>
    </row>
    <row r="33463">
      <c r="H33463" s="50"/>
      <c r="I33463" s="50"/>
      <c r="O33463" s="36" t="s">
        <v>48</v>
      </c>
      <c r="R33463" s="36" t="s">
        <v>48</v>
      </c>
    </row>
    <row r="33464">
      <c r="H33464" s="50"/>
      <c r="I33464" s="50"/>
      <c r="O33464" s="36" t="s">
        <v>48</v>
      </c>
      <c r="R33464" s="36" t="s">
        <v>48</v>
      </c>
    </row>
    <row r="33465">
      <c r="H33465" s="50"/>
      <c r="I33465" s="50"/>
      <c r="O33465" s="36" t="s">
        <v>48</v>
      </c>
      <c r="R33465" s="36" t="s">
        <v>48</v>
      </c>
    </row>
    <row r="33466">
      <c r="H33466" s="50"/>
      <c r="I33466" s="50"/>
      <c r="O33466" s="36" t="s">
        <v>48</v>
      </c>
      <c r="R33466" s="36" t="s">
        <v>48</v>
      </c>
    </row>
    <row r="33467">
      <c r="H33467" s="50"/>
      <c r="I33467" s="50"/>
      <c r="O33467" s="36" t="s">
        <v>48</v>
      </c>
      <c r="R33467" s="36" t="s">
        <v>48</v>
      </c>
    </row>
    <row r="33468">
      <c r="H33468" s="50"/>
      <c r="I33468" s="50"/>
      <c r="O33468" s="36" t="s">
        <v>48</v>
      </c>
      <c r="R33468" s="36" t="s">
        <v>48</v>
      </c>
    </row>
    <row r="33469">
      <c r="H33469" s="50"/>
      <c r="I33469" s="50"/>
      <c r="O33469" s="36" t="s">
        <v>48</v>
      </c>
      <c r="R33469" s="36" t="s">
        <v>48</v>
      </c>
    </row>
    <row r="33470">
      <c r="H33470" s="50"/>
      <c r="I33470" s="50"/>
      <c r="O33470" s="36" t="s">
        <v>48</v>
      </c>
      <c r="R33470" s="36" t="s">
        <v>48</v>
      </c>
    </row>
    <row r="33471">
      <c r="H33471" s="50"/>
      <c r="I33471" s="50"/>
      <c r="O33471" s="36" t="s">
        <v>48</v>
      </c>
      <c r="R33471" s="36" t="s">
        <v>48</v>
      </c>
    </row>
    <row r="33472">
      <c r="H33472" s="50"/>
      <c r="I33472" s="50"/>
      <c r="O33472" s="36" t="s">
        <v>48</v>
      </c>
      <c r="R33472" s="36" t="s">
        <v>48</v>
      </c>
    </row>
    <row r="33473">
      <c r="H33473" s="50"/>
      <c r="I33473" s="50"/>
      <c r="O33473" s="36" t="s">
        <v>48</v>
      </c>
      <c r="R33473" s="36" t="s">
        <v>48</v>
      </c>
    </row>
    <row r="33474">
      <c r="H33474" s="50"/>
      <c r="I33474" s="50"/>
      <c r="O33474" s="36" t="s">
        <v>48</v>
      </c>
      <c r="R33474" s="36" t="s">
        <v>48</v>
      </c>
    </row>
    <row r="33475">
      <c r="H33475" s="50"/>
      <c r="I33475" s="50"/>
      <c r="O33475" s="36" t="s">
        <v>48</v>
      </c>
      <c r="R33475" s="36" t="s">
        <v>48</v>
      </c>
    </row>
    <row r="33476">
      <c r="H33476" s="50"/>
      <c r="I33476" s="50"/>
      <c r="O33476" s="36" t="s">
        <v>48</v>
      </c>
      <c r="R33476" s="36" t="s">
        <v>48</v>
      </c>
    </row>
    <row r="33477">
      <c r="H33477" s="50"/>
      <c r="I33477" s="50"/>
      <c r="O33477" s="36" t="s">
        <v>48</v>
      </c>
      <c r="R33477" s="36" t="s">
        <v>48</v>
      </c>
    </row>
    <row r="33478">
      <c r="H33478" s="50"/>
      <c r="I33478" s="50"/>
      <c r="O33478" s="36" t="s">
        <v>48</v>
      </c>
      <c r="R33478" s="36" t="s">
        <v>48</v>
      </c>
    </row>
    <row r="33479">
      <c r="H33479" s="50"/>
      <c r="I33479" s="50"/>
      <c r="O33479" s="36" t="s">
        <v>48</v>
      </c>
      <c r="R33479" s="36" t="s">
        <v>48</v>
      </c>
    </row>
    <row r="33480">
      <c r="H33480" s="50"/>
      <c r="I33480" s="50"/>
      <c r="O33480" s="36" t="s">
        <v>48</v>
      </c>
      <c r="R33480" s="36" t="s">
        <v>48</v>
      </c>
    </row>
    <row r="33481">
      <c r="H33481" s="50"/>
      <c r="I33481" s="50"/>
      <c r="O33481" s="36" t="s">
        <v>48</v>
      </c>
      <c r="R33481" s="36" t="s">
        <v>48</v>
      </c>
    </row>
    <row r="33482">
      <c r="H33482" s="50"/>
      <c r="I33482" s="50"/>
      <c r="O33482" s="36" t="s">
        <v>48</v>
      </c>
      <c r="R33482" s="36" t="s">
        <v>48</v>
      </c>
    </row>
    <row r="33483">
      <c r="H33483" s="50"/>
      <c r="I33483" s="50"/>
      <c r="O33483" s="36" t="s">
        <v>48</v>
      </c>
      <c r="R33483" s="36" t="s">
        <v>48</v>
      </c>
    </row>
    <row r="33484">
      <c r="H33484" s="50"/>
      <c r="I33484" s="50"/>
      <c r="O33484" s="36" t="s">
        <v>48</v>
      </c>
      <c r="R33484" s="36" t="s">
        <v>48</v>
      </c>
    </row>
    <row r="33485">
      <c r="H33485" s="50"/>
      <c r="I33485" s="50"/>
      <c r="O33485" s="36" t="s">
        <v>48</v>
      </c>
      <c r="R33485" s="36" t="s">
        <v>48</v>
      </c>
    </row>
    <row r="33486">
      <c r="H33486" s="50"/>
      <c r="I33486" s="50"/>
      <c r="O33486" s="36" t="s">
        <v>48</v>
      </c>
      <c r="R33486" s="36" t="s">
        <v>48</v>
      </c>
    </row>
    <row r="33487">
      <c r="H33487" s="50"/>
      <c r="I33487" s="50"/>
      <c r="O33487" s="36" t="s">
        <v>48</v>
      </c>
      <c r="R33487" s="36" t="s">
        <v>48</v>
      </c>
    </row>
    <row r="33488">
      <c r="H33488" s="50"/>
      <c r="I33488" s="50"/>
      <c r="O33488" s="36" t="s">
        <v>48</v>
      </c>
      <c r="R33488" s="36" t="s">
        <v>48</v>
      </c>
    </row>
    <row r="33489">
      <c r="H33489" s="50"/>
      <c r="I33489" s="50"/>
      <c r="O33489" s="36" t="s">
        <v>48</v>
      </c>
      <c r="R33489" s="36" t="s">
        <v>48</v>
      </c>
    </row>
    <row r="33490">
      <c r="H33490" s="50"/>
      <c r="I33490" s="50"/>
      <c r="O33490" s="36" t="s">
        <v>48</v>
      </c>
      <c r="R33490" s="36" t="s">
        <v>48</v>
      </c>
    </row>
    <row r="33491">
      <c r="H33491" s="50"/>
      <c r="I33491" s="50"/>
      <c r="O33491" s="36" t="s">
        <v>48</v>
      </c>
      <c r="R33491" s="36" t="s">
        <v>48</v>
      </c>
    </row>
    <row r="33492">
      <c r="H33492" s="50"/>
      <c r="I33492" s="50"/>
      <c r="O33492" s="36" t="s">
        <v>48</v>
      </c>
      <c r="R33492" s="36" t="s">
        <v>48</v>
      </c>
    </row>
    <row r="33493">
      <c r="H33493" s="50"/>
      <c r="I33493" s="50"/>
      <c r="O33493" s="36" t="s">
        <v>48</v>
      </c>
      <c r="R33493" s="36" t="s">
        <v>48</v>
      </c>
    </row>
    <row r="33494">
      <c r="H33494" s="50"/>
      <c r="I33494" s="50"/>
      <c r="O33494" s="36" t="s">
        <v>48</v>
      </c>
      <c r="R33494" s="36" t="s">
        <v>48</v>
      </c>
    </row>
    <row r="33495">
      <c r="H33495" s="50"/>
      <c r="I33495" s="50"/>
      <c r="O33495" s="36" t="s">
        <v>48</v>
      </c>
      <c r="R33495" s="36" t="s">
        <v>48</v>
      </c>
    </row>
    <row r="33496">
      <c r="H33496" s="50"/>
      <c r="I33496" s="50"/>
      <c r="O33496" s="36" t="s">
        <v>48</v>
      </c>
      <c r="R33496" s="36" t="s">
        <v>48</v>
      </c>
    </row>
    <row r="33497">
      <c r="H33497" s="50"/>
      <c r="I33497" s="50"/>
      <c r="O33497" s="36" t="s">
        <v>48</v>
      </c>
      <c r="R33497" s="36" t="s">
        <v>48</v>
      </c>
    </row>
    <row r="33498">
      <c r="H33498" s="50"/>
      <c r="I33498" s="50"/>
      <c r="O33498" s="36" t="s">
        <v>48</v>
      </c>
      <c r="R33498" s="36" t="s">
        <v>48</v>
      </c>
    </row>
    <row r="33499">
      <c r="H33499" s="50"/>
      <c r="I33499" s="50"/>
      <c r="O33499" s="36" t="s">
        <v>48</v>
      </c>
      <c r="R33499" s="36" t="s">
        <v>48</v>
      </c>
    </row>
    <row r="33500">
      <c r="H33500" s="50"/>
      <c r="I33500" s="50"/>
      <c r="O33500" s="36" t="s">
        <v>48</v>
      </c>
      <c r="R33500" s="36" t="s">
        <v>48</v>
      </c>
    </row>
    <row r="33501">
      <c r="H33501" s="50"/>
      <c r="I33501" s="50"/>
      <c r="O33501" s="36" t="s">
        <v>48</v>
      </c>
      <c r="R33501" s="36" t="s">
        <v>48</v>
      </c>
    </row>
    <row r="33502">
      <c r="H33502" s="50"/>
      <c r="I33502" s="50"/>
      <c r="O33502" s="36" t="s">
        <v>48</v>
      </c>
      <c r="R33502" s="36" t="s">
        <v>48</v>
      </c>
    </row>
    <row r="33503">
      <c r="H33503" s="50"/>
      <c r="I33503" s="50"/>
      <c r="O33503" s="36" t="s">
        <v>48</v>
      </c>
      <c r="R33503" s="36" t="s">
        <v>48</v>
      </c>
    </row>
    <row r="33504">
      <c r="H33504" s="50"/>
      <c r="I33504" s="50"/>
      <c r="O33504" s="36" t="s">
        <v>48</v>
      </c>
      <c r="R33504" s="36" t="s">
        <v>48</v>
      </c>
    </row>
    <row r="33505">
      <c r="H33505" s="50"/>
      <c r="I33505" s="50"/>
      <c r="O33505" s="36" t="s">
        <v>48</v>
      </c>
      <c r="R33505" s="36" t="s">
        <v>48</v>
      </c>
    </row>
    <row r="33506">
      <c r="H33506" s="50"/>
      <c r="I33506" s="50"/>
      <c r="O33506" s="36" t="s">
        <v>48</v>
      </c>
      <c r="R33506" s="36" t="s">
        <v>48</v>
      </c>
    </row>
    <row r="33507">
      <c r="H33507" s="50"/>
      <c r="I33507" s="50"/>
      <c r="O33507" s="36" t="s">
        <v>48</v>
      </c>
      <c r="R33507" s="36" t="s">
        <v>48</v>
      </c>
    </row>
    <row r="33508">
      <c r="H33508" s="50"/>
      <c r="I33508" s="50"/>
      <c r="O33508" s="36" t="s">
        <v>48</v>
      </c>
      <c r="R33508" s="36" t="s">
        <v>48</v>
      </c>
    </row>
    <row r="33509">
      <c r="H33509" s="50"/>
      <c r="I33509" s="50"/>
      <c r="O33509" s="36" t="s">
        <v>48</v>
      </c>
      <c r="R33509" s="36" t="s">
        <v>48</v>
      </c>
    </row>
    <row r="33510">
      <c r="H33510" s="50"/>
      <c r="I33510" s="50"/>
      <c r="O33510" s="36" t="s">
        <v>48</v>
      </c>
      <c r="R33510" s="36" t="s">
        <v>48</v>
      </c>
    </row>
    <row r="33511">
      <c r="H33511" s="50"/>
      <c r="I33511" s="50"/>
      <c r="O33511" s="36" t="s">
        <v>48</v>
      </c>
      <c r="R33511" s="36" t="s">
        <v>48</v>
      </c>
    </row>
    <row r="33512">
      <c r="H33512" s="50"/>
      <c r="I33512" s="50"/>
      <c r="O33512" s="36" t="s">
        <v>48</v>
      </c>
      <c r="R33512" s="36" t="s">
        <v>48</v>
      </c>
    </row>
    <row r="33513">
      <c r="H33513" s="50"/>
      <c r="I33513" s="50"/>
      <c r="O33513" s="36" t="s">
        <v>48</v>
      </c>
      <c r="R33513" s="36" t="s">
        <v>48</v>
      </c>
    </row>
    <row r="33514">
      <c r="H33514" s="50"/>
      <c r="I33514" s="50"/>
      <c r="O33514" s="36" t="s">
        <v>48</v>
      </c>
      <c r="R33514" s="36" t="s">
        <v>48</v>
      </c>
    </row>
    <row r="33515">
      <c r="H33515" s="50"/>
      <c r="I33515" s="50"/>
      <c r="O33515" s="36" t="s">
        <v>48</v>
      </c>
      <c r="R33515" s="36" t="s">
        <v>48</v>
      </c>
    </row>
    <row r="33516">
      <c r="H33516" s="50"/>
      <c r="I33516" s="50"/>
      <c r="O33516" s="36" t="s">
        <v>48</v>
      </c>
      <c r="R33516" s="36" t="s">
        <v>48</v>
      </c>
    </row>
    <row r="33517">
      <c r="H33517" s="50"/>
      <c r="I33517" s="50"/>
      <c r="O33517" s="36" t="s">
        <v>48</v>
      </c>
      <c r="R33517" s="36" t="s">
        <v>48</v>
      </c>
    </row>
    <row r="33518">
      <c r="H33518" s="50"/>
      <c r="I33518" s="50"/>
      <c r="O33518" s="36" t="s">
        <v>48</v>
      </c>
      <c r="R33518" s="36" t="s">
        <v>48</v>
      </c>
    </row>
    <row r="33519">
      <c r="H33519" s="50"/>
      <c r="I33519" s="50"/>
      <c r="O33519" s="36" t="s">
        <v>48</v>
      </c>
      <c r="R33519" s="36" t="s">
        <v>48</v>
      </c>
    </row>
    <row r="33520">
      <c r="H33520" s="50"/>
      <c r="I33520" s="50"/>
      <c r="O33520" s="36" t="s">
        <v>48</v>
      </c>
      <c r="R33520" s="36" t="s">
        <v>48</v>
      </c>
    </row>
    <row r="33521">
      <c r="H33521" s="50"/>
      <c r="I33521" s="50"/>
      <c r="O33521" s="36" t="s">
        <v>48</v>
      </c>
      <c r="R33521" s="36" t="s">
        <v>48</v>
      </c>
    </row>
    <row r="33522">
      <c r="H33522" s="50"/>
      <c r="I33522" s="50"/>
      <c r="O33522" s="36" t="s">
        <v>48</v>
      </c>
      <c r="R33522" s="36" t="s">
        <v>48</v>
      </c>
    </row>
    <row r="33523">
      <c r="H33523" s="50"/>
      <c r="I33523" s="50"/>
      <c r="O33523" s="36" t="s">
        <v>48</v>
      </c>
      <c r="R33523" s="36" t="s">
        <v>48</v>
      </c>
    </row>
    <row r="33524">
      <c r="H33524" s="50"/>
      <c r="I33524" s="50"/>
      <c r="O33524" s="36" t="s">
        <v>48</v>
      </c>
      <c r="R33524" s="36" t="s">
        <v>48</v>
      </c>
    </row>
    <row r="33525">
      <c r="H33525" s="50"/>
      <c r="I33525" s="50"/>
      <c r="O33525" s="36" t="s">
        <v>48</v>
      </c>
      <c r="R33525" s="36" t="s">
        <v>48</v>
      </c>
    </row>
    <row r="33526">
      <c r="H33526" s="50"/>
      <c r="I33526" s="50"/>
      <c r="O33526" s="36" t="s">
        <v>48</v>
      </c>
      <c r="R33526" s="36" t="s">
        <v>48</v>
      </c>
    </row>
    <row r="33527">
      <c r="H33527" s="50"/>
      <c r="I33527" s="50"/>
      <c r="O33527" s="36" t="s">
        <v>48</v>
      </c>
      <c r="R33527" s="36" t="s">
        <v>48</v>
      </c>
    </row>
    <row r="33528">
      <c r="H33528" s="50"/>
      <c r="I33528" s="50"/>
      <c r="O33528" s="36" t="s">
        <v>48</v>
      </c>
      <c r="R33528" s="36" t="s">
        <v>48</v>
      </c>
    </row>
    <row r="33529">
      <c r="H33529" s="50"/>
      <c r="I33529" s="50"/>
      <c r="O33529" s="36" t="s">
        <v>48</v>
      </c>
      <c r="R33529" s="36" t="s">
        <v>48</v>
      </c>
    </row>
    <row r="33530">
      <c r="H33530" s="50"/>
      <c r="I33530" s="50"/>
      <c r="O33530" s="36" t="s">
        <v>48</v>
      </c>
      <c r="R33530" s="36" t="s">
        <v>48</v>
      </c>
    </row>
    <row r="33531">
      <c r="H33531" s="50"/>
      <c r="I33531" s="50"/>
      <c r="O33531" s="36" t="s">
        <v>48</v>
      </c>
      <c r="R33531" s="36" t="s">
        <v>48</v>
      </c>
    </row>
    <row r="33532">
      <c r="H33532" s="50"/>
      <c r="I33532" s="50"/>
      <c r="O33532" s="36" t="s">
        <v>48</v>
      </c>
      <c r="R33532" s="36" t="s">
        <v>48</v>
      </c>
    </row>
    <row r="33533">
      <c r="H33533" s="50"/>
      <c r="I33533" s="50"/>
      <c r="O33533" s="36" t="s">
        <v>48</v>
      </c>
      <c r="R33533" s="36" t="s">
        <v>48</v>
      </c>
    </row>
    <row r="33534">
      <c r="H33534" s="50"/>
      <c r="I33534" s="50"/>
      <c r="O33534" s="36" t="s">
        <v>48</v>
      </c>
      <c r="R33534" s="36" t="s">
        <v>48</v>
      </c>
    </row>
    <row r="33535">
      <c r="H33535" s="50"/>
      <c r="I33535" s="50"/>
      <c r="O33535" s="36" t="s">
        <v>48</v>
      </c>
      <c r="R33535" s="36" t="s">
        <v>48</v>
      </c>
    </row>
    <row r="33536">
      <c r="H33536" s="50"/>
      <c r="I33536" s="50"/>
      <c r="O33536" s="36" t="s">
        <v>48</v>
      </c>
      <c r="R33536" s="36" t="s">
        <v>48</v>
      </c>
    </row>
    <row r="33537">
      <c r="H33537" s="50"/>
      <c r="I33537" s="50"/>
      <c r="O33537" s="36" t="s">
        <v>48</v>
      </c>
      <c r="R33537" s="36" t="s">
        <v>48</v>
      </c>
    </row>
    <row r="33538">
      <c r="H33538" s="50"/>
      <c r="I33538" s="50"/>
      <c r="O33538" s="36" t="s">
        <v>48</v>
      </c>
      <c r="R33538" s="36" t="s">
        <v>48</v>
      </c>
    </row>
    <row r="33539">
      <c r="H33539" s="50"/>
      <c r="I33539" s="50"/>
      <c r="O33539" s="36" t="s">
        <v>48</v>
      </c>
      <c r="R33539" s="36" t="s">
        <v>48</v>
      </c>
    </row>
    <row r="33540">
      <c r="H33540" s="50"/>
      <c r="I33540" s="50"/>
      <c r="O33540" s="36" t="s">
        <v>48</v>
      </c>
      <c r="R33540" s="36" t="s">
        <v>48</v>
      </c>
    </row>
    <row r="33541">
      <c r="H33541" s="50"/>
      <c r="I33541" s="50"/>
      <c r="O33541" s="36" t="s">
        <v>48</v>
      </c>
      <c r="R33541" s="36" t="s">
        <v>48</v>
      </c>
    </row>
    <row r="33542">
      <c r="H33542" s="50"/>
      <c r="I33542" s="50"/>
      <c r="O33542" s="36" t="s">
        <v>48</v>
      </c>
      <c r="R33542" s="36" t="s">
        <v>48</v>
      </c>
    </row>
    <row r="33543">
      <c r="H33543" s="50"/>
      <c r="I33543" s="50"/>
      <c r="O33543" s="36" t="s">
        <v>48</v>
      </c>
      <c r="R33543" s="36" t="s">
        <v>48</v>
      </c>
    </row>
    <row r="33544">
      <c r="H33544" s="50"/>
      <c r="I33544" s="50"/>
      <c r="O33544" s="36" t="s">
        <v>48</v>
      </c>
      <c r="R33544" s="36" t="s">
        <v>48</v>
      </c>
    </row>
    <row r="33545">
      <c r="H33545" s="50"/>
      <c r="I33545" s="50"/>
      <c r="O33545" s="36" t="s">
        <v>48</v>
      </c>
      <c r="R33545" s="36" t="s">
        <v>48</v>
      </c>
    </row>
    <row r="33546">
      <c r="H33546" s="50"/>
      <c r="I33546" s="50"/>
      <c r="O33546" s="36" t="s">
        <v>48</v>
      </c>
      <c r="R33546" s="36" t="s">
        <v>48</v>
      </c>
    </row>
    <row r="33547">
      <c r="H33547" s="50"/>
      <c r="I33547" s="50"/>
      <c r="O33547" s="36" t="s">
        <v>48</v>
      </c>
      <c r="R33547" s="36" t="s">
        <v>48</v>
      </c>
    </row>
    <row r="33548">
      <c r="H33548" s="50"/>
      <c r="I33548" s="50"/>
      <c r="O33548" s="36" t="s">
        <v>48</v>
      </c>
      <c r="R33548" s="36" t="s">
        <v>48</v>
      </c>
    </row>
    <row r="33549">
      <c r="H33549" s="50"/>
      <c r="I33549" s="50"/>
      <c r="O33549" s="36" t="s">
        <v>48</v>
      </c>
      <c r="R33549" s="36" t="s">
        <v>48</v>
      </c>
    </row>
    <row r="33550">
      <c r="H33550" s="50"/>
      <c r="I33550" s="50"/>
      <c r="O33550" s="36" t="s">
        <v>48</v>
      </c>
      <c r="R33550" s="36" t="s">
        <v>48</v>
      </c>
    </row>
    <row r="33551">
      <c r="H33551" s="50"/>
      <c r="I33551" s="50"/>
      <c r="O33551" s="36" t="s">
        <v>48</v>
      </c>
      <c r="R33551" s="36" t="s">
        <v>48</v>
      </c>
    </row>
    <row r="33552">
      <c r="H33552" s="50"/>
      <c r="I33552" s="50"/>
      <c r="O33552" s="36" t="s">
        <v>48</v>
      </c>
      <c r="R33552" s="36" t="s">
        <v>48</v>
      </c>
    </row>
    <row r="33553">
      <c r="H33553" s="50"/>
      <c r="I33553" s="50"/>
      <c r="O33553" s="36" t="s">
        <v>48</v>
      </c>
      <c r="R33553" s="36" t="s">
        <v>48</v>
      </c>
    </row>
    <row r="33554">
      <c r="H33554" s="50"/>
      <c r="I33554" s="50"/>
      <c r="O33554" s="36" t="s">
        <v>48</v>
      </c>
      <c r="R33554" s="36" t="s">
        <v>48</v>
      </c>
    </row>
    <row r="33555">
      <c r="H33555" s="50"/>
      <c r="I33555" s="50"/>
      <c r="O33555" s="36" t="s">
        <v>48</v>
      </c>
      <c r="R33555" s="36" t="s">
        <v>48</v>
      </c>
    </row>
    <row r="33556">
      <c r="H33556" s="50"/>
      <c r="I33556" s="50"/>
      <c r="O33556" s="36" t="s">
        <v>48</v>
      </c>
      <c r="R33556" s="36" t="s">
        <v>48</v>
      </c>
    </row>
    <row r="33557">
      <c r="H33557" s="50"/>
      <c r="I33557" s="50"/>
      <c r="O33557" s="36" t="s">
        <v>48</v>
      </c>
      <c r="R33557" s="36" t="s">
        <v>48</v>
      </c>
    </row>
    <row r="33558">
      <c r="H33558" s="50"/>
      <c r="I33558" s="50"/>
      <c r="O33558" s="36" t="s">
        <v>48</v>
      </c>
      <c r="R33558" s="36" t="s">
        <v>48</v>
      </c>
    </row>
    <row r="33559">
      <c r="H33559" s="50"/>
      <c r="I33559" s="50"/>
      <c r="O33559" s="36" t="s">
        <v>48</v>
      </c>
      <c r="R33559" s="36" t="s">
        <v>48</v>
      </c>
    </row>
    <row r="33560">
      <c r="H33560" s="50"/>
      <c r="I33560" s="50"/>
      <c r="O33560" s="36" t="s">
        <v>48</v>
      </c>
      <c r="R33560" s="36" t="s">
        <v>48</v>
      </c>
    </row>
    <row r="33561">
      <c r="H33561" s="50"/>
      <c r="I33561" s="50"/>
      <c r="O33561" s="36" t="s">
        <v>48</v>
      </c>
      <c r="R33561" s="36" t="s">
        <v>48</v>
      </c>
    </row>
    <row r="33562">
      <c r="H33562" s="50"/>
      <c r="I33562" s="50"/>
      <c r="O33562" s="36" t="s">
        <v>48</v>
      </c>
      <c r="R33562" s="36" t="s">
        <v>48</v>
      </c>
    </row>
    <row r="33563">
      <c r="H33563" s="50"/>
      <c r="I33563" s="50"/>
      <c r="O33563" s="36" t="s">
        <v>48</v>
      </c>
      <c r="R33563" s="36" t="s">
        <v>48</v>
      </c>
    </row>
    <row r="33564">
      <c r="H33564" s="50"/>
      <c r="I33564" s="50"/>
      <c r="O33564" s="36" t="s">
        <v>48</v>
      </c>
      <c r="R33564" s="36" t="s">
        <v>48</v>
      </c>
    </row>
    <row r="33565">
      <c r="H33565" s="50"/>
      <c r="I33565" s="50"/>
      <c r="O33565" s="36" t="s">
        <v>48</v>
      </c>
      <c r="R33565" s="36" t="s">
        <v>48</v>
      </c>
    </row>
    <row r="33566">
      <c r="H33566" s="50"/>
      <c r="I33566" s="50"/>
      <c r="O33566" s="36" t="s">
        <v>48</v>
      </c>
      <c r="R33566" s="36" t="s">
        <v>48</v>
      </c>
    </row>
    <row r="33567">
      <c r="H33567" s="50"/>
      <c r="I33567" s="50"/>
      <c r="O33567" s="36" t="s">
        <v>48</v>
      </c>
      <c r="R33567" s="36" t="s">
        <v>48</v>
      </c>
    </row>
    <row r="33568">
      <c r="H33568" s="50"/>
      <c r="I33568" s="50"/>
      <c r="O33568" s="36" t="s">
        <v>48</v>
      </c>
      <c r="R33568" s="36" t="s">
        <v>48</v>
      </c>
    </row>
    <row r="33569">
      <c r="H33569" s="50"/>
      <c r="I33569" s="50"/>
      <c r="O33569" s="36" t="s">
        <v>48</v>
      </c>
      <c r="R33569" s="36" t="s">
        <v>48</v>
      </c>
    </row>
    <row r="33570">
      <c r="H33570" s="50"/>
      <c r="I33570" s="50"/>
      <c r="O33570" s="36" t="s">
        <v>48</v>
      </c>
      <c r="R33570" s="36" t="s">
        <v>48</v>
      </c>
    </row>
    <row r="33571">
      <c r="H33571" s="50"/>
      <c r="I33571" s="50"/>
      <c r="O33571" s="36" t="s">
        <v>48</v>
      </c>
      <c r="R33571" s="36" t="s">
        <v>48</v>
      </c>
    </row>
    <row r="33572">
      <c r="H33572" s="50"/>
      <c r="I33572" s="50"/>
      <c r="O33572" s="36" t="s">
        <v>48</v>
      </c>
      <c r="R33572" s="36" t="s">
        <v>48</v>
      </c>
    </row>
    <row r="33573">
      <c r="H33573" s="50"/>
      <c r="I33573" s="50"/>
      <c r="O33573" s="36" t="s">
        <v>48</v>
      </c>
      <c r="R33573" s="36" t="s">
        <v>48</v>
      </c>
    </row>
    <row r="33574">
      <c r="H33574" s="50"/>
      <c r="I33574" s="50"/>
      <c r="O33574" s="36" t="s">
        <v>48</v>
      </c>
      <c r="R33574" s="36" t="s">
        <v>48</v>
      </c>
    </row>
    <row r="33575">
      <c r="H33575" s="50"/>
      <c r="I33575" s="50"/>
      <c r="O33575" s="36" t="s">
        <v>48</v>
      </c>
      <c r="R33575" s="36" t="s">
        <v>48</v>
      </c>
    </row>
    <row r="33576">
      <c r="H33576" s="50"/>
      <c r="I33576" s="50"/>
      <c r="O33576" s="36" t="s">
        <v>48</v>
      </c>
      <c r="R33576" s="36" t="s">
        <v>48</v>
      </c>
    </row>
    <row r="33577">
      <c r="H33577" s="50"/>
      <c r="I33577" s="50"/>
      <c r="O33577" s="36" t="s">
        <v>48</v>
      </c>
      <c r="R33577" s="36" t="s">
        <v>48</v>
      </c>
    </row>
    <row r="33578">
      <c r="H33578" s="50"/>
      <c r="I33578" s="50"/>
      <c r="O33578" s="36" t="s">
        <v>48</v>
      </c>
      <c r="R33578" s="36" t="s">
        <v>48</v>
      </c>
    </row>
    <row r="33579">
      <c r="H33579" s="50"/>
      <c r="I33579" s="50"/>
      <c r="O33579" s="36" t="s">
        <v>48</v>
      </c>
      <c r="R33579" s="36" t="s">
        <v>48</v>
      </c>
    </row>
    <row r="33580">
      <c r="H33580" s="50"/>
      <c r="I33580" s="50"/>
      <c r="O33580" s="36" t="s">
        <v>48</v>
      </c>
      <c r="R33580" s="36" t="s">
        <v>48</v>
      </c>
    </row>
    <row r="33581">
      <c r="H33581" s="50"/>
      <c r="I33581" s="50"/>
      <c r="O33581" s="36" t="s">
        <v>48</v>
      </c>
      <c r="R33581" s="36" t="s">
        <v>48</v>
      </c>
    </row>
    <row r="33582">
      <c r="H33582" s="50"/>
      <c r="I33582" s="50"/>
      <c r="O33582" s="36" t="s">
        <v>48</v>
      </c>
      <c r="R33582" s="36" t="s">
        <v>48</v>
      </c>
    </row>
    <row r="33583">
      <c r="H33583" s="50"/>
      <c r="I33583" s="50"/>
      <c r="O33583" s="36" t="s">
        <v>48</v>
      </c>
      <c r="R33583" s="36" t="s">
        <v>48</v>
      </c>
    </row>
    <row r="33584">
      <c r="H33584" s="50"/>
      <c r="I33584" s="50"/>
      <c r="O33584" s="36" t="s">
        <v>48</v>
      </c>
      <c r="R33584" s="36" t="s">
        <v>48</v>
      </c>
    </row>
    <row r="33585">
      <c r="H33585" s="50"/>
      <c r="I33585" s="50"/>
      <c r="O33585" s="36" t="s">
        <v>48</v>
      </c>
      <c r="R33585" s="36" t="s">
        <v>48</v>
      </c>
    </row>
    <row r="33586">
      <c r="H33586" s="50"/>
      <c r="I33586" s="50"/>
      <c r="O33586" s="36" t="s">
        <v>48</v>
      </c>
      <c r="R33586" s="36" t="s">
        <v>48</v>
      </c>
    </row>
    <row r="33587">
      <c r="H33587" s="50"/>
      <c r="I33587" s="50"/>
      <c r="O33587" s="36" t="s">
        <v>48</v>
      </c>
      <c r="R33587" s="36" t="s">
        <v>48</v>
      </c>
    </row>
    <row r="33588">
      <c r="H33588" s="50"/>
      <c r="I33588" s="50"/>
      <c r="O33588" s="36" t="s">
        <v>48</v>
      </c>
      <c r="R33588" s="36" t="s">
        <v>48</v>
      </c>
    </row>
    <row r="33589">
      <c r="H33589" s="50"/>
      <c r="I33589" s="50"/>
      <c r="O33589" s="36" t="s">
        <v>48</v>
      </c>
      <c r="R33589" s="36" t="s">
        <v>48</v>
      </c>
    </row>
    <row r="33590">
      <c r="H33590" s="50"/>
      <c r="I33590" s="50"/>
      <c r="O33590" s="36" t="s">
        <v>48</v>
      </c>
      <c r="R33590" s="36" t="s">
        <v>48</v>
      </c>
    </row>
    <row r="33591">
      <c r="H33591" s="50"/>
      <c r="I33591" s="50"/>
      <c r="O33591" s="36" t="s">
        <v>48</v>
      </c>
      <c r="R33591" s="36" t="s">
        <v>48</v>
      </c>
    </row>
    <row r="33592">
      <c r="H33592" s="50"/>
      <c r="I33592" s="50"/>
      <c r="O33592" s="36" t="s">
        <v>48</v>
      </c>
      <c r="R33592" s="36" t="s">
        <v>48</v>
      </c>
    </row>
    <row r="33593">
      <c r="H33593" s="50"/>
      <c r="I33593" s="50"/>
      <c r="O33593" s="36" t="s">
        <v>48</v>
      </c>
      <c r="R33593" s="36" t="s">
        <v>48</v>
      </c>
    </row>
    <row r="33594">
      <c r="H33594" s="50"/>
      <c r="I33594" s="50"/>
      <c r="O33594" s="36" t="s">
        <v>48</v>
      </c>
      <c r="R33594" s="36" t="s">
        <v>48</v>
      </c>
    </row>
    <row r="33595">
      <c r="H33595" s="50"/>
      <c r="I33595" s="50"/>
      <c r="O33595" s="36" t="s">
        <v>48</v>
      </c>
      <c r="R33595" s="36" t="s">
        <v>48</v>
      </c>
    </row>
    <row r="33596">
      <c r="H33596" s="50"/>
      <c r="I33596" s="50"/>
      <c r="O33596" s="36" t="s">
        <v>48</v>
      </c>
      <c r="R33596" s="36" t="s">
        <v>48</v>
      </c>
    </row>
    <row r="33597">
      <c r="H33597" s="50"/>
      <c r="I33597" s="50"/>
      <c r="O33597" s="36" t="s">
        <v>48</v>
      </c>
      <c r="R33597" s="36" t="s">
        <v>48</v>
      </c>
    </row>
    <row r="33598">
      <c r="H33598" s="50"/>
      <c r="I33598" s="50"/>
      <c r="O33598" s="36" t="s">
        <v>48</v>
      </c>
      <c r="R33598" s="36" t="s">
        <v>48</v>
      </c>
    </row>
    <row r="33599">
      <c r="H33599" s="50"/>
      <c r="I33599" s="50"/>
      <c r="O33599" s="36" t="s">
        <v>48</v>
      </c>
      <c r="R33599" s="36" t="s">
        <v>48</v>
      </c>
    </row>
    <row r="33600">
      <c r="H33600" s="50"/>
      <c r="I33600" s="50"/>
      <c r="O33600" s="36" t="s">
        <v>48</v>
      </c>
      <c r="R33600" s="36" t="s">
        <v>48</v>
      </c>
    </row>
    <row r="33601">
      <c r="H33601" s="50"/>
      <c r="I33601" s="50"/>
      <c r="O33601" s="36" t="s">
        <v>48</v>
      </c>
      <c r="R33601" s="36" t="s">
        <v>48</v>
      </c>
    </row>
    <row r="33602">
      <c r="H33602" s="50"/>
      <c r="I33602" s="50"/>
      <c r="O33602" s="36" t="s">
        <v>48</v>
      </c>
      <c r="R33602" s="36" t="s">
        <v>48</v>
      </c>
    </row>
    <row r="33603">
      <c r="H33603" s="50"/>
      <c r="I33603" s="50"/>
      <c r="O33603" s="36" t="s">
        <v>48</v>
      </c>
      <c r="R33603" s="36" t="s">
        <v>48</v>
      </c>
    </row>
    <row r="33604">
      <c r="H33604" s="50"/>
      <c r="I33604" s="50"/>
      <c r="O33604" s="36" t="s">
        <v>48</v>
      </c>
      <c r="R33604" s="36" t="s">
        <v>48</v>
      </c>
    </row>
    <row r="33605">
      <c r="H33605" s="50"/>
      <c r="I33605" s="50"/>
      <c r="O33605" s="36" t="s">
        <v>48</v>
      </c>
      <c r="R33605" s="36" t="s">
        <v>48</v>
      </c>
    </row>
    <row r="33606">
      <c r="H33606" s="50"/>
      <c r="I33606" s="50"/>
      <c r="O33606" s="36" t="s">
        <v>48</v>
      </c>
      <c r="R33606" s="36" t="s">
        <v>48</v>
      </c>
    </row>
    <row r="33607">
      <c r="H33607" s="50"/>
      <c r="I33607" s="50"/>
      <c r="O33607" s="36" t="s">
        <v>48</v>
      </c>
      <c r="R33607" s="36" t="s">
        <v>48</v>
      </c>
    </row>
    <row r="33608">
      <c r="H33608" s="50"/>
      <c r="I33608" s="50"/>
      <c r="O33608" s="36" t="s">
        <v>48</v>
      </c>
      <c r="R33608" s="36" t="s">
        <v>48</v>
      </c>
    </row>
    <row r="33609">
      <c r="H33609" s="50"/>
      <c r="I33609" s="50"/>
      <c r="O33609" s="36" t="s">
        <v>48</v>
      </c>
      <c r="R33609" s="36" t="s">
        <v>48</v>
      </c>
    </row>
    <row r="33610">
      <c r="H33610" s="50"/>
      <c r="I33610" s="50"/>
      <c r="O33610" s="36" t="s">
        <v>48</v>
      </c>
      <c r="R33610" s="36" t="s">
        <v>48</v>
      </c>
    </row>
    <row r="33611">
      <c r="H33611" s="50"/>
      <c r="I33611" s="50"/>
      <c r="O33611" s="36" t="s">
        <v>48</v>
      </c>
      <c r="R33611" s="36" t="s">
        <v>48</v>
      </c>
    </row>
    <row r="33612">
      <c r="H33612" s="50"/>
      <c r="I33612" s="50"/>
      <c r="O33612" s="36" t="s">
        <v>48</v>
      </c>
      <c r="R33612" s="36" t="s">
        <v>48</v>
      </c>
    </row>
    <row r="33613">
      <c r="H33613" s="50"/>
      <c r="I33613" s="50"/>
      <c r="O33613" s="36" t="s">
        <v>48</v>
      </c>
      <c r="R33613" s="36" t="s">
        <v>48</v>
      </c>
    </row>
    <row r="33614">
      <c r="H33614" s="50"/>
      <c r="I33614" s="50"/>
      <c r="O33614" s="36" t="s">
        <v>48</v>
      </c>
      <c r="R33614" s="36" t="s">
        <v>48</v>
      </c>
    </row>
    <row r="33615">
      <c r="H33615" s="50"/>
      <c r="I33615" s="50"/>
      <c r="O33615" s="36" t="s">
        <v>48</v>
      </c>
      <c r="R33615" s="36" t="s">
        <v>48</v>
      </c>
    </row>
    <row r="33616">
      <c r="H33616" s="50"/>
      <c r="I33616" s="50"/>
      <c r="O33616" s="36" t="s">
        <v>48</v>
      </c>
      <c r="R33616" s="36" t="s">
        <v>48</v>
      </c>
    </row>
    <row r="33617">
      <c r="H33617" s="50"/>
      <c r="I33617" s="50"/>
      <c r="O33617" s="36" t="s">
        <v>48</v>
      </c>
      <c r="R33617" s="36" t="s">
        <v>48</v>
      </c>
    </row>
    <row r="33618">
      <c r="H33618" s="50"/>
      <c r="I33618" s="50"/>
      <c r="O33618" s="36" t="s">
        <v>48</v>
      </c>
      <c r="R33618" s="36" t="s">
        <v>48</v>
      </c>
    </row>
    <row r="33619">
      <c r="H33619" s="50"/>
      <c r="I33619" s="50"/>
      <c r="O33619" s="36" t="s">
        <v>48</v>
      </c>
      <c r="R33619" s="36" t="s">
        <v>48</v>
      </c>
    </row>
    <row r="33620">
      <c r="H33620" s="50"/>
      <c r="I33620" s="50"/>
      <c r="O33620" s="36" t="s">
        <v>48</v>
      </c>
      <c r="R33620" s="36" t="s">
        <v>48</v>
      </c>
    </row>
    <row r="33621">
      <c r="H33621" s="50"/>
      <c r="I33621" s="50"/>
      <c r="O33621" s="36" t="s">
        <v>48</v>
      </c>
      <c r="R33621" s="36" t="s">
        <v>48</v>
      </c>
    </row>
    <row r="33622">
      <c r="H33622" s="50"/>
      <c r="I33622" s="50"/>
      <c r="O33622" s="36" t="s">
        <v>48</v>
      </c>
      <c r="R33622" s="36" t="s">
        <v>48</v>
      </c>
    </row>
    <row r="33623">
      <c r="H33623" s="50"/>
      <c r="I33623" s="50"/>
      <c r="O33623" s="36" t="s">
        <v>48</v>
      </c>
      <c r="R33623" s="36" t="s">
        <v>48</v>
      </c>
    </row>
    <row r="33624">
      <c r="H33624" s="50"/>
      <c r="I33624" s="50"/>
      <c r="O33624" s="36" t="s">
        <v>48</v>
      </c>
      <c r="R33624" s="36" t="s">
        <v>48</v>
      </c>
    </row>
    <row r="33625">
      <c r="H33625" s="50"/>
      <c r="I33625" s="50"/>
      <c r="O33625" s="36" t="s">
        <v>48</v>
      </c>
      <c r="R33625" s="36" t="s">
        <v>48</v>
      </c>
    </row>
    <row r="33626">
      <c r="H33626" s="50"/>
      <c r="I33626" s="50"/>
      <c r="O33626" s="36" t="s">
        <v>48</v>
      </c>
      <c r="R33626" s="36" t="s">
        <v>48</v>
      </c>
    </row>
    <row r="33627">
      <c r="H33627" s="50"/>
      <c r="I33627" s="50"/>
      <c r="O33627" s="36" t="s">
        <v>48</v>
      </c>
      <c r="R33627" s="36" t="s">
        <v>48</v>
      </c>
    </row>
    <row r="33628">
      <c r="H33628" s="50"/>
      <c r="I33628" s="50"/>
      <c r="O33628" s="36" t="s">
        <v>48</v>
      </c>
      <c r="R33628" s="36" t="s">
        <v>48</v>
      </c>
    </row>
    <row r="33629">
      <c r="H33629" s="50"/>
      <c r="I33629" s="50"/>
      <c r="O33629" s="36" t="s">
        <v>48</v>
      </c>
      <c r="R33629" s="36" t="s">
        <v>48</v>
      </c>
    </row>
    <row r="33630">
      <c r="H33630" s="50"/>
      <c r="I33630" s="50"/>
      <c r="O33630" s="36" t="s">
        <v>48</v>
      </c>
      <c r="R33630" s="36" t="s">
        <v>48</v>
      </c>
    </row>
    <row r="33631">
      <c r="H33631" s="50"/>
      <c r="I33631" s="50"/>
      <c r="O33631" s="36" t="s">
        <v>48</v>
      </c>
      <c r="R33631" s="36" t="s">
        <v>48</v>
      </c>
    </row>
    <row r="33632">
      <c r="H33632" s="50"/>
      <c r="I33632" s="50"/>
      <c r="O33632" s="36" t="s">
        <v>48</v>
      </c>
      <c r="R33632" s="36" t="s">
        <v>48</v>
      </c>
    </row>
    <row r="33633">
      <c r="H33633" s="50"/>
      <c r="I33633" s="50"/>
      <c r="O33633" s="36" t="s">
        <v>48</v>
      </c>
      <c r="R33633" s="36" t="s">
        <v>48</v>
      </c>
    </row>
    <row r="33634">
      <c r="H33634" s="50"/>
      <c r="I33634" s="50"/>
      <c r="O33634" s="36" t="s">
        <v>48</v>
      </c>
      <c r="R33634" s="36" t="s">
        <v>48</v>
      </c>
    </row>
    <row r="33635">
      <c r="H33635" s="50"/>
      <c r="I33635" s="50"/>
      <c r="O33635" s="36" t="s">
        <v>48</v>
      </c>
      <c r="R33635" s="36" t="s">
        <v>48</v>
      </c>
    </row>
    <row r="33636">
      <c r="H33636" s="50"/>
      <c r="I33636" s="50"/>
      <c r="O33636" s="36" t="s">
        <v>48</v>
      </c>
      <c r="R33636" s="36" t="s">
        <v>48</v>
      </c>
    </row>
    <row r="33637">
      <c r="H33637" s="50"/>
      <c r="I33637" s="50"/>
      <c r="O33637" s="36" t="s">
        <v>48</v>
      </c>
      <c r="R33637" s="36" t="s">
        <v>48</v>
      </c>
    </row>
    <row r="33638">
      <c r="H33638" s="50"/>
      <c r="I33638" s="50"/>
      <c r="O33638" s="36" t="s">
        <v>48</v>
      </c>
      <c r="R33638" s="36" t="s">
        <v>48</v>
      </c>
    </row>
    <row r="33639">
      <c r="H33639" s="50"/>
      <c r="I33639" s="50"/>
      <c r="O33639" s="36" t="s">
        <v>48</v>
      </c>
      <c r="R33639" s="36" t="s">
        <v>48</v>
      </c>
    </row>
    <row r="33640">
      <c r="H33640" s="50"/>
      <c r="I33640" s="50"/>
      <c r="O33640" s="36" t="s">
        <v>48</v>
      </c>
      <c r="R33640" s="36" t="s">
        <v>48</v>
      </c>
    </row>
    <row r="33641">
      <c r="H33641" s="50"/>
      <c r="I33641" s="50"/>
      <c r="O33641" s="36" t="s">
        <v>48</v>
      </c>
      <c r="R33641" s="36" t="s">
        <v>48</v>
      </c>
    </row>
    <row r="33642">
      <c r="H33642" s="50"/>
      <c r="I33642" s="50"/>
      <c r="O33642" s="36" t="s">
        <v>48</v>
      </c>
      <c r="R33642" s="36" t="s">
        <v>48</v>
      </c>
    </row>
    <row r="33643">
      <c r="H33643" s="50"/>
      <c r="I33643" s="50"/>
      <c r="O33643" s="36" t="s">
        <v>48</v>
      </c>
      <c r="R33643" s="36" t="s">
        <v>48</v>
      </c>
    </row>
    <row r="33644">
      <c r="H33644" s="50"/>
      <c r="I33644" s="50"/>
      <c r="O33644" s="36" t="s">
        <v>48</v>
      </c>
      <c r="R33644" s="36" t="s">
        <v>48</v>
      </c>
    </row>
    <row r="33645">
      <c r="H33645" s="50"/>
      <c r="I33645" s="50"/>
      <c r="O33645" s="36" t="s">
        <v>48</v>
      </c>
      <c r="R33645" s="36" t="s">
        <v>48</v>
      </c>
    </row>
    <row r="33646">
      <c r="H33646" s="50"/>
      <c r="I33646" s="50"/>
      <c r="O33646" s="36" t="s">
        <v>48</v>
      </c>
      <c r="R33646" s="36" t="s">
        <v>48</v>
      </c>
    </row>
    <row r="33647">
      <c r="H33647" s="50"/>
      <c r="I33647" s="50"/>
      <c r="O33647" s="36" t="s">
        <v>48</v>
      </c>
      <c r="R33647" s="36" t="s">
        <v>48</v>
      </c>
    </row>
    <row r="33648">
      <c r="H33648" s="50"/>
      <c r="I33648" s="50"/>
      <c r="O33648" s="36" t="s">
        <v>48</v>
      </c>
      <c r="R33648" s="36" t="s">
        <v>48</v>
      </c>
    </row>
    <row r="33649">
      <c r="H33649" s="50"/>
      <c r="I33649" s="50"/>
      <c r="O33649" s="36" t="s">
        <v>48</v>
      </c>
      <c r="R33649" s="36" t="s">
        <v>48</v>
      </c>
    </row>
    <row r="33650">
      <c r="H33650" s="50"/>
      <c r="I33650" s="50"/>
      <c r="O33650" s="36" t="s">
        <v>48</v>
      </c>
      <c r="R33650" s="36" t="s">
        <v>48</v>
      </c>
    </row>
    <row r="33651">
      <c r="H33651" s="50"/>
      <c r="I33651" s="50"/>
      <c r="O33651" s="36" t="s">
        <v>48</v>
      </c>
      <c r="R33651" s="36" t="s">
        <v>48</v>
      </c>
    </row>
    <row r="33652">
      <c r="H33652" s="50"/>
      <c r="I33652" s="50"/>
      <c r="O33652" s="36" t="s">
        <v>48</v>
      </c>
      <c r="R33652" s="36" t="s">
        <v>48</v>
      </c>
    </row>
    <row r="33653">
      <c r="H33653" s="50"/>
      <c r="I33653" s="50"/>
      <c r="O33653" s="36" t="s">
        <v>48</v>
      </c>
      <c r="R33653" s="36" t="s">
        <v>48</v>
      </c>
    </row>
    <row r="33654">
      <c r="H33654" s="50"/>
      <c r="I33654" s="50"/>
      <c r="O33654" s="36" t="s">
        <v>48</v>
      </c>
      <c r="R33654" s="36" t="s">
        <v>48</v>
      </c>
    </row>
    <row r="33655">
      <c r="H33655" s="50"/>
      <c r="I33655" s="50"/>
      <c r="O33655" s="36" t="s">
        <v>48</v>
      </c>
      <c r="R33655" s="36" t="s">
        <v>48</v>
      </c>
    </row>
    <row r="33656">
      <c r="H33656" s="50"/>
      <c r="I33656" s="50"/>
      <c r="O33656" s="36" t="s">
        <v>48</v>
      </c>
      <c r="R33656" s="36" t="s">
        <v>48</v>
      </c>
    </row>
    <row r="33657">
      <c r="H33657" s="50"/>
      <c r="I33657" s="50"/>
      <c r="O33657" s="36" t="s">
        <v>48</v>
      </c>
      <c r="R33657" s="36" t="s">
        <v>48</v>
      </c>
    </row>
    <row r="33658">
      <c r="H33658" s="50"/>
      <c r="I33658" s="50"/>
      <c r="O33658" s="36" t="s">
        <v>48</v>
      </c>
      <c r="R33658" s="36" t="s">
        <v>48</v>
      </c>
    </row>
    <row r="33659">
      <c r="H33659" s="50"/>
      <c r="I33659" s="50"/>
      <c r="O33659" s="36" t="s">
        <v>48</v>
      </c>
      <c r="R33659" s="36" t="s">
        <v>48</v>
      </c>
    </row>
    <row r="33660">
      <c r="H33660" s="50"/>
      <c r="I33660" s="50"/>
      <c r="O33660" s="36" t="s">
        <v>48</v>
      </c>
      <c r="R33660" s="36" t="s">
        <v>48</v>
      </c>
    </row>
    <row r="33661">
      <c r="H33661" s="50"/>
      <c r="I33661" s="50"/>
      <c r="O33661" s="36" t="s">
        <v>48</v>
      </c>
      <c r="R33661" s="36" t="s">
        <v>48</v>
      </c>
    </row>
    <row r="33662">
      <c r="H33662" s="50"/>
      <c r="I33662" s="50"/>
      <c r="O33662" s="36" t="s">
        <v>48</v>
      </c>
      <c r="R33662" s="36" t="s">
        <v>48</v>
      </c>
    </row>
    <row r="33663">
      <c r="H33663" s="50"/>
      <c r="I33663" s="50"/>
      <c r="O33663" s="36" t="s">
        <v>48</v>
      </c>
      <c r="R33663" s="36" t="s">
        <v>48</v>
      </c>
    </row>
    <row r="33664">
      <c r="H33664" s="50"/>
      <c r="I33664" s="50"/>
      <c r="O33664" s="36" t="s">
        <v>48</v>
      </c>
      <c r="R33664" s="36" t="s">
        <v>48</v>
      </c>
    </row>
    <row r="33665">
      <c r="H33665" s="50"/>
      <c r="I33665" s="50"/>
      <c r="O33665" s="36" t="s">
        <v>48</v>
      </c>
      <c r="R33665" s="36" t="s">
        <v>48</v>
      </c>
    </row>
    <row r="33666">
      <c r="H33666" s="50"/>
      <c r="I33666" s="50"/>
      <c r="O33666" s="36" t="s">
        <v>48</v>
      </c>
      <c r="R33666" s="36" t="s">
        <v>48</v>
      </c>
    </row>
    <row r="33667">
      <c r="H33667" s="50"/>
      <c r="I33667" s="50"/>
      <c r="O33667" s="36" t="s">
        <v>48</v>
      </c>
      <c r="R33667" s="36" t="s">
        <v>48</v>
      </c>
    </row>
    <row r="33668">
      <c r="H33668" s="50"/>
      <c r="I33668" s="50"/>
      <c r="O33668" s="36" t="s">
        <v>48</v>
      </c>
      <c r="R33668" s="36" t="s">
        <v>48</v>
      </c>
    </row>
    <row r="33669">
      <c r="H33669" s="50"/>
      <c r="I33669" s="50"/>
      <c r="O33669" s="36" t="s">
        <v>48</v>
      </c>
      <c r="R33669" s="36" t="s">
        <v>48</v>
      </c>
    </row>
    <row r="33670">
      <c r="H33670" s="50"/>
      <c r="I33670" s="50"/>
      <c r="O33670" s="36" t="s">
        <v>48</v>
      </c>
      <c r="R33670" s="36" t="s">
        <v>48</v>
      </c>
    </row>
    <row r="33671">
      <c r="H33671" s="50"/>
      <c r="I33671" s="50"/>
      <c r="O33671" s="36" t="s">
        <v>48</v>
      </c>
      <c r="R33671" s="36" t="s">
        <v>48</v>
      </c>
    </row>
    <row r="33672">
      <c r="H33672" s="50"/>
      <c r="I33672" s="50"/>
      <c r="O33672" s="36" t="s">
        <v>48</v>
      </c>
      <c r="R33672" s="36" t="s">
        <v>48</v>
      </c>
    </row>
    <row r="33673">
      <c r="H33673" s="50"/>
      <c r="I33673" s="50"/>
      <c r="O33673" s="36" t="s">
        <v>48</v>
      </c>
      <c r="R33673" s="36" t="s">
        <v>48</v>
      </c>
    </row>
    <row r="33674">
      <c r="H33674" s="50"/>
      <c r="I33674" s="50"/>
      <c r="O33674" s="36" t="s">
        <v>48</v>
      </c>
      <c r="R33674" s="36" t="s">
        <v>48</v>
      </c>
    </row>
    <row r="33675">
      <c r="H33675" s="50"/>
      <c r="I33675" s="50"/>
      <c r="O33675" s="36" t="s">
        <v>48</v>
      </c>
      <c r="R33675" s="36" t="s">
        <v>48</v>
      </c>
    </row>
    <row r="33676">
      <c r="H33676" s="50"/>
      <c r="I33676" s="50"/>
      <c r="O33676" s="36" t="s">
        <v>48</v>
      </c>
      <c r="R33676" s="36" t="s">
        <v>48</v>
      </c>
    </row>
    <row r="33677">
      <c r="H33677" s="50"/>
      <c r="I33677" s="50"/>
      <c r="O33677" s="36" t="s">
        <v>48</v>
      </c>
      <c r="R33677" s="36" t="s">
        <v>48</v>
      </c>
    </row>
    <row r="33678">
      <c r="H33678" s="50"/>
      <c r="I33678" s="50"/>
      <c r="O33678" s="36" t="s">
        <v>48</v>
      </c>
      <c r="R33678" s="36" t="s">
        <v>48</v>
      </c>
    </row>
    <row r="33679">
      <c r="H33679" s="50"/>
      <c r="I33679" s="50"/>
      <c r="O33679" s="36" t="s">
        <v>48</v>
      </c>
      <c r="R33679" s="36" t="s">
        <v>48</v>
      </c>
    </row>
    <row r="33680">
      <c r="H33680" s="50"/>
      <c r="I33680" s="50"/>
      <c r="O33680" s="36" t="s">
        <v>48</v>
      </c>
      <c r="R33680" s="36" t="s">
        <v>48</v>
      </c>
    </row>
    <row r="33681">
      <c r="H33681" s="50"/>
      <c r="I33681" s="50"/>
      <c r="O33681" s="36" t="s">
        <v>48</v>
      </c>
      <c r="R33681" s="36" t="s">
        <v>48</v>
      </c>
    </row>
    <row r="33682">
      <c r="H33682" s="50"/>
      <c r="I33682" s="50"/>
      <c r="O33682" s="36" t="s">
        <v>48</v>
      </c>
      <c r="R33682" s="36" t="s">
        <v>48</v>
      </c>
    </row>
    <row r="33683">
      <c r="H33683" s="50"/>
      <c r="I33683" s="50"/>
      <c r="O33683" s="36" t="s">
        <v>48</v>
      </c>
      <c r="R33683" s="36" t="s">
        <v>48</v>
      </c>
    </row>
    <row r="33684">
      <c r="H33684" s="50"/>
      <c r="I33684" s="50"/>
      <c r="O33684" s="36" t="s">
        <v>48</v>
      </c>
      <c r="R33684" s="36" t="s">
        <v>48</v>
      </c>
    </row>
    <row r="33685">
      <c r="H33685" s="50"/>
      <c r="I33685" s="50"/>
      <c r="O33685" s="36" t="s">
        <v>48</v>
      </c>
      <c r="R33685" s="36" t="s">
        <v>48</v>
      </c>
    </row>
    <row r="33686">
      <c r="H33686" s="50"/>
      <c r="I33686" s="50"/>
      <c r="O33686" s="36" t="s">
        <v>48</v>
      </c>
      <c r="R33686" s="36" t="s">
        <v>48</v>
      </c>
    </row>
    <row r="33687">
      <c r="H33687" s="50"/>
      <c r="I33687" s="50"/>
      <c r="O33687" s="36" t="s">
        <v>48</v>
      </c>
      <c r="R33687" s="36" t="s">
        <v>48</v>
      </c>
    </row>
    <row r="33688">
      <c r="H33688" s="50"/>
      <c r="I33688" s="50"/>
      <c r="O33688" s="36" t="s">
        <v>48</v>
      </c>
      <c r="R33688" s="36" t="s">
        <v>48</v>
      </c>
    </row>
    <row r="33689">
      <c r="H33689" s="50"/>
      <c r="I33689" s="50"/>
      <c r="O33689" s="36" t="s">
        <v>48</v>
      </c>
      <c r="R33689" s="36" t="s">
        <v>48</v>
      </c>
    </row>
    <row r="33690">
      <c r="H33690" s="50"/>
      <c r="I33690" s="50"/>
      <c r="O33690" s="36" t="s">
        <v>48</v>
      </c>
      <c r="R33690" s="36" t="s">
        <v>48</v>
      </c>
    </row>
    <row r="33691">
      <c r="H33691" s="50"/>
      <c r="I33691" s="50"/>
      <c r="O33691" s="36" t="s">
        <v>48</v>
      </c>
      <c r="R33691" s="36" t="s">
        <v>48</v>
      </c>
    </row>
    <row r="33692">
      <c r="H33692" s="50"/>
      <c r="I33692" s="50"/>
      <c r="O33692" s="36" t="s">
        <v>48</v>
      </c>
      <c r="R33692" s="36" t="s">
        <v>48</v>
      </c>
    </row>
    <row r="33693">
      <c r="H33693" s="50"/>
      <c r="I33693" s="50"/>
      <c r="O33693" s="36" t="s">
        <v>48</v>
      </c>
      <c r="R33693" s="36" t="s">
        <v>48</v>
      </c>
    </row>
    <row r="33694">
      <c r="H33694" s="50"/>
      <c r="I33694" s="50"/>
      <c r="O33694" s="36" t="s">
        <v>48</v>
      </c>
      <c r="R33694" s="36" t="s">
        <v>48</v>
      </c>
    </row>
    <row r="33695">
      <c r="H33695" s="50"/>
      <c r="I33695" s="50"/>
      <c r="O33695" s="36" t="s">
        <v>48</v>
      </c>
      <c r="R33695" s="36" t="s">
        <v>48</v>
      </c>
    </row>
    <row r="33696">
      <c r="H33696" s="50"/>
      <c r="I33696" s="50"/>
      <c r="O33696" s="36" t="s">
        <v>48</v>
      </c>
      <c r="R33696" s="36" t="s">
        <v>48</v>
      </c>
    </row>
    <row r="33697">
      <c r="H33697" s="50"/>
      <c r="I33697" s="50"/>
      <c r="O33697" s="36" t="s">
        <v>48</v>
      </c>
      <c r="R33697" s="36" t="s">
        <v>48</v>
      </c>
    </row>
    <row r="33698">
      <c r="H33698" s="50"/>
      <c r="I33698" s="50"/>
      <c r="O33698" s="36" t="s">
        <v>48</v>
      </c>
      <c r="R33698" s="36" t="s">
        <v>48</v>
      </c>
    </row>
    <row r="33699">
      <c r="H33699" s="50"/>
      <c r="I33699" s="50"/>
      <c r="O33699" s="36" t="s">
        <v>48</v>
      </c>
      <c r="R33699" s="36" t="s">
        <v>48</v>
      </c>
    </row>
    <row r="33700">
      <c r="H33700" s="50"/>
      <c r="I33700" s="50"/>
      <c r="O33700" s="36" t="s">
        <v>48</v>
      </c>
      <c r="R33700" s="36" t="s">
        <v>48</v>
      </c>
    </row>
    <row r="33701">
      <c r="H33701" s="50"/>
      <c r="I33701" s="50"/>
      <c r="O33701" s="36" t="s">
        <v>48</v>
      </c>
      <c r="R33701" s="36" t="s">
        <v>48</v>
      </c>
    </row>
    <row r="33702">
      <c r="H33702" s="50"/>
      <c r="I33702" s="50"/>
      <c r="O33702" s="36" t="s">
        <v>48</v>
      </c>
      <c r="R33702" s="36" t="s">
        <v>48</v>
      </c>
    </row>
    <row r="33703">
      <c r="H33703" s="50"/>
      <c r="I33703" s="50"/>
      <c r="O33703" s="36" t="s">
        <v>48</v>
      </c>
      <c r="R33703" s="36" t="s">
        <v>48</v>
      </c>
    </row>
    <row r="33704">
      <c r="H33704" s="50"/>
      <c r="I33704" s="50"/>
      <c r="O33704" s="36" t="s">
        <v>48</v>
      </c>
      <c r="R33704" s="36" t="s">
        <v>48</v>
      </c>
    </row>
    <row r="33705">
      <c r="H33705" s="50"/>
      <c r="I33705" s="50"/>
      <c r="O33705" s="36" t="s">
        <v>48</v>
      </c>
      <c r="R33705" s="36" t="s">
        <v>48</v>
      </c>
    </row>
    <row r="33706">
      <c r="H33706" s="50"/>
      <c r="I33706" s="50"/>
      <c r="O33706" s="36" t="s">
        <v>48</v>
      </c>
      <c r="R33706" s="36" t="s">
        <v>48</v>
      </c>
    </row>
    <row r="33707">
      <c r="H33707" s="50"/>
      <c r="I33707" s="50"/>
      <c r="O33707" s="36" t="s">
        <v>48</v>
      </c>
      <c r="R33707" s="36" t="s">
        <v>48</v>
      </c>
    </row>
    <row r="33708">
      <c r="H33708" s="50"/>
      <c r="I33708" s="50"/>
      <c r="O33708" s="36" t="s">
        <v>48</v>
      </c>
      <c r="R33708" s="36" t="s">
        <v>48</v>
      </c>
    </row>
    <row r="33709">
      <c r="H33709" s="50"/>
      <c r="I33709" s="50"/>
      <c r="O33709" s="36" t="s">
        <v>48</v>
      </c>
      <c r="R33709" s="36" t="s">
        <v>48</v>
      </c>
    </row>
    <row r="33710">
      <c r="H33710" s="50"/>
      <c r="I33710" s="50"/>
      <c r="O33710" s="36" t="s">
        <v>48</v>
      </c>
      <c r="R33710" s="36" t="s">
        <v>48</v>
      </c>
    </row>
    <row r="33711">
      <c r="H33711" s="50"/>
      <c r="I33711" s="50"/>
      <c r="O33711" s="36" t="s">
        <v>48</v>
      </c>
      <c r="R33711" s="36" t="s">
        <v>48</v>
      </c>
    </row>
    <row r="33712">
      <c r="H33712" s="50"/>
      <c r="I33712" s="50"/>
      <c r="O33712" s="36" t="s">
        <v>48</v>
      </c>
      <c r="R33712" s="36" t="s">
        <v>48</v>
      </c>
    </row>
    <row r="33713">
      <c r="H33713" s="50"/>
      <c r="I33713" s="50"/>
      <c r="O33713" s="36" t="s">
        <v>48</v>
      </c>
      <c r="R33713" s="36" t="s">
        <v>48</v>
      </c>
    </row>
    <row r="33714">
      <c r="H33714" s="50"/>
      <c r="I33714" s="50"/>
      <c r="O33714" s="36" t="s">
        <v>48</v>
      </c>
      <c r="R33714" s="36" t="s">
        <v>48</v>
      </c>
    </row>
    <row r="33715">
      <c r="H33715" s="50"/>
      <c r="I33715" s="50"/>
      <c r="O33715" s="36" t="s">
        <v>48</v>
      </c>
      <c r="R33715" s="36" t="s">
        <v>48</v>
      </c>
    </row>
    <row r="33716">
      <c r="H33716" s="50"/>
      <c r="I33716" s="50"/>
      <c r="O33716" s="36" t="s">
        <v>48</v>
      </c>
      <c r="R33716" s="36" t="s">
        <v>48</v>
      </c>
    </row>
    <row r="33717">
      <c r="H33717" s="50"/>
      <c r="I33717" s="50"/>
      <c r="O33717" s="36" t="s">
        <v>48</v>
      </c>
      <c r="R33717" s="36" t="s">
        <v>48</v>
      </c>
    </row>
    <row r="33718">
      <c r="H33718" s="50"/>
      <c r="I33718" s="50"/>
      <c r="O33718" s="36" t="s">
        <v>48</v>
      </c>
      <c r="R33718" s="36" t="s">
        <v>48</v>
      </c>
    </row>
    <row r="33719">
      <c r="H33719" s="50"/>
      <c r="I33719" s="50"/>
      <c r="O33719" s="36" t="s">
        <v>48</v>
      </c>
      <c r="R33719" s="36" t="s">
        <v>48</v>
      </c>
    </row>
    <row r="33720">
      <c r="H33720" s="50"/>
      <c r="I33720" s="50"/>
      <c r="O33720" s="36" t="s">
        <v>48</v>
      </c>
      <c r="R33720" s="36" t="s">
        <v>48</v>
      </c>
    </row>
    <row r="33721">
      <c r="H33721" s="50"/>
      <c r="I33721" s="50"/>
      <c r="O33721" s="36" t="s">
        <v>48</v>
      </c>
      <c r="R33721" s="36" t="s">
        <v>48</v>
      </c>
    </row>
    <row r="33722">
      <c r="H33722" s="50"/>
      <c r="I33722" s="50"/>
      <c r="O33722" s="36" t="s">
        <v>48</v>
      </c>
      <c r="R33722" s="36" t="s">
        <v>48</v>
      </c>
    </row>
    <row r="33723">
      <c r="H33723" s="50"/>
      <c r="I33723" s="50"/>
      <c r="O33723" s="36" t="s">
        <v>48</v>
      </c>
      <c r="R33723" s="36" t="s">
        <v>48</v>
      </c>
    </row>
    <row r="33724">
      <c r="H33724" s="50"/>
      <c r="I33724" s="50"/>
      <c r="O33724" s="36" t="s">
        <v>48</v>
      </c>
      <c r="R33724" s="36" t="s">
        <v>48</v>
      </c>
    </row>
    <row r="33725">
      <c r="H33725" s="50"/>
      <c r="I33725" s="50"/>
      <c r="O33725" s="36" t="s">
        <v>48</v>
      </c>
      <c r="R33725" s="36" t="s">
        <v>48</v>
      </c>
    </row>
    <row r="33726">
      <c r="H33726" s="50"/>
      <c r="I33726" s="50"/>
      <c r="O33726" s="36" t="s">
        <v>48</v>
      </c>
      <c r="R33726" s="36" t="s">
        <v>48</v>
      </c>
    </row>
    <row r="33727">
      <c r="H33727" s="50"/>
      <c r="I33727" s="50"/>
      <c r="O33727" s="36" t="s">
        <v>48</v>
      </c>
      <c r="R33727" s="36" t="s">
        <v>48</v>
      </c>
    </row>
    <row r="33728">
      <c r="H33728" s="50"/>
      <c r="I33728" s="50"/>
      <c r="O33728" s="36" t="s">
        <v>48</v>
      </c>
      <c r="R33728" s="36" t="s">
        <v>48</v>
      </c>
    </row>
    <row r="33729">
      <c r="H33729" s="50"/>
      <c r="I33729" s="50"/>
      <c r="O33729" s="36" t="s">
        <v>48</v>
      </c>
      <c r="R33729" s="36" t="s">
        <v>48</v>
      </c>
    </row>
    <row r="33730">
      <c r="H33730" s="50"/>
      <c r="I33730" s="50"/>
      <c r="O33730" s="36" t="s">
        <v>48</v>
      </c>
      <c r="R33730" s="36" t="s">
        <v>48</v>
      </c>
    </row>
    <row r="33731">
      <c r="H33731" s="50"/>
      <c r="I33731" s="50"/>
      <c r="O33731" s="36" t="s">
        <v>48</v>
      </c>
      <c r="R33731" s="36" t="s">
        <v>48</v>
      </c>
    </row>
    <row r="33732">
      <c r="H33732" s="50"/>
      <c r="I33732" s="50"/>
      <c r="O33732" s="36" t="s">
        <v>48</v>
      </c>
      <c r="R33732" s="36" t="s">
        <v>48</v>
      </c>
    </row>
    <row r="33733">
      <c r="H33733" s="50"/>
      <c r="I33733" s="50"/>
      <c r="O33733" s="36" t="s">
        <v>48</v>
      </c>
      <c r="R33733" s="36" t="s">
        <v>48</v>
      </c>
    </row>
    <row r="33734">
      <c r="H33734" s="50"/>
      <c r="I33734" s="50"/>
      <c r="O33734" s="36" t="s">
        <v>48</v>
      </c>
      <c r="R33734" s="36" t="s">
        <v>48</v>
      </c>
    </row>
    <row r="33735">
      <c r="H33735" s="50"/>
      <c r="I33735" s="50"/>
      <c r="O33735" s="36" t="s">
        <v>48</v>
      </c>
      <c r="R33735" s="36" t="s">
        <v>48</v>
      </c>
    </row>
    <row r="33736">
      <c r="H33736" s="50"/>
      <c r="I33736" s="50"/>
      <c r="O33736" s="36" t="s">
        <v>48</v>
      </c>
      <c r="R33736" s="36" t="s">
        <v>48</v>
      </c>
    </row>
    <row r="33737">
      <c r="H33737" s="50"/>
      <c r="I33737" s="50"/>
      <c r="O33737" s="36" t="s">
        <v>48</v>
      </c>
      <c r="R33737" s="36" t="s">
        <v>48</v>
      </c>
    </row>
    <row r="33738">
      <c r="H33738" s="50"/>
      <c r="I33738" s="50"/>
      <c r="O33738" s="36" t="s">
        <v>48</v>
      </c>
      <c r="R33738" s="36" t="s">
        <v>48</v>
      </c>
    </row>
    <row r="33739">
      <c r="H33739" s="50"/>
      <c r="I33739" s="50"/>
      <c r="O33739" s="36" t="s">
        <v>48</v>
      </c>
      <c r="R33739" s="36" t="s">
        <v>48</v>
      </c>
    </row>
    <row r="33740">
      <c r="H33740" s="50"/>
      <c r="I33740" s="50"/>
      <c r="O33740" s="36" t="s">
        <v>48</v>
      </c>
      <c r="R33740" s="36" t="s">
        <v>48</v>
      </c>
    </row>
    <row r="33741">
      <c r="H33741" s="50"/>
      <c r="I33741" s="50"/>
      <c r="O33741" s="36" t="s">
        <v>48</v>
      </c>
      <c r="R33741" s="36" t="s">
        <v>48</v>
      </c>
    </row>
    <row r="33742">
      <c r="H33742" s="50"/>
      <c r="I33742" s="50"/>
      <c r="O33742" s="36" t="s">
        <v>48</v>
      </c>
      <c r="R33742" s="36" t="s">
        <v>48</v>
      </c>
    </row>
    <row r="33743">
      <c r="H33743" s="50"/>
      <c r="I33743" s="50"/>
      <c r="O33743" s="36" t="s">
        <v>48</v>
      </c>
      <c r="R33743" s="36" t="s">
        <v>48</v>
      </c>
    </row>
    <row r="33744">
      <c r="H33744" s="50"/>
      <c r="I33744" s="50"/>
      <c r="O33744" s="36" t="s">
        <v>48</v>
      </c>
      <c r="R33744" s="36" t="s">
        <v>48</v>
      </c>
    </row>
    <row r="33745">
      <c r="H33745" s="50"/>
      <c r="I33745" s="50"/>
      <c r="O33745" s="36" t="s">
        <v>48</v>
      </c>
      <c r="R33745" s="36" t="s">
        <v>48</v>
      </c>
    </row>
    <row r="33746">
      <c r="H33746" s="50"/>
      <c r="I33746" s="50"/>
      <c r="O33746" s="36" t="s">
        <v>48</v>
      </c>
      <c r="R33746" s="36" t="s">
        <v>48</v>
      </c>
    </row>
    <row r="33747">
      <c r="H33747" s="50"/>
      <c r="I33747" s="50"/>
      <c r="O33747" s="36" t="s">
        <v>48</v>
      </c>
      <c r="R33747" s="36" t="s">
        <v>48</v>
      </c>
    </row>
    <row r="33748">
      <c r="H33748" s="50"/>
      <c r="I33748" s="50"/>
      <c r="O33748" s="36" t="s">
        <v>48</v>
      </c>
      <c r="R33748" s="36" t="s">
        <v>48</v>
      </c>
    </row>
    <row r="33749">
      <c r="H33749" s="50"/>
      <c r="I33749" s="50"/>
      <c r="O33749" s="36" t="s">
        <v>48</v>
      </c>
      <c r="R33749" s="36" t="s">
        <v>48</v>
      </c>
    </row>
    <row r="33750">
      <c r="H33750" s="50"/>
      <c r="I33750" s="50"/>
      <c r="O33750" s="36" t="s">
        <v>48</v>
      </c>
      <c r="R33750" s="36" t="s">
        <v>48</v>
      </c>
    </row>
    <row r="33751">
      <c r="H33751" s="50"/>
      <c r="I33751" s="50"/>
      <c r="O33751" s="36" t="s">
        <v>48</v>
      </c>
      <c r="R33751" s="36" t="s">
        <v>48</v>
      </c>
    </row>
    <row r="33752">
      <c r="H33752" s="50"/>
      <c r="I33752" s="50"/>
      <c r="O33752" s="36" t="s">
        <v>48</v>
      </c>
      <c r="R33752" s="36" t="s">
        <v>48</v>
      </c>
    </row>
    <row r="33753">
      <c r="H33753" s="50"/>
      <c r="I33753" s="50"/>
      <c r="O33753" s="36" t="s">
        <v>48</v>
      </c>
      <c r="R33753" s="36" t="s">
        <v>48</v>
      </c>
    </row>
    <row r="33754">
      <c r="H33754" s="50"/>
      <c r="I33754" s="50"/>
      <c r="O33754" s="36" t="s">
        <v>48</v>
      </c>
      <c r="R33754" s="36" t="s">
        <v>48</v>
      </c>
    </row>
    <row r="33755">
      <c r="H33755" s="50"/>
      <c r="I33755" s="50"/>
      <c r="O33755" s="36" t="s">
        <v>48</v>
      </c>
      <c r="R33755" s="36" t="s">
        <v>48</v>
      </c>
    </row>
    <row r="33756">
      <c r="H33756" s="50"/>
      <c r="I33756" s="50"/>
      <c r="O33756" s="36" t="s">
        <v>48</v>
      </c>
      <c r="R33756" s="36" t="s">
        <v>48</v>
      </c>
    </row>
    <row r="33757">
      <c r="H33757" s="50"/>
      <c r="I33757" s="50"/>
      <c r="O33757" s="36" t="s">
        <v>48</v>
      </c>
      <c r="R33757" s="36" t="s">
        <v>48</v>
      </c>
    </row>
    <row r="33758">
      <c r="H33758" s="50"/>
      <c r="I33758" s="50"/>
      <c r="O33758" s="36" t="s">
        <v>48</v>
      </c>
      <c r="R33758" s="36" t="s">
        <v>48</v>
      </c>
    </row>
    <row r="33759">
      <c r="H33759" s="50"/>
      <c r="I33759" s="50"/>
      <c r="O33759" s="36" t="s">
        <v>48</v>
      </c>
      <c r="R33759" s="36" t="s">
        <v>48</v>
      </c>
    </row>
    <row r="33760">
      <c r="H33760" s="50"/>
      <c r="I33760" s="50"/>
      <c r="O33760" s="36" t="s">
        <v>48</v>
      </c>
      <c r="R33760" s="36" t="s">
        <v>48</v>
      </c>
    </row>
    <row r="33761">
      <c r="H33761" s="50"/>
      <c r="I33761" s="50"/>
      <c r="O33761" s="36" t="s">
        <v>48</v>
      </c>
      <c r="R33761" s="36" t="s">
        <v>48</v>
      </c>
    </row>
    <row r="33762">
      <c r="H33762" s="50"/>
      <c r="I33762" s="50"/>
      <c r="O33762" s="36" t="s">
        <v>48</v>
      </c>
      <c r="R33762" s="36" t="s">
        <v>48</v>
      </c>
    </row>
    <row r="33763">
      <c r="H33763" s="50"/>
      <c r="I33763" s="50"/>
      <c r="O33763" s="36" t="s">
        <v>48</v>
      </c>
      <c r="R33763" s="36" t="s">
        <v>48</v>
      </c>
    </row>
    <row r="33764">
      <c r="H33764" s="50"/>
      <c r="I33764" s="50"/>
      <c r="O33764" s="36" t="s">
        <v>48</v>
      </c>
      <c r="R33764" s="36" t="s">
        <v>48</v>
      </c>
    </row>
    <row r="33765">
      <c r="H33765" s="50"/>
      <c r="I33765" s="50"/>
      <c r="O33765" s="36" t="s">
        <v>48</v>
      </c>
      <c r="R33765" s="36" t="s">
        <v>48</v>
      </c>
    </row>
    <row r="33766">
      <c r="H33766" s="50"/>
      <c r="I33766" s="50"/>
      <c r="O33766" s="36" t="s">
        <v>48</v>
      </c>
      <c r="R33766" s="36" t="s">
        <v>48</v>
      </c>
    </row>
    <row r="33767">
      <c r="H33767" s="50"/>
      <c r="I33767" s="50"/>
      <c r="O33767" s="36" t="s">
        <v>48</v>
      </c>
      <c r="R33767" s="36" t="s">
        <v>48</v>
      </c>
    </row>
    <row r="33768">
      <c r="H33768" s="50"/>
      <c r="I33768" s="50"/>
      <c r="O33768" s="36" t="s">
        <v>48</v>
      </c>
      <c r="R33768" s="36" t="s">
        <v>48</v>
      </c>
    </row>
    <row r="33769">
      <c r="H33769" s="50"/>
      <c r="I33769" s="50"/>
      <c r="O33769" s="36" t="s">
        <v>48</v>
      </c>
      <c r="R33769" s="36" t="s">
        <v>48</v>
      </c>
    </row>
    <row r="33770">
      <c r="H33770" s="50"/>
      <c r="I33770" s="50"/>
      <c r="O33770" s="36" t="s">
        <v>48</v>
      </c>
      <c r="R33770" s="36" t="s">
        <v>48</v>
      </c>
    </row>
    <row r="33771">
      <c r="H33771" s="50"/>
      <c r="I33771" s="50"/>
      <c r="O33771" s="36" t="s">
        <v>48</v>
      </c>
      <c r="R33771" s="36" t="s">
        <v>48</v>
      </c>
    </row>
    <row r="33772">
      <c r="H33772" s="50"/>
      <c r="I33772" s="50"/>
      <c r="O33772" s="36" t="s">
        <v>48</v>
      </c>
      <c r="R33772" s="36" t="s">
        <v>48</v>
      </c>
    </row>
    <row r="33773">
      <c r="H33773" s="50"/>
      <c r="I33773" s="50"/>
      <c r="O33773" s="36" t="s">
        <v>48</v>
      </c>
      <c r="R33773" s="36" t="s">
        <v>48</v>
      </c>
    </row>
    <row r="33774">
      <c r="H33774" s="50"/>
      <c r="I33774" s="50"/>
      <c r="O33774" s="36" t="s">
        <v>48</v>
      </c>
      <c r="R33774" s="36" t="s">
        <v>48</v>
      </c>
    </row>
    <row r="33775">
      <c r="H33775" s="50"/>
      <c r="I33775" s="50"/>
      <c r="O33775" s="36" t="s">
        <v>48</v>
      </c>
      <c r="R33775" s="36" t="s">
        <v>48</v>
      </c>
    </row>
    <row r="33776">
      <c r="H33776" s="50"/>
      <c r="I33776" s="50"/>
      <c r="O33776" s="36" t="s">
        <v>48</v>
      </c>
      <c r="R33776" s="36" t="s">
        <v>48</v>
      </c>
    </row>
    <row r="33777">
      <c r="H33777" s="50"/>
      <c r="I33777" s="50"/>
      <c r="O33777" s="36" t="s">
        <v>48</v>
      </c>
      <c r="R33777" s="36" t="s">
        <v>48</v>
      </c>
    </row>
    <row r="33778">
      <c r="H33778" s="50"/>
      <c r="I33778" s="50"/>
      <c r="O33778" s="36" t="s">
        <v>48</v>
      </c>
      <c r="R33778" s="36" t="s">
        <v>48</v>
      </c>
    </row>
    <row r="33779">
      <c r="H33779" s="50"/>
      <c r="I33779" s="50"/>
      <c r="O33779" s="36" t="s">
        <v>48</v>
      </c>
      <c r="R33779" s="36" t="s">
        <v>48</v>
      </c>
    </row>
    <row r="33780">
      <c r="H33780" s="50"/>
      <c r="I33780" s="50"/>
      <c r="O33780" s="36" t="s">
        <v>48</v>
      </c>
      <c r="R33780" s="36" t="s">
        <v>48</v>
      </c>
    </row>
    <row r="33781">
      <c r="H33781" s="50"/>
      <c r="I33781" s="50"/>
      <c r="O33781" s="36" t="s">
        <v>48</v>
      </c>
      <c r="R33781" s="36" t="s">
        <v>48</v>
      </c>
    </row>
    <row r="33782">
      <c r="H33782" s="50"/>
      <c r="I33782" s="50"/>
      <c r="O33782" s="36" t="s">
        <v>48</v>
      </c>
      <c r="R33782" s="36" t="s">
        <v>48</v>
      </c>
    </row>
    <row r="33783">
      <c r="H33783" s="50"/>
      <c r="I33783" s="50"/>
      <c r="O33783" s="36" t="s">
        <v>48</v>
      </c>
      <c r="R33783" s="36" t="s">
        <v>48</v>
      </c>
    </row>
    <row r="33784">
      <c r="H33784" s="50"/>
      <c r="I33784" s="50"/>
      <c r="O33784" s="36" t="s">
        <v>48</v>
      </c>
      <c r="R33784" s="36" t="s">
        <v>48</v>
      </c>
    </row>
    <row r="33785">
      <c r="H33785" s="50"/>
      <c r="I33785" s="50"/>
      <c r="O33785" s="36" t="s">
        <v>48</v>
      </c>
      <c r="R33785" s="36" t="s">
        <v>48</v>
      </c>
    </row>
    <row r="33786">
      <c r="H33786" s="50"/>
      <c r="I33786" s="50"/>
      <c r="O33786" s="36" t="s">
        <v>48</v>
      </c>
      <c r="R33786" s="36" t="s">
        <v>48</v>
      </c>
    </row>
    <row r="33787">
      <c r="H33787" s="50"/>
      <c r="I33787" s="50"/>
      <c r="O33787" s="36" t="s">
        <v>48</v>
      </c>
      <c r="R33787" s="36" t="s">
        <v>48</v>
      </c>
    </row>
    <row r="33788">
      <c r="H33788" s="50"/>
      <c r="I33788" s="50"/>
      <c r="O33788" s="36" t="s">
        <v>48</v>
      </c>
      <c r="R33788" s="36" t="s">
        <v>48</v>
      </c>
    </row>
    <row r="33789">
      <c r="H33789" s="50"/>
      <c r="I33789" s="50"/>
      <c r="O33789" s="36" t="s">
        <v>48</v>
      </c>
      <c r="R33789" s="36" t="s">
        <v>48</v>
      </c>
    </row>
    <row r="33790">
      <c r="H33790" s="50"/>
      <c r="I33790" s="50"/>
      <c r="O33790" s="36" t="s">
        <v>48</v>
      </c>
      <c r="R33790" s="36" t="s">
        <v>48</v>
      </c>
    </row>
    <row r="33791">
      <c r="H33791" s="50"/>
      <c r="I33791" s="50"/>
      <c r="O33791" s="36" t="s">
        <v>48</v>
      </c>
      <c r="R33791" s="36" t="s">
        <v>48</v>
      </c>
    </row>
    <row r="33792">
      <c r="H33792" s="50"/>
      <c r="I33792" s="50"/>
      <c r="O33792" s="36" t="s">
        <v>48</v>
      </c>
      <c r="R33792" s="36" t="s">
        <v>48</v>
      </c>
    </row>
    <row r="33793">
      <c r="H33793" s="50"/>
      <c r="I33793" s="50"/>
      <c r="O33793" s="36" t="s">
        <v>48</v>
      </c>
      <c r="R33793" s="36" t="s">
        <v>48</v>
      </c>
    </row>
    <row r="33794">
      <c r="H33794" s="50"/>
      <c r="I33794" s="50"/>
      <c r="O33794" s="36" t="s">
        <v>48</v>
      </c>
      <c r="R33794" s="36" t="s">
        <v>48</v>
      </c>
    </row>
    <row r="33795">
      <c r="H33795" s="50"/>
      <c r="I33795" s="50"/>
      <c r="O33795" s="36" t="s">
        <v>48</v>
      </c>
      <c r="R33795" s="36" t="s">
        <v>48</v>
      </c>
    </row>
    <row r="33796">
      <c r="H33796" s="50"/>
      <c r="I33796" s="50"/>
      <c r="O33796" s="36" t="s">
        <v>48</v>
      </c>
      <c r="R33796" s="36" t="s">
        <v>48</v>
      </c>
    </row>
    <row r="33797">
      <c r="H33797" s="50"/>
      <c r="I33797" s="50"/>
      <c r="O33797" s="36" t="s">
        <v>48</v>
      </c>
      <c r="R33797" s="36" t="s">
        <v>48</v>
      </c>
    </row>
    <row r="33798">
      <c r="H33798" s="50"/>
      <c r="I33798" s="50"/>
      <c r="O33798" s="36" t="s">
        <v>48</v>
      </c>
      <c r="R33798" s="36" t="s">
        <v>48</v>
      </c>
    </row>
    <row r="33799">
      <c r="H33799" s="50"/>
      <c r="I33799" s="50"/>
      <c r="O33799" s="36" t="s">
        <v>48</v>
      </c>
      <c r="R33799" s="36" t="s">
        <v>48</v>
      </c>
    </row>
    <row r="33800">
      <c r="H33800" s="50"/>
      <c r="I33800" s="50"/>
      <c r="O33800" s="36" t="s">
        <v>48</v>
      </c>
      <c r="R33800" s="36" t="s">
        <v>48</v>
      </c>
    </row>
    <row r="33801">
      <c r="H33801" s="50"/>
      <c r="I33801" s="50"/>
      <c r="O33801" s="36" t="s">
        <v>48</v>
      </c>
      <c r="R33801" s="36" t="s">
        <v>48</v>
      </c>
    </row>
    <row r="33802">
      <c r="H33802" s="50"/>
      <c r="I33802" s="50"/>
      <c r="O33802" s="36" t="s">
        <v>48</v>
      </c>
      <c r="R33802" s="36" t="s">
        <v>48</v>
      </c>
    </row>
    <row r="33803">
      <c r="H33803" s="50"/>
      <c r="I33803" s="50"/>
      <c r="O33803" s="36" t="s">
        <v>48</v>
      </c>
      <c r="R33803" s="36" t="s">
        <v>48</v>
      </c>
    </row>
    <row r="33804">
      <c r="H33804" s="50"/>
      <c r="I33804" s="50"/>
      <c r="O33804" s="36" t="s">
        <v>48</v>
      </c>
      <c r="R33804" s="36" t="s">
        <v>48</v>
      </c>
    </row>
    <row r="33805">
      <c r="H33805" s="50"/>
      <c r="I33805" s="50"/>
      <c r="O33805" s="36" t="s">
        <v>48</v>
      </c>
      <c r="R33805" s="36" t="s">
        <v>48</v>
      </c>
    </row>
    <row r="33806">
      <c r="H33806" s="50"/>
      <c r="I33806" s="50"/>
      <c r="O33806" s="36" t="s">
        <v>48</v>
      </c>
      <c r="R33806" s="36" t="s">
        <v>48</v>
      </c>
    </row>
    <row r="33807">
      <c r="H33807" s="50"/>
      <c r="I33807" s="50"/>
      <c r="O33807" s="36" t="s">
        <v>48</v>
      </c>
      <c r="R33807" s="36" t="s">
        <v>48</v>
      </c>
    </row>
    <row r="33808">
      <c r="H33808" s="50"/>
      <c r="I33808" s="50"/>
      <c r="O33808" s="36" t="s">
        <v>48</v>
      </c>
      <c r="R33808" s="36" t="s">
        <v>48</v>
      </c>
    </row>
    <row r="33809">
      <c r="H33809" s="50"/>
      <c r="I33809" s="50"/>
      <c r="O33809" s="36" t="s">
        <v>48</v>
      </c>
      <c r="R33809" s="36" t="s">
        <v>48</v>
      </c>
    </row>
    <row r="33810">
      <c r="H33810" s="50"/>
      <c r="I33810" s="50"/>
      <c r="O33810" s="36" t="s">
        <v>48</v>
      </c>
      <c r="R33810" s="36" t="s">
        <v>48</v>
      </c>
    </row>
    <row r="33811">
      <c r="H33811" s="50"/>
      <c r="I33811" s="50"/>
      <c r="O33811" s="36" t="s">
        <v>48</v>
      </c>
      <c r="R33811" s="36" t="s">
        <v>48</v>
      </c>
    </row>
    <row r="33812">
      <c r="H33812" s="50"/>
      <c r="I33812" s="50"/>
      <c r="O33812" s="36" t="s">
        <v>48</v>
      </c>
      <c r="R33812" s="36" t="s">
        <v>48</v>
      </c>
    </row>
    <row r="33813">
      <c r="H33813" s="50"/>
      <c r="I33813" s="50"/>
      <c r="O33813" s="36" t="s">
        <v>48</v>
      </c>
      <c r="R33813" s="36" t="s">
        <v>48</v>
      </c>
    </row>
    <row r="33814">
      <c r="H33814" s="50"/>
      <c r="I33814" s="50"/>
      <c r="O33814" s="36" t="s">
        <v>48</v>
      </c>
      <c r="R33814" s="36" t="s">
        <v>48</v>
      </c>
    </row>
    <row r="33815">
      <c r="H33815" s="50"/>
      <c r="I33815" s="50"/>
      <c r="O33815" s="36" t="s">
        <v>48</v>
      </c>
      <c r="R33815" s="36" t="s">
        <v>48</v>
      </c>
    </row>
    <row r="33816">
      <c r="H33816" s="50"/>
      <c r="I33816" s="50"/>
      <c r="O33816" s="36" t="s">
        <v>48</v>
      </c>
      <c r="R33816" s="36" t="s">
        <v>48</v>
      </c>
    </row>
    <row r="33817">
      <c r="H33817" s="50"/>
      <c r="I33817" s="50"/>
      <c r="O33817" s="36" t="s">
        <v>48</v>
      </c>
      <c r="R33817" s="36" t="s">
        <v>48</v>
      </c>
    </row>
    <row r="33818">
      <c r="H33818" s="50"/>
      <c r="I33818" s="50"/>
      <c r="O33818" s="36" t="s">
        <v>48</v>
      </c>
      <c r="R33818" s="36" t="s">
        <v>48</v>
      </c>
    </row>
    <row r="33819">
      <c r="H33819" s="50"/>
      <c r="I33819" s="50"/>
      <c r="O33819" s="36" t="s">
        <v>48</v>
      </c>
      <c r="R33819" s="36" t="s">
        <v>48</v>
      </c>
    </row>
    <row r="33820">
      <c r="H33820" s="50"/>
      <c r="I33820" s="50"/>
      <c r="O33820" s="36" t="s">
        <v>48</v>
      </c>
      <c r="R33820" s="36" t="s">
        <v>48</v>
      </c>
    </row>
    <row r="33821">
      <c r="H33821" s="50"/>
      <c r="I33821" s="50"/>
      <c r="O33821" s="36" t="s">
        <v>48</v>
      </c>
      <c r="R33821" s="36" t="s">
        <v>48</v>
      </c>
    </row>
    <row r="33822">
      <c r="H33822" s="50"/>
      <c r="I33822" s="50"/>
      <c r="O33822" s="36" t="s">
        <v>48</v>
      </c>
      <c r="R33822" s="36" t="s">
        <v>48</v>
      </c>
    </row>
    <row r="33823">
      <c r="H33823" s="50"/>
      <c r="I33823" s="50"/>
      <c r="O33823" s="36" t="s">
        <v>48</v>
      </c>
      <c r="R33823" s="36" t="s">
        <v>48</v>
      </c>
    </row>
    <row r="33824">
      <c r="H33824" s="50"/>
      <c r="I33824" s="50"/>
      <c r="O33824" s="36" t="s">
        <v>48</v>
      </c>
      <c r="R33824" s="36" t="s">
        <v>48</v>
      </c>
    </row>
    <row r="33825">
      <c r="H33825" s="50"/>
      <c r="I33825" s="50"/>
      <c r="O33825" s="36" t="s">
        <v>48</v>
      </c>
      <c r="R33825" s="36" t="s">
        <v>48</v>
      </c>
    </row>
    <row r="33826">
      <c r="H33826" s="50"/>
      <c r="I33826" s="50"/>
      <c r="O33826" s="36" t="s">
        <v>48</v>
      </c>
      <c r="R33826" s="36" t="s">
        <v>48</v>
      </c>
    </row>
    <row r="33827">
      <c r="H33827" s="50"/>
      <c r="I33827" s="50"/>
      <c r="O33827" s="36" t="s">
        <v>48</v>
      </c>
      <c r="R33827" s="36" t="s">
        <v>48</v>
      </c>
    </row>
    <row r="33828">
      <c r="H33828" s="50"/>
      <c r="I33828" s="50"/>
      <c r="O33828" s="36" t="s">
        <v>48</v>
      </c>
      <c r="R33828" s="36" t="s">
        <v>48</v>
      </c>
    </row>
    <row r="33829">
      <c r="H33829" s="50"/>
      <c r="I33829" s="50"/>
      <c r="O33829" s="36" t="s">
        <v>48</v>
      </c>
      <c r="R33829" s="36" t="s">
        <v>48</v>
      </c>
    </row>
    <row r="33830">
      <c r="H33830" s="50"/>
      <c r="I33830" s="50"/>
      <c r="O33830" s="36" t="s">
        <v>48</v>
      </c>
      <c r="R33830" s="36" t="s">
        <v>48</v>
      </c>
    </row>
    <row r="33831">
      <c r="H33831" s="50"/>
      <c r="I33831" s="50"/>
      <c r="O33831" s="36" t="s">
        <v>48</v>
      </c>
      <c r="R33831" s="36" t="s">
        <v>48</v>
      </c>
    </row>
    <row r="33832">
      <c r="H33832" s="50"/>
      <c r="I33832" s="50"/>
      <c r="O33832" s="36" t="s">
        <v>48</v>
      </c>
      <c r="R33832" s="36" t="s">
        <v>48</v>
      </c>
    </row>
    <row r="33833">
      <c r="H33833" s="50"/>
      <c r="I33833" s="50"/>
      <c r="O33833" s="36" t="s">
        <v>48</v>
      </c>
      <c r="R33833" s="36" t="s">
        <v>48</v>
      </c>
    </row>
    <row r="33834">
      <c r="H33834" s="50"/>
      <c r="I33834" s="50"/>
      <c r="O33834" s="36" t="s">
        <v>48</v>
      </c>
      <c r="R33834" s="36" t="s">
        <v>48</v>
      </c>
    </row>
    <row r="33835">
      <c r="H33835" s="50"/>
      <c r="I33835" s="50"/>
      <c r="O33835" s="36" t="s">
        <v>48</v>
      </c>
      <c r="R33835" s="36" t="s">
        <v>48</v>
      </c>
    </row>
    <row r="33836">
      <c r="H33836" s="50"/>
      <c r="I33836" s="50"/>
      <c r="O33836" s="36" t="s">
        <v>48</v>
      </c>
      <c r="R33836" s="36" t="s">
        <v>48</v>
      </c>
    </row>
    <row r="33837">
      <c r="H33837" s="50"/>
      <c r="I33837" s="50"/>
      <c r="O33837" s="36" t="s">
        <v>48</v>
      </c>
      <c r="R33837" s="36" t="s">
        <v>48</v>
      </c>
    </row>
    <row r="33838">
      <c r="H33838" s="50"/>
      <c r="I33838" s="50"/>
      <c r="O33838" s="36" t="s">
        <v>48</v>
      </c>
      <c r="R33838" s="36" t="s">
        <v>48</v>
      </c>
    </row>
    <row r="33839">
      <c r="H33839" s="50"/>
      <c r="I33839" s="50"/>
      <c r="O33839" s="36" t="s">
        <v>48</v>
      </c>
      <c r="R33839" s="36" t="s">
        <v>48</v>
      </c>
    </row>
    <row r="33840">
      <c r="H33840" s="50"/>
      <c r="I33840" s="50"/>
      <c r="O33840" s="36" t="s">
        <v>48</v>
      </c>
      <c r="R33840" s="36" t="s">
        <v>48</v>
      </c>
    </row>
    <row r="33841">
      <c r="H33841" s="50"/>
      <c r="I33841" s="50"/>
      <c r="O33841" s="36" t="s">
        <v>48</v>
      </c>
      <c r="R33841" s="36" t="s">
        <v>48</v>
      </c>
    </row>
    <row r="33842">
      <c r="H33842" s="50"/>
      <c r="I33842" s="50"/>
      <c r="O33842" s="36" t="s">
        <v>48</v>
      </c>
      <c r="R33842" s="36" t="s">
        <v>48</v>
      </c>
    </row>
    <row r="33843">
      <c r="H33843" s="50"/>
      <c r="I33843" s="50"/>
      <c r="O33843" s="36" t="s">
        <v>48</v>
      </c>
      <c r="R33843" s="36" t="s">
        <v>48</v>
      </c>
    </row>
    <row r="33844">
      <c r="H33844" s="50"/>
      <c r="I33844" s="50"/>
      <c r="O33844" s="36" t="s">
        <v>48</v>
      </c>
      <c r="R33844" s="36" t="s">
        <v>48</v>
      </c>
    </row>
    <row r="33845">
      <c r="H33845" s="50"/>
      <c r="I33845" s="50"/>
      <c r="O33845" s="36" t="s">
        <v>48</v>
      </c>
      <c r="R33845" s="36" t="s">
        <v>48</v>
      </c>
    </row>
    <row r="33846">
      <c r="H33846" s="50"/>
      <c r="I33846" s="50"/>
      <c r="O33846" s="36" t="s">
        <v>48</v>
      </c>
      <c r="R33846" s="36" t="s">
        <v>48</v>
      </c>
    </row>
    <row r="33847">
      <c r="H33847" s="50"/>
      <c r="I33847" s="50"/>
      <c r="O33847" s="36" t="s">
        <v>48</v>
      </c>
      <c r="R33847" s="36" t="s">
        <v>48</v>
      </c>
    </row>
    <row r="33848">
      <c r="H33848" s="50"/>
      <c r="I33848" s="50"/>
      <c r="O33848" s="36" t="s">
        <v>48</v>
      </c>
      <c r="R33848" s="36" t="s">
        <v>48</v>
      </c>
    </row>
    <row r="33849">
      <c r="H33849" s="50"/>
      <c r="I33849" s="50"/>
      <c r="O33849" s="36" t="s">
        <v>48</v>
      </c>
      <c r="R33849" s="36" t="s">
        <v>48</v>
      </c>
    </row>
    <row r="33850">
      <c r="H33850" s="50"/>
      <c r="I33850" s="50"/>
      <c r="O33850" s="36" t="s">
        <v>48</v>
      </c>
      <c r="R33850" s="36" t="s">
        <v>48</v>
      </c>
    </row>
    <row r="33851">
      <c r="H33851" s="50"/>
      <c r="I33851" s="50"/>
      <c r="O33851" s="36" t="s">
        <v>48</v>
      </c>
      <c r="R33851" s="36" t="s">
        <v>48</v>
      </c>
    </row>
    <row r="33852">
      <c r="H33852" s="50"/>
      <c r="I33852" s="50"/>
      <c r="O33852" s="36" t="s">
        <v>48</v>
      </c>
      <c r="R33852" s="36" t="s">
        <v>48</v>
      </c>
    </row>
    <row r="33853">
      <c r="H33853" s="50"/>
      <c r="I33853" s="50"/>
      <c r="O33853" s="36" t="s">
        <v>48</v>
      </c>
      <c r="R33853" s="36" t="s">
        <v>48</v>
      </c>
    </row>
    <row r="33854">
      <c r="H33854" s="50"/>
      <c r="I33854" s="50"/>
      <c r="O33854" s="36" t="s">
        <v>48</v>
      </c>
      <c r="R33854" s="36" t="s">
        <v>48</v>
      </c>
    </row>
    <row r="33855">
      <c r="H33855" s="50"/>
      <c r="I33855" s="50"/>
      <c r="O33855" s="36" t="s">
        <v>48</v>
      </c>
      <c r="R33855" s="36" t="s">
        <v>48</v>
      </c>
    </row>
    <row r="33856">
      <c r="H33856" s="50"/>
      <c r="I33856" s="50"/>
      <c r="O33856" s="36" t="s">
        <v>48</v>
      </c>
      <c r="R33856" s="36" t="s">
        <v>48</v>
      </c>
    </row>
    <row r="33857">
      <c r="H33857" s="50"/>
      <c r="I33857" s="50"/>
      <c r="O33857" s="36" t="s">
        <v>48</v>
      </c>
      <c r="R33857" s="36" t="s">
        <v>48</v>
      </c>
    </row>
    <row r="33858">
      <c r="H33858" s="50"/>
      <c r="I33858" s="50"/>
      <c r="O33858" s="36" t="s">
        <v>48</v>
      </c>
      <c r="R33858" s="36" t="s">
        <v>48</v>
      </c>
    </row>
    <row r="33859">
      <c r="H33859" s="50"/>
      <c r="I33859" s="50"/>
      <c r="O33859" s="36" t="s">
        <v>48</v>
      </c>
      <c r="R33859" s="36" t="s">
        <v>48</v>
      </c>
    </row>
    <row r="33860">
      <c r="H33860" s="50"/>
      <c r="I33860" s="50"/>
      <c r="O33860" s="36" t="s">
        <v>48</v>
      </c>
      <c r="R33860" s="36" t="s">
        <v>48</v>
      </c>
    </row>
    <row r="33861">
      <c r="H33861" s="50"/>
      <c r="I33861" s="50"/>
      <c r="O33861" s="36" t="s">
        <v>48</v>
      </c>
      <c r="R33861" s="36" t="s">
        <v>48</v>
      </c>
    </row>
    <row r="33862">
      <c r="H33862" s="50"/>
      <c r="I33862" s="50"/>
      <c r="O33862" s="36" t="s">
        <v>48</v>
      </c>
      <c r="R33862" s="36" t="s">
        <v>48</v>
      </c>
    </row>
    <row r="33863">
      <c r="H33863" s="50"/>
      <c r="I33863" s="50"/>
      <c r="O33863" s="36" t="s">
        <v>48</v>
      </c>
      <c r="R33863" s="36" t="s">
        <v>48</v>
      </c>
    </row>
    <row r="33864">
      <c r="H33864" s="50"/>
      <c r="I33864" s="50"/>
      <c r="O33864" s="36" t="s">
        <v>48</v>
      </c>
      <c r="R33864" s="36" t="s">
        <v>48</v>
      </c>
    </row>
    <row r="33865">
      <c r="H33865" s="50"/>
      <c r="I33865" s="50"/>
      <c r="O33865" s="36" t="s">
        <v>48</v>
      </c>
      <c r="R33865" s="36" t="s">
        <v>48</v>
      </c>
    </row>
    <row r="33866">
      <c r="H33866" s="50"/>
      <c r="I33866" s="50"/>
      <c r="O33866" s="36" t="s">
        <v>48</v>
      </c>
      <c r="R33866" s="36" t="s">
        <v>48</v>
      </c>
    </row>
    <row r="33867">
      <c r="H33867" s="50"/>
      <c r="I33867" s="50"/>
      <c r="O33867" s="36" t="s">
        <v>48</v>
      </c>
      <c r="R33867" s="36" t="s">
        <v>48</v>
      </c>
    </row>
    <row r="33868">
      <c r="H33868" s="50"/>
      <c r="I33868" s="50"/>
      <c r="O33868" s="36" t="s">
        <v>48</v>
      </c>
      <c r="R33868" s="36" t="s">
        <v>48</v>
      </c>
    </row>
    <row r="33869">
      <c r="H33869" s="50"/>
      <c r="I33869" s="50"/>
      <c r="O33869" s="36" t="s">
        <v>48</v>
      </c>
      <c r="R33869" s="36" t="s">
        <v>48</v>
      </c>
    </row>
    <row r="33870">
      <c r="H33870" s="50"/>
      <c r="I33870" s="50"/>
      <c r="O33870" s="36" t="s">
        <v>48</v>
      </c>
      <c r="R33870" s="36" t="s">
        <v>48</v>
      </c>
    </row>
    <row r="33871">
      <c r="H33871" s="50"/>
      <c r="I33871" s="50"/>
      <c r="O33871" s="36" t="s">
        <v>48</v>
      </c>
      <c r="R33871" s="36" t="s">
        <v>48</v>
      </c>
    </row>
    <row r="33872">
      <c r="H33872" s="50"/>
      <c r="I33872" s="50"/>
      <c r="O33872" s="36" t="s">
        <v>48</v>
      </c>
      <c r="R33872" s="36" t="s">
        <v>48</v>
      </c>
    </row>
    <row r="33873">
      <c r="H33873" s="50"/>
      <c r="I33873" s="50"/>
      <c r="O33873" s="36" t="s">
        <v>48</v>
      </c>
      <c r="R33873" s="36" t="s">
        <v>48</v>
      </c>
    </row>
    <row r="33874">
      <c r="H33874" s="50"/>
      <c r="I33874" s="50"/>
      <c r="O33874" s="36" t="s">
        <v>48</v>
      </c>
      <c r="R33874" s="36" t="s">
        <v>48</v>
      </c>
    </row>
    <row r="33875">
      <c r="H33875" s="50"/>
      <c r="I33875" s="50"/>
      <c r="O33875" s="36" t="s">
        <v>48</v>
      </c>
      <c r="R33875" s="36" t="s">
        <v>48</v>
      </c>
    </row>
    <row r="33876">
      <c r="H33876" s="50"/>
      <c r="I33876" s="50"/>
      <c r="O33876" s="36" t="s">
        <v>48</v>
      </c>
      <c r="R33876" s="36" t="s">
        <v>48</v>
      </c>
    </row>
    <row r="33877">
      <c r="H33877" s="50"/>
      <c r="I33877" s="50"/>
      <c r="O33877" s="36" t="s">
        <v>48</v>
      </c>
      <c r="R33877" s="36" t="s">
        <v>48</v>
      </c>
    </row>
    <row r="33878">
      <c r="H33878" s="50"/>
      <c r="I33878" s="50"/>
      <c r="O33878" s="36" t="s">
        <v>48</v>
      </c>
      <c r="R33878" s="36" t="s">
        <v>48</v>
      </c>
    </row>
    <row r="33879">
      <c r="H33879" s="50"/>
      <c r="I33879" s="50"/>
      <c r="O33879" s="36" t="s">
        <v>48</v>
      </c>
      <c r="R33879" s="36" t="s">
        <v>48</v>
      </c>
    </row>
    <row r="33880">
      <c r="H33880" s="50"/>
      <c r="I33880" s="50"/>
      <c r="O33880" s="36" t="s">
        <v>48</v>
      </c>
      <c r="R33880" s="36" t="s">
        <v>48</v>
      </c>
    </row>
    <row r="33881">
      <c r="H33881" s="50"/>
      <c r="I33881" s="50"/>
      <c r="O33881" s="36" t="s">
        <v>48</v>
      </c>
      <c r="R33881" s="36" t="s">
        <v>48</v>
      </c>
    </row>
    <row r="33882">
      <c r="H33882" s="50"/>
      <c r="I33882" s="50"/>
      <c r="O33882" s="36" t="s">
        <v>48</v>
      </c>
      <c r="R33882" s="36" t="s">
        <v>48</v>
      </c>
    </row>
    <row r="33883">
      <c r="H33883" s="50"/>
      <c r="I33883" s="50"/>
      <c r="O33883" s="36" t="s">
        <v>48</v>
      </c>
      <c r="R33883" s="36" t="s">
        <v>48</v>
      </c>
    </row>
    <row r="33884">
      <c r="H33884" s="50"/>
      <c r="I33884" s="50"/>
      <c r="O33884" s="36" t="s">
        <v>48</v>
      </c>
      <c r="R33884" s="36" t="s">
        <v>48</v>
      </c>
    </row>
    <row r="33885">
      <c r="H33885" s="50"/>
      <c r="I33885" s="50"/>
      <c r="O33885" s="36" t="s">
        <v>48</v>
      </c>
      <c r="R33885" s="36" t="s">
        <v>48</v>
      </c>
    </row>
    <row r="33886">
      <c r="H33886" s="50"/>
      <c r="I33886" s="50"/>
      <c r="O33886" s="36" t="s">
        <v>48</v>
      </c>
      <c r="R33886" s="36" t="s">
        <v>48</v>
      </c>
    </row>
    <row r="33887">
      <c r="H33887" s="50"/>
      <c r="I33887" s="50"/>
      <c r="O33887" s="36" t="s">
        <v>48</v>
      </c>
      <c r="R33887" s="36" t="s">
        <v>48</v>
      </c>
    </row>
    <row r="33888">
      <c r="H33888" s="50"/>
      <c r="I33888" s="50"/>
      <c r="O33888" s="36" t="s">
        <v>48</v>
      </c>
      <c r="R33888" s="36" t="s">
        <v>48</v>
      </c>
    </row>
    <row r="33889">
      <c r="H33889" s="50"/>
      <c r="I33889" s="50"/>
      <c r="O33889" s="36" t="s">
        <v>48</v>
      </c>
      <c r="R33889" s="36" t="s">
        <v>48</v>
      </c>
    </row>
    <row r="33890">
      <c r="H33890" s="50"/>
      <c r="I33890" s="50"/>
      <c r="O33890" s="36" t="s">
        <v>48</v>
      </c>
      <c r="R33890" s="36" t="s">
        <v>48</v>
      </c>
    </row>
    <row r="33891">
      <c r="H33891" s="50"/>
      <c r="I33891" s="50"/>
      <c r="O33891" s="36" t="s">
        <v>48</v>
      </c>
      <c r="R33891" s="36" t="s">
        <v>48</v>
      </c>
    </row>
    <row r="33892">
      <c r="H33892" s="50"/>
      <c r="I33892" s="50"/>
      <c r="O33892" s="36" t="s">
        <v>48</v>
      </c>
      <c r="R33892" s="36" t="s">
        <v>48</v>
      </c>
    </row>
    <row r="33893">
      <c r="H33893" s="50"/>
      <c r="I33893" s="50"/>
      <c r="O33893" s="36" t="s">
        <v>48</v>
      </c>
      <c r="R33893" s="36" t="s">
        <v>48</v>
      </c>
    </row>
    <row r="33894">
      <c r="H33894" s="50"/>
      <c r="I33894" s="50"/>
      <c r="O33894" s="36" t="s">
        <v>48</v>
      </c>
      <c r="R33894" s="36" t="s">
        <v>48</v>
      </c>
    </row>
    <row r="33895">
      <c r="H33895" s="50"/>
      <c r="I33895" s="50"/>
      <c r="O33895" s="36" t="s">
        <v>48</v>
      </c>
      <c r="R33895" s="36" t="s">
        <v>48</v>
      </c>
    </row>
    <row r="33896">
      <c r="H33896" s="50"/>
      <c r="I33896" s="50"/>
      <c r="O33896" s="36" t="s">
        <v>48</v>
      </c>
      <c r="R33896" s="36" t="s">
        <v>48</v>
      </c>
    </row>
    <row r="33897">
      <c r="H33897" s="50"/>
      <c r="I33897" s="50"/>
      <c r="O33897" s="36" t="s">
        <v>48</v>
      </c>
      <c r="R33897" s="36" t="s">
        <v>48</v>
      </c>
    </row>
    <row r="33898">
      <c r="H33898" s="50"/>
      <c r="I33898" s="50"/>
      <c r="O33898" s="36" t="s">
        <v>48</v>
      </c>
      <c r="R33898" s="36" t="s">
        <v>48</v>
      </c>
    </row>
    <row r="33899">
      <c r="H33899" s="50"/>
      <c r="I33899" s="50"/>
      <c r="O33899" s="36" t="s">
        <v>48</v>
      </c>
      <c r="R33899" s="36" t="s">
        <v>48</v>
      </c>
    </row>
    <row r="33900">
      <c r="H33900" s="50"/>
      <c r="I33900" s="50"/>
      <c r="O33900" s="36" t="s">
        <v>48</v>
      </c>
      <c r="R33900" s="36" t="s">
        <v>48</v>
      </c>
    </row>
    <row r="33901">
      <c r="H33901" s="50"/>
      <c r="I33901" s="50"/>
      <c r="O33901" s="36" t="s">
        <v>48</v>
      </c>
      <c r="R33901" s="36" t="s">
        <v>48</v>
      </c>
    </row>
    <row r="33902">
      <c r="H33902" s="50"/>
      <c r="I33902" s="50"/>
      <c r="O33902" s="36" t="s">
        <v>48</v>
      </c>
      <c r="R33902" s="36" t="s">
        <v>48</v>
      </c>
    </row>
    <row r="33903">
      <c r="H33903" s="50"/>
      <c r="I33903" s="50"/>
      <c r="O33903" s="36" t="s">
        <v>48</v>
      </c>
      <c r="R33903" s="36" t="s">
        <v>48</v>
      </c>
    </row>
    <row r="33904">
      <c r="H33904" s="50"/>
      <c r="I33904" s="50"/>
      <c r="O33904" s="36" t="s">
        <v>48</v>
      </c>
      <c r="R33904" s="36" t="s">
        <v>48</v>
      </c>
    </row>
    <row r="33905">
      <c r="H33905" s="50"/>
      <c r="I33905" s="50"/>
      <c r="O33905" s="36" t="s">
        <v>48</v>
      </c>
      <c r="R33905" s="36" t="s">
        <v>48</v>
      </c>
    </row>
    <row r="33906">
      <c r="H33906" s="50"/>
      <c r="I33906" s="50"/>
      <c r="O33906" s="36" t="s">
        <v>48</v>
      </c>
      <c r="R33906" s="36" t="s">
        <v>48</v>
      </c>
    </row>
    <row r="33907">
      <c r="H33907" s="50"/>
      <c r="I33907" s="50"/>
      <c r="O33907" s="36" t="s">
        <v>48</v>
      </c>
      <c r="R33907" s="36" t="s">
        <v>48</v>
      </c>
    </row>
    <row r="33908">
      <c r="H33908" s="50"/>
      <c r="I33908" s="50"/>
      <c r="O33908" s="36" t="s">
        <v>48</v>
      </c>
      <c r="R33908" s="36" t="s">
        <v>48</v>
      </c>
    </row>
    <row r="33909">
      <c r="H33909" s="50"/>
      <c r="I33909" s="50"/>
      <c r="O33909" s="36" t="s">
        <v>48</v>
      </c>
      <c r="R33909" s="36" t="s">
        <v>48</v>
      </c>
    </row>
    <row r="33910">
      <c r="H33910" s="50"/>
      <c r="I33910" s="50"/>
      <c r="O33910" s="36" t="s">
        <v>48</v>
      </c>
      <c r="R33910" s="36" t="s">
        <v>48</v>
      </c>
    </row>
    <row r="33911">
      <c r="H33911" s="50"/>
      <c r="I33911" s="50"/>
      <c r="O33911" s="36" t="s">
        <v>48</v>
      </c>
      <c r="R33911" s="36" t="s">
        <v>48</v>
      </c>
    </row>
    <row r="33912">
      <c r="H33912" s="50"/>
      <c r="I33912" s="50"/>
      <c r="O33912" s="36" t="s">
        <v>48</v>
      </c>
      <c r="R33912" s="36" t="s">
        <v>48</v>
      </c>
    </row>
    <row r="33913">
      <c r="H33913" s="50"/>
      <c r="I33913" s="50"/>
      <c r="O33913" s="36" t="s">
        <v>48</v>
      </c>
      <c r="R33913" s="36" t="s">
        <v>48</v>
      </c>
    </row>
    <row r="33914">
      <c r="H33914" s="50"/>
      <c r="I33914" s="50"/>
      <c r="O33914" s="36" t="s">
        <v>48</v>
      </c>
      <c r="R33914" s="36" t="s">
        <v>48</v>
      </c>
    </row>
    <row r="33915">
      <c r="H33915" s="50"/>
      <c r="I33915" s="50"/>
      <c r="O33915" s="36" t="s">
        <v>48</v>
      </c>
      <c r="R33915" s="36" t="s">
        <v>48</v>
      </c>
    </row>
    <row r="33916">
      <c r="H33916" s="50"/>
      <c r="I33916" s="50"/>
      <c r="O33916" s="36" t="s">
        <v>48</v>
      </c>
      <c r="R33916" s="36" t="s">
        <v>48</v>
      </c>
    </row>
    <row r="33917">
      <c r="H33917" s="50"/>
      <c r="I33917" s="50"/>
      <c r="O33917" s="36" t="s">
        <v>48</v>
      </c>
      <c r="R33917" s="36" t="s">
        <v>48</v>
      </c>
    </row>
    <row r="33918">
      <c r="H33918" s="50"/>
      <c r="I33918" s="50"/>
      <c r="O33918" s="36" t="s">
        <v>48</v>
      </c>
      <c r="R33918" s="36" t="s">
        <v>48</v>
      </c>
    </row>
    <row r="33919">
      <c r="H33919" s="50"/>
      <c r="I33919" s="50"/>
      <c r="O33919" s="36" t="s">
        <v>48</v>
      </c>
      <c r="R33919" s="36" t="s">
        <v>48</v>
      </c>
    </row>
    <row r="33920">
      <c r="H33920" s="50"/>
      <c r="I33920" s="50"/>
      <c r="O33920" s="36" t="s">
        <v>48</v>
      </c>
      <c r="R33920" s="36" t="s">
        <v>48</v>
      </c>
    </row>
    <row r="33921">
      <c r="H33921" s="50"/>
      <c r="I33921" s="50"/>
      <c r="O33921" s="36" t="s">
        <v>48</v>
      </c>
      <c r="R33921" s="36" t="s">
        <v>48</v>
      </c>
    </row>
    <row r="33922">
      <c r="H33922" s="50"/>
      <c r="I33922" s="50"/>
      <c r="O33922" s="36" t="s">
        <v>48</v>
      </c>
      <c r="R33922" s="36" t="s">
        <v>48</v>
      </c>
    </row>
    <row r="33923">
      <c r="H33923" s="50"/>
      <c r="I33923" s="50"/>
      <c r="O33923" s="36" t="s">
        <v>48</v>
      </c>
      <c r="R33923" s="36" t="s">
        <v>48</v>
      </c>
    </row>
    <row r="33924">
      <c r="H33924" s="50"/>
      <c r="I33924" s="50"/>
      <c r="O33924" s="36" t="s">
        <v>48</v>
      </c>
      <c r="R33924" s="36" t="s">
        <v>48</v>
      </c>
    </row>
    <row r="33925">
      <c r="H33925" s="50"/>
      <c r="I33925" s="50"/>
      <c r="O33925" s="36" t="s">
        <v>48</v>
      </c>
      <c r="R33925" s="36" t="s">
        <v>48</v>
      </c>
    </row>
    <row r="33926">
      <c r="H33926" s="50"/>
      <c r="I33926" s="50"/>
      <c r="O33926" s="36" t="s">
        <v>48</v>
      </c>
      <c r="R33926" s="36" t="s">
        <v>48</v>
      </c>
    </row>
    <row r="33927">
      <c r="H33927" s="50"/>
      <c r="I33927" s="50"/>
      <c r="O33927" s="36" t="s">
        <v>48</v>
      </c>
      <c r="R33927" s="36" t="s">
        <v>48</v>
      </c>
    </row>
    <row r="33928">
      <c r="H33928" s="50"/>
      <c r="I33928" s="50"/>
      <c r="O33928" s="36" t="s">
        <v>48</v>
      </c>
      <c r="R33928" s="36" t="s">
        <v>48</v>
      </c>
    </row>
    <row r="33929">
      <c r="H33929" s="50"/>
      <c r="I33929" s="50"/>
      <c r="O33929" s="36" t="s">
        <v>48</v>
      </c>
      <c r="R33929" s="36" t="s">
        <v>48</v>
      </c>
    </row>
    <row r="33930">
      <c r="H33930" s="50"/>
      <c r="I33930" s="50"/>
      <c r="O33930" s="36" t="s">
        <v>48</v>
      </c>
      <c r="R33930" s="36" t="s">
        <v>48</v>
      </c>
    </row>
    <row r="33931">
      <c r="H33931" s="50"/>
      <c r="I33931" s="50"/>
      <c r="O33931" s="36" t="s">
        <v>48</v>
      </c>
      <c r="R33931" s="36" t="s">
        <v>48</v>
      </c>
    </row>
    <row r="33932">
      <c r="H33932" s="50"/>
      <c r="I33932" s="50"/>
      <c r="O33932" s="36" t="s">
        <v>48</v>
      </c>
      <c r="R33932" s="36" t="s">
        <v>48</v>
      </c>
    </row>
    <row r="33933">
      <c r="H33933" s="50"/>
      <c r="I33933" s="50"/>
      <c r="O33933" s="36" t="s">
        <v>48</v>
      </c>
      <c r="R33933" s="36" t="s">
        <v>48</v>
      </c>
    </row>
    <row r="33934">
      <c r="H33934" s="50"/>
      <c r="I33934" s="50"/>
      <c r="O33934" s="36" t="s">
        <v>48</v>
      </c>
      <c r="R33934" s="36" t="s">
        <v>48</v>
      </c>
    </row>
    <row r="33935">
      <c r="H33935" s="50"/>
      <c r="I33935" s="50"/>
      <c r="O33935" s="36" t="s">
        <v>48</v>
      </c>
      <c r="R33935" s="36" t="s">
        <v>48</v>
      </c>
    </row>
    <row r="33936">
      <c r="H33936" s="50"/>
      <c r="I33936" s="50"/>
      <c r="O33936" s="36" t="s">
        <v>48</v>
      </c>
      <c r="R33936" s="36" t="s">
        <v>48</v>
      </c>
    </row>
    <row r="33937">
      <c r="H33937" s="50"/>
      <c r="I33937" s="50"/>
      <c r="O33937" s="36" t="s">
        <v>48</v>
      </c>
      <c r="R33937" s="36" t="s">
        <v>48</v>
      </c>
    </row>
    <row r="33938">
      <c r="H33938" s="50"/>
      <c r="I33938" s="50"/>
      <c r="O33938" s="36" t="s">
        <v>48</v>
      </c>
      <c r="R33938" s="36" t="s">
        <v>48</v>
      </c>
    </row>
    <row r="33939">
      <c r="H33939" s="50"/>
      <c r="I33939" s="50"/>
      <c r="O33939" s="36" t="s">
        <v>48</v>
      </c>
      <c r="R33939" s="36" t="s">
        <v>48</v>
      </c>
    </row>
    <row r="33940">
      <c r="H33940" s="50"/>
      <c r="I33940" s="50"/>
      <c r="O33940" s="36" t="s">
        <v>48</v>
      </c>
      <c r="R33940" s="36" t="s">
        <v>48</v>
      </c>
    </row>
    <row r="33941">
      <c r="H33941" s="50"/>
      <c r="I33941" s="50"/>
      <c r="O33941" s="36" t="s">
        <v>48</v>
      </c>
      <c r="R33941" s="36" t="s">
        <v>48</v>
      </c>
    </row>
    <row r="33942">
      <c r="H33942" s="50"/>
      <c r="I33942" s="50"/>
      <c r="O33942" s="36" t="s">
        <v>48</v>
      </c>
      <c r="R33942" s="36" t="s">
        <v>48</v>
      </c>
    </row>
    <row r="33943">
      <c r="H33943" s="50"/>
      <c r="I33943" s="50"/>
      <c r="O33943" s="36" t="s">
        <v>48</v>
      </c>
      <c r="R33943" s="36" t="s">
        <v>48</v>
      </c>
    </row>
    <row r="33944">
      <c r="H33944" s="50"/>
      <c r="I33944" s="50"/>
      <c r="O33944" s="36" t="s">
        <v>48</v>
      </c>
      <c r="R33944" s="36" t="s">
        <v>48</v>
      </c>
    </row>
    <row r="33945">
      <c r="H33945" s="50"/>
      <c r="I33945" s="50"/>
      <c r="O33945" s="36" t="s">
        <v>48</v>
      </c>
      <c r="R33945" s="36" t="s">
        <v>48</v>
      </c>
    </row>
    <row r="33946">
      <c r="H33946" s="50"/>
      <c r="I33946" s="50"/>
      <c r="O33946" s="36" t="s">
        <v>48</v>
      </c>
      <c r="R33946" s="36" t="s">
        <v>48</v>
      </c>
    </row>
    <row r="33947">
      <c r="H33947" s="50"/>
      <c r="I33947" s="50"/>
      <c r="O33947" s="36" t="s">
        <v>48</v>
      </c>
      <c r="R33947" s="36" t="s">
        <v>48</v>
      </c>
    </row>
    <row r="33948">
      <c r="H33948" s="50"/>
      <c r="I33948" s="50"/>
      <c r="O33948" s="36" t="s">
        <v>48</v>
      </c>
      <c r="R33948" s="36" t="s">
        <v>48</v>
      </c>
    </row>
    <row r="33949">
      <c r="H33949" s="50"/>
      <c r="I33949" s="50"/>
      <c r="O33949" s="36" t="s">
        <v>48</v>
      </c>
      <c r="R33949" s="36" t="s">
        <v>48</v>
      </c>
    </row>
    <row r="33950">
      <c r="H33950" s="50"/>
      <c r="I33950" s="50"/>
      <c r="O33950" s="36" t="s">
        <v>48</v>
      </c>
      <c r="R33950" s="36" t="s">
        <v>48</v>
      </c>
    </row>
    <row r="33951">
      <c r="H33951" s="50"/>
      <c r="I33951" s="50"/>
      <c r="O33951" s="36" t="s">
        <v>48</v>
      </c>
      <c r="R33951" s="36" t="s">
        <v>48</v>
      </c>
    </row>
    <row r="33952">
      <c r="H33952" s="50"/>
      <c r="I33952" s="50"/>
      <c r="O33952" s="36" t="s">
        <v>48</v>
      </c>
      <c r="R33952" s="36" t="s">
        <v>48</v>
      </c>
    </row>
    <row r="33953">
      <c r="H33953" s="50"/>
      <c r="I33953" s="50"/>
      <c r="O33953" s="36" t="s">
        <v>48</v>
      </c>
      <c r="R33953" s="36" t="s">
        <v>48</v>
      </c>
    </row>
    <row r="33954">
      <c r="H33954" s="50"/>
      <c r="I33954" s="50"/>
      <c r="O33954" s="36" t="s">
        <v>48</v>
      </c>
      <c r="R33954" s="36" t="s">
        <v>48</v>
      </c>
    </row>
    <row r="33955">
      <c r="H33955" s="50"/>
      <c r="I33955" s="50"/>
      <c r="O33955" s="36" t="s">
        <v>48</v>
      </c>
      <c r="R33955" s="36" t="s">
        <v>48</v>
      </c>
    </row>
    <row r="33956">
      <c r="H33956" s="50"/>
      <c r="I33956" s="50"/>
      <c r="O33956" s="36" t="s">
        <v>48</v>
      </c>
      <c r="R33956" s="36" t="s">
        <v>48</v>
      </c>
    </row>
    <row r="33957">
      <c r="H33957" s="50"/>
      <c r="I33957" s="50"/>
      <c r="O33957" s="36" t="s">
        <v>48</v>
      </c>
      <c r="R33957" s="36" t="s">
        <v>48</v>
      </c>
    </row>
    <row r="33958">
      <c r="H33958" s="50"/>
      <c r="I33958" s="50"/>
      <c r="O33958" s="36" t="s">
        <v>48</v>
      </c>
      <c r="R33958" s="36" t="s">
        <v>48</v>
      </c>
    </row>
    <row r="33959">
      <c r="H33959" s="50"/>
      <c r="I33959" s="50"/>
      <c r="O33959" s="36" t="s">
        <v>48</v>
      </c>
      <c r="R33959" s="36" t="s">
        <v>48</v>
      </c>
    </row>
    <row r="33960">
      <c r="H33960" s="50"/>
      <c r="I33960" s="50"/>
      <c r="O33960" s="36" t="s">
        <v>48</v>
      </c>
      <c r="R33960" s="36" t="s">
        <v>48</v>
      </c>
    </row>
    <row r="33961">
      <c r="H33961" s="50"/>
      <c r="I33961" s="50"/>
      <c r="O33961" s="36" t="s">
        <v>48</v>
      </c>
      <c r="R33961" s="36" t="s">
        <v>48</v>
      </c>
    </row>
    <row r="33962">
      <c r="H33962" s="50"/>
      <c r="I33962" s="50"/>
      <c r="O33962" s="36" t="s">
        <v>48</v>
      </c>
      <c r="R33962" s="36" t="s">
        <v>48</v>
      </c>
    </row>
    <row r="33963">
      <c r="H33963" s="50"/>
      <c r="I33963" s="50"/>
      <c r="O33963" s="36" t="s">
        <v>48</v>
      </c>
      <c r="R33963" s="36" t="s">
        <v>48</v>
      </c>
    </row>
    <row r="33964">
      <c r="H33964" s="50"/>
      <c r="I33964" s="50"/>
      <c r="O33964" s="36" t="s">
        <v>48</v>
      </c>
      <c r="R33964" s="36" t="s">
        <v>48</v>
      </c>
    </row>
    <row r="33965">
      <c r="H33965" s="50"/>
      <c r="I33965" s="50"/>
      <c r="O33965" s="36" t="s">
        <v>48</v>
      </c>
      <c r="R33965" s="36" t="s">
        <v>48</v>
      </c>
    </row>
    <row r="33966">
      <c r="H33966" s="50"/>
      <c r="I33966" s="50"/>
      <c r="O33966" s="36" t="s">
        <v>48</v>
      </c>
      <c r="R33966" s="36" t="s">
        <v>48</v>
      </c>
    </row>
    <row r="33967">
      <c r="H33967" s="50"/>
      <c r="I33967" s="50"/>
      <c r="O33967" s="36" t="s">
        <v>48</v>
      </c>
      <c r="R33967" s="36" t="s">
        <v>48</v>
      </c>
    </row>
    <row r="33968">
      <c r="H33968" s="50"/>
      <c r="I33968" s="50"/>
      <c r="O33968" s="36" t="s">
        <v>48</v>
      </c>
      <c r="R33968" s="36" t="s">
        <v>48</v>
      </c>
    </row>
    <row r="33969">
      <c r="H33969" s="50"/>
      <c r="I33969" s="50"/>
      <c r="O33969" s="36" t="s">
        <v>48</v>
      </c>
      <c r="R33969" s="36" t="s">
        <v>48</v>
      </c>
    </row>
    <row r="33970">
      <c r="H33970" s="50"/>
      <c r="I33970" s="50"/>
      <c r="O33970" s="36" t="s">
        <v>48</v>
      </c>
      <c r="R33970" s="36" t="s">
        <v>48</v>
      </c>
    </row>
    <row r="33971">
      <c r="H33971" s="50"/>
      <c r="I33971" s="50"/>
      <c r="O33971" s="36" t="s">
        <v>48</v>
      </c>
      <c r="R33971" s="36" t="s">
        <v>48</v>
      </c>
    </row>
    <row r="33972">
      <c r="H33972" s="50"/>
      <c r="I33972" s="50"/>
      <c r="O33972" s="36" t="s">
        <v>48</v>
      </c>
      <c r="R33972" s="36" t="s">
        <v>48</v>
      </c>
    </row>
    <row r="33973">
      <c r="H33973" s="50"/>
      <c r="I33973" s="50"/>
      <c r="O33973" s="36" t="s">
        <v>48</v>
      </c>
      <c r="R33973" s="36" t="s">
        <v>48</v>
      </c>
    </row>
    <row r="33974">
      <c r="H33974" s="50"/>
      <c r="I33974" s="50"/>
      <c r="O33974" s="36" t="s">
        <v>48</v>
      </c>
      <c r="R33974" s="36" t="s">
        <v>48</v>
      </c>
    </row>
    <row r="33975">
      <c r="H33975" s="50"/>
      <c r="I33975" s="50"/>
      <c r="O33975" s="36" t="s">
        <v>48</v>
      </c>
      <c r="R33975" s="36" t="s">
        <v>48</v>
      </c>
    </row>
    <row r="33976">
      <c r="H33976" s="50"/>
      <c r="I33976" s="50"/>
      <c r="O33976" s="36" t="s">
        <v>48</v>
      </c>
      <c r="R33976" s="36" t="s">
        <v>48</v>
      </c>
    </row>
    <row r="33977">
      <c r="H33977" s="50"/>
      <c r="I33977" s="50"/>
      <c r="O33977" s="36" t="s">
        <v>48</v>
      </c>
      <c r="R33977" s="36" t="s">
        <v>48</v>
      </c>
    </row>
    <row r="33978">
      <c r="H33978" s="50"/>
      <c r="I33978" s="50"/>
      <c r="O33978" s="36" t="s">
        <v>48</v>
      </c>
      <c r="R33978" s="36" t="s">
        <v>48</v>
      </c>
    </row>
    <row r="33979">
      <c r="H33979" s="50"/>
      <c r="I33979" s="50"/>
      <c r="O33979" s="36" t="s">
        <v>48</v>
      </c>
      <c r="R33979" s="36" t="s">
        <v>48</v>
      </c>
    </row>
    <row r="33980">
      <c r="H33980" s="50"/>
      <c r="I33980" s="50"/>
      <c r="O33980" s="36" t="s">
        <v>48</v>
      </c>
      <c r="R33980" s="36" t="s">
        <v>48</v>
      </c>
    </row>
    <row r="33981">
      <c r="H33981" s="50"/>
      <c r="I33981" s="50"/>
      <c r="O33981" s="36" t="s">
        <v>48</v>
      </c>
      <c r="R33981" s="36" t="s">
        <v>48</v>
      </c>
    </row>
    <row r="33982">
      <c r="H33982" s="50"/>
      <c r="I33982" s="50"/>
      <c r="O33982" s="36" t="s">
        <v>48</v>
      </c>
      <c r="R33982" s="36" t="s">
        <v>48</v>
      </c>
    </row>
    <row r="33983">
      <c r="H33983" s="50"/>
      <c r="I33983" s="50"/>
      <c r="O33983" s="36" t="s">
        <v>48</v>
      </c>
      <c r="R33983" s="36" t="s">
        <v>48</v>
      </c>
    </row>
    <row r="33984">
      <c r="H33984" s="50"/>
      <c r="I33984" s="50"/>
      <c r="O33984" s="36" t="s">
        <v>48</v>
      </c>
      <c r="R33984" s="36" t="s">
        <v>48</v>
      </c>
    </row>
    <row r="33985">
      <c r="H33985" s="50"/>
      <c r="I33985" s="50"/>
      <c r="O33985" s="36" t="s">
        <v>48</v>
      </c>
      <c r="R33985" s="36" t="s">
        <v>48</v>
      </c>
    </row>
    <row r="33986">
      <c r="H33986" s="50"/>
      <c r="I33986" s="50"/>
      <c r="O33986" s="36" t="s">
        <v>48</v>
      </c>
      <c r="R33986" s="36" t="s">
        <v>48</v>
      </c>
    </row>
    <row r="33987">
      <c r="H33987" s="50"/>
      <c r="I33987" s="50"/>
      <c r="O33987" s="36" t="s">
        <v>48</v>
      </c>
      <c r="R33987" s="36" t="s">
        <v>48</v>
      </c>
    </row>
    <row r="33988">
      <c r="H33988" s="50"/>
      <c r="I33988" s="50"/>
      <c r="O33988" s="36" t="s">
        <v>48</v>
      </c>
      <c r="R33988" s="36" t="s">
        <v>48</v>
      </c>
    </row>
    <row r="33989">
      <c r="H33989" s="50"/>
      <c r="I33989" s="50"/>
      <c r="O33989" s="36" t="s">
        <v>48</v>
      </c>
      <c r="R33989" s="36" t="s">
        <v>48</v>
      </c>
    </row>
    <row r="33990">
      <c r="H33990" s="50"/>
      <c r="I33990" s="50"/>
      <c r="O33990" s="36" t="s">
        <v>48</v>
      </c>
      <c r="R33990" s="36" t="s">
        <v>48</v>
      </c>
    </row>
    <row r="33991">
      <c r="H33991" s="50"/>
      <c r="I33991" s="50"/>
      <c r="O33991" s="36" t="s">
        <v>48</v>
      </c>
      <c r="R33991" s="36" t="s">
        <v>48</v>
      </c>
    </row>
    <row r="33992">
      <c r="H33992" s="50"/>
      <c r="I33992" s="50"/>
      <c r="O33992" s="36" t="s">
        <v>48</v>
      </c>
      <c r="R33992" s="36" t="s">
        <v>48</v>
      </c>
    </row>
    <row r="33993">
      <c r="H33993" s="50"/>
      <c r="I33993" s="50"/>
      <c r="O33993" s="36" t="s">
        <v>48</v>
      </c>
      <c r="R33993" s="36" t="s">
        <v>48</v>
      </c>
    </row>
    <row r="33994">
      <c r="H33994" s="50"/>
      <c r="I33994" s="50"/>
      <c r="O33994" s="36" t="s">
        <v>48</v>
      </c>
      <c r="R33994" s="36" t="s">
        <v>48</v>
      </c>
    </row>
    <row r="33995">
      <c r="H33995" s="50"/>
      <c r="I33995" s="50"/>
      <c r="O33995" s="36" t="s">
        <v>48</v>
      </c>
      <c r="R33995" s="36" t="s">
        <v>48</v>
      </c>
    </row>
    <row r="33996">
      <c r="H33996" s="50"/>
      <c r="I33996" s="50"/>
      <c r="O33996" s="36" t="s">
        <v>48</v>
      </c>
      <c r="R33996" s="36" t="s">
        <v>48</v>
      </c>
    </row>
    <row r="33997">
      <c r="H33997" s="50"/>
      <c r="I33997" s="50"/>
      <c r="O33997" s="36" t="s">
        <v>48</v>
      </c>
      <c r="R33997" s="36" t="s">
        <v>48</v>
      </c>
    </row>
    <row r="33998">
      <c r="H33998" s="50"/>
      <c r="I33998" s="50"/>
      <c r="O33998" s="36" t="s">
        <v>48</v>
      </c>
      <c r="R33998" s="36" t="s">
        <v>48</v>
      </c>
    </row>
    <row r="33999">
      <c r="H33999" s="50"/>
      <c r="I33999" s="50"/>
      <c r="O33999" s="36" t="s">
        <v>48</v>
      </c>
      <c r="R33999" s="36" t="s">
        <v>48</v>
      </c>
    </row>
    <row r="34000">
      <c r="H34000" s="50"/>
      <c r="I34000" s="50"/>
      <c r="O34000" s="36" t="s">
        <v>48</v>
      </c>
      <c r="R34000" s="36" t="s">
        <v>48</v>
      </c>
    </row>
    <row r="34001">
      <c r="H34001" s="50"/>
      <c r="I34001" s="50"/>
      <c r="O34001" s="36" t="s">
        <v>48</v>
      </c>
      <c r="R34001" s="36" t="s">
        <v>48</v>
      </c>
    </row>
    <row r="34002">
      <c r="H34002" s="50"/>
      <c r="I34002" s="50"/>
      <c r="O34002" s="36" t="s">
        <v>48</v>
      </c>
      <c r="R34002" s="36" t="s">
        <v>48</v>
      </c>
    </row>
    <row r="34003">
      <c r="H34003" s="50"/>
      <c r="I34003" s="50"/>
      <c r="O34003" s="36" t="s">
        <v>48</v>
      </c>
      <c r="R34003" s="36" t="s">
        <v>48</v>
      </c>
    </row>
    <row r="34004">
      <c r="H34004" s="50"/>
      <c r="I34004" s="50"/>
      <c r="O34004" s="36" t="s">
        <v>48</v>
      </c>
      <c r="R34004" s="36" t="s">
        <v>48</v>
      </c>
    </row>
    <row r="34005">
      <c r="H34005" s="50"/>
      <c r="I34005" s="50"/>
      <c r="O34005" s="36" t="s">
        <v>48</v>
      </c>
      <c r="R34005" s="36" t="s">
        <v>48</v>
      </c>
    </row>
    <row r="34006">
      <c r="H34006" s="50"/>
      <c r="I34006" s="50"/>
      <c r="O34006" s="36" t="s">
        <v>48</v>
      </c>
      <c r="R34006" s="36" t="s">
        <v>48</v>
      </c>
    </row>
    <row r="34007">
      <c r="H34007" s="50"/>
      <c r="I34007" s="50"/>
      <c r="O34007" s="36" t="s">
        <v>48</v>
      </c>
      <c r="R34007" s="36" t="s">
        <v>48</v>
      </c>
    </row>
    <row r="34008">
      <c r="H34008" s="50"/>
      <c r="I34008" s="50"/>
      <c r="O34008" s="36" t="s">
        <v>48</v>
      </c>
      <c r="R34008" s="36" t="s">
        <v>48</v>
      </c>
    </row>
    <row r="34009">
      <c r="H34009" s="50"/>
      <c r="I34009" s="50"/>
      <c r="O34009" s="36" t="s">
        <v>48</v>
      </c>
      <c r="R34009" s="36" t="s">
        <v>48</v>
      </c>
    </row>
    <row r="34010">
      <c r="H34010" s="50"/>
      <c r="I34010" s="50"/>
      <c r="O34010" s="36" t="s">
        <v>48</v>
      </c>
      <c r="R34010" s="36" t="s">
        <v>48</v>
      </c>
    </row>
    <row r="34011">
      <c r="H34011" s="50"/>
      <c r="I34011" s="50"/>
      <c r="O34011" s="36" t="s">
        <v>48</v>
      </c>
      <c r="R34011" s="36" t="s">
        <v>48</v>
      </c>
    </row>
    <row r="34012">
      <c r="H34012" s="50"/>
      <c r="I34012" s="50"/>
      <c r="O34012" s="36" t="s">
        <v>48</v>
      </c>
      <c r="R34012" s="36" t="s">
        <v>48</v>
      </c>
    </row>
    <row r="34013">
      <c r="H34013" s="50"/>
      <c r="I34013" s="50"/>
      <c r="O34013" s="36" t="s">
        <v>48</v>
      </c>
      <c r="R34013" s="36" t="s">
        <v>48</v>
      </c>
    </row>
    <row r="34014">
      <c r="H34014" s="50"/>
      <c r="I34014" s="50"/>
      <c r="O34014" s="36" t="s">
        <v>48</v>
      </c>
      <c r="R34014" s="36" t="s">
        <v>48</v>
      </c>
    </row>
    <row r="34015">
      <c r="H34015" s="50"/>
      <c r="I34015" s="50"/>
      <c r="O34015" s="36" t="s">
        <v>48</v>
      </c>
      <c r="R34015" s="36" t="s">
        <v>48</v>
      </c>
    </row>
    <row r="34016">
      <c r="H34016" s="50"/>
      <c r="I34016" s="50"/>
      <c r="O34016" s="36" t="s">
        <v>48</v>
      </c>
      <c r="R34016" s="36" t="s">
        <v>48</v>
      </c>
    </row>
    <row r="34017">
      <c r="H34017" s="50"/>
      <c r="I34017" s="50"/>
      <c r="O34017" s="36" t="s">
        <v>48</v>
      </c>
      <c r="R34017" s="36" t="s">
        <v>48</v>
      </c>
    </row>
    <row r="34018">
      <c r="H34018" s="50"/>
      <c r="I34018" s="50"/>
      <c r="O34018" s="36" t="s">
        <v>48</v>
      </c>
      <c r="R34018" s="36" t="s">
        <v>48</v>
      </c>
    </row>
    <row r="34019">
      <c r="H34019" s="50"/>
      <c r="I34019" s="50"/>
      <c r="O34019" s="36" t="s">
        <v>48</v>
      </c>
      <c r="R34019" s="36" t="s">
        <v>48</v>
      </c>
    </row>
    <row r="34020">
      <c r="H34020" s="50"/>
      <c r="I34020" s="50"/>
      <c r="O34020" s="36" t="s">
        <v>48</v>
      </c>
      <c r="R34020" s="36" t="s">
        <v>48</v>
      </c>
    </row>
    <row r="34021">
      <c r="H34021" s="50"/>
      <c r="I34021" s="50"/>
      <c r="O34021" s="36" t="s">
        <v>48</v>
      </c>
      <c r="R34021" s="36" t="s">
        <v>48</v>
      </c>
    </row>
    <row r="34022">
      <c r="H34022" s="50"/>
      <c r="I34022" s="50"/>
      <c r="O34022" s="36" t="s">
        <v>48</v>
      </c>
      <c r="R34022" s="36" t="s">
        <v>48</v>
      </c>
    </row>
    <row r="34023">
      <c r="H34023" s="50"/>
      <c r="I34023" s="50"/>
      <c r="O34023" s="36" t="s">
        <v>48</v>
      </c>
      <c r="R34023" s="36" t="s">
        <v>48</v>
      </c>
    </row>
    <row r="34024">
      <c r="H34024" s="50"/>
      <c r="I34024" s="50"/>
      <c r="O34024" s="36" t="s">
        <v>48</v>
      </c>
      <c r="R34024" s="36" t="s">
        <v>48</v>
      </c>
    </row>
    <row r="34025">
      <c r="H34025" s="50"/>
      <c r="I34025" s="50"/>
      <c r="O34025" s="36" t="s">
        <v>48</v>
      </c>
      <c r="R34025" s="36" t="s">
        <v>48</v>
      </c>
    </row>
    <row r="34026">
      <c r="H34026" s="50"/>
      <c r="I34026" s="50"/>
      <c r="O34026" s="36" t="s">
        <v>48</v>
      </c>
      <c r="R34026" s="36" t="s">
        <v>48</v>
      </c>
    </row>
    <row r="34027">
      <c r="H34027" s="50"/>
      <c r="I34027" s="50"/>
      <c r="O34027" s="36" t="s">
        <v>48</v>
      </c>
      <c r="R34027" s="36" t="s">
        <v>48</v>
      </c>
    </row>
    <row r="34028">
      <c r="H34028" s="50"/>
      <c r="I34028" s="50"/>
      <c r="O34028" s="36" t="s">
        <v>48</v>
      </c>
      <c r="R34028" s="36" t="s">
        <v>48</v>
      </c>
    </row>
    <row r="34029">
      <c r="H34029" s="50"/>
      <c r="I34029" s="50"/>
      <c r="O34029" s="36" t="s">
        <v>48</v>
      </c>
      <c r="R34029" s="36" t="s">
        <v>48</v>
      </c>
    </row>
    <row r="34030">
      <c r="H34030" s="50"/>
      <c r="I34030" s="50"/>
      <c r="O34030" s="36" t="s">
        <v>48</v>
      </c>
      <c r="R34030" s="36" t="s">
        <v>48</v>
      </c>
    </row>
    <row r="34031">
      <c r="H34031" s="50"/>
      <c r="I34031" s="50"/>
      <c r="O34031" s="36" t="s">
        <v>48</v>
      </c>
      <c r="R34031" s="36" t="s">
        <v>48</v>
      </c>
    </row>
    <row r="34032">
      <c r="H34032" s="50"/>
      <c r="I34032" s="50"/>
      <c r="O34032" s="36" t="s">
        <v>48</v>
      </c>
      <c r="R34032" s="36" t="s">
        <v>48</v>
      </c>
    </row>
    <row r="34033">
      <c r="H34033" s="50"/>
      <c r="I34033" s="50"/>
      <c r="O34033" s="36" t="s">
        <v>48</v>
      </c>
      <c r="R34033" s="36" t="s">
        <v>48</v>
      </c>
    </row>
    <row r="34034">
      <c r="H34034" s="50"/>
      <c r="I34034" s="50"/>
      <c r="O34034" s="36" t="s">
        <v>48</v>
      </c>
      <c r="R34034" s="36" t="s">
        <v>48</v>
      </c>
    </row>
    <row r="34035">
      <c r="H34035" s="50"/>
      <c r="I34035" s="50"/>
      <c r="O34035" s="36" t="s">
        <v>48</v>
      </c>
      <c r="R34035" s="36" t="s">
        <v>48</v>
      </c>
    </row>
    <row r="34036">
      <c r="H34036" s="50"/>
      <c r="I34036" s="50"/>
      <c r="O34036" s="36" t="s">
        <v>48</v>
      </c>
      <c r="R34036" s="36" t="s">
        <v>48</v>
      </c>
    </row>
    <row r="34037">
      <c r="H34037" s="50"/>
      <c r="I34037" s="50"/>
      <c r="O34037" s="36" t="s">
        <v>48</v>
      </c>
      <c r="R34037" s="36" t="s">
        <v>48</v>
      </c>
    </row>
    <row r="34038">
      <c r="H34038" s="50"/>
      <c r="I34038" s="50"/>
      <c r="O34038" s="36" t="s">
        <v>48</v>
      </c>
      <c r="R34038" s="36" t="s">
        <v>48</v>
      </c>
    </row>
    <row r="34039">
      <c r="H34039" s="50"/>
      <c r="I34039" s="50"/>
      <c r="O34039" s="36" t="s">
        <v>48</v>
      </c>
      <c r="R34039" s="36" t="s">
        <v>48</v>
      </c>
    </row>
    <row r="34040">
      <c r="H34040" s="50"/>
      <c r="I34040" s="50"/>
      <c r="O34040" s="36" t="s">
        <v>48</v>
      </c>
      <c r="R34040" s="36" t="s">
        <v>48</v>
      </c>
    </row>
    <row r="34041">
      <c r="H34041" s="50"/>
      <c r="I34041" s="50"/>
      <c r="O34041" s="36" t="s">
        <v>48</v>
      </c>
      <c r="R34041" s="36" t="s">
        <v>48</v>
      </c>
    </row>
    <row r="34042">
      <c r="H34042" s="50"/>
      <c r="I34042" s="50"/>
      <c r="O34042" s="36" t="s">
        <v>48</v>
      </c>
      <c r="R34042" s="36" t="s">
        <v>48</v>
      </c>
    </row>
    <row r="34043">
      <c r="H34043" s="50"/>
      <c r="I34043" s="50"/>
      <c r="O34043" s="36" t="s">
        <v>48</v>
      </c>
      <c r="R34043" s="36" t="s">
        <v>48</v>
      </c>
    </row>
    <row r="34044">
      <c r="H34044" s="50"/>
      <c r="I34044" s="50"/>
      <c r="O34044" s="36" t="s">
        <v>48</v>
      </c>
      <c r="R34044" s="36" t="s">
        <v>48</v>
      </c>
    </row>
    <row r="34045">
      <c r="H34045" s="50"/>
      <c r="I34045" s="50"/>
      <c r="O34045" s="36" t="s">
        <v>48</v>
      </c>
      <c r="R34045" s="36" t="s">
        <v>48</v>
      </c>
    </row>
    <row r="34046">
      <c r="H34046" s="50"/>
      <c r="I34046" s="50"/>
      <c r="O34046" s="36" t="s">
        <v>48</v>
      </c>
      <c r="R34046" s="36" t="s">
        <v>48</v>
      </c>
    </row>
    <row r="34047">
      <c r="H34047" s="50"/>
      <c r="I34047" s="50"/>
      <c r="O34047" s="36" t="s">
        <v>48</v>
      </c>
      <c r="R34047" s="36" t="s">
        <v>48</v>
      </c>
    </row>
    <row r="34048">
      <c r="H34048" s="50"/>
      <c r="I34048" s="50"/>
      <c r="O34048" s="36" t="s">
        <v>48</v>
      </c>
      <c r="R34048" s="36" t="s">
        <v>48</v>
      </c>
    </row>
    <row r="34049">
      <c r="H34049" s="50"/>
      <c r="I34049" s="50"/>
      <c r="O34049" s="36" t="s">
        <v>48</v>
      </c>
      <c r="R34049" s="36" t="s">
        <v>48</v>
      </c>
    </row>
    <row r="34050">
      <c r="H34050" s="50"/>
      <c r="I34050" s="50"/>
      <c r="O34050" s="36" t="s">
        <v>48</v>
      </c>
      <c r="R34050" s="36" t="s">
        <v>48</v>
      </c>
    </row>
    <row r="34051">
      <c r="H34051" s="50"/>
      <c r="I34051" s="50"/>
      <c r="O34051" s="36" t="s">
        <v>48</v>
      </c>
      <c r="R34051" s="36" t="s">
        <v>48</v>
      </c>
    </row>
    <row r="34052">
      <c r="H34052" s="50"/>
      <c r="I34052" s="50"/>
      <c r="O34052" s="36" t="s">
        <v>48</v>
      </c>
      <c r="R34052" s="36" t="s">
        <v>48</v>
      </c>
    </row>
    <row r="34053">
      <c r="H34053" s="50"/>
      <c r="I34053" s="50"/>
      <c r="O34053" s="36" t="s">
        <v>48</v>
      </c>
      <c r="R34053" s="36" t="s">
        <v>48</v>
      </c>
    </row>
    <row r="34054">
      <c r="H34054" s="50"/>
      <c r="I34054" s="50"/>
      <c r="O34054" s="36" t="s">
        <v>48</v>
      </c>
      <c r="R34054" s="36" t="s">
        <v>48</v>
      </c>
    </row>
    <row r="34055">
      <c r="H34055" s="50"/>
      <c r="I34055" s="50"/>
      <c r="O34055" s="36" t="s">
        <v>48</v>
      </c>
      <c r="R34055" s="36" t="s">
        <v>48</v>
      </c>
    </row>
    <row r="34056">
      <c r="H34056" s="50"/>
      <c r="I34056" s="50"/>
      <c r="O34056" s="36" t="s">
        <v>48</v>
      </c>
      <c r="R34056" s="36" t="s">
        <v>48</v>
      </c>
    </row>
    <row r="34057">
      <c r="H34057" s="50"/>
      <c r="I34057" s="50"/>
      <c r="O34057" s="36" t="s">
        <v>48</v>
      </c>
      <c r="R34057" s="36" t="s">
        <v>48</v>
      </c>
    </row>
    <row r="34058">
      <c r="H34058" s="50"/>
      <c r="I34058" s="50"/>
      <c r="O34058" s="36" t="s">
        <v>48</v>
      </c>
      <c r="R34058" s="36" t="s">
        <v>48</v>
      </c>
    </row>
    <row r="34059">
      <c r="H34059" s="50"/>
      <c r="I34059" s="50"/>
      <c r="O34059" s="36" t="s">
        <v>48</v>
      </c>
      <c r="R34059" s="36" t="s">
        <v>48</v>
      </c>
    </row>
    <row r="34060">
      <c r="H34060" s="50"/>
      <c r="I34060" s="50"/>
      <c r="O34060" s="36" t="s">
        <v>48</v>
      </c>
      <c r="R34060" s="36" t="s">
        <v>48</v>
      </c>
    </row>
    <row r="34061">
      <c r="H34061" s="50"/>
      <c r="I34061" s="50"/>
      <c r="O34061" s="36" t="s">
        <v>48</v>
      </c>
      <c r="R34061" s="36" t="s">
        <v>48</v>
      </c>
    </row>
    <row r="34062">
      <c r="H34062" s="50"/>
      <c r="I34062" s="50"/>
      <c r="O34062" s="36" t="s">
        <v>48</v>
      </c>
      <c r="R34062" s="36" t="s">
        <v>48</v>
      </c>
    </row>
    <row r="34063">
      <c r="H34063" s="50"/>
      <c r="I34063" s="50"/>
      <c r="O34063" s="36" t="s">
        <v>48</v>
      </c>
      <c r="R34063" s="36" t="s">
        <v>48</v>
      </c>
    </row>
    <row r="34064">
      <c r="H34064" s="50"/>
      <c r="I34064" s="50"/>
      <c r="O34064" s="36" t="s">
        <v>48</v>
      </c>
      <c r="R34064" s="36" t="s">
        <v>48</v>
      </c>
    </row>
    <row r="34065">
      <c r="H34065" s="50"/>
      <c r="I34065" s="50"/>
      <c r="O34065" s="36" t="s">
        <v>48</v>
      </c>
      <c r="R34065" s="36" t="s">
        <v>48</v>
      </c>
    </row>
    <row r="34066">
      <c r="H34066" s="50"/>
      <c r="I34066" s="50"/>
      <c r="O34066" s="36" t="s">
        <v>48</v>
      </c>
      <c r="R34066" s="36" t="s">
        <v>48</v>
      </c>
    </row>
    <row r="34067">
      <c r="H34067" s="50"/>
      <c r="I34067" s="50"/>
      <c r="O34067" s="36" t="s">
        <v>48</v>
      </c>
      <c r="R34067" s="36" t="s">
        <v>48</v>
      </c>
    </row>
    <row r="34068">
      <c r="H34068" s="50"/>
      <c r="I34068" s="50"/>
      <c r="O34068" s="36" t="s">
        <v>48</v>
      </c>
      <c r="R34068" s="36" t="s">
        <v>48</v>
      </c>
    </row>
    <row r="34069">
      <c r="H34069" s="50"/>
      <c r="I34069" s="50"/>
      <c r="O34069" s="36" t="s">
        <v>48</v>
      </c>
      <c r="R34069" s="36" t="s">
        <v>48</v>
      </c>
    </row>
    <row r="34070">
      <c r="H34070" s="50"/>
      <c r="I34070" s="50"/>
      <c r="O34070" s="36" t="s">
        <v>48</v>
      </c>
      <c r="R34070" s="36" t="s">
        <v>48</v>
      </c>
    </row>
    <row r="34071">
      <c r="H34071" s="50"/>
      <c r="I34071" s="50"/>
      <c r="O34071" s="36" t="s">
        <v>48</v>
      </c>
      <c r="R34071" s="36" t="s">
        <v>48</v>
      </c>
    </row>
    <row r="34072">
      <c r="H34072" s="50"/>
      <c r="I34072" s="50"/>
      <c r="O34072" s="36" t="s">
        <v>48</v>
      </c>
      <c r="R34072" s="36" t="s">
        <v>48</v>
      </c>
    </row>
    <row r="34073">
      <c r="H34073" s="50"/>
      <c r="I34073" s="50"/>
      <c r="O34073" s="36" t="s">
        <v>48</v>
      </c>
      <c r="R34073" s="36" t="s">
        <v>48</v>
      </c>
    </row>
    <row r="34074">
      <c r="H34074" s="50"/>
      <c r="I34074" s="50"/>
      <c r="O34074" s="36" t="s">
        <v>48</v>
      </c>
      <c r="R34074" s="36" t="s">
        <v>48</v>
      </c>
    </row>
    <row r="34075">
      <c r="H34075" s="50"/>
      <c r="I34075" s="50"/>
      <c r="O34075" s="36" t="s">
        <v>48</v>
      </c>
      <c r="R34075" s="36" t="s">
        <v>48</v>
      </c>
    </row>
    <row r="34076">
      <c r="H34076" s="50"/>
      <c r="I34076" s="50"/>
      <c r="O34076" s="36" t="s">
        <v>48</v>
      </c>
      <c r="R34076" s="36" t="s">
        <v>48</v>
      </c>
    </row>
    <row r="34077">
      <c r="H34077" s="50"/>
      <c r="I34077" s="50"/>
      <c r="O34077" s="36" t="s">
        <v>48</v>
      </c>
      <c r="R34077" s="36" t="s">
        <v>48</v>
      </c>
    </row>
    <row r="34078">
      <c r="H34078" s="50"/>
      <c r="I34078" s="50"/>
      <c r="O34078" s="36" t="s">
        <v>48</v>
      </c>
      <c r="R34078" s="36" t="s">
        <v>48</v>
      </c>
    </row>
    <row r="34079">
      <c r="H34079" s="50"/>
      <c r="I34079" s="50"/>
      <c r="O34079" s="36" t="s">
        <v>48</v>
      </c>
      <c r="R34079" s="36" t="s">
        <v>48</v>
      </c>
    </row>
    <row r="34080">
      <c r="H34080" s="50"/>
      <c r="I34080" s="50"/>
      <c r="O34080" s="36" t="s">
        <v>48</v>
      </c>
      <c r="R34080" s="36" t="s">
        <v>48</v>
      </c>
    </row>
    <row r="34081">
      <c r="H34081" s="50"/>
      <c r="I34081" s="50"/>
      <c r="O34081" s="36" t="s">
        <v>48</v>
      </c>
      <c r="R34081" s="36" t="s">
        <v>48</v>
      </c>
    </row>
    <row r="34082">
      <c r="H34082" s="50"/>
      <c r="I34082" s="50"/>
      <c r="O34082" s="36" t="s">
        <v>48</v>
      </c>
      <c r="R34082" s="36" t="s">
        <v>48</v>
      </c>
    </row>
    <row r="34083">
      <c r="H34083" s="50"/>
      <c r="I34083" s="50"/>
      <c r="O34083" s="36" t="s">
        <v>48</v>
      </c>
      <c r="R34083" s="36" t="s">
        <v>48</v>
      </c>
    </row>
    <row r="34084">
      <c r="H34084" s="50"/>
      <c r="I34084" s="50"/>
      <c r="O34084" s="36" t="s">
        <v>48</v>
      </c>
      <c r="R34084" s="36" t="s">
        <v>48</v>
      </c>
    </row>
    <row r="34085">
      <c r="H34085" s="50"/>
      <c r="I34085" s="50"/>
      <c r="O34085" s="36" t="s">
        <v>48</v>
      </c>
      <c r="R34085" s="36" t="s">
        <v>48</v>
      </c>
    </row>
    <row r="34086">
      <c r="H34086" s="50"/>
      <c r="I34086" s="50"/>
      <c r="O34086" s="36" t="s">
        <v>48</v>
      </c>
      <c r="R34086" s="36" t="s">
        <v>48</v>
      </c>
    </row>
    <row r="34087">
      <c r="H34087" s="50"/>
      <c r="I34087" s="50"/>
      <c r="O34087" s="36" t="s">
        <v>48</v>
      </c>
      <c r="R34087" s="36" t="s">
        <v>48</v>
      </c>
    </row>
    <row r="34088">
      <c r="H34088" s="50"/>
      <c r="I34088" s="50"/>
      <c r="O34088" s="36" t="s">
        <v>48</v>
      </c>
      <c r="R34088" s="36" t="s">
        <v>48</v>
      </c>
    </row>
    <row r="34089">
      <c r="H34089" s="50"/>
      <c r="I34089" s="50"/>
      <c r="O34089" s="36" t="s">
        <v>48</v>
      </c>
      <c r="R34089" s="36" t="s">
        <v>48</v>
      </c>
    </row>
    <row r="34090">
      <c r="H34090" s="50"/>
      <c r="I34090" s="50"/>
      <c r="O34090" s="36" t="s">
        <v>48</v>
      </c>
      <c r="R34090" s="36" t="s">
        <v>48</v>
      </c>
    </row>
    <row r="34091">
      <c r="H34091" s="50"/>
      <c r="I34091" s="50"/>
      <c r="O34091" s="36" t="s">
        <v>48</v>
      </c>
      <c r="R34091" s="36" t="s">
        <v>48</v>
      </c>
    </row>
    <row r="34092">
      <c r="H34092" s="50"/>
      <c r="I34092" s="50"/>
      <c r="O34092" s="36" t="s">
        <v>48</v>
      </c>
      <c r="R34092" s="36" t="s">
        <v>48</v>
      </c>
    </row>
    <row r="34093">
      <c r="H34093" s="50"/>
      <c r="I34093" s="50"/>
      <c r="O34093" s="36" t="s">
        <v>48</v>
      </c>
      <c r="R34093" s="36" t="s">
        <v>48</v>
      </c>
    </row>
    <row r="34094">
      <c r="H34094" s="50"/>
      <c r="I34094" s="50"/>
      <c r="O34094" s="36" t="s">
        <v>48</v>
      </c>
      <c r="R34094" s="36" t="s">
        <v>48</v>
      </c>
    </row>
    <row r="34095">
      <c r="H34095" s="50"/>
      <c r="I34095" s="50"/>
      <c r="O34095" s="36" t="s">
        <v>48</v>
      </c>
      <c r="R34095" s="36" t="s">
        <v>48</v>
      </c>
    </row>
    <row r="34096">
      <c r="H34096" s="50"/>
      <c r="I34096" s="50"/>
      <c r="O34096" s="36" t="s">
        <v>48</v>
      </c>
      <c r="R34096" s="36" t="s">
        <v>48</v>
      </c>
    </row>
    <row r="34097">
      <c r="H34097" s="50"/>
      <c r="I34097" s="50"/>
      <c r="O34097" s="36" t="s">
        <v>48</v>
      </c>
      <c r="R34097" s="36" t="s">
        <v>48</v>
      </c>
    </row>
    <row r="34098">
      <c r="H34098" s="50"/>
      <c r="I34098" s="50"/>
      <c r="O34098" s="36" t="s">
        <v>48</v>
      </c>
      <c r="R34098" s="36" t="s">
        <v>48</v>
      </c>
    </row>
    <row r="34099">
      <c r="H34099" s="50"/>
      <c r="I34099" s="50"/>
      <c r="O34099" s="36" t="s">
        <v>48</v>
      </c>
      <c r="R34099" s="36" t="s">
        <v>48</v>
      </c>
    </row>
    <row r="34100">
      <c r="H34100" s="50"/>
      <c r="I34100" s="50"/>
      <c r="O34100" s="36" t="s">
        <v>48</v>
      </c>
      <c r="R34100" s="36" t="s">
        <v>48</v>
      </c>
    </row>
    <row r="34101">
      <c r="H34101" s="50"/>
      <c r="I34101" s="50"/>
      <c r="O34101" s="36" t="s">
        <v>48</v>
      </c>
      <c r="R34101" s="36" t="s">
        <v>48</v>
      </c>
    </row>
    <row r="34102">
      <c r="H34102" s="50"/>
      <c r="I34102" s="50"/>
      <c r="O34102" s="36" t="s">
        <v>48</v>
      </c>
      <c r="R34102" s="36" t="s">
        <v>48</v>
      </c>
    </row>
    <row r="34103">
      <c r="H34103" s="50"/>
      <c r="I34103" s="50"/>
      <c r="O34103" s="36" t="s">
        <v>48</v>
      </c>
      <c r="R34103" s="36" t="s">
        <v>48</v>
      </c>
    </row>
    <row r="34104">
      <c r="H34104" s="50"/>
      <c r="I34104" s="50"/>
      <c r="O34104" s="36" t="s">
        <v>48</v>
      </c>
      <c r="R34104" s="36" t="s">
        <v>48</v>
      </c>
    </row>
    <row r="34105">
      <c r="H34105" s="50"/>
      <c r="I34105" s="50"/>
      <c r="O34105" s="36" t="s">
        <v>48</v>
      </c>
      <c r="R34105" s="36" t="s">
        <v>48</v>
      </c>
    </row>
    <row r="34106">
      <c r="H34106" s="50"/>
      <c r="I34106" s="50"/>
      <c r="O34106" s="36" t="s">
        <v>48</v>
      </c>
      <c r="R34106" s="36" t="s">
        <v>48</v>
      </c>
    </row>
    <row r="34107">
      <c r="H34107" s="50"/>
      <c r="I34107" s="50"/>
      <c r="O34107" s="36" t="s">
        <v>48</v>
      </c>
      <c r="R34107" s="36" t="s">
        <v>48</v>
      </c>
    </row>
    <row r="34108">
      <c r="H34108" s="50"/>
      <c r="I34108" s="50"/>
      <c r="O34108" s="36" t="s">
        <v>48</v>
      </c>
      <c r="R34108" s="36" t="s">
        <v>48</v>
      </c>
    </row>
    <row r="34109">
      <c r="H34109" s="50"/>
      <c r="I34109" s="50"/>
      <c r="O34109" s="36" t="s">
        <v>48</v>
      </c>
      <c r="R34109" s="36" t="s">
        <v>48</v>
      </c>
    </row>
    <row r="34110">
      <c r="H34110" s="50"/>
      <c r="I34110" s="50"/>
      <c r="O34110" s="36" t="s">
        <v>48</v>
      </c>
      <c r="R34110" s="36" t="s">
        <v>48</v>
      </c>
    </row>
    <row r="34111">
      <c r="H34111" s="50"/>
      <c r="I34111" s="50"/>
      <c r="O34111" s="36" t="s">
        <v>48</v>
      </c>
      <c r="R34111" s="36" t="s">
        <v>48</v>
      </c>
    </row>
    <row r="34112">
      <c r="H34112" s="50"/>
      <c r="I34112" s="50"/>
      <c r="O34112" s="36" t="s">
        <v>48</v>
      </c>
      <c r="R34112" s="36" t="s">
        <v>48</v>
      </c>
    </row>
    <row r="34113">
      <c r="H34113" s="50"/>
      <c r="I34113" s="50"/>
      <c r="O34113" s="36" t="s">
        <v>48</v>
      </c>
      <c r="R34113" s="36" t="s">
        <v>48</v>
      </c>
    </row>
    <row r="34114">
      <c r="H34114" s="50"/>
      <c r="I34114" s="50"/>
      <c r="O34114" s="36" t="s">
        <v>48</v>
      </c>
      <c r="R34114" s="36" t="s">
        <v>48</v>
      </c>
    </row>
    <row r="34115">
      <c r="H34115" s="50"/>
      <c r="I34115" s="50"/>
      <c r="O34115" s="36" t="s">
        <v>48</v>
      </c>
      <c r="R34115" s="36" t="s">
        <v>48</v>
      </c>
    </row>
    <row r="34116">
      <c r="H34116" s="50"/>
      <c r="I34116" s="50"/>
      <c r="O34116" s="36" t="s">
        <v>48</v>
      </c>
      <c r="R34116" s="36" t="s">
        <v>48</v>
      </c>
    </row>
    <row r="34117">
      <c r="H34117" s="50"/>
      <c r="I34117" s="50"/>
      <c r="O34117" s="36" t="s">
        <v>48</v>
      </c>
      <c r="R34117" s="36" t="s">
        <v>48</v>
      </c>
    </row>
    <row r="34118">
      <c r="H34118" s="50"/>
      <c r="I34118" s="50"/>
      <c r="O34118" s="36" t="s">
        <v>48</v>
      </c>
      <c r="R34118" s="36" t="s">
        <v>48</v>
      </c>
    </row>
    <row r="34119">
      <c r="H34119" s="50"/>
      <c r="I34119" s="50"/>
      <c r="O34119" s="36" t="s">
        <v>48</v>
      </c>
      <c r="R34119" s="36" t="s">
        <v>48</v>
      </c>
    </row>
    <row r="34120">
      <c r="H34120" s="50"/>
      <c r="I34120" s="50"/>
      <c r="O34120" s="36" t="s">
        <v>48</v>
      </c>
      <c r="R34120" s="36" t="s">
        <v>48</v>
      </c>
    </row>
    <row r="34121">
      <c r="H34121" s="50"/>
      <c r="I34121" s="50"/>
      <c r="O34121" s="36" t="s">
        <v>48</v>
      </c>
      <c r="R34121" s="36" t="s">
        <v>48</v>
      </c>
    </row>
    <row r="34122">
      <c r="H34122" s="50"/>
      <c r="I34122" s="50"/>
      <c r="O34122" s="36" t="s">
        <v>48</v>
      </c>
      <c r="R34122" s="36" t="s">
        <v>48</v>
      </c>
    </row>
    <row r="34123">
      <c r="H34123" s="50"/>
      <c r="I34123" s="50"/>
      <c r="O34123" s="36" t="s">
        <v>48</v>
      </c>
      <c r="R34123" s="36" t="s">
        <v>48</v>
      </c>
    </row>
    <row r="34124">
      <c r="H34124" s="50"/>
      <c r="I34124" s="50"/>
      <c r="O34124" s="36" t="s">
        <v>48</v>
      </c>
      <c r="R34124" s="36" t="s">
        <v>48</v>
      </c>
    </row>
    <row r="34125">
      <c r="H34125" s="50"/>
      <c r="I34125" s="50"/>
      <c r="O34125" s="36" t="s">
        <v>48</v>
      </c>
      <c r="R34125" s="36" t="s">
        <v>48</v>
      </c>
    </row>
    <row r="34126">
      <c r="H34126" s="50"/>
      <c r="I34126" s="50"/>
      <c r="O34126" s="36" t="s">
        <v>48</v>
      </c>
      <c r="R34126" s="36" t="s">
        <v>48</v>
      </c>
    </row>
    <row r="34127">
      <c r="H34127" s="50"/>
      <c r="I34127" s="50"/>
      <c r="O34127" s="36" t="s">
        <v>48</v>
      </c>
      <c r="R34127" s="36" t="s">
        <v>48</v>
      </c>
    </row>
    <row r="34128">
      <c r="H34128" s="50"/>
      <c r="I34128" s="50"/>
      <c r="O34128" s="36" t="s">
        <v>48</v>
      </c>
      <c r="R34128" s="36" t="s">
        <v>48</v>
      </c>
    </row>
    <row r="34129">
      <c r="H34129" s="50"/>
      <c r="I34129" s="50"/>
      <c r="O34129" s="36" t="s">
        <v>48</v>
      </c>
      <c r="R34129" s="36" t="s">
        <v>48</v>
      </c>
    </row>
    <row r="34130">
      <c r="H34130" s="50"/>
      <c r="I34130" s="50"/>
      <c r="O34130" s="36" t="s">
        <v>48</v>
      </c>
      <c r="R34130" s="36" t="s">
        <v>48</v>
      </c>
    </row>
    <row r="34131">
      <c r="H34131" s="50"/>
      <c r="I34131" s="50"/>
      <c r="O34131" s="36" t="s">
        <v>48</v>
      </c>
      <c r="R34131" s="36" t="s">
        <v>48</v>
      </c>
    </row>
    <row r="34132">
      <c r="H34132" s="50"/>
      <c r="I34132" s="50"/>
      <c r="O34132" s="36" t="s">
        <v>48</v>
      </c>
      <c r="R34132" s="36" t="s">
        <v>48</v>
      </c>
    </row>
    <row r="34133">
      <c r="H34133" s="50"/>
      <c r="I34133" s="50"/>
      <c r="O34133" s="36" t="s">
        <v>48</v>
      </c>
      <c r="R34133" s="36" t="s">
        <v>48</v>
      </c>
    </row>
    <row r="34134">
      <c r="H34134" s="50"/>
      <c r="I34134" s="50"/>
      <c r="O34134" s="36" t="s">
        <v>48</v>
      </c>
      <c r="R34134" s="36" t="s">
        <v>48</v>
      </c>
    </row>
    <row r="34135">
      <c r="H34135" s="50"/>
      <c r="I34135" s="50"/>
      <c r="O34135" s="36" t="s">
        <v>48</v>
      </c>
      <c r="R34135" s="36" t="s">
        <v>48</v>
      </c>
    </row>
    <row r="34136">
      <c r="H34136" s="50"/>
      <c r="I34136" s="50"/>
      <c r="O34136" s="36" t="s">
        <v>48</v>
      </c>
      <c r="R34136" s="36" t="s">
        <v>48</v>
      </c>
    </row>
    <row r="34137">
      <c r="H34137" s="50"/>
      <c r="I34137" s="50"/>
      <c r="O34137" s="36" t="s">
        <v>48</v>
      </c>
      <c r="R34137" s="36" t="s">
        <v>48</v>
      </c>
    </row>
    <row r="34138">
      <c r="H34138" s="50"/>
      <c r="I34138" s="50"/>
      <c r="O34138" s="36" t="s">
        <v>48</v>
      </c>
      <c r="R34138" s="36" t="s">
        <v>48</v>
      </c>
    </row>
    <row r="34139">
      <c r="H34139" s="50"/>
      <c r="I34139" s="50"/>
      <c r="O34139" s="36" t="s">
        <v>48</v>
      </c>
      <c r="R34139" s="36" t="s">
        <v>48</v>
      </c>
    </row>
    <row r="34140">
      <c r="H34140" s="50"/>
      <c r="I34140" s="50"/>
      <c r="O34140" s="36" t="s">
        <v>48</v>
      </c>
      <c r="R34140" s="36" t="s">
        <v>48</v>
      </c>
    </row>
    <row r="34141">
      <c r="H34141" s="50"/>
      <c r="I34141" s="50"/>
      <c r="O34141" s="36" t="s">
        <v>48</v>
      </c>
      <c r="R34141" s="36" t="s">
        <v>48</v>
      </c>
    </row>
    <row r="34142">
      <c r="H34142" s="50"/>
      <c r="I34142" s="50"/>
      <c r="O34142" s="36" t="s">
        <v>48</v>
      </c>
      <c r="R34142" s="36" t="s">
        <v>48</v>
      </c>
    </row>
    <row r="34143">
      <c r="H34143" s="50"/>
      <c r="I34143" s="50"/>
      <c r="O34143" s="36" t="s">
        <v>48</v>
      </c>
      <c r="R34143" s="36" t="s">
        <v>48</v>
      </c>
    </row>
    <row r="34144">
      <c r="H34144" s="50"/>
      <c r="I34144" s="50"/>
      <c r="O34144" s="36" t="s">
        <v>48</v>
      </c>
      <c r="R34144" s="36" t="s">
        <v>48</v>
      </c>
    </row>
    <row r="34145">
      <c r="H34145" s="50"/>
      <c r="I34145" s="50"/>
      <c r="O34145" s="36" t="s">
        <v>48</v>
      </c>
      <c r="R34145" s="36" t="s">
        <v>48</v>
      </c>
    </row>
    <row r="34146">
      <c r="H34146" s="50"/>
      <c r="I34146" s="50"/>
      <c r="O34146" s="36" t="s">
        <v>48</v>
      </c>
      <c r="R34146" s="36" t="s">
        <v>48</v>
      </c>
    </row>
    <row r="34147">
      <c r="H34147" s="50"/>
      <c r="I34147" s="50"/>
      <c r="O34147" s="36" t="s">
        <v>48</v>
      </c>
      <c r="R34147" s="36" t="s">
        <v>48</v>
      </c>
    </row>
    <row r="34148">
      <c r="H34148" s="50"/>
      <c r="I34148" s="50"/>
      <c r="O34148" s="36" t="s">
        <v>48</v>
      </c>
      <c r="R34148" s="36" t="s">
        <v>48</v>
      </c>
    </row>
    <row r="34149">
      <c r="H34149" s="50"/>
      <c r="I34149" s="50"/>
      <c r="O34149" s="36" t="s">
        <v>48</v>
      </c>
      <c r="R34149" s="36" t="s">
        <v>48</v>
      </c>
    </row>
    <row r="34150">
      <c r="H34150" s="50"/>
      <c r="I34150" s="50"/>
      <c r="O34150" s="36" t="s">
        <v>48</v>
      </c>
      <c r="R34150" s="36" t="s">
        <v>48</v>
      </c>
    </row>
    <row r="34151">
      <c r="H34151" s="50"/>
      <c r="I34151" s="50"/>
      <c r="O34151" s="36" t="s">
        <v>48</v>
      </c>
      <c r="R34151" s="36" t="s">
        <v>48</v>
      </c>
    </row>
    <row r="34152">
      <c r="H34152" s="50"/>
      <c r="I34152" s="50"/>
      <c r="O34152" s="36" t="s">
        <v>48</v>
      </c>
      <c r="R34152" s="36" t="s">
        <v>48</v>
      </c>
    </row>
    <row r="34153">
      <c r="H34153" s="50"/>
      <c r="I34153" s="50"/>
      <c r="O34153" s="36" t="s">
        <v>48</v>
      </c>
      <c r="R34153" s="36" t="s">
        <v>48</v>
      </c>
    </row>
    <row r="34154">
      <c r="H34154" s="50"/>
      <c r="I34154" s="50"/>
      <c r="O34154" s="36" t="s">
        <v>48</v>
      </c>
      <c r="R34154" s="36" t="s">
        <v>48</v>
      </c>
    </row>
    <row r="34155">
      <c r="H34155" s="50"/>
      <c r="I34155" s="50"/>
      <c r="O34155" s="36" t="s">
        <v>48</v>
      </c>
      <c r="R34155" s="36" t="s">
        <v>48</v>
      </c>
    </row>
    <row r="34156">
      <c r="H34156" s="50"/>
      <c r="I34156" s="50"/>
      <c r="O34156" s="36" t="s">
        <v>48</v>
      </c>
      <c r="R34156" s="36" t="s">
        <v>48</v>
      </c>
    </row>
    <row r="34157">
      <c r="H34157" s="50"/>
      <c r="I34157" s="50"/>
      <c r="O34157" s="36" t="s">
        <v>48</v>
      </c>
      <c r="R34157" s="36" t="s">
        <v>48</v>
      </c>
    </row>
    <row r="34158">
      <c r="H34158" s="50"/>
      <c r="I34158" s="50"/>
      <c r="O34158" s="36" t="s">
        <v>48</v>
      </c>
      <c r="R34158" s="36" t="s">
        <v>48</v>
      </c>
    </row>
    <row r="34159">
      <c r="H34159" s="50"/>
      <c r="I34159" s="50"/>
      <c r="O34159" s="36" t="s">
        <v>48</v>
      </c>
      <c r="R34159" s="36" t="s">
        <v>48</v>
      </c>
    </row>
    <row r="34160">
      <c r="H34160" s="50"/>
      <c r="I34160" s="50"/>
      <c r="O34160" s="36" t="s">
        <v>48</v>
      </c>
      <c r="R34160" s="36" t="s">
        <v>48</v>
      </c>
    </row>
    <row r="34161">
      <c r="H34161" s="50"/>
      <c r="I34161" s="50"/>
      <c r="O34161" s="36" t="s">
        <v>48</v>
      </c>
      <c r="R34161" s="36" t="s">
        <v>48</v>
      </c>
    </row>
    <row r="34162">
      <c r="H34162" s="50"/>
      <c r="I34162" s="50"/>
      <c r="O34162" s="36" t="s">
        <v>48</v>
      </c>
      <c r="R34162" s="36" t="s">
        <v>48</v>
      </c>
    </row>
    <row r="34163">
      <c r="H34163" s="50"/>
      <c r="I34163" s="50"/>
      <c r="O34163" s="36" t="s">
        <v>48</v>
      </c>
      <c r="R34163" s="36" t="s">
        <v>48</v>
      </c>
    </row>
    <row r="34164">
      <c r="H34164" s="50"/>
      <c r="I34164" s="50"/>
      <c r="O34164" s="36" t="s">
        <v>48</v>
      </c>
      <c r="R34164" s="36" t="s">
        <v>48</v>
      </c>
    </row>
    <row r="34165">
      <c r="H34165" s="50"/>
      <c r="I34165" s="50"/>
      <c r="O34165" s="36" t="s">
        <v>48</v>
      </c>
      <c r="R34165" s="36" t="s">
        <v>48</v>
      </c>
    </row>
    <row r="34166">
      <c r="H34166" s="50"/>
      <c r="I34166" s="50"/>
      <c r="O34166" s="36" t="s">
        <v>48</v>
      </c>
      <c r="R34166" s="36" t="s">
        <v>48</v>
      </c>
    </row>
    <row r="34167">
      <c r="H34167" s="50"/>
      <c r="I34167" s="50"/>
      <c r="O34167" s="36" t="s">
        <v>48</v>
      </c>
      <c r="R34167" s="36" t="s">
        <v>48</v>
      </c>
    </row>
    <row r="34168">
      <c r="H34168" s="50"/>
      <c r="I34168" s="50"/>
      <c r="O34168" s="36" t="s">
        <v>48</v>
      </c>
      <c r="R34168" s="36" t="s">
        <v>48</v>
      </c>
    </row>
    <row r="34169">
      <c r="H34169" s="50"/>
      <c r="I34169" s="50"/>
      <c r="O34169" s="36" t="s">
        <v>48</v>
      </c>
      <c r="R34169" s="36" t="s">
        <v>48</v>
      </c>
    </row>
    <row r="34170">
      <c r="H34170" s="50"/>
      <c r="I34170" s="50"/>
      <c r="O34170" s="36" t="s">
        <v>48</v>
      </c>
      <c r="R34170" s="36" t="s">
        <v>48</v>
      </c>
    </row>
    <row r="34171">
      <c r="H34171" s="50"/>
      <c r="I34171" s="50"/>
      <c r="O34171" s="36" t="s">
        <v>48</v>
      </c>
      <c r="R34171" s="36" t="s">
        <v>48</v>
      </c>
    </row>
    <row r="34172">
      <c r="H34172" s="50"/>
      <c r="I34172" s="50"/>
      <c r="O34172" s="36" t="s">
        <v>48</v>
      </c>
      <c r="R34172" s="36" t="s">
        <v>48</v>
      </c>
    </row>
    <row r="34173">
      <c r="H34173" s="50"/>
      <c r="I34173" s="50"/>
      <c r="O34173" s="36" t="s">
        <v>48</v>
      </c>
      <c r="R34173" s="36" t="s">
        <v>48</v>
      </c>
    </row>
    <row r="34174">
      <c r="H34174" s="50"/>
      <c r="I34174" s="50"/>
      <c r="O34174" s="36" t="s">
        <v>48</v>
      </c>
      <c r="R34174" s="36" t="s">
        <v>48</v>
      </c>
    </row>
    <row r="34175">
      <c r="H34175" s="50"/>
      <c r="I34175" s="50"/>
      <c r="O34175" s="36" t="s">
        <v>48</v>
      </c>
      <c r="R34175" s="36" t="s">
        <v>48</v>
      </c>
    </row>
    <row r="34176">
      <c r="H34176" s="50"/>
      <c r="I34176" s="50"/>
      <c r="O34176" s="36" t="s">
        <v>48</v>
      </c>
      <c r="R34176" s="36" t="s">
        <v>48</v>
      </c>
    </row>
    <row r="34177">
      <c r="H34177" s="50"/>
      <c r="I34177" s="50"/>
      <c r="O34177" s="36" t="s">
        <v>48</v>
      </c>
      <c r="R34177" s="36" t="s">
        <v>48</v>
      </c>
    </row>
    <row r="34178">
      <c r="H34178" s="50"/>
      <c r="I34178" s="50"/>
      <c r="O34178" s="36" t="s">
        <v>48</v>
      </c>
      <c r="R34178" s="36" t="s">
        <v>48</v>
      </c>
    </row>
    <row r="34179">
      <c r="H34179" s="50"/>
      <c r="I34179" s="50"/>
      <c r="O34179" s="36" t="s">
        <v>48</v>
      </c>
      <c r="R34179" s="36" t="s">
        <v>48</v>
      </c>
    </row>
    <row r="34180">
      <c r="H34180" s="50"/>
      <c r="I34180" s="50"/>
      <c r="O34180" s="36" t="s">
        <v>48</v>
      </c>
      <c r="R34180" s="36" t="s">
        <v>48</v>
      </c>
    </row>
    <row r="34181">
      <c r="H34181" s="50"/>
      <c r="I34181" s="50"/>
      <c r="O34181" s="36" t="s">
        <v>48</v>
      </c>
      <c r="R34181" s="36" t="s">
        <v>48</v>
      </c>
    </row>
    <row r="34182">
      <c r="H34182" s="50"/>
      <c r="I34182" s="50"/>
      <c r="O34182" s="36" t="s">
        <v>48</v>
      </c>
      <c r="R34182" s="36" t="s">
        <v>48</v>
      </c>
    </row>
    <row r="34183">
      <c r="H34183" s="50"/>
      <c r="I34183" s="50"/>
      <c r="O34183" s="36" t="s">
        <v>48</v>
      </c>
      <c r="R34183" s="36" t="s">
        <v>48</v>
      </c>
    </row>
    <row r="34184">
      <c r="H34184" s="50"/>
      <c r="I34184" s="50"/>
      <c r="O34184" s="36" t="s">
        <v>48</v>
      </c>
      <c r="R34184" s="36" t="s">
        <v>48</v>
      </c>
    </row>
    <row r="34185">
      <c r="H34185" s="50"/>
      <c r="I34185" s="50"/>
      <c r="O34185" s="36" t="s">
        <v>48</v>
      </c>
      <c r="R34185" s="36" t="s">
        <v>48</v>
      </c>
    </row>
    <row r="34186">
      <c r="H34186" s="50"/>
      <c r="I34186" s="50"/>
      <c r="O34186" s="36" t="s">
        <v>48</v>
      </c>
      <c r="R34186" s="36" t="s">
        <v>48</v>
      </c>
    </row>
    <row r="34187">
      <c r="H34187" s="50"/>
      <c r="I34187" s="50"/>
      <c r="O34187" s="36" t="s">
        <v>48</v>
      </c>
      <c r="R34187" s="36" t="s">
        <v>48</v>
      </c>
    </row>
    <row r="34188">
      <c r="H34188" s="50"/>
      <c r="I34188" s="50"/>
      <c r="O34188" s="36" t="s">
        <v>48</v>
      </c>
      <c r="R34188" s="36" t="s">
        <v>48</v>
      </c>
    </row>
    <row r="34189">
      <c r="H34189" s="50"/>
      <c r="I34189" s="50"/>
      <c r="O34189" s="36" t="s">
        <v>48</v>
      </c>
      <c r="R34189" s="36" t="s">
        <v>48</v>
      </c>
    </row>
    <row r="34190">
      <c r="H34190" s="50"/>
      <c r="I34190" s="50"/>
      <c r="O34190" s="36" t="s">
        <v>48</v>
      </c>
      <c r="R34190" s="36" t="s">
        <v>48</v>
      </c>
    </row>
    <row r="34191">
      <c r="H34191" s="50"/>
      <c r="I34191" s="50"/>
      <c r="O34191" s="36" t="s">
        <v>48</v>
      </c>
      <c r="R34191" s="36" t="s">
        <v>48</v>
      </c>
    </row>
    <row r="34192">
      <c r="H34192" s="50"/>
      <c r="I34192" s="50"/>
      <c r="O34192" s="36" t="s">
        <v>48</v>
      </c>
      <c r="R34192" s="36" t="s">
        <v>48</v>
      </c>
    </row>
    <row r="34193">
      <c r="H34193" s="50"/>
      <c r="I34193" s="50"/>
      <c r="O34193" s="36" t="s">
        <v>48</v>
      </c>
      <c r="R34193" s="36" t="s">
        <v>48</v>
      </c>
    </row>
    <row r="34194">
      <c r="H34194" s="50"/>
      <c r="I34194" s="50"/>
      <c r="O34194" s="36" t="s">
        <v>48</v>
      </c>
      <c r="R34194" s="36" t="s">
        <v>48</v>
      </c>
    </row>
    <row r="34195">
      <c r="H34195" s="50"/>
      <c r="I34195" s="50"/>
      <c r="O34195" s="36" t="s">
        <v>48</v>
      </c>
      <c r="R34195" s="36" t="s">
        <v>48</v>
      </c>
    </row>
    <row r="34196">
      <c r="H34196" s="50"/>
      <c r="I34196" s="50"/>
      <c r="O34196" s="36" t="s">
        <v>48</v>
      </c>
      <c r="R34196" s="36" t="s">
        <v>48</v>
      </c>
    </row>
    <row r="34197">
      <c r="H34197" s="50"/>
      <c r="I34197" s="50"/>
      <c r="O34197" s="36" t="s">
        <v>48</v>
      </c>
      <c r="R34197" s="36" t="s">
        <v>48</v>
      </c>
    </row>
    <row r="34198">
      <c r="H34198" s="50"/>
      <c r="I34198" s="50"/>
      <c r="O34198" s="36" t="s">
        <v>48</v>
      </c>
      <c r="R34198" s="36" t="s">
        <v>48</v>
      </c>
    </row>
    <row r="34199">
      <c r="H34199" s="50"/>
      <c r="I34199" s="50"/>
      <c r="O34199" s="36" t="s">
        <v>48</v>
      </c>
      <c r="R34199" s="36" t="s">
        <v>48</v>
      </c>
    </row>
    <row r="34200">
      <c r="H34200" s="50"/>
      <c r="I34200" s="50"/>
      <c r="O34200" s="36" t="s">
        <v>48</v>
      </c>
      <c r="R34200" s="36" t="s">
        <v>48</v>
      </c>
    </row>
    <row r="34201">
      <c r="H34201" s="50"/>
      <c r="I34201" s="50"/>
      <c r="O34201" s="36" t="s">
        <v>48</v>
      </c>
      <c r="R34201" s="36" t="s">
        <v>48</v>
      </c>
    </row>
    <row r="34202">
      <c r="H34202" s="50"/>
      <c r="I34202" s="50"/>
      <c r="O34202" s="36" t="s">
        <v>48</v>
      </c>
      <c r="R34202" s="36" t="s">
        <v>48</v>
      </c>
    </row>
    <row r="34203">
      <c r="H34203" s="50"/>
      <c r="I34203" s="50"/>
      <c r="O34203" s="36" t="s">
        <v>48</v>
      </c>
      <c r="R34203" s="36" t="s">
        <v>48</v>
      </c>
    </row>
    <row r="34204">
      <c r="H34204" s="50"/>
      <c r="I34204" s="50"/>
      <c r="O34204" s="36" t="s">
        <v>48</v>
      </c>
      <c r="R34204" s="36" t="s">
        <v>48</v>
      </c>
    </row>
    <row r="34205">
      <c r="H34205" s="50"/>
      <c r="I34205" s="50"/>
      <c r="O34205" s="36" t="s">
        <v>48</v>
      </c>
      <c r="R34205" s="36" t="s">
        <v>48</v>
      </c>
    </row>
    <row r="34206">
      <c r="H34206" s="50"/>
      <c r="I34206" s="50"/>
      <c r="O34206" s="36" t="s">
        <v>48</v>
      </c>
      <c r="R34206" s="36" t="s">
        <v>48</v>
      </c>
    </row>
    <row r="34207">
      <c r="H34207" s="50"/>
      <c r="I34207" s="50"/>
      <c r="O34207" s="36" t="s">
        <v>48</v>
      </c>
      <c r="R34207" s="36" t="s">
        <v>48</v>
      </c>
    </row>
    <row r="34208">
      <c r="H34208" s="50"/>
      <c r="I34208" s="50"/>
      <c r="O34208" s="36" t="s">
        <v>48</v>
      </c>
      <c r="R34208" s="36" t="s">
        <v>48</v>
      </c>
    </row>
    <row r="34209">
      <c r="H34209" s="50"/>
      <c r="I34209" s="50"/>
      <c r="O34209" s="36" t="s">
        <v>48</v>
      </c>
      <c r="R34209" s="36" t="s">
        <v>48</v>
      </c>
    </row>
    <row r="34210">
      <c r="H34210" s="50"/>
      <c r="I34210" s="50"/>
      <c r="O34210" s="36" t="s">
        <v>48</v>
      </c>
      <c r="R34210" s="36" t="s">
        <v>48</v>
      </c>
    </row>
    <row r="34211">
      <c r="H34211" s="50"/>
      <c r="I34211" s="50"/>
      <c r="O34211" s="36" t="s">
        <v>48</v>
      </c>
      <c r="R34211" s="36" t="s">
        <v>48</v>
      </c>
    </row>
    <row r="34212">
      <c r="H34212" s="50"/>
      <c r="I34212" s="50"/>
      <c r="O34212" s="36" t="s">
        <v>48</v>
      </c>
      <c r="R34212" s="36" t="s">
        <v>48</v>
      </c>
    </row>
    <row r="34213">
      <c r="H34213" s="50"/>
      <c r="I34213" s="50"/>
      <c r="O34213" s="36" t="s">
        <v>48</v>
      </c>
      <c r="R34213" s="36" t="s">
        <v>48</v>
      </c>
    </row>
    <row r="34214">
      <c r="H34214" s="50"/>
      <c r="I34214" s="50"/>
      <c r="O34214" s="36" t="s">
        <v>48</v>
      </c>
      <c r="R34214" s="36" t="s">
        <v>48</v>
      </c>
    </row>
    <row r="34215">
      <c r="H34215" s="50"/>
      <c r="I34215" s="50"/>
      <c r="O34215" s="36" t="s">
        <v>48</v>
      </c>
      <c r="R34215" s="36" t="s">
        <v>48</v>
      </c>
    </row>
    <row r="34216">
      <c r="H34216" s="50"/>
      <c r="I34216" s="50"/>
      <c r="O34216" s="36" t="s">
        <v>48</v>
      </c>
      <c r="R34216" s="36" t="s">
        <v>48</v>
      </c>
    </row>
    <row r="34217">
      <c r="H34217" s="50"/>
      <c r="I34217" s="50"/>
      <c r="O34217" s="36" t="s">
        <v>48</v>
      </c>
      <c r="R34217" s="36" t="s">
        <v>48</v>
      </c>
    </row>
    <row r="34218">
      <c r="H34218" s="50"/>
      <c r="I34218" s="50"/>
      <c r="O34218" s="36" t="s">
        <v>48</v>
      </c>
      <c r="R34218" s="36" t="s">
        <v>48</v>
      </c>
    </row>
    <row r="34219">
      <c r="H34219" s="50"/>
      <c r="I34219" s="50"/>
      <c r="O34219" s="36" t="s">
        <v>48</v>
      </c>
      <c r="R34219" s="36" t="s">
        <v>48</v>
      </c>
    </row>
    <row r="34220">
      <c r="H34220" s="50"/>
      <c r="I34220" s="50"/>
      <c r="O34220" s="36" t="s">
        <v>48</v>
      </c>
      <c r="R34220" s="36" t="s">
        <v>48</v>
      </c>
    </row>
    <row r="34221">
      <c r="H34221" s="50"/>
      <c r="I34221" s="50"/>
      <c r="O34221" s="36" t="s">
        <v>48</v>
      </c>
      <c r="R34221" s="36" t="s">
        <v>48</v>
      </c>
    </row>
    <row r="34222">
      <c r="H34222" s="50"/>
      <c r="I34222" s="50"/>
      <c r="O34222" s="36" t="s">
        <v>48</v>
      </c>
      <c r="R34222" s="36" t="s">
        <v>48</v>
      </c>
    </row>
    <row r="34223">
      <c r="H34223" s="50"/>
      <c r="I34223" s="50"/>
      <c r="O34223" s="36" t="s">
        <v>48</v>
      </c>
      <c r="R34223" s="36" t="s">
        <v>48</v>
      </c>
    </row>
    <row r="34224">
      <c r="H34224" s="50"/>
      <c r="I34224" s="50"/>
      <c r="O34224" s="36" t="s">
        <v>48</v>
      </c>
      <c r="R34224" s="36" t="s">
        <v>48</v>
      </c>
    </row>
    <row r="34225">
      <c r="H34225" s="50"/>
      <c r="I34225" s="50"/>
      <c r="O34225" s="36" t="s">
        <v>48</v>
      </c>
      <c r="R34225" s="36" t="s">
        <v>48</v>
      </c>
    </row>
    <row r="34226">
      <c r="H34226" s="50"/>
      <c r="I34226" s="50"/>
      <c r="O34226" s="36" t="s">
        <v>48</v>
      </c>
      <c r="R34226" s="36" t="s">
        <v>48</v>
      </c>
    </row>
    <row r="34227">
      <c r="H34227" s="50"/>
      <c r="I34227" s="50"/>
      <c r="O34227" s="36" t="s">
        <v>48</v>
      </c>
      <c r="R34227" s="36" t="s">
        <v>48</v>
      </c>
    </row>
    <row r="34228">
      <c r="H34228" s="50"/>
      <c r="I34228" s="50"/>
      <c r="O34228" s="36" t="s">
        <v>48</v>
      </c>
      <c r="R34228" s="36" t="s">
        <v>48</v>
      </c>
    </row>
    <row r="34229">
      <c r="H34229" s="50"/>
      <c r="I34229" s="50"/>
      <c r="O34229" s="36" t="s">
        <v>48</v>
      </c>
      <c r="R34229" s="36" t="s">
        <v>48</v>
      </c>
    </row>
    <row r="34230">
      <c r="H34230" s="50"/>
      <c r="I34230" s="50"/>
      <c r="O34230" s="36" t="s">
        <v>48</v>
      </c>
      <c r="R34230" s="36" t="s">
        <v>48</v>
      </c>
    </row>
    <row r="34231">
      <c r="H34231" s="50"/>
      <c r="I34231" s="50"/>
      <c r="O34231" s="36" t="s">
        <v>48</v>
      </c>
      <c r="R34231" s="36" t="s">
        <v>48</v>
      </c>
    </row>
    <row r="34232">
      <c r="H34232" s="50"/>
      <c r="I34232" s="50"/>
      <c r="O34232" s="36" t="s">
        <v>48</v>
      </c>
      <c r="R34232" s="36" t="s">
        <v>48</v>
      </c>
    </row>
    <row r="34233">
      <c r="H34233" s="50"/>
      <c r="I34233" s="50"/>
      <c r="O34233" s="36" t="s">
        <v>48</v>
      </c>
      <c r="R34233" s="36" t="s">
        <v>48</v>
      </c>
    </row>
    <row r="34234">
      <c r="H34234" s="50"/>
      <c r="I34234" s="50"/>
      <c r="O34234" s="36" t="s">
        <v>48</v>
      </c>
      <c r="R34234" s="36" t="s">
        <v>48</v>
      </c>
    </row>
    <row r="34235">
      <c r="H34235" s="50"/>
      <c r="I34235" s="50"/>
      <c r="O34235" s="36" t="s">
        <v>48</v>
      </c>
      <c r="R34235" s="36" t="s">
        <v>48</v>
      </c>
    </row>
    <row r="34236">
      <c r="H34236" s="50"/>
      <c r="I34236" s="50"/>
      <c r="O34236" s="36" t="s">
        <v>48</v>
      </c>
      <c r="R34236" s="36" t="s">
        <v>48</v>
      </c>
    </row>
    <row r="34237">
      <c r="H34237" s="50"/>
      <c r="I34237" s="50"/>
      <c r="O34237" s="36" t="s">
        <v>48</v>
      </c>
      <c r="R34237" s="36" t="s">
        <v>48</v>
      </c>
    </row>
    <row r="34238">
      <c r="H34238" s="50"/>
      <c r="I34238" s="50"/>
      <c r="O34238" s="36" t="s">
        <v>48</v>
      </c>
      <c r="R34238" s="36" t="s">
        <v>48</v>
      </c>
    </row>
    <row r="34239">
      <c r="H34239" s="50"/>
      <c r="I34239" s="50"/>
      <c r="O34239" s="36" t="s">
        <v>48</v>
      </c>
      <c r="R34239" s="36" t="s">
        <v>48</v>
      </c>
    </row>
    <row r="34240">
      <c r="H34240" s="50"/>
      <c r="I34240" s="50"/>
      <c r="O34240" s="36" t="s">
        <v>48</v>
      </c>
      <c r="R34240" s="36" t="s">
        <v>48</v>
      </c>
    </row>
    <row r="34241">
      <c r="H34241" s="50"/>
      <c r="I34241" s="50"/>
      <c r="O34241" s="36" t="s">
        <v>48</v>
      </c>
      <c r="R34241" s="36" t="s">
        <v>48</v>
      </c>
    </row>
    <row r="34242">
      <c r="H34242" s="50"/>
      <c r="I34242" s="50"/>
      <c r="O34242" s="36" t="s">
        <v>48</v>
      </c>
      <c r="R34242" s="36" t="s">
        <v>48</v>
      </c>
    </row>
    <row r="34243">
      <c r="H34243" s="50"/>
      <c r="I34243" s="50"/>
      <c r="O34243" s="36" t="s">
        <v>48</v>
      </c>
      <c r="R34243" s="36" t="s">
        <v>48</v>
      </c>
    </row>
    <row r="34244">
      <c r="H34244" s="50"/>
      <c r="I34244" s="50"/>
      <c r="O34244" s="36" t="s">
        <v>48</v>
      </c>
      <c r="R34244" s="36" t="s">
        <v>48</v>
      </c>
    </row>
    <row r="34245">
      <c r="H34245" s="50"/>
      <c r="I34245" s="50"/>
      <c r="O34245" s="36" t="s">
        <v>48</v>
      </c>
      <c r="R34245" s="36" t="s">
        <v>48</v>
      </c>
    </row>
    <row r="34246">
      <c r="H34246" s="50"/>
      <c r="I34246" s="50"/>
      <c r="O34246" s="36" t="s">
        <v>48</v>
      </c>
      <c r="R34246" s="36" t="s">
        <v>48</v>
      </c>
    </row>
    <row r="34247">
      <c r="H34247" s="50"/>
      <c r="I34247" s="50"/>
      <c r="O34247" s="36" t="s">
        <v>48</v>
      </c>
      <c r="R34247" s="36" t="s">
        <v>48</v>
      </c>
    </row>
    <row r="34248">
      <c r="H34248" s="50"/>
      <c r="I34248" s="50"/>
      <c r="O34248" s="36" t="s">
        <v>48</v>
      </c>
      <c r="R34248" s="36" t="s">
        <v>48</v>
      </c>
    </row>
    <row r="34249">
      <c r="H34249" s="50"/>
      <c r="I34249" s="50"/>
      <c r="O34249" s="36" t="s">
        <v>48</v>
      </c>
      <c r="R34249" s="36" t="s">
        <v>48</v>
      </c>
    </row>
    <row r="34250">
      <c r="H34250" s="50"/>
      <c r="I34250" s="50"/>
      <c r="O34250" s="36" t="s">
        <v>48</v>
      </c>
      <c r="R34250" s="36" t="s">
        <v>48</v>
      </c>
    </row>
    <row r="34251">
      <c r="H34251" s="50"/>
      <c r="I34251" s="50"/>
      <c r="O34251" s="36" t="s">
        <v>48</v>
      </c>
      <c r="R34251" s="36" t="s">
        <v>48</v>
      </c>
    </row>
    <row r="34252">
      <c r="H34252" s="50"/>
      <c r="I34252" s="50"/>
      <c r="O34252" s="36" t="s">
        <v>48</v>
      </c>
      <c r="R34252" s="36" t="s">
        <v>48</v>
      </c>
    </row>
    <row r="34253">
      <c r="H34253" s="50"/>
      <c r="I34253" s="50"/>
      <c r="O34253" s="36" t="s">
        <v>48</v>
      </c>
      <c r="R34253" s="36" t="s">
        <v>48</v>
      </c>
    </row>
    <row r="34254">
      <c r="H34254" s="50"/>
      <c r="I34254" s="50"/>
      <c r="O34254" s="36" t="s">
        <v>48</v>
      </c>
      <c r="R34254" s="36" t="s">
        <v>48</v>
      </c>
    </row>
    <row r="34255">
      <c r="H34255" s="50"/>
      <c r="I34255" s="50"/>
      <c r="O34255" s="36" t="s">
        <v>48</v>
      </c>
      <c r="R34255" s="36" t="s">
        <v>48</v>
      </c>
    </row>
    <row r="34256">
      <c r="H34256" s="50"/>
      <c r="I34256" s="50"/>
      <c r="O34256" s="36" t="s">
        <v>48</v>
      </c>
      <c r="R34256" s="36" t="s">
        <v>48</v>
      </c>
    </row>
    <row r="34257">
      <c r="H34257" s="50"/>
      <c r="I34257" s="50"/>
      <c r="O34257" s="36" t="s">
        <v>48</v>
      </c>
      <c r="R34257" s="36" t="s">
        <v>48</v>
      </c>
    </row>
    <row r="34258">
      <c r="H34258" s="50"/>
      <c r="I34258" s="50"/>
      <c r="O34258" s="36" t="s">
        <v>48</v>
      </c>
      <c r="R34258" s="36" t="s">
        <v>48</v>
      </c>
    </row>
    <row r="34259">
      <c r="H34259" s="50"/>
      <c r="I34259" s="50"/>
      <c r="O34259" s="36" t="s">
        <v>48</v>
      </c>
      <c r="R34259" s="36" t="s">
        <v>48</v>
      </c>
    </row>
    <row r="34260">
      <c r="H34260" s="50"/>
      <c r="I34260" s="50"/>
      <c r="O34260" s="36" t="s">
        <v>48</v>
      </c>
      <c r="R34260" s="36" t="s">
        <v>48</v>
      </c>
    </row>
    <row r="34261">
      <c r="H34261" s="50"/>
      <c r="I34261" s="50"/>
      <c r="O34261" s="36" t="s">
        <v>48</v>
      </c>
      <c r="R34261" s="36" t="s">
        <v>48</v>
      </c>
    </row>
    <row r="34262">
      <c r="H34262" s="50"/>
      <c r="I34262" s="50"/>
      <c r="O34262" s="36" t="s">
        <v>48</v>
      </c>
      <c r="R34262" s="36" t="s">
        <v>48</v>
      </c>
    </row>
    <row r="34263">
      <c r="H34263" s="50"/>
      <c r="I34263" s="50"/>
      <c r="O34263" s="36" t="s">
        <v>48</v>
      </c>
      <c r="R34263" s="36" t="s">
        <v>48</v>
      </c>
    </row>
    <row r="34264">
      <c r="H34264" s="50"/>
      <c r="I34264" s="50"/>
      <c r="O34264" s="36" t="s">
        <v>48</v>
      </c>
      <c r="R34264" s="36" t="s">
        <v>48</v>
      </c>
    </row>
    <row r="34265">
      <c r="H34265" s="50"/>
      <c r="I34265" s="50"/>
      <c r="O34265" s="36" t="s">
        <v>48</v>
      </c>
      <c r="R34265" s="36" t="s">
        <v>48</v>
      </c>
    </row>
    <row r="34266">
      <c r="H34266" s="50"/>
      <c r="I34266" s="50"/>
      <c r="O34266" s="36" t="s">
        <v>48</v>
      </c>
      <c r="R34266" s="36" t="s">
        <v>48</v>
      </c>
    </row>
    <row r="34267">
      <c r="H34267" s="50"/>
      <c r="I34267" s="50"/>
      <c r="O34267" s="36" t="s">
        <v>48</v>
      </c>
      <c r="R34267" s="36" t="s">
        <v>48</v>
      </c>
    </row>
    <row r="34268">
      <c r="H34268" s="50"/>
      <c r="I34268" s="50"/>
      <c r="O34268" s="36" t="s">
        <v>48</v>
      </c>
      <c r="R34268" s="36" t="s">
        <v>48</v>
      </c>
    </row>
    <row r="34269">
      <c r="H34269" s="50"/>
      <c r="I34269" s="50"/>
      <c r="O34269" s="36" t="s">
        <v>48</v>
      </c>
      <c r="R34269" s="36" t="s">
        <v>48</v>
      </c>
    </row>
    <row r="34270">
      <c r="H34270" s="50"/>
      <c r="I34270" s="50"/>
      <c r="O34270" s="36" t="s">
        <v>48</v>
      </c>
      <c r="R34270" s="36" t="s">
        <v>48</v>
      </c>
    </row>
    <row r="34271">
      <c r="H34271" s="50"/>
      <c r="I34271" s="50"/>
      <c r="O34271" s="36" t="s">
        <v>48</v>
      </c>
      <c r="R34271" s="36" t="s">
        <v>48</v>
      </c>
    </row>
    <row r="34272">
      <c r="H34272" s="50"/>
      <c r="I34272" s="50"/>
      <c r="O34272" s="36" t="s">
        <v>48</v>
      </c>
      <c r="R34272" s="36" t="s">
        <v>48</v>
      </c>
    </row>
    <row r="34273">
      <c r="H34273" s="50"/>
      <c r="I34273" s="50"/>
      <c r="O34273" s="36" t="s">
        <v>48</v>
      </c>
      <c r="R34273" s="36" t="s">
        <v>48</v>
      </c>
    </row>
    <row r="34274">
      <c r="H34274" s="50"/>
      <c r="I34274" s="50"/>
      <c r="O34274" s="36" t="s">
        <v>48</v>
      </c>
      <c r="R34274" s="36" t="s">
        <v>48</v>
      </c>
    </row>
    <row r="34275">
      <c r="H34275" s="50"/>
      <c r="I34275" s="50"/>
      <c r="O34275" s="36" t="s">
        <v>48</v>
      </c>
      <c r="R34275" s="36" t="s">
        <v>48</v>
      </c>
    </row>
    <row r="34276">
      <c r="H34276" s="50"/>
      <c r="I34276" s="50"/>
      <c r="O34276" s="36" t="s">
        <v>48</v>
      </c>
      <c r="R34276" s="36" t="s">
        <v>48</v>
      </c>
    </row>
    <row r="34277">
      <c r="H34277" s="50"/>
      <c r="I34277" s="50"/>
      <c r="O34277" s="36" t="s">
        <v>48</v>
      </c>
      <c r="R34277" s="36" t="s">
        <v>48</v>
      </c>
    </row>
    <row r="34278">
      <c r="H34278" s="50"/>
      <c r="I34278" s="50"/>
      <c r="O34278" s="36" t="s">
        <v>48</v>
      </c>
      <c r="R34278" s="36" t="s">
        <v>48</v>
      </c>
    </row>
    <row r="34279">
      <c r="H34279" s="50"/>
      <c r="I34279" s="50"/>
      <c r="O34279" s="36" t="s">
        <v>48</v>
      </c>
      <c r="R34279" s="36" t="s">
        <v>48</v>
      </c>
    </row>
    <row r="34280">
      <c r="H34280" s="50"/>
      <c r="I34280" s="50"/>
      <c r="O34280" s="36" t="s">
        <v>48</v>
      </c>
      <c r="R34280" s="36" t="s">
        <v>48</v>
      </c>
    </row>
    <row r="34281">
      <c r="H34281" s="50"/>
      <c r="I34281" s="50"/>
      <c r="O34281" s="36" t="s">
        <v>48</v>
      </c>
      <c r="R34281" s="36" t="s">
        <v>48</v>
      </c>
    </row>
    <row r="34282">
      <c r="H34282" s="50"/>
      <c r="I34282" s="50"/>
      <c r="O34282" s="36" t="s">
        <v>48</v>
      </c>
      <c r="R34282" s="36" t="s">
        <v>48</v>
      </c>
    </row>
    <row r="34283">
      <c r="H34283" s="50"/>
      <c r="I34283" s="50"/>
      <c r="O34283" s="36" t="s">
        <v>48</v>
      </c>
      <c r="R34283" s="36" t="s">
        <v>48</v>
      </c>
    </row>
    <row r="34284">
      <c r="H34284" s="50"/>
      <c r="I34284" s="50"/>
      <c r="O34284" s="36" t="s">
        <v>48</v>
      </c>
      <c r="R34284" s="36" t="s">
        <v>48</v>
      </c>
    </row>
    <row r="34285">
      <c r="H34285" s="50"/>
      <c r="I34285" s="50"/>
      <c r="O34285" s="36" t="s">
        <v>48</v>
      </c>
      <c r="R34285" s="36" t="s">
        <v>48</v>
      </c>
    </row>
    <row r="34286">
      <c r="H34286" s="50"/>
      <c r="I34286" s="50"/>
      <c r="O34286" s="36" t="s">
        <v>48</v>
      </c>
      <c r="R34286" s="36" t="s">
        <v>48</v>
      </c>
    </row>
    <row r="34287">
      <c r="H34287" s="50"/>
      <c r="I34287" s="50"/>
      <c r="O34287" s="36" t="s">
        <v>48</v>
      </c>
      <c r="R34287" s="36" t="s">
        <v>48</v>
      </c>
    </row>
    <row r="34288">
      <c r="H34288" s="50"/>
      <c r="I34288" s="50"/>
      <c r="O34288" s="36" t="s">
        <v>48</v>
      </c>
      <c r="R34288" s="36" t="s">
        <v>48</v>
      </c>
    </row>
    <row r="34289">
      <c r="H34289" s="50"/>
      <c r="I34289" s="50"/>
      <c r="O34289" s="36" t="s">
        <v>48</v>
      </c>
      <c r="R34289" s="36" t="s">
        <v>48</v>
      </c>
    </row>
    <row r="34290">
      <c r="H34290" s="50"/>
      <c r="I34290" s="50"/>
      <c r="O34290" s="36" t="s">
        <v>48</v>
      </c>
      <c r="R34290" s="36" t="s">
        <v>48</v>
      </c>
    </row>
    <row r="34291">
      <c r="H34291" s="50"/>
      <c r="I34291" s="50"/>
      <c r="O34291" s="36" t="s">
        <v>48</v>
      </c>
      <c r="R34291" s="36" t="s">
        <v>48</v>
      </c>
    </row>
    <row r="34292">
      <c r="H34292" s="50"/>
      <c r="I34292" s="50"/>
      <c r="O34292" s="36" t="s">
        <v>48</v>
      </c>
      <c r="R34292" s="36" t="s">
        <v>48</v>
      </c>
    </row>
    <row r="34293">
      <c r="H34293" s="50"/>
      <c r="I34293" s="50"/>
      <c r="O34293" s="36" t="s">
        <v>48</v>
      </c>
      <c r="R34293" s="36" t="s">
        <v>48</v>
      </c>
    </row>
    <row r="34294">
      <c r="H34294" s="50"/>
      <c r="I34294" s="50"/>
      <c r="O34294" s="36" t="s">
        <v>48</v>
      </c>
      <c r="R34294" s="36" t="s">
        <v>48</v>
      </c>
    </row>
    <row r="34295">
      <c r="H34295" s="50"/>
      <c r="I34295" s="50"/>
      <c r="O34295" s="36" t="s">
        <v>48</v>
      </c>
      <c r="R34295" s="36" t="s">
        <v>48</v>
      </c>
    </row>
    <row r="34296">
      <c r="H34296" s="50"/>
      <c r="I34296" s="50"/>
      <c r="O34296" s="36" t="s">
        <v>48</v>
      </c>
      <c r="R34296" s="36" t="s">
        <v>48</v>
      </c>
    </row>
    <row r="34297">
      <c r="H34297" s="50"/>
      <c r="I34297" s="50"/>
      <c r="O34297" s="36" t="s">
        <v>48</v>
      </c>
      <c r="R34297" s="36" t="s">
        <v>48</v>
      </c>
    </row>
    <row r="34298">
      <c r="H34298" s="50"/>
      <c r="I34298" s="50"/>
      <c r="O34298" s="36" t="s">
        <v>48</v>
      </c>
      <c r="R34298" s="36" t="s">
        <v>48</v>
      </c>
    </row>
    <row r="34299">
      <c r="H34299" s="50"/>
      <c r="I34299" s="50"/>
      <c r="O34299" s="36" t="s">
        <v>48</v>
      </c>
      <c r="R34299" s="36" t="s">
        <v>48</v>
      </c>
    </row>
    <row r="34300">
      <c r="H34300" s="50"/>
      <c r="I34300" s="50"/>
      <c r="O34300" s="36" t="s">
        <v>48</v>
      </c>
      <c r="R34300" s="36" t="s">
        <v>48</v>
      </c>
    </row>
    <row r="34301">
      <c r="H34301" s="50"/>
      <c r="I34301" s="50"/>
      <c r="O34301" s="36" t="s">
        <v>48</v>
      </c>
      <c r="R34301" s="36" t="s">
        <v>48</v>
      </c>
    </row>
    <row r="34302">
      <c r="H34302" s="50"/>
      <c r="I34302" s="50"/>
      <c r="O34302" s="36" t="s">
        <v>48</v>
      </c>
      <c r="R34302" s="36" t="s">
        <v>48</v>
      </c>
    </row>
    <row r="34303">
      <c r="H34303" s="50"/>
      <c r="I34303" s="50"/>
      <c r="O34303" s="36" t="s">
        <v>48</v>
      </c>
      <c r="R34303" s="36" t="s">
        <v>48</v>
      </c>
    </row>
    <row r="34304">
      <c r="H34304" s="50"/>
      <c r="I34304" s="50"/>
      <c r="O34304" s="36" t="s">
        <v>48</v>
      </c>
      <c r="R34304" s="36" t="s">
        <v>48</v>
      </c>
    </row>
    <row r="34305">
      <c r="H34305" s="50"/>
      <c r="I34305" s="50"/>
      <c r="O34305" s="36" t="s">
        <v>48</v>
      </c>
      <c r="R34305" s="36" t="s">
        <v>48</v>
      </c>
    </row>
    <row r="34306">
      <c r="H34306" s="50"/>
      <c r="I34306" s="50"/>
      <c r="O34306" s="36" t="s">
        <v>48</v>
      </c>
      <c r="R34306" s="36" t="s">
        <v>48</v>
      </c>
    </row>
    <row r="34307">
      <c r="H34307" s="50"/>
      <c r="I34307" s="50"/>
      <c r="O34307" s="36" t="s">
        <v>48</v>
      </c>
      <c r="R34307" s="36" t="s">
        <v>48</v>
      </c>
    </row>
    <row r="34308">
      <c r="H34308" s="50"/>
      <c r="I34308" s="50"/>
      <c r="O34308" s="36" t="s">
        <v>48</v>
      </c>
      <c r="R34308" s="36" t="s">
        <v>48</v>
      </c>
    </row>
    <row r="34309">
      <c r="H34309" s="50"/>
      <c r="I34309" s="50"/>
      <c r="O34309" s="36" t="s">
        <v>48</v>
      </c>
      <c r="R34309" s="36" t="s">
        <v>48</v>
      </c>
    </row>
    <row r="34310">
      <c r="H34310" s="50"/>
      <c r="I34310" s="50"/>
      <c r="O34310" s="36" t="s">
        <v>48</v>
      </c>
      <c r="R34310" s="36" t="s">
        <v>48</v>
      </c>
    </row>
    <row r="34311">
      <c r="H34311" s="50"/>
      <c r="I34311" s="50"/>
      <c r="O34311" s="36" t="s">
        <v>48</v>
      </c>
      <c r="R34311" s="36" t="s">
        <v>48</v>
      </c>
    </row>
    <row r="34312">
      <c r="H34312" s="50"/>
      <c r="I34312" s="50"/>
      <c r="O34312" s="36" t="s">
        <v>48</v>
      </c>
      <c r="R34312" s="36" t="s">
        <v>48</v>
      </c>
    </row>
    <row r="34313">
      <c r="H34313" s="50"/>
      <c r="I34313" s="50"/>
      <c r="O34313" s="36" t="s">
        <v>48</v>
      </c>
      <c r="R34313" s="36" t="s">
        <v>48</v>
      </c>
    </row>
    <row r="34314">
      <c r="H34314" s="50"/>
      <c r="I34314" s="50"/>
      <c r="O34314" s="36" t="s">
        <v>48</v>
      </c>
      <c r="R34314" s="36" t="s">
        <v>48</v>
      </c>
    </row>
    <row r="34315">
      <c r="H34315" s="50"/>
      <c r="I34315" s="50"/>
      <c r="O34315" s="36" t="s">
        <v>48</v>
      </c>
      <c r="R34315" s="36" t="s">
        <v>48</v>
      </c>
    </row>
    <row r="34316">
      <c r="H34316" s="50"/>
      <c r="I34316" s="50"/>
      <c r="O34316" s="36" t="s">
        <v>48</v>
      </c>
      <c r="R34316" s="36" t="s">
        <v>48</v>
      </c>
    </row>
    <row r="34317">
      <c r="H34317" s="50"/>
      <c r="I34317" s="50"/>
      <c r="O34317" s="36" t="s">
        <v>48</v>
      </c>
      <c r="R34317" s="36" t="s">
        <v>48</v>
      </c>
    </row>
    <row r="34318">
      <c r="H34318" s="50"/>
      <c r="I34318" s="50"/>
      <c r="O34318" s="36" t="s">
        <v>48</v>
      </c>
      <c r="R34318" s="36" t="s">
        <v>48</v>
      </c>
    </row>
    <row r="34319">
      <c r="H34319" s="50"/>
      <c r="I34319" s="50"/>
      <c r="O34319" s="36" t="s">
        <v>48</v>
      </c>
      <c r="R34319" s="36" t="s">
        <v>48</v>
      </c>
    </row>
    <row r="34320">
      <c r="H34320" s="50"/>
      <c r="I34320" s="50"/>
      <c r="O34320" s="36" t="s">
        <v>48</v>
      </c>
      <c r="R34320" s="36" t="s">
        <v>48</v>
      </c>
    </row>
    <row r="34321">
      <c r="H34321" s="50"/>
      <c r="I34321" s="50"/>
      <c r="O34321" s="36" t="s">
        <v>48</v>
      </c>
      <c r="R34321" s="36" t="s">
        <v>48</v>
      </c>
    </row>
    <row r="34322">
      <c r="H34322" s="50"/>
      <c r="I34322" s="50"/>
      <c r="O34322" s="36" t="s">
        <v>48</v>
      </c>
      <c r="R34322" s="36" t="s">
        <v>48</v>
      </c>
    </row>
    <row r="34323">
      <c r="H34323" s="50"/>
      <c r="I34323" s="50"/>
      <c r="O34323" s="36" t="s">
        <v>48</v>
      </c>
      <c r="R34323" s="36" t="s">
        <v>48</v>
      </c>
    </row>
    <row r="34324">
      <c r="H34324" s="50"/>
      <c r="I34324" s="50"/>
      <c r="O34324" s="36" t="s">
        <v>48</v>
      </c>
      <c r="R34324" s="36" t="s">
        <v>48</v>
      </c>
    </row>
    <row r="34325">
      <c r="H34325" s="50"/>
      <c r="I34325" s="50"/>
      <c r="O34325" s="36" t="s">
        <v>48</v>
      </c>
      <c r="R34325" s="36" t="s">
        <v>48</v>
      </c>
    </row>
    <row r="34326">
      <c r="H34326" s="50"/>
      <c r="I34326" s="50"/>
      <c r="O34326" s="36" t="s">
        <v>48</v>
      </c>
      <c r="R34326" s="36" t="s">
        <v>48</v>
      </c>
    </row>
    <row r="34327">
      <c r="H34327" s="50"/>
      <c r="I34327" s="50"/>
      <c r="O34327" s="36" t="s">
        <v>48</v>
      </c>
      <c r="R34327" s="36" t="s">
        <v>48</v>
      </c>
    </row>
    <row r="34328">
      <c r="H34328" s="50"/>
      <c r="I34328" s="50"/>
      <c r="O34328" s="36" t="s">
        <v>48</v>
      </c>
      <c r="R34328" s="36" t="s">
        <v>48</v>
      </c>
    </row>
    <row r="34329">
      <c r="H34329" s="50"/>
      <c r="I34329" s="50"/>
      <c r="O34329" s="36" t="s">
        <v>48</v>
      </c>
      <c r="R34329" s="36" t="s">
        <v>48</v>
      </c>
    </row>
    <row r="34330">
      <c r="H34330" s="50"/>
      <c r="I34330" s="50"/>
      <c r="O34330" s="36" t="s">
        <v>48</v>
      </c>
      <c r="R34330" s="36" t="s">
        <v>48</v>
      </c>
    </row>
    <row r="34331">
      <c r="H34331" s="50"/>
      <c r="I34331" s="50"/>
      <c r="O34331" s="36" t="s">
        <v>48</v>
      </c>
      <c r="R34331" s="36" t="s">
        <v>48</v>
      </c>
    </row>
    <row r="34332">
      <c r="H34332" s="50"/>
      <c r="I34332" s="50"/>
      <c r="O34332" s="36" t="s">
        <v>48</v>
      </c>
      <c r="R34332" s="36" t="s">
        <v>48</v>
      </c>
    </row>
    <row r="34333">
      <c r="H34333" s="50"/>
      <c r="I34333" s="50"/>
      <c r="O34333" s="36" t="s">
        <v>48</v>
      </c>
      <c r="R34333" s="36" t="s">
        <v>48</v>
      </c>
    </row>
    <row r="34334">
      <c r="H34334" s="50"/>
      <c r="I34334" s="50"/>
      <c r="O34334" s="36" t="s">
        <v>48</v>
      </c>
      <c r="R34334" s="36" t="s">
        <v>48</v>
      </c>
    </row>
    <row r="34335">
      <c r="H34335" s="50"/>
      <c r="I34335" s="50"/>
      <c r="O34335" s="36" t="s">
        <v>48</v>
      </c>
      <c r="R34335" s="36" t="s">
        <v>48</v>
      </c>
    </row>
    <row r="34336">
      <c r="H34336" s="50"/>
      <c r="I34336" s="50"/>
      <c r="O34336" s="36" t="s">
        <v>48</v>
      </c>
      <c r="R34336" s="36" t="s">
        <v>48</v>
      </c>
    </row>
    <row r="34337">
      <c r="H34337" s="50"/>
      <c r="I34337" s="50"/>
      <c r="O34337" s="36" t="s">
        <v>48</v>
      </c>
      <c r="R34337" s="36" t="s">
        <v>48</v>
      </c>
    </row>
    <row r="34338">
      <c r="H34338" s="50"/>
      <c r="I34338" s="50"/>
      <c r="O34338" s="36" t="s">
        <v>48</v>
      </c>
      <c r="R34338" s="36" t="s">
        <v>48</v>
      </c>
    </row>
    <row r="34339">
      <c r="H34339" s="50"/>
      <c r="I34339" s="50"/>
      <c r="O34339" s="36" t="s">
        <v>48</v>
      </c>
      <c r="R34339" s="36" t="s">
        <v>48</v>
      </c>
    </row>
    <row r="34340">
      <c r="H34340" s="50"/>
      <c r="I34340" s="50"/>
      <c r="O34340" s="36" t="s">
        <v>48</v>
      </c>
      <c r="R34340" s="36" t="s">
        <v>48</v>
      </c>
    </row>
    <row r="34341">
      <c r="H34341" s="50"/>
      <c r="I34341" s="50"/>
      <c r="O34341" s="36" t="s">
        <v>48</v>
      </c>
      <c r="R34341" s="36" t="s">
        <v>48</v>
      </c>
    </row>
    <row r="34342">
      <c r="H34342" s="50"/>
      <c r="I34342" s="50"/>
      <c r="O34342" s="36" t="s">
        <v>48</v>
      </c>
      <c r="R34342" s="36" t="s">
        <v>48</v>
      </c>
    </row>
    <row r="34343">
      <c r="H34343" s="50"/>
      <c r="I34343" s="50"/>
      <c r="O34343" s="36" t="s">
        <v>48</v>
      </c>
      <c r="R34343" s="36" t="s">
        <v>48</v>
      </c>
    </row>
    <row r="34344">
      <c r="H34344" s="50"/>
      <c r="I34344" s="50"/>
      <c r="O34344" s="36" t="s">
        <v>48</v>
      </c>
      <c r="R34344" s="36" t="s">
        <v>48</v>
      </c>
    </row>
    <row r="34345">
      <c r="H34345" s="50"/>
      <c r="I34345" s="50"/>
      <c r="O34345" s="36" t="s">
        <v>48</v>
      </c>
      <c r="R34345" s="36" t="s">
        <v>48</v>
      </c>
    </row>
    <row r="34346">
      <c r="H34346" s="50"/>
      <c r="I34346" s="50"/>
      <c r="O34346" s="36" t="s">
        <v>48</v>
      </c>
      <c r="R34346" s="36" t="s">
        <v>48</v>
      </c>
    </row>
    <row r="34347">
      <c r="H34347" s="50"/>
      <c r="I34347" s="50"/>
      <c r="O34347" s="36" t="s">
        <v>48</v>
      </c>
      <c r="R34347" s="36" t="s">
        <v>48</v>
      </c>
    </row>
    <row r="34348">
      <c r="H34348" s="50"/>
      <c r="I34348" s="50"/>
      <c r="O34348" s="36" t="s">
        <v>48</v>
      </c>
      <c r="R34348" s="36" t="s">
        <v>48</v>
      </c>
    </row>
    <row r="34349">
      <c r="H34349" s="50"/>
      <c r="I34349" s="50"/>
      <c r="O34349" s="36" t="s">
        <v>48</v>
      </c>
      <c r="R34349" s="36" t="s">
        <v>48</v>
      </c>
    </row>
    <row r="34350">
      <c r="H34350" s="50"/>
      <c r="I34350" s="50"/>
      <c r="O34350" s="36" t="s">
        <v>48</v>
      </c>
      <c r="R34350" s="36" t="s">
        <v>48</v>
      </c>
    </row>
    <row r="34351">
      <c r="H34351" s="50"/>
      <c r="I34351" s="50"/>
      <c r="O34351" s="36" t="s">
        <v>48</v>
      </c>
      <c r="R34351" s="36" t="s">
        <v>48</v>
      </c>
    </row>
    <row r="34352">
      <c r="H34352" s="50"/>
      <c r="I34352" s="50"/>
      <c r="O34352" s="36" t="s">
        <v>48</v>
      </c>
      <c r="R34352" s="36" t="s">
        <v>48</v>
      </c>
    </row>
    <row r="34353">
      <c r="H34353" s="50"/>
      <c r="I34353" s="50"/>
      <c r="O34353" s="36" t="s">
        <v>48</v>
      </c>
      <c r="R34353" s="36" t="s">
        <v>48</v>
      </c>
    </row>
    <row r="34354">
      <c r="H34354" s="50"/>
      <c r="I34354" s="50"/>
      <c r="O34354" s="36" t="s">
        <v>48</v>
      </c>
      <c r="R34354" s="36" t="s">
        <v>48</v>
      </c>
    </row>
    <row r="34355">
      <c r="H34355" s="50"/>
      <c r="I34355" s="50"/>
      <c r="O34355" s="36" t="s">
        <v>48</v>
      </c>
      <c r="R34355" s="36" t="s">
        <v>48</v>
      </c>
    </row>
    <row r="34356">
      <c r="H34356" s="50"/>
      <c r="I34356" s="50"/>
      <c r="O34356" s="36" t="s">
        <v>48</v>
      </c>
      <c r="R34356" s="36" t="s">
        <v>48</v>
      </c>
    </row>
    <row r="34357">
      <c r="H34357" s="50"/>
      <c r="I34357" s="50"/>
      <c r="O34357" s="36" t="s">
        <v>48</v>
      </c>
      <c r="R34357" s="36" t="s">
        <v>48</v>
      </c>
    </row>
    <row r="34358">
      <c r="H34358" s="50"/>
      <c r="I34358" s="50"/>
      <c r="O34358" s="36" t="s">
        <v>48</v>
      </c>
      <c r="R34358" s="36" t="s">
        <v>48</v>
      </c>
    </row>
    <row r="34359">
      <c r="H34359" s="50"/>
      <c r="I34359" s="50"/>
      <c r="O34359" s="36" t="s">
        <v>48</v>
      </c>
      <c r="R34359" s="36" t="s">
        <v>48</v>
      </c>
    </row>
    <row r="34360">
      <c r="H34360" s="50"/>
      <c r="I34360" s="50"/>
      <c r="O34360" s="36" t="s">
        <v>48</v>
      </c>
      <c r="R34360" s="36" t="s">
        <v>48</v>
      </c>
    </row>
    <row r="34361">
      <c r="H34361" s="50"/>
      <c r="I34361" s="50"/>
      <c r="O34361" s="36" t="s">
        <v>48</v>
      </c>
      <c r="R34361" s="36" t="s">
        <v>48</v>
      </c>
    </row>
    <row r="34362">
      <c r="H34362" s="50"/>
      <c r="I34362" s="50"/>
      <c r="O34362" s="36" t="s">
        <v>48</v>
      </c>
      <c r="R34362" s="36" t="s">
        <v>48</v>
      </c>
    </row>
    <row r="34363">
      <c r="H34363" s="50"/>
      <c r="I34363" s="50"/>
      <c r="O34363" s="36" t="s">
        <v>48</v>
      </c>
      <c r="R34363" s="36" t="s">
        <v>48</v>
      </c>
    </row>
    <row r="34364">
      <c r="H34364" s="50"/>
      <c r="I34364" s="50"/>
      <c r="O34364" s="36" t="s">
        <v>48</v>
      </c>
      <c r="R34364" s="36" t="s">
        <v>48</v>
      </c>
    </row>
    <row r="34365">
      <c r="H34365" s="50"/>
      <c r="I34365" s="50"/>
      <c r="O34365" s="36" t="s">
        <v>48</v>
      </c>
      <c r="R34365" s="36" t="s">
        <v>48</v>
      </c>
    </row>
    <row r="34366">
      <c r="H34366" s="50"/>
      <c r="I34366" s="50"/>
      <c r="O34366" s="36" t="s">
        <v>48</v>
      </c>
      <c r="R34366" s="36" t="s">
        <v>48</v>
      </c>
    </row>
    <row r="34367">
      <c r="H34367" s="50"/>
      <c r="I34367" s="50"/>
      <c r="O34367" s="36" t="s">
        <v>48</v>
      </c>
      <c r="R34367" s="36" t="s">
        <v>48</v>
      </c>
    </row>
    <row r="34368">
      <c r="H34368" s="50"/>
      <c r="I34368" s="50"/>
      <c r="O34368" s="36" t="s">
        <v>48</v>
      </c>
      <c r="R34368" s="36" t="s">
        <v>48</v>
      </c>
    </row>
    <row r="34369">
      <c r="H34369" s="50"/>
      <c r="I34369" s="50"/>
      <c r="O34369" s="36" t="s">
        <v>48</v>
      </c>
      <c r="R34369" s="36" t="s">
        <v>48</v>
      </c>
    </row>
    <row r="34370">
      <c r="H34370" s="50"/>
      <c r="I34370" s="50"/>
      <c r="O34370" s="36" t="s">
        <v>48</v>
      </c>
      <c r="R34370" s="36" t="s">
        <v>48</v>
      </c>
    </row>
    <row r="34371">
      <c r="H34371" s="50"/>
      <c r="I34371" s="50"/>
      <c r="O34371" s="36" t="s">
        <v>48</v>
      </c>
      <c r="R34371" s="36" t="s">
        <v>48</v>
      </c>
    </row>
    <row r="34372">
      <c r="H34372" s="50"/>
      <c r="I34372" s="50"/>
      <c r="O34372" s="36" t="s">
        <v>48</v>
      </c>
      <c r="R34372" s="36" t="s">
        <v>48</v>
      </c>
    </row>
    <row r="34373">
      <c r="H34373" s="50"/>
      <c r="I34373" s="50"/>
      <c r="O34373" s="36" t="s">
        <v>48</v>
      </c>
      <c r="R34373" s="36" t="s">
        <v>48</v>
      </c>
    </row>
    <row r="34374">
      <c r="H34374" s="50"/>
      <c r="I34374" s="50"/>
      <c r="O34374" s="36" t="s">
        <v>48</v>
      </c>
      <c r="R34374" s="36" t="s">
        <v>48</v>
      </c>
    </row>
    <row r="34375">
      <c r="H34375" s="50"/>
      <c r="I34375" s="50"/>
      <c r="O34375" s="36" t="s">
        <v>48</v>
      </c>
      <c r="R34375" s="36" t="s">
        <v>48</v>
      </c>
    </row>
    <row r="34376">
      <c r="H34376" s="50"/>
      <c r="I34376" s="50"/>
      <c r="O34376" s="36" t="s">
        <v>48</v>
      </c>
      <c r="R34376" s="36" t="s">
        <v>48</v>
      </c>
    </row>
    <row r="34377">
      <c r="H34377" s="50"/>
      <c r="I34377" s="50"/>
      <c r="O34377" s="36" t="s">
        <v>48</v>
      </c>
      <c r="R34377" s="36" t="s">
        <v>48</v>
      </c>
    </row>
    <row r="34378">
      <c r="H34378" s="50"/>
      <c r="I34378" s="50"/>
      <c r="O34378" s="36" t="s">
        <v>48</v>
      </c>
      <c r="R34378" s="36" t="s">
        <v>48</v>
      </c>
    </row>
    <row r="34379">
      <c r="H34379" s="50"/>
      <c r="I34379" s="50"/>
      <c r="O34379" s="36" t="s">
        <v>48</v>
      </c>
      <c r="R34379" s="36" t="s">
        <v>48</v>
      </c>
    </row>
    <row r="34380">
      <c r="H34380" s="50"/>
      <c r="I34380" s="50"/>
      <c r="O34380" s="36" t="s">
        <v>48</v>
      </c>
      <c r="R34380" s="36" t="s">
        <v>48</v>
      </c>
    </row>
    <row r="34381">
      <c r="H34381" s="50"/>
      <c r="I34381" s="50"/>
      <c r="O34381" s="36" t="s">
        <v>48</v>
      </c>
      <c r="R34381" s="36" t="s">
        <v>48</v>
      </c>
    </row>
    <row r="34382">
      <c r="H34382" s="50"/>
      <c r="I34382" s="50"/>
      <c r="O34382" s="36" t="s">
        <v>48</v>
      </c>
      <c r="R34382" s="36" t="s">
        <v>48</v>
      </c>
    </row>
    <row r="34383">
      <c r="H34383" s="50"/>
      <c r="I34383" s="50"/>
      <c r="O34383" s="36" t="s">
        <v>48</v>
      </c>
      <c r="R34383" s="36" t="s">
        <v>48</v>
      </c>
    </row>
    <row r="34384">
      <c r="H34384" s="50"/>
      <c r="I34384" s="50"/>
      <c r="O34384" s="36" t="s">
        <v>48</v>
      </c>
      <c r="R34384" s="36" t="s">
        <v>48</v>
      </c>
    </row>
    <row r="34385">
      <c r="H34385" s="50"/>
      <c r="I34385" s="50"/>
      <c r="O34385" s="36" t="s">
        <v>48</v>
      </c>
      <c r="R34385" s="36" t="s">
        <v>48</v>
      </c>
    </row>
    <row r="34386">
      <c r="H34386" s="50"/>
      <c r="I34386" s="50"/>
      <c r="O34386" s="36" t="s">
        <v>48</v>
      </c>
      <c r="R34386" s="36" t="s">
        <v>48</v>
      </c>
    </row>
    <row r="34387">
      <c r="H34387" s="50"/>
      <c r="I34387" s="50"/>
      <c r="O34387" s="36" t="s">
        <v>48</v>
      </c>
      <c r="R34387" s="36" t="s">
        <v>48</v>
      </c>
    </row>
    <row r="34388">
      <c r="H34388" s="50"/>
      <c r="I34388" s="50"/>
      <c r="O34388" s="36" t="s">
        <v>48</v>
      </c>
      <c r="R34388" s="36" t="s">
        <v>48</v>
      </c>
    </row>
    <row r="34389">
      <c r="H34389" s="50"/>
      <c r="I34389" s="50"/>
      <c r="O34389" s="36" t="s">
        <v>48</v>
      </c>
      <c r="R34389" s="36" t="s">
        <v>48</v>
      </c>
    </row>
    <row r="34390">
      <c r="H34390" s="50"/>
      <c r="I34390" s="50"/>
      <c r="O34390" s="36" t="s">
        <v>48</v>
      </c>
      <c r="R34390" s="36" t="s">
        <v>48</v>
      </c>
    </row>
    <row r="34391">
      <c r="H34391" s="50"/>
      <c r="I34391" s="50"/>
      <c r="O34391" s="36" t="s">
        <v>48</v>
      </c>
      <c r="R34391" s="36" t="s">
        <v>48</v>
      </c>
    </row>
    <row r="34392">
      <c r="H34392" s="50"/>
      <c r="I34392" s="50"/>
      <c r="O34392" s="36" t="s">
        <v>48</v>
      </c>
      <c r="R34392" s="36" t="s">
        <v>48</v>
      </c>
    </row>
    <row r="34393">
      <c r="H34393" s="50"/>
      <c r="I34393" s="50"/>
      <c r="O34393" s="36" t="s">
        <v>48</v>
      </c>
      <c r="R34393" s="36" t="s">
        <v>48</v>
      </c>
    </row>
    <row r="34394">
      <c r="H34394" s="50"/>
      <c r="I34394" s="50"/>
      <c r="O34394" s="36" t="s">
        <v>48</v>
      </c>
      <c r="R34394" s="36" t="s">
        <v>48</v>
      </c>
    </row>
    <row r="34395">
      <c r="H34395" s="50"/>
      <c r="I34395" s="50"/>
      <c r="O34395" s="36" t="s">
        <v>48</v>
      </c>
      <c r="R34395" s="36" t="s">
        <v>48</v>
      </c>
    </row>
    <row r="34396">
      <c r="H34396" s="50"/>
      <c r="I34396" s="50"/>
      <c r="O34396" s="36" t="s">
        <v>48</v>
      </c>
      <c r="R34396" s="36" t="s">
        <v>48</v>
      </c>
    </row>
    <row r="34397">
      <c r="H34397" s="50"/>
      <c r="I34397" s="50"/>
      <c r="O34397" s="36" t="s">
        <v>48</v>
      </c>
      <c r="R34397" s="36" t="s">
        <v>48</v>
      </c>
    </row>
    <row r="34398">
      <c r="H34398" s="50"/>
      <c r="I34398" s="50"/>
      <c r="O34398" s="36" t="s">
        <v>48</v>
      </c>
      <c r="R34398" s="36" t="s">
        <v>48</v>
      </c>
    </row>
    <row r="34399">
      <c r="H34399" s="50"/>
      <c r="I34399" s="50"/>
      <c r="O34399" s="36" t="s">
        <v>48</v>
      </c>
      <c r="R34399" s="36" t="s">
        <v>48</v>
      </c>
    </row>
    <row r="34400">
      <c r="H34400" s="50"/>
      <c r="I34400" s="50"/>
      <c r="O34400" s="36" t="s">
        <v>48</v>
      </c>
      <c r="R34400" s="36" t="s">
        <v>48</v>
      </c>
    </row>
    <row r="34401">
      <c r="H34401" s="50"/>
      <c r="I34401" s="50"/>
      <c r="O34401" s="36" t="s">
        <v>48</v>
      </c>
      <c r="R34401" s="36" t="s">
        <v>48</v>
      </c>
    </row>
    <row r="34402">
      <c r="H34402" s="50"/>
      <c r="I34402" s="50"/>
      <c r="O34402" s="36" t="s">
        <v>48</v>
      </c>
      <c r="R34402" s="36" t="s">
        <v>48</v>
      </c>
    </row>
    <row r="34403">
      <c r="H34403" s="50"/>
      <c r="I34403" s="50"/>
      <c r="O34403" s="36" t="s">
        <v>48</v>
      </c>
      <c r="R34403" s="36" t="s">
        <v>48</v>
      </c>
    </row>
    <row r="34404">
      <c r="H34404" s="50"/>
      <c r="I34404" s="50"/>
      <c r="O34404" s="36" t="s">
        <v>48</v>
      </c>
      <c r="R34404" s="36" t="s">
        <v>48</v>
      </c>
    </row>
    <row r="34405">
      <c r="H34405" s="50"/>
      <c r="I34405" s="50"/>
      <c r="O34405" s="36" t="s">
        <v>48</v>
      </c>
      <c r="R34405" s="36" t="s">
        <v>48</v>
      </c>
    </row>
    <row r="34406">
      <c r="H34406" s="50"/>
      <c r="I34406" s="50"/>
      <c r="O34406" s="36" t="s">
        <v>48</v>
      </c>
      <c r="R34406" s="36" t="s">
        <v>48</v>
      </c>
    </row>
    <row r="34407">
      <c r="H34407" s="50"/>
      <c r="I34407" s="50"/>
      <c r="O34407" s="36" t="s">
        <v>48</v>
      </c>
      <c r="R34407" s="36" t="s">
        <v>48</v>
      </c>
    </row>
    <row r="34408">
      <c r="H34408" s="50"/>
      <c r="I34408" s="50"/>
      <c r="O34408" s="36" t="s">
        <v>48</v>
      </c>
      <c r="R34408" s="36" t="s">
        <v>48</v>
      </c>
    </row>
    <row r="34409">
      <c r="H34409" s="50"/>
      <c r="I34409" s="50"/>
      <c r="O34409" s="36" t="s">
        <v>48</v>
      </c>
      <c r="R34409" s="36" t="s">
        <v>48</v>
      </c>
    </row>
    <row r="34410">
      <c r="H34410" s="50"/>
      <c r="I34410" s="50"/>
      <c r="O34410" s="36" t="s">
        <v>48</v>
      </c>
      <c r="R34410" s="36" t="s">
        <v>48</v>
      </c>
    </row>
    <row r="34411">
      <c r="H34411" s="50"/>
      <c r="I34411" s="50"/>
      <c r="O34411" s="36" t="s">
        <v>48</v>
      </c>
      <c r="R34411" s="36" t="s">
        <v>48</v>
      </c>
    </row>
    <row r="34412">
      <c r="H34412" s="50"/>
      <c r="I34412" s="50"/>
      <c r="O34412" s="36" t="s">
        <v>48</v>
      </c>
      <c r="R34412" s="36" t="s">
        <v>48</v>
      </c>
    </row>
    <row r="34413">
      <c r="H34413" s="50"/>
      <c r="I34413" s="50"/>
      <c r="O34413" s="36" t="s">
        <v>48</v>
      </c>
      <c r="R34413" s="36" t="s">
        <v>48</v>
      </c>
    </row>
    <row r="34414">
      <c r="H34414" s="50"/>
      <c r="I34414" s="50"/>
      <c r="O34414" s="36" t="s">
        <v>48</v>
      </c>
      <c r="R34414" s="36" t="s">
        <v>48</v>
      </c>
    </row>
    <row r="34415">
      <c r="H34415" s="50"/>
      <c r="I34415" s="50"/>
      <c r="O34415" s="36" t="s">
        <v>48</v>
      </c>
      <c r="R34415" s="36" t="s">
        <v>48</v>
      </c>
    </row>
    <row r="34416">
      <c r="H34416" s="50"/>
      <c r="I34416" s="50"/>
      <c r="O34416" s="36" t="s">
        <v>48</v>
      </c>
      <c r="R34416" s="36" t="s">
        <v>48</v>
      </c>
    </row>
    <row r="34417">
      <c r="H34417" s="50"/>
      <c r="I34417" s="50"/>
      <c r="O34417" s="36" t="s">
        <v>48</v>
      </c>
      <c r="R34417" s="36" t="s">
        <v>48</v>
      </c>
    </row>
    <row r="34418">
      <c r="H34418" s="50"/>
      <c r="I34418" s="50"/>
      <c r="O34418" s="36" t="s">
        <v>48</v>
      </c>
      <c r="R34418" s="36" t="s">
        <v>48</v>
      </c>
    </row>
    <row r="34419">
      <c r="H34419" s="50"/>
      <c r="I34419" s="50"/>
      <c r="O34419" s="36" t="s">
        <v>48</v>
      </c>
      <c r="R34419" s="36" t="s">
        <v>48</v>
      </c>
    </row>
    <row r="34420">
      <c r="H34420" s="50"/>
      <c r="I34420" s="50"/>
      <c r="O34420" s="36" t="s">
        <v>48</v>
      </c>
      <c r="R34420" s="36" t="s">
        <v>48</v>
      </c>
    </row>
    <row r="34421">
      <c r="H34421" s="50"/>
      <c r="I34421" s="50"/>
      <c r="O34421" s="36" t="s">
        <v>48</v>
      </c>
      <c r="R34421" s="36" t="s">
        <v>48</v>
      </c>
    </row>
    <row r="34422">
      <c r="H34422" s="50"/>
      <c r="I34422" s="50"/>
      <c r="O34422" s="36" t="s">
        <v>48</v>
      </c>
      <c r="R34422" s="36" t="s">
        <v>48</v>
      </c>
    </row>
    <row r="34423">
      <c r="H34423" s="50"/>
      <c r="I34423" s="50"/>
      <c r="O34423" s="36" t="s">
        <v>48</v>
      </c>
      <c r="R34423" s="36" t="s">
        <v>48</v>
      </c>
    </row>
    <row r="34424">
      <c r="H34424" s="50"/>
      <c r="I34424" s="50"/>
      <c r="O34424" s="36" t="s">
        <v>48</v>
      </c>
      <c r="R34424" s="36" t="s">
        <v>48</v>
      </c>
    </row>
    <row r="34425">
      <c r="H34425" s="50"/>
      <c r="I34425" s="50"/>
      <c r="O34425" s="36" t="s">
        <v>48</v>
      </c>
      <c r="R34425" s="36" t="s">
        <v>48</v>
      </c>
    </row>
    <row r="34426">
      <c r="H34426" s="50"/>
      <c r="I34426" s="50"/>
      <c r="O34426" s="36" t="s">
        <v>48</v>
      </c>
      <c r="R34426" s="36" t="s">
        <v>48</v>
      </c>
    </row>
    <row r="34427">
      <c r="H34427" s="50"/>
      <c r="I34427" s="50"/>
      <c r="O34427" s="36" t="s">
        <v>48</v>
      </c>
      <c r="R34427" s="36" t="s">
        <v>48</v>
      </c>
    </row>
    <row r="34428">
      <c r="H34428" s="50"/>
      <c r="I34428" s="50"/>
      <c r="O34428" s="36" t="s">
        <v>48</v>
      </c>
      <c r="R34428" s="36" t="s">
        <v>48</v>
      </c>
    </row>
    <row r="34429">
      <c r="H34429" s="50"/>
      <c r="I34429" s="50"/>
      <c r="O34429" s="36" t="s">
        <v>48</v>
      </c>
      <c r="R34429" s="36" t="s">
        <v>48</v>
      </c>
    </row>
    <row r="34430">
      <c r="H34430" s="50"/>
      <c r="I34430" s="50"/>
      <c r="O34430" s="36" t="s">
        <v>48</v>
      </c>
      <c r="R34430" s="36" t="s">
        <v>48</v>
      </c>
    </row>
    <row r="34431">
      <c r="H34431" s="50"/>
      <c r="I34431" s="50"/>
      <c r="O34431" s="36" t="s">
        <v>48</v>
      </c>
      <c r="R34431" s="36" t="s">
        <v>48</v>
      </c>
    </row>
    <row r="34432">
      <c r="H34432" s="50"/>
      <c r="I34432" s="50"/>
      <c r="O34432" s="36" t="s">
        <v>48</v>
      </c>
      <c r="R34432" s="36" t="s">
        <v>48</v>
      </c>
    </row>
    <row r="34433">
      <c r="H34433" s="50"/>
      <c r="I34433" s="50"/>
      <c r="O34433" s="36" t="s">
        <v>48</v>
      </c>
      <c r="R34433" s="36" t="s">
        <v>48</v>
      </c>
    </row>
    <row r="34434">
      <c r="H34434" s="50"/>
      <c r="I34434" s="50"/>
      <c r="O34434" s="36" t="s">
        <v>48</v>
      </c>
      <c r="R34434" s="36" t="s">
        <v>48</v>
      </c>
    </row>
    <row r="34435">
      <c r="H34435" s="50"/>
      <c r="I34435" s="50"/>
      <c r="O34435" s="36" t="s">
        <v>48</v>
      </c>
      <c r="R34435" s="36" t="s">
        <v>48</v>
      </c>
    </row>
    <row r="34436">
      <c r="H34436" s="50"/>
      <c r="I34436" s="50"/>
      <c r="O34436" s="36" t="s">
        <v>48</v>
      </c>
      <c r="R34436" s="36" t="s">
        <v>48</v>
      </c>
    </row>
    <row r="34437">
      <c r="H34437" s="50"/>
      <c r="I34437" s="50"/>
      <c r="O34437" s="36" t="s">
        <v>48</v>
      </c>
      <c r="R34437" s="36" t="s">
        <v>48</v>
      </c>
    </row>
    <row r="34438">
      <c r="H34438" s="50"/>
      <c r="I34438" s="50"/>
      <c r="O34438" s="36" t="s">
        <v>48</v>
      </c>
      <c r="R34438" s="36" t="s">
        <v>48</v>
      </c>
    </row>
    <row r="34439">
      <c r="H34439" s="50"/>
      <c r="I34439" s="50"/>
      <c r="O34439" s="36" t="s">
        <v>48</v>
      </c>
      <c r="R34439" s="36" t="s">
        <v>48</v>
      </c>
    </row>
    <row r="34440">
      <c r="H34440" s="50"/>
      <c r="I34440" s="50"/>
      <c r="O34440" s="36" t="s">
        <v>48</v>
      </c>
      <c r="R34440" s="36" t="s">
        <v>48</v>
      </c>
    </row>
    <row r="34441">
      <c r="H34441" s="50"/>
      <c r="I34441" s="50"/>
      <c r="O34441" s="36" t="s">
        <v>48</v>
      </c>
      <c r="R34441" s="36" t="s">
        <v>48</v>
      </c>
    </row>
    <row r="34442">
      <c r="H34442" s="50"/>
      <c r="I34442" s="50"/>
      <c r="O34442" s="36" t="s">
        <v>48</v>
      </c>
      <c r="R34442" s="36" t="s">
        <v>48</v>
      </c>
    </row>
    <row r="34443">
      <c r="H34443" s="50"/>
      <c r="I34443" s="50"/>
      <c r="O34443" s="36" t="s">
        <v>48</v>
      </c>
      <c r="R34443" s="36" t="s">
        <v>48</v>
      </c>
    </row>
    <row r="34444">
      <c r="H34444" s="50"/>
      <c r="I34444" s="50"/>
      <c r="O34444" s="36" t="s">
        <v>48</v>
      </c>
      <c r="R34444" s="36" t="s">
        <v>48</v>
      </c>
    </row>
    <row r="34445">
      <c r="H34445" s="50"/>
      <c r="I34445" s="50"/>
      <c r="O34445" s="36" t="s">
        <v>48</v>
      </c>
      <c r="R34445" s="36" t="s">
        <v>48</v>
      </c>
    </row>
    <row r="34446">
      <c r="H34446" s="50"/>
      <c r="I34446" s="50"/>
      <c r="O34446" s="36" t="s">
        <v>48</v>
      </c>
      <c r="R34446" s="36" t="s">
        <v>48</v>
      </c>
    </row>
    <row r="34447">
      <c r="H34447" s="50"/>
      <c r="I34447" s="50"/>
      <c r="O34447" s="36" t="s">
        <v>48</v>
      </c>
      <c r="R34447" s="36" t="s">
        <v>48</v>
      </c>
    </row>
    <row r="34448">
      <c r="H34448" s="50"/>
      <c r="I34448" s="50"/>
      <c r="O34448" s="36" t="s">
        <v>48</v>
      </c>
      <c r="R34448" s="36" t="s">
        <v>48</v>
      </c>
    </row>
    <row r="34449">
      <c r="H34449" s="50"/>
      <c r="I34449" s="50"/>
      <c r="O34449" s="36" t="s">
        <v>48</v>
      </c>
      <c r="R34449" s="36" t="s">
        <v>48</v>
      </c>
    </row>
    <row r="34450">
      <c r="H34450" s="50"/>
      <c r="I34450" s="50"/>
      <c r="O34450" s="36" t="s">
        <v>48</v>
      </c>
      <c r="R34450" s="36" t="s">
        <v>48</v>
      </c>
    </row>
    <row r="34451">
      <c r="H34451" s="50"/>
      <c r="I34451" s="50"/>
      <c r="O34451" s="36" t="s">
        <v>48</v>
      </c>
      <c r="R34451" s="36" t="s">
        <v>48</v>
      </c>
    </row>
    <row r="34452">
      <c r="H34452" s="50"/>
      <c r="I34452" s="50"/>
      <c r="O34452" s="36" t="s">
        <v>48</v>
      </c>
      <c r="R34452" s="36" t="s">
        <v>48</v>
      </c>
    </row>
    <row r="34453">
      <c r="H34453" s="50"/>
      <c r="I34453" s="50"/>
      <c r="O34453" s="36" t="s">
        <v>48</v>
      </c>
      <c r="R34453" s="36" t="s">
        <v>48</v>
      </c>
    </row>
    <row r="34454">
      <c r="H34454" s="50"/>
      <c r="I34454" s="50"/>
      <c r="O34454" s="36" t="s">
        <v>48</v>
      </c>
      <c r="R34454" s="36" t="s">
        <v>48</v>
      </c>
    </row>
    <row r="34455">
      <c r="H34455" s="50"/>
      <c r="I34455" s="50"/>
      <c r="O34455" s="36" t="s">
        <v>48</v>
      </c>
      <c r="R34455" s="36" t="s">
        <v>48</v>
      </c>
    </row>
    <row r="34456">
      <c r="H34456" s="50"/>
      <c r="I34456" s="50"/>
      <c r="O34456" s="36" t="s">
        <v>48</v>
      </c>
      <c r="R34456" s="36" t="s">
        <v>48</v>
      </c>
    </row>
    <row r="34457">
      <c r="H34457" s="50"/>
      <c r="I34457" s="50"/>
      <c r="O34457" s="36" t="s">
        <v>48</v>
      </c>
      <c r="R34457" s="36" t="s">
        <v>48</v>
      </c>
    </row>
    <row r="34458">
      <c r="H34458" s="50"/>
      <c r="I34458" s="50"/>
      <c r="O34458" s="36" t="s">
        <v>48</v>
      </c>
      <c r="R34458" s="36" t="s">
        <v>48</v>
      </c>
    </row>
    <row r="34459">
      <c r="H34459" s="50"/>
      <c r="I34459" s="50"/>
      <c r="O34459" s="36" t="s">
        <v>48</v>
      </c>
      <c r="R34459" s="36" t="s">
        <v>48</v>
      </c>
    </row>
    <row r="34460">
      <c r="H34460" s="50"/>
      <c r="I34460" s="50"/>
      <c r="O34460" s="36" t="s">
        <v>48</v>
      </c>
      <c r="R34460" s="36" t="s">
        <v>48</v>
      </c>
    </row>
    <row r="34461">
      <c r="H34461" s="50"/>
      <c r="I34461" s="50"/>
      <c r="O34461" s="36" t="s">
        <v>48</v>
      </c>
      <c r="R34461" s="36" t="s">
        <v>48</v>
      </c>
    </row>
    <row r="34462">
      <c r="H34462" s="50"/>
      <c r="I34462" s="50"/>
      <c r="O34462" s="36" t="s">
        <v>48</v>
      </c>
      <c r="R34462" s="36" t="s">
        <v>48</v>
      </c>
    </row>
    <row r="34463">
      <c r="H34463" s="50"/>
      <c r="I34463" s="50"/>
      <c r="O34463" s="36" t="s">
        <v>48</v>
      </c>
      <c r="R34463" s="36" t="s">
        <v>48</v>
      </c>
    </row>
    <row r="34464">
      <c r="H34464" s="50"/>
      <c r="I34464" s="50"/>
      <c r="O34464" s="36" t="s">
        <v>48</v>
      </c>
      <c r="R34464" s="36" t="s">
        <v>48</v>
      </c>
    </row>
    <row r="34465">
      <c r="H34465" s="50"/>
      <c r="I34465" s="50"/>
      <c r="O34465" s="36" t="s">
        <v>48</v>
      </c>
      <c r="R34465" s="36" t="s">
        <v>48</v>
      </c>
    </row>
    <row r="34466">
      <c r="H34466" s="50"/>
      <c r="I34466" s="50"/>
      <c r="O34466" s="36" t="s">
        <v>48</v>
      </c>
      <c r="R34466" s="36" t="s">
        <v>48</v>
      </c>
    </row>
    <row r="34467">
      <c r="H34467" s="50"/>
      <c r="I34467" s="50"/>
      <c r="O34467" s="36" t="s">
        <v>48</v>
      </c>
      <c r="R34467" s="36" t="s">
        <v>48</v>
      </c>
    </row>
    <row r="34468">
      <c r="H34468" s="50"/>
      <c r="I34468" s="50"/>
      <c r="O34468" s="36" t="s">
        <v>48</v>
      </c>
      <c r="R34468" s="36" t="s">
        <v>48</v>
      </c>
    </row>
    <row r="34469">
      <c r="H34469" s="50"/>
      <c r="I34469" s="50"/>
      <c r="O34469" s="36" t="s">
        <v>48</v>
      </c>
      <c r="R34469" s="36" t="s">
        <v>48</v>
      </c>
    </row>
    <row r="34470">
      <c r="H34470" s="50"/>
      <c r="I34470" s="50"/>
      <c r="O34470" s="36" t="s">
        <v>48</v>
      </c>
      <c r="R34470" s="36" t="s">
        <v>48</v>
      </c>
    </row>
    <row r="34471">
      <c r="H34471" s="50"/>
      <c r="I34471" s="50"/>
      <c r="O34471" s="36" t="s">
        <v>48</v>
      </c>
      <c r="R34471" s="36" t="s">
        <v>48</v>
      </c>
    </row>
    <row r="34472">
      <c r="H34472" s="50"/>
      <c r="I34472" s="50"/>
      <c r="O34472" s="36" t="s">
        <v>48</v>
      </c>
      <c r="R34472" s="36" t="s">
        <v>48</v>
      </c>
    </row>
    <row r="34473">
      <c r="H34473" s="50"/>
      <c r="I34473" s="50"/>
      <c r="O34473" s="36" t="s">
        <v>48</v>
      </c>
      <c r="R34473" s="36" t="s">
        <v>48</v>
      </c>
    </row>
    <row r="34474">
      <c r="H34474" s="50"/>
      <c r="I34474" s="50"/>
      <c r="O34474" s="36" t="s">
        <v>48</v>
      </c>
      <c r="R34474" s="36" t="s">
        <v>48</v>
      </c>
    </row>
    <row r="34475">
      <c r="H34475" s="50"/>
      <c r="I34475" s="50"/>
      <c r="O34475" s="36" t="s">
        <v>48</v>
      </c>
      <c r="R34475" s="36" t="s">
        <v>48</v>
      </c>
    </row>
    <row r="34476">
      <c r="H34476" s="50"/>
      <c r="I34476" s="50"/>
      <c r="O34476" s="36" t="s">
        <v>48</v>
      </c>
      <c r="R34476" s="36" t="s">
        <v>48</v>
      </c>
    </row>
    <row r="34477">
      <c r="H34477" s="50"/>
      <c r="I34477" s="50"/>
      <c r="O34477" s="36" t="s">
        <v>48</v>
      </c>
      <c r="R34477" s="36" t="s">
        <v>48</v>
      </c>
    </row>
    <row r="34478">
      <c r="H34478" s="50"/>
      <c r="I34478" s="50"/>
      <c r="O34478" s="36" t="s">
        <v>48</v>
      </c>
      <c r="R34478" s="36" t="s">
        <v>48</v>
      </c>
    </row>
    <row r="34479">
      <c r="H34479" s="50"/>
      <c r="I34479" s="50"/>
      <c r="O34479" s="36" t="s">
        <v>48</v>
      </c>
      <c r="R34479" s="36" t="s">
        <v>48</v>
      </c>
    </row>
    <row r="34480">
      <c r="H34480" s="50"/>
      <c r="I34480" s="50"/>
      <c r="O34480" s="36" t="s">
        <v>48</v>
      </c>
      <c r="R34480" s="36" t="s">
        <v>48</v>
      </c>
    </row>
    <row r="34481">
      <c r="H34481" s="50"/>
      <c r="I34481" s="50"/>
      <c r="O34481" s="36" t="s">
        <v>48</v>
      </c>
      <c r="R34481" s="36" t="s">
        <v>48</v>
      </c>
    </row>
    <row r="34482">
      <c r="H34482" s="50"/>
      <c r="I34482" s="50"/>
      <c r="O34482" s="36" t="s">
        <v>48</v>
      </c>
      <c r="R34482" s="36" t="s">
        <v>48</v>
      </c>
    </row>
    <row r="34483">
      <c r="H34483" s="50"/>
      <c r="I34483" s="50"/>
      <c r="O34483" s="36" t="s">
        <v>48</v>
      </c>
      <c r="R34483" s="36" t="s">
        <v>48</v>
      </c>
    </row>
    <row r="34484">
      <c r="H34484" s="50"/>
      <c r="I34484" s="50"/>
      <c r="O34484" s="36" t="s">
        <v>48</v>
      </c>
      <c r="R34484" s="36" t="s">
        <v>48</v>
      </c>
    </row>
    <row r="34485">
      <c r="H34485" s="50"/>
      <c r="I34485" s="50"/>
      <c r="O34485" s="36" t="s">
        <v>48</v>
      </c>
      <c r="R34485" s="36" t="s">
        <v>48</v>
      </c>
    </row>
    <row r="34486">
      <c r="H34486" s="50"/>
      <c r="I34486" s="50"/>
      <c r="O34486" s="36" t="s">
        <v>48</v>
      </c>
      <c r="R34486" s="36" t="s">
        <v>48</v>
      </c>
    </row>
    <row r="34487">
      <c r="H34487" s="50"/>
      <c r="I34487" s="50"/>
      <c r="O34487" s="36" t="s">
        <v>48</v>
      </c>
      <c r="R34487" s="36" t="s">
        <v>48</v>
      </c>
    </row>
    <row r="34488">
      <c r="H34488" s="50"/>
      <c r="I34488" s="50"/>
      <c r="O34488" s="36" t="s">
        <v>48</v>
      </c>
      <c r="R34488" s="36" t="s">
        <v>48</v>
      </c>
    </row>
    <row r="34489">
      <c r="H34489" s="50"/>
      <c r="I34489" s="50"/>
      <c r="O34489" s="36" t="s">
        <v>48</v>
      </c>
      <c r="R34489" s="36" t="s">
        <v>48</v>
      </c>
    </row>
    <row r="34490">
      <c r="H34490" s="50"/>
      <c r="I34490" s="50"/>
      <c r="O34490" s="36" t="s">
        <v>48</v>
      </c>
      <c r="R34490" s="36" t="s">
        <v>48</v>
      </c>
    </row>
    <row r="34491">
      <c r="H34491" s="50"/>
      <c r="I34491" s="50"/>
      <c r="O34491" s="36" t="s">
        <v>48</v>
      </c>
      <c r="R34491" s="36" t="s">
        <v>48</v>
      </c>
    </row>
    <row r="34492">
      <c r="H34492" s="50"/>
      <c r="I34492" s="50"/>
      <c r="O34492" s="36" t="s">
        <v>48</v>
      </c>
      <c r="R34492" s="36" t="s">
        <v>48</v>
      </c>
    </row>
    <row r="34493">
      <c r="H34493" s="50"/>
      <c r="I34493" s="50"/>
      <c r="O34493" s="36" t="s">
        <v>48</v>
      </c>
      <c r="R34493" s="36" t="s">
        <v>48</v>
      </c>
    </row>
    <row r="34494">
      <c r="H34494" s="50"/>
      <c r="I34494" s="50"/>
      <c r="O34494" s="36" t="s">
        <v>48</v>
      </c>
      <c r="R34494" s="36" t="s">
        <v>48</v>
      </c>
    </row>
    <row r="34495">
      <c r="H34495" s="50"/>
      <c r="I34495" s="50"/>
      <c r="O34495" s="36" t="s">
        <v>48</v>
      </c>
      <c r="R34495" s="36" t="s">
        <v>48</v>
      </c>
    </row>
    <row r="34496">
      <c r="H34496" s="50"/>
      <c r="I34496" s="50"/>
      <c r="O34496" s="36" t="s">
        <v>48</v>
      </c>
      <c r="R34496" s="36" t="s">
        <v>48</v>
      </c>
    </row>
    <row r="34497">
      <c r="H34497" s="50"/>
      <c r="I34497" s="50"/>
      <c r="O34497" s="36" t="s">
        <v>48</v>
      </c>
      <c r="R34497" s="36" t="s">
        <v>48</v>
      </c>
    </row>
    <row r="34498">
      <c r="H34498" s="50"/>
      <c r="I34498" s="50"/>
      <c r="O34498" s="36" t="s">
        <v>48</v>
      </c>
      <c r="R34498" s="36" t="s">
        <v>48</v>
      </c>
    </row>
    <row r="34499">
      <c r="H34499" s="50"/>
      <c r="I34499" s="50"/>
      <c r="O34499" s="36" t="s">
        <v>48</v>
      </c>
      <c r="R34499" s="36" t="s">
        <v>48</v>
      </c>
    </row>
    <row r="34500">
      <c r="H34500" s="50"/>
      <c r="I34500" s="50"/>
      <c r="O34500" s="36" t="s">
        <v>48</v>
      </c>
      <c r="R34500" s="36" t="s">
        <v>48</v>
      </c>
    </row>
    <row r="34501">
      <c r="H34501" s="50"/>
      <c r="I34501" s="50"/>
      <c r="O34501" s="36" t="s">
        <v>48</v>
      </c>
      <c r="R34501" s="36" t="s">
        <v>48</v>
      </c>
    </row>
    <row r="34502">
      <c r="H34502" s="50"/>
      <c r="I34502" s="50"/>
      <c r="O34502" s="36" t="s">
        <v>48</v>
      </c>
      <c r="R34502" s="36" t="s">
        <v>48</v>
      </c>
    </row>
    <row r="34503">
      <c r="H34503" s="50"/>
      <c r="I34503" s="50"/>
      <c r="O34503" s="36" t="s">
        <v>48</v>
      </c>
      <c r="R34503" s="36" t="s">
        <v>48</v>
      </c>
    </row>
    <row r="34504">
      <c r="H34504" s="50"/>
      <c r="I34504" s="50"/>
      <c r="O34504" s="36" t="s">
        <v>48</v>
      </c>
      <c r="R34504" s="36" t="s">
        <v>48</v>
      </c>
    </row>
    <row r="34505">
      <c r="H34505" s="50"/>
      <c r="I34505" s="50"/>
      <c r="O34505" s="36" t="s">
        <v>48</v>
      </c>
      <c r="R34505" s="36" t="s">
        <v>48</v>
      </c>
    </row>
    <row r="34506">
      <c r="H34506" s="50"/>
      <c r="I34506" s="50"/>
      <c r="O34506" s="36" t="s">
        <v>48</v>
      </c>
      <c r="R34506" s="36" t="s">
        <v>48</v>
      </c>
    </row>
    <row r="34507">
      <c r="H34507" s="50"/>
      <c r="I34507" s="50"/>
      <c r="O34507" s="36" t="s">
        <v>48</v>
      </c>
      <c r="R34507" s="36" t="s">
        <v>48</v>
      </c>
    </row>
    <row r="34508">
      <c r="H34508" s="50"/>
      <c r="I34508" s="50"/>
      <c r="O34508" s="36" t="s">
        <v>48</v>
      </c>
      <c r="R34508" s="36" t="s">
        <v>48</v>
      </c>
    </row>
    <row r="34509">
      <c r="H34509" s="50"/>
      <c r="I34509" s="50"/>
      <c r="O34509" s="36" t="s">
        <v>48</v>
      </c>
      <c r="R34509" s="36" t="s">
        <v>48</v>
      </c>
    </row>
    <row r="34510">
      <c r="H34510" s="50"/>
      <c r="I34510" s="50"/>
      <c r="O34510" s="36" t="s">
        <v>48</v>
      </c>
      <c r="R34510" s="36" t="s">
        <v>48</v>
      </c>
    </row>
    <row r="34511">
      <c r="H34511" s="50"/>
      <c r="I34511" s="50"/>
      <c r="O34511" s="36" t="s">
        <v>48</v>
      </c>
      <c r="R34511" s="36" t="s">
        <v>48</v>
      </c>
    </row>
    <row r="34512">
      <c r="H34512" s="50"/>
      <c r="I34512" s="50"/>
      <c r="O34512" s="36" t="s">
        <v>48</v>
      </c>
      <c r="R34512" s="36" t="s">
        <v>48</v>
      </c>
    </row>
    <row r="34513">
      <c r="H34513" s="50"/>
      <c r="I34513" s="50"/>
      <c r="O34513" s="36" t="s">
        <v>48</v>
      </c>
      <c r="R34513" s="36" t="s">
        <v>48</v>
      </c>
    </row>
    <row r="34514">
      <c r="H34514" s="50"/>
      <c r="I34514" s="50"/>
      <c r="O34514" s="36" t="s">
        <v>48</v>
      </c>
      <c r="R34514" s="36" t="s">
        <v>48</v>
      </c>
    </row>
    <row r="34515">
      <c r="H34515" s="50"/>
      <c r="I34515" s="50"/>
      <c r="O34515" s="36" t="s">
        <v>48</v>
      </c>
      <c r="R34515" s="36" t="s">
        <v>48</v>
      </c>
    </row>
    <row r="34516">
      <c r="H34516" s="50"/>
      <c r="I34516" s="50"/>
      <c r="O34516" s="36" t="s">
        <v>48</v>
      </c>
      <c r="R34516" s="36" t="s">
        <v>48</v>
      </c>
    </row>
    <row r="34517">
      <c r="H34517" s="50"/>
      <c r="I34517" s="50"/>
      <c r="O34517" s="36" t="s">
        <v>48</v>
      </c>
      <c r="R34517" s="36" t="s">
        <v>48</v>
      </c>
    </row>
    <row r="34518">
      <c r="H34518" s="50"/>
      <c r="I34518" s="50"/>
      <c r="O34518" s="36" t="s">
        <v>48</v>
      </c>
      <c r="R34518" s="36" t="s">
        <v>48</v>
      </c>
    </row>
    <row r="34519">
      <c r="H34519" s="50"/>
      <c r="I34519" s="50"/>
      <c r="O34519" s="36" t="s">
        <v>48</v>
      </c>
      <c r="R34519" s="36" t="s">
        <v>48</v>
      </c>
    </row>
    <row r="34520">
      <c r="H34520" s="50"/>
      <c r="I34520" s="50"/>
      <c r="O34520" s="36" t="s">
        <v>48</v>
      </c>
      <c r="R34520" s="36" t="s">
        <v>48</v>
      </c>
    </row>
    <row r="34521">
      <c r="H34521" s="50"/>
      <c r="I34521" s="50"/>
      <c r="O34521" s="36" t="s">
        <v>48</v>
      </c>
      <c r="R34521" s="36" t="s">
        <v>48</v>
      </c>
    </row>
    <row r="34522">
      <c r="H34522" s="50"/>
      <c r="I34522" s="50"/>
      <c r="O34522" s="36" t="s">
        <v>48</v>
      </c>
      <c r="R34522" s="36" t="s">
        <v>48</v>
      </c>
    </row>
    <row r="34523">
      <c r="H34523" s="50"/>
      <c r="I34523" s="50"/>
      <c r="O34523" s="36" t="s">
        <v>48</v>
      </c>
      <c r="R34523" s="36" t="s">
        <v>48</v>
      </c>
    </row>
    <row r="34524">
      <c r="H34524" s="50"/>
      <c r="I34524" s="50"/>
      <c r="O34524" s="36" t="s">
        <v>48</v>
      </c>
      <c r="R34524" s="36" t="s">
        <v>48</v>
      </c>
    </row>
    <row r="34525">
      <c r="H34525" s="50"/>
      <c r="I34525" s="50"/>
      <c r="O34525" s="36" t="s">
        <v>48</v>
      </c>
      <c r="R34525" s="36" t="s">
        <v>48</v>
      </c>
    </row>
    <row r="34526">
      <c r="H34526" s="50"/>
      <c r="I34526" s="50"/>
      <c r="O34526" s="36" t="s">
        <v>48</v>
      </c>
      <c r="R34526" s="36" t="s">
        <v>48</v>
      </c>
    </row>
    <row r="34527">
      <c r="H34527" s="50"/>
      <c r="I34527" s="50"/>
      <c r="O34527" s="36" t="s">
        <v>48</v>
      </c>
      <c r="R34527" s="36" t="s">
        <v>48</v>
      </c>
    </row>
    <row r="34528">
      <c r="H34528" s="50"/>
      <c r="I34528" s="50"/>
      <c r="O34528" s="36" t="s">
        <v>48</v>
      </c>
      <c r="R34528" s="36" t="s">
        <v>48</v>
      </c>
    </row>
    <row r="34529">
      <c r="H34529" s="50"/>
      <c r="I34529" s="50"/>
      <c r="O34529" s="36" t="s">
        <v>48</v>
      </c>
      <c r="R34529" s="36" t="s">
        <v>48</v>
      </c>
    </row>
    <row r="34530">
      <c r="H34530" s="50"/>
      <c r="I34530" s="50"/>
      <c r="O34530" s="36" t="s">
        <v>48</v>
      </c>
      <c r="R34530" s="36" t="s">
        <v>48</v>
      </c>
    </row>
    <row r="34531">
      <c r="H34531" s="50"/>
      <c r="I34531" s="50"/>
      <c r="O34531" s="36" t="s">
        <v>48</v>
      </c>
      <c r="R34531" s="36" t="s">
        <v>48</v>
      </c>
    </row>
    <row r="34532">
      <c r="H34532" s="50"/>
      <c r="I34532" s="50"/>
      <c r="O34532" s="36" t="s">
        <v>48</v>
      </c>
      <c r="R34532" s="36" t="s">
        <v>48</v>
      </c>
    </row>
    <row r="34533">
      <c r="H34533" s="50"/>
      <c r="I34533" s="50"/>
      <c r="O34533" s="36" t="s">
        <v>48</v>
      </c>
      <c r="R34533" s="36" t="s">
        <v>48</v>
      </c>
    </row>
    <row r="34534">
      <c r="H34534" s="50"/>
      <c r="I34534" s="50"/>
      <c r="O34534" s="36" t="s">
        <v>48</v>
      </c>
      <c r="R34534" s="36" t="s">
        <v>48</v>
      </c>
    </row>
    <row r="34535">
      <c r="H34535" s="50"/>
      <c r="I34535" s="50"/>
      <c r="O34535" s="36" t="s">
        <v>48</v>
      </c>
      <c r="R34535" s="36" t="s">
        <v>48</v>
      </c>
    </row>
    <row r="34536">
      <c r="H34536" s="50"/>
      <c r="I34536" s="50"/>
      <c r="O34536" s="36" t="s">
        <v>48</v>
      </c>
      <c r="R34536" s="36" t="s">
        <v>48</v>
      </c>
    </row>
    <row r="34537">
      <c r="H34537" s="50"/>
      <c r="I34537" s="50"/>
      <c r="O34537" s="36" t="s">
        <v>48</v>
      </c>
      <c r="R34537" s="36" t="s">
        <v>48</v>
      </c>
    </row>
    <row r="34538">
      <c r="H34538" s="50"/>
      <c r="I34538" s="50"/>
      <c r="O34538" s="36" t="s">
        <v>48</v>
      </c>
      <c r="R34538" s="36" t="s">
        <v>48</v>
      </c>
    </row>
    <row r="34539">
      <c r="H34539" s="50"/>
      <c r="I34539" s="50"/>
      <c r="O34539" s="36" t="s">
        <v>48</v>
      </c>
      <c r="R34539" s="36" t="s">
        <v>48</v>
      </c>
    </row>
    <row r="34540">
      <c r="H34540" s="50"/>
      <c r="I34540" s="50"/>
      <c r="O34540" s="36" t="s">
        <v>48</v>
      </c>
      <c r="R34540" s="36" t="s">
        <v>48</v>
      </c>
    </row>
    <row r="34541">
      <c r="H34541" s="50"/>
      <c r="I34541" s="50"/>
      <c r="O34541" s="36" t="s">
        <v>48</v>
      </c>
      <c r="R34541" s="36" t="s">
        <v>48</v>
      </c>
    </row>
    <row r="34542">
      <c r="H34542" s="50"/>
      <c r="I34542" s="50"/>
      <c r="O34542" s="36" t="s">
        <v>48</v>
      </c>
      <c r="R34542" s="36" t="s">
        <v>48</v>
      </c>
    </row>
    <row r="34543">
      <c r="H34543" s="50"/>
      <c r="I34543" s="50"/>
      <c r="O34543" s="36" t="s">
        <v>48</v>
      </c>
      <c r="R34543" s="36" t="s">
        <v>48</v>
      </c>
    </row>
    <row r="34544">
      <c r="H34544" s="50"/>
      <c r="I34544" s="50"/>
      <c r="O34544" s="36" t="s">
        <v>48</v>
      </c>
      <c r="R34544" s="36" t="s">
        <v>48</v>
      </c>
    </row>
    <row r="34545">
      <c r="H34545" s="50"/>
      <c r="I34545" s="50"/>
      <c r="O34545" s="36" t="s">
        <v>48</v>
      </c>
      <c r="R34545" s="36" t="s">
        <v>48</v>
      </c>
    </row>
    <row r="34546">
      <c r="H34546" s="50"/>
      <c r="I34546" s="50"/>
      <c r="O34546" s="36" t="s">
        <v>48</v>
      </c>
      <c r="R34546" s="36" t="s">
        <v>48</v>
      </c>
    </row>
    <row r="34547">
      <c r="H34547" s="50"/>
      <c r="I34547" s="50"/>
      <c r="O34547" s="36" t="s">
        <v>48</v>
      </c>
      <c r="R34547" s="36" t="s">
        <v>48</v>
      </c>
    </row>
    <row r="34548">
      <c r="H34548" s="50"/>
      <c r="I34548" s="50"/>
      <c r="O34548" s="36" t="s">
        <v>48</v>
      </c>
      <c r="R34548" s="36" t="s">
        <v>48</v>
      </c>
    </row>
    <row r="34549">
      <c r="H34549" s="50"/>
      <c r="I34549" s="50"/>
      <c r="O34549" s="36" t="s">
        <v>48</v>
      </c>
      <c r="R34549" s="36" t="s">
        <v>48</v>
      </c>
    </row>
    <row r="34550">
      <c r="H34550" s="50"/>
      <c r="I34550" s="50"/>
      <c r="O34550" s="36" t="s">
        <v>48</v>
      </c>
      <c r="R34550" s="36" t="s">
        <v>48</v>
      </c>
    </row>
    <row r="34551">
      <c r="H34551" s="50"/>
      <c r="I34551" s="50"/>
      <c r="O34551" s="36" t="s">
        <v>48</v>
      </c>
      <c r="R34551" s="36" t="s">
        <v>48</v>
      </c>
    </row>
    <row r="34552">
      <c r="H34552" s="50"/>
      <c r="I34552" s="50"/>
      <c r="O34552" s="36" t="s">
        <v>48</v>
      </c>
      <c r="R34552" s="36" t="s">
        <v>48</v>
      </c>
    </row>
    <row r="34553">
      <c r="H34553" s="50"/>
      <c r="I34553" s="50"/>
      <c r="O34553" s="36" t="s">
        <v>48</v>
      </c>
      <c r="R34553" s="36" t="s">
        <v>48</v>
      </c>
    </row>
    <row r="34554">
      <c r="H34554" s="50"/>
      <c r="I34554" s="50"/>
      <c r="O34554" s="36" t="s">
        <v>48</v>
      </c>
      <c r="R34554" s="36" t="s">
        <v>48</v>
      </c>
    </row>
    <row r="34555">
      <c r="H34555" s="50"/>
      <c r="I34555" s="50"/>
      <c r="O34555" s="36" t="s">
        <v>48</v>
      </c>
      <c r="R34555" s="36" t="s">
        <v>48</v>
      </c>
    </row>
    <row r="34556">
      <c r="H34556" s="50"/>
      <c r="I34556" s="50"/>
      <c r="O34556" s="36" t="s">
        <v>48</v>
      </c>
      <c r="R34556" s="36" t="s">
        <v>48</v>
      </c>
    </row>
    <row r="34557">
      <c r="H34557" s="50"/>
      <c r="I34557" s="50"/>
      <c r="O34557" s="36" t="s">
        <v>48</v>
      </c>
      <c r="R34557" s="36" t="s">
        <v>48</v>
      </c>
    </row>
    <row r="34558">
      <c r="H34558" s="50"/>
      <c r="I34558" s="50"/>
      <c r="O34558" s="36" t="s">
        <v>48</v>
      </c>
      <c r="R34558" s="36" t="s">
        <v>48</v>
      </c>
    </row>
    <row r="34559">
      <c r="H34559" s="50"/>
      <c r="I34559" s="50"/>
      <c r="O34559" s="36" t="s">
        <v>48</v>
      </c>
      <c r="R34559" s="36" t="s">
        <v>48</v>
      </c>
    </row>
    <row r="34560">
      <c r="H34560" s="50"/>
      <c r="I34560" s="50"/>
      <c r="O34560" s="36" t="s">
        <v>48</v>
      </c>
      <c r="R34560" s="36" t="s">
        <v>48</v>
      </c>
    </row>
    <row r="34561">
      <c r="H34561" s="50"/>
      <c r="I34561" s="50"/>
      <c r="O34561" s="36" t="s">
        <v>48</v>
      </c>
      <c r="R34561" s="36" t="s">
        <v>48</v>
      </c>
    </row>
    <row r="34562">
      <c r="H34562" s="50"/>
      <c r="I34562" s="50"/>
      <c r="O34562" s="36" t="s">
        <v>48</v>
      </c>
      <c r="R34562" s="36" t="s">
        <v>48</v>
      </c>
    </row>
    <row r="34563">
      <c r="H34563" s="50"/>
      <c r="I34563" s="50"/>
      <c r="O34563" s="36" t="s">
        <v>48</v>
      </c>
      <c r="R34563" s="36" t="s">
        <v>48</v>
      </c>
    </row>
    <row r="34564">
      <c r="H34564" s="50"/>
      <c r="I34564" s="50"/>
      <c r="O34564" s="36" t="s">
        <v>48</v>
      </c>
      <c r="R34564" s="36" t="s">
        <v>48</v>
      </c>
    </row>
    <row r="34565">
      <c r="H34565" s="50"/>
      <c r="I34565" s="50"/>
      <c r="O34565" s="36" t="s">
        <v>48</v>
      </c>
      <c r="R34565" s="36" t="s">
        <v>48</v>
      </c>
    </row>
    <row r="34566">
      <c r="H34566" s="50"/>
      <c r="I34566" s="50"/>
      <c r="O34566" s="36" t="s">
        <v>48</v>
      </c>
      <c r="R34566" s="36" t="s">
        <v>48</v>
      </c>
    </row>
    <row r="34567">
      <c r="H34567" s="50"/>
      <c r="I34567" s="50"/>
      <c r="O34567" s="36" t="s">
        <v>48</v>
      </c>
      <c r="R34567" s="36" t="s">
        <v>48</v>
      </c>
    </row>
    <row r="34568">
      <c r="H34568" s="50"/>
      <c r="I34568" s="50"/>
      <c r="O34568" s="36" t="s">
        <v>48</v>
      </c>
      <c r="R34568" s="36" t="s">
        <v>48</v>
      </c>
    </row>
    <row r="34569">
      <c r="H34569" s="50"/>
      <c r="I34569" s="50"/>
      <c r="O34569" s="36" t="s">
        <v>48</v>
      </c>
      <c r="R34569" s="36" t="s">
        <v>48</v>
      </c>
    </row>
    <row r="34570">
      <c r="H34570" s="50"/>
      <c r="I34570" s="50"/>
      <c r="O34570" s="36" t="s">
        <v>48</v>
      </c>
      <c r="R34570" s="36" t="s">
        <v>48</v>
      </c>
    </row>
    <row r="34571">
      <c r="H34571" s="50"/>
      <c r="I34571" s="50"/>
      <c r="O34571" s="36" t="s">
        <v>48</v>
      </c>
      <c r="R34571" s="36" t="s">
        <v>48</v>
      </c>
    </row>
    <row r="34572">
      <c r="H34572" s="50"/>
      <c r="I34572" s="50"/>
      <c r="O34572" s="36" t="s">
        <v>48</v>
      </c>
      <c r="R34572" s="36" t="s">
        <v>48</v>
      </c>
    </row>
    <row r="34573">
      <c r="H34573" s="50"/>
      <c r="I34573" s="50"/>
      <c r="O34573" s="36" t="s">
        <v>48</v>
      </c>
      <c r="R34573" s="36" t="s">
        <v>48</v>
      </c>
    </row>
    <row r="34574">
      <c r="H34574" s="50"/>
      <c r="I34574" s="50"/>
      <c r="O34574" s="36" t="s">
        <v>48</v>
      </c>
      <c r="R34574" s="36" t="s">
        <v>48</v>
      </c>
    </row>
    <row r="34575">
      <c r="H34575" s="50"/>
      <c r="I34575" s="50"/>
      <c r="O34575" s="36" t="s">
        <v>48</v>
      </c>
      <c r="R34575" s="36" t="s">
        <v>48</v>
      </c>
    </row>
    <row r="34576">
      <c r="H34576" s="50"/>
      <c r="I34576" s="50"/>
      <c r="O34576" s="36" t="s">
        <v>48</v>
      </c>
      <c r="R34576" s="36" t="s">
        <v>48</v>
      </c>
    </row>
    <row r="34577">
      <c r="H34577" s="50"/>
      <c r="I34577" s="50"/>
      <c r="O34577" s="36" t="s">
        <v>48</v>
      </c>
      <c r="R34577" s="36" t="s">
        <v>48</v>
      </c>
    </row>
    <row r="34578">
      <c r="H34578" s="50"/>
      <c r="I34578" s="50"/>
      <c r="O34578" s="36" t="s">
        <v>48</v>
      </c>
      <c r="R34578" s="36" t="s">
        <v>48</v>
      </c>
    </row>
    <row r="34579">
      <c r="H34579" s="50"/>
      <c r="I34579" s="50"/>
      <c r="O34579" s="36" t="s">
        <v>48</v>
      </c>
      <c r="R34579" s="36" t="s">
        <v>48</v>
      </c>
    </row>
    <row r="34580">
      <c r="H34580" s="50"/>
      <c r="I34580" s="50"/>
      <c r="O34580" s="36" t="s">
        <v>48</v>
      </c>
      <c r="R34580" s="36" t="s">
        <v>48</v>
      </c>
    </row>
    <row r="34581">
      <c r="H34581" s="50"/>
      <c r="I34581" s="50"/>
      <c r="O34581" s="36" t="s">
        <v>48</v>
      </c>
      <c r="R34581" s="36" t="s">
        <v>48</v>
      </c>
    </row>
    <row r="34582">
      <c r="H34582" s="50"/>
      <c r="I34582" s="50"/>
      <c r="O34582" s="36" t="s">
        <v>48</v>
      </c>
      <c r="R34582" s="36" t="s">
        <v>48</v>
      </c>
    </row>
    <row r="34583">
      <c r="H34583" s="50"/>
      <c r="I34583" s="50"/>
      <c r="O34583" s="36" t="s">
        <v>48</v>
      </c>
      <c r="R34583" s="36" t="s">
        <v>48</v>
      </c>
    </row>
    <row r="34584">
      <c r="H34584" s="50"/>
      <c r="I34584" s="50"/>
      <c r="O34584" s="36" t="s">
        <v>48</v>
      </c>
      <c r="R34584" s="36" t="s">
        <v>48</v>
      </c>
    </row>
    <row r="34585">
      <c r="H34585" s="50"/>
      <c r="I34585" s="50"/>
      <c r="O34585" s="36" t="s">
        <v>48</v>
      </c>
      <c r="R34585" s="36" t="s">
        <v>48</v>
      </c>
    </row>
    <row r="34586">
      <c r="H34586" s="50"/>
      <c r="I34586" s="50"/>
      <c r="O34586" s="36" t="s">
        <v>48</v>
      </c>
      <c r="R34586" s="36" t="s">
        <v>48</v>
      </c>
    </row>
    <row r="34587">
      <c r="H34587" s="50"/>
      <c r="I34587" s="50"/>
      <c r="O34587" s="36" t="s">
        <v>48</v>
      </c>
      <c r="R34587" s="36" t="s">
        <v>48</v>
      </c>
    </row>
    <row r="34588">
      <c r="H34588" s="50"/>
      <c r="I34588" s="50"/>
      <c r="O34588" s="36" t="s">
        <v>48</v>
      </c>
      <c r="R34588" s="36" t="s">
        <v>48</v>
      </c>
    </row>
    <row r="34589">
      <c r="H34589" s="50"/>
      <c r="I34589" s="50"/>
      <c r="O34589" s="36" t="s">
        <v>48</v>
      </c>
      <c r="R34589" s="36" t="s">
        <v>48</v>
      </c>
    </row>
    <row r="34590">
      <c r="H34590" s="50"/>
      <c r="I34590" s="50"/>
      <c r="O34590" s="36" t="s">
        <v>48</v>
      </c>
      <c r="R34590" s="36" t="s">
        <v>48</v>
      </c>
    </row>
    <row r="34591">
      <c r="H34591" s="50"/>
      <c r="I34591" s="50"/>
      <c r="O34591" s="36" t="s">
        <v>48</v>
      </c>
      <c r="R34591" s="36" t="s">
        <v>48</v>
      </c>
    </row>
    <row r="34592">
      <c r="H34592" s="50"/>
      <c r="I34592" s="50"/>
      <c r="O34592" s="36" t="s">
        <v>48</v>
      </c>
      <c r="R34592" s="36" t="s">
        <v>48</v>
      </c>
    </row>
    <row r="34593">
      <c r="H34593" s="50"/>
      <c r="I34593" s="50"/>
      <c r="O34593" s="36" t="s">
        <v>48</v>
      </c>
      <c r="R34593" s="36" t="s">
        <v>48</v>
      </c>
    </row>
    <row r="34594">
      <c r="H34594" s="50"/>
      <c r="I34594" s="50"/>
      <c r="O34594" s="36" t="s">
        <v>48</v>
      </c>
      <c r="R34594" s="36" t="s">
        <v>48</v>
      </c>
    </row>
    <row r="34595">
      <c r="H34595" s="50"/>
      <c r="I34595" s="50"/>
      <c r="O34595" s="36" t="s">
        <v>48</v>
      </c>
      <c r="R34595" s="36" t="s">
        <v>48</v>
      </c>
    </row>
    <row r="34596">
      <c r="H34596" s="50"/>
      <c r="I34596" s="50"/>
      <c r="O34596" s="36" t="s">
        <v>48</v>
      </c>
      <c r="R34596" s="36" t="s">
        <v>48</v>
      </c>
    </row>
    <row r="34597">
      <c r="H34597" s="50"/>
      <c r="I34597" s="50"/>
      <c r="O34597" s="36" t="s">
        <v>48</v>
      </c>
      <c r="R34597" s="36" t="s">
        <v>48</v>
      </c>
    </row>
    <row r="34598">
      <c r="H34598" s="50"/>
      <c r="I34598" s="50"/>
      <c r="O34598" s="36" t="s">
        <v>48</v>
      </c>
      <c r="R34598" s="36" t="s">
        <v>48</v>
      </c>
    </row>
    <row r="34599">
      <c r="H34599" s="50"/>
      <c r="I34599" s="50"/>
      <c r="O34599" s="36" t="s">
        <v>48</v>
      </c>
      <c r="R34599" s="36" t="s">
        <v>48</v>
      </c>
    </row>
    <row r="34600">
      <c r="H34600" s="50"/>
      <c r="I34600" s="50"/>
      <c r="O34600" s="36" t="s">
        <v>48</v>
      </c>
      <c r="R34600" s="36" t="s">
        <v>48</v>
      </c>
    </row>
    <row r="34601">
      <c r="H34601" s="50"/>
      <c r="I34601" s="50"/>
      <c r="O34601" s="36" t="s">
        <v>48</v>
      </c>
      <c r="R34601" s="36" t="s">
        <v>48</v>
      </c>
    </row>
    <row r="34602">
      <c r="H34602" s="50"/>
      <c r="I34602" s="50"/>
      <c r="O34602" s="36" t="s">
        <v>48</v>
      </c>
      <c r="R34602" s="36" t="s">
        <v>48</v>
      </c>
    </row>
    <row r="34603">
      <c r="H34603" s="50"/>
      <c r="I34603" s="50"/>
      <c r="O34603" s="36" t="s">
        <v>48</v>
      </c>
      <c r="R34603" s="36" t="s">
        <v>48</v>
      </c>
    </row>
    <row r="34604">
      <c r="H34604" s="50"/>
      <c r="I34604" s="50"/>
      <c r="O34604" s="36" t="s">
        <v>48</v>
      </c>
      <c r="R34604" s="36" t="s">
        <v>48</v>
      </c>
    </row>
    <row r="34605">
      <c r="H34605" s="50"/>
      <c r="I34605" s="50"/>
      <c r="O34605" s="36" t="s">
        <v>48</v>
      </c>
      <c r="R34605" s="36" t="s">
        <v>48</v>
      </c>
    </row>
    <row r="34606">
      <c r="H34606" s="50"/>
      <c r="I34606" s="50"/>
      <c r="O34606" s="36" t="s">
        <v>48</v>
      </c>
      <c r="R34606" s="36" t="s">
        <v>48</v>
      </c>
    </row>
    <row r="34607">
      <c r="H34607" s="50"/>
      <c r="I34607" s="50"/>
      <c r="O34607" s="36" t="s">
        <v>48</v>
      </c>
      <c r="R34607" s="36" t="s">
        <v>48</v>
      </c>
    </row>
    <row r="34608">
      <c r="H34608" s="50"/>
      <c r="I34608" s="50"/>
      <c r="O34608" s="36" t="s">
        <v>48</v>
      </c>
      <c r="R34608" s="36" t="s">
        <v>48</v>
      </c>
    </row>
    <row r="34609">
      <c r="H34609" s="50"/>
      <c r="I34609" s="50"/>
      <c r="O34609" s="36" t="s">
        <v>48</v>
      </c>
      <c r="R34609" s="36" t="s">
        <v>48</v>
      </c>
    </row>
    <row r="34610">
      <c r="H34610" s="50"/>
      <c r="I34610" s="50"/>
      <c r="O34610" s="36" t="s">
        <v>48</v>
      </c>
      <c r="R34610" s="36" t="s">
        <v>48</v>
      </c>
    </row>
    <row r="34611">
      <c r="H34611" s="50"/>
      <c r="I34611" s="50"/>
      <c r="O34611" s="36" t="s">
        <v>48</v>
      </c>
      <c r="R34611" s="36" t="s">
        <v>48</v>
      </c>
    </row>
    <row r="34612">
      <c r="H34612" s="50"/>
      <c r="I34612" s="50"/>
      <c r="O34612" s="36" t="s">
        <v>48</v>
      </c>
      <c r="R34612" s="36" t="s">
        <v>48</v>
      </c>
    </row>
    <row r="34613">
      <c r="H34613" s="50"/>
      <c r="I34613" s="50"/>
      <c r="O34613" s="36" t="s">
        <v>48</v>
      </c>
      <c r="R34613" s="36" t="s">
        <v>48</v>
      </c>
    </row>
    <row r="34614">
      <c r="H34614" s="50"/>
      <c r="I34614" s="50"/>
      <c r="O34614" s="36" t="s">
        <v>48</v>
      </c>
      <c r="R34614" s="36" t="s">
        <v>48</v>
      </c>
    </row>
    <row r="34615">
      <c r="H34615" s="50"/>
      <c r="I34615" s="50"/>
      <c r="O34615" s="36" t="s">
        <v>48</v>
      </c>
      <c r="R34615" s="36" t="s">
        <v>48</v>
      </c>
    </row>
    <row r="34616">
      <c r="H34616" s="50"/>
      <c r="I34616" s="50"/>
      <c r="O34616" s="36" t="s">
        <v>48</v>
      </c>
      <c r="R34616" s="36" t="s">
        <v>48</v>
      </c>
    </row>
    <row r="34617">
      <c r="H34617" s="50"/>
      <c r="I34617" s="50"/>
      <c r="O34617" s="36" t="s">
        <v>48</v>
      </c>
      <c r="R34617" s="36" t="s">
        <v>48</v>
      </c>
    </row>
    <row r="34618">
      <c r="H34618" s="50"/>
      <c r="I34618" s="50"/>
      <c r="O34618" s="36" t="s">
        <v>48</v>
      </c>
      <c r="R34618" s="36" t="s">
        <v>48</v>
      </c>
    </row>
    <row r="34619">
      <c r="H34619" s="50"/>
      <c r="I34619" s="50"/>
      <c r="O34619" s="36" t="s">
        <v>48</v>
      </c>
      <c r="R34619" s="36" t="s">
        <v>48</v>
      </c>
    </row>
    <row r="34620">
      <c r="H34620" s="50"/>
      <c r="I34620" s="50"/>
      <c r="O34620" s="36" t="s">
        <v>48</v>
      </c>
      <c r="R34620" s="36" t="s">
        <v>48</v>
      </c>
    </row>
    <row r="34621">
      <c r="H34621" s="50"/>
      <c r="I34621" s="50"/>
      <c r="O34621" s="36" t="s">
        <v>48</v>
      </c>
      <c r="R34621" s="36" t="s">
        <v>48</v>
      </c>
    </row>
    <row r="34622">
      <c r="H34622" s="50"/>
      <c r="I34622" s="50"/>
      <c r="O34622" s="36" t="s">
        <v>48</v>
      </c>
      <c r="R34622" s="36" t="s">
        <v>48</v>
      </c>
    </row>
    <row r="34623">
      <c r="H34623" s="50"/>
      <c r="I34623" s="50"/>
      <c r="O34623" s="36" t="s">
        <v>48</v>
      </c>
      <c r="R34623" s="36" t="s">
        <v>48</v>
      </c>
    </row>
    <row r="34624">
      <c r="H34624" s="50"/>
      <c r="I34624" s="50"/>
      <c r="O34624" s="36" t="s">
        <v>48</v>
      </c>
      <c r="R34624" s="36" t="s">
        <v>48</v>
      </c>
    </row>
    <row r="34625">
      <c r="H34625" s="50"/>
      <c r="I34625" s="50"/>
      <c r="O34625" s="36" t="s">
        <v>48</v>
      </c>
      <c r="R34625" s="36" t="s">
        <v>48</v>
      </c>
    </row>
    <row r="34626">
      <c r="H34626" s="50"/>
      <c r="I34626" s="50"/>
      <c r="O34626" s="36" t="s">
        <v>48</v>
      </c>
      <c r="R34626" s="36" t="s">
        <v>48</v>
      </c>
    </row>
    <row r="34627">
      <c r="H34627" s="50"/>
      <c r="I34627" s="50"/>
      <c r="O34627" s="36" t="s">
        <v>48</v>
      </c>
      <c r="R34627" s="36" t="s">
        <v>48</v>
      </c>
    </row>
    <row r="34628">
      <c r="H34628" s="50"/>
      <c r="I34628" s="50"/>
      <c r="O34628" s="36" t="s">
        <v>48</v>
      </c>
      <c r="R34628" s="36" t="s">
        <v>48</v>
      </c>
    </row>
    <row r="34629">
      <c r="H34629" s="50"/>
      <c r="I34629" s="50"/>
      <c r="O34629" s="36" t="s">
        <v>48</v>
      </c>
      <c r="R34629" s="36" t="s">
        <v>48</v>
      </c>
    </row>
    <row r="34630">
      <c r="H34630" s="50"/>
      <c r="I34630" s="50"/>
      <c r="O34630" s="36" t="s">
        <v>48</v>
      </c>
      <c r="R34630" s="36" t="s">
        <v>48</v>
      </c>
    </row>
    <row r="34631">
      <c r="H34631" s="50"/>
      <c r="I34631" s="50"/>
      <c r="O34631" s="36" t="s">
        <v>48</v>
      </c>
      <c r="R34631" s="36" t="s">
        <v>48</v>
      </c>
    </row>
    <row r="34632">
      <c r="H34632" s="50"/>
      <c r="I34632" s="50"/>
      <c r="O34632" s="36" t="s">
        <v>48</v>
      </c>
      <c r="R34632" s="36" t="s">
        <v>48</v>
      </c>
    </row>
    <row r="34633">
      <c r="H34633" s="50"/>
      <c r="I34633" s="50"/>
      <c r="O34633" s="36" t="s">
        <v>48</v>
      </c>
      <c r="R34633" s="36" t="s">
        <v>48</v>
      </c>
    </row>
    <row r="34634">
      <c r="H34634" s="50"/>
      <c r="I34634" s="50"/>
      <c r="O34634" s="36" t="s">
        <v>48</v>
      </c>
      <c r="R34634" s="36" t="s">
        <v>48</v>
      </c>
    </row>
    <row r="34635">
      <c r="H34635" s="50"/>
      <c r="I34635" s="50"/>
      <c r="O34635" s="36" t="s">
        <v>48</v>
      </c>
      <c r="R34635" s="36" t="s">
        <v>48</v>
      </c>
    </row>
    <row r="34636">
      <c r="H34636" s="50"/>
      <c r="I34636" s="50"/>
      <c r="O34636" s="36" t="s">
        <v>48</v>
      </c>
      <c r="R34636" s="36" t="s">
        <v>48</v>
      </c>
    </row>
    <row r="34637">
      <c r="H34637" s="50"/>
      <c r="I34637" s="50"/>
      <c r="O34637" s="36" t="s">
        <v>48</v>
      </c>
      <c r="R34637" s="36" t="s">
        <v>48</v>
      </c>
    </row>
    <row r="34638">
      <c r="H34638" s="50"/>
      <c r="I34638" s="50"/>
      <c r="O34638" s="36" t="s">
        <v>48</v>
      </c>
      <c r="R34638" s="36" t="s">
        <v>48</v>
      </c>
    </row>
    <row r="34639">
      <c r="H34639" s="50"/>
      <c r="I34639" s="50"/>
      <c r="O34639" s="36" t="s">
        <v>48</v>
      </c>
      <c r="R34639" s="36" t="s">
        <v>48</v>
      </c>
    </row>
    <row r="34640">
      <c r="H34640" s="50"/>
      <c r="I34640" s="50"/>
      <c r="O34640" s="36" t="s">
        <v>48</v>
      </c>
      <c r="R34640" s="36" t="s">
        <v>48</v>
      </c>
    </row>
    <row r="34641">
      <c r="H34641" s="50"/>
      <c r="I34641" s="50"/>
      <c r="O34641" s="36" t="s">
        <v>48</v>
      </c>
      <c r="R34641" s="36" t="s">
        <v>48</v>
      </c>
    </row>
    <row r="34642">
      <c r="H34642" s="50"/>
      <c r="I34642" s="50"/>
      <c r="O34642" s="36" t="s">
        <v>48</v>
      </c>
      <c r="R34642" s="36" t="s">
        <v>48</v>
      </c>
    </row>
    <row r="34643">
      <c r="H34643" s="50"/>
      <c r="I34643" s="50"/>
      <c r="O34643" s="36" t="s">
        <v>48</v>
      </c>
      <c r="R34643" s="36" t="s">
        <v>48</v>
      </c>
    </row>
    <row r="34644">
      <c r="H34644" s="50"/>
      <c r="I34644" s="50"/>
      <c r="O34644" s="36" t="s">
        <v>48</v>
      </c>
      <c r="R34644" s="36" t="s">
        <v>48</v>
      </c>
    </row>
    <row r="34645">
      <c r="H34645" s="50"/>
      <c r="I34645" s="50"/>
      <c r="O34645" s="36" t="s">
        <v>48</v>
      </c>
      <c r="R34645" s="36" t="s">
        <v>48</v>
      </c>
    </row>
    <row r="34646">
      <c r="H34646" s="50"/>
      <c r="I34646" s="50"/>
      <c r="O34646" s="36" t="s">
        <v>48</v>
      </c>
      <c r="R34646" s="36" t="s">
        <v>48</v>
      </c>
    </row>
    <row r="34647">
      <c r="H34647" s="50"/>
      <c r="I34647" s="50"/>
      <c r="O34647" s="36" t="s">
        <v>48</v>
      </c>
      <c r="R34647" s="36" t="s">
        <v>48</v>
      </c>
    </row>
    <row r="34648">
      <c r="H34648" s="50"/>
      <c r="I34648" s="50"/>
      <c r="O34648" s="36" t="s">
        <v>48</v>
      </c>
      <c r="R34648" s="36" t="s">
        <v>48</v>
      </c>
    </row>
    <row r="34649">
      <c r="H34649" s="50"/>
      <c r="I34649" s="50"/>
      <c r="O34649" s="36" t="s">
        <v>48</v>
      </c>
      <c r="R34649" s="36" t="s">
        <v>48</v>
      </c>
    </row>
    <row r="34650">
      <c r="H34650" s="50"/>
      <c r="I34650" s="50"/>
      <c r="O34650" s="36" t="s">
        <v>48</v>
      </c>
      <c r="R34650" s="36" t="s">
        <v>48</v>
      </c>
    </row>
    <row r="34651">
      <c r="H34651" s="50"/>
      <c r="I34651" s="50"/>
      <c r="O34651" s="36" t="s">
        <v>48</v>
      </c>
      <c r="R34651" s="36" t="s">
        <v>48</v>
      </c>
    </row>
    <row r="34652">
      <c r="H34652" s="50"/>
      <c r="I34652" s="50"/>
      <c r="O34652" s="36" t="s">
        <v>48</v>
      </c>
      <c r="R34652" s="36" t="s">
        <v>48</v>
      </c>
    </row>
    <row r="34653">
      <c r="H34653" s="50"/>
      <c r="I34653" s="50"/>
      <c r="O34653" s="36" t="s">
        <v>48</v>
      </c>
      <c r="R34653" s="36" t="s">
        <v>48</v>
      </c>
    </row>
    <row r="34654">
      <c r="H34654" s="50"/>
      <c r="I34654" s="50"/>
      <c r="O34654" s="36" t="s">
        <v>48</v>
      </c>
      <c r="R34654" s="36" t="s">
        <v>48</v>
      </c>
    </row>
    <row r="34655">
      <c r="H34655" s="50"/>
      <c r="I34655" s="50"/>
      <c r="O34655" s="36" t="s">
        <v>48</v>
      </c>
      <c r="R34655" s="36" t="s">
        <v>48</v>
      </c>
    </row>
    <row r="34656">
      <c r="H34656" s="50"/>
      <c r="I34656" s="50"/>
      <c r="O34656" s="36" t="s">
        <v>48</v>
      </c>
      <c r="R34656" s="36" t="s">
        <v>48</v>
      </c>
    </row>
    <row r="34657">
      <c r="H34657" s="50"/>
      <c r="I34657" s="50"/>
      <c r="O34657" s="36" t="s">
        <v>48</v>
      </c>
      <c r="R34657" s="36" t="s">
        <v>48</v>
      </c>
    </row>
    <row r="34658">
      <c r="H34658" s="50"/>
      <c r="I34658" s="50"/>
      <c r="O34658" s="36" t="s">
        <v>48</v>
      </c>
      <c r="R34658" s="36" t="s">
        <v>48</v>
      </c>
    </row>
    <row r="34659">
      <c r="H34659" s="50"/>
      <c r="I34659" s="50"/>
      <c r="O34659" s="36" t="s">
        <v>48</v>
      </c>
      <c r="R34659" s="36" t="s">
        <v>48</v>
      </c>
    </row>
    <row r="34660">
      <c r="H34660" s="50"/>
      <c r="I34660" s="50"/>
      <c r="O34660" s="36" t="s">
        <v>48</v>
      </c>
      <c r="R34660" s="36" t="s">
        <v>48</v>
      </c>
    </row>
    <row r="34661">
      <c r="H34661" s="50"/>
      <c r="I34661" s="50"/>
      <c r="O34661" s="36" t="s">
        <v>48</v>
      </c>
      <c r="R34661" s="36" t="s">
        <v>48</v>
      </c>
    </row>
    <row r="34662">
      <c r="H34662" s="50"/>
      <c r="I34662" s="50"/>
      <c r="O34662" s="36" t="s">
        <v>48</v>
      </c>
      <c r="R34662" s="36" t="s">
        <v>48</v>
      </c>
    </row>
    <row r="34663">
      <c r="H34663" s="50"/>
      <c r="I34663" s="50"/>
      <c r="O34663" s="36" t="s">
        <v>48</v>
      </c>
      <c r="R34663" s="36" t="s">
        <v>48</v>
      </c>
    </row>
    <row r="34664">
      <c r="H34664" s="50"/>
      <c r="I34664" s="50"/>
      <c r="O34664" s="36" t="s">
        <v>48</v>
      </c>
      <c r="R34664" s="36" t="s">
        <v>48</v>
      </c>
    </row>
    <row r="34665">
      <c r="H34665" s="50"/>
      <c r="I34665" s="50"/>
      <c r="O34665" s="36" t="s">
        <v>48</v>
      </c>
      <c r="R34665" s="36" t="s">
        <v>48</v>
      </c>
    </row>
    <row r="34666">
      <c r="H34666" s="50"/>
      <c r="I34666" s="50"/>
      <c r="O34666" s="36" t="s">
        <v>48</v>
      </c>
      <c r="R34666" s="36" t="s">
        <v>48</v>
      </c>
    </row>
    <row r="34667">
      <c r="H34667" s="50"/>
      <c r="I34667" s="50"/>
      <c r="O34667" s="36" t="s">
        <v>48</v>
      </c>
      <c r="R34667" s="36" t="s">
        <v>48</v>
      </c>
    </row>
    <row r="34668">
      <c r="H34668" s="50"/>
      <c r="I34668" s="50"/>
      <c r="O34668" s="36" t="s">
        <v>48</v>
      </c>
      <c r="R34668" s="36" t="s">
        <v>48</v>
      </c>
    </row>
    <row r="34669">
      <c r="H34669" s="50"/>
      <c r="I34669" s="50"/>
      <c r="O34669" s="36" t="s">
        <v>48</v>
      </c>
      <c r="R34669" s="36" t="s">
        <v>48</v>
      </c>
    </row>
    <row r="34670">
      <c r="H34670" s="50"/>
      <c r="I34670" s="50"/>
      <c r="O34670" s="36" t="s">
        <v>48</v>
      </c>
      <c r="R34670" s="36" t="s">
        <v>48</v>
      </c>
    </row>
    <row r="34671">
      <c r="H34671" s="50"/>
      <c r="I34671" s="50"/>
      <c r="O34671" s="36" t="s">
        <v>48</v>
      </c>
      <c r="R34671" s="36" t="s">
        <v>48</v>
      </c>
    </row>
    <row r="34672">
      <c r="H34672" s="50"/>
      <c r="I34672" s="50"/>
      <c r="O34672" s="36" t="s">
        <v>48</v>
      </c>
      <c r="R34672" s="36" t="s">
        <v>48</v>
      </c>
    </row>
    <row r="34673">
      <c r="H34673" s="50"/>
      <c r="I34673" s="50"/>
      <c r="O34673" s="36" t="s">
        <v>48</v>
      </c>
      <c r="R34673" s="36" t="s">
        <v>48</v>
      </c>
    </row>
    <row r="34674">
      <c r="H34674" s="50"/>
      <c r="I34674" s="50"/>
      <c r="O34674" s="36" t="s">
        <v>48</v>
      </c>
      <c r="R34674" s="36" t="s">
        <v>48</v>
      </c>
    </row>
    <row r="34675">
      <c r="H34675" s="50"/>
      <c r="I34675" s="50"/>
      <c r="O34675" s="36" t="s">
        <v>48</v>
      </c>
      <c r="R34675" s="36" t="s">
        <v>48</v>
      </c>
    </row>
    <row r="34676">
      <c r="H34676" s="50"/>
      <c r="I34676" s="50"/>
      <c r="O34676" s="36" t="s">
        <v>48</v>
      </c>
      <c r="R34676" s="36" t="s">
        <v>48</v>
      </c>
    </row>
    <row r="34677">
      <c r="H34677" s="50"/>
      <c r="I34677" s="50"/>
      <c r="O34677" s="36" t="s">
        <v>48</v>
      </c>
      <c r="R34677" s="36" t="s">
        <v>48</v>
      </c>
    </row>
    <row r="34678">
      <c r="H34678" s="50"/>
      <c r="I34678" s="50"/>
      <c r="O34678" s="36" t="s">
        <v>48</v>
      </c>
      <c r="R34678" s="36" t="s">
        <v>48</v>
      </c>
    </row>
    <row r="34679">
      <c r="H34679" s="50"/>
      <c r="I34679" s="50"/>
      <c r="O34679" s="36" t="s">
        <v>48</v>
      </c>
      <c r="R34679" s="36" t="s">
        <v>48</v>
      </c>
    </row>
    <row r="34680">
      <c r="H34680" s="50"/>
      <c r="I34680" s="50"/>
      <c r="O34680" s="36" t="s">
        <v>48</v>
      </c>
      <c r="R34680" s="36" t="s">
        <v>48</v>
      </c>
    </row>
    <row r="34681">
      <c r="H34681" s="50"/>
      <c r="I34681" s="50"/>
      <c r="O34681" s="36" t="s">
        <v>48</v>
      </c>
      <c r="R34681" s="36" t="s">
        <v>48</v>
      </c>
    </row>
    <row r="34682">
      <c r="H34682" s="50"/>
      <c r="I34682" s="50"/>
      <c r="O34682" s="36" t="s">
        <v>48</v>
      </c>
      <c r="R34682" s="36" t="s">
        <v>48</v>
      </c>
    </row>
    <row r="34683">
      <c r="H34683" s="50"/>
      <c r="I34683" s="50"/>
      <c r="O34683" s="36" t="s">
        <v>48</v>
      </c>
      <c r="R34683" s="36" t="s">
        <v>48</v>
      </c>
    </row>
    <row r="34684">
      <c r="H34684" s="50"/>
      <c r="I34684" s="50"/>
      <c r="O34684" s="36" t="s">
        <v>48</v>
      </c>
      <c r="R34684" s="36" t="s">
        <v>48</v>
      </c>
    </row>
    <row r="34685">
      <c r="H34685" s="50"/>
      <c r="I34685" s="50"/>
      <c r="O34685" s="36" t="s">
        <v>48</v>
      </c>
      <c r="R34685" s="36" t="s">
        <v>48</v>
      </c>
    </row>
    <row r="34686">
      <c r="H34686" s="50"/>
      <c r="I34686" s="50"/>
      <c r="O34686" s="36" t="s">
        <v>48</v>
      </c>
      <c r="R34686" s="36" t="s">
        <v>48</v>
      </c>
    </row>
    <row r="34687">
      <c r="H34687" s="50"/>
      <c r="I34687" s="50"/>
      <c r="O34687" s="36" t="s">
        <v>48</v>
      </c>
      <c r="R34687" s="36" t="s">
        <v>48</v>
      </c>
    </row>
    <row r="34688">
      <c r="H34688" s="50"/>
      <c r="I34688" s="50"/>
      <c r="O34688" s="36" t="s">
        <v>48</v>
      </c>
      <c r="R34688" s="36" t="s">
        <v>48</v>
      </c>
    </row>
    <row r="34689">
      <c r="H34689" s="50"/>
      <c r="I34689" s="50"/>
      <c r="O34689" s="36" t="s">
        <v>48</v>
      </c>
      <c r="R34689" s="36" t="s">
        <v>48</v>
      </c>
    </row>
    <row r="34690">
      <c r="H34690" s="50"/>
      <c r="I34690" s="50"/>
      <c r="O34690" s="36" t="s">
        <v>48</v>
      </c>
      <c r="R34690" s="36" t="s">
        <v>48</v>
      </c>
    </row>
    <row r="34691">
      <c r="H34691" s="50"/>
      <c r="I34691" s="50"/>
      <c r="O34691" s="36" t="s">
        <v>48</v>
      </c>
      <c r="R34691" s="36" t="s">
        <v>48</v>
      </c>
    </row>
    <row r="34692">
      <c r="H34692" s="50"/>
      <c r="I34692" s="50"/>
      <c r="O34692" s="36" t="s">
        <v>48</v>
      </c>
      <c r="R34692" s="36" t="s">
        <v>48</v>
      </c>
    </row>
    <row r="34693">
      <c r="H34693" s="50"/>
      <c r="I34693" s="50"/>
      <c r="O34693" s="36" t="s">
        <v>48</v>
      </c>
      <c r="R34693" s="36" t="s">
        <v>48</v>
      </c>
    </row>
    <row r="34694">
      <c r="H34694" s="50"/>
      <c r="I34694" s="50"/>
      <c r="O34694" s="36" t="s">
        <v>48</v>
      </c>
      <c r="R34694" s="36" t="s">
        <v>48</v>
      </c>
    </row>
    <row r="34695">
      <c r="H34695" s="50"/>
      <c r="I34695" s="50"/>
      <c r="O34695" s="36" t="s">
        <v>48</v>
      </c>
      <c r="R34695" s="36" t="s">
        <v>48</v>
      </c>
    </row>
    <row r="34696">
      <c r="H34696" s="50"/>
      <c r="I34696" s="50"/>
      <c r="O34696" s="36" t="s">
        <v>48</v>
      </c>
      <c r="R34696" s="36" t="s">
        <v>48</v>
      </c>
    </row>
    <row r="34697">
      <c r="H34697" s="50"/>
      <c r="I34697" s="50"/>
      <c r="O34697" s="36" t="s">
        <v>48</v>
      </c>
      <c r="R34697" s="36" t="s">
        <v>48</v>
      </c>
    </row>
    <row r="34698">
      <c r="H34698" s="50"/>
      <c r="I34698" s="50"/>
      <c r="O34698" s="36" t="s">
        <v>48</v>
      </c>
      <c r="R34698" s="36" t="s">
        <v>48</v>
      </c>
    </row>
    <row r="34699">
      <c r="H34699" s="50"/>
      <c r="I34699" s="50"/>
      <c r="O34699" s="36" t="s">
        <v>48</v>
      </c>
      <c r="R34699" s="36" t="s">
        <v>48</v>
      </c>
    </row>
    <row r="34700">
      <c r="H34700" s="50"/>
      <c r="I34700" s="50"/>
      <c r="O34700" s="36" t="s">
        <v>48</v>
      </c>
      <c r="R34700" s="36" t="s">
        <v>48</v>
      </c>
    </row>
    <row r="34701">
      <c r="H34701" s="50"/>
      <c r="I34701" s="50"/>
      <c r="O34701" s="36" t="s">
        <v>48</v>
      </c>
      <c r="R34701" s="36" t="s">
        <v>48</v>
      </c>
    </row>
    <row r="34702">
      <c r="H34702" s="50"/>
      <c r="I34702" s="50"/>
      <c r="O34702" s="36" t="s">
        <v>48</v>
      </c>
      <c r="R34702" s="36" t="s">
        <v>48</v>
      </c>
    </row>
    <row r="34703">
      <c r="H34703" s="50"/>
      <c r="I34703" s="50"/>
      <c r="O34703" s="36" t="s">
        <v>48</v>
      </c>
      <c r="R34703" s="36" t="s">
        <v>48</v>
      </c>
    </row>
    <row r="34704">
      <c r="H34704" s="50"/>
      <c r="I34704" s="50"/>
      <c r="O34704" s="36" t="s">
        <v>48</v>
      </c>
      <c r="R34704" s="36" t="s">
        <v>48</v>
      </c>
    </row>
    <row r="34705">
      <c r="H34705" s="50"/>
      <c r="I34705" s="50"/>
      <c r="O34705" s="36" t="s">
        <v>48</v>
      </c>
      <c r="R34705" s="36" t="s">
        <v>48</v>
      </c>
    </row>
    <row r="34706">
      <c r="H34706" s="50"/>
      <c r="I34706" s="50"/>
      <c r="O34706" s="36" t="s">
        <v>48</v>
      </c>
      <c r="R34706" s="36" t="s">
        <v>48</v>
      </c>
    </row>
    <row r="34707">
      <c r="H34707" s="50"/>
      <c r="I34707" s="50"/>
      <c r="O34707" s="36" t="s">
        <v>48</v>
      </c>
      <c r="R34707" s="36" t="s">
        <v>48</v>
      </c>
    </row>
    <row r="34708">
      <c r="H34708" s="50"/>
      <c r="I34708" s="50"/>
      <c r="O34708" s="36" t="s">
        <v>48</v>
      </c>
      <c r="R34708" s="36" t="s">
        <v>48</v>
      </c>
    </row>
    <row r="34709">
      <c r="H34709" s="50"/>
      <c r="I34709" s="50"/>
      <c r="O34709" s="36" t="s">
        <v>48</v>
      </c>
      <c r="R34709" s="36" t="s">
        <v>48</v>
      </c>
    </row>
    <row r="34710">
      <c r="H34710" s="50"/>
      <c r="I34710" s="50"/>
      <c r="O34710" s="36" t="s">
        <v>48</v>
      </c>
      <c r="R34710" s="36" t="s">
        <v>48</v>
      </c>
    </row>
    <row r="34711">
      <c r="H34711" s="50"/>
      <c r="I34711" s="50"/>
      <c r="O34711" s="36" t="s">
        <v>48</v>
      </c>
      <c r="R34711" s="36" t="s">
        <v>48</v>
      </c>
    </row>
    <row r="34712">
      <c r="H34712" s="50"/>
      <c r="I34712" s="50"/>
      <c r="O34712" s="36" t="s">
        <v>48</v>
      </c>
      <c r="R34712" s="36" t="s">
        <v>48</v>
      </c>
    </row>
    <row r="34713">
      <c r="H34713" s="50"/>
      <c r="I34713" s="50"/>
      <c r="O34713" s="36" t="s">
        <v>48</v>
      </c>
      <c r="R34713" s="36" t="s">
        <v>48</v>
      </c>
    </row>
    <row r="34714">
      <c r="H34714" s="50"/>
      <c r="I34714" s="50"/>
      <c r="O34714" s="36" t="s">
        <v>48</v>
      </c>
      <c r="R34714" s="36" t="s">
        <v>48</v>
      </c>
    </row>
    <row r="34715">
      <c r="H34715" s="50"/>
      <c r="I34715" s="50"/>
      <c r="O34715" s="36" t="s">
        <v>48</v>
      </c>
      <c r="R34715" s="36" t="s">
        <v>48</v>
      </c>
    </row>
    <row r="34716">
      <c r="H34716" s="50"/>
      <c r="I34716" s="50"/>
      <c r="O34716" s="36" t="s">
        <v>48</v>
      </c>
      <c r="R34716" s="36" t="s">
        <v>48</v>
      </c>
    </row>
    <row r="34717">
      <c r="H34717" s="50"/>
      <c r="I34717" s="50"/>
      <c r="O34717" s="36" t="s">
        <v>48</v>
      </c>
      <c r="R34717" s="36" t="s">
        <v>48</v>
      </c>
    </row>
    <row r="34718">
      <c r="H34718" s="50"/>
      <c r="I34718" s="50"/>
      <c r="O34718" s="36" t="s">
        <v>48</v>
      </c>
      <c r="R34718" s="36" t="s">
        <v>48</v>
      </c>
    </row>
    <row r="34719">
      <c r="H34719" s="50"/>
      <c r="I34719" s="50"/>
      <c r="O34719" s="36" t="s">
        <v>48</v>
      </c>
      <c r="R34719" s="36" t="s">
        <v>48</v>
      </c>
    </row>
    <row r="34720">
      <c r="H34720" s="50"/>
      <c r="I34720" s="50"/>
      <c r="O34720" s="36" t="s">
        <v>48</v>
      </c>
      <c r="R34720" s="36" t="s">
        <v>48</v>
      </c>
    </row>
    <row r="34721">
      <c r="H34721" s="50"/>
      <c r="I34721" s="50"/>
      <c r="O34721" s="36" t="s">
        <v>48</v>
      </c>
      <c r="R34721" s="36" t="s">
        <v>48</v>
      </c>
    </row>
    <row r="34722">
      <c r="H34722" s="50"/>
      <c r="I34722" s="50"/>
      <c r="O34722" s="36" t="s">
        <v>48</v>
      </c>
      <c r="R34722" s="36" t="s">
        <v>48</v>
      </c>
    </row>
    <row r="34723">
      <c r="H34723" s="50"/>
      <c r="I34723" s="50"/>
      <c r="O34723" s="36" t="s">
        <v>48</v>
      </c>
      <c r="R34723" s="36" t="s">
        <v>48</v>
      </c>
    </row>
    <row r="34724">
      <c r="H34724" s="50"/>
      <c r="I34724" s="50"/>
      <c r="O34724" s="36" t="s">
        <v>48</v>
      </c>
      <c r="R34724" s="36" t="s">
        <v>48</v>
      </c>
    </row>
    <row r="34725">
      <c r="H34725" s="50"/>
      <c r="I34725" s="50"/>
      <c r="O34725" s="36" t="s">
        <v>48</v>
      </c>
      <c r="R34725" s="36" t="s">
        <v>48</v>
      </c>
    </row>
    <row r="34726">
      <c r="H34726" s="50"/>
      <c r="I34726" s="50"/>
      <c r="O34726" s="36" t="s">
        <v>48</v>
      </c>
      <c r="R34726" s="36" t="s">
        <v>48</v>
      </c>
    </row>
    <row r="34727">
      <c r="H34727" s="50"/>
      <c r="I34727" s="50"/>
      <c r="O34727" s="36" t="s">
        <v>48</v>
      </c>
      <c r="R34727" s="36" t="s">
        <v>48</v>
      </c>
    </row>
    <row r="34728">
      <c r="H34728" s="50"/>
      <c r="I34728" s="50"/>
      <c r="O34728" s="36" t="s">
        <v>48</v>
      </c>
      <c r="R34728" s="36" t="s">
        <v>48</v>
      </c>
    </row>
    <row r="34729">
      <c r="H34729" s="50"/>
      <c r="I34729" s="50"/>
      <c r="O34729" s="36" t="s">
        <v>48</v>
      </c>
      <c r="R34729" s="36" t="s">
        <v>48</v>
      </c>
    </row>
    <row r="34730">
      <c r="H34730" s="50"/>
      <c r="I34730" s="50"/>
      <c r="O34730" s="36" t="s">
        <v>48</v>
      </c>
      <c r="R34730" s="36" t="s">
        <v>48</v>
      </c>
    </row>
    <row r="34731">
      <c r="H34731" s="50"/>
      <c r="I34731" s="50"/>
      <c r="O34731" s="36" t="s">
        <v>48</v>
      </c>
      <c r="R34731" s="36" t="s">
        <v>48</v>
      </c>
    </row>
    <row r="34732">
      <c r="H34732" s="50"/>
      <c r="I34732" s="50"/>
      <c r="O34732" s="36" t="s">
        <v>48</v>
      </c>
      <c r="R34732" s="36" t="s">
        <v>48</v>
      </c>
    </row>
    <row r="34733">
      <c r="H34733" s="50"/>
      <c r="I34733" s="50"/>
      <c r="O34733" s="36" t="s">
        <v>48</v>
      </c>
      <c r="R34733" s="36" t="s">
        <v>48</v>
      </c>
    </row>
    <row r="34734">
      <c r="H34734" s="50"/>
      <c r="I34734" s="50"/>
      <c r="O34734" s="36" t="s">
        <v>48</v>
      </c>
      <c r="R34734" s="36" t="s">
        <v>48</v>
      </c>
    </row>
    <row r="34735">
      <c r="H34735" s="50"/>
      <c r="I34735" s="50"/>
      <c r="O34735" s="36" t="s">
        <v>48</v>
      </c>
      <c r="R34735" s="36" t="s">
        <v>48</v>
      </c>
    </row>
    <row r="34736">
      <c r="H34736" s="50"/>
      <c r="I34736" s="50"/>
      <c r="O34736" s="36" t="s">
        <v>48</v>
      </c>
      <c r="R34736" s="36" t="s">
        <v>48</v>
      </c>
    </row>
    <row r="34737">
      <c r="H34737" s="50"/>
      <c r="I34737" s="50"/>
      <c r="O34737" s="36" t="s">
        <v>48</v>
      </c>
      <c r="R34737" s="36" t="s">
        <v>48</v>
      </c>
    </row>
    <row r="34738">
      <c r="H34738" s="50"/>
      <c r="I34738" s="50"/>
      <c r="O34738" s="36" t="s">
        <v>48</v>
      </c>
      <c r="R34738" s="36" t="s">
        <v>48</v>
      </c>
    </row>
    <row r="34739">
      <c r="H34739" s="50"/>
      <c r="I34739" s="50"/>
      <c r="O34739" s="36" t="s">
        <v>48</v>
      </c>
      <c r="R34739" s="36" t="s">
        <v>48</v>
      </c>
    </row>
    <row r="34740">
      <c r="H34740" s="50"/>
      <c r="I34740" s="50"/>
      <c r="O34740" s="36" t="s">
        <v>48</v>
      </c>
      <c r="R34740" s="36" t="s">
        <v>48</v>
      </c>
    </row>
    <row r="34741">
      <c r="H34741" s="50"/>
      <c r="I34741" s="50"/>
      <c r="O34741" s="36" t="s">
        <v>48</v>
      </c>
      <c r="R34741" s="36" t="s">
        <v>48</v>
      </c>
    </row>
    <row r="34742">
      <c r="H34742" s="50"/>
      <c r="I34742" s="50"/>
      <c r="O34742" s="36" t="s">
        <v>48</v>
      </c>
      <c r="R34742" s="36" t="s">
        <v>48</v>
      </c>
    </row>
    <row r="34743">
      <c r="H34743" s="50"/>
      <c r="I34743" s="50"/>
      <c r="O34743" s="36" t="s">
        <v>48</v>
      </c>
      <c r="R34743" s="36" t="s">
        <v>48</v>
      </c>
    </row>
    <row r="34744">
      <c r="H34744" s="50"/>
      <c r="I34744" s="50"/>
      <c r="O34744" s="36" t="s">
        <v>48</v>
      </c>
      <c r="R34744" s="36" t="s">
        <v>48</v>
      </c>
    </row>
    <row r="34745">
      <c r="H34745" s="50"/>
      <c r="I34745" s="50"/>
      <c r="O34745" s="36" t="s">
        <v>48</v>
      </c>
      <c r="R34745" s="36" t="s">
        <v>48</v>
      </c>
    </row>
    <row r="34746">
      <c r="H34746" s="50"/>
      <c r="I34746" s="50"/>
      <c r="O34746" s="36" t="s">
        <v>48</v>
      </c>
      <c r="R34746" s="36" t="s">
        <v>48</v>
      </c>
    </row>
    <row r="34747">
      <c r="H34747" s="50"/>
      <c r="I34747" s="50"/>
      <c r="O34747" s="36" t="s">
        <v>48</v>
      </c>
      <c r="R34747" s="36" t="s">
        <v>48</v>
      </c>
    </row>
    <row r="34748">
      <c r="H34748" s="50"/>
      <c r="I34748" s="50"/>
      <c r="O34748" s="36" t="s">
        <v>48</v>
      </c>
      <c r="R34748" s="36" t="s">
        <v>48</v>
      </c>
    </row>
    <row r="34749">
      <c r="H34749" s="50"/>
      <c r="I34749" s="50"/>
      <c r="O34749" s="36" t="s">
        <v>48</v>
      </c>
      <c r="R34749" s="36" t="s">
        <v>48</v>
      </c>
    </row>
    <row r="34750">
      <c r="H34750" s="50"/>
      <c r="I34750" s="50"/>
      <c r="O34750" s="36" t="s">
        <v>48</v>
      </c>
      <c r="R34750" s="36" t="s">
        <v>48</v>
      </c>
    </row>
    <row r="34751">
      <c r="H34751" s="50"/>
      <c r="I34751" s="50"/>
      <c r="O34751" s="36" t="s">
        <v>48</v>
      </c>
      <c r="R34751" s="36" t="s">
        <v>48</v>
      </c>
    </row>
    <row r="34752">
      <c r="H34752" s="50"/>
      <c r="I34752" s="50"/>
      <c r="O34752" s="36" t="s">
        <v>48</v>
      </c>
      <c r="R34752" s="36" t="s">
        <v>48</v>
      </c>
    </row>
    <row r="34753">
      <c r="H34753" s="50"/>
      <c r="I34753" s="50"/>
      <c r="O34753" s="36" t="s">
        <v>48</v>
      </c>
      <c r="R34753" s="36" t="s">
        <v>48</v>
      </c>
    </row>
    <row r="34754">
      <c r="H34754" s="50"/>
      <c r="I34754" s="50"/>
      <c r="O34754" s="36" t="s">
        <v>48</v>
      </c>
      <c r="R34754" s="36" t="s">
        <v>48</v>
      </c>
    </row>
    <row r="34755">
      <c r="H34755" s="50"/>
      <c r="I34755" s="50"/>
      <c r="O34755" s="36" t="s">
        <v>48</v>
      </c>
      <c r="R34755" s="36" t="s">
        <v>48</v>
      </c>
    </row>
    <row r="34756">
      <c r="H34756" s="50"/>
      <c r="I34756" s="50"/>
      <c r="O34756" s="36" t="s">
        <v>48</v>
      </c>
      <c r="R34756" s="36" t="s">
        <v>48</v>
      </c>
    </row>
    <row r="34757">
      <c r="H34757" s="50"/>
      <c r="I34757" s="50"/>
      <c r="O34757" s="36" t="s">
        <v>48</v>
      </c>
      <c r="R34757" s="36" t="s">
        <v>48</v>
      </c>
    </row>
    <row r="34758">
      <c r="H34758" s="50"/>
      <c r="I34758" s="50"/>
      <c r="O34758" s="36" t="s">
        <v>48</v>
      </c>
      <c r="R34758" s="36" t="s">
        <v>48</v>
      </c>
    </row>
    <row r="34759">
      <c r="H34759" s="50"/>
      <c r="I34759" s="50"/>
      <c r="O34759" s="36" t="s">
        <v>48</v>
      </c>
      <c r="R34759" s="36" t="s">
        <v>48</v>
      </c>
    </row>
    <row r="34760">
      <c r="H34760" s="50"/>
      <c r="I34760" s="50"/>
      <c r="O34760" s="36" t="s">
        <v>48</v>
      </c>
      <c r="R34760" s="36" t="s">
        <v>48</v>
      </c>
    </row>
    <row r="34761">
      <c r="H34761" s="50"/>
      <c r="I34761" s="50"/>
      <c r="O34761" s="36" t="s">
        <v>48</v>
      </c>
      <c r="R34761" s="36" t="s">
        <v>48</v>
      </c>
    </row>
    <row r="34762">
      <c r="H34762" s="50"/>
      <c r="I34762" s="50"/>
      <c r="O34762" s="36" t="s">
        <v>48</v>
      </c>
      <c r="R34762" s="36" t="s">
        <v>48</v>
      </c>
    </row>
    <row r="34763">
      <c r="H34763" s="50"/>
      <c r="I34763" s="50"/>
      <c r="O34763" s="36" t="s">
        <v>48</v>
      </c>
      <c r="R34763" s="36" t="s">
        <v>48</v>
      </c>
    </row>
    <row r="34764">
      <c r="H34764" s="50"/>
      <c r="I34764" s="50"/>
      <c r="O34764" s="36" t="s">
        <v>48</v>
      </c>
      <c r="R34764" s="36" t="s">
        <v>48</v>
      </c>
    </row>
    <row r="34765">
      <c r="H34765" s="50"/>
      <c r="I34765" s="50"/>
      <c r="O34765" s="36" t="s">
        <v>48</v>
      </c>
      <c r="R34765" s="36" t="s">
        <v>48</v>
      </c>
    </row>
    <row r="34766">
      <c r="H34766" s="50"/>
      <c r="I34766" s="50"/>
      <c r="O34766" s="36" t="s">
        <v>48</v>
      </c>
      <c r="R34766" s="36" t="s">
        <v>48</v>
      </c>
    </row>
    <row r="34767">
      <c r="H34767" s="50"/>
      <c r="I34767" s="50"/>
      <c r="O34767" s="36" t="s">
        <v>48</v>
      </c>
      <c r="R34767" s="36" t="s">
        <v>48</v>
      </c>
    </row>
    <row r="34768">
      <c r="H34768" s="50"/>
      <c r="I34768" s="50"/>
      <c r="O34768" s="36" t="s">
        <v>48</v>
      </c>
      <c r="R34768" s="36" t="s">
        <v>48</v>
      </c>
    </row>
    <row r="34769">
      <c r="H34769" s="50"/>
      <c r="I34769" s="50"/>
      <c r="O34769" s="36" t="s">
        <v>48</v>
      </c>
      <c r="R34769" s="36" t="s">
        <v>48</v>
      </c>
    </row>
    <row r="34770">
      <c r="H34770" s="50"/>
      <c r="I34770" s="50"/>
      <c r="O34770" s="36" t="s">
        <v>48</v>
      </c>
      <c r="R34770" s="36" t="s">
        <v>48</v>
      </c>
    </row>
    <row r="34771">
      <c r="H34771" s="50"/>
      <c r="I34771" s="50"/>
      <c r="O34771" s="36" t="s">
        <v>48</v>
      </c>
      <c r="R34771" s="36" t="s">
        <v>48</v>
      </c>
    </row>
    <row r="34772">
      <c r="H34772" s="50"/>
      <c r="I34772" s="50"/>
      <c r="O34772" s="36" t="s">
        <v>48</v>
      </c>
      <c r="R34772" s="36" t="s">
        <v>48</v>
      </c>
    </row>
    <row r="34773">
      <c r="H34773" s="50"/>
      <c r="I34773" s="50"/>
      <c r="O34773" s="36" t="s">
        <v>48</v>
      </c>
      <c r="R34773" s="36" t="s">
        <v>48</v>
      </c>
    </row>
    <row r="34774">
      <c r="H34774" s="50"/>
      <c r="I34774" s="50"/>
      <c r="O34774" s="36" t="s">
        <v>48</v>
      </c>
      <c r="R34774" s="36" t="s">
        <v>48</v>
      </c>
    </row>
    <row r="34775">
      <c r="H34775" s="50"/>
      <c r="I34775" s="50"/>
      <c r="O34775" s="36" t="s">
        <v>48</v>
      </c>
      <c r="R34775" s="36" t="s">
        <v>48</v>
      </c>
    </row>
    <row r="34776">
      <c r="H34776" s="50"/>
      <c r="I34776" s="50"/>
      <c r="O34776" s="36" t="s">
        <v>48</v>
      </c>
      <c r="R34776" s="36" t="s">
        <v>48</v>
      </c>
    </row>
    <row r="34777">
      <c r="H34777" s="50"/>
      <c r="I34777" s="50"/>
      <c r="O34777" s="36" t="s">
        <v>48</v>
      </c>
      <c r="R34777" s="36" t="s">
        <v>48</v>
      </c>
    </row>
    <row r="34778">
      <c r="H34778" s="50"/>
      <c r="I34778" s="50"/>
      <c r="O34778" s="36" t="s">
        <v>48</v>
      </c>
      <c r="R34778" s="36" t="s">
        <v>48</v>
      </c>
    </row>
    <row r="34779">
      <c r="H34779" s="50"/>
      <c r="I34779" s="50"/>
      <c r="O34779" s="36" t="s">
        <v>48</v>
      </c>
      <c r="R34779" s="36" t="s">
        <v>48</v>
      </c>
    </row>
    <row r="34780">
      <c r="H34780" s="50"/>
      <c r="I34780" s="50"/>
      <c r="O34780" s="36" t="s">
        <v>48</v>
      </c>
      <c r="R34780" s="36" t="s">
        <v>48</v>
      </c>
    </row>
    <row r="34781">
      <c r="H34781" s="50"/>
      <c r="I34781" s="50"/>
      <c r="O34781" s="36" t="s">
        <v>48</v>
      </c>
      <c r="R34781" s="36" t="s">
        <v>48</v>
      </c>
    </row>
    <row r="34782">
      <c r="H34782" s="50"/>
      <c r="I34782" s="50"/>
      <c r="O34782" s="36" t="s">
        <v>48</v>
      </c>
      <c r="R34782" s="36" t="s">
        <v>48</v>
      </c>
    </row>
    <row r="34783">
      <c r="H34783" s="50"/>
      <c r="I34783" s="50"/>
      <c r="O34783" s="36" t="s">
        <v>48</v>
      </c>
      <c r="R34783" s="36" t="s">
        <v>48</v>
      </c>
    </row>
    <row r="34784">
      <c r="H34784" s="50"/>
      <c r="I34784" s="50"/>
      <c r="O34784" s="36" t="s">
        <v>48</v>
      </c>
      <c r="R34784" s="36" t="s">
        <v>48</v>
      </c>
    </row>
    <row r="34785">
      <c r="H34785" s="50"/>
      <c r="I34785" s="50"/>
      <c r="O34785" s="36" t="s">
        <v>48</v>
      </c>
      <c r="R34785" s="36" t="s">
        <v>48</v>
      </c>
    </row>
    <row r="34786">
      <c r="H34786" s="50"/>
      <c r="I34786" s="50"/>
      <c r="O34786" s="36" t="s">
        <v>48</v>
      </c>
      <c r="R34786" s="36" t="s">
        <v>48</v>
      </c>
    </row>
    <row r="34787">
      <c r="H34787" s="50"/>
      <c r="I34787" s="50"/>
      <c r="O34787" s="36" t="s">
        <v>48</v>
      </c>
      <c r="R34787" s="36" t="s">
        <v>48</v>
      </c>
    </row>
    <row r="34788">
      <c r="H34788" s="50"/>
      <c r="I34788" s="50"/>
      <c r="O34788" s="36" t="s">
        <v>48</v>
      </c>
      <c r="R34788" s="36" t="s">
        <v>48</v>
      </c>
    </row>
    <row r="34789">
      <c r="H34789" s="50"/>
      <c r="I34789" s="50"/>
      <c r="O34789" s="36" t="s">
        <v>48</v>
      </c>
      <c r="R34789" s="36" t="s">
        <v>48</v>
      </c>
    </row>
    <row r="34790">
      <c r="H34790" s="50"/>
      <c r="I34790" s="50"/>
      <c r="O34790" s="36" t="s">
        <v>48</v>
      </c>
      <c r="R34790" s="36" t="s">
        <v>48</v>
      </c>
    </row>
    <row r="34791">
      <c r="H34791" s="50"/>
      <c r="I34791" s="50"/>
      <c r="O34791" s="36" t="s">
        <v>48</v>
      </c>
      <c r="R34791" s="36" t="s">
        <v>48</v>
      </c>
    </row>
    <row r="34792">
      <c r="H34792" s="50"/>
      <c r="I34792" s="50"/>
      <c r="O34792" s="36" t="s">
        <v>48</v>
      </c>
      <c r="R34792" s="36" t="s">
        <v>48</v>
      </c>
    </row>
    <row r="34793">
      <c r="H34793" s="50"/>
      <c r="I34793" s="50"/>
      <c r="O34793" s="36" t="s">
        <v>48</v>
      </c>
      <c r="R34793" s="36" t="s">
        <v>48</v>
      </c>
    </row>
    <row r="34794">
      <c r="H34794" s="50"/>
      <c r="I34794" s="50"/>
      <c r="O34794" s="36" t="s">
        <v>48</v>
      </c>
      <c r="R34794" s="36" t="s">
        <v>48</v>
      </c>
    </row>
    <row r="34795">
      <c r="H34795" s="50"/>
      <c r="I34795" s="50"/>
      <c r="O34795" s="36" t="s">
        <v>48</v>
      </c>
      <c r="R34795" s="36" t="s">
        <v>48</v>
      </c>
    </row>
    <row r="34796">
      <c r="H34796" s="50"/>
      <c r="I34796" s="50"/>
      <c r="O34796" s="36" t="s">
        <v>48</v>
      </c>
      <c r="R34796" s="36" t="s">
        <v>48</v>
      </c>
    </row>
    <row r="34797">
      <c r="H34797" s="50"/>
      <c r="I34797" s="50"/>
      <c r="O34797" s="36" t="s">
        <v>48</v>
      </c>
      <c r="R34797" s="36" t="s">
        <v>48</v>
      </c>
    </row>
    <row r="34798">
      <c r="H34798" s="50"/>
      <c r="I34798" s="50"/>
      <c r="O34798" s="36" t="s">
        <v>48</v>
      </c>
      <c r="R34798" s="36" t="s">
        <v>48</v>
      </c>
    </row>
    <row r="34799">
      <c r="H34799" s="50"/>
      <c r="I34799" s="50"/>
      <c r="O34799" s="36" t="s">
        <v>48</v>
      </c>
      <c r="R34799" s="36" t="s">
        <v>48</v>
      </c>
    </row>
    <row r="34800">
      <c r="H34800" s="50"/>
      <c r="I34800" s="50"/>
      <c r="O34800" s="36" t="s">
        <v>48</v>
      </c>
      <c r="R34800" s="36" t="s">
        <v>48</v>
      </c>
    </row>
    <row r="34801">
      <c r="H34801" s="50"/>
      <c r="I34801" s="50"/>
      <c r="O34801" s="36" t="s">
        <v>48</v>
      </c>
      <c r="R34801" s="36" t="s">
        <v>48</v>
      </c>
    </row>
    <row r="34802">
      <c r="H34802" s="50"/>
      <c r="I34802" s="50"/>
      <c r="O34802" s="36" t="s">
        <v>48</v>
      </c>
      <c r="R34802" s="36" t="s">
        <v>48</v>
      </c>
    </row>
    <row r="34803">
      <c r="H34803" s="50"/>
      <c r="I34803" s="50"/>
      <c r="O34803" s="36" t="s">
        <v>48</v>
      </c>
      <c r="R34803" s="36" t="s">
        <v>48</v>
      </c>
    </row>
    <row r="34804">
      <c r="H34804" s="50"/>
      <c r="I34804" s="50"/>
      <c r="O34804" s="36" t="s">
        <v>48</v>
      </c>
      <c r="R34804" s="36" t="s">
        <v>48</v>
      </c>
    </row>
    <row r="34805">
      <c r="H34805" s="50"/>
      <c r="I34805" s="50"/>
      <c r="O34805" s="36" t="s">
        <v>48</v>
      </c>
      <c r="R34805" s="36" t="s">
        <v>48</v>
      </c>
    </row>
    <row r="34806">
      <c r="H34806" s="50"/>
      <c r="I34806" s="50"/>
      <c r="O34806" s="36" t="s">
        <v>48</v>
      </c>
      <c r="R34806" s="36" t="s">
        <v>48</v>
      </c>
    </row>
    <row r="34807">
      <c r="H34807" s="50"/>
      <c r="I34807" s="50"/>
      <c r="O34807" s="36" t="s">
        <v>48</v>
      </c>
      <c r="R34807" s="36" t="s">
        <v>48</v>
      </c>
    </row>
    <row r="34808">
      <c r="H34808" s="50"/>
      <c r="I34808" s="50"/>
      <c r="O34808" s="36" t="s">
        <v>48</v>
      </c>
      <c r="R34808" s="36" t="s">
        <v>48</v>
      </c>
    </row>
    <row r="34809">
      <c r="H34809" s="50"/>
      <c r="I34809" s="50"/>
      <c r="O34809" s="36" t="s">
        <v>48</v>
      </c>
      <c r="R34809" s="36" t="s">
        <v>48</v>
      </c>
    </row>
    <row r="34810">
      <c r="H34810" s="50"/>
      <c r="I34810" s="50"/>
      <c r="O34810" s="36" t="s">
        <v>48</v>
      </c>
      <c r="R34810" s="36" t="s">
        <v>48</v>
      </c>
    </row>
    <row r="34811">
      <c r="H34811" s="50"/>
      <c r="I34811" s="50"/>
      <c r="O34811" s="36" t="s">
        <v>48</v>
      </c>
      <c r="R34811" s="36" t="s">
        <v>48</v>
      </c>
    </row>
    <row r="34812">
      <c r="H34812" s="50"/>
      <c r="I34812" s="50"/>
      <c r="O34812" s="36" t="s">
        <v>48</v>
      </c>
      <c r="R34812" s="36" t="s">
        <v>48</v>
      </c>
    </row>
    <row r="34813">
      <c r="H34813" s="50"/>
      <c r="I34813" s="50"/>
      <c r="O34813" s="36" t="s">
        <v>48</v>
      </c>
      <c r="R34813" s="36" t="s">
        <v>48</v>
      </c>
    </row>
    <row r="34814">
      <c r="H34814" s="50"/>
      <c r="I34814" s="50"/>
      <c r="O34814" s="36" t="s">
        <v>48</v>
      </c>
      <c r="R34814" s="36" t="s">
        <v>48</v>
      </c>
    </row>
    <row r="34815">
      <c r="H34815" s="50"/>
      <c r="I34815" s="50"/>
      <c r="O34815" s="36" t="s">
        <v>48</v>
      </c>
      <c r="R34815" s="36" t="s">
        <v>48</v>
      </c>
    </row>
    <row r="34816">
      <c r="H34816" s="50"/>
      <c r="I34816" s="50"/>
      <c r="O34816" s="36" t="s">
        <v>48</v>
      </c>
      <c r="R34816" s="36" t="s">
        <v>48</v>
      </c>
    </row>
    <row r="34817">
      <c r="H34817" s="50"/>
      <c r="I34817" s="50"/>
      <c r="O34817" s="36" t="s">
        <v>48</v>
      </c>
      <c r="R34817" s="36" t="s">
        <v>48</v>
      </c>
    </row>
    <row r="34818">
      <c r="H34818" s="50"/>
      <c r="I34818" s="50"/>
      <c r="O34818" s="36" t="s">
        <v>48</v>
      </c>
      <c r="R34818" s="36" t="s">
        <v>48</v>
      </c>
    </row>
    <row r="34819">
      <c r="H34819" s="50"/>
      <c r="I34819" s="50"/>
      <c r="O34819" s="36" t="s">
        <v>48</v>
      </c>
      <c r="R34819" s="36" t="s">
        <v>48</v>
      </c>
    </row>
    <row r="34820">
      <c r="H34820" s="50"/>
      <c r="I34820" s="50"/>
      <c r="O34820" s="36" t="s">
        <v>48</v>
      </c>
      <c r="R34820" s="36" t="s">
        <v>48</v>
      </c>
    </row>
    <row r="34821">
      <c r="H34821" s="50"/>
      <c r="I34821" s="50"/>
      <c r="O34821" s="36" t="s">
        <v>48</v>
      </c>
      <c r="R34821" s="36" t="s">
        <v>48</v>
      </c>
    </row>
    <row r="34822">
      <c r="H34822" s="50"/>
      <c r="I34822" s="50"/>
      <c r="O34822" s="36" t="s">
        <v>48</v>
      </c>
      <c r="R34822" s="36" t="s">
        <v>48</v>
      </c>
    </row>
    <row r="34823">
      <c r="H34823" s="50"/>
      <c r="I34823" s="50"/>
      <c r="O34823" s="36" t="s">
        <v>48</v>
      </c>
      <c r="R34823" s="36" t="s">
        <v>48</v>
      </c>
    </row>
    <row r="34824">
      <c r="H34824" s="50"/>
      <c r="I34824" s="50"/>
      <c r="O34824" s="36" t="s">
        <v>48</v>
      </c>
      <c r="R34824" s="36" t="s">
        <v>48</v>
      </c>
    </row>
    <row r="34825">
      <c r="H34825" s="50"/>
      <c r="I34825" s="50"/>
      <c r="O34825" s="36" t="s">
        <v>48</v>
      </c>
      <c r="R34825" s="36" t="s">
        <v>48</v>
      </c>
    </row>
    <row r="34826">
      <c r="H34826" s="50"/>
      <c r="I34826" s="50"/>
      <c r="O34826" s="36" t="s">
        <v>48</v>
      </c>
      <c r="R34826" s="36" t="s">
        <v>48</v>
      </c>
    </row>
    <row r="34827">
      <c r="H34827" s="50"/>
      <c r="I34827" s="50"/>
      <c r="O34827" s="36" t="s">
        <v>48</v>
      </c>
      <c r="R34827" s="36" t="s">
        <v>48</v>
      </c>
    </row>
    <row r="34828">
      <c r="H34828" s="50"/>
      <c r="I34828" s="50"/>
      <c r="O34828" s="36" t="s">
        <v>48</v>
      </c>
      <c r="R34828" s="36" t="s">
        <v>48</v>
      </c>
    </row>
    <row r="34829">
      <c r="H34829" s="50"/>
      <c r="I34829" s="50"/>
      <c r="O34829" s="36" t="s">
        <v>48</v>
      </c>
      <c r="R34829" s="36" t="s">
        <v>48</v>
      </c>
    </row>
    <row r="34830">
      <c r="H34830" s="50"/>
      <c r="I34830" s="50"/>
      <c r="O34830" s="36" t="s">
        <v>48</v>
      </c>
      <c r="R34830" s="36" t="s">
        <v>48</v>
      </c>
    </row>
    <row r="34831">
      <c r="H34831" s="50"/>
      <c r="I34831" s="50"/>
      <c r="O34831" s="36" t="s">
        <v>48</v>
      </c>
      <c r="R34831" s="36" t="s">
        <v>48</v>
      </c>
    </row>
    <row r="34832">
      <c r="H34832" s="50"/>
      <c r="I34832" s="50"/>
      <c r="O34832" s="36" t="s">
        <v>48</v>
      </c>
      <c r="R34832" s="36" t="s">
        <v>48</v>
      </c>
    </row>
    <row r="34833">
      <c r="H34833" s="50"/>
      <c r="I34833" s="50"/>
      <c r="O34833" s="36" t="s">
        <v>48</v>
      </c>
      <c r="R34833" s="36" t="s">
        <v>48</v>
      </c>
    </row>
    <row r="34834">
      <c r="H34834" s="50"/>
      <c r="I34834" s="50"/>
      <c r="O34834" s="36" t="s">
        <v>48</v>
      </c>
      <c r="R34834" s="36" t="s">
        <v>48</v>
      </c>
    </row>
    <row r="34835">
      <c r="H34835" s="50"/>
      <c r="I34835" s="50"/>
      <c r="O34835" s="36" t="s">
        <v>48</v>
      </c>
      <c r="R34835" s="36" t="s">
        <v>48</v>
      </c>
    </row>
    <row r="34836">
      <c r="H34836" s="50"/>
      <c r="I34836" s="50"/>
      <c r="O34836" s="36" t="s">
        <v>48</v>
      </c>
      <c r="R34836" s="36" t="s">
        <v>48</v>
      </c>
    </row>
    <row r="34837">
      <c r="H34837" s="50"/>
      <c r="I34837" s="50"/>
      <c r="O34837" s="36" t="s">
        <v>48</v>
      </c>
      <c r="R34837" s="36" t="s">
        <v>48</v>
      </c>
    </row>
    <row r="34838">
      <c r="H34838" s="50"/>
      <c r="I34838" s="50"/>
      <c r="O34838" s="36" t="s">
        <v>48</v>
      </c>
      <c r="R34838" s="36" t="s">
        <v>48</v>
      </c>
    </row>
    <row r="34839">
      <c r="H34839" s="50"/>
      <c r="I34839" s="50"/>
      <c r="O34839" s="36" t="s">
        <v>48</v>
      </c>
      <c r="R34839" s="36" t="s">
        <v>48</v>
      </c>
    </row>
    <row r="34840">
      <c r="H34840" s="50"/>
      <c r="I34840" s="50"/>
      <c r="O34840" s="36" t="s">
        <v>48</v>
      </c>
      <c r="R34840" s="36" t="s">
        <v>48</v>
      </c>
    </row>
    <row r="34841">
      <c r="H34841" s="50"/>
      <c r="I34841" s="50"/>
      <c r="O34841" s="36" t="s">
        <v>48</v>
      </c>
      <c r="R34841" s="36" t="s">
        <v>48</v>
      </c>
    </row>
    <row r="34842">
      <c r="H34842" s="50"/>
      <c r="I34842" s="50"/>
      <c r="O34842" s="36" t="s">
        <v>48</v>
      </c>
      <c r="R34842" s="36" t="s">
        <v>48</v>
      </c>
    </row>
    <row r="34843">
      <c r="H34843" s="50"/>
      <c r="I34843" s="50"/>
      <c r="O34843" s="36" t="s">
        <v>48</v>
      </c>
      <c r="R34843" s="36" t="s">
        <v>48</v>
      </c>
    </row>
    <row r="34844">
      <c r="H34844" s="50"/>
      <c r="I34844" s="50"/>
      <c r="O34844" s="36" t="s">
        <v>48</v>
      </c>
      <c r="R34844" s="36" t="s">
        <v>48</v>
      </c>
    </row>
    <row r="34845">
      <c r="H34845" s="50"/>
      <c r="I34845" s="50"/>
      <c r="O34845" s="36" t="s">
        <v>48</v>
      </c>
      <c r="R34845" s="36" t="s">
        <v>48</v>
      </c>
    </row>
    <row r="34846">
      <c r="H34846" s="50"/>
      <c r="I34846" s="50"/>
      <c r="O34846" s="36" t="s">
        <v>48</v>
      </c>
      <c r="R34846" s="36" t="s">
        <v>48</v>
      </c>
    </row>
    <row r="34847">
      <c r="H34847" s="50"/>
      <c r="I34847" s="50"/>
      <c r="O34847" s="36" t="s">
        <v>48</v>
      </c>
      <c r="R34847" s="36" t="s">
        <v>48</v>
      </c>
    </row>
    <row r="34848">
      <c r="H34848" s="50"/>
      <c r="I34848" s="50"/>
      <c r="O34848" s="36" t="s">
        <v>48</v>
      </c>
      <c r="R34848" s="36" t="s">
        <v>48</v>
      </c>
    </row>
    <row r="34849">
      <c r="H34849" s="50"/>
      <c r="I34849" s="50"/>
      <c r="O34849" s="36" t="s">
        <v>48</v>
      </c>
      <c r="R34849" s="36" t="s">
        <v>48</v>
      </c>
    </row>
    <row r="34850">
      <c r="H34850" s="50"/>
      <c r="I34850" s="50"/>
      <c r="O34850" s="36" t="s">
        <v>48</v>
      </c>
      <c r="R34850" s="36" t="s">
        <v>48</v>
      </c>
    </row>
    <row r="34851">
      <c r="H34851" s="50"/>
      <c r="I34851" s="50"/>
      <c r="O34851" s="36" t="s">
        <v>48</v>
      </c>
      <c r="R34851" s="36" t="s">
        <v>48</v>
      </c>
    </row>
    <row r="34852">
      <c r="H34852" s="50"/>
      <c r="I34852" s="50"/>
      <c r="O34852" s="36" t="s">
        <v>48</v>
      </c>
      <c r="R34852" s="36" t="s">
        <v>48</v>
      </c>
    </row>
    <row r="34853">
      <c r="H34853" s="50"/>
      <c r="I34853" s="50"/>
      <c r="O34853" s="36" t="s">
        <v>48</v>
      </c>
      <c r="R34853" s="36" t="s">
        <v>48</v>
      </c>
    </row>
    <row r="34854">
      <c r="H34854" s="50"/>
      <c r="I34854" s="50"/>
      <c r="O34854" s="36" t="s">
        <v>48</v>
      </c>
      <c r="R34854" s="36" t="s">
        <v>48</v>
      </c>
    </row>
    <row r="34855">
      <c r="H34855" s="50"/>
      <c r="I34855" s="50"/>
      <c r="O34855" s="36" t="s">
        <v>48</v>
      </c>
      <c r="R34855" s="36" t="s">
        <v>48</v>
      </c>
    </row>
    <row r="34856">
      <c r="H34856" s="50"/>
      <c r="I34856" s="50"/>
      <c r="O34856" s="36" t="s">
        <v>48</v>
      </c>
      <c r="R34856" s="36" t="s">
        <v>48</v>
      </c>
    </row>
    <row r="34857">
      <c r="H34857" s="50"/>
      <c r="I34857" s="50"/>
      <c r="O34857" s="36" t="s">
        <v>48</v>
      </c>
      <c r="R34857" s="36" t="s">
        <v>48</v>
      </c>
    </row>
    <row r="34858">
      <c r="H34858" s="50"/>
      <c r="I34858" s="50"/>
      <c r="O34858" s="36" t="s">
        <v>48</v>
      </c>
      <c r="R34858" s="36" t="s">
        <v>48</v>
      </c>
    </row>
    <row r="34859">
      <c r="H34859" s="50"/>
      <c r="I34859" s="50"/>
      <c r="O34859" s="36" t="s">
        <v>48</v>
      </c>
      <c r="R34859" s="36" t="s">
        <v>48</v>
      </c>
    </row>
    <row r="34860">
      <c r="H34860" s="50"/>
      <c r="I34860" s="50"/>
      <c r="O34860" s="36" t="s">
        <v>48</v>
      </c>
      <c r="R34860" s="36" t="s">
        <v>48</v>
      </c>
    </row>
    <row r="34861">
      <c r="H34861" s="50"/>
      <c r="I34861" s="50"/>
      <c r="O34861" s="36" t="s">
        <v>48</v>
      </c>
      <c r="R34861" s="36" t="s">
        <v>48</v>
      </c>
    </row>
    <row r="34862">
      <c r="H34862" s="50"/>
      <c r="I34862" s="50"/>
      <c r="O34862" s="36" t="s">
        <v>48</v>
      </c>
      <c r="R34862" s="36" t="s">
        <v>48</v>
      </c>
    </row>
    <row r="34863">
      <c r="H34863" s="50"/>
      <c r="I34863" s="50"/>
      <c r="O34863" s="36" t="s">
        <v>48</v>
      </c>
      <c r="R34863" s="36" t="s">
        <v>48</v>
      </c>
    </row>
    <row r="34864">
      <c r="H34864" s="50"/>
      <c r="I34864" s="50"/>
      <c r="O34864" s="36" t="s">
        <v>48</v>
      </c>
      <c r="R34864" s="36" t="s">
        <v>48</v>
      </c>
    </row>
    <row r="34865">
      <c r="H34865" s="50"/>
      <c r="I34865" s="50"/>
      <c r="O34865" s="36" t="s">
        <v>48</v>
      </c>
      <c r="R34865" s="36" t="s">
        <v>48</v>
      </c>
    </row>
    <row r="34866">
      <c r="H34866" s="50"/>
      <c r="I34866" s="50"/>
      <c r="O34866" s="36" t="s">
        <v>48</v>
      </c>
      <c r="R34866" s="36" t="s">
        <v>48</v>
      </c>
    </row>
    <row r="34867">
      <c r="H34867" s="50"/>
      <c r="I34867" s="50"/>
      <c r="O34867" s="36" t="s">
        <v>48</v>
      </c>
      <c r="R34867" s="36" t="s">
        <v>48</v>
      </c>
    </row>
    <row r="34868">
      <c r="H34868" s="50"/>
      <c r="I34868" s="50"/>
      <c r="O34868" s="36" t="s">
        <v>48</v>
      </c>
      <c r="R34868" s="36" t="s">
        <v>48</v>
      </c>
    </row>
    <row r="34869">
      <c r="H34869" s="50"/>
      <c r="I34869" s="50"/>
      <c r="O34869" s="36" t="s">
        <v>48</v>
      </c>
      <c r="R34869" s="36" t="s">
        <v>48</v>
      </c>
    </row>
    <row r="34870">
      <c r="H34870" s="50"/>
      <c r="I34870" s="50"/>
      <c r="O34870" s="36" t="s">
        <v>48</v>
      </c>
      <c r="R34870" s="36" t="s">
        <v>48</v>
      </c>
    </row>
    <row r="34871">
      <c r="H34871" s="50"/>
      <c r="I34871" s="50"/>
      <c r="O34871" s="36" t="s">
        <v>48</v>
      </c>
      <c r="R34871" s="36" t="s">
        <v>48</v>
      </c>
    </row>
    <row r="34872">
      <c r="H34872" s="50"/>
      <c r="I34872" s="50"/>
      <c r="O34872" s="36" t="s">
        <v>48</v>
      </c>
      <c r="R34872" s="36" t="s">
        <v>48</v>
      </c>
    </row>
    <row r="34873">
      <c r="H34873" s="50"/>
      <c r="I34873" s="50"/>
      <c r="O34873" s="36" t="s">
        <v>48</v>
      </c>
      <c r="R34873" s="36" t="s">
        <v>48</v>
      </c>
    </row>
    <row r="34874">
      <c r="H34874" s="50"/>
      <c r="I34874" s="50"/>
      <c r="O34874" s="36" t="s">
        <v>48</v>
      </c>
      <c r="R34874" s="36" t="s">
        <v>48</v>
      </c>
    </row>
    <row r="34875">
      <c r="H34875" s="50"/>
      <c r="I34875" s="50"/>
      <c r="O34875" s="36" t="s">
        <v>48</v>
      </c>
      <c r="R34875" s="36" t="s">
        <v>48</v>
      </c>
    </row>
    <row r="34876">
      <c r="H34876" s="50"/>
      <c r="I34876" s="50"/>
      <c r="O34876" s="36" t="s">
        <v>48</v>
      </c>
      <c r="R34876" s="36" t="s">
        <v>48</v>
      </c>
    </row>
    <row r="34877">
      <c r="H34877" s="50"/>
      <c r="I34877" s="50"/>
      <c r="O34877" s="36" t="s">
        <v>48</v>
      </c>
      <c r="R34877" s="36" t="s">
        <v>48</v>
      </c>
    </row>
    <row r="34878">
      <c r="H34878" s="50"/>
      <c r="I34878" s="50"/>
      <c r="O34878" s="36" t="s">
        <v>48</v>
      </c>
      <c r="R34878" s="36" t="s">
        <v>48</v>
      </c>
    </row>
    <row r="34879">
      <c r="H34879" s="50"/>
      <c r="I34879" s="50"/>
      <c r="O34879" s="36" t="s">
        <v>48</v>
      </c>
      <c r="R34879" s="36" t="s">
        <v>48</v>
      </c>
    </row>
    <row r="34880">
      <c r="H34880" s="50"/>
      <c r="I34880" s="50"/>
      <c r="O34880" s="36" t="s">
        <v>48</v>
      </c>
      <c r="R34880" s="36" t="s">
        <v>48</v>
      </c>
    </row>
    <row r="34881">
      <c r="H34881" s="50"/>
      <c r="I34881" s="50"/>
      <c r="O34881" s="36" t="s">
        <v>48</v>
      </c>
      <c r="R34881" s="36" t="s">
        <v>48</v>
      </c>
    </row>
    <row r="34882">
      <c r="H34882" s="50"/>
      <c r="I34882" s="50"/>
      <c r="O34882" s="36" t="s">
        <v>48</v>
      </c>
      <c r="R34882" s="36" t="s">
        <v>48</v>
      </c>
    </row>
    <row r="34883">
      <c r="H34883" s="50"/>
      <c r="I34883" s="50"/>
      <c r="O34883" s="36" t="s">
        <v>48</v>
      </c>
      <c r="R34883" s="36" t="s">
        <v>48</v>
      </c>
    </row>
    <row r="34884">
      <c r="H34884" s="50"/>
      <c r="I34884" s="50"/>
      <c r="O34884" s="36" t="s">
        <v>48</v>
      </c>
      <c r="R34884" s="36" t="s">
        <v>48</v>
      </c>
    </row>
    <row r="34885">
      <c r="H34885" s="50"/>
      <c r="I34885" s="50"/>
      <c r="O34885" s="36" t="s">
        <v>48</v>
      </c>
      <c r="R34885" s="36" t="s">
        <v>48</v>
      </c>
    </row>
    <row r="34886">
      <c r="H34886" s="50"/>
      <c r="I34886" s="50"/>
      <c r="O34886" s="36" t="s">
        <v>48</v>
      </c>
      <c r="R34886" s="36" t="s">
        <v>48</v>
      </c>
    </row>
    <row r="34887">
      <c r="H34887" s="50"/>
      <c r="I34887" s="50"/>
      <c r="O34887" s="36" t="s">
        <v>48</v>
      </c>
      <c r="R34887" s="36" t="s">
        <v>48</v>
      </c>
    </row>
    <row r="34888">
      <c r="H34888" s="50"/>
      <c r="I34888" s="50"/>
      <c r="O34888" s="36" t="s">
        <v>48</v>
      </c>
      <c r="R34888" s="36" t="s">
        <v>48</v>
      </c>
    </row>
    <row r="34889">
      <c r="H34889" s="50"/>
      <c r="I34889" s="50"/>
      <c r="O34889" s="36" t="s">
        <v>48</v>
      </c>
      <c r="R34889" s="36" t="s">
        <v>48</v>
      </c>
    </row>
    <row r="34890">
      <c r="H34890" s="50"/>
      <c r="I34890" s="50"/>
      <c r="O34890" s="36" t="s">
        <v>48</v>
      </c>
      <c r="R34890" s="36" t="s">
        <v>48</v>
      </c>
    </row>
    <row r="34891">
      <c r="H34891" s="50"/>
      <c r="I34891" s="50"/>
      <c r="O34891" s="36" t="s">
        <v>48</v>
      </c>
      <c r="R34891" s="36" t="s">
        <v>48</v>
      </c>
    </row>
    <row r="34892">
      <c r="H34892" s="50"/>
      <c r="I34892" s="50"/>
      <c r="O34892" s="36" t="s">
        <v>48</v>
      </c>
      <c r="R34892" s="36" t="s">
        <v>48</v>
      </c>
    </row>
    <row r="34893">
      <c r="H34893" s="50"/>
      <c r="I34893" s="50"/>
      <c r="O34893" s="36" t="s">
        <v>48</v>
      </c>
      <c r="R34893" s="36" t="s">
        <v>48</v>
      </c>
    </row>
    <row r="34894">
      <c r="H34894" s="50"/>
      <c r="I34894" s="50"/>
      <c r="O34894" s="36" t="s">
        <v>48</v>
      </c>
      <c r="R34894" s="36" t="s">
        <v>48</v>
      </c>
    </row>
    <row r="34895">
      <c r="H34895" s="50"/>
      <c r="I34895" s="50"/>
      <c r="O34895" s="36" t="s">
        <v>48</v>
      </c>
      <c r="R34895" s="36" t="s">
        <v>48</v>
      </c>
    </row>
    <row r="34896">
      <c r="H34896" s="50"/>
      <c r="I34896" s="50"/>
      <c r="O34896" s="36" t="s">
        <v>48</v>
      </c>
      <c r="R34896" s="36" t="s">
        <v>48</v>
      </c>
    </row>
    <row r="34897">
      <c r="H34897" s="50"/>
      <c r="I34897" s="50"/>
      <c r="O34897" s="36" t="s">
        <v>48</v>
      </c>
      <c r="R34897" s="36" t="s">
        <v>48</v>
      </c>
    </row>
    <row r="34898">
      <c r="H34898" s="50"/>
      <c r="I34898" s="50"/>
      <c r="O34898" s="36" t="s">
        <v>48</v>
      </c>
      <c r="R34898" s="36" t="s">
        <v>48</v>
      </c>
    </row>
    <row r="34899">
      <c r="H34899" s="50"/>
      <c r="I34899" s="50"/>
      <c r="O34899" s="36" t="s">
        <v>48</v>
      </c>
      <c r="R34899" s="36" t="s">
        <v>48</v>
      </c>
    </row>
    <row r="34900">
      <c r="H34900" s="50"/>
      <c r="I34900" s="50"/>
      <c r="O34900" s="36" t="s">
        <v>48</v>
      </c>
      <c r="R34900" s="36" t="s">
        <v>48</v>
      </c>
    </row>
    <row r="34901">
      <c r="H34901" s="50"/>
      <c r="I34901" s="50"/>
      <c r="O34901" s="36" t="s">
        <v>48</v>
      </c>
      <c r="R34901" s="36" t="s">
        <v>48</v>
      </c>
    </row>
    <row r="34902">
      <c r="H34902" s="50"/>
      <c r="I34902" s="50"/>
      <c r="O34902" s="36" t="s">
        <v>48</v>
      </c>
      <c r="R34902" s="36" t="s">
        <v>48</v>
      </c>
    </row>
    <row r="34903">
      <c r="H34903" s="50"/>
      <c r="I34903" s="50"/>
      <c r="O34903" s="36" t="s">
        <v>48</v>
      </c>
      <c r="R34903" s="36" t="s">
        <v>48</v>
      </c>
    </row>
    <row r="34904">
      <c r="H34904" s="50"/>
      <c r="I34904" s="50"/>
      <c r="O34904" s="36" t="s">
        <v>48</v>
      </c>
      <c r="R34904" s="36" t="s">
        <v>48</v>
      </c>
    </row>
    <row r="34905">
      <c r="H34905" s="50"/>
      <c r="I34905" s="50"/>
      <c r="O34905" s="36" t="s">
        <v>48</v>
      </c>
      <c r="R34905" s="36" t="s">
        <v>48</v>
      </c>
    </row>
    <row r="34906">
      <c r="H34906" s="50"/>
      <c r="I34906" s="50"/>
      <c r="O34906" s="36" t="s">
        <v>48</v>
      </c>
      <c r="R34906" s="36" t="s">
        <v>48</v>
      </c>
    </row>
    <row r="34907">
      <c r="H34907" s="50"/>
      <c r="I34907" s="50"/>
      <c r="O34907" s="36" t="s">
        <v>48</v>
      </c>
      <c r="R34907" s="36" t="s">
        <v>48</v>
      </c>
    </row>
    <row r="34908">
      <c r="H34908" s="50"/>
      <c r="I34908" s="50"/>
      <c r="O34908" s="36" t="s">
        <v>48</v>
      </c>
      <c r="R34908" s="36" t="s">
        <v>48</v>
      </c>
    </row>
    <row r="34909">
      <c r="H34909" s="50"/>
      <c r="I34909" s="50"/>
      <c r="O34909" s="36" t="s">
        <v>48</v>
      </c>
      <c r="R34909" s="36" t="s">
        <v>48</v>
      </c>
    </row>
    <row r="34910">
      <c r="H34910" s="50"/>
      <c r="I34910" s="50"/>
      <c r="O34910" s="36" t="s">
        <v>48</v>
      </c>
      <c r="R34910" s="36" t="s">
        <v>48</v>
      </c>
    </row>
    <row r="34911">
      <c r="H34911" s="50"/>
      <c r="I34911" s="50"/>
      <c r="O34911" s="36" t="s">
        <v>48</v>
      </c>
      <c r="R34911" s="36" t="s">
        <v>48</v>
      </c>
    </row>
    <row r="34912">
      <c r="H34912" s="50"/>
      <c r="I34912" s="50"/>
      <c r="O34912" s="36" t="s">
        <v>48</v>
      </c>
      <c r="R34912" s="36" t="s">
        <v>48</v>
      </c>
    </row>
    <row r="34913">
      <c r="H34913" s="50"/>
      <c r="I34913" s="50"/>
      <c r="O34913" s="36" t="s">
        <v>48</v>
      </c>
      <c r="R34913" s="36" t="s">
        <v>48</v>
      </c>
    </row>
    <row r="34914">
      <c r="H34914" s="50"/>
      <c r="I34914" s="50"/>
      <c r="O34914" s="36" t="s">
        <v>48</v>
      </c>
      <c r="R34914" s="36" t="s">
        <v>48</v>
      </c>
    </row>
    <row r="34915">
      <c r="H34915" s="50"/>
      <c r="I34915" s="50"/>
      <c r="O34915" s="36" t="s">
        <v>48</v>
      </c>
      <c r="R34915" s="36" t="s">
        <v>48</v>
      </c>
    </row>
    <row r="34916">
      <c r="H34916" s="50"/>
      <c r="I34916" s="50"/>
      <c r="O34916" s="36" t="s">
        <v>48</v>
      </c>
      <c r="R34916" s="36" t="s">
        <v>48</v>
      </c>
    </row>
    <row r="34917">
      <c r="H34917" s="50"/>
      <c r="I34917" s="50"/>
      <c r="O34917" s="36" t="s">
        <v>48</v>
      </c>
      <c r="R34917" s="36" t="s">
        <v>48</v>
      </c>
    </row>
    <row r="34918">
      <c r="H34918" s="50"/>
      <c r="I34918" s="50"/>
      <c r="O34918" s="36" t="s">
        <v>48</v>
      </c>
      <c r="R34918" s="36" t="s">
        <v>48</v>
      </c>
    </row>
    <row r="34919">
      <c r="H34919" s="50"/>
      <c r="I34919" s="50"/>
      <c r="O34919" s="36" t="s">
        <v>48</v>
      </c>
      <c r="R34919" s="36" t="s">
        <v>48</v>
      </c>
    </row>
    <row r="34920">
      <c r="H34920" s="50"/>
      <c r="I34920" s="50"/>
      <c r="O34920" s="36" t="s">
        <v>48</v>
      </c>
      <c r="R34920" s="36" t="s">
        <v>48</v>
      </c>
    </row>
    <row r="34921">
      <c r="H34921" s="50"/>
      <c r="I34921" s="50"/>
      <c r="O34921" s="36" t="s">
        <v>48</v>
      </c>
      <c r="R34921" s="36" t="s">
        <v>48</v>
      </c>
    </row>
    <row r="34922">
      <c r="H34922" s="50"/>
      <c r="I34922" s="50"/>
      <c r="O34922" s="36" t="s">
        <v>48</v>
      </c>
      <c r="R34922" s="36" t="s">
        <v>48</v>
      </c>
    </row>
    <row r="34923">
      <c r="H34923" s="50"/>
      <c r="I34923" s="50"/>
      <c r="O34923" s="36" t="s">
        <v>48</v>
      </c>
      <c r="R34923" s="36" t="s">
        <v>48</v>
      </c>
    </row>
    <row r="34924">
      <c r="H34924" s="50"/>
      <c r="I34924" s="50"/>
      <c r="O34924" s="36" t="s">
        <v>48</v>
      </c>
      <c r="R34924" s="36" t="s">
        <v>48</v>
      </c>
    </row>
    <row r="34925">
      <c r="H34925" s="50"/>
      <c r="I34925" s="50"/>
      <c r="O34925" s="36" t="s">
        <v>48</v>
      </c>
      <c r="R34925" s="36" t="s">
        <v>48</v>
      </c>
    </row>
    <row r="34926">
      <c r="H34926" s="50"/>
      <c r="I34926" s="50"/>
      <c r="O34926" s="36" t="s">
        <v>48</v>
      </c>
      <c r="R34926" s="36" t="s">
        <v>48</v>
      </c>
    </row>
    <row r="34927">
      <c r="H34927" s="50"/>
      <c r="I34927" s="50"/>
      <c r="O34927" s="36" t="s">
        <v>48</v>
      </c>
      <c r="R34927" s="36" t="s">
        <v>48</v>
      </c>
    </row>
    <row r="34928">
      <c r="H34928" s="50"/>
      <c r="I34928" s="50"/>
      <c r="O34928" s="36" t="s">
        <v>48</v>
      </c>
      <c r="R34928" s="36" t="s">
        <v>48</v>
      </c>
    </row>
    <row r="34929">
      <c r="H34929" s="50"/>
      <c r="I34929" s="50"/>
      <c r="O34929" s="36" t="s">
        <v>48</v>
      </c>
      <c r="R34929" s="36" t="s">
        <v>48</v>
      </c>
    </row>
    <row r="34930">
      <c r="H34930" s="50"/>
      <c r="I34930" s="50"/>
      <c r="O34930" s="36" t="s">
        <v>48</v>
      </c>
      <c r="R34930" s="36" t="s">
        <v>48</v>
      </c>
    </row>
    <row r="34931">
      <c r="H34931" s="50"/>
      <c r="I34931" s="50"/>
      <c r="O34931" s="36" t="s">
        <v>48</v>
      </c>
      <c r="R34931" s="36" t="s">
        <v>48</v>
      </c>
    </row>
    <row r="34932">
      <c r="H34932" s="50"/>
      <c r="I34932" s="50"/>
      <c r="O34932" s="36" t="s">
        <v>48</v>
      </c>
      <c r="R34932" s="36" t="s">
        <v>48</v>
      </c>
    </row>
    <row r="34933">
      <c r="H34933" s="50"/>
      <c r="I34933" s="50"/>
      <c r="O34933" s="36" t="s">
        <v>48</v>
      </c>
      <c r="R34933" s="36" t="s">
        <v>48</v>
      </c>
    </row>
    <row r="34934">
      <c r="H34934" s="50"/>
      <c r="I34934" s="50"/>
      <c r="O34934" s="36" t="s">
        <v>48</v>
      </c>
      <c r="R34934" s="36" t="s">
        <v>48</v>
      </c>
    </row>
    <row r="34935">
      <c r="H34935" s="50"/>
      <c r="I34935" s="50"/>
      <c r="O34935" s="36" t="s">
        <v>48</v>
      </c>
      <c r="R34935" s="36" t="s">
        <v>48</v>
      </c>
    </row>
    <row r="34936">
      <c r="H34936" s="50"/>
      <c r="I34936" s="50"/>
      <c r="O34936" s="36" t="s">
        <v>48</v>
      </c>
      <c r="R34936" s="36" t="s">
        <v>48</v>
      </c>
    </row>
    <row r="34937">
      <c r="H34937" s="50"/>
      <c r="I34937" s="50"/>
      <c r="O34937" s="36" t="s">
        <v>48</v>
      </c>
      <c r="R34937" s="36" t="s">
        <v>48</v>
      </c>
    </row>
    <row r="34938">
      <c r="H34938" s="50"/>
      <c r="I34938" s="50"/>
      <c r="O34938" s="36" t="s">
        <v>48</v>
      </c>
      <c r="R34938" s="36" t="s">
        <v>48</v>
      </c>
    </row>
    <row r="34939">
      <c r="H34939" s="50"/>
      <c r="I34939" s="50"/>
      <c r="O34939" s="36" t="s">
        <v>48</v>
      </c>
      <c r="R34939" s="36" t="s">
        <v>48</v>
      </c>
    </row>
    <row r="34940">
      <c r="H34940" s="50"/>
      <c r="I34940" s="50"/>
      <c r="O34940" s="36" t="s">
        <v>48</v>
      </c>
      <c r="R34940" s="36" t="s">
        <v>48</v>
      </c>
    </row>
    <row r="34941">
      <c r="H34941" s="50"/>
      <c r="I34941" s="50"/>
      <c r="O34941" s="36" t="s">
        <v>48</v>
      </c>
      <c r="R34941" s="36" t="s">
        <v>48</v>
      </c>
    </row>
    <row r="34942">
      <c r="H34942" s="50"/>
      <c r="I34942" s="50"/>
      <c r="O34942" s="36" t="s">
        <v>48</v>
      </c>
      <c r="R34942" s="36" t="s">
        <v>48</v>
      </c>
    </row>
    <row r="34943">
      <c r="H34943" s="50"/>
      <c r="I34943" s="50"/>
      <c r="O34943" s="36" t="s">
        <v>48</v>
      </c>
      <c r="R34943" s="36" t="s">
        <v>48</v>
      </c>
    </row>
    <row r="34944">
      <c r="H34944" s="50"/>
      <c r="I34944" s="50"/>
      <c r="O34944" s="36" t="s">
        <v>48</v>
      </c>
      <c r="R34944" s="36" t="s">
        <v>48</v>
      </c>
    </row>
    <row r="34945">
      <c r="H34945" s="50"/>
      <c r="I34945" s="50"/>
      <c r="O34945" s="36" t="s">
        <v>48</v>
      </c>
      <c r="R34945" s="36" t="s">
        <v>48</v>
      </c>
    </row>
    <row r="34946">
      <c r="H34946" s="50"/>
      <c r="I34946" s="50"/>
      <c r="O34946" s="36" t="s">
        <v>48</v>
      </c>
      <c r="R34946" s="36" t="s">
        <v>48</v>
      </c>
    </row>
    <row r="34947">
      <c r="H34947" s="50"/>
      <c r="I34947" s="50"/>
      <c r="O34947" s="36" t="s">
        <v>48</v>
      </c>
      <c r="R34947" s="36" t="s">
        <v>48</v>
      </c>
    </row>
    <row r="34948">
      <c r="H34948" s="50"/>
      <c r="I34948" s="50"/>
      <c r="O34948" s="36" t="s">
        <v>48</v>
      </c>
      <c r="R34948" s="36" t="s">
        <v>48</v>
      </c>
    </row>
    <row r="34949">
      <c r="H34949" s="50"/>
      <c r="I34949" s="50"/>
      <c r="O34949" s="36" t="s">
        <v>48</v>
      </c>
      <c r="R34949" s="36" t="s">
        <v>48</v>
      </c>
    </row>
    <row r="34950">
      <c r="H34950" s="50"/>
      <c r="I34950" s="50"/>
      <c r="O34950" s="36" t="s">
        <v>48</v>
      </c>
      <c r="R34950" s="36" t="s">
        <v>48</v>
      </c>
    </row>
    <row r="34951">
      <c r="H34951" s="50"/>
      <c r="I34951" s="50"/>
      <c r="O34951" s="36" t="s">
        <v>48</v>
      </c>
      <c r="R34951" s="36" t="s">
        <v>48</v>
      </c>
    </row>
    <row r="34952">
      <c r="H34952" s="50"/>
      <c r="I34952" s="50"/>
      <c r="O34952" s="36" t="s">
        <v>48</v>
      </c>
      <c r="R34952" s="36" t="s">
        <v>48</v>
      </c>
    </row>
    <row r="34953">
      <c r="H34953" s="50"/>
      <c r="I34953" s="50"/>
      <c r="O34953" s="36" t="s">
        <v>48</v>
      </c>
      <c r="R34953" s="36" t="s">
        <v>48</v>
      </c>
    </row>
    <row r="34954">
      <c r="H34954" s="50"/>
      <c r="I34954" s="50"/>
      <c r="O34954" s="36" t="s">
        <v>48</v>
      </c>
      <c r="R34954" s="36" t="s">
        <v>48</v>
      </c>
    </row>
    <row r="34955">
      <c r="H34955" s="50"/>
      <c r="I34955" s="50"/>
      <c r="O34955" s="36" t="s">
        <v>48</v>
      </c>
      <c r="R34955" s="36" t="s">
        <v>48</v>
      </c>
    </row>
    <row r="34956">
      <c r="H34956" s="50"/>
      <c r="I34956" s="50"/>
      <c r="O34956" s="36" t="s">
        <v>48</v>
      </c>
      <c r="R34956" s="36" t="s">
        <v>48</v>
      </c>
    </row>
    <row r="34957">
      <c r="H34957" s="50"/>
      <c r="I34957" s="50"/>
      <c r="O34957" s="36" t="s">
        <v>48</v>
      </c>
      <c r="R34957" s="36" t="s">
        <v>48</v>
      </c>
    </row>
    <row r="34958">
      <c r="H34958" s="50"/>
      <c r="I34958" s="50"/>
      <c r="O34958" s="36" t="s">
        <v>48</v>
      </c>
      <c r="R34958" s="36" t="s">
        <v>48</v>
      </c>
    </row>
    <row r="34959">
      <c r="H34959" s="50"/>
      <c r="I34959" s="50"/>
      <c r="O34959" s="36" t="s">
        <v>48</v>
      </c>
      <c r="R34959" s="36" t="s">
        <v>48</v>
      </c>
    </row>
    <row r="34960">
      <c r="H34960" s="50"/>
      <c r="I34960" s="50"/>
      <c r="O34960" s="36" t="s">
        <v>48</v>
      </c>
      <c r="R34960" s="36" t="s">
        <v>48</v>
      </c>
    </row>
    <row r="34961">
      <c r="H34961" s="50"/>
      <c r="I34961" s="50"/>
      <c r="O34961" s="36" t="s">
        <v>48</v>
      </c>
      <c r="R34961" s="36" t="s">
        <v>48</v>
      </c>
    </row>
    <row r="34962">
      <c r="H34962" s="50"/>
      <c r="I34962" s="50"/>
      <c r="O34962" s="36" t="s">
        <v>48</v>
      </c>
      <c r="R34962" s="36" t="s">
        <v>48</v>
      </c>
    </row>
    <row r="34963">
      <c r="H34963" s="50"/>
      <c r="I34963" s="50"/>
      <c r="O34963" s="36" t="s">
        <v>48</v>
      </c>
      <c r="R34963" s="36" t="s">
        <v>48</v>
      </c>
    </row>
    <row r="34964">
      <c r="H34964" s="50"/>
      <c r="I34964" s="50"/>
      <c r="O34964" s="36" t="s">
        <v>48</v>
      </c>
      <c r="R34964" s="36" t="s">
        <v>48</v>
      </c>
    </row>
    <row r="34965">
      <c r="H34965" s="50"/>
      <c r="I34965" s="50"/>
      <c r="O34965" s="36" t="s">
        <v>48</v>
      </c>
      <c r="R34965" s="36" t="s">
        <v>48</v>
      </c>
    </row>
    <row r="34966">
      <c r="H34966" s="50"/>
      <c r="I34966" s="50"/>
      <c r="O34966" s="36" t="s">
        <v>48</v>
      </c>
      <c r="R34966" s="36" t="s">
        <v>48</v>
      </c>
    </row>
    <row r="34967">
      <c r="H34967" s="50"/>
      <c r="I34967" s="50"/>
      <c r="O34967" s="36" t="s">
        <v>48</v>
      </c>
      <c r="R34967" s="36" t="s">
        <v>48</v>
      </c>
    </row>
    <row r="34968">
      <c r="H34968" s="50"/>
      <c r="I34968" s="50"/>
      <c r="O34968" s="36" t="s">
        <v>48</v>
      </c>
      <c r="R34968" s="36" t="s">
        <v>48</v>
      </c>
    </row>
    <row r="34969">
      <c r="H34969" s="50"/>
      <c r="I34969" s="50"/>
      <c r="O34969" s="36" t="s">
        <v>48</v>
      </c>
      <c r="R34969" s="36" t="s">
        <v>48</v>
      </c>
    </row>
    <row r="34970">
      <c r="H34970" s="50"/>
      <c r="I34970" s="50"/>
      <c r="O34970" s="36" t="s">
        <v>48</v>
      </c>
      <c r="R34970" s="36" t="s">
        <v>48</v>
      </c>
    </row>
    <row r="34971">
      <c r="H34971" s="50"/>
      <c r="I34971" s="50"/>
      <c r="O34971" s="36" t="s">
        <v>48</v>
      </c>
      <c r="R34971" s="36" t="s">
        <v>48</v>
      </c>
    </row>
    <row r="34972">
      <c r="H34972" s="50"/>
      <c r="I34972" s="50"/>
      <c r="O34972" s="36" t="s">
        <v>48</v>
      </c>
      <c r="R34972" s="36" t="s">
        <v>48</v>
      </c>
    </row>
    <row r="34973">
      <c r="H34973" s="50"/>
      <c r="I34973" s="50"/>
      <c r="O34973" s="36" t="s">
        <v>48</v>
      </c>
      <c r="R34973" s="36" t="s">
        <v>48</v>
      </c>
    </row>
    <row r="34974">
      <c r="H34974" s="50"/>
      <c r="I34974" s="50"/>
      <c r="O34974" s="36" t="s">
        <v>48</v>
      </c>
      <c r="R34974" s="36" t="s">
        <v>48</v>
      </c>
    </row>
    <row r="34975">
      <c r="H34975" s="50"/>
      <c r="I34975" s="50"/>
      <c r="O34975" s="36" t="s">
        <v>48</v>
      </c>
      <c r="R34975" s="36" t="s">
        <v>48</v>
      </c>
    </row>
    <row r="34976">
      <c r="H34976" s="50"/>
      <c r="I34976" s="50"/>
      <c r="O34976" s="36" t="s">
        <v>48</v>
      </c>
      <c r="R34976" s="36" t="s">
        <v>48</v>
      </c>
    </row>
    <row r="34977">
      <c r="H34977" s="50"/>
      <c r="I34977" s="50"/>
      <c r="O34977" s="36" t="s">
        <v>48</v>
      </c>
      <c r="R34977" s="36" t="s">
        <v>48</v>
      </c>
    </row>
    <row r="34978">
      <c r="H34978" s="50"/>
      <c r="I34978" s="50"/>
      <c r="O34978" s="36" t="s">
        <v>48</v>
      </c>
      <c r="R34978" s="36" t="s">
        <v>48</v>
      </c>
    </row>
    <row r="34979">
      <c r="H34979" s="50"/>
      <c r="I34979" s="50"/>
      <c r="O34979" s="36" t="s">
        <v>48</v>
      </c>
      <c r="R34979" s="36" t="s">
        <v>48</v>
      </c>
    </row>
    <row r="34980">
      <c r="H34980" s="50"/>
      <c r="I34980" s="50"/>
      <c r="O34980" s="36" t="s">
        <v>48</v>
      </c>
      <c r="R34980" s="36" t="s">
        <v>48</v>
      </c>
    </row>
    <row r="34981">
      <c r="H34981" s="50"/>
      <c r="I34981" s="50"/>
      <c r="O34981" s="36" t="s">
        <v>48</v>
      </c>
      <c r="R34981" s="36" t="s">
        <v>48</v>
      </c>
    </row>
    <row r="34982">
      <c r="H34982" s="50"/>
      <c r="I34982" s="50"/>
      <c r="O34982" s="36" t="s">
        <v>48</v>
      </c>
      <c r="R34982" s="36" t="s">
        <v>48</v>
      </c>
    </row>
    <row r="34983">
      <c r="H34983" s="50"/>
      <c r="I34983" s="50"/>
      <c r="O34983" s="36" t="s">
        <v>48</v>
      </c>
      <c r="R34983" s="36" t="s">
        <v>48</v>
      </c>
    </row>
    <row r="34984">
      <c r="H34984" s="50"/>
      <c r="I34984" s="50"/>
      <c r="O34984" s="36" t="s">
        <v>48</v>
      </c>
      <c r="R34984" s="36" t="s">
        <v>48</v>
      </c>
    </row>
    <row r="34985">
      <c r="H34985" s="50"/>
      <c r="I34985" s="50"/>
      <c r="O34985" s="36" t="s">
        <v>48</v>
      </c>
      <c r="R34985" s="36" t="s">
        <v>48</v>
      </c>
    </row>
    <row r="34986">
      <c r="H34986" s="50"/>
      <c r="I34986" s="50"/>
      <c r="O34986" s="36" t="s">
        <v>48</v>
      </c>
      <c r="R34986" s="36" t="s">
        <v>48</v>
      </c>
    </row>
    <row r="34987">
      <c r="H34987" s="50"/>
      <c r="I34987" s="50"/>
      <c r="O34987" s="36" t="s">
        <v>48</v>
      </c>
      <c r="R34987" s="36" t="s">
        <v>48</v>
      </c>
    </row>
    <row r="34988">
      <c r="H34988" s="50"/>
      <c r="I34988" s="50"/>
      <c r="O34988" s="36" t="s">
        <v>48</v>
      </c>
      <c r="R34988" s="36" t="s">
        <v>48</v>
      </c>
    </row>
    <row r="34989">
      <c r="H34989" s="50"/>
      <c r="I34989" s="50"/>
      <c r="O34989" s="36" t="s">
        <v>48</v>
      </c>
      <c r="R34989" s="36" t="s">
        <v>48</v>
      </c>
    </row>
    <row r="34990">
      <c r="H34990" s="50"/>
      <c r="I34990" s="50"/>
      <c r="O34990" s="36" t="s">
        <v>48</v>
      </c>
      <c r="R34990" s="36" t="s">
        <v>48</v>
      </c>
    </row>
    <row r="34991">
      <c r="H34991" s="50"/>
      <c r="I34991" s="50"/>
      <c r="O34991" s="36" t="s">
        <v>48</v>
      </c>
      <c r="R34991" s="36" t="s">
        <v>48</v>
      </c>
    </row>
    <row r="34992">
      <c r="H34992" s="50"/>
      <c r="I34992" s="50"/>
      <c r="O34992" s="36" t="s">
        <v>48</v>
      </c>
      <c r="R34992" s="36" t="s">
        <v>48</v>
      </c>
    </row>
    <row r="34993">
      <c r="H34993" s="50"/>
      <c r="I34993" s="50"/>
      <c r="O34993" s="36" t="s">
        <v>48</v>
      </c>
      <c r="R34993" s="36" t="s">
        <v>48</v>
      </c>
    </row>
    <row r="34994">
      <c r="H34994" s="50"/>
      <c r="I34994" s="50"/>
      <c r="O34994" s="36" t="s">
        <v>48</v>
      </c>
      <c r="R34994" s="36" t="s">
        <v>48</v>
      </c>
    </row>
    <row r="34995">
      <c r="H34995" s="50"/>
      <c r="I34995" s="50"/>
      <c r="O34995" s="36" t="s">
        <v>48</v>
      </c>
      <c r="R34995" s="36" t="s">
        <v>48</v>
      </c>
    </row>
    <row r="34996">
      <c r="H34996" s="50"/>
      <c r="I34996" s="50"/>
      <c r="O34996" s="36" t="s">
        <v>48</v>
      </c>
      <c r="R34996" s="36" t="s">
        <v>48</v>
      </c>
    </row>
    <row r="34997">
      <c r="H34997" s="50"/>
      <c r="I34997" s="50"/>
      <c r="O34997" s="36" t="s">
        <v>48</v>
      </c>
      <c r="R34997" s="36" t="s">
        <v>48</v>
      </c>
    </row>
    <row r="34998">
      <c r="H34998" s="50"/>
      <c r="I34998" s="50"/>
      <c r="O34998" s="36" t="s">
        <v>48</v>
      </c>
      <c r="R34998" s="36" t="s">
        <v>48</v>
      </c>
    </row>
    <row r="34999">
      <c r="H34999" s="50"/>
      <c r="I34999" s="50"/>
      <c r="O34999" s="36" t="s">
        <v>48</v>
      </c>
      <c r="R34999" s="36" t="s">
        <v>48</v>
      </c>
    </row>
    <row r="35000">
      <c r="H35000" s="50"/>
      <c r="I35000" s="50"/>
      <c r="O35000" s="36" t="s">
        <v>48</v>
      </c>
      <c r="R35000" s="36" t="s">
        <v>48</v>
      </c>
    </row>
    <row r="35001">
      <c r="H35001" s="50"/>
      <c r="I35001" s="50"/>
      <c r="O35001" s="36" t="s">
        <v>48</v>
      </c>
      <c r="R35001" s="36" t="s">
        <v>48</v>
      </c>
    </row>
    <row r="35002">
      <c r="H35002" s="50"/>
      <c r="I35002" s="50"/>
      <c r="O35002" s="36" t="s">
        <v>48</v>
      </c>
      <c r="R35002" s="36" t="s">
        <v>48</v>
      </c>
    </row>
    <row r="35003">
      <c r="H35003" s="50"/>
      <c r="I35003" s="50"/>
      <c r="O35003" s="36" t="s">
        <v>48</v>
      </c>
      <c r="R35003" s="36" t="s">
        <v>48</v>
      </c>
    </row>
    <row r="35004">
      <c r="H35004" s="50"/>
      <c r="I35004" s="50"/>
      <c r="O35004" s="36" t="s">
        <v>48</v>
      </c>
      <c r="R35004" s="36" t="s">
        <v>48</v>
      </c>
    </row>
    <row r="35005">
      <c r="H35005" s="50"/>
      <c r="I35005" s="50"/>
      <c r="O35005" s="36" t="s">
        <v>48</v>
      </c>
      <c r="R35005" s="36" t="s">
        <v>48</v>
      </c>
    </row>
    <row r="35006">
      <c r="H35006" s="50"/>
      <c r="I35006" s="50"/>
      <c r="O35006" s="36" t="s">
        <v>48</v>
      </c>
      <c r="R35006" s="36" t="s">
        <v>48</v>
      </c>
    </row>
    <row r="35007">
      <c r="H35007" s="50"/>
      <c r="I35007" s="50"/>
      <c r="O35007" s="36" t="s">
        <v>48</v>
      </c>
      <c r="R35007" s="36" t="s">
        <v>48</v>
      </c>
    </row>
    <row r="35008">
      <c r="H35008" s="50"/>
      <c r="I35008" s="50"/>
      <c r="O35008" s="36" t="s">
        <v>48</v>
      </c>
      <c r="R35008" s="36" t="s">
        <v>48</v>
      </c>
    </row>
    <row r="35009">
      <c r="H35009" s="50"/>
      <c r="I35009" s="50"/>
      <c r="O35009" s="36" t="s">
        <v>48</v>
      </c>
      <c r="R35009" s="36" t="s">
        <v>48</v>
      </c>
    </row>
    <row r="35010">
      <c r="H35010" s="50"/>
      <c r="I35010" s="50"/>
      <c r="O35010" s="36" t="s">
        <v>48</v>
      </c>
      <c r="R35010" s="36" t="s">
        <v>48</v>
      </c>
    </row>
    <row r="35011">
      <c r="H35011" s="50"/>
      <c r="I35011" s="50"/>
      <c r="O35011" s="36" t="s">
        <v>48</v>
      </c>
      <c r="R35011" s="36" t="s">
        <v>48</v>
      </c>
    </row>
    <row r="35012">
      <c r="H35012" s="50"/>
      <c r="I35012" s="50"/>
      <c r="O35012" s="36" t="s">
        <v>48</v>
      </c>
      <c r="R35012" s="36" t="s">
        <v>48</v>
      </c>
    </row>
    <row r="35013">
      <c r="H35013" s="50"/>
      <c r="I35013" s="50"/>
      <c r="O35013" s="36" t="s">
        <v>48</v>
      </c>
      <c r="R35013" s="36" t="s">
        <v>48</v>
      </c>
    </row>
    <row r="35014">
      <c r="H35014" s="50"/>
      <c r="I35014" s="50"/>
      <c r="O35014" s="36" t="s">
        <v>48</v>
      </c>
      <c r="R35014" s="36" t="s">
        <v>48</v>
      </c>
    </row>
    <row r="35015">
      <c r="H35015" s="50"/>
      <c r="I35015" s="50"/>
      <c r="O35015" s="36" t="s">
        <v>48</v>
      </c>
      <c r="R35015" s="36" t="s">
        <v>48</v>
      </c>
    </row>
    <row r="35016">
      <c r="H35016" s="50"/>
      <c r="I35016" s="50"/>
      <c r="O35016" s="36" t="s">
        <v>48</v>
      </c>
      <c r="R35016" s="36" t="s">
        <v>48</v>
      </c>
    </row>
    <row r="35017">
      <c r="H35017" s="50"/>
      <c r="I35017" s="50"/>
      <c r="O35017" s="36" t="s">
        <v>48</v>
      </c>
      <c r="R35017" s="36" t="s">
        <v>48</v>
      </c>
    </row>
    <row r="35018">
      <c r="H35018" s="50"/>
      <c r="I35018" s="50"/>
      <c r="O35018" s="36" t="s">
        <v>48</v>
      </c>
      <c r="R35018" s="36" t="s">
        <v>48</v>
      </c>
    </row>
    <row r="35019">
      <c r="H35019" s="50"/>
      <c r="I35019" s="50"/>
      <c r="O35019" s="36" t="s">
        <v>48</v>
      </c>
      <c r="R35019" s="36" t="s">
        <v>48</v>
      </c>
    </row>
    <row r="35020">
      <c r="H35020" s="50"/>
      <c r="I35020" s="50"/>
      <c r="O35020" s="36" t="s">
        <v>48</v>
      </c>
      <c r="R35020" s="36" t="s">
        <v>48</v>
      </c>
    </row>
    <row r="35021">
      <c r="H35021" s="50"/>
      <c r="I35021" s="50"/>
      <c r="O35021" s="36" t="s">
        <v>48</v>
      </c>
      <c r="R35021" s="36" t="s">
        <v>48</v>
      </c>
    </row>
    <row r="35022">
      <c r="H35022" s="50"/>
      <c r="I35022" s="50"/>
      <c r="O35022" s="36" t="s">
        <v>48</v>
      </c>
      <c r="R35022" s="36" t="s">
        <v>48</v>
      </c>
    </row>
    <row r="35023">
      <c r="H35023" s="50"/>
      <c r="I35023" s="50"/>
      <c r="O35023" s="36" t="s">
        <v>48</v>
      </c>
      <c r="R35023" s="36" t="s">
        <v>48</v>
      </c>
    </row>
    <row r="35024">
      <c r="H35024" s="50"/>
      <c r="I35024" s="50"/>
      <c r="O35024" s="36" t="s">
        <v>48</v>
      </c>
      <c r="R35024" s="36" t="s">
        <v>48</v>
      </c>
    </row>
    <row r="35025">
      <c r="H35025" s="50"/>
      <c r="I35025" s="50"/>
      <c r="O35025" s="36" t="s">
        <v>48</v>
      </c>
      <c r="R35025" s="36" t="s">
        <v>48</v>
      </c>
    </row>
    <row r="35026">
      <c r="H35026" s="50"/>
      <c r="I35026" s="50"/>
      <c r="O35026" s="36" t="s">
        <v>48</v>
      </c>
      <c r="R35026" s="36" t="s">
        <v>48</v>
      </c>
    </row>
    <row r="35027">
      <c r="H35027" s="50"/>
      <c r="I35027" s="50"/>
      <c r="O35027" s="36" t="s">
        <v>48</v>
      </c>
      <c r="R35027" s="36" t="s">
        <v>48</v>
      </c>
    </row>
    <row r="35028">
      <c r="H35028" s="50"/>
      <c r="I35028" s="50"/>
      <c r="O35028" s="36" t="s">
        <v>48</v>
      </c>
      <c r="R35028" s="36" t="s">
        <v>48</v>
      </c>
    </row>
    <row r="35029">
      <c r="H35029" s="50"/>
      <c r="I35029" s="50"/>
      <c r="O35029" s="36" t="s">
        <v>48</v>
      </c>
      <c r="R35029" s="36" t="s">
        <v>48</v>
      </c>
    </row>
    <row r="35030">
      <c r="H35030" s="50"/>
      <c r="I35030" s="50"/>
      <c r="O35030" s="36" t="s">
        <v>48</v>
      </c>
      <c r="R35030" s="36" t="s">
        <v>48</v>
      </c>
    </row>
    <row r="35031">
      <c r="H35031" s="50"/>
      <c r="I35031" s="50"/>
      <c r="O35031" s="36" t="s">
        <v>48</v>
      </c>
      <c r="R35031" s="36" t="s">
        <v>48</v>
      </c>
    </row>
    <row r="35032">
      <c r="H35032" s="50"/>
      <c r="I35032" s="50"/>
      <c r="O35032" s="36" t="s">
        <v>48</v>
      </c>
      <c r="R35032" s="36" t="s">
        <v>48</v>
      </c>
    </row>
    <row r="35033">
      <c r="H35033" s="50"/>
      <c r="I35033" s="50"/>
      <c r="O35033" s="36" t="s">
        <v>48</v>
      </c>
      <c r="R35033" s="36" t="s">
        <v>48</v>
      </c>
    </row>
    <row r="35034">
      <c r="H35034" s="50"/>
      <c r="I35034" s="50"/>
      <c r="O35034" s="36" t="s">
        <v>48</v>
      </c>
      <c r="R35034" s="36" t="s">
        <v>48</v>
      </c>
    </row>
    <row r="35035">
      <c r="H35035" s="50"/>
      <c r="I35035" s="50"/>
      <c r="O35035" s="36" t="s">
        <v>48</v>
      </c>
      <c r="R35035" s="36" t="s">
        <v>48</v>
      </c>
    </row>
    <row r="35036">
      <c r="H35036" s="50"/>
      <c r="I35036" s="50"/>
      <c r="O35036" s="36" t="s">
        <v>48</v>
      </c>
      <c r="R35036" s="36" t="s">
        <v>48</v>
      </c>
    </row>
    <row r="35037">
      <c r="H35037" s="50"/>
      <c r="I35037" s="50"/>
      <c r="O35037" s="36" t="s">
        <v>48</v>
      </c>
      <c r="R35037" s="36" t="s">
        <v>48</v>
      </c>
    </row>
    <row r="35038">
      <c r="H35038" s="50"/>
      <c r="I35038" s="50"/>
      <c r="O35038" s="36" t="s">
        <v>48</v>
      </c>
      <c r="R35038" s="36" t="s">
        <v>48</v>
      </c>
    </row>
    <row r="35039">
      <c r="H35039" s="50"/>
      <c r="I35039" s="50"/>
      <c r="O35039" s="36" t="s">
        <v>48</v>
      </c>
      <c r="R35039" s="36" t="s">
        <v>48</v>
      </c>
    </row>
    <row r="35040">
      <c r="H35040" s="50"/>
      <c r="I35040" s="50"/>
      <c r="O35040" s="36" t="s">
        <v>48</v>
      </c>
      <c r="R35040" s="36" t="s">
        <v>48</v>
      </c>
    </row>
    <row r="35041">
      <c r="H35041" s="50"/>
      <c r="I35041" s="50"/>
      <c r="O35041" s="36" t="s">
        <v>48</v>
      </c>
      <c r="R35041" s="36" t="s">
        <v>48</v>
      </c>
    </row>
    <row r="35042">
      <c r="H35042" s="50"/>
      <c r="I35042" s="50"/>
      <c r="O35042" s="36" t="s">
        <v>48</v>
      </c>
      <c r="R35042" s="36" t="s">
        <v>48</v>
      </c>
    </row>
    <row r="35043">
      <c r="H35043" s="50"/>
      <c r="I35043" s="50"/>
      <c r="O35043" s="36" t="s">
        <v>48</v>
      </c>
      <c r="R35043" s="36" t="s">
        <v>48</v>
      </c>
    </row>
    <row r="35044">
      <c r="H35044" s="50"/>
      <c r="I35044" s="50"/>
      <c r="O35044" s="36" t="s">
        <v>48</v>
      </c>
      <c r="R35044" s="36" t="s">
        <v>48</v>
      </c>
    </row>
    <row r="35045">
      <c r="H35045" s="50"/>
      <c r="I35045" s="50"/>
      <c r="O35045" s="36" t="s">
        <v>48</v>
      </c>
      <c r="R35045" s="36" t="s">
        <v>48</v>
      </c>
    </row>
    <row r="35046">
      <c r="H35046" s="50"/>
      <c r="I35046" s="50"/>
      <c r="O35046" s="36" t="s">
        <v>48</v>
      </c>
      <c r="R35046" s="36" t="s">
        <v>48</v>
      </c>
    </row>
    <row r="35047">
      <c r="H35047" s="50"/>
      <c r="I35047" s="50"/>
      <c r="O35047" s="36" t="s">
        <v>48</v>
      </c>
      <c r="R35047" s="36" t="s">
        <v>48</v>
      </c>
    </row>
    <row r="35048">
      <c r="H35048" s="50"/>
      <c r="I35048" s="50"/>
      <c r="O35048" s="36" t="s">
        <v>48</v>
      </c>
      <c r="R35048" s="36" t="s">
        <v>48</v>
      </c>
    </row>
    <row r="35049">
      <c r="H35049" s="50"/>
      <c r="I35049" s="50"/>
      <c r="O35049" s="36" t="s">
        <v>48</v>
      </c>
      <c r="R35049" s="36" t="s">
        <v>48</v>
      </c>
    </row>
    <row r="35050">
      <c r="H35050" s="50"/>
      <c r="I35050" s="50"/>
      <c r="O35050" s="36" t="s">
        <v>48</v>
      </c>
      <c r="R35050" s="36" t="s">
        <v>48</v>
      </c>
    </row>
    <row r="35051">
      <c r="H35051" s="50"/>
      <c r="I35051" s="50"/>
      <c r="O35051" s="36" t="s">
        <v>48</v>
      </c>
      <c r="R35051" s="36" t="s">
        <v>48</v>
      </c>
    </row>
    <row r="35052">
      <c r="H35052" s="50"/>
      <c r="I35052" s="50"/>
      <c r="O35052" s="36" t="s">
        <v>48</v>
      </c>
      <c r="R35052" s="36" t="s">
        <v>48</v>
      </c>
    </row>
    <row r="35053">
      <c r="H35053" s="50"/>
      <c r="I35053" s="50"/>
      <c r="O35053" s="36" t="s">
        <v>48</v>
      </c>
      <c r="R35053" s="36" t="s">
        <v>48</v>
      </c>
    </row>
    <row r="35054">
      <c r="H35054" s="50"/>
      <c r="I35054" s="50"/>
      <c r="O35054" s="36" t="s">
        <v>48</v>
      </c>
      <c r="R35054" s="36" t="s">
        <v>48</v>
      </c>
    </row>
    <row r="35055">
      <c r="H35055" s="50"/>
      <c r="I35055" s="50"/>
      <c r="O35055" s="36" t="s">
        <v>48</v>
      </c>
      <c r="R35055" s="36" t="s">
        <v>48</v>
      </c>
    </row>
    <row r="35056">
      <c r="H35056" s="50"/>
      <c r="I35056" s="50"/>
      <c r="O35056" s="36" t="s">
        <v>48</v>
      </c>
      <c r="R35056" s="36" t="s">
        <v>48</v>
      </c>
    </row>
    <row r="35057">
      <c r="H35057" s="50"/>
      <c r="I35057" s="50"/>
      <c r="O35057" s="36" t="s">
        <v>48</v>
      </c>
      <c r="R35057" s="36" t="s">
        <v>48</v>
      </c>
    </row>
    <row r="35058">
      <c r="H35058" s="50"/>
      <c r="I35058" s="50"/>
      <c r="O35058" s="36" t="s">
        <v>48</v>
      </c>
      <c r="R35058" s="36" t="s">
        <v>48</v>
      </c>
    </row>
    <row r="35059">
      <c r="H35059" s="50"/>
      <c r="I35059" s="50"/>
      <c r="O35059" s="36" t="s">
        <v>48</v>
      </c>
      <c r="R35059" s="36" t="s">
        <v>48</v>
      </c>
    </row>
    <row r="35060">
      <c r="H35060" s="50"/>
      <c r="I35060" s="50"/>
      <c r="O35060" s="36" t="s">
        <v>48</v>
      </c>
      <c r="R35060" s="36" t="s">
        <v>48</v>
      </c>
    </row>
    <row r="35061">
      <c r="H35061" s="50"/>
      <c r="I35061" s="50"/>
      <c r="O35061" s="36" t="s">
        <v>48</v>
      </c>
      <c r="R35061" s="36" t="s">
        <v>48</v>
      </c>
    </row>
    <row r="35062">
      <c r="H35062" s="50"/>
      <c r="I35062" s="50"/>
      <c r="O35062" s="36" t="s">
        <v>48</v>
      </c>
      <c r="R35062" s="36" t="s">
        <v>48</v>
      </c>
    </row>
    <row r="35063">
      <c r="H35063" s="50"/>
      <c r="I35063" s="50"/>
      <c r="O35063" s="36" t="s">
        <v>48</v>
      </c>
      <c r="R35063" s="36" t="s">
        <v>48</v>
      </c>
    </row>
    <row r="35064">
      <c r="H35064" s="50"/>
      <c r="I35064" s="50"/>
      <c r="O35064" s="36" t="s">
        <v>48</v>
      </c>
      <c r="R35064" s="36" t="s">
        <v>48</v>
      </c>
    </row>
    <row r="35065">
      <c r="H35065" s="50"/>
      <c r="I35065" s="50"/>
      <c r="O35065" s="36" t="s">
        <v>48</v>
      </c>
      <c r="R35065" s="36" t="s">
        <v>48</v>
      </c>
    </row>
    <row r="35066">
      <c r="H35066" s="50"/>
      <c r="I35066" s="50"/>
      <c r="O35066" s="36" t="s">
        <v>48</v>
      </c>
      <c r="R35066" s="36" t="s">
        <v>48</v>
      </c>
    </row>
    <row r="35067">
      <c r="H35067" s="50"/>
      <c r="I35067" s="50"/>
      <c r="O35067" s="36" t="s">
        <v>48</v>
      </c>
      <c r="R35067" s="36" t="s">
        <v>48</v>
      </c>
    </row>
    <row r="35068">
      <c r="H35068" s="50"/>
      <c r="I35068" s="50"/>
      <c r="O35068" s="36" t="s">
        <v>48</v>
      </c>
      <c r="R35068" s="36" t="s">
        <v>48</v>
      </c>
    </row>
    <row r="35069">
      <c r="H35069" s="50"/>
      <c r="I35069" s="50"/>
      <c r="O35069" s="36" t="s">
        <v>48</v>
      </c>
      <c r="R35069" s="36" t="s">
        <v>48</v>
      </c>
    </row>
    <row r="35070">
      <c r="H35070" s="50"/>
      <c r="I35070" s="50"/>
      <c r="O35070" s="36" t="s">
        <v>48</v>
      </c>
      <c r="R35070" s="36" t="s">
        <v>48</v>
      </c>
    </row>
    <row r="35071">
      <c r="H35071" s="50"/>
      <c r="I35071" s="50"/>
      <c r="O35071" s="36" t="s">
        <v>48</v>
      </c>
      <c r="R35071" s="36" t="s">
        <v>48</v>
      </c>
    </row>
    <row r="35072">
      <c r="H35072" s="50"/>
      <c r="I35072" s="50"/>
      <c r="O35072" s="36" t="s">
        <v>48</v>
      </c>
      <c r="R35072" s="36" t="s">
        <v>48</v>
      </c>
    </row>
    <row r="35073">
      <c r="H35073" s="50"/>
      <c r="I35073" s="50"/>
      <c r="O35073" s="36" t="s">
        <v>48</v>
      </c>
      <c r="R35073" s="36" t="s">
        <v>48</v>
      </c>
    </row>
    <row r="35074">
      <c r="H35074" s="50"/>
      <c r="I35074" s="50"/>
      <c r="O35074" s="36" t="s">
        <v>48</v>
      </c>
      <c r="R35074" s="36" t="s">
        <v>48</v>
      </c>
    </row>
    <row r="35075">
      <c r="H35075" s="50"/>
      <c r="I35075" s="50"/>
      <c r="O35075" s="36" t="s">
        <v>48</v>
      </c>
      <c r="R35075" s="36" t="s">
        <v>48</v>
      </c>
    </row>
    <row r="35076">
      <c r="H35076" s="50"/>
      <c r="I35076" s="50"/>
      <c r="O35076" s="36" t="s">
        <v>48</v>
      </c>
      <c r="R35076" s="36" t="s">
        <v>48</v>
      </c>
    </row>
    <row r="35077">
      <c r="H35077" s="50"/>
      <c r="I35077" s="50"/>
      <c r="O35077" s="36" t="s">
        <v>48</v>
      </c>
      <c r="R35077" s="36" t="s">
        <v>48</v>
      </c>
    </row>
    <row r="35078">
      <c r="H35078" s="50"/>
      <c r="I35078" s="50"/>
      <c r="O35078" s="36" t="s">
        <v>48</v>
      </c>
      <c r="R35078" s="36" t="s">
        <v>48</v>
      </c>
    </row>
    <row r="35079">
      <c r="H35079" s="50"/>
      <c r="I35079" s="50"/>
      <c r="O35079" s="36" t="s">
        <v>48</v>
      </c>
      <c r="R35079" s="36" t="s">
        <v>48</v>
      </c>
    </row>
    <row r="35080">
      <c r="H35080" s="50"/>
      <c r="I35080" s="50"/>
      <c r="O35080" s="36" t="s">
        <v>48</v>
      </c>
      <c r="R35080" s="36" t="s">
        <v>48</v>
      </c>
    </row>
    <row r="35081">
      <c r="H35081" s="50"/>
      <c r="I35081" s="50"/>
      <c r="O35081" s="36" t="s">
        <v>48</v>
      </c>
      <c r="R35081" s="36" t="s">
        <v>48</v>
      </c>
    </row>
    <row r="35082">
      <c r="H35082" s="50"/>
      <c r="I35082" s="50"/>
      <c r="O35082" s="36" t="s">
        <v>48</v>
      </c>
      <c r="R35082" s="36" t="s">
        <v>48</v>
      </c>
    </row>
    <row r="35083">
      <c r="H35083" s="50"/>
      <c r="I35083" s="50"/>
      <c r="O35083" s="36" t="s">
        <v>48</v>
      </c>
      <c r="R35083" s="36" t="s">
        <v>48</v>
      </c>
    </row>
    <row r="35084">
      <c r="H35084" s="50"/>
      <c r="I35084" s="50"/>
      <c r="O35084" s="36" t="s">
        <v>48</v>
      </c>
      <c r="R35084" s="36" t="s">
        <v>48</v>
      </c>
    </row>
    <row r="35085">
      <c r="H35085" s="50"/>
      <c r="I35085" s="50"/>
      <c r="O35085" s="36" t="s">
        <v>48</v>
      </c>
      <c r="R35085" s="36" t="s">
        <v>48</v>
      </c>
    </row>
    <row r="35086">
      <c r="H35086" s="50"/>
      <c r="I35086" s="50"/>
      <c r="O35086" s="36" t="s">
        <v>48</v>
      </c>
      <c r="R35086" s="36" t="s">
        <v>48</v>
      </c>
    </row>
    <row r="35087">
      <c r="H35087" s="50"/>
      <c r="I35087" s="50"/>
      <c r="O35087" s="36" t="s">
        <v>48</v>
      </c>
      <c r="R35087" s="36" t="s">
        <v>48</v>
      </c>
    </row>
    <row r="35088">
      <c r="H35088" s="50"/>
      <c r="I35088" s="50"/>
      <c r="O35088" s="36" t="s">
        <v>48</v>
      </c>
      <c r="R35088" s="36" t="s">
        <v>48</v>
      </c>
    </row>
    <row r="35089">
      <c r="H35089" s="50"/>
      <c r="I35089" s="50"/>
      <c r="O35089" s="36" t="s">
        <v>48</v>
      </c>
      <c r="R35089" s="36" t="s">
        <v>48</v>
      </c>
    </row>
    <row r="35090">
      <c r="H35090" s="50"/>
      <c r="I35090" s="50"/>
      <c r="O35090" s="36" t="s">
        <v>48</v>
      </c>
      <c r="R35090" s="36" t="s">
        <v>48</v>
      </c>
    </row>
    <row r="35091">
      <c r="H35091" s="50"/>
      <c r="I35091" s="50"/>
      <c r="O35091" s="36" t="s">
        <v>48</v>
      </c>
      <c r="R35091" s="36" t="s">
        <v>48</v>
      </c>
    </row>
    <row r="35092">
      <c r="H35092" s="50"/>
      <c r="I35092" s="50"/>
      <c r="O35092" s="36" t="s">
        <v>48</v>
      </c>
      <c r="R35092" s="36" t="s">
        <v>48</v>
      </c>
    </row>
    <row r="35093">
      <c r="H35093" s="50"/>
      <c r="I35093" s="50"/>
      <c r="O35093" s="36" t="s">
        <v>48</v>
      </c>
      <c r="R35093" s="36" t="s">
        <v>48</v>
      </c>
    </row>
    <row r="35094">
      <c r="H35094" s="50"/>
      <c r="I35094" s="50"/>
      <c r="O35094" s="36" t="s">
        <v>48</v>
      </c>
      <c r="R35094" s="36" t="s">
        <v>48</v>
      </c>
    </row>
    <row r="35095">
      <c r="H35095" s="50"/>
      <c r="I35095" s="50"/>
      <c r="O35095" s="36" t="s">
        <v>48</v>
      </c>
      <c r="R35095" s="36" t="s">
        <v>48</v>
      </c>
    </row>
    <row r="35096">
      <c r="H35096" s="50"/>
      <c r="I35096" s="50"/>
      <c r="O35096" s="36" t="s">
        <v>48</v>
      </c>
      <c r="R35096" s="36" t="s">
        <v>48</v>
      </c>
    </row>
    <row r="35097">
      <c r="H35097" s="50"/>
      <c r="I35097" s="50"/>
      <c r="O35097" s="36" t="s">
        <v>48</v>
      </c>
      <c r="R35097" s="36" t="s">
        <v>48</v>
      </c>
    </row>
    <row r="35098">
      <c r="H35098" s="50"/>
      <c r="I35098" s="50"/>
      <c r="O35098" s="36" t="s">
        <v>48</v>
      </c>
      <c r="R35098" s="36" t="s">
        <v>48</v>
      </c>
    </row>
    <row r="35099">
      <c r="H35099" s="50"/>
      <c r="I35099" s="50"/>
      <c r="O35099" s="36" t="s">
        <v>48</v>
      </c>
      <c r="R35099" s="36" t="s">
        <v>48</v>
      </c>
    </row>
    <row r="35100">
      <c r="H35100" s="50"/>
      <c r="I35100" s="50"/>
      <c r="O35100" s="36" t="s">
        <v>48</v>
      </c>
      <c r="R35100" s="36" t="s">
        <v>48</v>
      </c>
    </row>
    <row r="35101">
      <c r="H35101" s="50"/>
      <c r="I35101" s="50"/>
      <c r="O35101" s="36" t="s">
        <v>48</v>
      </c>
      <c r="R35101" s="36" t="s">
        <v>48</v>
      </c>
    </row>
    <row r="35102">
      <c r="H35102" s="50"/>
      <c r="I35102" s="50"/>
      <c r="O35102" s="36" t="s">
        <v>48</v>
      </c>
      <c r="R35102" s="36" t="s">
        <v>48</v>
      </c>
    </row>
    <row r="35103">
      <c r="H35103" s="50"/>
      <c r="I35103" s="50"/>
      <c r="O35103" s="36" t="s">
        <v>48</v>
      </c>
      <c r="R35103" s="36" t="s">
        <v>48</v>
      </c>
    </row>
    <row r="35104">
      <c r="H35104" s="50"/>
      <c r="I35104" s="50"/>
      <c r="O35104" s="36" t="s">
        <v>48</v>
      </c>
      <c r="R35104" s="36" t="s">
        <v>48</v>
      </c>
    </row>
    <row r="35105">
      <c r="H35105" s="50"/>
      <c r="I35105" s="50"/>
      <c r="O35105" s="36" t="s">
        <v>48</v>
      </c>
      <c r="R35105" s="36" t="s">
        <v>48</v>
      </c>
    </row>
    <row r="35106">
      <c r="H35106" s="50"/>
      <c r="I35106" s="50"/>
      <c r="O35106" s="36" t="s">
        <v>48</v>
      </c>
      <c r="R35106" s="36" t="s">
        <v>48</v>
      </c>
    </row>
    <row r="35107">
      <c r="H35107" s="50"/>
      <c r="I35107" s="50"/>
      <c r="O35107" s="36" t="s">
        <v>48</v>
      </c>
      <c r="R35107" s="36" t="s">
        <v>48</v>
      </c>
    </row>
    <row r="35108">
      <c r="H35108" s="50"/>
      <c r="I35108" s="50"/>
      <c r="O35108" s="36" t="s">
        <v>48</v>
      </c>
      <c r="R35108" s="36" t="s">
        <v>48</v>
      </c>
    </row>
    <row r="35109">
      <c r="H35109" s="50"/>
      <c r="I35109" s="50"/>
      <c r="O35109" s="36" t="s">
        <v>48</v>
      </c>
      <c r="R35109" s="36" t="s">
        <v>48</v>
      </c>
    </row>
    <row r="35110">
      <c r="H35110" s="50"/>
      <c r="I35110" s="50"/>
      <c r="O35110" s="36" t="s">
        <v>48</v>
      </c>
      <c r="R35110" s="36" t="s">
        <v>48</v>
      </c>
    </row>
    <row r="35111">
      <c r="H35111" s="50"/>
      <c r="I35111" s="50"/>
      <c r="O35111" s="36" t="s">
        <v>48</v>
      </c>
      <c r="R35111" s="36" t="s">
        <v>48</v>
      </c>
    </row>
    <row r="35112">
      <c r="H35112" s="50"/>
      <c r="I35112" s="50"/>
      <c r="O35112" s="36" t="s">
        <v>48</v>
      </c>
      <c r="R35112" s="36" t="s">
        <v>48</v>
      </c>
    </row>
    <row r="35113">
      <c r="H35113" s="50"/>
      <c r="I35113" s="50"/>
      <c r="O35113" s="36" t="s">
        <v>48</v>
      </c>
      <c r="R35113" s="36" t="s">
        <v>48</v>
      </c>
    </row>
    <row r="35114">
      <c r="H35114" s="50"/>
      <c r="I35114" s="50"/>
      <c r="O35114" s="36" t="s">
        <v>48</v>
      </c>
      <c r="R35114" s="36" t="s">
        <v>48</v>
      </c>
    </row>
    <row r="35115">
      <c r="H35115" s="50"/>
      <c r="I35115" s="50"/>
      <c r="O35115" s="36" t="s">
        <v>48</v>
      </c>
      <c r="R35115" s="36" t="s">
        <v>48</v>
      </c>
    </row>
    <row r="35116">
      <c r="H35116" s="50"/>
      <c r="I35116" s="50"/>
      <c r="O35116" s="36" t="s">
        <v>48</v>
      </c>
      <c r="R35116" s="36" t="s">
        <v>48</v>
      </c>
    </row>
    <row r="35117">
      <c r="H35117" s="50"/>
      <c r="I35117" s="50"/>
      <c r="O35117" s="36" t="s">
        <v>48</v>
      </c>
      <c r="R35117" s="36" t="s">
        <v>48</v>
      </c>
    </row>
    <row r="35118">
      <c r="H35118" s="50"/>
      <c r="I35118" s="50"/>
      <c r="O35118" s="36" t="s">
        <v>48</v>
      </c>
      <c r="R35118" s="36" t="s">
        <v>48</v>
      </c>
    </row>
    <row r="35119">
      <c r="H35119" s="50"/>
      <c r="I35119" s="50"/>
      <c r="O35119" s="36" t="s">
        <v>48</v>
      </c>
      <c r="R35119" s="36" t="s">
        <v>48</v>
      </c>
    </row>
    <row r="35120">
      <c r="H35120" s="50"/>
      <c r="I35120" s="50"/>
      <c r="O35120" s="36" t="s">
        <v>48</v>
      </c>
      <c r="R35120" s="36" t="s">
        <v>48</v>
      </c>
    </row>
    <row r="35121">
      <c r="H35121" s="50"/>
      <c r="I35121" s="50"/>
      <c r="O35121" s="36" t="s">
        <v>48</v>
      </c>
      <c r="R35121" s="36" t="s">
        <v>48</v>
      </c>
    </row>
    <row r="35122">
      <c r="H35122" s="50"/>
      <c r="I35122" s="50"/>
      <c r="O35122" s="36" t="s">
        <v>48</v>
      </c>
      <c r="R35122" s="36" t="s">
        <v>48</v>
      </c>
    </row>
    <row r="35123">
      <c r="H35123" s="50"/>
      <c r="I35123" s="50"/>
      <c r="O35123" s="36" t="s">
        <v>48</v>
      </c>
      <c r="R35123" s="36" t="s">
        <v>48</v>
      </c>
    </row>
    <row r="35124">
      <c r="H35124" s="50"/>
      <c r="I35124" s="50"/>
      <c r="O35124" s="36" t="s">
        <v>48</v>
      </c>
      <c r="R35124" s="36" t="s">
        <v>48</v>
      </c>
    </row>
    <row r="35125">
      <c r="H35125" s="50"/>
      <c r="I35125" s="50"/>
      <c r="O35125" s="36" t="s">
        <v>48</v>
      </c>
      <c r="R35125" s="36" t="s">
        <v>48</v>
      </c>
    </row>
    <row r="35126">
      <c r="H35126" s="50"/>
      <c r="I35126" s="50"/>
      <c r="O35126" s="36" t="s">
        <v>48</v>
      </c>
      <c r="R35126" s="36" t="s">
        <v>48</v>
      </c>
    </row>
    <row r="35127">
      <c r="H35127" s="50"/>
      <c r="I35127" s="50"/>
      <c r="O35127" s="36" t="s">
        <v>48</v>
      </c>
      <c r="R35127" s="36" t="s">
        <v>48</v>
      </c>
    </row>
    <row r="35128">
      <c r="H35128" s="50"/>
      <c r="I35128" s="50"/>
      <c r="O35128" s="36" t="s">
        <v>48</v>
      </c>
      <c r="R35128" s="36" t="s">
        <v>48</v>
      </c>
    </row>
    <row r="35129">
      <c r="H35129" s="50"/>
      <c r="I35129" s="50"/>
      <c r="O35129" s="36" t="s">
        <v>48</v>
      </c>
      <c r="R35129" s="36" t="s">
        <v>48</v>
      </c>
    </row>
    <row r="35130">
      <c r="H35130" s="50"/>
      <c r="I35130" s="50"/>
      <c r="O35130" s="36" t="s">
        <v>48</v>
      </c>
      <c r="R35130" s="36" t="s">
        <v>48</v>
      </c>
    </row>
    <row r="35131">
      <c r="H35131" s="50"/>
      <c r="I35131" s="50"/>
      <c r="O35131" s="36" t="s">
        <v>48</v>
      </c>
      <c r="R35131" s="36" t="s">
        <v>48</v>
      </c>
    </row>
    <row r="35132">
      <c r="H35132" s="50"/>
      <c r="I35132" s="50"/>
      <c r="O35132" s="36" t="s">
        <v>48</v>
      </c>
      <c r="R35132" s="36" t="s">
        <v>48</v>
      </c>
    </row>
    <row r="35133">
      <c r="H35133" s="50"/>
      <c r="I35133" s="50"/>
      <c r="O35133" s="36" t="s">
        <v>48</v>
      </c>
      <c r="R35133" s="36" t="s">
        <v>48</v>
      </c>
    </row>
    <row r="35134">
      <c r="H35134" s="50"/>
      <c r="I35134" s="50"/>
      <c r="O35134" s="36" t="s">
        <v>48</v>
      </c>
      <c r="R35134" s="36" t="s">
        <v>48</v>
      </c>
    </row>
    <row r="35135">
      <c r="H35135" s="50"/>
      <c r="I35135" s="50"/>
      <c r="O35135" s="36" t="s">
        <v>48</v>
      </c>
      <c r="R35135" s="36" t="s">
        <v>48</v>
      </c>
    </row>
    <row r="35136">
      <c r="H35136" s="50"/>
      <c r="I35136" s="50"/>
      <c r="O35136" s="36" t="s">
        <v>48</v>
      </c>
      <c r="R35136" s="36" t="s">
        <v>48</v>
      </c>
    </row>
    <row r="35137">
      <c r="H35137" s="50"/>
      <c r="I35137" s="50"/>
      <c r="O35137" s="36" t="s">
        <v>48</v>
      </c>
      <c r="R35137" s="36" t="s">
        <v>48</v>
      </c>
    </row>
    <row r="35138">
      <c r="H35138" s="50"/>
      <c r="I35138" s="50"/>
      <c r="O35138" s="36" t="s">
        <v>48</v>
      </c>
      <c r="R35138" s="36" t="s">
        <v>48</v>
      </c>
    </row>
    <row r="35139">
      <c r="H35139" s="50"/>
      <c r="I35139" s="50"/>
      <c r="O35139" s="36" t="s">
        <v>48</v>
      </c>
      <c r="R35139" s="36" t="s">
        <v>48</v>
      </c>
    </row>
    <row r="35140">
      <c r="H35140" s="50"/>
      <c r="I35140" s="50"/>
      <c r="O35140" s="36" t="s">
        <v>48</v>
      </c>
      <c r="R35140" s="36" t="s">
        <v>48</v>
      </c>
    </row>
    <row r="35141">
      <c r="H35141" s="50"/>
      <c r="I35141" s="50"/>
      <c r="O35141" s="36" t="s">
        <v>48</v>
      </c>
      <c r="R35141" s="36" t="s">
        <v>48</v>
      </c>
    </row>
    <row r="35142">
      <c r="H35142" s="50"/>
      <c r="I35142" s="50"/>
      <c r="O35142" s="36" t="s">
        <v>48</v>
      </c>
      <c r="R35142" s="36" t="s">
        <v>48</v>
      </c>
    </row>
    <row r="35143">
      <c r="H35143" s="50"/>
      <c r="I35143" s="50"/>
      <c r="O35143" s="36" t="s">
        <v>48</v>
      </c>
      <c r="R35143" s="36" t="s">
        <v>48</v>
      </c>
    </row>
    <row r="35144">
      <c r="H35144" s="50"/>
      <c r="I35144" s="50"/>
      <c r="O35144" s="36" t="s">
        <v>48</v>
      </c>
      <c r="R35144" s="36" t="s">
        <v>48</v>
      </c>
    </row>
    <row r="35145">
      <c r="H35145" s="50"/>
      <c r="I35145" s="50"/>
      <c r="O35145" s="36" t="s">
        <v>48</v>
      </c>
      <c r="R35145" s="36" t="s">
        <v>48</v>
      </c>
    </row>
    <row r="35146">
      <c r="H35146" s="50"/>
      <c r="I35146" s="50"/>
      <c r="O35146" s="36" t="s">
        <v>48</v>
      </c>
      <c r="R35146" s="36" t="s">
        <v>48</v>
      </c>
    </row>
    <row r="35147">
      <c r="H35147" s="50"/>
      <c r="I35147" s="50"/>
      <c r="O35147" s="36" t="s">
        <v>48</v>
      </c>
      <c r="R35147" s="36" t="s">
        <v>48</v>
      </c>
    </row>
    <row r="35148">
      <c r="H35148" s="50"/>
      <c r="I35148" s="50"/>
      <c r="O35148" s="36" t="s">
        <v>48</v>
      </c>
      <c r="R35148" s="36" t="s">
        <v>48</v>
      </c>
    </row>
    <row r="35149">
      <c r="H35149" s="50"/>
      <c r="I35149" s="50"/>
      <c r="O35149" s="36" t="s">
        <v>48</v>
      </c>
      <c r="R35149" s="36" t="s">
        <v>48</v>
      </c>
    </row>
    <row r="35150">
      <c r="H35150" s="50"/>
      <c r="I35150" s="50"/>
      <c r="O35150" s="36" t="s">
        <v>48</v>
      </c>
      <c r="R35150" s="36" t="s">
        <v>48</v>
      </c>
    </row>
    <row r="35151">
      <c r="H35151" s="50"/>
      <c r="I35151" s="50"/>
      <c r="O35151" s="36" t="s">
        <v>48</v>
      </c>
      <c r="R35151" s="36" t="s">
        <v>48</v>
      </c>
    </row>
    <row r="35152">
      <c r="H35152" s="50"/>
      <c r="I35152" s="50"/>
      <c r="O35152" s="36" t="s">
        <v>48</v>
      </c>
      <c r="R35152" s="36" t="s">
        <v>48</v>
      </c>
    </row>
    <row r="35153">
      <c r="H35153" s="50"/>
      <c r="I35153" s="50"/>
      <c r="O35153" s="36" t="s">
        <v>48</v>
      </c>
      <c r="R35153" s="36" t="s">
        <v>48</v>
      </c>
    </row>
    <row r="35154">
      <c r="H35154" s="50"/>
      <c r="I35154" s="50"/>
      <c r="O35154" s="36" t="s">
        <v>48</v>
      </c>
      <c r="R35154" s="36" t="s">
        <v>48</v>
      </c>
    </row>
    <row r="35155">
      <c r="H35155" s="50"/>
      <c r="I35155" s="50"/>
      <c r="O35155" s="36" t="s">
        <v>48</v>
      </c>
      <c r="R35155" s="36" t="s">
        <v>48</v>
      </c>
    </row>
    <row r="35156">
      <c r="H35156" s="50"/>
      <c r="I35156" s="50"/>
      <c r="O35156" s="36" t="s">
        <v>48</v>
      </c>
      <c r="R35156" s="36" t="s">
        <v>48</v>
      </c>
    </row>
    <row r="35157">
      <c r="H35157" s="50"/>
      <c r="I35157" s="50"/>
      <c r="O35157" s="36" t="s">
        <v>48</v>
      </c>
      <c r="R35157" s="36" t="s">
        <v>48</v>
      </c>
    </row>
    <row r="35158">
      <c r="H35158" s="50"/>
      <c r="I35158" s="50"/>
      <c r="O35158" s="36" t="s">
        <v>48</v>
      </c>
      <c r="R35158" s="36" t="s">
        <v>48</v>
      </c>
    </row>
    <row r="35159">
      <c r="H35159" s="50"/>
      <c r="I35159" s="50"/>
      <c r="O35159" s="36" t="s">
        <v>48</v>
      </c>
      <c r="R35159" s="36" t="s">
        <v>48</v>
      </c>
    </row>
    <row r="35160">
      <c r="H35160" s="50"/>
      <c r="I35160" s="50"/>
      <c r="O35160" s="36" t="s">
        <v>48</v>
      </c>
      <c r="R35160" s="36" t="s">
        <v>48</v>
      </c>
    </row>
    <row r="35161">
      <c r="H35161" s="50"/>
      <c r="I35161" s="50"/>
      <c r="O35161" s="36" t="s">
        <v>48</v>
      </c>
      <c r="R35161" s="36" t="s">
        <v>48</v>
      </c>
    </row>
    <row r="35162">
      <c r="H35162" s="50"/>
      <c r="I35162" s="50"/>
      <c r="O35162" s="36" t="s">
        <v>48</v>
      </c>
      <c r="R35162" s="36" t="s">
        <v>48</v>
      </c>
    </row>
    <row r="35163">
      <c r="H35163" s="50"/>
      <c r="I35163" s="50"/>
      <c r="O35163" s="36" t="s">
        <v>48</v>
      </c>
      <c r="R35163" s="36" t="s">
        <v>48</v>
      </c>
    </row>
    <row r="35164">
      <c r="H35164" s="50"/>
      <c r="I35164" s="50"/>
      <c r="O35164" s="36" t="s">
        <v>48</v>
      </c>
      <c r="R35164" s="36" t="s">
        <v>48</v>
      </c>
    </row>
    <row r="35165">
      <c r="H35165" s="50"/>
      <c r="I35165" s="50"/>
      <c r="O35165" s="36" t="s">
        <v>48</v>
      </c>
      <c r="R35165" s="36" t="s">
        <v>48</v>
      </c>
    </row>
    <row r="35166">
      <c r="H35166" s="50"/>
      <c r="I35166" s="50"/>
      <c r="O35166" s="36" t="s">
        <v>48</v>
      </c>
      <c r="R35166" s="36" t="s">
        <v>48</v>
      </c>
    </row>
    <row r="35167">
      <c r="H35167" s="50"/>
      <c r="I35167" s="50"/>
      <c r="O35167" s="36" t="s">
        <v>48</v>
      </c>
      <c r="R35167" s="36" t="s">
        <v>48</v>
      </c>
    </row>
    <row r="35168">
      <c r="H35168" s="50"/>
      <c r="I35168" s="50"/>
      <c r="O35168" s="36" t="s">
        <v>48</v>
      </c>
      <c r="R35168" s="36" t="s">
        <v>48</v>
      </c>
    </row>
    <row r="35169">
      <c r="H35169" s="50"/>
      <c r="I35169" s="50"/>
      <c r="O35169" s="36" t="s">
        <v>48</v>
      </c>
      <c r="R35169" s="36" t="s">
        <v>48</v>
      </c>
    </row>
    <row r="35170">
      <c r="H35170" s="50"/>
      <c r="I35170" s="50"/>
      <c r="O35170" s="36" t="s">
        <v>48</v>
      </c>
      <c r="R35170" s="36" t="s">
        <v>48</v>
      </c>
    </row>
    <row r="35171">
      <c r="H35171" s="50"/>
      <c r="I35171" s="50"/>
      <c r="O35171" s="36" t="s">
        <v>48</v>
      </c>
      <c r="R35171" s="36" t="s">
        <v>48</v>
      </c>
    </row>
    <row r="35172">
      <c r="H35172" s="50"/>
      <c r="I35172" s="50"/>
      <c r="O35172" s="36" t="s">
        <v>48</v>
      </c>
      <c r="R35172" s="36" t="s">
        <v>48</v>
      </c>
    </row>
    <row r="35173">
      <c r="H35173" s="50"/>
      <c r="I35173" s="50"/>
      <c r="O35173" s="36" t="s">
        <v>48</v>
      </c>
      <c r="R35173" s="36" t="s">
        <v>48</v>
      </c>
    </row>
    <row r="35174">
      <c r="H35174" s="50"/>
      <c r="I35174" s="50"/>
      <c r="O35174" s="36" t="s">
        <v>48</v>
      </c>
      <c r="R35174" s="36" t="s">
        <v>48</v>
      </c>
    </row>
    <row r="35175">
      <c r="H35175" s="50"/>
      <c r="I35175" s="50"/>
      <c r="O35175" s="36" t="s">
        <v>48</v>
      </c>
      <c r="R35175" s="36" t="s">
        <v>48</v>
      </c>
    </row>
    <row r="35176">
      <c r="H35176" s="50"/>
      <c r="I35176" s="50"/>
      <c r="O35176" s="36" t="s">
        <v>48</v>
      </c>
      <c r="R35176" s="36" t="s">
        <v>48</v>
      </c>
    </row>
    <row r="35177">
      <c r="H35177" s="50"/>
      <c r="I35177" s="50"/>
      <c r="O35177" s="36" t="s">
        <v>48</v>
      </c>
      <c r="R35177" s="36" t="s">
        <v>48</v>
      </c>
    </row>
    <row r="35178">
      <c r="H35178" s="50"/>
      <c r="I35178" s="50"/>
      <c r="O35178" s="36" t="s">
        <v>48</v>
      </c>
      <c r="R35178" s="36" t="s">
        <v>48</v>
      </c>
    </row>
    <row r="35179">
      <c r="H35179" s="50"/>
      <c r="I35179" s="50"/>
      <c r="O35179" s="36" t="s">
        <v>48</v>
      </c>
      <c r="R35179" s="36" t="s">
        <v>48</v>
      </c>
    </row>
    <row r="35180">
      <c r="H35180" s="50"/>
      <c r="I35180" s="50"/>
      <c r="O35180" s="36" t="s">
        <v>48</v>
      </c>
      <c r="R35180" s="36" t="s">
        <v>48</v>
      </c>
    </row>
    <row r="35181">
      <c r="H35181" s="50"/>
      <c r="I35181" s="50"/>
      <c r="O35181" s="36" t="s">
        <v>48</v>
      </c>
      <c r="R35181" s="36" t="s">
        <v>48</v>
      </c>
    </row>
    <row r="35182">
      <c r="H35182" s="50"/>
      <c r="I35182" s="50"/>
      <c r="O35182" s="36" t="s">
        <v>48</v>
      </c>
      <c r="R35182" s="36" t="s">
        <v>48</v>
      </c>
    </row>
    <row r="35183">
      <c r="H35183" s="50"/>
      <c r="I35183" s="50"/>
      <c r="O35183" s="36" t="s">
        <v>48</v>
      </c>
      <c r="R35183" s="36" t="s">
        <v>48</v>
      </c>
    </row>
    <row r="35184">
      <c r="H35184" s="50"/>
      <c r="I35184" s="50"/>
      <c r="O35184" s="36" t="s">
        <v>48</v>
      </c>
      <c r="R35184" s="36" t="s">
        <v>48</v>
      </c>
    </row>
    <row r="35185">
      <c r="H35185" s="50"/>
      <c r="I35185" s="50"/>
      <c r="O35185" s="36" t="s">
        <v>48</v>
      </c>
      <c r="R35185" s="36" t="s">
        <v>48</v>
      </c>
    </row>
    <row r="35186">
      <c r="H35186" s="50"/>
      <c r="I35186" s="50"/>
      <c r="O35186" s="36" t="s">
        <v>48</v>
      </c>
      <c r="R35186" s="36" t="s">
        <v>48</v>
      </c>
    </row>
    <row r="35187">
      <c r="H35187" s="50"/>
      <c r="I35187" s="50"/>
      <c r="O35187" s="36" t="s">
        <v>48</v>
      </c>
      <c r="R35187" s="36" t="s">
        <v>48</v>
      </c>
    </row>
    <row r="35188">
      <c r="H35188" s="50"/>
      <c r="I35188" s="50"/>
      <c r="O35188" s="36" t="s">
        <v>48</v>
      </c>
      <c r="R35188" s="36" t="s">
        <v>48</v>
      </c>
    </row>
    <row r="35189">
      <c r="H35189" s="50"/>
      <c r="I35189" s="50"/>
      <c r="O35189" s="36" t="s">
        <v>48</v>
      </c>
      <c r="R35189" s="36" t="s">
        <v>48</v>
      </c>
    </row>
    <row r="35190">
      <c r="H35190" s="50"/>
      <c r="I35190" s="50"/>
      <c r="O35190" s="36" t="s">
        <v>48</v>
      </c>
      <c r="R35190" s="36" t="s">
        <v>48</v>
      </c>
    </row>
    <row r="35191">
      <c r="H35191" s="50"/>
      <c r="I35191" s="50"/>
      <c r="O35191" s="36" t="s">
        <v>48</v>
      </c>
      <c r="R35191" s="36" t="s">
        <v>48</v>
      </c>
    </row>
    <row r="35192">
      <c r="H35192" s="50"/>
      <c r="I35192" s="50"/>
      <c r="O35192" s="36" t="s">
        <v>48</v>
      </c>
      <c r="R35192" s="36" t="s">
        <v>48</v>
      </c>
    </row>
    <row r="35193">
      <c r="H35193" s="50"/>
      <c r="I35193" s="50"/>
      <c r="O35193" s="36" t="s">
        <v>48</v>
      </c>
      <c r="R35193" s="36" t="s">
        <v>48</v>
      </c>
    </row>
    <row r="35194">
      <c r="H35194" s="50"/>
      <c r="I35194" s="50"/>
      <c r="O35194" s="36" t="s">
        <v>48</v>
      </c>
      <c r="R35194" s="36" t="s">
        <v>48</v>
      </c>
    </row>
    <row r="35195">
      <c r="H35195" s="50"/>
      <c r="I35195" s="50"/>
      <c r="O35195" s="36" t="s">
        <v>48</v>
      </c>
      <c r="R35195" s="36" t="s">
        <v>48</v>
      </c>
    </row>
    <row r="35196">
      <c r="H35196" s="50"/>
      <c r="I35196" s="50"/>
      <c r="O35196" s="36" t="s">
        <v>48</v>
      </c>
      <c r="R35196" s="36" t="s">
        <v>48</v>
      </c>
    </row>
    <row r="35197">
      <c r="H35197" s="50"/>
      <c r="I35197" s="50"/>
      <c r="O35197" s="36" t="s">
        <v>48</v>
      </c>
      <c r="R35197" s="36" t="s">
        <v>48</v>
      </c>
    </row>
    <row r="35198">
      <c r="H35198" s="50"/>
      <c r="I35198" s="50"/>
      <c r="O35198" s="36" t="s">
        <v>48</v>
      </c>
      <c r="R35198" s="36" t="s">
        <v>48</v>
      </c>
    </row>
    <row r="35199">
      <c r="H35199" s="50"/>
      <c r="I35199" s="50"/>
      <c r="O35199" s="36" t="s">
        <v>48</v>
      </c>
      <c r="R35199" s="36" t="s">
        <v>48</v>
      </c>
    </row>
    <row r="35200">
      <c r="H35200" s="50"/>
      <c r="I35200" s="50"/>
      <c r="O35200" s="36" t="s">
        <v>48</v>
      </c>
      <c r="R35200" s="36" t="s">
        <v>48</v>
      </c>
    </row>
    <row r="35201">
      <c r="H35201" s="50"/>
      <c r="I35201" s="50"/>
      <c r="O35201" s="36" t="s">
        <v>48</v>
      </c>
      <c r="R35201" s="36" t="s">
        <v>48</v>
      </c>
    </row>
    <row r="35202">
      <c r="H35202" s="50"/>
      <c r="I35202" s="50"/>
      <c r="O35202" s="36" t="s">
        <v>48</v>
      </c>
      <c r="R35202" s="36" t="s">
        <v>48</v>
      </c>
    </row>
    <row r="35203">
      <c r="H35203" s="50"/>
      <c r="I35203" s="50"/>
      <c r="O35203" s="36" t="s">
        <v>48</v>
      </c>
      <c r="R35203" s="36" t="s">
        <v>48</v>
      </c>
    </row>
    <row r="35204">
      <c r="H35204" s="50"/>
      <c r="I35204" s="50"/>
      <c r="O35204" s="36" t="s">
        <v>48</v>
      </c>
      <c r="R35204" s="36" t="s">
        <v>48</v>
      </c>
    </row>
    <row r="35205">
      <c r="H35205" s="50"/>
      <c r="I35205" s="50"/>
      <c r="O35205" s="36" t="s">
        <v>48</v>
      </c>
      <c r="R35205" s="36" t="s">
        <v>48</v>
      </c>
    </row>
    <row r="35206">
      <c r="H35206" s="50"/>
      <c r="I35206" s="50"/>
      <c r="O35206" s="36" t="s">
        <v>48</v>
      </c>
      <c r="R35206" s="36" t="s">
        <v>48</v>
      </c>
    </row>
    <row r="35207">
      <c r="H35207" s="50"/>
      <c r="I35207" s="50"/>
      <c r="O35207" s="36" t="s">
        <v>48</v>
      </c>
      <c r="R35207" s="36" t="s">
        <v>48</v>
      </c>
    </row>
    <row r="35208">
      <c r="H35208" s="50"/>
      <c r="I35208" s="50"/>
      <c r="O35208" s="36" t="s">
        <v>48</v>
      </c>
      <c r="R35208" s="36" t="s">
        <v>48</v>
      </c>
    </row>
    <row r="35209">
      <c r="H35209" s="50"/>
      <c r="I35209" s="50"/>
      <c r="O35209" s="36" t="s">
        <v>48</v>
      </c>
      <c r="R35209" s="36" t="s">
        <v>48</v>
      </c>
    </row>
    <row r="35210">
      <c r="H35210" s="50"/>
      <c r="I35210" s="50"/>
      <c r="O35210" s="36" t="s">
        <v>48</v>
      </c>
      <c r="R35210" s="36" t="s">
        <v>48</v>
      </c>
    </row>
    <row r="35211">
      <c r="H35211" s="50"/>
      <c r="I35211" s="50"/>
      <c r="O35211" s="36" t="s">
        <v>48</v>
      </c>
      <c r="R35211" s="36" t="s">
        <v>48</v>
      </c>
    </row>
    <row r="35212">
      <c r="H35212" s="50"/>
      <c r="I35212" s="50"/>
      <c r="O35212" s="36" t="s">
        <v>48</v>
      </c>
      <c r="R35212" s="36" t="s">
        <v>48</v>
      </c>
    </row>
    <row r="35213">
      <c r="H35213" s="50"/>
      <c r="I35213" s="50"/>
      <c r="O35213" s="36" t="s">
        <v>48</v>
      </c>
      <c r="R35213" s="36" t="s">
        <v>48</v>
      </c>
    </row>
    <row r="35214">
      <c r="H35214" s="50"/>
      <c r="I35214" s="50"/>
      <c r="O35214" s="36" t="s">
        <v>48</v>
      </c>
      <c r="R35214" s="36" t="s">
        <v>48</v>
      </c>
    </row>
    <row r="35215">
      <c r="H35215" s="50"/>
      <c r="I35215" s="50"/>
      <c r="O35215" s="36" t="s">
        <v>48</v>
      </c>
      <c r="R35215" s="36" t="s">
        <v>48</v>
      </c>
    </row>
    <row r="35216">
      <c r="H35216" s="50"/>
      <c r="I35216" s="50"/>
      <c r="O35216" s="36" t="s">
        <v>48</v>
      </c>
      <c r="R35216" s="36" t="s">
        <v>48</v>
      </c>
    </row>
    <row r="35217">
      <c r="H35217" s="50"/>
      <c r="I35217" s="50"/>
      <c r="O35217" s="36" t="s">
        <v>48</v>
      </c>
      <c r="R35217" s="36" t="s">
        <v>48</v>
      </c>
    </row>
    <row r="35218">
      <c r="H35218" s="50"/>
      <c r="I35218" s="50"/>
      <c r="O35218" s="36" t="s">
        <v>48</v>
      </c>
      <c r="R35218" s="36" t="s">
        <v>48</v>
      </c>
    </row>
    <row r="35219">
      <c r="H35219" s="50"/>
      <c r="I35219" s="50"/>
      <c r="O35219" s="36" t="s">
        <v>48</v>
      </c>
      <c r="R35219" s="36" t="s">
        <v>48</v>
      </c>
    </row>
    <row r="35220">
      <c r="H35220" s="50"/>
      <c r="I35220" s="50"/>
      <c r="O35220" s="36" t="s">
        <v>48</v>
      </c>
      <c r="R35220" s="36" t="s">
        <v>48</v>
      </c>
    </row>
    <row r="35221">
      <c r="H35221" s="50"/>
      <c r="I35221" s="50"/>
      <c r="O35221" s="36" t="s">
        <v>48</v>
      </c>
      <c r="R35221" s="36" t="s">
        <v>48</v>
      </c>
    </row>
    <row r="35222">
      <c r="H35222" s="50"/>
      <c r="I35222" s="50"/>
      <c r="O35222" s="36" t="s">
        <v>48</v>
      </c>
      <c r="R35222" s="36" t="s">
        <v>48</v>
      </c>
    </row>
    <row r="35223">
      <c r="H35223" s="50"/>
      <c r="I35223" s="50"/>
      <c r="O35223" s="36" t="s">
        <v>48</v>
      </c>
      <c r="R35223" s="36" t="s">
        <v>48</v>
      </c>
    </row>
    <row r="35224">
      <c r="H35224" s="50"/>
      <c r="I35224" s="50"/>
      <c r="O35224" s="36" t="s">
        <v>48</v>
      </c>
      <c r="R35224" s="36" t="s">
        <v>48</v>
      </c>
    </row>
    <row r="35225">
      <c r="H35225" s="50"/>
      <c r="I35225" s="50"/>
      <c r="O35225" s="36" t="s">
        <v>48</v>
      </c>
      <c r="R35225" s="36" t="s">
        <v>48</v>
      </c>
    </row>
    <row r="35226">
      <c r="H35226" s="50"/>
      <c r="I35226" s="50"/>
      <c r="O35226" s="36" t="s">
        <v>48</v>
      </c>
      <c r="R35226" s="36" t="s">
        <v>48</v>
      </c>
    </row>
    <row r="35227">
      <c r="H35227" s="50"/>
      <c r="I35227" s="50"/>
      <c r="O35227" s="36" t="s">
        <v>48</v>
      </c>
      <c r="R35227" s="36" t="s">
        <v>48</v>
      </c>
    </row>
    <row r="35228">
      <c r="H35228" s="50"/>
      <c r="I35228" s="50"/>
      <c r="O35228" s="36" t="s">
        <v>48</v>
      </c>
      <c r="R35228" s="36" t="s">
        <v>48</v>
      </c>
    </row>
    <row r="35229">
      <c r="H35229" s="50"/>
      <c r="I35229" s="50"/>
      <c r="O35229" s="36" t="s">
        <v>48</v>
      </c>
      <c r="R35229" s="36" t="s">
        <v>48</v>
      </c>
    </row>
    <row r="35230">
      <c r="H35230" s="50"/>
      <c r="I35230" s="50"/>
      <c r="O35230" s="36" t="s">
        <v>48</v>
      </c>
      <c r="R35230" s="36" t="s">
        <v>48</v>
      </c>
    </row>
    <row r="35231">
      <c r="H35231" s="50"/>
      <c r="I35231" s="50"/>
      <c r="O35231" s="36" t="s">
        <v>48</v>
      </c>
      <c r="R35231" s="36" t="s">
        <v>48</v>
      </c>
    </row>
    <row r="35232">
      <c r="H35232" s="50"/>
      <c r="I35232" s="50"/>
      <c r="O35232" s="36" t="s">
        <v>48</v>
      </c>
      <c r="R35232" s="36" t="s">
        <v>48</v>
      </c>
    </row>
    <row r="35233">
      <c r="H35233" s="50"/>
      <c r="I35233" s="50"/>
      <c r="O35233" s="36" t="s">
        <v>48</v>
      </c>
      <c r="R35233" s="36" t="s">
        <v>48</v>
      </c>
    </row>
    <row r="35234">
      <c r="H35234" s="50"/>
      <c r="I35234" s="50"/>
      <c r="O35234" s="36" t="s">
        <v>48</v>
      </c>
      <c r="R35234" s="36" t="s">
        <v>48</v>
      </c>
    </row>
    <row r="35235">
      <c r="H35235" s="50"/>
      <c r="I35235" s="50"/>
      <c r="O35235" s="36" t="s">
        <v>48</v>
      </c>
      <c r="R35235" s="36" t="s">
        <v>48</v>
      </c>
    </row>
    <row r="35236">
      <c r="H35236" s="50"/>
      <c r="I35236" s="50"/>
      <c r="O35236" s="36" t="s">
        <v>48</v>
      </c>
      <c r="R35236" s="36" t="s">
        <v>48</v>
      </c>
    </row>
    <row r="35237">
      <c r="H35237" s="50"/>
      <c r="I35237" s="50"/>
      <c r="O35237" s="36" t="s">
        <v>48</v>
      </c>
      <c r="R35237" s="36" t="s">
        <v>48</v>
      </c>
    </row>
    <row r="35238">
      <c r="H35238" s="50"/>
      <c r="I35238" s="50"/>
      <c r="O35238" s="36" t="s">
        <v>48</v>
      </c>
      <c r="R35238" s="36" t="s">
        <v>48</v>
      </c>
    </row>
    <row r="35239">
      <c r="H35239" s="50"/>
      <c r="I35239" s="50"/>
      <c r="O35239" s="36" t="s">
        <v>48</v>
      </c>
      <c r="R35239" s="36" t="s">
        <v>48</v>
      </c>
    </row>
    <row r="35240">
      <c r="H35240" s="50"/>
      <c r="I35240" s="50"/>
      <c r="O35240" s="36" t="s">
        <v>48</v>
      </c>
      <c r="R35240" s="36" t="s">
        <v>48</v>
      </c>
    </row>
    <row r="35241">
      <c r="H35241" s="50"/>
      <c r="I35241" s="50"/>
      <c r="O35241" s="36" t="s">
        <v>48</v>
      </c>
      <c r="R35241" s="36" t="s">
        <v>48</v>
      </c>
    </row>
    <row r="35242">
      <c r="H35242" s="50"/>
      <c r="I35242" s="50"/>
      <c r="O35242" s="36" t="s">
        <v>48</v>
      </c>
      <c r="R35242" s="36" t="s">
        <v>48</v>
      </c>
    </row>
    <row r="35243">
      <c r="H35243" s="50"/>
      <c r="I35243" s="50"/>
      <c r="O35243" s="36" t="s">
        <v>48</v>
      </c>
      <c r="R35243" s="36" t="s">
        <v>48</v>
      </c>
    </row>
    <row r="35244">
      <c r="H35244" s="50"/>
      <c r="I35244" s="50"/>
      <c r="O35244" s="36" t="s">
        <v>48</v>
      </c>
      <c r="R35244" s="36" t="s">
        <v>48</v>
      </c>
    </row>
    <row r="35245">
      <c r="H35245" s="50"/>
      <c r="I35245" s="50"/>
      <c r="O35245" s="36" t="s">
        <v>48</v>
      </c>
      <c r="R35245" s="36" t="s">
        <v>48</v>
      </c>
    </row>
    <row r="35246">
      <c r="H35246" s="50"/>
      <c r="I35246" s="50"/>
      <c r="O35246" s="36" t="s">
        <v>48</v>
      </c>
      <c r="R35246" s="36" t="s">
        <v>48</v>
      </c>
    </row>
    <row r="35247">
      <c r="H35247" s="50"/>
      <c r="I35247" s="50"/>
      <c r="O35247" s="36" t="s">
        <v>48</v>
      </c>
      <c r="R35247" s="36" t="s">
        <v>48</v>
      </c>
    </row>
    <row r="35248">
      <c r="H35248" s="50"/>
      <c r="I35248" s="50"/>
      <c r="O35248" s="36" t="s">
        <v>48</v>
      </c>
      <c r="R35248" s="36" t="s">
        <v>48</v>
      </c>
    </row>
    <row r="35249">
      <c r="H35249" s="50"/>
      <c r="I35249" s="50"/>
      <c r="O35249" s="36" t="s">
        <v>48</v>
      </c>
      <c r="R35249" s="36" t="s">
        <v>48</v>
      </c>
    </row>
    <row r="35250">
      <c r="H35250" s="50"/>
      <c r="I35250" s="50"/>
      <c r="O35250" s="36" t="s">
        <v>48</v>
      </c>
      <c r="R35250" s="36" t="s">
        <v>48</v>
      </c>
    </row>
    <row r="35251">
      <c r="H35251" s="50"/>
      <c r="I35251" s="50"/>
      <c r="O35251" s="36" t="s">
        <v>48</v>
      </c>
      <c r="R35251" s="36" t="s">
        <v>48</v>
      </c>
    </row>
    <row r="35252">
      <c r="H35252" s="50"/>
      <c r="I35252" s="50"/>
      <c r="O35252" s="36" t="s">
        <v>48</v>
      </c>
      <c r="R35252" s="36" t="s">
        <v>48</v>
      </c>
    </row>
    <row r="35253">
      <c r="H35253" s="50"/>
      <c r="I35253" s="50"/>
      <c r="O35253" s="36" t="s">
        <v>48</v>
      </c>
      <c r="R35253" s="36" t="s">
        <v>48</v>
      </c>
    </row>
    <row r="35254">
      <c r="H35254" s="50"/>
      <c r="I35254" s="50"/>
      <c r="O35254" s="36" t="s">
        <v>48</v>
      </c>
      <c r="R35254" s="36" t="s">
        <v>48</v>
      </c>
    </row>
    <row r="35255">
      <c r="H35255" s="50"/>
      <c r="I35255" s="50"/>
      <c r="O35255" s="36" t="s">
        <v>48</v>
      </c>
      <c r="R35255" s="36" t="s">
        <v>48</v>
      </c>
    </row>
    <row r="35256">
      <c r="H35256" s="50"/>
      <c r="I35256" s="50"/>
      <c r="O35256" s="36" t="s">
        <v>48</v>
      </c>
      <c r="R35256" s="36" t="s">
        <v>48</v>
      </c>
    </row>
    <row r="35257">
      <c r="H35257" s="50"/>
      <c r="I35257" s="50"/>
      <c r="O35257" s="36" t="s">
        <v>48</v>
      </c>
      <c r="R35257" s="36" t="s">
        <v>48</v>
      </c>
    </row>
    <row r="35258">
      <c r="H35258" s="50"/>
      <c r="I35258" s="50"/>
      <c r="O35258" s="36" t="s">
        <v>48</v>
      </c>
      <c r="R35258" s="36" t="s">
        <v>48</v>
      </c>
    </row>
    <row r="35259">
      <c r="H35259" s="50"/>
      <c r="I35259" s="50"/>
      <c r="O35259" s="36" t="s">
        <v>48</v>
      </c>
      <c r="R35259" s="36" t="s">
        <v>48</v>
      </c>
    </row>
    <row r="35260">
      <c r="H35260" s="50"/>
      <c r="I35260" s="50"/>
      <c r="O35260" s="36" t="s">
        <v>48</v>
      </c>
      <c r="R35260" s="36" t="s">
        <v>48</v>
      </c>
    </row>
    <row r="35261">
      <c r="H35261" s="50"/>
      <c r="I35261" s="50"/>
      <c r="O35261" s="36" t="s">
        <v>48</v>
      </c>
      <c r="R35261" s="36" t="s">
        <v>48</v>
      </c>
    </row>
    <row r="35262">
      <c r="H35262" s="50"/>
      <c r="I35262" s="50"/>
      <c r="O35262" s="36" t="s">
        <v>48</v>
      </c>
      <c r="R35262" s="36" t="s">
        <v>48</v>
      </c>
    </row>
    <row r="35263">
      <c r="H35263" s="50"/>
      <c r="I35263" s="50"/>
      <c r="O35263" s="36" t="s">
        <v>48</v>
      </c>
      <c r="R35263" s="36" t="s">
        <v>48</v>
      </c>
    </row>
    <row r="35264">
      <c r="H35264" s="50"/>
      <c r="I35264" s="50"/>
      <c r="O35264" s="36" t="s">
        <v>48</v>
      </c>
      <c r="R35264" s="36" t="s">
        <v>48</v>
      </c>
    </row>
    <row r="35265">
      <c r="H35265" s="50"/>
      <c r="I35265" s="50"/>
      <c r="O35265" s="36" t="s">
        <v>48</v>
      </c>
      <c r="R35265" s="36" t="s">
        <v>48</v>
      </c>
    </row>
    <row r="35266">
      <c r="H35266" s="50"/>
      <c r="I35266" s="50"/>
      <c r="O35266" s="36" t="s">
        <v>48</v>
      </c>
      <c r="R35266" s="36" t="s">
        <v>48</v>
      </c>
    </row>
    <row r="35267">
      <c r="H35267" s="50"/>
      <c r="I35267" s="50"/>
      <c r="O35267" s="36" t="s">
        <v>48</v>
      </c>
      <c r="R35267" s="36" t="s">
        <v>48</v>
      </c>
    </row>
    <row r="35268">
      <c r="H35268" s="50"/>
      <c r="I35268" s="50"/>
      <c r="O35268" s="36" t="s">
        <v>48</v>
      </c>
      <c r="R35268" s="36" t="s">
        <v>48</v>
      </c>
    </row>
    <row r="35269">
      <c r="H35269" s="50"/>
      <c r="I35269" s="50"/>
      <c r="O35269" s="36" t="s">
        <v>48</v>
      </c>
      <c r="R35269" s="36" t="s">
        <v>48</v>
      </c>
    </row>
    <row r="35270">
      <c r="H35270" s="50"/>
      <c r="I35270" s="50"/>
      <c r="O35270" s="36" t="s">
        <v>48</v>
      </c>
      <c r="R35270" s="36" t="s">
        <v>48</v>
      </c>
    </row>
    <row r="35271">
      <c r="H35271" s="50"/>
      <c r="I35271" s="50"/>
      <c r="O35271" s="36" t="s">
        <v>48</v>
      </c>
      <c r="R35271" s="36" t="s">
        <v>48</v>
      </c>
    </row>
    <row r="35272">
      <c r="H35272" s="50"/>
      <c r="I35272" s="50"/>
      <c r="O35272" s="36" t="s">
        <v>48</v>
      </c>
      <c r="R35272" s="36" t="s">
        <v>48</v>
      </c>
    </row>
    <row r="35273">
      <c r="H35273" s="50"/>
      <c r="I35273" s="50"/>
      <c r="O35273" s="36" t="s">
        <v>48</v>
      </c>
      <c r="R35273" s="36" t="s">
        <v>48</v>
      </c>
    </row>
    <row r="35274">
      <c r="H35274" s="50"/>
      <c r="I35274" s="50"/>
      <c r="O35274" s="36" t="s">
        <v>48</v>
      </c>
      <c r="R35274" s="36" t="s">
        <v>48</v>
      </c>
    </row>
    <row r="35275">
      <c r="H35275" s="50"/>
      <c r="I35275" s="50"/>
      <c r="O35275" s="36" t="s">
        <v>48</v>
      </c>
      <c r="R35275" s="36" t="s">
        <v>48</v>
      </c>
    </row>
    <row r="35276">
      <c r="H35276" s="50"/>
      <c r="I35276" s="50"/>
      <c r="O35276" s="36" t="s">
        <v>48</v>
      </c>
      <c r="R35276" s="36" t="s">
        <v>48</v>
      </c>
    </row>
    <row r="35277">
      <c r="H35277" s="50"/>
      <c r="I35277" s="50"/>
      <c r="O35277" s="36" t="s">
        <v>48</v>
      </c>
      <c r="R35277" s="36" t="s">
        <v>48</v>
      </c>
    </row>
    <row r="35278">
      <c r="H35278" s="50"/>
      <c r="I35278" s="50"/>
      <c r="O35278" s="36" t="s">
        <v>48</v>
      </c>
      <c r="R35278" s="36" t="s">
        <v>48</v>
      </c>
    </row>
    <row r="35279">
      <c r="H35279" s="50"/>
      <c r="I35279" s="50"/>
      <c r="O35279" s="36" t="s">
        <v>48</v>
      </c>
      <c r="R35279" s="36" t="s">
        <v>48</v>
      </c>
    </row>
    <row r="35280">
      <c r="H35280" s="50"/>
      <c r="I35280" s="50"/>
      <c r="O35280" s="36" t="s">
        <v>48</v>
      </c>
      <c r="R35280" s="36" t="s">
        <v>48</v>
      </c>
    </row>
    <row r="35281">
      <c r="H35281" s="50"/>
      <c r="I35281" s="50"/>
      <c r="O35281" s="36" t="s">
        <v>48</v>
      </c>
      <c r="R35281" s="36" t="s">
        <v>48</v>
      </c>
    </row>
    <row r="35282">
      <c r="H35282" s="50"/>
      <c r="I35282" s="50"/>
      <c r="O35282" s="36" t="s">
        <v>48</v>
      </c>
      <c r="R35282" s="36" t="s">
        <v>48</v>
      </c>
    </row>
    <row r="35283">
      <c r="H35283" s="50"/>
      <c r="I35283" s="50"/>
      <c r="O35283" s="36" t="s">
        <v>48</v>
      </c>
      <c r="R35283" s="36" t="s">
        <v>48</v>
      </c>
    </row>
    <row r="35284">
      <c r="H35284" s="50"/>
      <c r="I35284" s="50"/>
      <c r="O35284" s="36" t="s">
        <v>48</v>
      </c>
      <c r="R35284" s="36" t="s">
        <v>48</v>
      </c>
    </row>
    <row r="35285">
      <c r="H35285" s="50"/>
      <c r="I35285" s="50"/>
      <c r="O35285" s="36" t="s">
        <v>48</v>
      </c>
      <c r="R35285" s="36" t="s">
        <v>48</v>
      </c>
    </row>
    <row r="35286">
      <c r="H35286" s="50"/>
      <c r="I35286" s="50"/>
      <c r="O35286" s="36" t="s">
        <v>48</v>
      </c>
      <c r="R35286" s="36" t="s">
        <v>48</v>
      </c>
    </row>
    <row r="35287">
      <c r="H35287" s="50"/>
      <c r="I35287" s="50"/>
      <c r="O35287" s="36" t="s">
        <v>48</v>
      </c>
      <c r="R35287" s="36" t="s">
        <v>48</v>
      </c>
    </row>
    <row r="35288">
      <c r="H35288" s="50"/>
      <c r="I35288" s="50"/>
      <c r="O35288" s="36" t="s">
        <v>48</v>
      </c>
      <c r="R35288" s="36" t="s">
        <v>48</v>
      </c>
    </row>
    <row r="35289">
      <c r="H35289" s="50"/>
      <c r="I35289" s="50"/>
      <c r="O35289" s="36" t="s">
        <v>48</v>
      </c>
      <c r="R35289" s="36" t="s">
        <v>48</v>
      </c>
    </row>
    <row r="35290">
      <c r="H35290" s="50"/>
      <c r="I35290" s="50"/>
      <c r="O35290" s="36" t="s">
        <v>48</v>
      </c>
      <c r="R35290" s="36" t="s">
        <v>48</v>
      </c>
    </row>
    <row r="35291">
      <c r="H35291" s="50"/>
      <c r="I35291" s="50"/>
      <c r="O35291" s="36" t="s">
        <v>48</v>
      </c>
      <c r="R35291" s="36" t="s">
        <v>48</v>
      </c>
    </row>
    <row r="35292">
      <c r="H35292" s="50"/>
      <c r="I35292" s="50"/>
      <c r="O35292" s="36" t="s">
        <v>48</v>
      </c>
      <c r="R35292" s="36" t="s">
        <v>48</v>
      </c>
    </row>
    <row r="35293">
      <c r="H35293" s="50"/>
      <c r="I35293" s="50"/>
      <c r="O35293" s="36" t="s">
        <v>48</v>
      </c>
      <c r="R35293" s="36" t="s">
        <v>48</v>
      </c>
    </row>
    <row r="35294">
      <c r="H35294" s="50"/>
      <c r="I35294" s="50"/>
      <c r="O35294" s="36" t="s">
        <v>48</v>
      </c>
      <c r="R35294" s="36" t="s">
        <v>48</v>
      </c>
    </row>
    <row r="35295">
      <c r="H35295" s="50"/>
      <c r="I35295" s="50"/>
      <c r="O35295" s="36" t="s">
        <v>48</v>
      </c>
      <c r="R35295" s="36" t="s">
        <v>48</v>
      </c>
    </row>
    <row r="35296">
      <c r="H35296" s="50"/>
      <c r="I35296" s="50"/>
      <c r="O35296" s="36" t="s">
        <v>48</v>
      </c>
      <c r="R35296" s="36" t="s">
        <v>48</v>
      </c>
    </row>
    <row r="35297">
      <c r="H35297" s="50"/>
      <c r="I35297" s="50"/>
      <c r="O35297" s="36" t="s">
        <v>48</v>
      </c>
      <c r="R35297" s="36" t="s">
        <v>48</v>
      </c>
    </row>
    <row r="35298">
      <c r="H35298" s="50"/>
      <c r="I35298" s="50"/>
      <c r="O35298" s="36" t="s">
        <v>48</v>
      </c>
      <c r="R35298" s="36" t="s">
        <v>48</v>
      </c>
    </row>
    <row r="35299">
      <c r="H35299" s="50"/>
      <c r="I35299" s="50"/>
      <c r="O35299" s="36" t="s">
        <v>48</v>
      </c>
      <c r="R35299" s="36" t="s">
        <v>48</v>
      </c>
    </row>
    <row r="35300">
      <c r="H35300" s="50"/>
      <c r="I35300" s="50"/>
      <c r="O35300" s="36" t="s">
        <v>48</v>
      </c>
      <c r="R35300" s="36" t="s">
        <v>48</v>
      </c>
    </row>
    <row r="35301">
      <c r="H35301" s="50"/>
      <c r="I35301" s="50"/>
      <c r="O35301" s="36" t="s">
        <v>48</v>
      </c>
      <c r="R35301" s="36" t="s">
        <v>48</v>
      </c>
    </row>
    <row r="35302">
      <c r="H35302" s="50"/>
      <c r="I35302" s="50"/>
      <c r="O35302" s="36" t="s">
        <v>48</v>
      </c>
      <c r="R35302" s="36" t="s">
        <v>48</v>
      </c>
    </row>
    <row r="35303">
      <c r="H35303" s="50"/>
      <c r="I35303" s="50"/>
      <c r="O35303" s="36" t="s">
        <v>48</v>
      </c>
      <c r="R35303" s="36" t="s">
        <v>48</v>
      </c>
    </row>
    <row r="35304">
      <c r="H35304" s="50"/>
      <c r="I35304" s="50"/>
      <c r="O35304" s="36" t="s">
        <v>48</v>
      </c>
      <c r="R35304" s="36" t="s">
        <v>48</v>
      </c>
    </row>
    <row r="35305">
      <c r="H35305" s="50"/>
      <c r="I35305" s="50"/>
      <c r="O35305" s="36" t="s">
        <v>48</v>
      </c>
      <c r="R35305" s="36" t="s">
        <v>48</v>
      </c>
    </row>
    <row r="35306">
      <c r="H35306" s="50"/>
      <c r="I35306" s="50"/>
      <c r="O35306" s="36" t="s">
        <v>48</v>
      </c>
      <c r="R35306" s="36" t="s">
        <v>48</v>
      </c>
    </row>
    <row r="35307">
      <c r="H35307" s="50"/>
      <c r="I35307" s="50"/>
      <c r="O35307" s="36" t="s">
        <v>48</v>
      </c>
      <c r="R35307" s="36" t="s">
        <v>48</v>
      </c>
    </row>
    <row r="35308">
      <c r="H35308" s="50"/>
      <c r="I35308" s="50"/>
      <c r="O35308" s="36" t="s">
        <v>48</v>
      </c>
      <c r="R35308" s="36" t="s">
        <v>48</v>
      </c>
    </row>
    <row r="35309">
      <c r="H35309" s="50"/>
      <c r="I35309" s="50"/>
      <c r="O35309" s="36" t="s">
        <v>48</v>
      </c>
      <c r="R35309" s="36" t="s">
        <v>48</v>
      </c>
    </row>
    <row r="35310">
      <c r="H35310" s="50"/>
      <c r="I35310" s="50"/>
      <c r="O35310" s="36" t="s">
        <v>48</v>
      </c>
      <c r="R35310" s="36" t="s">
        <v>48</v>
      </c>
    </row>
    <row r="35311">
      <c r="H35311" s="50"/>
      <c r="I35311" s="50"/>
      <c r="O35311" s="36" t="s">
        <v>48</v>
      </c>
      <c r="R35311" s="36" t="s">
        <v>48</v>
      </c>
    </row>
    <row r="35312">
      <c r="H35312" s="50"/>
      <c r="I35312" s="50"/>
      <c r="O35312" s="36" t="s">
        <v>48</v>
      </c>
      <c r="R35312" s="36" t="s">
        <v>48</v>
      </c>
    </row>
    <row r="35313">
      <c r="H35313" s="50"/>
      <c r="I35313" s="50"/>
      <c r="O35313" s="36" t="s">
        <v>48</v>
      </c>
      <c r="R35313" s="36" t="s">
        <v>48</v>
      </c>
    </row>
    <row r="35314">
      <c r="H35314" s="50"/>
      <c r="I35314" s="50"/>
      <c r="O35314" s="36" t="s">
        <v>48</v>
      </c>
      <c r="R35314" s="36" t="s">
        <v>48</v>
      </c>
    </row>
    <row r="35315">
      <c r="H35315" s="50"/>
      <c r="I35315" s="50"/>
      <c r="O35315" s="36" t="s">
        <v>48</v>
      </c>
      <c r="R35315" s="36" t="s">
        <v>48</v>
      </c>
    </row>
    <row r="35316">
      <c r="H35316" s="50"/>
      <c r="I35316" s="50"/>
      <c r="O35316" s="36" t="s">
        <v>48</v>
      </c>
      <c r="R35316" s="36" t="s">
        <v>48</v>
      </c>
    </row>
    <row r="35317">
      <c r="H35317" s="50"/>
      <c r="I35317" s="50"/>
      <c r="O35317" s="36" t="s">
        <v>48</v>
      </c>
      <c r="R35317" s="36" t="s">
        <v>48</v>
      </c>
    </row>
    <row r="35318">
      <c r="H35318" s="50"/>
      <c r="I35318" s="50"/>
      <c r="O35318" s="36" t="s">
        <v>48</v>
      </c>
      <c r="R35318" s="36" t="s">
        <v>48</v>
      </c>
    </row>
    <row r="35319">
      <c r="H35319" s="50"/>
      <c r="I35319" s="50"/>
      <c r="O35319" s="36" t="s">
        <v>48</v>
      </c>
      <c r="R35319" s="36" t="s">
        <v>48</v>
      </c>
    </row>
    <row r="35320">
      <c r="H35320" s="50"/>
      <c r="I35320" s="50"/>
      <c r="O35320" s="36" t="s">
        <v>48</v>
      </c>
      <c r="R35320" s="36" t="s">
        <v>48</v>
      </c>
    </row>
    <row r="35321">
      <c r="H35321" s="50"/>
      <c r="I35321" s="50"/>
      <c r="O35321" s="36" t="s">
        <v>48</v>
      </c>
      <c r="R35321" s="36" t="s">
        <v>48</v>
      </c>
    </row>
    <row r="35322">
      <c r="H35322" s="50"/>
      <c r="I35322" s="50"/>
      <c r="O35322" s="36" t="s">
        <v>48</v>
      </c>
      <c r="R35322" s="36" t="s">
        <v>48</v>
      </c>
    </row>
    <row r="35323">
      <c r="H35323" s="50"/>
      <c r="I35323" s="50"/>
      <c r="O35323" s="36" t="s">
        <v>48</v>
      </c>
      <c r="R35323" s="36" t="s">
        <v>48</v>
      </c>
    </row>
    <row r="35324">
      <c r="H35324" s="50"/>
      <c r="I35324" s="50"/>
      <c r="O35324" s="36" t="s">
        <v>48</v>
      </c>
      <c r="R35324" s="36" t="s">
        <v>48</v>
      </c>
    </row>
    <row r="35325">
      <c r="H35325" s="50"/>
      <c r="I35325" s="50"/>
      <c r="O35325" s="36" t="s">
        <v>48</v>
      </c>
      <c r="R35325" s="36" t="s">
        <v>48</v>
      </c>
    </row>
    <row r="35326">
      <c r="H35326" s="50"/>
      <c r="I35326" s="50"/>
      <c r="O35326" s="36" t="s">
        <v>48</v>
      </c>
      <c r="R35326" s="36" t="s">
        <v>48</v>
      </c>
    </row>
    <row r="35327">
      <c r="H35327" s="50"/>
      <c r="I35327" s="50"/>
      <c r="O35327" s="36" t="s">
        <v>48</v>
      </c>
      <c r="R35327" s="36" t="s">
        <v>48</v>
      </c>
    </row>
    <row r="35328">
      <c r="H35328" s="50"/>
      <c r="I35328" s="50"/>
      <c r="O35328" s="36" t="s">
        <v>48</v>
      </c>
      <c r="R35328" s="36" t="s">
        <v>48</v>
      </c>
    </row>
    <row r="35329">
      <c r="H35329" s="50"/>
      <c r="I35329" s="50"/>
      <c r="O35329" s="36" t="s">
        <v>48</v>
      </c>
      <c r="R35329" s="36" t="s">
        <v>48</v>
      </c>
    </row>
    <row r="35330">
      <c r="H35330" s="50"/>
      <c r="I35330" s="50"/>
      <c r="O35330" s="36" t="s">
        <v>48</v>
      </c>
      <c r="R35330" s="36" t="s">
        <v>48</v>
      </c>
    </row>
    <row r="35331">
      <c r="H35331" s="50"/>
      <c r="I35331" s="50"/>
      <c r="O35331" s="36" t="s">
        <v>48</v>
      </c>
      <c r="R35331" s="36" t="s">
        <v>48</v>
      </c>
    </row>
    <row r="35332">
      <c r="H35332" s="50"/>
      <c r="I35332" s="50"/>
      <c r="O35332" s="36" t="s">
        <v>48</v>
      </c>
      <c r="R35332" s="36" t="s">
        <v>48</v>
      </c>
    </row>
    <row r="35333">
      <c r="H35333" s="50"/>
      <c r="I35333" s="50"/>
      <c r="O35333" s="36" t="s">
        <v>48</v>
      </c>
      <c r="R35333" s="36" t="s">
        <v>48</v>
      </c>
    </row>
    <row r="35334">
      <c r="H35334" s="50"/>
      <c r="I35334" s="50"/>
      <c r="O35334" s="36" t="s">
        <v>48</v>
      </c>
      <c r="R35334" s="36" t="s">
        <v>48</v>
      </c>
    </row>
    <row r="35335">
      <c r="H35335" s="50"/>
      <c r="I35335" s="50"/>
      <c r="O35335" s="36" t="s">
        <v>48</v>
      </c>
      <c r="R35335" s="36" t="s">
        <v>48</v>
      </c>
    </row>
    <row r="35336">
      <c r="H35336" s="50"/>
      <c r="I35336" s="50"/>
      <c r="O35336" s="36" t="s">
        <v>48</v>
      </c>
      <c r="R35336" s="36" t="s">
        <v>48</v>
      </c>
    </row>
    <row r="35337">
      <c r="H35337" s="50"/>
      <c r="I35337" s="50"/>
      <c r="O35337" s="36" t="s">
        <v>48</v>
      </c>
      <c r="R35337" s="36" t="s">
        <v>48</v>
      </c>
    </row>
    <row r="35338">
      <c r="H35338" s="50"/>
      <c r="I35338" s="50"/>
      <c r="O35338" s="36" t="s">
        <v>48</v>
      </c>
      <c r="R35338" s="36" t="s">
        <v>48</v>
      </c>
    </row>
    <row r="35339">
      <c r="H35339" s="50"/>
      <c r="I35339" s="50"/>
      <c r="O35339" s="36" t="s">
        <v>48</v>
      </c>
      <c r="R35339" s="36" t="s">
        <v>48</v>
      </c>
    </row>
    <row r="35340">
      <c r="H35340" s="50"/>
      <c r="I35340" s="50"/>
      <c r="O35340" s="36" t="s">
        <v>48</v>
      </c>
      <c r="R35340" s="36" t="s">
        <v>48</v>
      </c>
    </row>
    <row r="35341">
      <c r="H35341" s="50"/>
      <c r="I35341" s="50"/>
      <c r="O35341" s="36" t="s">
        <v>48</v>
      </c>
      <c r="R35341" s="36" t="s">
        <v>48</v>
      </c>
    </row>
    <row r="35342">
      <c r="H35342" s="50"/>
      <c r="I35342" s="50"/>
      <c r="O35342" s="36" t="s">
        <v>48</v>
      </c>
      <c r="R35342" s="36" t="s">
        <v>48</v>
      </c>
    </row>
    <row r="35343">
      <c r="H35343" s="50"/>
      <c r="I35343" s="50"/>
      <c r="O35343" s="36" t="s">
        <v>48</v>
      </c>
      <c r="R35343" s="36" t="s">
        <v>48</v>
      </c>
    </row>
    <row r="35344">
      <c r="H35344" s="50"/>
      <c r="I35344" s="50"/>
      <c r="O35344" s="36" t="s">
        <v>48</v>
      </c>
      <c r="R35344" s="36" t="s">
        <v>48</v>
      </c>
    </row>
    <row r="35345">
      <c r="H35345" s="50"/>
      <c r="I35345" s="50"/>
      <c r="O35345" s="36" t="s">
        <v>48</v>
      </c>
      <c r="R35345" s="36" t="s">
        <v>48</v>
      </c>
    </row>
    <row r="35346">
      <c r="H35346" s="50"/>
      <c r="I35346" s="50"/>
      <c r="O35346" s="36" t="s">
        <v>48</v>
      </c>
      <c r="R35346" s="36" t="s">
        <v>48</v>
      </c>
    </row>
    <row r="35347">
      <c r="H35347" s="50"/>
      <c r="I35347" s="50"/>
      <c r="O35347" s="36" t="s">
        <v>48</v>
      </c>
      <c r="R35347" s="36" t="s">
        <v>48</v>
      </c>
    </row>
    <row r="35348">
      <c r="H35348" s="50"/>
      <c r="I35348" s="50"/>
      <c r="O35348" s="36" t="s">
        <v>48</v>
      </c>
      <c r="R35348" s="36" t="s">
        <v>48</v>
      </c>
    </row>
    <row r="35349">
      <c r="H35349" s="50"/>
      <c r="I35349" s="50"/>
      <c r="O35349" s="36" t="s">
        <v>48</v>
      </c>
      <c r="R35349" s="36" t="s">
        <v>48</v>
      </c>
    </row>
    <row r="35350">
      <c r="H35350" s="50"/>
      <c r="I35350" s="50"/>
      <c r="O35350" s="36" t="s">
        <v>48</v>
      </c>
      <c r="R35350" s="36" t="s">
        <v>48</v>
      </c>
    </row>
    <row r="35351">
      <c r="H35351" s="50"/>
      <c r="I35351" s="50"/>
      <c r="O35351" s="36" t="s">
        <v>48</v>
      </c>
      <c r="R35351" s="36" t="s">
        <v>48</v>
      </c>
    </row>
    <row r="35352">
      <c r="H35352" s="50"/>
      <c r="I35352" s="50"/>
      <c r="O35352" s="36" t="s">
        <v>48</v>
      </c>
      <c r="R35352" s="36" t="s">
        <v>48</v>
      </c>
    </row>
    <row r="35353">
      <c r="H35353" s="50"/>
      <c r="I35353" s="50"/>
      <c r="O35353" s="36" t="s">
        <v>48</v>
      </c>
      <c r="R35353" s="36" t="s">
        <v>48</v>
      </c>
    </row>
    <row r="35354">
      <c r="H35354" s="50"/>
      <c r="I35354" s="50"/>
      <c r="O35354" s="36" t="s">
        <v>48</v>
      </c>
      <c r="R35354" s="36" t="s">
        <v>48</v>
      </c>
    </row>
    <row r="35355">
      <c r="H35355" s="50"/>
      <c r="I35355" s="50"/>
      <c r="O35355" s="36" t="s">
        <v>48</v>
      </c>
      <c r="R35355" s="36" t="s">
        <v>48</v>
      </c>
    </row>
    <row r="35356">
      <c r="H35356" s="50"/>
      <c r="I35356" s="50"/>
      <c r="O35356" s="36" t="s">
        <v>48</v>
      </c>
      <c r="R35356" s="36" t="s">
        <v>48</v>
      </c>
    </row>
    <row r="35357">
      <c r="H35357" s="50"/>
      <c r="I35357" s="50"/>
      <c r="O35357" s="36" t="s">
        <v>48</v>
      </c>
      <c r="R35357" s="36" t="s">
        <v>48</v>
      </c>
    </row>
    <row r="35358">
      <c r="H35358" s="50"/>
      <c r="I35358" s="50"/>
      <c r="O35358" s="36" t="s">
        <v>48</v>
      </c>
      <c r="R35358" s="36" t="s">
        <v>48</v>
      </c>
    </row>
    <row r="35359">
      <c r="H35359" s="50"/>
      <c r="I35359" s="50"/>
      <c r="O35359" s="36" t="s">
        <v>48</v>
      </c>
      <c r="R35359" s="36" t="s">
        <v>48</v>
      </c>
    </row>
    <row r="35360">
      <c r="H35360" s="50"/>
      <c r="I35360" s="50"/>
      <c r="O35360" s="36" t="s">
        <v>48</v>
      </c>
      <c r="R35360" s="36" t="s">
        <v>48</v>
      </c>
    </row>
    <row r="35361">
      <c r="H35361" s="50"/>
      <c r="I35361" s="50"/>
      <c r="O35361" s="36" t="s">
        <v>48</v>
      </c>
      <c r="R35361" s="36" t="s">
        <v>48</v>
      </c>
    </row>
    <row r="35362">
      <c r="H35362" s="50"/>
      <c r="I35362" s="50"/>
      <c r="O35362" s="36" t="s">
        <v>48</v>
      </c>
      <c r="R35362" s="36" t="s">
        <v>48</v>
      </c>
    </row>
    <row r="35363">
      <c r="H35363" s="50"/>
      <c r="I35363" s="50"/>
      <c r="O35363" s="36" t="s">
        <v>48</v>
      </c>
      <c r="R35363" s="36" t="s">
        <v>48</v>
      </c>
    </row>
    <row r="35364">
      <c r="H35364" s="50"/>
      <c r="I35364" s="50"/>
      <c r="O35364" s="36" t="s">
        <v>48</v>
      </c>
      <c r="R35364" s="36" t="s">
        <v>48</v>
      </c>
    </row>
    <row r="35365">
      <c r="H35365" s="50"/>
      <c r="I35365" s="50"/>
      <c r="O35365" s="36" t="s">
        <v>48</v>
      </c>
      <c r="R35365" s="36" t="s">
        <v>48</v>
      </c>
    </row>
    <row r="35366">
      <c r="H35366" s="50"/>
      <c r="I35366" s="50"/>
      <c r="O35366" s="36" t="s">
        <v>48</v>
      </c>
      <c r="R35366" s="36" t="s">
        <v>48</v>
      </c>
    </row>
    <row r="35367">
      <c r="H35367" s="50"/>
      <c r="I35367" s="50"/>
      <c r="O35367" s="36" t="s">
        <v>48</v>
      </c>
      <c r="R35367" s="36" t="s">
        <v>48</v>
      </c>
    </row>
    <row r="35368">
      <c r="H35368" s="50"/>
      <c r="I35368" s="50"/>
      <c r="O35368" s="36" t="s">
        <v>48</v>
      </c>
      <c r="R35368" s="36" t="s">
        <v>48</v>
      </c>
    </row>
    <row r="35369">
      <c r="H35369" s="50"/>
      <c r="I35369" s="50"/>
      <c r="O35369" s="36" t="s">
        <v>48</v>
      </c>
      <c r="R35369" s="36" t="s">
        <v>48</v>
      </c>
    </row>
    <row r="35370">
      <c r="H35370" s="50"/>
      <c r="I35370" s="50"/>
      <c r="O35370" s="36" t="s">
        <v>48</v>
      </c>
      <c r="R35370" s="36" t="s">
        <v>48</v>
      </c>
    </row>
    <row r="35371">
      <c r="H35371" s="50"/>
      <c r="I35371" s="50"/>
      <c r="O35371" s="36" t="s">
        <v>48</v>
      </c>
      <c r="R35371" s="36" t="s">
        <v>48</v>
      </c>
    </row>
    <row r="35372">
      <c r="H35372" s="50"/>
      <c r="I35372" s="50"/>
      <c r="O35372" s="36" t="s">
        <v>48</v>
      </c>
      <c r="R35372" s="36" t="s">
        <v>48</v>
      </c>
    </row>
    <row r="35373">
      <c r="H35373" s="50"/>
      <c r="I35373" s="50"/>
      <c r="O35373" s="36" t="s">
        <v>48</v>
      </c>
      <c r="R35373" s="36" t="s">
        <v>48</v>
      </c>
    </row>
    <row r="35374">
      <c r="H35374" s="50"/>
      <c r="I35374" s="50"/>
      <c r="O35374" s="36" t="s">
        <v>48</v>
      </c>
      <c r="R35374" s="36" t="s">
        <v>48</v>
      </c>
    </row>
    <row r="35375">
      <c r="H35375" s="50"/>
      <c r="I35375" s="50"/>
      <c r="O35375" s="36" t="s">
        <v>48</v>
      </c>
      <c r="R35375" s="36" t="s">
        <v>48</v>
      </c>
    </row>
    <row r="35376">
      <c r="H35376" s="50"/>
      <c r="I35376" s="50"/>
      <c r="O35376" s="36" t="s">
        <v>48</v>
      </c>
      <c r="R35376" s="36" t="s">
        <v>48</v>
      </c>
    </row>
    <row r="35377">
      <c r="H35377" s="50"/>
      <c r="I35377" s="50"/>
      <c r="O35377" s="36" t="s">
        <v>48</v>
      </c>
      <c r="R35377" s="36" t="s">
        <v>48</v>
      </c>
    </row>
    <row r="35378">
      <c r="H35378" s="50"/>
      <c r="I35378" s="50"/>
      <c r="O35378" s="36" t="s">
        <v>48</v>
      </c>
      <c r="R35378" s="36" t="s">
        <v>48</v>
      </c>
    </row>
    <row r="35379">
      <c r="H35379" s="50"/>
      <c r="I35379" s="50"/>
      <c r="O35379" s="36" t="s">
        <v>48</v>
      </c>
      <c r="R35379" s="36" t="s">
        <v>48</v>
      </c>
    </row>
    <row r="35380">
      <c r="H35380" s="50"/>
      <c r="I35380" s="50"/>
      <c r="O35380" s="36" t="s">
        <v>48</v>
      </c>
      <c r="R35380" s="36" t="s">
        <v>48</v>
      </c>
    </row>
    <row r="35381">
      <c r="H35381" s="50"/>
      <c r="I35381" s="50"/>
      <c r="O35381" s="36" t="s">
        <v>48</v>
      </c>
      <c r="R35381" s="36" t="s">
        <v>48</v>
      </c>
    </row>
    <row r="35382">
      <c r="H35382" s="50"/>
      <c r="I35382" s="50"/>
      <c r="O35382" s="36" t="s">
        <v>48</v>
      </c>
      <c r="R35382" s="36" t="s">
        <v>48</v>
      </c>
    </row>
    <row r="35383">
      <c r="H35383" s="50"/>
      <c r="I35383" s="50"/>
      <c r="O35383" s="36" t="s">
        <v>48</v>
      </c>
      <c r="R35383" s="36" t="s">
        <v>48</v>
      </c>
    </row>
    <row r="35384">
      <c r="H35384" s="50"/>
      <c r="I35384" s="50"/>
      <c r="O35384" s="36" t="s">
        <v>48</v>
      </c>
      <c r="R35384" s="36" t="s">
        <v>48</v>
      </c>
    </row>
    <row r="35385">
      <c r="H35385" s="50"/>
      <c r="I35385" s="50"/>
      <c r="O35385" s="36" t="s">
        <v>48</v>
      </c>
      <c r="R35385" s="36" t="s">
        <v>48</v>
      </c>
    </row>
    <row r="35386">
      <c r="H35386" s="50"/>
      <c r="I35386" s="50"/>
      <c r="O35386" s="36" t="s">
        <v>48</v>
      </c>
      <c r="R35386" s="36" t="s">
        <v>48</v>
      </c>
    </row>
    <row r="35387">
      <c r="H35387" s="50"/>
      <c r="I35387" s="50"/>
      <c r="O35387" s="36" t="s">
        <v>48</v>
      </c>
      <c r="R35387" s="36" t="s">
        <v>48</v>
      </c>
    </row>
    <row r="35388">
      <c r="H35388" s="50"/>
      <c r="I35388" s="50"/>
      <c r="O35388" s="36" t="s">
        <v>48</v>
      </c>
      <c r="R35388" s="36" t="s">
        <v>48</v>
      </c>
    </row>
    <row r="35389">
      <c r="H35389" s="50"/>
      <c r="I35389" s="50"/>
      <c r="O35389" s="36" t="s">
        <v>48</v>
      </c>
      <c r="R35389" s="36" t="s">
        <v>48</v>
      </c>
    </row>
    <row r="35390">
      <c r="H35390" s="50"/>
      <c r="I35390" s="50"/>
      <c r="O35390" s="36" t="s">
        <v>48</v>
      </c>
      <c r="R35390" s="36" t="s">
        <v>48</v>
      </c>
    </row>
    <row r="35391">
      <c r="H35391" s="50"/>
      <c r="I35391" s="50"/>
      <c r="O35391" s="36" t="s">
        <v>48</v>
      </c>
      <c r="R35391" s="36" t="s">
        <v>48</v>
      </c>
    </row>
    <row r="35392">
      <c r="H35392" s="50"/>
      <c r="I35392" s="50"/>
      <c r="O35392" s="36" t="s">
        <v>48</v>
      </c>
      <c r="R35392" s="36" t="s">
        <v>48</v>
      </c>
    </row>
    <row r="35393">
      <c r="H35393" s="50"/>
      <c r="I35393" s="50"/>
      <c r="O35393" s="36" t="s">
        <v>48</v>
      </c>
      <c r="R35393" s="36" t="s">
        <v>48</v>
      </c>
    </row>
    <row r="35394">
      <c r="H35394" s="50"/>
      <c r="I35394" s="50"/>
      <c r="O35394" s="36" t="s">
        <v>48</v>
      </c>
      <c r="R35394" s="36" t="s">
        <v>48</v>
      </c>
    </row>
    <row r="35395">
      <c r="H35395" s="50"/>
      <c r="I35395" s="50"/>
      <c r="O35395" s="36" t="s">
        <v>48</v>
      </c>
      <c r="R35395" s="36" t="s">
        <v>48</v>
      </c>
    </row>
    <row r="35396">
      <c r="H35396" s="50"/>
      <c r="I35396" s="50"/>
      <c r="O35396" s="36" t="s">
        <v>48</v>
      </c>
      <c r="R35396" s="36" t="s">
        <v>48</v>
      </c>
    </row>
    <row r="35397">
      <c r="H35397" s="50"/>
      <c r="I35397" s="50"/>
      <c r="O35397" s="36" t="s">
        <v>48</v>
      </c>
      <c r="R35397" s="36" t="s">
        <v>48</v>
      </c>
    </row>
    <row r="35398">
      <c r="H35398" s="50"/>
      <c r="I35398" s="50"/>
      <c r="O35398" s="36" t="s">
        <v>48</v>
      </c>
      <c r="R35398" s="36" t="s">
        <v>48</v>
      </c>
    </row>
    <row r="35399">
      <c r="H35399" s="50"/>
      <c r="I35399" s="50"/>
      <c r="O35399" s="36" t="s">
        <v>48</v>
      </c>
      <c r="R35399" s="36" t="s">
        <v>48</v>
      </c>
    </row>
    <row r="35400">
      <c r="H35400" s="50"/>
      <c r="I35400" s="50"/>
      <c r="O35400" s="36" t="s">
        <v>48</v>
      </c>
      <c r="R35400" s="36" t="s">
        <v>48</v>
      </c>
    </row>
    <row r="35401">
      <c r="H35401" s="50"/>
      <c r="I35401" s="50"/>
      <c r="O35401" s="36" t="s">
        <v>48</v>
      </c>
      <c r="R35401" s="36" t="s">
        <v>48</v>
      </c>
    </row>
    <row r="35402">
      <c r="H35402" s="50"/>
      <c r="I35402" s="50"/>
      <c r="O35402" s="36" t="s">
        <v>48</v>
      </c>
      <c r="R35402" s="36" t="s">
        <v>48</v>
      </c>
    </row>
    <row r="35403">
      <c r="H35403" s="50"/>
      <c r="I35403" s="50"/>
      <c r="O35403" s="36" t="s">
        <v>48</v>
      </c>
      <c r="R35403" s="36" t="s">
        <v>48</v>
      </c>
    </row>
    <row r="35404">
      <c r="H35404" s="50"/>
      <c r="I35404" s="50"/>
      <c r="O35404" s="36" t="s">
        <v>48</v>
      </c>
      <c r="R35404" s="36" t="s">
        <v>48</v>
      </c>
    </row>
    <row r="35405">
      <c r="H35405" s="50"/>
      <c r="I35405" s="50"/>
      <c r="O35405" s="36" t="s">
        <v>48</v>
      </c>
      <c r="R35405" s="36" t="s">
        <v>48</v>
      </c>
    </row>
    <row r="35406">
      <c r="H35406" s="50"/>
      <c r="I35406" s="50"/>
      <c r="O35406" s="36" t="s">
        <v>48</v>
      </c>
      <c r="R35406" s="36" t="s">
        <v>48</v>
      </c>
    </row>
    <row r="35407">
      <c r="H35407" s="50"/>
      <c r="I35407" s="50"/>
      <c r="O35407" s="36" t="s">
        <v>48</v>
      </c>
      <c r="R35407" s="36" t="s">
        <v>48</v>
      </c>
    </row>
    <row r="35408">
      <c r="H35408" s="50"/>
      <c r="I35408" s="50"/>
      <c r="O35408" s="36" t="s">
        <v>48</v>
      </c>
      <c r="R35408" s="36" t="s">
        <v>48</v>
      </c>
    </row>
    <row r="35409">
      <c r="H35409" s="50"/>
      <c r="I35409" s="50"/>
      <c r="O35409" s="36" t="s">
        <v>48</v>
      </c>
      <c r="R35409" s="36" t="s">
        <v>48</v>
      </c>
    </row>
    <row r="35410">
      <c r="H35410" s="50"/>
      <c r="I35410" s="50"/>
      <c r="O35410" s="36" t="s">
        <v>48</v>
      </c>
      <c r="R35410" s="36" t="s">
        <v>48</v>
      </c>
    </row>
    <row r="35411">
      <c r="H35411" s="50"/>
      <c r="I35411" s="50"/>
      <c r="O35411" s="36" t="s">
        <v>48</v>
      </c>
      <c r="R35411" s="36" t="s">
        <v>48</v>
      </c>
    </row>
    <row r="35412">
      <c r="H35412" s="50"/>
      <c r="I35412" s="50"/>
      <c r="O35412" s="36" t="s">
        <v>48</v>
      </c>
      <c r="R35412" s="36" t="s">
        <v>48</v>
      </c>
    </row>
    <row r="35413">
      <c r="H35413" s="50"/>
      <c r="I35413" s="50"/>
      <c r="O35413" s="36" t="s">
        <v>48</v>
      </c>
      <c r="R35413" s="36" t="s">
        <v>48</v>
      </c>
    </row>
    <row r="35414">
      <c r="H35414" s="50"/>
      <c r="I35414" s="50"/>
      <c r="O35414" s="36" t="s">
        <v>48</v>
      </c>
      <c r="R35414" s="36" t="s">
        <v>48</v>
      </c>
    </row>
    <row r="35415">
      <c r="H35415" s="50"/>
      <c r="I35415" s="50"/>
      <c r="O35415" s="36" t="s">
        <v>48</v>
      </c>
      <c r="R35415" s="36" t="s">
        <v>48</v>
      </c>
    </row>
    <row r="35416">
      <c r="H35416" s="50"/>
      <c r="I35416" s="50"/>
      <c r="O35416" s="36" t="s">
        <v>48</v>
      </c>
      <c r="R35416" s="36" t="s">
        <v>48</v>
      </c>
    </row>
    <row r="35417">
      <c r="H35417" s="50"/>
      <c r="I35417" s="50"/>
      <c r="O35417" s="36" t="s">
        <v>48</v>
      </c>
      <c r="R35417" s="36" t="s">
        <v>48</v>
      </c>
    </row>
    <row r="35418">
      <c r="H35418" s="50"/>
      <c r="I35418" s="50"/>
      <c r="O35418" s="36" t="s">
        <v>48</v>
      </c>
      <c r="R35418" s="36" t="s">
        <v>48</v>
      </c>
    </row>
    <row r="35419">
      <c r="H35419" s="50"/>
      <c r="I35419" s="50"/>
      <c r="O35419" s="36" t="s">
        <v>48</v>
      </c>
      <c r="R35419" s="36" t="s">
        <v>48</v>
      </c>
    </row>
    <row r="35420">
      <c r="H35420" s="50"/>
      <c r="I35420" s="50"/>
      <c r="O35420" s="36" t="s">
        <v>48</v>
      </c>
      <c r="R35420" s="36" t="s">
        <v>48</v>
      </c>
    </row>
    <row r="35421">
      <c r="H35421" s="50"/>
      <c r="I35421" s="50"/>
      <c r="O35421" s="36" t="s">
        <v>48</v>
      </c>
      <c r="R35421" s="36" t="s">
        <v>48</v>
      </c>
    </row>
    <row r="35422">
      <c r="H35422" s="50"/>
      <c r="I35422" s="50"/>
      <c r="O35422" s="36" t="s">
        <v>48</v>
      </c>
      <c r="R35422" s="36" t="s">
        <v>48</v>
      </c>
    </row>
    <row r="35423">
      <c r="H35423" s="50"/>
      <c r="I35423" s="50"/>
      <c r="O35423" s="36" t="s">
        <v>48</v>
      </c>
      <c r="R35423" s="36" t="s">
        <v>48</v>
      </c>
    </row>
    <row r="35424">
      <c r="H35424" s="50"/>
      <c r="I35424" s="50"/>
      <c r="O35424" s="36" t="s">
        <v>48</v>
      </c>
      <c r="R35424" s="36" t="s">
        <v>48</v>
      </c>
    </row>
    <row r="35425">
      <c r="H35425" s="50"/>
      <c r="I35425" s="50"/>
      <c r="O35425" s="36" t="s">
        <v>48</v>
      </c>
      <c r="R35425" s="36" t="s">
        <v>48</v>
      </c>
    </row>
    <row r="35426">
      <c r="H35426" s="50"/>
      <c r="I35426" s="50"/>
      <c r="O35426" s="36" t="s">
        <v>48</v>
      </c>
      <c r="R35426" s="36" t="s">
        <v>48</v>
      </c>
    </row>
    <row r="35427">
      <c r="H35427" s="50"/>
      <c r="I35427" s="50"/>
      <c r="O35427" s="36" t="s">
        <v>48</v>
      </c>
      <c r="R35427" s="36" t="s">
        <v>48</v>
      </c>
    </row>
    <row r="35428">
      <c r="H35428" s="50"/>
      <c r="I35428" s="50"/>
      <c r="O35428" s="36" t="s">
        <v>48</v>
      </c>
      <c r="R35428" s="36" t="s">
        <v>48</v>
      </c>
    </row>
    <row r="35429">
      <c r="H35429" s="50"/>
      <c r="I35429" s="50"/>
      <c r="O35429" s="36" t="s">
        <v>48</v>
      </c>
      <c r="R35429" s="36" t="s">
        <v>48</v>
      </c>
    </row>
    <row r="35430">
      <c r="H35430" s="50"/>
      <c r="I35430" s="50"/>
      <c r="O35430" s="36" t="s">
        <v>48</v>
      </c>
      <c r="R35430" s="36" t="s">
        <v>48</v>
      </c>
    </row>
    <row r="35431">
      <c r="H35431" s="50"/>
      <c r="I35431" s="50"/>
      <c r="O35431" s="36" t="s">
        <v>48</v>
      </c>
      <c r="R35431" s="36" t="s">
        <v>48</v>
      </c>
    </row>
    <row r="35432">
      <c r="H35432" s="50"/>
      <c r="I35432" s="50"/>
      <c r="O35432" s="36" t="s">
        <v>48</v>
      </c>
      <c r="R35432" s="36" t="s">
        <v>48</v>
      </c>
    </row>
    <row r="35433">
      <c r="H35433" s="50"/>
      <c r="I35433" s="50"/>
      <c r="O35433" s="36" t="s">
        <v>48</v>
      </c>
      <c r="R35433" s="36" t="s">
        <v>48</v>
      </c>
    </row>
    <row r="35434">
      <c r="H35434" s="50"/>
      <c r="I35434" s="50"/>
      <c r="O35434" s="36" t="s">
        <v>48</v>
      </c>
      <c r="R35434" s="36" t="s">
        <v>48</v>
      </c>
    </row>
    <row r="35435">
      <c r="H35435" s="50"/>
      <c r="I35435" s="50"/>
      <c r="O35435" s="36" t="s">
        <v>48</v>
      </c>
      <c r="R35435" s="36" t="s">
        <v>48</v>
      </c>
    </row>
    <row r="35436">
      <c r="H35436" s="50"/>
      <c r="I35436" s="50"/>
      <c r="O35436" s="36" t="s">
        <v>48</v>
      </c>
      <c r="R35436" s="36" t="s">
        <v>48</v>
      </c>
    </row>
    <row r="35437">
      <c r="H35437" s="50"/>
      <c r="I35437" s="50"/>
      <c r="O35437" s="36" t="s">
        <v>48</v>
      </c>
      <c r="R35437" s="36" t="s">
        <v>48</v>
      </c>
    </row>
    <row r="35438">
      <c r="H35438" s="50"/>
      <c r="I35438" s="50"/>
      <c r="O35438" s="36" t="s">
        <v>48</v>
      </c>
      <c r="R35438" s="36" t="s">
        <v>48</v>
      </c>
    </row>
    <row r="35439">
      <c r="H35439" s="50"/>
      <c r="I35439" s="50"/>
      <c r="O35439" s="36" t="s">
        <v>48</v>
      </c>
      <c r="R35439" s="36" t="s">
        <v>48</v>
      </c>
    </row>
    <row r="35440">
      <c r="H35440" s="50"/>
      <c r="I35440" s="50"/>
      <c r="O35440" s="36" t="s">
        <v>48</v>
      </c>
      <c r="R35440" s="36" t="s">
        <v>48</v>
      </c>
    </row>
    <row r="35441">
      <c r="H35441" s="50"/>
      <c r="I35441" s="50"/>
      <c r="O35441" s="36" t="s">
        <v>48</v>
      </c>
      <c r="R35441" s="36" t="s">
        <v>48</v>
      </c>
    </row>
    <row r="35442">
      <c r="H35442" s="50"/>
      <c r="I35442" s="50"/>
      <c r="O35442" s="36" t="s">
        <v>48</v>
      </c>
      <c r="R35442" s="36" t="s">
        <v>48</v>
      </c>
    </row>
    <row r="35443">
      <c r="H35443" s="50"/>
      <c r="I35443" s="50"/>
      <c r="O35443" s="36" t="s">
        <v>48</v>
      </c>
      <c r="R35443" s="36" t="s">
        <v>48</v>
      </c>
    </row>
    <row r="35444">
      <c r="H35444" s="50"/>
      <c r="I35444" s="50"/>
      <c r="O35444" s="36" t="s">
        <v>48</v>
      </c>
      <c r="R35444" s="36" t="s">
        <v>48</v>
      </c>
    </row>
    <row r="35445">
      <c r="H35445" s="50"/>
      <c r="I35445" s="50"/>
      <c r="O35445" s="36" t="s">
        <v>48</v>
      </c>
      <c r="R35445" s="36" t="s">
        <v>48</v>
      </c>
    </row>
    <row r="35446">
      <c r="H35446" s="50"/>
      <c r="I35446" s="50"/>
      <c r="O35446" s="36" t="s">
        <v>48</v>
      </c>
      <c r="R35446" s="36" t="s">
        <v>48</v>
      </c>
    </row>
    <row r="35447">
      <c r="H35447" s="50"/>
      <c r="I35447" s="50"/>
      <c r="O35447" s="36" t="s">
        <v>48</v>
      </c>
      <c r="R35447" s="36" t="s">
        <v>48</v>
      </c>
    </row>
    <row r="35448">
      <c r="H35448" s="50"/>
      <c r="I35448" s="50"/>
      <c r="O35448" s="36" t="s">
        <v>48</v>
      </c>
      <c r="R35448" s="36" t="s">
        <v>48</v>
      </c>
    </row>
    <row r="35449">
      <c r="H35449" s="50"/>
      <c r="I35449" s="50"/>
      <c r="O35449" s="36" t="s">
        <v>48</v>
      </c>
      <c r="R35449" s="36" t="s">
        <v>48</v>
      </c>
    </row>
    <row r="35450">
      <c r="H35450" s="50"/>
      <c r="I35450" s="50"/>
      <c r="O35450" s="36" t="s">
        <v>48</v>
      </c>
      <c r="R35450" s="36" t="s">
        <v>48</v>
      </c>
    </row>
    <row r="35451">
      <c r="H35451" s="50"/>
      <c r="I35451" s="50"/>
      <c r="O35451" s="36" t="s">
        <v>48</v>
      </c>
      <c r="R35451" s="36" t="s">
        <v>48</v>
      </c>
    </row>
    <row r="35452">
      <c r="H35452" s="50"/>
      <c r="I35452" s="50"/>
      <c r="O35452" s="36" t="s">
        <v>48</v>
      </c>
      <c r="R35452" s="36" t="s">
        <v>48</v>
      </c>
    </row>
    <row r="35453">
      <c r="H35453" s="50"/>
      <c r="I35453" s="50"/>
      <c r="O35453" s="36" t="s">
        <v>48</v>
      </c>
      <c r="R35453" s="36" t="s">
        <v>48</v>
      </c>
    </row>
    <row r="35454">
      <c r="H35454" s="50"/>
      <c r="I35454" s="50"/>
      <c r="O35454" s="36" t="s">
        <v>48</v>
      </c>
      <c r="R35454" s="36" t="s">
        <v>48</v>
      </c>
    </row>
    <row r="35455">
      <c r="H35455" s="50"/>
      <c r="I35455" s="50"/>
      <c r="O35455" s="36" t="s">
        <v>48</v>
      </c>
      <c r="R35455" s="36" t="s">
        <v>48</v>
      </c>
    </row>
    <row r="35456">
      <c r="H35456" s="50"/>
      <c r="I35456" s="50"/>
      <c r="O35456" s="36" t="s">
        <v>48</v>
      </c>
      <c r="R35456" s="36" t="s">
        <v>48</v>
      </c>
    </row>
    <row r="35457">
      <c r="H35457" s="50"/>
      <c r="I35457" s="50"/>
      <c r="O35457" s="36" t="s">
        <v>48</v>
      </c>
      <c r="R35457" s="36" t="s">
        <v>48</v>
      </c>
    </row>
    <row r="35458">
      <c r="H35458" s="50"/>
      <c r="I35458" s="50"/>
      <c r="O35458" s="36" t="s">
        <v>48</v>
      </c>
      <c r="R35458" s="36" t="s">
        <v>48</v>
      </c>
    </row>
    <row r="35459">
      <c r="H35459" s="50"/>
      <c r="I35459" s="50"/>
      <c r="O35459" s="36" t="s">
        <v>48</v>
      </c>
      <c r="R35459" s="36" t="s">
        <v>48</v>
      </c>
    </row>
    <row r="35460">
      <c r="H35460" s="50"/>
      <c r="I35460" s="50"/>
      <c r="O35460" s="36" t="s">
        <v>48</v>
      </c>
      <c r="R35460" s="36" t="s">
        <v>48</v>
      </c>
    </row>
    <row r="35461">
      <c r="H35461" s="50"/>
      <c r="I35461" s="50"/>
      <c r="O35461" s="36" t="s">
        <v>48</v>
      </c>
      <c r="R35461" s="36" t="s">
        <v>48</v>
      </c>
    </row>
    <row r="35462">
      <c r="H35462" s="50"/>
      <c r="I35462" s="50"/>
      <c r="O35462" s="36" t="s">
        <v>48</v>
      </c>
      <c r="R35462" s="36" t="s">
        <v>48</v>
      </c>
    </row>
    <row r="35463">
      <c r="H35463" s="50"/>
      <c r="I35463" s="50"/>
      <c r="O35463" s="36" t="s">
        <v>48</v>
      </c>
      <c r="R35463" s="36" t="s">
        <v>48</v>
      </c>
    </row>
    <row r="35464">
      <c r="H35464" s="50"/>
      <c r="I35464" s="50"/>
      <c r="O35464" s="36" t="s">
        <v>48</v>
      </c>
      <c r="R35464" s="36" t="s">
        <v>48</v>
      </c>
    </row>
    <row r="35465">
      <c r="H35465" s="50"/>
      <c r="I35465" s="50"/>
      <c r="O35465" s="36" t="s">
        <v>48</v>
      </c>
      <c r="R35465" s="36" t="s">
        <v>48</v>
      </c>
    </row>
    <row r="35466">
      <c r="H35466" s="50"/>
      <c r="I35466" s="50"/>
      <c r="O35466" s="36" t="s">
        <v>48</v>
      </c>
      <c r="R35466" s="36" t="s">
        <v>48</v>
      </c>
    </row>
    <row r="35467">
      <c r="H35467" s="50"/>
      <c r="I35467" s="50"/>
      <c r="O35467" s="36" t="s">
        <v>48</v>
      </c>
      <c r="R35467" s="36" t="s">
        <v>48</v>
      </c>
    </row>
    <row r="35468">
      <c r="H35468" s="50"/>
      <c r="I35468" s="50"/>
      <c r="O35468" s="36" t="s">
        <v>48</v>
      </c>
      <c r="R35468" s="36" t="s">
        <v>48</v>
      </c>
    </row>
    <row r="35469">
      <c r="H35469" s="50"/>
      <c r="I35469" s="50"/>
      <c r="O35469" s="36" t="s">
        <v>48</v>
      </c>
      <c r="R35469" s="36" t="s">
        <v>48</v>
      </c>
    </row>
    <row r="35470">
      <c r="H35470" s="50"/>
      <c r="I35470" s="50"/>
      <c r="O35470" s="36" t="s">
        <v>48</v>
      </c>
      <c r="R35470" s="36" t="s">
        <v>48</v>
      </c>
    </row>
    <row r="35471">
      <c r="H35471" s="50"/>
      <c r="I35471" s="50"/>
      <c r="O35471" s="36" t="s">
        <v>48</v>
      </c>
      <c r="R35471" s="36" t="s">
        <v>48</v>
      </c>
    </row>
    <row r="35472">
      <c r="H35472" s="50"/>
      <c r="I35472" s="50"/>
      <c r="O35472" s="36" t="s">
        <v>48</v>
      </c>
      <c r="R35472" s="36" t="s">
        <v>48</v>
      </c>
    </row>
    <row r="35473">
      <c r="H35473" s="50"/>
      <c r="I35473" s="50"/>
      <c r="O35473" s="36" t="s">
        <v>48</v>
      </c>
      <c r="R35473" s="36" t="s">
        <v>48</v>
      </c>
    </row>
    <row r="35474">
      <c r="H35474" s="50"/>
      <c r="I35474" s="50"/>
      <c r="O35474" s="36" t="s">
        <v>48</v>
      </c>
      <c r="R35474" s="36" t="s">
        <v>48</v>
      </c>
    </row>
    <row r="35475">
      <c r="H35475" s="50"/>
      <c r="I35475" s="50"/>
      <c r="O35475" s="36" t="s">
        <v>48</v>
      </c>
      <c r="R35475" s="36" t="s">
        <v>48</v>
      </c>
    </row>
    <row r="35476">
      <c r="H35476" s="50"/>
      <c r="I35476" s="50"/>
      <c r="O35476" s="36" t="s">
        <v>48</v>
      </c>
      <c r="R35476" s="36" t="s">
        <v>48</v>
      </c>
    </row>
    <row r="35477">
      <c r="H35477" s="50"/>
      <c r="I35477" s="50"/>
      <c r="O35477" s="36" t="s">
        <v>48</v>
      </c>
      <c r="R35477" s="36" t="s">
        <v>48</v>
      </c>
    </row>
    <row r="35478">
      <c r="H35478" s="50"/>
      <c r="I35478" s="50"/>
      <c r="O35478" s="36" t="s">
        <v>48</v>
      </c>
      <c r="R35478" s="36" t="s">
        <v>48</v>
      </c>
    </row>
    <row r="35479">
      <c r="H35479" s="50"/>
      <c r="I35479" s="50"/>
      <c r="O35479" s="36" t="s">
        <v>48</v>
      </c>
      <c r="R35479" s="36" t="s">
        <v>48</v>
      </c>
    </row>
    <row r="35480">
      <c r="H35480" s="50"/>
      <c r="I35480" s="50"/>
      <c r="O35480" s="36" t="s">
        <v>48</v>
      </c>
      <c r="R35480" s="36" t="s">
        <v>48</v>
      </c>
    </row>
    <row r="35481">
      <c r="H35481" s="50"/>
      <c r="I35481" s="50"/>
      <c r="O35481" s="36" t="s">
        <v>48</v>
      </c>
      <c r="R35481" s="36" t="s">
        <v>48</v>
      </c>
    </row>
    <row r="35482">
      <c r="H35482" s="50"/>
      <c r="I35482" s="50"/>
      <c r="O35482" s="36" t="s">
        <v>48</v>
      </c>
      <c r="R35482" s="36" t="s">
        <v>48</v>
      </c>
    </row>
    <row r="35483">
      <c r="H35483" s="50"/>
      <c r="I35483" s="50"/>
      <c r="O35483" s="36" t="s">
        <v>48</v>
      </c>
      <c r="R35483" s="36" t="s">
        <v>48</v>
      </c>
    </row>
    <row r="35484">
      <c r="H35484" s="50"/>
      <c r="I35484" s="50"/>
      <c r="O35484" s="36" t="s">
        <v>48</v>
      </c>
      <c r="R35484" s="36" t="s">
        <v>48</v>
      </c>
    </row>
    <row r="35485">
      <c r="H35485" s="50"/>
      <c r="I35485" s="50"/>
      <c r="O35485" s="36" t="s">
        <v>48</v>
      </c>
      <c r="R35485" s="36" t="s">
        <v>48</v>
      </c>
    </row>
    <row r="35486">
      <c r="H35486" s="50"/>
      <c r="I35486" s="50"/>
      <c r="O35486" s="36" t="s">
        <v>48</v>
      </c>
      <c r="R35486" s="36" t="s">
        <v>48</v>
      </c>
    </row>
    <row r="35487">
      <c r="H35487" s="50"/>
      <c r="I35487" s="50"/>
      <c r="O35487" s="36" t="s">
        <v>48</v>
      </c>
      <c r="R35487" s="36" t="s">
        <v>48</v>
      </c>
    </row>
    <row r="35488">
      <c r="H35488" s="50"/>
      <c r="I35488" s="50"/>
      <c r="O35488" s="36" t="s">
        <v>48</v>
      </c>
      <c r="R35488" s="36" t="s">
        <v>48</v>
      </c>
    </row>
    <row r="35489">
      <c r="H35489" s="50"/>
      <c r="I35489" s="50"/>
      <c r="O35489" s="36" t="s">
        <v>48</v>
      </c>
      <c r="R35489" s="36" t="s">
        <v>48</v>
      </c>
    </row>
    <row r="35490">
      <c r="H35490" s="50"/>
      <c r="I35490" s="50"/>
      <c r="O35490" s="36" t="s">
        <v>48</v>
      </c>
      <c r="R35490" s="36" t="s">
        <v>48</v>
      </c>
    </row>
    <row r="35491">
      <c r="H35491" s="50"/>
      <c r="I35491" s="50"/>
      <c r="O35491" s="36" t="s">
        <v>48</v>
      </c>
      <c r="R35491" s="36" t="s">
        <v>48</v>
      </c>
    </row>
    <row r="35492">
      <c r="H35492" s="50"/>
      <c r="I35492" s="50"/>
      <c r="O35492" s="36" t="s">
        <v>48</v>
      </c>
      <c r="R35492" s="36" t="s">
        <v>48</v>
      </c>
    </row>
    <row r="35493">
      <c r="H35493" s="50"/>
      <c r="I35493" s="50"/>
      <c r="O35493" s="36" t="s">
        <v>48</v>
      </c>
      <c r="R35493" s="36" t="s">
        <v>48</v>
      </c>
    </row>
    <row r="35494">
      <c r="H35494" s="50"/>
      <c r="I35494" s="50"/>
      <c r="O35494" s="36" t="s">
        <v>48</v>
      </c>
      <c r="R35494" s="36" t="s">
        <v>48</v>
      </c>
    </row>
    <row r="35495">
      <c r="H35495" s="50"/>
      <c r="I35495" s="50"/>
      <c r="O35495" s="36" t="s">
        <v>48</v>
      </c>
      <c r="R35495" s="36" t="s">
        <v>48</v>
      </c>
    </row>
    <row r="35496">
      <c r="H35496" s="50"/>
      <c r="I35496" s="50"/>
      <c r="O35496" s="36" t="s">
        <v>48</v>
      </c>
      <c r="R35496" s="36" t="s">
        <v>48</v>
      </c>
    </row>
    <row r="35497">
      <c r="H35497" s="50"/>
      <c r="I35497" s="50"/>
      <c r="O35497" s="36" t="s">
        <v>48</v>
      </c>
      <c r="R35497" s="36" t="s">
        <v>48</v>
      </c>
    </row>
    <row r="35498">
      <c r="H35498" s="50"/>
      <c r="I35498" s="50"/>
      <c r="O35498" s="36" t="s">
        <v>48</v>
      </c>
      <c r="R35498" s="36" t="s">
        <v>48</v>
      </c>
    </row>
    <row r="35499">
      <c r="H35499" s="50"/>
      <c r="I35499" s="50"/>
      <c r="O35499" s="36" t="s">
        <v>48</v>
      </c>
      <c r="R35499" s="36" t="s">
        <v>48</v>
      </c>
    </row>
    <row r="35500">
      <c r="H35500" s="50"/>
      <c r="I35500" s="50"/>
      <c r="O35500" s="36" t="s">
        <v>48</v>
      </c>
      <c r="R35500" s="36" t="s">
        <v>48</v>
      </c>
    </row>
    <row r="35501">
      <c r="H35501" s="50"/>
      <c r="I35501" s="50"/>
      <c r="O35501" s="36" t="s">
        <v>48</v>
      </c>
      <c r="R35501" s="36" t="s">
        <v>48</v>
      </c>
    </row>
    <row r="35502">
      <c r="H35502" s="50"/>
      <c r="I35502" s="50"/>
      <c r="O35502" s="36" t="s">
        <v>48</v>
      </c>
      <c r="R35502" s="36" t="s">
        <v>48</v>
      </c>
    </row>
    <row r="35503">
      <c r="H35503" s="50"/>
      <c r="I35503" s="50"/>
      <c r="O35503" s="36" t="s">
        <v>48</v>
      </c>
      <c r="R35503" s="36" t="s">
        <v>48</v>
      </c>
    </row>
    <row r="35504">
      <c r="H35504" s="50"/>
      <c r="I35504" s="50"/>
      <c r="O35504" s="36" t="s">
        <v>48</v>
      </c>
      <c r="R35504" s="36" t="s">
        <v>48</v>
      </c>
    </row>
    <row r="35505">
      <c r="H35505" s="50"/>
      <c r="I35505" s="50"/>
      <c r="O35505" s="36" t="s">
        <v>48</v>
      </c>
      <c r="R35505" s="36" t="s">
        <v>48</v>
      </c>
    </row>
    <row r="35506">
      <c r="H35506" s="50"/>
      <c r="I35506" s="50"/>
      <c r="O35506" s="36" t="s">
        <v>48</v>
      </c>
      <c r="R35506" s="36" t="s">
        <v>48</v>
      </c>
    </row>
    <row r="35507">
      <c r="H35507" s="50"/>
      <c r="I35507" s="50"/>
      <c r="O35507" s="36" t="s">
        <v>48</v>
      </c>
      <c r="R35507" s="36" t="s">
        <v>48</v>
      </c>
    </row>
    <row r="35508">
      <c r="H35508" s="50"/>
      <c r="I35508" s="50"/>
      <c r="O35508" s="36" t="s">
        <v>48</v>
      </c>
      <c r="R35508" s="36" t="s">
        <v>48</v>
      </c>
    </row>
    <row r="35509">
      <c r="H35509" s="50"/>
      <c r="I35509" s="50"/>
      <c r="O35509" s="36" t="s">
        <v>48</v>
      </c>
      <c r="R35509" s="36" t="s">
        <v>48</v>
      </c>
    </row>
    <row r="35510">
      <c r="H35510" s="50"/>
      <c r="I35510" s="50"/>
      <c r="O35510" s="36" t="s">
        <v>48</v>
      </c>
      <c r="R35510" s="36" t="s">
        <v>48</v>
      </c>
    </row>
    <row r="35511">
      <c r="H35511" s="50"/>
      <c r="I35511" s="50"/>
      <c r="O35511" s="36" t="s">
        <v>48</v>
      </c>
      <c r="R35511" s="36" t="s">
        <v>48</v>
      </c>
    </row>
    <row r="35512">
      <c r="H35512" s="50"/>
      <c r="I35512" s="50"/>
      <c r="O35512" s="36" t="s">
        <v>48</v>
      </c>
      <c r="R35512" s="36" t="s">
        <v>48</v>
      </c>
    </row>
    <row r="35513">
      <c r="H35513" s="50"/>
      <c r="I35513" s="50"/>
      <c r="O35513" s="36" t="s">
        <v>48</v>
      </c>
      <c r="R35513" s="36" t="s">
        <v>48</v>
      </c>
    </row>
    <row r="35514">
      <c r="H35514" s="50"/>
      <c r="I35514" s="50"/>
      <c r="O35514" s="36" t="s">
        <v>48</v>
      </c>
      <c r="R35514" s="36" t="s">
        <v>48</v>
      </c>
    </row>
    <row r="35515">
      <c r="H35515" s="50"/>
      <c r="I35515" s="50"/>
      <c r="O35515" s="36" t="s">
        <v>48</v>
      </c>
      <c r="R35515" s="36" t="s">
        <v>48</v>
      </c>
    </row>
    <row r="35516">
      <c r="H35516" s="50"/>
      <c r="I35516" s="50"/>
      <c r="O35516" s="36" t="s">
        <v>48</v>
      </c>
      <c r="R35516" s="36" t="s">
        <v>48</v>
      </c>
    </row>
    <row r="35517">
      <c r="H35517" s="50"/>
      <c r="I35517" s="50"/>
      <c r="O35517" s="36" t="s">
        <v>48</v>
      </c>
      <c r="R35517" s="36" t="s">
        <v>48</v>
      </c>
    </row>
    <row r="35518">
      <c r="H35518" s="50"/>
      <c r="I35518" s="50"/>
      <c r="O35518" s="36" t="s">
        <v>48</v>
      </c>
      <c r="R35518" s="36" t="s">
        <v>48</v>
      </c>
    </row>
    <row r="35519">
      <c r="H35519" s="50"/>
      <c r="I35519" s="50"/>
      <c r="O35519" s="36" t="s">
        <v>48</v>
      </c>
      <c r="R35519" s="36" t="s">
        <v>48</v>
      </c>
    </row>
    <row r="35520">
      <c r="H35520" s="50"/>
      <c r="I35520" s="50"/>
      <c r="O35520" s="36" t="s">
        <v>48</v>
      </c>
      <c r="R35520" s="36" t="s">
        <v>48</v>
      </c>
    </row>
    <row r="35521">
      <c r="H35521" s="50"/>
      <c r="I35521" s="50"/>
      <c r="O35521" s="36" t="s">
        <v>48</v>
      </c>
      <c r="R35521" s="36" t="s">
        <v>48</v>
      </c>
    </row>
    <row r="35522">
      <c r="H35522" s="50"/>
      <c r="I35522" s="50"/>
      <c r="O35522" s="36" t="s">
        <v>48</v>
      </c>
      <c r="R35522" s="36" t="s">
        <v>48</v>
      </c>
    </row>
    <row r="35523">
      <c r="H35523" s="50"/>
      <c r="I35523" s="50"/>
      <c r="O35523" s="36" t="s">
        <v>48</v>
      </c>
      <c r="R35523" s="36" t="s">
        <v>48</v>
      </c>
    </row>
    <row r="35524">
      <c r="H35524" s="50"/>
      <c r="I35524" s="50"/>
      <c r="O35524" s="36" t="s">
        <v>48</v>
      </c>
      <c r="R35524" s="36" t="s">
        <v>48</v>
      </c>
    </row>
    <row r="35525">
      <c r="H35525" s="50"/>
      <c r="I35525" s="50"/>
      <c r="O35525" s="36" t="s">
        <v>48</v>
      </c>
      <c r="R35525" s="36" t="s">
        <v>48</v>
      </c>
    </row>
    <row r="35526">
      <c r="H35526" s="50"/>
      <c r="I35526" s="50"/>
      <c r="O35526" s="36" t="s">
        <v>48</v>
      </c>
      <c r="R35526" s="36" t="s">
        <v>48</v>
      </c>
    </row>
    <row r="35527">
      <c r="H35527" s="50"/>
      <c r="I35527" s="50"/>
      <c r="O35527" s="36" t="s">
        <v>48</v>
      </c>
      <c r="R35527" s="36" t="s">
        <v>48</v>
      </c>
    </row>
    <row r="35528">
      <c r="H35528" s="50"/>
      <c r="I35528" s="50"/>
      <c r="O35528" s="36" t="s">
        <v>48</v>
      </c>
      <c r="R35528" s="36" t="s">
        <v>48</v>
      </c>
    </row>
    <row r="35529">
      <c r="H35529" s="50"/>
      <c r="I35529" s="50"/>
      <c r="O35529" s="36" t="s">
        <v>48</v>
      </c>
      <c r="R35529" s="36" t="s">
        <v>48</v>
      </c>
    </row>
    <row r="35530">
      <c r="H35530" s="50"/>
      <c r="I35530" s="50"/>
      <c r="O35530" s="36" t="s">
        <v>48</v>
      </c>
      <c r="R35530" s="36" t="s">
        <v>48</v>
      </c>
    </row>
    <row r="35531">
      <c r="H35531" s="50"/>
      <c r="I35531" s="50"/>
      <c r="O35531" s="36" t="s">
        <v>48</v>
      </c>
      <c r="R35531" s="36" t="s">
        <v>48</v>
      </c>
    </row>
    <row r="35532">
      <c r="H35532" s="50"/>
      <c r="I35532" s="50"/>
      <c r="O35532" s="36" t="s">
        <v>48</v>
      </c>
      <c r="R35532" s="36" t="s">
        <v>48</v>
      </c>
    </row>
    <row r="35533">
      <c r="H35533" s="50"/>
      <c r="I35533" s="50"/>
      <c r="O35533" s="36" t="s">
        <v>48</v>
      </c>
      <c r="R35533" s="36" t="s">
        <v>48</v>
      </c>
    </row>
    <row r="35534">
      <c r="H35534" s="50"/>
      <c r="I35534" s="50"/>
      <c r="O35534" s="36" t="s">
        <v>48</v>
      </c>
      <c r="R35534" s="36" t="s">
        <v>48</v>
      </c>
    </row>
    <row r="35535">
      <c r="H35535" s="50"/>
      <c r="I35535" s="50"/>
      <c r="O35535" s="36" t="s">
        <v>48</v>
      </c>
      <c r="R35535" s="36" t="s">
        <v>48</v>
      </c>
    </row>
    <row r="35536">
      <c r="H35536" s="50"/>
      <c r="I35536" s="50"/>
      <c r="O35536" s="36" t="s">
        <v>48</v>
      </c>
      <c r="R35536" s="36" t="s">
        <v>48</v>
      </c>
    </row>
    <row r="35537">
      <c r="H35537" s="50"/>
      <c r="I35537" s="50"/>
      <c r="O35537" s="36" t="s">
        <v>48</v>
      </c>
      <c r="R35537" s="36" t="s">
        <v>48</v>
      </c>
    </row>
    <row r="35538">
      <c r="H35538" s="50"/>
      <c r="I35538" s="50"/>
      <c r="O35538" s="36" t="s">
        <v>48</v>
      </c>
      <c r="R35538" s="36" t="s">
        <v>48</v>
      </c>
    </row>
    <row r="35539">
      <c r="H35539" s="50"/>
      <c r="I35539" s="50"/>
      <c r="O35539" s="36" t="s">
        <v>48</v>
      </c>
      <c r="R35539" s="36" t="s">
        <v>48</v>
      </c>
    </row>
    <row r="35540">
      <c r="H35540" s="50"/>
      <c r="I35540" s="50"/>
      <c r="O35540" s="36" t="s">
        <v>48</v>
      </c>
      <c r="R35540" s="36" t="s">
        <v>48</v>
      </c>
    </row>
    <row r="35541">
      <c r="H35541" s="50"/>
      <c r="I35541" s="50"/>
      <c r="O35541" s="36" t="s">
        <v>48</v>
      </c>
      <c r="R35541" s="36" t="s">
        <v>48</v>
      </c>
    </row>
    <row r="35542">
      <c r="H35542" s="50"/>
      <c r="I35542" s="50"/>
      <c r="O35542" s="36" t="s">
        <v>48</v>
      </c>
      <c r="R35542" s="36" t="s">
        <v>48</v>
      </c>
    </row>
    <row r="35543">
      <c r="H35543" s="50"/>
      <c r="I35543" s="50"/>
      <c r="O35543" s="36" t="s">
        <v>48</v>
      </c>
      <c r="R35543" s="36" t="s">
        <v>48</v>
      </c>
    </row>
    <row r="35544">
      <c r="H35544" s="50"/>
      <c r="I35544" s="50"/>
      <c r="O35544" s="36" t="s">
        <v>48</v>
      </c>
      <c r="R35544" s="36" t="s">
        <v>48</v>
      </c>
    </row>
    <row r="35545">
      <c r="H35545" s="50"/>
      <c r="I35545" s="50"/>
      <c r="O35545" s="36" t="s">
        <v>48</v>
      </c>
      <c r="R35545" s="36" t="s">
        <v>48</v>
      </c>
    </row>
    <row r="35546">
      <c r="H35546" s="50"/>
      <c r="I35546" s="50"/>
      <c r="O35546" s="36" t="s">
        <v>48</v>
      </c>
      <c r="R35546" s="36" t="s">
        <v>48</v>
      </c>
    </row>
    <row r="35547">
      <c r="H35547" s="50"/>
      <c r="I35547" s="50"/>
      <c r="O35547" s="36" t="s">
        <v>48</v>
      </c>
      <c r="R35547" s="36" t="s">
        <v>48</v>
      </c>
    </row>
    <row r="35548">
      <c r="H35548" s="50"/>
      <c r="I35548" s="50"/>
      <c r="O35548" s="36" t="s">
        <v>48</v>
      </c>
      <c r="R35548" s="36" t="s">
        <v>48</v>
      </c>
    </row>
    <row r="35549">
      <c r="H35549" s="50"/>
      <c r="I35549" s="50"/>
      <c r="O35549" s="36" t="s">
        <v>48</v>
      </c>
      <c r="R35549" s="36" t="s">
        <v>48</v>
      </c>
    </row>
    <row r="35550">
      <c r="H35550" s="50"/>
      <c r="I35550" s="50"/>
      <c r="O35550" s="36" t="s">
        <v>48</v>
      </c>
      <c r="R35550" s="36" t="s">
        <v>48</v>
      </c>
    </row>
    <row r="35551">
      <c r="H35551" s="50"/>
      <c r="I35551" s="50"/>
      <c r="O35551" s="36" t="s">
        <v>48</v>
      </c>
      <c r="R35551" s="36" t="s">
        <v>48</v>
      </c>
    </row>
    <row r="35552">
      <c r="H35552" s="50"/>
      <c r="I35552" s="50"/>
      <c r="O35552" s="36" t="s">
        <v>48</v>
      </c>
      <c r="R35552" s="36" t="s">
        <v>48</v>
      </c>
    </row>
    <row r="35553">
      <c r="H35553" s="50"/>
      <c r="I35553" s="50"/>
      <c r="O35553" s="36" t="s">
        <v>48</v>
      </c>
      <c r="R35553" s="36" t="s">
        <v>48</v>
      </c>
    </row>
    <row r="35554">
      <c r="H35554" s="50"/>
      <c r="I35554" s="50"/>
      <c r="O35554" s="36" t="s">
        <v>48</v>
      </c>
      <c r="R35554" s="36" t="s">
        <v>48</v>
      </c>
    </row>
    <row r="35555">
      <c r="H35555" s="50"/>
      <c r="I35555" s="50"/>
      <c r="O35555" s="36" t="s">
        <v>48</v>
      </c>
      <c r="R35555" s="36" t="s">
        <v>48</v>
      </c>
    </row>
    <row r="35556">
      <c r="H35556" s="50"/>
      <c r="I35556" s="50"/>
      <c r="O35556" s="36" t="s">
        <v>48</v>
      </c>
      <c r="R35556" s="36" t="s">
        <v>48</v>
      </c>
    </row>
    <row r="35557">
      <c r="H35557" s="50"/>
      <c r="I35557" s="50"/>
      <c r="O35557" s="36" t="s">
        <v>48</v>
      </c>
      <c r="R35557" s="36" t="s">
        <v>48</v>
      </c>
    </row>
    <row r="35558">
      <c r="H35558" s="50"/>
      <c r="I35558" s="50"/>
      <c r="O35558" s="36" t="s">
        <v>48</v>
      </c>
      <c r="R35558" s="36" t="s">
        <v>48</v>
      </c>
    </row>
    <row r="35559">
      <c r="H35559" s="50"/>
      <c r="I35559" s="50"/>
      <c r="O35559" s="36" t="s">
        <v>48</v>
      </c>
      <c r="R35559" s="36" t="s">
        <v>48</v>
      </c>
    </row>
    <row r="35560">
      <c r="H35560" s="50"/>
      <c r="I35560" s="50"/>
      <c r="O35560" s="36" t="s">
        <v>48</v>
      </c>
      <c r="R35560" s="36" t="s">
        <v>48</v>
      </c>
    </row>
    <row r="35561">
      <c r="H35561" s="50"/>
      <c r="I35561" s="50"/>
      <c r="O35561" s="36" t="s">
        <v>48</v>
      </c>
      <c r="R35561" s="36" t="s">
        <v>48</v>
      </c>
    </row>
    <row r="35562">
      <c r="H35562" s="50"/>
      <c r="I35562" s="50"/>
      <c r="O35562" s="36" t="s">
        <v>48</v>
      </c>
      <c r="R35562" s="36" t="s">
        <v>48</v>
      </c>
    </row>
    <row r="35563">
      <c r="H35563" s="50"/>
      <c r="I35563" s="50"/>
      <c r="O35563" s="36" t="s">
        <v>48</v>
      </c>
      <c r="R35563" s="36" t="s">
        <v>48</v>
      </c>
    </row>
    <row r="35564">
      <c r="H35564" s="50"/>
      <c r="I35564" s="50"/>
      <c r="O35564" s="36" t="s">
        <v>48</v>
      </c>
      <c r="R35564" s="36" t="s">
        <v>48</v>
      </c>
    </row>
    <row r="35565">
      <c r="H35565" s="50"/>
      <c r="I35565" s="50"/>
      <c r="O35565" s="36" t="s">
        <v>48</v>
      </c>
      <c r="R35565" s="36" t="s">
        <v>48</v>
      </c>
    </row>
    <row r="35566">
      <c r="H35566" s="50"/>
      <c r="I35566" s="50"/>
      <c r="O35566" s="36" t="s">
        <v>48</v>
      </c>
      <c r="R35566" s="36" t="s">
        <v>48</v>
      </c>
    </row>
    <row r="35567">
      <c r="H35567" s="50"/>
      <c r="I35567" s="50"/>
      <c r="O35567" s="36" t="s">
        <v>48</v>
      </c>
      <c r="R35567" s="36" t="s">
        <v>48</v>
      </c>
    </row>
    <row r="35568">
      <c r="H35568" s="50"/>
      <c r="I35568" s="50"/>
      <c r="O35568" s="36" t="s">
        <v>48</v>
      </c>
      <c r="R35568" s="36" t="s">
        <v>48</v>
      </c>
    </row>
    <row r="35569">
      <c r="H35569" s="50"/>
      <c r="I35569" s="50"/>
      <c r="O35569" s="36" t="s">
        <v>48</v>
      </c>
      <c r="R35569" s="36" t="s">
        <v>48</v>
      </c>
    </row>
    <row r="35570">
      <c r="H35570" s="50"/>
      <c r="I35570" s="50"/>
      <c r="O35570" s="36" t="s">
        <v>48</v>
      </c>
      <c r="R35570" s="36" t="s">
        <v>48</v>
      </c>
    </row>
    <row r="35571">
      <c r="H35571" s="50"/>
      <c r="I35571" s="50"/>
      <c r="O35571" s="36" t="s">
        <v>48</v>
      </c>
      <c r="R35571" s="36" t="s">
        <v>48</v>
      </c>
    </row>
    <row r="35572">
      <c r="H35572" s="50"/>
      <c r="I35572" s="50"/>
      <c r="O35572" s="36" t="s">
        <v>48</v>
      </c>
      <c r="R35572" s="36" t="s">
        <v>48</v>
      </c>
    </row>
    <row r="35573">
      <c r="H35573" s="50"/>
      <c r="I35573" s="50"/>
      <c r="O35573" s="36" t="s">
        <v>48</v>
      </c>
      <c r="R35573" s="36" t="s">
        <v>48</v>
      </c>
    </row>
    <row r="35574">
      <c r="H35574" s="50"/>
      <c r="I35574" s="50"/>
      <c r="O35574" s="36" t="s">
        <v>48</v>
      </c>
      <c r="R35574" s="36" t="s">
        <v>48</v>
      </c>
    </row>
    <row r="35575">
      <c r="H35575" s="50"/>
      <c r="I35575" s="50"/>
      <c r="O35575" s="36" t="s">
        <v>48</v>
      </c>
      <c r="R35575" s="36" t="s">
        <v>48</v>
      </c>
    </row>
    <row r="35576">
      <c r="H35576" s="50"/>
      <c r="I35576" s="50"/>
      <c r="O35576" s="36" t="s">
        <v>48</v>
      </c>
      <c r="R35576" s="36" t="s">
        <v>48</v>
      </c>
    </row>
    <row r="35577">
      <c r="H35577" s="50"/>
      <c r="I35577" s="50"/>
      <c r="O35577" s="36" t="s">
        <v>48</v>
      </c>
      <c r="R35577" s="36" t="s">
        <v>48</v>
      </c>
    </row>
    <row r="35578">
      <c r="H35578" s="50"/>
      <c r="I35578" s="50"/>
      <c r="O35578" s="36" t="s">
        <v>48</v>
      </c>
      <c r="R35578" s="36" t="s">
        <v>48</v>
      </c>
    </row>
    <row r="35579">
      <c r="H35579" s="50"/>
      <c r="I35579" s="50"/>
      <c r="O35579" s="36" t="s">
        <v>48</v>
      </c>
      <c r="R35579" s="36" t="s">
        <v>48</v>
      </c>
    </row>
    <row r="35580">
      <c r="H35580" s="50"/>
      <c r="I35580" s="50"/>
      <c r="O35580" s="36" t="s">
        <v>48</v>
      </c>
      <c r="R35580" s="36" t="s">
        <v>48</v>
      </c>
    </row>
    <row r="35581">
      <c r="H35581" s="50"/>
      <c r="I35581" s="50"/>
      <c r="O35581" s="36" t="s">
        <v>48</v>
      </c>
      <c r="R35581" s="36" t="s">
        <v>48</v>
      </c>
    </row>
    <row r="35582">
      <c r="H35582" s="50"/>
      <c r="I35582" s="50"/>
      <c r="O35582" s="36" t="s">
        <v>48</v>
      </c>
      <c r="R35582" s="36" t="s">
        <v>48</v>
      </c>
    </row>
    <row r="35583">
      <c r="H35583" s="50"/>
      <c r="I35583" s="50"/>
      <c r="O35583" s="36" t="s">
        <v>48</v>
      </c>
      <c r="R35583" s="36" t="s">
        <v>48</v>
      </c>
    </row>
    <row r="35584">
      <c r="H35584" s="50"/>
      <c r="I35584" s="50"/>
      <c r="O35584" s="36" t="s">
        <v>48</v>
      </c>
      <c r="R35584" s="36" t="s">
        <v>48</v>
      </c>
    </row>
    <row r="35585">
      <c r="H35585" s="50"/>
      <c r="I35585" s="50"/>
      <c r="O35585" s="36" t="s">
        <v>48</v>
      </c>
      <c r="R35585" s="36" t="s">
        <v>48</v>
      </c>
    </row>
    <row r="35586">
      <c r="H35586" s="50"/>
      <c r="I35586" s="50"/>
      <c r="O35586" s="36" t="s">
        <v>48</v>
      </c>
      <c r="R35586" s="36" t="s">
        <v>48</v>
      </c>
    </row>
    <row r="35587">
      <c r="H35587" s="50"/>
      <c r="I35587" s="50"/>
      <c r="O35587" s="36" t="s">
        <v>48</v>
      </c>
      <c r="R35587" s="36" t="s">
        <v>48</v>
      </c>
    </row>
    <row r="35588">
      <c r="H35588" s="50"/>
      <c r="I35588" s="50"/>
      <c r="O35588" s="36" t="s">
        <v>48</v>
      </c>
      <c r="R35588" s="36" t="s">
        <v>48</v>
      </c>
    </row>
    <row r="35589">
      <c r="H35589" s="50"/>
      <c r="I35589" s="50"/>
      <c r="O35589" s="36" t="s">
        <v>48</v>
      </c>
      <c r="R35589" s="36" t="s">
        <v>48</v>
      </c>
    </row>
    <row r="35590">
      <c r="H35590" s="50"/>
      <c r="I35590" s="50"/>
      <c r="O35590" s="36" t="s">
        <v>48</v>
      </c>
      <c r="R35590" s="36" t="s">
        <v>48</v>
      </c>
    </row>
    <row r="35591">
      <c r="H35591" s="50"/>
      <c r="I35591" s="50"/>
      <c r="O35591" s="36" t="s">
        <v>48</v>
      </c>
      <c r="R35591" s="36" t="s">
        <v>48</v>
      </c>
    </row>
    <row r="35592">
      <c r="H35592" s="50"/>
      <c r="I35592" s="50"/>
      <c r="O35592" s="36" t="s">
        <v>48</v>
      </c>
      <c r="R35592" s="36" t="s">
        <v>48</v>
      </c>
    </row>
    <row r="35593">
      <c r="H35593" s="50"/>
      <c r="I35593" s="50"/>
      <c r="O35593" s="36" t="s">
        <v>48</v>
      </c>
      <c r="R35593" s="36" t="s">
        <v>48</v>
      </c>
    </row>
    <row r="35594">
      <c r="H35594" s="50"/>
      <c r="I35594" s="50"/>
      <c r="O35594" s="36" t="s">
        <v>48</v>
      </c>
      <c r="R35594" s="36" t="s">
        <v>48</v>
      </c>
    </row>
    <row r="35595">
      <c r="H35595" s="50"/>
      <c r="I35595" s="50"/>
      <c r="O35595" s="36" t="s">
        <v>48</v>
      </c>
      <c r="R35595" s="36" t="s">
        <v>48</v>
      </c>
    </row>
    <row r="35596">
      <c r="H35596" s="50"/>
      <c r="I35596" s="50"/>
      <c r="O35596" s="36" t="s">
        <v>48</v>
      </c>
      <c r="R35596" s="36" t="s">
        <v>48</v>
      </c>
    </row>
    <row r="35597">
      <c r="H35597" s="50"/>
      <c r="I35597" s="50"/>
      <c r="O35597" s="36" t="s">
        <v>48</v>
      </c>
      <c r="R35597" s="36" t="s">
        <v>48</v>
      </c>
    </row>
    <row r="35598">
      <c r="H35598" s="50"/>
      <c r="I35598" s="50"/>
      <c r="O35598" s="36" t="s">
        <v>48</v>
      </c>
      <c r="R35598" s="36" t="s">
        <v>48</v>
      </c>
    </row>
    <row r="35599">
      <c r="H35599" s="50"/>
      <c r="I35599" s="50"/>
      <c r="O35599" s="36" t="s">
        <v>48</v>
      </c>
      <c r="R35599" s="36" t="s">
        <v>48</v>
      </c>
    </row>
    <row r="35600">
      <c r="H35600" s="50"/>
      <c r="I35600" s="50"/>
      <c r="O35600" s="36" t="s">
        <v>48</v>
      </c>
      <c r="R35600" s="36" t="s">
        <v>48</v>
      </c>
    </row>
    <row r="35601">
      <c r="H35601" s="50"/>
      <c r="I35601" s="50"/>
      <c r="O35601" s="36" t="s">
        <v>48</v>
      </c>
      <c r="R35601" s="36" t="s">
        <v>48</v>
      </c>
    </row>
    <row r="35602">
      <c r="H35602" s="50"/>
      <c r="I35602" s="50"/>
      <c r="O35602" s="36" t="s">
        <v>48</v>
      </c>
      <c r="R35602" s="36" t="s">
        <v>48</v>
      </c>
    </row>
    <row r="35603">
      <c r="H35603" s="50"/>
      <c r="I35603" s="50"/>
      <c r="O35603" s="36" t="s">
        <v>48</v>
      </c>
      <c r="R35603" s="36" t="s">
        <v>48</v>
      </c>
    </row>
    <row r="35604">
      <c r="H35604" s="50"/>
      <c r="I35604" s="50"/>
      <c r="O35604" s="36" t="s">
        <v>48</v>
      </c>
      <c r="R35604" s="36" t="s">
        <v>48</v>
      </c>
    </row>
    <row r="35605">
      <c r="H35605" s="50"/>
      <c r="I35605" s="50"/>
      <c r="O35605" s="36" t="s">
        <v>48</v>
      </c>
      <c r="R35605" s="36" t="s">
        <v>48</v>
      </c>
    </row>
    <row r="35606">
      <c r="H35606" s="50"/>
      <c r="I35606" s="50"/>
      <c r="O35606" s="36" t="s">
        <v>48</v>
      </c>
      <c r="R35606" s="36" t="s">
        <v>48</v>
      </c>
    </row>
    <row r="35607">
      <c r="H35607" s="50"/>
      <c r="I35607" s="50"/>
      <c r="O35607" s="36" t="s">
        <v>48</v>
      </c>
      <c r="R35607" s="36" t="s">
        <v>48</v>
      </c>
    </row>
    <row r="35608">
      <c r="H35608" s="50"/>
      <c r="I35608" s="50"/>
      <c r="O35608" s="36" t="s">
        <v>48</v>
      </c>
      <c r="R35608" s="36" t="s">
        <v>48</v>
      </c>
    </row>
    <row r="35609">
      <c r="H35609" s="50"/>
      <c r="I35609" s="50"/>
      <c r="O35609" s="36" t="s">
        <v>48</v>
      </c>
      <c r="R35609" s="36" t="s">
        <v>48</v>
      </c>
    </row>
    <row r="35610">
      <c r="H35610" s="50"/>
      <c r="I35610" s="50"/>
      <c r="O35610" s="36" t="s">
        <v>48</v>
      </c>
      <c r="R35610" s="36" t="s">
        <v>48</v>
      </c>
    </row>
    <row r="35611">
      <c r="H35611" s="50"/>
      <c r="I35611" s="50"/>
      <c r="O35611" s="36" t="s">
        <v>48</v>
      </c>
      <c r="R35611" s="36" t="s">
        <v>48</v>
      </c>
    </row>
    <row r="35612">
      <c r="H35612" s="50"/>
      <c r="I35612" s="50"/>
      <c r="O35612" s="36" t="s">
        <v>48</v>
      </c>
      <c r="R35612" s="36" t="s">
        <v>48</v>
      </c>
    </row>
    <row r="35613">
      <c r="H35613" s="50"/>
      <c r="I35613" s="50"/>
      <c r="O35613" s="36" t="s">
        <v>48</v>
      </c>
      <c r="R35613" s="36" t="s">
        <v>48</v>
      </c>
    </row>
    <row r="35614">
      <c r="H35614" s="50"/>
      <c r="I35614" s="50"/>
      <c r="O35614" s="36" t="s">
        <v>48</v>
      </c>
      <c r="R35614" s="36" t="s">
        <v>48</v>
      </c>
    </row>
    <row r="35615">
      <c r="H35615" s="50"/>
      <c r="I35615" s="50"/>
      <c r="O35615" s="36" t="s">
        <v>48</v>
      </c>
      <c r="R35615" s="36" t="s">
        <v>48</v>
      </c>
    </row>
    <row r="35616">
      <c r="H35616" s="50"/>
      <c r="I35616" s="50"/>
      <c r="O35616" s="36" t="s">
        <v>48</v>
      </c>
      <c r="R35616" s="36" t="s">
        <v>48</v>
      </c>
    </row>
    <row r="35617">
      <c r="H35617" s="50"/>
      <c r="I35617" s="50"/>
      <c r="O35617" s="36" t="s">
        <v>48</v>
      </c>
      <c r="R35617" s="36" t="s">
        <v>48</v>
      </c>
    </row>
    <row r="35618">
      <c r="H35618" s="50"/>
      <c r="I35618" s="50"/>
      <c r="O35618" s="36" t="s">
        <v>48</v>
      </c>
      <c r="R35618" s="36" t="s">
        <v>48</v>
      </c>
    </row>
    <row r="35619">
      <c r="H35619" s="50"/>
      <c r="I35619" s="50"/>
      <c r="O35619" s="36" t="s">
        <v>48</v>
      </c>
      <c r="R35619" s="36" t="s">
        <v>48</v>
      </c>
    </row>
    <row r="35620">
      <c r="H35620" s="50"/>
      <c r="I35620" s="50"/>
      <c r="O35620" s="36" t="s">
        <v>48</v>
      </c>
      <c r="R35620" s="36" t="s">
        <v>48</v>
      </c>
    </row>
    <row r="35621">
      <c r="H35621" s="50"/>
      <c r="I35621" s="50"/>
      <c r="O35621" s="36" t="s">
        <v>48</v>
      </c>
      <c r="R35621" s="36" t="s">
        <v>48</v>
      </c>
    </row>
    <row r="35622">
      <c r="H35622" s="50"/>
      <c r="I35622" s="50"/>
      <c r="O35622" s="36" t="s">
        <v>48</v>
      </c>
      <c r="R35622" s="36" t="s">
        <v>48</v>
      </c>
    </row>
    <row r="35623">
      <c r="H35623" s="50"/>
      <c r="I35623" s="50"/>
      <c r="O35623" s="36" t="s">
        <v>48</v>
      </c>
      <c r="R35623" s="36" t="s">
        <v>48</v>
      </c>
    </row>
    <row r="35624">
      <c r="H35624" s="50"/>
      <c r="I35624" s="50"/>
      <c r="O35624" s="36" t="s">
        <v>48</v>
      </c>
      <c r="R35624" s="36" t="s">
        <v>48</v>
      </c>
    </row>
    <row r="35625">
      <c r="H35625" s="50"/>
      <c r="I35625" s="50"/>
      <c r="O35625" s="36" t="s">
        <v>48</v>
      </c>
      <c r="R35625" s="36" t="s">
        <v>48</v>
      </c>
    </row>
    <row r="35626">
      <c r="H35626" s="50"/>
      <c r="I35626" s="50"/>
      <c r="O35626" s="36" t="s">
        <v>48</v>
      </c>
      <c r="R35626" s="36" t="s">
        <v>48</v>
      </c>
    </row>
    <row r="35627">
      <c r="H35627" s="50"/>
      <c r="I35627" s="50"/>
      <c r="O35627" s="36" t="s">
        <v>48</v>
      </c>
      <c r="R35627" s="36" t="s">
        <v>48</v>
      </c>
    </row>
    <row r="35628">
      <c r="H35628" s="50"/>
      <c r="I35628" s="50"/>
      <c r="O35628" s="36" t="s">
        <v>48</v>
      </c>
      <c r="R35628" s="36" t="s">
        <v>48</v>
      </c>
    </row>
    <row r="35629">
      <c r="H35629" s="50"/>
      <c r="I35629" s="50"/>
      <c r="O35629" s="36" t="s">
        <v>48</v>
      </c>
      <c r="R35629" s="36" t="s">
        <v>48</v>
      </c>
    </row>
    <row r="35630">
      <c r="H35630" s="50"/>
      <c r="I35630" s="50"/>
      <c r="O35630" s="36" t="s">
        <v>48</v>
      </c>
      <c r="R35630" s="36" t="s">
        <v>48</v>
      </c>
    </row>
    <row r="35631">
      <c r="H35631" s="50"/>
      <c r="I35631" s="50"/>
      <c r="O35631" s="36" t="s">
        <v>48</v>
      </c>
      <c r="R35631" s="36" t="s">
        <v>48</v>
      </c>
    </row>
    <row r="35632">
      <c r="H35632" s="50"/>
      <c r="I35632" s="50"/>
      <c r="O35632" s="36" t="s">
        <v>48</v>
      </c>
      <c r="R35632" s="36" t="s">
        <v>48</v>
      </c>
    </row>
    <row r="35633">
      <c r="H35633" s="50"/>
      <c r="I35633" s="50"/>
      <c r="O35633" s="36" t="s">
        <v>48</v>
      </c>
      <c r="R35633" s="36" t="s">
        <v>48</v>
      </c>
    </row>
    <row r="35634">
      <c r="H35634" s="50"/>
      <c r="I35634" s="50"/>
      <c r="O35634" s="36" t="s">
        <v>48</v>
      </c>
      <c r="R35634" s="36" t="s">
        <v>48</v>
      </c>
    </row>
    <row r="35635">
      <c r="H35635" s="50"/>
      <c r="I35635" s="50"/>
      <c r="O35635" s="36" t="s">
        <v>48</v>
      </c>
      <c r="R35635" s="36" t="s">
        <v>48</v>
      </c>
    </row>
    <row r="35636">
      <c r="H35636" s="50"/>
      <c r="I35636" s="50"/>
      <c r="O35636" s="36" t="s">
        <v>48</v>
      </c>
      <c r="R35636" s="36" t="s">
        <v>48</v>
      </c>
    </row>
    <row r="35637">
      <c r="H35637" s="50"/>
      <c r="I35637" s="50"/>
      <c r="O35637" s="36" t="s">
        <v>48</v>
      </c>
      <c r="R35637" s="36" t="s">
        <v>48</v>
      </c>
    </row>
    <row r="35638">
      <c r="H35638" s="50"/>
      <c r="I35638" s="50"/>
      <c r="O35638" s="36" t="s">
        <v>48</v>
      </c>
      <c r="R35638" s="36" t="s">
        <v>48</v>
      </c>
    </row>
    <row r="35639">
      <c r="H35639" s="50"/>
      <c r="I35639" s="50"/>
      <c r="O35639" s="36" t="s">
        <v>48</v>
      </c>
      <c r="R35639" s="36" t="s">
        <v>48</v>
      </c>
    </row>
    <row r="35640">
      <c r="H35640" s="50"/>
      <c r="I35640" s="50"/>
      <c r="O35640" s="36" t="s">
        <v>48</v>
      </c>
      <c r="R35640" s="36" t="s">
        <v>48</v>
      </c>
    </row>
    <row r="35641">
      <c r="H35641" s="50"/>
      <c r="I35641" s="50"/>
      <c r="O35641" s="36" t="s">
        <v>48</v>
      </c>
      <c r="R35641" s="36" t="s">
        <v>48</v>
      </c>
    </row>
    <row r="35642">
      <c r="H35642" s="50"/>
      <c r="I35642" s="50"/>
      <c r="O35642" s="36" t="s">
        <v>48</v>
      </c>
      <c r="R35642" s="36" t="s">
        <v>48</v>
      </c>
    </row>
    <row r="35643">
      <c r="H35643" s="50"/>
      <c r="I35643" s="50"/>
      <c r="O35643" s="36" t="s">
        <v>48</v>
      </c>
      <c r="R35643" s="36" t="s">
        <v>48</v>
      </c>
    </row>
    <row r="35644">
      <c r="H35644" s="50"/>
      <c r="I35644" s="50"/>
      <c r="O35644" s="36" t="s">
        <v>48</v>
      </c>
      <c r="R35644" s="36" t="s">
        <v>48</v>
      </c>
    </row>
    <row r="35645">
      <c r="H35645" s="50"/>
      <c r="I35645" s="50"/>
      <c r="O35645" s="36" t="s">
        <v>48</v>
      </c>
      <c r="R35645" s="36" t="s">
        <v>48</v>
      </c>
    </row>
    <row r="35646">
      <c r="H35646" s="50"/>
      <c r="I35646" s="50"/>
      <c r="O35646" s="36" t="s">
        <v>48</v>
      </c>
      <c r="R35646" s="36" t="s">
        <v>48</v>
      </c>
    </row>
    <row r="35647">
      <c r="H35647" s="50"/>
      <c r="I35647" s="50"/>
      <c r="O35647" s="36" t="s">
        <v>48</v>
      </c>
      <c r="R35647" s="36" t="s">
        <v>48</v>
      </c>
    </row>
    <row r="35648">
      <c r="H35648" s="50"/>
      <c r="I35648" s="50"/>
      <c r="O35648" s="36" t="s">
        <v>48</v>
      </c>
      <c r="R35648" s="36" t="s">
        <v>48</v>
      </c>
    </row>
    <row r="35649">
      <c r="H35649" s="50"/>
      <c r="I35649" s="50"/>
      <c r="O35649" s="36" t="s">
        <v>48</v>
      </c>
      <c r="R35649" s="36" t="s">
        <v>48</v>
      </c>
    </row>
    <row r="35650">
      <c r="H35650" s="50"/>
      <c r="I35650" s="50"/>
      <c r="O35650" s="36" t="s">
        <v>48</v>
      </c>
      <c r="R35650" s="36" t="s">
        <v>48</v>
      </c>
    </row>
    <row r="35651">
      <c r="H35651" s="50"/>
      <c r="I35651" s="50"/>
      <c r="O35651" s="36" t="s">
        <v>48</v>
      </c>
      <c r="R35651" s="36" t="s">
        <v>48</v>
      </c>
    </row>
    <row r="35652">
      <c r="H35652" s="50"/>
      <c r="I35652" s="50"/>
      <c r="O35652" s="36" t="s">
        <v>48</v>
      </c>
      <c r="R35652" s="36" t="s">
        <v>48</v>
      </c>
    </row>
    <row r="35653">
      <c r="H35653" s="50"/>
      <c r="I35653" s="50"/>
      <c r="O35653" s="36" t="s">
        <v>48</v>
      </c>
      <c r="R35653" s="36" t="s">
        <v>48</v>
      </c>
    </row>
    <row r="35654">
      <c r="H35654" s="50"/>
      <c r="I35654" s="50"/>
      <c r="O35654" s="36" t="s">
        <v>48</v>
      </c>
      <c r="R35654" s="36" t="s">
        <v>48</v>
      </c>
    </row>
    <row r="35655">
      <c r="H35655" s="50"/>
      <c r="I35655" s="50"/>
      <c r="O35655" s="36" t="s">
        <v>48</v>
      </c>
      <c r="R35655" s="36" t="s">
        <v>48</v>
      </c>
    </row>
    <row r="35656">
      <c r="H35656" s="50"/>
      <c r="I35656" s="50"/>
      <c r="O35656" s="36" t="s">
        <v>48</v>
      </c>
      <c r="R35656" s="36" t="s">
        <v>48</v>
      </c>
    </row>
    <row r="35657">
      <c r="H35657" s="50"/>
      <c r="I35657" s="50"/>
      <c r="O35657" s="36" t="s">
        <v>48</v>
      </c>
      <c r="R35657" s="36" t="s">
        <v>48</v>
      </c>
    </row>
    <row r="35658">
      <c r="H35658" s="50"/>
      <c r="I35658" s="50"/>
      <c r="O35658" s="36" t="s">
        <v>48</v>
      </c>
      <c r="R35658" s="36" t="s">
        <v>48</v>
      </c>
    </row>
    <row r="35659">
      <c r="H35659" s="50"/>
      <c r="I35659" s="50"/>
      <c r="O35659" s="36" t="s">
        <v>48</v>
      </c>
      <c r="R35659" s="36" t="s">
        <v>48</v>
      </c>
    </row>
    <row r="35660">
      <c r="H35660" s="50"/>
      <c r="I35660" s="50"/>
      <c r="O35660" s="36" t="s">
        <v>48</v>
      </c>
      <c r="R35660" s="36" t="s">
        <v>48</v>
      </c>
    </row>
    <row r="35661">
      <c r="H35661" s="50"/>
      <c r="I35661" s="50"/>
      <c r="O35661" s="36" t="s">
        <v>48</v>
      </c>
      <c r="R35661" s="36" t="s">
        <v>48</v>
      </c>
    </row>
    <row r="35662">
      <c r="H35662" s="50"/>
      <c r="I35662" s="50"/>
      <c r="O35662" s="36" t="s">
        <v>48</v>
      </c>
      <c r="R35662" s="36" t="s">
        <v>48</v>
      </c>
    </row>
    <row r="35663">
      <c r="H35663" s="50"/>
      <c r="I35663" s="50"/>
      <c r="O35663" s="36" t="s">
        <v>48</v>
      </c>
      <c r="R35663" s="36" t="s">
        <v>48</v>
      </c>
    </row>
    <row r="35664">
      <c r="H35664" s="50"/>
      <c r="I35664" s="50"/>
      <c r="O35664" s="36" t="s">
        <v>48</v>
      </c>
      <c r="R35664" s="36" t="s">
        <v>48</v>
      </c>
    </row>
    <row r="35665">
      <c r="H35665" s="50"/>
      <c r="I35665" s="50"/>
      <c r="O35665" s="36" t="s">
        <v>48</v>
      </c>
      <c r="R35665" s="36" t="s">
        <v>48</v>
      </c>
    </row>
    <row r="35666">
      <c r="H35666" s="50"/>
      <c r="I35666" s="50"/>
      <c r="O35666" s="36" t="s">
        <v>48</v>
      </c>
      <c r="R35666" s="36" t="s">
        <v>48</v>
      </c>
    </row>
    <row r="35667">
      <c r="H35667" s="50"/>
      <c r="I35667" s="50"/>
      <c r="O35667" s="36" t="s">
        <v>48</v>
      </c>
      <c r="R35667" s="36" t="s">
        <v>48</v>
      </c>
    </row>
    <row r="35668">
      <c r="H35668" s="50"/>
      <c r="I35668" s="50"/>
      <c r="O35668" s="36" t="s">
        <v>48</v>
      </c>
      <c r="R35668" s="36" t="s">
        <v>48</v>
      </c>
    </row>
    <row r="35669">
      <c r="H35669" s="50"/>
      <c r="I35669" s="50"/>
      <c r="O35669" s="36" t="s">
        <v>48</v>
      </c>
      <c r="R35669" s="36" t="s">
        <v>48</v>
      </c>
    </row>
    <row r="35670">
      <c r="H35670" s="50"/>
      <c r="I35670" s="50"/>
      <c r="O35670" s="36" t="s">
        <v>48</v>
      </c>
      <c r="R35670" s="36" t="s">
        <v>48</v>
      </c>
    </row>
    <row r="35671">
      <c r="H35671" s="50"/>
      <c r="I35671" s="50"/>
      <c r="O35671" s="36" t="s">
        <v>48</v>
      </c>
      <c r="R35671" s="36" t="s">
        <v>48</v>
      </c>
    </row>
    <row r="35672">
      <c r="H35672" s="50"/>
      <c r="I35672" s="50"/>
      <c r="O35672" s="36" t="s">
        <v>48</v>
      </c>
      <c r="R35672" s="36" t="s">
        <v>48</v>
      </c>
    </row>
    <row r="35673">
      <c r="H35673" s="50"/>
      <c r="I35673" s="50"/>
      <c r="O35673" s="36" t="s">
        <v>48</v>
      </c>
      <c r="R35673" s="36" t="s">
        <v>48</v>
      </c>
    </row>
    <row r="35674">
      <c r="H35674" s="50"/>
      <c r="I35674" s="50"/>
      <c r="O35674" s="36" t="s">
        <v>48</v>
      </c>
      <c r="R35674" s="36" t="s">
        <v>48</v>
      </c>
    </row>
    <row r="35675">
      <c r="H35675" s="50"/>
      <c r="I35675" s="50"/>
      <c r="O35675" s="36" t="s">
        <v>48</v>
      </c>
      <c r="R35675" s="36" t="s">
        <v>48</v>
      </c>
    </row>
    <row r="35676">
      <c r="H35676" s="50"/>
      <c r="I35676" s="50"/>
      <c r="O35676" s="36" t="s">
        <v>48</v>
      </c>
      <c r="R35676" s="36" t="s">
        <v>48</v>
      </c>
    </row>
    <row r="35677">
      <c r="H35677" s="50"/>
      <c r="I35677" s="50"/>
      <c r="O35677" s="36" t="s">
        <v>48</v>
      </c>
      <c r="R35677" s="36" t="s">
        <v>48</v>
      </c>
    </row>
    <row r="35678">
      <c r="H35678" s="50"/>
      <c r="I35678" s="50"/>
      <c r="O35678" s="36" t="s">
        <v>48</v>
      </c>
      <c r="R35678" s="36" t="s">
        <v>48</v>
      </c>
    </row>
    <row r="35679">
      <c r="H35679" s="50"/>
      <c r="I35679" s="50"/>
      <c r="O35679" s="36" t="s">
        <v>48</v>
      </c>
      <c r="R35679" s="36" t="s">
        <v>48</v>
      </c>
    </row>
    <row r="35680">
      <c r="H35680" s="50"/>
      <c r="I35680" s="50"/>
      <c r="O35680" s="36" t="s">
        <v>48</v>
      </c>
      <c r="R35680" s="36" t="s">
        <v>48</v>
      </c>
    </row>
    <row r="35681">
      <c r="H35681" s="50"/>
      <c r="I35681" s="50"/>
      <c r="O35681" s="36" t="s">
        <v>48</v>
      </c>
      <c r="R35681" s="36" t="s">
        <v>48</v>
      </c>
    </row>
    <row r="35682">
      <c r="H35682" s="50"/>
      <c r="I35682" s="50"/>
      <c r="O35682" s="36" t="s">
        <v>48</v>
      </c>
      <c r="R35682" s="36" t="s">
        <v>48</v>
      </c>
    </row>
    <row r="35683">
      <c r="H35683" s="50"/>
      <c r="I35683" s="50"/>
      <c r="O35683" s="36" t="s">
        <v>48</v>
      </c>
      <c r="R35683" s="36" t="s">
        <v>48</v>
      </c>
    </row>
    <row r="35684">
      <c r="H35684" s="50"/>
      <c r="I35684" s="50"/>
      <c r="O35684" s="36" t="s">
        <v>48</v>
      </c>
      <c r="R35684" s="36" t="s">
        <v>48</v>
      </c>
    </row>
    <row r="35685">
      <c r="H35685" s="50"/>
      <c r="I35685" s="50"/>
      <c r="O35685" s="36" t="s">
        <v>48</v>
      </c>
      <c r="R35685" s="36" t="s">
        <v>48</v>
      </c>
    </row>
    <row r="35686">
      <c r="H35686" s="50"/>
      <c r="I35686" s="50"/>
      <c r="O35686" s="36" t="s">
        <v>48</v>
      </c>
      <c r="R35686" s="36" t="s">
        <v>48</v>
      </c>
    </row>
    <row r="35687">
      <c r="H35687" s="50"/>
      <c r="I35687" s="50"/>
      <c r="O35687" s="36" t="s">
        <v>48</v>
      </c>
      <c r="R35687" s="36" t="s">
        <v>48</v>
      </c>
    </row>
    <row r="35688">
      <c r="H35688" s="50"/>
      <c r="I35688" s="50"/>
      <c r="O35688" s="36" t="s">
        <v>48</v>
      </c>
      <c r="R35688" s="36" t="s">
        <v>48</v>
      </c>
    </row>
    <row r="35689">
      <c r="H35689" s="50"/>
      <c r="I35689" s="50"/>
      <c r="O35689" s="36" t="s">
        <v>48</v>
      </c>
      <c r="R35689" s="36" t="s">
        <v>48</v>
      </c>
    </row>
    <row r="35690">
      <c r="H35690" s="50"/>
      <c r="I35690" s="50"/>
      <c r="O35690" s="36" t="s">
        <v>48</v>
      </c>
      <c r="R35690" s="36" t="s">
        <v>48</v>
      </c>
    </row>
    <row r="35691">
      <c r="H35691" s="50"/>
      <c r="I35691" s="50"/>
      <c r="O35691" s="36" t="s">
        <v>48</v>
      </c>
      <c r="R35691" s="36" t="s">
        <v>48</v>
      </c>
    </row>
    <row r="35692">
      <c r="H35692" s="50"/>
      <c r="I35692" s="50"/>
      <c r="O35692" s="36" t="s">
        <v>48</v>
      </c>
      <c r="R35692" s="36" t="s">
        <v>48</v>
      </c>
    </row>
    <row r="35693">
      <c r="H35693" s="50"/>
      <c r="I35693" s="50"/>
      <c r="O35693" s="36" t="s">
        <v>48</v>
      </c>
      <c r="R35693" s="36" t="s">
        <v>48</v>
      </c>
    </row>
    <row r="35694">
      <c r="H35694" s="50"/>
      <c r="I35694" s="50"/>
      <c r="O35694" s="36" t="s">
        <v>48</v>
      </c>
      <c r="R35694" s="36" t="s">
        <v>48</v>
      </c>
    </row>
    <row r="35695">
      <c r="H35695" s="50"/>
      <c r="I35695" s="50"/>
      <c r="O35695" s="36" t="s">
        <v>48</v>
      </c>
      <c r="R35695" s="36" t="s">
        <v>48</v>
      </c>
    </row>
    <row r="35696">
      <c r="H35696" s="50"/>
      <c r="I35696" s="50"/>
      <c r="O35696" s="36" t="s">
        <v>48</v>
      </c>
      <c r="R35696" s="36" t="s">
        <v>48</v>
      </c>
    </row>
    <row r="35697">
      <c r="H35697" s="50"/>
      <c r="I35697" s="50"/>
      <c r="O35697" s="36" t="s">
        <v>48</v>
      </c>
      <c r="R35697" s="36" t="s">
        <v>48</v>
      </c>
    </row>
    <row r="35698">
      <c r="H35698" s="50"/>
      <c r="I35698" s="50"/>
      <c r="O35698" s="36" t="s">
        <v>48</v>
      </c>
      <c r="R35698" s="36" t="s">
        <v>48</v>
      </c>
    </row>
    <row r="35699">
      <c r="H35699" s="50"/>
      <c r="I35699" s="50"/>
      <c r="O35699" s="36" t="s">
        <v>48</v>
      </c>
      <c r="R35699" s="36" t="s">
        <v>48</v>
      </c>
    </row>
    <row r="35700">
      <c r="H35700" s="50"/>
      <c r="I35700" s="50"/>
      <c r="O35700" s="36" t="s">
        <v>48</v>
      </c>
      <c r="R35700" s="36" t="s">
        <v>48</v>
      </c>
    </row>
    <row r="35701">
      <c r="H35701" s="50"/>
      <c r="I35701" s="50"/>
      <c r="O35701" s="36" t="s">
        <v>48</v>
      </c>
      <c r="R35701" s="36" t="s">
        <v>48</v>
      </c>
    </row>
    <row r="35702">
      <c r="H35702" s="50"/>
      <c r="I35702" s="50"/>
      <c r="O35702" s="36" t="s">
        <v>48</v>
      </c>
      <c r="R35702" s="36" t="s">
        <v>48</v>
      </c>
    </row>
    <row r="35703">
      <c r="H35703" s="50"/>
      <c r="I35703" s="50"/>
      <c r="O35703" s="36" t="s">
        <v>48</v>
      </c>
      <c r="R35703" s="36" t="s">
        <v>48</v>
      </c>
    </row>
    <row r="35704">
      <c r="H35704" s="50"/>
      <c r="I35704" s="50"/>
      <c r="O35704" s="36" t="s">
        <v>48</v>
      </c>
      <c r="R35704" s="36" t="s">
        <v>48</v>
      </c>
    </row>
    <row r="35705">
      <c r="H35705" s="50"/>
      <c r="I35705" s="50"/>
      <c r="O35705" s="36" t="s">
        <v>48</v>
      </c>
      <c r="R35705" s="36" t="s">
        <v>48</v>
      </c>
    </row>
    <row r="35706">
      <c r="H35706" s="50"/>
      <c r="I35706" s="50"/>
      <c r="O35706" s="36" t="s">
        <v>48</v>
      </c>
      <c r="R35706" s="36" t="s">
        <v>48</v>
      </c>
    </row>
    <row r="35707">
      <c r="H35707" s="50"/>
      <c r="I35707" s="50"/>
      <c r="O35707" s="36" t="s">
        <v>48</v>
      </c>
      <c r="R35707" s="36" t="s">
        <v>48</v>
      </c>
    </row>
    <row r="35708">
      <c r="H35708" s="50"/>
      <c r="I35708" s="50"/>
      <c r="O35708" s="36" t="s">
        <v>48</v>
      </c>
      <c r="R35708" s="36" t="s">
        <v>48</v>
      </c>
    </row>
    <row r="35709">
      <c r="H35709" s="50"/>
      <c r="I35709" s="50"/>
      <c r="O35709" s="36" t="s">
        <v>48</v>
      </c>
      <c r="R35709" s="36" t="s">
        <v>48</v>
      </c>
    </row>
    <row r="35710">
      <c r="H35710" s="50"/>
      <c r="I35710" s="50"/>
      <c r="O35710" s="36" t="s">
        <v>48</v>
      </c>
      <c r="R35710" s="36" t="s">
        <v>48</v>
      </c>
    </row>
    <row r="35711">
      <c r="H35711" s="50"/>
      <c r="I35711" s="50"/>
      <c r="O35711" s="36" t="s">
        <v>48</v>
      </c>
      <c r="R35711" s="36" t="s">
        <v>48</v>
      </c>
    </row>
    <row r="35712">
      <c r="H35712" s="50"/>
      <c r="I35712" s="50"/>
      <c r="O35712" s="36" t="s">
        <v>48</v>
      </c>
      <c r="R35712" s="36" t="s">
        <v>48</v>
      </c>
    </row>
    <row r="35713">
      <c r="H35713" s="50"/>
      <c r="I35713" s="50"/>
      <c r="O35713" s="36" t="s">
        <v>48</v>
      </c>
      <c r="R35713" s="36" t="s">
        <v>48</v>
      </c>
    </row>
    <row r="35714">
      <c r="H35714" s="50"/>
      <c r="I35714" s="50"/>
      <c r="O35714" s="36" t="s">
        <v>48</v>
      </c>
      <c r="R35714" s="36" t="s">
        <v>48</v>
      </c>
    </row>
    <row r="35715">
      <c r="H35715" s="50"/>
      <c r="I35715" s="50"/>
      <c r="O35715" s="36" t="s">
        <v>48</v>
      </c>
      <c r="R35715" s="36" t="s">
        <v>48</v>
      </c>
    </row>
    <row r="35716">
      <c r="H35716" s="50"/>
      <c r="I35716" s="50"/>
      <c r="O35716" s="36" t="s">
        <v>48</v>
      </c>
      <c r="R35716" s="36" t="s">
        <v>48</v>
      </c>
    </row>
    <row r="35717">
      <c r="H35717" s="50"/>
      <c r="I35717" s="50"/>
      <c r="O35717" s="36" t="s">
        <v>48</v>
      </c>
      <c r="R35717" s="36" t="s">
        <v>48</v>
      </c>
    </row>
    <row r="35718">
      <c r="H35718" s="50"/>
      <c r="I35718" s="50"/>
      <c r="O35718" s="36" t="s">
        <v>48</v>
      </c>
      <c r="R35718" s="36" t="s">
        <v>48</v>
      </c>
    </row>
    <row r="35719">
      <c r="H35719" s="50"/>
      <c r="I35719" s="50"/>
      <c r="O35719" s="36" t="s">
        <v>48</v>
      </c>
      <c r="R35719" s="36" t="s">
        <v>48</v>
      </c>
    </row>
    <row r="35720">
      <c r="H35720" s="50"/>
      <c r="I35720" s="50"/>
      <c r="O35720" s="36" t="s">
        <v>48</v>
      </c>
      <c r="R35720" s="36" t="s">
        <v>48</v>
      </c>
    </row>
    <row r="35721">
      <c r="H35721" s="50"/>
      <c r="I35721" s="50"/>
      <c r="O35721" s="36" t="s">
        <v>48</v>
      </c>
      <c r="R35721" s="36" t="s">
        <v>48</v>
      </c>
    </row>
    <row r="35722">
      <c r="H35722" s="50"/>
      <c r="I35722" s="50"/>
      <c r="O35722" s="36" t="s">
        <v>48</v>
      </c>
      <c r="R35722" s="36" t="s">
        <v>48</v>
      </c>
    </row>
    <row r="35723">
      <c r="H35723" s="50"/>
      <c r="I35723" s="50"/>
      <c r="O35723" s="36" t="s">
        <v>48</v>
      </c>
      <c r="R35723" s="36" t="s">
        <v>48</v>
      </c>
    </row>
    <row r="35724">
      <c r="H35724" s="50"/>
      <c r="I35724" s="50"/>
      <c r="O35724" s="36" t="s">
        <v>48</v>
      </c>
      <c r="R35724" s="36" t="s">
        <v>48</v>
      </c>
    </row>
    <row r="35725">
      <c r="H35725" s="50"/>
      <c r="I35725" s="50"/>
      <c r="O35725" s="36" t="s">
        <v>48</v>
      </c>
      <c r="R35725" s="36" t="s">
        <v>48</v>
      </c>
    </row>
    <row r="35726">
      <c r="H35726" s="50"/>
      <c r="I35726" s="50"/>
      <c r="O35726" s="36" t="s">
        <v>48</v>
      </c>
      <c r="R35726" s="36" t="s">
        <v>48</v>
      </c>
    </row>
    <row r="35727">
      <c r="H35727" s="50"/>
      <c r="I35727" s="50"/>
      <c r="O35727" s="36" t="s">
        <v>48</v>
      </c>
      <c r="R35727" s="36" t="s">
        <v>48</v>
      </c>
    </row>
    <row r="35728">
      <c r="H35728" s="50"/>
      <c r="I35728" s="50"/>
      <c r="O35728" s="36" t="s">
        <v>48</v>
      </c>
      <c r="R35728" s="36" t="s">
        <v>48</v>
      </c>
    </row>
    <row r="35729">
      <c r="H35729" s="50"/>
      <c r="I35729" s="50"/>
      <c r="O35729" s="36" t="s">
        <v>48</v>
      </c>
      <c r="R35729" s="36" t="s">
        <v>48</v>
      </c>
    </row>
    <row r="35730">
      <c r="H35730" s="50"/>
      <c r="I35730" s="50"/>
      <c r="O35730" s="36" t="s">
        <v>48</v>
      </c>
      <c r="R35730" s="36" t="s">
        <v>48</v>
      </c>
    </row>
    <row r="35731">
      <c r="H35731" s="50"/>
      <c r="I35731" s="50"/>
      <c r="O35731" s="36" t="s">
        <v>48</v>
      </c>
      <c r="R35731" s="36" t="s">
        <v>48</v>
      </c>
    </row>
    <row r="35732">
      <c r="H35732" s="50"/>
      <c r="I35732" s="50"/>
      <c r="O35732" s="36" t="s">
        <v>48</v>
      </c>
      <c r="R35732" s="36" t="s">
        <v>48</v>
      </c>
    </row>
    <row r="35733">
      <c r="H35733" s="50"/>
      <c r="I35733" s="50"/>
      <c r="O35733" s="36" t="s">
        <v>48</v>
      </c>
      <c r="R35733" s="36" t="s">
        <v>48</v>
      </c>
    </row>
    <row r="35734">
      <c r="H35734" s="50"/>
      <c r="I35734" s="50"/>
      <c r="O35734" s="36" t="s">
        <v>48</v>
      </c>
      <c r="R35734" s="36" t="s">
        <v>48</v>
      </c>
    </row>
    <row r="35735">
      <c r="H35735" s="50"/>
      <c r="I35735" s="50"/>
      <c r="O35735" s="36" t="s">
        <v>48</v>
      </c>
      <c r="R35735" s="36" t="s">
        <v>48</v>
      </c>
    </row>
    <row r="35736">
      <c r="H35736" s="50"/>
      <c r="I35736" s="50"/>
      <c r="O35736" s="36" t="s">
        <v>48</v>
      </c>
      <c r="R35736" s="36" t="s">
        <v>48</v>
      </c>
    </row>
    <row r="35737">
      <c r="H35737" s="50"/>
      <c r="I35737" s="50"/>
      <c r="O35737" s="36" t="s">
        <v>48</v>
      </c>
      <c r="R35737" s="36" t="s">
        <v>48</v>
      </c>
    </row>
    <row r="35738">
      <c r="H35738" s="50"/>
      <c r="I35738" s="50"/>
      <c r="O35738" s="36" t="s">
        <v>48</v>
      </c>
      <c r="R35738" s="36" t="s">
        <v>48</v>
      </c>
    </row>
    <row r="35739">
      <c r="H35739" s="50"/>
      <c r="I35739" s="50"/>
      <c r="O35739" s="36" t="s">
        <v>48</v>
      </c>
      <c r="R35739" s="36" t="s">
        <v>48</v>
      </c>
    </row>
    <row r="35740">
      <c r="H35740" s="50"/>
      <c r="I35740" s="50"/>
      <c r="O35740" s="36" t="s">
        <v>48</v>
      </c>
      <c r="R35740" s="36" t="s">
        <v>48</v>
      </c>
    </row>
    <row r="35741">
      <c r="H35741" s="50"/>
      <c r="I35741" s="50"/>
      <c r="O35741" s="36" t="s">
        <v>48</v>
      </c>
      <c r="R35741" s="36" t="s">
        <v>48</v>
      </c>
    </row>
    <row r="35742">
      <c r="H35742" s="50"/>
      <c r="I35742" s="50"/>
      <c r="O35742" s="36" t="s">
        <v>48</v>
      </c>
      <c r="R35742" s="36" t="s">
        <v>48</v>
      </c>
    </row>
    <row r="35743">
      <c r="H35743" s="50"/>
      <c r="I35743" s="50"/>
      <c r="O35743" s="36" t="s">
        <v>48</v>
      </c>
      <c r="R35743" s="36" t="s">
        <v>48</v>
      </c>
    </row>
    <row r="35744">
      <c r="H35744" s="50"/>
      <c r="I35744" s="50"/>
      <c r="O35744" s="36" t="s">
        <v>48</v>
      </c>
      <c r="R35744" s="36" t="s">
        <v>48</v>
      </c>
    </row>
    <row r="35745">
      <c r="H35745" s="50"/>
      <c r="I35745" s="50"/>
      <c r="O35745" s="36" t="s">
        <v>48</v>
      </c>
      <c r="R35745" s="36" t="s">
        <v>48</v>
      </c>
    </row>
    <row r="35746">
      <c r="H35746" s="50"/>
      <c r="I35746" s="50"/>
      <c r="O35746" s="36" t="s">
        <v>48</v>
      </c>
      <c r="R35746" s="36" t="s">
        <v>48</v>
      </c>
    </row>
    <row r="35747">
      <c r="H35747" s="50"/>
      <c r="I35747" s="50"/>
      <c r="O35747" s="36" t="s">
        <v>48</v>
      </c>
      <c r="R35747" s="36" t="s">
        <v>48</v>
      </c>
    </row>
    <row r="35748">
      <c r="H35748" s="50"/>
      <c r="I35748" s="50"/>
      <c r="O35748" s="36" t="s">
        <v>48</v>
      </c>
      <c r="R35748" s="36" t="s">
        <v>48</v>
      </c>
    </row>
    <row r="35749">
      <c r="H35749" s="50"/>
      <c r="I35749" s="50"/>
      <c r="O35749" s="36" t="s">
        <v>48</v>
      </c>
      <c r="R35749" s="36" t="s">
        <v>48</v>
      </c>
    </row>
    <row r="35750">
      <c r="H35750" s="50"/>
      <c r="I35750" s="50"/>
      <c r="O35750" s="36" t="s">
        <v>48</v>
      </c>
      <c r="R35750" s="36" t="s">
        <v>48</v>
      </c>
    </row>
    <row r="35751">
      <c r="H35751" s="50"/>
      <c r="I35751" s="50"/>
      <c r="O35751" s="36" t="s">
        <v>48</v>
      </c>
      <c r="R35751" s="36" t="s">
        <v>48</v>
      </c>
    </row>
    <row r="35752">
      <c r="H35752" s="50"/>
      <c r="I35752" s="50"/>
      <c r="O35752" s="36" t="s">
        <v>48</v>
      </c>
      <c r="R35752" s="36" t="s">
        <v>48</v>
      </c>
    </row>
    <row r="35753">
      <c r="H35753" s="50"/>
      <c r="I35753" s="50"/>
      <c r="O35753" s="36" t="s">
        <v>48</v>
      </c>
      <c r="R35753" s="36" t="s">
        <v>48</v>
      </c>
    </row>
    <row r="35754">
      <c r="H35754" s="50"/>
      <c r="I35754" s="50"/>
      <c r="O35754" s="36" t="s">
        <v>48</v>
      </c>
      <c r="R35754" s="36" t="s">
        <v>48</v>
      </c>
    </row>
    <row r="35755">
      <c r="H35755" s="50"/>
      <c r="I35755" s="50"/>
      <c r="O35755" s="36" t="s">
        <v>48</v>
      </c>
      <c r="R35755" s="36" t="s">
        <v>48</v>
      </c>
    </row>
    <row r="35756">
      <c r="H35756" s="50"/>
      <c r="I35756" s="50"/>
      <c r="O35756" s="36" t="s">
        <v>48</v>
      </c>
      <c r="R35756" s="36" t="s">
        <v>48</v>
      </c>
    </row>
    <row r="35757">
      <c r="H35757" s="50"/>
      <c r="I35757" s="50"/>
      <c r="O35757" s="36" t="s">
        <v>48</v>
      </c>
      <c r="R35757" s="36" t="s">
        <v>48</v>
      </c>
    </row>
    <row r="35758">
      <c r="H35758" s="50"/>
      <c r="I35758" s="50"/>
      <c r="O35758" s="36" t="s">
        <v>48</v>
      </c>
      <c r="R35758" s="36" t="s">
        <v>48</v>
      </c>
    </row>
    <row r="35759">
      <c r="H35759" s="50"/>
      <c r="I35759" s="50"/>
      <c r="O35759" s="36" t="s">
        <v>48</v>
      </c>
      <c r="R35759" s="36" t="s">
        <v>48</v>
      </c>
    </row>
    <row r="35760">
      <c r="H35760" s="50"/>
      <c r="I35760" s="50"/>
      <c r="O35760" s="36" t="s">
        <v>48</v>
      </c>
      <c r="R35760" s="36" t="s">
        <v>48</v>
      </c>
    </row>
    <row r="35761">
      <c r="H35761" s="50"/>
      <c r="I35761" s="50"/>
      <c r="O35761" s="36" t="s">
        <v>48</v>
      </c>
      <c r="R35761" s="36" t="s">
        <v>48</v>
      </c>
    </row>
    <row r="35762">
      <c r="H35762" s="50"/>
      <c r="I35762" s="50"/>
      <c r="O35762" s="36" t="s">
        <v>48</v>
      </c>
      <c r="R35762" s="36" t="s">
        <v>48</v>
      </c>
    </row>
    <row r="35763">
      <c r="H35763" s="50"/>
      <c r="I35763" s="50"/>
      <c r="O35763" s="36" t="s">
        <v>48</v>
      </c>
      <c r="R35763" s="36" t="s">
        <v>48</v>
      </c>
    </row>
    <row r="35764">
      <c r="H35764" s="50"/>
      <c r="I35764" s="50"/>
      <c r="O35764" s="36" t="s">
        <v>48</v>
      </c>
      <c r="R35764" s="36" t="s">
        <v>48</v>
      </c>
    </row>
    <row r="35765">
      <c r="H35765" s="50"/>
      <c r="I35765" s="50"/>
      <c r="O35765" s="36" t="s">
        <v>48</v>
      </c>
      <c r="R35765" s="36" t="s">
        <v>48</v>
      </c>
    </row>
    <row r="35766">
      <c r="H35766" s="50"/>
      <c r="I35766" s="50"/>
      <c r="O35766" s="36" t="s">
        <v>48</v>
      </c>
      <c r="R35766" s="36" t="s">
        <v>48</v>
      </c>
    </row>
    <row r="35767">
      <c r="H35767" s="50"/>
      <c r="I35767" s="50"/>
      <c r="O35767" s="36" t="s">
        <v>48</v>
      </c>
      <c r="R35767" s="36" t="s">
        <v>48</v>
      </c>
    </row>
    <row r="35768">
      <c r="H35768" s="50"/>
      <c r="I35768" s="50"/>
      <c r="O35768" s="36" t="s">
        <v>48</v>
      </c>
      <c r="R35768" s="36" t="s">
        <v>48</v>
      </c>
    </row>
    <row r="35769">
      <c r="H35769" s="50"/>
      <c r="I35769" s="50"/>
      <c r="O35769" s="36" t="s">
        <v>48</v>
      </c>
      <c r="R35769" s="36" t="s">
        <v>48</v>
      </c>
    </row>
    <row r="35770">
      <c r="H35770" s="50"/>
      <c r="I35770" s="50"/>
      <c r="O35770" s="36" t="s">
        <v>48</v>
      </c>
      <c r="R35770" s="36" t="s">
        <v>48</v>
      </c>
    </row>
    <row r="35771">
      <c r="H35771" s="50"/>
      <c r="I35771" s="50"/>
      <c r="O35771" s="36" t="s">
        <v>48</v>
      </c>
      <c r="R35771" s="36" t="s">
        <v>48</v>
      </c>
    </row>
    <row r="35772">
      <c r="H35772" s="50"/>
      <c r="I35772" s="50"/>
      <c r="O35772" s="36" t="s">
        <v>48</v>
      </c>
      <c r="R35772" s="36" t="s">
        <v>48</v>
      </c>
    </row>
    <row r="35773">
      <c r="H35773" s="50"/>
      <c r="I35773" s="50"/>
      <c r="O35773" s="36" t="s">
        <v>48</v>
      </c>
      <c r="R35773" s="36" t="s">
        <v>48</v>
      </c>
    </row>
    <row r="35774">
      <c r="H35774" s="50"/>
      <c r="I35774" s="50"/>
      <c r="O35774" s="36" t="s">
        <v>48</v>
      </c>
      <c r="R35774" s="36" t="s">
        <v>48</v>
      </c>
    </row>
    <row r="35775">
      <c r="H35775" s="50"/>
      <c r="I35775" s="50"/>
      <c r="O35775" s="36" t="s">
        <v>48</v>
      </c>
      <c r="R35775" s="36" t="s">
        <v>48</v>
      </c>
    </row>
    <row r="35776">
      <c r="H35776" s="50"/>
      <c r="I35776" s="50"/>
      <c r="O35776" s="36" t="s">
        <v>48</v>
      </c>
      <c r="R35776" s="36" t="s">
        <v>48</v>
      </c>
    </row>
    <row r="35777">
      <c r="H35777" s="50"/>
      <c r="I35777" s="50"/>
      <c r="O35777" s="36" t="s">
        <v>48</v>
      </c>
      <c r="R35777" s="36" t="s">
        <v>48</v>
      </c>
    </row>
    <row r="35778">
      <c r="H35778" s="50"/>
      <c r="I35778" s="50"/>
      <c r="O35778" s="36" t="s">
        <v>48</v>
      </c>
      <c r="R35778" s="36" t="s">
        <v>48</v>
      </c>
    </row>
    <row r="35779">
      <c r="H35779" s="50"/>
      <c r="I35779" s="50"/>
      <c r="O35779" s="36" t="s">
        <v>48</v>
      </c>
      <c r="R35779" s="36" t="s">
        <v>48</v>
      </c>
    </row>
    <row r="35780">
      <c r="H35780" s="50"/>
      <c r="I35780" s="50"/>
      <c r="O35780" s="36" t="s">
        <v>48</v>
      </c>
      <c r="R35780" s="36" t="s">
        <v>48</v>
      </c>
    </row>
    <row r="35781">
      <c r="H35781" s="50"/>
      <c r="I35781" s="50"/>
      <c r="O35781" s="36" t="s">
        <v>48</v>
      </c>
      <c r="R35781" s="36" t="s">
        <v>48</v>
      </c>
    </row>
    <row r="35782">
      <c r="H35782" s="50"/>
      <c r="I35782" s="50"/>
      <c r="O35782" s="36" t="s">
        <v>48</v>
      </c>
      <c r="R35782" s="36" t="s">
        <v>48</v>
      </c>
    </row>
    <row r="35783">
      <c r="H35783" s="50"/>
      <c r="I35783" s="50"/>
      <c r="O35783" s="36" t="s">
        <v>48</v>
      </c>
      <c r="R35783" s="36" t="s">
        <v>48</v>
      </c>
    </row>
    <row r="35784">
      <c r="H35784" s="50"/>
      <c r="I35784" s="50"/>
      <c r="O35784" s="36" t="s">
        <v>48</v>
      </c>
      <c r="R35784" s="36" t="s">
        <v>48</v>
      </c>
    </row>
    <row r="35785">
      <c r="H35785" s="50"/>
      <c r="I35785" s="50"/>
      <c r="O35785" s="36" t="s">
        <v>48</v>
      </c>
      <c r="R35785" s="36" t="s">
        <v>48</v>
      </c>
    </row>
    <row r="35786">
      <c r="H35786" s="50"/>
      <c r="I35786" s="50"/>
      <c r="O35786" s="36" t="s">
        <v>48</v>
      </c>
      <c r="R35786" s="36" t="s">
        <v>48</v>
      </c>
    </row>
    <row r="35787">
      <c r="H35787" s="50"/>
      <c r="I35787" s="50"/>
      <c r="O35787" s="36" t="s">
        <v>48</v>
      </c>
      <c r="R35787" s="36" t="s">
        <v>48</v>
      </c>
    </row>
    <row r="35788">
      <c r="H35788" s="50"/>
      <c r="I35788" s="50"/>
      <c r="O35788" s="36" t="s">
        <v>48</v>
      </c>
      <c r="R35788" s="36" t="s">
        <v>48</v>
      </c>
    </row>
    <row r="35789">
      <c r="H35789" s="50"/>
      <c r="I35789" s="50"/>
      <c r="O35789" s="36" t="s">
        <v>48</v>
      </c>
      <c r="R35789" s="36" t="s">
        <v>48</v>
      </c>
    </row>
    <row r="35790">
      <c r="H35790" s="50"/>
      <c r="I35790" s="50"/>
      <c r="O35790" s="36" t="s">
        <v>48</v>
      </c>
      <c r="R35790" s="36" t="s">
        <v>48</v>
      </c>
    </row>
    <row r="35791">
      <c r="H35791" s="50"/>
      <c r="I35791" s="50"/>
      <c r="O35791" s="36" t="s">
        <v>48</v>
      </c>
      <c r="R35791" s="36" t="s">
        <v>48</v>
      </c>
    </row>
    <row r="35792">
      <c r="H35792" s="50"/>
      <c r="I35792" s="50"/>
      <c r="O35792" s="36" t="s">
        <v>48</v>
      </c>
      <c r="R35792" s="36" t="s">
        <v>48</v>
      </c>
    </row>
    <row r="35793">
      <c r="H35793" s="50"/>
      <c r="I35793" s="50"/>
      <c r="O35793" s="36" t="s">
        <v>48</v>
      </c>
      <c r="R35793" s="36" t="s">
        <v>48</v>
      </c>
    </row>
    <row r="35794">
      <c r="H35794" s="50"/>
      <c r="I35794" s="50"/>
      <c r="O35794" s="36" t="s">
        <v>48</v>
      </c>
      <c r="R35794" s="36" t="s">
        <v>48</v>
      </c>
    </row>
    <row r="35795">
      <c r="H35795" s="50"/>
      <c r="I35795" s="50"/>
      <c r="O35795" s="36" t="s">
        <v>48</v>
      </c>
      <c r="R35795" s="36" t="s">
        <v>48</v>
      </c>
    </row>
    <row r="35796">
      <c r="H35796" s="50"/>
      <c r="I35796" s="50"/>
      <c r="O35796" s="36" t="s">
        <v>48</v>
      </c>
      <c r="R35796" s="36" t="s">
        <v>48</v>
      </c>
    </row>
    <row r="35797">
      <c r="H35797" s="50"/>
      <c r="I35797" s="50"/>
      <c r="O35797" s="36" t="s">
        <v>48</v>
      </c>
      <c r="R35797" s="36" t="s">
        <v>48</v>
      </c>
    </row>
    <row r="35798">
      <c r="H35798" s="50"/>
      <c r="I35798" s="50"/>
      <c r="O35798" s="36" t="s">
        <v>48</v>
      </c>
      <c r="R35798" s="36" t="s">
        <v>48</v>
      </c>
    </row>
    <row r="35799">
      <c r="H35799" s="50"/>
      <c r="I35799" s="50"/>
      <c r="O35799" s="36" t="s">
        <v>48</v>
      </c>
      <c r="R35799" s="36" t="s">
        <v>48</v>
      </c>
    </row>
    <row r="35800">
      <c r="H35800" s="50"/>
      <c r="I35800" s="50"/>
      <c r="O35800" s="36" t="s">
        <v>48</v>
      </c>
      <c r="R35800" s="36" t="s">
        <v>48</v>
      </c>
    </row>
    <row r="35801">
      <c r="H35801" s="50"/>
      <c r="I35801" s="50"/>
      <c r="O35801" s="36" t="s">
        <v>48</v>
      </c>
      <c r="R35801" s="36" t="s">
        <v>48</v>
      </c>
    </row>
    <row r="35802">
      <c r="H35802" s="50"/>
      <c r="I35802" s="50"/>
      <c r="O35802" s="36" t="s">
        <v>48</v>
      </c>
      <c r="R35802" s="36" t="s">
        <v>48</v>
      </c>
    </row>
    <row r="35803">
      <c r="H35803" s="50"/>
      <c r="I35803" s="50"/>
      <c r="O35803" s="36" t="s">
        <v>48</v>
      </c>
      <c r="R35803" s="36" t="s">
        <v>48</v>
      </c>
    </row>
    <row r="35804">
      <c r="H35804" s="50"/>
      <c r="I35804" s="50"/>
      <c r="O35804" s="36" t="s">
        <v>48</v>
      </c>
      <c r="R35804" s="36" t="s">
        <v>48</v>
      </c>
    </row>
    <row r="35805">
      <c r="H35805" s="50"/>
      <c r="I35805" s="50"/>
      <c r="O35805" s="36" t="s">
        <v>48</v>
      </c>
      <c r="R35805" s="36" t="s">
        <v>48</v>
      </c>
    </row>
    <row r="35806">
      <c r="H35806" s="50"/>
      <c r="I35806" s="50"/>
      <c r="O35806" s="36" t="s">
        <v>48</v>
      </c>
      <c r="R35806" s="36" t="s">
        <v>48</v>
      </c>
    </row>
    <row r="35807">
      <c r="H35807" s="50"/>
      <c r="I35807" s="50"/>
      <c r="O35807" s="36" t="s">
        <v>48</v>
      </c>
      <c r="R35807" s="36" t="s">
        <v>48</v>
      </c>
    </row>
    <row r="35808">
      <c r="H35808" s="50"/>
      <c r="I35808" s="50"/>
      <c r="O35808" s="36" t="s">
        <v>48</v>
      </c>
      <c r="R35808" s="36" t="s">
        <v>48</v>
      </c>
    </row>
    <row r="35809">
      <c r="H35809" s="50"/>
      <c r="I35809" s="50"/>
      <c r="O35809" s="36" t="s">
        <v>48</v>
      </c>
      <c r="R35809" s="36" t="s">
        <v>48</v>
      </c>
    </row>
    <row r="35810">
      <c r="H35810" s="50"/>
      <c r="I35810" s="50"/>
      <c r="O35810" s="36" t="s">
        <v>48</v>
      </c>
      <c r="R35810" s="36" t="s">
        <v>48</v>
      </c>
    </row>
    <row r="35811">
      <c r="H35811" s="50"/>
      <c r="I35811" s="50"/>
      <c r="O35811" s="36" t="s">
        <v>48</v>
      </c>
      <c r="R35811" s="36" t="s">
        <v>48</v>
      </c>
    </row>
    <row r="35812">
      <c r="H35812" s="50"/>
      <c r="I35812" s="50"/>
      <c r="O35812" s="36" t="s">
        <v>48</v>
      </c>
      <c r="R35812" s="36" t="s">
        <v>48</v>
      </c>
    </row>
    <row r="35813">
      <c r="H35813" s="50"/>
      <c r="I35813" s="50"/>
      <c r="O35813" s="36" t="s">
        <v>48</v>
      </c>
      <c r="R35813" s="36" t="s">
        <v>48</v>
      </c>
    </row>
    <row r="35814">
      <c r="H35814" s="50"/>
      <c r="I35814" s="50"/>
      <c r="O35814" s="36" t="s">
        <v>48</v>
      </c>
      <c r="R35814" s="36" t="s">
        <v>48</v>
      </c>
    </row>
    <row r="35815">
      <c r="H35815" s="50"/>
      <c r="I35815" s="50"/>
      <c r="O35815" s="36" t="s">
        <v>48</v>
      </c>
      <c r="R35815" s="36" t="s">
        <v>48</v>
      </c>
    </row>
    <row r="35816">
      <c r="H35816" s="50"/>
      <c r="I35816" s="50"/>
      <c r="O35816" s="36" t="s">
        <v>48</v>
      </c>
      <c r="R35816" s="36" t="s">
        <v>48</v>
      </c>
    </row>
    <row r="35817">
      <c r="H35817" s="50"/>
      <c r="I35817" s="50"/>
      <c r="O35817" s="36" t="s">
        <v>48</v>
      </c>
      <c r="R35817" s="36" t="s">
        <v>48</v>
      </c>
    </row>
    <row r="35818">
      <c r="H35818" s="50"/>
      <c r="I35818" s="50"/>
      <c r="O35818" s="36" t="s">
        <v>48</v>
      </c>
      <c r="R35818" s="36" t="s">
        <v>48</v>
      </c>
    </row>
    <row r="35819">
      <c r="H35819" s="50"/>
      <c r="I35819" s="50"/>
      <c r="O35819" s="36" t="s">
        <v>48</v>
      </c>
      <c r="R35819" s="36" t="s">
        <v>48</v>
      </c>
    </row>
    <row r="35820">
      <c r="H35820" s="50"/>
      <c r="I35820" s="50"/>
      <c r="O35820" s="36" t="s">
        <v>48</v>
      </c>
      <c r="R35820" s="36" t="s">
        <v>48</v>
      </c>
    </row>
    <row r="35821">
      <c r="H35821" s="50"/>
      <c r="I35821" s="50"/>
      <c r="O35821" s="36" t="s">
        <v>48</v>
      </c>
      <c r="R35821" s="36" t="s">
        <v>48</v>
      </c>
    </row>
    <row r="35822">
      <c r="H35822" s="50"/>
      <c r="I35822" s="50"/>
      <c r="O35822" s="36" t="s">
        <v>48</v>
      </c>
      <c r="R35822" s="36" t="s">
        <v>48</v>
      </c>
    </row>
    <row r="35823">
      <c r="H35823" s="50"/>
      <c r="I35823" s="50"/>
      <c r="O35823" s="36" t="s">
        <v>48</v>
      </c>
      <c r="R35823" s="36" t="s">
        <v>48</v>
      </c>
    </row>
    <row r="35824">
      <c r="H35824" s="50"/>
      <c r="I35824" s="50"/>
      <c r="O35824" s="36" t="s">
        <v>48</v>
      </c>
      <c r="R35824" s="36" t="s">
        <v>48</v>
      </c>
    </row>
    <row r="35825">
      <c r="H35825" s="50"/>
      <c r="I35825" s="50"/>
      <c r="O35825" s="36" t="s">
        <v>48</v>
      </c>
      <c r="R35825" s="36" t="s">
        <v>48</v>
      </c>
    </row>
    <row r="35826">
      <c r="H35826" s="50"/>
      <c r="I35826" s="50"/>
      <c r="O35826" s="36" t="s">
        <v>48</v>
      </c>
      <c r="R35826" s="36" t="s">
        <v>48</v>
      </c>
    </row>
    <row r="35827">
      <c r="H35827" s="50"/>
      <c r="I35827" s="50"/>
      <c r="O35827" s="36" t="s">
        <v>48</v>
      </c>
      <c r="R35827" s="36" t="s">
        <v>48</v>
      </c>
    </row>
    <row r="35828">
      <c r="H35828" s="50"/>
      <c r="I35828" s="50"/>
      <c r="O35828" s="36" t="s">
        <v>48</v>
      </c>
      <c r="R35828" s="36" t="s">
        <v>48</v>
      </c>
    </row>
    <row r="35829">
      <c r="H35829" s="50"/>
      <c r="I35829" s="50"/>
      <c r="O35829" s="36" t="s">
        <v>48</v>
      </c>
      <c r="R35829" s="36" t="s">
        <v>48</v>
      </c>
    </row>
    <row r="35830">
      <c r="H35830" s="50"/>
      <c r="I35830" s="50"/>
      <c r="O35830" s="36" t="s">
        <v>48</v>
      </c>
      <c r="R35830" s="36" t="s">
        <v>48</v>
      </c>
    </row>
    <row r="35831">
      <c r="H35831" s="50"/>
      <c r="I35831" s="50"/>
      <c r="O35831" s="36" t="s">
        <v>48</v>
      </c>
      <c r="R35831" s="36" t="s">
        <v>48</v>
      </c>
    </row>
    <row r="35832">
      <c r="H35832" s="50"/>
      <c r="I35832" s="50"/>
      <c r="O35832" s="36" t="s">
        <v>48</v>
      </c>
      <c r="R35832" s="36" t="s">
        <v>48</v>
      </c>
    </row>
    <row r="35833">
      <c r="H35833" s="50"/>
      <c r="I35833" s="50"/>
      <c r="O35833" s="36" t="s">
        <v>48</v>
      </c>
      <c r="R35833" s="36" t="s">
        <v>48</v>
      </c>
    </row>
    <row r="35834">
      <c r="H35834" s="50"/>
      <c r="I35834" s="50"/>
      <c r="O35834" s="36" t="s">
        <v>48</v>
      </c>
      <c r="R35834" s="36" t="s">
        <v>48</v>
      </c>
    </row>
    <row r="35835">
      <c r="H35835" s="50"/>
      <c r="I35835" s="50"/>
      <c r="O35835" s="36" t="s">
        <v>48</v>
      </c>
      <c r="R35835" s="36" t="s">
        <v>48</v>
      </c>
    </row>
    <row r="35836">
      <c r="H35836" s="50"/>
      <c r="I35836" s="50"/>
      <c r="O35836" s="36" t="s">
        <v>48</v>
      </c>
      <c r="R35836" s="36" t="s">
        <v>48</v>
      </c>
    </row>
    <row r="35837">
      <c r="H35837" s="50"/>
      <c r="I35837" s="50"/>
      <c r="O35837" s="36" t="s">
        <v>48</v>
      </c>
      <c r="R35837" s="36" t="s">
        <v>48</v>
      </c>
    </row>
    <row r="35838">
      <c r="H35838" s="50"/>
      <c r="I35838" s="50"/>
      <c r="O35838" s="36" t="s">
        <v>48</v>
      </c>
      <c r="R35838" s="36" t="s">
        <v>48</v>
      </c>
    </row>
    <row r="35839">
      <c r="H35839" s="50"/>
      <c r="I35839" s="50"/>
      <c r="O35839" s="36" t="s">
        <v>48</v>
      </c>
      <c r="R35839" s="36" t="s">
        <v>48</v>
      </c>
    </row>
    <row r="35840">
      <c r="H35840" s="50"/>
      <c r="I35840" s="50"/>
      <c r="O35840" s="36" t="s">
        <v>48</v>
      </c>
      <c r="R35840" s="36" t="s">
        <v>48</v>
      </c>
    </row>
    <row r="35841">
      <c r="H35841" s="50"/>
      <c r="I35841" s="50"/>
      <c r="O35841" s="36" t="s">
        <v>48</v>
      </c>
      <c r="R35841" s="36" t="s">
        <v>48</v>
      </c>
    </row>
    <row r="35842">
      <c r="H35842" s="50"/>
      <c r="I35842" s="50"/>
      <c r="O35842" s="36" t="s">
        <v>48</v>
      </c>
      <c r="R35842" s="36" t="s">
        <v>48</v>
      </c>
    </row>
    <row r="35843">
      <c r="H35843" s="50"/>
      <c r="I35843" s="50"/>
      <c r="O35843" s="36" t="s">
        <v>48</v>
      </c>
      <c r="R35843" s="36" t="s">
        <v>48</v>
      </c>
    </row>
    <row r="35844">
      <c r="H35844" s="50"/>
      <c r="I35844" s="50"/>
      <c r="O35844" s="36" t="s">
        <v>48</v>
      </c>
      <c r="R35844" s="36" t="s">
        <v>48</v>
      </c>
    </row>
    <row r="35845">
      <c r="H35845" s="50"/>
      <c r="I35845" s="50"/>
      <c r="O35845" s="36" t="s">
        <v>48</v>
      </c>
      <c r="R35845" s="36" t="s">
        <v>48</v>
      </c>
    </row>
    <row r="35846">
      <c r="H35846" s="50"/>
      <c r="I35846" s="50"/>
      <c r="O35846" s="36" t="s">
        <v>48</v>
      </c>
      <c r="R35846" s="36" t="s">
        <v>48</v>
      </c>
    </row>
    <row r="35847">
      <c r="H35847" s="50"/>
      <c r="I35847" s="50"/>
      <c r="O35847" s="36" t="s">
        <v>48</v>
      </c>
      <c r="R35847" s="36" t="s">
        <v>48</v>
      </c>
    </row>
    <row r="35848">
      <c r="H35848" s="50"/>
      <c r="I35848" s="50"/>
      <c r="O35848" s="36" t="s">
        <v>48</v>
      </c>
      <c r="R35848" s="36" t="s">
        <v>48</v>
      </c>
    </row>
    <row r="35849">
      <c r="H35849" s="50"/>
      <c r="I35849" s="50"/>
      <c r="O35849" s="36" t="s">
        <v>48</v>
      </c>
      <c r="R35849" s="36" t="s">
        <v>48</v>
      </c>
    </row>
    <row r="35850">
      <c r="H35850" s="50"/>
      <c r="I35850" s="50"/>
      <c r="O35850" s="36" t="s">
        <v>48</v>
      </c>
      <c r="R35850" s="36" t="s">
        <v>48</v>
      </c>
    </row>
    <row r="35851">
      <c r="H35851" s="50"/>
      <c r="I35851" s="50"/>
      <c r="O35851" s="36" t="s">
        <v>48</v>
      </c>
      <c r="R35851" s="36" t="s">
        <v>48</v>
      </c>
    </row>
    <row r="35852">
      <c r="H35852" s="50"/>
      <c r="I35852" s="50"/>
      <c r="O35852" s="36" t="s">
        <v>48</v>
      </c>
      <c r="R35852" s="36" t="s">
        <v>48</v>
      </c>
    </row>
    <row r="35853">
      <c r="H35853" s="50"/>
      <c r="I35853" s="50"/>
      <c r="O35853" s="36" t="s">
        <v>48</v>
      </c>
      <c r="R35853" s="36" t="s">
        <v>48</v>
      </c>
    </row>
    <row r="35854">
      <c r="H35854" s="50"/>
      <c r="I35854" s="50"/>
      <c r="O35854" s="36" t="s">
        <v>48</v>
      </c>
      <c r="R35854" s="36" t="s">
        <v>48</v>
      </c>
    </row>
    <row r="35855">
      <c r="H35855" s="50"/>
      <c r="I35855" s="50"/>
      <c r="O35855" s="36" t="s">
        <v>48</v>
      </c>
      <c r="R35855" s="36" t="s">
        <v>48</v>
      </c>
    </row>
    <row r="35856">
      <c r="H35856" s="50"/>
      <c r="I35856" s="50"/>
      <c r="O35856" s="36" t="s">
        <v>48</v>
      </c>
      <c r="R35856" s="36" t="s">
        <v>48</v>
      </c>
    </row>
    <row r="35857">
      <c r="H35857" s="50"/>
      <c r="I35857" s="50"/>
      <c r="O35857" s="36" t="s">
        <v>48</v>
      </c>
      <c r="R35857" s="36" t="s">
        <v>48</v>
      </c>
    </row>
    <row r="35858">
      <c r="H35858" s="50"/>
      <c r="I35858" s="50"/>
      <c r="O35858" s="36" t="s">
        <v>48</v>
      </c>
      <c r="R35858" s="36" t="s">
        <v>48</v>
      </c>
    </row>
    <row r="35859">
      <c r="H35859" s="50"/>
      <c r="I35859" s="50"/>
      <c r="O35859" s="36" t="s">
        <v>48</v>
      </c>
      <c r="R35859" s="36" t="s">
        <v>48</v>
      </c>
    </row>
    <row r="35860">
      <c r="H35860" s="50"/>
      <c r="I35860" s="50"/>
      <c r="O35860" s="36" t="s">
        <v>48</v>
      </c>
      <c r="R35860" s="36" t="s">
        <v>48</v>
      </c>
    </row>
    <row r="35861">
      <c r="H35861" s="50"/>
      <c r="I35861" s="50"/>
      <c r="O35861" s="36" t="s">
        <v>48</v>
      </c>
      <c r="R35861" s="36" t="s">
        <v>48</v>
      </c>
    </row>
    <row r="35862">
      <c r="H35862" s="50"/>
      <c r="I35862" s="50"/>
      <c r="O35862" s="36" t="s">
        <v>48</v>
      </c>
      <c r="R35862" s="36" t="s">
        <v>48</v>
      </c>
    </row>
    <row r="35863">
      <c r="H35863" s="50"/>
      <c r="I35863" s="50"/>
      <c r="O35863" s="36" t="s">
        <v>48</v>
      </c>
      <c r="R35863" s="36" t="s">
        <v>48</v>
      </c>
    </row>
    <row r="35864">
      <c r="H35864" s="50"/>
      <c r="I35864" s="50"/>
      <c r="O35864" s="36" t="s">
        <v>48</v>
      </c>
      <c r="R35864" s="36" t="s">
        <v>48</v>
      </c>
    </row>
    <row r="35865">
      <c r="H35865" s="50"/>
      <c r="I35865" s="50"/>
      <c r="O35865" s="36" t="s">
        <v>48</v>
      </c>
      <c r="R35865" s="36" t="s">
        <v>48</v>
      </c>
    </row>
    <row r="35866">
      <c r="H35866" s="50"/>
      <c r="I35866" s="50"/>
      <c r="O35866" s="36" t="s">
        <v>48</v>
      </c>
      <c r="R35866" s="36" t="s">
        <v>48</v>
      </c>
    </row>
    <row r="35867">
      <c r="H35867" s="50"/>
      <c r="I35867" s="50"/>
      <c r="O35867" s="36" t="s">
        <v>48</v>
      </c>
      <c r="R35867" s="36" t="s">
        <v>48</v>
      </c>
    </row>
    <row r="35868">
      <c r="H35868" s="50"/>
      <c r="I35868" s="50"/>
      <c r="O35868" s="36" t="s">
        <v>48</v>
      </c>
      <c r="R35868" s="36" t="s">
        <v>48</v>
      </c>
    </row>
    <row r="35869">
      <c r="H35869" s="50"/>
      <c r="I35869" s="50"/>
      <c r="O35869" s="36" t="s">
        <v>48</v>
      </c>
      <c r="R35869" s="36" t="s">
        <v>48</v>
      </c>
    </row>
    <row r="35870">
      <c r="H35870" s="50"/>
      <c r="I35870" s="50"/>
      <c r="O35870" s="36" t="s">
        <v>48</v>
      </c>
      <c r="R35870" s="36" t="s">
        <v>48</v>
      </c>
    </row>
    <row r="35871">
      <c r="H35871" s="50"/>
      <c r="I35871" s="50"/>
      <c r="O35871" s="36" t="s">
        <v>48</v>
      </c>
      <c r="R35871" s="36" t="s">
        <v>48</v>
      </c>
    </row>
    <row r="35872">
      <c r="H35872" s="50"/>
      <c r="I35872" s="50"/>
      <c r="O35872" s="36" t="s">
        <v>48</v>
      </c>
      <c r="R35872" s="36" t="s">
        <v>48</v>
      </c>
    </row>
    <row r="35873">
      <c r="H35873" s="50"/>
      <c r="I35873" s="50"/>
      <c r="O35873" s="36" t="s">
        <v>48</v>
      </c>
      <c r="R35873" s="36" t="s">
        <v>48</v>
      </c>
    </row>
    <row r="35874">
      <c r="H35874" s="50"/>
      <c r="I35874" s="50"/>
      <c r="O35874" s="36" t="s">
        <v>48</v>
      </c>
      <c r="R35874" s="36" t="s">
        <v>48</v>
      </c>
    </row>
    <row r="35875">
      <c r="H35875" s="50"/>
      <c r="I35875" s="50"/>
      <c r="O35875" s="36" t="s">
        <v>48</v>
      </c>
      <c r="R35875" s="36" t="s">
        <v>48</v>
      </c>
    </row>
    <row r="35876">
      <c r="H35876" s="50"/>
      <c r="I35876" s="50"/>
      <c r="O35876" s="36" t="s">
        <v>48</v>
      </c>
      <c r="R35876" s="36" t="s">
        <v>48</v>
      </c>
    </row>
    <row r="35877">
      <c r="H35877" s="50"/>
      <c r="I35877" s="50"/>
      <c r="O35877" s="36" t="s">
        <v>48</v>
      </c>
      <c r="R35877" s="36" t="s">
        <v>48</v>
      </c>
    </row>
    <row r="35878">
      <c r="H35878" s="50"/>
      <c r="I35878" s="50"/>
      <c r="O35878" s="36" t="s">
        <v>48</v>
      </c>
      <c r="R35878" s="36" t="s">
        <v>48</v>
      </c>
    </row>
    <row r="35879">
      <c r="H35879" s="50"/>
      <c r="I35879" s="50"/>
      <c r="O35879" s="36" t="s">
        <v>48</v>
      </c>
      <c r="R35879" s="36" t="s">
        <v>48</v>
      </c>
    </row>
    <row r="35880">
      <c r="H35880" s="50"/>
      <c r="I35880" s="50"/>
      <c r="O35880" s="36" t="s">
        <v>48</v>
      </c>
      <c r="R35880" s="36" t="s">
        <v>48</v>
      </c>
    </row>
    <row r="35881">
      <c r="H35881" s="50"/>
      <c r="I35881" s="50"/>
      <c r="O35881" s="36" t="s">
        <v>48</v>
      </c>
      <c r="R35881" s="36" t="s">
        <v>48</v>
      </c>
    </row>
    <row r="35882">
      <c r="H35882" s="50"/>
      <c r="I35882" s="50"/>
      <c r="O35882" s="36" t="s">
        <v>48</v>
      </c>
      <c r="R35882" s="36" t="s">
        <v>48</v>
      </c>
    </row>
    <row r="35883">
      <c r="H35883" s="50"/>
      <c r="I35883" s="50"/>
      <c r="O35883" s="36" t="s">
        <v>48</v>
      </c>
      <c r="R35883" s="36" t="s">
        <v>48</v>
      </c>
    </row>
    <row r="35884">
      <c r="H35884" s="50"/>
      <c r="I35884" s="50"/>
      <c r="O35884" s="36" t="s">
        <v>48</v>
      </c>
      <c r="R35884" s="36" t="s">
        <v>48</v>
      </c>
    </row>
    <row r="35885">
      <c r="H35885" s="50"/>
      <c r="I35885" s="50"/>
      <c r="O35885" s="36" t="s">
        <v>48</v>
      </c>
      <c r="R35885" s="36" t="s">
        <v>48</v>
      </c>
    </row>
    <row r="35886">
      <c r="H35886" s="50"/>
      <c r="I35886" s="50"/>
      <c r="O35886" s="36" t="s">
        <v>48</v>
      </c>
      <c r="R35886" s="36" t="s">
        <v>48</v>
      </c>
    </row>
    <row r="35887">
      <c r="H35887" s="50"/>
      <c r="I35887" s="50"/>
      <c r="O35887" s="36" t="s">
        <v>48</v>
      </c>
      <c r="R35887" s="36" t="s">
        <v>48</v>
      </c>
    </row>
    <row r="35888">
      <c r="H35888" s="50"/>
      <c r="I35888" s="50"/>
      <c r="O35888" s="36" t="s">
        <v>48</v>
      </c>
      <c r="R35888" s="36" t="s">
        <v>48</v>
      </c>
    </row>
    <row r="35889">
      <c r="H35889" s="50"/>
      <c r="I35889" s="50"/>
      <c r="O35889" s="36" t="s">
        <v>48</v>
      </c>
      <c r="R35889" s="36" t="s">
        <v>48</v>
      </c>
    </row>
    <row r="35890">
      <c r="H35890" s="50"/>
      <c r="I35890" s="50"/>
      <c r="O35890" s="36" t="s">
        <v>48</v>
      </c>
      <c r="R35890" s="36" t="s">
        <v>48</v>
      </c>
    </row>
    <row r="35891">
      <c r="H35891" s="50"/>
      <c r="I35891" s="50"/>
      <c r="O35891" s="36" t="s">
        <v>48</v>
      </c>
      <c r="R35891" s="36" t="s">
        <v>48</v>
      </c>
    </row>
    <row r="35892">
      <c r="H35892" s="50"/>
      <c r="I35892" s="50"/>
      <c r="O35892" s="36" t="s">
        <v>48</v>
      </c>
      <c r="R35892" s="36" t="s">
        <v>48</v>
      </c>
    </row>
    <row r="35893">
      <c r="H35893" s="50"/>
      <c r="I35893" s="50"/>
      <c r="O35893" s="36" t="s">
        <v>48</v>
      </c>
      <c r="R35893" s="36" t="s">
        <v>48</v>
      </c>
    </row>
    <row r="35894">
      <c r="H35894" s="50"/>
      <c r="I35894" s="50"/>
      <c r="O35894" s="36" t="s">
        <v>48</v>
      </c>
      <c r="R35894" s="36" t="s">
        <v>48</v>
      </c>
    </row>
    <row r="35895">
      <c r="H35895" s="50"/>
      <c r="I35895" s="50"/>
      <c r="O35895" s="36" t="s">
        <v>48</v>
      </c>
      <c r="R35895" s="36" t="s">
        <v>48</v>
      </c>
    </row>
    <row r="35896">
      <c r="H35896" s="50"/>
      <c r="I35896" s="50"/>
      <c r="O35896" s="36" t="s">
        <v>48</v>
      </c>
      <c r="R35896" s="36" t="s">
        <v>48</v>
      </c>
    </row>
    <row r="35897">
      <c r="H35897" s="50"/>
      <c r="I35897" s="50"/>
      <c r="O35897" s="36" t="s">
        <v>48</v>
      </c>
      <c r="R35897" s="36" t="s">
        <v>48</v>
      </c>
    </row>
    <row r="35898">
      <c r="H35898" s="50"/>
      <c r="I35898" s="50"/>
      <c r="O35898" s="36" t="s">
        <v>48</v>
      </c>
      <c r="R35898" s="36" t="s">
        <v>48</v>
      </c>
    </row>
    <row r="35899">
      <c r="H35899" s="50"/>
      <c r="I35899" s="50"/>
      <c r="O35899" s="36" t="s">
        <v>48</v>
      </c>
      <c r="R35899" s="36" t="s">
        <v>48</v>
      </c>
    </row>
    <row r="35900">
      <c r="H35900" s="50"/>
      <c r="I35900" s="50"/>
      <c r="O35900" s="36" t="s">
        <v>48</v>
      </c>
      <c r="R35900" s="36" t="s">
        <v>48</v>
      </c>
    </row>
    <row r="35901">
      <c r="H35901" s="50"/>
      <c r="I35901" s="50"/>
      <c r="O35901" s="36" t="s">
        <v>48</v>
      </c>
      <c r="R35901" s="36" t="s">
        <v>48</v>
      </c>
    </row>
    <row r="35902">
      <c r="H35902" s="50"/>
      <c r="I35902" s="50"/>
      <c r="O35902" s="36" t="s">
        <v>48</v>
      </c>
      <c r="R35902" s="36" t="s">
        <v>48</v>
      </c>
    </row>
    <row r="35903">
      <c r="H35903" s="50"/>
      <c r="I35903" s="50"/>
      <c r="O35903" s="36" t="s">
        <v>48</v>
      </c>
      <c r="R35903" s="36" t="s">
        <v>48</v>
      </c>
    </row>
    <row r="35904">
      <c r="H35904" s="50"/>
      <c r="I35904" s="50"/>
      <c r="O35904" s="36" t="s">
        <v>48</v>
      </c>
      <c r="R35904" s="36" t="s">
        <v>48</v>
      </c>
    </row>
    <row r="35905">
      <c r="H35905" s="50"/>
      <c r="I35905" s="50"/>
      <c r="O35905" s="36" t="s">
        <v>48</v>
      </c>
      <c r="R35905" s="36" t="s">
        <v>48</v>
      </c>
    </row>
    <row r="35906">
      <c r="H35906" s="50"/>
      <c r="I35906" s="50"/>
      <c r="O35906" s="36" t="s">
        <v>48</v>
      </c>
      <c r="R35906" s="36" t="s">
        <v>48</v>
      </c>
    </row>
    <row r="35907">
      <c r="H35907" s="50"/>
      <c r="I35907" s="50"/>
      <c r="O35907" s="36" t="s">
        <v>48</v>
      </c>
      <c r="R35907" s="36" t="s">
        <v>48</v>
      </c>
    </row>
    <row r="35908">
      <c r="H35908" s="50"/>
      <c r="I35908" s="50"/>
      <c r="O35908" s="36" t="s">
        <v>48</v>
      </c>
      <c r="R35908" s="36" t="s">
        <v>48</v>
      </c>
    </row>
    <row r="35909">
      <c r="H35909" s="50"/>
      <c r="I35909" s="50"/>
      <c r="O35909" s="36" t="s">
        <v>48</v>
      </c>
      <c r="R35909" s="36" t="s">
        <v>48</v>
      </c>
    </row>
    <row r="35910">
      <c r="H35910" s="50"/>
      <c r="I35910" s="50"/>
      <c r="O35910" s="36" t="s">
        <v>48</v>
      </c>
      <c r="R35910" s="36" t="s">
        <v>48</v>
      </c>
    </row>
    <row r="35911">
      <c r="H35911" s="50"/>
      <c r="I35911" s="50"/>
      <c r="O35911" s="36" t="s">
        <v>48</v>
      </c>
      <c r="R35911" s="36" t="s">
        <v>48</v>
      </c>
    </row>
    <row r="35912">
      <c r="H35912" s="50"/>
      <c r="I35912" s="50"/>
      <c r="O35912" s="36" t="s">
        <v>48</v>
      </c>
      <c r="R35912" s="36" t="s">
        <v>48</v>
      </c>
    </row>
    <row r="35913">
      <c r="H35913" s="50"/>
      <c r="I35913" s="50"/>
      <c r="O35913" s="36" t="s">
        <v>48</v>
      </c>
      <c r="R35913" s="36" t="s">
        <v>48</v>
      </c>
    </row>
    <row r="35914">
      <c r="H35914" s="50"/>
      <c r="I35914" s="50"/>
      <c r="O35914" s="36" t="s">
        <v>48</v>
      </c>
      <c r="R35914" s="36" t="s">
        <v>48</v>
      </c>
    </row>
    <row r="35915">
      <c r="H35915" s="50"/>
      <c r="I35915" s="50"/>
      <c r="O35915" s="36" t="s">
        <v>48</v>
      </c>
      <c r="R35915" s="36" t="s">
        <v>48</v>
      </c>
    </row>
    <row r="35916">
      <c r="H35916" s="50"/>
      <c r="I35916" s="50"/>
      <c r="O35916" s="36" t="s">
        <v>48</v>
      </c>
      <c r="R35916" s="36" t="s">
        <v>48</v>
      </c>
    </row>
    <row r="35917">
      <c r="H35917" s="50"/>
      <c r="I35917" s="50"/>
      <c r="O35917" s="36" t="s">
        <v>48</v>
      </c>
      <c r="R35917" s="36" t="s">
        <v>48</v>
      </c>
    </row>
    <row r="35918">
      <c r="H35918" s="50"/>
      <c r="I35918" s="50"/>
      <c r="O35918" s="36" t="s">
        <v>48</v>
      </c>
      <c r="R35918" s="36" t="s">
        <v>48</v>
      </c>
    </row>
    <row r="35919">
      <c r="H35919" s="50"/>
      <c r="I35919" s="50"/>
      <c r="O35919" s="36" t="s">
        <v>48</v>
      </c>
      <c r="R35919" s="36" t="s">
        <v>48</v>
      </c>
    </row>
    <row r="35920">
      <c r="H35920" s="50"/>
      <c r="I35920" s="50"/>
      <c r="O35920" s="36" t="s">
        <v>48</v>
      </c>
      <c r="R35920" s="36" t="s">
        <v>48</v>
      </c>
    </row>
    <row r="35921">
      <c r="H35921" s="50"/>
      <c r="I35921" s="50"/>
      <c r="O35921" s="36" t="s">
        <v>48</v>
      </c>
      <c r="R35921" s="36" t="s">
        <v>48</v>
      </c>
    </row>
    <row r="35922">
      <c r="H35922" s="50"/>
      <c r="I35922" s="50"/>
      <c r="O35922" s="36" t="s">
        <v>48</v>
      </c>
      <c r="R35922" s="36" t="s">
        <v>48</v>
      </c>
    </row>
    <row r="35923">
      <c r="H35923" s="50"/>
      <c r="I35923" s="50"/>
      <c r="O35923" s="36" t="s">
        <v>48</v>
      </c>
      <c r="R35923" s="36" t="s">
        <v>48</v>
      </c>
    </row>
    <row r="35924">
      <c r="H35924" s="50"/>
      <c r="I35924" s="50"/>
      <c r="O35924" s="36" t="s">
        <v>48</v>
      </c>
      <c r="R35924" s="36" t="s">
        <v>48</v>
      </c>
    </row>
    <row r="35925">
      <c r="H35925" s="50"/>
      <c r="I35925" s="50"/>
      <c r="O35925" s="36" t="s">
        <v>48</v>
      </c>
      <c r="R35925" s="36" t="s">
        <v>48</v>
      </c>
    </row>
    <row r="35926">
      <c r="H35926" s="50"/>
      <c r="I35926" s="50"/>
      <c r="O35926" s="36" t="s">
        <v>48</v>
      </c>
      <c r="R35926" s="36" t="s">
        <v>48</v>
      </c>
    </row>
    <row r="35927">
      <c r="H35927" s="50"/>
      <c r="I35927" s="50"/>
      <c r="O35927" s="36" t="s">
        <v>48</v>
      </c>
      <c r="R35927" s="36" t="s">
        <v>48</v>
      </c>
    </row>
    <row r="35928">
      <c r="H35928" s="50"/>
      <c r="I35928" s="50"/>
      <c r="O35928" s="36" t="s">
        <v>48</v>
      </c>
      <c r="R35928" s="36" t="s">
        <v>48</v>
      </c>
    </row>
    <row r="35929">
      <c r="H35929" s="50"/>
      <c r="I35929" s="50"/>
      <c r="O35929" s="36" t="s">
        <v>48</v>
      </c>
      <c r="R35929" s="36" t="s">
        <v>48</v>
      </c>
    </row>
    <row r="35930">
      <c r="H35930" s="50"/>
      <c r="I35930" s="50"/>
      <c r="O35930" s="36" t="s">
        <v>48</v>
      </c>
      <c r="R35930" s="36" t="s">
        <v>48</v>
      </c>
    </row>
    <row r="35931">
      <c r="H35931" s="50"/>
      <c r="I35931" s="50"/>
      <c r="O35931" s="36" t="s">
        <v>48</v>
      </c>
      <c r="R35931" s="36" t="s">
        <v>48</v>
      </c>
    </row>
    <row r="35932">
      <c r="H35932" s="50"/>
      <c r="I35932" s="50"/>
      <c r="O35932" s="36" t="s">
        <v>48</v>
      </c>
      <c r="R35932" s="36" t="s">
        <v>48</v>
      </c>
    </row>
    <row r="35933">
      <c r="H35933" s="50"/>
      <c r="I35933" s="50"/>
      <c r="O35933" s="36" t="s">
        <v>48</v>
      </c>
      <c r="R35933" s="36" t="s">
        <v>48</v>
      </c>
    </row>
    <row r="35934">
      <c r="H35934" s="50"/>
      <c r="I35934" s="50"/>
      <c r="O35934" s="36" t="s">
        <v>48</v>
      </c>
      <c r="R35934" s="36" t="s">
        <v>48</v>
      </c>
    </row>
    <row r="35935">
      <c r="H35935" s="50"/>
      <c r="I35935" s="50"/>
      <c r="O35935" s="36" t="s">
        <v>48</v>
      </c>
      <c r="R35935" s="36" t="s">
        <v>48</v>
      </c>
    </row>
    <row r="35936">
      <c r="H35936" s="50"/>
      <c r="I35936" s="50"/>
      <c r="O35936" s="36" t="s">
        <v>48</v>
      </c>
      <c r="R35936" s="36" t="s">
        <v>48</v>
      </c>
    </row>
    <row r="35937">
      <c r="H35937" s="50"/>
      <c r="I35937" s="50"/>
      <c r="O35937" s="36" t="s">
        <v>48</v>
      </c>
      <c r="R35937" s="36" t="s">
        <v>48</v>
      </c>
    </row>
    <row r="35938">
      <c r="H35938" s="50"/>
      <c r="I35938" s="50"/>
      <c r="O35938" s="36" t="s">
        <v>48</v>
      </c>
      <c r="R35938" s="36" t="s">
        <v>48</v>
      </c>
    </row>
    <row r="35939">
      <c r="H35939" s="50"/>
      <c r="I35939" s="50"/>
      <c r="O35939" s="36" t="s">
        <v>48</v>
      </c>
      <c r="R35939" s="36" t="s">
        <v>48</v>
      </c>
    </row>
    <row r="35940">
      <c r="H35940" s="50"/>
      <c r="I35940" s="50"/>
      <c r="O35940" s="36" t="s">
        <v>48</v>
      </c>
      <c r="R35940" s="36" t="s">
        <v>48</v>
      </c>
    </row>
    <row r="35941">
      <c r="H35941" s="50"/>
      <c r="I35941" s="50"/>
      <c r="O35941" s="36" t="s">
        <v>48</v>
      </c>
      <c r="R35941" s="36" t="s">
        <v>48</v>
      </c>
    </row>
    <row r="35942">
      <c r="H35942" s="50"/>
      <c r="I35942" s="50"/>
      <c r="O35942" s="36" t="s">
        <v>48</v>
      </c>
      <c r="R35942" s="36" t="s">
        <v>48</v>
      </c>
    </row>
    <row r="35943">
      <c r="H35943" s="50"/>
      <c r="I35943" s="50"/>
      <c r="O35943" s="36" t="s">
        <v>48</v>
      </c>
      <c r="R35943" s="36" t="s">
        <v>48</v>
      </c>
    </row>
    <row r="35944">
      <c r="H35944" s="50"/>
      <c r="I35944" s="50"/>
      <c r="O35944" s="36" t="s">
        <v>48</v>
      </c>
      <c r="R35944" s="36" t="s">
        <v>48</v>
      </c>
    </row>
    <row r="35945">
      <c r="H35945" s="50"/>
      <c r="I35945" s="50"/>
      <c r="O35945" s="36" t="s">
        <v>48</v>
      </c>
      <c r="R35945" s="36" t="s">
        <v>48</v>
      </c>
    </row>
    <row r="35946">
      <c r="H35946" s="50"/>
      <c r="I35946" s="50"/>
      <c r="O35946" s="36" t="s">
        <v>48</v>
      </c>
      <c r="R35946" s="36" t="s">
        <v>48</v>
      </c>
    </row>
    <row r="35947">
      <c r="H35947" s="50"/>
      <c r="I35947" s="50"/>
      <c r="O35947" s="36" t="s">
        <v>48</v>
      </c>
      <c r="R35947" s="36" t="s">
        <v>48</v>
      </c>
    </row>
    <row r="35948">
      <c r="H35948" s="50"/>
      <c r="I35948" s="50"/>
      <c r="O35948" s="36" t="s">
        <v>48</v>
      </c>
      <c r="R35948" s="36" t="s">
        <v>48</v>
      </c>
    </row>
    <row r="35949">
      <c r="H35949" s="50"/>
      <c r="I35949" s="50"/>
      <c r="O35949" s="36" t="s">
        <v>48</v>
      </c>
      <c r="R35949" s="36" t="s">
        <v>48</v>
      </c>
    </row>
    <row r="35950">
      <c r="H35950" s="50"/>
      <c r="I35950" s="50"/>
      <c r="O35950" s="36" t="s">
        <v>48</v>
      </c>
      <c r="R35950" s="36" t="s">
        <v>48</v>
      </c>
    </row>
    <row r="35951">
      <c r="H35951" s="50"/>
      <c r="I35951" s="50"/>
      <c r="O35951" s="36" t="s">
        <v>48</v>
      </c>
      <c r="R35951" s="36" t="s">
        <v>48</v>
      </c>
    </row>
    <row r="35952">
      <c r="H35952" s="50"/>
      <c r="I35952" s="50"/>
      <c r="O35952" s="36" t="s">
        <v>48</v>
      </c>
      <c r="R35952" s="36" t="s">
        <v>48</v>
      </c>
    </row>
    <row r="35953">
      <c r="H35953" s="50"/>
      <c r="I35953" s="50"/>
      <c r="O35953" s="36" t="s">
        <v>48</v>
      </c>
      <c r="R35953" s="36" t="s">
        <v>48</v>
      </c>
    </row>
    <row r="35954">
      <c r="H35954" s="50"/>
      <c r="I35954" s="50"/>
      <c r="O35954" s="36" t="s">
        <v>48</v>
      </c>
      <c r="R35954" s="36" t="s">
        <v>48</v>
      </c>
    </row>
    <row r="35955">
      <c r="H35955" s="50"/>
      <c r="I35955" s="50"/>
      <c r="O35955" s="36" t="s">
        <v>48</v>
      </c>
      <c r="R35955" s="36" t="s">
        <v>48</v>
      </c>
    </row>
    <row r="35956">
      <c r="H35956" s="50"/>
      <c r="I35956" s="50"/>
      <c r="O35956" s="36" t="s">
        <v>48</v>
      </c>
      <c r="R35956" s="36" t="s">
        <v>48</v>
      </c>
    </row>
    <row r="35957">
      <c r="H35957" s="50"/>
      <c r="I35957" s="50"/>
      <c r="O35957" s="36" t="s">
        <v>48</v>
      </c>
      <c r="R35957" s="36" t="s">
        <v>48</v>
      </c>
    </row>
    <row r="35958">
      <c r="H35958" s="50"/>
      <c r="I35958" s="50"/>
      <c r="O35958" s="36" t="s">
        <v>48</v>
      </c>
      <c r="R35958" s="36" t="s">
        <v>48</v>
      </c>
    </row>
    <row r="35959">
      <c r="H35959" s="50"/>
      <c r="I35959" s="50"/>
      <c r="O35959" s="36" t="s">
        <v>48</v>
      </c>
      <c r="R35959" s="36" t="s">
        <v>48</v>
      </c>
    </row>
    <row r="35960">
      <c r="H35960" s="50"/>
      <c r="I35960" s="50"/>
      <c r="O35960" s="36" t="s">
        <v>48</v>
      </c>
      <c r="R35960" s="36" t="s">
        <v>48</v>
      </c>
    </row>
    <row r="35961">
      <c r="H35961" s="50"/>
      <c r="I35961" s="50"/>
      <c r="O35961" s="36" t="s">
        <v>48</v>
      </c>
      <c r="R35961" s="36" t="s">
        <v>48</v>
      </c>
    </row>
    <row r="35962">
      <c r="H35962" s="50"/>
      <c r="I35962" s="50"/>
      <c r="O35962" s="36" t="s">
        <v>48</v>
      </c>
      <c r="R35962" s="36" t="s">
        <v>48</v>
      </c>
    </row>
    <row r="35963">
      <c r="H35963" s="50"/>
      <c r="I35963" s="50"/>
      <c r="O35963" s="36" t="s">
        <v>48</v>
      </c>
      <c r="R35963" s="36" t="s">
        <v>48</v>
      </c>
    </row>
    <row r="35964">
      <c r="H35964" s="50"/>
      <c r="I35964" s="50"/>
      <c r="O35964" s="36" t="s">
        <v>48</v>
      </c>
      <c r="R35964" s="36" t="s">
        <v>48</v>
      </c>
    </row>
    <row r="35965">
      <c r="H35965" s="50"/>
      <c r="I35965" s="50"/>
      <c r="O35965" s="36" t="s">
        <v>48</v>
      </c>
      <c r="R35965" s="36" t="s">
        <v>48</v>
      </c>
    </row>
    <row r="35966">
      <c r="H35966" s="50"/>
      <c r="I35966" s="50"/>
      <c r="O35966" s="36" t="s">
        <v>48</v>
      </c>
      <c r="R35966" s="36" t="s">
        <v>48</v>
      </c>
    </row>
    <row r="35967">
      <c r="H35967" s="50"/>
      <c r="I35967" s="50"/>
      <c r="O35967" s="36" t="s">
        <v>48</v>
      </c>
      <c r="R35967" s="36" t="s">
        <v>48</v>
      </c>
    </row>
    <row r="35968">
      <c r="H35968" s="50"/>
      <c r="I35968" s="50"/>
      <c r="O35968" s="36" t="s">
        <v>48</v>
      </c>
      <c r="R35968" s="36" t="s">
        <v>48</v>
      </c>
    </row>
    <row r="35969">
      <c r="H35969" s="50"/>
      <c r="I35969" s="50"/>
      <c r="O35969" s="36" t="s">
        <v>48</v>
      </c>
      <c r="R35969" s="36" t="s">
        <v>48</v>
      </c>
    </row>
    <row r="35970">
      <c r="H35970" s="50"/>
      <c r="I35970" s="50"/>
      <c r="O35970" s="36" t="s">
        <v>48</v>
      </c>
      <c r="R35970" s="36" t="s">
        <v>48</v>
      </c>
    </row>
    <row r="35971">
      <c r="H35971" s="50"/>
      <c r="I35971" s="50"/>
      <c r="O35971" s="36" t="s">
        <v>48</v>
      </c>
      <c r="R35971" s="36" t="s">
        <v>48</v>
      </c>
    </row>
    <row r="35972">
      <c r="H35972" s="50"/>
      <c r="I35972" s="50"/>
      <c r="O35972" s="36" t="s">
        <v>48</v>
      </c>
      <c r="R35972" s="36" t="s">
        <v>48</v>
      </c>
    </row>
    <row r="35973">
      <c r="H35973" s="50"/>
      <c r="I35973" s="50"/>
      <c r="O35973" s="36" t="s">
        <v>48</v>
      </c>
      <c r="R35973" s="36" t="s">
        <v>48</v>
      </c>
    </row>
    <row r="35974">
      <c r="H35974" s="50"/>
      <c r="I35974" s="50"/>
      <c r="O35974" s="36" t="s">
        <v>48</v>
      </c>
      <c r="R35974" s="36" t="s">
        <v>48</v>
      </c>
    </row>
    <row r="35975">
      <c r="H35975" s="50"/>
      <c r="I35975" s="50"/>
      <c r="O35975" s="36" t="s">
        <v>48</v>
      </c>
      <c r="R35975" s="36" t="s">
        <v>48</v>
      </c>
    </row>
    <row r="35976">
      <c r="H35976" s="50"/>
      <c r="I35976" s="50"/>
      <c r="O35976" s="36" t="s">
        <v>48</v>
      </c>
      <c r="R35976" s="36" t="s">
        <v>48</v>
      </c>
    </row>
    <row r="35977">
      <c r="H35977" s="50"/>
      <c r="I35977" s="50"/>
      <c r="O35977" s="36" t="s">
        <v>48</v>
      </c>
      <c r="R35977" s="36" t="s">
        <v>48</v>
      </c>
    </row>
    <row r="35978">
      <c r="H35978" s="50"/>
      <c r="I35978" s="50"/>
      <c r="O35978" s="36" t="s">
        <v>48</v>
      </c>
      <c r="R35978" s="36" t="s">
        <v>48</v>
      </c>
    </row>
    <row r="35979">
      <c r="H35979" s="50"/>
      <c r="I35979" s="50"/>
      <c r="O35979" s="36" t="s">
        <v>48</v>
      </c>
      <c r="R35979" s="36" t="s">
        <v>48</v>
      </c>
    </row>
    <row r="35980">
      <c r="H35980" s="50"/>
      <c r="I35980" s="50"/>
      <c r="O35980" s="36" t="s">
        <v>48</v>
      </c>
      <c r="R35980" s="36" t="s">
        <v>48</v>
      </c>
    </row>
    <row r="35981">
      <c r="H35981" s="50"/>
      <c r="I35981" s="50"/>
      <c r="O35981" s="36" t="s">
        <v>48</v>
      </c>
      <c r="R35981" s="36" t="s">
        <v>48</v>
      </c>
    </row>
    <row r="35982">
      <c r="H35982" s="50"/>
      <c r="I35982" s="50"/>
      <c r="O35982" s="36" t="s">
        <v>48</v>
      </c>
      <c r="R35982" s="36" t="s">
        <v>48</v>
      </c>
    </row>
    <row r="35983">
      <c r="H35983" s="50"/>
      <c r="I35983" s="50"/>
      <c r="O35983" s="36" t="s">
        <v>48</v>
      </c>
      <c r="R35983" s="36" t="s">
        <v>48</v>
      </c>
    </row>
    <row r="35984">
      <c r="H35984" s="50"/>
      <c r="I35984" s="50"/>
      <c r="O35984" s="36" t="s">
        <v>48</v>
      </c>
      <c r="R35984" s="36" t="s">
        <v>48</v>
      </c>
    </row>
    <row r="35985">
      <c r="H35985" s="50"/>
      <c r="I35985" s="50"/>
      <c r="O35985" s="36" t="s">
        <v>48</v>
      </c>
      <c r="R35985" s="36" t="s">
        <v>48</v>
      </c>
    </row>
    <row r="35986">
      <c r="H35986" s="50"/>
      <c r="I35986" s="50"/>
      <c r="O35986" s="36" t="s">
        <v>48</v>
      </c>
      <c r="R35986" s="36" t="s">
        <v>48</v>
      </c>
    </row>
    <row r="35987">
      <c r="H35987" s="50"/>
      <c r="I35987" s="50"/>
      <c r="O35987" s="36" t="s">
        <v>48</v>
      </c>
      <c r="R35987" s="36" t="s">
        <v>48</v>
      </c>
    </row>
    <row r="35988">
      <c r="H35988" s="50"/>
      <c r="I35988" s="50"/>
      <c r="O35988" s="36" t="s">
        <v>48</v>
      </c>
      <c r="R35988" s="36" t="s">
        <v>48</v>
      </c>
    </row>
    <row r="35989">
      <c r="H35989" s="50"/>
      <c r="I35989" s="50"/>
      <c r="O35989" s="36" t="s">
        <v>48</v>
      </c>
      <c r="R35989" s="36" t="s">
        <v>48</v>
      </c>
    </row>
    <row r="35990">
      <c r="H35990" s="50"/>
      <c r="I35990" s="50"/>
      <c r="O35990" s="36" t="s">
        <v>48</v>
      </c>
      <c r="R35990" s="36" t="s">
        <v>48</v>
      </c>
    </row>
    <row r="35991">
      <c r="H35991" s="50"/>
      <c r="I35991" s="50"/>
      <c r="O35991" s="36" t="s">
        <v>48</v>
      </c>
      <c r="R35991" s="36" t="s">
        <v>48</v>
      </c>
    </row>
    <row r="35992">
      <c r="H35992" s="50"/>
      <c r="I35992" s="50"/>
      <c r="O35992" s="36" t="s">
        <v>48</v>
      </c>
      <c r="R35992" s="36" t="s">
        <v>48</v>
      </c>
    </row>
    <row r="35993">
      <c r="H35993" s="50"/>
      <c r="I35993" s="50"/>
      <c r="O35993" s="36" t="s">
        <v>48</v>
      </c>
      <c r="R35993" s="36" t="s">
        <v>48</v>
      </c>
    </row>
    <row r="35994">
      <c r="H35994" s="50"/>
      <c r="I35994" s="50"/>
      <c r="O35994" s="36" t="s">
        <v>48</v>
      </c>
      <c r="R35994" s="36" t="s">
        <v>48</v>
      </c>
    </row>
    <row r="35995">
      <c r="H35995" s="50"/>
      <c r="I35995" s="50"/>
      <c r="O35995" s="36" t="s">
        <v>48</v>
      </c>
      <c r="R35995" s="36" t="s">
        <v>48</v>
      </c>
    </row>
    <row r="35996">
      <c r="H35996" s="50"/>
      <c r="I35996" s="50"/>
      <c r="O35996" s="36" t="s">
        <v>48</v>
      </c>
      <c r="R35996" s="36" t="s">
        <v>48</v>
      </c>
    </row>
    <row r="35997">
      <c r="H35997" s="50"/>
      <c r="I35997" s="50"/>
      <c r="O35997" s="36" t="s">
        <v>48</v>
      </c>
      <c r="R35997" s="36" t="s">
        <v>48</v>
      </c>
    </row>
    <row r="35998">
      <c r="H35998" s="50"/>
      <c r="I35998" s="50"/>
      <c r="O35998" s="36" t="s">
        <v>48</v>
      </c>
      <c r="R35998" s="36" t="s">
        <v>48</v>
      </c>
    </row>
    <row r="35999">
      <c r="H35999" s="50"/>
      <c r="I35999" s="50"/>
      <c r="O35999" s="36" t="s">
        <v>48</v>
      </c>
      <c r="R35999" s="36" t="s">
        <v>48</v>
      </c>
    </row>
    <row r="36000">
      <c r="H36000" s="50"/>
      <c r="I36000" s="50"/>
      <c r="O36000" s="36" t="s">
        <v>48</v>
      </c>
      <c r="R36000" s="36" t="s">
        <v>48</v>
      </c>
    </row>
    <row r="36001">
      <c r="H36001" s="50"/>
      <c r="I36001" s="50"/>
      <c r="O36001" s="36" t="s">
        <v>48</v>
      </c>
      <c r="R36001" s="36" t="s">
        <v>48</v>
      </c>
    </row>
    <row r="36002">
      <c r="H36002" s="50"/>
      <c r="I36002" s="50"/>
      <c r="O36002" s="36" t="s">
        <v>48</v>
      </c>
      <c r="R36002" s="36" t="s">
        <v>48</v>
      </c>
    </row>
    <row r="36003">
      <c r="H36003" s="50"/>
      <c r="I36003" s="50"/>
      <c r="O36003" s="36" t="s">
        <v>48</v>
      </c>
      <c r="R36003" s="36" t="s">
        <v>48</v>
      </c>
    </row>
    <row r="36004">
      <c r="H36004" s="50"/>
      <c r="I36004" s="50"/>
      <c r="O36004" s="36" t="s">
        <v>48</v>
      </c>
      <c r="R36004" s="36" t="s">
        <v>48</v>
      </c>
    </row>
    <row r="36005">
      <c r="H36005" s="50"/>
      <c r="I36005" s="50"/>
      <c r="O36005" s="36" t="s">
        <v>48</v>
      </c>
      <c r="R36005" s="36" t="s">
        <v>48</v>
      </c>
    </row>
    <row r="36006">
      <c r="H36006" s="50"/>
      <c r="I36006" s="50"/>
      <c r="O36006" s="36" t="s">
        <v>48</v>
      </c>
      <c r="R36006" s="36" t="s">
        <v>48</v>
      </c>
    </row>
    <row r="36007">
      <c r="H36007" s="50"/>
      <c r="I36007" s="50"/>
      <c r="O36007" s="36" t="s">
        <v>48</v>
      </c>
      <c r="R36007" s="36" t="s">
        <v>48</v>
      </c>
    </row>
    <row r="36008">
      <c r="H36008" s="50"/>
      <c r="I36008" s="50"/>
      <c r="O36008" s="36" t="s">
        <v>48</v>
      </c>
      <c r="R36008" s="36" t="s">
        <v>48</v>
      </c>
    </row>
    <row r="36009">
      <c r="H36009" s="50"/>
      <c r="I36009" s="50"/>
      <c r="O36009" s="36" t="s">
        <v>48</v>
      </c>
      <c r="R36009" s="36" t="s">
        <v>48</v>
      </c>
    </row>
    <row r="36010">
      <c r="H36010" s="50"/>
      <c r="I36010" s="50"/>
      <c r="O36010" s="36" t="s">
        <v>48</v>
      </c>
      <c r="R36010" s="36" t="s">
        <v>48</v>
      </c>
    </row>
    <row r="36011">
      <c r="H36011" s="50"/>
      <c r="I36011" s="50"/>
      <c r="O36011" s="36" t="s">
        <v>48</v>
      </c>
      <c r="R36011" s="36" t="s">
        <v>48</v>
      </c>
    </row>
    <row r="36012">
      <c r="H36012" s="50"/>
      <c r="I36012" s="50"/>
      <c r="O36012" s="36" t="s">
        <v>48</v>
      </c>
      <c r="R36012" s="36" t="s">
        <v>48</v>
      </c>
    </row>
    <row r="36013">
      <c r="H36013" s="50"/>
      <c r="I36013" s="50"/>
      <c r="O36013" s="36" t="s">
        <v>48</v>
      </c>
      <c r="R36013" s="36" t="s">
        <v>48</v>
      </c>
    </row>
    <row r="36014">
      <c r="H36014" s="50"/>
      <c r="I36014" s="50"/>
      <c r="O36014" s="36" t="s">
        <v>48</v>
      </c>
      <c r="R36014" s="36" t="s">
        <v>48</v>
      </c>
    </row>
    <row r="36015">
      <c r="H36015" s="50"/>
      <c r="I36015" s="50"/>
      <c r="O36015" s="36" t="s">
        <v>48</v>
      </c>
      <c r="R36015" s="36" t="s">
        <v>48</v>
      </c>
    </row>
    <row r="36016">
      <c r="H36016" s="50"/>
      <c r="I36016" s="50"/>
      <c r="O36016" s="36" t="s">
        <v>48</v>
      </c>
      <c r="R36016" s="36" t="s">
        <v>48</v>
      </c>
    </row>
    <row r="36017">
      <c r="H36017" s="50"/>
      <c r="I36017" s="50"/>
      <c r="O36017" s="36" t="s">
        <v>48</v>
      </c>
      <c r="R36017" s="36" t="s">
        <v>48</v>
      </c>
    </row>
    <row r="36018">
      <c r="H36018" s="50"/>
      <c r="I36018" s="50"/>
      <c r="O36018" s="36" t="s">
        <v>48</v>
      </c>
      <c r="R36018" s="36" t="s">
        <v>48</v>
      </c>
    </row>
    <row r="36019">
      <c r="H36019" s="50"/>
      <c r="I36019" s="50"/>
      <c r="O36019" s="36" t="s">
        <v>48</v>
      </c>
      <c r="R36019" s="36" t="s">
        <v>48</v>
      </c>
    </row>
    <row r="36020">
      <c r="H36020" s="50"/>
      <c r="I36020" s="50"/>
      <c r="O36020" s="36" t="s">
        <v>48</v>
      </c>
      <c r="R36020" s="36" t="s">
        <v>48</v>
      </c>
    </row>
    <row r="36021">
      <c r="H36021" s="50"/>
      <c r="I36021" s="50"/>
      <c r="O36021" s="36" t="s">
        <v>48</v>
      </c>
      <c r="R36021" s="36" t="s">
        <v>48</v>
      </c>
    </row>
    <row r="36022">
      <c r="H36022" s="50"/>
      <c r="I36022" s="50"/>
      <c r="O36022" s="36" t="s">
        <v>48</v>
      </c>
      <c r="R36022" s="36" t="s">
        <v>48</v>
      </c>
    </row>
    <row r="36023">
      <c r="H36023" s="50"/>
      <c r="I36023" s="50"/>
      <c r="O36023" s="36" t="s">
        <v>48</v>
      </c>
      <c r="R36023" s="36" t="s">
        <v>48</v>
      </c>
    </row>
    <row r="36024">
      <c r="H36024" s="50"/>
      <c r="I36024" s="50"/>
      <c r="O36024" s="36" t="s">
        <v>48</v>
      </c>
      <c r="R36024" s="36" t="s">
        <v>48</v>
      </c>
    </row>
    <row r="36025">
      <c r="H36025" s="50"/>
      <c r="I36025" s="50"/>
      <c r="O36025" s="36" t="s">
        <v>48</v>
      </c>
      <c r="R36025" s="36" t="s">
        <v>48</v>
      </c>
    </row>
    <row r="36026">
      <c r="H36026" s="50"/>
      <c r="I36026" s="50"/>
      <c r="O36026" s="36" t="s">
        <v>48</v>
      </c>
      <c r="R36026" s="36" t="s">
        <v>48</v>
      </c>
    </row>
    <row r="36027">
      <c r="H36027" s="50"/>
      <c r="I36027" s="50"/>
      <c r="O36027" s="36" t="s">
        <v>48</v>
      </c>
      <c r="R36027" s="36" t="s">
        <v>48</v>
      </c>
    </row>
    <row r="36028">
      <c r="H36028" s="50"/>
      <c r="I36028" s="50"/>
      <c r="O36028" s="36" t="s">
        <v>48</v>
      </c>
      <c r="R36028" s="36" t="s">
        <v>48</v>
      </c>
    </row>
    <row r="36029">
      <c r="H36029" s="50"/>
      <c r="I36029" s="50"/>
      <c r="O36029" s="36" t="s">
        <v>48</v>
      </c>
      <c r="R36029" s="36" t="s">
        <v>48</v>
      </c>
    </row>
    <row r="36030">
      <c r="H36030" s="50"/>
      <c r="I36030" s="50"/>
      <c r="O36030" s="36" t="s">
        <v>48</v>
      </c>
      <c r="R36030" s="36" t="s">
        <v>48</v>
      </c>
    </row>
    <row r="36031">
      <c r="H36031" s="50"/>
      <c r="I36031" s="50"/>
      <c r="O36031" s="36" t="s">
        <v>48</v>
      </c>
      <c r="R36031" s="36" t="s">
        <v>48</v>
      </c>
    </row>
    <row r="36032">
      <c r="H36032" s="50"/>
      <c r="I36032" s="50"/>
      <c r="O36032" s="36" t="s">
        <v>48</v>
      </c>
      <c r="R36032" s="36" t="s">
        <v>48</v>
      </c>
    </row>
    <row r="36033">
      <c r="H36033" s="50"/>
      <c r="I36033" s="50"/>
      <c r="O36033" s="36" t="s">
        <v>48</v>
      </c>
      <c r="R36033" s="36" t="s">
        <v>48</v>
      </c>
    </row>
    <row r="36034">
      <c r="H36034" s="50"/>
      <c r="I36034" s="50"/>
      <c r="O36034" s="36" t="s">
        <v>48</v>
      </c>
      <c r="R36034" s="36" t="s">
        <v>48</v>
      </c>
    </row>
    <row r="36035">
      <c r="H36035" s="50"/>
      <c r="I36035" s="50"/>
      <c r="O36035" s="36" t="s">
        <v>48</v>
      </c>
      <c r="R36035" s="36" t="s">
        <v>48</v>
      </c>
    </row>
    <row r="36036">
      <c r="H36036" s="50"/>
      <c r="I36036" s="50"/>
      <c r="O36036" s="36" t="s">
        <v>48</v>
      </c>
      <c r="R36036" s="36" t="s">
        <v>48</v>
      </c>
    </row>
    <row r="36037">
      <c r="H36037" s="50"/>
      <c r="I36037" s="50"/>
      <c r="O36037" s="36" t="s">
        <v>48</v>
      </c>
      <c r="R36037" s="36" t="s">
        <v>48</v>
      </c>
    </row>
    <row r="36038">
      <c r="H36038" s="50"/>
      <c r="I36038" s="50"/>
      <c r="O36038" s="36" t="s">
        <v>48</v>
      </c>
      <c r="R36038" s="36" t="s">
        <v>48</v>
      </c>
    </row>
    <row r="36039">
      <c r="H36039" s="50"/>
      <c r="I36039" s="50"/>
      <c r="O36039" s="36" t="s">
        <v>48</v>
      </c>
      <c r="R36039" s="36" t="s">
        <v>48</v>
      </c>
    </row>
    <row r="36040">
      <c r="H36040" s="50"/>
      <c r="I36040" s="50"/>
      <c r="O36040" s="36" t="s">
        <v>48</v>
      </c>
      <c r="R36040" s="36" t="s">
        <v>48</v>
      </c>
    </row>
    <row r="36041">
      <c r="H36041" s="50"/>
      <c r="I36041" s="50"/>
      <c r="O36041" s="36" t="s">
        <v>48</v>
      </c>
      <c r="R36041" s="36" t="s">
        <v>48</v>
      </c>
    </row>
    <row r="36042">
      <c r="H36042" s="50"/>
      <c r="I36042" s="50"/>
      <c r="O36042" s="36" t="s">
        <v>48</v>
      </c>
      <c r="R36042" s="36" t="s">
        <v>48</v>
      </c>
    </row>
    <row r="36043">
      <c r="H36043" s="50"/>
      <c r="I36043" s="50"/>
      <c r="O36043" s="36" t="s">
        <v>48</v>
      </c>
      <c r="R36043" s="36" t="s">
        <v>48</v>
      </c>
    </row>
    <row r="36044">
      <c r="H36044" s="50"/>
      <c r="I36044" s="50"/>
      <c r="O36044" s="36" t="s">
        <v>48</v>
      </c>
      <c r="R36044" s="36" t="s">
        <v>48</v>
      </c>
    </row>
    <row r="36045">
      <c r="H36045" s="50"/>
      <c r="I36045" s="50"/>
      <c r="O36045" s="36" t="s">
        <v>48</v>
      </c>
      <c r="R36045" s="36" t="s">
        <v>48</v>
      </c>
    </row>
    <row r="36046">
      <c r="H36046" s="50"/>
      <c r="I36046" s="50"/>
      <c r="O36046" s="36" t="s">
        <v>48</v>
      </c>
      <c r="R36046" s="36" t="s">
        <v>48</v>
      </c>
    </row>
    <row r="36047">
      <c r="H36047" s="50"/>
      <c r="I36047" s="50"/>
      <c r="O36047" s="36" t="s">
        <v>48</v>
      </c>
      <c r="R36047" s="36" t="s">
        <v>48</v>
      </c>
    </row>
    <row r="36048">
      <c r="H36048" s="50"/>
      <c r="I36048" s="50"/>
      <c r="O36048" s="36" t="s">
        <v>48</v>
      </c>
      <c r="R36048" s="36" t="s">
        <v>48</v>
      </c>
    </row>
    <row r="36049">
      <c r="H36049" s="50"/>
      <c r="I36049" s="50"/>
      <c r="O36049" s="36" t="s">
        <v>48</v>
      </c>
      <c r="R36049" s="36" t="s">
        <v>48</v>
      </c>
    </row>
    <row r="36050">
      <c r="H36050" s="50"/>
      <c r="I36050" s="50"/>
      <c r="O36050" s="36" t="s">
        <v>48</v>
      </c>
      <c r="R36050" s="36" t="s">
        <v>48</v>
      </c>
    </row>
    <row r="36051">
      <c r="H36051" s="50"/>
      <c r="I36051" s="50"/>
      <c r="O36051" s="36" t="s">
        <v>48</v>
      </c>
      <c r="R36051" s="36" t="s">
        <v>48</v>
      </c>
    </row>
    <row r="36052">
      <c r="H36052" s="50"/>
      <c r="I36052" s="50"/>
      <c r="O36052" s="36" t="s">
        <v>48</v>
      </c>
      <c r="R36052" s="36" t="s">
        <v>48</v>
      </c>
    </row>
    <row r="36053">
      <c r="H36053" s="50"/>
      <c r="I36053" s="50"/>
      <c r="O36053" s="36" t="s">
        <v>48</v>
      </c>
      <c r="R36053" s="36" t="s">
        <v>48</v>
      </c>
    </row>
    <row r="36054">
      <c r="H36054" s="50"/>
      <c r="I36054" s="50"/>
      <c r="O36054" s="36" t="s">
        <v>48</v>
      </c>
      <c r="R36054" s="36" t="s">
        <v>48</v>
      </c>
    </row>
    <row r="36055">
      <c r="H36055" s="50"/>
      <c r="I36055" s="50"/>
      <c r="O36055" s="36" t="s">
        <v>48</v>
      </c>
      <c r="R36055" s="36" t="s">
        <v>48</v>
      </c>
    </row>
    <row r="36056">
      <c r="H36056" s="50"/>
      <c r="I36056" s="50"/>
      <c r="O36056" s="36" t="s">
        <v>48</v>
      </c>
      <c r="R36056" s="36" t="s">
        <v>48</v>
      </c>
    </row>
    <row r="36057">
      <c r="H36057" s="50"/>
      <c r="I36057" s="50"/>
      <c r="O36057" s="36" t="s">
        <v>48</v>
      </c>
      <c r="R36057" s="36" t="s">
        <v>48</v>
      </c>
    </row>
    <row r="36058">
      <c r="H36058" s="50"/>
      <c r="I36058" s="50"/>
      <c r="O36058" s="36" t="s">
        <v>48</v>
      </c>
      <c r="R36058" s="36" t="s">
        <v>48</v>
      </c>
    </row>
    <row r="36059">
      <c r="H36059" s="50"/>
      <c r="I36059" s="50"/>
      <c r="O36059" s="36" t="s">
        <v>48</v>
      </c>
      <c r="R36059" s="36" t="s">
        <v>48</v>
      </c>
    </row>
    <row r="36060">
      <c r="H36060" s="50"/>
      <c r="I36060" s="50"/>
      <c r="O36060" s="36" t="s">
        <v>48</v>
      </c>
      <c r="R36060" s="36" t="s">
        <v>48</v>
      </c>
    </row>
    <row r="36061">
      <c r="H36061" s="50"/>
      <c r="I36061" s="50"/>
      <c r="O36061" s="36" t="s">
        <v>48</v>
      </c>
      <c r="R36061" s="36" t="s">
        <v>48</v>
      </c>
    </row>
    <row r="36062">
      <c r="H36062" s="50"/>
      <c r="I36062" s="50"/>
      <c r="O36062" s="36" t="s">
        <v>48</v>
      </c>
      <c r="R36062" s="36" t="s">
        <v>48</v>
      </c>
    </row>
    <row r="36063">
      <c r="H36063" s="50"/>
      <c r="I36063" s="50"/>
      <c r="O36063" s="36" t="s">
        <v>48</v>
      </c>
      <c r="R36063" s="36" t="s">
        <v>48</v>
      </c>
    </row>
    <row r="36064">
      <c r="H36064" s="50"/>
      <c r="I36064" s="50"/>
      <c r="O36064" s="36" t="s">
        <v>48</v>
      </c>
      <c r="R36064" s="36" t="s">
        <v>48</v>
      </c>
    </row>
    <row r="36065">
      <c r="H36065" s="50"/>
      <c r="I36065" s="50"/>
      <c r="O36065" s="36" t="s">
        <v>48</v>
      </c>
      <c r="R36065" s="36" t="s">
        <v>48</v>
      </c>
    </row>
    <row r="36066">
      <c r="H36066" s="50"/>
      <c r="I36066" s="50"/>
      <c r="O36066" s="36" t="s">
        <v>48</v>
      </c>
      <c r="R36066" s="36" t="s">
        <v>48</v>
      </c>
    </row>
    <row r="36067">
      <c r="H36067" s="50"/>
      <c r="I36067" s="50"/>
      <c r="O36067" s="36" t="s">
        <v>48</v>
      </c>
      <c r="R36067" s="36" t="s">
        <v>48</v>
      </c>
    </row>
    <row r="36068">
      <c r="H36068" s="50"/>
      <c r="I36068" s="50"/>
      <c r="O36068" s="36" t="s">
        <v>48</v>
      </c>
      <c r="R36068" s="36" t="s">
        <v>48</v>
      </c>
    </row>
    <row r="36069">
      <c r="H36069" s="50"/>
      <c r="I36069" s="50"/>
      <c r="O36069" s="36" t="s">
        <v>48</v>
      </c>
      <c r="R36069" s="36" t="s">
        <v>48</v>
      </c>
    </row>
    <row r="36070">
      <c r="H36070" s="50"/>
      <c r="I36070" s="50"/>
      <c r="O36070" s="36" t="s">
        <v>48</v>
      </c>
      <c r="R36070" s="36" t="s">
        <v>48</v>
      </c>
    </row>
    <row r="36071">
      <c r="H36071" s="50"/>
      <c r="I36071" s="50"/>
      <c r="O36071" s="36" t="s">
        <v>48</v>
      </c>
      <c r="R36071" s="36" t="s">
        <v>48</v>
      </c>
    </row>
    <row r="36072">
      <c r="H36072" s="50"/>
      <c r="I36072" s="50"/>
      <c r="O36072" s="36" t="s">
        <v>48</v>
      </c>
      <c r="R36072" s="36" t="s">
        <v>48</v>
      </c>
    </row>
    <row r="36073">
      <c r="H36073" s="50"/>
      <c r="I36073" s="50"/>
      <c r="O36073" s="36" t="s">
        <v>48</v>
      </c>
      <c r="R36073" s="36" t="s">
        <v>48</v>
      </c>
    </row>
    <row r="36074">
      <c r="H36074" s="50"/>
      <c r="I36074" s="50"/>
      <c r="O36074" s="36" t="s">
        <v>48</v>
      </c>
      <c r="R36074" s="36" t="s">
        <v>48</v>
      </c>
    </row>
    <row r="36075">
      <c r="H36075" s="50"/>
      <c r="I36075" s="50"/>
      <c r="O36075" s="36" t="s">
        <v>48</v>
      </c>
      <c r="R36075" s="36" t="s">
        <v>48</v>
      </c>
    </row>
    <row r="36076">
      <c r="H36076" s="50"/>
      <c r="I36076" s="50"/>
      <c r="O36076" s="36" t="s">
        <v>48</v>
      </c>
      <c r="R36076" s="36" t="s">
        <v>48</v>
      </c>
    </row>
    <row r="36077">
      <c r="H36077" s="50"/>
      <c r="I36077" s="50"/>
      <c r="O36077" s="36" t="s">
        <v>48</v>
      </c>
      <c r="R36077" s="36" t="s">
        <v>48</v>
      </c>
    </row>
    <row r="36078">
      <c r="H36078" s="50"/>
      <c r="I36078" s="50"/>
      <c r="O36078" s="36" t="s">
        <v>48</v>
      </c>
      <c r="R36078" s="36" t="s">
        <v>48</v>
      </c>
    </row>
    <row r="36079">
      <c r="H36079" s="50"/>
      <c r="I36079" s="50"/>
      <c r="O36079" s="36" t="s">
        <v>48</v>
      </c>
      <c r="R36079" s="36" t="s">
        <v>48</v>
      </c>
    </row>
    <row r="36080">
      <c r="H36080" s="50"/>
      <c r="I36080" s="50"/>
      <c r="O36080" s="36" t="s">
        <v>48</v>
      </c>
      <c r="R36080" s="36" t="s">
        <v>48</v>
      </c>
    </row>
    <row r="36081">
      <c r="H36081" s="50"/>
      <c r="I36081" s="50"/>
      <c r="O36081" s="36" t="s">
        <v>48</v>
      </c>
      <c r="R36081" s="36" t="s">
        <v>48</v>
      </c>
    </row>
    <row r="36082">
      <c r="H36082" s="50"/>
      <c r="I36082" s="50"/>
      <c r="O36082" s="36" t="s">
        <v>48</v>
      </c>
      <c r="R36082" s="36" t="s">
        <v>48</v>
      </c>
    </row>
    <row r="36083">
      <c r="H36083" s="50"/>
      <c r="I36083" s="50"/>
      <c r="O36083" s="36" t="s">
        <v>48</v>
      </c>
      <c r="R36083" s="36" t="s">
        <v>48</v>
      </c>
    </row>
    <row r="36084">
      <c r="H36084" s="50"/>
      <c r="I36084" s="50"/>
      <c r="O36084" s="36" t="s">
        <v>48</v>
      </c>
      <c r="R36084" s="36" t="s">
        <v>48</v>
      </c>
    </row>
    <row r="36085">
      <c r="H36085" s="50"/>
      <c r="I36085" s="50"/>
      <c r="O36085" s="36" t="s">
        <v>48</v>
      </c>
      <c r="R36085" s="36" t="s">
        <v>48</v>
      </c>
    </row>
    <row r="36086">
      <c r="H36086" s="50"/>
      <c r="I36086" s="50"/>
      <c r="O36086" s="36" t="s">
        <v>48</v>
      </c>
      <c r="R36086" s="36" t="s">
        <v>48</v>
      </c>
    </row>
    <row r="36087">
      <c r="H36087" s="50"/>
      <c r="I36087" s="50"/>
      <c r="O36087" s="36" t="s">
        <v>48</v>
      </c>
      <c r="R36087" s="36" t="s">
        <v>48</v>
      </c>
    </row>
    <row r="36088">
      <c r="H36088" s="50"/>
      <c r="I36088" s="50"/>
      <c r="O36088" s="36" t="s">
        <v>48</v>
      </c>
      <c r="R36088" s="36" t="s">
        <v>48</v>
      </c>
    </row>
    <row r="36089">
      <c r="H36089" s="50"/>
      <c r="I36089" s="50"/>
      <c r="O36089" s="36" t="s">
        <v>48</v>
      </c>
      <c r="R36089" s="36" t="s">
        <v>48</v>
      </c>
    </row>
    <row r="36090">
      <c r="H36090" s="50"/>
      <c r="I36090" s="50"/>
      <c r="O36090" s="36" t="s">
        <v>48</v>
      </c>
      <c r="R36090" s="36" t="s">
        <v>48</v>
      </c>
    </row>
    <row r="36091">
      <c r="H36091" s="50"/>
      <c r="I36091" s="50"/>
      <c r="O36091" s="36" t="s">
        <v>48</v>
      </c>
      <c r="R36091" s="36" t="s">
        <v>48</v>
      </c>
    </row>
    <row r="36092">
      <c r="H36092" s="50"/>
      <c r="I36092" s="50"/>
      <c r="O36092" s="36" t="s">
        <v>48</v>
      </c>
      <c r="R36092" s="36" t="s">
        <v>48</v>
      </c>
    </row>
    <row r="36093">
      <c r="H36093" s="50"/>
      <c r="I36093" s="50"/>
      <c r="O36093" s="36" t="s">
        <v>48</v>
      </c>
      <c r="R36093" s="36" t="s">
        <v>48</v>
      </c>
    </row>
    <row r="36094">
      <c r="H36094" s="50"/>
      <c r="I36094" s="50"/>
      <c r="O36094" s="36" t="s">
        <v>48</v>
      </c>
      <c r="R36094" s="36" t="s">
        <v>48</v>
      </c>
    </row>
    <row r="36095">
      <c r="H36095" s="50"/>
      <c r="I36095" s="50"/>
      <c r="O36095" s="36" t="s">
        <v>48</v>
      </c>
      <c r="R36095" s="36" t="s">
        <v>48</v>
      </c>
    </row>
    <row r="36096">
      <c r="H36096" s="50"/>
      <c r="I36096" s="50"/>
      <c r="O36096" s="36" t="s">
        <v>48</v>
      </c>
      <c r="R36096" s="36" t="s">
        <v>48</v>
      </c>
    </row>
    <row r="36097">
      <c r="H36097" s="50"/>
      <c r="I36097" s="50"/>
      <c r="O36097" s="36" t="s">
        <v>48</v>
      </c>
      <c r="R36097" s="36" t="s">
        <v>48</v>
      </c>
    </row>
    <row r="36098">
      <c r="H36098" s="50"/>
      <c r="I36098" s="50"/>
      <c r="O36098" s="36" t="s">
        <v>48</v>
      </c>
      <c r="R36098" s="36" t="s">
        <v>48</v>
      </c>
    </row>
    <row r="36099">
      <c r="H36099" s="50"/>
      <c r="I36099" s="50"/>
      <c r="O36099" s="36" t="s">
        <v>48</v>
      </c>
      <c r="R36099" s="36" t="s">
        <v>48</v>
      </c>
    </row>
    <row r="36100">
      <c r="H36100" s="50"/>
      <c r="I36100" s="50"/>
      <c r="O36100" s="36" t="s">
        <v>48</v>
      </c>
      <c r="R36100" s="36" t="s">
        <v>48</v>
      </c>
    </row>
    <row r="36101">
      <c r="H36101" s="50"/>
      <c r="I36101" s="50"/>
      <c r="O36101" s="36" t="s">
        <v>48</v>
      </c>
      <c r="R36101" s="36" t="s">
        <v>48</v>
      </c>
    </row>
    <row r="36102">
      <c r="H36102" s="50"/>
      <c r="I36102" s="50"/>
      <c r="O36102" s="36" t="s">
        <v>48</v>
      </c>
      <c r="R36102" s="36" t="s">
        <v>48</v>
      </c>
    </row>
    <row r="36103">
      <c r="H36103" s="50"/>
      <c r="I36103" s="50"/>
      <c r="O36103" s="36" t="s">
        <v>48</v>
      </c>
      <c r="R36103" s="36" t="s">
        <v>48</v>
      </c>
    </row>
    <row r="36104">
      <c r="H36104" s="50"/>
      <c r="I36104" s="50"/>
      <c r="O36104" s="36" t="s">
        <v>48</v>
      </c>
      <c r="R36104" s="36" t="s">
        <v>48</v>
      </c>
    </row>
    <row r="36105">
      <c r="H36105" s="50"/>
      <c r="I36105" s="50"/>
      <c r="O36105" s="36" t="s">
        <v>48</v>
      </c>
      <c r="R36105" s="36" t="s">
        <v>48</v>
      </c>
    </row>
    <row r="36106">
      <c r="H36106" s="50"/>
      <c r="I36106" s="50"/>
      <c r="O36106" s="36" t="s">
        <v>48</v>
      </c>
      <c r="R36106" s="36" t="s">
        <v>48</v>
      </c>
    </row>
    <row r="36107">
      <c r="H36107" s="50"/>
      <c r="I36107" s="50"/>
      <c r="O36107" s="36" t="s">
        <v>48</v>
      </c>
      <c r="R36107" s="36" t="s">
        <v>48</v>
      </c>
    </row>
    <row r="36108">
      <c r="H36108" s="50"/>
      <c r="I36108" s="50"/>
      <c r="O36108" s="36" t="s">
        <v>48</v>
      </c>
      <c r="R36108" s="36" t="s">
        <v>48</v>
      </c>
    </row>
    <row r="36109">
      <c r="H36109" s="50"/>
      <c r="I36109" s="50"/>
      <c r="O36109" s="36" t="s">
        <v>48</v>
      </c>
      <c r="R36109" s="36" t="s">
        <v>48</v>
      </c>
    </row>
    <row r="36110">
      <c r="H36110" s="50"/>
      <c r="I36110" s="50"/>
      <c r="O36110" s="36" t="s">
        <v>48</v>
      </c>
      <c r="R36110" s="36" t="s">
        <v>48</v>
      </c>
    </row>
    <row r="36111">
      <c r="H36111" s="50"/>
      <c r="I36111" s="50"/>
      <c r="O36111" s="36" t="s">
        <v>48</v>
      </c>
      <c r="R36111" s="36" t="s">
        <v>48</v>
      </c>
    </row>
    <row r="36112">
      <c r="H36112" s="50"/>
      <c r="I36112" s="50"/>
      <c r="O36112" s="36" t="s">
        <v>48</v>
      </c>
      <c r="R36112" s="36" t="s">
        <v>48</v>
      </c>
    </row>
    <row r="36113">
      <c r="H36113" s="50"/>
      <c r="I36113" s="50"/>
      <c r="O36113" s="36" t="s">
        <v>48</v>
      </c>
      <c r="R36113" s="36" t="s">
        <v>48</v>
      </c>
    </row>
    <row r="36114">
      <c r="H36114" s="50"/>
      <c r="I36114" s="50"/>
      <c r="O36114" s="36" t="s">
        <v>48</v>
      </c>
      <c r="R36114" s="36" t="s">
        <v>48</v>
      </c>
    </row>
    <row r="36115">
      <c r="H36115" s="50"/>
      <c r="I36115" s="50"/>
      <c r="O36115" s="36" t="s">
        <v>48</v>
      </c>
      <c r="R36115" s="36" t="s">
        <v>48</v>
      </c>
    </row>
    <row r="36116">
      <c r="H36116" s="50"/>
      <c r="I36116" s="50"/>
      <c r="O36116" s="36" t="s">
        <v>48</v>
      </c>
      <c r="R36116" s="36" t="s">
        <v>48</v>
      </c>
    </row>
    <row r="36117">
      <c r="H36117" s="50"/>
      <c r="I36117" s="50"/>
      <c r="O36117" s="36" t="s">
        <v>48</v>
      </c>
      <c r="R36117" s="36" t="s">
        <v>48</v>
      </c>
    </row>
    <row r="36118">
      <c r="H36118" s="50"/>
      <c r="I36118" s="50"/>
      <c r="O36118" s="36" t="s">
        <v>48</v>
      </c>
      <c r="R36118" s="36" t="s">
        <v>48</v>
      </c>
    </row>
    <row r="36119">
      <c r="H36119" s="50"/>
      <c r="I36119" s="50"/>
      <c r="O36119" s="36" t="s">
        <v>48</v>
      </c>
      <c r="R36119" s="36" t="s">
        <v>48</v>
      </c>
    </row>
    <row r="36120">
      <c r="H36120" s="50"/>
      <c r="I36120" s="50"/>
      <c r="O36120" s="36" t="s">
        <v>48</v>
      </c>
      <c r="R36120" s="36" t="s">
        <v>48</v>
      </c>
    </row>
    <row r="36121">
      <c r="H36121" s="50"/>
      <c r="I36121" s="50"/>
      <c r="O36121" s="36" t="s">
        <v>48</v>
      </c>
      <c r="R36121" s="36" t="s">
        <v>48</v>
      </c>
    </row>
    <row r="36122">
      <c r="H36122" s="50"/>
      <c r="I36122" s="50"/>
      <c r="O36122" s="36" t="s">
        <v>48</v>
      </c>
      <c r="R36122" s="36" t="s">
        <v>48</v>
      </c>
    </row>
    <row r="36123">
      <c r="H36123" s="50"/>
      <c r="I36123" s="50"/>
      <c r="O36123" s="36" t="s">
        <v>48</v>
      </c>
      <c r="R36123" s="36" t="s">
        <v>48</v>
      </c>
    </row>
    <row r="36124">
      <c r="H36124" s="50"/>
      <c r="I36124" s="50"/>
      <c r="O36124" s="36" t="s">
        <v>48</v>
      </c>
      <c r="R36124" s="36" t="s">
        <v>48</v>
      </c>
    </row>
    <row r="36125">
      <c r="H36125" s="50"/>
      <c r="I36125" s="50"/>
      <c r="O36125" s="36" t="s">
        <v>48</v>
      </c>
      <c r="R36125" s="36" t="s">
        <v>48</v>
      </c>
    </row>
    <row r="36126">
      <c r="H36126" s="50"/>
      <c r="I36126" s="50"/>
      <c r="O36126" s="36" t="s">
        <v>48</v>
      </c>
      <c r="R36126" s="36" t="s">
        <v>48</v>
      </c>
    </row>
    <row r="36127">
      <c r="H36127" s="50"/>
      <c r="I36127" s="50"/>
      <c r="O36127" s="36" t="s">
        <v>48</v>
      </c>
      <c r="R36127" s="36" t="s">
        <v>48</v>
      </c>
    </row>
    <row r="36128">
      <c r="H36128" s="50"/>
      <c r="I36128" s="50"/>
      <c r="O36128" s="36" t="s">
        <v>48</v>
      </c>
      <c r="R36128" s="36" t="s">
        <v>48</v>
      </c>
    </row>
    <row r="36129">
      <c r="H36129" s="50"/>
      <c r="I36129" s="50"/>
      <c r="O36129" s="36" t="s">
        <v>48</v>
      </c>
      <c r="R36129" s="36" t="s">
        <v>48</v>
      </c>
    </row>
    <row r="36130">
      <c r="H36130" s="50"/>
      <c r="I36130" s="50"/>
      <c r="O36130" s="36" t="s">
        <v>48</v>
      </c>
      <c r="R36130" s="36" t="s">
        <v>48</v>
      </c>
    </row>
    <row r="36131">
      <c r="H36131" s="50"/>
      <c r="I36131" s="50"/>
      <c r="O36131" s="36" t="s">
        <v>48</v>
      </c>
      <c r="R36131" s="36" t="s">
        <v>48</v>
      </c>
    </row>
    <row r="36132">
      <c r="H36132" s="50"/>
      <c r="I36132" s="50"/>
      <c r="O36132" s="36" t="s">
        <v>48</v>
      </c>
      <c r="R36132" s="36" t="s">
        <v>48</v>
      </c>
    </row>
    <row r="36133">
      <c r="H36133" s="50"/>
      <c r="I36133" s="50"/>
      <c r="O36133" s="36" t="s">
        <v>48</v>
      </c>
      <c r="R36133" s="36" t="s">
        <v>48</v>
      </c>
    </row>
    <row r="36134">
      <c r="H36134" s="50"/>
      <c r="I36134" s="50"/>
      <c r="O36134" s="36" t="s">
        <v>48</v>
      </c>
      <c r="R36134" s="36" t="s">
        <v>48</v>
      </c>
    </row>
    <row r="36135">
      <c r="H36135" s="50"/>
      <c r="I36135" s="50"/>
      <c r="O36135" s="36" t="s">
        <v>48</v>
      </c>
      <c r="R36135" s="36" t="s">
        <v>48</v>
      </c>
    </row>
    <row r="36136">
      <c r="H36136" s="50"/>
      <c r="I36136" s="50"/>
      <c r="O36136" s="36" t="s">
        <v>48</v>
      </c>
      <c r="R36136" s="36" t="s">
        <v>48</v>
      </c>
    </row>
    <row r="36137">
      <c r="H36137" s="50"/>
      <c r="I36137" s="50"/>
      <c r="O36137" s="36" t="s">
        <v>48</v>
      </c>
      <c r="R36137" s="36" t="s">
        <v>48</v>
      </c>
    </row>
    <row r="36138">
      <c r="H36138" s="50"/>
      <c r="I36138" s="50"/>
      <c r="O36138" s="36" t="s">
        <v>48</v>
      </c>
      <c r="R36138" s="36" t="s">
        <v>48</v>
      </c>
    </row>
    <row r="36139">
      <c r="H36139" s="50"/>
      <c r="I36139" s="50"/>
      <c r="O36139" s="36" t="s">
        <v>48</v>
      </c>
      <c r="R36139" s="36" t="s">
        <v>48</v>
      </c>
    </row>
    <row r="36140">
      <c r="H36140" s="50"/>
      <c r="I36140" s="50"/>
      <c r="O36140" s="36" t="s">
        <v>48</v>
      </c>
      <c r="R36140" s="36" t="s">
        <v>48</v>
      </c>
    </row>
    <row r="36141">
      <c r="H36141" s="50"/>
      <c r="I36141" s="50"/>
      <c r="O36141" s="36" t="s">
        <v>48</v>
      </c>
      <c r="R36141" s="36" t="s">
        <v>48</v>
      </c>
    </row>
    <row r="36142">
      <c r="H36142" s="50"/>
      <c r="I36142" s="50"/>
      <c r="O36142" s="36" t="s">
        <v>48</v>
      </c>
      <c r="R36142" s="36" t="s">
        <v>48</v>
      </c>
    </row>
    <row r="36143">
      <c r="H36143" s="50"/>
      <c r="I36143" s="50"/>
      <c r="O36143" s="36" t="s">
        <v>48</v>
      </c>
      <c r="R36143" s="36" t="s">
        <v>48</v>
      </c>
    </row>
    <row r="36144">
      <c r="H36144" s="50"/>
      <c r="I36144" s="50"/>
      <c r="O36144" s="36" t="s">
        <v>48</v>
      </c>
      <c r="R36144" s="36" t="s">
        <v>48</v>
      </c>
    </row>
    <row r="36145">
      <c r="H36145" s="50"/>
      <c r="I36145" s="50"/>
      <c r="O36145" s="36" t="s">
        <v>48</v>
      </c>
      <c r="R36145" s="36" t="s">
        <v>48</v>
      </c>
    </row>
    <row r="36146">
      <c r="H36146" s="50"/>
      <c r="I36146" s="50"/>
      <c r="O36146" s="36" t="s">
        <v>48</v>
      </c>
      <c r="R36146" s="36" t="s">
        <v>48</v>
      </c>
    </row>
    <row r="36147">
      <c r="H36147" s="50"/>
      <c r="I36147" s="50"/>
      <c r="O36147" s="36" t="s">
        <v>48</v>
      </c>
      <c r="R36147" s="36" t="s">
        <v>48</v>
      </c>
    </row>
    <row r="36148">
      <c r="H36148" s="50"/>
      <c r="I36148" s="50"/>
      <c r="O36148" s="36" t="s">
        <v>48</v>
      </c>
      <c r="R36148" s="36" t="s">
        <v>48</v>
      </c>
    </row>
    <row r="36149">
      <c r="H36149" s="50"/>
      <c r="I36149" s="50"/>
      <c r="O36149" s="36" t="s">
        <v>48</v>
      </c>
      <c r="R36149" s="36" t="s">
        <v>48</v>
      </c>
    </row>
    <row r="36150">
      <c r="H36150" s="50"/>
      <c r="I36150" s="50"/>
      <c r="O36150" s="36" t="s">
        <v>48</v>
      </c>
      <c r="R36150" s="36" t="s">
        <v>48</v>
      </c>
    </row>
    <row r="36151">
      <c r="H36151" s="50"/>
      <c r="I36151" s="50"/>
      <c r="O36151" s="36" t="s">
        <v>48</v>
      </c>
      <c r="R36151" s="36" t="s">
        <v>48</v>
      </c>
    </row>
    <row r="36152">
      <c r="H36152" s="50"/>
      <c r="I36152" s="50"/>
      <c r="O36152" s="36" t="s">
        <v>48</v>
      </c>
      <c r="R36152" s="36" t="s">
        <v>48</v>
      </c>
    </row>
    <row r="36153">
      <c r="H36153" s="50"/>
      <c r="I36153" s="50"/>
      <c r="O36153" s="36" t="s">
        <v>48</v>
      </c>
      <c r="R36153" s="36" t="s">
        <v>48</v>
      </c>
    </row>
    <row r="36154">
      <c r="H36154" s="50"/>
      <c r="I36154" s="50"/>
      <c r="O36154" s="36" t="s">
        <v>48</v>
      </c>
      <c r="R36154" s="36" t="s">
        <v>48</v>
      </c>
    </row>
    <row r="36155">
      <c r="H36155" s="50"/>
      <c r="I36155" s="50"/>
      <c r="O36155" s="36" t="s">
        <v>48</v>
      </c>
      <c r="R36155" s="36" t="s">
        <v>48</v>
      </c>
    </row>
    <row r="36156">
      <c r="H36156" s="50"/>
      <c r="I36156" s="50"/>
      <c r="O36156" s="36" t="s">
        <v>48</v>
      </c>
      <c r="R36156" s="36" t="s">
        <v>48</v>
      </c>
    </row>
    <row r="36157">
      <c r="H36157" s="50"/>
      <c r="I36157" s="50"/>
      <c r="O36157" s="36" t="s">
        <v>48</v>
      </c>
      <c r="R36157" s="36" t="s">
        <v>48</v>
      </c>
    </row>
    <row r="36158">
      <c r="H36158" s="50"/>
      <c r="I36158" s="50"/>
      <c r="O36158" s="36" t="s">
        <v>48</v>
      </c>
      <c r="R36158" s="36" t="s">
        <v>48</v>
      </c>
    </row>
    <row r="36159">
      <c r="H36159" s="50"/>
      <c r="I36159" s="50"/>
      <c r="O36159" s="36" t="s">
        <v>48</v>
      </c>
      <c r="R36159" s="36" t="s">
        <v>48</v>
      </c>
    </row>
    <row r="36160">
      <c r="H36160" s="50"/>
      <c r="I36160" s="50"/>
      <c r="O36160" s="36" t="s">
        <v>48</v>
      </c>
      <c r="R36160" s="36" t="s">
        <v>48</v>
      </c>
    </row>
    <row r="36161">
      <c r="H36161" s="50"/>
      <c r="I36161" s="50"/>
      <c r="O36161" s="36" t="s">
        <v>48</v>
      </c>
      <c r="R36161" s="36" t="s">
        <v>48</v>
      </c>
    </row>
    <row r="36162">
      <c r="H36162" s="50"/>
      <c r="I36162" s="50"/>
      <c r="O36162" s="36" t="s">
        <v>48</v>
      </c>
      <c r="R36162" s="36" t="s">
        <v>48</v>
      </c>
    </row>
    <row r="36163">
      <c r="H36163" s="50"/>
      <c r="I36163" s="50"/>
      <c r="O36163" s="36" t="s">
        <v>48</v>
      </c>
      <c r="R36163" s="36" t="s">
        <v>48</v>
      </c>
    </row>
    <row r="36164">
      <c r="H36164" s="50"/>
      <c r="I36164" s="50"/>
      <c r="O36164" s="36" t="s">
        <v>48</v>
      </c>
      <c r="R36164" s="36" t="s">
        <v>48</v>
      </c>
    </row>
    <row r="36165">
      <c r="H36165" s="50"/>
      <c r="I36165" s="50"/>
      <c r="O36165" s="36" t="s">
        <v>48</v>
      </c>
      <c r="R36165" s="36" t="s">
        <v>48</v>
      </c>
    </row>
    <row r="36166">
      <c r="H36166" s="50"/>
      <c r="I36166" s="50"/>
      <c r="O36166" s="36" t="s">
        <v>48</v>
      </c>
      <c r="R36166" s="36" t="s">
        <v>48</v>
      </c>
    </row>
    <row r="36167">
      <c r="H36167" s="50"/>
      <c r="I36167" s="50"/>
      <c r="O36167" s="36" t="s">
        <v>48</v>
      </c>
      <c r="R36167" s="36" t="s">
        <v>48</v>
      </c>
    </row>
    <row r="36168">
      <c r="H36168" s="50"/>
      <c r="I36168" s="50"/>
      <c r="O36168" s="36" t="s">
        <v>48</v>
      </c>
      <c r="R36168" s="36" t="s">
        <v>48</v>
      </c>
    </row>
    <row r="36169">
      <c r="H36169" s="50"/>
      <c r="I36169" s="50"/>
      <c r="O36169" s="36" t="s">
        <v>48</v>
      </c>
      <c r="R36169" s="36" t="s">
        <v>48</v>
      </c>
    </row>
    <row r="36170">
      <c r="H36170" s="50"/>
      <c r="I36170" s="50"/>
      <c r="O36170" s="36" t="s">
        <v>48</v>
      </c>
      <c r="R36170" s="36" t="s">
        <v>48</v>
      </c>
    </row>
    <row r="36171">
      <c r="H36171" s="50"/>
      <c r="I36171" s="50"/>
      <c r="O36171" s="36" t="s">
        <v>48</v>
      </c>
      <c r="R36171" s="36" t="s">
        <v>48</v>
      </c>
    </row>
    <row r="36172">
      <c r="H36172" s="50"/>
      <c r="I36172" s="50"/>
      <c r="O36172" s="36" t="s">
        <v>48</v>
      </c>
      <c r="R36172" s="36" t="s">
        <v>48</v>
      </c>
    </row>
    <row r="36173">
      <c r="H36173" s="50"/>
      <c r="I36173" s="50"/>
      <c r="O36173" s="36" t="s">
        <v>48</v>
      </c>
      <c r="R36173" s="36" t="s">
        <v>48</v>
      </c>
    </row>
    <row r="36174">
      <c r="H36174" s="50"/>
      <c r="I36174" s="50"/>
      <c r="O36174" s="36" t="s">
        <v>48</v>
      </c>
      <c r="R36174" s="36" t="s">
        <v>48</v>
      </c>
    </row>
    <row r="36175">
      <c r="H36175" s="50"/>
      <c r="I36175" s="50"/>
      <c r="O36175" s="36" t="s">
        <v>48</v>
      </c>
      <c r="R36175" s="36" t="s">
        <v>48</v>
      </c>
    </row>
    <row r="36176">
      <c r="H36176" s="50"/>
      <c r="I36176" s="50"/>
      <c r="O36176" s="36" t="s">
        <v>48</v>
      </c>
      <c r="R36176" s="36" t="s">
        <v>48</v>
      </c>
    </row>
    <row r="36177">
      <c r="H36177" s="50"/>
      <c r="I36177" s="50"/>
      <c r="O36177" s="36" t="s">
        <v>48</v>
      </c>
      <c r="R36177" s="36" t="s">
        <v>48</v>
      </c>
    </row>
    <row r="36178">
      <c r="H36178" s="50"/>
      <c r="I36178" s="50"/>
      <c r="O36178" s="36" t="s">
        <v>48</v>
      </c>
      <c r="R36178" s="36" t="s">
        <v>48</v>
      </c>
    </row>
    <row r="36179">
      <c r="H36179" s="50"/>
      <c r="I36179" s="50"/>
      <c r="O36179" s="36" t="s">
        <v>48</v>
      </c>
      <c r="R36179" s="36" t="s">
        <v>48</v>
      </c>
    </row>
    <row r="36180">
      <c r="H36180" s="50"/>
      <c r="I36180" s="50"/>
      <c r="O36180" s="36" t="s">
        <v>48</v>
      </c>
      <c r="R36180" s="36" t="s">
        <v>48</v>
      </c>
    </row>
    <row r="36181">
      <c r="H36181" s="50"/>
      <c r="I36181" s="50"/>
      <c r="O36181" s="36" t="s">
        <v>48</v>
      </c>
      <c r="R36181" s="36" t="s">
        <v>48</v>
      </c>
    </row>
    <row r="36182">
      <c r="H36182" s="50"/>
      <c r="I36182" s="50"/>
      <c r="O36182" s="36" t="s">
        <v>48</v>
      </c>
      <c r="R36182" s="36" t="s">
        <v>48</v>
      </c>
    </row>
    <row r="36183">
      <c r="H36183" s="50"/>
      <c r="I36183" s="50"/>
      <c r="O36183" s="36" t="s">
        <v>48</v>
      </c>
      <c r="R36183" s="36" t="s">
        <v>48</v>
      </c>
    </row>
    <row r="36184">
      <c r="H36184" s="50"/>
      <c r="I36184" s="50"/>
      <c r="O36184" s="36" t="s">
        <v>48</v>
      </c>
      <c r="R36184" s="36" t="s">
        <v>48</v>
      </c>
    </row>
    <row r="36185">
      <c r="H36185" s="50"/>
      <c r="I36185" s="50"/>
      <c r="O36185" s="36" t="s">
        <v>48</v>
      </c>
      <c r="R36185" s="36" t="s">
        <v>48</v>
      </c>
    </row>
    <row r="36186">
      <c r="H36186" s="50"/>
      <c r="I36186" s="50"/>
      <c r="O36186" s="36" t="s">
        <v>48</v>
      </c>
      <c r="R36186" s="36" t="s">
        <v>48</v>
      </c>
    </row>
    <row r="36187">
      <c r="H36187" s="50"/>
      <c r="I36187" s="50"/>
      <c r="O36187" s="36" t="s">
        <v>48</v>
      </c>
      <c r="R36187" s="36" t="s">
        <v>48</v>
      </c>
    </row>
    <row r="36188">
      <c r="H36188" s="50"/>
      <c r="I36188" s="50"/>
      <c r="O36188" s="36" t="s">
        <v>48</v>
      </c>
      <c r="R36188" s="36" t="s">
        <v>48</v>
      </c>
    </row>
    <row r="36189">
      <c r="H36189" s="50"/>
      <c r="I36189" s="50"/>
      <c r="O36189" s="36" t="s">
        <v>48</v>
      </c>
      <c r="R36189" s="36" t="s">
        <v>48</v>
      </c>
    </row>
    <row r="36190">
      <c r="H36190" s="50"/>
      <c r="I36190" s="50"/>
      <c r="O36190" s="36" t="s">
        <v>48</v>
      </c>
      <c r="R36190" s="36" t="s">
        <v>48</v>
      </c>
    </row>
    <row r="36191">
      <c r="H36191" s="50"/>
      <c r="I36191" s="50"/>
      <c r="O36191" s="36" t="s">
        <v>48</v>
      </c>
      <c r="R36191" s="36" t="s">
        <v>48</v>
      </c>
    </row>
    <row r="36192">
      <c r="H36192" s="50"/>
      <c r="I36192" s="50"/>
      <c r="O36192" s="36" t="s">
        <v>48</v>
      </c>
      <c r="R36192" s="36" t="s">
        <v>48</v>
      </c>
    </row>
    <row r="36193">
      <c r="H36193" s="50"/>
      <c r="I36193" s="50"/>
      <c r="O36193" s="36" t="s">
        <v>48</v>
      </c>
      <c r="R36193" s="36" t="s">
        <v>48</v>
      </c>
    </row>
    <row r="36194">
      <c r="H36194" s="50"/>
      <c r="I36194" s="50"/>
      <c r="O36194" s="36" t="s">
        <v>48</v>
      </c>
      <c r="R36194" s="36" t="s">
        <v>48</v>
      </c>
    </row>
    <row r="36195">
      <c r="H36195" s="50"/>
      <c r="I36195" s="50"/>
      <c r="O36195" s="36" t="s">
        <v>48</v>
      </c>
      <c r="R36195" s="36" t="s">
        <v>48</v>
      </c>
    </row>
    <row r="36196">
      <c r="H36196" s="50"/>
      <c r="I36196" s="50"/>
      <c r="O36196" s="36" t="s">
        <v>48</v>
      </c>
      <c r="R36196" s="36" t="s">
        <v>48</v>
      </c>
    </row>
    <row r="36197">
      <c r="H36197" s="50"/>
      <c r="I36197" s="50"/>
      <c r="O36197" s="36" t="s">
        <v>48</v>
      </c>
      <c r="R36197" s="36" t="s">
        <v>48</v>
      </c>
    </row>
    <row r="36198">
      <c r="H36198" s="50"/>
      <c r="I36198" s="50"/>
      <c r="O36198" s="36" t="s">
        <v>48</v>
      </c>
      <c r="R36198" s="36" t="s">
        <v>48</v>
      </c>
    </row>
    <row r="36199">
      <c r="H36199" s="50"/>
      <c r="I36199" s="50"/>
      <c r="O36199" s="36" t="s">
        <v>48</v>
      </c>
      <c r="R36199" s="36" t="s">
        <v>48</v>
      </c>
    </row>
    <row r="36200">
      <c r="H36200" s="50"/>
      <c r="I36200" s="50"/>
      <c r="O36200" s="36" t="s">
        <v>48</v>
      </c>
      <c r="R36200" s="36" t="s">
        <v>48</v>
      </c>
    </row>
    <row r="36201">
      <c r="H36201" s="50"/>
      <c r="I36201" s="50"/>
      <c r="O36201" s="36" t="s">
        <v>48</v>
      </c>
      <c r="R36201" s="36" t="s">
        <v>48</v>
      </c>
    </row>
    <row r="36202">
      <c r="H36202" s="50"/>
      <c r="I36202" s="50"/>
      <c r="O36202" s="36" t="s">
        <v>48</v>
      </c>
      <c r="R36202" s="36" t="s">
        <v>48</v>
      </c>
    </row>
    <row r="36203">
      <c r="H36203" s="50"/>
      <c r="I36203" s="50"/>
      <c r="O36203" s="36" t="s">
        <v>48</v>
      </c>
      <c r="R36203" s="36" t="s">
        <v>48</v>
      </c>
    </row>
    <row r="36204">
      <c r="H36204" s="50"/>
      <c r="I36204" s="50"/>
      <c r="O36204" s="36" t="s">
        <v>48</v>
      </c>
      <c r="R36204" s="36" t="s">
        <v>48</v>
      </c>
    </row>
    <row r="36205">
      <c r="H36205" s="50"/>
      <c r="I36205" s="50"/>
      <c r="O36205" s="36" t="s">
        <v>48</v>
      </c>
      <c r="R36205" s="36" t="s">
        <v>48</v>
      </c>
    </row>
    <row r="36206">
      <c r="H36206" s="50"/>
      <c r="I36206" s="50"/>
      <c r="O36206" s="36" t="s">
        <v>48</v>
      </c>
      <c r="R36206" s="36" t="s">
        <v>48</v>
      </c>
    </row>
    <row r="36207">
      <c r="H36207" s="50"/>
      <c r="I36207" s="50"/>
      <c r="O36207" s="36" t="s">
        <v>48</v>
      </c>
      <c r="R36207" s="36" t="s">
        <v>48</v>
      </c>
    </row>
    <row r="36208">
      <c r="H36208" s="50"/>
      <c r="I36208" s="50"/>
      <c r="O36208" s="36" t="s">
        <v>48</v>
      </c>
      <c r="R36208" s="36" t="s">
        <v>48</v>
      </c>
    </row>
    <row r="36209">
      <c r="H36209" s="50"/>
      <c r="I36209" s="50"/>
      <c r="O36209" s="36" t="s">
        <v>48</v>
      </c>
      <c r="R36209" s="36" t="s">
        <v>48</v>
      </c>
    </row>
    <row r="36210">
      <c r="H36210" s="50"/>
      <c r="I36210" s="50"/>
      <c r="O36210" s="36" t="s">
        <v>48</v>
      </c>
      <c r="R36210" s="36" t="s">
        <v>48</v>
      </c>
    </row>
    <row r="36211">
      <c r="H36211" s="50"/>
      <c r="I36211" s="50"/>
      <c r="O36211" s="36" t="s">
        <v>48</v>
      </c>
      <c r="R36211" s="36" t="s">
        <v>48</v>
      </c>
    </row>
    <row r="36212">
      <c r="H36212" s="50"/>
      <c r="I36212" s="50"/>
      <c r="O36212" s="36" t="s">
        <v>48</v>
      </c>
      <c r="R36212" s="36" t="s">
        <v>48</v>
      </c>
    </row>
    <row r="36213">
      <c r="H36213" s="50"/>
      <c r="I36213" s="50"/>
      <c r="O36213" s="36" t="s">
        <v>48</v>
      </c>
      <c r="R36213" s="36" t="s">
        <v>48</v>
      </c>
    </row>
    <row r="36214">
      <c r="H36214" s="50"/>
      <c r="I36214" s="50"/>
      <c r="O36214" s="36" t="s">
        <v>48</v>
      </c>
      <c r="R36214" s="36" t="s">
        <v>48</v>
      </c>
    </row>
    <row r="36215">
      <c r="H36215" s="50"/>
      <c r="I36215" s="50"/>
      <c r="O36215" s="36" t="s">
        <v>48</v>
      </c>
      <c r="R36215" s="36" t="s">
        <v>48</v>
      </c>
    </row>
    <row r="36216">
      <c r="H36216" s="50"/>
      <c r="I36216" s="50"/>
      <c r="O36216" s="36" t="s">
        <v>48</v>
      </c>
      <c r="R36216" s="36" t="s">
        <v>48</v>
      </c>
    </row>
    <row r="36217">
      <c r="H36217" s="50"/>
      <c r="I36217" s="50"/>
      <c r="O36217" s="36" t="s">
        <v>48</v>
      </c>
      <c r="R36217" s="36" t="s">
        <v>48</v>
      </c>
    </row>
    <row r="36218">
      <c r="H36218" s="50"/>
      <c r="I36218" s="50"/>
      <c r="O36218" s="36" t="s">
        <v>48</v>
      </c>
      <c r="R36218" s="36" t="s">
        <v>48</v>
      </c>
    </row>
    <row r="36219">
      <c r="H36219" s="50"/>
      <c r="I36219" s="50"/>
      <c r="O36219" s="36" t="s">
        <v>48</v>
      </c>
      <c r="R36219" s="36" t="s">
        <v>48</v>
      </c>
    </row>
    <row r="36220">
      <c r="H36220" s="50"/>
      <c r="I36220" s="50"/>
      <c r="O36220" s="36" t="s">
        <v>48</v>
      </c>
      <c r="R36220" s="36" t="s">
        <v>48</v>
      </c>
    </row>
    <row r="36221">
      <c r="H36221" s="50"/>
      <c r="I36221" s="50"/>
      <c r="O36221" s="36" t="s">
        <v>48</v>
      </c>
      <c r="R36221" s="36" t="s">
        <v>48</v>
      </c>
    </row>
    <row r="36222">
      <c r="H36222" s="50"/>
      <c r="I36222" s="50"/>
      <c r="O36222" s="36" t="s">
        <v>48</v>
      </c>
      <c r="R36222" s="36" t="s">
        <v>48</v>
      </c>
    </row>
    <row r="36223">
      <c r="H36223" s="50"/>
      <c r="I36223" s="50"/>
      <c r="O36223" s="36" t="s">
        <v>48</v>
      </c>
      <c r="R36223" s="36" t="s">
        <v>48</v>
      </c>
    </row>
    <row r="36224">
      <c r="H36224" s="50"/>
      <c r="I36224" s="50"/>
      <c r="O36224" s="36" t="s">
        <v>48</v>
      </c>
      <c r="R36224" s="36" t="s">
        <v>48</v>
      </c>
    </row>
    <row r="36225">
      <c r="H36225" s="50"/>
      <c r="I36225" s="50"/>
      <c r="O36225" s="36" t="s">
        <v>48</v>
      </c>
      <c r="R36225" s="36" t="s">
        <v>48</v>
      </c>
    </row>
    <row r="36226">
      <c r="H36226" s="50"/>
      <c r="I36226" s="50"/>
      <c r="O36226" s="36" t="s">
        <v>48</v>
      </c>
      <c r="R36226" s="36" t="s">
        <v>48</v>
      </c>
    </row>
    <row r="36227">
      <c r="H36227" s="50"/>
      <c r="I36227" s="50"/>
      <c r="O36227" s="36" t="s">
        <v>48</v>
      </c>
      <c r="R36227" s="36" t="s">
        <v>48</v>
      </c>
    </row>
    <row r="36228">
      <c r="H36228" s="50"/>
      <c r="I36228" s="50"/>
      <c r="O36228" s="36" t="s">
        <v>48</v>
      </c>
      <c r="R36228" s="36" t="s">
        <v>48</v>
      </c>
    </row>
    <row r="36229">
      <c r="H36229" s="50"/>
      <c r="I36229" s="50"/>
      <c r="O36229" s="36" t="s">
        <v>48</v>
      </c>
      <c r="R36229" s="36" t="s">
        <v>48</v>
      </c>
    </row>
    <row r="36230">
      <c r="H36230" s="50"/>
      <c r="I36230" s="50"/>
      <c r="O36230" s="36" t="s">
        <v>48</v>
      </c>
      <c r="R36230" s="36" t="s">
        <v>48</v>
      </c>
    </row>
    <row r="36231">
      <c r="H36231" s="50"/>
      <c r="I36231" s="50"/>
      <c r="O36231" s="36" t="s">
        <v>48</v>
      </c>
      <c r="R36231" s="36" t="s">
        <v>48</v>
      </c>
    </row>
    <row r="36232">
      <c r="H36232" s="50"/>
      <c r="I36232" s="50"/>
      <c r="O36232" s="36" t="s">
        <v>48</v>
      </c>
      <c r="R36232" s="36" t="s">
        <v>48</v>
      </c>
    </row>
    <row r="36233">
      <c r="H36233" s="50"/>
      <c r="I36233" s="50"/>
      <c r="O36233" s="36" t="s">
        <v>48</v>
      </c>
      <c r="R36233" s="36" t="s">
        <v>48</v>
      </c>
    </row>
    <row r="36234">
      <c r="H36234" s="50"/>
      <c r="I36234" s="50"/>
      <c r="O36234" s="36" t="s">
        <v>48</v>
      </c>
      <c r="R36234" s="36" t="s">
        <v>48</v>
      </c>
    </row>
    <row r="36235">
      <c r="H36235" s="50"/>
      <c r="I36235" s="50"/>
      <c r="O36235" s="36" t="s">
        <v>48</v>
      </c>
      <c r="R36235" s="36" t="s">
        <v>48</v>
      </c>
    </row>
    <row r="36236">
      <c r="H36236" s="50"/>
      <c r="I36236" s="50"/>
      <c r="O36236" s="36" t="s">
        <v>48</v>
      </c>
      <c r="R36236" s="36" t="s">
        <v>48</v>
      </c>
    </row>
    <row r="36237">
      <c r="H36237" s="50"/>
      <c r="I36237" s="50"/>
      <c r="O36237" s="36" t="s">
        <v>48</v>
      </c>
      <c r="R36237" s="36" t="s">
        <v>48</v>
      </c>
    </row>
    <row r="36238">
      <c r="H36238" s="50"/>
      <c r="I36238" s="50"/>
      <c r="O36238" s="36" t="s">
        <v>48</v>
      </c>
      <c r="R36238" s="36" t="s">
        <v>48</v>
      </c>
    </row>
    <row r="36239">
      <c r="H36239" s="50"/>
      <c r="I36239" s="50"/>
      <c r="O36239" s="36" t="s">
        <v>48</v>
      </c>
      <c r="R36239" s="36" t="s">
        <v>48</v>
      </c>
    </row>
    <row r="36240">
      <c r="H36240" s="50"/>
      <c r="I36240" s="50"/>
      <c r="O36240" s="36" t="s">
        <v>48</v>
      </c>
      <c r="R36240" s="36" t="s">
        <v>48</v>
      </c>
    </row>
    <row r="36241">
      <c r="H36241" s="50"/>
      <c r="I36241" s="50"/>
      <c r="O36241" s="36" t="s">
        <v>48</v>
      </c>
      <c r="R36241" s="36" t="s">
        <v>48</v>
      </c>
    </row>
    <row r="36242">
      <c r="H36242" s="50"/>
      <c r="I36242" s="50"/>
      <c r="O36242" s="36" t="s">
        <v>48</v>
      </c>
      <c r="R36242" s="36" t="s">
        <v>48</v>
      </c>
    </row>
    <row r="36243">
      <c r="H36243" s="50"/>
      <c r="I36243" s="50"/>
      <c r="O36243" s="36" t="s">
        <v>48</v>
      </c>
      <c r="R36243" s="36" t="s">
        <v>48</v>
      </c>
    </row>
    <row r="36244">
      <c r="H36244" s="50"/>
      <c r="I36244" s="50"/>
      <c r="O36244" s="36" t="s">
        <v>48</v>
      </c>
      <c r="R36244" s="36" t="s">
        <v>48</v>
      </c>
    </row>
    <row r="36245">
      <c r="H36245" s="50"/>
      <c r="I36245" s="50"/>
      <c r="O36245" s="36" t="s">
        <v>48</v>
      </c>
      <c r="R36245" s="36" t="s">
        <v>48</v>
      </c>
    </row>
    <row r="36246">
      <c r="H36246" s="50"/>
      <c r="I36246" s="50"/>
      <c r="O36246" s="36" t="s">
        <v>48</v>
      </c>
      <c r="R36246" s="36" t="s">
        <v>48</v>
      </c>
    </row>
    <row r="36247">
      <c r="H36247" s="50"/>
      <c r="I36247" s="50"/>
      <c r="O36247" s="36" t="s">
        <v>48</v>
      </c>
      <c r="R36247" s="36" t="s">
        <v>48</v>
      </c>
    </row>
    <row r="36248">
      <c r="H36248" s="50"/>
      <c r="I36248" s="50"/>
      <c r="O36248" s="36" t="s">
        <v>48</v>
      </c>
      <c r="R36248" s="36" t="s">
        <v>48</v>
      </c>
    </row>
    <row r="36249">
      <c r="H36249" s="50"/>
      <c r="I36249" s="50"/>
      <c r="O36249" s="36" t="s">
        <v>48</v>
      </c>
      <c r="R36249" s="36" t="s">
        <v>48</v>
      </c>
    </row>
    <row r="36250">
      <c r="H36250" s="50"/>
      <c r="I36250" s="50"/>
      <c r="O36250" s="36" t="s">
        <v>48</v>
      </c>
      <c r="R36250" s="36" t="s">
        <v>48</v>
      </c>
    </row>
    <row r="36251">
      <c r="H36251" s="50"/>
      <c r="I36251" s="50"/>
      <c r="O36251" s="36" t="s">
        <v>48</v>
      </c>
      <c r="R36251" s="36" t="s">
        <v>48</v>
      </c>
    </row>
    <row r="36252">
      <c r="H36252" s="50"/>
      <c r="I36252" s="50"/>
      <c r="O36252" s="36" t="s">
        <v>48</v>
      </c>
      <c r="R36252" s="36" t="s">
        <v>48</v>
      </c>
    </row>
    <row r="36253">
      <c r="H36253" s="50"/>
      <c r="I36253" s="50"/>
      <c r="O36253" s="36" t="s">
        <v>48</v>
      </c>
      <c r="R36253" s="36" t="s">
        <v>48</v>
      </c>
    </row>
    <row r="36254">
      <c r="H36254" s="50"/>
      <c r="I36254" s="50"/>
      <c r="O36254" s="36" t="s">
        <v>48</v>
      </c>
      <c r="R36254" s="36" t="s">
        <v>48</v>
      </c>
    </row>
    <row r="36255">
      <c r="H36255" s="50"/>
      <c r="I36255" s="50"/>
      <c r="O36255" s="36" t="s">
        <v>48</v>
      </c>
      <c r="R36255" s="36" t="s">
        <v>48</v>
      </c>
    </row>
    <row r="36256">
      <c r="H36256" s="50"/>
      <c r="I36256" s="50"/>
      <c r="O36256" s="36" t="s">
        <v>48</v>
      </c>
      <c r="R36256" s="36" t="s">
        <v>48</v>
      </c>
    </row>
    <row r="36257">
      <c r="H36257" s="50"/>
      <c r="I36257" s="50"/>
      <c r="O36257" s="36" t="s">
        <v>48</v>
      </c>
      <c r="R36257" s="36" t="s">
        <v>48</v>
      </c>
    </row>
    <row r="36258">
      <c r="H36258" s="50"/>
      <c r="I36258" s="50"/>
      <c r="O36258" s="36" t="s">
        <v>48</v>
      </c>
      <c r="R36258" s="36" t="s">
        <v>48</v>
      </c>
    </row>
    <row r="36259">
      <c r="H36259" s="50"/>
      <c r="I36259" s="50"/>
      <c r="O36259" s="36" t="s">
        <v>48</v>
      </c>
      <c r="R36259" s="36" t="s">
        <v>48</v>
      </c>
    </row>
    <row r="36260">
      <c r="H36260" s="50"/>
      <c r="I36260" s="50"/>
      <c r="O36260" s="36" t="s">
        <v>48</v>
      </c>
      <c r="R36260" s="36" t="s">
        <v>48</v>
      </c>
    </row>
    <row r="36261">
      <c r="H36261" s="50"/>
      <c r="I36261" s="50"/>
      <c r="O36261" s="36" t="s">
        <v>48</v>
      </c>
      <c r="R36261" s="36" t="s">
        <v>48</v>
      </c>
    </row>
    <row r="36262">
      <c r="H36262" s="50"/>
      <c r="I36262" s="50"/>
      <c r="O36262" s="36" t="s">
        <v>48</v>
      </c>
      <c r="R36262" s="36" t="s">
        <v>48</v>
      </c>
    </row>
    <row r="36263">
      <c r="H36263" s="50"/>
      <c r="I36263" s="50"/>
      <c r="O36263" s="36" t="s">
        <v>48</v>
      </c>
      <c r="R36263" s="36" t="s">
        <v>48</v>
      </c>
    </row>
    <row r="36264">
      <c r="H36264" s="50"/>
      <c r="I36264" s="50"/>
      <c r="O36264" s="36" t="s">
        <v>48</v>
      </c>
      <c r="R36264" s="36" t="s">
        <v>48</v>
      </c>
    </row>
    <row r="36265">
      <c r="H36265" s="50"/>
      <c r="I36265" s="50"/>
      <c r="O36265" s="36" t="s">
        <v>48</v>
      </c>
      <c r="R36265" s="36" t="s">
        <v>48</v>
      </c>
    </row>
    <row r="36266">
      <c r="H36266" s="50"/>
      <c r="I36266" s="50"/>
      <c r="O36266" s="36" t="s">
        <v>48</v>
      </c>
      <c r="R36266" s="36" t="s">
        <v>48</v>
      </c>
    </row>
    <row r="36267">
      <c r="H36267" s="50"/>
      <c r="I36267" s="50"/>
      <c r="O36267" s="36" t="s">
        <v>48</v>
      </c>
      <c r="R36267" s="36" t="s">
        <v>48</v>
      </c>
    </row>
    <row r="36268">
      <c r="H36268" s="50"/>
      <c r="I36268" s="50"/>
      <c r="O36268" s="36" t="s">
        <v>48</v>
      </c>
      <c r="R36268" s="36" t="s">
        <v>48</v>
      </c>
    </row>
    <row r="36269">
      <c r="H36269" s="50"/>
      <c r="I36269" s="50"/>
      <c r="O36269" s="36" t="s">
        <v>48</v>
      </c>
      <c r="R36269" s="36" t="s">
        <v>48</v>
      </c>
    </row>
    <row r="36270">
      <c r="H36270" s="50"/>
      <c r="I36270" s="50"/>
      <c r="O36270" s="36" t="s">
        <v>48</v>
      </c>
      <c r="R36270" s="36" t="s">
        <v>48</v>
      </c>
    </row>
    <row r="36271">
      <c r="H36271" s="50"/>
      <c r="I36271" s="50"/>
      <c r="O36271" s="36" t="s">
        <v>48</v>
      </c>
      <c r="R36271" s="36" t="s">
        <v>48</v>
      </c>
    </row>
    <row r="36272">
      <c r="H36272" s="50"/>
      <c r="I36272" s="50"/>
      <c r="O36272" s="36" t="s">
        <v>48</v>
      </c>
      <c r="R36272" s="36" t="s">
        <v>48</v>
      </c>
    </row>
    <row r="36273">
      <c r="H36273" s="50"/>
      <c r="I36273" s="50"/>
      <c r="O36273" s="36" t="s">
        <v>48</v>
      </c>
      <c r="R36273" s="36" t="s">
        <v>48</v>
      </c>
    </row>
    <row r="36274">
      <c r="H36274" s="50"/>
      <c r="I36274" s="50"/>
      <c r="O36274" s="36" t="s">
        <v>48</v>
      </c>
      <c r="R36274" s="36" t="s">
        <v>48</v>
      </c>
    </row>
    <row r="36275">
      <c r="H36275" s="50"/>
      <c r="I36275" s="50"/>
      <c r="O36275" s="36" t="s">
        <v>48</v>
      </c>
      <c r="R36275" s="36" t="s">
        <v>48</v>
      </c>
    </row>
    <row r="36276">
      <c r="H36276" s="50"/>
      <c r="I36276" s="50"/>
      <c r="O36276" s="36" t="s">
        <v>48</v>
      </c>
      <c r="R36276" s="36" t="s">
        <v>48</v>
      </c>
    </row>
    <row r="36277">
      <c r="H36277" s="50"/>
      <c r="I36277" s="50"/>
      <c r="O36277" s="36" t="s">
        <v>48</v>
      </c>
      <c r="R36277" s="36" t="s">
        <v>48</v>
      </c>
    </row>
    <row r="36278">
      <c r="H36278" s="50"/>
      <c r="I36278" s="50"/>
      <c r="O36278" s="36" t="s">
        <v>48</v>
      </c>
      <c r="R36278" s="36" t="s">
        <v>48</v>
      </c>
    </row>
    <row r="36279">
      <c r="H36279" s="50"/>
      <c r="I36279" s="50"/>
      <c r="O36279" s="36" t="s">
        <v>48</v>
      </c>
      <c r="R36279" s="36" t="s">
        <v>48</v>
      </c>
    </row>
    <row r="36280">
      <c r="H36280" s="50"/>
      <c r="I36280" s="50"/>
      <c r="O36280" s="36" t="s">
        <v>48</v>
      </c>
      <c r="R36280" s="36" t="s">
        <v>48</v>
      </c>
    </row>
    <row r="36281">
      <c r="H36281" s="50"/>
      <c r="I36281" s="50"/>
      <c r="O36281" s="36" t="s">
        <v>48</v>
      </c>
      <c r="R36281" s="36" t="s">
        <v>48</v>
      </c>
    </row>
    <row r="36282">
      <c r="H36282" s="50"/>
      <c r="I36282" s="50"/>
      <c r="O36282" s="36" t="s">
        <v>48</v>
      </c>
      <c r="R36282" s="36" t="s">
        <v>48</v>
      </c>
    </row>
    <row r="36283">
      <c r="H36283" s="50"/>
      <c r="I36283" s="50"/>
      <c r="O36283" s="36" t="s">
        <v>48</v>
      </c>
      <c r="R36283" s="36" t="s">
        <v>48</v>
      </c>
    </row>
    <row r="36284">
      <c r="H36284" s="50"/>
      <c r="I36284" s="50"/>
      <c r="O36284" s="36" t="s">
        <v>48</v>
      </c>
      <c r="R36284" s="36" t="s">
        <v>48</v>
      </c>
    </row>
    <row r="36285">
      <c r="H36285" s="50"/>
      <c r="I36285" s="50"/>
      <c r="O36285" s="36" t="s">
        <v>48</v>
      </c>
      <c r="R36285" s="36" t="s">
        <v>48</v>
      </c>
    </row>
    <row r="36286">
      <c r="H36286" s="50"/>
      <c r="I36286" s="50"/>
      <c r="O36286" s="36" t="s">
        <v>48</v>
      </c>
      <c r="R36286" s="36" t="s">
        <v>48</v>
      </c>
    </row>
    <row r="36287">
      <c r="H36287" s="50"/>
      <c r="I36287" s="50"/>
      <c r="O36287" s="36" t="s">
        <v>48</v>
      </c>
      <c r="R36287" s="36" t="s">
        <v>48</v>
      </c>
    </row>
    <row r="36288">
      <c r="H36288" s="50"/>
      <c r="I36288" s="50"/>
      <c r="O36288" s="36" t="s">
        <v>48</v>
      </c>
      <c r="R36288" s="36" t="s">
        <v>48</v>
      </c>
    </row>
    <row r="36289">
      <c r="H36289" s="50"/>
      <c r="I36289" s="50"/>
      <c r="O36289" s="36" t="s">
        <v>48</v>
      </c>
      <c r="R36289" s="36" t="s">
        <v>48</v>
      </c>
    </row>
    <row r="36290">
      <c r="H36290" s="50"/>
      <c r="I36290" s="50"/>
      <c r="O36290" s="36" t="s">
        <v>48</v>
      </c>
      <c r="R36290" s="36" t="s">
        <v>48</v>
      </c>
    </row>
    <row r="36291">
      <c r="H36291" s="50"/>
      <c r="I36291" s="50"/>
      <c r="O36291" s="36" t="s">
        <v>48</v>
      </c>
      <c r="R36291" s="36" t="s">
        <v>48</v>
      </c>
    </row>
    <row r="36292">
      <c r="H36292" s="50"/>
      <c r="I36292" s="50"/>
      <c r="O36292" s="36" t="s">
        <v>48</v>
      </c>
      <c r="R36292" s="36" t="s">
        <v>48</v>
      </c>
    </row>
    <row r="36293">
      <c r="H36293" s="50"/>
      <c r="I36293" s="50"/>
      <c r="O36293" s="36" t="s">
        <v>48</v>
      </c>
      <c r="R36293" s="36" t="s">
        <v>48</v>
      </c>
    </row>
    <row r="36294">
      <c r="H36294" s="50"/>
      <c r="I36294" s="50"/>
      <c r="O36294" s="36" t="s">
        <v>48</v>
      </c>
      <c r="R36294" s="36" t="s">
        <v>48</v>
      </c>
    </row>
    <row r="36295">
      <c r="H36295" s="50"/>
      <c r="I36295" s="50"/>
      <c r="O36295" s="36" t="s">
        <v>48</v>
      </c>
      <c r="R36295" s="36" t="s">
        <v>48</v>
      </c>
    </row>
    <row r="36296">
      <c r="H36296" s="50"/>
      <c r="I36296" s="50"/>
      <c r="O36296" s="36" t="s">
        <v>48</v>
      </c>
      <c r="R36296" s="36" t="s">
        <v>48</v>
      </c>
    </row>
    <row r="36297">
      <c r="H36297" s="50"/>
      <c r="I36297" s="50"/>
      <c r="O36297" s="36" t="s">
        <v>48</v>
      </c>
      <c r="R36297" s="36" t="s">
        <v>48</v>
      </c>
    </row>
    <row r="36298">
      <c r="H36298" s="50"/>
      <c r="I36298" s="50"/>
      <c r="O36298" s="36" t="s">
        <v>48</v>
      </c>
      <c r="R36298" s="36" t="s">
        <v>48</v>
      </c>
    </row>
    <row r="36299">
      <c r="H36299" s="50"/>
      <c r="I36299" s="50"/>
      <c r="O36299" s="36" t="s">
        <v>48</v>
      </c>
      <c r="R36299" s="36" t="s">
        <v>48</v>
      </c>
    </row>
    <row r="36300">
      <c r="H36300" s="50"/>
      <c r="I36300" s="50"/>
      <c r="O36300" s="36" t="s">
        <v>48</v>
      </c>
      <c r="R36300" s="36" t="s">
        <v>48</v>
      </c>
    </row>
    <row r="36301">
      <c r="H36301" s="50"/>
      <c r="I36301" s="50"/>
      <c r="O36301" s="36" t="s">
        <v>48</v>
      </c>
      <c r="R36301" s="36" t="s">
        <v>48</v>
      </c>
    </row>
    <row r="36302">
      <c r="H36302" s="50"/>
      <c r="I36302" s="50"/>
      <c r="O36302" s="36" t="s">
        <v>48</v>
      </c>
      <c r="R36302" s="36" t="s">
        <v>48</v>
      </c>
    </row>
    <row r="36303">
      <c r="H36303" s="50"/>
      <c r="I36303" s="50"/>
      <c r="O36303" s="36" t="s">
        <v>48</v>
      </c>
      <c r="R36303" s="36" t="s">
        <v>48</v>
      </c>
    </row>
    <row r="36304">
      <c r="H36304" s="50"/>
      <c r="I36304" s="50"/>
      <c r="O36304" s="36" t="s">
        <v>48</v>
      </c>
      <c r="R36304" s="36" t="s">
        <v>48</v>
      </c>
    </row>
    <row r="36305">
      <c r="H36305" s="50"/>
      <c r="I36305" s="50"/>
      <c r="O36305" s="36" t="s">
        <v>48</v>
      </c>
      <c r="R36305" s="36" t="s">
        <v>48</v>
      </c>
    </row>
    <row r="36306">
      <c r="H36306" s="50"/>
      <c r="I36306" s="50"/>
      <c r="O36306" s="36" t="s">
        <v>48</v>
      </c>
      <c r="R36306" s="36" t="s">
        <v>48</v>
      </c>
    </row>
    <row r="36307">
      <c r="H36307" s="50"/>
      <c r="I36307" s="50"/>
      <c r="O36307" s="36" t="s">
        <v>48</v>
      </c>
      <c r="R36307" s="36" t="s">
        <v>48</v>
      </c>
    </row>
    <row r="36308">
      <c r="H36308" s="50"/>
      <c r="I36308" s="50"/>
      <c r="O36308" s="36" t="s">
        <v>48</v>
      </c>
      <c r="R36308" s="36" t="s">
        <v>48</v>
      </c>
    </row>
    <row r="36309">
      <c r="H36309" s="50"/>
      <c r="I36309" s="50"/>
      <c r="O36309" s="36" t="s">
        <v>48</v>
      </c>
      <c r="R36309" s="36" t="s">
        <v>48</v>
      </c>
    </row>
    <row r="36310">
      <c r="H36310" s="50"/>
      <c r="I36310" s="50"/>
      <c r="O36310" s="36" t="s">
        <v>48</v>
      </c>
      <c r="R36310" s="36" t="s">
        <v>48</v>
      </c>
    </row>
    <row r="36311">
      <c r="H36311" s="50"/>
      <c r="I36311" s="50"/>
      <c r="O36311" s="36" t="s">
        <v>48</v>
      </c>
      <c r="R36311" s="36" t="s">
        <v>48</v>
      </c>
    </row>
    <row r="36312">
      <c r="H36312" s="50"/>
      <c r="I36312" s="50"/>
      <c r="O36312" s="36" t="s">
        <v>48</v>
      </c>
      <c r="R36312" s="36" t="s">
        <v>48</v>
      </c>
    </row>
    <row r="36313">
      <c r="H36313" s="50"/>
      <c r="I36313" s="50"/>
      <c r="O36313" s="36" t="s">
        <v>48</v>
      </c>
      <c r="R36313" s="36" t="s">
        <v>48</v>
      </c>
    </row>
    <row r="36314">
      <c r="H36314" s="50"/>
      <c r="I36314" s="50"/>
      <c r="O36314" s="36" t="s">
        <v>48</v>
      </c>
      <c r="R36314" s="36" t="s">
        <v>48</v>
      </c>
    </row>
    <row r="36315">
      <c r="H36315" s="50"/>
      <c r="I36315" s="50"/>
      <c r="O36315" s="36" t="s">
        <v>48</v>
      </c>
      <c r="R36315" s="36" t="s">
        <v>48</v>
      </c>
    </row>
    <row r="36316">
      <c r="H36316" s="50"/>
      <c r="I36316" s="50"/>
      <c r="O36316" s="36" t="s">
        <v>48</v>
      </c>
      <c r="R36316" s="36" t="s">
        <v>48</v>
      </c>
    </row>
    <row r="36317">
      <c r="H36317" s="50"/>
      <c r="I36317" s="50"/>
      <c r="O36317" s="36" t="s">
        <v>48</v>
      </c>
      <c r="R36317" s="36" t="s">
        <v>48</v>
      </c>
    </row>
    <row r="36318">
      <c r="H36318" s="50"/>
      <c r="I36318" s="50"/>
      <c r="O36318" s="36" t="s">
        <v>48</v>
      </c>
      <c r="R36318" s="36" t="s">
        <v>48</v>
      </c>
    </row>
    <row r="36319">
      <c r="H36319" s="50"/>
      <c r="I36319" s="50"/>
      <c r="O36319" s="36" t="s">
        <v>48</v>
      </c>
      <c r="R36319" s="36" t="s">
        <v>48</v>
      </c>
    </row>
    <row r="36320">
      <c r="H36320" s="50"/>
      <c r="I36320" s="50"/>
      <c r="O36320" s="36" t="s">
        <v>48</v>
      </c>
      <c r="R36320" s="36" t="s">
        <v>48</v>
      </c>
    </row>
    <row r="36321">
      <c r="H36321" s="50"/>
      <c r="I36321" s="50"/>
      <c r="O36321" s="36" t="s">
        <v>48</v>
      </c>
      <c r="R36321" s="36" t="s">
        <v>48</v>
      </c>
    </row>
    <row r="36322">
      <c r="H36322" s="50"/>
      <c r="I36322" s="50"/>
      <c r="O36322" s="36" t="s">
        <v>48</v>
      </c>
      <c r="R36322" s="36" t="s">
        <v>48</v>
      </c>
    </row>
    <row r="36323">
      <c r="H36323" s="50"/>
      <c r="I36323" s="50"/>
      <c r="O36323" s="36" t="s">
        <v>48</v>
      </c>
      <c r="R36323" s="36" t="s">
        <v>48</v>
      </c>
    </row>
    <row r="36324">
      <c r="H36324" s="50"/>
      <c r="I36324" s="50"/>
      <c r="O36324" s="36" t="s">
        <v>48</v>
      </c>
      <c r="R36324" s="36" t="s">
        <v>48</v>
      </c>
    </row>
    <row r="36325">
      <c r="H36325" s="50"/>
      <c r="I36325" s="50"/>
      <c r="O36325" s="36" t="s">
        <v>48</v>
      </c>
      <c r="R36325" s="36" t="s">
        <v>48</v>
      </c>
    </row>
    <row r="36326">
      <c r="H36326" s="50"/>
      <c r="I36326" s="50"/>
      <c r="O36326" s="36" t="s">
        <v>48</v>
      </c>
      <c r="R36326" s="36" t="s">
        <v>48</v>
      </c>
    </row>
    <row r="36327">
      <c r="H36327" s="50"/>
      <c r="I36327" s="50"/>
      <c r="O36327" s="36" t="s">
        <v>48</v>
      </c>
      <c r="R36327" s="36" t="s">
        <v>48</v>
      </c>
    </row>
    <row r="36328">
      <c r="H36328" s="50"/>
      <c r="I36328" s="50"/>
      <c r="O36328" s="36" t="s">
        <v>48</v>
      </c>
      <c r="R36328" s="36" t="s">
        <v>48</v>
      </c>
    </row>
    <row r="36329">
      <c r="H36329" s="50"/>
      <c r="I36329" s="50"/>
      <c r="O36329" s="36" t="s">
        <v>48</v>
      </c>
      <c r="R36329" s="36" t="s">
        <v>48</v>
      </c>
    </row>
    <row r="36330">
      <c r="H36330" s="50"/>
      <c r="I36330" s="50"/>
      <c r="O36330" s="36" t="s">
        <v>48</v>
      </c>
      <c r="R36330" s="36" t="s">
        <v>48</v>
      </c>
    </row>
    <row r="36331">
      <c r="H36331" s="50"/>
      <c r="I36331" s="50"/>
      <c r="O36331" s="36" t="s">
        <v>48</v>
      </c>
      <c r="R36331" s="36" t="s">
        <v>48</v>
      </c>
    </row>
    <row r="36332">
      <c r="H36332" s="50"/>
      <c r="I36332" s="50"/>
      <c r="O36332" s="36" t="s">
        <v>48</v>
      </c>
      <c r="R36332" s="36" t="s">
        <v>48</v>
      </c>
    </row>
    <row r="36333">
      <c r="H36333" s="50"/>
      <c r="I36333" s="50"/>
      <c r="O36333" s="36" t="s">
        <v>48</v>
      </c>
      <c r="R36333" s="36" t="s">
        <v>48</v>
      </c>
    </row>
    <row r="36334">
      <c r="H36334" s="50"/>
      <c r="I36334" s="50"/>
      <c r="O36334" s="36" t="s">
        <v>48</v>
      </c>
      <c r="R36334" s="36" t="s">
        <v>48</v>
      </c>
    </row>
    <row r="36335">
      <c r="H36335" s="50"/>
      <c r="I36335" s="50"/>
      <c r="O36335" s="36" t="s">
        <v>48</v>
      </c>
      <c r="R36335" s="36" t="s">
        <v>48</v>
      </c>
    </row>
    <row r="36336">
      <c r="H36336" s="50"/>
      <c r="I36336" s="50"/>
      <c r="O36336" s="36" t="s">
        <v>48</v>
      </c>
      <c r="R36336" s="36" t="s">
        <v>48</v>
      </c>
    </row>
    <row r="36337">
      <c r="H36337" s="50"/>
      <c r="I36337" s="50"/>
      <c r="O36337" s="36" t="s">
        <v>48</v>
      </c>
      <c r="R36337" s="36" t="s">
        <v>48</v>
      </c>
    </row>
    <row r="36338">
      <c r="H36338" s="50"/>
      <c r="I36338" s="50"/>
      <c r="O36338" s="36" t="s">
        <v>48</v>
      </c>
      <c r="R36338" s="36" t="s">
        <v>48</v>
      </c>
    </row>
    <row r="36339">
      <c r="H36339" s="50"/>
      <c r="I36339" s="50"/>
      <c r="O36339" s="36" t="s">
        <v>48</v>
      </c>
      <c r="R36339" s="36" t="s">
        <v>48</v>
      </c>
    </row>
    <row r="36340">
      <c r="H36340" s="50"/>
      <c r="I36340" s="50"/>
      <c r="O36340" s="36" t="s">
        <v>48</v>
      </c>
      <c r="R36340" s="36" t="s">
        <v>48</v>
      </c>
    </row>
    <row r="36341">
      <c r="H36341" s="50"/>
      <c r="I36341" s="50"/>
      <c r="O36341" s="36" t="s">
        <v>48</v>
      </c>
      <c r="R36341" s="36" t="s">
        <v>48</v>
      </c>
    </row>
    <row r="36342">
      <c r="H36342" s="50"/>
      <c r="I36342" s="50"/>
      <c r="O36342" s="36" t="s">
        <v>48</v>
      </c>
      <c r="R36342" s="36" t="s">
        <v>48</v>
      </c>
    </row>
    <row r="36343">
      <c r="H36343" s="50"/>
      <c r="I36343" s="50"/>
      <c r="O36343" s="36" t="s">
        <v>48</v>
      </c>
      <c r="R36343" s="36" t="s">
        <v>48</v>
      </c>
    </row>
    <row r="36344">
      <c r="H36344" s="50"/>
      <c r="I36344" s="50"/>
      <c r="O36344" s="36" t="s">
        <v>48</v>
      </c>
      <c r="R36344" s="36" t="s">
        <v>48</v>
      </c>
    </row>
    <row r="36345">
      <c r="H36345" s="50"/>
      <c r="I36345" s="50"/>
      <c r="O36345" s="36" t="s">
        <v>48</v>
      </c>
      <c r="R36345" s="36" t="s">
        <v>48</v>
      </c>
    </row>
    <row r="36346">
      <c r="H36346" s="50"/>
      <c r="I36346" s="50"/>
      <c r="O36346" s="36" t="s">
        <v>48</v>
      </c>
      <c r="R36346" s="36" t="s">
        <v>48</v>
      </c>
    </row>
    <row r="36347">
      <c r="H36347" s="50"/>
      <c r="I36347" s="50"/>
      <c r="O36347" s="36" t="s">
        <v>48</v>
      </c>
      <c r="R36347" s="36" t="s">
        <v>48</v>
      </c>
    </row>
    <row r="36348">
      <c r="H36348" s="50"/>
      <c r="I36348" s="50"/>
      <c r="O36348" s="36" t="s">
        <v>48</v>
      </c>
      <c r="R36348" s="36" t="s">
        <v>48</v>
      </c>
    </row>
    <row r="36349">
      <c r="H36349" s="50"/>
      <c r="I36349" s="50"/>
      <c r="O36349" s="36" t="s">
        <v>48</v>
      </c>
      <c r="R36349" s="36" t="s">
        <v>48</v>
      </c>
    </row>
    <row r="36350">
      <c r="H36350" s="50"/>
      <c r="I36350" s="50"/>
      <c r="O36350" s="36" t="s">
        <v>48</v>
      </c>
      <c r="R36350" s="36" t="s">
        <v>48</v>
      </c>
    </row>
    <row r="36351">
      <c r="H36351" s="50"/>
      <c r="I36351" s="50"/>
      <c r="O36351" s="36" t="s">
        <v>48</v>
      </c>
      <c r="R36351" s="36" t="s">
        <v>48</v>
      </c>
    </row>
    <row r="36352">
      <c r="H36352" s="50"/>
      <c r="I36352" s="50"/>
      <c r="O36352" s="36" t="s">
        <v>48</v>
      </c>
      <c r="R36352" s="36" t="s">
        <v>48</v>
      </c>
    </row>
    <row r="36353">
      <c r="H36353" s="50"/>
      <c r="I36353" s="50"/>
      <c r="O36353" s="36" t="s">
        <v>48</v>
      </c>
      <c r="R36353" s="36" t="s">
        <v>48</v>
      </c>
    </row>
    <row r="36354">
      <c r="H36354" s="50"/>
      <c r="I36354" s="50"/>
      <c r="O36354" s="36" t="s">
        <v>48</v>
      </c>
      <c r="R36354" s="36" t="s">
        <v>48</v>
      </c>
    </row>
    <row r="36355">
      <c r="H36355" s="50"/>
      <c r="I36355" s="50"/>
      <c r="O36355" s="36" t="s">
        <v>48</v>
      </c>
      <c r="R36355" s="36" t="s">
        <v>48</v>
      </c>
    </row>
    <row r="36356">
      <c r="H36356" s="50"/>
      <c r="I36356" s="50"/>
      <c r="O36356" s="36" t="s">
        <v>48</v>
      </c>
      <c r="R36356" s="36" t="s">
        <v>48</v>
      </c>
    </row>
    <row r="36357">
      <c r="H36357" s="50"/>
      <c r="I36357" s="50"/>
      <c r="O36357" s="36" t="s">
        <v>48</v>
      </c>
      <c r="R36357" s="36" t="s">
        <v>48</v>
      </c>
    </row>
    <row r="36358">
      <c r="H36358" s="50"/>
      <c r="I36358" s="50"/>
      <c r="O36358" s="36" t="s">
        <v>48</v>
      </c>
      <c r="R36358" s="36" t="s">
        <v>48</v>
      </c>
    </row>
    <row r="36359">
      <c r="H36359" s="50"/>
      <c r="I36359" s="50"/>
      <c r="O36359" s="36" t="s">
        <v>48</v>
      </c>
      <c r="R36359" s="36" t="s">
        <v>48</v>
      </c>
    </row>
    <row r="36360">
      <c r="H36360" s="50"/>
      <c r="I36360" s="50"/>
      <c r="O36360" s="36" t="s">
        <v>48</v>
      </c>
      <c r="R36360" s="36" t="s">
        <v>48</v>
      </c>
    </row>
    <row r="36361">
      <c r="H36361" s="50"/>
      <c r="I36361" s="50"/>
      <c r="O36361" s="36" t="s">
        <v>48</v>
      </c>
      <c r="R36361" s="36" t="s">
        <v>48</v>
      </c>
    </row>
    <row r="36362">
      <c r="H36362" s="50"/>
      <c r="I36362" s="50"/>
      <c r="O36362" s="36" t="s">
        <v>48</v>
      </c>
      <c r="R36362" s="36" t="s">
        <v>48</v>
      </c>
    </row>
    <row r="36363">
      <c r="H36363" s="50"/>
      <c r="I36363" s="50"/>
      <c r="O36363" s="36" t="s">
        <v>48</v>
      </c>
      <c r="R36363" s="36" t="s">
        <v>48</v>
      </c>
    </row>
    <row r="36364">
      <c r="H36364" s="50"/>
      <c r="I36364" s="50"/>
      <c r="O36364" s="36" t="s">
        <v>48</v>
      </c>
      <c r="R36364" s="36" t="s">
        <v>48</v>
      </c>
    </row>
    <row r="36365">
      <c r="H36365" s="50"/>
      <c r="I36365" s="50"/>
      <c r="O36365" s="36" t="s">
        <v>48</v>
      </c>
      <c r="R36365" s="36" t="s">
        <v>48</v>
      </c>
    </row>
    <row r="36366">
      <c r="H36366" s="50"/>
      <c r="I36366" s="50"/>
      <c r="O36366" s="36" t="s">
        <v>48</v>
      </c>
      <c r="R36366" s="36" t="s">
        <v>48</v>
      </c>
    </row>
    <row r="36367">
      <c r="H36367" s="50"/>
      <c r="I36367" s="50"/>
      <c r="O36367" s="36" t="s">
        <v>48</v>
      </c>
      <c r="R36367" s="36" t="s">
        <v>48</v>
      </c>
    </row>
    <row r="36368">
      <c r="H36368" s="50"/>
      <c r="I36368" s="50"/>
      <c r="O36368" s="36" t="s">
        <v>48</v>
      </c>
      <c r="R36368" s="36" t="s">
        <v>48</v>
      </c>
    </row>
    <row r="36369">
      <c r="H36369" s="50"/>
      <c r="I36369" s="50"/>
      <c r="O36369" s="36" t="s">
        <v>48</v>
      </c>
      <c r="R36369" s="36" t="s">
        <v>48</v>
      </c>
    </row>
    <row r="36370">
      <c r="H36370" s="50"/>
      <c r="I36370" s="50"/>
      <c r="O36370" s="36" t="s">
        <v>48</v>
      </c>
      <c r="R36370" s="36" t="s">
        <v>48</v>
      </c>
    </row>
    <row r="36371">
      <c r="H36371" s="50"/>
      <c r="I36371" s="50"/>
      <c r="O36371" s="36" t="s">
        <v>48</v>
      </c>
      <c r="R36371" s="36" t="s">
        <v>48</v>
      </c>
    </row>
    <row r="36372">
      <c r="H36372" s="50"/>
      <c r="I36372" s="50"/>
      <c r="O36372" s="36" t="s">
        <v>48</v>
      </c>
      <c r="R36372" s="36" t="s">
        <v>48</v>
      </c>
    </row>
    <row r="36373">
      <c r="H36373" s="50"/>
      <c r="I36373" s="50"/>
      <c r="O36373" s="36" t="s">
        <v>48</v>
      </c>
      <c r="R36373" s="36" t="s">
        <v>48</v>
      </c>
    </row>
    <row r="36374">
      <c r="H36374" s="50"/>
      <c r="I36374" s="50"/>
      <c r="O36374" s="36" t="s">
        <v>48</v>
      </c>
      <c r="R36374" s="36" t="s">
        <v>48</v>
      </c>
    </row>
    <row r="36375">
      <c r="H36375" s="50"/>
      <c r="I36375" s="50"/>
      <c r="O36375" s="36" t="s">
        <v>48</v>
      </c>
      <c r="R36375" s="36" t="s">
        <v>48</v>
      </c>
    </row>
    <row r="36376">
      <c r="H36376" s="50"/>
      <c r="I36376" s="50"/>
      <c r="O36376" s="36" t="s">
        <v>48</v>
      </c>
      <c r="R36376" s="36" t="s">
        <v>48</v>
      </c>
    </row>
    <row r="36377">
      <c r="H36377" s="50"/>
      <c r="I36377" s="50"/>
      <c r="O36377" s="36" t="s">
        <v>48</v>
      </c>
      <c r="R36377" s="36" t="s">
        <v>48</v>
      </c>
    </row>
    <row r="36378">
      <c r="H36378" s="50"/>
      <c r="I36378" s="50"/>
      <c r="O36378" s="36" t="s">
        <v>48</v>
      </c>
      <c r="R36378" s="36" t="s">
        <v>48</v>
      </c>
    </row>
    <row r="36379">
      <c r="H36379" s="50"/>
      <c r="I36379" s="50"/>
      <c r="O36379" s="36" t="s">
        <v>48</v>
      </c>
      <c r="R36379" s="36" t="s">
        <v>48</v>
      </c>
    </row>
    <row r="36380">
      <c r="H36380" s="50"/>
      <c r="I36380" s="50"/>
      <c r="O36380" s="36" t="s">
        <v>48</v>
      </c>
      <c r="R36380" s="36" t="s">
        <v>48</v>
      </c>
    </row>
    <row r="36381">
      <c r="H36381" s="50"/>
      <c r="I36381" s="50"/>
      <c r="O36381" s="36" t="s">
        <v>48</v>
      </c>
      <c r="R36381" s="36" t="s">
        <v>48</v>
      </c>
    </row>
    <row r="36382">
      <c r="H36382" s="50"/>
      <c r="I36382" s="50"/>
      <c r="O36382" s="36" t="s">
        <v>48</v>
      </c>
      <c r="R36382" s="36" t="s">
        <v>48</v>
      </c>
    </row>
    <row r="36383">
      <c r="H36383" s="50"/>
      <c r="I36383" s="50"/>
      <c r="O36383" s="36" t="s">
        <v>48</v>
      </c>
      <c r="R36383" s="36" t="s">
        <v>48</v>
      </c>
    </row>
    <row r="36384">
      <c r="H36384" s="50"/>
      <c r="I36384" s="50"/>
      <c r="O36384" s="36" t="s">
        <v>48</v>
      </c>
      <c r="R36384" s="36" t="s">
        <v>48</v>
      </c>
    </row>
    <row r="36385">
      <c r="H36385" s="50"/>
      <c r="I36385" s="50"/>
      <c r="O36385" s="36" t="s">
        <v>48</v>
      </c>
      <c r="R36385" s="36" t="s">
        <v>48</v>
      </c>
    </row>
    <row r="36386">
      <c r="H36386" s="50"/>
      <c r="I36386" s="50"/>
      <c r="O36386" s="36" t="s">
        <v>48</v>
      </c>
      <c r="R36386" s="36" t="s">
        <v>48</v>
      </c>
    </row>
    <row r="36387">
      <c r="H36387" s="50"/>
      <c r="I36387" s="50"/>
      <c r="O36387" s="36" t="s">
        <v>48</v>
      </c>
      <c r="R36387" s="36" t="s">
        <v>48</v>
      </c>
    </row>
    <row r="36388">
      <c r="H36388" s="50"/>
      <c r="I36388" s="50"/>
      <c r="O36388" s="36" t="s">
        <v>48</v>
      </c>
      <c r="R36388" s="36" t="s">
        <v>48</v>
      </c>
    </row>
    <row r="36389">
      <c r="H36389" s="50"/>
      <c r="I36389" s="50"/>
      <c r="O36389" s="36" t="s">
        <v>48</v>
      </c>
      <c r="R36389" s="36" t="s">
        <v>48</v>
      </c>
    </row>
    <row r="36390">
      <c r="H36390" s="50"/>
      <c r="I36390" s="50"/>
      <c r="O36390" s="36" t="s">
        <v>48</v>
      </c>
      <c r="R36390" s="36" t="s">
        <v>48</v>
      </c>
    </row>
    <row r="36391">
      <c r="H36391" s="50"/>
      <c r="I36391" s="50"/>
      <c r="O36391" s="36" t="s">
        <v>48</v>
      </c>
      <c r="R36391" s="36" t="s">
        <v>48</v>
      </c>
    </row>
    <row r="36392">
      <c r="H36392" s="50"/>
      <c r="I36392" s="50"/>
      <c r="O36392" s="36" t="s">
        <v>48</v>
      </c>
      <c r="R36392" s="36" t="s">
        <v>48</v>
      </c>
    </row>
    <row r="36393">
      <c r="H36393" s="50"/>
      <c r="I36393" s="50"/>
      <c r="O36393" s="36" t="s">
        <v>48</v>
      </c>
      <c r="R36393" s="36" t="s">
        <v>48</v>
      </c>
    </row>
    <row r="36394">
      <c r="H36394" s="50"/>
      <c r="I36394" s="50"/>
      <c r="O36394" s="36" t="s">
        <v>48</v>
      </c>
      <c r="R36394" s="36" t="s">
        <v>48</v>
      </c>
    </row>
    <row r="36395">
      <c r="H36395" s="50"/>
      <c r="I36395" s="50"/>
      <c r="O36395" s="36" t="s">
        <v>48</v>
      </c>
      <c r="R36395" s="36" t="s">
        <v>48</v>
      </c>
    </row>
    <row r="36396">
      <c r="H36396" s="50"/>
      <c r="I36396" s="50"/>
      <c r="O36396" s="36" t="s">
        <v>48</v>
      </c>
      <c r="R36396" s="36" t="s">
        <v>48</v>
      </c>
    </row>
    <row r="36397">
      <c r="H36397" s="50"/>
      <c r="I36397" s="50"/>
      <c r="O36397" s="36" t="s">
        <v>48</v>
      </c>
      <c r="R36397" s="36" t="s">
        <v>48</v>
      </c>
    </row>
    <row r="36398">
      <c r="H36398" s="50"/>
      <c r="I36398" s="50"/>
      <c r="O36398" s="36" t="s">
        <v>48</v>
      </c>
      <c r="R36398" s="36" t="s">
        <v>48</v>
      </c>
    </row>
    <row r="36399">
      <c r="H36399" s="50"/>
      <c r="I36399" s="50"/>
      <c r="O36399" s="36" t="s">
        <v>48</v>
      </c>
      <c r="R36399" s="36" t="s">
        <v>48</v>
      </c>
    </row>
    <row r="36400">
      <c r="H36400" s="50"/>
      <c r="I36400" s="50"/>
      <c r="O36400" s="36" t="s">
        <v>48</v>
      </c>
      <c r="R36400" s="36" t="s">
        <v>48</v>
      </c>
    </row>
    <row r="36401">
      <c r="H36401" s="50"/>
      <c r="I36401" s="50"/>
      <c r="O36401" s="36" t="s">
        <v>48</v>
      </c>
      <c r="R36401" s="36" t="s">
        <v>48</v>
      </c>
    </row>
    <row r="36402">
      <c r="H36402" s="50"/>
      <c r="I36402" s="50"/>
      <c r="O36402" s="36" t="s">
        <v>48</v>
      </c>
      <c r="R36402" s="36" t="s">
        <v>48</v>
      </c>
    </row>
    <row r="36403">
      <c r="H36403" s="50"/>
      <c r="I36403" s="50"/>
      <c r="O36403" s="36" t="s">
        <v>48</v>
      </c>
      <c r="R36403" s="36" t="s">
        <v>48</v>
      </c>
    </row>
    <row r="36404">
      <c r="H36404" s="50"/>
      <c r="I36404" s="50"/>
      <c r="O36404" s="36" t="s">
        <v>48</v>
      </c>
      <c r="R36404" s="36" t="s">
        <v>48</v>
      </c>
    </row>
    <row r="36405">
      <c r="H36405" s="50"/>
      <c r="I36405" s="50"/>
      <c r="O36405" s="36" t="s">
        <v>48</v>
      </c>
      <c r="R36405" s="36" t="s">
        <v>48</v>
      </c>
    </row>
    <row r="36406">
      <c r="H36406" s="50"/>
      <c r="I36406" s="50"/>
      <c r="O36406" s="36" t="s">
        <v>48</v>
      </c>
      <c r="R36406" s="36" t="s">
        <v>48</v>
      </c>
    </row>
    <row r="36407">
      <c r="H36407" s="50"/>
      <c r="I36407" s="50"/>
      <c r="O36407" s="36" t="s">
        <v>48</v>
      </c>
      <c r="R36407" s="36" t="s">
        <v>48</v>
      </c>
    </row>
    <row r="36408">
      <c r="H36408" s="50"/>
      <c r="I36408" s="50"/>
      <c r="O36408" s="36" t="s">
        <v>48</v>
      </c>
      <c r="R36408" s="36" t="s">
        <v>48</v>
      </c>
    </row>
    <row r="36409">
      <c r="H36409" s="50"/>
      <c r="I36409" s="50"/>
      <c r="O36409" s="36" t="s">
        <v>48</v>
      </c>
      <c r="R36409" s="36" t="s">
        <v>48</v>
      </c>
    </row>
    <row r="36410">
      <c r="H36410" s="50"/>
      <c r="I36410" s="50"/>
      <c r="O36410" s="36" t="s">
        <v>48</v>
      </c>
      <c r="R36410" s="36" t="s">
        <v>48</v>
      </c>
    </row>
    <row r="36411">
      <c r="H36411" s="50"/>
      <c r="I36411" s="50"/>
      <c r="O36411" s="36" t="s">
        <v>48</v>
      </c>
      <c r="R36411" s="36" t="s">
        <v>48</v>
      </c>
    </row>
    <row r="36412">
      <c r="H36412" s="50"/>
      <c r="I36412" s="50"/>
      <c r="O36412" s="36" t="s">
        <v>48</v>
      </c>
      <c r="R36412" s="36" t="s">
        <v>48</v>
      </c>
    </row>
    <row r="36413">
      <c r="H36413" s="50"/>
      <c r="I36413" s="50"/>
      <c r="O36413" s="36" t="s">
        <v>48</v>
      </c>
      <c r="R36413" s="36" t="s">
        <v>48</v>
      </c>
    </row>
    <row r="36414">
      <c r="H36414" s="50"/>
      <c r="I36414" s="50"/>
      <c r="O36414" s="36" t="s">
        <v>48</v>
      </c>
      <c r="R36414" s="36" t="s">
        <v>48</v>
      </c>
    </row>
    <row r="36415">
      <c r="H36415" s="50"/>
      <c r="I36415" s="50"/>
      <c r="O36415" s="36" t="s">
        <v>48</v>
      </c>
      <c r="R36415" s="36" t="s">
        <v>48</v>
      </c>
    </row>
    <row r="36416">
      <c r="H36416" s="50"/>
      <c r="I36416" s="50"/>
      <c r="O36416" s="36" t="s">
        <v>48</v>
      </c>
      <c r="R36416" s="36" t="s">
        <v>48</v>
      </c>
    </row>
    <row r="36417">
      <c r="H36417" s="50"/>
      <c r="I36417" s="50"/>
      <c r="O36417" s="36" t="s">
        <v>48</v>
      </c>
      <c r="R36417" s="36" t="s">
        <v>48</v>
      </c>
    </row>
    <row r="36418">
      <c r="H36418" s="50"/>
      <c r="I36418" s="50"/>
      <c r="O36418" s="36" t="s">
        <v>48</v>
      </c>
      <c r="R36418" s="36" t="s">
        <v>48</v>
      </c>
    </row>
    <row r="36419">
      <c r="H36419" s="50"/>
      <c r="I36419" s="50"/>
      <c r="O36419" s="36" t="s">
        <v>48</v>
      </c>
      <c r="R36419" s="36" t="s">
        <v>48</v>
      </c>
    </row>
    <row r="36420">
      <c r="H36420" s="50"/>
      <c r="I36420" s="50"/>
      <c r="O36420" s="36" t="s">
        <v>48</v>
      </c>
      <c r="R36420" s="36" t="s">
        <v>48</v>
      </c>
    </row>
    <row r="36421">
      <c r="H36421" s="50"/>
      <c r="I36421" s="50"/>
      <c r="O36421" s="36" t="s">
        <v>48</v>
      </c>
      <c r="R36421" s="36" t="s">
        <v>48</v>
      </c>
    </row>
    <row r="36422">
      <c r="H36422" s="50"/>
      <c r="I36422" s="50"/>
      <c r="O36422" s="36" t="s">
        <v>48</v>
      </c>
      <c r="R36422" s="36" t="s">
        <v>48</v>
      </c>
    </row>
    <row r="36423">
      <c r="H36423" s="50"/>
      <c r="I36423" s="50"/>
      <c r="O36423" s="36" t="s">
        <v>48</v>
      </c>
      <c r="R36423" s="36" t="s">
        <v>48</v>
      </c>
    </row>
    <row r="36424">
      <c r="H36424" s="50"/>
      <c r="I36424" s="50"/>
      <c r="O36424" s="36" t="s">
        <v>48</v>
      </c>
      <c r="R36424" s="36" t="s">
        <v>48</v>
      </c>
    </row>
    <row r="36425">
      <c r="H36425" s="50"/>
      <c r="I36425" s="50"/>
      <c r="O36425" s="36" t="s">
        <v>48</v>
      </c>
      <c r="R36425" s="36" t="s">
        <v>48</v>
      </c>
    </row>
    <row r="36426">
      <c r="H36426" s="50"/>
      <c r="I36426" s="50"/>
      <c r="O36426" s="36" t="s">
        <v>48</v>
      </c>
      <c r="R36426" s="36" t="s">
        <v>48</v>
      </c>
    </row>
    <row r="36427">
      <c r="H36427" s="50"/>
      <c r="I36427" s="50"/>
      <c r="O36427" s="36" t="s">
        <v>48</v>
      </c>
      <c r="R36427" s="36" t="s">
        <v>48</v>
      </c>
    </row>
    <row r="36428">
      <c r="H36428" s="50"/>
      <c r="I36428" s="50"/>
      <c r="O36428" s="36" t="s">
        <v>48</v>
      </c>
      <c r="R36428" s="36" t="s">
        <v>48</v>
      </c>
    </row>
    <row r="36429">
      <c r="H36429" s="50"/>
      <c r="I36429" s="50"/>
      <c r="O36429" s="36" t="s">
        <v>48</v>
      </c>
      <c r="R36429" s="36" t="s">
        <v>48</v>
      </c>
    </row>
    <row r="36430">
      <c r="H36430" s="50"/>
      <c r="I36430" s="50"/>
      <c r="O36430" s="36" t="s">
        <v>48</v>
      </c>
      <c r="R36430" s="36" t="s">
        <v>48</v>
      </c>
    </row>
    <row r="36431">
      <c r="H36431" s="50"/>
      <c r="I36431" s="50"/>
      <c r="O36431" s="36" t="s">
        <v>48</v>
      </c>
      <c r="R36431" s="36" t="s">
        <v>48</v>
      </c>
    </row>
    <row r="36432">
      <c r="H36432" s="50"/>
      <c r="I36432" s="50"/>
      <c r="O36432" s="36" t="s">
        <v>48</v>
      </c>
      <c r="R36432" s="36" t="s">
        <v>48</v>
      </c>
    </row>
    <row r="36433">
      <c r="H36433" s="50"/>
      <c r="I36433" s="50"/>
      <c r="O36433" s="36" t="s">
        <v>48</v>
      </c>
      <c r="R36433" s="36" t="s">
        <v>48</v>
      </c>
    </row>
    <row r="36434">
      <c r="H36434" s="50"/>
      <c r="I36434" s="50"/>
      <c r="O36434" s="36" t="s">
        <v>48</v>
      </c>
      <c r="R36434" s="36" t="s">
        <v>48</v>
      </c>
    </row>
    <row r="36435">
      <c r="H36435" s="50"/>
      <c r="I36435" s="50"/>
      <c r="O36435" s="36" t="s">
        <v>48</v>
      </c>
      <c r="R36435" s="36" t="s">
        <v>48</v>
      </c>
    </row>
    <row r="36436">
      <c r="H36436" s="50"/>
      <c r="I36436" s="50"/>
      <c r="O36436" s="36" t="s">
        <v>48</v>
      </c>
      <c r="R36436" s="36" t="s">
        <v>48</v>
      </c>
    </row>
    <row r="36437">
      <c r="H36437" s="50"/>
      <c r="I36437" s="50"/>
      <c r="O36437" s="36" t="s">
        <v>48</v>
      </c>
      <c r="R36437" s="36" t="s">
        <v>48</v>
      </c>
    </row>
    <row r="36438">
      <c r="H36438" s="50"/>
      <c r="I36438" s="50"/>
      <c r="O36438" s="36" t="s">
        <v>48</v>
      </c>
      <c r="R36438" s="36" t="s">
        <v>48</v>
      </c>
    </row>
    <row r="36439">
      <c r="H36439" s="50"/>
      <c r="I36439" s="50"/>
      <c r="O36439" s="36" t="s">
        <v>48</v>
      </c>
      <c r="R36439" s="36" t="s">
        <v>48</v>
      </c>
    </row>
    <row r="36440">
      <c r="H36440" s="50"/>
      <c r="I36440" s="50"/>
      <c r="O36440" s="36" t="s">
        <v>48</v>
      </c>
      <c r="R36440" s="36" t="s">
        <v>48</v>
      </c>
    </row>
    <row r="36441">
      <c r="H36441" s="50"/>
      <c r="I36441" s="50"/>
      <c r="O36441" s="36" t="s">
        <v>48</v>
      </c>
      <c r="R36441" s="36" t="s">
        <v>48</v>
      </c>
    </row>
    <row r="36442">
      <c r="H36442" s="50"/>
      <c r="I36442" s="50"/>
      <c r="O36442" s="36" t="s">
        <v>48</v>
      </c>
      <c r="R36442" s="36" t="s">
        <v>48</v>
      </c>
    </row>
    <row r="36443">
      <c r="H36443" s="50"/>
      <c r="I36443" s="50"/>
      <c r="O36443" s="36" t="s">
        <v>48</v>
      </c>
      <c r="R36443" s="36" t="s">
        <v>48</v>
      </c>
    </row>
    <row r="36444">
      <c r="H36444" s="50"/>
      <c r="I36444" s="50"/>
      <c r="O36444" s="36" t="s">
        <v>48</v>
      </c>
      <c r="R36444" s="36" t="s">
        <v>48</v>
      </c>
    </row>
    <row r="36445">
      <c r="H36445" s="50"/>
      <c r="I36445" s="50"/>
      <c r="O36445" s="36" t="s">
        <v>48</v>
      </c>
      <c r="R36445" s="36" t="s">
        <v>48</v>
      </c>
    </row>
    <row r="36446">
      <c r="H36446" s="50"/>
      <c r="I36446" s="50"/>
      <c r="O36446" s="36" t="s">
        <v>48</v>
      </c>
      <c r="R36446" s="36" t="s">
        <v>48</v>
      </c>
    </row>
    <row r="36447">
      <c r="H36447" s="50"/>
      <c r="I36447" s="50"/>
      <c r="O36447" s="36" t="s">
        <v>48</v>
      </c>
      <c r="R36447" s="36" t="s">
        <v>48</v>
      </c>
    </row>
    <row r="36448">
      <c r="H36448" s="50"/>
      <c r="I36448" s="50"/>
      <c r="O36448" s="36" t="s">
        <v>48</v>
      </c>
      <c r="R36448" s="36" t="s">
        <v>48</v>
      </c>
    </row>
    <row r="36449">
      <c r="H36449" s="50"/>
      <c r="I36449" s="50"/>
      <c r="O36449" s="36" t="s">
        <v>48</v>
      </c>
      <c r="R36449" s="36" t="s">
        <v>48</v>
      </c>
    </row>
    <row r="36450">
      <c r="H36450" s="50"/>
      <c r="I36450" s="50"/>
      <c r="O36450" s="36" t="s">
        <v>48</v>
      </c>
      <c r="R36450" s="36" t="s">
        <v>48</v>
      </c>
    </row>
    <row r="36451">
      <c r="H36451" s="50"/>
      <c r="I36451" s="50"/>
      <c r="O36451" s="36" t="s">
        <v>48</v>
      </c>
      <c r="R36451" s="36" t="s">
        <v>48</v>
      </c>
    </row>
    <row r="36452">
      <c r="H36452" s="50"/>
      <c r="I36452" s="50"/>
      <c r="O36452" s="36" t="s">
        <v>48</v>
      </c>
      <c r="R36452" s="36" t="s">
        <v>48</v>
      </c>
    </row>
    <row r="36453">
      <c r="H36453" s="50"/>
      <c r="I36453" s="50"/>
      <c r="O36453" s="36" t="s">
        <v>48</v>
      </c>
      <c r="R36453" s="36" t="s">
        <v>48</v>
      </c>
    </row>
    <row r="36454">
      <c r="H36454" s="50"/>
      <c r="I36454" s="50"/>
      <c r="O36454" s="36" t="s">
        <v>48</v>
      </c>
      <c r="R36454" s="36" t="s">
        <v>48</v>
      </c>
    </row>
    <row r="36455">
      <c r="H36455" s="50"/>
      <c r="I36455" s="50"/>
      <c r="O36455" s="36" t="s">
        <v>48</v>
      </c>
      <c r="R36455" s="36" t="s">
        <v>48</v>
      </c>
    </row>
    <row r="36456">
      <c r="H36456" s="50"/>
      <c r="I36456" s="50"/>
      <c r="O36456" s="36" t="s">
        <v>48</v>
      </c>
      <c r="R36456" s="36" t="s">
        <v>48</v>
      </c>
    </row>
    <row r="36457">
      <c r="H36457" s="50"/>
      <c r="I36457" s="50"/>
      <c r="O36457" s="36" t="s">
        <v>48</v>
      </c>
      <c r="R36457" s="36" t="s">
        <v>48</v>
      </c>
    </row>
    <row r="36458">
      <c r="H36458" s="50"/>
      <c r="I36458" s="50"/>
      <c r="O36458" s="36" t="s">
        <v>48</v>
      </c>
      <c r="R36458" s="36" t="s">
        <v>48</v>
      </c>
    </row>
    <row r="36459">
      <c r="H36459" s="50"/>
      <c r="I36459" s="50"/>
      <c r="O36459" s="36" t="s">
        <v>48</v>
      </c>
      <c r="R36459" s="36" t="s">
        <v>48</v>
      </c>
    </row>
    <row r="36460">
      <c r="H36460" s="50"/>
      <c r="I36460" s="50"/>
      <c r="O36460" s="36" t="s">
        <v>48</v>
      </c>
      <c r="R36460" s="36" t="s">
        <v>48</v>
      </c>
    </row>
    <row r="36461">
      <c r="H36461" s="50"/>
      <c r="I36461" s="50"/>
      <c r="O36461" s="36" t="s">
        <v>48</v>
      </c>
      <c r="R36461" s="36" t="s">
        <v>48</v>
      </c>
    </row>
    <row r="36462">
      <c r="H36462" s="50"/>
      <c r="I36462" s="50"/>
      <c r="O36462" s="36" t="s">
        <v>48</v>
      </c>
      <c r="R36462" s="36" t="s">
        <v>48</v>
      </c>
    </row>
    <row r="36463">
      <c r="H36463" s="50"/>
      <c r="I36463" s="50"/>
      <c r="O36463" s="36" t="s">
        <v>48</v>
      </c>
      <c r="R36463" s="36" t="s">
        <v>48</v>
      </c>
    </row>
    <row r="36464">
      <c r="H36464" s="50"/>
      <c r="I36464" s="50"/>
      <c r="O36464" s="36" t="s">
        <v>48</v>
      </c>
      <c r="R36464" s="36" t="s">
        <v>48</v>
      </c>
    </row>
    <row r="36465">
      <c r="H36465" s="50"/>
      <c r="I36465" s="50"/>
      <c r="O36465" s="36" t="s">
        <v>48</v>
      </c>
      <c r="R36465" s="36" t="s">
        <v>48</v>
      </c>
    </row>
    <row r="36466">
      <c r="H36466" s="50"/>
      <c r="I36466" s="50"/>
      <c r="O36466" s="36" t="s">
        <v>48</v>
      </c>
      <c r="R36466" s="36" t="s">
        <v>48</v>
      </c>
    </row>
    <row r="36467">
      <c r="H36467" s="50"/>
      <c r="I36467" s="50"/>
      <c r="O36467" s="36" t="s">
        <v>48</v>
      </c>
      <c r="R36467" s="36" t="s">
        <v>48</v>
      </c>
    </row>
    <row r="36468">
      <c r="H36468" s="50"/>
      <c r="I36468" s="50"/>
      <c r="O36468" s="36" t="s">
        <v>48</v>
      </c>
      <c r="R36468" s="36" t="s">
        <v>48</v>
      </c>
    </row>
    <row r="36469">
      <c r="H36469" s="50"/>
      <c r="I36469" s="50"/>
      <c r="O36469" s="36" t="s">
        <v>48</v>
      </c>
      <c r="R36469" s="36" t="s">
        <v>48</v>
      </c>
    </row>
    <row r="36470">
      <c r="H36470" s="50"/>
      <c r="I36470" s="50"/>
      <c r="O36470" s="36" t="s">
        <v>48</v>
      </c>
      <c r="R36470" s="36" t="s">
        <v>48</v>
      </c>
    </row>
    <row r="36471">
      <c r="H36471" s="50"/>
      <c r="I36471" s="50"/>
      <c r="O36471" s="36" t="s">
        <v>48</v>
      </c>
      <c r="R36471" s="36" t="s">
        <v>48</v>
      </c>
    </row>
    <row r="36472">
      <c r="H36472" s="50"/>
      <c r="I36472" s="50"/>
      <c r="O36472" s="36" t="s">
        <v>48</v>
      </c>
      <c r="R36472" s="36" t="s">
        <v>48</v>
      </c>
    </row>
    <row r="36473">
      <c r="H36473" s="50"/>
      <c r="I36473" s="50"/>
      <c r="O36473" s="36" t="s">
        <v>48</v>
      </c>
      <c r="R36473" s="36" t="s">
        <v>48</v>
      </c>
    </row>
    <row r="36474">
      <c r="H36474" s="50"/>
      <c r="I36474" s="50"/>
      <c r="O36474" s="36" t="s">
        <v>48</v>
      </c>
      <c r="R36474" s="36" t="s">
        <v>48</v>
      </c>
    </row>
    <row r="36475">
      <c r="H36475" s="50"/>
      <c r="I36475" s="50"/>
      <c r="O36475" s="36" t="s">
        <v>48</v>
      </c>
      <c r="R36475" s="36" t="s">
        <v>48</v>
      </c>
    </row>
    <row r="36476">
      <c r="H36476" s="50"/>
      <c r="I36476" s="50"/>
      <c r="O36476" s="36" t="s">
        <v>48</v>
      </c>
      <c r="R36476" s="36" t="s">
        <v>48</v>
      </c>
    </row>
    <row r="36477">
      <c r="H36477" s="50"/>
      <c r="I36477" s="50"/>
      <c r="O36477" s="36" t="s">
        <v>48</v>
      </c>
      <c r="R36477" s="36" t="s">
        <v>48</v>
      </c>
    </row>
    <row r="36478">
      <c r="H36478" s="50"/>
      <c r="I36478" s="50"/>
      <c r="O36478" s="36" t="s">
        <v>48</v>
      </c>
      <c r="R36478" s="36" t="s">
        <v>48</v>
      </c>
    </row>
    <row r="36479">
      <c r="H36479" s="50"/>
      <c r="I36479" s="50"/>
      <c r="O36479" s="36" t="s">
        <v>48</v>
      </c>
      <c r="R36479" s="36" t="s">
        <v>48</v>
      </c>
    </row>
    <row r="36480">
      <c r="H36480" s="50"/>
      <c r="I36480" s="50"/>
      <c r="O36480" s="36" t="s">
        <v>48</v>
      </c>
      <c r="R36480" s="36" t="s">
        <v>48</v>
      </c>
    </row>
    <row r="36481">
      <c r="H36481" s="50"/>
      <c r="I36481" s="50"/>
      <c r="O36481" s="36" t="s">
        <v>48</v>
      </c>
      <c r="R36481" s="36" t="s">
        <v>48</v>
      </c>
    </row>
    <row r="36482">
      <c r="H36482" s="50"/>
      <c r="I36482" s="50"/>
      <c r="O36482" s="36" t="s">
        <v>48</v>
      </c>
      <c r="R36482" s="36" t="s">
        <v>48</v>
      </c>
    </row>
    <row r="36483">
      <c r="H36483" s="50"/>
      <c r="I36483" s="50"/>
      <c r="O36483" s="36" t="s">
        <v>48</v>
      </c>
      <c r="R36483" s="36" t="s">
        <v>48</v>
      </c>
    </row>
    <row r="36484">
      <c r="H36484" s="50"/>
      <c r="I36484" s="50"/>
      <c r="O36484" s="36" t="s">
        <v>48</v>
      </c>
      <c r="R36484" s="36" t="s">
        <v>48</v>
      </c>
    </row>
    <row r="36485">
      <c r="H36485" s="50"/>
      <c r="I36485" s="50"/>
      <c r="O36485" s="36" t="s">
        <v>48</v>
      </c>
      <c r="R36485" s="36" t="s">
        <v>48</v>
      </c>
    </row>
    <row r="36486">
      <c r="H36486" s="50"/>
      <c r="I36486" s="50"/>
      <c r="O36486" s="36" t="s">
        <v>48</v>
      </c>
      <c r="R36486" s="36" t="s">
        <v>48</v>
      </c>
    </row>
    <row r="36487">
      <c r="H36487" s="50"/>
      <c r="I36487" s="50"/>
      <c r="O36487" s="36" t="s">
        <v>48</v>
      </c>
      <c r="R36487" s="36" t="s">
        <v>48</v>
      </c>
    </row>
    <row r="36488">
      <c r="H36488" s="50"/>
      <c r="I36488" s="50"/>
      <c r="O36488" s="36" t="s">
        <v>48</v>
      </c>
      <c r="R36488" s="36" t="s">
        <v>48</v>
      </c>
    </row>
    <row r="36489">
      <c r="H36489" s="50"/>
      <c r="I36489" s="50"/>
      <c r="O36489" s="36" t="s">
        <v>48</v>
      </c>
      <c r="R36489" s="36" t="s">
        <v>48</v>
      </c>
    </row>
    <row r="36490">
      <c r="H36490" s="50"/>
      <c r="I36490" s="50"/>
      <c r="O36490" s="36" t="s">
        <v>48</v>
      </c>
      <c r="R36490" s="36" t="s">
        <v>48</v>
      </c>
    </row>
    <row r="36491">
      <c r="H36491" s="50"/>
      <c r="I36491" s="50"/>
      <c r="O36491" s="36" t="s">
        <v>48</v>
      </c>
      <c r="R36491" s="36" t="s">
        <v>48</v>
      </c>
    </row>
    <row r="36492">
      <c r="H36492" s="50"/>
      <c r="I36492" s="50"/>
      <c r="O36492" s="36" t="s">
        <v>48</v>
      </c>
      <c r="R36492" s="36" t="s">
        <v>48</v>
      </c>
    </row>
    <row r="36493">
      <c r="H36493" s="50"/>
      <c r="I36493" s="50"/>
      <c r="O36493" s="36" t="s">
        <v>48</v>
      </c>
      <c r="R36493" s="36" t="s">
        <v>48</v>
      </c>
    </row>
    <row r="36494">
      <c r="H36494" s="50"/>
      <c r="I36494" s="50"/>
      <c r="O36494" s="36" t="s">
        <v>48</v>
      </c>
      <c r="R36494" s="36" t="s">
        <v>48</v>
      </c>
    </row>
    <row r="36495">
      <c r="H36495" s="50"/>
      <c r="I36495" s="50"/>
      <c r="O36495" s="36" t="s">
        <v>48</v>
      </c>
      <c r="R36495" s="36" t="s">
        <v>48</v>
      </c>
    </row>
    <row r="36496">
      <c r="H36496" s="50"/>
      <c r="I36496" s="50"/>
      <c r="O36496" s="36" t="s">
        <v>48</v>
      </c>
      <c r="R36496" s="36" t="s">
        <v>48</v>
      </c>
    </row>
    <row r="36497">
      <c r="H36497" s="50"/>
      <c r="I36497" s="50"/>
      <c r="O36497" s="36" t="s">
        <v>48</v>
      </c>
      <c r="R36497" s="36" t="s">
        <v>48</v>
      </c>
    </row>
    <row r="36498">
      <c r="H36498" s="50"/>
      <c r="I36498" s="50"/>
      <c r="O36498" s="36" t="s">
        <v>48</v>
      </c>
      <c r="R36498" s="36" t="s">
        <v>48</v>
      </c>
    </row>
    <row r="36499">
      <c r="H36499" s="50"/>
      <c r="I36499" s="50"/>
      <c r="O36499" s="36" t="s">
        <v>48</v>
      </c>
      <c r="R36499" s="36" t="s">
        <v>48</v>
      </c>
    </row>
    <row r="36500">
      <c r="H36500" s="50"/>
      <c r="I36500" s="50"/>
      <c r="O36500" s="36" t="s">
        <v>48</v>
      </c>
      <c r="R36500" s="36" t="s">
        <v>48</v>
      </c>
    </row>
    <row r="36501">
      <c r="H36501" s="50"/>
      <c r="I36501" s="50"/>
      <c r="O36501" s="36" t="s">
        <v>48</v>
      </c>
      <c r="R36501" s="36" t="s">
        <v>48</v>
      </c>
    </row>
    <row r="36502">
      <c r="H36502" s="50"/>
      <c r="I36502" s="50"/>
      <c r="O36502" s="36" t="s">
        <v>48</v>
      </c>
      <c r="R36502" s="36" t="s">
        <v>48</v>
      </c>
    </row>
    <row r="36503">
      <c r="H36503" s="50"/>
      <c r="I36503" s="50"/>
      <c r="O36503" s="36" t="s">
        <v>48</v>
      </c>
      <c r="R36503" s="36" t="s">
        <v>48</v>
      </c>
    </row>
    <row r="36504">
      <c r="H36504" s="50"/>
      <c r="I36504" s="50"/>
      <c r="O36504" s="36" t="s">
        <v>48</v>
      </c>
      <c r="R36504" s="36" t="s">
        <v>48</v>
      </c>
    </row>
    <row r="36505">
      <c r="H36505" s="50"/>
      <c r="I36505" s="50"/>
      <c r="O36505" s="36" t="s">
        <v>48</v>
      </c>
      <c r="R36505" s="36" t="s">
        <v>48</v>
      </c>
    </row>
    <row r="36506">
      <c r="H36506" s="50"/>
      <c r="I36506" s="50"/>
      <c r="O36506" s="36" t="s">
        <v>48</v>
      </c>
      <c r="R36506" s="36" t="s">
        <v>48</v>
      </c>
    </row>
    <row r="36507">
      <c r="H36507" s="50"/>
      <c r="I36507" s="50"/>
      <c r="O36507" s="36" t="s">
        <v>48</v>
      </c>
      <c r="R36507" s="36" t="s">
        <v>48</v>
      </c>
    </row>
    <row r="36508">
      <c r="H36508" s="50"/>
      <c r="I36508" s="50"/>
      <c r="O36508" s="36" t="s">
        <v>48</v>
      </c>
      <c r="R36508" s="36" t="s">
        <v>48</v>
      </c>
    </row>
    <row r="36509">
      <c r="H36509" s="50"/>
      <c r="I36509" s="50"/>
      <c r="O36509" s="36" t="s">
        <v>48</v>
      </c>
      <c r="R36509" s="36" t="s">
        <v>48</v>
      </c>
    </row>
    <row r="36510">
      <c r="H36510" s="50"/>
      <c r="I36510" s="50"/>
      <c r="O36510" s="36" t="s">
        <v>48</v>
      </c>
      <c r="R36510" s="36" t="s">
        <v>48</v>
      </c>
    </row>
    <row r="36511">
      <c r="H36511" s="50"/>
      <c r="I36511" s="50"/>
      <c r="O36511" s="36" t="s">
        <v>48</v>
      </c>
      <c r="R36511" s="36" t="s">
        <v>48</v>
      </c>
    </row>
    <row r="36512">
      <c r="H36512" s="50"/>
      <c r="I36512" s="50"/>
      <c r="O36512" s="36" t="s">
        <v>48</v>
      </c>
      <c r="R36512" s="36" t="s">
        <v>48</v>
      </c>
    </row>
    <row r="36513">
      <c r="H36513" s="50"/>
      <c r="I36513" s="50"/>
      <c r="O36513" s="36" t="s">
        <v>48</v>
      </c>
      <c r="R36513" s="36" t="s">
        <v>48</v>
      </c>
    </row>
    <row r="36514">
      <c r="H36514" s="50"/>
      <c r="I36514" s="50"/>
      <c r="O36514" s="36" t="s">
        <v>48</v>
      </c>
      <c r="R36514" s="36" t="s">
        <v>48</v>
      </c>
    </row>
    <row r="36515">
      <c r="H36515" s="50"/>
      <c r="I36515" s="50"/>
      <c r="O36515" s="36" t="s">
        <v>48</v>
      </c>
      <c r="R36515" s="36" t="s">
        <v>48</v>
      </c>
    </row>
    <row r="36516">
      <c r="H36516" s="50"/>
      <c r="I36516" s="50"/>
      <c r="O36516" s="36" t="s">
        <v>48</v>
      </c>
      <c r="R36516" s="36" t="s">
        <v>48</v>
      </c>
    </row>
    <row r="36517">
      <c r="H36517" s="50"/>
      <c r="I36517" s="50"/>
      <c r="O36517" s="36" t="s">
        <v>48</v>
      </c>
      <c r="R36517" s="36" t="s">
        <v>48</v>
      </c>
    </row>
    <row r="36518">
      <c r="H36518" s="50"/>
      <c r="I36518" s="50"/>
      <c r="O36518" s="36" t="s">
        <v>48</v>
      </c>
      <c r="R36518" s="36" t="s">
        <v>48</v>
      </c>
    </row>
    <row r="36519">
      <c r="H36519" s="50"/>
      <c r="I36519" s="50"/>
      <c r="O36519" s="36" t="s">
        <v>48</v>
      </c>
      <c r="R36519" s="36" t="s">
        <v>48</v>
      </c>
    </row>
    <row r="36520">
      <c r="H36520" s="50"/>
      <c r="I36520" s="50"/>
      <c r="O36520" s="36" t="s">
        <v>48</v>
      </c>
      <c r="R36520" s="36" t="s">
        <v>48</v>
      </c>
    </row>
    <row r="36521">
      <c r="H36521" s="50"/>
      <c r="I36521" s="50"/>
      <c r="O36521" s="36" t="s">
        <v>48</v>
      </c>
      <c r="R36521" s="36" t="s">
        <v>48</v>
      </c>
    </row>
    <row r="36522">
      <c r="H36522" s="50"/>
      <c r="I36522" s="50"/>
      <c r="O36522" s="36" t="s">
        <v>48</v>
      </c>
      <c r="R36522" s="36" t="s">
        <v>48</v>
      </c>
    </row>
    <row r="36523">
      <c r="H36523" s="50"/>
      <c r="I36523" s="50"/>
      <c r="O36523" s="36" t="s">
        <v>48</v>
      </c>
      <c r="R36523" s="36" t="s">
        <v>48</v>
      </c>
    </row>
    <row r="36524">
      <c r="H36524" s="50"/>
      <c r="I36524" s="50"/>
      <c r="O36524" s="36" t="s">
        <v>48</v>
      </c>
      <c r="R36524" s="36" t="s">
        <v>48</v>
      </c>
    </row>
    <row r="36525">
      <c r="H36525" s="50"/>
      <c r="I36525" s="50"/>
      <c r="O36525" s="36" t="s">
        <v>48</v>
      </c>
      <c r="R36525" s="36" t="s">
        <v>48</v>
      </c>
    </row>
    <row r="36526">
      <c r="H36526" s="50"/>
      <c r="I36526" s="50"/>
      <c r="O36526" s="36" t="s">
        <v>48</v>
      </c>
      <c r="R36526" s="36" t="s">
        <v>48</v>
      </c>
    </row>
    <row r="36527">
      <c r="H36527" s="50"/>
      <c r="I36527" s="50"/>
      <c r="O36527" s="36" t="s">
        <v>48</v>
      </c>
      <c r="R36527" s="36" t="s">
        <v>48</v>
      </c>
    </row>
    <row r="36528">
      <c r="H36528" s="50"/>
      <c r="I36528" s="50"/>
      <c r="O36528" s="36" t="s">
        <v>48</v>
      </c>
      <c r="R36528" s="36" t="s">
        <v>48</v>
      </c>
    </row>
    <row r="36529">
      <c r="H36529" s="50"/>
      <c r="I36529" s="50"/>
      <c r="O36529" s="36" t="s">
        <v>48</v>
      </c>
      <c r="R36529" s="36" t="s">
        <v>48</v>
      </c>
    </row>
    <row r="36530">
      <c r="H36530" s="50"/>
      <c r="I36530" s="50"/>
      <c r="O36530" s="36" t="s">
        <v>48</v>
      </c>
      <c r="R36530" s="36" t="s">
        <v>48</v>
      </c>
    </row>
    <row r="36531">
      <c r="H36531" s="50"/>
      <c r="I36531" s="50"/>
      <c r="O36531" s="36" t="s">
        <v>48</v>
      </c>
      <c r="R36531" s="36" t="s">
        <v>48</v>
      </c>
    </row>
    <row r="36532">
      <c r="H36532" s="50"/>
      <c r="I36532" s="50"/>
      <c r="O36532" s="36" t="s">
        <v>48</v>
      </c>
      <c r="R36532" s="36" t="s">
        <v>48</v>
      </c>
    </row>
    <row r="36533">
      <c r="H36533" s="50"/>
      <c r="I36533" s="50"/>
      <c r="O36533" s="36" t="s">
        <v>48</v>
      </c>
      <c r="R36533" s="36" t="s">
        <v>48</v>
      </c>
    </row>
    <row r="36534">
      <c r="H36534" s="50"/>
      <c r="I36534" s="50"/>
      <c r="O36534" s="36" t="s">
        <v>48</v>
      </c>
      <c r="R36534" s="36" t="s">
        <v>48</v>
      </c>
    </row>
    <row r="36535">
      <c r="H36535" s="50"/>
      <c r="I36535" s="50"/>
      <c r="O36535" s="36" t="s">
        <v>48</v>
      </c>
      <c r="R36535" s="36" t="s">
        <v>48</v>
      </c>
    </row>
    <row r="36536">
      <c r="H36536" s="50"/>
      <c r="I36536" s="50"/>
      <c r="O36536" s="36" t="s">
        <v>48</v>
      </c>
      <c r="R36536" s="36" t="s">
        <v>48</v>
      </c>
    </row>
    <row r="36537">
      <c r="H36537" s="50"/>
      <c r="I36537" s="50"/>
      <c r="O36537" s="36" t="s">
        <v>48</v>
      </c>
      <c r="R36537" s="36" t="s">
        <v>48</v>
      </c>
    </row>
    <row r="36538">
      <c r="H36538" s="50"/>
      <c r="I36538" s="50"/>
      <c r="O36538" s="36" t="s">
        <v>48</v>
      </c>
      <c r="R36538" s="36" t="s">
        <v>48</v>
      </c>
    </row>
    <row r="36539">
      <c r="H36539" s="50"/>
      <c r="I36539" s="50"/>
      <c r="O36539" s="36" t="s">
        <v>48</v>
      </c>
      <c r="R36539" s="36" t="s">
        <v>48</v>
      </c>
    </row>
    <row r="36540">
      <c r="H36540" s="50"/>
      <c r="I36540" s="50"/>
      <c r="O36540" s="36" t="s">
        <v>48</v>
      </c>
      <c r="R36540" s="36" t="s">
        <v>48</v>
      </c>
    </row>
    <row r="36541">
      <c r="H36541" s="50"/>
      <c r="I36541" s="50"/>
      <c r="O36541" s="36" t="s">
        <v>48</v>
      </c>
      <c r="R36541" s="36" t="s">
        <v>48</v>
      </c>
    </row>
    <row r="36542">
      <c r="H36542" s="50"/>
      <c r="I36542" s="50"/>
      <c r="O36542" s="36" t="s">
        <v>48</v>
      </c>
      <c r="R36542" s="36" t="s">
        <v>48</v>
      </c>
    </row>
    <row r="36543">
      <c r="H36543" s="50"/>
      <c r="I36543" s="50"/>
      <c r="O36543" s="36" t="s">
        <v>48</v>
      </c>
      <c r="R36543" s="36" t="s">
        <v>48</v>
      </c>
    </row>
    <row r="36544">
      <c r="H36544" s="50"/>
      <c r="I36544" s="50"/>
      <c r="O36544" s="36" t="s">
        <v>48</v>
      </c>
      <c r="R36544" s="36" t="s">
        <v>48</v>
      </c>
    </row>
    <row r="36545">
      <c r="H36545" s="50"/>
      <c r="I36545" s="50"/>
      <c r="O36545" s="36" t="s">
        <v>48</v>
      </c>
      <c r="R36545" s="36" t="s">
        <v>48</v>
      </c>
    </row>
    <row r="36546">
      <c r="H36546" s="50"/>
      <c r="I36546" s="50"/>
      <c r="O36546" s="36" t="s">
        <v>48</v>
      </c>
      <c r="R36546" s="36" t="s">
        <v>48</v>
      </c>
    </row>
    <row r="36547">
      <c r="H36547" s="50"/>
      <c r="I36547" s="50"/>
      <c r="O36547" s="36" t="s">
        <v>48</v>
      </c>
      <c r="R36547" s="36" t="s">
        <v>48</v>
      </c>
    </row>
    <row r="36548">
      <c r="H36548" s="50"/>
      <c r="I36548" s="50"/>
      <c r="O36548" s="36" t="s">
        <v>48</v>
      </c>
      <c r="R36548" s="36" t="s">
        <v>48</v>
      </c>
    </row>
    <row r="36549">
      <c r="H36549" s="50"/>
      <c r="I36549" s="50"/>
      <c r="O36549" s="36" t="s">
        <v>48</v>
      </c>
      <c r="R36549" s="36" t="s">
        <v>48</v>
      </c>
    </row>
    <row r="36550">
      <c r="H36550" s="50"/>
      <c r="I36550" s="50"/>
      <c r="O36550" s="36" t="s">
        <v>48</v>
      </c>
      <c r="R36550" s="36" t="s">
        <v>48</v>
      </c>
    </row>
    <row r="36551">
      <c r="H36551" s="50"/>
      <c r="I36551" s="50"/>
      <c r="O36551" s="36" t="s">
        <v>48</v>
      </c>
      <c r="R36551" s="36" t="s">
        <v>48</v>
      </c>
    </row>
    <row r="36552">
      <c r="H36552" s="50"/>
      <c r="I36552" s="50"/>
      <c r="O36552" s="36" t="s">
        <v>48</v>
      </c>
      <c r="R36552" s="36" t="s">
        <v>48</v>
      </c>
    </row>
    <row r="36553">
      <c r="H36553" s="50"/>
      <c r="I36553" s="50"/>
      <c r="O36553" s="36" t="s">
        <v>48</v>
      </c>
      <c r="R36553" s="36" t="s">
        <v>48</v>
      </c>
    </row>
    <row r="36554">
      <c r="H36554" s="50"/>
      <c r="I36554" s="50"/>
      <c r="O36554" s="36" t="s">
        <v>48</v>
      </c>
      <c r="R36554" s="36" t="s">
        <v>48</v>
      </c>
    </row>
    <row r="36555">
      <c r="H36555" s="50"/>
      <c r="I36555" s="50"/>
      <c r="O36555" s="36" t="s">
        <v>48</v>
      </c>
      <c r="R36555" s="36" t="s">
        <v>48</v>
      </c>
    </row>
    <row r="36556">
      <c r="H36556" s="50"/>
      <c r="I36556" s="50"/>
      <c r="O36556" s="36" t="s">
        <v>48</v>
      </c>
      <c r="R36556" s="36" t="s">
        <v>48</v>
      </c>
    </row>
    <row r="36557">
      <c r="H36557" s="50"/>
      <c r="I36557" s="50"/>
      <c r="O36557" s="36" t="s">
        <v>48</v>
      </c>
      <c r="R36557" s="36" t="s">
        <v>48</v>
      </c>
    </row>
    <row r="36558">
      <c r="H36558" s="50"/>
      <c r="I36558" s="50"/>
      <c r="O36558" s="36" t="s">
        <v>48</v>
      </c>
      <c r="R36558" s="36" t="s">
        <v>48</v>
      </c>
    </row>
    <row r="36559">
      <c r="H36559" s="50"/>
      <c r="I36559" s="50"/>
      <c r="O36559" s="36" t="s">
        <v>48</v>
      </c>
      <c r="R36559" s="36" t="s">
        <v>48</v>
      </c>
    </row>
    <row r="36560">
      <c r="H36560" s="50"/>
      <c r="I36560" s="50"/>
      <c r="O36560" s="36" t="s">
        <v>48</v>
      </c>
      <c r="R36560" s="36" t="s">
        <v>48</v>
      </c>
    </row>
    <row r="36561">
      <c r="H36561" s="50"/>
      <c r="I36561" s="50"/>
      <c r="O36561" s="36" t="s">
        <v>48</v>
      </c>
      <c r="R36561" s="36" t="s">
        <v>48</v>
      </c>
    </row>
    <row r="36562">
      <c r="H36562" s="50"/>
      <c r="I36562" s="50"/>
      <c r="O36562" s="36" t="s">
        <v>48</v>
      </c>
      <c r="R36562" s="36" t="s">
        <v>48</v>
      </c>
    </row>
    <row r="36563">
      <c r="H36563" s="50"/>
      <c r="I36563" s="50"/>
      <c r="O36563" s="36" t="s">
        <v>48</v>
      </c>
      <c r="R36563" s="36" t="s">
        <v>48</v>
      </c>
    </row>
    <row r="36564">
      <c r="H36564" s="50"/>
      <c r="I36564" s="50"/>
      <c r="O36564" s="36" t="s">
        <v>48</v>
      </c>
      <c r="R36564" s="36" t="s">
        <v>48</v>
      </c>
    </row>
    <row r="36565">
      <c r="H36565" s="50"/>
      <c r="I36565" s="50"/>
      <c r="O36565" s="36" t="s">
        <v>48</v>
      </c>
      <c r="R36565" s="36" t="s">
        <v>48</v>
      </c>
    </row>
    <row r="36566">
      <c r="H36566" s="50"/>
      <c r="I36566" s="50"/>
      <c r="O36566" s="36" t="s">
        <v>48</v>
      </c>
      <c r="R36566" s="36" t="s">
        <v>48</v>
      </c>
    </row>
    <row r="36567">
      <c r="H36567" s="50"/>
      <c r="I36567" s="50"/>
      <c r="O36567" s="36" t="s">
        <v>48</v>
      </c>
      <c r="R36567" s="36" t="s">
        <v>48</v>
      </c>
    </row>
    <row r="36568">
      <c r="H36568" s="50"/>
      <c r="I36568" s="50"/>
      <c r="O36568" s="36" t="s">
        <v>48</v>
      </c>
      <c r="R36568" s="36" t="s">
        <v>48</v>
      </c>
    </row>
    <row r="36569">
      <c r="H36569" s="50"/>
      <c r="I36569" s="50"/>
      <c r="O36569" s="36" t="s">
        <v>48</v>
      </c>
      <c r="R36569" s="36" t="s">
        <v>48</v>
      </c>
    </row>
    <row r="36570">
      <c r="H36570" s="50"/>
      <c r="I36570" s="50"/>
      <c r="O36570" s="36" t="s">
        <v>48</v>
      </c>
      <c r="R36570" s="36" t="s">
        <v>48</v>
      </c>
    </row>
    <row r="36571">
      <c r="H36571" s="50"/>
      <c r="I36571" s="50"/>
      <c r="O36571" s="36" t="s">
        <v>48</v>
      </c>
      <c r="R36571" s="36" t="s">
        <v>48</v>
      </c>
    </row>
    <row r="36572">
      <c r="H36572" s="50"/>
      <c r="I36572" s="50"/>
      <c r="O36572" s="36" t="s">
        <v>48</v>
      </c>
      <c r="R36572" s="36" t="s">
        <v>48</v>
      </c>
    </row>
    <row r="36573">
      <c r="H36573" s="50"/>
      <c r="I36573" s="50"/>
      <c r="O36573" s="36" t="s">
        <v>48</v>
      </c>
      <c r="R36573" s="36" t="s">
        <v>48</v>
      </c>
    </row>
    <row r="36574">
      <c r="H36574" s="50"/>
      <c r="I36574" s="50"/>
      <c r="O36574" s="36" t="s">
        <v>48</v>
      </c>
      <c r="R36574" s="36" t="s">
        <v>48</v>
      </c>
    </row>
    <row r="36575">
      <c r="H36575" s="50"/>
      <c r="I36575" s="50"/>
      <c r="O36575" s="36" t="s">
        <v>48</v>
      </c>
      <c r="R36575" s="36" t="s">
        <v>48</v>
      </c>
    </row>
    <row r="36576">
      <c r="H36576" s="50"/>
      <c r="I36576" s="50"/>
      <c r="O36576" s="36" t="s">
        <v>48</v>
      </c>
      <c r="R36576" s="36" t="s">
        <v>48</v>
      </c>
    </row>
    <row r="36577">
      <c r="H36577" s="50"/>
      <c r="I36577" s="50"/>
      <c r="O36577" s="36" t="s">
        <v>48</v>
      </c>
      <c r="R36577" s="36" t="s">
        <v>48</v>
      </c>
    </row>
    <row r="36578">
      <c r="H36578" s="50"/>
      <c r="I36578" s="50"/>
      <c r="O36578" s="36" t="s">
        <v>48</v>
      </c>
      <c r="R36578" s="36" t="s">
        <v>48</v>
      </c>
    </row>
    <row r="36579">
      <c r="H36579" s="50"/>
      <c r="I36579" s="50"/>
      <c r="O36579" s="36" t="s">
        <v>48</v>
      </c>
      <c r="R36579" s="36" t="s">
        <v>48</v>
      </c>
    </row>
    <row r="36580">
      <c r="H36580" s="50"/>
      <c r="I36580" s="50"/>
      <c r="O36580" s="36" t="s">
        <v>48</v>
      </c>
      <c r="R36580" s="36" t="s">
        <v>48</v>
      </c>
    </row>
    <row r="36581">
      <c r="H36581" s="50"/>
      <c r="I36581" s="50"/>
      <c r="O36581" s="36" t="s">
        <v>48</v>
      </c>
      <c r="R36581" s="36" t="s">
        <v>48</v>
      </c>
    </row>
    <row r="36582">
      <c r="H36582" s="50"/>
      <c r="I36582" s="50"/>
      <c r="O36582" s="36" t="s">
        <v>48</v>
      </c>
      <c r="R36582" s="36" t="s">
        <v>48</v>
      </c>
    </row>
    <row r="36583">
      <c r="H36583" s="50"/>
      <c r="I36583" s="50"/>
      <c r="O36583" s="36" t="s">
        <v>48</v>
      </c>
      <c r="R36583" s="36" t="s">
        <v>48</v>
      </c>
    </row>
    <row r="36584">
      <c r="H36584" s="50"/>
      <c r="I36584" s="50"/>
      <c r="O36584" s="36" t="s">
        <v>48</v>
      </c>
      <c r="R36584" s="36" t="s">
        <v>48</v>
      </c>
    </row>
    <row r="36585">
      <c r="H36585" s="50"/>
      <c r="I36585" s="50"/>
      <c r="O36585" s="36" t="s">
        <v>48</v>
      </c>
      <c r="R36585" s="36" t="s">
        <v>48</v>
      </c>
    </row>
    <row r="36586">
      <c r="H36586" s="50"/>
      <c r="I36586" s="50"/>
      <c r="O36586" s="36" t="s">
        <v>48</v>
      </c>
      <c r="R36586" s="36" t="s">
        <v>48</v>
      </c>
    </row>
    <row r="36587">
      <c r="H36587" s="50"/>
      <c r="I36587" s="50"/>
      <c r="O36587" s="36" t="s">
        <v>48</v>
      </c>
      <c r="R36587" s="36" t="s">
        <v>48</v>
      </c>
    </row>
    <row r="36588">
      <c r="H36588" s="50"/>
      <c r="I36588" s="50"/>
      <c r="O36588" s="36" t="s">
        <v>48</v>
      </c>
      <c r="R36588" s="36" t="s">
        <v>48</v>
      </c>
    </row>
    <row r="36589">
      <c r="H36589" s="50"/>
      <c r="I36589" s="50"/>
      <c r="O36589" s="36" t="s">
        <v>48</v>
      </c>
      <c r="R36589" s="36" t="s">
        <v>48</v>
      </c>
    </row>
    <row r="36590">
      <c r="H36590" s="50"/>
      <c r="I36590" s="50"/>
      <c r="O36590" s="36" t="s">
        <v>48</v>
      </c>
      <c r="R36590" s="36" t="s">
        <v>48</v>
      </c>
    </row>
    <row r="36591">
      <c r="H36591" s="50"/>
      <c r="I36591" s="50"/>
      <c r="O36591" s="36" t="s">
        <v>48</v>
      </c>
      <c r="R36591" s="36" t="s">
        <v>48</v>
      </c>
    </row>
    <row r="36592">
      <c r="H36592" s="50"/>
      <c r="I36592" s="50"/>
      <c r="O36592" s="36" t="s">
        <v>48</v>
      </c>
      <c r="R36592" s="36" t="s">
        <v>48</v>
      </c>
    </row>
    <row r="36593">
      <c r="H36593" s="50"/>
      <c r="I36593" s="50"/>
      <c r="O36593" s="36" t="s">
        <v>48</v>
      </c>
      <c r="R36593" s="36" t="s">
        <v>48</v>
      </c>
    </row>
    <row r="36594">
      <c r="H36594" s="50"/>
      <c r="I36594" s="50"/>
      <c r="O36594" s="36" t="s">
        <v>48</v>
      </c>
      <c r="R36594" s="36" t="s">
        <v>48</v>
      </c>
    </row>
    <row r="36595">
      <c r="H36595" s="50"/>
      <c r="I36595" s="50"/>
      <c r="O36595" s="36" t="s">
        <v>48</v>
      </c>
      <c r="R36595" s="36" t="s">
        <v>48</v>
      </c>
    </row>
    <row r="36596">
      <c r="H36596" s="50"/>
      <c r="I36596" s="50"/>
      <c r="O36596" s="36" t="s">
        <v>48</v>
      </c>
      <c r="R36596" s="36" t="s">
        <v>48</v>
      </c>
    </row>
    <row r="36597">
      <c r="H36597" s="50"/>
      <c r="I36597" s="50"/>
      <c r="O36597" s="36" t="s">
        <v>48</v>
      </c>
      <c r="R36597" s="36" t="s">
        <v>48</v>
      </c>
    </row>
    <row r="36598">
      <c r="H36598" s="50"/>
      <c r="I36598" s="50"/>
      <c r="O36598" s="36" t="s">
        <v>48</v>
      </c>
      <c r="R36598" s="36" t="s">
        <v>48</v>
      </c>
    </row>
    <row r="36599">
      <c r="H36599" s="50"/>
      <c r="I36599" s="50"/>
      <c r="O36599" s="36" t="s">
        <v>48</v>
      </c>
      <c r="R36599" s="36" t="s">
        <v>48</v>
      </c>
    </row>
    <row r="36600">
      <c r="H36600" s="50"/>
      <c r="I36600" s="50"/>
      <c r="O36600" s="36" t="s">
        <v>48</v>
      </c>
      <c r="R36600" s="36" t="s">
        <v>48</v>
      </c>
    </row>
    <row r="36601">
      <c r="H36601" s="50"/>
      <c r="I36601" s="50"/>
      <c r="O36601" s="36" t="s">
        <v>48</v>
      </c>
      <c r="R36601" s="36" t="s">
        <v>48</v>
      </c>
    </row>
    <row r="36602">
      <c r="H36602" s="50"/>
      <c r="I36602" s="50"/>
      <c r="O36602" s="36" t="s">
        <v>48</v>
      </c>
      <c r="R36602" s="36" t="s">
        <v>48</v>
      </c>
    </row>
    <row r="36603">
      <c r="H36603" s="50"/>
      <c r="I36603" s="50"/>
      <c r="O36603" s="36" t="s">
        <v>48</v>
      </c>
      <c r="R36603" s="36" t="s">
        <v>48</v>
      </c>
    </row>
    <row r="36604">
      <c r="H36604" s="50"/>
      <c r="I36604" s="50"/>
      <c r="O36604" s="36" t="s">
        <v>48</v>
      </c>
      <c r="R36604" s="36" t="s">
        <v>48</v>
      </c>
    </row>
    <row r="36605">
      <c r="H36605" s="50"/>
      <c r="I36605" s="50"/>
      <c r="O36605" s="36" t="s">
        <v>48</v>
      </c>
      <c r="R36605" s="36" t="s">
        <v>48</v>
      </c>
    </row>
    <row r="36606">
      <c r="H36606" s="50"/>
      <c r="I36606" s="50"/>
      <c r="O36606" s="36" t="s">
        <v>48</v>
      </c>
      <c r="R36606" s="36" t="s">
        <v>48</v>
      </c>
    </row>
    <row r="36607">
      <c r="H36607" s="50"/>
      <c r="I36607" s="50"/>
      <c r="O36607" s="36" t="s">
        <v>48</v>
      </c>
      <c r="R36607" s="36" t="s">
        <v>48</v>
      </c>
    </row>
    <row r="36608">
      <c r="H36608" s="50"/>
      <c r="I36608" s="50"/>
      <c r="O36608" s="36" t="s">
        <v>48</v>
      </c>
      <c r="R36608" s="36" t="s">
        <v>48</v>
      </c>
    </row>
    <row r="36609">
      <c r="H36609" s="50"/>
      <c r="I36609" s="50"/>
      <c r="O36609" s="36" t="s">
        <v>48</v>
      </c>
      <c r="R36609" s="36" t="s">
        <v>48</v>
      </c>
    </row>
    <row r="36610">
      <c r="H36610" s="50"/>
      <c r="I36610" s="50"/>
      <c r="O36610" s="36" t="s">
        <v>48</v>
      </c>
      <c r="R36610" s="36" t="s">
        <v>48</v>
      </c>
    </row>
    <row r="36611">
      <c r="H36611" s="50"/>
      <c r="I36611" s="50"/>
      <c r="O36611" s="36" t="s">
        <v>48</v>
      </c>
      <c r="R36611" s="36" t="s">
        <v>48</v>
      </c>
    </row>
    <row r="36612">
      <c r="H36612" s="50"/>
      <c r="I36612" s="50"/>
      <c r="O36612" s="36" t="s">
        <v>48</v>
      </c>
      <c r="R36612" s="36" t="s">
        <v>48</v>
      </c>
    </row>
    <row r="36613">
      <c r="H36613" s="50"/>
      <c r="I36613" s="50"/>
      <c r="O36613" s="36" t="s">
        <v>48</v>
      </c>
      <c r="R36613" s="36" t="s">
        <v>48</v>
      </c>
    </row>
    <row r="36614">
      <c r="H36614" s="50"/>
      <c r="I36614" s="50"/>
      <c r="O36614" s="36" t="s">
        <v>48</v>
      </c>
      <c r="R36614" s="36" t="s">
        <v>48</v>
      </c>
    </row>
    <row r="36615">
      <c r="H36615" s="50"/>
      <c r="I36615" s="50"/>
      <c r="O36615" s="36" t="s">
        <v>48</v>
      </c>
      <c r="R36615" s="36" t="s">
        <v>48</v>
      </c>
    </row>
    <row r="36616">
      <c r="H36616" s="50"/>
      <c r="I36616" s="50"/>
      <c r="O36616" s="36" t="s">
        <v>48</v>
      </c>
      <c r="R36616" s="36" t="s">
        <v>48</v>
      </c>
    </row>
    <row r="36617">
      <c r="H36617" s="50"/>
      <c r="I36617" s="50"/>
      <c r="O36617" s="36" t="s">
        <v>48</v>
      </c>
      <c r="R36617" s="36" t="s">
        <v>48</v>
      </c>
    </row>
    <row r="36618">
      <c r="H36618" s="50"/>
      <c r="I36618" s="50"/>
      <c r="O36618" s="36" t="s">
        <v>48</v>
      </c>
      <c r="R36618" s="36" t="s">
        <v>48</v>
      </c>
    </row>
    <row r="36619">
      <c r="H36619" s="50"/>
      <c r="I36619" s="50"/>
      <c r="O36619" s="36" t="s">
        <v>48</v>
      </c>
      <c r="R36619" s="36" t="s">
        <v>48</v>
      </c>
    </row>
    <row r="36620">
      <c r="H36620" s="50"/>
      <c r="I36620" s="50"/>
      <c r="O36620" s="36" t="s">
        <v>48</v>
      </c>
      <c r="R36620" s="36" t="s">
        <v>48</v>
      </c>
    </row>
    <row r="36621">
      <c r="H36621" s="50"/>
      <c r="I36621" s="50"/>
      <c r="O36621" s="36" t="s">
        <v>48</v>
      </c>
      <c r="R36621" s="36" t="s">
        <v>48</v>
      </c>
    </row>
    <row r="36622">
      <c r="H36622" s="50"/>
      <c r="I36622" s="50"/>
      <c r="O36622" s="36" t="s">
        <v>48</v>
      </c>
      <c r="R36622" s="36" t="s">
        <v>48</v>
      </c>
    </row>
    <row r="36623">
      <c r="H36623" s="50"/>
      <c r="I36623" s="50"/>
      <c r="O36623" s="36" t="s">
        <v>48</v>
      </c>
      <c r="R36623" s="36" t="s">
        <v>48</v>
      </c>
    </row>
    <row r="36624">
      <c r="H36624" s="50"/>
      <c r="I36624" s="50"/>
      <c r="O36624" s="36" t="s">
        <v>48</v>
      </c>
      <c r="R36624" s="36" t="s">
        <v>48</v>
      </c>
    </row>
    <row r="36625">
      <c r="H36625" s="50"/>
      <c r="I36625" s="50"/>
      <c r="O36625" s="36" t="s">
        <v>48</v>
      </c>
      <c r="R36625" s="36" t="s">
        <v>48</v>
      </c>
    </row>
    <row r="36626">
      <c r="H36626" s="50"/>
      <c r="I36626" s="50"/>
      <c r="O36626" s="36" t="s">
        <v>48</v>
      </c>
      <c r="R36626" s="36" t="s">
        <v>48</v>
      </c>
    </row>
    <row r="36627">
      <c r="H36627" s="50"/>
      <c r="I36627" s="50"/>
      <c r="O36627" s="36" t="s">
        <v>48</v>
      </c>
      <c r="R36627" s="36" t="s">
        <v>48</v>
      </c>
    </row>
    <row r="36628">
      <c r="H36628" s="50"/>
      <c r="I36628" s="50"/>
      <c r="O36628" s="36" t="s">
        <v>48</v>
      </c>
      <c r="R36628" s="36" t="s">
        <v>48</v>
      </c>
    </row>
    <row r="36629">
      <c r="H36629" s="50"/>
      <c r="I36629" s="50"/>
      <c r="O36629" s="36" t="s">
        <v>48</v>
      </c>
      <c r="R36629" s="36" t="s">
        <v>48</v>
      </c>
    </row>
    <row r="36630">
      <c r="H36630" s="50"/>
      <c r="I36630" s="50"/>
      <c r="O36630" s="36" t="s">
        <v>48</v>
      </c>
      <c r="R36630" s="36" t="s">
        <v>48</v>
      </c>
    </row>
    <row r="36631">
      <c r="H36631" s="50"/>
      <c r="I36631" s="50"/>
      <c r="O36631" s="36" t="s">
        <v>48</v>
      </c>
      <c r="R36631" s="36" t="s">
        <v>48</v>
      </c>
    </row>
    <row r="36632">
      <c r="H36632" s="50"/>
      <c r="I36632" s="50"/>
      <c r="O36632" s="36" t="s">
        <v>48</v>
      </c>
      <c r="R36632" s="36" t="s">
        <v>48</v>
      </c>
    </row>
    <row r="36633">
      <c r="H36633" s="50"/>
      <c r="I36633" s="50"/>
      <c r="O36633" s="36" t="s">
        <v>48</v>
      </c>
      <c r="R36633" s="36" t="s">
        <v>48</v>
      </c>
    </row>
    <row r="36634">
      <c r="H36634" s="50"/>
      <c r="I36634" s="50"/>
      <c r="O36634" s="36" t="s">
        <v>48</v>
      </c>
      <c r="R36634" s="36" t="s">
        <v>48</v>
      </c>
    </row>
    <row r="36635">
      <c r="H36635" s="50"/>
      <c r="I36635" s="50"/>
      <c r="O36635" s="36" t="s">
        <v>48</v>
      </c>
      <c r="R36635" s="36" t="s">
        <v>48</v>
      </c>
    </row>
    <row r="36636">
      <c r="H36636" s="50"/>
      <c r="I36636" s="50"/>
      <c r="O36636" s="36" t="s">
        <v>48</v>
      </c>
      <c r="R36636" s="36" t="s">
        <v>48</v>
      </c>
    </row>
    <row r="36637">
      <c r="H36637" s="50"/>
      <c r="I36637" s="50"/>
      <c r="O36637" s="36" t="s">
        <v>48</v>
      </c>
      <c r="R36637" s="36" t="s">
        <v>48</v>
      </c>
    </row>
    <row r="36638">
      <c r="H36638" s="50"/>
      <c r="I36638" s="50"/>
      <c r="O36638" s="36" t="s">
        <v>48</v>
      </c>
      <c r="R36638" s="36" t="s">
        <v>48</v>
      </c>
    </row>
    <row r="36639">
      <c r="H36639" s="50"/>
      <c r="I36639" s="50"/>
      <c r="O36639" s="36" t="s">
        <v>48</v>
      </c>
      <c r="R36639" s="36" t="s">
        <v>48</v>
      </c>
    </row>
    <row r="36640">
      <c r="H36640" s="50"/>
      <c r="I36640" s="50"/>
      <c r="O36640" s="36" t="s">
        <v>48</v>
      </c>
      <c r="R36640" s="36" t="s">
        <v>48</v>
      </c>
    </row>
    <row r="36641">
      <c r="H36641" s="50"/>
      <c r="I36641" s="50"/>
      <c r="O36641" s="36" t="s">
        <v>48</v>
      </c>
      <c r="R36641" s="36" t="s">
        <v>48</v>
      </c>
    </row>
    <row r="36642">
      <c r="H36642" s="50"/>
      <c r="I36642" s="50"/>
      <c r="O36642" s="36" t="s">
        <v>48</v>
      </c>
      <c r="R36642" s="36" t="s">
        <v>48</v>
      </c>
    </row>
    <row r="36643">
      <c r="H36643" s="50"/>
      <c r="I36643" s="50"/>
      <c r="O36643" s="36" t="s">
        <v>48</v>
      </c>
      <c r="R36643" s="36" t="s">
        <v>48</v>
      </c>
    </row>
    <row r="36644">
      <c r="H36644" s="50"/>
      <c r="I36644" s="50"/>
      <c r="O36644" s="36" t="s">
        <v>48</v>
      </c>
      <c r="R36644" s="36" t="s">
        <v>48</v>
      </c>
    </row>
    <row r="36645">
      <c r="H36645" s="50"/>
      <c r="I36645" s="50"/>
      <c r="O36645" s="36" t="s">
        <v>48</v>
      </c>
      <c r="R36645" s="36" t="s">
        <v>48</v>
      </c>
    </row>
    <row r="36646">
      <c r="H36646" s="50"/>
      <c r="I36646" s="50"/>
      <c r="O36646" s="36" t="s">
        <v>48</v>
      </c>
      <c r="R36646" s="36" t="s">
        <v>48</v>
      </c>
    </row>
    <row r="36647">
      <c r="H36647" s="50"/>
      <c r="I36647" s="50"/>
      <c r="O36647" s="36" t="s">
        <v>48</v>
      </c>
      <c r="R36647" s="36" t="s">
        <v>48</v>
      </c>
    </row>
    <row r="36648">
      <c r="H36648" s="50"/>
      <c r="I36648" s="50"/>
      <c r="O36648" s="36" t="s">
        <v>48</v>
      </c>
      <c r="R36648" s="36" t="s">
        <v>48</v>
      </c>
    </row>
    <row r="36649">
      <c r="H36649" s="50"/>
      <c r="I36649" s="50"/>
      <c r="O36649" s="36" t="s">
        <v>48</v>
      </c>
      <c r="R36649" s="36" t="s">
        <v>48</v>
      </c>
    </row>
    <row r="36650">
      <c r="H36650" s="50"/>
      <c r="I36650" s="50"/>
      <c r="O36650" s="36" t="s">
        <v>48</v>
      </c>
      <c r="R36650" s="36" t="s">
        <v>48</v>
      </c>
    </row>
    <row r="36651">
      <c r="H36651" s="50"/>
      <c r="I36651" s="50"/>
      <c r="O36651" s="36" t="s">
        <v>48</v>
      </c>
      <c r="R36651" s="36" t="s">
        <v>48</v>
      </c>
    </row>
    <row r="36652">
      <c r="H36652" s="50"/>
      <c r="I36652" s="50"/>
      <c r="O36652" s="36" t="s">
        <v>48</v>
      </c>
      <c r="R36652" s="36" t="s">
        <v>48</v>
      </c>
    </row>
    <row r="36653">
      <c r="H36653" s="50"/>
      <c r="I36653" s="50"/>
      <c r="O36653" s="36" t="s">
        <v>48</v>
      </c>
      <c r="R36653" s="36" t="s">
        <v>48</v>
      </c>
    </row>
    <row r="36654">
      <c r="H36654" s="50"/>
      <c r="I36654" s="50"/>
      <c r="O36654" s="36" t="s">
        <v>48</v>
      </c>
      <c r="R36654" s="36" t="s">
        <v>48</v>
      </c>
    </row>
    <row r="36655">
      <c r="H36655" s="50"/>
      <c r="I36655" s="50"/>
      <c r="O36655" s="36" t="s">
        <v>48</v>
      </c>
      <c r="R36655" s="36" t="s">
        <v>48</v>
      </c>
    </row>
    <row r="36656">
      <c r="H36656" s="50"/>
      <c r="I36656" s="50"/>
      <c r="O36656" s="36" t="s">
        <v>48</v>
      </c>
      <c r="R36656" s="36" t="s">
        <v>48</v>
      </c>
    </row>
    <row r="36657">
      <c r="H36657" s="50"/>
      <c r="I36657" s="50"/>
      <c r="O36657" s="36" t="s">
        <v>48</v>
      </c>
      <c r="R36657" s="36" t="s">
        <v>48</v>
      </c>
    </row>
    <row r="36658">
      <c r="H36658" s="50"/>
      <c r="I36658" s="50"/>
      <c r="O36658" s="36" t="s">
        <v>48</v>
      </c>
      <c r="R36658" s="36" t="s">
        <v>48</v>
      </c>
    </row>
    <row r="36659">
      <c r="H36659" s="50"/>
      <c r="I36659" s="50"/>
      <c r="O36659" s="36" t="s">
        <v>48</v>
      </c>
      <c r="R36659" s="36" t="s">
        <v>48</v>
      </c>
    </row>
    <row r="36660">
      <c r="H36660" s="50"/>
      <c r="I36660" s="50"/>
      <c r="O36660" s="36" t="s">
        <v>48</v>
      </c>
      <c r="R36660" s="36" t="s">
        <v>48</v>
      </c>
    </row>
    <row r="36661">
      <c r="H36661" s="50"/>
      <c r="I36661" s="50"/>
      <c r="O36661" s="36" t="s">
        <v>48</v>
      </c>
      <c r="R36661" s="36" t="s">
        <v>48</v>
      </c>
    </row>
    <row r="36662">
      <c r="H36662" s="50"/>
      <c r="I36662" s="50"/>
      <c r="O36662" s="36" t="s">
        <v>48</v>
      </c>
      <c r="R36662" s="36" t="s">
        <v>48</v>
      </c>
    </row>
    <row r="36663">
      <c r="H36663" s="50"/>
      <c r="I36663" s="50"/>
      <c r="O36663" s="36" t="s">
        <v>48</v>
      </c>
      <c r="R36663" s="36" t="s">
        <v>48</v>
      </c>
    </row>
    <row r="36664">
      <c r="H36664" s="50"/>
      <c r="I36664" s="50"/>
      <c r="O36664" s="36" t="s">
        <v>48</v>
      </c>
      <c r="R36664" s="36" t="s">
        <v>48</v>
      </c>
    </row>
    <row r="36665">
      <c r="H36665" s="50"/>
      <c r="I36665" s="50"/>
      <c r="O36665" s="36" t="s">
        <v>48</v>
      </c>
      <c r="R36665" s="36" t="s">
        <v>48</v>
      </c>
    </row>
    <row r="36666">
      <c r="H36666" s="50"/>
      <c r="I36666" s="50"/>
      <c r="O36666" s="36" t="s">
        <v>48</v>
      </c>
      <c r="R36666" s="36" t="s">
        <v>48</v>
      </c>
    </row>
    <row r="36667">
      <c r="H36667" s="50"/>
      <c r="I36667" s="50"/>
      <c r="O36667" s="36" t="s">
        <v>48</v>
      </c>
      <c r="R36667" s="36" t="s">
        <v>48</v>
      </c>
    </row>
    <row r="36668">
      <c r="H36668" s="50"/>
      <c r="I36668" s="50"/>
      <c r="O36668" s="36" t="s">
        <v>48</v>
      </c>
      <c r="R36668" s="36" t="s">
        <v>48</v>
      </c>
    </row>
    <row r="36669">
      <c r="H36669" s="50"/>
      <c r="I36669" s="50"/>
      <c r="O36669" s="36" t="s">
        <v>48</v>
      </c>
      <c r="R36669" s="36" t="s">
        <v>48</v>
      </c>
    </row>
    <row r="36670">
      <c r="H36670" s="50"/>
      <c r="I36670" s="50"/>
      <c r="O36670" s="36" t="s">
        <v>48</v>
      </c>
      <c r="R36670" s="36" t="s">
        <v>48</v>
      </c>
    </row>
    <row r="36671">
      <c r="H36671" s="50"/>
      <c r="I36671" s="50"/>
      <c r="O36671" s="36" t="s">
        <v>48</v>
      </c>
      <c r="R36671" s="36" t="s">
        <v>48</v>
      </c>
    </row>
    <row r="36672">
      <c r="H36672" s="50"/>
      <c r="I36672" s="50"/>
      <c r="O36672" s="36" t="s">
        <v>48</v>
      </c>
      <c r="R36672" s="36" t="s">
        <v>48</v>
      </c>
    </row>
    <row r="36673">
      <c r="H36673" s="50"/>
      <c r="I36673" s="50"/>
      <c r="O36673" s="36" t="s">
        <v>48</v>
      </c>
      <c r="R36673" s="36" t="s">
        <v>48</v>
      </c>
    </row>
    <row r="36674">
      <c r="H36674" s="50"/>
      <c r="I36674" s="50"/>
      <c r="O36674" s="36" t="s">
        <v>48</v>
      </c>
      <c r="R36674" s="36" t="s">
        <v>48</v>
      </c>
    </row>
    <row r="36675">
      <c r="H36675" s="50"/>
      <c r="I36675" s="50"/>
      <c r="O36675" s="36" t="s">
        <v>48</v>
      </c>
      <c r="R36675" s="36" t="s">
        <v>48</v>
      </c>
    </row>
    <row r="36676">
      <c r="H36676" s="50"/>
      <c r="I36676" s="50"/>
      <c r="O36676" s="36" t="s">
        <v>48</v>
      </c>
      <c r="R36676" s="36" t="s">
        <v>48</v>
      </c>
    </row>
    <row r="36677">
      <c r="H36677" s="50"/>
      <c r="I36677" s="50"/>
      <c r="O36677" s="36" t="s">
        <v>48</v>
      </c>
      <c r="R36677" s="36" t="s">
        <v>48</v>
      </c>
    </row>
    <row r="36678">
      <c r="H36678" s="50"/>
      <c r="I36678" s="50"/>
      <c r="O36678" s="36" t="s">
        <v>48</v>
      </c>
      <c r="R36678" s="36" t="s">
        <v>48</v>
      </c>
    </row>
    <row r="36679">
      <c r="H36679" s="50"/>
      <c r="I36679" s="50"/>
      <c r="O36679" s="36" t="s">
        <v>48</v>
      </c>
      <c r="R36679" s="36" t="s">
        <v>48</v>
      </c>
    </row>
    <row r="36680">
      <c r="H36680" s="50"/>
      <c r="I36680" s="50"/>
      <c r="O36680" s="36" t="s">
        <v>48</v>
      </c>
      <c r="R36680" s="36" t="s">
        <v>48</v>
      </c>
    </row>
    <row r="36681">
      <c r="H36681" s="50"/>
      <c r="I36681" s="50"/>
      <c r="O36681" s="36" t="s">
        <v>48</v>
      </c>
      <c r="R36681" s="36" t="s">
        <v>48</v>
      </c>
    </row>
    <row r="36682">
      <c r="H36682" s="50"/>
      <c r="I36682" s="50"/>
      <c r="O36682" s="36" t="s">
        <v>48</v>
      </c>
      <c r="R36682" s="36" t="s">
        <v>48</v>
      </c>
    </row>
    <row r="36683">
      <c r="H36683" s="50"/>
      <c r="I36683" s="50"/>
      <c r="O36683" s="36" t="s">
        <v>48</v>
      </c>
      <c r="R36683" s="36" t="s">
        <v>48</v>
      </c>
    </row>
    <row r="36684">
      <c r="H36684" s="50"/>
      <c r="I36684" s="50"/>
      <c r="O36684" s="36" t="s">
        <v>48</v>
      </c>
      <c r="R36684" s="36" t="s">
        <v>48</v>
      </c>
    </row>
    <row r="36685">
      <c r="H36685" s="50"/>
      <c r="I36685" s="50"/>
      <c r="O36685" s="36" t="s">
        <v>48</v>
      </c>
      <c r="R36685" s="36" t="s">
        <v>48</v>
      </c>
    </row>
    <row r="36686">
      <c r="H36686" s="50"/>
      <c r="I36686" s="50"/>
      <c r="O36686" s="36" t="s">
        <v>48</v>
      </c>
      <c r="R36686" s="36" t="s">
        <v>48</v>
      </c>
    </row>
    <row r="36687">
      <c r="H36687" s="50"/>
      <c r="I36687" s="50"/>
      <c r="O36687" s="36" t="s">
        <v>48</v>
      </c>
      <c r="R36687" s="36" t="s">
        <v>48</v>
      </c>
    </row>
    <row r="36688">
      <c r="H36688" s="50"/>
      <c r="I36688" s="50"/>
      <c r="O36688" s="36" t="s">
        <v>48</v>
      </c>
      <c r="R36688" s="36" t="s">
        <v>48</v>
      </c>
    </row>
    <row r="36689">
      <c r="H36689" s="50"/>
      <c r="I36689" s="50"/>
      <c r="O36689" s="36" t="s">
        <v>48</v>
      </c>
      <c r="R36689" s="36" t="s">
        <v>48</v>
      </c>
    </row>
    <row r="36690">
      <c r="H36690" s="50"/>
      <c r="I36690" s="50"/>
      <c r="O36690" s="36" t="s">
        <v>48</v>
      </c>
      <c r="R36690" s="36" t="s">
        <v>48</v>
      </c>
    </row>
    <row r="36691">
      <c r="H36691" s="50"/>
      <c r="I36691" s="50"/>
      <c r="O36691" s="36" t="s">
        <v>48</v>
      </c>
      <c r="R36691" s="36" t="s">
        <v>48</v>
      </c>
    </row>
    <row r="36692">
      <c r="H36692" s="50"/>
      <c r="I36692" s="50"/>
      <c r="O36692" s="36" t="s">
        <v>48</v>
      </c>
      <c r="R36692" s="36" t="s">
        <v>48</v>
      </c>
    </row>
    <row r="36693">
      <c r="H36693" s="50"/>
      <c r="I36693" s="50"/>
      <c r="O36693" s="36" t="s">
        <v>48</v>
      </c>
      <c r="R36693" s="36" t="s">
        <v>48</v>
      </c>
    </row>
    <row r="36694">
      <c r="H36694" s="50"/>
      <c r="I36694" s="50"/>
      <c r="O36694" s="36" t="s">
        <v>48</v>
      </c>
      <c r="R36694" s="36" t="s">
        <v>48</v>
      </c>
    </row>
    <row r="36695">
      <c r="H36695" s="50"/>
      <c r="I36695" s="50"/>
      <c r="O36695" s="36" t="s">
        <v>48</v>
      </c>
      <c r="R36695" s="36" t="s">
        <v>48</v>
      </c>
    </row>
    <row r="36696">
      <c r="H36696" s="50"/>
      <c r="I36696" s="50"/>
      <c r="O36696" s="36" t="s">
        <v>48</v>
      </c>
      <c r="R36696" s="36" t="s">
        <v>48</v>
      </c>
    </row>
    <row r="36697">
      <c r="H36697" s="50"/>
      <c r="I36697" s="50"/>
      <c r="O36697" s="36" t="s">
        <v>48</v>
      </c>
      <c r="R36697" s="36" t="s">
        <v>48</v>
      </c>
    </row>
    <row r="36698">
      <c r="H36698" s="50"/>
      <c r="I36698" s="50"/>
      <c r="O36698" s="36" t="s">
        <v>48</v>
      </c>
      <c r="R36698" s="36" t="s">
        <v>48</v>
      </c>
    </row>
    <row r="36699">
      <c r="H36699" s="50"/>
      <c r="I36699" s="50"/>
      <c r="O36699" s="36" t="s">
        <v>48</v>
      </c>
      <c r="R36699" s="36" t="s">
        <v>48</v>
      </c>
    </row>
    <row r="36700">
      <c r="H36700" s="50"/>
      <c r="I36700" s="50"/>
      <c r="O36700" s="36" t="s">
        <v>48</v>
      </c>
      <c r="R36700" s="36" t="s">
        <v>48</v>
      </c>
    </row>
    <row r="36701">
      <c r="H36701" s="50"/>
      <c r="I36701" s="50"/>
      <c r="O36701" s="36" t="s">
        <v>48</v>
      </c>
      <c r="R36701" s="36" t="s">
        <v>48</v>
      </c>
    </row>
    <row r="36702">
      <c r="H36702" s="50"/>
      <c r="I36702" s="50"/>
      <c r="O36702" s="36" t="s">
        <v>48</v>
      </c>
      <c r="R36702" s="36" t="s">
        <v>48</v>
      </c>
    </row>
    <row r="36703">
      <c r="H36703" s="50"/>
      <c r="I36703" s="50"/>
      <c r="O36703" s="36" t="s">
        <v>48</v>
      </c>
      <c r="R36703" s="36" t="s">
        <v>48</v>
      </c>
    </row>
    <row r="36704">
      <c r="H36704" s="50"/>
      <c r="I36704" s="50"/>
      <c r="O36704" s="36" t="s">
        <v>48</v>
      </c>
      <c r="R36704" s="36" t="s">
        <v>48</v>
      </c>
    </row>
    <row r="36705">
      <c r="H36705" s="50"/>
      <c r="I36705" s="50"/>
      <c r="O36705" s="36" t="s">
        <v>48</v>
      </c>
      <c r="R36705" s="36" t="s">
        <v>48</v>
      </c>
    </row>
    <row r="36706">
      <c r="H36706" s="50"/>
      <c r="I36706" s="50"/>
      <c r="O36706" s="36" t="s">
        <v>48</v>
      </c>
      <c r="R36706" s="36" t="s">
        <v>48</v>
      </c>
    </row>
    <row r="36707">
      <c r="H36707" s="50"/>
      <c r="I36707" s="50"/>
      <c r="O36707" s="36" t="s">
        <v>48</v>
      </c>
      <c r="R36707" s="36" t="s">
        <v>48</v>
      </c>
    </row>
    <row r="36708">
      <c r="H36708" s="50"/>
      <c r="I36708" s="50"/>
      <c r="O36708" s="36" t="s">
        <v>48</v>
      </c>
      <c r="R36708" s="36" t="s">
        <v>48</v>
      </c>
    </row>
    <row r="36709">
      <c r="H36709" s="50"/>
      <c r="I36709" s="50"/>
      <c r="O36709" s="36" t="s">
        <v>48</v>
      </c>
      <c r="R36709" s="36" t="s">
        <v>48</v>
      </c>
    </row>
    <row r="36710">
      <c r="H36710" s="50"/>
      <c r="I36710" s="50"/>
      <c r="O36710" s="36" t="s">
        <v>48</v>
      </c>
      <c r="R36710" s="36" t="s">
        <v>48</v>
      </c>
    </row>
    <row r="36711">
      <c r="H36711" s="50"/>
      <c r="I36711" s="50"/>
      <c r="O36711" s="36" t="s">
        <v>48</v>
      </c>
      <c r="R36711" s="36" t="s">
        <v>48</v>
      </c>
    </row>
    <row r="36712">
      <c r="H36712" s="50"/>
      <c r="I36712" s="50"/>
      <c r="O36712" s="36" t="s">
        <v>48</v>
      </c>
      <c r="R36712" s="36" t="s">
        <v>48</v>
      </c>
    </row>
    <row r="36713">
      <c r="H36713" s="50"/>
      <c r="I36713" s="50"/>
      <c r="O36713" s="36" t="s">
        <v>48</v>
      </c>
      <c r="R36713" s="36" t="s">
        <v>48</v>
      </c>
    </row>
    <row r="36714">
      <c r="H36714" s="50"/>
      <c r="I36714" s="50"/>
      <c r="O36714" s="36" t="s">
        <v>48</v>
      </c>
      <c r="R36714" s="36" t="s">
        <v>48</v>
      </c>
    </row>
    <row r="36715">
      <c r="H36715" s="50"/>
      <c r="I36715" s="50"/>
      <c r="O36715" s="36" t="s">
        <v>48</v>
      </c>
      <c r="R36715" s="36" t="s">
        <v>48</v>
      </c>
    </row>
    <row r="36716">
      <c r="H36716" s="50"/>
      <c r="I36716" s="50"/>
      <c r="O36716" s="36" t="s">
        <v>48</v>
      </c>
      <c r="R36716" s="36" t="s">
        <v>48</v>
      </c>
    </row>
    <row r="36717">
      <c r="H36717" s="50"/>
      <c r="I36717" s="50"/>
      <c r="O36717" s="36" t="s">
        <v>48</v>
      </c>
      <c r="R36717" s="36" t="s">
        <v>48</v>
      </c>
    </row>
    <row r="36718">
      <c r="H36718" s="50"/>
      <c r="I36718" s="50"/>
      <c r="O36718" s="36" t="s">
        <v>48</v>
      </c>
      <c r="R36718" s="36" t="s">
        <v>48</v>
      </c>
    </row>
    <row r="36719">
      <c r="H36719" s="50"/>
      <c r="I36719" s="50"/>
      <c r="O36719" s="36" t="s">
        <v>48</v>
      </c>
      <c r="R36719" s="36" t="s">
        <v>48</v>
      </c>
    </row>
    <row r="36720">
      <c r="H36720" s="50"/>
      <c r="I36720" s="50"/>
      <c r="O36720" s="36" t="s">
        <v>48</v>
      </c>
      <c r="R36720" s="36" t="s">
        <v>48</v>
      </c>
    </row>
    <row r="36721">
      <c r="H36721" s="50"/>
      <c r="I36721" s="50"/>
      <c r="O36721" s="36" t="s">
        <v>48</v>
      </c>
      <c r="R36721" s="36" t="s">
        <v>48</v>
      </c>
    </row>
    <row r="36722">
      <c r="H36722" s="50"/>
      <c r="I36722" s="50"/>
      <c r="O36722" s="36" t="s">
        <v>48</v>
      </c>
      <c r="R36722" s="36" t="s">
        <v>48</v>
      </c>
    </row>
    <row r="36723">
      <c r="H36723" s="50"/>
      <c r="I36723" s="50"/>
      <c r="O36723" s="36" t="s">
        <v>48</v>
      </c>
      <c r="R36723" s="36" t="s">
        <v>48</v>
      </c>
    </row>
    <row r="36724">
      <c r="H36724" s="50"/>
      <c r="I36724" s="50"/>
      <c r="O36724" s="36" t="s">
        <v>48</v>
      </c>
      <c r="R36724" s="36" t="s">
        <v>48</v>
      </c>
    </row>
    <row r="36725">
      <c r="H36725" s="50"/>
      <c r="I36725" s="50"/>
      <c r="O36725" s="36" t="s">
        <v>48</v>
      </c>
      <c r="R36725" s="36" t="s">
        <v>48</v>
      </c>
    </row>
    <row r="36726">
      <c r="H36726" s="50"/>
      <c r="I36726" s="50"/>
      <c r="O36726" s="36" t="s">
        <v>48</v>
      </c>
      <c r="R36726" s="36" t="s">
        <v>48</v>
      </c>
    </row>
    <row r="36727">
      <c r="H36727" s="50"/>
      <c r="I36727" s="50"/>
      <c r="O36727" s="36" t="s">
        <v>48</v>
      </c>
      <c r="R36727" s="36" t="s">
        <v>48</v>
      </c>
    </row>
    <row r="36728">
      <c r="H36728" s="50"/>
      <c r="I36728" s="50"/>
      <c r="O36728" s="36" t="s">
        <v>48</v>
      </c>
      <c r="R36728" s="36" t="s">
        <v>48</v>
      </c>
    </row>
    <row r="36729">
      <c r="H36729" s="50"/>
      <c r="I36729" s="50"/>
      <c r="O36729" s="36" t="s">
        <v>48</v>
      </c>
      <c r="R36729" s="36" t="s">
        <v>48</v>
      </c>
    </row>
    <row r="36730">
      <c r="H36730" s="50"/>
      <c r="I36730" s="50"/>
      <c r="O36730" s="36" t="s">
        <v>48</v>
      </c>
      <c r="R36730" s="36" t="s">
        <v>48</v>
      </c>
    </row>
    <row r="36731">
      <c r="H36731" s="50"/>
      <c r="I36731" s="50"/>
      <c r="O36731" s="36" t="s">
        <v>48</v>
      </c>
      <c r="R36731" s="36" t="s">
        <v>48</v>
      </c>
    </row>
    <row r="36732">
      <c r="H36732" s="50"/>
      <c r="I36732" s="50"/>
      <c r="O36732" s="36" t="s">
        <v>48</v>
      </c>
      <c r="R36732" s="36" t="s">
        <v>48</v>
      </c>
    </row>
    <row r="36733">
      <c r="H36733" s="50"/>
      <c r="I36733" s="50"/>
      <c r="O36733" s="36" t="s">
        <v>48</v>
      </c>
      <c r="R36733" s="36" t="s">
        <v>48</v>
      </c>
    </row>
    <row r="36734">
      <c r="H36734" s="50"/>
      <c r="I36734" s="50"/>
      <c r="O36734" s="36" t="s">
        <v>48</v>
      </c>
      <c r="R36734" s="36" t="s">
        <v>48</v>
      </c>
    </row>
    <row r="36735">
      <c r="H36735" s="50"/>
      <c r="I36735" s="50"/>
      <c r="O36735" s="36" t="s">
        <v>48</v>
      </c>
      <c r="R36735" s="36" t="s">
        <v>48</v>
      </c>
    </row>
    <row r="36736">
      <c r="H36736" s="50"/>
      <c r="I36736" s="50"/>
      <c r="O36736" s="36" t="s">
        <v>48</v>
      </c>
      <c r="R36736" s="36" t="s">
        <v>48</v>
      </c>
    </row>
    <row r="36737">
      <c r="H36737" s="50"/>
      <c r="I36737" s="50"/>
      <c r="O36737" s="36" t="s">
        <v>48</v>
      </c>
      <c r="R36737" s="36" t="s">
        <v>48</v>
      </c>
    </row>
    <row r="36738">
      <c r="H36738" s="50"/>
      <c r="I36738" s="50"/>
      <c r="O36738" s="36" t="s">
        <v>48</v>
      </c>
      <c r="R36738" s="36" t="s">
        <v>48</v>
      </c>
    </row>
    <row r="36739">
      <c r="H36739" s="50"/>
      <c r="I36739" s="50"/>
      <c r="O36739" s="36" t="s">
        <v>48</v>
      </c>
      <c r="R36739" s="36" t="s">
        <v>48</v>
      </c>
    </row>
    <row r="36740">
      <c r="H36740" s="50"/>
      <c r="I36740" s="50"/>
      <c r="O36740" s="36" t="s">
        <v>48</v>
      </c>
      <c r="R36740" s="36" t="s">
        <v>48</v>
      </c>
    </row>
    <row r="36741">
      <c r="H36741" s="50"/>
      <c r="I36741" s="50"/>
      <c r="O36741" s="36" t="s">
        <v>48</v>
      </c>
      <c r="R36741" s="36" t="s">
        <v>48</v>
      </c>
    </row>
    <row r="36742">
      <c r="H36742" s="50"/>
      <c r="I36742" s="50"/>
      <c r="O36742" s="36" t="s">
        <v>48</v>
      </c>
      <c r="R36742" s="36" t="s">
        <v>48</v>
      </c>
    </row>
    <row r="36743">
      <c r="H36743" s="50"/>
      <c r="I36743" s="50"/>
      <c r="O36743" s="36" t="s">
        <v>48</v>
      </c>
      <c r="R36743" s="36" t="s">
        <v>48</v>
      </c>
    </row>
    <row r="36744">
      <c r="H36744" s="50"/>
      <c r="I36744" s="50"/>
      <c r="O36744" s="36" t="s">
        <v>48</v>
      </c>
      <c r="R36744" s="36" t="s">
        <v>48</v>
      </c>
    </row>
    <row r="36745">
      <c r="H36745" s="50"/>
      <c r="I36745" s="50"/>
      <c r="O36745" s="36" t="s">
        <v>48</v>
      </c>
      <c r="R36745" s="36" t="s">
        <v>48</v>
      </c>
    </row>
    <row r="36746">
      <c r="H36746" s="50"/>
      <c r="I36746" s="50"/>
      <c r="O36746" s="36" t="s">
        <v>48</v>
      </c>
      <c r="R36746" s="36" t="s">
        <v>48</v>
      </c>
    </row>
    <row r="36747">
      <c r="H36747" s="50"/>
      <c r="I36747" s="50"/>
      <c r="O36747" s="36" t="s">
        <v>48</v>
      </c>
      <c r="R36747" s="36" t="s">
        <v>48</v>
      </c>
    </row>
    <row r="36748">
      <c r="H36748" s="50"/>
      <c r="I36748" s="50"/>
      <c r="O36748" s="36" t="s">
        <v>48</v>
      </c>
      <c r="R36748" s="36" t="s">
        <v>48</v>
      </c>
    </row>
    <row r="36749">
      <c r="H36749" s="50"/>
      <c r="I36749" s="50"/>
      <c r="O36749" s="36" t="s">
        <v>48</v>
      </c>
      <c r="R36749" s="36" t="s">
        <v>48</v>
      </c>
    </row>
    <row r="36750">
      <c r="H36750" s="50"/>
      <c r="I36750" s="50"/>
      <c r="O36750" s="36" t="s">
        <v>48</v>
      </c>
      <c r="R36750" s="36" t="s">
        <v>48</v>
      </c>
    </row>
    <row r="36751">
      <c r="H36751" s="50"/>
      <c r="I36751" s="50"/>
      <c r="O36751" s="36" t="s">
        <v>48</v>
      </c>
      <c r="R36751" s="36" t="s">
        <v>48</v>
      </c>
    </row>
    <row r="36752">
      <c r="H36752" s="50"/>
      <c r="I36752" s="50"/>
      <c r="O36752" s="36" t="s">
        <v>48</v>
      </c>
      <c r="R36752" s="36" t="s">
        <v>48</v>
      </c>
    </row>
    <row r="36753">
      <c r="H36753" s="50"/>
      <c r="I36753" s="50"/>
      <c r="O36753" s="36" t="s">
        <v>48</v>
      </c>
      <c r="R36753" s="36" t="s">
        <v>48</v>
      </c>
    </row>
    <row r="36754">
      <c r="H36754" s="50"/>
      <c r="I36754" s="50"/>
      <c r="O36754" s="36" t="s">
        <v>48</v>
      </c>
      <c r="R36754" s="36" t="s">
        <v>48</v>
      </c>
    </row>
    <row r="36755">
      <c r="H36755" s="50"/>
      <c r="I36755" s="50"/>
      <c r="O36755" s="36" t="s">
        <v>48</v>
      </c>
      <c r="R36755" s="36" t="s">
        <v>48</v>
      </c>
    </row>
    <row r="36756">
      <c r="H36756" s="50"/>
      <c r="I36756" s="50"/>
      <c r="O36756" s="36" t="s">
        <v>48</v>
      </c>
      <c r="R36756" s="36" t="s">
        <v>48</v>
      </c>
    </row>
    <row r="36757">
      <c r="H36757" s="50"/>
      <c r="I36757" s="50"/>
      <c r="O36757" s="36" t="s">
        <v>48</v>
      </c>
      <c r="R36757" s="36" t="s">
        <v>48</v>
      </c>
    </row>
    <row r="36758">
      <c r="H36758" s="50"/>
      <c r="I36758" s="50"/>
      <c r="O36758" s="36" t="s">
        <v>48</v>
      </c>
      <c r="R36758" s="36" t="s">
        <v>48</v>
      </c>
    </row>
    <row r="36759">
      <c r="H36759" s="50"/>
      <c r="I36759" s="50"/>
      <c r="O36759" s="36" t="s">
        <v>48</v>
      </c>
      <c r="R36759" s="36" t="s">
        <v>48</v>
      </c>
    </row>
    <row r="36760">
      <c r="H36760" s="50"/>
      <c r="I36760" s="50"/>
      <c r="O36760" s="36" t="s">
        <v>48</v>
      </c>
      <c r="R36760" s="36" t="s">
        <v>48</v>
      </c>
    </row>
    <row r="36761">
      <c r="H36761" s="50"/>
      <c r="I36761" s="50"/>
      <c r="O36761" s="36" t="s">
        <v>48</v>
      </c>
      <c r="R36761" s="36" t="s">
        <v>48</v>
      </c>
    </row>
    <row r="36762">
      <c r="H36762" s="50"/>
      <c r="I36762" s="50"/>
      <c r="O36762" s="36" t="s">
        <v>48</v>
      </c>
      <c r="R36762" s="36" t="s">
        <v>48</v>
      </c>
    </row>
    <row r="36763">
      <c r="H36763" s="50"/>
      <c r="I36763" s="50"/>
      <c r="O36763" s="36" t="s">
        <v>48</v>
      </c>
      <c r="R36763" s="36" t="s">
        <v>48</v>
      </c>
    </row>
    <row r="36764">
      <c r="H36764" s="50"/>
      <c r="I36764" s="50"/>
      <c r="O36764" s="36" t="s">
        <v>48</v>
      </c>
      <c r="R36764" s="36" t="s">
        <v>48</v>
      </c>
    </row>
    <row r="36765">
      <c r="H36765" s="50"/>
      <c r="I36765" s="50"/>
      <c r="O36765" s="36" t="s">
        <v>48</v>
      </c>
      <c r="R36765" s="36" t="s">
        <v>48</v>
      </c>
    </row>
    <row r="36766">
      <c r="H36766" s="50"/>
      <c r="I36766" s="50"/>
      <c r="O36766" s="36" t="s">
        <v>48</v>
      </c>
      <c r="R36766" s="36" t="s">
        <v>48</v>
      </c>
    </row>
    <row r="36767">
      <c r="H36767" s="50"/>
      <c r="I36767" s="50"/>
      <c r="O36767" s="36" t="s">
        <v>48</v>
      </c>
      <c r="R36767" s="36" t="s">
        <v>48</v>
      </c>
    </row>
    <row r="36768">
      <c r="H36768" s="50"/>
      <c r="I36768" s="50"/>
      <c r="O36768" s="36" t="s">
        <v>48</v>
      </c>
      <c r="R36768" s="36" t="s">
        <v>48</v>
      </c>
    </row>
    <row r="36769">
      <c r="H36769" s="50"/>
      <c r="I36769" s="50"/>
      <c r="O36769" s="36" t="s">
        <v>48</v>
      </c>
      <c r="R36769" s="36" t="s">
        <v>48</v>
      </c>
    </row>
    <row r="36770">
      <c r="H36770" s="50"/>
      <c r="I36770" s="50"/>
      <c r="O36770" s="36" t="s">
        <v>48</v>
      </c>
      <c r="R36770" s="36" t="s">
        <v>48</v>
      </c>
    </row>
    <row r="36771">
      <c r="H36771" s="50"/>
      <c r="I36771" s="50"/>
      <c r="O36771" s="36" t="s">
        <v>48</v>
      </c>
      <c r="R36771" s="36" t="s">
        <v>48</v>
      </c>
    </row>
    <row r="36772">
      <c r="H36772" s="50"/>
      <c r="I36772" s="50"/>
      <c r="O36772" s="36" t="s">
        <v>48</v>
      </c>
      <c r="R36772" s="36" t="s">
        <v>48</v>
      </c>
    </row>
    <row r="36773">
      <c r="H36773" s="50"/>
      <c r="I36773" s="50"/>
      <c r="O36773" s="36" t="s">
        <v>48</v>
      </c>
      <c r="R36773" s="36" t="s">
        <v>48</v>
      </c>
    </row>
    <row r="36774">
      <c r="H36774" s="50"/>
      <c r="I36774" s="50"/>
      <c r="O36774" s="36" t="s">
        <v>48</v>
      </c>
      <c r="R36774" s="36" t="s">
        <v>48</v>
      </c>
    </row>
    <row r="36775">
      <c r="H36775" s="50"/>
      <c r="I36775" s="50"/>
      <c r="O36775" s="36" t="s">
        <v>48</v>
      </c>
      <c r="R36775" s="36" t="s">
        <v>48</v>
      </c>
    </row>
    <row r="36776">
      <c r="H36776" s="50"/>
      <c r="I36776" s="50"/>
      <c r="O36776" s="36" t="s">
        <v>48</v>
      </c>
      <c r="R36776" s="36" t="s">
        <v>48</v>
      </c>
    </row>
    <row r="36777">
      <c r="H36777" s="50"/>
      <c r="I36777" s="50"/>
      <c r="O36777" s="36" t="s">
        <v>48</v>
      </c>
      <c r="R36777" s="36" t="s">
        <v>48</v>
      </c>
    </row>
    <row r="36778">
      <c r="H36778" s="50"/>
      <c r="I36778" s="50"/>
      <c r="O36778" s="36" t="s">
        <v>48</v>
      </c>
      <c r="R36778" s="36" t="s">
        <v>48</v>
      </c>
    </row>
    <row r="36779">
      <c r="H36779" s="50"/>
      <c r="I36779" s="50"/>
      <c r="O36779" s="36" t="s">
        <v>48</v>
      </c>
      <c r="R36779" s="36" t="s">
        <v>48</v>
      </c>
    </row>
    <row r="36780">
      <c r="H36780" s="50"/>
      <c r="I36780" s="50"/>
      <c r="O36780" s="36" t="s">
        <v>48</v>
      </c>
      <c r="R36780" s="36" t="s">
        <v>48</v>
      </c>
    </row>
    <row r="36781">
      <c r="H36781" s="50"/>
      <c r="I36781" s="50"/>
      <c r="O36781" s="36" t="s">
        <v>48</v>
      </c>
      <c r="R36781" s="36" t="s">
        <v>48</v>
      </c>
    </row>
    <row r="36782">
      <c r="H36782" s="50"/>
      <c r="I36782" s="50"/>
      <c r="O36782" s="36" t="s">
        <v>48</v>
      </c>
      <c r="R36782" s="36" t="s">
        <v>48</v>
      </c>
    </row>
    <row r="36783">
      <c r="H36783" s="50"/>
      <c r="I36783" s="50"/>
      <c r="O36783" s="36" t="s">
        <v>48</v>
      </c>
      <c r="R36783" s="36" t="s">
        <v>48</v>
      </c>
    </row>
    <row r="36784">
      <c r="H36784" s="50"/>
      <c r="I36784" s="50"/>
      <c r="O36784" s="36" t="s">
        <v>48</v>
      </c>
      <c r="R36784" s="36" t="s">
        <v>48</v>
      </c>
    </row>
    <row r="36785">
      <c r="H36785" s="50"/>
      <c r="I36785" s="50"/>
      <c r="O36785" s="36" t="s">
        <v>48</v>
      </c>
      <c r="R36785" s="36" t="s">
        <v>48</v>
      </c>
    </row>
    <row r="36786">
      <c r="H36786" s="50"/>
      <c r="I36786" s="50"/>
      <c r="O36786" s="36" t="s">
        <v>48</v>
      </c>
      <c r="R36786" s="36" t="s">
        <v>48</v>
      </c>
    </row>
    <row r="36787">
      <c r="H36787" s="50"/>
      <c r="I36787" s="50"/>
      <c r="O36787" s="36" t="s">
        <v>48</v>
      </c>
      <c r="R36787" s="36" t="s">
        <v>48</v>
      </c>
    </row>
    <row r="36788">
      <c r="H36788" s="50"/>
      <c r="I36788" s="50"/>
      <c r="O36788" s="36" t="s">
        <v>48</v>
      </c>
      <c r="R36788" s="36" t="s">
        <v>48</v>
      </c>
    </row>
    <row r="36789">
      <c r="H36789" s="50"/>
      <c r="I36789" s="50"/>
      <c r="O36789" s="36" t="s">
        <v>48</v>
      </c>
      <c r="R36789" s="36" t="s">
        <v>48</v>
      </c>
    </row>
    <row r="36790">
      <c r="H36790" s="50"/>
      <c r="I36790" s="50"/>
      <c r="O36790" s="36" t="s">
        <v>48</v>
      </c>
      <c r="R36790" s="36" t="s">
        <v>48</v>
      </c>
    </row>
    <row r="36791">
      <c r="H36791" s="50"/>
      <c r="I36791" s="50"/>
      <c r="O36791" s="36" t="s">
        <v>48</v>
      </c>
      <c r="R36791" s="36" t="s">
        <v>48</v>
      </c>
    </row>
    <row r="36792">
      <c r="H36792" s="50"/>
      <c r="I36792" s="50"/>
      <c r="O36792" s="36" t="s">
        <v>48</v>
      </c>
      <c r="R36792" s="36" t="s">
        <v>48</v>
      </c>
    </row>
    <row r="36793">
      <c r="H36793" s="50"/>
      <c r="I36793" s="50"/>
      <c r="O36793" s="36" t="s">
        <v>48</v>
      </c>
      <c r="R36793" s="36" t="s">
        <v>48</v>
      </c>
    </row>
    <row r="36794">
      <c r="H36794" s="50"/>
      <c r="I36794" s="50"/>
      <c r="O36794" s="36" t="s">
        <v>48</v>
      </c>
      <c r="R36794" s="36" t="s">
        <v>48</v>
      </c>
    </row>
    <row r="36795">
      <c r="H36795" s="50"/>
      <c r="I36795" s="50"/>
      <c r="O36795" s="36" t="s">
        <v>48</v>
      </c>
      <c r="R36795" s="36" t="s">
        <v>48</v>
      </c>
    </row>
    <row r="36796">
      <c r="H36796" s="50"/>
      <c r="I36796" s="50"/>
      <c r="O36796" s="36" t="s">
        <v>48</v>
      </c>
      <c r="R36796" s="36" t="s">
        <v>48</v>
      </c>
    </row>
    <row r="36797">
      <c r="H36797" s="50"/>
      <c r="I36797" s="50"/>
      <c r="O36797" s="36" t="s">
        <v>48</v>
      </c>
      <c r="R36797" s="36" t="s">
        <v>48</v>
      </c>
    </row>
    <row r="36798">
      <c r="H36798" s="50"/>
      <c r="I36798" s="50"/>
      <c r="O36798" s="36" t="s">
        <v>48</v>
      </c>
      <c r="R36798" s="36" t="s">
        <v>48</v>
      </c>
    </row>
    <row r="36799">
      <c r="H36799" s="50"/>
      <c r="I36799" s="50"/>
      <c r="O36799" s="36" t="s">
        <v>48</v>
      </c>
      <c r="R36799" s="36" t="s">
        <v>48</v>
      </c>
    </row>
    <row r="36800">
      <c r="H36800" s="50"/>
      <c r="I36800" s="50"/>
      <c r="O36800" s="36" t="s">
        <v>48</v>
      </c>
      <c r="R36800" s="36" t="s">
        <v>48</v>
      </c>
    </row>
    <row r="36801">
      <c r="H36801" s="50"/>
      <c r="I36801" s="50"/>
      <c r="O36801" s="36" t="s">
        <v>48</v>
      </c>
      <c r="R36801" s="36" t="s">
        <v>48</v>
      </c>
    </row>
    <row r="36802">
      <c r="H36802" s="50"/>
      <c r="I36802" s="50"/>
      <c r="O36802" s="36" t="s">
        <v>48</v>
      </c>
      <c r="R36802" s="36" t="s">
        <v>48</v>
      </c>
    </row>
    <row r="36803">
      <c r="H36803" s="50"/>
      <c r="I36803" s="50"/>
      <c r="O36803" s="36" t="s">
        <v>48</v>
      </c>
      <c r="R36803" s="36" t="s">
        <v>48</v>
      </c>
    </row>
    <row r="36804">
      <c r="H36804" s="50"/>
      <c r="I36804" s="50"/>
      <c r="O36804" s="36" t="s">
        <v>48</v>
      </c>
      <c r="R36804" s="36" t="s">
        <v>48</v>
      </c>
    </row>
    <row r="36805">
      <c r="H36805" s="50"/>
      <c r="I36805" s="50"/>
      <c r="O36805" s="36" t="s">
        <v>48</v>
      </c>
      <c r="R36805" s="36" t="s">
        <v>48</v>
      </c>
    </row>
    <row r="36806">
      <c r="H36806" s="50"/>
      <c r="I36806" s="50"/>
      <c r="O36806" s="36" t="s">
        <v>48</v>
      </c>
      <c r="R36806" s="36" t="s">
        <v>48</v>
      </c>
    </row>
    <row r="36807">
      <c r="H36807" s="50"/>
      <c r="I36807" s="50"/>
      <c r="O36807" s="36" t="s">
        <v>48</v>
      </c>
      <c r="R36807" s="36" t="s">
        <v>48</v>
      </c>
    </row>
    <row r="36808">
      <c r="H36808" s="50"/>
      <c r="I36808" s="50"/>
      <c r="O36808" s="36" t="s">
        <v>48</v>
      </c>
      <c r="R36808" s="36" t="s">
        <v>48</v>
      </c>
    </row>
    <row r="36809">
      <c r="H36809" s="50"/>
      <c r="I36809" s="50"/>
      <c r="O36809" s="36" t="s">
        <v>48</v>
      </c>
      <c r="R36809" s="36" t="s">
        <v>48</v>
      </c>
    </row>
    <row r="36810">
      <c r="H36810" s="50"/>
      <c r="I36810" s="50"/>
      <c r="O36810" s="36" t="s">
        <v>48</v>
      </c>
      <c r="R36810" s="36" t="s">
        <v>48</v>
      </c>
    </row>
    <row r="36811">
      <c r="H36811" s="50"/>
      <c r="I36811" s="50"/>
      <c r="O36811" s="36" t="s">
        <v>48</v>
      </c>
      <c r="R36811" s="36" t="s">
        <v>48</v>
      </c>
    </row>
    <row r="36812">
      <c r="H36812" s="50"/>
      <c r="I36812" s="50"/>
      <c r="O36812" s="36" t="s">
        <v>48</v>
      </c>
      <c r="R36812" s="36" t="s">
        <v>48</v>
      </c>
    </row>
    <row r="36813">
      <c r="H36813" s="50"/>
      <c r="I36813" s="50"/>
      <c r="O36813" s="36" t="s">
        <v>48</v>
      </c>
      <c r="R36813" s="36" t="s">
        <v>48</v>
      </c>
    </row>
    <row r="36814">
      <c r="H36814" s="50"/>
      <c r="I36814" s="50"/>
      <c r="O36814" s="36" t="s">
        <v>48</v>
      </c>
      <c r="R36814" s="36" t="s">
        <v>48</v>
      </c>
    </row>
    <row r="36815">
      <c r="H36815" s="50"/>
      <c r="I36815" s="50"/>
      <c r="O36815" s="36" t="s">
        <v>48</v>
      </c>
      <c r="R36815" s="36" t="s">
        <v>48</v>
      </c>
    </row>
    <row r="36816">
      <c r="H36816" s="50"/>
      <c r="I36816" s="50"/>
      <c r="O36816" s="36" t="s">
        <v>48</v>
      </c>
      <c r="R36816" s="36" t="s">
        <v>48</v>
      </c>
    </row>
    <row r="36817">
      <c r="H36817" s="50"/>
      <c r="I36817" s="50"/>
      <c r="O36817" s="36" t="s">
        <v>48</v>
      </c>
      <c r="R36817" s="36" t="s">
        <v>48</v>
      </c>
    </row>
    <row r="36818">
      <c r="H36818" s="50"/>
      <c r="I36818" s="50"/>
      <c r="O36818" s="36" t="s">
        <v>48</v>
      </c>
      <c r="R36818" s="36" t="s">
        <v>48</v>
      </c>
    </row>
    <row r="36819">
      <c r="H36819" s="50"/>
      <c r="I36819" s="50"/>
      <c r="O36819" s="36" t="s">
        <v>48</v>
      </c>
      <c r="R36819" s="36" t="s">
        <v>48</v>
      </c>
    </row>
    <row r="36820">
      <c r="H36820" s="50"/>
      <c r="I36820" s="50"/>
      <c r="O36820" s="36" t="s">
        <v>48</v>
      </c>
      <c r="R36820" s="36" t="s">
        <v>48</v>
      </c>
    </row>
    <row r="36821">
      <c r="H36821" s="50"/>
      <c r="I36821" s="50"/>
      <c r="O36821" s="36" t="s">
        <v>48</v>
      </c>
      <c r="R36821" s="36" t="s">
        <v>48</v>
      </c>
    </row>
    <row r="36822">
      <c r="H36822" s="50"/>
      <c r="I36822" s="50"/>
      <c r="O36822" s="36" t="s">
        <v>48</v>
      </c>
      <c r="R36822" s="36" t="s">
        <v>48</v>
      </c>
    </row>
    <row r="36823">
      <c r="H36823" s="50"/>
      <c r="I36823" s="50"/>
      <c r="O36823" s="36" t="s">
        <v>48</v>
      </c>
      <c r="R36823" s="36" t="s">
        <v>48</v>
      </c>
    </row>
    <row r="36824">
      <c r="H36824" s="50"/>
      <c r="I36824" s="50"/>
      <c r="O36824" s="36" t="s">
        <v>48</v>
      </c>
      <c r="R36824" s="36" t="s">
        <v>48</v>
      </c>
    </row>
    <row r="36825">
      <c r="H36825" s="50"/>
      <c r="I36825" s="50"/>
      <c r="O36825" s="36" t="s">
        <v>48</v>
      </c>
      <c r="R36825" s="36" t="s">
        <v>48</v>
      </c>
    </row>
    <row r="36826">
      <c r="H36826" s="50"/>
      <c r="I36826" s="50"/>
      <c r="O36826" s="36" t="s">
        <v>48</v>
      </c>
      <c r="R36826" s="36" t="s">
        <v>48</v>
      </c>
    </row>
    <row r="36827">
      <c r="H36827" s="50"/>
      <c r="I36827" s="50"/>
      <c r="O36827" s="36" t="s">
        <v>48</v>
      </c>
      <c r="R36827" s="36" t="s">
        <v>48</v>
      </c>
    </row>
    <row r="36828">
      <c r="H36828" s="50"/>
      <c r="I36828" s="50"/>
      <c r="O36828" s="36" t="s">
        <v>48</v>
      </c>
      <c r="R36828" s="36" t="s">
        <v>48</v>
      </c>
    </row>
    <row r="36829">
      <c r="H36829" s="50"/>
      <c r="I36829" s="50"/>
      <c r="O36829" s="36" t="s">
        <v>48</v>
      </c>
      <c r="R36829" s="36" t="s">
        <v>48</v>
      </c>
    </row>
    <row r="36830">
      <c r="H36830" s="50"/>
      <c r="I36830" s="50"/>
      <c r="O36830" s="36" t="s">
        <v>48</v>
      </c>
      <c r="R36830" s="36" t="s">
        <v>48</v>
      </c>
    </row>
    <row r="36831">
      <c r="H36831" s="50"/>
      <c r="I36831" s="50"/>
      <c r="O36831" s="36" t="s">
        <v>48</v>
      </c>
      <c r="R36831" s="36" t="s">
        <v>48</v>
      </c>
    </row>
    <row r="36832">
      <c r="H36832" s="50"/>
      <c r="I36832" s="50"/>
      <c r="O36832" s="36" t="s">
        <v>48</v>
      </c>
      <c r="R36832" s="36" t="s">
        <v>48</v>
      </c>
    </row>
    <row r="36833">
      <c r="H36833" s="50"/>
      <c r="I36833" s="50"/>
      <c r="O36833" s="36" t="s">
        <v>48</v>
      </c>
      <c r="R36833" s="36" t="s">
        <v>48</v>
      </c>
    </row>
    <row r="36834">
      <c r="H36834" s="50"/>
      <c r="I36834" s="50"/>
      <c r="O36834" s="36" t="s">
        <v>48</v>
      </c>
      <c r="R36834" s="36" t="s">
        <v>48</v>
      </c>
    </row>
    <row r="36835">
      <c r="H36835" s="50"/>
      <c r="I36835" s="50"/>
      <c r="O36835" s="36" t="s">
        <v>48</v>
      </c>
      <c r="R36835" s="36" t="s">
        <v>48</v>
      </c>
    </row>
    <row r="36836">
      <c r="H36836" s="50"/>
      <c r="I36836" s="50"/>
      <c r="O36836" s="36" t="s">
        <v>48</v>
      </c>
      <c r="R36836" s="36" t="s">
        <v>48</v>
      </c>
    </row>
    <row r="36837">
      <c r="H36837" s="50"/>
      <c r="I36837" s="50"/>
      <c r="O36837" s="36" t="s">
        <v>48</v>
      </c>
      <c r="R36837" s="36" t="s">
        <v>48</v>
      </c>
    </row>
    <row r="36838">
      <c r="H36838" s="50"/>
      <c r="I36838" s="50"/>
      <c r="O36838" s="36" t="s">
        <v>48</v>
      </c>
      <c r="R36838" s="36" t="s">
        <v>48</v>
      </c>
    </row>
    <row r="36839">
      <c r="H36839" s="50"/>
      <c r="I36839" s="50"/>
      <c r="O36839" s="36" t="s">
        <v>48</v>
      </c>
      <c r="R36839" s="36" t="s">
        <v>48</v>
      </c>
    </row>
    <row r="36840">
      <c r="H36840" s="50"/>
      <c r="I36840" s="50"/>
      <c r="O36840" s="36" t="s">
        <v>48</v>
      </c>
      <c r="R36840" s="36" t="s">
        <v>48</v>
      </c>
    </row>
    <row r="36841">
      <c r="H36841" s="50"/>
      <c r="I36841" s="50"/>
      <c r="O36841" s="36" t="s">
        <v>48</v>
      </c>
      <c r="R36841" s="36" t="s">
        <v>48</v>
      </c>
    </row>
    <row r="36842">
      <c r="H36842" s="50"/>
      <c r="I36842" s="50"/>
      <c r="O36842" s="36" t="s">
        <v>48</v>
      </c>
      <c r="R36842" s="36" t="s">
        <v>48</v>
      </c>
    </row>
    <row r="36843">
      <c r="H36843" s="50"/>
      <c r="I36843" s="50"/>
      <c r="O36843" s="36" t="s">
        <v>48</v>
      </c>
      <c r="R36843" s="36" t="s">
        <v>48</v>
      </c>
    </row>
    <row r="36844">
      <c r="H36844" s="50"/>
      <c r="I36844" s="50"/>
      <c r="O36844" s="36" t="s">
        <v>48</v>
      </c>
      <c r="R36844" s="36" t="s">
        <v>48</v>
      </c>
    </row>
    <row r="36845">
      <c r="H36845" s="50"/>
      <c r="I36845" s="50"/>
      <c r="O36845" s="36" t="s">
        <v>48</v>
      </c>
      <c r="R36845" s="36" t="s">
        <v>48</v>
      </c>
    </row>
    <row r="36846">
      <c r="H36846" s="50"/>
      <c r="I36846" s="50"/>
      <c r="O36846" s="36" t="s">
        <v>48</v>
      </c>
      <c r="R36846" s="36" t="s">
        <v>48</v>
      </c>
    </row>
    <row r="36847">
      <c r="H36847" s="50"/>
      <c r="I36847" s="50"/>
      <c r="O36847" s="36" t="s">
        <v>48</v>
      </c>
      <c r="R36847" s="36" t="s">
        <v>48</v>
      </c>
    </row>
    <row r="36848">
      <c r="H36848" s="50"/>
      <c r="I36848" s="50"/>
      <c r="O36848" s="36" t="s">
        <v>48</v>
      </c>
      <c r="R36848" s="36" t="s">
        <v>48</v>
      </c>
    </row>
    <row r="36849">
      <c r="H36849" s="50"/>
      <c r="I36849" s="50"/>
      <c r="O36849" s="36" t="s">
        <v>48</v>
      </c>
      <c r="R36849" s="36" t="s">
        <v>48</v>
      </c>
    </row>
    <row r="36850">
      <c r="H36850" s="50"/>
      <c r="I36850" s="50"/>
      <c r="O36850" s="36" t="s">
        <v>48</v>
      </c>
      <c r="R36850" s="36" t="s">
        <v>48</v>
      </c>
    </row>
    <row r="36851">
      <c r="H36851" s="50"/>
      <c r="I36851" s="50"/>
      <c r="O36851" s="36" t="s">
        <v>48</v>
      </c>
      <c r="R36851" s="36" t="s">
        <v>48</v>
      </c>
    </row>
    <row r="36852">
      <c r="H36852" s="50"/>
      <c r="I36852" s="50"/>
      <c r="O36852" s="36" t="s">
        <v>48</v>
      </c>
      <c r="R36852" s="36" t="s">
        <v>48</v>
      </c>
    </row>
    <row r="36853">
      <c r="H36853" s="50"/>
      <c r="I36853" s="50"/>
      <c r="O36853" s="36" t="s">
        <v>48</v>
      </c>
      <c r="R36853" s="36" t="s">
        <v>48</v>
      </c>
    </row>
    <row r="36854">
      <c r="H36854" s="50"/>
      <c r="I36854" s="50"/>
      <c r="O36854" s="36" t="s">
        <v>48</v>
      </c>
      <c r="R36854" s="36" t="s">
        <v>48</v>
      </c>
    </row>
    <row r="36855">
      <c r="H36855" s="50"/>
      <c r="I36855" s="50"/>
      <c r="O36855" s="36" t="s">
        <v>48</v>
      </c>
      <c r="R36855" s="36" t="s">
        <v>48</v>
      </c>
    </row>
    <row r="36856">
      <c r="H36856" s="50"/>
      <c r="I36856" s="50"/>
      <c r="O36856" s="36" t="s">
        <v>48</v>
      </c>
      <c r="R36856" s="36" t="s">
        <v>48</v>
      </c>
    </row>
    <row r="36857">
      <c r="H36857" s="50"/>
      <c r="I36857" s="50"/>
      <c r="O36857" s="36" t="s">
        <v>48</v>
      </c>
      <c r="R36857" s="36" t="s">
        <v>48</v>
      </c>
    </row>
    <row r="36858">
      <c r="H36858" s="50"/>
      <c r="I36858" s="50"/>
      <c r="O36858" s="36" t="s">
        <v>48</v>
      </c>
      <c r="R36858" s="36" t="s">
        <v>48</v>
      </c>
    </row>
    <row r="36859">
      <c r="H36859" s="50"/>
      <c r="I36859" s="50"/>
      <c r="O36859" s="36" t="s">
        <v>48</v>
      </c>
      <c r="R36859" s="36" t="s">
        <v>48</v>
      </c>
    </row>
    <row r="36860">
      <c r="H36860" s="50"/>
      <c r="I36860" s="50"/>
      <c r="O36860" s="36" t="s">
        <v>48</v>
      </c>
      <c r="R36860" s="36" t="s">
        <v>48</v>
      </c>
    </row>
    <row r="36861">
      <c r="H36861" s="50"/>
      <c r="I36861" s="50"/>
      <c r="O36861" s="36" t="s">
        <v>48</v>
      </c>
      <c r="R36861" s="36" t="s">
        <v>48</v>
      </c>
    </row>
    <row r="36862">
      <c r="H36862" s="50"/>
      <c r="I36862" s="50"/>
      <c r="O36862" s="36" t="s">
        <v>48</v>
      </c>
      <c r="R36862" s="36" t="s">
        <v>48</v>
      </c>
    </row>
    <row r="36863">
      <c r="H36863" s="50"/>
      <c r="I36863" s="50"/>
      <c r="O36863" s="36" t="s">
        <v>48</v>
      </c>
      <c r="R36863" s="36" t="s">
        <v>48</v>
      </c>
    </row>
    <row r="36864">
      <c r="H36864" s="50"/>
      <c r="I36864" s="50"/>
      <c r="O36864" s="36" t="s">
        <v>48</v>
      </c>
      <c r="R36864" s="36" t="s">
        <v>48</v>
      </c>
    </row>
    <row r="36865">
      <c r="H36865" s="50"/>
      <c r="I36865" s="50"/>
      <c r="O36865" s="36" t="s">
        <v>48</v>
      </c>
      <c r="R36865" s="36" t="s">
        <v>48</v>
      </c>
    </row>
    <row r="36866">
      <c r="H36866" s="50"/>
      <c r="I36866" s="50"/>
      <c r="O36866" s="36" t="s">
        <v>48</v>
      </c>
      <c r="R36866" s="36" t="s">
        <v>48</v>
      </c>
    </row>
    <row r="36867">
      <c r="H36867" s="50"/>
      <c r="I36867" s="50"/>
      <c r="O36867" s="36" t="s">
        <v>48</v>
      </c>
      <c r="R36867" s="36" t="s">
        <v>48</v>
      </c>
    </row>
    <row r="36868">
      <c r="H36868" s="50"/>
      <c r="I36868" s="50"/>
      <c r="O36868" s="36" t="s">
        <v>48</v>
      </c>
      <c r="R36868" s="36" t="s">
        <v>48</v>
      </c>
    </row>
    <row r="36869">
      <c r="H36869" s="50"/>
      <c r="I36869" s="50"/>
      <c r="O36869" s="36" t="s">
        <v>48</v>
      </c>
      <c r="R36869" s="36" t="s">
        <v>48</v>
      </c>
    </row>
    <row r="36870">
      <c r="H36870" s="50"/>
      <c r="I36870" s="50"/>
      <c r="O36870" s="36" t="s">
        <v>48</v>
      </c>
      <c r="R36870" s="36" t="s">
        <v>48</v>
      </c>
    </row>
    <row r="36871">
      <c r="H36871" s="50"/>
      <c r="I36871" s="50"/>
      <c r="O36871" s="36" t="s">
        <v>48</v>
      </c>
      <c r="R36871" s="36" t="s">
        <v>48</v>
      </c>
    </row>
    <row r="36872">
      <c r="H36872" s="50"/>
      <c r="I36872" s="50"/>
      <c r="O36872" s="36" t="s">
        <v>48</v>
      </c>
      <c r="R36872" s="36" t="s">
        <v>48</v>
      </c>
    </row>
    <row r="36873">
      <c r="H36873" s="50"/>
      <c r="I36873" s="50"/>
      <c r="O36873" s="36" t="s">
        <v>48</v>
      </c>
      <c r="R36873" s="36" t="s">
        <v>48</v>
      </c>
    </row>
    <row r="36874">
      <c r="H36874" s="50"/>
      <c r="I36874" s="50"/>
      <c r="O36874" s="36" t="s">
        <v>48</v>
      </c>
      <c r="R36874" s="36" t="s">
        <v>48</v>
      </c>
    </row>
    <row r="36875">
      <c r="H36875" s="50"/>
      <c r="I36875" s="50"/>
      <c r="O36875" s="36" t="s">
        <v>48</v>
      </c>
      <c r="R36875" s="36" t="s">
        <v>48</v>
      </c>
    </row>
    <row r="36876">
      <c r="H36876" s="50"/>
      <c r="I36876" s="50"/>
      <c r="O36876" s="36" t="s">
        <v>48</v>
      </c>
      <c r="R36876" s="36" t="s">
        <v>48</v>
      </c>
    </row>
    <row r="36877">
      <c r="H36877" s="50"/>
      <c r="I36877" s="50"/>
      <c r="O36877" s="36" t="s">
        <v>48</v>
      </c>
      <c r="R36877" s="36" t="s">
        <v>48</v>
      </c>
    </row>
    <row r="36878">
      <c r="H36878" s="50"/>
      <c r="I36878" s="50"/>
      <c r="O36878" s="36" t="s">
        <v>48</v>
      </c>
      <c r="R36878" s="36" t="s">
        <v>48</v>
      </c>
    </row>
    <row r="36879">
      <c r="H36879" s="50"/>
      <c r="I36879" s="50"/>
      <c r="O36879" s="36" t="s">
        <v>48</v>
      </c>
      <c r="R36879" s="36" t="s">
        <v>48</v>
      </c>
    </row>
    <row r="36880">
      <c r="H36880" s="50"/>
      <c r="I36880" s="50"/>
      <c r="O36880" s="36" t="s">
        <v>48</v>
      </c>
      <c r="R36880" s="36" t="s">
        <v>48</v>
      </c>
    </row>
    <row r="36881">
      <c r="H36881" s="50"/>
      <c r="I36881" s="50"/>
      <c r="O36881" s="36" t="s">
        <v>48</v>
      </c>
      <c r="R36881" s="36" t="s">
        <v>48</v>
      </c>
    </row>
    <row r="36882">
      <c r="H36882" s="50"/>
      <c r="I36882" s="50"/>
      <c r="O36882" s="36" t="s">
        <v>48</v>
      </c>
      <c r="R36882" s="36" t="s">
        <v>48</v>
      </c>
    </row>
    <row r="36883">
      <c r="H36883" s="50"/>
      <c r="I36883" s="50"/>
      <c r="O36883" s="36" t="s">
        <v>48</v>
      </c>
      <c r="R36883" s="36" t="s">
        <v>48</v>
      </c>
    </row>
    <row r="36884">
      <c r="H36884" s="50"/>
      <c r="I36884" s="50"/>
      <c r="O36884" s="36" t="s">
        <v>48</v>
      </c>
      <c r="R36884" s="36" t="s">
        <v>48</v>
      </c>
    </row>
    <row r="36885">
      <c r="H36885" s="50"/>
      <c r="I36885" s="50"/>
      <c r="O36885" s="36" t="s">
        <v>48</v>
      </c>
      <c r="R36885" s="36" t="s">
        <v>48</v>
      </c>
    </row>
    <row r="36886">
      <c r="H36886" s="50"/>
      <c r="I36886" s="50"/>
      <c r="O36886" s="36" t="s">
        <v>48</v>
      </c>
      <c r="R36886" s="36" t="s">
        <v>48</v>
      </c>
    </row>
    <row r="36887">
      <c r="H36887" s="50"/>
      <c r="I36887" s="50"/>
      <c r="O36887" s="36" t="s">
        <v>48</v>
      </c>
      <c r="R36887" s="36" t="s">
        <v>48</v>
      </c>
    </row>
    <row r="36888">
      <c r="H36888" s="50"/>
      <c r="I36888" s="50"/>
      <c r="O36888" s="36" t="s">
        <v>48</v>
      </c>
      <c r="R36888" s="36" t="s">
        <v>48</v>
      </c>
    </row>
    <row r="36889">
      <c r="H36889" s="50"/>
      <c r="I36889" s="50"/>
      <c r="O36889" s="36" t="s">
        <v>48</v>
      </c>
      <c r="R36889" s="36" t="s">
        <v>48</v>
      </c>
    </row>
    <row r="36890">
      <c r="H36890" s="50"/>
      <c r="I36890" s="50"/>
      <c r="O36890" s="36" t="s">
        <v>48</v>
      </c>
      <c r="R36890" s="36" t="s">
        <v>48</v>
      </c>
    </row>
    <row r="36891">
      <c r="H36891" s="50"/>
      <c r="I36891" s="50"/>
      <c r="O36891" s="36" t="s">
        <v>48</v>
      </c>
      <c r="R36891" s="36" t="s">
        <v>48</v>
      </c>
    </row>
    <row r="36892">
      <c r="H36892" s="50"/>
      <c r="I36892" s="50"/>
      <c r="O36892" s="36" t="s">
        <v>48</v>
      </c>
      <c r="R36892" s="36" t="s">
        <v>48</v>
      </c>
    </row>
    <row r="36893">
      <c r="H36893" s="50"/>
      <c r="I36893" s="50"/>
      <c r="O36893" s="36" t="s">
        <v>48</v>
      </c>
      <c r="R36893" s="36" t="s">
        <v>48</v>
      </c>
    </row>
    <row r="36894">
      <c r="H36894" s="50"/>
      <c r="I36894" s="50"/>
      <c r="O36894" s="36" t="s">
        <v>48</v>
      </c>
      <c r="R36894" s="36" t="s">
        <v>48</v>
      </c>
    </row>
    <row r="36895">
      <c r="H36895" s="50"/>
      <c r="I36895" s="50"/>
      <c r="O36895" s="36" t="s">
        <v>48</v>
      </c>
      <c r="R36895" s="36" t="s">
        <v>48</v>
      </c>
    </row>
    <row r="36896">
      <c r="H36896" s="50"/>
      <c r="I36896" s="50"/>
      <c r="O36896" s="36" t="s">
        <v>48</v>
      </c>
      <c r="R36896" s="36" t="s">
        <v>48</v>
      </c>
    </row>
    <row r="36897">
      <c r="H36897" s="50"/>
      <c r="I36897" s="50"/>
      <c r="O36897" s="36" t="s">
        <v>48</v>
      </c>
      <c r="R36897" s="36" t="s">
        <v>48</v>
      </c>
    </row>
    <row r="36898">
      <c r="H36898" s="50"/>
      <c r="I36898" s="50"/>
      <c r="O36898" s="36" t="s">
        <v>48</v>
      </c>
      <c r="R36898" s="36" t="s">
        <v>48</v>
      </c>
    </row>
    <row r="36899">
      <c r="H36899" s="50"/>
      <c r="I36899" s="50"/>
      <c r="O36899" s="36" t="s">
        <v>48</v>
      </c>
      <c r="R36899" s="36" t="s">
        <v>48</v>
      </c>
    </row>
    <row r="36900">
      <c r="H36900" s="50"/>
      <c r="I36900" s="50"/>
      <c r="O36900" s="36" t="s">
        <v>48</v>
      </c>
      <c r="R36900" s="36" t="s">
        <v>48</v>
      </c>
    </row>
    <row r="36901">
      <c r="H36901" s="50"/>
      <c r="I36901" s="50"/>
      <c r="O36901" s="36" t="s">
        <v>48</v>
      </c>
      <c r="R36901" s="36" t="s">
        <v>48</v>
      </c>
    </row>
    <row r="36902">
      <c r="H36902" s="50"/>
      <c r="I36902" s="50"/>
      <c r="O36902" s="36" t="s">
        <v>48</v>
      </c>
      <c r="R36902" s="36" t="s">
        <v>48</v>
      </c>
    </row>
    <row r="36903">
      <c r="H36903" s="50"/>
      <c r="I36903" s="50"/>
      <c r="O36903" s="36" t="s">
        <v>48</v>
      </c>
      <c r="R36903" s="36" t="s">
        <v>48</v>
      </c>
    </row>
    <row r="36904">
      <c r="H36904" s="50"/>
      <c r="I36904" s="50"/>
      <c r="O36904" s="36" t="s">
        <v>48</v>
      </c>
      <c r="R36904" s="36" t="s">
        <v>48</v>
      </c>
    </row>
    <row r="36905">
      <c r="H36905" s="50"/>
      <c r="I36905" s="50"/>
      <c r="O36905" s="36" t="s">
        <v>48</v>
      </c>
      <c r="R36905" s="36" t="s">
        <v>48</v>
      </c>
    </row>
    <row r="36906">
      <c r="H36906" s="50"/>
      <c r="I36906" s="50"/>
      <c r="O36906" s="36" t="s">
        <v>48</v>
      </c>
      <c r="R36906" s="36" t="s">
        <v>48</v>
      </c>
    </row>
    <row r="36907">
      <c r="H36907" s="50"/>
      <c r="I36907" s="50"/>
      <c r="O36907" s="36" t="s">
        <v>48</v>
      </c>
      <c r="R36907" s="36" t="s">
        <v>48</v>
      </c>
    </row>
    <row r="36908">
      <c r="H36908" s="50"/>
      <c r="I36908" s="50"/>
      <c r="O36908" s="36" t="s">
        <v>48</v>
      </c>
      <c r="R36908" s="36" t="s">
        <v>48</v>
      </c>
    </row>
    <row r="36909">
      <c r="H36909" s="50"/>
      <c r="I36909" s="50"/>
      <c r="O36909" s="36" t="s">
        <v>48</v>
      </c>
      <c r="R36909" s="36" t="s">
        <v>48</v>
      </c>
    </row>
    <row r="36910">
      <c r="H36910" s="50"/>
      <c r="I36910" s="50"/>
      <c r="O36910" s="36" t="s">
        <v>48</v>
      </c>
      <c r="R36910" s="36" t="s">
        <v>48</v>
      </c>
    </row>
    <row r="36911">
      <c r="H36911" s="50"/>
      <c r="I36911" s="50"/>
      <c r="O36911" s="36" t="s">
        <v>48</v>
      </c>
      <c r="R36911" s="36" t="s">
        <v>48</v>
      </c>
    </row>
    <row r="36912">
      <c r="H36912" s="50"/>
      <c r="I36912" s="50"/>
      <c r="O36912" s="36" t="s">
        <v>48</v>
      </c>
      <c r="R36912" s="36" t="s">
        <v>48</v>
      </c>
    </row>
    <row r="36913">
      <c r="H36913" s="50"/>
      <c r="I36913" s="50"/>
      <c r="O36913" s="36" t="s">
        <v>48</v>
      </c>
      <c r="R36913" s="36" t="s">
        <v>48</v>
      </c>
    </row>
    <row r="36914">
      <c r="H36914" s="50"/>
      <c r="I36914" s="50"/>
      <c r="O36914" s="36" t="s">
        <v>48</v>
      </c>
      <c r="R36914" s="36" t="s">
        <v>48</v>
      </c>
    </row>
    <row r="36915">
      <c r="H36915" s="50"/>
      <c r="I36915" s="50"/>
      <c r="O36915" s="36" t="s">
        <v>48</v>
      </c>
      <c r="R36915" s="36" t="s">
        <v>48</v>
      </c>
    </row>
    <row r="36916">
      <c r="H36916" s="50"/>
      <c r="I36916" s="50"/>
      <c r="O36916" s="36" t="s">
        <v>48</v>
      </c>
      <c r="R36916" s="36" t="s">
        <v>48</v>
      </c>
    </row>
    <row r="36917">
      <c r="H36917" s="50"/>
      <c r="I36917" s="50"/>
      <c r="O36917" s="36" t="s">
        <v>48</v>
      </c>
      <c r="R36917" s="36" t="s">
        <v>48</v>
      </c>
    </row>
    <row r="36918">
      <c r="H36918" s="50"/>
      <c r="I36918" s="50"/>
      <c r="O36918" s="36" t="s">
        <v>48</v>
      </c>
      <c r="R36918" s="36" t="s">
        <v>48</v>
      </c>
    </row>
    <row r="36919">
      <c r="H36919" s="50"/>
      <c r="I36919" s="50"/>
      <c r="O36919" s="36" t="s">
        <v>48</v>
      </c>
      <c r="R36919" s="36" t="s">
        <v>48</v>
      </c>
    </row>
    <row r="36920">
      <c r="H36920" s="50"/>
      <c r="I36920" s="50"/>
      <c r="O36920" s="36" t="s">
        <v>48</v>
      </c>
      <c r="R36920" s="36" t="s">
        <v>48</v>
      </c>
    </row>
    <row r="36921">
      <c r="H36921" s="50"/>
      <c r="I36921" s="50"/>
      <c r="O36921" s="36" t="s">
        <v>48</v>
      </c>
      <c r="R36921" s="36" t="s">
        <v>48</v>
      </c>
    </row>
    <row r="36922">
      <c r="H36922" s="50"/>
      <c r="I36922" s="50"/>
      <c r="O36922" s="36" t="s">
        <v>48</v>
      </c>
      <c r="R36922" s="36" t="s">
        <v>48</v>
      </c>
    </row>
    <row r="36923">
      <c r="H36923" s="50"/>
      <c r="I36923" s="50"/>
      <c r="O36923" s="36" t="s">
        <v>48</v>
      </c>
      <c r="R36923" s="36" t="s">
        <v>48</v>
      </c>
    </row>
    <row r="36924">
      <c r="H36924" s="50"/>
      <c r="I36924" s="50"/>
      <c r="O36924" s="36" t="s">
        <v>48</v>
      </c>
      <c r="R36924" s="36" t="s">
        <v>48</v>
      </c>
    </row>
    <row r="36925">
      <c r="H36925" s="50"/>
      <c r="I36925" s="50"/>
      <c r="O36925" s="36" t="s">
        <v>48</v>
      </c>
      <c r="R36925" s="36" t="s">
        <v>48</v>
      </c>
    </row>
    <row r="36926">
      <c r="H36926" s="50"/>
      <c r="I36926" s="50"/>
      <c r="O36926" s="36" t="s">
        <v>48</v>
      </c>
      <c r="R36926" s="36" t="s">
        <v>48</v>
      </c>
    </row>
    <row r="36927">
      <c r="H36927" s="50"/>
      <c r="I36927" s="50"/>
      <c r="O36927" s="36" t="s">
        <v>48</v>
      </c>
      <c r="R36927" s="36" t="s">
        <v>48</v>
      </c>
    </row>
    <row r="36928">
      <c r="H36928" s="50"/>
      <c r="I36928" s="50"/>
      <c r="O36928" s="36" t="s">
        <v>48</v>
      </c>
      <c r="R36928" s="36" t="s">
        <v>48</v>
      </c>
    </row>
    <row r="36929">
      <c r="H36929" s="50"/>
      <c r="I36929" s="50"/>
      <c r="O36929" s="36" t="s">
        <v>48</v>
      </c>
      <c r="R36929" s="36" t="s">
        <v>48</v>
      </c>
    </row>
    <row r="36930">
      <c r="H36930" s="50"/>
      <c r="I36930" s="50"/>
      <c r="O36930" s="36" t="s">
        <v>48</v>
      </c>
      <c r="R36930" s="36" t="s">
        <v>48</v>
      </c>
    </row>
    <row r="36931">
      <c r="H36931" s="50"/>
      <c r="I36931" s="50"/>
      <c r="O36931" s="36" t="s">
        <v>48</v>
      </c>
      <c r="R36931" s="36" t="s">
        <v>48</v>
      </c>
    </row>
    <row r="36932">
      <c r="H36932" s="50"/>
      <c r="I36932" s="50"/>
      <c r="O36932" s="36" t="s">
        <v>48</v>
      </c>
      <c r="R36932" s="36" t="s">
        <v>48</v>
      </c>
    </row>
    <row r="36933">
      <c r="H36933" s="50"/>
      <c r="I36933" s="50"/>
      <c r="O36933" s="36" t="s">
        <v>48</v>
      </c>
      <c r="R36933" s="36" t="s">
        <v>48</v>
      </c>
    </row>
    <row r="36934">
      <c r="H36934" s="50"/>
      <c r="I36934" s="50"/>
      <c r="O36934" s="36" t="s">
        <v>48</v>
      </c>
      <c r="R36934" s="36" t="s">
        <v>48</v>
      </c>
    </row>
    <row r="36935">
      <c r="H36935" s="50"/>
      <c r="I36935" s="50"/>
      <c r="O36935" s="36" t="s">
        <v>48</v>
      </c>
      <c r="R36935" s="36" t="s">
        <v>48</v>
      </c>
    </row>
    <row r="36936">
      <c r="H36936" s="50"/>
      <c r="I36936" s="50"/>
      <c r="O36936" s="36" t="s">
        <v>48</v>
      </c>
      <c r="R36936" s="36" t="s">
        <v>48</v>
      </c>
    </row>
    <row r="36937">
      <c r="H36937" s="50"/>
      <c r="I36937" s="50"/>
      <c r="O36937" s="36" t="s">
        <v>48</v>
      </c>
      <c r="R36937" s="36" t="s">
        <v>48</v>
      </c>
    </row>
    <row r="36938">
      <c r="H36938" s="50"/>
      <c r="I36938" s="50"/>
      <c r="O36938" s="36" t="s">
        <v>48</v>
      </c>
      <c r="R36938" s="36" t="s">
        <v>48</v>
      </c>
    </row>
    <row r="36939">
      <c r="H36939" s="50"/>
      <c r="I36939" s="50"/>
      <c r="O36939" s="36" t="s">
        <v>48</v>
      </c>
      <c r="R36939" s="36" t="s">
        <v>48</v>
      </c>
    </row>
    <row r="36940">
      <c r="H36940" s="50"/>
      <c r="I36940" s="50"/>
      <c r="O36940" s="36" t="s">
        <v>48</v>
      </c>
      <c r="R36940" s="36" t="s">
        <v>48</v>
      </c>
    </row>
    <row r="36941">
      <c r="H36941" s="50"/>
      <c r="I36941" s="50"/>
      <c r="O36941" s="36" t="s">
        <v>48</v>
      </c>
      <c r="R36941" s="36" t="s">
        <v>48</v>
      </c>
    </row>
    <row r="36942">
      <c r="H36942" s="50"/>
      <c r="I36942" s="50"/>
      <c r="O36942" s="36" t="s">
        <v>48</v>
      </c>
      <c r="R36942" s="36" t="s">
        <v>48</v>
      </c>
    </row>
    <row r="36943">
      <c r="H36943" s="50"/>
      <c r="I36943" s="50"/>
      <c r="O36943" s="36" t="s">
        <v>48</v>
      </c>
      <c r="R36943" s="36" t="s">
        <v>48</v>
      </c>
    </row>
    <row r="36944">
      <c r="H36944" s="50"/>
      <c r="I36944" s="50"/>
      <c r="O36944" s="36" t="s">
        <v>48</v>
      </c>
      <c r="R36944" s="36" t="s">
        <v>48</v>
      </c>
    </row>
    <row r="36945">
      <c r="H36945" s="50"/>
      <c r="I36945" s="50"/>
      <c r="O36945" s="36" t="s">
        <v>48</v>
      </c>
      <c r="R36945" s="36" t="s">
        <v>48</v>
      </c>
    </row>
    <row r="36946">
      <c r="H36946" s="50"/>
      <c r="I36946" s="50"/>
      <c r="O36946" s="36" t="s">
        <v>48</v>
      </c>
      <c r="R36946" s="36" t="s">
        <v>48</v>
      </c>
    </row>
    <row r="36947">
      <c r="H36947" s="50"/>
      <c r="I36947" s="50"/>
      <c r="O36947" s="36" t="s">
        <v>48</v>
      </c>
      <c r="R36947" s="36" t="s">
        <v>48</v>
      </c>
    </row>
    <row r="36948">
      <c r="H36948" s="50"/>
      <c r="I36948" s="50"/>
      <c r="O36948" s="36" t="s">
        <v>48</v>
      </c>
      <c r="R36948" s="36" t="s">
        <v>48</v>
      </c>
    </row>
    <row r="36949">
      <c r="H36949" s="50"/>
      <c r="I36949" s="50"/>
      <c r="O36949" s="36" t="s">
        <v>48</v>
      </c>
      <c r="R36949" s="36" t="s">
        <v>48</v>
      </c>
    </row>
    <row r="36950">
      <c r="H36950" s="50"/>
      <c r="I36950" s="50"/>
      <c r="O36950" s="36" t="s">
        <v>48</v>
      </c>
      <c r="R36950" s="36" t="s">
        <v>48</v>
      </c>
    </row>
    <row r="36951">
      <c r="H36951" s="50"/>
      <c r="I36951" s="50"/>
      <c r="O36951" s="36" t="s">
        <v>48</v>
      </c>
      <c r="R36951" s="36" t="s">
        <v>48</v>
      </c>
    </row>
    <row r="36952">
      <c r="H36952" s="50"/>
      <c r="I36952" s="50"/>
      <c r="O36952" s="36" t="s">
        <v>48</v>
      </c>
      <c r="R36952" s="36" t="s">
        <v>48</v>
      </c>
    </row>
    <row r="36953">
      <c r="H36953" s="50"/>
      <c r="I36953" s="50"/>
      <c r="O36953" s="36" t="s">
        <v>48</v>
      </c>
      <c r="R36953" s="36" t="s">
        <v>48</v>
      </c>
    </row>
    <row r="36954">
      <c r="H36954" s="50"/>
      <c r="I36954" s="50"/>
      <c r="O36954" s="36" t="s">
        <v>48</v>
      </c>
      <c r="R36954" s="36" t="s">
        <v>48</v>
      </c>
    </row>
    <row r="36955">
      <c r="H36955" s="50"/>
      <c r="I36955" s="50"/>
      <c r="O36955" s="36" t="s">
        <v>48</v>
      </c>
      <c r="R36955" s="36" t="s">
        <v>48</v>
      </c>
    </row>
    <row r="36956">
      <c r="H36956" s="50"/>
      <c r="I36956" s="50"/>
      <c r="O36956" s="36" t="s">
        <v>48</v>
      </c>
      <c r="R36956" s="36" t="s">
        <v>48</v>
      </c>
    </row>
    <row r="36957">
      <c r="H36957" s="50"/>
      <c r="I36957" s="50"/>
      <c r="O36957" s="36" t="s">
        <v>48</v>
      </c>
      <c r="R36957" s="36" t="s">
        <v>48</v>
      </c>
    </row>
    <row r="36958">
      <c r="H36958" s="50"/>
      <c r="I36958" s="50"/>
      <c r="O36958" s="36" t="s">
        <v>48</v>
      </c>
      <c r="R36958" s="36" t="s">
        <v>48</v>
      </c>
    </row>
    <row r="36959">
      <c r="H36959" s="50"/>
      <c r="I36959" s="50"/>
      <c r="O36959" s="36" t="s">
        <v>48</v>
      </c>
      <c r="R36959" s="36" t="s">
        <v>48</v>
      </c>
    </row>
    <row r="36960">
      <c r="H36960" s="50"/>
      <c r="I36960" s="50"/>
      <c r="O36960" s="36" t="s">
        <v>48</v>
      </c>
      <c r="R36960" s="36" t="s">
        <v>48</v>
      </c>
    </row>
    <row r="36961">
      <c r="H36961" s="50"/>
      <c r="I36961" s="50"/>
      <c r="O36961" s="36" t="s">
        <v>48</v>
      </c>
      <c r="R36961" s="36" t="s">
        <v>48</v>
      </c>
    </row>
    <row r="36962">
      <c r="H36962" s="50"/>
      <c r="I36962" s="50"/>
      <c r="O36962" s="36" t="s">
        <v>48</v>
      </c>
      <c r="R36962" s="36" t="s">
        <v>48</v>
      </c>
    </row>
    <row r="36963">
      <c r="H36963" s="50"/>
      <c r="I36963" s="50"/>
      <c r="O36963" s="36" t="s">
        <v>48</v>
      </c>
      <c r="R36963" s="36" t="s">
        <v>48</v>
      </c>
    </row>
    <row r="36964">
      <c r="H36964" s="50"/>
      <c r="I36964" s="50"/>
      <c r="O36964" s="36" t="s">
        <v>48</v>
      </c>
      <c r="R36964" s="36" t="s">
        <v>48</v>
      </c>
    </row>
    <row r="36965">
      <c r="H36965" s="50"/>
      <c r="I36965" s="50"/>
      <c r="O36965" s="36" t="s">
        <v>48</v>
      </c>
      <c r="R36965" s="36" t="s">
        <v>48</v>
      </c>
    </row>
    <row r="36966">
      <c r="H36966" s="50"/>
      <c r="I36966" s="50"/>
      <c r="O36966" s="36" t="s">
        <v>48</v>
      </c>
      <c r="R36966" s="36" t="s">
        <v>48</v>
      </c>
    </row>
    <row r="36967">
      <c r="H36967" s="50"/>
      <c r="I36967" s="50"/>
      <c r="O36967" s="36" t="s">
        <v>48</v>
      </c>
      <c r="R36967" s="36" t="s">
        <v>48</v>
      </c>
    </row>
    <row r="36968">
      <c r="H36968" s="50"/>
      <c r="I36968" s="50"/>
      <c r="O36968" s="36" t="s">
        <v>48</v>
      </c>
      <c r="R36968" s="36" t="s">
        <v>48</v>
      </c>
    </row>
    <row r="36969">
      <c r="H36969" s="50"/>
      <c r="I36969" s="50"/>
      <c r="O36969" s="36" t="s">
        <v>48</v>
      </c>
      <c r="R36969" s="36" t="s">
        <v>48</v>
      </c>
    </row>
    <row r="36970">
      <c r="H36970" s="50"/>
      <c r="I36970" s="50"/>
      <c r="O36970" s="36" t="s">
        <v>48</v>
      </c>
      <c r="R36970" s="36" t="s">
        <v>48</v>
      </c>
    </row>
    <row r="36971">
      <c r="H36971" s="50"/>
      <c r="I36971" s="50"/>
      <c r="O36971" s="36" t="s">
        <v>48</v>
      </c>
      <c r="R36971" s="36" t="s">
        <v>48</v>
      </c>
    </row>
    <row r="36972">
      <c r="H36972" s="50"/>
      <c r="I36972" s="50"/>
      <c r="O36972" s="36" t="s">
        <v>48</v>
      </c>
      <c r="R36972" s="36" t="s">
        <v>48</v>
      </c>
    </row>
    <row r="36973">
      <c r="H36973" s="50"/>
      <c r="I36973" s="50"/>
      <c r="O36973" s="36" t="s">
        <v>48</v>
      </c>
      <c r="R36973" s="36" t="s">
        <v>48</v>
      </c>
    </row>
    <row r="36974">
      <c r="H36974" s="50"/>
      <c r="I36974" s="50"/>
      <c r="O36974" s="36" t="s">
        <v>48</v>
      </c>
      <c r="R36974" s="36" t="s">
        <v>48</v>
      </c>
    </row>
    <row r="36975">
      <c r="H36975" s="50"/>
      <c r="I36975" s="50"/>
      <c r="O36975" s="36" t="s">
        <v>48</v>
      </c>
      <c r="R36975" s="36" t="s">
        <v>48</v>
      </c>
    </row>
    <row r="36976">
      <c r="H36976" s="50"/>
      <c r="I36976" s="50"/>
      <c r="O36976" s="36" t="s">
        <v>48</v>
      </c>
      <c r="R36976" s="36" t="s">
        <v>48</v>
      </c>
    </row>
    <row r="36977">
      <c r="H36977" s="50"/>
      <c r="I36977" s="50"/>
      <c r="O36977" s="36" t="s">
        <v>48</v>
      </c>
      <c r="R36977" s="36" t="s">
        <v>48</v>
      </c>
    </row>
    <row r="36978">
      <c r="H36978" s="50"/>
      <c r="I36978" s="50"/>
      <c r="O36978" s="36" t="s">
        <v>48</v>
      </c>
      <c r="R36978" s="36" t="s">
        <v>48</v>
      </c>
    </row>
    <row r="36979">
      <c r="H36979" s="50"/>
      <c r="I36979" s="50"/>
      <c r="O36979" s="36" t="s">
        <v>48</v>
      </c>
      <c r="R36979" s="36" t="s">
        <v>48</v>
      </c>
    </row>
    <row r="36980">
      <c r="H36980" s="50"/>
      <c r="I36980" s="50"/>
      <c r="O36980" s="36" t="s">
        <v>48</v>
      </c>
      <c r="R36980" s="36" t="s">
        <v>48</v>
      </c>
    </row>
    <row r="36981">
      <c r="H36981" s="50"/>
      <c r="I36981" s="50"/>
      <c r="O36981" s="36" t="s">
        <v>48</v>
      </c>
      <c r="R36981" s="36" t="s">
        <v>48</v>
      </c>
    </row>
    <row r="36982">
      <c r="H36982" s="50"/>
      <c r="I36982" s="50"/>
      <c r="O36982" s="36" t="s">
        <v>48</v>
      </c>
      <c r="R36982" s="36" t="s">
        <v>48</v>
      </c>
    </row>
    <row r="36983">
      <c r="H36983" s="50"/>
      <c r="I36983" s="50"/>
      <c r="O36983" s="36" t="s">
        <v>48</v>
      </c>
      <c r="R36983" s="36" t="s">
        <v>48</v>
      </c>
    </row>
    <row r="36984">
      <c r="H36984" s="50"/>
      <c r="I36984" s="50"/>
      <c r="O36984" s="36" t="s">
        <v>48</v>
      </c>
      <c r="R36984" s="36" t="s">
        <v>48</v>
      </c>
    </row>
    <row r="36985">
      <c r="H36985" s="50"/>
      <c r="I36985" s="50"/>
      <c r="O36985" s="36" t="s">
        <v>48</v>
      </c>
      <c r="R36985" s="36" t="s">
        <v>48</v>
      </c>
    </row>
    <row r="36986">
      <c r="H36986" s="50"/>
      <c r="I36986" s="50"/>
      <c r="O36986" s="36" t="s">
        <v>48</v>
      </c>
      <c r="R36986" s="36" t="s">
        <v>48</v>
      </c>
    </row>
    <row r="36987">
      <c r="H36987" s="50"/>
      <c r="I36987" s="50"/>
      <c r="O36987" s="36" t="s">
        <v>48</v>
      </c>
      <c r="R36987" s="36" t="s">
        <v>48</v>
      </c>
    </row>
    <row r="36988">
      <c r="H36988" s="50"/>
      <c r="I36988" s="50"/>
      <c r="O36988" s="36" t="s">
        <v>48</v>
      </c>
      <c r="R36988" s="36" t="s">
        <v>48</v>
      </c>
    </row>
    <row r="36989">
      <c r="H36989" s="50"/>
      <c r="I36989" s="50"/>
      <c r="O36989" s="36" t="s">
        <v>48</v>
      </c>
      <c r="R36989" s="36" t="s">
        <v>48</v>
      </c>
    </row>
    <row r="36990">
      <c r="H36990" s="50"/>
      <c r="I36990" s="50"/>
      <c r="O36990" s="36" t="s">
        <v>48</v>
      </c>
      <c r="R36990" s="36" t="s">
        <v>48</v>
      </c>
    </row>
    <row r="36991">
      <c r="H36991" s="50"/>
      <c r="I36991" s="50"/>
      <c r="O36991" s="36" t="s">
        <v>48</v>
      </c>
      <c r="R36991" s="36" t="s">
        <v>48</v>
      </c>
    </row>
    <row r="36992">
      <c r="H36992" s="50"/>
      <c r="I36992" s="50"/>
      <c r="O36992" s="36" t="s">
        <v>48</v>
      </c>
      <c r="R36992" s="36" t="s">
        <v>48</v>
      </c>
    </row>
    <row r="36993">
      <c r="H36993" s="50"/>
      <c r="I36993" s="50"/>
      <c r="O36993" s="36" t="s">
        <v>48</v>
      </c>
      <c r="R36993" s="36" t="s">
        <v>48</v>
      </c>
    </row>
    <row r="36994">
      <c r="H36994" s="50"/>
      <c r="I36994" s="50"/>
      <c r="O36994" s="36" t="s">
        <v>48</v>
      </c>
      <c r="R36994" s="36" t="s">
        <v>48</v>
      </c>
    </row>
    <row r="36995">
      <c r="H36995" s="50"/>
      <c r="I36995" s="50"/>
      <c r="O36995" s="36" t="s">
        <v>48</v>
      </c>
      <c r="R36995" s="36" t="s">
        <v>48</v>
      </c>
    </row>
    <row r="36996">
      <c r="H36996" s="50"/>
      <c r="I36996" s="50"/>
      <c r="O36996" s="36" t="s">
        <v>48</v>
      </c>
      <c r="R36996" s="36" t="s">
        <v>48</v>
      </c>
    </row>
    <row r="36997">
      <c r="H36997" s="50"/>
      <c r="I36997" s="50"/>
      <c r="O36997" s="36" t="s">
        <v>48</v>
      </c>
      <c r="R36997" s="36" t="s">
        <v>48</v>
      </c>
    </row>
    <row r="36998">
      <c r="H36998" s="50"/>
      <c r="I36998" s="50"/>
      <c r="O36998" s="36" t="s">
        <v>48</v>
      </c>
      <c r="R36998" s="36" t="s">
        <v>48</v>
      </c>
    </row>
    <row r="36999">
      <c r="H36999" s="50"/>
      <c r="I36999" s="50"/>
      <c r="O36999" s="36" t="s">
        <v>48</v>
      </c>
      <c r="R36999" s="36" t="s">
        <v>48</v>
      </c>
    </row>
    <row r="37000">
      <c r="H37000" s="50"/>
      <c r="I37000" s="50"/>
      <c r="O37000" s="36" t="s">
        <v>48</v>
      </c>
      <c r="R37000" s="36" t="s">
        <v>48</v>
      </c>
    </row>
    <row r="37001">
      <c r="H37001" s="50"/>
      <c r="I37001" s="50"/>
      <c r="O37001" s="36" t="s">
        <v>48</v>
      </c>
      <c r="R37001" s="36" t="s">
        <v>48</v>
      </c>
    </row>
    <row r="37002">
      <c r="H37002" s="50"/>
      <c r="I37002" s="50"/>
      <c r="O37002" s="36" t="s">
        <v>48</v>
      </c>
      <c r="R37002" s="36" t="s">
        <v>48</v>
      </c>
    </row>
    <row r="37003">
      <c r="H37003" s="50"/>
      <c r="I37003" s="50"/>
      <c r="O37003" s="36" t="s">
        <v>48</v>
      </c>
      <c r="R37003" s="36" t="s">
        <v>48</v>
      </c>
    </row>
    <row r="37004">
      <c r="H37004" s="50"/>
      <c r="I37004" s="50"/>
      <c r="O37004" s="36" t="s">
        <v>48</v>
      </c>
      <c r="R37004" s="36" t="s">
        <v>48</v>
      </c>
    </row>
    <row r="37005">
      <c r="H37005" s="50"/>
      <c r="I37005" s="50"/>
      <c r="O37005" s="36" t="s">
        <v>48</v>
      </c>
      <c r="R37005" s="36" t="s">
        <v>48</v>
      </c>
    </row>
    <row r="37006">
      <c r="H37006" s="50"/>
      <c r="I37006" s="50"/>
      <c r="O37006" s="36" t="s">
        <v>48</v>
      </c>
      <c r="R37006" s="36" t="s">
        <v>48</v>
      </c>
    </row>
    <row r="37007">
      <c r="H37007" s="50"/>
      <c r="I37007" s="50"/>
      <c r="O37007" s="36" t="s">
        <v>48</v>
      </c>
      <c r="R37007" s="36" t="s">
        <v>48</v>
      </c>
    </row>
    <row r="37008">
      <c r="H37008" s="50"/>
      <c r="I37008" s="50"/>
      <c r="O37008" s="36" t="s">
        <v>48</v>
      </c>
      <c r="R37008" s="36" t="s">
        <v>48</v>
      </c>
    </row>
    <row r="37009">
      <c r="H37009" s="50"/>
      <c r="I37009" s="50"/>
      <c r="O37009" s="36" t="s">
        <v>48</v>
      </c>
      <c r="R37009" s="36" t="s">
        <v>48</v>
      </c>
    </row>
    <row r="37010">
      <c r="H37010" s="50"/>
      <c r="I37010" s="50"/>
      <c r="O37010" s="36" t="s">
        <v>48</v>
      </c>
      <c r="R37010" s="36" t="s">
        <v>48</v>
      </c>
    </row>
    <row r="37011">
      <c r="H37011" s="50"/>
      <c r="I37011" s="50"/>
      <c r="O37011" s="36" t="s">
        <v>48</v>
      </c>
      <c r="R37011" s="36" t="s">
        <v>48</v>
      </c>
    </row>
    <row r="37012">
      <c r="H37012" s="50"/>
      <c r="I37012" s="50"/>
      <c r="O37012" s="36" t="s">
        <v>48</v>
      </c>
      <c r="R37012" s="36" t="s">
        <v>48</v>
      </c>
    </row>
    <row r="37013">
      <c r="H37013" s="50"/>
      <c r="I37013" s="50"/>
      <c r="O37013" s="36" t="s">
        <v>48</v>
      </c>
      <c r="R37013" s="36" t="s">
        <v>48</v>
      </c>
    </row>
    <row r="37014">
      <c r="H37014" s="50"/>
      <c r="I37014" s="50"/>
      <c r="O37014" s="36" t="s">
        <v>48</v>
      </c>
      <c r="R37014" s="36" t="s">
        <v>48</v>
      </c>
    </row>
    <row r="37015">
      <c r="H37015" s="50"/>
      <c r="I37015" s="50"/>
      <c r="O37015" s="36" t="s">
        <v>48</v>
      </c>
      <c r="R37015" s="36" t="s">
        <v>48</v>
      </c>
    </row>
    <row r="37016">
      <c r="H37016" s="50"/>
      <c r="I37016" s="50"/>
      <c r="O37016" s="36" t="s">
        <v>48</v>
      </c>
      <c r="R37016" s="36" t="s">
        <v>48</v>
      </c>
    </row>
    <row r="37017">
      <c r="H37017" s="50"/>
      <c r="I37017" s="50"/>
      <c r="O37017" s="36" t="s">
        <v>48</v>
      </c>
      <c r="R37017" s="36" t="s">
        <v>48</v>
      </c>
    </row>
    <row r="37018">
      <c r="H37018" s="50"/>
      <c r="I37018" s="50"/>
      <c r="O37018" s="36" t="s">
        <v>48</v>
      </c>
      <c r="R37018" s="36" t="s">
        <v>48</v>
      </c>
    </row>
    <row r="37019">
      <c r="H37019" s="50"/>
      <c r="I37019" s="50"/>
      <c r="O37019" s="36" t="s">
        <v>48</v>
      </c>
      <c r="R37019" s="36" t="s">
        <v>48</v>
      </c>
    </row>
    <row r="37020">
      <c r="H37020" s="50"/>
      <c r="I37020" s="50"/>
      <c r="O37020" s="36" t="s">
        <v>48</v>
      </c>
      <c r="R37020" s="36" t="s">
        <v>48</v>
      </c>
    </row>
    <row r="37021">
      <c r="H37021" s="50"/>
      <c r="I37021" s="50"/>
      <c r="O37021" s="36" t="s">
        <v>48</v>
      </c>
      <c r="R37021" s="36" t="s">
        <v>48</v>
      </c>
    </row>
    <row r="37022">
      <c r="H37022" s="50"/>
      <c r="I37022" s="50"/>
      <c r="O37022" s="36" t="s">
        <v>48</v>
      </c>
      <c r="R37022" s="36" t="s">
        <v>48</v>
      </c>
    </row>
    <row r="37023">
      <c r="H37023" s="50"/>
      <c r="I37023" s="50"/>
      <c r="O37023" s="36" t="s">
        <v>48</v>
      </c>
      <c r="R37023" s="36" t="s">
        <v>48</v>
      </c>
    </row>
    <row r="37024">
      <c r="H37024" s="50"/>
      <c r="I37024" s="50"/>
      <c r="O37024" s="36" t="s">
        <v>48</v>
      </c>
      <c r="R37024" s="36" t="s">
        <v>48</v>
      </c>
    </row>
    <row r="37025">
      <c r="H37025" s="50"/>
      <c r="I37025" s="50"/>
      <c r="O37025" s="36" t="s">
        <v>48</v>
      </c>
      <c r="R37025" s="36" t="s">
        <v>48</v>
      </c>
    </row>
    <row r="37026">
      <c r="H37026" s="50"/>
      <c r="I37026" s="50"/>
      <c r="O37026" s="36" t="s">
        <v>48</v>
      </c>
      <c r="R37026" s="36" t="s">
        <v>48</v>
      </c>
    </row>
    <row r="37027">
      <c r="H37027" s="50"/>
      <c r="I37027" s="50"/>
      <c r="O37027" s="36" t="s">
        <v>48</v>
      </c>
      <c r="R37027" s="36" t="s">
        <v>48</v>
      </c>
    </row>
    <row r="37028">
      <c r="H37028" s="50"/>
      <c r="I37028" s="50"/>
      <c r="O37028" s="36" t="s">
        <v>48</v>
      </c>
      <c r="R37028" s="36" t="s">
        <v>48</v>
      </c>
    </row>
    <row r="37029">
      <c r="H37029" s="50"/>
      <c r="I37029" s="50"/>
      <c r="O37029" s="36" t="s">
        <v>48</v>
      </c>
      <c r="R37029" s="36" t="s">
        <v>48</v>
      </c>
    </row>
    <row r="37030">
      <c r="H37030" s="50"/>
      <c r="I37030" s="50"/>
      <c r="O37030" s="36" t="s">
        <v>48</v>
      </c>
      <c r="R37030" s="36" t="s">
        <v>48</v>
      </c>
    </row>
    <row r="37031">
      <c r="H37031" s="50"/>
      <c r="I37031" s="50"/>
      <c r="O37031" s="36" t="s">
        <v>48</v>
      </c>
      <c r="R37031" s="36" t="s">
        <v>48</v>
      </c>
    </row>
    <row r="37032">
      <c r="H37032" s="50"/>
      <c r="I37032" s="50"/>
      <c r="O37032" s="36" t="s">
        <v>48</v>
      </c>
      <c r="R37032" s="36" t="s">
        <v>48</v>
      </c>
    </row>
    <row r="37033">
      <c r="H37033" s="50"/>
      <c r="I37033" s="50"/>
      <c r="O37033" s="36" t="s">
        <v>48</v>
      </c>
      <c r="R37033" s="36" t="s">
        <v>48</v>
      </c>
    </row>
    <row r="37034">
      <c r="H37034" s="50"/>
      <c r="I37034" s="50"/>
      <c r="O37034" s="36" t="s">
        <v>48</v>
      </c>
      <c r="R37034" s="36" t="s">
        <v>48</v>
      </c>
    </row>
    <row r="37035">
      <c r="H37035" s="50"/>
      <c r="I37035" s="50"/>
      <c r="O37035" s="36" t="s">
        <v>48</v>
      </c>
      <c r="R37035" s="36" t="s">
        <v>48</v>
      </c>
    </row>
    <row r="37036">
      <c r="H37036" s="50"/>
      <c r="I37036" s="50"/>
      <c r="O37036" s="36" t="s">
        <v>48</v>
      </c>
      <c r="R37036" s="36" t="s">
        <v>48</v>
      </c>
    </row>
    <row r="37037">
      <c r="H37037" s="50"/>
      <c r="I37037" s="50"/>
      <c r="O37037" s="36" t="s">
        <v>48</v>
      </c>
      <c r="R37037" s="36" t="s">
        <v>48</v>
      </c>
    </row>
    <row r="37038">
      <c r="H37038" s="50"/>
      <c r="I37038" s="50"/>
      <c r="O37038" s="36" t="s">
        <v>48</v>
      </c>
      <c r="R37038" s="36" t="s">
        <v>48</v>
      </c>
    </row>
    <row r="37039">
      <c r="H37039" s="50"/>
      <c r="I37039" s="50"/>
      <c r="O37039" s="36" t="s">
        <v>48</v>
      </c>
      <c r="R37039" s="36" t="s">
        <v>48</v>
      </c>
    </row>
    <row r="37040">
      <c r="H37040" s="50"/>
      <c r="I37040" s="50"/>
      <c r="O37040" s="36" t="s">
        <v>48</v>
      </c>
      <c r="R37040" s="36" t="s">
        <v>48</v>
      </c>
    </row>
    <row r="37041">
      <c r="H37041" s="50"/>
      <c r="I37041" s="50"/>
      <c r="O37041" s="36" t="s">
        <v>48</v>
      </c>
      <c r="R37041" s="36" t="s">
        <v>48</v>
      </c>
    </row>
    <row r="37042">
      <c r="H37042" s="50"/>
      <c r="I37042" s="50"/>
      <c r="O37042" s="36" t="s">
        <v>48</v>
      </c>
      <c r="R37042" s="36" t="s">
        <v>48</v>
      </c>
    </row>
    <row r="37043">
      <c r="H37043" s="50"/>
      <c r="I37043" s="50"/>
      <c r="O37043" s="36" t="s">
        <v>48</v>
      </c>
      <c r="R37043" s="36" t="s">
        <v>48</v>
      </c>
    </row>
    <row r="37044">
      <c r="H37044" s="50"/>
      <c r="I37044" s="50"/>
      <c r="O37044" s="36" t="s">
        <v>48</v>
      </c>
      <c r="R37044" s="36" t="s">
        <v>48</v>
      </c>
    </row>
    <row r="37045">
      <c r="H37045" s="50"/>
      <c r="I37045" s="50"/>
      <c r="O37045" s="36" t="s">
        <v>48</v>
      </c>
      <c r="R37045" s="36" t="s">
        <v>48</v>
      </c>
    </row>
    <row r="37046">
      <c r="H37046" s="50"/>
      <c r="I37046" s="50"/>
      <c r="O37046" s="36" t="s">
        <v>48</v>
      </c>
      <c r="R37046" s="36" t="s">
        <v>48</v>
      </c>
    </row>
    <row r="37047">
      <c r="H37047" s="50"/>
      <c r="I37047" s="50"/>
      <c r="O37047" s="36" t="s">
        <v>48</v>
      </c>
      <c r="R37047" s="36" t="s">
        <v>48</v>
      </c>
    </row>
    <row r="37048">
      <c r="H37048" s="50"/>
      <c r="I37048" s="50"/>
      <c r="O37048" s="36" t="s">
        <v>48</v>
      </c>
      <c r="R37048" s="36" t="s">
        <v>48</v>
      </c>
    </row>
    <row r="37049">
      <c r="H37049" s="50"/>
      <c r="I37049" s="50"/>
      <c r="O37049" s="36" t="s">
        <v>48</v>
      </c>
      <c r="R37049" s="36" t="s">
        <v>48</v>
      </c>
    </row>
    <row r="37050">
      <c r="H37050" s="50"/>
      <c r="I37050" s="50"/>
      <c r="O37050" s="36" t="s">
        <v>48</v>
      </c>
      <c r="R37050" s="36" t="s">
        <v>48</v>
      </c>
    </row>
    <row r="37051">
      <c r="H37051" s="50"/>
      <c r="I37051" s="50"/>
      <c r="O37051" s="36" t="s">
        <v>48</v>
      </c>
      <c r="R37051" s="36" t="s">
        <v>48</v>
      </c>
    </row>
    <row r="37052">
      <c r="H37052" s="50"/>
      <c r="I37052" s="50"/>
      <c r="O37052" s="36" t="s">
        <v>48</v>
      </c>
      <c r="R37052" s="36" t="s">
        <v>48</v>
      </c>
    </row>
    <row r="37053">
      <c r="H37053" s="50"/>
      <c r="I37053" s="50"/>
      <c r="O37053" s="36" t="s">
        <v>48</v>
      </c>
      <c r="R37053" s="36" t="s">
        <v>48</v>
      </c>
    </row>
    <row r="37054">
      <c r="H37054" s="50"/>
      <c r="I37054" s="50"/>
      <c r="O37054" s="36" t="s">
        <v>48</v>
      </c>
      <c r="R37054" s="36" t="s">
        <v>48</v>
      </c>
    </row>
    <row r="37055">
      <c r="H37055" s="50"/>
      <c r="I37055" s="50"/>
      <c r="O37055" s="36" t="s">
        <v>48</v>
      </c>
      <c r="R37055" s="36" t="s">
        <v>48</v>
      </c>
    </row>
    <row r="37056">
      <c r="H37056" s="50"/>
      <c r="I37056" s="50"/>
      <c r="O37056" s="36" t="s">
        <v>48</v>
      </c>
      <c r="R37056" s="36" t="s">
        <v>48</v>
      </c>
    </row>
    <row r="37057">
      <c r="H37057" s="50"/>
      <c r="I37057" s="50"/>
      <c r="O37057" s="36" t="s">
        <v>48</v>
      </c>
      <c r="R37057" s="36" t="s">
        <v>48</v>
      </c>
    </row>
    <row r="37058">
      <c r="H37058" s="50"/>
      <c r="I37058" s="50"/>
      <c r="O37058" s="36" t="s">
        <v>48</v>
      </c>
      <c r="R37058" s="36" t="s">
        <v>48</v>
      </c>
    </row>
    <row r="37059">
      <c r="H37059" s="50"/>
      <c r="I37059" s="50"/>
      <c r="O37059" s="36" t="s">
        <v>48</v>
      </c>
      <c r="R37059" s="36" t="s">
        <v>48</v>
      </c>
    </row>
    <row r="37060">
      <c r="H37060" s="50"/>
      <c r="I37060" s="50"/>
      <c r="O37060" s="36" t="s">
        <v>48</v>
      </c>
      <c r="R37060" s="36" t="s">
        <v>48</v>
      </c>
    </row>
    <row r="37061">
      <c r="H37061" s="50"/>
      <c r="I37061" s="50"/>
      <c r="O37061" s="36" t="s">
        <v>48</v>
      </c>
      <c r="R37061" s="36" t="s">
        <v>48</v>
      </c>
    </row>
    <row r="37062">
      <c r="H37062" s="50"/>
      <c r="I37062" s="50"/>
      <c r="O37062" s="36" t="s">
        <v>48</v>
      </c>
      <c r="R37062" s="36" t="s">
        <v>48</v>
      </c>
    </row>
    <row r="37063">
      <c r="H37063" s="50"/>
      <c r="I37063" s="50"/>
      <c r="O37063" s="36" t="s">
        <v>48</v>
      </c>
      <c r="R37063" s="36" t="s">
        <v>48</v>
      </c>
    </row>
    <row r="37064">
      <c r="H37064" s="50"/>
      <c r="I37064" s="50"/>
      <c r="O37064" s="36" t="s">
        <v>48</v>
      </c>
      <c r="R37064" s="36" t="s">
        <v>48</v>
      </c>
    </row>
    <row r="37065">
      <c r="H37065" s="50"/>
      <c r="I37065" s="50"/>
      <c r="O37065" s="36" t="s">
        <v>48</v>
      </c>
      <c r="R37065" s="36" t="s">
        <v>48</v>
      </c>
    </row>
    <row r="37066">
      <c r="H37066" s="50"/>
      <c r="I37066" s="50"/>
      <c r="O37066" s="36" t="s">
        <v>48</v>
      </c>
      <c r="R37066" s="36" t="s">
        <v>48</v>
      </c>
    </row>
    <row r="37067">
      <c r="H37067" s="50"/>
      <c r="I37067" s="50"/>
      <c r="O37067" s="36" t="s">
        <v>48</v>
      </c>
      <c r="R37067" s="36" t="s">
        <v>48</v>
      </c>
    </row>
    <row r="37068">
      <c r="H37068" s="50"/>
      <c r="I37068" s="50"/>
      <c r="O37068" s="36" t="s">
        <v>48</v>
      </c>
      <c r="R37068" s="36" t="s">
        <v>48</v>
      </c>
    </row>
    <row r="37069">
      <c r="H37069" s="50"/>
      <c r="I37069" s="50"/>
      <c r="O37069" s="36" t="s">
        <v>48</v>
      </c>
      <c r="R37069" s="36" t="s">
        <v>48</v>
      </c>
    </row>
    <row r="37070">
      <c r="H37070" s="50"/>
      <c r="I37070" s="50"/>
      <c r="O37070" s="36" t="s">
        <v>48</v>
      </c>
      <c r="R37070" s="36" t="s">
        <v>48</v>
      </c>
    </row>
    <row r="37071">
      <c r="H37071" s="50"/>
      <c r="I37071" s="50"/>
      <c r="O37071" s="36" t="s">
        <v>48</v>
      </c>
      <c r="R37071" s="36" t="s">
        <v>48</v>
      </c>
    </row>
    <row r="37072">
      <c r="H37072" s="50"/>
      <c r="I37072" s="50"/>
      <c r="O37072" s="36" t="s">
        <v>48</v>
      </c>
      <c r="R37072" s="36" t="s">
        <v>48</v>
      </c>
    </row>
    <row r="37073">
      <c r="H37073" s="50"/>
      <c r="I37073" s="50"/>
      <c r="O37073" s="36" t="s">
        <v>48</v>
      </c>
      <c r="R37073" s="36" t="s">
        <v>48</v>
      </c>
    </row>
    <row r="37074">
      <c r="H37074" s="50"/>
      <c r="I37074" s="50"/>
      <c r="O37074" s="36" t="s">
        <v>48</v>
      </c>
      <c r="R37074" s="36" t="s">
        <v>48</v>
      </c>
    </row>
    <row r="37075">
      <c r="H37075" s="50"/>
      <c r="I37075" s="50"/>
      <c r="O37075" s="36" t="s">
        <v>48</v>
      </c>
      <c r="R37075" s="36" t="s">
        <v>48</v>
      </c>
    </row>
    <row r="37076">
      <c r="H37076" s="50"/>
      <c r="I37076" s="50"/>
      <c r="O37076" s="36" t="s">
        <v>48</v>
      </c>
      <c r="R37076" s="36" t="s">
        <v>48</v>
      </c>
    </row>
    <row r="37077">
      <c r="H37077" s="50"/>
      <c r="I37077" s="50"/>
      <c r="O37077" s="36" t="s">
        <v>48</v>
      </c>
      <c r="R37077" s="36" t="s">
        <v>48</v>
      </c>
    </row>
    <row r="37078">
      <c r="H37078" s="50"/>
      <c r="I37078" s="50"/>
      <c r="O37078" s="36" t="s">
        <v>48</v>
      </c>
      <c r="R37078" s="36" t="s">
        <v>48</v>
      </c>
    </row>
    <row r="37079">
      <c r="H37079" s="50"/>
      <c r="I37079" s="50"/>
      <c r="O37079" s="36" t="s">
        <v>48</v>
      </c>
      <c r="R37079" s="36" t="s">
        <v>48</v>
      </c>
    </row>
    <row r="37080">
      <c r="H37080" s="50"/>
      <c r="I37080" s="50"/>
      <c r="O37080" s="36" t="s">
        <v>48</v>
      </c>
      <c r="R37080" s="36" t="s">
        <v>48</v>
      </c>
    </row>
    <row r="37081">
      <c r="H37081" s="50"/>
      <c r="I37081" s="50"/>
      <c r="O37081" s="36" t="s">
        <v>48</v>
      </c>
      <c r="R37081" s="36" t="s">
        <v>48</v>
      </c>
    </row>
    <row r="37082">
      <c r="H37082" s="50"/>
      <c r="I37082" s="50"/>
      <c r="O37082" s="36" t="s">
        <v>48</v>
      </c>
      <c r="R37082" s="36" t="s">
        <v>48</v>
      </c>
    </row>
    <row r="37083">
      <c r="H37083" s="50"/>
      <c r="I37083" s="50"/>
      <c r="O37083" s="36" t="s">
        <v>48</v>
      </c>
      <c r="R37083" s="36" t="s">
        <v>48</v>
      </c>
    </row>
    <row r="37084">
      <c r="H37084" s="50"/>
      <c r="I37084" s="50"/>
      <c r="O37084" s="36" t="s">
        <v>48</v>
      </c>
      <c r="R37084" s="36" t="s">
        <v>48</v>
      </c>
    </row>
    <row r="37085">
      <c r="H37085" s="50"/>
      <c r="I37085" s="50"/>
      <c r="O37085" s="36" t="s">
        <v>48</v>
      </c>
      <c r="R37085" s="36" t="s">
        <v>48</v>
      </c>
    </row>
    <row r="37086">
      <c r="H37086" s="50"/>
      <c r="I37086" s="50"/>
      <c r="O37086" s="36" t="s">
        <v>48</v>
      </c>
      <c r="R37086" s="36" t="s">
        <v>48</v>
      </c>
    </row>
    <row r="37087">
      <c r="H37087" s="50"/>
      <c r="I37087" s="50"/>
      <c r="O37087" s="36" t="s">
        <v>48</v>
      </c>
      <c r="R37087" s="36" t="s">
        <v>48</v>
      </c>
    </row>
    <row r="37088">
      <c r="H37088" s="50"/>
      <c r="I37088" s="50"/>
      <c r="O37088" s="36" t="s">
        <v>48</v>
      </c>
      <c r="R37088" s="36" t="s">
        <v>48</v>
      </c>
    </row>
    <row r="37089">
      <c r="H37089" s="50"/>
      <c r="I37089" s="50"/>
      <c r="O37089" s="36" t="s">
        <v>48</v>
      </c>
      <c r="R37089" s="36" t="s">
        <v>48</v>
      </c>
    </row>
    <row r="37090">
      <c r="H37090" s="50"/>
      <c r="I37090" s="50"/>
      <c r="O37090" s="36" t="s">
        <v>48</v>
      </c>
      <c r="R37090" s="36" t="s">
        <v>48</v>
      </c>
    </row>
    <row r="37091">
      <c r="H37091" s="50"/>
      <c r="I37091" s="50"/>
      <c r="O37091" s="36" t="s">
        <v>48</v>
      </c>
      <c r="R37091" s="36" t="s">
        <v>48</v>
      </c>
    </row>
    <row r="37092">
      <c r="H37092" s="50"/>
      <c r="I37092" s="50"/>
      <c r="O37092" s="36" t="s">
        <v>48</v>
      </c>
      <c r="R37092" s="36" t="s">
        <v>48</v>
      </c>
    </row>
    <row r="37093">
      <c r="H37093" s="50"/>
      <c r="I37093" s="50"/>
      <c r="O37093" s="36" t="s">
        <v>48</v>
      </c>
      <c r="R37093" s="36" t="s">
        <v>48</v>
      </c>
    </row>
    <row r="37094">
      <c r="H37094" s="50"/>
      <c r="I37094" s="50"/>
      <c r="O37094" s="36" t="s">
        <v>48</v>
      </c>
      <c r="R37094" s="36" t="s">
        <v>48</v>
      </c>
    </row>
    <row r="37095">
      <c r="H37095" s="50"/>
      <c r="I37095" s="50"/>
      <c r="O37095" s="36" t="s">
        <v>48</v>
      </c>
      <c r="R37095" s="36" t="s">
        <v>48</v>
      </c>
    </row>
    <row r="37096">
      <c r="H37096" s="50"/>
      <c r="I37096" s="50"/>
      <c r="O37096" s="36" t="s">
        <v>48</v>
      </c>
      <c r="R37096" s="36" t="s">
        <v>48</v>
      </c>
    </row>
    <row r="37097">
      <c r="H37097" s="50"/>
      <c r="I37097" s="50"/>
      <c r="O37097" s="36" t="s">
        <v>48</v>
      </c>
      <c r="R37097" s="36" t="s">
        <v>48</v>
      </c>
    </row>
    <row r="37098">
      <c r="H37098" s="50"/>
      <c r="I37098" s="50"/>
      <c r="O37098" s="36" t="s">
        <v>48</v>
      </c>
      <c r="R37098" s="36" t="s">
        <v>48</v>
      </c>
    </row>
    <row r="37099">
      <c r="H37099" s="50"/>
      <c r="I37099" s="50"/>
      <c r="O37099" s="36" t="s">
        <v>48</v>
      </c>
      <c r="R37099" s="36" t="s">
        <v>48</v>
      </c>
    </row>
    <row r="37100">
      <c r="H37100" s="50"/>
      <c r="I37100" s="50"/>
      <c r="O37100" s="36" t="s">
        <v>48</v>
      </c>
      <c r="R37100" s="36" t="s">
        <v>48</v>
      </c>
    </row>
    <row r="37101">
      <c r="H37101" s="50"/>
      <c r="I37101" s="50"/>
      <c r="O37101" s="36" t="s">
        <v>48</v>
      </c>
      <c r="R37101" s="36" t="s">
        <v>48</v>
      </c>
    </row>
    <row r="37102">
      <c r="H37102" s="50"/>
      <c r="I37102" s="50"/>
      <c r="O37102" s="36" t="s">
        <v>48</v>
      </c>
      <c r="R37102" s="36" t="s">
        <v>48</v>
      </c>
    </row>
    <row r="37103">
      <c r="H37103" s="50"/>
      <c r="I37103" s="50"/>
      <c r="O37103" s="36" t="s">
        <v>48</v>
      </c>
      <c r="R37103" s="36" t="s">
        <v>48</v>
      </c>
    </row>
    <row r="37104">
      <c r="H37104" s="50"/>
      <c r="I37104" s="50"/>
      <c r="O37104" s="36" t="s">
        <v>48</v>
      </c>
      <c r="R37104" s="36" t="s">
        <v>48</v>
      </c>
    </row>
    <row r="37105">
      <c r="H37105" s="50"/>
      <c r="I37105" s="50"/>
      <c r="O37105" s="36" t="s">
        <v>48</v>
      </c>
      <c r="R37105" s="36" t="s">
        <v>48</v>
      </c>
    </row>
    <row r="37106">
      <c r="H37106" s="50"/>
      <c r="I37106" s="50"/>
      <c r="O37106" s="36" t="s">
        <v>48</v>
      </c>
      <c r="R37106" s="36" t="s">
        <v>48</v>
      </c>
    </row>
    <row r="37107">
      <c r="H37107" s="50"/>
      <c r="I37107" s="50"/>
      <c r="O37107" s="36" t="s">
        <v>48</v>
      </c>
      <c r="R37107" s="36" t="s">
        <v>48</v>
      </c>
    </row>
    <row r="37108">
      <c r="H37108" s="50"/>
      <c r="I37108" s="50"/>
      <c r="O37108" s="36" t="s">
        <v>48</v>
      </c>
      <c r="R37108" s="36" t="s">
        <v>48</v>
      </c>
    </row>
    <row r="37109">
      <c r="H37109" s="50"/>
      <c r="I37109" s="50"/>
      <c r="O37109" s="36" t="s">
        <v>48</v>
      </c>
      <c r="R37109" s="36" t="s">
        <v>48</v>
      </c>
    </row>
    <row r="37110">
      <c r="H37110" s="50"/>
      <c r="I37110" s="50"/>
      <c r="O37110" s="36" t="s">
        <v>48</v>
      </c>
      <c r="R37110" s="36" t="s">
        <v>48</v>
      </c>
    </row>
    <row r="37111">
      <c r="H37111" s="50"/>
      <c r="I37111" s="50"/>
      <c r="O37111" s="36" t="s">
        <v>48</v>
      </c>
      <c r="R37111" s="36" t="s">
        <v>48</v>
      </c>
    </row>
    <row r="37112">
      <c r="H37112" s="50"/>
      <c r="I37112" s="50"/>
      <c r="O37112" s="36" t="s">
        <v>48</v>
      </c>
      <c r="R37112" s="36" t="s">
        <v>48</v>
      </c>
    </row>
    <row r="37113">
      <c r="H37113" s="50"/>
      <c r="I37113" s="50"/>
      <c r="O37113" s="36" t="s">
        <v>48</v>
      </c>
      <c r="R37113" s="36" t="s">
        <v>48</v>
      </c>
    </row>
    <row r="37114">
      <c r="H37114" s="50"/>
      <c r="I37114" s="50"/>
      <c r="O37114" s="36" t="s">
        <v>48</v>
      </c>
      <c r="R37114" s="36" t="s">
        <v>48</v>
      </c>
    </row>
    <row r="37115">
      <c r="H37115" s="50"/>
      <c r="I37115" s="50"/>
      <c r="O37115" s="36" t="s">
        <v>48</v>
      </c>
      <c r="R37115" s="36" t="s">
        <v>48</v>
      </c>
    </row>
    <row r="37116">
      <c r="H37116" s="50"/>
      <c r="I37116" s="50"/>
      <c r="O37116" s="36" t="s">
        <v>48</v>
      </c>
      <c r="R37116" s="36" t="s">
        <v>48</v>
      </c>
    </row>
    <row r="37117">
      <c r="H37117" s="50"/>
      <c r="I37117" s="50"/>
      <c r="O37117" s="36" t="s">
        <v>48</v>
      </c>
      <c r="R37117" s="36" t="s">
        <v>48</v>
      </c>
    </row>
    <row r="37118">
      <c r="H37118" s="50"/>
      <c r="I37118" s="50"/>
      <c r="O37118" s="36" t="s">
        <v>48</v>
      </c>
      <c r="R37118" s="36" t="s">
        <v>48</v>
      </c>
    </row>
    <row r="37119">
      <c r="H37119" s="50"/>
      <c r="I37119" s="50"/>
      <c r="O37119" s="36" t="s">
        <v>48</v>
      </c>
      <c r="R37119" s="36" t="s">
        <v>48</v>
      </c>
    </row>
    <row r="37120">
      <c r="H37120" s="50"/>
      <c r="I37120" s="50"/>
      <c r="O37120" s="36" t="s">
        <v>48</v>
      </c>
      <c r="R37120" s="36" t="s">
        <v>48</v>
      </c>
    </row>
    <row r="37121">
      <c r="H37121" s="50"/>
      <c r="I37121" s="50"/>
      <c r="O37121" s="36" t="s">
        <v>48</v>
      </c>
      <c r="R37121" s="36" t="s">
        <v>48</v>
      </c>
    </row>
    <row r="37122">
      <c r="H37122" s="50"/>
      <c r="I37122" s="50"/>
      <c r="O37122" s="36" t="s">
        <v>48</v>
      </c>
      <c r="R37122" s="36" t="s">
        <v>48</v>
      </c>
    </row>
    <row r="37123">
      <c r="H37123" s="50"/>
      <c r="I37123" s="50"/>
      <c r="O37123" s="36" t="s">
        <v>48</v>
      </c>
      <c r="R37123" s="36" t="s">
        <v>48</v>
      </c>
    </row>
    <row r="37124">
      <c r="H37124" s="50"/>
      <c r="I37124" s="50"/>
      <c r="O37124" s="36" t="s">
        <v>48</v>
      </c>
      <c r="R37124" s="36" t="s">
        <v>48</v>
      </c>
    </row>
    <row r="37125">
      <c r="H37125" s="50"/>
      <c r="I37125" s="50"/>
      <c r="O37125" s="36" t="s">
        <v>48</v>
      </c>
      <c r="R37125" s="36" t="s">
        <v>48</v>
      </c>
    </row>
    <row r="37126">
      <c r="H37126" s="50"/>
      <c r="I37126" s="50"/>
      <c r="O37126" s="36" t="s">
        <v>48</v>
      </c>
      <c r="R37126" s="36" t="s">
        <v>48</v>
      </c>
    </row>
    <row r="37127">
      <c r="H37127" s="50"/>
      <c r="I37127" s="50"/>
      <c r="O37127" s="36" t="s">
        <v>48</v>
      </c>
      <c r="R37127" s="36" t="s">
        <v>48</v>
      </c>
    </row>
    <row r="37128">
      <c r="H37128" s="50"/>
      <c r="I37128" s="50"/>
      <c r="O37128" s="36" t="s">
        <v>48</v>
      </c>
      <c r="R37128" s="36" t="s">
        <v>48</v>
      </c>
    </row>
    <row r="37129">
      <c r="H37129" s="50"/>
      <c r="I37129" s="50"/>
      <c r="O37129" s="36" t="s">
        <v>48</v>
      </c>
      <c r="R37129" s="36" t="s">
        <v>48</v>
      </c>
    </row>
    <row r="37130">
      <c r="H37130" s="50"/>
      <c r="I37130" s="50"/>
      <c r="O37130" s="36" t="s">
        <v>48</v>
      </c>
      <c r="R37130" s="36" t="s">
        <v>48</v>
      </c>
    </row>
    <row r="37131">
      <c r="H37131" s="50"/>
      <c r="I37131" s="50"/>
      <c r="O37131" s="36" t="s">
        <v>48</v>
      </c>
      <c r="R37131" s="36" t="s">
        <v>48</v>
      </c>
    </row>
    <row r="37132">
      <c r="H37132" s="50"/>
      <c r="I37132" s="50"/>
      <c r="O37132" s="36" t="s">
        <v>48</v>
      </c>
      <c r="R37132" s="36" t="s">
        <v>48</v>
      </c>
    </row>
    <row r="37133">
      <c r="H37133" s="50"/>
      <c r="I37133" s="50"/>
      <c r="O37133" s="36" t="s">
        <v>48</v>
      </c>
      <c r="R37133" s="36" t="s">
        <v>48</v>
      </c>
    </row>
    <row r="37134">
      <c r="H37134" s="50"/>
      <c r="I37134" s="50"/>
      <c r="O37134" s="36" t="s">
        <v>48</v>
      </c>
      <c r="R37134" s="36" t="s">
        <v>48</v>
      </c>
    </row>
    <row r="37135">
      <c r="H37135" s="50"/>
      <c r="I37135" s="50"/>
      <c r="O37135" s="36" t="s">
        <v>48</v>
      </c>
      <c r="R37135" s="36" t="s">
        <v>48</v>
      </c>
    </row>
    <row r="37136">
      <c r="H37136" s="50"/>
      <c r="I37136" s="50"/>
      <c r="O37136" s="36" t="s">
        <v>48</v>
      </c>
      <c r="R37136" s="36" t="s">
        <v>48</v>
      </c>
    </row>
    <row r="37137">
      <c r="H37137" s="50"/>
      <c r="I37137" s="50"/>
      <c r="O37137" s="36" t="s">
        <v>48</v>
      </c>
      <c r="R37137" s="36" t="s">
        <v>48</v>
      </c>
    </row>
    <row r="37138">
      <c r="H37138" s="50"/>
      <c r="I37138" s="50"/>
      <c r="O37138" s="36" t="s">
        <v>48</v>
      </c>
      <c r="R37138" s="36" t="s">
        <v>48</v>
      </c>
    </row>
    <row r="37139">
      <c r="H37139" s="50"/>
      <c r="I37139" s="50"/>
      <c r="O37139" s="36" t="s">
        <v>48</v>
      </c>
      <c r="R37139" s="36" t="s">
        <v>48</v>
      </c>
    </row>
    <row r="37140">
      <c r="H37140" s="50"/>
      <c r="I37140" s="50"/>
      <c r="O37140" s="36" t="s">
        <v>48</v>
      </c>
      <c r="R37140" s="36" t="s">
        <v>48</v>
      </c>
    </row>
    <row r="37141">
      <c r="H37141" s="50"/>
      <c r="I37141" s="50"/>
      <c r="O37141" s="36" t="s">
        <v>48</v>
      </c>
      <c r="R37141" s="36" t="s">
        <v>48</v>
      </c>
    </row>
    <row r="37142">
      <c r="H37142" s="50"/>
      <c r="I37142" s="50"/>
      <c r="O37142" s="36" t="s">
        <v>48</v>
      </c>
      <c r="R37142" s="36" t="s">
        <v>48</v>
      </c>
    </row>
    <row r="37143">
      <c r="H37143" s="50"/>
      <c r="I37143" s="50"/>
      <c r="O37143" s="36" t="s">
        <v>48</v>
      </c>
      <c r="R37143" s="36" t="s">
        <v>48</v>
      </c>
    </row>
    <row r="37144">
      <c r="H37144" s="50"/>
      <c r="I37144" s="50"/>
      <c r="O37144" s="36" t="s">
        <v>48</v>
      </c>
      <c r="R37144" s="36" t="s">
        <v>48</v>
      </c>
    </row>
    <row r="37145">
      <c r="H37145" s="50"/>
      <c r="I37145" s="50"/>
      <c r="O37145" s="36" t="s">
        <v>48</v>
      </c>
      <c r="R37145" s="36" t="s">
        <v>48</v>
      </c>
    </row>
    <row r="37146">
      <c r="H37146" s="50"/>
      <c r="I37146" s="50"/>
      <c r="O37146" s="36" t="s">
        <v>48</v>
      </c>
      <c r="R37146" s="36" t="s">
        <v>48</v>
      </c>
    </row>
    <row r="37147">
      <c r="H37147" s="50"/>
      <c r="I37147" s="50"/>
      <c r="O37147" s="36" t="s">
        <v>48</v>
      </c>
      <c r="R37147" s="36" t="s">
        <v>48</v>
      </c>
    </row>
    <row r="37148">
      <c r="H37148" s="50"/>
      <c r="I37148" s="50"/>
      <c r="O37148" s="36" t="s">
        <v>48</v>
      </c>
      <c r="R37148" s="36" t="s">
        <v>48</v>
      </c>
    </row>
    <row r="37149">
      <c r="H37149" s="50"/>
      <c r="I37149" s="50"/>
      <c r="O37149" s="36" t="s">
        <v>48</v>
      </c>
      <c r="R37149" s="36" t="s">
        <v>48</v>
      </c>
    </row>
    <row r="37150">
      <c r="H37150" s="50"/>
      <c r="I37150" s="50"/>
      <c r="O37150" s="36" t="s">
        <v>48</v>
      </c>
      <c r="R37150" s="36" t="s">
        <v>48</v>
      </c>
    </row>
    <row r="37151">
      <c r="H37151" s="50"/>
      <c r="I37151" s="50"/>
      <c r="O37151" s="36" t="s">
        <v>48</v>
      </c>
      <c r="R37151" s="36" t="s">
        <v>48</v>
      </c>
    </row>
    <row r="37152">
      <c r="H37152" s="50"/>
      <c r="I37152" s="50"/>
      <c r="O37152" s="36" t="s">
        <v>48</v>
      </c>
      <c r="R37152" s="36" t="s">
        <v>48</v>
      </c>
    </row>
    <row r="37153">
      <c r="H37153" s="50"/>
      <c r="I37153" s="50"/>
      <c r="O37153" s="36" t="s">
        <v>48</v>
      </c>
      <c r="R37153" s="36" t="s">
        <v>48</v>
      </c>
    </row>
    <row r="37154">
      <c r="H37154" s="50"/>
      <c r="I37154" s="50"/>
      <c r="O37154" s="36" t="s">
        <v>48</v>
      </c>
      <c r="R37154" s="36" t="s">
        <v>48</v>
      </c>
    </row>
    <row r="37155">
      <c r="H37155" s="50"/>
      <c r="I37155" s="50"/>
      <c r="O37155" s="36" t="s">
        <v>48</v>
      </c>
      <c r="R37155" s="36" t="s">
        <v>48</v>
      </c>
    </row>
    <row r="37156">
      <c r="H37156" s="50"/>
      <c r="I37156" s="50"/>
      <c r="O37156" s="36" t="s">
        <v>48</v>
      </c>
      <c r="R37156" s="36" t="s">
        <v>48</v>
      </c>
    </row>
    <row r="37157">
      <c r="H37157" s="50"/>
      <c r="I37157" s="50"/>
      <c r="O37157" s="36" t="s">
        <v>48</v>
      </c>
      <c r="R37157" s="36" t="s">
        <v>48</v>
      </c>
    </row>
    <row r="37158">
      <c r="H37158" s="50"/>
      <c r="I37158" s="50"/>
      <c r="O37158" s="36" t="s">
        <v>48</v>
      </c>
      <c r="R37158" s="36" t="s">
        <v>48</v>
      </c>
    </row>
    <row r="37159">
      <c r="H37159" s="50"/>
      <c r="I37159" s="50"/>
      <c r="O37159" s="36" t="s">
        <v>48</v>
      </c>
      <c r="R37159" s="36" t="s">
        <v>48</v>
      </c>
    </row>
    <row r="37160">
      <c r="H37160" s="50"/>
      <c r="I37160" s="50"/>
      <c r="O37160" s="36" t="s">
        <v>48</v>
      </c>
      <c r="R37160" s="36" t="s">
        <v>48</v>
      </c>
    </row>
    <row r="37161">
      <c r="H37161" s="50"/>
      <c r="I37161" s="50"/>
      <c r="O37161" s="36" t="s">
        <v>48</v>
      </c>
      <c r="R37161" s="36" t="s">
        <v>48</v>
      </c>
    </row>
    <row r="37162">
      <c r="H37162" s="50"/>
      <c r="I37162" s="50"/>
      <c r="O37162" s="36" t="s">
        <v>48</v>
      </c>
      <c r="R37162" s="36" t="s">
        <v>48</v>
      </c>
    </row>
    <row r="37163">
      <c r="H37163" s="50"/>
      <c r="I37163" s="50"/>
      <c r="O37163" s="36" t="s">
        <v>48</v>
      </c>
      <c r="R37163" s="36" t="s">
        <v>48</v>
      </c>
    </row>
    <row r="37164">
      <c r="H37164" s="50"/>
      <c r="I37164" s="50"/>
      <c r="O37164" s="36" t="s">
        <v>48</v>
      </c>
      <c r="R37164" s="36" t="s">
        <v>48</v>
      </c>
    </row>
    <row r="37165">
      <c r="H37165" s="50"/>
      <c r="I37165" s="50"/>
      <c r="O37165" s="36" t="s">
        <v>48</v>
      </c>
      <c r="R37165" s="36" t="s">
        <v>48</v>
      </c>
    </row>
    <row r="37166">
      <c r="H37166" s="50"/>
      <c r="I37166" s="50"/>
      <c r="O37166" s="36" t="s">
        <v>48</v>
      </c>
      <c r="R37166" s="36" t="s">
        <v>48</v>
      </c>
    </row>
    <row r="37167">
      <c r="H37167" s="50"/>
      <c r="I37167" s="50"/>
      <c r="O37167" s="36" t="s">
        <v>48</v>
      </c>
      <c r="R37167" s="36" t="s">
        <v>48</v>
      </c>
    </row>
    <row r="37168">
      <c r="H37168" s="50"/>
      <c r="I37168" s="50"/>
      <c r="O37168" s="36" t="s">
        <v>48</v>
      </c>
      <c r="R37168" s="36" t="s">
        <v>48</v>
      </c>
    </row>
    <row r="37169">
      <c r="H37169" s="50"/>
      <c r="I37169" s="50"/>
      <c r="O37169" s="36" t="s">
        <v>48</v>
      </c>
      <c r="R37169" s="36" t="s">
        <v>48</v>
      </c>
    </row>
    <row r="37170">
      <c r="H37170" s="50"/>
      <c r="I37170" s="50"/>
      <c r="O37170" s="36" t="s">
        <v>48</v>
      </c>
      <c r="R37170" s="36" t="s">
        <v>48</v>
      </c>
    </row>
    <row r="37171">
      <c r="H37171" s="50"/>
      <c r="I37171" s="50"/>
      <c r="O37171" s="36" t="s">
        <v>48</v>
      </c>
      <c r="R37171" s="36" t="s">
        <v>48</v>
      </c>
    </row>
    <row r="37172">
      <c r="H37172" s="50"/>
      <c r="I37172" s="50"/>
      <c r="O37172" s="36" t="s">
        <v>48</v>
      </c>
      <c r="R37172" s="36" t="s">
        <v>48</v>
      </c>
    </row>
    <row r="37173">
      <c r="H37173" s="50"/>
      <c r="I37173" s="50"/>
      <c r="O37173" s="36" t="s">
        <v>48</v>
      </c>
      <c r="R37173" s="36" t="s">
        <v>48</v>
      </c>
    </row>
    <row r="37174">
      <c r="H37174" s="50"/>
      <c r="I37174" s="50"/>
      <c r="O37174" s="36" t="s">
        <v>48</v>
      </c>
      <c r="R37174" s="36" t="s">
        <v>48</v>
      </c>
    </row>
    <row r="37175">
      <c r="H37175" s="50"/>
      <c r="I37175" s="50"/>
      <c r="O37175" s="36" t="s">
        <v>48</v>
      </c>
      <c r="R37175" s="36" t="s">
        <v>48</v>
      </c>
    </row>
    <row r="37176">
      <c r="H37176" s="50"/>
      <c r="I37176" s="50"/>
      <c r="O37176" s="36" t="s">
        <v>48</v>
      </c>
      <c r="R37176" s="36" t="s">
        <v>48</v>
      </c>
    </row>
    <row r="37177">
      <c r="H37177" s="50"/>
      <c r="I37177" s="50"/>
      <c r="O37177" s="36" t="s">
        <v>48</v>
      </c>
      <c r="R37177" s="36" t="s">
        <v>48</v>
      </c>
    </row>
    <row r="37178">
      <c r="H37178" s="50"/>
      <c r="I37178" s="50"/>
      <c r="O37178" s="36" t="s">
        <v>48</v>
      </c>
      <c r="R37178" s="36" t="s">
        <v>48</v>
      </c>
    </row>
    <row r="37179">
      <c r="H37179" s="50"/>
      <c r="I37179" s="50"/>
      <c r="O37179" s="36" t="s">
        <v>48</v>
      </c>
      <c r="R37179" s="36" t="s">
        <v>48</v>
      </c>
    </row>
    <row r="37180">
      <c r="H37180" s="50"/>
      <c r="I37180" s="50"/>
      <c r="O37180" s="36" t="s">
        <v>48</v>
      </c>
      <c r="R37180" s="36" t="s">
        <v>48</v>
      </c>
    </row>
    <row r="37181">
      <c r="H37181" s="50"/>
      <c r="I37181" s="50"/>
      <c r="O37181" s="36" t="s">
        <v>48</v>
      </c>
      <c r="R37181" s="36" t="s">
        <v>48</v>
      </c>
    </row>
    <row r="37182">
      <c r="H37182" s="50"/>
      <c r="I37182" s="50"/>
      <c r="O37182" s="36" t="s">
        <v>48</v>
      </c>
      <c r="R37182" s="36" t="s">
        <v>48</v>
      </c>
    </row>
    <row r="37183">
      <c r="H37183" s="50"/>
      <c r="I37183" s="50"/>
      <c r="O37183" s="36" t="s">
        <v>48</v>
      </c>
      <c r="R37183" s="36" t="s">
        <v>48</v>
      </c>
    </row>
    <row r="37184">
      <c r="H37184" s="50"/>
      <c r="I37184" s="50"/>
      <c r="O37184" s="36" t="s">
        <v>48</v>
      </c>
      <c r="R37184" s="36" t="s">
        <v>48</v>
      </c>
    </row>
    <row r="37185">
      <c r="H37185" s="50"/>
      <c r="I37185" s="50"/>
      <c r="O37185" s="36" t="s">
        <v>48</v>
      </c>
      <c r="R37185" s="36" t="s">
        <v>48</v>
      </c>
    </row>
    <row r="37186">
      <c r="H37186" s="50"/>
      <c r="I37186" s="50"/>
      <c r="O37186" s="36" t="s">
        <v>48</v>
      </c>
      <c r="R37186" s="36" t="s">
        <v>48</v>
      </c>
    </row>
    <row r="37187">
      <c r="H37187" s="50"/>
      <c r="I37187" s="50"/>
      <c r="O37187" s="36" t="s">
        <v>48</v>
      </c>
      <c r="R37187" s="36" t="s">
        <v>48</v>
      </c>
    </row>
    <row r="37188">
      <c r="H37188" s="50"/>
      <c r="I37188" s="50"/>
      <c r="O37188" s="36" t="s">
        <v>48</v>
      </c>
      <c r="R37188" s="36" t="s">
        <v>48</v>
      </c>
    </row>
    <row r="37189">
      <c r="H37189" s="50"/>
      <c r="I37189" s="50"/>
      <c r="O37189" s="36" t="s">
        <v>48</v>
      </c>
      <c r="R37189" s="36" t="s">
        <v>48</v>
      </c>
    </row>
    <row r="37190">
      <c r="H37190" s="50"/>
      <c r="I37190" s="50"/>
      <c r="O37190" s="36" t="s">
        <v>48</v>
      </c>
      <c r="R37190" s="36" t="s">
        <v>48</v>
      </c>
    </row>
    <row r="37191">
      <c r="H37191" s="50"/>
      <c r="I37191" s="50"/>
      <c r="O37191" s="36" t="s">
        <v>48</v>
      </c>
      <c r="R37191" s="36" t="s">
        <v>48</v>
      </c>
    </row>
    <row r="37192">
      <c r="H37192" s="50"/>
      <c r="I37192" s="50"/>
      <c r="O37192" s="36" t="s">
        <v>48</v>
      </c>
      <c r="R37192" s="36" t="s">
        <v>48</v>
      </c>
    </row>
    <row r="37193">
      <c r="H37193" s="50"/>
      <c r="I37193" s="50"/>
      <c r="O37193" s="36" t="s">
        <v>48</v>
      </c>
      <c r="R37193" s="36" t="s">
        <v>48</v>
      </c>
    </row>
    <row r="37194">
      <c r="H37194" s="50"/>
      <c r="I37194" s="50"/>
      <c r="O37194" s="36" t="s">
        <v>48</v>
      </c>
      <c r="R37194" s="36" t="s">
        <v>48</v>
      </c>
    </row>
    <row r="37195">
      <c r="H37195" s="50"/>
      <c r="I37195" s="50"/>
      <c r="O37195" s="36" t="s">
        <v>48</v>
      </c>
      <c r="R37195" s="36" t="s">
        <v>48</v>
      </c>
    </row>
    <row r="37196">
      <c r="H37196" s="50"/>
      <c r="I37196" s="50"/>
      <c r="O37196" s="36" t="s">
        <v>48</v>
      </c>
      <c r="R37196" s="36" t="s">
        <v>48</v>
      </c>
    </row>
    <row r="37197">
      <c r="H37197" s="50"/>
      <c r="I37197" s="50"/>
      <c r="O37197" s="36" t="s">
        <v>48</v>
      </c>
      <c r="R37197" s="36" t="s">
        <v>48</v>
      </c>
    </row>
    <row r="37198">
      <c r="H37198" s="50"/>
      <c r="I37198" s="50"/>
      <c r="O37198" s="36" t="s">
        <v>48</v>
      </c>
      <c r="R37198" s="36" t="s">
        <v>48</v>
      </c>
    </row>
    <row r="37199">
      <c r="H37199" s="50"/>
      <c r="I37199" s="50"/>
      <c r="O37199" s="36" t="s">
        <v>48</v>
      </c>
      <c r="R37199" s="36" t="s">
        <v>48</v>
      </c>
    </row>
    <row r="37200">
      <c r="H37200" s="50"/>
      <c r="I37200" s="50"/>
      <c r="O37200" s="36" t="s">
        <v>48</v>
      </c>
      <c r="R37200" s="36" t="s">
        <v>48</v>
      </c>
    </row>
    <row r="37201">
      <c r="H37201" s="50"/>
      <c r="I37201" s="50"/>
      <c r="O37201" s="36" t="s">
        <v>48</v>
      </c>
      <c r="R37201" s="36" t="s">
        <v>48</v>
      </c>
    </row>
    <row r="37202">
      <c r="H37202" s="50"/>
      <c r="I37202" s="50"/>
      <c r="O37202" s="36" t="s">
        <v>48</v>
      </c>
      <c r="R37202" s="36" t="s">
        <v>48</v>
      </c>
    </row>
    <row r="37203">
      <c r="H37203" s="50"/>
      <c r="I37203" s="50"/>
      <c r="O37203" s="36" t="s">
        <v>48</v>
      </c>
      <c r="R37203" s="36" t="s">
        <v>48</v>
      </c>
    </row>
    <row r="37204">
      <c r="H37204" s="50"/>
      <c r="I37204" s="50"/>
      <c r="O37204" s="36" t="s">
        <v>48</v>
      </c>
      <c r="R37204" s="36" t="s">
        <v>48</v>
      </c>
    </row>
    <row r="37205">
      <c r="H37205" s="50"/>
      <c r="I37205" s="50"/>
      <c r="O37205" s="36" t="s">
        <v>48</v>
      </c>
      <c r="R37205" s="36" t="s">
        <v>48</v>
      </c>
    </row>
    <row r="37206">
      <c r="H37206" s="50"/>
      <c r="I37206" s="50"/>
      <c r="O37206" s="36" t="s">
        <v>48</v>
      </c>
      <c r="R37206" s="36" t="s">
        <v>48</v>
      </c>
    </row>
    <row r="37207">
      <c r="H37207" s="50"/>
      <c r="I37207" s="50"/>
      <c r="O37207" s="36" t="s">
        <v>48</v>
      </c>
      <c r="R37207" s="36" t="s">
        <v>48</v>
      </c>
    </row>
    <row r="37208">
      <c r="H37208" s="50"/>
      <c r="I37208" s="50"/>
      <c r="O37208" s="36" t="s">
        <v>48</v>
      </c>
      <c r="R37208" s="36" t="s">
        <v>48</v>
      </c>
    </row>
    <row r="37209">
      <c r="H37209" s="50"/>
      <c r="I37209" s="50"/>
      <c r="O37209" s="36" t="s">
        <v>48</v>
      </c>
      <c r="R37209" s="36" t="s">
        <v>48</v>
      </c>
    </row>
    <row r="37210">
      <c r="H37210" s="50"/>
      <c r="I37210" s="50"/>
      <c r="O37210" s="36" t="s">
        <v>48</v>
      </c>
      <c r="R37210" s="36" t="s">
        <v>48</v>
      </c>
    </row>
    <row r="37211">
      <c r="H37211" s="50"/>
      <c r="I37211" s="50"/>
      <c r="O37211" s="36" t="s">
        <v>48</v>
      </c>
      <c r="R37211" s="36" t="s">
        <v>48</v>
      </c>
    </row>
    <row r="37212">
      <c r="H37212" s="50"/>
      <c r="I37212" s="50"/>
      <c r="O37212" s="36" t="s">
        <v>48</v>
      </c>
      <c r="R37212" s="36" t="s">
        <v>48</v>
      </c>
    </row>
    <row r="37213">
      <c r="H37213" s="50"/>
      <c r="I37213" s="50"/>
      <c r="O37213" s="36" t="s">
        <v>48</v>
      </c>
      <c r="R37213" s="36" t="s">
        <v>48</v>
      </c>
    </row>
    <row r="37214">
      <c r="H37214" s="50"/>
      <c r="I37214" s="50"/>
      <c r="O37214" s="36" t="s">
        <v>48</v>
      </c>
      <c r="R37214" s="36" t="s">
        <v>48</v>
      </c>
    </row>
    <row r="37215">
      <c r="H37215" s="50"/>
      <c r="I37215" s="50"/>
      <c r="O37215" s="36" t="s">
        <v>48</v>
      </c>
      <c r="R37215" s="36" t="s">
        <v>48</v>
      </c>
    </row>
    <row r="37216">
      <c r="H37216" s="50"/>
      <c r="I37216" s="50"/>
      <c r="O37216" s="36" t="s">
        <v>48</v>
      </c>
      <c r="R37216" s="36" t="s">
        <v>48</v>
      </c>
    </row>
    <row r="37217">
      <c r="H37217" s="50"/>
      <c r="I37217" s="50"/>
      <c r="O37217" s="36" t="s">
        <v>48</v>
      </c>
      <c r="R37217" s="36" t="s">
        <v>48</v>
      </c>
    </row>
    <row r="37218">
      <c r="H37218" s="50"/>
      <c r="I37218" s="50"/>
      <c r="O37218" s="36" t="s">
        <v>48</v>
      </c>
      <c r="R37218" s="36" t="s">
        <v>48</v>
      </c>
    </row>
    <row r="37219">
      <c r="H37219" s="50"/>
      <c r="I37219" s="50"/>
      <c r="O37219" s="36" t="s">
        <v>48</v>
      </c>
      <c r="R37219" s="36" t="s">
        <v>48</v>
      </c>
    </row>
    <row r="37220">
      <c r="H37220" s="50"/>
      <c r="I37220" s="50"/>
      <c r="O37220" s="36" t="s">
        <v>48</v>
      </c>
      <c r="R37220" s="36" t="s">
        <v>48</v>
      </c>
    </row>
    <row r="37221">
      <c r="H37221" s="50"/>
      <c r="I37221" s="50"/>
      <c r="O37221" s="36" t="s">
        <v>48</v>
      </c>
      <c r="R37221" s="36" t="s">
        <v>48</v>
      </c>
    </row>
    <row r="37222">
      <c r="H37222" s="50"/>
      <c r="I37222" s="50"/>
      <c r="O37222" s="36" t="s">
        <v>48</v>
      </c>
      <c r="R37222" s="36" t="s">
        <v>48</v>
      </c>
    </row>
    <row r="37223">
      <c r="H37223" s="50"/>
      <c r="I37223" s="50"/>
      <c r="O37223" s="36" t="s">
        <v>48</v>
      </c>
      <c r="R37223" s="36" t="s">
        <v>48</v>
      </c>
    </row>
    <row r="37224">
      <c r="H37224" s="50"/>
      <c r="I37224" s="50"/>
      <c r="O37224" s="36" t="s">
        <v>48</v>
      </c>
      <c r="R37224" s="36" t="s">
        <v>48</v>
      </c>
    </row>
    <row r="37225">
      <c r="H37225" s="50"/>
      <c r="I37225" s="50"/>
      <c r="O37225" s="36" t="s">
        <v>48</v>
      </c>
      <c r="R37225" s="36" t="s">
        <v>48</v>
      </c>
    </row>
    <row r="37226">
      <c r="H37226" s="50"/>
      <c r="I37226" s="50"/>
      <c r="O37226" s="36" t="s">
        <v>48</v>
      </c>
      <c r="R37226" s="36" t="s">
        <v>48</v>
      </c>
    </row>
    <row r="37227">
      <c r="H37227" s="50"/>
      <c r="I37227" s="50"/>
      <c r="O37227" s="36" t="s">
        <v>48</v>
      </c>
      <c r="R37227" s="36" t="s">
        <v>48</v>
      </c>
    </row>
    <row r="37228">
      <c r="H37228" s="50"/>
      <c r="I37228" s="50"/>
      <c r="O37228" s="36" t="s">
        <v>48</v>
      </c>
      <c r="R37228" s="36" t="s">
        <v>48</v>
      </c>
    </row>
    <row r="37229">
      <c r="H37229" s="50"/>
      <c r="I37229" s="50"/>
      <c r="O37229" s="36" t="s">
        <v>48</v>
      </c>
      <c r="R37229" s="36" t="s">
        <v>48</v>
      </c>
    </row>
    <row r="37230">
      <c r="H37230" s="50"/>
      <c r="I37230" s="50"/>
      <c r="O37230" s="36" t="s">
        <v>48</v>
      </c>
      <c r="R37230" s="36" t="s">
        <v>48</v>
      </c>
    </row>
    <row r="37231">
      <c r="H37231" s="50"/>
      <c r="I37231" s="50"/>
      <c r="O37231" s="36" t="s">
        <v>48</v>
      </c>
      <c r="R37231" s="36" t="s">
        <v>48</v>
      </c>
    </row>
    <row r="37232">
      <c r="H37232" s="50"/>
      <c r="I37232" s="50"/>
      <c r="O37232" s="36" t="s">
        <v>48</v>
      </c>
      <c r="R37232" s="36" t="s">
        <v>48</v>
      </c>
    </row>
    <row r="37233">
      <c r="H37233" s="50"/>
      <c r="I37233" s="50"/>
      <c r="O37233" s="36" t="s">
        <v>48</v>
      </c>
      <c r="R37233" s="36" t="s">
        <v>48</v>
      </c>
    </row>
    <row r="37234">
      <c r="H37234" s="50"/>
      <c r="I37234" s="50"/>
      <c r="O37234" s="36" t="s">
        <v>48</v>
      </c>
      <c r="R37234" s="36" t="s">
        <v>48</v>
      </c>
    </row>
    <row r="37235">
      <c r="H37235" s="50"/>
      <c r="I37235" s="50"/>
      <c r="O37235" s="36" t="s">
        <v>48</v>
      </c>
      <c r="R37235" s="36" t="s">
        <v>48</v>
      </c>
    </row>
    <row r="37236">
      <c r="H37236" s="50"/>
      <c r="I37236" s="50"/>
      <c r="O37236" s="36" t="s">
        <v>48</v>
      </c>
      <c r="R37236" s="36" t="s">
        <v>48</v>
      </c>
    </row>
    <row r="37237">
      <c r="H37237" s="50"/>
      <c r="I37237" s="50"/>
      <c r="O37237" s="36" t="s">
        <v>48</v>
      </c>
      <c r="R37237" s="36" t="s">
        <v>48</v>
      </c>
    </row>
    <row r="37238">
      <c r="H37238" s="50"/>
      <c r="I37238" s="50"/>
      <c r="O37238" s="36" t="s">
        <v>48</v>
      </c>
      <c r="R37238" s="36" t="s">
        <v>48</v>
      </c>
    </row>
    <row r="37239">
      <c r="H37239" s="50"/>
      <c r="I37239" s="50"/>
      <c r="O37239" s="36" t="s">
        <v>48</v>
      </c>
      <c r="R37239" s="36" t="s">
        <v>48</v>
      </c>
    </row>
    <row r="37240">
      <c r="H37240" s="50"/>
      <c r="I37240" s="50"/>
      <c r="O37240" s="36" t="s">
        <v>48</v>
      </c>
      <c r="R37240" s="36" t="s">
        <v>48</v>
      </c>
    </row>
    <row r="37241">
      <c r="H37241" s="50"/>
      <c r="I37241" s="50"/>
      <c r="O37241" s="36" t="s">
        <v>48</v>
      </c>
      <c r="R37241" s="36" t="s">
        <v>48</v>
      </c>
    </row>
    <row r="37242">
      <c r="H37242" s="50"/>
      <c r="I37242" s="50"/>
      <c r="O37242" s="36" t="s">
        <v>48</v>
      </c>
      <c r="R37242" s="36" t="s">
        <v>48</v>
      </c>
    </row>
    <row r="37243">
      <c r="H37243" s="50"/>
      <c r="I37243" s="50"/>
      <c r="O37243" s="36" t="s">
        <v>48</v>
      </c>
      <c r="R37243" s="36" t="s">
        <v>48</v>
      </c>
    </row>
    <row r="37244">
      <c r="H37244" s="50"/>
      <c r="I37244" s="50"/>
      <c r="O37244" s="36" t="s">
        <v>48</v>
      </c>
      <c r="R37244" s="36" t="s">
        <v>48</v>
      </c>
    </row>
    <row r="37245">
      <c r="H37245" s="50"/>
      <c r="I37245" s="50"/>
      <c r="O37245" s="36" t="s">
        <v>48</v>
      </c>
      <c r="R37245" s="36" t="s">
        <v>48</v>
      </c>
    </row>
    <row r="37246">
      <c r="H37246" s="50"/>
      <c r="I37246" s="50"/>
      <c r="O37246" s="36" t="s">
        <v>48</v>
      </c>
      <c r="R37246" s="36" t="s">
        <v>48</v>
      </c>
    </row>
    <row r="37247">
      <c r="H37247" s="50"/>
      <c r="I37247" s="50"/>
      <c r="O37247" s="36" t="s">
        <v>48</v>
      </c>
      <c r="R37247" s="36" t="s">
        <v>48</v>
      </c>
    </row>
    <row r="37248">
      <c r="H37248" s="50"/>
      <c r="I37248" s="50"/>
      <c r="O37248" s="36" t="s">
        <v>48</v>
      </c>
      <c r="R37248" s="36" t="s">
        <v>48</v>
      </c>
    </row>
    <row r="37249">
      <c r="H37249" s="50"/>
      <c r="I37249" s="50"/>
      <c r="O37249" s="36" t="s">
        <v>48</v>
      </c>
      <c r="R37249" s="36" t="s">
        <v>48</v>
      </c>
    </row>
    <row r="37250">
      <c r="H37250" s="50"/>
      <c r="I37250" s="50"/>
      <c r="O37250" s="36" t="s">
        <v>48</v>
      </c>
      <c r="R37250" s="36" t="s">
        <v>48</v>
      </c>
    </row>
    <row r="37251">
      <c r="H37251" s="50"/>
      <c r="I37251" s="50"/>
      <c r="O37251" s="36" t="s">
        <v>48</v>
      </c>
      <c r="R37251" s="36" t="s">
        <v>48</v>
      </c>
    </row>
    <row r="37252">
      <c r="H37252" s="50"/>
      <c r="I37252" s="50"/>
      <c r="O37252" s="36" t="s">
        <v>48</v>
      </c>
      <c r="R37252" s="36" t="s">
        <v>48</v>
      </c>
    </row>
    <row r="37253">
      <c r="H37253" s="50"/>
      <c r="I37253" s="50"/>
      <c r="O37253" s="36" t="s">
        <v>48</v>
      </c>
      <c r="R37253" s="36" t="s">
        <v>48</v>
      </c>
    </row>
    <row r="37254">
      <c r="H37254" s="50"/>
      <c r="I37254" s="50"/>
      <c r="O37254" s="36" t="s">
        <v>48</v>
      </c>
      <c r="R37254" s="36" t="s">
        <v>48</v>
      </c>
    </row>
    <row r="37255">
      <c r="H37255" s="50"/>
      <c r="I37255" s="50"/>
      <c r="O37255" s="36" t="s">
        <v>48</v>
      </c>
      <c r="R37255" s="36" t="s">
        <v>48</v>
      </c>
    </row>
    <row r="37256">
      <c r="H37256" s="50"/>
      <c r="I37256" s="50"/>
      <c r="O37256" s="36" t="s">
        <v>48</v>
      </c>
      <c r="R37256" s="36" t="s">
        <v>48</v>
      </c>
    </row>
    <row r="37257">
      <c r="H37257" s="50"/>
      <c r="I37257" s="50"/>
      <c r="O37257" s="36" t="s">
        <v>48</v>
      </c>
      <c r="R37257" s="36" t="s">
        <v>48</v>
      </c>
    </row>
    <row r="37258">
      <c r="H37258" s="50"/>
      <c r="I37258" s="50"/>
      <c r="O37258" s="36" t="s">
        <v>48</v>
      </c>
      <c r="R37258" s="36" t="s">
        <v>48</v>
      </c>
    </row>
    <row r="37259">
      <c r="H37259" s="50"/>
      <c r="I37259" s="50"/>
      <c r="O37259" s="36" t="s">
        <v>48</v>
      </c>
      <c r="R37259" s="36" t="s">
        <v>48</v>
      </c>
    </row>
    <row r="37260">
      <c r="H37260" s="50"/>
      <c r="I37260" s="50"/>
      <c r="O37260" s="36" t="s">
        <v>48</v>
      </c>
      <c r="R37260" s="36" t="s">
        <v>48</v>
      </c>
    </row>
    <row r="37261">
      <c r="H37261" s="50"/>
      <c r="I37261" s="50"/>
      <c r="O37261" s="36" t="s">
        <v>48</v>
      </c>
      <c r="R37261" s="36" t="s">
        <v>48</v>
      </c>
    </row>
    <row r="37262">
      <c r="H37262" s="50"/>
      <c r="I37262" s="50"/>
      <c r="O37262" s="36" t="s">
        <v>48</v>
      </c>
      <c r="R37262" s="36" t="s">
        <v>48</v>
      </c>
    </row>
    <row r="37263">
      <c r="H37263" s="50"/>
      <c r="I37263" s="50"/>
      <c r="O37263" s="36" t="s">
        <v>48</v>
      </c>
      <c r="R37263" s="36" t="s">
        <v>48</v>
      </c>
    </row>
    <row r="37264">
      <c r="H37264" s="50"/>
      <c r="I37264" s="50"/>
      <c r="O37264" s="36" t="s">
        <v>48</v>
      </c>
      <c r="R37264" s="36" t="s">
        <v>48</v>
      </c>
    </row>
    <row r="37265">
      <c r="H37265" s="50"/>
      <c r="I37265" s="50"/>
      <c r="O37265" s="36" t="s">
        <v>48</v>
      </c>
      <c r="R37265" s="36" t="s">
        <v>48</v>
      </c>
    </row>
    <row r="37266">
      <c r="H37266" s="50"/>
      <c r="I37266" s="50"/>
      <c r="O37266" s="36" t="s">
        <v>48</v>
      </c>
      <c r="R37266" s="36" t="s">
        <v>48</v>
      </c>
    </row>
    <row r="37267">
      <c r="H37267" s="50"/>
      <c r="I37267" s="50"/>
      <c r="O37267" s="36" t="s">
        <v>48</v>
      </c>
      <c r="R37267" s="36" t="s">
        <v>48</v>
      </c>
    </row>
    <row r="37268">
      <c r="H37268" s="50"/>
      <c r="I37268" s="50"/>
      <c r="O37268" s="36" t="s">
        <v>48</v>
      </c>
      <c r="R37268" s="36" t="s">
        <v>48</v>
      </c>
    </row>
    <row r="37269">
      <c r="H37269" s="50"/>
      <c r="I37269" s="50"/>
      <c r="O37269" s="36" t="s">
        <v>48</v>
      </c>
      <c r="R37269" s="36" t="s">
        <v>48</v>
      </c>
    </row>
    <row r="37270">
      <c r="H37270" s="50"/>
      <c r="I37270" s="50"/>
      <c r="O37270" s="36" t="s">
        <v>48</v>
      </c>
      <c r="R37270" s="36" t="s">
        <v>48</v>
      </c>
    </row>
    <row r="37271">
      <c r="H37271" s="50"/>
      <c r="I37271" s="50"/>
      <c r="O37271" s="36" t="s">
        <v>48</v>
      </c>
      <c r="R37271" s="36" t="s">
        <v>48</v>
      </c>
    </row>
    <row r="37272">
      <c r="H37272" s="50"/>
      <c r="I37272" s="50"/>
      <c r="O37272" s="36" t="s">
        <v>48</v>
      </c>
      <c r="R37272" s="36" t="s">
        <v>48</v>
      </c>
    </row>
    <row r="37273">
      <c r="H37273" s="50"/>
      <c r="I37273" s="50"/>
      <c r="O37273" s="36" t="s">
        <v>48</v>
      </c>
      <c r="R37273" s="36" t="s">
        <v>48</v>
      </c>
    </row>
    <row r="37274">
      <c r="H37274" s="50"/>
      <c r="I37274" s="50"/>
      <c r="O37274" s="36" t="s">
        <v>48</v>
      </c>
      <c r="R37274" s="36" t="s">
        <v>48</v>
      </c>
    </row>
    <row r="37275">
      <c r="H37275" s="50"/>
      <c r="I37275" s="50"/>
      <c r="O37275" s="36" t="s">
        <v>48</v>
      </c>
      <c r="R37275" s="36" t="s">
        <v>48</v>
      </c>
    </row>
    <row r="37276">
      <c r="H37276" s="50"/>
      <c r="I37276" s="50"/>
      <c r="O37276" s="36" t="s">
        <v>48</v>
      </c>
      <c r="R37276" s="36" t="s">
        <v>48</v>
      </c>
    </row>
    <row r="37277">
      <c r="H37277" s="50"/>
      <c r="I37277" s="50"/>
      <c r="O37277" s="36" t="s">
        <v>48</v>
      </c>
      <c r="R37277" s="36" t="s">
        <v>48</v>
      </c>
    </row>
    <row r="37278">
      <c r="H37278" s="50"/>
      <c r="I37278" s="50"/>
      <c r="O37278" s="36" t="s">
        <v>48</v>
      </c>
      <c r="R37278" s="36" t="s">
        <v>48</v>
      </c>
    </row>
    <row r="37279">
      <c r="H37279" s="50"/>
      <c r="I37279" s="50"/>
      <c r="O37279" s="36" t="s">
        <v>48</v>
      </c>
      <c r="R37279" s="36" t="s">
        <v>48</v>
      </c>
    </row>
    <row r="37280">
      <c r="H37280" s="50"/>
      <c r="I37280" s="50"/>
      <c r="O37280" s="36" t="s">
        <v>48</v>
      </c>
      <c r="R37280" s="36" t="s">
        <v>48</v>
      </c>
    </row>
    <row r="37281">
      <c r="H37281" s="50"/>
      <c r="I37281" s="50"/>
      <c r="O37281" s="36" t="s">
        <v>48</v>
      </c>
      <c r="R37281" s="36" t="s">
        <v>48</v>
      </c>
    </row>
    <row r="37282">
      <c r="H37282" s="50"/>
      <c r="I37282" s="50"/>
      <c r="O37282" s="36" t="s">
        <v>48</v>
      </c>
      <c r="R37282" s="36" t="s">
        <v>48</v>
      </c>
    </row>
    <row r="37283">
      <c r="H37283" s="50"/>
      <c r="I37283" s="50"/>
      <c r="O37283" s="36" t="s">
        <v>48</v>
      </c>
      <c r="R37283" s="36" t="s">
        <v>48</v>
      </c>
    </row>
    <row r="37284">
      <c r="H37284" s="50"/>
      <c r="I37284" s="50"/>
      <c r="O37284" s="36" t="s">
        <v>48</v>
      </c>
      <c r="R37284" s="36" t="s">
        <v>48</v>
      </c>
    </row>
    <row r="37285">
      <c r="H37285" s="50"/>
      <c r="I37285" s="50"/>
      <c r="O37285" s="36" t="s">
        <v>48</v>
      </c>
      <c r="R37285" s="36" t="s">
        <v>48</v>
      </c>
    </row>
    <row r="37286">
      <c r="H37286" s="50"/>
      <c r="I37286" s="50"/>
      <c r="O37286" s="36" t="s">
        <v>48</v>
      </c>
      <c r="R37286" s="36" t="s">
        <v>48</v>
      </c>
    </row>
    <row r="37287">
      <c r="H37287" s="50"/>
      <c r="I37287" s="50"/>
      <c r="O37287" s="36" t="s">
        <v>48</v>
      </c>
      <c r="R37287" s="36" t="s">
        <v>48</v>
      </c>
    </row>
    <row r="37288">
      <c r="H37288" s="50"/>
      <c r="I37288" s="50"/>
      <c r="O37288" s="36" t="s">
        <v>48</v>
      </c>
      <c r="R37288" s="36" t="s">
        <v>48</v>
      </c>
    </row>
    <row r="37289">
      <c r="H37289" s="50"/>
      <c r="I37289" s="50"/>
      <c r="O37289" s="36" t="s">
        <v>48</v>
      </c>
      <c r="R37289" s="36" t="s">
        <v>48</v>
      </c>
    </row>
    <row r="37290">
      <c r="H37290" s="50"/>
      <c r="I37290" s="50"/>
      <c r="O37290" s="36" t="s">
        <v>48</v>
      </c>
      <c r="R37290" s="36" t="s">
        <v>48</v>
      </c>
    </row>
    <row r="37291">
      <c r="H37291" s="50"/>
      <c r="I37291" s="50"/>
      <c r="O37291" s="36" t="s">
        <v>48</v>
      </c>
      <c r="R37291" s="36" t="s">
        <v>48</v>
      </c>
    </row>
    <row r="37292">
      <c r="H37292" s="50"/>
      <c r="I37292" s="50"/>
      <c r="O37292" s="36" t="s">
        <v>48</v>
      </c>
      <c r="R37292" s="36" t="s">
        <v>48</v>
      </c>
    </row>
    <row r="37293">
      <c r="H37293" s="50"/>
      <c r="I37293" s="50"/>
      <c r="O37293" s="36" t="s">
        <v>48</v>
      </c>
      <c r="R37293" s="36" t="s">
        <v>48</v>
      </c>
    </row>
    <row r="37294">
      <c r="H37294" s="50"/>
      <c r="I37294" s="50"/>
      <c r="O37294" s="36" t="s">
        <v>48</v>
      </c>
      <c r="R37294" s="36" t="s">
        <v>48</v>
      </c>
    </row>
    <row r="37295">
      <c r="H37295" s="50"/>
      <c r="I37295" s="50"/>
      <c r="O37295" s="36" t="s">
        <v>48</v>
      </c>
      <c r="R37295" s="36" t="s">
        <v>48</v>
      </c>
    </row>
    <row r="37296">
      <c r="H37296" s="50"/>
      <c r="I37296" s="50"/>
      <c r="O37296" s="36" t="s">
        <v>48</v>
      </c>
      <c r="R37296" s="36" t="s">
        <v>48</v>
      </c>
    </row>
    <row r="37297">
      <c r="H37297" s="50"/>
      <c r="I37297" s="50"/>
      <c r="O37297" s="36" t="s">
        <v>48</v>
      </c>
      <c r="R37297" s="36" t="s">
        <v>48</v>
      </c>
    </row>
    <row r="37298">
      <c r="H37298" s="50"/>
      <c r="I37298" s="50"/>
      <c r="O37298" s="36" t="s">
        <v>48</v>
      </c>
      <c r="R37298" s="36" t="s">
        <v>48</v>
      </c>
    </row>
    <row r="37299">
      <c r="H37299" s="50"/>
      <c r="I37299" s="50"/>
      <c r="O37299" s="36" t="s">
        <v>48</v>
      </c>
      <c r="R37299" s="36" t="s">
        <v>48</v>
      </c>
    </row>
    <row r="37300">
      <c r="H37300" s="50"/>
      <c r="I37300" s="50"/>
      <c r="O37300" s="36" t="s">
        <v>48</v>
      </c>
      <c r="R37300" s="36" t="s">
        <v>48</v>
      </c>
    </row>
    <row r="37301">
      <c r="H37301" s="50"/>
      <c r="I37301" s="50"/>
      <c r="O37301" s="36" t="s">
        <v>48</v>
      </c>
      <c r="R37301" s="36" t="s">
        <v>48</v>
      </c>
    </row>
    <row r="37302">
      <c r="H37302" s="50"/>
      <c r="I37302" s="50"/>
      <c r="O37302" s="36" t="s">
        <v>48</v>
      </c>
      <c r="R37302" s="36" t="s">
        <v>48</v>
      </c>
    </row>
    <row r="37303">
      <c r="H37303" s="50"/>
      <c r="I37303" s="50"/>
      <c r="O37303" s="36" t="s">
        <v>48</v>
      </c>
      <c r="R37303" s="36" t="s">
        <v>48</v>
      </c>
    </row>
    <row r="37304">
      <c r="H37304" s="50"/>
      <c r="I37304" s="50"/>
      <c r="O37304" s="36" t="s">
        <v>48</v>
      </c>
      <c r="R37304" s="36" t="s">
        <v>48</v>
      </c>
    </row>
    <row r="37305">
      <c r="H37305" s="50"/>
      <c r="I37305" s="50"/>
      <c r="O37305" s="36" t="s">
        <v>48</v>
      </c>
      <c r="R37305" s="36" t="s">
        <v>48</v>
      </c>
    </row>
    <row r="37306">
      <c r="H37306" s="50"/>
      <c r="I37306" s="50"/>
      <c r="O37306" s="36" t="s">
        <v>48</v>
      </c>
      <c r="R37306" s="36" t="s">
        <v>48</v>
      </c>
    </row>
    <row r="37307">
      <c r="H37307" s="50"/>
      <c r="I37307" s="50"/>
      <c r="O37307" s="36" t="s">
        <v>48</v>
      </c>
      <c r="R37307" s="36" t="s">
        <v>48</v>
      </c>
    </row>
    <row r="37308">
      <c r="H37308" s="50"/>
      <c r="I37308" s="50"/>
      <c r="O37308" s="36" t="s">
        <v>48</v>
      </c>
      <c r="R37308" s="36" t="s">
        <v>48</v>
      </c>
    </row>
    <row r="37309">
      <c r="H37309" s="50"/>
      <c r="I37309" s="50"/>
      <c r="O37309" s="36" t="s">
        <v>48</v>
      </c>
      <c r="R37309" s="36" t="s">
        <v>48</v>
      </c>
    </row>
    <row r="37310">
      <c r="H37310" s="50"/>
      <c r="I37310" s="50"/>
      <c r="O37310" s="36" t="s">
        <v>48</v>
      </c>
      <c r="R37310" s="36" t="s">
        <v>48</v>
      </c>
    </row>
    <row r="37311">
      <c r="H37311" s="50"/>
      <c r="I37311" s="50"/>
      <c r="O37311" s="36" t="s">
        <v>48</v>
      </c>
      <c r="R37311" s="36" t="s">
        <v>48</v>
      </c>
    </row>
    <row r="37312">
      <c r="H37312" s="50"/>
      <c r="I37312" s="50"/>
      <c r="O37312" s="36" t="s">
        <v>48</v>
      </c>
      <c r="R37312" s="36" t="s">
        <v>48</v>
      </c>
    </row>
    <row r="37313">
      <c r="H37313" s="50"/>
      <c r="I37313" s="50"/>
      <c r="O37313" s="36" t="s">
        <v>48</v>
      </c>
      <c r="R37313" s="36" t="s">
        <v>48</v>
      </c>
    </row>
    <row r="37314">
      <c r="H37314" s="50"/>
      <c r="I37314" s="50"/>
      <c r="O37314" s="36" t="s">
        <v>48</v>
      </c>
      <c r="R37314" s="36" t="s">
        <v>48</v>
      </c>
    </row>
    <row r="37315">
      <c r="H37315" s="50"/>
      <c r="I37315" s="50"/>
      <c r="O37315" s="36" t="s">
        <v>48</v>
      </c>
      <c r="R37315" s="36" t="s">
        <v>48</v>
      </c>
    </row>
    <row r="37316">
      <c r="H37316" s="50"/>
      <c r="I37316" s="50"/>
      <c r="O37316" s="36" t="s">
        <v>48</v>
      </c>
      <c r="R37316" s="36" t="s">
        <v>48</v>
      </c>
    </row>
    <row r="37317">
      <c r="H37317" s="50"/>
      <c r="I37317" s="50"/>
      <c r="O37317" s="36" t="s">
        <v>48</v>
      </c>
      <c r="R37317" s="36" t="s">
        <v>48</v>
      </c>
    </row>
    <row r="37318">
      <c r="H37318" s="50"/>
      <c r="I37318" s="50"/>
      <c r="O37318" s="36" t="s">
        <v>48</v>
      </c>
      <c r="R37318" s="36" t="s">
        <v>48</v>
      </c>
    </row>
    <row r="37319">
      <c r="H37319" s="50"/>
      <c r="I37319" s="50"/>
      <c r="O37319" s="36" t="s">
        <v>48</v>
      </c>
      <c r="R37319" s="36" t="s">
        <v>48</v>
      </c>
    </row>
    <row r="37320">
      <c r="H37320" s="50"/>
      <c r="I37320" s="50"/>
      <c r="O37320" s="36" t="s">
        <v>48</v>
      </c>
      <c r="R37320" s="36" t="s">
        <v>48</v>
      </c>
    </row>
    <row r="37321">
      <c r="H37321" s="50"/>
      <c r="I37321" s="50"/>
      <c r="O37321" s="36" t="s">
        <v>48</v>
      </c>
      <c r="R37321" s="36" t="s">
        <v>48</v>
      </c>
    </row>
    <row r="37322">
      <c r="H37322" s="50"/>
      <c r="I37322" s="50"/>
      <c r="O37322" s="36" t="s">
        <v>48</v>
      </c>
      <c r="R37322" s="36" t="s">
        <v>48</v>
      </c>
    </row>
    <row r="37323">
      <c r="H37323" s="50"/>
      <c r="I37323" s="50"/>
      <c r="O37323" s="36" t="s">
        <v>48</v>
      </c>
      <c r="R37323" s="36" t="s">
        <v>48</v>
      </c>
    </row>
    <row r="37324">
      <c r="H37324" s="50"/>
      <c r="I37324" s="50"/>
      <c r="O37324" s="36" t="s">
        <v>48</v>
      </c>
      <c r="R37324" s="36" t="s">
        <v>48</v>
      </c>
    </row>
    <row r="37325">
      <c r="H37325" s="50"/>
      <c r="I37325" s="50"/>
      <c r="O37325" s="36" t="s">
        <v>48</v>
      </c>
      <c r="R37325" s="36" t="s">
        <v>48</v>
      </c>
    </row>
    <row r="37326">
      <c r="H37326" s="50"/>
      <c r="I37326" s="50"/>
      <c r="O37326" s="36" t="s">
        <v>48</v>
      </c>
      <c r="R37326" s="36" t="s">
        <v>48</v>
      </c>
    </row>
    <row r="37327">
      <c r="H37327" s="50"/>
      <c r="I37327" s="50"/>
      <c r="O37327" s="36" t="s">
        <v>48</v>
      </c>
      <c r="R37327" s="36" t="s">
        <v>48</v>
      </c>
    </row>
    <row r="37328">
      <c r="H37328" s="50"/>
      <c r="I37328" s="50"/>
      <c r="O37328" s="36" t="s">
        <v>48</v>
      </c>
      <c r="R37328" s="36" t="s">
        <v>48</v>
      </c>
    </row>
    <row r="37329">
      <c r="H37329" s="50"/>
      <c r="I37329" s="50"/>
      <c r="O37329" s="36" t="s">
        <v>48</v>
      </c>
      <c r="R37329" s="36" t="s">
        <v>48</v>
      </c>
    </row>
    <row r="37330">
      <c r="H37330" s="50"/>
      <c r="I37330" s="50"/>
      <c r="O37330" s="36" t="s">
        <v>48</v>
      </c>
      <c r="R37330" s="36" t="s">
        <v>48</v>
      </c>
    </row>
    <row r="37331">
      <c r="H37331" s="50"/>
      <c r="I37331" s="50"/>
      <c r="O37331" s="36" t="s">
        <v>48</v>
      </c>
      <c r="R37331" s="36" t="s">
        <v>48</v>
      </c>
    </row>
    <row r="37332">
      <c r="H37332" s="50"/>
      <c r="I37332" s="50"/>
      <c r="O37332" s="36" t="s">
        <v>48</v>
      </c>
      <c r="R37332" s="36" t="s">
        <v>48</v>
      </c>
    </row>
    <row r="37333">
      <c r="H37333" s="50"/>
      <c r="I37333" s="50"/>
      <c r="O37333" s="36" t="s">
        <v>48</v>
      </c>
      <c r="R37333" s="36" t="s">
        <v>48</v>
      </c>
    </row>
    <row r="37334">
      <c r="H37334" s="50"/>
      <c r="I37334" s="50"/>
      <c r="O37334" s="36" t="s">
        <v>48</v>
      </c>
      <c r="R37334" s="36" t="s">
        <v>48</v>
      </c>
    </row>
    <row r="37335">
      <c r="H37335" s="50"/>
      <c r="I37335" s="50"/>
      <c r="O37335" s="36" t="s">
        <v>48</v>
      </c>
      <c r="R37335" s="36" t="s">
        <v>48</v>
      </c>
    </row>
    <row r="37336">
      <c r="H37336" s="50"/>
      <c r="I37336" s="50"/>
      <c r="O37336" s="36" t="s">
        <v>48</v>
      </c>
      <c r="R37336" s="36" t="s">
        <v>48</v>
      </c>
    </row>
    <row r="37337">
      <c r="H37337" s="50"/>
      <c r="I37337" s="50"/>
      <c r="O37337" s="36" t="s">
        <v>48</v>
      </c>
      <c r="R37337" s="36" t="s">
        <v>48</v>
      </c>
    </row>
    <row r="37338">
      <c r="H37338" s="50"/>
      <c r="I37338" s="50"/>
      <c r="O37338" s="36" t="s">
        <v>48</v>
      </c>
      <c r="R37338" s="36" t="s">
        <v>48</v>
      </c>
    </row>
    <row r="37339">
      <c r="H37339" s="50"/>
      <c r="I37339" s="50"/>
      <c r="O37339" s="36" t="s">
        <v>48</v>
      </c>
      <c r="R37339" s="36" t="s">
        <v>48</v>
      </c>
    </row>
    <row r="37340">
      <c r="H37340" s="50"/>
      <c r="I37340" s="50"/>
      <c r="O37340" s="36" t="s">
        <v>48</v>
      </c>
      <c r="R37340" s="36" t="s">
        <v>48</v>
      </c>
    </row>
    <row r="37341">
      <c r="H37341" s="50"/>
      <c r="I37341" s="50"/>
      <c r="O37341" s="36" t="s">
        <v>48</v>
      </c>
      <c r="R37341" s="36" t="s">
        <v>48</v>
      </c>
    </row>
    <row r="37342">
      <c r="H37342" s="50"/>
      <c r="I37342" s="50"/>
      <c r="O37342" s="36" t="s">
        <v>48</v>
      </c>
      <c r="R37342" s="36" t="s">
        <v>48</v>
      </c>
    </row>
    <row r="37343">
      <c r="H37343" s="50"/>
      <c r="I37343" s="50"/>
      <c r="O37343" s="36" t="s">
        <v>48</v>
      </c>
      <c r="R37343" s="36" t="s">
        <v>48</v>
      </c>
    </row>
    <row r="37344">
      <c r="H37344" s="50"/>
      <c r="I37344" s="50"/>
      <c r="O37344" s="36" t="s">
        <v>48</v>
      </c>
      <c r="R37344" s="36" t="s">
        <v>48</v>
      </c>
    </row>
    <row r="37345">
      <c r="H37345" s="50"/>
      <c r="I37345" s="50"/>
      <c r="O37345" s="36" t="s">
        <v>48</v>
      </c>
      <c r="R37345" s="36" t="s">
        <v>48</v>
      </c>
    </row>
    <row r="37346">
      <c r="H37346" s="50"/>
      <c r="I37346" s="50"/>
      <c r="O37346" s="36" t="s">
        <v>48</v>
      </c>
      <c r="R37346" s="36" t="s">
        <v>48</v>
      </c>
    </row>
    <row r="37347">
      <c r="H37347" s="50"/>
      <c r="I37347" s="50"/>
      <c r="O37347" s="36" t="s">
        <v>48</v>
      </c>
      <c r="R37347" s="36" t="s">
        <v>48</v>
      </c>
    </row>
    <row r="37348">
      <c r="H37348" s="50"/>
      <c r="I37348" s="50"/>
      <c r="O37348" s="36" t="s">
        <v>48</v>
      </c>
      <c r="R37348" s="36" t="s">
        <v>48</v>
      </c>
    </row>
    <row r="37349">
      <c r="H37349" s="50"/>
      <c r="I37349" s="50"/>
      <c r="O37349" s="36" t="s">
        <v>48</v>
      </c>
      <c r="R37349" s="36" t="s">
        <v>48</v>
      </c>
    </row>
    <row r="37350">
      <c r="H37350" s="50"/>
      <c r="I37350" s="50"/>
      <c r="O37350" s="36" t="s">
        <v>48</v>
      </c>
      <c r="R37350" s="36" t="s">
        <v>48</v>
      </c>
    </row>
    <row r="37351">
      <c r="H37351" s="50"/>
      <c r="I37351" s="50"/>
      <c r="O37351" s="36" t="s">
        <v>48</v>
      </c>
      <c r="R37351" s="36" t="s">
        <v>48</v>
      </c>
    </row>
    <row r="37352">
      <c r="H37352" s="50"/>
      <c r="I37352" s="50"/>
      <c r="O37352" s="36" t="s">
        <v>48</v>
      </c>
      <c r="R37352" s="36" t="s">
        <v>48</v>
      </c>
    </row>
    <row r="37353">
      <c r="H37353" s="50"/>
      <c r="I37353" s="50"/>
      <c r="O37353" s="36" t="s">
        <v>48</v>
      </c>
      <c r="R37353" s="36" t="s">
        <v>48</v>
      </c>
    </row>
    <row r="37354">
      <c r="H37354" s="50"/>
      <c r="I37354" s="50"/>
      <c r="O37354" s="36" t="s">
        <v>48</v>
      </c>
      <c r="R37354" s="36" t="s">
        <v>48</v>
      </c>
    </row>
    <row r="37355">
      <c r="H37355" s="50"/>
      <c r="I37355" s="50"/>
      <c r="O37355" s="36" t="s">
        <v>48</v>
      </c>
      <c r="R37355" s="36" t="s">
        <v>48</v>
      </c>
    </row>
    <row r="37356">
      <c r="H37356" s="50"/>
      <c r="I37356" s="50"/>
      <c r="O37356" s="36" t="s">
        <v>48</v>
      </c>
      <c r="R37356" s="36" t="s">
        <v>48</v>
      </c>
    </row>
    <row r="37357">
      <c r="H37357" s="50"/>
      <c r="I37357" s="50"/>
      <c r="O37357" s="36" t="s">
        <v>48</v>
      </c>
      <c r="R37357" s="36" t="s">
        <v>48</v>
      </c>
    </row>
    <row r="37358">
      <c r="H37358" s="50"/>
      <c r="I37358" s="50"/>
      <c r="O37358" s="36" t="s">
        <v>48</v>
      </c>
      <c r="R37358" s="36" t="s">
        <v>48</v>
      </c>
    </row>
    <row r="37359">
      <c r="H37359" s="50"/>
      <c r="I37359" s="50"/>
      <c r="O37359" s="36" t="s">
        <v>48</v>
      </c>
      <c r="R37359" s="36" t="s">
        <v>48</v>
      </c>
    </row>
    <row r="37360">
      <c r="H37360" s="50"/>
      <c r="I37360" s="50"/>
      <c r="O37360" s="36" t="s">
        <v>48</v>
      </c>
      <c r="R37360" s="36" t="s">
        <v>48</v>
      </c>
    </row>
    <row r="37361">
      <c r="H37361" s="50"/>
      <c r="I37361" s="50"/>
      <c r="O37361" s="36" t="s">
        <v>48</v>
      </c>
      <c r="R37361" s="36" t="s">
        <v>48</v>
      </c>
    </row>
    <row r="37362">
      <c r="H37362" s="50"/>
      <c r="I37362" s="50"/>
      <c r="O37362" s="36" t="s">
        <v>48</v>
      </c>
      <c r="R37362" s="36" t="s">
        <v>48</v>
      </c>
    </row>
    <row r="37363">
      <c r="H37363" s="50"/>
      <c r="I37363" s="50"/>
      <c r="O37363" s="36" t="s">
        <v>48</v>
      </c>
      <c r="R37363" s="36" t="s">
        <v>48</v>
      </c>
    </row>
    <row r="37364">
      <c r="H37364" s="50"/>
      <c r="I37364" s="50"/>
      <c r="O37364" s="36" t="s">
        <v>48</v>
      </c>
      <c r="R37364" s="36" t="s">
        <v>48</v>
      </c>
    </row>
    <row r="37365">
      <c r="H37365" s="50"/>
      <c r="I37365" s="50"/>
      <c r="O37365" s="36" t="s">
        <v>48</v>
      </c>
      <c r="R37365" s="36" t="s">
        <v>48</v>
      </c>
    </row>
    <row r="37366">
      <c r="H37366" s="50"/>
      <c r="I37366" s="50"/>
      <c r="O37366" s="36" t="s">
        <v>48</v>
      </c>
      <c r="R37366" s="36" t="s">
        <v>48</v>
      </c>
    </row>
    <row r="37367">
      <c r="H37367" s="50"/>
      <c r="I37367" s="50"/>
      <c r="O37367" s="36" t="s">
        <v>48</v>
      </c>
      <c r="R37367" s="36" t="s">
        <v>48</v>
      </c>
    </row>
    <row r="37368">
      <c r="H37368" s="50"/>
      <c r="I37368" s="50"/>
      <c r="O37368" s="36" t="s">
        <v>48</v>
      </c>
      <c r="R37368" s="36" t="s">
        <v>48</v>
      </c>
    </row>
    <row r="37369">
      <c r="H37369" s="50"/>
      <c r="I37369" s="50"/>
      <c r="O37369" s="36" t="s">
        <v>48</v>
      </c>
      <c r="R37369" s="36" t="s">
        <v>48</v>
      </c>
    </row>
    <row r="37370">
      <c r="H37370" s="50"/>
      <c r="I37370" s="50"/>
      <c r="O37370" s="36" t="s">
        <v>48</v>
      </c>
      <c r="R37370" s="36" t="s">
        <v>48</v>
      </c>
    </row>
    <row r="37371">
      <c r="H37371" s="50"/>
      <c r="I37371" s="50"/>
      <c r="O37371" s="36" t="s">
        <v>48</v>
      </c>
      <c r="R37371" s="36" t="s">
        <v>48</v>
      </c>
    </row>
    <row r="37372">
      <c r="H37372" s="50"/>
      <c r="I37372" s="50"/>
      <c r="O37372" s="36" t="s">
        <v>48</v>
      </c>
      <c r="R37372" s="36" t="s">
        <v>48</v>
      </c>
    </row>
    <row r="37373">
      <c r="H37373" s="50"/>
      <c r="I37373" s="50"/>
      <c r="O37373" s="36" t="s">
        <v>48</v>
      </c>
      <c r="R37373" s="36" t="s">
        <v>48</v>
      </c>
    </row>
    <row r="37374">
      <c r="H37374" s="50"/>
      <c r="I37374" s="50"/>
      <c r="O37374" s="36" t="s">
        <v>48</v>
      </c>
      <c r="R37374" s="36" t="s">
        <v>48</v>
      </c>
    </row>
    <row r="37375">
      <c r="H37375" s="50"/>
      <c r="I37375" s="50"/>
      <c r="O37375" s="36" t="s">
        <v>48</v>
      </c>
      <c r="R37375" s="36" t="s">
        <v>48</v>
      </c>
    </row>
    <row r="37376">
      <c r="H37376" s="50"/>
      <c r="I37376" s="50"/>
      <c r="O37376" s="36" t="s">
        <v>48</v>
      </c>
      <c r="R37376" s="36" t="s">
        <v>48</v>
      </c>
    </row>
    <row r="37377">
      <c r="H37377" s="50"/>
      <c r="I37377" s="50"/>
      <c r="O37377" s="36" t="s">
        <v>48</v>
      </c>
      <c r="R37377" s="36" t="s">
        <v>48</v>
      </c>
    </row>
    <row r="37378">
      <c r="H37378" s="50"/>
      <c r="I37378" s="50"/>
      <c r="O37378" s="36" t="s">
        <v>48</v>
      </c>
      <c r="R37378" s="36" t="s">
        <v>48</v>
      </c>
    </row>
    <row r="37379">
      <c r="H37379" s="50"/>
      <c r="I37379" s="50"/>
      <c r="O37379" s="36" t="s">
        <v>48</v>
      </c>
      <c r="R37379" s="36" t="s">
        <v>48</v>
      </c>
    </row>
    <row r="37380">
      <c r="H37380" s="50"/>
      <c r="I37380" s="50"/>
      <c r="O37380" s="36" t="s">
        <v>48</v>
      </c>
      <c r="R37380" s="36" t="s">
        <v>48</v>
      </c>
    </row>
    <row r="37381">
      <c r="H37381" s="50"/>
      <c r="I37381" s="50"/>
      <c r="O37381" s="36" t="s">
        <v>48</v>
      </c>
      <c r="R37381" s="36" t="s">
        <v>48</v>
      </c>
    </row>
    <row r="37382">
      <c r="H37382" s="50"/>
      <c r="I37382" s="50"/>
      <c r="O37382" s="36" t="s">
        <v>48</v>
      </c>
      <c r="R37382" s="36" t="s">
        <v>48</v>
      </c>
    </row>
    <row r="37383">
      <c r="H37383" s="50"/>
      <c r="I37383" s="50"/>
      <c r="O37383" s="36" t="s">
        <v>48</v>
      </c>
      <c r="R37383" s="36" t="s">
        <v>48</v>
      </c>
    </row>
    <row r="37384">
      <c r="H37384" s="50"/>
      <c r="I37384" s="50"/>
      <c r="O37384" s="36" t="s">
        <v>48</v>
      </c>
      <c r="R37384" s="36" t="s">
        <v>48</v>
      </c>
    </row>
    <row r="37385">
      <c r="H37385" s="50"/>
      <c r="I37385" s="50"/>
      <c r="O37385" s="36" t="s">
        <v>48</v>
      </c>
      <c r="R37385" s="36" t="s">
        <v>48</v>
      </c>
    </row>
    <row r="37386">
      <c r="H37386" s="50"/>
      <c r="I37386" s="50"/>
      <c r="O37386" s="36" t="s">
        <v>48</v>
      </c>
      <c r="R37386" s="36" t="s">
        <v>48</v>
      </c>
    </row>
    <row r="37387">
      <c r="H37387" s="50"/>
      <c r="I37387" s="50"/>
      <c r="O37387" s="36" t="s">
        <v>48</v>
      </c>
      <c r="R37387" s="36" t="s">
        <v>48</v>
      </c>
    </row>
    <row r="37388">
      <c r="H37388" s="50"/>
      <c r="I37388" s="50"/>
      <c r="O37388" s="36" t="s">
        <v>48</v>
      </c>
      <c r="R37388" s="36" t="s">
        <v>48</v>
      </c>
    </row>
    <row r="37389">
      <c r="H37389" s="50"/>
      <c r="I37389" s="50"/>
      <c r="O37389" s="36" t="s">
        <v>48</v>
      </c>
      <c r="R37389" s="36" t="s">
        <v>48</v>
      </c>
    </row>
    <row r="37390">
      <c r="H37390" s="50"/>
      <c r="I37390" s="50"/>
      <c r="O37390" s="36" t="s">
        <v>48</v>
      </c>
      <c r="R37390" s="36" t="s">
        <v>48</v>
      </c>
    </row>
    <row r="37391">
      <c r="H37391" s="50"/>
      <c r="I37391" s="50"/>
      <c r="O37391" s="36" t="s">
        <v>48</v>
      </c>
      <c r="R37391" s="36" t="s">
        <v>48</v>
      </c>
    </row>
    <row r="37392">
      <c r="H37392" s="50"/>
      <c r="I37392" s="50"/>
      <c r="O37392" s="36" t="s">
        <v>48</v>
      </c>
      <c r="R37392" s="36" t="s">
        <v>48</v>
      </c>
    </row>
    <row r="37393">
      <c r="H37393" s="50"/>
      <c r="I37393" s="50"/>
      <c r="O37393" s="36" t="s">
        <v>48</v>
      </c>
      <c r="R37393" s="36" t="s">
        <v>48</v>
      </c>
    </row>
    <row r="37394">
      <c r="H37394" s="50"/>
      <c r="I37394" s="50"/>
      <c r="O37394" s="36" t="s">
        <v>48</v>
      </c>
      <c r="R37394" s="36" t="s">
        <v>48</v>
      </c>
    </row>
    <row r="37395">
      <c r="H37395" s="50"/>
      <c r="I37395" s="50"/>
      <c r="O37395" s="36" t="s">
        <v>48</v>
      </c>
      <c r="R37395" s="36" t="s">
        <v>48</v>
      </c>
    </row>
    <row r="37396">
      <c r="H37396" s="50"/>
      <c r="I37396" s="50"/>
      <c r="O37396" s="36" t="s">
        <v>48</v>
      </c>
      <c r="R37396" s="36" t="s">
        <v>48</v>
      </c>
    </row>
    <row r="37397">
      <c r="H37397" s="50"/>
      <c r="I37397" s="50"/>
      <c r="O37397" s="36" t="s">
        <v>48</v>
      </c>
      <c r="R37397" s="36" t="s">
        <v>48</v>
      </c>
    </row>
    <row r="37398">
      <c r="H37398" s="50"/>
      <c r="I37398" s="50"/>
      <c r="O37398" s="36" t="s">
        <v>48</v>
      </c>
      <c r="R37398" s="36" t="s">
        <v>48</v>
      </c>
    </row>
    <row r="37399">
      <c r="H37399" s="50"/>
      <c r="I37399" s="50"/>
      <c r="O37399" s="36" t="s">
        <v>48</v>
      </c>
      <c r="R37399" s="36" t="s">
        <v>48</v>
      </c>
    </row>
    <row r="37400">
      <c r="H37400" s="50"/>
      <c r="I37400" s="50"/>
      <c r="O37400" s="36" t="s">
        <v>48</v>
      </c>
      <c r="R37400" s="36" t="s">
        <v>48</v>
      </c>
    </row>
    <row r="37401">
      <c r="H37401" s="50"/>
      <c r="I37401" s="50"/>
      <c r="O37401" s="36" t="s">
        <v>48</v>
      </c>
      <c r="R37401" s="36" t="s">
        <v>48</v>
      </c>
    </row>
    <row r="37402">
      <c r="H37402" s="50"/>
      <c r="I37402" s="50"/>
      <c r="O37402" s="36" t="s">
        <v>48</v>
      </c>
      <c r="R37402" s="36" t="s">
        <v>48</v>
      </c>
    </row>
    <row r="37403">
      <c r="H37403" s="50"/>
      <c r="I37403" s="50"/>
      <c r="O37403" s="36" t="s">
        <v>48</v>
      </c>
      <c r="R37403" s="36" t="s">
        <v>48</v>
      </c>
    </row>
    <row r="37404">
      <c r="H37404" s="50"/>
      <c r="I37404" s="50"/>
      <c r="O37404" s="36" t="s">
        <v>48</v>
      </c>
      <c r="R37404" s="36" t="s">
        <v>48</v>
      </c>
    </row>
    <row r="37405">
      <c r="H37405" s="50"/>
      <c r="I37405" s="50"/>
      <c r="O37405" s="36" t="s">
        <v>48</v>
      </c>
      <c r="R37405" s="36" t="s">
        <v>48</v>
      </c>
    </row>
    <row r="37406">
      <c r="H37406" s="50"/>
      <c r="I37406" s="50"/>
      <c r="O37406" s="36" t="s">
        <v>48</v>
      </c>
      <c r="R37406" s="36" t="s">
        <v>48</v>
      </c>
    </row>
    <row r="37407">
      <c r="H37407" s="50"/>
      <c r="I37407" s="50"/>
      <c r="O37407" s="36" t="s">
        <v>48</v>
      </c>
      <c r="R37407" s="36" t="s">
        <v>48</v>
      </c>
    </row>
    <row r="37408">
      <c r="H37408" s="50"/>
      <c r="I37408" s="50"/>
      <c r="O37408" s="36" t="s">
        <v>48</v>
      </c>
      <c r="R37408" s="36" t="s">
        <v>48</v>
      </c>
    </row>
    <row r="37409">
      <c r="H37409" s="50"/>
      <c r="I37409" s="50"/>
      <c r="O37409" s="36" t="s">
        <v>48</v>
      </c>
      <c r="R37409" s="36" t="s">
        <v>48</v>
      </c>
    </row>
    <row r="37410">
      <c r="H37410" s="50"/>
      <c r="I37410" s="50"/>
      <c r="O37410" s="36" t="s">
        <v>48</v>
      </c>
      <c r="R37410" s="36" t="s">
        <v>48</v>
      </c>
    </row>
    <row r="37411">
      <c r="H37411" s="50"/>
      <c r="I37411" s="50"/>
      <c r="O37411" s="36" t="s">
        <v>48</v>
      </c>
      <c r="R37411" s="36" t="s">
        <v>48</v>
      </c>
    </row>
    <row r="37412">
      <c r="H37412" s="50"/>
      <c r="I37412" s="50"/>
      <c r="O37412" s="36" t="s">
        <v>48</v>
      </c>
      <c r="R37412" s="36" t="s">
        <v>48</v>
      </c>
    </row>
    <row r="37413">
      <c r="H37413" s="50"/>
      <c r="I37413" s="50"/>
      <c r="O37413" s="36" t="s">
        <v>48</v>
      </c>
      <c r="R37413" s="36" t="s">
        <v>48</v>
      </c>
    </row>
    <row r="37414">
      <c r="H37414" s="50"/>
      <c r="I37414" s="50"/>
      <c r="O37414" s="36" t="s">
        <v>48</v>
      </c>
      <c r="R37414" s="36" t="s">
        <v>48</v>
      </c>
    </row>
    <row r="37415">
      <c r="H37415" s="50"/>
      <c r="I37415" s="50"/>
      <c r="O37415" s="36" t="s">
        <v>48</v>
      </c>
      <c r="R37415" s="36" t="s">
        <v>48</v>
      </c>
    </row>
    <row r="37416">
      <c r="H37416" s="50"/>
      <c r="I37416" s="50"/>
      <c r="O37416" s="36" t="s">
        <v>48</v>
      </c>
      <c r="R37416" s="36" t="s">
        <v>48</v>
      </c>
    </row>
    <row r="37417">
      <c r="H37417" s="50"/>
      <c r="I37417" s="50"/>
      <c r="O37417" s="36" t="s">
        <v>48</v>
      </c>
      <c r="R37417" s="36" t="s">
        <v>48</v>
      </c>
    </row>
    <row r="37418">
      <c r="H37418" s="50"/>
      <c r="I37418" s="50"/>
      <c r="O37418" s="36" t="s">
        <v>48</v>
      </c>
      <c r="R37418" s="36" t="s">
        <v>48</v>
      </c>
    </row>
    <row r="37419">
      <c r="H37419" s="50"/>
      <c r="I37419" s="50"/>
      <c r="O37419" s="36" t="s">
        <v>48</v>
      </c>
      <c r="R37419" s="36" t="s">
        <v>48</v>
      </c>
    </row>
    <row r="37420">
      <c r="H37420" s="50"/>
      <c r="I37420" s="50"/>
      <c r="O37420" s="36" t="s">
        <v>48</v>
      </c>
      <c r="R37420" s="36" t="s">
        <v>48</v>
      </c>
    </row>
    <row r="37421">
      <c r="H37421" s="50"/>
      <c r="I37421" s="50"/>
      <c r="O37421" s="36" t="s">
        <v>48</v>
      </c>
      <c r="R37421" s="36" t="s">
        <v>48</v>
      </c>
    </row>
    <row r="37422">
      <c r="H37422" s="50"/>
      <c r="I37422" s="50"/>
      <c r="O37422" s="36" t="s">
        <v>48</v>
      </c>
      <c r="R37422" s="36" t="s">
        <v>48</v>
      </c>
    </row>
    <row r="37423">
      <c r="H37423" s="50"/>
      <c r="I37423" s="50"/>
      <c r="O37423" s="36" t="s">
        <v>48</v>
      </c>
      <c r="R37423" s="36" t="s">
        <v>48</v>
      </c>
    </row>
    <row r="37424">
      <c r="H37424" s="50"/>
      <c r="I37424" s="50"/>
      <c r="O37424" s="36" t="s">
        <v>48</v>
      </c>
      <c r="R37424" s="36" t="s">
        <v>48</v>
      </c>
    </row>
    <row r="37425">
      <c r="H37425" s="50"/>
      <c r="I37425" s="50"/>
      <c r="O37425" s="36" t="s">
        <v>48</v>
      </c>
      <c r="R37425" s="36" t="s">
        <v>48</v>
      </c>
    </row>
    <row r="37426">
      <c r="H37426" s="50"/>
      <c r="I37426" s="50"/>
      <c r="O37426" s="36" t="s">
        <v>48</v>
      </c>
      <c r="R37426" s="36" t="s">
        <v>48</v>
      </c>
    </row>
    <row r="37427">
      <c r="H37427" s="50"/>
      <c r="I37427" s="50"/>
      <c r="O37427" s="36" t="s">
        <v>48</v>
      </c>
      <c r="R37427" s="36" t="s">
        <v>48</v>
      </c>
    </row>
    <row r="37428">
      <c r="H37428" s="50"/>
      <c r="I37428" s="50"/>
      <c r="O37428" s="36" t="s">
        <v>48</v>
      </c>
      <c r="R37428" s="36" t="s">
        <v>48</v>
      </c>
    </row>
    <row r="37429">
      <c r="H37429" s="50"/>
      <c r="I37429" s="50"/>
      <c r="O37429" s="36" t="s">
        <v>48</v>
      </c>
      <c r="R37429" s="36" t="s">
        <v>48</v>
      </c>
    </row>
    <row r="37430">
      <c r="H37430" s="50"/>
      <c r="I37430" s="50"/>
      <c r="O37430" s="36" t="s">
        <v>48</v>
      </c>
      <c r="R37430" s="36" t="s">
        <v>48</v>
      </c>
    </row>
    <row r="37431">
      <c r="H37431" s="50"/>
      <c r="I37431" s="50"/>
      <c r="O37431" s="36" t="s">
        <v>48</v>
      </c>
      <c r="R37431" s="36" t="s">
        <v>48</v>
      </c>
    </row>
    <row r="37432">
      <c r="H37432" s="50"/>
      <c r="I37432" s="50"/>
      <c r="O37432" s="36" t="s">
        <v>48</v>
      </c>
      <c r="R37432" s="36" t="s">
        <v>48</v>
      </c>
    </row>
    <row r="37433">
      <c r="H37433" s="50"/>
      <c r="I37433" s="50"/>
      <c r="O37433" s="36" t="s">
        <v>48</v>
      </c>
      <c r="R37433" s="36" t="s">
        <v>48</v>
      </c>
    </row>
    <row r="37434">
      <c r="H37434" s="50"/>
      <c r="I37434" s="50"/>
      <c r="O37434" s="36" t="s">
        <v>48</v>
      </c>
      <c r="R37434" s="36" t="s">
        <v>48</v>
      </c>
    </row>
    <row r="37435">
      <c r="H37435" s="50"/>
      <c r="I37435" s="50"/>
      <c r="O37435" s="36" t="s">
        <v>48</v>
      </c>
      <c r="R37435" s="36" t="s">
        <v>48</v>
      </c>
    </row>
    <row r="37436">
      <c r="H37436" s="50"/>
      <c r="I37436" s="50"/>
      <c r="O37436" s="36" t="s">
        <v>48</v>
      </c>
      <c r="R37436" s="36" t="s">
        <v>48</v>
      </c>
    </row>
    <row r="37437">
      <c r="H37437" s="50"/>
      <c r="I37437" s="50"/>
      <c r="O37437" s="36" t="s">
        <v>48</v>
      </c>
      <c r="R37437" s="36" t="s">
        <v>48</v>
      </c>
    </row>
    <row r="37438">
      <c r="H37438" s="50"/>
      <c r="I37438" s="50"/>
      <c r="O37438" s="36" t="s">
        <v>48</v>
      </c>
      <c r="R37438" s="36" t="s">
        <v>48</v>
      </c>
    </row>
    <row r="37439">
      <c r="H37439" s="50"/>
      <c r="I37439" s="50"/>
      <c r="O37439" s="36" t="s">
        <v>48</v>
      </c>
      <c r="R37439" s="36" t="s">
        <v>48</v>
      </c>
    </row>
    <row r="37440">
      <c r="H37440" s="50"/>
      <c r="I37440" s="50"/>
      <c r="O37440" s="36" t="s">
        <v>48</v>
      </c>
      <c r="R37440" s="36" t="s">
        <v>48</v>
      </c>
    </row>
    <row r="37441">
      <c r="H37441" s="50"/>
      <c r="I37441" s="50"/>
      <c r="O37441" s="36" t="s">
        <v>48</v>
      </c>
      <c r="R37441" s="36" t="s">
        <v>48</v>
      </c>
    </row>
    <row r="37442">
      <c r="H37442" s="50"/>
      <c r="I37442" s="50"/>
      <c r="O37442" s="36" t="s">
        <v>48</v>
      </c>
      <c r="R37442" s="36" t="s">
        <v>48</v>
      </c>
    </row>
    <row r="37443">
      <c r="H37443" s="50"/>
      <c r="I37443" s="50"/>
      <c r="O37443" s="36" t="s">
        <v>48</v>
      </c>
      <c r="R37443" s="36" t="s">
        <v>48</v>
      </c>
    </row>
    <row r="37444">
      <c r="H37444" s="50"/>
      <c r="I37444" s="50"/>
      <c r="O37444" s="36" t="s">
        <v>48</v>
      </c>
      <c r="R37444" s="36" t="s">
        <v>48</v>
      </c>
    </row>
    <row r="37445">
      <c r="H37445" s="50"/>
      <c r="I37445" s="50"/>
      <c r="O37445" s="36" t="s">
        <v>48</v>
      </c>
      <c r="R37445" s="36" t="s">
        <v>48</v>
      </c>
    </row>
    <row r="37446">
      <c r="H37446" s="50"/>
      <c r="I37446" s="50"/>
      <c r="O37446" s="36" t="s">
        <v>48</v>
      </c>
      <c r="R37446" s="36" t="s">
        <v>48</v>
      </c>
    </row>
    <row r="37447">
      <c r="H37447" s="50"/>
      <c r="I37447" s="50"/>
      <c r="O37447" s="36" t="s">
        <v>48</v>
      </c>
      <c r="R37447" s="36" t="s">
        <v>48</v>
      </c>
    </row>
    <row r="37448">
      <c r="H37448" s="50"/>
      <c r="I37448" s="50"/>
      <c r="O37448" s="36" t="s">
        <v>48</v>
      </c>
      <c r="R37448" s="36" t="s">
        <v>48</v>
      </c>
    </row>
    <row r="37449">
      <c r="H37449" s="50"/>
      <c r="I37449" s="50"/>
      <c r="O37449" s="36" t="s">
        <v>48</v>
      </c>
      <c r="R37449" s="36" t="s">
        <v>48</v>
      </c>
    </row>
    <row r="37450">
      <c r="H37450" s="50"/>
      <c r="I37450" s="50"/>
      <c r="O37450" s="36" t="s">
        <v>48</v>
      </c>
      <c r="R37450" s="36" t="s">
        <v>48</v>
      </c>
    </row>
    <row r="37451">
      <c r="H37451" s="50"/>
      <c r="I37451" s="50"/>
      <c r="O37451" s="36" t="s">
        <v>48</v>
      </c>
      <c r="R37451" s="36" t="s">
        <v>48</v>
      </c>
    </row>
    <row r="37452">
      <c r="H37452" s="50"/>
      <c r="I37452" s="50"/>
      <c r="O37452" s="36" t="s">
        <v>48</v>
      </c>
      <c r="R37452" s="36" t="s">
        <v>48</v>
      </c>
    </row>
    <row r="37453">
      <c r="H37453" s="50"/>
      <c r="I37453" s="50"/>
      <c r="O37453" s="36" t="s">
        <v>48</v>
      </c>
      <c r="R37453" s="36" t="s">
        <v>48</v>
      </c>
    </row>
    <row r="37454">
      <c r="H37454" s="50"/>
      <c r="I37454" s="50"/>
      <c r="O37454" s="36" t="s">
        <v>48</v>
      </c>
      <c r="R37454" s="36" t="s">
        <v>48</v>
      </c>
    </row>
    <row r="37455">
      <c r="H37455" s="50"/>
      <c r="I37455" s="50"/>
      <c r="O37455" s="36" t="s">
        <v>48</v>
      </c>
      <c r="R37455" s="36" t="s">
        <v>48</v>
      </c>
    </row>
    <row r="37456">
      <c r="H37456" s="50"/>
      <c r="I37456" s="50"/>
      <c r="O37456" s="36" t="s">
        <v>48</v>
      </c>
      <c r="R37456" s="36" t="s">
        <v>48</v>
      </c>
    </row>
    <row r="37457">
      <c r="H37457" s="50"/>
      <c r="I37457" s="50"/>
      <c r="O37457" s="36" t="s">
        <v>48</v>
      </c>
      <c r="R37457" s="36" t="s">
        <v>48</v>
      </c>
    </row>
    <row r="37458">
      <c r="H37458" s="50"/>
      <c r="I37458" s="50"/>
      <c r="O37458" s="36" t="s">
        <v>48</v>
      </c>
      <c r="R37458" s="36" t="s">
        <v>48</v>
      </c>
    </row>
    <row r="37459">
      <c r="H37459" s="50"/>
      <c r="I37459" s="50"/>
      <c r="O37459" s="36" t="s">
        <v>48</v>
      </c>
      <c r="R37459" s="36" t="s">
        <v>48</v>
      </c>
    </row>
    <row r="37460">
      <c r="H37460" s="50"/>
      <c r="I37460" s="50"/>
      <c r="O37460" s="36" t="s">
        <v>48</v>
      </c>
      <c r="R37460" s="36" t="s">
        <v>48</v>
      </c>
    </row>
    <row r="37461">
      <c r="H37461" s="50"/>
      <c r="I37461" s="50"/>
      <c r="O37461" s="36" t="s">
        <v>48</v>
      </c>
      <c r="R37461" s="36" t="s">
        <v>48</v>
      </c>
    </row>
    <row r="37462">
      <c r="H37462" s="50"/>
      <c r="I37462" s="50"/>
      <c r="O37462" s="36" t="s">
        <v>48</v>
      </c>
      <c r="R37462" s="36" t="s">
        <v>48</v>
      </c>
    </row>
    <row r="37463">
      <c r="H37463" s="50"/>
      <c r="I37463" s="50"/>
      <c r="O37463" s="36" t="s">
        <v>48</v>
      </c>
      <c r="R37463" s="36" t="s">
        <v>48</v>
      </c>
    </row>
    <row r="37464">
      <c r="H37464" s="50"/>
      <c r="I37464" s="50"/>
      <c r="O37464" s="36" t="s">
        <v>48</v>
      </c>
      <c r="R37464" s="36" t="s">
        <v>48</v>
      </c>
    </row>
    <row r="37465">
      <c r="H37465" s="50"/>
      <c r="I37465" s="50"/>
      <c r="O37465" s="36" t="s">
        <v>48</v>
      </c>
      <c r="R37465" s="36" t="s">
        <v>48</v>
      </c>
    </row>
    <row r="37466">
      <c r="H37466" s="50"/>
      <c r="I37466" s="50"/>
      <c r="O37466" s="36" t="s">
        <v>48</v>
      </c>
      <c r="R37466" s="36" t="s">
        <v>48</v>
      </c>
    </row>
    <row r="37467">
      <c r="H37467" s="50"/>
      <c r="I37467" s="50"/>
      <c r="O37467" s="36" t="s">
        <v>48</v>
      </c>
      <c r="R37467" s="36" t="s">
        <v>48</v>
      </c>
    </row>
    <row r="37468">
      <c r="H37468" s="50"/>
      <c r="I37468" s="50"/>
      <c r="O37468" s="36" t="s">
        <v>48</v>
      </c>
      <c r="R37468" s="36" t="s">
        <v>48</v>
      </c>
    </row>
    <row r="37469">
      <c r="H37469" s="50"/>
      <c r="I37469" s="50"/>
      <c r="O37469" s="36" t="s">
        <v>48</v>
      </c>
      <c r="R37469" s="36" t="s">
        <v>48</v>
      </c>
    </row>
    <row r="37470">
      <c r="H37470" s="50"/>
      <c r="I37470" s="50"/>
      <c r="O37470" s="36" t="s">
        <v>48</v>
      </c>
      <c r="R37470" s="36" t="s">
        <v>48</v>
      </c>
    </row>
    <row r="37471">
      <c r="H37471" s="50"/>
      <c r="I37471" s="50"/>
      <c r="O37471" s="36" t="s">
        <v>48</v>
      </c>
      <c r="R37471" s="36" t="s">
        <v>48</v>
      </c>
    </row>
    <row r="37472">
      <c r="H37472" s="50"/>
      <c r="I37472" s="50"/>
      <c r="O37472" s="36" t="s">
        <v>48</v>
      </c>
      <c r="R37472" s="36" t="s">
        <v>48</v>
      </c>
    </row>
    <row r="37473">
      <c r="H37473" s="50"/>
      <c r="I37473" s="50"/>
      <c r="O37473" s="36" t="s">
        <v>48</v>
      </c>
      <c r="R37473" s="36" t="s">
        <v>48</v>
      </c>
    </row>
    <row r="37474">
      <c r="H37474" s="50"/>
      <c r="I37474" s="50"/>
      <c r="O37474" s="36" t="s">
        <v>48</v>
      </c>
      <c r="R37474" s="36" t="s">
        <v>48</v>
      </c>
    </row>
    <row r="37475">
      <c r="H37475" s="50"/>
      <c r="I37475" s="50"/>
      <c r="O37475" s="36" t="s">
        <v>48</v>
      </c>
      <c r="R37475" s="36" t="s">
        <v>48</v>
      </c>
    </row>
    <row r="37476">
      <c r="H37476" s="50"/>
      <c r="I37476" s="50"/>
      <c r="O37476" s="36" t="s">
        <v>48</v>
      </c>
      <c r="R37476" s="36" t="s">
        <v>48</v>
      </c>
    </row>
    <row r="37477">
      <c r="H37477" s="50"/>
      <c r="I37477" s="50"/>
      <c r="O37477" s="36" t="s">
        <v>48</v>
      </c>
      <c r="R37477" s="36" t="s">
        <v>48</v>
      </c>
    </row>
    <row r="37478">
      <c r="H37478" s="50"/>
      <c r="I37478" s="50"/>
      <c r="O37478" s="36" t="s">
        <v>48</v>
      </c>
      <c r="R37478" s="36" t="s">
        <v>48</v>
      </c>
    </row>
    <row r="37479">
      <c r="H37479" s="50"/>
      <c r="I37479" s="50"/>
      <c r="O37479" s="36" t="s">
        <v>48</v>
      </c>
      <c r="R37479" s="36" t="s">
        <v>48</v>
      </c>
    </row>
    <row r="37480">
      <c r="H37480" s="50"/>
      <c r="I37480" s="50"/>
      <c r="O37480" s="36" t="s">
        <v>48</v>
      </c>
      <c r="R37480" s="36" t="s">
        <v>48</v>
      </c>
    </row>
    <row r="37481">
      <c r="H37481" s="50"/>
      <c r="I37481" s="50"/>
      <c r="O37481" s="36" t="s">
        <v>48</v>
      </c>
      <c r="R37481" s="36" t="s">
        <v>48</v>
      </c>
    </row>
    <row r="37482">
      <c r="H37482" s="50"/>
      <c r="I37482" s="50"/>
      <c r="O37482" s="36" t="s">
        <v>48</v>
      </c>
      <c r="R37482" s="36" t="s">
        <v>48</v>
      </c>
    </row>
    <row r="37483">
      <c r="H37483" s="50"/>
      <c r="I37483" s="50"/>
      <c r="O37483" s="36" t="s">
        <v>48</v>
      </c>
      <c r="R37483" s="36" t="s">
        <v>48</v>
      </c>
    </row>
    <row r="37484">
      <c r="H37484" s="50"/>
      <c r="I37484" s="50"/>
      <c r="O37484" s="36" t="s">
        <v>48</v>
      </c>
      <c r="R37484" s="36" t="s">
        <v>48</v>
      </c>
    </row>
    <row r="37485">
      <c r="H37485" s="50"/>
      <c r="I37485" s="50"/>
      <c r="O37485" s="36" t="s">
        <v>48</v>
      </c>
      <c r="R37485" s="36" t="s">
        <v>48</v>
      </c>
    </row>
    <row r="37486">
      <c r="H37486" s="50"/>
      <c r="I37486" s="50"/>
      <c r="O37486" s="36" t="s">
        <v>48</v>
      </c>
      <c r="R37486" s="36" t="s">
        <v>48</v>
      </c>
    </row>
    <row r="37487">
      <c r="H37487" s="50"/>
      <c r="I37487" s="50"/>
      <c r="O37487" s="36" t="s">
        <v>48</v>
      </c>
      <c r="R37487" s="36" t="s">
        <v>48</v>
      </c>
    </row>
    <row r="37488">
      <c r="H37488" s="50"/>
      <c r="I37488" s="50"/>
      <c r="O37488" s="36" t="s">
        <v>48</v>
      </c>
      <c r="R37488" s="36" t="s">
        <v>48</v>
      </c>
    </row>
    <row r="37489">
      <c r="H37489" s="50"/>
      <c r="I37489" s="50"/>
      <c r="O37489" s="36" t="s">
        <v>48</v>
      </c>
      <c r="R37489" s="36" t="s">
        <v>48</v>
      </c>
    </row>
    <row r="37490">
      <c r="H37490" s="50"/>
      <c r="I37490" s="50"/>
      <c r="O37490" s="36" t="s">
        <v>48</v>
      </c>
      <c r="R37490" s="36" t="s">
        <v>48</v>
      </c>
    </row>
    <row r="37491">
      <c r="H37491" s="50"/>
      <c r="I37491" s="50"/>
      <c r="O37491" s="36" t="s">
        <v>48</v>
      </c>
      <c r="R37491" s="36" t="s">
        <v>48</v>
      </c>
    </row>
    <row r="37492">
      <c r="H37492" s="50"/>
      <c r="I37492" s="50"/>
      <c r="O37492" s="36" t="s">
        <v>48</v>
      </c>
      <c r="R37492" s="36" t="s">
        <v>48</v>
      </c>
    </row>
    <row r="37493">
      <c r="H37493" s="50"/>
      <c r="I37493" s="50"/>
      <c r="O37493" s="36" t="s">
        <v>48</v>
      </c>
      <c r="R37493" s="36" t="s">
        <v>48</v>
      </c>
    </row>
    <row r="37494">
      <c r="H37494" s="50"/>
      <c r="I37494" s="50"/>
      <c r="O37494" s="36" t="s">
        <v>48</v>
      </c>
      <c r="R37494" s="36" t="s">
        <v>48</v>
      </c>
    </row>
    <row r="37495">
      <c r="H37495" s="50"/>
      <c r="I37495" s="50"/>
      <c r="O37495" s="36" t="s">
        <v>48</v>
      </c>
      <c r="R37495" s="36" t="s">
        <v>48</v>
      </c>
    </row>
    <row r="37496">
      <c r="H37496" s="50"/>
      <c r="I37496" s="50"/>
      <c r="O37496" s="36" t="s">
        <v>48</v>
      </c>
      <c r="R37496" s="36" t="s">
        <v>48</v>
      </c>
    </row>
    <row r="37497">
      <c r="H37497" s="50"/>
      <c r="I37497" s="50"/>
      <c r="O37497" s="36" t="s">
        <v>48</v>
      </c>
      <c r="R37497" s="36" t="s">
        <v>48</v>
      </c>
    </row>
    <row r="37498">
      <c r="H37498" s="50"/>
      <c r="I37498" s="50"/>
      <c r="O37498" s="36" t="s">
        <v>48</v>
      </c>
      <c r="R37498" s="36" t="s">
        <v>48</v>
      </c>
    </row>
    <row r="37499">
      <c r="H37499" s="50"/>
      <c r="I37499" s="50"/>
      <c r="O37499" s="36" t="s">
        <v>48</v>
      </c>
      <c r="R37499" s="36" t="s">
        <v>48</v>
      </c>
    </row>
    <row r="37500">
      <c r="H37500" s="50"/>
      <c r="I37500" s="50"/>
      <c r="O37500" s="36" t="s">
        <v>48</v>
      </c>
      <c r="R37500" s="36" t="s">
        <v>48</v>
      </c>
    </row>
    <row r="37501">
      <c r="H37501" s="50"/>
      <c r="I37501" s="50"/>
      <c r="O37501" s="36" t="s">
        <v>48</v>
      </c>
      <c r="R37501" s="36" t="s">
        <v>48</v>
      </c>
    </row>
    <row r="37502">
      <c r="H37502" s="50"/>
      <c r="I37502" s="50"/>
      <c r="O37502" s="36" t="s">
        <v>48</v>
      </c>
      <c r="R37502" s="36" t="s">
        <v>48</v>
      </c>
    </row>
    <row r="37503">
      <c r="H37503" s="50"/>
      <c r="I37503" s="50"/>
      <c r="O37503" s="36" t="s">
        <v>48</v>
      </c>
      <c r="R37503" s="36" t="s">
        <v>48</v>
      </c>
    </row>
    <row r="37504">
      <c r="H37504" s="50"/>
      <c r="I37504" s="50"/>
      <c r="O37504" s="36" t="s">
        <v>48</v>
      </c>
      <c r="R37504" s="36" t="s">
        <v>48</v>
      </c>
    </row>
    <row r="37505">
      <c r="H37505" s="50"/>
      <c r="I37505" s="50"/>
      <c r="O37505" s="36" t="s">
        <v>48</v>
      </c>
      <c r="R37505" s="36" t="s">
        <v>48</v>
      </c>
    </row>
    <row r="37506">
      <c r="H37506" s="50"/>
      <c r="I37506" s="50"/>
      <c r="O37506" s="36" t="s">
        <v>48</v>
      </c>
      <c r="R37506" s="36" t="s">
        <v>48</v>
      </c>
    </row>
    <row r="37507">
      <c r="H37507" s="50"/>
      <c r="I37507" s="50"/>
      <c r="O37507" s="36" t="s">
        <v>48</v>
      </c>
      <c r="R37507" s="36" t="s">
        <v>48</v>
      </c>
    </row>
    <row r="37508">
      <c r="H37508" s="50"/>
      <c r="I37508" s="50"/>
      <c r="O37508" s="36" t="s">
        <v>48</v>
      </c>
      <c r="R37508" s="36" t="s">
        <v>48</v>
      </c>
    </row>
    <row r="37509">
      <c r="H37509" s="50"/>
      <c r="I37509" s="50"/>
      <c r="O37509" s="36" t="s">
        <v>48</v>
      </c>
      <c r="R37509" s="36" t="s">
        <v>48</v>
      </c>
    </row>
    <row r="37510">
      <c r="H37510" s="50"/>
      <c r="I37510" s="50"/>
      <c r="O37510" s="36" t="s">
        <v>48</v>
      </c>
      <c r="R37510" s="36" t="s">
        <v>48</v>
      </c>
    </row>
    <row r="37511">
      <c r="H37511" s="50"/>
      <c r="I37511" s="50"/>
      <c r="O37511" s="36" t="s">
        <v>48</v>
      </c>
      <c r="R37511" s="36" t="s">
        <v>48</v>
      </c>
    </row>
    <row r="37512">
      <c r="H37512" s="50"/>
      <c r="I37512" s="50"/>
      <c r="O37512" s="36" t="s">
        <v>48</v>
      </c>
      <c r="R37512" s="36" t="s">
        <v>48</v>
      </c>
    </row>
    <row r="37513">
      <c r="H37513" s="50"/>
      <c r="I37513" s="50"/>
      <c r="O37513" s="36" t="s">
        <v>48</v>
      </c>
      <c r="R37513" s="36" t="s">
        <v>48</v>
      </c>
    </row>
    <row r="37514">
      <c r="H37514" s="50"/>
      <c r="I37514" s="50"/>
      <c r="O37514" s="36" t="s">
        <v>48</v>
      </c>
      <c r="R37514" s="36" t="s">
        <v>48</v>
      </c>
    </row>
    <row r="37515">
      <c r="H37515" s="50"/>
      <c r="I37515" s="50"/>
      <c r="O37515" s="36" t="s">
        <v>48</v>
      </c>
      <c r="R37515" s="36" t="s">
        <v>48</v>
      </c>
    </row>
    <row r="37516">
      <c r="H37516" s="50"/>
      <c r="I37516" s="50"/>
      <c r="O37516" s="36" t="s">
        <v>48</v>
      </c>
      <c r="R37516" s="36" t="s">
        <v>48</v>
      </c>
    </row>
    <row r="37517">
      <c r="H37517" s="50"/>
      <c r="I37517" s="50"/>
      <c r="O37517" s="36" t="s">
        <v>48</v>
      </c>
      <c r="R37517" s="36" t="s">
        <v>48</v>
      </c>
    </row>
    <row r="37518">
      <c r="H37518" s="50"/>
      <c r="I37518" s="50"/>
      <c r="O37518" s="36" t="s">
        <v>48</v>
      </c>
      <c r="R37518" s="36" t="s">
        <v>48</v>
      </c>
    </row>
    <row r="37519">
      <c r="H37519" s="50"/>
      <c r="I37519" s="50"/>
      <c r="O37519" s="36" t="s">
        <v>48</v>
      </c>
      <c r="R37519" s="36" t="s">
        <v>48</v>
      </c>
    </row>
    <row r="37520">
      <c r="H37520" s="50"/>
      <c r="I37520" s="50"/>
      <c r="O37520" s="36" t="s">
        <v>48</v>
      </c>
      <c r="R37520" s="36" t="s">
        <v>48</v>
      </c>
    </row>
    <row r="37521">
      <c r="H37521" s="50"/>
      <c r="I37521" s="50"/>
      <c r="O37521" s="36" t="s">
        <v>48</v>
      </c>
      <c r="R37521" s="36" t="s">
        <v>48</v>
      </c>
    </row>
    <row r="37522">
      <c r="H37522" s="50"/>
      <c r="I37522" s="50"/>
      <c r="O37522" s="36" t="s">
        <v>48</v>
      </c>
      <c r="R37522" s="36" t="s">
        <v>48</v>
      </c>
    </row>
    <row r="37523">
      <c r="H37523" s="50"/>
      <c r="I37523" s="50"/>
      <c r="O37523" s="36" t="s">
        <v>48</v>
      </c>
      <c r="R37523" s="36" t="s">
        <v>48</v>
      </c>
    </row>
    <row r="37524">
      <c r="H37524" s="50"/>
      <c r="I37524" s="50"/>
      <c r="O37524" s="36" t="s">
        <v>48</v>
      </c>
      <c r="R37524" s="36" t="s">
        <v>48</v>
      </c>
    </row>
    <row r="37525">
      <c r="H37525" s="50"/>
      <c r="I37525" s="50"/>
      <c r="O37525" s="36" t="s">
        <v>48</v>
      </c>
      <c r="R37525" s="36" t="s">
        <v>48</v>
      </c>
    </row>
    <row r="37526">
      <c r="H37526" s="50"/>
      <c r="I37526" s="50"/>
      <c r="O37526" s="36" t="s">
        <v>48</v>
      </c>
      <c r="R37526" s="36" t="s">
        <v>48</v>
      </c>
    </row>
    <row r="37527">
      <c r="H37527" s="50"/>
      <c r="I37527" s="50"/>
      <c r="O37527" s="36" t="s">
        <v>48</v>
      </c>
      <c r="R37527" s="36" t="s">
        <v>48</v>
      </c>
    </row>
    <row r="37528">
      <c r="H37528" s="50"/>
      <c r="I37528" s="50"/>
      <c r="O37528" s="36" t="s">
        <v>48</v>
      </c>
      <c r="R37528" s="36" t="s">
        <v>48</v>
      </c>
    </row>
    <row r="37529">
      <c r="H37529" s="50"/>
      <c r="I37529" s="50"/>
      <c r="O37529" s="36" t="s">
        <v>48</v>
      </c>
      <c r="R37529" s="36" t="s">
        <v>48</v>
      </c>
    </row>
    <row r="37530">
      <c r="H37530" s="50"/>
      <c r="I37530" s="50"/>
      <c r="O37530" s="36" t="s">
        <v>48</v>
      </c>
      <c r="R37530" s="36" t="s">
        <v>48</v>
      </c>
    </row>
    <row r="37531">
      <c r="H37531" s="50"/>
      <c r="I37531" s="50"/>
      <c r="O37531" s="36" t="s">
        <v>48</v>
      </c>
      <c r="R37531" s="36" t="s">
        <v>48</v>
      </c>
    </row>
    <row r="37532">
      <c r="H37532" s="50"/>
      <c r="I37532" s="50"/>
      <c r="O37532" s="36" t="s">
        <v>48</v>
      </c>
      <c r="R37532" s="36" t="s">
        <v>48</v>
      </c>
    </row>
    <row r="37533">
      <c r="H37533" s="50"/>
      <c r="I37533" s="50"/>
      <c r="O37533" s="36" t="s">
        <v>48</v>
      </c>
      <c r="R37533" s="36" t="s">
        <v>48</v>
      </c>
    </row>
    <row r="37534">
      <c r="H37534" s="50"/>
      <c r="I37534" s="50"/>
      <c r="O37534" s="36" t="s">
        <v>48</v>
      </c>
      <c r="R37534" s="36" t="s">
        <v>48</v>
      </c>
    </row>
    <row r="37535">
      <c r="H37535" s="50"/>
      <c r="I37535" s="50"/>
      <c r="O37535" s="36" t="s">
        <v>48</v>
      </c>
      <c r="R37535" s="36" t="s">
        <v>48</v>
      </c>
    </row>
    <row r="37536">
      <c r="H37536" s="50"/>
      <c r="I37536" s="50"/>
      <c r="O37536" s="36" t="s">
        <v>48</v>
      </c>
      <c r="R37536" s="36" t="s">
        <v>48</v>
      </c>
    </row>
    <row r="37537">
      <c r="H37537" s="50"/>
      <c r="I37537" s="50"/>
      <c r="O37537" s="36" t="s">
        <v>48</v>
      </c>
      <c r="R37537" s="36" t="s">
        <v>48</v>
      </c>
    </row>
    <row r="37538">
      <c r="H37538" s="50"/>
      <c r="I37538" s="50"/>
      <c r="O37538" s="36" t="s">
        <v>48</v>
      </c>
      <c r="R37538" s="36" t="s">
        <v>48</v>
      </c>
    </row>
    <row r="37539">
      <c r="H37539" s="50"/>
      <c r="I37539" s="50"/>
      <c r="O37539" s="36" t="s">
        <v>48</v>
      </c>
      <c r="R37539" s="36" t="s">
        <v>48</v>
      </c>
    </row>
    <row r="37540">
      <c r="H37540" s="50"/>
      <c r="I37540" s="50"/>
      <c r="O37540" s="36" t="s">
        <v>48</v>
      </c>
      <c r="R37540" s="36" t="s">
        <v>48</v>
      </c>
    </row>
    <row r="37541">
      <c r="H37541" s="50"/>
      <c r="I37541" s="50"/>
      <c r="O37541" s="36" t="s">
        <v>48</v>
      </c>
      <c r="R37541" s="36" t="s">
        <v>48</v>
      </c>
    </row>
    <row r="37542">
      <c r="H37542" s="50"/>
      <c r="I37542" s="50"/>
      <c r="O37542" s="36" t="s">
        <v>48</v>
      </c>
      <c r="R37542" s="36" t="s">
        <v>48</v>
      </c>
    </row>
    <row r="37543">
      <c r="H37543" s="50"/>
      <c r="I37543" s="50"/>
      <c r="O37543" s="36" t="s">
        <v>48</v>
      </c>
      <c r="R37543" s="36" t="s">
        <v>48</v>
      </c>
    </row>
    <row r="37544">
      <c r="H37544" s="50"/>
      <c r="I37544" s="50"/>
      <c r="O37544" s="36" t="s">
        <v>48</v>
      </c>
      <c r="R37544" s="36" t="s">
        <v>48</v>
      </c>
    </row>
    <row r="37545">
      <c r="H37545" s="50"/>
      <c r="I37545" s="50"/>
      <c r="O37545" s="36" t="s">
        <v>48</v>
      </c>
      <c r="R37545" s="36" t="s">
        <v>48</v>
      </c>
    </row>
    <row r="37546">
      <c r="H37546" s="50"/>
      <c r="I37546" s="50"/>
      <c r="O37546" s="36" t="s">
        <v>48</v>
      </c>
      <c r="R37546" s="36" t="s">
        <v>48</v>
      </c>
    </row>
    <row r="37547">
      <c r="H37547" s="50"/>
      <c r="I37547" s="50"/>
      <c r="O37547" s="36" t="s">
        <v>48</v>
      </c>
      <c r="R37547" s="36" t="s">
        <v>48</v>
      </c>
    </row>
    <row r="37548">
      <c r="H37548" s="50"/>
      <c r="I37548" s="50"/>
      <c r="O37548" s="36" t="s">
        <v>48</v>
      </c>
      <c r="R37548" s="36" t="s">
        <v>48</v>
      </c>
    </row>
    <row r="37549">
      <c r="H37549" s="50"/>
      <c r="I37549" s="50"/>
      <c r="O37549" s="36" t="s">
        <v>48</v>
      </c>
      <c r="R37549" s="36" t="s">
        <v>48</v>
      </c>
    </row>
    <row r="37550">
      <c r="H37550" s="50"/>
      <c r="I37550" s="50"/>
      <c r="O37550" s="36" t="s">
        <v>48</v>
      </c>
      <c r="R37550" s="36" t="s">
        <v>48</v>
      </c>
    </row>
    <row r="37551">
      <c r="H37551" s="50"/>
      <c r="I37551" s="50"/>
      <c r="O37551" s="36" t="s">
        <v>48</v>
      </c>
      <c r="R37551" s="36" t="s">
        <v>48</v>
      </c>
    </row>
    <row r="37552">
      <c r="H37552" s="50"/>
      <c r="I37552" s="50"/>
      <c r="O37552" s="36" t="s">
        <v>48</v>
      </c>
      <c r="R37552" s="36" t="s">
        <v>48</v>
      </c>
    </row>
    <row r="37553">
      <c r="H37553" s="50"/>
      <c r="I37553" s="50"/>
      <c r="O37553" s="36" t="s">
        <v>48</v>
      </c>
      <c r="R37553" s="36" t="s">
        <v>48</v>
      </c>
    </row>
    <row r="37554">
      <c r="H37554" s="50"/>
      <c r="I37554" s="50"/>
      <c r="O37554" s="36" t="s">
        <v>48</v>
      </c>
      <c r="R37554" s="36" t="s">
        <v>48</v>
      </c>
    </row>
    <row r="37555">
      <c r="H37555" s="50"/>
      <c r="I37555" s="50"/>
      <c r="O37555" s="36" t="s">
        <v>48</v>
      </c>
      <c r="R37555" s="36" t="s">
        <v>48</v>
      </c>
    </row>
    <row r="37556">
      <c r="H37556" s="50"/>
      <c r="I37556" s="50"/>
      <c r="O37556" s="36" t="s">
        <v>48</v>
      </c>
      <c r="R37556" s="36" t="s">
        <v>48</v>
      </c>
    </row>
    <row r="37557">
      <c r="H37557" s="50"/>
      <c r="I37557" s="50"/>
      <c r="O37557" s="36" t="s">
        <v>48</v>
      </c>
      <c r="R37557" s="36" t="s">
        <v>48</v>
      </c>
    </row>
    <row r="37558">
      <c r="H37558" s="50"/>
      <c r="I37558" s="50"/>
      <c r="O37558" s="36" t="s">
        <v>48</v>
      </c>
      <c r="R37558" s="36" t="s">
        <v>48</v>
      </c>
    </row>
    <row r="37559">
      <c r="H37559" s="50"/>
      <c r="I37559" s="50"/>
      <c r="O37559" s="36" t="s">
        <v>48</v>
      </c>
      <c r="R37559" s="36" t="s">
        <v>48</v>
      </c>
    </row>
    <row r="37560">
      <c r="H37560" s="50"/>
      <c r="I37560" s="50"/>
      <c r="O37560" s="36" t="s">
        <v>48</v>
      </c>
      <c r="R37560" s="36" t="s">
        <v>48</v>
      </c>
    </row>
    <row r="37561">
      <c r="H37561" s="50"/>
      <c r="I37561" s="50"/>
      <c r="O37561" s="36" t="s">
        <v>48</v>
      </c>
      <c r="R37561" s="36" t="s">
        <v>48</v>
      </c>
    </row>
    <row r="37562">
      <c r="H37562" s="50"/>
      <c r="I37562" s="50"/>
      <c r="O37562" s="36" t="s">
        <v>48</v>
      </c>
      <c r="R37562" s="36" t="s">
        <v>48</v>
      </c>
    </row>
    <row r="37563">
      <c r="H37563" s="50"/>
      <c r="I37563" s="50"/>
      <c r="O37563" s="36" t="s">
        <v>48</v>
      </c>
      <c r="R37563" s="36" t="s">
        <v>48</v>
      </c>
    </row>
    <row r="37564">
      <c r="H37564" s="50"/>
      <c r="I37564" s="50"/>
      <c r="O37564" s="36" t="s">
        <v>48</v>
      </c>
      <c r="R37564" s="36" t="s">
        <v>48</v>
      </c>
    </row>
    <row r="37565">
      <c r="H37565" s="50"/>
      <c r="I37565" s="50"/>
      <c r="O37565" s="36" t="s">
        <v>48</v>
      </c>
      <c r="R37565" s="36" t="s">
        <v>48</v>
      </c>
    </row>
    <row r="37566">
      <c r="H37566" s="50"/>
      <c r="I37566" s="50"/>
      <c r="O37566" s="36" t="s">
        <v>48</v>
      </c>
      <c r="R37566" s="36" t="s">
        <v>48</v>
      </c>
    </row>
    <row r="37567">
      <c r="H37567" s="50"/>
      <c r="I37567" s="50"/>
      <c r="O37567" s="36" t="s">
        <v>48</v>
      </c>
      <c r="R37567" s="36" t="s">
        <v>48</v>
      </c>
    </row>
    <row r="37568">
      <c r="H37568" s="50"/>
      <c r="I37568" s="50"/>
      <c r="O37568" s="36" t="s">
        <v>48</v>
      </c>
      <c r="R37568" s="36" t="s">
        <v>48</v>
      </c>
    </row>
    <row r="37569">
      <c r="H37569" s="50"/>
      <c r="I37569" s="50"/>
      <c r="O37569" s="36" t="s">
        <v>48</v>
      </c>
      <c r="R37569" s="36" t="s">
        <v>48</v>
      </c>
    </row>
    <row r="37570">
      <c r="H37570" s="50"/>
      <c r="I37570" s="50"/>
      <c r="O37570" s="36" t="s">
        <v>48</v>
      </c>
      <c r="R37570" s="36" t="s">
        <v>48</v>
      </c>
    </row>
    <row r="37571">
      <c r="H37571" s="50"/>
      <c r="I37571" s="50"/>
      <c r="O37571" s="36" t="s">
        <v>48</v>
      </c>
      <c r="R37571" s="36" t="s">
        <v>48</v>
      </c>
    </row>
    <row r="37572">
      <c r="H37572" s="50"/>
      <c r="I37572" s="50"/>
      <c r="O37572" s="36" t="s">
        <v>48</v>
      </c>
      <c r="R37572" s="36" t="s">
        <v>48</v>
      </c>
    </row>
    <row r="37573">
      <c r="H37573" s="50"/>
      <c r="I37573" s="50"/>
      <c r="O37573" s="36" t="s">
        <v>48</v>
      </c>
      <c r="R37573" s="36" t="s">
        <v>48</v>
      </c>
    </row>
    <row r="37574">
      <c r="H37574" s="50"/>
      <c r="I37574" s="50"/>
      <c r="O37574" s="36" t="s">
        <v>48</v>
      </c>
      <c r="R37574" s="36" t="s">
        <v>48</v>
      </c>
    </row>
    <row r="37575">
      <c r="H37575" s="50"/>
      <c r="I37575" s="50"/>
      <c r="O37575" s="36" t="s">
        <v>48</v>
      </c>
      <c r="R37575" s="36" t="s">
        <v>48</v>
      </c>
    </row>
    <row r="37576">
      <c r="H37576" s="50"/>
      <c r="I37576" s="50"/>
      <c r="O37576" s="36" t="s">
        <v>48</v>
      </c>
      <c r="R37576" s="36" t="s">
        <v>48</v>
      </c>
    </row>
    <row r="37577">
      <c r="H37577" s="50"/>
      <c r="I37577" s="50"/>
      <c r="O37577" s="36" t="s">
        <v>48</v>
      </c>
      <c r="R37577" s="36" t="s">
        <v>48</v>
      </c>
    </row>
    <row r="37578">
      <c r="H37578" s="50"/>
      <c r="I37578" s="50"/>
      <c r="O37578" s="36" t="s">
        <v>48</v>
      </c>
      <c r="R37578" s="36" t="s">
        <v>48</v>
      </c>
    </row>
    <row r="37579">
      <c r="H37579" s="50"/>
      <c r="I37579" s="50"/>
      <c r="O37579" s="36" t="s">
        <v>48</v>
      </c>
      <c r="R37579" s="36" t="s">
        <v>48</v>
      </c>
    </row>
    <row r="37580">
      <c r="H37580" s="50"/>
      <c r="I37580" s="50"/>
      <c r="O37580" s="36" t="s">
        <v>48</v>
      </c>
      <c r="R37580" s="36" t="s">
        <v>48</v>
      </c>
    </row>
    <row r="37581">
      <c r="H37581" s="50"/>
      <c r="I37581" s="50"/>
      <c r="O37581" s="36" t="s">
        <v>48</v>
      </c>
      <c r="R37581" s="36" t="s">
        <v>48</v>
      </c>
    </row>
    <row r="37582">
      <c r="H37582" s="50"/>
      <c r="I37582" s="50"/>
      <c r="O37582" s="36" t="s">
        <v>48</v>
      </c>
      <c r="R37582" s="36" t="s">
        <v>48</v>
      </c>
    </row>
    <row r="37583">
      <c r="H37583" s="50"/>
      <c r="I37583" s="50"/>
      <c r="O37583" s="36" t="s">
        <v>48</v>
      </c>
      <c r="R37583" s="36" t="s">
        <v>48</v>
      </c>
    </row>
    <row r="37584">
      <c r="H37584" s="50"/>
      <c r="I37584" s="50"/>
      <c r="O37584" s="36" t="s">
        <v>48</v>
      </c>
      <c r="R37584" s="36" t="s">
        <v>48</v>
      </c>
    </row>
    <row r="37585">
      <c r="H37585" s="50"/>
      <c r="I37585" s="50"/>
      <c r="O37585" s="36" t="s">
        <v>48</v>
      </c>
      <c r="R37585" s="36" t="s">
        <v>48</v>
      </c>
    </row>
    <row r="37586">
      <c r="H37586" s="50"/>
      <c r="I37586" s="50"/>
      <c r="O37586" s="36" t="s">
        <v>48</v>
      </c>
      <c r="R37586" s="36" t="s">
        <v>48</v>
      </c>
    </row>
    <row r="37587">
      <c r="H37587" s="50"/>
      <c r="I37587" s="50"/>
      <c r="O37587" s="36" t="s">
        <v>48</v>
      </c>
      <c r="R37587" s="36" t="s">
        <v>48</v>
      </c>
    </row>
    <row r="37588">
      <c r="H37588" s="50"/>
      <c r="I37588" s="50"/>
      <c r="O37588" s="36" t="s">
        <v>48</v>
      </c>
      <c r="R37588" s="36" t="s">
        <v>48</v>
      </c>
    </row>
    <row r="37589">
      <c r="H37589" s="50"/>
      <c r="I37589" s="50"/>
      <c r="O37589" s="36" t="s">
        <v>48</v>
      </c>
      <c r="R37589" s="36" t="s">
        <v>48</v>
      </c>
    </row>
    <row r="37590">
      <c r="H37590" s="50"/>
      <c r="I37590" s="50"/>
      <c r="O37590" s="36" t="s">
        <v>48</v>
      </c>
      <c r="R37590" s="36" t="s">
        <v>48</v>
      </c>
    </row>
    <row r="37591">
      <c r="H37591" s="50"/>
      <c r="I37591" s="50"/>
      <c r="O37591" s="36" t="s">
        <v>48</v>
      </c>
      <c r="R37591" s="36" t="s">
        <v>48</v>
      </c>
    </row>
    <row r="37592">
      <c r="H37592" s="50"/>
      <c r="I37592" s="50"/>
      <c r="O37592" s="36" t="s">
        <v>48</v>
      </c>
      <c r="R37592" s="36" t="s">
        <v>48</v>
      </c>
    </row>
    <row r="37593">
      <c r="H37593" s="50"/>
      <c r="I37593" s="50"/>
      <c r="O37593" s="36" t="s">
        <v>48</v>
      </c>
      <c r="R37593" s="36" t="s">
        <v>48</v>
      </c>
    </row>
    <row r="37594">
      <c r="H37594" s="50"/>
      <c r="I37594" s="50"/>
      <c r="O37594" s="36" t="s">
        <v>48</v>
      </c>
      <c r="R37594" s="36" t="s">
        <v>48</v>
      </c>
    </row>
    <row r="37595">
      <c r="H37595" s="50"/>
      <c r="I37595" s="50"/>
      <c r="O37595" s="36" t="s">
        <v>48</v>
      </c>
      <c r="R37595" s="36" t="s">
        <v>48</v>
      </c>
    </row>
    <row r="37596">
      <c r="H37596" s="50"/>
      <c r="I37596" s="50"/>
      <c r="O37596" s="36" t="s">
        <v>48</v>
      </c>
      <c r="R37596" s="36" t="s">
        <v>48</v>
      </c>
    </row>
    <row r="37597">
      <c r="H37597" s="50"/>
      <c r="I37597" s="50"/>
      <c r="O37597" s="36" t="s">
        <v>48</v>
      </c>
      <c r="R37597" s="36" t="s">
        <v>48</v>
      </c>
    </row>
    <row r="37598">
      <c r="H37598" s="50"/>
      <c r="I37598" s="50"/>
      <c r="O37598" s="36" t="s">
        <v>48</v>
      </c>
      <c r="R37598" s="36" t="s">
        <v>48</v>
      </c>
    </row>
    <row r="37599">
      <c r="H37599" s="50"/>
      <c r="I37599" s="50"/>
      <c r="O37599" s="36" t="s">
        <v>48</v>
      </c>
      <c r="R37599" s="36" t="s">
        <v>48</v>
      </c>
    </row>
    <row r="37600">
      <c r="H37600" s="50"/>
      <c r="I37600" s="50"/>
      <c r="O37600" s="36" t="s">
        <v>48</v>
      </c>
      <c r="R37600" s="36" t="s">
        <v>48</v>
      </c>
    </row>
    <row r="37601">
      <c r="H37601" s="50"/>
      <c r="I37601" s="50"/>
      <c r="O37601" s="36" t="s">
        <v>48</v>
      </c>
      <c r="R37601" s="36" t="s">
        <v>48</v>
      </c>
    </row>
    <row r="37602">
      <c r="H37602" s="50"/>
      <c r="I37602" s="50"/>
      <c r="O37602" s="36" t="s">
        <v>48</v>
      </c>
      <c r="R37602" s="36" t="s">
        <v>48</v>
      </c>
    </row>
    <row r="37603">
      <c r="H37603" s="50"/>
      <c r="I37603" s="50"/>
      <c r="O37603" s="36" t="s">
        <v>48</v>
      </c>
      <c r="R37603" s="36" t="s">
        <v>48</v>
      </c>
    </row>
    <row r="37604">
      <c r="H37604" s="50"/>
      <c r="I37604" s="50"/>
      <c r="O37604" s="36" t="s">
        <v>48</v>
      </c>
      <c r="R37604" s="36" t="s">
        <v>48</v>
      </c>
    </row>
    <row r="37605">
      <c r="H37605" s="50"/>
      <c r="I37605" s="50"/>
      <c r="O37605" s="36" t="s">
        <v>48</v>
      </c>
      <c r="R37605" s="36" t="s">
        <v>48</v>
      </c>
    </row>
    <row r="37606">
      <c r="H37606" s="50"/>
      <c r="I37606" s="50"/>
      <c r="O37606" s="36" t="s">
        <v>48</v>
      </c>
      <c r="R37606" s="36" t="s">
        <v>48</v>
      </c>
    </row>
    <row r="37607">
      <c r="H37607" s="50"/>
      <c r="I37607" s="50"/>
      <c r="O37607" s="36" t="s">
        <v>48</v>
      </c>
      <c r="R37607" s="36" t="s">
        <v>48</v>
      </c>
    </row>
    <row r="37608">
      <c r="H37608" s="50"/>
      <c r="I37608" s="50"/>
      <c r="O37608" s="36" t="s">
        <v>48</v>
      </c>
      <c r="R37608" s="36" t="s">
        <v>48</v>
      </c>
    </row>
    <row r="37609">
      <c r="H37609" s="50"/>
      <c r="I37609" s="50"/>
      <c r="O37609" s="36" t="s">
        <v>48</v>
      </c>
      <c r="R37609" s="36" t="s">
        <v>48</v>
      </c>
    </row>
    <row r="37610">
      <c r="H37610" s="50"/>
      <c r="I37610" s="50"/>
      <c r="O37610" s="36" t="s">
        <v>48</v>
      </c>
      <c r="R37610" s="36" t="s">
        <v>48</v>
      </c>
    </row>
    <row r="37611">
      <c r="H37611" s="50"/>
      <c r="I37611" s="50"/>
      <c r="O37611" s="36" t="s">
        <v>48</v>
      </c>
      <c r="R37611" s="36" t="s">
        <v>48</v>
      </c>
    </row>
    <row r="37612">
      <c r="H37612" s="50"/>
      <c r="I37612" s="50"/>
      <c r="O37612" s="36" t="s">
        <v>48</v>
      </c>
      <c r="R37612" s="36" t="s">
        <v>48</v>
      </c>
    </row>
    <row r="37613">
      <c r="H37613" s="50"/>
      <c r="I37613" s="50"/>
      <c r="O37613" s="36" t="s">
        <v>48</v>
      </c>
      <c r="R37613" s="36" t="s">
        <v>48</v>
      </c>
    </row>
    <row r="37614">
      <c r="H37614" s="50"/>
      <c r="I37614" s="50"/>
      <c r="O37614" s="36" t="s">
        <v>48</v>
      </c>
      <c r="R37614" s="36" t="s">
        <v>48</v>
      </c>
    </row>
    <row r="37615">
      <c r="H37615" s="50"/>
      <c r="I37615" s="50"/>
      <c r="O37615" s="36" t="s">
        <v>48</v>
      </c>
      <c r="R37615" s="36" t="s">
        <v>48</v>
      </c>
    </row>
    <row r="37616">
      <c r="H37616" s="50"/>
      <c r="I37616" s="50"/>
      <c r="O37616" s="36" t="s">
        <v>48</v>
      </c>
      <c r="R37616" s="36" t="s">
        <v>48</v>
      </c>
    </row>
    <row r="37617">
      <c r="H37617" s="50"/>
      <c r="I37617" s="50"/>
      <c r="O37617" s="36" t="s">
        <v>48</v>
      </c>
      <c r="R37617" s="36" t="s">
        <v>48</v>
      </c>
    </row>
    <row r="37618">
      <c r="H37618" s="50"/>
      <c r="I37618" s="50"/>
      <c r="O37618" s="36" t="s">
        <v>48</v>
      </c>
      <c r="R37618" s="36" t="s">
        <v>48</v>
      </c>
    </row>
    <row r="37619">
      <c r="H37619" s="50"/>
      <c r="I37619" s="50"/>
      <c r="O37619" s="36" t="s">
        <v>48</v>
      </c>
      <c r="R37619" s="36" t="s">
        <v>48</v>
      </c>
    </row>
    <row r="37620">
      <c r="H37620" s="50"/>
      <c r="I37620" s="50"/>
      <c r="O37620" s="36" t="s">
        <v>48</v>
      </c>
      <c r="R37620" s="36" t="s">
        <v>48</v>
      </c>
    </row>
    <row r="37621">
      <c r="H37621" s="50"/>
      <c r="I37621" s="50"/>
      <c r="O37621" s="36" t="s">
        <v>48</v>
      </c>
      <c r="R37621" s="36" t="s">
        <v>48</v>
      </c>
    </row>
    <row r="37622">
      <c r="H37622" s="50"/>
      <c r="I37622" s="50"/>
      <c r="O37622" s="36" t="s">
        <v>48</v>
      </c>
      <c r="R37622" s="36" t="s">
        <v>48</v>
      </c>
    </row>
    <row r="37623">
      <c r="H37623" s="50"/>
      <c r="I37623" s="50"/>
      <c r="O37623" s="36" t="s">
        <v>48</v>
      </c>
      <c r="R37623" s="36" t="s">
        <v>48</v>
      </c>
    </row>
    <row r="37624">
      <c r="H37624" s="50"/>
      <c r="I37624" s="50"/>
      <c r="O37624" s="36" t="s">
        <v>48</v>
      </c>
      <c r="R37624" s="36" t="s">
        <v>48</v>
      </c>
    </row>
    <row r="37625">
      <c r="H37625" s="50"/>
      <c r="I37625" s="50"/>
      <c r="O37625" s="36" t="s">
        <v>48</v>
      </c>
      <c r="R37625" s="36" t="s">
        <v>48</v>
      </c>
    </row>
    <row r="37626">
      <c r="H37626" s="50"/>
      <c r="I37626" s="50"/>
      <c r="O37626" s="36" t="s">
        <v>48</v>
      </c>
      <c r="R37626" s="36" t="s">
        <v>48</v>
      </c>
    </row>
    <row r="37627">
      <c r="H37627" s="50"/>
      <c r="I37627" s="50"/>
      <c r="O37627" s="36" t="s">
        <v>48</v>
      </c>
      <c r="R37627" s="36" t="s">
        <v>48</v>
      </c>
    </row>
    <row r="37628">
      <c r="H37628" s="50"/>
      <c r="I37628" s="50"/>
      <c r="O37628" s="36" t="s">
        <v>48</v>
      </c>
      <c r="R37628" s="36" t="s">
        <v>48</v>
      </c>
    </row>
    <row r="37629">
      <c r="H37629" s="50"/>
      <c r="I37629" s="50"/>
      <c r="O37629" s="36" t="s">
        <v>48</v>
      </c>
      <c r="R37629" s="36" t="s">
        <v>48</v>
      </c>
    </row>
    <row r="37630">
      <c r="H37630" s="50"/>
      <c r="I37630" s="50"/>
      <c r="O37630" s="36" t="s">
        <v>48</v>
      </c>
      <c r="R37630" s="36" t="s">
        <v>48</v>
      </c>
    </row>
    <row r="37631">
      <c r="H37631" s="50"/>
      <c r="I37631" s="50"/>
      <c r="O37631" s="36" t="s">
        <v>48</v>
      </c>
      <c r="R37631" s="36" t="s">
        <v>48</v>
      </c>
    </row>
    <row r="37632">
      <c r="H37632" s="50"/>
      <c r="I37632" s="50"/>
      <c r="O37632" s="36" t="s">
        <v>48</v>
      </c>
      <c r="R37632" s="36" t="s">
        <v>48</v>
      </c>
    </row>
    <row r="37633">
      <c r="H37633" s="50"/>
      <c r="I37633" s="50"/>
      <c r="O37633" s="36" t="s">
        <v>48</v>
      </c>
      <c r="R37633" s="36" t="s">
        <v>48</v>
      </c>
    </row>
    <row r="37634">
      <c r="H37634" s="50"/>
      <c r="I37634" s="50"/>
      <c r="O37634" s="36" t="s">
        <v>48</v>
      </c>
      <c r="R37634" s="36" t="s">
        <v>48</v>
      </c>
    </row>
    <row r="37635">
      <c r="H37635" s="50"/>
      <c r="I37635" s="50"/>
      <c r="O37635" s="36" t="s">
        <v>48</v>
      </c>
      <c r="R37635" s="36" t="s">
        <v>48</v>
      </c>
    </row>
    <row r="37636">
      <c r="H37636" s="50"/>
      <c r="I37636" s="50"/>
      <c r="O37636" s="36" t="s">
        <v>48</v>
      </c>
      <c r="R37636" s="36" t="s">
        <v>48</v>
      </c>
    </row>
    <row r="37637">
      <c r="H37637" s="50"/>
      <c r="I37637" s="50"/>
      <c r="O37637" s="36" t="s">
        <v>48</v>
      </c>
      <c r="R37637" s="36" t="s">
        <v>48</v>
      </c>
    </row>
    <row r="37638">
      <c r="H37638" s="50"/>
      <c r="I37638" s="50"/>
      <c r="O37638" s="36" t="s">
        <v>48</v>
      </c>
      <c r="R37638" s="36" t="s">
        <v>48</v>
      </c>
    </row>
    <row r="37639">
      <c r="H37639" s="50"/>
      <c r="I37639" s="50"/>
      <c r="O37639" s="36" t="s">
        <v>48</v>
      </c>
      <c r="R37639" s="36" t="s">
        <v>48</v>
      </c>
    </row>
    <row r="37640">
      <c r="H37640" s="50"/>
      <c r="I37640" s="50"/>
      <c r="O37640" s="36" t="s">
        <v>48</v>
      </c>
      <c r="R37640" s="36" t="s">
        <v>48</v>
      </c>
    </row>
    <row r="37641">
      <c r="H37641" s="50"/>
      <c r="I37641" s="50"/>
      <c r="O37641" s="36" t="s">
        <v>48</v>
      </c>
      <c r="R37641" s="36" t="s">
        <v>48</v>
      </c>
    </row>
    <row r="37642">
      <c r="H37642" s="50"/>
      <c r="I37642" s="50"/>
      <c r="O37642" s="36" t="s">
        <v>48</v>
      </c>
      <c r="R37642" s="36" t="s">
        <v>48</v>
      </c>
    </row>
    <row r="37643">
      <c r="H37643" s="50"/>
      <c r="I37643" s="50"/>
      <c r="O37643" s="36" t="s">
        <v>48</v>
      </c>
      <c r="R37643" s="36" t="s">
        <v>48</v>
      </c>
    </row>
    <row r="37644">
      <c r="H37644" s="50"/>
      <c r="I37644" s="50"/>
      <c r="O37644" s="36" t="s">
        <v>48</v>
      </c>
      <c r="R37644" s="36" t="s">
        <v>48</v>
      </c>
    </row>
    <row r="37645">
      <c r="H37645" s="50"/>
      <c r="I37645" s="50"/>
      <c r="O37645" s="36" t="s">
        <v>48</v>
      </c>
      <c r="R37645" s="36" t="s">
        <v>48</v>
      </c>
    </row>
    <row r="37646">
      <c r="H37646" s="50"/>
      <c r="I37646" s="50"/>
      <c r="O37646" s="36" t="s">
        <v>48</v>
      </c>
      <c r="R37646" s="36" t="s">
        <v>48</v>
      </c>
    </row>
    <row r="37647">
      <c r="H37647" s="50"/>
      <c r="I37647" s="50"/>
      <c r="O37647" s="36" t="s">
        <v>48</v>
      </c>
      <c r="R37647" s="36" t="s">
        <v>48</v>
      </c>
    </row>
    <row r="37648">
      <c r="H37648" s="50"/>
      <c r="I37648" s="50"/>
      <c r="O37648" s="36" t="s">
        <v>48</v>
      </c>
      <c r="R37648" s="36" t="s">
        <v>48</v>
      </c>
    </row>
    <row r="37649">
      <c r="H37649" s="50"/>
      <c r="I37649" s="50"/>
      <c r="O37649" s="36" t="s">
        <v>48</v>
      </c>
      <c r="R37649" s="36" t="s">
        <v>48</v>
      </c>
    </row>
    <row r="37650">
      <c r="H37650" s="50"/>
      <c r="I37650" s="50"/>
      <c r="O37650" s="36" t="s">
        <v>48</v>
      </c>
      <c r="R37650" s="36" t="s">
        <v>48</v>
      </c>
    </row>
    <row r="37651">
      <c r="H37651" s="50"/>
      <c r="I37651" s="50"/>
      <c r="O37651" s="36" t="s">
        <v>48</v>
      </c>
      <c r="R37651" s="36" t="s">
        <v>48</v>
      </c>
    </row>
    <row r="37652">
      <c r="H37652" s="50"/>
      <c r="I37652" s="50"/>
      <c r="O37652" s="36" t="s">
        <v>48</v>
      </c>
      <c r="R37652" s="36" t="s">
        <v>48</v>
      </c>
    </row>
    <row r="37653">
      <c r="H37653" s="50"/>
      <c r="I37653" s="50"/>
      <c r="O37653" s="36" t="s">
        <v>48</v>
      </c>
      <c r="R37653" s="36" t="s">
        <v>48</v>
      </c>
    </row>
    <row r="37654">
      <c r="H37654" s="50"/>
      <c r="I37654" s="50"/>
      <c r="O37654" s="36" t="s">
        <v>48</v>
      </c>
      <c r="R37654" s="36" t="s">
        <v>48</v>
      </c>
    </row>
    <row r="37655">
      <c r="H37655" s="50"/>
      <c r="I37655" s="50"/>
      <c r="O37655" s="36" t="s">
        <v>48</v>
      </c>
      <c r="R37655" s="36" t="s">
        <v>48</v>
      </c>
    </row>
    <row r="37656">
      <c r="H37656" s="50"/>
      <c r="I37656" s="50"/>
      <c r="O37656" s="36" t="s">
        <v>48</v>
      </c>
      <c r="R37656" s="36" t="s">
        <v>48</v>
      </c>
    </row>
    <row r="37657">
      <c r="H37657" s="50"/>
      <c r="I37657" s="50"/>
      <c r="O37657" s="36" t="s">
        <v>48</v>
      </c>
      <c r="R37657" s="36" t="s">
        <v>48</v>
      </c>
    </row>
    <row r="37658">
      <c r="H37658" s="50"/>
      <c r="I37658" s="50"/>
      <c r="O37658" s="36" t="s">
        <v>48</v>
      </c>
      <c r="R37658" s="36" t="s">
        <v>48</v>
      </c>
    </row>
    <row r="37659">
      <c r="H37659" s="50"/>
      <c r="I37659" s="50"/>
      <c r="O37659" s="36" t="s">
        <v>48</v>
      </c>
      <c r="R37659" s="36" t="s">
        <v>48</v>
      </c>
    </row>
    <row r="37660">
      <c r="H37660" s="50"/>
      <c r="I37660" s="50"/>
      <c r="O37660" s="36" t="s">
        <v>48</v>
      </c>
      <c r="R37660" s="36" t="s">
        <v>48</v>
      </c>
    </row>
    <row r="37661">
      <c r="H37661" s="50"/>
      <c r="I37661" s="50"/>
      <c r="O37661" s="36" t="s">
        <v>48</v>
      </c>
      <c r="R37661" s="36" t="s">
        <v>48</v>
      </c>
    </row>
    <row r="37662">
      <c r="H37662" s="50"/>
      <c r="I37662" s="50"/>
      <c r="O37662" s="36" t="s">
        <v>48</v>
      </c>
      <c r="R37662" s="36" t="s">
        <v>48</v>
      </c>
    </row>
    <row r="37663">
      <c r="H37663" s="50"/>
      <c r="I37663" s="50"/>
      <c r="O37663" s="36" t="s">
        <v>48</v>
      </c>
      <c r="R37663" s="36" t="s">
        <v>48</v>
      </c>
    </row>
    <row r="37664">
      <c r="H37664" s="50"/>
      <c r="I37664" s="50"/>
      <c r="O37664" s="36" t="s">
        <v>48</v>
      </c>
      <c r="R37664" s="36" t="s">
        <v>48</v>
      </c>
    </row>
    <row r="37665">
      <c r="H37665" s="50"/>
      <c r="I37665" s="50"/>
      <c r="O37665" s="36" t="s">
        <v>48</v>
      </c>
      <c r="R37665" s="36" t="s">
        <v>48</v>
      </c>
    </row>
    <row r="37666">
      <c r="H37666" s="50"/>
      <c r="I37666" s="50"/>
      <c r="O37666" s="36" t="s">
        <v>48</v>
      </c>
      <c r="R37666" s="36" t="s">
        <v>48</v>
      </c>
    </row>
    <row r="37667">
      <c r="H37667" s="50"/>
      <c r="I37667" s="50"/>
      <c r="O37667" s="36" t="s">
        <v>48</v>
      </c>
      <c r="R37667" s="36" t="s">
        <v>48</v>
      </c>
    </row>
    <row r="37668">
      <c r="H37668" s="50"/>
      <c r="I37668" s="50"/>
      <c r="O37668" s="36" t="s">
        <v>48</v>
      </c>
      <c r="R37668" s="36" t="s">
        <v>48</v>
      </c>
    </row>
    <row r="37669">
      <c r="H37669" s="50"/>
      <c r="I37669" s="50"/>
      <c r="O37669" s="36" t="s">
        <v>48</v>
      </c>
      <c r="R37669" s="36" t="s">
        <v>48</v>
      </c>
    </row>
    <row r="37670">
      <c r="H37670" s="50"/>
      <c r="I37670" s="50"/>
      <c r="O37670" s="36" t="s">
        <v>48</v>
      </c>
      <c r="R37670" s="36" t="s">
        <v>48</v>
      </c>
    </row>
    <row r="37671">
      <c r="H37671" s="50"/>
      <c r="I37671" s="50"/>
      <c r="O37671" s="36" t="s">
        <v>48</v>
      </c>
      <c r="R37671" s="36" t="s">
        <v>48</v>
      </c>
    </row>
    <row r="37672">
      <c r="H37672" s="50"/>
      <c r="I37672" s="50"/>
      <c r="O37672" s="36" t="s">
        <v>48</v>
      </c>
      <c r="R37672" s="36" t="s">
        <v>48</v>
      </c>
    </row>
    <row r="37673">
      <c r="H37673" s="50"/>
      <c r="I37673" s="50"/>
      <c r="O37673" s="36" t="s">
        <v>48</v>
      </c>
      <c r="R37673" s="36" t="s">
        <v>48</v>
      </c>
    </row>
    <row r="37674">
      <c r="H37674" s="50"/>
      <c r="I37674" s="50"/>
      <c r="O37674" s="36" t="s">
        <v>48</v>
      </c>
      <c r="R37674" s="36" t="s">
        <v>48</v>
      </c>
    </row>
    <row r="37675">
      <c r="H37675" s="50"/>
      <c r="I37675" s="50"/>
      <c r="O37675" s="36" t="s">
        <v>48</v>
      </c>
      <c r="R37675" s="36" t="s">
        <v>48</v>
      </c>
    </row>
    <row r="37676">
      <c r="H37676" s="50"/>
      <c r="I37676" s="50"/>
      <c r="O37676" s="36" t="s">
        <v>48</v>
      </c>
      <c r="R37676" s="36" t="s">
        <v>48</v>
      </c>
    </row>
    <row r="37677">
      <c r="H37677" s="50"/>
      <c r="I37677" s="50"/>
      <c r="O37677" s="36" t="s">
        <v>48</v>
      </c>
      <c r="R37677" s="36" t="s">
        <v>48</v>
      </c>
    </row>
    <row r="37678">
      <c r="H37678" s="50"/>
      <c r="I37678" s="50"/>
      <c r="O37678" s="36" t="s">
        <v>48</v>
      </c>
      <c r="R37678" s="36" t="s">
        <v>48</v>
      </c>
    </row>
    <row r="37679">
      <c r="H37679" s="50"/>
      <c r="I37679" s="50"/>
      <c r="O37679" s="36" t="s">
        <v>48</v>
      </c>
      <c r="R37679" s="36" t="s">
        <v>48</v>
      </c>
    </row>
    <row r="37680">
      <c r="H37680" s="50"/>
      <c r="I37680" s="50"/>
      <c r="O37680" s="36" t="s">
        <v>48</v>
      </c>
      <c r="R37680" s="36" t="s">
        <v>48</v>
      </c>
    </row>
    <row r="37681">
      <c r="H37681" s="50"/>
      <c r="I37681" s="50"/>
      <c r="O37681" s="36" t="s">
        <v>48</v>
      </c>
      <c r="R37681" s="36" t="s">
        <v>48</v>
      </c>
    </row>
    <row r="37682">
      <c r="H37682" s="50"/>
      <c r="I37682" s="50"/>
      <c r="O37682" s="36" t="s">
        <v>48</v>
      </c>
      <c r="R37682" s="36" t="s">
        <v>48</v>
      </c>
    </row>
    <row r="37683">
      <c r="H37683" s="50"/>
      <c r="I37683" s="50"/>
      <c r="O37683" s="36" t="s">
        <v>48</v>
      </c>
      <c r="R37683" s="36" t="s">
        <v>48</v>
      </c>
    </row>
    <row r="37684">
      <c r="H37684" s="50"/>
      <c r="I37684" s="50"/>
      <c r="O37684" s="36" t="s">
        <v>48</v>
      </c>
      <c r="R37684" s="36" t="s">
        <v>48</v>
      </c>
    </row>
    <row r="37685">
      <c r="H37685" s="50"/>
      <c r="I37685" s="50"/>
      <c r="O37685" s="36" t="s">
        <v>48</v>
      </c>
      <c r="R37685" s="36" t="s">
        <v>48</v>
      </c>
    </row>
    <row r="37686">
      <c r="H37686" s="50"/>
      <c r="I37686" s="50"/>
      <c r="O37686" s="36" t="s">
        <v>48</v>
      </c>
      <c r="R37686" s="36" t="s">
        <v>48</v>
      </c>
    </row>
    <row r="37687">
      <c r="H37687" s="50"/>
      <c r="I37687" s="50"/>
      <c r="O37687" s="36" t="s">
        <v>48</v>
      </c>
      <c r="R37687" s="36" t="s">
        <v>48</v>
      </c>
    </row>
    <row r="37688">
      <c r="H37688" s="50"/>
      <c r="I37688" s="50"/>
      <c r="O37688" s="36" t="s">
        <v>48</v>
      </c>
      <c r="R37688" s="36" t="s">
        <v>48</v>
      </c>
    </row>
    <row r="37689">
      <c r="H37689" s="50"/>
      <c r="I37689" s="50"/>
      <c r="O37689" s="36" t="s">
        <v>48</v>
      </c>
      <c r="R37689" s="36" t="s">
        <v>48</v>
      </c>
    </row>
    <row r="37690">
      <c r="H37690" s="50"/>
      <c r="I37690" s="50"/>
      <c r="O37690" s="36" t="s">
        <v>48</v>
      </c>
      <c r="R37690" s="36" t="s">
        <v>48</v>
      </c>
    </row>
    <row r="37691">
      <c r="H37691" s="50"/>
      <c r="I37691" s="50"/>
      <c r="O37691" s="36" t="s">
        <v>48</v>
      </c>
      <c r="R37691" s="36" t="s">
        <v>48</v>
      </c>
    </row>
    <row r="37692">
      <c r="H37692" s="50"/>
      <c r="I37692" s="50"/>
      <c r="O37692" s="36" t="s">
        <v>48</v>
      </c>
      <c r="R37692" s="36" t="s">
        <v>48</v>
      </c>
    </row>
    <row r="37693">
      <c r="H37693" s="50"/>
      <c r="I37693" s="50"/>
      <c r="O37693" s="36" t="s">
        <v>48</v>
      </c>
      <c r="R37693" s="36" t="s">
        <v>48</v>
      </c>
    </row>
    <row r="37694">
      <c r="H37694" s="50"/>
      <c r="I37694" s="50"/>
      <c r="O37694" s="36" t="s">
        <v>48</v>
      </c>
      <c r="R37694" s="36" t="s">
        <v>48</v>
      </c>
    </row>
    <row r="37695">
      <c r="H37695" s="50"/>
      <c r="I37695" s="50"/>
      <c r="O37695" s="36" t="s">
        <v>48</v>
      </c>
      <c r="R37695" s="36" t="s">
        <v>48</v>
      </c>
    </row>
    <row r="37696">
      <c r="H37696" s="50"/>
      <c r="I37696" s="50"/>
      <c r="O37696" s="36" t="s">
        <v>48</v>
      </c>
      <c r="R37696" s="36" t="s">
        <v>48</v>
      </c>
    </row>
    <row r="37697">
      <c r="H37697" s="50"/>
      <c r="I37697" s="50"/>
      <c r="O37697" s="36" t="s">
        <v>48</v>
      </c>
      <c r="R37697" s="36" t="s">
        <v>48</v>
      </c>
    </row>
    <row r="37698">
      <c r="H37698" s="50"/>
      <c r="I37698" s="50"/>
      <c r="O37698" s="36" t="s">
        <v>48</v>
      </c>
      <c r="R37698" s="36" t="s">
        <v>48</v>
      </c>
    </row>
    <row r="37699">
      <c r="H37699" s="50"/>
      <c r="I37699" s="50"/>
      <c r="O37699" s="36" t="s">
        <v>48</v>
      </c>
      <c r="R37699" s="36" t="s">
        <v>48</v>
      </c>
    </row>
    <row r="37700">
      <c r="H37700" s="50"/>
      <c r="I37700" s="50"/>
      <c r="O37700" s="36" t="s">
        <v>48</v>
      </c>
      <c r="R37700" s="36" t="s">
        <v>48</v>
      </c>
    </row>
    <row r="37701">
      <c r="H37701" s="50"/>
      <c r="I37701" s="50"/>
      <c r="O37701" s="36" t="s">
        <v>48</v>
      </c>
      <c r="R37701" s="36" t="s">
        <v>48</v>
      </c>
    </row>
    <row r="37702">
      <c r="H37702" s="50"/>
      <c r="I37702" s="50"/>
      <c r="O37702" s="36" t="s">
        <v>48</v>
      </c>
      <c r="R37702" s="36" t="s">
        <v>48</v>
      </c>
    </row>
    <row r="37703">
      <c r="H37703" s="50"/>
      <c r="I37703" s="50"/>
      <c r="O37703" s="36" t="s">
        <v>48</v>
      </c>
      <c r="R37703" s="36" t="s">
        <v>48</v>
      </c>
    </row>
    <row r="37704">
      <c r="H37704" s="50"/>
      <c r="I37704" s="50"/>
      <c r="O37704" s="36" t="s">
        <v>48</v>
      </c>
      <c r="R37704" s="36" t="s">
        <v>48</v>
      </c>
    </row>
    <row r="37705">
      <c r="H37705" s="50"/>
      <c r="I37705" s="50"/>
      <c r="O37705" s="36" t="s">
        <v>48</v>
      </c>
      <c r="R37705" s="36" t="s">
        <v>48</v>
      </c>
    </row>
    <row r="37706">
      <c r="H37706" s="50"/>
      <c r="I37706" s="50"/>
      <c r="O37706" s="36" t="s">
        <v>48</v>
      </c>
      <c r="R37706" s="36" t="s">
        <v>48</v>
      </c>
    </row>
    <row r="37707">
      <c r="H37707" s="50"/>
      <c r="I37707" s="50"/>
      <c r="O37707" s="36" t="s">
        <v>48</v>
      </c>
      <c r="R37707" s="36" t="s">
        <v>48</v>
      </c>
    </row>
    <row r="37708">
      <c r="H37708" s="50"/>
      <c r="I37708" s="50"/>
      <c r="O37708" s="36" t="s">
        <v>48</v>
      </c>
      <c r="R37708" s="36" t="s">
        <v>48</v>
      </c>
    </row>
    <row r="37709">
      <c r="H37709" s="50"/>
      <c r="I37709" s="50"/>
      <c r="O37709" s="36" t="s">
        <v>48</v>
      </c>
      <c r="R37709" s="36" t="s">
        <v>48</v>
      </c>
    </row>
    <row r="37710">
      <c r="H37710" s="50"/>
      <c r="I37710" s="50"/>
      <c r="O37710" s="36" t="s">
        <v>48</v>
      </c>
      <c r="R37710" s="36" t="s">
        <v>48</v>
      </c>
    </row>
    <row r="37711">
      <c r="H37711" s="50"/>
      <c r="I37711" s="50"/>
      <c r="O37711" s="36" t="s">
        <v>48</v>
      </c>
      <c r="R37711" s="36" t="s">
        <v>48</v>
      </c>
    </row>
    <row r="37712">
      <c r="H37712" s="50"/>
      <c r="I37712" s="50"/>
      <c r="O37712" s="36" t="s">
        <v>48</v>
      </c>
      <c r="R37712" s="36" t="s">
        <v>48</v>
      </c>
    </row>
    <row r="37713">
      <c r="H37713" s="50"/>
      <c r="I37713" s="50"/>
      <c r="O37713" s="36" t="s">
        <v>48</v>
      </c>
      <c r="R37713" s="36" t="s">
        <v>48</v>
      </c>
    </row>
    <row r="37714">
      <c r="H37714" s="50"/>
      <c r="I37714" s="50"/>
      <c r="O37714" s="36" t="s">
        <v>48</v>
      </c>
      <c r="R37714" s="36" t="s">
        <v>48</v>
      </c>
    </row>
    <row r="37715">
      <c r="H37715" s="50"/>
      <c r="I37715" s="50"/>
      <c r="O37715" s="36" t="s">
        <v>48</v>
      </c>
      <c r="R37715" s="36" t="s">
        <v>48</v>
      </c>
    </row>
    <row r="37716">
      <c r="H37716" s="50"/>
      <c r="I37716" s="50"/>
      <c r="O37716" s="36" t="s">
        <v>48</v>
      </c>
      <c r="R37716" s="36" t="s">
        <v>48</v>
      </c>
    </row>
    <row r="37717">
      <c r="H37717" s="50"/>
      <c r="I37717" s="50"/>
      <c r="O37717" s="36" t="s">
        <v>48</v>
      </c>
      <c r="R37717" s="36" t="s">
        <v>48</v>
      </c>
    </row>
    <row r="37718">
      <c r="H37718" s="50"/>
      <c r="I37718" s="50"/>
      <c r="O37718" s="36" t="s">
        <v>48</v>
      </c>
      <c r="R37718" s="36" t="s">
        <v>48</v>
      </c>
    </row>
    <row r="37719">
      <c r="H37719" s="50"/>
      <c r="I37719" s="50"/>
      <c r="O37719" s="36" t="s">
        <v>48</v>
      </c>
      <c r="R37719" s="36" t="s">
        <v>48</v>
      </c>
    </row>
    <row r="37720">
      <c r="H37720" s="50"/>
      <c r="I37720" s="50"/>
      <c r="O37720" s="36" t="s">
        <v>48</v>
      </c>
      <c r="R37720" s="36" t="s">
        <v>48</v>
      </c>
    </row>
    <row r="37721">
      <c r="H37721" s="50"/>
      <c r="I37721" s="50"/>
      <c r="O37721" s="36" t="s">
        <v>48</v>
      </c>
      <c r="R37721" s="36" t="s">
        <v>48</v>
      </c>
    </row>
    <row r="37722">
      <c r="H37722" s="50"/>
      <c r="I37722" s="50"/>
      <c r="O37722" s="36" t="s">
        <v>48</v>
      </c>
      <c r="R37722" s="36" t="s">
        <v>48</v>
      </c>
    </row>
    <row r="37723">
      <c r="H37723" s="50"/>
      <c r="I37723" s="50"/>
      <c r="O37723" s="36" t="s">
        <v>48</v>
      </c>
      <c r="R37723" s="36" t="s">
        <v>48</v>
      </c>
    </row>
    <row r="37724">
      <c r="H37724" s="50"/>
      <c r="I37724" s="50"/>
      <c r="O37724" s="36" t="s">
        <v>48</v>
      </c>
      <c r="R37724" s="36" t="s">
        <v>48</v>
      </c>
    </row>
    <row r="37725">
      <c r="H37725" s="50"/>
      <c r="I37725" s="50"/>
      <c r="O37725" s="36" t="s">
        <v>48</v>
      </c>
      <c r="R37725" s="36" t="s">
        <v>48</v>
      </c>
    </row>
    <row r="37726">
      <c r="H37726" s="50"/>
      <c r="I37726" s="50"/>
      <c r="O37726" s="36" t="s">
        <v>48</v>
      </c>
      <c r="R37726" s="36" t="s">
        <v>48</v>
      </c>
    </row>
    <row r="37727">
      <c r="H37727" s="50"/>
      <c r="I37727" s="50"/>
      <c r="O37727" s="36" t="s">
        <v>48</v>
      </c>
      <c r="R37727" s="36" t="s">
        <v>48</v>
      </c>
    </row>
    <row r="37728">
      <c r="H37728" s="50"/>
      <c r="I37728" s="50"/>
      <c r="O37728" s="36" t="s">
        <v>48</v>
      </c>
      <c r="R37728" s="36" t="s">
        <v>48</v>
      </c>
    </row>
    <row r="37729">
      <c r="H37729" s="50"/>
      <c r="I37729" s="50"/>
      <c r="O37729" s="36" t="s">
        <v>48</v>
      </c>
      <c r="R37729" s="36" t="s">
        <v>48</v>
      </c>
    </row>
    <row r="37730">
      <c r="H37730" s="50"/>
      <c r="I37730" s="50"/>
      <c r="O37730" s="36" t="s">
        <v>48</v>
      </c>
      <c r="R37730" s="36" t="s">
        <v>48</v>
      </c>
    </row>
    <row r="37731">
      <c r="H37731" s="50"/>
      <c r="I37731" s="50"/>
      <c r="O37731" s="36" t="s">
        <v>48</v>
      </c>
      <c r="R37731" s="36" t="s">
        <v>48</v>
      </c>
    </row>
    <row r="37732">
      <c r="H37732" s="50"/>
      <c r="I37732" s="50"/>
      <c r="O37732" s="36" t="s">
        <v>48</v>
      </c>
      <c r="R37732" s="36" t="s">
        <v>48</v>
      </c>
    </row>
    <row r="37733">
      <c r="H37733" s="50"/>
      <c r="I37733" s="50"/>
      <c r="O37733" s="36" t="s">
        <v>48</v>
      </c>
      <c r="R37733" s="36" t="s">
        <v>48</v>
      </c>
    </row>
    <row r="37734">
      <c r="H37734" s="50"/>
      <c r="I37734" s="50"/>
      <c r="O37734" s="36" t="s">
        <v>48</v>
      </c>
      <c r="R37734" s="36" t="s">
        <v>48</v>
      </c>
    </row>
    <row r="37735">
      <c r="H37735" s="50"/>
      <c r="I37735" s="50"/>
      <c r="O37735" s="36" t="s">
        <v>48</v>
      </c>
      <c r="R37735" s="36" t="s">
        <v>48</v>
      </c>
    </row>
    <row r="37736">
      <c r="H37736" s="50"/>
      <c r="I37736" s="50"/>
      <c r="O37736" s="36" t="s">
        <v>48</v>
      </c>
      <c r="R37736" s="36" t="s">
        <v>48</v>
      </c>
    </row>
    <row r="37737">
      <c r="H37737" s="50"/>
      <c r="I37737" s="50"/>
      <c r="O37737" s="36" t="s">
        <v>48</v>
      </c>
      <c r="R37737" s="36" t="s">
        <v>48</v>
      </c>
    </row>
    <row r="37738">
      <c r="H37738" s="50"/>
      <c r="I37738" s="50"/>
      <c r="O37738" s="36" t="s">
        <v>48</v>
      </c>
      <c r="R37738" s="36" t="s">
        <v>48</v>
      </c>
    </row>
    <row r="37739">
      <c r="H37739" s="50"/>
      <c r="I37739" s="50"/>
      <c r="O37739" s="36" t="s">
        <v>48</v>
      </c>
      <c r="R37739" s="36" t="s">
        <v>48</v>
      </c>
    </row>
    <row r="37740">
      <c r="H37740" s="50"/>
      <c r="I37740" s="50"/>
      <c r="O37740" s="36" t="s">
        <v>48</v>
      </c>
      <c r="R37740" s="36" t="s">
        <v>48</v>
      </c>
    </row>
    <row r="37741">
      <c r="H37741" s="50"/>
      <c r="I37741" s="50"/>
      <c r="O37741" s="36" t="s">
        <v>48</v>
      </c>
      <c r="R37741" s="36" t="s">
        <v>48</v>
      </c>
    </row>
    <row r="37742">
      <c r="H37742" s="50"/>
      <c r="I37742" s="50"/>
      <c r="O37742" s="36" t="s">
        <v>48</v>
      </c>
      <c r="R37742" s="36" t="s">
        <v>48</v>
      </c>
    </row>
    <row r="37743">
      <c r="H37743" s="50"/>
      <c r="I37743" s="50"/>
      <c r="O37743" s="36" t="s">
        <v>48</v>
      </c>
      <c r="R37743" s="36" t="s">
        <v>48</v>
      </c>
    </row>
    <row r="37744">
      <c r="H37744" s="50"/>
      <c r="I37744" s="50"/>
      <c r="O37744" s="36" t="s">
        <v>48</v>
      </c>
      <c r="R37744" s="36" t="s">
        <v>48</v>
      </c>
    </row>
    <row r="37745">
      <c r="H37745" s="50"/>
      <c r="I37745" s="50"/>
      <c r="O37745" s="36" t="s">
        <v>48</v>
      </c>
      <c r="R37745" s="36" t="s">
        <v>48</v>
      </c>
    </row>
    <row r="37746">
      <c r="H37746" s="50"/>
      <c r="I37746" s="50"/>
      <c r="O37746" s="36" t="s">
        <v>48</v>
      </c>
      <c r="R37746" s="36" t="s">
        <v>48</v>
      </c>
    </row>
    <row r="37747">
      <c r="H37747" s="50"/>
      <c r="I37747" s="50"/>
      <c r="O37747" s="36" t="s">
        <v>48</v>
      </c>
      <c r="R37747" s="36" t="s">
        <v>48</v>
      </c>
    </row>
    <row r="37748">
      <c r="H37748" s="50"/>
      <c r="I37748" s="50"/>
      <c r="O37748" s="36" t="s">
        <v>48</v>
      </c>
      <c r="R37748" s="36" t="s">
        <v>48</v>
      </c>
    </row>
    <row r="37749">
      <c r="H37749" s="50"/>
      <c r="I37749" s="50"/>
      <c r="O37749" s="36" t="s">
        <v>48</v>
      </c>
      <c r="R37749" s="36" t="s">
        <v>48</v>
      </c>
    </row>
    <row r="37750">
      <c r="H37750" s="50"/>
      <c r="I37750" s="50"/>
      <c r="O37750" s="36" t="s">
        <v>48</v>
      </c>
      <c r="R37750" s="36" t="s">
        <v>48</v>
      </c>
    </row>
    <row r="37751">
      <c r="H37751" s="50"/>
      <c r="I37751" s="50"/>
      <c r="O37751" s="36" t="s">
        <v>48</v>
      </c>
      <c r="R37751" s="36" t="s">
        <v>48</v>
      </c>
    </row>
    <row r="37752">
      <c r="H37752" s="50"/>
      <c r="I37752" s="50"/>
      <c r="O37752" s="36" t="s">
        <v>48</v>
      </c>
      <c r="R37752" s="36" t="s">
        <v>48</v>
      </c>
    </row>
    <row r="37753">
      <c r="H37753" s="50"/>
      <c r="I37753" s="50"/>
      <c r="O37753" s="36" t="s">
        <v>48</v>
      </c>
      <c r="R37753" s="36" t="s">
        <v>48</v>
      </c>
    </row>
    <row r="37754">
      <c r="H37754" s="50"/>
      <c r="I37754" s="50"/>
      <c r="O37754" s="36" t="s">
        <v>48</v>
      </c>
      <c r="R37754" s="36" t="s">
        <v>48</v>
      </c>
    </row>
    <row r="37755">
      <c r="H37755" s="50"/>
      <c r="I37755" s="50"/>
      <c r="O37755" s="36" t="s">
        <v>48</v>
      </c>
      <c r="R37755" s="36" t="s">
        <v>48</v>
      </c>
    </row>
    <row r="37756">
      <c r="H37756" s="50"/>
      <c r="I37756" s="50"/>
      <c r="O37756" s="36" t="s">
        <v>48</v>
      </c>
      <c r="R37756" s="36" t="s">
        <v>48</v>
      </c>
    </row>
    <row r="37757">
      <c r="H37757" s="50"/>
      <c r="I37757" s="50"/>
      <c r="O37757" s="36" t="s">
        <v>48</v>
      </c>
      <c r="R37757" s="36" t="s">
        <v>48</v>
      </c>
    </row>
    <row r="37758">
      <c r="H37758" s="50"/>
      <c r="I37758" s="50"/>
      <c r="O37758" s="36" t="s">
        <v>48</v>
      </c>
      <c r="R37758" s="36" t="s">
        <v>48</v>
      </c>
    </row>
    <row r="37759">
      <c r="H37759" s="50"/>
      <c r="I37759" s="50"/>
      <c r="O37759" s="36" t="s">
        <v>48</v>
      </c>
      <c r="R37759" s="36" t="s">
        <v>48</v>
      </c>
    </row>
    <row r="37760">
      <c r="H37760" s="50"/>
      <c r="I37760" s="50"/>
      <c r="O37760" s="36" t="s">
        <v>48</v>
      </c>
      <c r="R37760" s="36" t="s">
        <v>48</v>
      </c>
    </row>
    <row r="37761">
      <c r="H37761" s="50"/>
      <c r="I37761" s="50"/>
      <c r="O37761" s="36" t="s">
        <v>48</v>
      </c>
      <c r="R37761" s="36" t="s">
        <v>48</v>
      </c>
    </row>
    <row r="37762">
      <c r="H37762" s="50"/>
      <c r="I37762" s="50"/>
      <c r="O37762" s="36" t="s">
        <v>48</v>
      </c>
      <c r="R37762" s="36" t="s">
        <v>48</v>
      </c>
    </row>
    <row r="37763">
      <c r="H37763" s="50"/>
      <c r="I37763" s="50"/>
      <c r="O37763" s="36" t="s">
        <v>48</v>
      </c>
      <c r="R37763" s="36" t="s">
        <v>48</v>
      </c>
    </row>
    <row r="37764">
      <c r="H37764" s="50"/>
      <c r="I37764" s="50"/>
      <c r="O37764" s="36" t="s">
        <v>48</v>
      </c>
      <c r="R37764" s="36" t="s">
        <v>48</v>
      </c>
    </row>
    <row r="37765">
      <c r="H37765" s="50"/>
      <c r="I37765" s="50"/>
      <c r="O37765" s="36" t="s">
        <v>48</v>
      </c>
      <c r="R37765" s="36" t="s">
        <v>48</v>
      </c>
    </row>
    <row r="37766">
      <c r="H37766" s="50"/>
      <c r="I37766" s="50"/>
      <c r="O37766" s="36" t="s">
        <v>48</v>
      </c>
      <c r="R37766" s="36" t="s">
        <v>48</v>
      </c>
    </row>
    <row r="37767">
      <c r="H37767" s="50"/>
      <c r="I37767" s="50"/>
      <c r="O37767" s="36" t="s">
        <v>48</v>
      </c>
      <c r="R37767" s="36" t="s">
        <v>48</v>
      </c>
    </row>
    <row r="37768">
      <c r="H37768" s="50"/>
      <c r="I37768" s="50"/>
      <c r="O37768" s="36" t="s">
        <v>48</v>
      </c>
      <c r="R37768" s="36" t="s">
        <v>48</v>
      </c>
    </row>
    <row r="37769">
      <c r="H37769" s="50"/>
      <c r="I37769" s="50"/>
      <c r="O37769" s="36" t="s">
        <v>48</v>
      </c>
      <c r="R37769" s="36" t="s">
        <v>48</v>
      </c>
    </row>
    <row r="37770">
      <c r="H37770" s="50"/>
      <c r="I37770" s="50"/>
      <c r="O37770" s="36" t="s">
        <v>48</v>
      </c>
      <c r="R37770" s="36" t="s">
        <v>48</v>
      </c>
    </row>
    <row r="37771">
      <c r="H37771" s="50"/>
      <c r="I37771" s="50"/>
      <c r="O37771" s="36" t="s">
        <v>48</v>
      </c>
      <c r="R37771" s="36" t="s">
        <v>48</v>
      </c>
    </row>
    <row r="37772">
      <c r="H37772" s="50"/>
      <c r="I37772" s="50"/>
      <c r="O37772" s="36" t="s">
        <v>48</v>
      </c>
      <c r="R37772" s="36" t="s">
        <v>48</v>
      </c>
    </row>
    <row r="37773">
      <c r="H37773" s="50"/>
      <c r="I37773" s="50"/>
      <c r="O37773" s="36" t="s">
        <v>48</v>
      </c>
      <c r="R37773" s="36" t="s">
        <v>48</v>
      </c>
    </row>
    <row r="37774">
      <c r="H37774" s="50"/>
      <c r="I37774" s="50"/>
      <c r="O37774" s="36" t="s">
        <v>48</v>
      </c>
      <c r="R37774" s="36" t="s">
        <v>48</v>
      </c>
    </row>
    <row r="37775">
      <c r="H37775" s="50"/>
      <c r="I37775" s="50"/>
      <c r="O37775" s="36" t="s">
        <v>48</v>
      </c>
      <c r="R37775" s="36" t="s">
        <v>48</v>
      </c>
    </row>
    <row r="37776">
      <c r="H37776" s="50"/>
      <c r="I37776" s="50"/>
      <c r="O37776" s="36" t="s">
        <v>48</v>
      </c>
      <c r="R37776" s="36" t="s">
        <v>48</v>
      </c>
    </row>
    <row r="37777">
      <c r="H37777" s="50"/>
      <c r="I37777" s="50"/>
      <c r="O37777" s="36" t="s">
        <v>48</v>
      </c>
      <c r="R37777" s="36" t="s">
        <v>48</v>
      </c>
    </row>
    <row r="37778">
      <c r="H37778" s="50"/>
      <c r="I37778" s="50"/>
      <c r="O37778" s="36" t="s">
        <v>48</v>
      </c>
      <c r="R37778" s="36" t="s">
        <v>48</v>
      </c>
    </row>
    <row r="37779">
      <c r="H37779" s="50"/>
      <c r="I37779" s="50"/>
      <c r="O37779" s="36" t="s">
        <v>48</v>
      </c>
      <c r="R37779" s="36" t="s">
        <v>48</v>
      </c>
    </row>
    <row r="37780">
      <c r="H37780" s="50"/>
      <c r="I37780" s="50"/>
      <c r="O37780" s="36" t="s">
        <v>48</v>
      </c>
      <c r="R37780" s="36" t="s">
        <v>48</v>
      </c>
    </row>
    <row r="37781">
      <c r="H37781" s="50"/>
      <c r="I37781" s="50"/>
      <c r="O37781" s="36" t="s">
        <v>48</v>
      </c>
      <c r="R37781" s="36" t="s">
        <v>48</v>
      </c>
    </row>
    <row r="37782">
      <c r="H37782" s="50"/>
      <c r="I37782" s="50"/>
      <c r="O37782" s="36" t="s">
        <v>48</v>
      </c>
      <c r="R37782" s="36" t="s">
        <v>48</v>
      </c>
    </row>
    <row r="37783">
      <c r="H37783" s="50"/>
      <c r="I37783" s="50"/>
      <c r="O37783" s="36" t="s">
        <v>48</v>
      </c>
      <c r="R37783" s="36" t="s">
        <v>48</v>
      </c>
    </row>
    <row r="37784">
      <c r="H37784" s="50"/>
      <c r="I37784" s="50"/>
      <c r="O37784" s="36" t="s">
        <v>48</v>
      </c>
      <c r="R37784" s="36" t="s">
        <v>48</v>
      </c>
    </row>
    <row r="37785">
      <c r="H37785" s="50"/>
      <c r="I37785" s="50"/>
      <c r="O37785" s="36" t="s">
        <v>48</v>
      </c>
      <c r="R37785" s="36" t="s">
        <v>48</v>
      </c>
    </row>
    <row r="37786">
      <c r="H37786" s="50"/>
      <c r="I37786" s="50"/>
      <c r="O37786" s="36" t="s">
        <v>48</v>
      </c>
      <c r="R37786" s="36" t="s">
        <v>48</v>
      </c>
    </row>
    <row r="37787">
      <c r="H37787" s="50"/>
      <c r="I37787" s="50"/>
      <c r="O37787" s="36" t="s">
        <v>48</v>
      </c>
      <c r="R37787" s="36" t="s">
        <v>48</v>
      </c>
    </row>
    <row r="37788">
      <c r="H37788" s="50"/>
      <c r="I37788" s="50"/>
      <c r="O37788" s="36" t="s">
        <v>48</v>
      </c>
      <c r="R37788" s="36" t="s">
        <v>48</v>
      </c>
    </row>
    <row r="37789">
      <c r="H37789" s="50"/>
      <c r="I37789" s="50"/>
      <c r="O37789" s="36" t="s">
        <v>48</v>
      </c>
      <c r="R37789" s="36" t="s">
        <v>48</v>
      </c>
    </row>
    <row r="37790">
      <c r="H37790" s="50"/>
      <c r="I37790" s="50"/>
      <c r="O37790" s="36" t="s">
        <v>48</v>
      </c>
      <c r="R37790" s="36" t="s">
        <v>48</v>
      </c>
    </row>
    <row r="37791">
      <c r="H37791" s="50"/>
      <c r="I37791" s="50"/>
      <c r="O37791" s="36" t="s">
        <v>48</v>
      </c>
      <c r="R37791" s="36" t="s">
        <v>48</v>
      </c>
    </row>
    <row r="37792">
      <c r="H37792" s="50"/>
      <c r="I37792" s="50"/>
      <c r="O37792" s="36" t="s">
        <v>48</v>
      </c>
      <c r="R37792" s="36" t="s">
        <v>48</v>
      </c>
    </row>
    <row r="37793">
      <c r="H37793" s="50"/>
      <c r="I37793" s="50"/>
      <c r="O37793" s="36" t="s">
        <v>48</v>
      </c>
      <c r="R37793" s="36" t="s">
        <v>48</v>
      </c>
    </row>
    <row r="37794">
      <c r="H37794" s="50"/>
      <c r="I37794" s="50"/>
      <c r="O37794" s="36" t="s">
        <v>48</v>
      </c>
      <c r="R37794" s="36" t="s">
        <v>48</v>
      </c>
    </row>
    <row r="37795">
      <c r="H37795" s="50"/>
      <c r="I37795" s="50"/>
      <c r="O37795" s="36" t="s">
        <v>48</v>
      </c>
      <c r="R37795" s="36" t="s">
        <v>48</v>
      </c>
    </row>
    <row r="37796">
      <c r="H37796" s="50"/>
      <c r="I37796" s="50"/>
      <c r="O37796" s="36" t="s">
        <v>48</v>
      </c>
      <c r="R37796" s="36" t="s">
        <v>48</v>
      </c>
    </row>
    <row r="37797">
      <c r="H37797" s="50"/>
      <c r="I37797" s="50"/>
      <c r="O37797" s="36" t="s">
        <v>48</v>
      </c>
      <c r="R37797" s="36" t="s">
        <v>48</v>
      </c>
    </row>
    <row r="37798">
      <c r="H37798" s="50"/>
      <c r="I37798" s="50"/>
      <c r="O37798" s="36" t="s">
        <v>48</v>
      </c>
      <c r="R37798" s="36" t="s">
        <v>48</v>
      </c>
    </row>
    <row r="37799">
      <c r="H37799" s="50"/>
      <c r="I37799" s="50"/>
      <c r="O37799" s="36" t="s">
        <v>48</v>
      </c>
      <c r="R37799" s="36" t="s">
        <v>48</v>
      </c>
    </row>
    <row r="37800">
      <c r="H37800" s="50"/>
      <c r="I37800" s="50"/>
      <c r="O37800" s="36" t="s">
        <v>48</v>
      </c>
      <c r="R37800" s="36" t="s">
        <v>48</v>
      </c>
    </row>
    <row r="37801">
      <c r="H37801" s="50"/>
      <c r="I37801" s="50"/>
      <c r="O37801" s="36" t="s">
        <v>48</v>
      </c>
      <c r="R37801" s="36" t="s">
        <v>48</v>
      </c>
    </row>
    <row r="37802">
      <c r="H37802" s="50"/>
      <c r="I37802" s="50"/>
      <c r="O37802" s="36" t="s">
        <v>48</v>
      </c>
      <c r="R37802" s="36" t="s">
        <v>48</v>
      </c>
    </row>
    <row r="37803">
      <c r="H37803" s="50"/>
      <c r="I37803" s="50"/>
      <c r="O37803" s="36" t="s">
        <v>48</v>
      </c>
      <c r="R37803" s="36" t="s">
        <v>48</v>
      </c>
    </row>
    <row r="37804">
      <c r="H37804" s="50"/>
      <c r="I37804" s="50"/>
      <c r="O37804" s="36" t="s">
        <v>48</v>
      </c>
      <c r="R37804" s="36" t="s">
        <v>48</v>
      </c>
    </row>
    <row r="37805">
      <c r="H37805" s="50"/>
      <c r="I37805" s="50"/>
      <c r="O37805" s="36" t="s">
        <v>48</v>
      </c>
      <c r="R37805" s="36" t="s">
        <v>48</v>
      </c>
    </row>
    <row r="37806">
      <c r="H37806" s="50"/>
      <c r="I37806" s="50"/>
      <c r="O37806" s="36" t="s">
        <v>48</v>
      </c>
      <c r="R37806" s="36" t="s">
        <v>48</v>
      </c>
    </row>
    <row r="37807">
      <c r="H37807" s="50"/>
      <c r="I37807" s="50"/>
      <c r="O37807" s="36" t="s">
        <v>48</v>
      </c>
      <c r="R37807" s="36" t="s">
        <v>48</v>
      </c>
    </row>
    <row r="37808">
      <c r="H37808" s="50"/>
      <c r="I37808" s="50"/>
      <c r="O37808" s="36" t="s">
        <v>48</v>
      </c>
      <c r="R37808" s="36" t="s">
        <v>48</v>
      </c>
    </row>
    <row r="37809">
      <c r="H37809" s="50"/>
      <c r="I37809" s="50"/>
      <c r="O37809" s="36" t="s">
        <v>48</v>
      </c>
      <c r="R37809" s="36" t="s">
        <v>48</v>
      </c>
    </row>
    <row r="37810">
      <c r="H37810" s="50"/>
      <c r="I37810" s="50"/>
      <c r="O37810" s="36" t="s">
        <v>48</v>
      </c>
      <c r="R37810" s="36" t="s">
        <v>48</v>
      </c>
    </row>
    <row r="37811">
      <c r="H37811" s="50"/>
      <c r="I37811" s="50"/>
      <c r="O37811" s="36" t="s">
        <v>48</v>
      </c>
      <c r="R37811" s="36" t="s">
        <v>48</v>
      </c>
    </row>
    <row r="37812">
      <c r="H37812" s="50"/>
      <c r="I37812" s="50"/>
      <c r="O37812" s="36" t="s">
        <v>48</v>
      </c>
      <c r="R37812" s="36" t="s">
        <v>48</v>
      </c>
    </row>
    <row r="37813">
      <c r="H37813" s="50"/>
      <c r="I37813" s="50"/>
      <c r="O37813" s="36" t="s">
        <v>48</v>
      </c>
      <c r="R37813" s="36" t="s">
        <v>48</v>
      </c>
    </row>
    <row r="37814">
      <c r="H37814" s="50"/>
      <c r="I37814" s="50"/>
      <c r="O37814" s="36" t="s">
        <v>48</v>
      </c>
      <c r="R37814" s="36" t="s">
        <v>48</v>
      </c>
    </row>
    <row r="37815">
      <c r="H37815" s="50"/>
      <c r="I37815" s="50"/>
      <c r="O37815" s="36" t="s">
        <v>48</v>
      </c>
      <c r="R37815" s="36" t="s">
        <v>48</v>
      </c>
    </row>
    <row r="37816">
      <c r="H37816" s="50"/>
      <c r="I37816" s="50"/>
      <c r="O37816" s="36" t="s">
        <v>48</v>
      </c>
      <c r="R37816" s="36" t="s">
        <v>48</v>
      </c>
    </row>
    <row r="37817">
      <c r="H37817" s="50"/>
      <c r="I37817" s="50"/>
      <c r="O37817" s="36" t="s">
        <v>48</v>
      </c>
      <c r="R37817" s="36" t="s">
        <v>48</v>
      </c>
    </row>
    <row r="37818">
      <c r="H37818" s="50"/>
      <c r="I37818" s="50"/>
      <c r="O37818" s="36" t="s">
        <v>48</v>
      </c>
      <c r="R37818" s="36" t="s">
        <v>48</v>
      </c>
    </row>
    <row r="37819">
      <c r="H37819" s="50"/>
      <c r="I37819" s="50"/>
      <c r="O37819" s="36" t="s">
        <v>48</v>
      </c>
      <c r="R37819" s="36" t="s">
        <v>48</v>
      </c>
    </row>
    <row r="37820">
      <c r="H37820" s="50"/>
      <c r="I37820" s="50"/>
      <c r="O37820" s="36" t="s">
        <v>48</v>
      </c>
      <c r="R37820" s="36" t="s">
        <v>48</v>
      </c>
    </row>
    <row r="37821">
      <c r="H37821" s="50"/>
      <c r="I37821" s="50"/>
      <c r="O37821" s="36" t="s">
        <v>48</v>
      </c>
      <c r="R37821" s="36" t="s">
        <v>48</v>
      </c>
    </row>
    <row r="37822">
      <c r="H37822" s="50"/>
      <c r="I37822" s="50"/>
      <c r="O37822" s="36" t="s">
        <v>48</v>
      </c>
      <c r="R37822" s="36" t="s">
        <v>48</v>
      </c>
    </row>
    <row r="37823">
      <c r="H37823" s="50"/>
      <c r="I37823" s="50"/>
      <c r="O37823" s="36" t="s">
        <v>48</v>
      </c>
      <c r="R37823" s="36" t="s">
        <v>48</v>
      </c>
    </row>
    <row r="37824">
      <c r="H37824" s="50"/>
      <c r="I37824" s="50"/>
      <c r="O37824" s="36" t="s">
        <v>48</v>
      </c>
      <c r="R37824" s="36" t="s">
        <v>48</v>
      </c>
    </row>
    <row r="37825">
      <c r="H37825" s="50"/>
      <c r="I37825" s="50"/>
      <c r="O37825" s="36" t="s">
        <v>48</v>
      </c>
      <c r="R37825" s="36" t="s">
        <v>48</v>
      </c>
    </row>
    <row r="37826">
      <c r="H37826" s="50"/>
      <c r="I37826" s="50"/>
      <c r="O37826" s="36" t="s">
        <v>48</v>
      </c>
      <c r="R37826" s="36" t="s">
        <v>48</v>
      </c>
    </row>
    <row r="37827">
      <c r="H37827" s="50"/>
      <c r="I37827" s="50"/>
      <c r="O37827" s="36" t="s">
        <v>48</v>
      </c>
      <c r="R37827" s="36" t="s">
        <v>48</v>
      </c>
    </row>
    <row r="37828">
      <c r="H37828" s="50"/>
      <c r="I37828" s="50"/>
      <c r="O37828" s="36" t="s">
        <v>48</v>
      </c>
      <c r="R37828" s="36" t="s">
        <v>48</v>
      </c>
    </row>
    <row r="37829">
      <c r="H37829" s="50"/>
      <c r="I37829" s="50"/>
      <c r="O37829" s="36" t="s">
        <v>48</v>
      </c>
      <c r="R37829" s="36" t="s">
        <v>48</v>
      </c>
    </row>
    <row r="37830">
      <c r="H37830" s="50"/>
      <c r="I37830" s="50"/>
      <c r="O37830" s="36" t="s">
        <v>48</v>
      </c>
      <c r="R37830" s="36" t="s">
        <v>48</v>
      </c>
    </row>
    <row r="37831">
      <c r="H37831" s="50"/>
      <c r="I37831" s="50"/>
      <c r="O37831" s="36" t="s">
        <v>48</v>
      </c>
      <c r="R37831" s="36" t="s">
        <v>48</v>
      </c>
    </row>
    <row r="37832">
      <c r="H37832" s="50"/>
      <c r="I37832" s="50"/>
      <c r="O37832" s="36" t="s">
        <v>48</v>
      </c>
      <c r="R37832" s="36" t="s">
        <v>48</v>
      </c>
    </row>
    <row r="37833">
      <c r="H37833" s="50"/>
      <c r="I37833" s="50"/>
      <c r="O37833" s="36" t="s">
        <v>48</v>
      </c>
      <c r="R37833" s="36" t="s">
        <v>48</v>
      </c>
    </row>
    <row r="37834">
      <c r="H37834" s="50"/>
      <c r="I37834" s="50"/>
      <c r="O37834" s="36" t="s">
        <v>48</v>
      </c>
      <c r="R37834" s="36" t="s">
        <v>48</v>
      </c>
    </row>
    <row r="37835">
      <c r="H37835" s="50"/>
      <c r="I37835" s="50"/>
      <c r="O37835" s="36" t="s">
        <v>48</v>
      </c>
      <c r="R37835" s="36" t="s">
        <v>48</v>
      </c>
    </row>
    <row r="37836">
      <c r="H37836" s="50"/>
      <c r="I37836" s="50"/>
      <c r="O37836" s="36" t="s">
        <v>48</v>
      </c>
      <c r="R37836" s="36" t="s">
        <v>48</v>
      </c>
    </row>
    <row r="37837">
      <c r="H37837" s="50"/>
      <c r="I37837" s="50"/>
      <c r="O37837" s="36" t="s">
        <v>48</v>
      </c>
      <c r="R37837" s="36" t="s">
        <v>48</v>
      </c>
    </row>
    <row r="37838">
      <c r="H37838" s="50"/>
      <c r="I37838" s="50"/>
      <c r="O37838" s="36" t="s">
        <v>48</v>
      </c>
      <c r="R37838" s="36" t="s">
        <v>48</v>
      </c>
    </row>
    <row r="37839">
      <c r="H37839" s="50"/>
      <c r="I37839" s="50"/>
      <c r="O37839" s="36" t="s">
        <v>48</v>
      </c>
      <c r="R37839" s="36" t="s">
        <v>48</v>
      </c>
    </row>
    <row r="37840">
      <c r="H37840" s="50"/>
      <c r="I37840" s="50"/>
      <c r="O37840" s="36" t="s">
        <v>48</v>
      </c>
      <c r="R37840" s="36" t="s">
        <v>48</v>
      </c>
    </row>
    <row r="37841">
      <c r="H37841" s="50"/>
      <c r="I37841" s="50"/>
      <c r="O37841" s="36" t="s">
        <v>48</v>
      </c>
      <c r="R37841" s="36" t="s">
        <v>48</v>
      </c>
    </row>
    <row r="37842">
      <c r="H37842" s="50"/>
      <c r="I37842" s="50"/>
      <c r="O37842" s="36" t="s">
        <v>48</v>
      </c>
      <c r="R37842" s="36" t="s">
        <v>48</v>
      </c>
    </row>
    <row r="37843">
      <c r="H37843" s="50"/>
      <c r="I37843" s="50"/>
      <c r="O37843" s="36" t="s">
        <v>48</v>
      </c>
      <c r="R37843" s="36" t="s">
        <v>48</v>
      </c>
    </row>
    <row r="37844">
      <c r="H37844" s="50"/>
      <c r="I37844" s="50"/>
      <c r="O37844" s="36" t="s">
        <v>48</v>
      </c>
      <c r="R37844" s="36" t="s">
        <v>48</v>
      </c>
    </row>
    <row r="37845">
      <c r="H37845" s="50"/>
      <c r="I37845" s="50"/>
      <c r="O37845" s="36" t="s">
        <v>48</v>
      </c>
      <c r="R37845" s="36" t="s">
        <v>48</v>
      </c>
    </row>
    <row r="37846">
      <c r="H37846" s="50"/>
      <c r="I37846" s="50"/>
      <c r="O37846" s="36" t="s">
        <v>48</v>
      </c>
      <c r="R37846" s="36" t="s">
        <v>48</v>
      </c>
    </row>
    <row r="37847">
      <c r="H37847" s="50"/>
      <c r="I37847" s="50"/>
      <c r="O37847" s="36" t="s">
        <v>48</v>
      </c>
      <c r="R37847" s="36" t="s">
        <v>48</v>
      </c>
    </row>
    <row r="37848">
      <c r="H37848" s="50"/>
      <c r="I37848" s="50"/>
      <c r="O37848" s="36" t="s">
        <v>48</v>
      </c>
      <c r="R37848" s="36" t="s">
        <v>48</v>
      </c>
    </row>
    <row r="37849">
      <c r="H37849" s="50"/>
      <c r="I37849" s="50"/>
      <c r="O37849" s="36" t="s">
        <v>48</v>
      </c>
      <c r="R37849" s="36" t="s">
        <v>48</v>
      </c>
    </row>
    <row r="37850">
      <c r="H37850" s="50"/>
      <c r="I37850" s="50"/>
      <c r="O37850" s="36" t="s">
        <v>48</v>
      </c>
      <c r="R37850" s="36" t="s">
        <v>48</v>
      </c>
    </row>
    <row r="37851">
      <c r="H37851" s="50"/>
      <c r="I37851" s="50"/>
      <c r="O37851" s="36" t="s">
        <v>48</v>
      </c>
      <c r="R37851" s="36" t="s">
        <v>48</v>
      </c>
    </row>
    <row r="37852">
      <c r="H37852" s="50"/>
      <c r="I37852" s="50"/>
      <c r="O37852" s="36" t="s">
        <v>48</v>
      </c>
      <c r="R37852" s="36" t="s">
        <v>48</v>
      </c>
    </row>
    <row r="37853">
      <c r="H37853" s="50"/>
      <c r="I37853" s="50"/>
      <c r="O37853" s="36" t="s">
        <v>48</v>
      </c>
      <c r="R37853" s="36" t="s">
        <v>48</v>
      </c>
    </row>
    <row r="37854">
      <c r="H37854" s="50"/>
      <c r="I37854" s="50"/>
      <c r="O37854" s="36" t="s">
        <v>48</v>
      </c>
      <c r="R37854" s="36" t="s">
        <v>48</v>
      </c>
    </row>
    <row r="37855">
      <c r="H37855" s="50"/>
      <c r="I37855" s="50"/>
      <c r="O37855" s="36" t="s">
        <v>48</v>
      </c>
      <c r="R37855" s="36" t="s">
        <v>48</v>
      </c>
    </row>
    <row r="37856">
      <c r="H37856" s="50"/>
      <c r="I37856" s="50"/>
      <c r="O37856" s="36" t="s">
        <v>48</v>
      </c>
      <c r="R37856" s="36" t="s">
        <v>48</v>
      </c>
    </row>
    <row r="37857">
      <c r="H37857" s="50"/>
      <c r="I37857" s="50"/>
      <c r="O37857" s="36" t="s">
        <v>48</v>
      </c>
      <c r="R37857" s="36" t="s">
        <v>48</v>
      </c>
    </row>
    <row r="37858">
      <c r="H37858" s="50"/>
      <c r="I37858" s="50"/>
      <c r="O37858" s="36" t="s">
        <v>48</v>
      </c>
      <c r="R37858" s="36" t="s">
        <v>48</v>
      </c>
    </row>
    <row r="37859">
      <c r="H37859" s="50"/>
      <c r="I37859" s="50"/>
      <c r="O37859" s="36" t="s">
        <v>48</v>
      </c>
      <c r="R37859" s="36" t="s">
        <v>48</v>
      </c>
    </row>
    <row r="37860">
      <c r="H37860" s="50"/>
      <c r="I37860" s="50"/>
      <c r="O37860" s="36" t="s">
        <v>48</v>
      </c>
      <c r="R37860" s="36" t="s">
        <v>48</v>
      </c>
    </row>
    <row r="37861">
      <c r="H37861" s="50"/>
      <c r="I37861" s="50"/>
      <c r="O37861" s="36" t="s">
        <v>48</v>
      </c>
      <c r="R37861" s="36" t="s">
        <v>48</v>
      </c>
    </row>
    <row r="37862">
      <c r="H37862" s="50"/>
      <c r="I37862" s="50"/>
      <c r="O37862" s="36" t="s">
        <v>48</v>
      </c>
      <c r="R37862" s="36" t="s">
        <v>48</v>
      </c>
    </row>
    <row r="37863">
      <c r="H37863" s="50"/>
      <c r="I37863" s="50"/>
      <c r="O37863" s="36" t="s">
        <v>48</v>
      </c>
      <c r="R37863" s="36" t="s">
        <v>48</v>
      </c>
    </row>
    <row r="37864">
      <c r="H37864" s="50"/>
      <c r="I37864" s="50"/>
      <c r="O37864" s="36" t="s">
        <v>48</v>
      </c>
      <c r="R37864" s="36" t="s">
        <v>48</v>
      </c>
    </row>
    <row r="37865">
      <c r="H37865" s="50"/>
      <c r="I37865" s="50"/>
      <c r="O37865" s="36" t="s">
        <v>48</v>
      </c>
      <c r="R37865" s="36" t="s">
        <v>48</v>
      </c>
    </row>
    <row r="37866">
      <c r="H37866" s="50"/>
      <c r="I37866" s="50"/>
      <c r="O37866" s="36" t="s">
        <v>48</v>
      </c>
      <c r="R37866" s="36" t="s">
        <v>48</v>
      </c>
    </row>
    <row r="37867">
      <c r="H37867" s="50"/>
      <c r="I37867" s="50"/>
      <c r="O37867" s="36" t="s">
        <v>48</v>
      </c>
      <c r="R37867" s="36" t="s">
        <v>48</v>
      </c>
    </row>
    <row r="37868">
      <c r="H37868" s="50"/>
      <c r="I37868" s="50"/>
      <c r="O37868" s="36" t="s">
        <v>48</v>
      </c>
      <c r="R37868" s="36" t="s">
        <v>48</v>
      </c>
    </row>
    <row r="37869">
      <c r="H37869" s="50"/>
      <c r="I37869" s="50"/>
      <c r="O37869" s="36" t="s">
        <v>48</v>
      </c>
      <c r="R37869" s="36" t="s">
        <v>48</v>
      </c>
    </row>
    <row r="37870">
      <c r="H37870" s="50"/>
      <c r="I37870" s="50"/>
      <c r="O37870" s="36" t="s">
        <v>48</v>
      </c>
      <c r="R37870" s="36" t="s">
        <v>48</v>
      </c>
    </row>
    <row r="37871">
      <c r="H37871" s="50"/>
      <c r="I37871" s="50"/>
      <c r="O37871" s="36" t="s">
        <v>48</v>
      </c>
      <c r="R37871" s="36" t="s">
        <v>48</v>
      </c>
    </row>
    <row r="37872">
      <c r="H37872" s="50"/>
      <c r="I37872" s="50"/>
      <c r="O37872" s="36" t="s">
        <v>48</v>
      </c>
      <c r="R37872" s="36" t="s">
        <v>48</v>
      </c>
    </row>
    <row r="37873">
      <c r="H37873" s="50"/>
      <c r="I37873" s="50"/>
      <c r="O37873" s="36" t="s">
        <v>48</v>
      </c>
      <c r="R37873" s="36" t="s">
        <v>48</v>
      </c>
    </row>
    <row r="37874">
      <c r="H37874" s="50"/>
      <c r="I37874" s="50"/>
      <c r="O37874" s="36" t="s">
        <v>48</v>
      </c>
      <c r="R37874" s="36" t="s">
        <v>48</v>
      </c>
    </row>
    <row r="37875">
      <c r="H37875" s="50"/>
      <c r="I37875" s="50"/>
      <c r="O37875" s="36" t="s">
        <v>48</v>
      </c>
      <c r="R37875" s="36" t="s">
        <v>48</v>
      </c>
    </row>
    <row r="37876">
      <c r="H37876" s="50"/>
      <c r="I37876" s="50"/>
      <c r="O37876" s="36" t="s">
        <v>48</v>
      </c>
      <c r="R37876" s="36" t="s">
        <v>48</v>
      </c>
    </row>
    <row r="37877">
      <c r="H37877" s="50"/>
      <c r="I37877" s="50"/>
      <c r="O37877" s="36" t="s">
        <v>48</v>
      </c>
      <c r="R37877" s="36" t="s">
        <v>48</v>
      </c>
    </row>
    <row r="37878">
      <c r="H37878" s="50"/>
      <c r="I37878" s="50"/>
      <c r="O37878" s="36" t="s">
        <v>48</v>
      </c>
      <c r="R37878" s="36" t="s">
        <v>48</v>
      </c>
    </row>
    <row r="37879">
      <c r="H37879" s="50"/>
      <c r="I37879" s="50"/>
      <c r="O37879" s="36" t="s">
        <v>48</v>
      </c>
      <c r="R37879" s="36" t="s">
        <v>48</v>
      </c>
    </row>
    <row r="37880">
      <c r="H37880" s="50"/>
      <c r="I37880" s="50"/>
      <c r="O37880" s="36" t="s">
        <v>48</v>
      </c>
      <c r="R37880" s="36" t="s">
        <v>48</v>
      </c>
    </row>
    <row r="37881">
      <c r="H37881" s="50"/>
      <c r="I37881" s="50"/>
      <c r="O37881" s="36" t="s">
        <v>48</v>
      </c>
      <c r="R37881" s="36" t="s">
        <v>48</v>
      </c>
    </row>
    <row r="37882">
      <c r="H37882" s="50"/>
      <c r="I37882" s="50"/>
      <c r="O37882" s="36" t="s">
        <v>48</v>
      </c>
      <c r="R37882" s="36" t="s">
        <v>48</v>
      </c>
    </row>
    <row r="37883">
      <c r="H37883" s="50"/>
      <c r="I37883" s="50"/>
      <c r="O37883" s="36" t="s">
        <v>48</v>
      </c>
      <c r="R37883" s="36" t="s">
        <v>48</v>
      </c>
    </row>
    <row r="37884">
      <c r="H37884" s="50"/>
      <c r="I37884" s="50"/>
      <c r="O37884" s="36" t="s">
        <v>48</v>
      </c>
      <c r="R37884" s="36" t="s">
        <v>48</v>
      </c>
    </row>
    <row r="37885">
      <c r="H37885" s="50"/>
      <c r="I37885" s="50"/>
      <c r="O37885" s="36" t="s">
        <v>48</v>
      </c>
      <c r="R37885" s="36" t="s">
        <v>48</v>
      </c>
    </row>
    <row r="37886">
      <c r="H37886" s="50"/>
      <c r="I37886" s="50"/>
      <c r="O37886" s="36" t="s">
        <v>48</v>
      </c>
      <c r="R37886" s="36" t="s">
        <v>48</v>
      </c>
    </row>
    <row r="37887">
      <c r="H37887" s="50"/>
      <c r="I37887" s="50"/>
      <c r="O37887" s="36" t="s">
        <v>48</v>
      </c>
      <c r="R37887" s="36" t="s">
        <v>48</v>
      </c>
    </row>
    <row r="37888">
      <c r="H37888" s="50"/>
      <c r="I37888" s="50"/>
      <c r="O37888" s="36" t="s">
        <v>48</v>
      </c>
      <c r="R37888" s="36" t="s">
        <v>48</v>
      </c>
    </row>
    <row r="37889">
      <c r="H37889" s="50"/>
      <c r="I37889" s="50"/>
      <c r="O37889" s="36" t="s">
        <v>48</v>
      </c>
      <c r="R37889" s="36" t="s">
        <v>48</v>
      </c>
    </row>
    <row r="37890">
      <c r="H37890" s="50"/>
      <c r="I37890" s="50"/>
      <c r="O37890" s="36" t="s">
        <v>48</v>
      </c>
      <c r="R37890" s="36" t="s">
        <v>48</v>
      </c>
    </row>
    <row r="37891">
      <c r="H37891" s="50"/>
      <c r="I37891" s="50"/>
      <c r="O37891" s="36" t="s">
        <v>48</v>
      </c>
      <c r="R37891" s="36" t="s">
        <v>48</v>
      </c>
    </row>
    <row r="37892">
      <c r="H37892" s="50"/>
      <c r="I37892" s="50"/>
      <c r="O37892" s="36" t="s">
        <v>48</v>
      </c>
      <c r="R37892" s="36" t="s">
        <v>48</v>
      </c>
    </row>
    <row r="37893">
      <c r="H37893" s="50"/>
      <c r="I37893" s="50"/>
      <c r="O37893" s="36" t="s">
        <v>48</v>
      </c>
      <c r="R37893" s="36" t="s">
        <v>48</v>
      </c>
    </row>
    <row r="37894">
      <c r="H37894" s="50"/>
      <c r="I37894" s="50"/>
      <c r="O37894" s="36" t="s">
        <v>48</v>
      </c>
      <c r="R37894" s="36" t="s">
        <v>48</v>
      </c>
    </row>
    <row r="37895">
      <c r="H37895" s="50"/>
      <c r="I37895" s="50"/>
      <c r="O37895" s="36" t="s">
        <v>48</v>
      </c>
      <c r="R37895" s="36" t="s">
        <v>48</v>
      </c>
    </row>
    <row r="37896">
      <c r="H37896" s="50"/>
      <c r="I37896" s="50"/>
      <c r="O37896" s="36" t="s">
        <v>48</v>
      </c>
      <c r="R37896" s="36" t="s">
        <v>48</v>
      </c>
    </row>
    <row r="37897">
      <c r="H37897" s="50"/>
      <c r="I37897" s="50"/>
      <c r="O37897" s="36" t="s">
        <v>48</v>
      </c>
      <c r="R37897" s="36" t="s">
        <v>48</v>
      </c>
    </row>
    <row r="37898">
      <c r="H37898" s="50"/>
      <c r="I37898" s="50"/>
      <c r="O37898" s="36" t="s">
        <v>48</v>
      </c>
      <c r="R37898" s="36" t="s">
        <v>48</v>
      </c>
    </row>
    <row r="37899">
      <c r="H37899" s="50"/>
      <c r="I37899" s="50"/>
      <c r="O37899" s="36" t="s">
        <v>48</v>
      </c>
      <c r="R37899" s="36" t="s">
        <v>48</v>
      </c>
    </row>
    <row r="37900">
      <c r="H37900" s="50"/>
      <c r="I37900" s="50"/>
      <c r="O37900" s="36" t="s">
        <v>48</v>
      </c>
      <c r="R37900" s="36" t="s">
        <v>48</v>
      </c>
    </row>
    <row r="37901">
      <c r="H37901" s="50"/>
      <c r="I37901" s="50"/>
      <c r="O37901" s="36" t="s">
        <v>48</v>
      </c>
      <c r="R37901" s="36" t="s">
        <v>48</v>
      </c>
    </row>
    <row r="37902">
      <c r="H37902" s="50"/>
      <c r="I37902" s="50"/>
      <c r="O37902" s="36" t="s">
        <v>48</v>
      </c>
      <c r="R37902" s="36" t="s">
        <v>48</v>
      </c>
    </row>
    <row r="37903">
      <c r="H37903" s="50"/>
      <c r="I37903" s="50"/>
      <c r="O37903" s="36" t="s">
        <v>48</v>
      </c>
      <c r="R37903" s="36" t="s">
        <v>48</v>
      </c>
    </row>
    <row r="37904">
      <c r="H37904" s="50"/>
      <c r="I37904" s="50"/>
      <c r="O37904" s="36" t="s">
        <v>48</v>
      </c>
      <c r="R37904" s="36" t="s">
        <v>48</v>
      </c>
    </row>
    <row r="37905">
      <c r="H37905" s="50"/>
      <c r="I37905" s="50"/>
      <c r="O37905" s="36" t="s">
        <v>48</v>
      </c>
      <c r="R37905" s="36" t="s">
        <v>48</v>
      </c>
    </row>
    <row r="37906">
      <c r="H37906" s="50"/>
      <c r="I37906" s="50"/>
      <c r="O37906" s="36" t="s">
        <v>48</v>
      </c>
      <c r="R37906" s="36" t="s">
        <v>48</v>
      </c>
    </row>
    <row r="37907">
      <c r="H37907" s="50"/>
      <c r="I37907" s="50"/>
      <c r="O37907" s="36" t="s">
        <v>48</v>
      </c>
      <c r="R37907" s="36" t="s">
        <v>48</v>
      </c>
    </row>
    <row r="37908">
      <c r="H37908" s="50"/>
      <c r="I37908" s="50"/>
      <c r="O37908" s="36" t="s">
        <v>48</v>
      </c>
      <c r="R37908" s="36" t="s">
        <v>48</v>
      </c>
    </row>
    <row r="37909">
      <c r="H37909" s="50"/>
      <c r="I37909" s="50"/>
      <c r="O37909" s="36" t="s">
        <v>48</v>
      </c>
      <c r="R37909" s="36" t="s">
        <v>48</v>
      </c>
    </row>
    <row r="37910">
      <c r="H37910" s="50"/>
      <c r="I37910" s="50"/>
      <c r="O37910" s="36" t="s">
        <v>48</v>
      </c>
      <c r="R37910" s="36" t="s">
        <v>48</v>
      </c>
    </row>
    <row r="37911">
      <c r="H37911" s="50"/>
      <c r="I37911" s="50"/>
      <c r="O37911" s="36" t="s">
        <v>48</v>
      </c>
      <c r="R37911" s="36" t="s">
        <v>48</v>
      </c>
    </row>
    <row r="37912">
      <c r="H37912" s="50"/>
      <c r="I37912" s="50"/>
      <c r="O37912" s="36" t="s">
        <v>48</v>
      </c>
      <c r="R37912" s="36" t="s">
        <v>48</v>
      </c>
    </row>
    <row r="37913">
      <c r="H37913" s="50"/>
      <c r="I37913" s="50"/>
      <c r="O37913" s="36" t="s">
        <v>48</v>
      </c>
      <c r="R37913" s="36" t="s">
        <v>48</v>
      </c>
    </row>
    <row r="37914">
      <c r="H37914" s="50"/>
      <c r="I37914" s="50"/>
      <c r="O37914" s="36" t="s">
        <v>48</v>
      </c>
      <c r="R37914" s="36" t="s">
        <v>48</v>
      </c>
    </row>
    <row r="37915">
      <c r="H37915" s="50"/>
      <c r="I37915" s="50"/>
      <c r="O37915" s="36" t="s">
        <v>48</v>
      </c>
      <c r="R37915" s="36" t="s">
        <v>48</v>
      </c>
    </row>
    <row r="37916">
      <c r="H37916" s="50"/>
      <c r="I37916" s="50"/>
      <c r="O37916" s="36" t="s">
        <v>48</v>
      </c>
      <c r="R37916" s="36" t="s">
        <v>48</v>
      </c>
    </row>
    <row r="37917">
      <c r="H37917" s="50"/>
      <c r="I37917" s="50"/>
      <c r="O37917" s="36" t="s">
        <v>48</v>
      </c>
      <c r="R37917" s="36" t="s">
        <v>48</v>
      </c>
    </row>
    <row r="37918">
      <c r="H37918" s="50"/>
      <c r="I37918" s="50"/>
      <c r="O37918" s="36" t="s">
        <v>48</v>
      </c>
      <c r="R37918" s="36" t="s">
        <v>48</v>
      </c>
    </row>
    <row r="37919">
      <c r="H37919" s="50"/>
      <c r="I37919" s="50"/>
      <c r="O37919" s="36" t="s">
        <v>48</v>
      </c>
      <c r="R37919" s="36" t="s">
        <v>48</v>
      </c>
    </row>
    <row r="37920">
      <c r="H37920" s="50"/>
      <c r="I37920" s="50"/>
      <c r="O37920" s="36" t="s">
        <v>48</v>
      </c>
      <c r="R37920" s="36" t="s">
        <v>48</v>
      </c>
    </row>
    <row r="37921">
      <c r="H37921" s="50"/>
      <c r="I37921" s="50"/>
      <c r="O37921" s="36" t="s">
        <v>48</v>
      </c>
      <c r="R37921" s="36" t="s">
        <v>48</v>
      </c>
    </row>
    <row r="37922">
      <c r="H37922" s="50"/>
      <c r="I37922" s="50"/>
      <c r="O37922" s="36" t="s">
        <v>48</v>
      </c>
      <c r="R37922" s="36" t="s">
        <v>48</v>
      </c>
    </row>
    <row r="37923">
      <c r="H37923" s="50"/>
      <c r="I37923" s="50"/>
      <c r="O37923" s="36" t="s">
        <v>48</v>
      </c>
      <c r="R37923" s="36" t="s">
        <v>48</v>
      </c>
    </row>
    <row r="37924">
      <c r="H37924" s="50"/>
      <c r="I37924" s="50"/>
      <c r="O37924" s="36" t="s">
        <v>48</v>
      </c>
      <c r="R37924" s="36" t="s">
        <v>48</v>
      </c>
    </row>
    <row r="37925">
      <c r="H37925" s="50"/>
      <c r="I37925" s="50"/>
      <c r="O37925" s="36" t="s">
        <v>48</v>
      </c>
      <c r="R37925" s="36" t="s">
        <v>48</v>
      </c>
    </row>
    <row r="37926">
      <c r="H37926" s="50"/>
      <c r="I37926" s="50"/>
      <c r="O37926" s="36" t="s">
        <v>48</v>
      </c>
      <c r="R37926" s="36" t="s">
        <v>48</v>
      </c>
    </row>
    <row r="37927">
      <c r="H37927" s="50"/>
      <c r="I37927" s="50"/>
      <c r="O37927" s="36" t="s">
        <v>48</v>
      </c>
      <c r="R37927" s="36" t="s">
        <v>48</v>
      </c>
    </row>
    <row r="37928">
      <c r="H37928" s="50"/>
      <c r="I37928" s="50"/>
      <c r="O37928" s="36" t="s">
        <v>48</v>
      </c>
      <c r="R37928" s="36" t="s">
        <v>48</v>
      </c>
    </row>
    <row r="37929">
      <c r="H37929" s="50"/>
      <c r="I37929" s="50"/>
      <c r="O37929" s="36" t="s">
        <v>48</v>
      </c>
      <c r="R37929" s="36" t="s">
        <v>48</v>
      </c>
    </row>
    <row r="37930">
      <c r="H37930" s="50"/>
      <c r="I37930" s="50"/>
      <c r="O37930" s="36" t="s">
        <v>48</v>
      </c>
      <c r="R37930" s="36" t="s">
        <v>48</v>
      </c>
    </row>
    <row r="37931">
      <c r="H37931" s="50"/>
      <c r="I37931" s="50"/>
      <c r="O37931" s="36" t="s">
        <v>48</v>
      </c>
      <c r="R37931" s="36" t="s">
        <v>48</v>
      </c>
    </row>
    <row r="37932">
      <c r="H37932" s="50"/>
      <c r="I37932" s="50"/>
      <c r="O37932" s="36" t="s">
        <v>48</v>
      </c>
      <c r="R37932" s="36" t="s">
        <v>48</v>
      </c>
    </row>
    <row r="37933">
      <c r="H37933" s="50"/>
      <c r="I37933" s="50"/>
      <c r="O37933" s="36" t="s">
        <v>48</v>
      </c>
      <c r="R37933" s="36" t="s">
        <v>48</v>
      </c>
    </row>
    <row r="37934">
      <c r="H37934" s="50"/>
      <c r="I37934" s="50"/>
      <c r="O37934" s="36" t="s">
        <v>48</v>
      </c>
      <c r="R37934" s="36" t="s">
        <v>48</v>
      </c>
    </row>
    <row r="37935">
      <c r="H37935" s="50"/>
      <c r="I37935" s="50"/>
      <c r="O37935" s="36" t="s">
        <v>48</v>
      </c>
      <c r="R37935" s="36" t="s">
        <v>48</v>
      </c>
    </row>
    <row r="37936">
      <c r="H37936" s="50"/>
      <c r="I37936" s="50"/>
      <c r="O37936" s="36" t="s">
        <v>48</v>
      </c>
      <c r="R37936" s="36" t="s">
        <v>48</v>
      </c>
    </row>
    <row r="37937">
      <c r="H37937" s="50"/>
      <c r="I37937" s="50"/>
      <c r="O37937" s="36" t="s">
        <v>48</v>
      </c>
      <c r="R37937" s="36" t="s">
        <v>48</v>
      </c>
    </row>
    <row r="37938">
      <c r="H37938" s="50"/>
      <c r="I37938" s="50"/>
      <c r="O37938" s="36" t="s">
        <v>48</v>
      </c>
      <c r="R37938" s="36" t="s">
        <v>48</v>
      </c>
    </row>
    <row r="37939">
      <c r="H37939" s="50"/>
      <c r="I37939" s="50"/>
      <c r="O37939" s="36" t="s">
        <v>48</v>
      </c>
      <c r="R37939" s="36" t="s">
        <v>48</v>
      </c>
    </row>
    <row r="37940">
      <c r="H37940" s="50"/>
      <c r="I37940" s="50"/>
      <c r="O37940" s="36" t="s">
        <v>48</v>
      </c>
      <c r="R37940" s="36" t="s">
        <v>48</v>
      </c>
    </row>
    <row r="37941">
      <c r="H37941" s="50"/>
      <c r="I37941" s="50"/>
      <c r="O37941" s="36" t="s">
        <v>48</v>
      </c>
      <c r="R37941" s="36" t="s">
        <v>48</v>
      </c>
    </row>
    <row r="37942">
      <c r="H37942" s="50"/>
      <c r="I37942" s="50"/>
      <c r="O37942" s="36" t="s">
        <v>48</v>
      </c>
      <c r="R37942" s="36" t="s">
        <v>48</v>
      </c>
    </row>
    <row r="37943">
      <c r="H37943" s="50"/>
      <c r="I37943" s="50"/>
      <c r="O37943" s="36" t="s">
        <v>48</v>
      </c>
      <c r="R37943" s="36" t="s">
        <v>48</v>
      </c>
    </row>
    <row r="37944">
      <c r="H37944" s="50"/>
      <c r="I37944" s="50"/>
      <c r="O37944" s="36" t="s">
        <v>48</v>
      </c>
      <c r="R37944" s="36" t="s">
        <v>48</v>
      </c>
    </row>
    <row r="37945">
      <c r="H37945" s="50"/>
      <c r="I37945" s="50"/>
      <c r="O37945" s="36" t="s">
        <v>48</v>
      </c>
      <c r="R37945" s="36" t="s">
        <v>48</v>
      </c>
    </row>
    <row r="37946">
      <c r="H37946" s="50"/>
      <c r="I37946" s="50"/>
      <c r="O37946" s="36" t="s">
        <v>48</v>
      </c>
      <c r="R37946" s="36" t="s">
        <v>48</v>
      </c>
    </row>
    <row r="37947">
      <c r="H37947" s="50"/>
      <c r="I37947" s="50"/>
      <c r="O37947" s="36" t="s">
        <v>48</v>
      </c>
      <c r="R37947" s="36" t="s">
        <v>48</v>
      </c>
    </row>
    <row r="37948">
      <c r="H37948" s="50"/>
      <c r="I37948" s="50"/>
      <c r="O37948" s="36" t="s">
        <v>48</v>
      </c>
      <c r="R37948" s="36" t="s">
        <v>48</v>
      </c>
    </row>
    <row r="37949">
      <c r="H37949" s="50"/>
      <c r="I37949" s="50"/>
      <c r="O37949" s="36" t="s">
        <v>48</v>
      </c>
      <c r="R37949" s="36" t="s">
        <v>48</v>
      </c>
    </row>
    <row r="37950">
      <c r="H37950" s="50"/>
      <c r="I37950" s="50"/>
      <c r="O37950" s="36" t="s">
        <v>48</v>
      </c>
      <c r="R37950" s="36" t="s">
        <v>48</v>
      </c>
    </row>
    <row r="37951">
      <c r="H37951" s="50"/>
      <c r="I37951" s="50"/>
      <c r="O37951" s="36" t="s">
        <v>48</v>
      </c>
      <c r="R37951" s="36" t="s">
        <v>48</v>
      </c>
    </row>
    <row r="37952">
      <c r="H37952" s="50"/>
      <c r="I37952" s="50"/>
      <c r="O37952" s="36" t="s">
        <v>48</v>
      </c>
      <c r="R37952" s="36" t="s">
        <v>48</v>
      </c>
    </row>
    <row r="37953">
      <c r="H37953" s="50"/>
      <c r="I37953" s="50"/>
      <c r="O37953" s="36" t="s">
        <v>48</v>
      </c>
      <c r="R37953" s="36" t="s">
        <v>48</v>
      </c>
    </row>
    <row r="37954">
      <c r="H37954" s="50"/>
      <c r="I37954" s="50"/>
      <c r="O37954" s="36" t="s">
        <v>48</v>
      </c>
      <c r="R37954" s="36" t="s">
        <v>48</v>
      </c>
    </row>
    <row r="37955">
      <c r="H37955" s="50"/>
      <c r="I37955" s="50"/>
      <c r="O37955" s="36" t="s">
        <v>48</v>
      </c>
      <c r="R37955" s="36" t="s">
        <v>48</v>
      </c>
    </row>
    <row r="37956">
      <c r="H37956" s="50"/>
      <c r="I37956" s="50"/>
      <c r="O37956" s="36" t="s">
        <v>48</v>
      </c>
      <c r="R37956" s="36" t="s">
        <v>48</v>
      </c>
    </row>
    <row r="37957">
      <c r="H37957" s="50"/>
      <c r="I37957" s="50"/>
      <c r="O37957" s="36" t="s">
        <v>48</v>
      </c>
      <c r="R37957" s="36" t="s">
        <v>48</v>
      </c>
    </row>
    <row r="37958">
      <c r="H37958" s="50"/>
      <c r="I37958" s="50"/>
      <c r="O37958" s="36" t="s">
        <v>48</v>
      </c>
      <c r="R37958" s="36" t="s">
        <v>48</v>
      </c>
    </row>
    <row r="37959">
      <c r="H37959" s="50"/>
      <c r="I37959" s="50"/>
      <c r="O37959" s="36" t="s">
        <v>48</v>
      </c>
      <c r="R37959" s="36" t="s">
        <v>48</v>
      </c>
    </row>
    <row r="37960">
      <c r="H37960" s="50"/>
      <c r="I37960" s="50"/>
      <c r="O37960" s="36" t="s">
        <v>48</v>
      </c>
      <c r="R37960" s="36" t="s">
        <v>48</v>
      </c>
    </row>
    <row r="37961">
      <c r="H37961" s="50"/>
      <c r="I37961" s="50"/>
      <c r="O37961" s="36" t="s">
        <v>48</v>
      </c>
      <c r="R37961" s="36" t="s">
        <v>48</v>
      </c>
    </row>
    <row r="37962">
      <c r="H37962" s="50"/>
      <c r="I37962" s="50"/>
      <c r="O37962" s="36" t="s">
        <v>48</v>
      </c>
      <c r="R37962" s="36" t="s">
        <v>48</v>
      </c>
    </row>
    <row r="37963">
      <c r="H37963" s="50"/>
      <c r="I37963" s="50"/>
      <c r="O37963" s="36" t="s">
        <v>48</v>
      </c>
      <c r="R37963" s="36" t="s">
        <v>48</v>
      </c>
    </row>
    <row r="37964">
      <c r="H37964" s="50"/>
      <c r="I37964" s="50"/>
      <c r="O37964" s="36" t="s">
        <v>48</v>
      </c>
      <c r="R37964" s="36" t="s">
        <v>48</v>
      </c>
    </row>
    <row r="37965">
      <c r="H37965" s="50"/>
      <c r="I37965" s="50"/>
      <c r="O37965" s="36" t="s">
        <v>48</v>
      </c>
      <c r="R37965" s="36" t="s">
        <v>48</v>
      </c>
    </row>
    <row r="37966">
      <c r="H37966" s="50"/>
      <c r="I37966" s="50"/>
      <c r="O37966" s="36" t="s">
        <v>48</v>
      </c>
      <c r="R37966" s="36" t="s">
        <v>48</v>
      </c>
    </row>
    <row r="37967">
      <c r="H37967" s="50"/>
      <c r="I37967" s="50"/>
      <c r="O37967" s="36" t="s">
        <v>48</v>
      </c>
      <c r="R37967" s="36" t="s">
        <v>48</v>
      </c>
    </row>
    <row r="37968">
      <c r="H37968" s="50"/>
      <c r="I37968" s="50"/>
      <c r="O37968" s="36" t="s">
        <v>48</v>
      </c>
      <c r="R37968" s="36" t="s">
        <v>48</v>
      </c>
    </row>
    <row r="37969">
      <c r="H37969" s="50"/>
      <c r="I37969" s="50"/>
      <c r="O37969" s="36" t="s">
        <v>48</v>
      </c>
      <c r="R37969" s="36" t="s">
        <v>48</v>
      </c>
    </row>
    <row r="37970">
      <c r="H37970" s="50"/>
      <c r="I37970" s="50"/>
      <c r="O37970" s="36" t="s">
        <v>48</v>
      </c>
      <c r="R37970" s="36" t="s">
        <v>48</v>
      </c>
    </row>
    <row r="37971">
      <c r="H37971" s="50"/>
      <c r="I37971" s="50"/>
      <c r="O37971" s="36" t="s">
        <v>48</v>
      </c>
      <c r="R37971" s="36" t="s">
        <v>48</v>
      </c>
    </row>
    <row r="37972">
      <c r="H37972" s="50"/>
      <c r="I37972" s="50"/>
      <c r="O37972" s="36" t="s">
        <v>48</v>
      </c>
      <c r="R37972" s="36" t="s">
        <v>48</v>
      </c>
    </row>
    <row r="37973">
      <c r="H37973" s="50"/>
      <c r="I37973" s="50"/>
      <c r="O37973" s="36" t="s">
        <v>48</v>
      </c>
      <c r="R37973" s="36" t="s">
        <v>48</v>
      </c>
    </row>
    <row r="37974">
      <c r="H37974" s="50"/>
      <c r="I37974" s="50"/>
      <c r="O37974" s="36" t="s">
        <v>48</v>
      </c>
      <c r="R37974" s="36" t="s">
        <v>48</v>
      </c>
    </row>
    <row r="37975">
      <c r="H37975" s="50"/>
      <c r="I37975" s="50"/>
      <c r="O37975" s="36" t="s">
        <v>48</v>
      </c>
      <c r="R37975" s="36" t="s">
        <v>48</v>
      </c>
    </row>
    <row r="37976">
      <c r="H37976" s="50"/>
      <c r="I37976" s="50"/>
      <c r="O37976" s="36" t="s">
        <v>48</v>
      </c>
      <c r="R37976" s="36" t="s">
        <v>48</v>
      </c>
    </row>
    <row r="37977">
      <c r="H37977" s="50"/>
      <c r="I37977" s="50"/>
      <c r="O37977" s="36" t="s">
        <v>48</v>
      </c>
      <c r="R37977" s="36" t="s">
        <v>48</v>
      </c>
    </row>
    <row r="37978">
      <c r="H37978" s="50"/>
      <c r="I37978" s="50"/>
      <c r="O37978" s="36" t="s">
        <v>48</v>
      </c>
      <c r="R37978" s="36" t="s">
        <v>48</v>
      </c>
    </row>
    <row r="37979">
      <c r="H37979" s="50"/>
      <c r="I37979" s="50"/>
      <c r="O37979" s="36" t="s">
        <v>48</v>
      </c>
      <c r="R37979" s="36" t="s">
        <v>48</v>
      </c>
    </row>
    <row r="37980">
      <c r="H37980" s="50"/>
      <c r="I37980" s="50"/>
      <c r="O37980" s="36" t="s">
        <v>48</v>
      </c>
      <c r="R37980" s="36" t="s">
        <v>48</v>
      </c>
    </row>
    <row r="37981">
      <c r="H37981" s="50"/>
      <c r="I37981" s="50"/>
      <c r="O37981" s="36" t="s">
        <v>48</v>
      </c>
      <c r="R37981" s="36" t="s">
        <v>48</v>
      </c>
    </row>
    <row r="37982">
      <c r="H37982" s="50"/>
      <c r="I37982" s="50"/>
      <c r="O37982" s="36" t="s">
        <v>48</v>
      </c>
      <c r="R37982" s="36" t="s">
        <v>48</v>
      </c>
    </row>
    <row r="37983">
      <c r="H37983" s="50"/>
      <c r="I37983" s="50"/>
      <c r="O37983" s="36" t="s">
        <v>48</v>
      </c>
      <c r="R37983" s="36" t="s">
        <v>48</v>
      </c>
    </row>
    <row r="37984">
      <c r="H37984" s="50"/>
      <c r="I37984" s="50"/>
      <c r="O37984" s="36" t="s">
        <v>48</v>
      </c>
      <c r="R37984" s="36" t="s">
        <v>48</v>
      </c>
    </row>
    <row r="37985">
      <c r="H37985" s="50"/>
      <c r="I37985" s="50"/>
      <c r="O37985" s="36" t="s">
        <v>48</v>
      </c>
      <c r="R37985" s="36" t="s">
        <v>48</v>
      </c>
    </row>
    <row r="37986">
      <c r="H37986" s="50"/>
      <c r="I37986" s="50"/>
      <c r="O37986" s="36" t="s">
        <v>48</v>
      </c>
      <c r="R37986" s="36" t="s">
        <v>48</v>
      </c>
    </row>
    <row r="37987">
      <c r="H37987" s="50"/>
      <c r="I37987" s="50"/>
      <c r="O37987" s="36" t="s">
        <v>48</v>
      </c>
      <c r="R37987" s="36" t="s">
        <v>48</v>
      </c>
    </row>
    <row r="37988">
      <c r="H37988" s="50"/>
      <c r="I37988" s="50"/>
      <c r="O37988" s="36" t="s">
        <v>48</v>
      </c>
      <c r="R37988" s="36" t="s">
        <v>48</v>
      </c>
    </row>
    <row r="37989">
      <c r="H37989" s="50"/>
      <c r="I37989" s="50"/>
      <c r="O37989" s="36" t="s">
        <v>48</v>
      </c>
      <c r="R37989" s="36" t="s">
        <v>48</v>
      </c>
    </row>
    <row r="37990">
      <c r="H37990" s="50"/>
      <c r="I37990" s="50"/>
      <c r="O37990" s="36" t="s">
        <v>48</v>
      </c>
      <c r="R37990" s="36" t="s">
        <v>48</v>
      </c>
    </row>
    <row r="37991">
      <c r="H37991" s="50"/>
      <c r="I37991" s="50"/>
      <c r="O37991" s="36" t="s">
        <v>48</v>
      </c>
      <c r="R37991" s="36" t="s">
        <v>48</v>
      </c>
    </row>
    <row r="37992">
      <c r="H37992" s="50"/>
      <c r="I37992" s="50"/>
      <c r="O37992" s="36" t="s">
        <v>48</v>
      </c>
      <c r="R37992" s="36" t="s">
        <v>48</v>
      </c>
    </row>
    <row r="37993">
      <c r="H37993" s="50"/>
      <c r="I37993" s="50"/>
      <c r="O37993" s="36" t="s">
        <v>48</v>
      </c>
      <c r="R37993" s="36" t="s">
        <v>48</v>
      </c>
    </row>
    <row r="37994">
      <c r="H37994" s="50"/>
      <c r="I37994" s="50"/>
      <c r="O37994" s="36" t="s">
        <v>48</v>
      </c>
      <c r="R37994" s="36" t="s">
        <v>48</v>
      </c>
    </row>
    <row r="37995">
      <c r="H37995" s="50"/>
      <c r="I37995" s="50"/>
      <c r="O37995" s="36" t="s">
        <v>48</v>
      </c>
      <c r="R37995" s="36" t="s">
        <v>48</v>
      </c>
    </row>
    <row r="37996">
      <c r="H37996" s="50"/>
      <c r="I37996" s="50"/>
      <c r="O37996" s="36" t="s">
        <v>48</v>
      </c>
      <c r="R37996" s="36" t="s">
        <v>48</v>
      </c>
    </row>
    <row r="37997">
      <c r="H37997" s="50"/>
      <c r="I37997" s="50"/>
      <c r="O37997" s="36" t="s">
        <v>48</v>
      </c>
      <c r="R37997" s="36" t="s">
        <v>48</v>
      </c>
    </row>
    <row r="37998">
      <c r="H37998" s="50"/>
      <c r="I37998" s="50"/>
      <c r="O37998" s="36" t="s">
        <v>48</v>
      </c>
      <c r="R37998" s="36" t="s">
        <v>48</v>
      </c>
    </row>
    <row r="37999">
      <c r="H37999" s="50"/>
      <c r="I37999" s="50"/>
      <c r="O37999" s="36" t="s">
        <v>48</v>
      </c>
      <c r="R37999" s="36" t="s">
        <v>48</v>
      </c>
    </row>
    <row r="38000">
      <c r="H38000" s="50"/>
      <c r="I38000" s="50"/>
      <c r="O38000" s="36" t="s">
        <v>48</v>
      </c>
      <c r="R38000" s="36" t="s">
        <v>48</v>
      </c>
    </row>
    <row r="38001">
      <c r="H38001" s="50"/>
      <c r="I38001" s="50"/>
      <c r="O38001" s="36" t="s">
        <v>48</v>
      </c>
      <c r="R38001" s="36" t="s">
        <v>48</v>
      </c>
    </row>
    <row r="38002">
      <c r="H38002" s="50"/>
      <c r="I38002" s="50"/>
      <c r="O38002" s="36" t="s">
        <v>48</v>
      </c>
      <c r="R38002" s="36" t="s">
        <v>48</v>
      </c>
    </row>
    <row r="38003">
      <c r="H38003" s="50"/>
      <c r="I38003" s="50"/>
      <c r="O38003" s="36" t="s">
        <v>48</v>
      </c>
      <c r="R38003" s="36" t="s">
        <v>48</v>
      </c>
    </row>
    <row r="38004">
      <c r="H38004" s="50"/>
      <c r="I38004" s="50"/>
      <c r="O38004" s="36" t="s">
        <v>48</v>
      </c>
      <c r="R38004" s="36" t="s">
        <v>48</v>
      </c>
    </row>
    <row r="38005">
      <c r="H38005" s="50"/>
      <c r="I38005" s="50"/>
      <c r="O38005" s="36" t="s">
        <v>48</v>
      </c>
      <c r="R38005" s="36" t="s">
        <v>48</v>
      </c>
    </row>
    <row r="38006">
      <c r="H38006" s="50"/>
      <c r="I38006" s="50"/>
      <c r="O38006" s="36" t="s">
        <v>48</v>
      </c>
      <c r="R38006" s="36" t="s">
        <v>48</v>
      </c>
    </row>
    <row r="38007">
      <c r="H38007" s="50"/>
      <c r="I38007" s="50"/>
      <c r="O38007" s="36" t="s">
        <v>48</v>
      </c>
      <c r="R38007" s="36" t="s">
        <v>48</v>
      </c>
    </row>
    <row r="38008">
      <c r="H38008" s="50"/>
      <c r="I38008" s="50"/>
      <c r="O38008" s="36" t="s">
        <v>48</v>
      </c>
      <c r="R38008" s="36" t="s">
        <v>48</v>
      </c>
    </row>
    <row r="38009">
      <c r="H38009" s="50"/>
      <c r="I38009" s="50"/>
      <c r="O38009" s="36" t="s">
        <v>48</v>
      </c>
      <c r="R38009" s="36" t="s">
        <v>48</v>
      </c>
    </row>
    <row r="38010">
      <c r="H38010" s="50"/>
      <c r="I38010" s="50"/>
      <c r="O38010" s="36" t="s">
        <v>48</v>
      </c>
      <c r="R38010" s="36" t="s">
        <v>48</v>
      </c>
    </row>
    <row r="38011">
      <c r="H38011" s="50"/>
      <c r="I38011" s="50"/>
      <c r="O38011" s="36" t="s">
        <v>48</v>
      </c>
      <c r="R38011" s="36" t="s">
        <v>48</v>
      </c>
    </row>
    <row r="38012">
      <c r="H38012" s="50"/>
      <c r="I38012" s="50"/>
      <c r="O38012" s="36" t="s">
        <v>48</v>
      </c>
      <c r="R38012" s="36" t="s">
        <v>48</v>
      </c>
    </row>
    <row r="38013">
      <c r="H38013" s="50"/>
      <c r="I38013" s="50"/>
      <c r="O38013" s="36" t="s">
        <v>48</v>
      </c>
      <c r="R38013" s="36" t="s">
        <v>48</v>
      </c>
    </row>
    <row r="38014">
      <c r="H38014" s="50"/>
      <c r="I38014" s="50"/>
      <c r="O38014" s="36" t="s">
        <v>48</v>
      </c>
      <c r="R38014" s="36" t="s">
        <v>48</v>
      </c>
    </row>
    <row r="38015">
      <c r="H38015" s="50"/>
      <c r="I38015" s="50"/>
      <c r="O38015" s="36" t="s">
        <v>48</v>
      </c>
      <c r="R38015" s="36" t="s">
        <v>48</v>
      </c>
    </row>
    <row r="38016">
      <c r="H38016" s="50"/>
      <c r="I38016" s="50"/>
      <c r="O38016" s="36" t="s">
        <v>48</v>
      </c>
      <c r="R38016" s="36" t="s">
        <v>48</v>
      </c>
    </row>
    <row r="38017">
      <c r="H38017" s="50"/>
      <c r="I38017" s="50"/>
      <c r="O38017" s="36" t="s">
        <v>48</v>
      </c>
      <c r="R38017" s="36" t="s">
        <v>48</v>
      </c>
    </row>
    <row r="38018">
      <c r="H38018" s="50"/>
      <c r="I38018" s="50"/>
      <c r="O38018" s="36" t="s">
        <v>48</v>
      </c>
      <c r="R38018" s="36" t="s">
        <v>48</v>
      </c>
    </row>
    <row r="38019">
      <c r="H38019" s="50"/>
      <c r="I38019" s="50"/>
      <c r="O38019" s="36" t="s">
        <v>48</v>
      </c>
      <c r="R38019" s="36" t="s">
        <v>48</v>
      </c>
    </row>
    <row r="38020">
      <c r="H38020" s="50"/>
      <c r="I38020" s="50"/>
      <c r="O38020" s="36" t="s">
        <v>48</v>
      </c>
      <c r="R38020" s="36" t="s">
        <v>48</v>
      </c>
    </row>
    <row r="38021">
      <c r="H38021" s="50"/>
      <c r="I38021" s="50"/>
      <c r="O38021" s="36" t="s">
        <v>48</v>
      </c>
      <c r="R38021" s="36" t="s">
        <v>48</v>
      </c>
    </row>
    <row r="38022">
      <c r="H38022" s="50"/>
      <c r="I38022" s="50"/>
      <c r="O38022" s="36" t="s">
        <v>48</v>
      </c>
      <c r="R38022" s="36" t="s">
        <v>48</v>
      </c>
    </row>
    <row r="38023">
      <c r="H38023" s="50"/>
      <c r="I38023" s="50"/>
      <c r="O38023" s="36" t="s">
        <v>48</v>
      </c>
      <c r="R38023" s="36" t="s">
        <v>48</v>
      </c>
    </row>
    <row r="38024">
      <c r="H38024" s="50"/>
      <c r="I38024" s="50"/>
      <c r="O38024" s="36" t="s">
        <v>48</v>
      </c>
      <c r="R38024" s="36" t="s">
        <v>48</v>
      </c>
    </row>
    <row r="38025">
      <c r="H38025" s="50"/>
      <c r="I38025" s="50"/>
      <c r="O38025" s="36" t="s">
        <v>48</v>
      </c>
      <c r="R38025" s="36" t="s">
        <v>48</v>
      </c>
    </row>
    <row r="38026">
      <c r="H38026" s="50"/>
      <c r="I38026" s="50"/>
      <c r="O38026" s="36" t="s">
        <v>48</v>
      </c>
      <c r="R38026" s="36" t="s">
        <v>48</v>
      </c>
    </row>
    <row r="38027">
      <c r="H38027" s="50"/>
      <c r="I38027" s="50"/>
      <c r="O38027" s="36" t="s">
        <v>48</v>
      </c>
      <c r="R38027" s="36" t="s">
        <v>48</v>
      </c>
    </row>
    <row r="38028">
      <c r="H38028" s="50"/>
      <c r="I38028" s="50"/>
      <c r="O38028" s="36" t="s">
        <v>48</v>
      </c>
      <c r="R38028" s="36" t="s">
        <v>48</v>
      </c>
    </row>
    <row r="38029">
      <c r="H38029" s="50"/>
      <c r="I38029" s="50"/>
      <c r="O38029" s="36" t="s">
        <v>48</v>
      </c>
      <c r="R38029" s="36" t="s">
        <v>48</v>
      </c>
    </row>
    <row r="38030">
      <c r="H38030" s="50"/>
      <c r="I38030" s="50"/>
      <c r="O38030" s="36" t="s">
        <v>48</v>
      </c>
      <c r="R38030" s="36" t="s">
        <v>48</v>
      </c>
    </row>
    <row r="38031">
      <c r="H38031" s="50"/>
      <c r="I38031" s="50"/>
      <c r="O38031" s="36" t="s">
        <v>48</v>
      </c>
      <c r="R38031" s="36" t="s">
        <v>48</v>
      </c>
    </row>
    <row r="38032">
      <c r="H38032" s="50"/>
      <c r="I38032" s="50"/>
      <c r="O38032" s="36" t="s">
        <v>48</v>
      </c>
      <c r="R38032" s="36" t="s">
        <v>48</v>
      </c>
    </row>
    <row r="38033">
      <c r="H38033" s="50"/>
      <c r="I38033" s="50"/>
      <c r="O38033" s="36" t="s">
        <v>48</v>
      </c>
      <c r="R38033" s="36" t="s">
        <v>48</v>
      </c>
    </row>
    <row r="38034">
      <c r="H38034" s="50"/>
      <c r="I38034" s="50"/>
      <c r="O38034" s="36" t="s">
        <v>48</v>
      </c>
      <c r="R38034" s="36" t="s">
        <v>48</v>
      </c>
    </row>
    <row r="38035">
      <c r="H38035" s="50"/>
      <c r="I38035" s="50"/>
      <c r="O38035" s="36" t="s">
        <v>48</v>
      </c>
      <c r="R38035" s="36" t="s">
        <v>48</v>
      </c>
    </row>
    <row r="38036">
      <c r="H38036" s="50"/>
      <c r="I38036" s="50"/>
      <c r="O38036" s="36" t="s">
        <v>48</v>
      </c>
      <c r="R38036" s="36" t="s">
        <v>48</v>
      </c>
    </row>
    <row r="38037">
      <c r="H38037" s="50"/>
      <c r="I38037" s="50"/>
      <c r="O38037" s="36" t="s">
        <v>48</v>
      </c>
      <c r="R38037" s="36" t="s">
        <v>48</v>
      </c>
    </row>
    <row r="38038">
      <c r="H38038" s="50"/>
      <c r="I38038" s="50"/>
      <c r="O38038" s="36" t="s">
        <v>48</v>
      </c>
      <c r="R38038" s="36" t="s">
        <v>48</v>
      </c>
    </row>
    <row r="38039">
      <c r="H38039" s="50"/>
      <c r="I38039" s="50"/>
      <c r="O38039" s="36" t="s">
        <v>48</v>
      </c>
      <c r="R38039" s="36" t="s">
        <v>48</v>
      </c>
    </row>
    <row r="38040">
      <c r="H38040" s="50"/>
      <c r="I38040" s="50"/>
      <c r="O38040" s="36" t="s">
        <v>48</v>
      </c>
      <c r="R38040" s="36" t="s">
        <v>48</v>
      </c>
    </row>
    <row r="38041">
      <c r="H38041" s="50"/>
      <c r="I38041" s="50"/>
      <c r="O38041" s="36" t="s">
        <v>48</v>
      </c>
      <c r="R38041" s="36" t="s">
        <v>48</v>
      </c>
    </row>
    <row r="38042">
      <c r="H38042" s="50"/>
      <c r="I38042" s="50"/>
      <c r="O38042" s="36" t="s">
        <v>48</v>
      </c>
      <c r="R38042" s="36" t="s">
        <v>48</v>
      </c>
    </row>
    <row r="38043">
      <c r="H38043" s="50"/>
      <c r="I38043" s="50"/>
      <c r="O38043" s="36" t="s">
        <v>48</v>
      </c>
      <c r="R38043" s="36" t="s">
        <v>48</v>
      </c>
    </row>
    <row r="38044">
      <c r="H38044" s="50"/>
      <c r="I38044" s="50"/>
      <c r="O38044" s="36" t="s">
        <v>48</v>
      </c>
      <c r="R38044" s="36" t="s">
        <v>48</v>
      </c>
    </row>
    <row r="38045">
      <c r="H38045" s="50"/>
      <c r="I38045" s="50"/>
      <c r="O38045" s="36" t="s">
        <v>48</v>
      </c>
      <c r="R38045" s="36" t="s">
        <v>48</v>
      </c>
    </row>
    <row r="38046">
      <c r="H38046" s="50"/>
      <c r="I38046" s="50"/>
      <c r="O38046" s="36" t="s">
        <v>48</v>
      </c>
      <c r="R38046" s="36" t="s">
        <v>48</v>
      </c>
    </row>
    <row r="38047">
      <c r="H38047" s="50"/>
      <c r="I38047" s="50"/>
      <c r="O38047" s="36" t="s">
        <v>48</v>
      </c>
      <c r="R38047" s="36" t="s">
        <v>48</v>
      </c>
    </row>
    <row r="38048">
      <c r="H38048" s="50"/>
      <c r="I38048" s="50"/>
      <c r="O38048" s="36" t="s">
        <v>48</v>
      </c>
      <c r="R38048" s="36" t="s">
        <v>48</v>
      </c>
    </row>
    <row r="38049">
      <c r="H38049" s="50"/>
      <c r="I38049" s="50"/>
      <c r="O38049" s="36" t="s">
        <v>48</v>
      </c>
      <c r="R38049" s="36" t="s">
        <v>48</v>
      </c>
    </row>
    <row r="38050">
      <c r="H38050" s="50"/>
      <c r="I38050" s="50"/>
      <c r="O38050" s="36" t="s">
        <v>48</v>
      </c>
      <c r="R38050" s="36" t="s">
        <v>48</v>
      </c>
    </row>
    <row r="38051">
      <c r="H38051" s="50"/>
      <c r="I38051" s="50"/>
      <c r="O38051" s="36" t="s">
        <v>48</v>
      </c>
      <c r="R38051" s="36" t="s">
        <v>48</v>
      </c>
    </row>
    <row r="38052">
      <c r="H38052" s="50"/>
      <c r="I38052" s="50"/>
      <c r="O38052" s="36" t="s">
        <v>48</v>
      </c>
      <c r="R38052" s="36" t="s">
        <v>48</v>
      </c>
    </row>
    <row r="38053">
      <c r="H38053" s="50"/>
      <c r="I38053" s="50"/>
      <c r="O38053" s="36" t="s">
        <v>48</v>
      </c>
      <c r="R38053" s="36" t="s">
        <v>48</v>
      </c>
    </row>
    <row r="38054">
      <c r="H38054" s="50"/>
      <c r="I38054" s="50"/>
      <c r="O38054" s="36" t="s">
        <v>48</v>
      </c>
      <c r="R38054" s="36" t="s">
        <v>48</v>
      </c>
    </row>
    <row r="38055">
      <c r="H38055" s="50"/>
      <c r="I38055" s="50"/>
      <c r="O38055" s="36" t="s">
        <v>48</v>
      </c>
      <c r="R38055" s="36" t="s">
        <v>48</v>
      </c>
    </row>
    <row r="38056">
      <c r="H38056" s="50"/>
      <c r="I38056" s="50"/>
      <c r="O38056" s="36" t="s">
        <v>48</v>
      </c>
      <c r="R38056" s="36" t="s">
        <v>48</v>
      </c>
    </row>
    <row r="38057">
      <c r="H38057" s="50"/>
      <c r="I38057" s="50"/>
      <c r="O38057" s="36" t="s">
        <v>48</v>
      </c>
      <c r="R38057" s="36" t="s">
        <v>48</v>
      </c>
    </row>
    <row r="38058">
      <c r="H38058" s="50"/>
      <c r="I38058" s="50"/>
      <c r="O38058" s="36" t="s">
        <v>48</v>
      </c>
      <c r="R38058" s="36" t="s">
        <v>48</v>
      </c>
    </row>
    <row r="38059">
      <c r="H38059" s="50"/>
      <c r="I38059" s="50"/>
      <c r="O38059" s="36" t="s">
        <v>48</v>
      </c>
      <c r="R38059" s="36" t="s">
        <v>48</v>
      </c>
    </row>
    <row r="38060">
      <c r="H38060" s="50"/>
      <c r="I38060" s="50"/>
      <c r="O38060" s="36" t="s">
        <v>48</v>
      </c>
      <c r="R38060" s="36" t="s">
        <v>48</v>
      </c>
    </row>
    <row r="38061">
      <c r="H38061" s="50"/>
      <c r="I38061" s="50"/>
      <c r="O38061" s="36" t="s">
        <v>48</v>
      </c>
      <c r="R38061" s="36" t="s">
        <v>48</v>
      </c>
    </row>
    <row r="38062">
      <c r="H38062" s="50"/>
      <c r="I38062" s="50"/>
      <c r="O38062" s="36" t="s">
        <v>48</v>
      </c>
      <c r="R38062" s="36" t="s">
        <v>48</v>
      </c>
    </row>
    <row r="38063">
      <c r="H38063" s="50"/>
      <c r="I38063" s="50"/>
      <c r="O38063" s="36" t="s">
        <v>48</v>
      </c>
      <c r="R38063" s="36" t="s">
        <v>48</v>
      </c>
    </row>
    <row r="38064">
      <c r="H38064" s="50"/>
      <c r="I38064" s="50"/>
      <c r="O38064" s="36" t="s">
        <v>48</v>
      </c>
      <c r="R38064" s="36" t="s">
        <v>48</v>
      </c>
    </row>
    <row r="38065">
      <c r="H38065" s="50"/>
      <c r="I38065" s="50"/>
      <c r="O38065" s="36" t="s">
        <v>48</v>
      </c>
      <c r="R38065" s="36" t="s">
        <v>48</v>
      </c>
    </row>
    <row r="38066">
      <c r="H38066" s="50"/>
      <c r="I38066" s="50"/>
      <c r="O38066" s="36" t="s">
        <v>48</v>
      </c>
      <c r="R38066" s="36" t="s">
        <v>48</v>
      </c>
    </row>
    <row r="38067">
      <c r="H38067" s="50"/>
      <c r="I38067" s="50"/>
      <c r="O38067" s="36" t="s">
        <v>48</v>
      </c>
      <c r="R38067" s="36" t="s">
        <v>48</v>
      </c>
    </row>
    <row r="38068">
      <c r="H38068" s="50"/>
      <c r="I38068" s="50"/>
      <c r="O38068" s="36" t="s">
        <v>48</v>
      </c>
      <c r="R38068" s="36" t="s">
        <v>48</v>
      </c>
    </row>
    <row r="38069">
      <c r="H38069" s="50"/>
      <c r="I38069" s="50"/>
      <c r="O38069" s="36" t="s">
        <v>48</v>
      </c>
      <c r="R38069" s="36" t="s">
        <v>48</v>
      </c>
    </row>
    <row r="38070">
      <c r="H38070" s="50"/>
      <c r="I38070" s="50"/>
      <c r="O38070" s="36" t="s">
        <v>48</v>
      </c>
      <c r="R38070" s="36" t="s">
        <v>48</v>
      </c>
    </row>
    <row r="38071">
      <c r="H38071" s="50"/>
      <c r="I38071" s="50"/>
      <c r="O38071" s="36" t="s">
        <v>48</v>
      </c>
      <c r="R38071" s="36" t="s">
        <v>48</v>
      </c>
    </row>
    <row r="38072">
      <c r="H38072" s="50"/>
      <c r="I38072" s="50"/>
      <c r="O38072" s="36" t="s">
        <v>48</v>
      </c>
      <c r="R38072" s="36" t="s">
        <v>48</v>
      </c>
    </row>
    <row r="38073">
      <c r="H38073" s="50"/>
      <c r="I38073" s="50"/>
      <c r="O38073" s="36" t="s">
        <v>48</v>
      </c>
      <c r="R38073" s="36" t="s">
        <v>48</v>
      </c>
    </row>
    <row r="38074">
      <c r="H38074" s="50"/>
      <c r="I38074" s="50"/>
      <c r="O38074" s="36" t="s">
        <v>48</v>
      </c>
      <c r="R38074" s="36" t="s">
        <v>48</v>
      </c>
    </row>
    <row r="38075">
      <c r="H38075" s="50"/>
      <c r="I38075" s="50"/>
      <c r="O38075" s="36" t="s">
        <v>48</v>
      </c>
      <c r="R38075" s="36" t="s">
        <v>48</v>
      </c>
    </row>
    <row r="38076">
      <c r="H38076" s="50"/>
      <c r="I38076" s="50"/>
      <c r="O38076" s="36" t="s">
        <v>48</v>
      </c>
      <c r="R38076" s="36" t="s">
        <v>48</v>
      </c>
    </row>
    <row r="38077">
      <c r="H38077" s="50"/>
      <c r="I38077" s="50"/>
      <c r="O38077" s="36" t="s">
        <v>48</v>
      </c>
      <c r="R38077" s="36" t="s">
        <v>48</v>
      </c>
    </row>
    <row r="38078">
      <c r="H38078" s="50"/>
      <c r="I38078" s="50"/>
      <c r="O38078" s="36" t="s">
        <v>48</v>
      </c>
      <c r="R38078" s="36" t="s">
        <v>48</v>
      </c>
    </row>
    <row r="38079">
      <c r="H38079" s="50"/>
      <c r="I38079" s="50"/>
      <c r="O38079" s="36" t="s">
        <v>48</v>
      </c>
      <c r="R38079" s="36" t="s">
        <v>48</v>
      </c>
    </row>
    <row r="38080">
      <c r="H38080" s="50"/>
      <c r="I38080" s="50"/>
      <c r="O38080" s="36" t="s">
        <v>48</v>
      </c>
      <c r="R38080" s="36" t="s">
        <v>48</v>
      </c>
    </row>
    <row r="38081">
      <c r="H38081" s="50"/>
      <c r="I38081" s="50"/>
      <c r="O38081" s="36" t="s">
        <v>48</v>
      </c>
      <c r="R38081" s="36" t="s">
        <v>48</v>
      </c>
    </row>
    <row r="38082">
      <c r="H38082" s="50"/>
      <c r="I38082" s="50"/>
      <c r="O38082" s="36" t="s">
        <v>48</v>
      </c>
      <c r="R38082" s="36" t="s">
        <v>48</v>
      </c>
    </row>
    <row r="38083">
      <c r="H38083" s="50"/>
      <c r="I38083" s="50"/>
      <c r="O38083" s="36" t="s">
        <v>48</v>
      </c>
      <c r="R38083" s="36" t="s">
        <v>48</v>
      </c>
    </row>
    <row r="38084">
      <c r="H38084" s="50"/>
      <c r="I38084" s="50"/>
      <c r="O38084" s="36" t="s">
        <v>48</v>
      </c>
      <c r="R38084" s="36" t="s">
        <v>48</v>
      </c>
    </row>
    <row r="38085">
      <c r="H38085" s="50"/>
      <c r="I38085" s="50"/>
      <c r="O38085" s="36" t="s">
        <v>48</v>
      </c>
      <c r="R38085" s="36" t="s">
        <v>48</v>
      </c>
    </row>
    <row r="38086">
      <c r="H38086" s="50"/>
      <c r="I38086" s="50"/>
      <c r="O38086" s="36" t="s">
        <v>48</v>
      </c>
      <c r="R38086" s="36" t="s">
        <v>48</v>
      </c>
    </row>
    <row r="38087">
      <c r="H38087" s="50"/>
      <c r="I38087" s="50"/>
      <c r="O38087" s="36" t="s">
        <v>48</v>
      </c>
      <c r="R38087" s="36" t="s">
        <v>48</v>
      </c>
    </row>
    <row r="38088">
      <c r="H38088" s="50"/>
      <c r="I38088" s="50"/>
      <c r="O38088" s="36" t="s">
        <v>48</v>
      </c>
      <c r="R38088" s="36" t="s">
        <v>48</v>
      </c>
    </row>
    <row r="38089">
      <c r="H38089" s="50"/>
      <c r="I38089" s="50"/>
      <c r="O38089" s="36" t="s">
        <v>48</v>
      </c>
      <c r="R38089" s="36" t="s">
        <v>48</v>
      </c>
    </row>
    <row r="38090">
      <c r="H38090" s="50"/>
      <c r="I38090" s="50"/>
      <c r="O38090" s="36" t="s">
        <v>48</v>
      </c>
      <c r="R38090" s="36" t="s">
        <v>48</v>
      </c>
    </row>
    <row r="38091">
      <c r="H38091" s="50"/>
      <c r="I38091" s="50"/>
      <c r="O38091" s="36" t="s">
        <v>48</v>
      </c>
      <c r="R38091" s="36" t="s">
        <v>48</v>
      </c>
    </row>
    <row r="38092">
      <c r="H38092" s="50"/>
      <c r="I38092" s="50"/>
      <c r="O38092" s="36" t="s">
        <v>48</v>
      </c>
      <c r="R38092" s="36" t="s">
        <v>48</v>
      </c>
    </row>
    <row r="38093">
      <c r="H38093" s="50"/>
      <c r="I38093" s="50"/>
      <c r="O38093" s="36" t="s">
        <v>48</v>
      </c>
      <c r="R38093" s="36" t="s">
        <v>48</v>
      </c>
    </row>
    <row r="38094">
      <c r="H38094" s="50"/>
      <c r="I38094" s="50"/>
      <c r="O38094" s="36" t="s">
        <v>48</v>
      </c>
      <c r="R38094" s="36" t="s">
        <v>48</v>
      </c>
    </row>
    <row r="38095">
      <c r="H38095" s="50"/>
      <c r="I38095" s="50"/>
      <c r="O38095" s="36" t="s">
        <v>48</v>
      </c>
      <c r="R38095" s="36" t="s">
        <v>48</v>
      </c>
    </row>
    <row r="38096">
      <c r="H38096" s="50"/>
      <c r="I38096" s="50"/>
      <c r="O38096" s="36" t="s">
        <v>48</v>
      </c>
      <c r="R38096" s="36" t="s">
        <v>48</v>
      </c>
    </row>
    <row r="38097">
      <c r="H38097" s="50"/>
      <c r="I38097" s="50"/>
      <c r="O38097" s="36" t="s">
        <v>48</v>
      </c>
      <c r="R38097" s="36" t="s">
        <v>48</v>
      </c>
    </row>
    <row r="38098">
      <c r="H38098" s="50"/>
      <c r="I38098" s="50"/>
      <c r="O38098" s="36" t="s">
        <v>48</v>
      </c>
      <c r="R38098" s="36" t="s">
        <v>48</v>
      </c>
    </row>
    <row r="38099">
      <c r="H38099" s="50"/>
      <c r="I38099" s="50"/>
      <c r="O38099" s="36" t="s">
        <v>48</v>
      </c>
      <c r="R38099" s="36" t="s">
        <v>48</v>
      </c>
    </row>
    <row r="38100">
      <c r="H38100" s="50"/>
      <c r="I38100" s="50"/>
      <c r="O38100" s="36" t="s">
        <v>48</v>
      </c>
      <c r="R38100" s="36" t="s">
        <v>48</v>
      </c>
    </row>
    <row r="38101">
      <c r="H38101" s="50"/>
      <c r="I38101" s="50"/>
      <c r="O38101" s="36" t="s">
        <v>48</v>
      </c>
      <c r="R38101" s="36" t="s">
        <v>48</v>
      </c>
    </row>
    <row r="38102">
      <c r="H38102" s="50"/>
      <c r="I38102" s="50"/>
      <c r="O38102" s="36" t="s">
        <v>48</v>
      </c>
      <c r="R38102" s="36" t="s">
        <v>48</v>
      </c>
    </row>
    <row r="38103">
      <c r="H38103" s="50"/>
      <c r="I38103" s="50"/>
      <c r="O38103" s="36" t="s">
        <v>48</v>
      </c>
      <c r="R38103" s="36" t="s">
        <v>48</v>
      </c>
    </row>
    <row r="38104">
      <c r="H38104" s="50"/>
      <c r="I38104" s="50"/>
      <c r="O38104" s="36" t="s">
        <v>48</v>
      </c>
      <c r="R38104" s="36" t="s">
        <v>48</v>
      </c>
    </row>
    <row r="38105">
      <c r="H38105" s="50"/>
      <c r="I38105" s="50"/>
      <c r="O38105" s="36" t="s">
        <v>48</v>
      </c>
      <c r="R38105" s="36" t="s">
        <v>48</v>
      </c>
    </row>
    <row r="38106">
      <c r="H38106" s="50"/>
      <c r="I38106" s="50"/>
      <c r="O38106" s="36" t="s">
        <v>48</v>
      </c>
      <c r="R38106" s="36" t="s">
        <v>48</v>
      </c>
    </row>
    <row r="38107">
      <c r="H38107" s="50"/>
      <c r="I38107" s="50"/>
      <c r="O38107" s="36" t="s">
        <v>48</v>
      </c>
      <c r="R38107" s="36" t="s">
        <v>48</v>
      </c>
    </row>
    <row r="38108">
      <c r="H38108" s="50"/>
      <c r="I38108" s="50"/>
      <c r="O38108" s="36" t="s">
        <v>48</v>
      </c>
      <c r="R38108" s="36" t="s">
        <v>48</v>
      </c>
    </row>
    <row r="38109">
      <c r="H38109" s="50"/>
      <c r="I38109" s="50"/>
      <c r="O38109" s="36" t="s">
        <v>48</v>
      </c>
      <c r="R38109" s="36" t="s">
        <v>48</v>
      </c>
    </row>
    <row r="38110">
      <c r="H38110" s="50"/>
      <c r="I38110" s="50"/>
      <c r="O38110" s="36" t="s">
        <v>48</v>
      </c>
      <c r="R38110" s="36" t="s">
        <v>48</v>
      </c>
    </row>
    <row r="38111">
      <c r="H38111" s="50"/>
      <c r="I38111" s="50"/>
      <c r="O38111" s="36" t="s">
        <v>48</v>
      </c>
      <c r="R38111" s="36" t="s">
        <v>48</v>
      </c>
    </row>
    <row r="38112">
      <c r="H38112" s="50"/>
      <c r="I38112" s="50"/>
      <c r="O38112" s="36" t="s">
        <v>48</v>
      </c>
      <c r="R38112" s="36" t="s">
        <v>48</v>
      </c>
    </row>
    <row r="38113">
      <c r="H38113" s="50"/>
      <c r="I38113" s="50"/>
      <c r="O38113" s="36" t="s">
        <v>48</v>
      </c>
      <c r="R38113" s="36" t="s">
        <v>48</v>
      </c>
    </row>
    <row r="38114">
      <c r="H38114" s="50"/>
      <c r="I38114" s="50"/>
      <c r="O38114" s="36" t="s">
        <v>48</v>
      </c>
      <c r="R38114" s="36" t="s">
        <v>48</v>
      </c>
    </row>
    <row r="38115">
      <c r="H38115" s="50"/>
      <c r="I38115" s="50"/>
      <c r="O38115" s="36" t="s">
        <v>48</v>
      </c>
      <c r="R38115" s="36" t="s">
        <v>48</v>
      </c>
    </row>
    <row r="38116">
      <c r="H38116" s="50"/>
      <c r="I38116" s="50"/>
      <c r="O38116" s="36" t="s">
        <v>48</v>
      </c>
      <c r="R38116" s="36" t="s">
        <v>48</v>
      </c>
    </row>
    <row r="38117">
      <c r="H38117" s="50"/>
      <c r="I38117" s="50"/>
      <c r="O38117" s="36" t="s">
        <v>48</v>
      </c>
      <c r="R38117" s="36" t="s">
        <v>48</v>
      </c>
    </row>
    <row r="38118">
      <c r="H38118" s="50"/>
      <c r="I38118" s="50"/>
      <c r="O38118" s="36" t="s">
        <v>48</v>
      </c>
      <c r="R38118" s="36" t="s">
        <v>48</v>
      </c>
    </row>
    <row r="38119">
      <c r="H38119" s="50"/>
      <c r="I38119" s="50"/>
      <c r="O38119" s="36" t="s">
        <v>48</v>
      </c>
      <c r="R38119" s="36" t="s">
        <v>48</v>
      </c>
    </row>
    <row r="38120">
      <c r="H38120" s="50"/>
      <c r="I38120" s="50"/>
      <c r="O38120" s="36" t="s">
        <v>48</v>
      </c>
      <c r="R38120" s="36" t="s">
        <v>48</v>
      </c>
    </row>
    <row r="38121">
      <c r="H38121" s="50"/>
      <c r="I38121" s="50"/>
      <c r="O38121" s="36" t="s">
        <v>48</v>
      </c>
      <c r="R38121" s="36" t="s">
        <v>48</v>
      </c>
    </row>
    <row r="38122">
      <c r="H38122" s="50"/>
      <c r="I38122" s="50"/>
      <c r="O38122" s="36" t="s">
        <v>48</v>
      </c>
      <c r="R38122" s="36" t="s">
        <v>48</v>
      </c>
    </row>
    <row r="38123">
      <c r="H38123" s="50"/>
      <c r="I38123" s="50"/>
      <c r="O38123" s="36" t="s">
        <v>48</v>
      </c>
      <c r="R38123" s="36" t="s">
        <v>48</v>
      </c>
    </row>
    <row r="38124">
      <c r="H38124" s="50"/>
      <c r="I38124" s="50"/>
      <c r="O38124" s="36" t="s">
        <v>48</v>
      </c>
      <c r="R38124" s="36" t="s">
        <v>48</v>
      </c>
    </row>
    <row r="38125">
      <c r="H38125" s="50"/>
      <c r="I38125" s="50"/>
      <c r="O38125" s="36" t="s">
        <v>48</v>
      </c>
      <c r="R38125" s="36" t="s">
        <v>48</v>
      </c>
    </row>
    <row r="38126">
      <c r="H38126" s="50"/>
      <c r="I38126" s="50"/>
      <c r="O38126" s="36" t="s">
        <v>48</v>
      </c>
      <c r="R38126" s="36" t="s">
        <v>48</v>
      </c>
    </row>
    <row r="38127">
      <c r="H38127" s="50"/>
      <c r="I38127" s="50"/>
      <c r="O38127" s="36" t="s">
        <v>48</v>
      </c>
      <c r="R38127" s="36" t="s">
        <v>48</v>
      </c>
    </row>
    <row r="38128">
      <c r="H38128" s="50"/>
      <c r="I38128" s="50"/>
      <c r="O38128" s="36" t="s">
        <v>48</v>
      </c>
      <c r="R38128" s="36" t="s">
        <v>48</v>
      </c>
    </row>
    <row r="38129">
      <c r="H38129" s="50"/>
      <c r="I38129" s="50"/>
      <c r="O38129" s="36" t="s">
        <v>48</v>
      </c>
      <c r="R38129" s="36" t="s">
        <v>48</v>
      </c>
    </row>
    <row r="38130">
      <c r="H38130" s="50"/>
      <c r="I38130" s="50"/>
      <c r="O38130" s="36" t="s">
        <v>48</v>
      </c>
      <c r="R38130" s="36" t="s">
        <v>48</v>
      </c>
    </row>
    <row r="38131">
      <c r="H38131" s="50"/>
      <c r="I38131" s="50"/>
      <c r="O38131" s="36" t="s">
        <v>48</v>
      </c>
      <c r="R38131" s="36" t="s">
        <v>48</v>
      </c>
    </row>
    <row r="38132">
      <c r="H38132" s="50"/>
      <c r="I38132" s="50"/>
      <c r="O38132" s="36" t="s">
        <v>48</v>
      </c>
      <c r="R38132" s="36" t="s">
        <v>48</v>
      </c>
    </row>
    <row r="38133">
      <c r="H38133" s="50"/>
      <c r="I38133" s="50"/>
      <c r="O38133" s="36" t="s">
        <v>48</v>
      </c>
      <c r="R38133" s="36" t="s">
        <v>48</v>
      </c>
    </row>
    <row r="38134">
      <c r="H38134" s="50"/>
      <c r="I38134" s="50"/>
      <c r="O38134" s="36" t="s">
        <v>48</v>
      </c>
      <c r="R38134" s="36" t="s">
        <v>48</v>
      </c>
    </row>
    <row r="38135">
      <c r="H38135" s="50"/>
      <c r="I38135" s="50"/>
      <c r="O38135" s="36" t="s">
        <v>48</v>
      </c>
      <c r="R38135" s="36" t="s">
        <v>48</v>
      </c>
    </row>
    <row r="38136">
      <c r="H38136" s="50"/>
      <c r="I38136" s="50"/>
      <c r="O38136" s="36" t="s">
        <v>48</v>
      </c>
      <c r="R38136" s="36" t="s">
        <v>48</v>
      </c>
    </row>
    <row r="38137">
      <c r="H38137" s="50"/>
      <c r="I38137" s="50"/>
      <c r="O38137" s="36" t="s">
        <v>48</v>
      </c>
      <c r="R38137" s="36" t="s">
        <v>48</v>
      </c>
    </row>
    <row r="38138">
      <c r="H38138" s="50"/>
      <c r="I38138" s="50"/>
      <c r="O38138" s="36" t="s">
        <v>48</v>
      </c>
      <c r="R38138" s="36" t="s">
        <v>48</v>
      </c>
    </row>
    <row r="38139">
      <c r="H38139" s="50"/>
      <c r="I38139" s="50"/>
      <c r="O38139" s="36" t="s">
        <v>48</v>
      </c>
      <c r="R38139" s="36" t="s">
        <v>48</v>
      </c>
    </row>
    <row r="38140">
      <c r="H38140" s="50"/>
      <c r="I38140" s="50"/>
      <c r="O38140" s="36" t="s">
        <v>48</v>
      </c>
      <c r="R38140" s="36" t="s">
        <v>48</v>
      </c>
    </row>
    <row r="38141">
      <c r="H38141" s="50"/>
      <c r="I38141" s="50"/>
      <c r="O38141" s="36" t="s">
        <v>48</v>
      </c>
      <c r="R38141" s="36" t="s">
        <v>48</v>
      </c>
    </row>
    <row r="38142">
      <c r="H38142" s="50"/>
      <c r="I38142" s="50"/>
      <c r="O38142" s="36" t="s">
        <v>48</v>
      </c>
      <c r="R38142" s="36" t="s">
        <v>48</v>
      </c>
    </row>
    <row r="38143">
      <c r="H38143" s="50"/>
      <c r="I38143" s="50"/>
      <c r="O38143" s="36" t="s">
        <v>48</v>
      </c>
      <c r="R38143" s="36" t="s">
        <v>48</v>
      </c>
    </row>
    <row r="38144">
      <c r="H38144" s="50"/>
      <c r="I38144" s="50"/>
      <c r="O38144" s="36" t="s">
        <v>48</v>
      </c>
      <c r="R38144" s="36" t="s">
        <v>48</v>
      </c>
    </row>
    <row r="38145">
      <c r="H38145" s="50"/>
      <c r="I38145" s="50"/>
      <c r="O38145" s="36" t="s">
        <v>48</v>
      </c>
      <c r="R38145" s="36" t="s">
        <v>48</v>
      </c>
    </row>
    <row r="38146">
      <c r="H38146" s="50"/>
      <c r="I38146" s="50"/>
      <c r="O38146" s="36" t="s">
        <v>48</v>
      </c>
      <c r="R38146" s="36" t="s">
        <v>48</v>
      </c>
    </row>
    <row r="38147">
      <c r="H38147" s="50"/>
      <c r="I38147" s="50"/>
      <c r="O38147" s="36" t="s">
        <v>48</v>
      </c>
      <c r="R38147" s="36" t="s">
        <v>48</v>
      </c>
    </row>
    <row r="38148">
      <c r="H38148" s="50"/>
      <c r="I38148" s="50"/>
      <c r="O38148" s="36" t="s">
        <v>48</v>
      </c>
      <c r="R38148" s="36" t="s">
        <v>48</v>
      </c>
    </row>
    <row r="38149">
      <c r="H38149" s="50"/>
      <c r="I38149" s="50"/>
      <c r="O38149" s="36" t="s">
        <v>48</v>
      </c>
      <c r="R38149" s="36" t="s">
        <v>48</v>
      </c>
    </row>
    <row r="38150">
      <c r="H38150" s="50"/>
      <c r="I38150" s="50"/>
      <c r="O38150" s="36" t="s">
        <v>48</v>
      </c>
      <c r="R38150" s="36" t="s">
        <v>48</v>
      </c>
    </row>
    <row r="38151">
      <c r="H38151" s="50"/>
      <c r="I38151" s="50"/>
      <c r="O38151" s="36" t="s">
        <v>48</v>
      </c>
      <c r="R38151" s="36" t="s">
        <v>48</v>
      </c>
    </row>
    <row r="38152">
      <c r="H38152" s="50"/>
      <c r="I38152" s="50"/>
      <c r="O38152" s="36" t="s">
        <v>48</v>
      </c>
      <c r="R38152" s="36" t="s">
        <v>48</v>
      </c>
    </row>
    <row r="38153">
      <c r="H38153" s="50"/>
      <c r="I38153" s="50"/>
      <c r="O38153" s="36" t="s">
        <v>48</v>
      </c>
      <c r="R38153" s="36" t="s">
        <v>48</v>
      </c>
    </row>
    <row r="38154">
      <c r="H38154" s="50"/>
      <c r="I38154" s="50"/>
      <c r="O38154" s="36" t="s">
        <v>48</v>
      </c>
      <c r="R38154" s="36" t="s">
        <v>48</v>
      </c>
    </row>
    <row r="38155">
      <c r="H38155" s="50"/>
      <c r="I38155" s="50"/>
      <c r="O38155" s="36" t="s">
        <v>48</v>
      </c>
      <c r="R38155" s="36" t="s">
        <v>48</v>
      </c>
    </row>
    <row r="38156">
      <c r="H38156" s="50"/>
      <c r="I38156" s="50"/>
      <c r="O38156" s="36" t="s">
        <v>48</v>
      </c>
      <c r="R38156" s="36" t="s">
        <v>48</v>
      </c>
    </row>
    <row r="38157">
      <c r="H38157" s="50"/>
      <c r="I38157" s="50"/>
      <c r="O38157" s="36" t="s">
        <v>48</v>
      </c>
      <c r="R38157" s="36" t="s">
        <v>48</v>
      </c>
    </row>
    <row r="38158">
      <c r="H38158" s="50"/>
      <c r="I38158" s="50"/>
      <c r="O38158" s="36" t="s">
        <v>48</v>
      </c>
      <c r="R38158" s="36" t="s">
        <v>48</v>
      </c>
    </row>
    <row r="38159">
      <c r="H38159" s="50"/>
      <c r="I38159" s="50"/>
      <c r="O38159" s="36" t="s">
        <v>48</v>
      </c>
      <c r="R38159" s="36" t="s">
        <v>48</v>
      </c>
    </row>
    <row r="38160">
      <c r="H38160" s="50"/>
      <c r="I38160" s="50"/>
      <c r="O38160" s="36" t="s">
        <v>48</v>
      </c>
      <c r="R38160" s="36" t="s">
        <v>48</v>
      </c>
    </row>
    <row r="38161">
      <c r="H38161" s="50"/>
      <c r="I38161" s="50"/>
      <c r="O38161" s="36" t="s">
        <v>48</v>
      </c>
      <c r="R38161" s="36" t="s">
        <v>48</v>
      </c>
    </row>
    <row r="38162">
      <c r="H38162" s="50"/>
      <c r="I38162" s="50"/>
      <c r="O38162" s="36" t="s">
        <v>48</v>
      </c>
      <c r="R38162" s="36" t="s">
        <v>48</v>
      </c>
    </row>
    <row r="38163">
      <c r="H38163" s="50"/>
      <c r="I38163" s="50"/>
      <c r="O38163" s="36" t="s">
        <v>48</v>
      </c>
      <c r="R38163" s="36" t="s">
        <v>48</v>
      </c>
    </row>
    <row r="38164">
      <c r="H38164" s="50"/>
      <c r="I38164" s="50"/>
      <c r="O38164" s="36" t="s">
        <v>48</v>
      </c>
      <c r="R38164" s="36" t="s">
        <v>48</v>
      </c>
    </row>
    <row r="38165">
      <c r="H38165" s="50"/>
      <c r="I38165" s="50"/>
      <c r="O38165" s="36" t="s">
        <v>48</v>
      </c>
      <c r="R38165" s="36" t="s">
        <v>48</v>
      </c>
    </row>
    <row r="38166">
      <c r="H38166" s="50"/>
      <c r="I38166" s="50"/>
      <c r="O38166" s="36" t="s">
        <v>48</v>
      </c>
      <c r="R38166" s="36" t="s">
        <v>48</v>
      </c>
    </row>
    <row r="38167">
      <c r="H38167" s="50"/>
      <c r="I38167" s="50"/>
      <c r="O38167" s="36" t="s">
        <v>48</v>
      </c>
      <c r="R38167" s="36" t="s">
        <v>48</v>
      </c>
    </row>
    <row r="38168">
      <c r="H38168" s="50"/>
      <c r="I38168" s="50"/>
      <c r="O38168" s="36" t="s">
        <v>48</v>
      </c>
      <c r="R38168" s="36" t="s">
        <v>48</v>
      </c>
    </row>
    <row r="38169">
      <c r="H38169" s="50"/>
      <c r="I38169" s="50"/>
      <c r="O38169" s="36" t="s">
        <v>48</v>
      </c>
      <c r="R38169" s="36" t="s">
        <v>48</v>
      </c>
    </row>
    <row r="38170">
      <c r="H38170" s="50"/>
      <c r="I38170" s="50"/>
      <c r="O38170" s="36" t="s">
        <v>48</v>
      </c>
      <c r="R38170" s="36" t="s">
        <v>48</v>
      </c>
    </row>
    <row r="38171">
      <c r="H38171" s="50"/>
      <c r="I38171" s="50"/>
      <c r="O38171" s="36" t="s">
        <v>48</v>
      </c>
      <c r="R38171" s="36" t="s">
        <v>48</v>
      </c>
    </row>
    <row r="38172">
      <c r="H38172" s="50"/>
      <c r="I38172" s="50"/>
      <c r="O38172" s="36" t="s">
        <v>48</v>
      </c>
      <c r="R38172" s="36" t="s">
        <v>48</v>
      </c>
    </row>
    <row r="38173">
      <c r="H38173" s="50"/>
      <c r="I38173" s="50"/>
      <c r="O38173" s="36" t="s">
        <v>48</v>
      </c>
      <c r="R38173" s="36" t="s">
        <v>48</v>
      </c>
    </row>
    <row r="38174">
      <c r="H38174" s="50"/>
      <c r="I38174" s="50"/>
      <c r="O38174" s="36" t="s">
        <v>48</v>
      </c>
      <c r="R38174" s="36" t="s">
        <v>48</v>
      </c>
    </row>
    <row r="38175">
      <c r="H38175" s="50"/>
      <c r="I38175" s="50"/>
      <c r="O38175" s="36" t="s">
        <v>48</v>
      </c>
      <c r="R38175" s="36" t="s">
        <v>48</v>
      </c>
    </row>
    <row r="38176">
      <c r="H38176" s="50"/>
      <c r="I38176" s="50"/>
      <c r="O38176" s="36" t="s">
        <v>48</v>
      </c>
      <c r="R38176" s="36" t="s">
        <v>48</v>
      </c>
    </row>
    <row r="38177">
      <c r="H38177" s="50"/>
      <c r="I38177" s="50"/>
      <c r="O38177" s="36" t="s">
        <v>48</v>
      </c>
      <c r="R38177" s="36" t="s">
        <v>48</v>
      </c>
    </row>
    <row r="38178">
      <c r="H38178" s="50"/>
      <c r="I38178" s="50"/>
      <c r="O38178" s="36" t="s">
        <v>48</v>
      </c>
      <c r="R38178" s="36" t="s">
        <v>48</v>
      </c>
    </row>
    <row r="38179">
      <c r="H38179" s="50"/>
      <c r="I38179" s="50"/>
      <c r="O38179" s="36" t="s">
        <v>48</v>
      </c>
      <c r="R38179" s="36" t="s">
        <v>48</v>
      </c>
    </row>
    <row r="38180">
      <c r="H38180" s="50"/>
      <c r="I38180" s="50"/>
      <c r="O38180" s="36" t="s">
        <v>48</v>
      </c>
      <c r="R38180" s="36" t="s">
        <v>48</v>
      </c>
    </row>
    <row r="38181">
      <c r="H38181" s="50"/>
      <c r="I38181" s="50"/>
      <c r="O38181" s="36" t="s">
        <v>48</v>
      </c>
      <c r="R38181" s="36" t="s">
        <v>48</v>
      </c>
    </row>
    <row r="38182">
      <c r="H38182" s="50"/>
      <c r="I38182" s="50"/>
      <c r="O38182" s="36" t="s">
        <v>48</v>
      </c>
      <c r="R38182" s="36" t="s">
        <v>48</v>
      </c>
    </row>
    <row r="38183">
      <c r="H38183" s="50"/>
      <c r="I38183" s="50"/>
      <c r="O38183" s="36" t="s">
        <v>48</v>
      </c>
      <c r="R38183" s="36" t="s">
        <v>48</v>
      </c>
    </row>
    <row r="38184">
      <c r="H38184" s="50"/>
      <c r="I38184" s="50"/>
      <c r="O38184" s="36" t="s">
        <v>48</v>
      </c>
      <c r="R38184" s="36" t="s">
        <v>48</v>
      </c>
    </row>
    <row r="38185">
      <c r="H38185" s="50"/>
      <c r="I38185" s="50"/>
      <c r="O38185" s="36" t="s">
        <v>48</v>
      </c>
      <c r="R38185" s="36" t="s">
        <v>48</v>
      </c>
    </row>
    <row r="38186">
      <c r="H38186" s="50"/>
      <c r="I38186" s="50"/>
      <c r="O38186" s="36" t="s">
        <v>48</v>
      </c>
      <c r="R38186" s="36" t="s">
        <v>48</v>
      </c>
    </row>
    <row r="38187">
      <c r="H38187" s="50"/>
      <c r="I38187" s="50"/>
      <c r="O38187" s="36" t="s">
        <v>48</v>
      </c>
      <c r="R38187" s="36" t="s">
        <v>48</v>
      </c>
    </row>
    <row r="38188">
      <c r="H38188" s="50"/>
      <c r="I38188" s="50"/>
      <c r="O38188" s="36" t="s">
        <v>48</v>
      </c>
      <c r="R38188" s="36" t="s">
        <v>48</v>
      </c>
    </row>
    <row r="38189">
      <c r="H38189" s="50"/>
      <c r="I38189" s="50"/>
      <c r="O38189" s="36" t="s">
        <v>48</v>
      </c>
      <c r="R38189" s="36" t="s">
        <v>48</v>
      </c>
    </row>
    <row r="38190">
      <c r="H38190" s="50"/>
      <c r="I38190" s="50"/>
      <c r="O38190" s="36" t="s">
        <v>48</v>
      </c>
      <c r="R38190" s="36" t="s">
        <v>48</v>
      </c>
    </row>
    <row r="38191">
      <c r="H38191" s="50"/>
      <c r="I38191" s="50"/>
      <c r="O38191" s="36" t="s">
        <v>48</v>
      </c>
      <c r="R38191" s="36" t="s">
        <v>48</v>
      </c>
    </row>
    <row r="38192">
      <c r="H38192" s="50"/>
      <c r="I38192" s="50"/>
      <c r="O38192" s="36" t="s">
        <v>48</v>
      </c>
      <c r="R38192" s="36" t="s">
        <v>48</v>
      </c>
    </row>
    <row r="38193">
      <c r="H38193" s="50"/>
      <c r="I38193" s="50"/>
      <c r="O38193" s="36" t="s">
        <v>48</v>
      </c>
      <c r="R38193" s="36" t="s">
        <v>48</v>
      </c>
    </row>
    <row r="38194">
      <c r="H38194" s="50"/>
      <c r="I38194" s="50"/>
      <c r="O38194" s="36" t="s">
        <v>48</v>
      </c>
      <c r="R38194" s="36" t="s">
        <v>48</v>
      </c>
    </row>
    <row r="38195">
      <c r="H38195" s="50"/>
      <c r="I38195" s="50"/>
      <c r="O38195" s="36" t="s">
        <v>48</v>
      </c>
      <c r="R38195" s="36" t="s">
        <v>48</v>
      </c>
    </row>
    <row r="38196">
      <c r="H38196" s="50"/>
      <c r="I38196" s="50"/>
      <c r="O38196" s="36" t="s">
        <v>48</v>
      </c>
      <c r="R38196" s="36" t="s">
        <v>48</v>
      </c>
    </row>
    <row r="38197">
      <c r="H38197" s="50"/>
      <c r="I38197" s="50"/>
      <c r="O38197" s="36" t="s">
        <v>48</v>
      </c>
      <c r="R38197" s="36" t="s">
        <v>48</v>
      </c>
    </row>
    <row r="38198">
      <c r="H38198" s="50"/>
      <c r="I38198" s="50"/>
      <c r="O38198" s="36" t="s">
        <v>48</v>
      </c>
      <c r="R38198" s="36" t="s">
        <v>48</v>
      </c>
    </row>
    <row r="38199">
      <c r="H38199" s="50"/>
      <c r="I38199" s="50"/>
      <c r="O38199" s="36" t="s">
        <v>48</v>
      </c>
      <c r="R38199" s="36" t="s">
        <v>48</v>
      </c>
    </row>
    <row r="38200">
      <c r="H38200" s="50"/>
      <c r="I38200" s="50"/>
      <c r="O38200" s="36" t="s">
        <v>48</v>
      </c>
      <c r="R38200" s="36" t="s">
        <v>48</v>
      </c>
    </row>
    <row r="38201">
      <c r="H38201" s="50"/>
      <c r="I38201" s="50"/>
      <c r="O38201" s="36" t="s">
        <v>48</v>
      </c>
      <c r="R38201" s="36" t="s">
        <v>48</v>
      </c>
    </row>
    <row r="38202">
      <c r="H38202" s="50"/>
      <c r="I38202" s="50"/>
      <c r="O38202" s="36" t="s">
        <v>48</v>
      </c>
      <c r="R38202" s="36" t="s">
        <v>48</v>
      </c>
    </row>
    <row r="38203">
      <c r="H38203" s="50"/>
      <c r="I38203" s="50"/>
      <c r="O38203" s="36" t="s">
        <v>48</v>
      </c>
      <c r="R38203" s="36" t="s">
        <v>48</v>
      </c>
    </row>
    <row r="38204">
      <c r="H38204" s="50"/>
      <c r="I38204" s="50"/>
      <c r="O38204" s="36" t="s">
        <v>48</v>
      </c>
      <c r="R38204" s="36" t="s">
        <v>48</v>
      </c>
    </row>
    <row r="38205">
      <c r="H38205" s="50"/>
      <c r="I38205" s="50"/>
      <c r="O38205" s="36" t="s">
        <v>48</v>
      </c>
      <c r="R38205" s="36" t="s">
        <v>48</v>
      </c>
    </row>
    <row r="38206">
      <c r="H38206" s="50"/>
      <c r="I38206" s="50"/>
      <c r="O38206" s="36" t="s">
        <v>48</v>
      </c>
      <c r="R38206" s="36" t="s">
        <v>48</v>
      </c>
    </row>
    <row r="38207">
      <c r="H38207" s="50"/>
      <c r="I38207" s="50"/>
      <c r="O38207" s="36" t="s">
        <v>48</v>
      </c>
      <c r="R38207" s="36" t="s">
        <v>48</v>
      </c>
    </row>
    <row r="38208">
      <c r="H38208" s="50"/>
      <c r="I38208" s="50"/>
      <c r="O38208" s="36" t="s">
        <v>48</v>
      </c>
      <c r="R38208" s="36" t="s">
        <v>48</v>
      </c>
    </row>
    <row r="38209">
      <c r="H38209" s="50"/>
      <c r="I38209" s="50"/>
      <c r="O38209" s="36" t="s">
        <v>48</v>
      </c>
      <c r="R38209" s="36" t="s">
        <v>48</v>
      </c>
    </row>
    <row r="38210">
      <c r="H38210" s="50"/>
      <c r="I38210" s="50"/>
      <c r="O38210" s="36" t="s">
        <v>48</v>
      </c>
      <c r="R38210" s="36" t="s">
        <v>48</v>
      </c>
    </row>
    <row r="38211">
      <c r="H38211" s="50"/>
      <c r="I38211" s="50"/>
      <c r="O38211" s="36" t="s">
        <v>48</v>
      </c>
      <c r="R38211" s="36" t="s">
        <v>48</v>
      </c>
    </row>
    <row r="38212">
      <c r="H38212" s="50"/>
      <c r="I38212" s="50"/>
      <c r="O38212" s="36" t="s">
        <v>48</v>
      </c>
      <c r="R38212" s="36" t="s">
        <v>48</v>
      </c>
    </row>
    <row r="38213">
      <c r="H38213" s="50"/>
      <c r="I38213" s="50"/>
      <c r="O38213" s="36" t="s">
        <v>48</v>
      </c>
      <c r="R38213" s="36" t="s">
        <v>48</v>
      </c>
    </row>
    <row r="38214">
      <c r="H38214" s="50"/>
      <c r="I38214" s="50"/>
      <c r="O38214" s="36" t="s">
        <v>48</v>
      </c>
      <c r="R38214" s="36" t="s">
        <v>48</v>
      </c>
    </row>
    <row r="38215">
      <c r="H38215" s="50"/>
      <c r="I38215" s="50"/>
      <c r="O38215" s="36" t="s">
        <v>48</v>
      </c>
      <c r="R38215" s="36" t="s">
        <v>48</v>
      </c>
    </row>
    <row r="38216">
      <c r="H38216" s="50"/>
      <c r="I38216" s="50"/>
      <c r="O38216" s="36" t="s">
        <v>48</v>
      </c>
      <c r="R38216" s="36" t="s">
        <v>48</v>
      </c>
    </row>
    <row r="38217">
      <c r="H38217" s="50"/>
      <c r="I38217" s="50"/>
      <c r="O38217" s="36" t="s">
        <v>48</v>
      </c>
      <c r="R38217" s="36" t="s">
        <v>48</v>
      </c>
    </row>
    <row r="38218">
      <c r="H38218" s="50"/>
      <c r="I38218" s="50"/>
      <c r="O38218" s="36" t="s">
        <v>48</v>
      </c>
      <c r="R38218" s="36" t="s">
        <v>48</v>
      </c>
    </row>
    <row r="38219">
      <c r="H38219" s="50"/>
      <c r="I38219" s="50"/>
      <c r="O38219" s="36" t="s">
        <v>48</v>
      </c>
      <c r="R38219" s="36" t="s">
        <v>48</v>
      </c>
    </row>
    <row r="38220">
      <c r="H38220" s="50"/>
      <c r="I38220" s="50"/>
      <c r="O38220" s="36" t="s">
        <v>48</v>
      </c>
      <c r="R38220" s="36" t="s">
        <v>48</v>
      </c>
    </row>
    <row r="38221">
      <c r="H38221" s="50"/>
      <c r="I38221" s="50"/>
      <c r="O38221" s="36" t="s">
        <v>48</v>
      </c>
      <c r="R38221" s="36" t="s">
        <v>48</v>
      </c>
    </row>
    <row r="38222">
      <c r="H38222" s="50"/>
      <c r="I38222" s="50"/>
      <c r="O38222" s="36" t="s">
        <v>48</v>
      </c>
      <c r="R38222" s="36" t="s">
        <v>48</v>
      </c>
    </row>
    <row r="38223">
      <c r="H38223" s="50"/>
      <c r="I38223" s="50"/>
      <c r="O38223" s="36" t="s">
        <v>48</v>
      </c>
      <c r="R38223" s="36" t="s">
        <v>48</v>
      </c>
    </row>
    <row r="38224">
      <c r="H38224" s="50"/>
      <c r="I38224" s="50"/>
      <c r="O38224" s="36" t="s">
        <v>48</v>
      </c>
      <c r="R38224" s="36" t="s">
        <v>48</v>
      </c>
    </row>
    <row r="38225">
      <c r="H38225" s="50"/>
      <c r="I38225" s="50"/>
      <c r="O38225" s="36" t="s">
        <v>48</v>
      </c>
      <c r="R38225" s="36" t="s">
        <v>48</v>
      </c>
    </row>
    <row r="38226">
      <c r="H38226" s="50"/>
      <c r="I38226" s="50"/>
      <c r="O38226" s="36" t="s">
        <v>48</v>
      </c>
      <c r="R38226" s="36" t="s">
        <v>48</v>
      </c>
    </row>
    <row r="38227">
      <c r="H38227" s="50"/>
      <c r="I38227" s="50"/>
      <c r="O38227" s="36" t="s">
        <v>48</v>
      </c>
      <c r="R38227" s="36" t="s">
        <v>48</v>
      </c>
    </row>
    <row r="38228">
      <c r="H38228" s="50"/>
      <c r="I38228" s="50"/>
      <c r="O38228" s="36" t="s">
        <v>48</v>
      </c>
      <c r="R38228" s="36" t="s">
        <v>48</v>
      </c>
    </row>
    <row r="38229">
      <c r="H38229" s="50"/>
      <c r="I38229" s="50"/>
      <c r="O38229" s="36" t="s">
        <v>48</v>
      </c>
      <c r="R38229" s="36" t="s">
        <v>48</v>
      </c>
    </row>
    <row r="38230">
      <c r="H38230" s="50"/>
      <c r="I38230" s="50"/>
      <c r="O38230" s="36" t="s">
        <v>48</v>
      </c>
      <c r="R38230" s="36" t="s">
        <v>48</v>
      </c>
    </row>
    <row r="38231">
      <c r="H38231" s="50"/>
      <c r="I38231" s="50"/>
      <c r="O38231" s="36" t="s">
        <v>48</v>
      </c>
      <c r="R38231" s="36" t="s">
        <v>48</v>
      </c>
    </row>
    <row r="38232">
      <c r="H38232" s="50"/>
      <c r="I38232" s="50"/>
      <c r="O38232" s="36" t="s">
        <v>48</v>
      </c>
      <c r="R38232" s="36" t="s">
        <v>48</v>
      </c>
    </row>
    <row r="38233">
      <c r="H38233" s="50"/>
      <c r="I38233" s="50"/>
      <c r="O38233" s="36" t="s">
        <v>48</v>
      </c>
      <c r="R38233" s="36" t="s">
        <v>48</v>
      </c>
    </row>
    <row r="38234">
      <c r="H38234" s="50"/>
      <c r="I38234" s="50"/>
      <c r="O38234" s="36" t="s">
        <v>48</v>
      </c>
      <c r="R38234" s="36" t="s">
        <v>48</v>
      </c>
    </row>
    <row r="38235">
      <c r="H38235" s="50"/>
      <c r="I38235" s="50"/>
      <c r="O38235" s="36" t="s">
        <v>48</v>
      </c>
      <c r="R38235" s="36" t="s">
        <v>48</v>
      </c>
    </row>
    <row r="38236">
      <c r="H38236" s="50"/>
      <c r="I38236" s="50"/>
      <c r="O38236" s="36" t="s">
        <v>48</v>
      </c>
      <c r="R38236" s="36" t="s">
        <v>48</v>
      </c>
    </row>
    <row r="38237">
      <c r="H38237" s="50"/>
      <c r="I38237" s="50"/>
      <c r="O38237" s="36" t="s">
        <v>48</v>
      </c>
      <c r="R38237" s="36" t="s">
        <v>48</v>
      </c>
    </row>
    <row r="38238">
      <c r="H38238" s="50"/>
      <c r="I38238" s="50"/>
      <c r="O38238" s="36" t="s">
        <v>48</v>
      </c>
      <c r="R38238" s="36" t="s">
        <v>48</v>
      </c>
    </row>
    <row r="38239">
      <c r="H38239" s="50"/>
      <c r="I38239" s="50"/>
      <c r="O38239" s="36" t="s">
        <v>48</v>
      </c>
      <c r="R38239" s="36" t="s">
        <v>48</v>
      </c>
    </row>
    <row r="38240">
      <c r="H38240" s="50"/>
      <c r="I38240" s="50"/>
      <c r="O38240" s="36" t="s">
        <v>48</v>
      </c>
      <c r="R38240" s="36" t="s">
        <v>48</v>
      </c>
    </row>
    <row r="38241">
      <c r="H38241" s="50"/>
      <c r="I38241" s="50"/>
      <c r="O38241" s="36" t="s">
        <v>48</v>
      </c>
      <c r="R38241" s="36" t="s">
        <v>48</v>
      </c>
    </row>
    <row r="38242">
      <c r="H38242" s="50"/>
      <c r="I38242" s="50"/>
      <c r="O38242" s="36" t="s">
        <v>48</v>
      </c>
      <c r="R38242" s="36" t="s">
        <v>48</v>
      </c>
    </row>
    <row r="38243">
      <c r="H38243" s="50"/>
      <c r="I38243" s="50"/>
      <c r="O38243" s="36" t="s">
        <v>48</v>
      </c>
      <c r="R38243" s="36" t="s">
        <v>48</v>
      </c>
    </row>
    <row r="38244">
      <c r="H38244" s="50"/>
      <c r="I38244" s="50"/>
      <c r="O38244" s="36" t="s">
        <v>48</v>
      </c>
      <c r="R38244" s="36" t="s">
        <v>48</v>
      </c>
    </row>
    <row r="38245">
      <c r="H38245" s="50"/>
      <c r="I38245" s="50"/>
      <c r="O38245" s="36" t="s">
        <v>48</v>
      </c>
      <c r="R38245" s="36" t="s">
        <v>48</v>
      </c>
    </row>
    <row r="38246">
      <c r="H38246" s="50"/>
      <c r="I38246" s="50"/>
      <c r="O38246" s="36" t="s">
        <v>48</v>
      </c>
      <c r="R38246" s="36" t="s">
        <v>48</v>
      </c>
    </row>
    <row r="38247">
      <c r="H38247" s="50"/>
      <c r="I38247" s="50"/>
      <c r="O38247" s="36" t="s">
        <v>48</v>
      </c>
      <c r="R38247" s="36" t="s">
        <v>48</v>
      </c>
    </row>
    <row r="38248">
      <c r="H38248" s="50"/>
      <c r="I38248" s="50"/>
      <c r="O38248" s="36" t="s">
        <v>48</v>
      </c>
      <c r="R38248" s="36" t="s">
        <v>48</v>
      </c>
    </row>
    <row r="38249">
      <c r="H38249" s="50"/>
      <c r="I38249" s="50"/>
      <c r="O38249" s="36" t="s">
        <v>48</v>
      </c>
      <c r="R38249" s="36" t="s">
        <v>48</v>
      </c>
    </row>
    <row r="38250">
      <c r="H38250" s="50"/>
      <c r="I38250" s="50"/>
      <c r="O38250" s="36" t="s">
        <v>48</v>
      </c>
      <c r="R38250" s="36" t="s">
        <v>48</v>
      </c>
    </row>
    <row r="38251">
      <c r="H38251" s="50"/>
      <c r="I38251" s="50"/>
      <c r="O38251" s="36" t="s">
        <v>48</v>
      </c>
      <c r="R38251" s="36" t="s">
        <v>48</v>
      </c>
    </row>
    <row r="38252">
      <c r="H38252" s="50"/>
      <c r="I38252" s="50"/>
      <c r="O38252" s="36" t="s">
        <v>48</v>
      </c>
      <c r="R38252" s="36" t="s">
        <v>48</v>
      </c>
    </row>
    <row r="38253">
      <c r="H38253" s="50"/>
      <c r="I38253" s="50"/>
      <c r="O38253" s="36" t="s">
        <v>48</v>
      </c>
      <c r="R38253" s="36" t="s">
        <v>48</v>
      </c>
    </row>
    <row r="38254">
      <c r="H38254" s="50"/>
      <c r="I38254" s="50"/>
      <c r="O38254" s="36" t="s">
        <v>48</v>
      </c>
      <c r="R38254" s="36" t="s">
        <v>48</v>
      </c>
    </row>
    <row r="38255">
      <c r="H38255" s="50"/>
      <c r="I38255" s="50"/>
      <c r="O38255" s="36" t="s">
        <v>48</v>
      </c>
      <c r="R38255" s="36" t="s">
        <v>48</v>
      </c>
    </row>
    <row r="38256">
      <c r="H38256" s="50"/>
      <c r="I38256" s="50"/>
      <c r="O38256" s="36" t="s">
        <v>48</v>
      </c>
      <c r="R38256" s="36" t="s">
        <v>48</v>
      </c>
    </row>
    <row r="38257">
      <c r="H38257" s="50"/>
      <c r="I38257" s="50"/>
      <c r="O38257" s="36" t="s">
        <v>48</v>
      </c>
      <c r="R38257" s="36" t="s">
        <v>48</v>
      </c>
    </row>
    <row r="38258">
      <c r="H38258" s="50"/>
      <c r="I38258" s="50"/>
      <c r="O38258" s="36" t="s">
        <v>48</v>
      </c>
      <c r="R38258" s="36" t="s">
        <v>48</v>
      </c>
    </row>
    <row r="38259">
      <c r="H38259" s="50"/>
      <c r="I38259" s="50"/>
      <c r="O38259" s="36" t="s">
        <v>48</v>
      </c>
      <c r="R38259" s="36" t="s">
        <v>48</v>
      </c>
    </row>
    <row r="38260">
      <c r="H38260" s="50"/>
      <c r="I38260" s="50"/>
      <c r="O38260" s="36" t="s">
        <v>48</v>
      </c>
      <c r="R38260" s="36" t="s">
        <v>48</v>
      </c>
    </row>
    <row r="38261">
      <c r="H38261" s="50"/>
      <c r="I38261" s="50"/>
      <c r="O38261" s="36" t="s">
        <v>48</v>
      </c>
      <c r="R38261" s="36" t="s">
        <v>48</v>
      </c>
    </row>
    <row r="38262">
      <c r="H38262" s="50"/>
      <c r="I38262" s="50"/>
      <c r="O38262" s="36" t="s">
        <v>48</v>
      </c>
      <c r="R38262" s="36" t="s">
        <v>48</v>
      </c>
    </row>
    <row r="38263">
      <c r="H38263" s="50"/>
      <c r="I38263" s="50"/>
      <c r="O38263" s="36" t="s">
        <v>48</v>
      </c>
      <c r="R38263" s="36" t="s">
        <v>48</v>
      </c>
    </row>
    <row r="38264">
      <c r="H38264" s="50"/>
      <c r="I38264" s="50"/>
      <c r="O38264" s="36" t="s">
        <v>48</v>
      </c>
      <c r="R38264" s="36" t="s">
        <v>48</v>
      </c>
    </row>
    <row r="38265">
      <c r="H38265" s="50"/>
      <c r="I38265" s="50"/>
      <c r="O38265" s="36" t="s">
        <v>48</v>
      </c>
      <c r="R38265" s="36" t="s">
        <v>48</v>
      </c>
    </row>
    <row r="38266">
      <c r="H38266" s="50"/>
      <c r="I38266" s="50"/>
      <c r="O38266" s="36" t="s">
        <v>48</v>
      </c>
      <c r="R38266" s="36" t="s">
        <v>48</v>
      </c>
    </row>
    <row r="38267">
      <c r="H38267" s="50"/>
      <c r="I38267" s="50"/>
      <c r="O38267" s="36" t="s">
        <v>48</v>
      </c>
      <c r="R38267" s="36" t="s">
        <v>48</v>
      </c>
    </row>
    <row r="38268">
      <c r="H38268" s="50"/>
      <c r="I38268" s="50"/>
      <c r="O38268" s="36" t="s">
        <v>48</v>
      </c>
      <c r="R38268" s="36" t="s">
        <v>48</v>
      </c>
    </row>
    <row r="38269">
      <c r="H38269" s="50"/>
      <c r="I38269" s="50"/>
      <c r="O38269" s="36" t="s">
        <v>48</v>
      </c>
      <c r="R38269" s="36" t="s">
        <v>48</v>
      </c>
    </row>
    <row r="38270">
      <c r="H38270" s="50"/>
      <c r="I38270" s="50"/>
      <c r="O38270" s="36" t="s">
        <v>48</v>
      </c>
      <c r="R38270" s="36" t="s">
        <v>48</v>
      </c>
    </row>
    <row r="38271">
      <c r="H38271" s="50"/>
      <c r="I38271" s="50"/>
      <c r="O38271" s="36" t="s">
        <v>48</v>
      </c>
      <c r="R38271" s="36" t="s">
        <v>48</v>
      </c>
    </row>
    <row r="38272">
      <c r="H38272" s="50"/>
      <c r="I38272" s="50"/>
      <c r="O38272" s="36" t="s">
        <v>48</v>
      </c>
      <c r="R38272" s="36" t="s">
        <v>48</v>
      </c>
    </row>
    <row r="38273">
      <c r="H38273" s="50"/>
      <c r="I38273" s="50"/>
      <c r="O38273" s="36" t="s">
        <v>48</v>
      </c>
      <c r="R38273" s="36" t="s">
        <v>48</v>
      </c>
    </row>
    <row r="38274">
      <c r="H38274" s="50"/>
      <c r="I38274" s="50"/>
      <c r="O38274" s="36" t="s">
        <v>48</v>
      </c>
      <c r="R38274" s="36" t="s">
        <v>48</v>
      </c>
    </row>
    <row r="38275">
      <c r="H38275" s="50"/>
      <c r="I38275" s="50"/>
      <c r="O38275" s="36" t="s">
        <v>48</v>
      </c>
      <c r="R38275" s="36" t="s">
        <v>48</v>
      </c>
    </row>
    <row r="38276">
      <c r="H38276" s="50"/>
      <c r="I38276" s="50"/>
      <c r="O38276" s="36" t="s">
        <v>48</v>
      </c>
      <c r="R38276" s="36" t="s">
        <v>48</v>
      </c>
    </row>
    <row r="38277">
      <c r="H38277" s="50"/>
      <c r="I38277" s="50"/>
      <c r="O38277" s="36" t="s">
        <v>48</v>
      </c>
      <c r="R38277" s="36" t="s">
        <v>48</v>
      </c>
    </row>
    <row r="38278">
      <c r="H38278" s="50"/>
      <c r="I38278" s="50"/>
      <c r="O38278" s="36" t="s">
        <v>48</v>
      </c>
      <c r="R38278" s="36" t="s">
        <v>48</v>
      </c>
    </row>
    <row r="38279">
      <c r="H38279" s="50"/>
      <c r="I38279" s="50"/>
      <c r="O38279" s="36" t="s">
        <v>48</v>
      </c>
      <c r="R38279" s="36" t="s">
        <v>48</v>
      </c>
    </row>
    <row r="38280">
      <c r="H38280" s="50"/>
      <c r="I38280" s="50"/>
      <c r="O38280" s="36" t="s">
        <v>48</v>
      </c>
      <c r="R38280" s="36" t="s">
        <v>48</v>
      </c>
    </row>
    <row r="38281">
      <c r="H38281" s="50"/>
      <c r="I38281" s="50"/>
      <c r="O38281" s="36" t="s">
        <v>48</v>
      </c>
      <c r="R38281" s="36" t="s">
        <v>48</v>
      </c>
    </row>
    <row r="38282">
      <c r="H38282" s="50"/>
      <c r="I38282" s="50"/>
      <c r="O38282" s="36" t="s">
        <v>48</v>
      </c>
      <c r="R38282" s="36" t="s">
        <v>48</v>
      </c>
    </row>
    <row r="38283">
      <c r="H38283" s="50"/>
      <c r="I38283" s="50"/>
      <c r="O38283" s="36" t="s">
        <v>48</v>
      </c>
      <c r="R38283" s="36" t="s">
        <v>48</v>
      </c>
    </row>
    <row r="38284">
      <c r="H38284" s="50"/>
      <c r="I38284" s="50"/>
      <c r="O38284" s="36" t="s">
        <v>48</v>
      </c>
      <c r="R38284" s="36" t="s">
        <v>48</v>
      </c>
    </row>
    <row r="38285">
      <c r="H38285" s="50"/>
      <c r="I38285" s="50"/>
      <c r="O38285" s="36" t="s">
        <v>48</v>
      </c>
      <c r="R38285" s="36" t="s">
        <v>48</v>
      </c>
    </row>
    <row r="38286">
      <c r="H38286" s="50"/>
      <c r="I38286" s="50"/>
      <c r="O38286" s="36" t="s">
        <v>48</v>
      </c>
      <c r="R38286" s="36" t="s">
        <v>48</v>
      </c>
    </row>
    <row r="38287">
      <c r="H38287" s="50"/>
      <c r="I38287" s="50"/>
      <c r="O38287" s="36" t="s">
        <v>48</v>
      </c>
      <c r="R38287" s="36" t="s">
        <v>48</v>
      </c>
    </row>
    <row r="38288">
      <c r="H38288" s="50"/>
      <c r="I38288" s="50"/>
      <c r="O38288" s="36" t="s">
        <v>48</v>
      </c>
      <c r="R38288" s="36" t="s">
        <v>48</v>
      </c>
    </row>
    <row r="38289">
      <c r="H38289" s="50"/>
      <c r="I38289" s="50"/>
      <c r="O38289" s="36" t="s">
        <v>48</v>
      </c>
      <c r="R38289" s="36" t="s">
        <v>48</v>
      </c>
    </row>
    <row r="38290">
      <c r="H38290" s="50"/>
      <c r="I38290" s="50"/>
      <c r="O38290" s="36" t="s">
        <v>48</v>
      </c>
      <c r="R38290" s="36" t="s">
        <v>48</v>
      </c>
    </row>
    <row r="38291">
      <c r="H38291" s="50"/>
      <c r="I38291" s="50"/>
      <c r="O38291" s="36" t="s">
        <v>48</v>
      </c>
      <c r="R38291" s="36" t="s">
        <v>48</v>
      </c>
    </row>
    <row r="38292">
      <c r="H38292" s="50"/>
      <c r="I38292" s="50"/>
      <c r="O38292" s="36" t="s">
        <v>48</v>
      </c>
      <c r="R38292" s="36" t="s">
        <v>48</v>
      </c>
    </row>
    <row r="38293">
      <c r="H38293" s="50"/>
      <c r="I38293" s="50"/>
      <c r="O38293" s="36" t="s">
        <v>48</v>
      </c>
      <c r="R38293" s="36" t="s">
        <v>48</v>
      </c>
    </row>
    <row r="38294">
      <c r="H38294" s="50"/>
      <c r="I38294" s="50"/>
      <c r="O38294" s="36" t="s">
        <v>48</v>
      </c>
      <c r="R38294" s="36" t="s">
        <v>48</v>
      </c>
    </row>
    <row r="38295">
      <c r="H38295" s="50"/>
      <c r="I38295" s="50"/>
      <c r="O38295" s="36" t="s">
        <v>48</v>
      </c>
      <c r="R38295" s="36" t="s">
        <v>48</v>
      </c>
    </row>
    <row r="38296">
      <c r="H38296" s="50"/>
      <c r="I38296" s="50"/>
      <c r="O38296" s="36" t="s">
        <v>48</v>
      </c>
      <c r="R38296" s="36" t="s">
        <v>48</v>
      </c>
    </row>
    <row r="38297">
      <c r="H38297" s="50"/>
      <c r="I38297" s="50"/>
      <c r="O38297" s="36" t="s">
        <v>48</v>
      </c>
      <c r="R38297" s="36" t="s">
        <v>48</v>
      </c>
    </row>
    <row r="38298">
      <c r="H38298" s="50"/>
      <c r="I38298" s="50"/>
      <c r="O38298" s="36" t="s">
        <v>48</v>
      </c>
      <c r="R38298" s="36" t="s">
        <v>48</v>
      </c>
    </row>
    <row r="38299">
      <c r="H38299" s="50"/>
      <c r="I38299" s="50"/>
      <c r="O38299" s="36" t="s">
        <v>48</v>
      </c>
      <c r="R38299" s="36" t="s">
        <v>48</v>
      </c>
    </row>
    <row r="38300">
      <c r="H38300" s="50"/>
      <c r="I38300" s="50"/>
      <c r="O38300" s="36" t="s">
        <v>48</v>
      </c>
      <c r="R38300" s="36" t="s">
        <v>48</v>
      </c>
    </row>
    <row r="38301">
      <c r="H38301" s="50"/>
      <c r="I38301" s="50"/>
      <c r="O38301" s="36" t="s">
        <v>48</v>
      </c>
      <c r="R38301" s="36" t="s">
        <v>48</v>
      </c>
    </row>
    <row r="38302">
      <c r="H38302" s="50"/>
      <c r="I38302" s="50"/>
      <c r="O38302" s="36" t="s">
        <v>48</v>
      </c>
      <c r="R38302" s="36" t="s">
        <v>48</v>
      </c>
    </row>
    <row r="38303">
      <c r="H38303" s="50"/>
      <c r="I38303" s="50"/>
      <c r="O38303" s="36" t="s">
        <v>48</v>
      </c>
      <c r="R38303" s="36" t="s">
        <v>48</v>
      </c>
    </row>
    <row r="38304">
      <c r="H38304" s="50"/>
      <c r="I38304" s="50"/>
      <c r="O38304" s="36" t="s">
        <v>48</v>
      </c>
      <c r="R38304" s="36" t="s">
        <v>48</v>
      </c>
    </row>
    <row r="38305">
      <c r="H38305" s="50"/>
      <c r="I38305" s="50"/>
      <c r="O38305" s="36" t="s">
        <v>48</v>
      </c>
      <c r="R38305" s="36" t="s">
        <v>48</v>
      </c>
    </row>
    <row r="38306">
      <c r="H38306" s="50"/>
      <c r="I38306" s="50"/>
      <c r="O38306" s="36" t="s">
        <v>48</v>
      </c>
      <c r="R38306" s="36" t="s">
        <v>48</v>
      </c>
    </row>
    <row r="38307">
      <c r="H38307" s="50"/>
      <c r="I38307" s="50"/>
      <c r="O38307" s="36" t="s">
        <v>48</v>
      </c>
      <c r="R38307" s="36" t="s">
        <v>48</v>
      </c>
    </row>
    <row r="38308">
      <c r="H38308" s="50"/>
      <c r="I38308" s="50"/>
      <c r="O38308" s="36" t="s">
        <v>48</v>
      </c>
      <c r="R38308" s="36" t="s">
        <v>48</v>
      </c>
    </row>
    <row r="38309">
      <c r="H38309" s="50"/>
      <c r="I38309" s="50"/>
      <c r="O38309" s="36" t="s">
        <v>48</v>
      </c>
      <c r="R38309" s="36" t="s">
        <v>48</v>
      </c>
    </row>
    <row r="38310">
      <c r="H38310" s="50"/>
      <c r="I38310" s="50"/>
      <c r="O38310" s="36" t="s">
        <v>48</v>
      </c>
      <c r="R38310" s="36" t="s">
        <v>48</v>
      </c>
    </row>
    <row r="38311">
      <c r="H38311" s="50"/>
      <c r="I38311" s="50"/>
      <c r="O38311" s="36" t="s">
        <v>48</v>
      </c>
      <c r="R38311" s="36" t="s">
        <v>48</v>
      </c>
    </row>
    <row r="38312">
      <c r="H38312" s="50"/>
      <c r="I38312" s="50"/>
      <c r="O38312" s="36" t="s">
        <v>48</v>
      </c>
      <c r="R38312" s="36" t="s">
        <v>48</v>
      </c>
    </row>
    <row r="38313">
      <c r="H38313" s="50"/>
      <c r="I38313" s="50"/>
      <c r="O38313" s="36" t="s">
        <v>48</v>
      </c>
      <c r="R38313" s="36" t="s">
        <v>48</v>
      </c>
    </row>
    <row r="38314">
      <c r="H38314" s="50"/>
      <c r="I38314" s="50"/>
      <c r="O38314" s="36" t="s">
        <v>48</v>
      </c>
      <c r="R38314" s="36" t="s">
        <v>48</v>
      </c>
    </row>
    <row r="38315">
      <c r="H38315" s="50"/>
      <c r="I38315" s="50"/>
      <c r="O38315" s="36" t="s">
        <v>48</v>
      </c>
      <c r="R38315" s="36" t="s">
        <v>48</v>
      </c>
    </row>
    <row r="38316">
      <c r="H38316" s="50"/>
      <c r="I38316" s="50"/>
      <c r="O38316" s="36" t="s">
        <v>48</v>
      </c>
      <c r="R38316" s="36" t="s">
        <v>48</v>
      </c>
    </row>
    <row r="38317">
      <c r="H38317" s="50"/>
      <c r="I38317" s="50"/>
      <c r="O38317" s="36" t="s">
        <v>48</v>
      </c>
      <c r="R38317" s="36" t="s">
        <v>48</v>
      </c>
    </row>
    <row r="38318">
      <c r="H38318" s="50"/>
      <c r="I38318" s="50"/>
      <c r="O38318" s="36" t="s">
        <v>48</v>
      </c>
      <c r="R38318" s="36" t="s">
        <v>48</v>
      </c>
    </row>
    <row r="38319">
      <c r="H38319" s="50"/>
      <c r="I38319" s="50"/>
      <c r="O38319" s="36" t="s">
        <v>48</v>
      </c>
      <c r="R38319" s="36" t="s">
        <v>48</v>
      </c>
    </row>
    <row r="38320">
      <c r="H38320" s="50"/>
      <c r="I38320" s="50"/>
      <c r="O38320" s="36" t="s">
        <v>48</v>
      </c>
      <c r="R38320" s="36" t="s">
        <v>48</v>
      </c>
    </row>
    <row r="38321">
      <c r="H38321" s="50"/>
      <c r="I38321" s="50"/>
      <c r="O38321" s="36" t="s">
        <v>48</v>
      </c>
      <c r="R38321" s="36" t="s">
        <v>48</v>
      </c>
    </row>
    <row r="38322">
      <c r="H38322" s="50"/>
      <c r="I38322" s="50"/>
      <c r="O38322" s="36" t="s">
        <v>48</v>
      </c>
      <c r="R38322" s="36" t="s">
        <v>48</v>
      </c>
    </row>
    <row r="38323">
      <c r="H38323" s="50"/>
      <c r="I38323" s="50"/>
      <c r="O38323" s="36" t="s">
        <v>48</v>
      </c>
      <c r="R38323" s="36" t="s">
        <v>48</v>
      </c>
    </row>
    <row r="38324">
      <c r="H38324" s="50"/>
      <c r="I38324" s="50"/>
      <c r="O38324" s="36" t="s">
        <v>48</v>
      </c>
      <c r="R38324" s="36" t="s">
        <v>48</v>
      </c>
    </row>
    <row r="38325">
      <c r="H38325" s="50"/>
      <c r="I38325" s="50"/>
      <c r="O38325" s="36" t="s">
        <v>48</v>
      </c>
      <c r="R38325" s="36" t="s">
        <v>48</v>
      </c>
    </row>
    <row r="38326">
      <c r="H38326" s="50"/>
      <c r="I38326" s="50"/>
      <c r="O38326" s="36" t="s">
        <v>48</v>
      </c>
      <c r="R38326" s="36" t="s">
        <v>48</v>
      </c>
    </row>
    <row r="38327">
      <c r="H38327" s="50"/>
      <c r="I38327" s="50"/>
      <c r="O38327" s="36" t="s">
        <v>48</v>
      </c>
      <c r="R38327" s="36" t="s">
        <v>48</v>
      </c>
    </row>
    <row r="38328">
      <c r="H38328" s="50"/>
      <c r="I38328" s="50"/>
      <c r="O38328" s="36" t="s">
        <v>48</v>
      </c>
      <c r="R38328" s="36" t="s">
        <v>48</v>
      </c>
    </row>
    <row r="38329">
      <c r="H38329" s="50"/>
      <c r="I38329" s="50"/>
      <c r="O38329" s="36" t="s">
        <v>48</v>
      </c>
      <c r="R38329" s="36" t="s">
        <v>48</v>
      </c>
    </row>
    <row r="38330">
      <c r="H38330" s="50"/>
      <c r="I38330" s="50"/>
      <c r="O38330" s="36" t="s">
        <v>48</v>
      </c>
      <c r="R38330" s="36" t="s">
        <v>48</v>
      </c>
    </row>
    <row r="38331">
      <c r="H38331" s="50"/>
      <c r="I38331" s="50"/>
      <c r="O38331" s="36" t="s">
        <v>48</v>
      </c>
      <c r="R38331" s="36" t="s">
        <v>48</v>
      </c>
    </row>
    <row r="38332">
      <c r="H38332" s="50"/>
      <c r="I38332" s="50"/>
      <c r="O38332" s="36" t="s">
        <v>48</v>
      </c>
      <c r="R38332" s="36" t="s">
        <v>48</v>
      </c>
    </row>
    <row r="38333">
      <c r="H38333" s="50"/>
      <c r="I38333" s="50"/>
      <c r="O38333" s="36" t="s">
        <v>48</v>
      </c>
      <c r="R38333" s="36" t="s">
        <v>48</v>
      </c>
    </row>
    <row r="38334">
      <c r="H38334" s="50"/>
      <c r="I38334" s="50"/>
      <c r="O38334" s="36" t="s">
        <v>48</v>
      </c>
      <c r="R38334" s="36" t="s">
        <v>48</v>
      </c>
    </row>
    <row r="38335">
      <c r="H38335" s="50"/>
      <c r="I38335" s="50"/>
      <c r="O38335" s="36" t="s">
        <v>48</v>
      </c>
      <c r="R38335" s="36" t="s">
        <v>48</v>
      </c>
    </row>
    <row r="38336">
      <c r="H38336" s="50"/>
      <c r="I38336" s="50"/>
      <c r="O38336" s="36" t="s">
        <v>48</v>
      </c>
      <c r="R38336" s="36" t="s">
        <v>48</v>
      </c>
    </row>
    <row r="38337">
      <c r="H38337" s="50"/>
      <c r="I38337" s="50"/>
      <c r="O38337" s="36" t="s">
        <v>48</v>
      </c>
      <c r="R38337" s="36" t="s">
        <v>48</v>
      </c>
    </row>
    <row r="38338">
      <c r="H38338" s="50"/>
      <c r="I38338" s="50"/>
      <c r="O38338" s="36" t="s">
        <v>48</v>
      </c>
      <c r="R38338" s="36" t="s">
        <v>48</v>
      </c>
    </row>
    <row r="38339">
      <c r="H38339" s="50"/>
      <c r="I38339" s="50"/>
      <c r="O38339" s="36" t="s">
        <v>48</v>
      </c>
      <c r="R38339" s="36" t="s">
        <v>48</v>
      </c>
    </row>
    <row r="38340">
      <c r="H38340" s="50"/>
      <c r="I38340" s="50"/>
      <c r="O38340" s="36" t="s">
        <v>48</v>
      </c>
      <c r="R38340" s="36" t="s">
        <v>48</v>
      </c>
    </row>
    <row r="38341">
      <c r="H38341" s="50"/>
      <c r="I38341" s="50"/>
      <c r="O38341" s="36" t="s">
        <v>48</v>
      </c>
      <c r="R38341" s="36" t="s">
        <v>48</v>
      </c>
    </row>
    <row r="38342">
      <c r="H38342" s="50"/>
      <c r="I38342" s="50"/>
      <c r="O38342" s="36" t="s">
        <v>48</v>
      </c>
      <c r="R38342" s="36" t="s">
        <v>48</v>
      </c>
    </row>
    <row r="38343">
      <c r="H38343" s="50"/>
      <c r="I38343" s="50"/>
      <c r="O38343" s="36" t="s">
        <v>48</v>
      </c>
      <c r="R38343" s="36" t="s">
        <v>48</v>
      </c>
    </row>
    <row r="38344">
      <c r="H38344" s="50"/>
      <c r="I38344" s="50"/>
      <c r="O38344" s="36" t="s">
        <v>48</v>
      </c>
      <c r="R38344" s="36" t="s">
        <v>48</v>
      </c>
    </row>
    <row r="38345">
      <c r="H38345" s="50"/>
      <c r="I38345" s="50"/>
      <c r="O38345" s="36" t="s">
        <v>48</v>
      </c>
      <c r="R38345" s="36" t="s">
        <v>48</v>
      </c>
    </row>
    <row r="38346">
      <c r="H38346" s="50"/>
      <c r="I38346" s="50"/>
      <c r="O38346" s="36" t="s">
        <v>48</v>
      </c>
      <c r="R38346" s="36" t="s">
        <v>48</v>
      </c>
    </row>
    <row r="38347">
      <c r="H38347" s="50"/>
      <c r="I38347" s="50"/>
      <c r="O38347" s="36" t="s">
        <v>48</v>
      </c>
      <c r="R38347" s="36" t="s">
        <v>48</v>
      </c>
    </row>
    <row r="38348">
      <c r="H38348" s="50"/>
      <c r="I38348" s="50"/>
      <c r="O38348" s="36" t="s">
        <v>48</v>
      </c>
      <c r="R38348" s="36" t="s">
        <v>48</v>
      </c>
    </row>
    <row r="38349">
      <c r="H38349" s="50"/>
      <c r="I38349" s="50"/>
      <c r="O38349" s="36" t="s">
        <v>48</v>
      </c>
      <c r="R38349" s="36" t="s">
        <v>48</v>
      </c>
    </row>
    <row r="38350">
      <c r="H38350" s="50"/>
      <c r="I38350" s="50"/>
      <c r="O38350" s="36" t="s">
        <v>48</v>
      </c>
      <c r="R38350" s="36" t="s">
        <v>48</v>
      </c>
    </row>
    <row r="38351">
      <c r="H38351" s="50"/>
      <c r="I38351" s="50"/>
      <c r="O38351" s="36" t="s">
        <v>48</v>
      </c>
      <c r="R38351" s="36" t="s">
        <v>48</v>
      </c>
    </row>
    <row r="38352">
      <c r="H38352" s="50"/>
      <c r="I38352" s="50"/>
      <c r="O38352" s="36" t="s">
        <v>48</v>
      </c>
      <c r="R38352" s="36" t="s">
        <v>48</v>
      </c>
    </row>
    <row r="38353">
      <c r="H38353" s="50"/>
      <c r="I38353" s="50"/>
      <c r="O38353" s="36" t="s">
        <v>48</v>
      </c>
      <c r="R38353" s="36" t="s">
        <v>48</v>
      </c>
    </row>
    <row r="38354">
      <c r="H38354" s="50"/>
      <c r="I38354" s="50"/>
      <c r="O38354" s="36" t="s">
        <v>48</v>
      </c>
      <c r="R38354" s="36" t="s">
        <v>48</v>
      </c>
    </row>
    <row r="38355">
      <c r="H38355" s="50"/>
      <c r="I38355" s="50"/>
      <c r="O38355" s="36" t="s">
        <v>48</v>
      </c>
      <c r="R38355" s="36" t="s">
        <v>48</v>
      </c>
    </row>
    <row r="38356">
      <c r="H38356" s="50"/>
      <c r="I38356" s="50"/>
      <c r="O38356" s="36" t="s">
        <v>48</v>
      </c>
      <c r="R38356" s="36" t="s">
        <v>48</v>
      </c>
    </row>
    <row r="38357">
      <c r="H38357" s="50"/>
      <c r="I38357" s="50"/>
      <c r="O38357" s="36" t="s">
        <v>48</v>
      </c>
      <c r="R38357" s="36" t="s">
        <v>48</v>
      </c>
    </row>
    <row r="38358">
      <c r="H38358" s="50"/>
      <c r="I38358" s="50"/>
      <c r="O38358" s="36" t="s">
        <v>48</v>
      </c>
      <c r="R38358" s="36" t="s">
        <v>48</v>
      </c>
    </row>
    <row r="38359">
      <c r="H38359" s="50"/>
      <c r="I38359" s="50"/>
      <c r="O38359" s="36" t="s">
        <v>48</v>
      </c>
      <c r="R38359" s="36" t="s">
        <v>48</v>
      </c>
    </row>
    <row r="38360">
      <c r="H38360" s="50"/>
      <c r="I38360" s="50"/>
      <c r="O38360" s="36" t="s">
        <v>48</v>
      </c>
      <c r="R38360" s="36" t="s">
        <v>48</v>
      </c>
    </row>
    <row r="38361">
      <c r="H38361" s="50"/>
      <c r="I38361" s="50"/>
      <c r="O38361" s="36" t="s">
        <v>48</v>
      </c>
      <c r="R38361" s="36" t="s">
        <v>48</v>
      </c>
    </row>
    <row r="38362">
      <c r="H38362" s="50"/>
      <c r="I38362" s="50"/>
      <c r="O38362" s="36" t="s">
        <v>48</v>
      </c>
      <c r="R38362" s="36" t="s">
        <v>48</v>
      </c>
    </row>
    <row r="38363">
      <c r="H38363" s="50"/>
      <c r="I38363" s="50"/>
      <c r="O38363" s="36" t="s">
        <v>48</v>
      </c>
      <c r="R38363" s="36" t="s">
        <v>48</v>
      </c>
    </row>
    <row r="38364">
      <c r="H38364" s="50"/>
      <c r="I38364" s="50"/>
      <c r="O38364" s="36" t="s">
        <v>48</v>
      </c>
      <c r="R38364" s="36" t="s">
        <v>48</v>
      </c>
    </row>
    <row r="38365">
      <c r="H38365" s="50"/>
      <c r="I38365" s="50"/>
      <c r="O38365" s="36" t="s">
        <v>48</v>
      </c>
      <c r="R38365" s="36" t="s">
        <v>48</v>
      </c>
    </row>
    <row r="38366">
      <c r="H38366" s="50"/>
      <c r="I38366" s="50"/>
      <c r="O38366" s="36" t="s">
        <v>48</v>
      </c>
      <c r="R38366" s="36" t="s">
        <v>48</v>
      </c>
    </row>
    <row r="38367">
      <c r="H38367" s="50"/>
      <c r="I38367" s="50"/>
      <c r="O38367" s="36" t="s">
        <v>48</v>
      </c>
      <c r="R38367" s="36" t="s">
        <v>48</v>
      </c>
    </row>
    <row r="38368">
      <c r="H38368" s="50"/>
      <c r="I38368" s="50"/>
      <c r="O38368" s="36" t="s">
        <v>48</v>
      </c>
      <c r="R38368" s="36" t="s">
        <v>48</v>
      </c>
    </row>
    <row r="38369">
      <c r="H38369" s="50"/>
      <c r="I38369" s="50"/>
      <c r="O38369" s="36" t="s">
        <v>48</v>
      </c>
      <c r="R38369" s="36" t="s">
        <v>48</v>
      </c>
    </row>
    <row r="38370">
      <c r="H38370" s="50"/>
      <c r="I38370" s="50"/>
      <c r="O38370" s="36" t="s">
        <v>48</v>
      </c>
      <c r="R38370" s="36" t="s">
        <v>48</v>
      </c>
    </row>
    <row r="38371">
      <c r="H38371" s="50"/>
      <c r="I38371" s="50"/>
      <c r="O38371" s="36" t="s">
        <v>48</v>
      </c>
      <c r="R38371" s="36" t="s">
        <v>48</v>
      </c>
    </row>
    <row r="38372">
      <c r="H38372" s="50"/>
      <c r="I38372" s="50"/>
      <c r="O38372" s="36" t="s">
        <v>48</v>
      </c>
      <c r="R38372" s="36" t="s">
        <v>48</v>
      </c>
    </row>
    <row r="38373">
      <c r="H38373" s="50"/>
      <c r="I38373" s="50"/>
      <c r="O38373" s="36" t="s">
        <v>48</v>
      </c>
      <c r="R38373" s="36" t="s">
        <v>48</v>
      </c>
    </row>
    <row r="38374">
      <c r="H38374" s="50"/>
      <c r="I38374" s="50"/>
      <c r="O38374" s="36" t="s">
        <v>48</v>
      </c>
      <c r="R38374" s="36" t="s">
        <v>48</v>
      </c>
    </row>
    <row r="38375">
      <c r="H38375" s="50"/>
      <c r="I38375" s="50"/>
      <c r="O38375" s="36" t="s">
        <v>48</v>
      </c>
      <c r="R38375" s="36" t="s">
        <v>48</v>
      </c>
    </row>
    <row r="38376">
      <c r="H38376" s="50"/>
      <c r="I38376" s="50"/>
      <c r="O38376" s="36" t="s">
        <v>48</v>
      </c>
      <c r="R38376" s="36" t="s">
        <v>48</v>
      </c>
    </row>
    <row r="38377">
      <c r="H38377" s="50"/>
      <c r="I38377" s="50"/>
      <c r="O38377" s="36" t="s">
        <v>48</v>
      </c>
      <c r="R38377" s="36" t="s">
        <v>48</v>
      </c>
    </row>
    <row r="38378">
      <c r="H38378" s="50"/>
      <c r="I38378" s="50"/>
      <c r="O38378" s="36" t="s">
        <v>48</v>
      </c>
      <c r="R38378" s="36" t="s">
        <v>48</v>
      </c>
    </row>
    <row r="38379">
      <c r="H38379" s="50"/>
      <c r="I38379" s="50"/>
      <c r="O38379" s="36" t="s">
        <v>48</v>
      </c>
      <c r="R38379" s="36" t="s">
        <v>48</v>
      </c>
    </row>
    <row r="38380">
      <c r="H38380" s="50"/>
      <c r="I38380" s="50"/>
      <c r="O38380" s="36" t="s">
        <v>48</v>
      </c>
      <c r="R38380" s="36" t="s">
        <v>48</v>
      </c>
    </row>
    <row r="38381">
      <c r="H38381" s="50"/>
      <c r="I38381" s="50"/>
      <c r="O38381" s="36" t="s">
        <v>48</v>
      </c>
      <c r="R38381" s="36" t="s">
        <v>48</v>
      </c>
    </row>
    <row r="38382">
      <c r="H38382" s="50"/>
      <c r="I38382" s="50"/>
      <c r="O38382" s="36" t="s">
        <v>48</v>
      </c>
      <c r="R38382" s="36" t="s">
        <v>48</v>
      </c>
    </row>
    <row r="38383">
      <c r="H38383" s="50"/>
      <c r="I38383" s="50"/>
      <c r="O38383" s="36" t="s">
        <v>48</v>
      </c>
      <c r="R38383" s="36" t="s">
        <v>48</v>
      </c>
    </row>
    <row r="38384">
      <c r="H38384" s="50"/>
      <c r="I38384" s="50"/>
      <c r="O38384" s="36" t="s">
        <v>48</v>
      </c>
      <c r="R38384" s="36" t="s">
        <v>48</v>
      </c>
    </row>
    <row r="38385">
      <c r="H38385" s="50"/>
      <c r="I38385" s="50"/>
      <c r="O38385" s="36" t="s">
        <v>48</v>
      </c>
      <c r="R38385" s="36" t="s">
        <v>48</v>
      </c>
    </row>
    <row r="38386">
      <c r="H38386" s="50"/>
      <c r="I38386" s="50"/>
      <c r="O38386" s="36" t="s">
        <v>48</v>
      </c>
      <c r="R38386" s="36" t="s">
        <v>48</v>
      </c>
    </row>
    <row r="38387">
      <c r="H38387" s="50"/>
      <c r="I38387" s="50"/>
      <c r="O38387" s="36" t="s">
        <v>48</v>
      </c>
      <c r="R38387" s="36" t="s">
        <v>48</v>
      </c>
    </row>
    <row r="38388">
      <c r="H38388" s="50"/>
      <c r="I38388" s="50"/>
      <c r="O38388" s="36" t="s">
        <v>48</v>
      </c>
      <c r="R38388" s="36" t="s">
        <v>48</v>
      </c>
    </row>
    <row r="38389">
      <c r="H38389" s="50"/>
      <c r="I38389" s="50"/>
      <c r="O38389" s="36" t="s">
        <v>48</v>
      </c>
      <c r="R38389" s="36" t="s">
        <v>48</v>
      </c>
    </row>
    <row r="38390">
      <c r="H38390" s="50"/>
      <c r="I38390" s="50"/>
      <c r="O38390" s="36" t="s">
        <v>48</v>
      </c>
      <c r="R38390" s="36" t="s">
        <v>48</v>
      </c>
    </row>
    <row r="38391">
      <c r="H38391" s="50"/>
      <c r="I38391" s="50"/>
      <c r="O38391" s="36" t="s">
        <v>48</v>
      </c>
      <c r="R38391" s="36" t="s">
        <v>48</v>
      </c>
    </row>
    <row r="38392">
      <c r="H38392" s="50"/>
      <c r="I38392" s="50"/>
      <c r="O38392" s="36" t="s">
        <v>48</v>
      </c>
      <c r="R38392" s="36" t="s">
        <v>48</v>
      </c>
    </row>
    <row r="38393">
      <c r="H38393" s="50"/>
      <c r="I38393" s="50"/>
      <c r="O38393" s="36" t="s">
        <v>48</v>
      </c>
      <c r="R38393" s="36" t="s">
        <v>48</v>
      </c>
    </row>
    <row r="38394">
      <c r="H38394" s="50"/>
      <c r="I38394" s="50"/>
      <c r="O38394" s="36" t="s">
        <v>48</v>
      </c>
      <c r="R38394" s="36" t="s">
        <v>48</v>
      </c>
    </row>
    <row r="38395">
      <c r="H38395" s="50"/>
      <c r="I38395" s="50"/>
      <c r="O38395" s="36" t="s">
        <v>48</v>
      </c>
      <c r="R38395" s="36" t="s">
        <v>48</v>
      </c>
    </row>
    <row r="38396">
      <c r="H38396" s="50"/>
      <c r="I38396" s="50"/>
      <c r="O38396" s="36" t="s">
        <v>48</v>
      </c>
      <c r="R38396" s="36" t="s">
        <v>48</v>
      </c>
    </row>
    <row r="38397">
      <c r="H38397" s="50"/>
      <c r="I38397" s="50"/>
      <c r="O38397" s="36" t="s">
        <v>48</v>
      </c>
      <c r="R38397" s="36" t="s">
        <v>48</v>
      </c>
    </row>
    <row r="38398">
      <c r="H38398" s="50"/>
      <c r="I38398" s="50"/>
      <c r="O38398" s="36" t="s">
        <v>48</v>
      </c>
      <c r="R38398" s="36" t="s">
        <v>48</v>
      </c>
    </row>
    <row r="38399">
      <c r="H38399" s="50"/>
      <c r="I38399" s="50"/>
      <c r="O38399" s="36" t="s">
        <v>48</v>
      </c>
      <c r="R38399" s="36" t="s">
        <v>48</v>
      </c>
    </row>
    <row r="38400">
      <c r="H38400" s="50"/>
      <c r="I38400" s="50"/>
      <c r="O38400" s="36" t="s">
        <v>48</v>
      </c>
      <c r="R38400" s="36" t="s">
        <v>48</v>
      </c>
    </row>
    <row r="38401">
      <c r="H38401" s="50"/>
      <c r="I38401" s="50"/>
      <c r="O38401" s="36" t="s">
        <v>48</v>
      </c>
      <c r="R38401" s="36" t="s">
        <v>48</v>
      </c>
    </row>
    <row r="38402">
      <c r="H38402" s="50"/>
      <c r="I38402" s="50"/>
      <c r="O38402" s="36" t="s">
        <v>48</v>
      </c>
      <c r="R38402" s="36" t="s">
        <v>48</v>
      </c>
    </row>
    <row r="38403">
      <c r="H38403" s="50"/>
      <c r="I38403" s="50"/>
      <c r="O38403" s="36" t="s">
        <v>48</v>
      </c>
      <c r="R38403" s="36" t="s">
        <v>48</v>
      </c>
    </row>
    <row r="38404">
      <c r="H38404" s="50"/>
      <c r="I38404" s="50"/>
      <c r="O38404" s="36" t="s">
        <v>48</v>
      </c>
      <c r="R38404" s="36" t="s">
        <v>48</v>
      </c>
    </row>
    <row r="38405">
      <c r="H38405" s="50"/>
      <c r="I38405" s="50"/>
      <c r="O38405" s="36" t="s">
        <v>48</v>
      </c>
      <c r="R38405" s="36" t="s">
        <v>48</v>
      </c>
    </row>
    <row r="38406">
      <c r="H38406" s="50"/>
      <c r="I38406" s="50"/>
      <c r="O38406" s="36" t="s">
        <v>48</v>
      </c>
      <c r="R38406" s="36" t="s">
        <v>48</v>
      </c>
    </row>
    <row r="38407">
      <c r="H38407" s="50"/>
      <c r="I38407" s="50"/>
      <c r="O38407" s="36" t="s">
        <v>48</v>
      </c>
      <c r="R38407" s="36" t="s">
        <v>48</v>
      </c>
    </row>
    <row r="38408">
      <c r="H38408" s="50"/>
      <c r="I38408" s="50"/>
      <c r="O38408" s="36" t="s">
        <v>48</v>
      </c>
      <c r="R38408" s="36" t="s">
        <v>48</v>
      </c>
    </row>
    <row r="38409">
      <c r="H38409" s="50"/>
      <c r="I38409" s="50"/>
      <c r="O38409" s="36" t="s">
        <v>48</v>
      </c>
      <c r="R38409" s="36" t="s">
        <v>48</v>
      </c>
    </row>
    <row r="38410">
      <c r="H38410" s="50"/>
      <c r="I38410" s="50"/>
      <c r="O38410" s="36" t="s">
        <v>48</v>
      </c>
      <c r="R38410" s="36" t="s">
        <v>48</v>
      </c>
    </row>
    <row r="38411">
      <c r="H38411" s="50"/>
      <c r="I38411" s="50"/>
      <c r="O38411" s="36" t="s">
        <v>48</v>
      </c>
      <c r="R38411" s="36" t="s">
        <v>48</v>
      </c>
    </row>
    <row r="38412">
      <c r="H38412" s="50"/>
      <c r="I38412" s="50"/>
      <c r="O38412" s="36" t="s">
        <v>48</v>
      </c>
      <c r="R38412" s="36" t="s">
        <v>48</v>
      </c>
    </row>
    <row r="38413">
      <c r="H38413" s="50"/>
      <c r="I38413" s="50"/>
      <c r="O38413" s="36" t="s">
        <v>48</v>
      </c>
      <c r="R38413" s="36" t="s">
        <v>48</v>
      </c>
    </row>
    <row r="38414">
      <c r="H38414" s="50"/>
      <c r="I38414" s="50"/>
      <c r="O38414" s="36" t="s">
        <v>48</v>
      </c>
      <c r="R38414" s="36" t="s">
        <v>48</v>
      </c>
    </row>
    <row r="38415">
      <c r="H38415" s="50"/>
      <c r="I38415" s="50"/>
      <c r="O38415" s="36" t="s">
        <v>48</v>
      </c>
      <c r="R38415" s="36" t="s">
        <v>48</v>
      </c>
    </row>
    <row r="38416">
      <c r="H38416" s="50"/>
      <c r="I38416" s="50"/>
      <c r="O38416" s="36" t="s">
        <v>48</v>
      </c>
      <c r="R38416" s="36" t="s">
        <v>48</v>
      </c>
    </row>
    <row r="38417">
      <c r="H38417" s="50"/>
      <c r="I38417" s="50"/>
      <c r="O38417" s="36" t="s">
        <v>48</v>
      </c>
      <c r="R38417" s="36" t="s">
        <v>48</v>
      </c>
    </row>
    <row r="38418">
      <c r="H38418" s="50"/>
      <c r="I38418" s="50"/>
      <c r="O38418" s="36" t="s">
        <v>48</v>
      </c>
      <c r="R38418" s="36" t="s">
        <v>48</v>
      </c>
    </row>
    <row r="38419">
      <c r="H38419" s="50"/>
      <c r="I38419" s="50"/>
      <c r="O38419" s="36" t="s">
        <v>48</v>
      </c>
      <c r="R38419" s="36" t="s">
        <v>48</v>
      </c>
    </row>
    <row r="38420">
      <c r="H38420" s="50"/>
      <c r="I38420" s="50"/>
      <c r="O38420" s="36" t="s">
        <v>48</v>
      </c>
      <c r="R38420" s="36" t="s">
        <v>48</v>
      </c>
    </row>
    <row r="38421">
      <c r="H38421" s="50"/>
      <c r="I38421" s="50"/>
      <c r="O38421" s="36" t="s">
        <v>48</v>
      </c>
      <c r="R38421" s="36" t="s">
        <v>48</v>
      </c>
    </row>
    <row r="38422">
      <c r="H38422" s="50"/>
      <c r="I38422" s="50"/>
      <c r="O38422" s="36" t="s">
        <v>48</v>
      </c>
      <c r="R38422" s="36" t="s">
        <v>48</v>
      </c>
    </row>
    <row r="38423">
      <c r="H38423" s="50"/>
      <c r="I38423" s="50"/>
      <c r="O38423" s="36" t="s">
        <v>48</v>
      </c>
      <c r="R38423" s="36" t="s">
        <v>48</v>
      </c>
    </row>
    <row r="38424">
      <c r="H38424" s="50"/>
      <c r="I38424" s="50"/>
      <c r="O38424" s="36" t="s">
        <v>48</v>
      </c>
      <c r="R38424" s="36" t="s">
        <v>48</v>
      </c>
    </row>
    <row r="38425">
      <c r="H38425" s="50"/>
      <c r="I38425" s="50"/>
      <c r="O38425" s="36" t="s">
        <v>48</v>
      </c>
      <c r="R38425" s="36" t="s">
        <v>48</v>
      </c>
    </row>
    <row r="38426">
      <c r="H38426" s="50"/>
      <c r="I38426" s="50"/>
      <c r="O38426" s="36" t="s">
        <v>48</v>
      </c>
      <c r="R38426" s="36" t="s">
        <v>48</v>
      </c>
    </row>
    <row r="38427">
      <c r="H38427" s="50"/>
      <c r="I38427" s="50"/>
      <c r="O38427" s="36" t="s">
        <v>48</v>
      </c>
      <c r="R38427" s="36" t="s">
        <v>48</v>
      </c>
    </row>
    <row r="38428">
      <c r="H38428" s="50"/>
      <c r="I38428" s="50"/>
      <c r="O38428" s="36" t="s">
        <v>48</v>
      </c>
      <c r="R38428" s="36" t="s">
        <v>48</v>
      </c>
    </row>
    <row r="38429">
      <c r="H38429" s="50"/>
      <c r="I38429" s="50"/>
      <c r="O38429" s="36" t="s">
        <v>48</v>
      </c>
      <c r="R38429" s="36" t="s">
        <v>48</v>
      </c>
    </row>
    <row r="38430">
      <c r="H38430" s="50"/>
      <c r="I38430" s="50"/>
      <c r="O38430" s="36" t="s">
        <v>48</v>
      </c>
      <c r="R38430" s="36" t="s">
        <v>48</v>
      </c>
    </row>
    <row r="38431">
      <c r="H38431" s="50"/>
      <c r="I38431" s="50"/>
      <c r="O38431" s="36" t="s">
        <v>48</v>
      </c>
      <c r="R38431" s="36" t="s">
        <v>48</v>
      </c>
    </row>
    <row r="38432">
      <c r="H38432" s="50"/>
      <c r="I38432" s="50"/>
      <c r="O38432" s="36" t="s">
        <v>48</v>
      </c>
      <c r="R38432" s="36" t="s">
        <v>48</v>
      </c>
    </row>
    <row r="38433">
      <c r="H38433" s="50"/>
      <c r="I38433" s="50"/>
      <c r="O38433" s="36" t="s">
        <v>48</v>
      </c>
      <c r="R38433" s="36" t="s">
        <v>48</v>
      </c>
    </row>
    <row r="38434">
      <c r="H38434" s="50"/>
      <c r="I38434" s="50"/>
      <c r="O38434" s="36" t="s">
        <v>48</v>
      </c>
      <c r="R38434" s="36" t="s">
        <v>48</v>
      </c>
    </row>
    <row r="38435">
      <c r="H38435" s="50"/>
      <c r="I38435" s="50"/>
      <c r="O38435" s="36" t="s">
        <v>48</v>
      </c>
      <c r="R38435" s="36" t="s">
        <v>48</v>
      </c>
    </row>
    <row r="38436">
      <c r="H38436" s="50"/>
      <c r="I38436" s="50"/>
      <c r="O38436" s="36" t="s">
        <v>48</v>
      </c>
      <c r="R38436" s="36" t="s">
        <v>48</v>
      </c>
    </row>
    <row r="38437">
      <c r="H38437" s="50"/>
      <c r="I38437" s="50"/>
      <c r="O38437" s="36" t="s">
        <v>48</v>
      </c>
      <c r="R38437" s="36" t="s">
        <v>48</v>
      </c>
    </row>
    <row r="38438">
      <c r="H38438" s="50"/>
      <c r="I38438" s="50"/>
      <c r="O38438" s="36" t="s">
        <v>48</v>
      </c>
      <c r="R38438" s="36" t="s">
        <v>48</v>
      </c>
    </row>
    <row r="38439">
      <c r="H38439" s="50"/>
      <c r="I38439" s="50"/>
      <c r="O38439" s="36" t="s">
        <v>48</v>
      </c>
      <c r="R38439" s="36" t="s">
        <v>48</v>
      </c>
    </row>
    <row r="38440">
      <c r="H38440" s="50"/>
      <c r="I38440" s="50"/>
      <c r="O38440" s="36" t="s">
        <v>48</v>
      </c>
      <c r="R38440" s="36" t="s">
        <v>48</v>
      </c>
    </row>
    <row r="38441">
      <c r="H38441" s="50"/>
      <c r="I38441" s="50"/>
      <c r="O38441" s="36" t="s">
        <v>48</v>
      </c>
      <c r="R38441" s="36" t="s">
        <v>48</v>
      </c>
    </row>
    <row r="38442">
      <c r="H38442" s="50"/>
      <c r="I38442" s="50"/>
      <c r="O38442" s="36" t="s">
        <v>48</v>
      </c>
      <c r="R38442" s="36" t="s">
        <v>48</v>
      </c>
    </row>
    <row r="38443">
      <c r="H38443" s="50"/>
      <c r="I38443" s="50"/>
      <c r="O38443" s="36" t="s">
        <v>48</v>
      </c>
      <c r="R38443" s="36" t="s">
        <v>48</v>
      </c>
    </row>
    <row r="38444">
      <c r="H38444" s="50"/>
      <c r="I38444" s="50"/>
      <c r="O38444" s="36" t="s">
        <v>48</v>
      </c>
      <c r="R38444" s="36" t="s">
        <v>48</v>
      </c>
    </row>
    <row r="38445">
      <c r="H38445" s="50"/>
      <c r="I38445" s="50"/>
      <c r="O38445" s="36" t="s">
        <v>48</v>
      </c>
      <c r="R38445" s="36" t="s">
        <v>48</v>
      </c>
    </row>
    <row r="38446">
      <c r="H38446" s="50"/>
      <c r="I38446" s="50"/>
      <c r="O38446" s="36" t="s">
        <v>48</v>
      </c>
      <c r="R38446" s="36" t="s">
        <v>48</v>
      </c>
    </row>
    <row r="38447">
      <c r="H38447" s="50"/>
      <c r="I38447" s="50"/>
      <c r="O38447" s="36" t="s">
        <v>48</v>
      </c>
      <c r="R38447" s="36" t="s">
        <v>48</v>
      </c>
    </row>
    <row r="38448">
      <c r="H38448" s="50"/>
      <c r="I38448" s="50"/>
      <c r="O38448" s="36" t="s">
        <v>48</v>
      </c>
      <c r="R38448" s="36" t="s">
        <v>48</v>
      </c>
    </row>
    <row r="38449">
      <c r="H38449" s="50"/>
      <c r="I38449" s="50"/>
      <c r="O38449" s="36" t="s">
        <v>48</v>
      </c>
      <c r="R38449" s="36" t="s">
        <v>48</v>
      </c>
    </row>
    <row r="38450">
      <c r="H38450" s="50"/>
      <c r="I38450" s="50"/>
      <c r="O38450" s="36" t="s">
        <v>48</v>
      </c>
      <c r="R38450" s="36" t="s">
        <v>48</v>
      </c>
    </row>
    <row r="38451">
      <c r="H38451" s="50"/>
      <c r="I38451" s="50"/>
      <c r="O38451" s="36" t="s">
        <v>48</v>
      </c>
      <c r="R38451" s="36" t="s">
        <v>48</v>
      </c>
    </row>
    <row r="38452">
      <c r="H38452" s="50"/>
      <c r="I38452" s="50"/>
      <c r="O38452" s="36" t="s">
        <v>48</v>
      </c>
      <c r="R38452" s="36" t="s">
        <v>48</v>
      </c>
    </row>
    <row r="38453">
      <c r="H38453" s="50"/>
      <c r="I38453" s="50"/>
      <c r="O38453" s="36" t="s">
        <v>48</v>
      </c>
      <c r="R38453" s="36" t="s">
        <v>48</v>
      </c>
    </row>
    <row r="38454">
      <c r="H38454" s="50"/>
      <c r="I38454" s="50"/>
      <c r="O38454" s="36" t="s">
        <v>48</v>
      </c>
      <c r="R38454" s="36" t="s">
        <v>48</v>
      </c>
    </row>
    <row r="38455">
      <c r="H38455" s="50"/>
      <c r="I38455" s="50"/>
      <c r="O38455" s="36" t="s">
        <v>48</v>
      </c>
      <c r="R38455" s="36" t="s">
        <v>48</v>
      </c>
    </row>
    <row r="38456">
      <c r="H38456" s="50"/>
      <c r="I38456" s="50"/>
      <c r="O38456" s="36" t="s">
        <v>48</v>
      </c>
      <c r="R38456" s="36" t="s">
        <v>48</v>
      </c>
    </row>
    <row r="38457">
      <c r="H38457" s="50"/>
      <c r="I38457" s="50"/>
      <c r="O38457" s="36" t="s">
        <v>48</v>
      </c>
      <c r="R38457" s="36" t="s">
        <v>48</v>
      </c>
    </row>
    <row r="38458">
      <c r="H38458" s="50"/>
      <c r="I38458" s="50"/>
      <c r="O38458" s="36" t="s">
        <v>48</v>
      </c>
      <c r="R38458" s="36" t="s">
        <v>48</v>
      </c>
    </row>
    <row r="38459">
      <c r="H38459" s="50"/>
      <c r="I38459" s="50"/>
      <c r="O38459" s="36" t="s">
        <v>48</v>
      </c>
      <c r="R38459" s="36" t="s">
        <v>48</v>
      </c>
    </row>
    <row r="38460">
      <c r="H38460" s="50"/>
      <c r="I38460" s="50"/>
      <c r="O38460" s="36" t="s">
        <v>48</v>
      </c>
      <c r="R38460" s="36" t="s">
        <v>48</v>
      </c>
    </row>
    <row r="38461">
      <c r="H38461" s="50"/>
      <c r="I38461" s="50"/>
      <c r="O38461" s="36" t="s">
        <v>48</v>
      </c>
      <c r="R38461" s="36" t="s">
        <v>48</v>
      </c>
    </row>
    <row r="38462">
      <c r="H38462" s="50"/>
      <c r="I38462" s="50"/>
      <c r="O38462" s="36" t="s">
        <v>48</v>
      </c>
      <c r="R38462" s="36" t="s">
        <v>48</v>
      </c>
    </row>
    <row r="38463">
      <c r="H38463" s="50"/>
      <c r="I38463" s="50"/>
      <c r="O38463" s="36" t="s">
        <v>48</v>
      </c>
      <c r="R38463" s="36" t="s">
        <v>48</v>
      </c>
    </row>
    <row r="38464">
      <c r="H38464" s="50"/>
      <c r="I38464" s="50"/>
      <c r="O38464" s="36" t="s">
        <v>48</v>
      </c>
      <c r="R38464" s="36" t="s">
        <v>48</v>
      </c>
    </row>
    <row r="38465">
      <c r="H38465" s="50"/>
      <c r="I38465" s="50"/>
      <c r="O38465" s="36" t="s">
        <v>48</v>
      </c>
      <c r="R38465" s="36" t="s">
        <v>48</v>
      </c>
    </row>
    <row r="38466">
      <c r="H38466" s="50"/>
      <c r="I38466" s="50"/>
      <c r="O38466" s="36" t="s">
        <v>48</v>
      </c>
      <c r="R38466" s="36" t="s">
        <v>48</v>
      </c>
    </row>
    <row r="38467">
      <c r="H38467" s="50"/>
      <c r="I38467" s="50"/>
      <c r="O38467" s="36" t="s">
        <v>48</v>
      </c>
      <c r="R38467" s="36" t="s">
        <v>48</v>
      </c>
    </row>
    <row r="38468">
      <c r="H38468" s="50"/>
      <c r="I38468" s="50"/>
      <c r="O38468" s="36" t="s">
        <v>48</v>
      </c>
      <c r="R38468" s="36" t="s">
        <v>48</v>
      </c>
    </row>
    <row r="38469">
      <c r="H38469" s="50"/>
      <c r="I38469" s="50"/>
      <c r="O38469" s="36" t="s">
        <v>48</v>
      </c>
      <c r="R38469" s="36" t="s">
        <v>48</v>
      </c>
    </row>
    <row r="38470">
      <c r="H38470" s="50"/>
      <c r="I38470" s="50"/>
      <c r="O38470" s="36" t="s">
        <v>48</v>
      </c>
      <c r="R38470" s="36" t="s">
        <v>48</v>
      </c>
    </row>
    <row r="38471">
      <c r="H38471" s="50"/>
      <c r="I38471" s="50"/>
      <c r="O38471" s="36" t="s">
        <v>48</v>
      </c>
      <c r="R38471" s="36" t="s">
        <v>48</v>
      </c>
    </row>
    <row r="38472">
      <c r="H38472" s="50"/>
      <c r="I38472" s="50"/>
      <c r="O38472" s="36" t="s">
        <v>48</v>
      </c>
      <c r="R38472" s="36" t="s">
        <v>48</v>
      </c>
    </row>
    <row r="38473">
      <c r="H38473" s="50"/>
      <c r="I38473" s="50"/>
      <c r="O38473" s="36" t="s">
        <v>48</v>
      </c>
      <c r="R38473" s="36" t="s">
        <v>48</v>
      </c>
    </row>
    <row r="38474">
      <c r="H38474" s="50"/>
      <c r="I38474" s="50"/>
      <c r="O38474" s="36" t="s">
        <v>48</v>
      </c>
      <c r="R38474" s="36" t="s">
        <v>48</v>
      </c>
    </row>
    <row r="38475">
      <c r="H38475" s="50"/>
      <c r="I38475" s="50"/>
      <c r="O38475" s="36" t="s">
        <v>48</v>
      </c>
      <c r="R38475" s="36" t="s">
        <v>48</v>
      </c>
    </row>
    <row r="38476">
      <c r="H38476" s="50"/>
      <c r="I38476" s="50"/>
      <c r="O38476" s="36" t="s">
        <v>48</v>
      </c>
      <c r="R38476" s="36" t="s">
        <v>48</v>
      </c>
    </row>
    <row r="38477">
      <c r="H38477" s="50"/>
      <c r="I38477" s="50"/>
      <c r="O38477" s="36" t="s">
        <v>48</v>
      </c>
      <c r="R38477" s="36" t="s">
        <v>48</v>
      </c>
    </row>
    <row r="38478">
      <c r="H38478" s="50"/>
      <c r="I38478" s="50"/>
      <c r="O38478" s="36" t="s">
        <v>48</v>
      </c>
      <c r="R38478" s="36" t="s">
        <v>48</v>
      </c>
    </row>
    <row r="38479">
      <c r="H38479" s="50"/>
      <c r="I38479" s="50"/>
      <c r="O38479" s="36" t="s">
        <v>48</v>
      </c>
      <c r="R38479" s="36" t="s">
        <v>48</v>
      </c>
    </row>
    <row r="38480">
      <c r="H38480" s="50"/>
      <c r="I38480" s="50"/>
      <c r="O38480" s="36" t="s">
        <v>48</v>
      </c>
      <c r="R38480" s="36" t="s">
        <v>48</v>
      </c>
    </row>
    <row r="38481">
      <c r="H38481" s="50"/>
      <c r="I38481" s="50"/>
      <c r="O38481" s="36" t="s">
        <v>48</v>
      </c>
      <c r="R38481" s="36" t="s">
        <v>48</v>
      </c>
    </row>
    <row r="38482">
      <c r="H38482" s="50"/>
      <c r="I38482" s="50"/>
      <c r="O38482" s="36" t="s">
        <v>48</v>
      </c>
      <c r="R38482" s="36" t="s">
        <v>48</v>
      </c>
    </row>
    <row r="38483">
      <c r="H38483" s="50"/>
      <c r="I38483" s="50"/>
      <c r="O38483" s="36" t="s">
        <v>48</v>
      </c>
      <c r="R38483" s="36" t="s">
        <v>48</v>
      </c>
    </row>
    <row r="38484">
      <c r="H38484" s="50"/>
      <c r="I38484" s="50"/>
      <c r="O38484" s="36" t="s">
        <v>48</v>
      </c>
      <c r="R38484" s="36" t="s">
        <v>48</v>
      </c>
    </row>
    <row r="38485">
      <c r="H38485" s="50"/>
      <c r="I38485" s="50"/>
      <c r="O38485" s="36" t="s">
        <v>48</v>
      </c>
      <c r="R38485" s="36" t="s">
        <v>48</v>
      </c>
    </row>
    <row r="38486">
      <c r="H38486" s="50"/>
      <c r="I38486" s="50"/>
      <c r="O38486" s="36" t="s">
        <v>48</v>
      </c>
      <c r="R38486" s="36" t="s">
        <v>48</v>
      </c>
    </row>
    <row r="38487">
      <c r="H38487" s="50"/>
      <c r="I38487" s="50"/>
      <c r="O38487" s="36" t="s">
        <v>48</v>
      </c>
      <c r="R38487" s="36" t="s">
        <v>48</v>
      </c>
    </row>
    <row r="38488">
      <c r="H38488" s="50"/>
      <c r="I38488" s="50"/>
      <c r="O38488" s="36" t="s">
        <v>48</v>
      </c>
      <c r="R38488" s="36" t="s">
        <v>48</v>
      </c>
    </row>
    <row r="38489">
      <c r="H38489" s="50"/>
      <c r="I38489" s="50"/>
      <c r="O38489" s="36" t="s">
        <v>48</v>
      </c>
      <c r="R38489" s="36" t="s">
        <v>48</v>
      </c>
    </row>
    <row r="38490">
      <c r="H38490" s="50"/>
      <c r="I38490" s="50"/>
      <c r="O38490" s="36" t="s">
        <v>48</v>
      </c>
      <c r="R38490" s="36" t="s">
        <v>48</v>
      </c>
    </row>
    <row r="38491">
      <c r="H38491" s="50"/>
      <c r="I38491" s="50"/>
      <c r="O38491" s="36" t="s">
        <v>48</v>
      </c>
      <c r="R38491" s="36" t="s">
        <v>48</v>
      </c>
    </row>
    <row r="38492">
      <c r="H38492" s="50"/>
      <c r="I38492" s="50"/>
      <c r="O38492" s="36" t="s">
        <v>48</v>
      </c>
      <c r="R38492" s="36" t="s">
        <v>48</v>
      </c>
    </row>
    <row r="38493">
      <c r="H38493" s="50"/>
      <c r="I38493" s="50"/>
      <c r="O38493" s="36" t="s">
        <v>48</v>
      </c>
      <c r="R38493" s="36" t="s">
        <v>48</v>
      </c>
    </row>
    <row r="38494">
      <c r="H38494" s="50"/>
      <c r="I38494" s="50"/>
      <c r="O38494" s="36" t="s">
        <v>48</v>
      </c>
      <c r="R38494" s="36" t="s">
        <v>48</v>
      </c>
    </row>
    <row r="38495">
      <c r="H38495" s="50"/>
      <c r="I38495" s="50"/>
      <c r="O38495" s="36" t="s">
        <v>48</v>
      </c>
      <c r="R38495" s="36" t="s">
        <v>48</v>
      </c>
    </row>
    <row r="38496">
      <c r="H38496" s="50"/>
      <c r="I38496" s="50"/>
      <c r="O38496" s="36" t="s">
        <v>48</v>
      </c>
      <c r="R38496" s="36" t="s">
        <v>48</v>
      </c>
    </row>
    <row r="38497">
      <c r="H38497" s="50"/>
      <c r="I38497" s="50"/>
      <c r="O38497" s="36" t="s">
        <v>48</v>
      </c>
      <c r="R38497" s="36" t="s">
        <v>48</v>
      </c>
    </row>
    <row r="38498">
      <c r="H38498" s="50"/>
      <c r="I38498" s="50"/>
      <c r="O38498" s="36" t="s">
        <v>48</v>
      </c>
      <c r="R38498" s="36" t="s">
        <v>48</v>
      </c>
    </row>
    <row r="38499">
      <c r="H38499" s="50"/>
      <c r="I38499" s="50"/>
      <c r="O38499" s="36" t="s">
        <v>48</v>
      </c>
      <c r="R38499" s="36" t="s">
        <v>48</v>
      </c>
    </row>
    <row r="38500">
      <c r="H38500" s="50"/>
      <c r="I38500" s="50"/>
      <c r="O38500" s="36" t="s">
        <v>48</v>
      </c>
      <c r="R38500" s="36" t="s">
        <v>48</v>
      </c>
    </row>
    <row r="38501">
      <c r="H38501" s="50"/>
      <c r="I38501" s="50"/>
      <c r="O38501" s="36" t="s">
        <v>48</v>
      </c>
      <c r="R38501" s="36" t="s">
        <v>48</v>
      </c>
    </row>
    <row r="38502">
      <c r="H38502" s="50"/>
      <c r="I38502" s="50"/>
      <c r="O38502" s="36" t="s">
        <v>48</v>
      </c>
      <c r="R38502" s="36" t="s">
        <v>48</v>
      </c>
    </row>
    <row r="38503">
      <c r="H38503" s="50"/>
      <c r="I38503" s="50"/>
      <c r="O38503" s="36" t="s">
        <v>48</v>
      </c>
      <c r="R38503" s="36" t="s">
        <v>48</v>
      </c>
    </row>
    <row r="38504">
      <c r="H38504" s="50"/>
      <c r="I38504" s="50"/>
      <c r="O38504" s="36" t="s">
        <v>48</v>
      </c>
      <c r="R38504" s="36" t="s">
        <v>48</v>
      </c>
    </row>
    <row r="38505">
      <c r="H38505" s="50"/>
      <c r="I38505" s="50"/>
      <c r="O38505" s="36" t="s">
        <v>48</v>
      </c>
      <c r="R38505" s="36" t="s">
        <v>48</v>
      </c>
    </row>
    <row r="38506">
      <c r="H38506" s="50"/>
      <c r="I38506" s="50"/>
      <c r="O38506" s="36" t="s">
        <v>48</v>
      </c>
      <c r="R38506" s="36" t="s">
        <v>48</v>
      </c>
    </row>
    <row r="38507">
      <c r="H38507" s="50"/>
      <c r="I38507" s="50"/>
      <c r="O38507" s="36" t="s">
        <v>48</v>
      </c>
      <c r="R38507" s="36" t="s">
        <v>48</v>
      </c>
    </row>
    <row r="38508">
      <c r="H38508" s="50"/>
      <c r="I38508" s="50"/>
      <c r="O38508" s="36" t="s">
        <v>48</v>
      </c>
      <c r="R38508" s="36" t="s">
        <v>48</v>
      </c>
    </row>
    <row r="38509">
      <c r="H38509" s="50"/>
      <c r="I38509" s="50"/>
      <c r="O38509" s="36" t="s">
        <v>48</v>
      </c>
      <c r="R38509" s="36" t="s">
        <v>48</v>
      </c>
    </row>
    <row r="38510">
      <c r="H38510" s="50"/>
      <c r="I38510" s="50"/>
      <c r="O38510" s="36" t="s">
        <v>48</v>
      </c>
      <c r="R38510" s="36" t="s">
        <v>48</v>
      </c>
    </row>
    <row r="38511">
      <c r="H38511" s="50"/>
      <c r="I38511" s="50"/>
      <c r="O38511" s="36" t="s">
        <v>48</v>
      </c>
      <c r="R38511" s="36" t="s">
        <v>48</v>
      </c>
    </row>
    <row r="38512">
      <c r="H38512" s="50"/>
      <c r="I38512" s="50"/>
      <c r="O38512" s="36" t="s">
        <v>48</v>
      </c>
      <c r="R38512" s="36" t="s">
        <v>48</v>
      </c>
    </row>
    <row r="38513">
      <c r="H38513" s="50"/>
      <c r="I38513" s="50"/>
      <c r="O38513" s="36" t="s">
        <v>48</v>
      </c>
      <c r="R38513" s="36" t="s">
        <v>48</v>
      </c>
    </row>
    <row r="38514">
      <c r="H38514" s="50"/>
      <c r="I38514" s="50"/>
      <c r="O38514" s="36" t="s">
        <v>48</v>
      </c>
      <c r="R38514" s="36" t="s">
        <v>48</v>
      </c>
    </row>
    <row r="38515">
      <c r="H38515" s="50"/>
      <c r="I38515" s="50"/>
      <c r="O38515" s="36" t="s">
        <v>48</v>
      </c>
      <c r="R38515" s="36" t="s">
        <v>48</v>
      </c>
    </row>
    <row r="38516">
      <c r="H38516" s="50"/>
      <c r="I38516" s="50"/>
      <c r="O38516" s="36" t="s">
        <v>48</v>
      </c>
      <c r="R38516" s="36" t="s">
        <v>48</v>
      </c>
    </row>
    <row r="38517">
      <c r="H38517" s="50"/>
      <c r="I38517" s="50"/>
      <c r="O38517" s="36" t="s">
        <v>48</v>
      </c>
      <c r="R38517" s="36" t="s">
        <v>48</v>
      </c>
    </row>
    <row r="38518">
      <c r="H38518" s="50"/>
      <c r="I38518" s="50"/>
      <c r="O38518" s="36" t="s">
        <v>48</v>
      </c>
      <c r="R38518" s="36" t="s">
        <v>48</v>
      </c>
    </row>
    <row r="38519">
      <c r="H38519" s="50"/>
      <c r="I38519" s="50"/>
      <c r="O38519" s="36" t="s">
        <v>48</v>
      </c>
      <c r="R38519" s="36" t="s">
        <v>48</v>
      </c>
    </row>
    <row r="38520">
      <c r="H38520" s="50"/>
      <c r="I38520" s="50"/>
      <c r="O38520" s="36" t="s">
        <v>48</v>
      </c>
      <c r="R38520" s="36" t="s">
        <v>48</v>
      </c>
    </row>
    <row r="38521">
      <c r="H38521" s="50"/>
      <c r="I38521" s="50"/>
      <c r="O38521" s="36" t="s">
        <v>48</v>
      </c>
      <c r="R38521" s="36" t="s">
        <v>48</v>
      </c>
    </row>
    <row r="38522">
      <c r="H38522" s="50"/>
      <c r="I38522" s="50"/>
      <c r="O38522" s="36" t="s">
        <v>48</v>
      </c>
      <c r="R38522" s="36" t="s">
        <v>48</v>
      </c>
    </row>
    <row r="38523">
      <c r="H38523" s="50"/>
      <c r="I38523" s="50"/>
      <c r="O38523" s="36" t="s">
        <v>48</v>
      </c>
      <c r="R38523" s="36" t="s">
        <v>48</v>
      </c>
    </row>
    <row r="38524">
      <c r="H38524" s="50"/>
      <c r="I38524" s="50"/>
      <c r="O38524" s="36" t="s">
        <v>48</v>
      </c>
      <c r="R38524" s="36" t="s">
        <v>48</v>
      </c>
    </row>
    <row r="38525">
      <c r="H38525" s="50"/>
      <c r="I38525" s="50"/>
      <c r="O38525" s="36" t="s">
        <v>48</v>
      </c>
      <c r="R38525" s="36" t="s">
        <v>48</v>
      </c>
    </row>
    <row r="38526">
      <c r="H38526" s="50"/>
      <c r="I38526" s="50"/>
      <c r="O38526" s="36" t="s">
        <v>48</v>
      </c>
      <c r="R38526" s="36" t="s">
        <v>48</v>
      </c>
    </row>
    <row r="38527">
      <c r="H38527" s="50"/>
      <c r="I38527" s="50"/>
      <c r="O38527" s="36" t="s">
        <v>48</v>
      </c>
      <c r="R38527" s="36" t="s">
        <v>48</v>
      </c>
    </row>
    <row r="38528">
      <c r="H38528" s="50"/>
      <c r="I38528" s="50"/>
      <c r="O38528" s="36" t="s">
        <v>48</v>
      </c>
      <c r="R38528" s="36" t="s">
        <v>48</v>
      </c>
    </row>
    <row r="38529">
      <c r="H38529" s="50"/>
      <c r="I38529" s="50"/>
      <c r="O38529" s="36" t="s">
        <v>48</v>
      </c>
      <c r="R38529" s="36" t="s">
        <v>48</v>
      </c>
    </row>
    <row r="38530">
      <c r="H38530" s="50"/>
      <c r="I38530" s="50"/>
      <c r="O38530" s="36" t="s">
        <v>48</v>
      </c>
      <c r="R38530" s="36" t="s">
        <v>48</v>
      </c>
    </row>
    <row r="38531">
      <c r="H38531" s="50"/>
      <c r="I38531" s="50"/>
      <c r="O38531" s="36" t="s">
        <v>48</v>
      </c>
      <c r="R38531" s="36" t="s">
        <v>48</v>
      </c>
    </row>
    <row r="38532">
      <c r="H38532" s="50"/>
      <c r="I38532" s="50"/>
      <c r="O38532" s="36" t="s">
        <v>48</v>
      </c>
      <c r="R38532" s="36" t="s">
        <v>48</v>
      </c>
    </row>
    <row r="38533">
      <c r="H38533" s="50"/>
      <c r="I38533" s="50"/>
      <c r="O38533" s="36" t="s">
        <v>48</v>
      </c>
      <c r="R38533" s="36" t="s">
        <v>48</v>
      </c>
    </row>
    <row r="38534">
      <c r="H38534" s="50"/>
      <c r="I38534" s="50"/>
      <c r="O38534" s="36" t="s">
        <v>48</v>
      </c>
      <c r="R38534" s="36" t="s">
        <v>48</v>
      </c>
    </row>
    <row r="38535">
      <c r="H38535" s="50"/>
      <c r="I38535" s="50"/>
      <c r="O38535" s="36" t="s">
        <v>48</v>
      </c>
      <c r="R38535" s="36" t="s">
        <v>48</v>
      </c>
    </row>
    <row r="38536">
      <c r="H38536" s="50"/>
      <c r="I38536" s="50"/>
      <c r="O38536" s="36" t="s">
        <v>48</v>
      </c>
      <c r="R38536" s="36" t="s">
        <v>48</v>
      </c>
    </row>
    <row r="38537">
      <c r="H38537" s="50"/>
      <c r="I38537" s="50"/>
      <c r="O38537" s="36" t="s">
        <v>48</v>
      </c>
      <c r="R38537" s="36" t="s">
        <v>48</v>
      </c>
    </row>
    <row r="38538">
      <c r="H38538" s="50"/>
      <c r="I38538" s="50"/>
      <c r="O38538" s="36" t="s">
        <v>48</v>
      </c>
      <c r="R38538" s="36" t="s">
        <v>48</v>
      </c>
    </row>
    <row r="38539">
      <c r="H38539" s="50"/>
      <c r="I38539" s="50"/>
      <c r="O38539" s="36" t="s">
        <v>48</v>
      </c>
      <c r="R38539" s="36" t="s">
        <v>48</v>
      </c>
    </row>
    <row r="38540">
      <c r="H38540" s="50"/>
      <c r="I38540" s="50"/>
      <c r="O38540" s="36" t="s">
        <v>48</v>
      </c>
      <c r="R38540" s="36" t="s">
        <v>48</v>
      </c>
    </row>
    <row r="38541">
      <c r="H38541" s="50"/>
      <c r="I38541" s="50"/>
      <c r="O38541" s="36" t="s">
        <v>48</v>
      </c>
      <c r="R38541" s="36" t="s">
        <v>48</v>
      </c>
    </row>
    <row r="38542">
      <c r="H38542" s="50"/>
      <c r="I38542" s="50"/>
      <c r="O38542" s="36" t="s">
        <v>48</v>
      </c>
      <c r="R38542" s="36" t="s">
        <v>48</v>
      </c>
    </row>
    <row r="38543">
      <c r="H38543" s="50"/>
      <c r="I38543" s="50"/>
      <c r="O38543" s="36" t="s">
        <v>48</v>
      </c>
      <c r="R38543" s="36" t="s">
        <v>48</v>
      </c>
    </row>
    <row r="38544">
      <c r="H38544" s="50"/>
      <c r="I38544" s="50"/>
      <c r="O38544" s="36" t="s">
        <v>48</v>
      </c>
      <c r="R38544" s="36" t="s">
        <v>48</v>
      </c>
    </row>
    <row r="38545">
      <c r="H38545" s="50"/>
      <c r="I38545" s="50"/>
      <c r="O38545" s="36" t="s">
        <v>48</v>
      </c>
      <c r="R38545" s="36" t="s">
        <v>48</v>
      </c>
    </row>
    <row r="38546">
      <c r="H38546" s="50"/>
      <c r="I38546" s="50"/>
      <c r="O38546" s="36" t="s">
        <v>48</v>
      </c>
      <c r="R38546" s="36" t="s">
        <v>48</v>
      </c>
    </row>
    <row r="38547">
      <c r="H38547" s="50"/>
      <c r="I38547" s="50"/>
      <c r="O38547" s="36" t="s">
        <v>48</v>
      </c>
      <c r="R38547" s="36" t="s">
        <v>48</v>
      </c>
    </row>
    <row r="38548">
      <c r="H38548" s="50"/>
      <c r="I38548" s="50"/>
      <c r="O38548" s="36" t="s">
        <v>48</v>
      </c>
      <c r="R38548" s="36" t="s">
        <v>48</v>
      </c>
    </row>
    <row r="38549">
      <c r="H38549" s="50"/>
      <c r="I38549" s="50"/>
      <c r="O38549" s="36" t="s">
        <v>48</v>
      </c>
      <c r="R38549" s="36" t="s">
        <v>48</v>
      </c>
    </row>
    <row r="38550">
      <c r="H38550" s="50"/>
      <c r="I38550" s="50"/>
      <c r="O38550" s="36" t="s">
        <v>48</v>
      </c>
      <c r="R38550" s="36" t="s">
        <v>48</v>
      </c>
    </row>
    <row r="38551">
      <c r="H38551" s="50"/>
      <c r="I38551" s="50"/>
      <c r="O38551" s="36" t="s">
        <v>48</v>
      </c>
      <c r="R38551" s="36" t="s">
        <v>48</v>
      </c>
    </row>
    <row r="38552">
      <c r="H38552" s="50"/>
      <c r="I38552" s="50"/>
      <c r="O38552" s="36" t="s">
        <v>48</v>
      </c>
      <c r="R38552" s="36" t="s">
        <v>48</v>
      </c>
    </row>
    <row r="38553">
      <c r="H38553" s="50"/>
      <c r="I38553" s="50"/>
      <c r="O38553" s="36" t="s">
        <v>48</v>
      </c>
      <c r="R38553" s="36" t="s">
        <v>48</v>
      </c>
    </row>
    <row r="38554">
      <c r="H38554" s="50"/>
      <c r="I38554" s="50"/>
      <c r="O38554" s="36" t="s">
        <v>48</v>
      </c>
      <c r="R38554" s="36" t="s">
        <v>48</v>
      </c>
    </row>
    <row r="38555">
      <c r="H38555" s="50"/>
      <c r="I38555" s="50"/>
      <c r="O38555" s="36" t="s">
        <v>48</v>
      </c>
      <c r="R38555" s="36" t="s">
        <v>48</v>
      </c>
    </row>
    <row r="38556">
      <c r="H38556" s="50"/>
      <c r="I38556" s="50"/>
      <c r="O38556" s="36" t="s">
        <v>48</v>
      </c>
      <c r="R38556" s="36" t="s">
        <v>48</v>
      </c>
    </row>
    <row r="38557">
      <c r="H38557" s="50"/>
      <c r="I38557" s="50"/>
      <c r="O38557" s="36" t="s">
        <v>48</v>
      </c>
      <c r="R38557" s="36" t="s">
        <v>48</v>
      </c>
    </row>
    <row r="38558">
      <c r="H38558" s="50"/>
      <c r="I38558" s="50"/>
      <c r="O38558" s="36" t="s">
        <v>48</v>
      </c>
      <c r="R38558" s="36" t="s">
        <v>48</v>
      </c>
    </row>
    <row r="38559">
      <c r="H38559" s="50"/>
      <c r="I38559" s="50"/>
      <c r="O38559" s="36" t="s">
        <v>48</v>
      </c>
      <c r="R38559" s="36" t="s">
        <v>48</v>
      </c>
    </row>
    <row r="38560">
      <c r="H38560" s="50"/>
      <c r="I38560" s="50"/>
      <c r="O38560" s="36" t="s">
        <v>48</v>
      </c>
      <c r="R38560" s="36" t="s">
        <v>48</v>
      </c>
    </row>
    <row r="38561">
      <c r="H38561" s="50"/>
      <c r="I38561" s="50"/>
      <c r="O38561" s="36" t="s">
        <v>48</v>
      </c>
      <c r="R38561" s="36" t="s">
        <v>48</v>
      </c>
    </row>
    <row r="38562">
      <c r="H38562" s="50"/>
      <c r="I38562" s="50"/>
      <c r="O38562" s="36" t="s">
        <v>48</v>
      </c>
      <c r="R38562" s="36" t="s">
        <v>48</v>
      </c>
    </row>
    <row r="38563">
      <c r="H38563" s="50"/>
      <c r="I38563" s="50"/>
      <c r="O38563" s="36" t="s">
        <v>48</v>
      </c>
      <c r="R38563" s="36" t="s">
        <v>48</v>
      </c>
    </row>
    <row r="38564">
      <c r="H38564" s="50"/>
      <c r="I38564" s="50"/>
      <c r="O38564" s="36" t="s">
        <v>48</v>
      </c>
      <c r="R38564" s="36" t="s">
        <v>48</v>
      </c>
    </row>
    <row r="38565">
      <c r="H38565" s="50"/>
      <c r="I38565" s="50"/>
      <c r="O38565" s="36" t="s">
        <v>48</v>
      </c>
      <c r="R38565" s="36" t="s">
        <v>48</v>
      </c>
    </row>
    <row r="38566">
      <c r="H38566" s="50"/>
      <c r="I38566" s="50"/>
      <c r="O38566" s="36" t="s">
        <v>48</v>
      </c>
      <c r="R38566" s="36" t="s">
        <v>48</v>
      </c>
    </row>
    <row r="38567">
      <c r="H38567" s="50"/>
      <c r="I38567" s="50"/>
      <c r="O38567" s="36" t="s">
        <v>48</v>
      </c>
      <c r="R38567" s="36" t="s">
        <v>48</v>
      </c>
    </row>
    <row r="38568">
      <c r="H38568" s="50"/>
      <c r="I38568" s="50"/>
      <c r="O38568" s="36" t="s">
        <v>48</v>
      </c>
      <c r="R38568" s="36" t="s">
        <v>48</v>
      </c>
    </row>
    <row r="38569">
      <c r="H38569" s="50"/>
      <c r="I38569" s="50"/>
      <c r="O38569" s="36" t="s">
        <v>48</v>
      </c>
      <c r="R38569" s="36" t="s">
        <v>48</v>
      </c>
    </row>
    <row r="38570">
      <c r="H38570" s="50"/>
      <c r="I38570" s="50"/>
      <c r="O38570" s="36" t="s">
        <v>48</v>
      </c>
      <c r="R38570" s="36" t="s">
        <v>48</v>
      </c>
    </row>
    <row r="38571">
      <c r="H38571" s="50"/>
      <c r="I38571" s="50"/>
      <c r="O38571" s="36" t="s">
        <v>48</v>
      </c>
      <c r="R38571" s="36" t="s">
        <v>48</v>
      </c>
    </row>
    <row r="38572">
      <c r="H38572" s="50"/>
      <c r="I38572" s="50"/>
      <c r="O38572" s="36" t="s">
        <v>48</v>
      </c>
      <c r="R38572" s="36" t="s">
        <v>48</v>
      </c>
    </row>
    <row r="38573">
      <c r="H38573" s="50"/>
      <c r="I38573" s="50"/>
      <c r="O38573" s="36" t="s">
        <v>48</v>
      </c>
      <c r="R38573" s="36" t="s">
        <v>48</v>
      </c>
    </row>
    <row r="38574">
      <c r="H38574" s="50"/>
      <c r="I38574" s="50"/>
      <c r="O38574" s="36" t="s">
        <v>48</v>
      </c>
      <c r="R38574" s="36" t="s">
        <v>48</v>
      </c>
    </row>
    <row r="38575">
      <c r="H38575" s="50"/>
      <c r="I38575" s="50"/>
      <c r="O38575" s="36" t="s">
        <v>48</v>
      </c>
      <c r="R38575" s="36" t="s">
        <v>48</v>
      </c>
    </row>
    <row r="38576">
      <c r="H38576" s="50"/>
      <c r="I38576" s="50"/>
      <c r="O38576" s="36" t="s">
        <v>48</v>
      </c>
      <c r="R38576" s="36" t="s">
        <v>48</v>
      </c>
    </row>
    <row r="38577">
      <c r="H38577" s="50"/>
      <c r="I38577" s="50"/>
      <c r="O38577" s="36" t="s">
        <v>48</v>
      </c>
      <c r="R38577" s="36" t="s">
        <v>48</v>
      </c>
    </row>
    <row r="38578">
      <c r="H38578" s="50"/>
      <c r="I38578" s="50"/>
      <c r="O38578" s="36" t="s">
        <v>48</v>
      </c>
      <c r="R38578" s="36" t="s">
        <v>48</v>
      </c>
    </row>
    <row r="38579">
      <c r="H38579" s="50"/>
      <c r="I38579" s="50"/>
      <c r="O38579" s="36" t="s">
        <v>48</v>
      </c>
      <c r="R38579" s="36" t="s">
        <v>48</v>
      </c>
    </row>
    <row r="38580">
      <c r="H38580" s="50"/>
      <c r="I38580" s="50"/>
      <c r="O38580" s="36" t="s">
        <v>48</v>
      </c>
      <c r="R38580" s="36" t="s">
        <v>48</v>
      </c>
    </row>
    <row r="38581">
      <c r="H38581" s="50"/>
      <c r="I38581" s="50"/>
      <c r="O38581" s="36" t="s">
        <v>48</v>
      </c>
      <c r="R38581" s="36" t="s">
        <v>48</v>
      </c>
    </row>
    <row r="38582">
      <c r="H38582" s="50"/>
      <c r="I38582" s="50"/>
      <c r="O38582" s="36" t="s">
        <v>48</v>
      </c>
      <c r="R38582" s="36" t="s">
        <v>48</v>
      </c>
    </row>
    <row r="38583">
      <c r="H38583" s="50"/>
      <c r="I38583" s="50"/>
      <c r="O38583" s="36" t="s">
        <v>48</v>
      </c>
      <c r="R38583" s="36" t="s">
        <v>48</v>
      </c>
    </row>
    <row r="38584">
      <c r="H38584" s="50"/>
      <c r="I38584" s="50"/>
      <c r="O38584" s="36" t="s">
        <v>48</v>
      </c>
      <c r="R38584" s="36" t="s">
        <v>48</v>
      </c>
    </row>
    <row r="38585">
      <c r="H38585" s="50"/>
      <c r="I38585" s="50"/>
      <c r="O38585" s="36" t="s">
        <v>48</v>
      </c>
      <c r="R38585" s="36" t="s">
        <v>48</v>
      </c>
    </row>
    <row r="38586">
      <c r="H38586" s="50"/>
      <c r="I38586" s="50"/>
      <c r="O38586" s="36" t="s">
        <v>48</v>
      </c>
      <c r="R38586" s="36" t="s">
        <v>48</v>
      </c>
    </row>
    <row r="38587">
      <c r="H38587" s="50"/>
      <c r="I38587" s="50"/>
      <c r="O38587" s="36" t="s">
        <v>48</v>
      </c>
      <c r="R38587" s="36" t="s">
        <v>48</v>
      </c>
    </row>
    <row r="38588">
      <c r="H38588" s="50"/>
      <c r="I38588" s="50"/>
      <c r="O38588" s="36" t="s">
        <v>48</v>
      </c>
      <c r="R38588" s="36" t="s">
        <v>48</v>
      </c>
    </row>
    <row r="38589">
      <c r="H38589" s="50"/>
      <c r="I38589" s="50"/>
      <c r="O38589" s="36" t="s">
        <v>48</v>
      </c>
      <c r="R38589" s="36" t="s">
        <v>48</v>
      </c>
    </row>
    <row r="38590">
      <c r="H38590" s="50"/>
      <c r="I38590" s="50"/>
      <c r="O38590" s="36" t="s">
        <v>48</v>
      </c>
      <c r="R38590" s="36" t="s">
        <v>48</v>
      </c>
    </row>
    <row r="38591">
      <c r="H38591" s="50"/>
      <c r="I38591" s="50"/>
      <c r="O38591" s="36" t="s">
        <v>48</v>
      </c>
      <c r="R38591" s="36" t="s">
        <v>48</v>
      </c>
    </row>
    <row r="38592">
      <c r="H38592" s="50"/>
      <c r="I38592" s="50"/>
      <c r="O38592" s="36" t="s">
        <v>48</v>
      </c>
      <c r="R38592" s="36" t="s">
        <v>48</v>
      </c>
    </row>
    <row r="38593">
      <c r="H38593" s="50"/>
      <c r="I38593" s="50"/>
      <c r="O38593" s="36" t="s">
        <v>48</v>
      </c>
      <c r="R38593" s="36" t="s">
        <v>48</v>
      </c>
    </row>
    <row r="38594">
      <c r="H38594" s="50"/>
      <c r="I38594" s="50"/>
      <c r="O38594" s="36" t="s">
        <v>48</v>
      </c>
      <c r="R38594" s="36" t="s">
        <v>48</v>
      </c>
    </row>
    <row r="38595">
      <c r="H38595" s="50"/>
      <c r="I38595" s="50"/>
      <c r="O38595" s="36" t="s">
        <v>48</v>
      </c>
      <c r="R38595" s="36" t="s">
        <v>48</v>
      </c>
    </row>
    <row r="38596">
      <c r="H38596" s="50"/>
      <c r="I38596" s="50"/>
      <c r="O38596" s="36" t="s">
        <v>48</v>
      </c>
      <c r="R38596" s="36" t="s">
        <v>48</v>
      </c>
    </row>
    <row r="38597">
      <c r="H38597" s="50"/>
      <c r="I38597" s="50"/>
      <c r="O38597" s="36" t="s">
        <v>48</v>
      </c>
      <c r="R38597" s="36" t="s">
        <v>48</v>
      </c>
    </row>
    <row r="38598">
      <c r="H38598" s="50"/>
      <c r="I38598" s="50"/>
      <c r="O38598" s="36" t="s">
        <v>48</v>
      </c>
      <c r="R38598" s="36" t="s">
        <v>48</v>
      </c>
    </row>
    <row r="38599">
      <c r="H38599" s="50"/>
      <c r="I38599" s="50"/>
      <c r="O38599" s="36" t="s">
        <v>48</v>
      </c>
      <c r="R38599" s="36" t="s">
        <v>48</v>
      </c>
    </row>
    <row r="38600">
      <c r="H38600" s="50"/>
      <c r="I38600" s="50"/>
      <c r="O38600" s="36" t="s">
        <v>48</v>
      </c>
      <c r="R38600" s="36" t="s">
        <v>48</v>
      </c>
    </row>
    <row r="38601">
      <c r="H38601" s="50"/>
      <c r="I38601" s="50"/>
      <c r="O38601" s="36" t="s">
        <v>48</v>
      </c>
      <c r="R38601" s="36" t="s">
        <v>48</v>
      </c>
    </row>
    <row r="38602">
      <c r="H38602" s="50"/>
      <c r="I38602" s="50"/>
      <c r="O38602" s="36" t="s">
        <v>48</v>
      </c>
      <c r="R38602" s="36" t="s">
        <v>48</v>
      </c>
    </row>
    <row r="38603">
      <c r="H38603" s="50"/>
      <c r="I38603" s="50"/>
      <c r="O38603" s="36" t="s">
        <v>48</v>
      </c>
      <c r="R38603" s="36" t="s">
        <v>48</v>
      </c>
    </row>
    <row r="38604">
      <c r="H38604" s="50"/>
      <c r="I38604" s="50"/>
      <c r="O38604" s="36" t="s">
        <v>48</v>
      </c>
      <c r="R38604" s="36" t="s">
        <v>48</v>
      </c>
    </row>
    <row r="38605">
      <c r="H38605" s="50"/>
      <c r="I38605" s="50"/>
      <c r="O38605" s="36" t="s">
        <v>48</v>
      </c>
      <c r="R38605" s="36" t="s">
        <v>48</v>
      </c>
    </row>
    <row r="38606">
      <c r="H38606" s="50"/>
      <c r="I38606" s="50"/>
      <c r="O38606" s="36" t="s">
        <v>48</v>
      </c>
      <c r="R38606" s="36" t="s">
        <v>48</v>
      </c>
    </row>
    <row r="38607">
      <c r="H38607" s="50"/>
      <c r="I38607" s="50"/>
      <c r="O38607" s="36" t="s">
        <v>48</v>
      </c>
      <c r="R38607" s="36" t="s">
        <v>48</v>
      </c>
    </row>
    <row r="38608">
      <c r="H38608" s="50"/>
      <c r="I38608" s="50"/>
      <c r="O38608" s="36" t="s">
        <v>48</v>
      </c>
      <c r="R38608" s="36" t="s">
        <v>48</v>
      </c>
    </row>
    <row r="38609">
      <c r="H38609" s="50"/>
      <c r="I38609" s="50"/>
      <c r="O38609" s="36" t="s">
        <v>48</v>
      </c>
      <c r="R38609" s="36" t="s">
        <v>48</v>
      </c>
    </row>
    <row r="38610">
      <c r="H38610" s="50"/>
      <c r="I38610" s="50"/>
      <c r="O38610" s="36" t="s">
        <v>48</v>
      </c>
      <c r="R38610" s="36" t="s">
        <v>48</v>
      </c>
    </row>
    <row r="38611">
      <c r="H38611" s="50"/>
      <c r="I38611" s="50"/>
      <c r="O38611" s="36" t="s">
        <v>48</v>
      </c>
      <c r="R38611" s="36" t="s">
        <v>48</v>
      </c>
    </row>
    <row r="38612">
      <c r="H38612" s="50"/>
      <c r="I38612" s="50"/>
      <c r="O38612" s="36" t="s">
        <v>48</v>
      </c>
      <c r="R38612" s="36" t="s">
        <v>48</v>
      </c>
    </row>
    <row r="38613">
      <c r="H38613" s="50"/>
      <c r="I38613" s="50"/>
      <c r="O38613" s="36" t="s">
        <v>48</v>
      </c>
      <c r="R38613" s="36" t="s">
        <v>48</v>
      </c>
    </row>
    <row r="38614">
      <c r="H38614" s="50"/>
      <c r="I38614" s="50"/>
      <c r="O38614" s="36" t="s">
        <v>48</v>
      </c>
      <c r="R38614" s="36" t="s">
        <v>48</v>
      </c>
    </row>
    <row r="38615">
      <c r="H38615" s="50"/>
      <c r="I38615" s="50"/>
      <c r="O38615" s="36" t="s">
        <v>48</v>
      </c>
      <c r="R38615" s="36" t="s">
        <v>48</v>
      </c>
    </row>
    <row r="38616">
      <c r="H38616" s="50"/>
      <c r="I38616" s="50"/>
      <c r="O38616" s="36" t="s">
        <v>48</v>
      </c>
      <c r="R38616" s="36" t="s">
        <v>48</v>
      </c>
    </row>
    <row r="38617">
      <c r="H38617" s="50"/>
      <c r="I38617" s="50"/>
      <c r="O38617" s="36" t="s">
        <v>48</v>
      </c>
      <c r="R38617" s="36" t="s">
        <v>48</v>
      </c>
    </row>
    <row r="38618">
      <c r="H38618" s="50"/>
      <c r="I38618" s="50"/>
      <c r="O38618" s="36" t="s">
        <v>48</v>
      </c>
      <c r="R38618" s="36" t="s">
        <v>48</v>
      </c>
    </row>
    <row r="38619">
      <c r="H38619" s="50"/>
      <c r="I38619" s="50"/>
      <c r="O38619" s="36" t="s">
        <v>48</v>
      </c>
      <c r="R38619" s="36" t="s">
        <v>48</v>
      </c>
    </row>
    <row r="38620">
      <c r="H38620" s="50"/>
      <c r="I38620" s="50"/>
      <c r="O38620" s="36" t="s">
        <v>48</v>
      </c>
      <c r="R38620" s="36" t="s">
        <v>48</v>
      </c>
    </row>
    <row r="38621">
      <c r="H38621" s="50"/>
      <c r="I38621" s="50"/>
      <c r="O38621" s="36" t="s">
        <v>48</v>
      </c>
      <c r="R38621" s="36" t="s">
        <v>48</v>
      </c>
    </row>
    <row r="38622">
      <c r="H38622" s="50"/>
      <c r="I38622" s="50"/>
      <c r="O38622" s="36" t="s">
        <v>48</v>
      </c>
      <c r="R38622" s="36" t="s">
        <v>48</v>
      </c>
    </row>
    <row r="38623">
      <c r="H38623" s="50"/>
      <c r="I38623" s="50"/>
      <c r="O38623" s="36" t="s">
        <v>48</v>
      </c>
      <c r="R38623" s="36" t="s">
        <v>48</v>
      </c>
    </row>
    <row r="38624">
      <c r="H38624" s="50"/>
      <c r="I38624" s="50"/>
      <c r="O38624" s="36" t="s">
        <v>48</v>
      </c>
      <c r="R38624" s="36" t="s">
        <v>48</v>
      </c>
    </row>
    <row r="38625">
      <c r="H38625" s="50"/>
      <c r="I38625" s="50"/>
      <c r="O38625" s="36" t="s">
        <v>48</v>
      </c>
      <c r="R38625" s="36" t="s">
        <v>48</v>
      </c>
    </row>
    <row r="38626">
      <c r="H38626" s="50"/>
      <c r="I38626" s="50"/>
      <c r="O38626" s="36" t="s">
        <v>48</v>
      </c>
      <c r="R38626" s="36" t="s">
        <v>48</v>
      </c>
    </row>
    <row r="38627">
      <c r="H38627" s="50"/>
      <c r="I38627" s="50"/>
      <c r="O38627" s="36" t="s">
        <v>48</v>
      </c>
      <c r="R38627" s="36" t="s">
        <v>48</v>
      </c>
    </row>
    <row r="38628">
      <c r="H38628" s="50"/>
      <c r="I38628" s="50"/>
      <c r="O38628" s="36" t="s">
        <v>48</v>
      </c>
      <c r="R38628" s="36" t="s">
        <v>48</v>
      </c>
    </row>
    <row r="38629">
      <c r="H38629" s="50"/>
      <c r="I38629" s="50"/>
      <c r="O38629" s="36" t="s">
        <v>48</v>
      </c>
      <c r="R38629" s="36" t="s">
        <v>48</v>
      </c>
    </row>
    <row r="38630">
      <c r="H38630" s="50"/>
      <c r="I38630" s="50"/>
      <c r="O38630" s="36" t="s">
        <v>48</v>
      </c>
      <c r="R38630" s="36" t="s">
        <v>48</v>
      </c>
    </row>
    <row r="38631">
      <c r="H38631" s="50"/>
      <c r="I38631" s="50"/>
      <c r="O38631" s="36" t="s">
        <v>48</v>
      </c>
      <c r="R38631" s="36" t="s">
        <v>48</v>
      </c>
    </row>
    <row r="38632">
      <c r="H38632" s="50"/>
      <c r="I38632" s="50"/>
      <c r="O38632" s="36" t="s">
        <v>48</v>
      </c>
      <c r="R38632" s="36" t="s">
        <v>48</v>
      </c>
    </row>
    <row r="38633">
      <c r="H38633" s="50"/>
      <c r="I38633" s="50"/>
      <c r="O38633" s="36" t="s">
        <v>48</v>
      </c>
      <c r="R38633" s="36" t="s">
        <v>48</v>
      </c>
    </row>
    <row r="38634">
      <c r="H38634" s="50"/>
      <c r="I38634" s="50"/>
      <c r="O38634" s="36" t="s">
        <v>48</v>
      </c>
      <c r="R38634" s="36" t="s">
        <v>48</v>
      </c>
    </row>
    <row r="38635">
      <c r="H38635" s="50"/>
      <c r="I38635" s="50"/>
      <c r="O38635" s="36" t="s">
        <v>48</v>
      </c>
      <c r="R38635" s="36" t="s">
        <v>48</v>
      </c>
    </row>
    <row r="38636">
      <c r="H38636" s="50"/>
      <c r="I38636" s="50"/>
      <c r="O38636" s="36" t="s">
        <v>48</v>
      </c>
      <c r="R38636" s="36" t="s">
        <v>48</v>
      </c>
    </row>
    <row r="38637">
      <c r="H38637" s="50"/>
      <c r="I38637" s="50"/>
      <c r="O38637" s="36" t="s">
        <v>48</v>
      </c>
      <c r="R38637" s="36" t="s">
        <v>48</v>
      </c>
    </row>
    <row r="38638">
      <c r="H38638" s="50"/>
      <c r="I38638" s="50"/>
      <c r="O38638" s="36" t="s">
        <v>48</v>
      </c>
      <c r="R38638" s="36" t="s">
        <v>48</v>
      </c>
    </row>
    <row r="38639">
      <c r="H38639" s="50"/>
      <c r="I38639" s="50"/>
      <c r="O38639" s="36" t="s">
        <v>48</v>
      </c>
      <c r="R38639" s="36" t="s">
        <v>48</v>
      </c>
    </row>
    <row r="38640">
      <c r="H38640" s="50"/>
      <c r="I38640" s="50"/>
      <c r="O38640" s="36" t="s">
        <v>48</v>
      </c>
      <c r="R38640" s="36" t="s">
        <v>48</v>
      </c>
    </row>
    <row r="38641">
      <c r="H38641" s="50"/>
      <c r="I38641" s="50"/>
      <c r="O38641" s="36" t="s">
        <v>48</v>
      </c>
      <c r="R38641" s="36" t="s">
        <v>48</v>
      </c>
    </row>
    <row r="38642">
      <c r="H38642" s="50"/>
      <c r="I38642" s="50"/>
      <c r="O38642" s="36" t="s">
        <v>48</v>
      </c>
      <c r="R38642" s="36" t="s">
        <v>48</v>
      </c>
    </row>
    <row r="38643">
      <c r="H38643" s="50"/>
      <c r="I38643" s="50"/>
      <c r="O38643" s="36" t="s">
        <v>48</v>
      </c>
      <c r="R38643" s="36" t="s">
        <v>48</v>
      </c>
    </row>
    <row r="38644">
      <c r="H38644" s="50"/>
      <c r="I38644" s="50"/>
      <c r="O38644" s="36" t="s">
        <v>48</v>
      </c>
      <c r="R38644" s="36" t="s">
        <v>48</v>
      </c>
    </row>
    <row r="38645">
      <c r="H38645" s="50"/>
      <c r="I38645" s="50"/>
      <c r="O38645" s="36" t="s">
        <v>48</v>
      </c>
      <c r="R38645" s="36" t="s">
        <v>48</v>
      </c>
    </row>
    <row r="38646">
      <c r="H38646" s="50"/>
      <c r="I38646" s="50"/>
      <c r="O38646" s="36" t="s">
        <v>48</v>
      </c>
      <c r="R38646" s="36" t="s">
        <v>48</v>
      </c>
    </row>
    <row r="38647">
      <c r="H38647" s="50"/>
      <c r="I38647" s="50"/>
      <c r="O38647" s="36" t="s">
        <v>48</v>
      </c>
      <c r="R38647" s="36" t="s">
        <v>48</v>
      </c>
    </row>
    <row r="38648">
      <c r="H38648" s="50"/>
      <c r="I38648" s="50"/>
      <c r="O38648" s="36" t="s">
        <v>48</v>
      </c>
      <c r="R38648" s="36" t="s">
        <v>48</v>
      </c>
    </row>
    <row r="38649">
      <c r="H38649" s="50"/>
      <c r="I38649" s="50"/>
      <c r="O38649" s="36" t="s">
        <v>48</v>
      </c>
      <c r="R38649" s="36" t="s">
        <v>48</v>
      </c>
    </row>
    <row r="38650">
      <c r="H38650" s="50"/>
      <c r="I38650" s="50"/>
      <c r="O38650" s="36" t="s">
        <v>48</v>
      </c>
      <c r="R38650" s="36" t="s">
        <v>48</v>
      </c>
    </row>
    <row r="38651">
      <c r="H38651" s="50"/>
      <c r="I38651" s="50"/>
      <c r="O38651" s="36" t="s">
        <v>48</v>
      </c>
      <c r="R38651" s="36" t="s">
        <v>48</v>
      </c>
    </row>
    <row r="38652">
      <c r="H38652" s="50"/>
      <c r="I38652" s="50"/>
      <c r="O38652" s="36" t="s">
        <v>48</v>
      </c>
      <c r="R38652" s="36" t="s">
        <v>48</v>
      </c>
    </row>
    <row r="38653">
      <c r="H38653" s="50"/>
      <c r="I38653" s="50"/>
      <c r="O38653" s="36" t="s">
        <v>48</v>
      </c>
      <c r="R38653" s="36" t="s">
        <v>48</v>
      </c>
    </row>
    <row r="38654">
      <c r="H38654" s="50"/>
      <c r="I38654" s="50"/>
      <c r="O38654" s="36" t="s">
        <v>48</v>
      </c>
      <c r="R38654" s="36" t="s">
        <v>48</v>
      </c>
    </row>
    <row r="38655">
      <c r="H38655" s="50"/>
      <c r="I38655" s="50"/>
      <c r="O38655" s="36" t="s">
        <v>48</v>
      </c>
      <c r="R38655" s="36" t="s">
        <v>48</v>
      </c>
    </row>
    <row r="38656">
      <c r="H38656" s="50"/>
      <c r="I38656" s="50"/>
      <c r="O38656" s="36" t="s">
        <v>48</v>
      </c>
      <c r="R38656" s="36" t="s">
        <v>48</v>
      </c>
    </row>
    <row r="38657">
      <c r="H38657" s="50"/>
      <c r="I38657" s="50"/>
      <c r="O38657" s="36" t="s">
        <v>48</v>
      </c>
      <c r="R38657" s="36" t="s">
        <v>48</v>
      </c>
    </row>
    <row r="38658">
      <c r="H38658" s="50"/>
      <c r="I38658" s="50"/>
      <c r="O38658" s="36" t="s">
        <v>48</v>
      </c>
      <c r="R38658" s="36" t="s">
        <v>48</v>
      </c>
    </row>
    <row r="38659">
      <c r="H38659" s="50"/>
      <c r="I38659" s="50"/>
      <c r="O38659" s="36" t="s">
        <v>48</v>
      </c>
      <c r="R38659" s="36" t="s">
        <v>48</v>
      </c>
    </row>
    <row r="38660">
      <c r="H38660" s="50"/>
      <c r="I38660" s="50"/>
      <c r="O38660" s="36" t="s">
        <v>48</v>
      </c>
      <c r="R38660" s="36" t="s">
        <v>48</v>
      </c>
    </row>
    <row r="38661">
      <c r="H38661" s="50"/>
      <c r="I38661" s="50"/>
      <c r="O38661" s="36" t="s">
        <v>48</v>
      </c>
      <c r="R38661" s="36" t="s">
        <v>48</v>
      </c>
    </row>
    <row r="38662">
      <c r="H38662" s="50"/>
      <c r="I38662" s="50"/>
      <c r="O38662" s="36" t="s">
        <v>48</v>
      </c>
      <c r="R38662" s="36" t="s">
        <v>48</v>
      </c>
    </row>
    <row r="38663">
      <c r="H38663" s="50"/>
      <c r="I38663" s="50"/>
      <c r="O38663" s="36" t="s">
        <v>48</v>
      </c>
      <c r="R38663" s="36" t="s">
        <v>48</v>
      </c>
    </row>
    <row r="38664">
      <c r="H38664" s="50"/>
      <c r="I38664" s="50"/>
      <c r="O38664" s="36" t="s">
        <v>48</v>
      </c>
      <c r="R38664" s="36" t="s">
        <v>48</v>
      </c>
    </row>
    <row r="38665">
      <c r="H38665" s="50"/>
      <c r="I38665" s="50"/>
      <c r="O38665" s="36" t="s">
        <v>48</v>
      </c>
      <c r="R38665" s="36" t="s">
        <v>48</v>
      </c>
    </row>
    <row r="38666">
      <c r="H38666" s="50"/>
      <c r="I38666" s="50"/>
      <c r="O38666" s="36" t="s">
        <v>48</v>
      </c>
      <c r="R38666" s="36" t="s">
        <v>48</v>
      </c>
    </row>
    <row r="38667">
      <c r="H38667" s="50"/>
      <c r="I38667" s="50"/>
      <c r="O38667" s="36" t="s">
        <v>48</v>
      </c>
      <c r="R38667" s="36" t="s">
        <v>48</v>
      </c>
    </row>
    <row r="38668">
      <c r="H38668" s="50"/>
      <c r="I38668" s="50"/>
      <c r="O38668" s="36" t="s">
        <v>48</v>
      </c>
      <c r="R38668" s="36" t="s">
        <v>48</v>
      </c>
    </row>
    <row r="38669">
      <c r="H38669" s="50"/>
      <c r="I38669" s="50"/>
      <c r="O38669" s="36" t="s">
        <v>48</v>
      </c>
      <c r="R38669" s="36" t="s">
        <v>48</v>
      </c>
    </row>
    <row r="38670">
      <c r="H38670" s="50"/>
      <c r="I38670" s="50"/>
      <c r="O38670" s="36" t="s">
        <v>48</v>
      </c>
      <c r="R38670" s="36" t="s">
        <v>48</v>
      </c>
    </row>
    <row r="38671">
      <c r="H38671" s="50"/>
      <c r="I38671" s="50"/>
      <c r="O38671" s="36" t="s">
        <v>48</v>
      </c>
      <c r="R38671" s="36" t="s">
        <v>48</v>
      </c>
    </row>
    <row r="38672">
      <c r="H38672" s="50"/>
      <c r="I38672" s="50"/>
      <c r="O38672" s="36" t="s">
        <v>48</v>
      </c>
      <c r="R38672" s="36" t="s">
        <v>48</v>
      </c>
    </row>
    <row r="38673">
      <c r="H38673" s="50"/>
      <c r="I38673" s="50"/>
      <c r="O38673" s="36" t="s">
        <v>48</v>
      </c>
      <c r="R38673" s="36" t="s">
        <v>48</v>
      </c>
    </row>
    <row r="38674">
      <c r="H38674" s="50"/>
      <c r="I38674" s="50"/>
      <c r="O38674" s="36" t="s">
        <v>48</v>
      </c>
      <c r="R38674" s="36" t="s">
        <v>48</v>
      </c>
    </row>
    <row r="38675">
      <c r="H38675" s="50"/>
      <c r="I38675" s="50"/>
      <c r="O38675" s="36" t="s">
        <v>48</v>
      </c>
      <c r="R38675" s="36" t="s">
        <v>48</v>
      </c>
    </row>
    <row r="38676">
      <c r="H38676" s="50"/>
      <c r="I38676" s="50"/>
      <c r="O38676" s="36" t="s">
        <v>48</v>
      </c>
      <c r="R38676" s="36" t="s">
        <v>48</v>
      </c>
    </row>
    <row r="38677">
      <c r="H38677" s="50"/>
      <c r="I38677" s="50"/>
      <c r="O38677" s="36" t="s">
        <v>48</v>
      </c>
      <c r="R38677" s="36" t="s">
        <v>48</v>
      </c>
    </row>
    <row r="38678">
      <c r="H38678" s="50"/>
      <c r="I38678" s="50"/>
      <c r="O38678" s="36" t="s">
        <v>48</v>
      </c>
      <c r="R38678" s="36" t="s">
        <v>48</v>
      </c>
    </row>
    <row r="38679">
      <c r="H38679" s="50"/>
      <c r="I38679" s="50"/>
      <c r="O38679" s="36" t="s">
        <v>48</v>
      </c>
      <c r="R38679" s="36" t="s">
        <v>48</v>
      </c>
    </row>
    <row r="38680">
      <c r="H38680" s="50"/>
      <c r="I38680" s="50"/>
      <c r="O38680" s="36" t="s">
        <v>48</v>
      </c>
      <c r="R38680" s="36" t="s">
        <v>48</v>
      </c>
    </row>
    <row r="38681">
      <c r="H38681" s="50"/>
      <c r="I38681" s="50"/>
      <c r="O38681" s="36" t="s">
        <v>48</v>
      </c>
      <c r="R38681" s="36" t="s">
        <v>48</v>
      </c>
    </row>
    <row r="38682">
      <c r="H38682" s="50"/>
      <c r="I38682" s="50"/>
      <c r="O38682" s="36" t="s">
        <v>48</v>
      </c>
      <c r="R38682" s="36" t="s">
        <v>48</v>
      </c>
    </row>
    <row r="38683">
      <c r="H38683" s="50"/>
      <c r="I38683" s="50"/>
      <c r="O38683" s="36" t="s">
        <v>48</v>
      </c>
      <c r="R38683" s="36" t="s">
        <v>48</v>
      </c>
    </row>
    <row r="38684">
      <c r="H38684" s="50"/>
      <c r="I38684" s="50"/>
      <c r="O38684" s="36" t="s">
        <v>48</v>
      </c>
      <c r="R38684" s="36" t="s">
        <v>48</v>
      </c>
    </row>
    <row r="38685">
      <c r="H38685" s="50"/>
      <c r="I38685" s="50"/>
      <c r="O38685" s="36" t="s">
        <v>48</v>
      </c>
      <c r="R38685" s="36" t="s">
        <v>48</v>
      </c>
    </row>
    <row r="38686">
      <c r="H38686" s="50"/>
      <c r="I38686" s="50"/>
      <c r="O38686" s="36" t="s">
        <v>48</v>
      </c>
      <c r="R38686" s="36" t="s">
        <v>48</v>
      </c>
    </row>
    <row r="38687">
      <c r="H38687" s="50"/>
      <c r="I38687" s="50"/>
      <c r="O38687" s="36" t="s">
        <v>48</v>
      </c>
      <c r="R38687" s="36" t="s">
        <v>48</v>
      </c>
    </row>
    <row r="38688">
      <c r="H38688" s="50"/>
      <c r="I38688" s="50"/>
      <c r="O38688" s="36" t="s">
        <v>48</v>
      </c>
      <c r="R38688" s="36" t="s">
        <v>48</v>
      </c>
    </row>
    <row r="38689">
      <c r="H38689" s="50"/>
      <c r="I38689" s="50"/>
      <c r="O38689" s="36" t="s">
        <v>48</v>
      </c>
      <c r="R38689" s="36" t="s">
        <v>48</v>
      </c>
    </row>
    <row r="38690">
      <c r="H38690" s="50"/>
      <c r="I38690" s="50"/>
      <c r="O38690" s="36" t="s">
        <v>48</v>
      </c>
      <c r="R38690" s="36" t="s">
        <v>48</v>
      </c>
    </row>
    <row r="38691">
      <c r="H38691" s="50"/>
      <c r="I38691" s="50"/>
      <c r="O38691" s="36" t="s">
        <v>48</v>
      </c>
      <c r="R38691" s="36" t="s">
        <v>48</v>
      </c>
    </row>
    <row r="38692">
      <c r="H38692" s="50"/>
      <c r="I38692" s="50"/>
      <c r="O38692" s="36" t="s">
        <v>48</v>
      </c>
      <c r="R38692" s="36" t="s">
        <v>48</v>
      </c>
    </row>
    <row r="38693">
      <c r="H38693" s="50"/>
      <c r="I38693" s="50"/>
      <c r="O38693" s="36" t="s">
        <v>48</v>
      </c>
      <c r="R38693" s="36" t="s">
        <v>48</v>
      </c>
    </row>
    <row r="38694">
      <c r="H38694" s="50"/>
      <c r="I38694" s="50"/>
      <c r="O38694" s="36" t="s">
        <v>48</v>
      </c>
      <c r="R38694" s="36" t="s">
        <v>48</v>
      </c>
    </row>
    <row r="38695">
      <c r="H38695" s="50"/>
      <c r="I38695" s="50"/>
      <c r="O38695" s="36" t="s">
        <v>48</v>
      </c>
      <c r="R38695" s="36" t="s">
        <v>48</v>
      </c>
    </row>
    <row r="38696">
      <c r="H38696" s="50"/>
      <c r="I38696" s="50"/>
      <c r="O38696" s="36" t="s">
        <v>48</v>
      </c>
      <c r="R38696" s="36" t="s">
        <v>48</v>
      </c>
    </row>
    <row r="38697">
      <c r="H38697" s="50"/>
      <c r="I38697" s="50"/>
      <c r="O38697" s="36" t="s">
        <v>48</v>
      </c>
      <c r="R38697" s="36" t="s">
        <v>48</v>
      </c>
    </row>
    <row r="38698">
      <c r="H38698" s="50"/>
      <c r="I38698" s="50"/>
      <c r="O38698" s="36" t="s">
        <v>48</v>
      </c>
      <c r="R38698" s="36" t="s">
        <v>48</v>
      </c>
    </row>
    <row r="38699">
      <c r="H38699" s="50"/>
      <c r="I38699" s="50"/>
      <c r="O38699" s="36" t="s">
        <v>48</v>
      </c>
      <c r="R38699" s="36" t="s">
        <v>48</v>
      </c>
    </row>
    <row r="38700">
      <c r="H38700" s="50"/>
      <c r="I38700" s="50"/>
      <c r="O38700" s="36" t="s">
        <v>48</v>
      </c>
      <c r="R38700" s="36" t="s">
        <v>48</v>
      </c>
    </row>
    <row r="38701">
      <c r="H38701" s="50"/>
      <c r="I38701" s="50"/>
      <c r="O38701" s="36" t="s">
        <v>48</v>
      </c>
      <c r="R38701" s="36" t="s">
        <v>48</v>
      </c>
    </row>
    <row r="38702">
      <c r="H38702" s="50"/>
      <c r="I38702" s="50"/>
      <c r="O38702" s="36" t="s">
        <v>48</v>
      </c>
      <c r="R38702" s="36" t="s">
        <v>48</v>
      </c>
    </row>
    <row r="38703">
      <c r="H38703" s="50"/>
      <c r="I38703" s="50"/>
      <c r="O38703" s="36" t="s">
        <v>48</v>
      </c>
      <c r="R38703" s="36" t="s">
        <v>48</v>
      </c>
    </row>
    <row r="38704">
      <c r="H38704" s="50"/>
      <c r="I38704" s="50"/>
      <c r="O38704" s="36" t="s">
        <v>48</v>
      </c>
      <c r="R38704" s="36" t="s">
        <v>48</v>
      </c>
    </row>
    <row r="38705">
      <c r="H38705" s="50"/>
      <c r="I38705" s="50"/>
      <c r="O38705" s="36" t="s">
        <v>48</v>
      </c>
      <c r="R38705" s="36" t="s">
        <v>48</v>
      </c>
    </row>
    <row r="38706">
      <c r="H38706" s="50"/>
      <c r="I38706" s="50"/>
      <c r="O38706" s="36" t="s">
        <v>48</v>
      </c>
      <c r="R38706" s="36" t="s">
        <v>48</v>
      </c>
    </row>
    <row r="38707">
      <c r="H38707" s="50"/>
      <c r="I38707" s="50"/>
      <c r="O38707" s="36" t="s">
        <v>48</v>
      </c>
      <c r="R38707" s="36" t="s">
        <v>48</v>
      </c>
    </row>
    <row r="38708">
      <c r="H38708" s="50"/>
      <c r="I38708" s="50"/>
      <c r="O38708" s="36" t="s">
        <v>48</v>
      </c>
      <c r="R38708" s="36" t="s">
        <v>48</v>
      </c>
    </row>
    <row r="38709">
      <c r="H38709" s="50"/>
      <c r="I38709" s="50"/>
      <c r="O38709" s="36" t="s">
        <v>48</v>
      </c>
      <c r="R38709" s="36" t="s">
        <v>48</v>
      </c>
    </row>
    <row r="38710">
      <c r="H38710" s="50"/>
      <c r="I38710" s="50"/>
      <c r="O38710" s="36" t="s">
        <v>48</v>
      </c>
      <c r="R38710" s="36" t="s">
        <v>48</v>
      </c>
    </row>
    <row r="38711">
      <c r="H38711" s="50"/>
      <c r="I38711" s="50"/>
      <c r="O38711" s="36" t="s">
        <v>48</v>
      </c>
      <c r="R38711" s="36" t="s">
        <v>48</v>
      </c>
    </row>
    <row r="38712">
      <c r="H38712" s="50"/>
      <c r="I38712" s="50"/>
      <c r="O38712" s="36" t="s">
        <v>48</v>
      </c>
      <c r="R38712" s="36" t="s">
        <v>48</v>
      </c>
    </row>
    <row r="38713">
      <c r="H38713" s="50"/>
      <c r="I38713" s="50"/>
      <c r="O38713" s="36" t="s">
        <v>48</v>
      </c>
      <c r="R38713" s="36" t="s">
        <v>48</v>
      </c>
    </row>
    <row r="38714">
      <c r="H38714" s="50"/>
      <c r="I38714" s="50"/>
      <c r="O38714" s="36" t="s">
        <v>48</v>
      </c>
      <c r="R38714" s="36" t="s">
        <v>48</v>
      </c>
    </row>
    <row r="38715">
      <c r="H38715" s="50"/>
      <c r="I38715" s="50"/>
      <c r="O38715" s="36" t="s">
        <v>48</v>
      </c>
      <c r="R38715" s="36" t="s">
        <v>48</v>
      </c>
    </row>
    <row r="38716">
      <c r="H38716" s="50"/>
      <c r="I38716" s="50"/>
      <c r="O38716" s="36" t="s">
        <v>48</v>
      </c>
      <c r="R38716" s="36" t="s">
        <v>48</v>
      </c>
    </row>
    <row r="38717">
      <c r="H38717" s="50"/>
      <c r="I38717" s="50"/>
      <c r="O38717" s="36" t="s">
        <v>48</v>
      </c>
      <c r="R38717" s="36" t="s">
        <v>48</v>
      </c>
    </row>
    <row r="38718">
      <c r="H38718" s="50"/>
      <c r="I38718" s="50"/>
      <c r="O38718" s="36" t="s">
        <v>48</v>
      </c>
      <c r="R38718" s="36" t="s">
        <v>48</v>
      </c>
    </row>
    <row r="38719">
      <c r="H38719" s="50"/>
      <c r="I38719" s="50"/>
      <c r="O38719" s="36" t="s">
        <v>48</v>
      </c>
      <c r="R38719" s="36" t="s">
        <v>48</v>
      </c>
    </row>
    <row r="38720">
      <c r="H38720" s="50"/>
      <c r="I38720" s="50"/>
      <c r="O38720" s="36" t="s">
        <v>48</v>
      </c>
      <c r="R38720" s="36" t="s">
        <v>48</v>
      </c>
    </row>
    <row r="38721">
      <c r="H38721" s="50"/>
      <c r="I38721" s="50"/>
      <c r="O38721" s="36" t="s">
        <v>48</v>
      </c>
      <c r="R38721" s="36" t="s">
        <v>48</v>
      </c>
    </row>
    <row r="38722">
      <c r="H38722" s="50"/>
      <c r="I38722" s="50"/>
      <c r="O38722" s="36" t="s">
        <v>48</v>
      </c>
      <c r="R38722" s="36" t="s">
        <v>48</v>
      </c>
    </row>
    <row r="38723">
      <c r="H38723" s="50"/>
      <c r="I38723" s="50"/>
      <c r="O38723" s="36" t="s">
        <v>48</v>
      </c>
      <c r="R38723" s="36" t="s">
        <v>48</v>
      </c>
    </row>
    <row r="38724">
      <c r="H38724" s="50"/>
      <c r="I38724" s="50"/>
      <c r="O38724" s="36" t="s">
        <v>48</v>
      </c>
      <c r="R38724" s="36" t="s">
        <v>48</v>
      </c>
    </row>
    <row r="38725">
      <c r="H38725" s="50"/>
      <c r="I38725" s="50"/>
      <c r="O38725" s="36" t="s">
        <v>48</v>
      </c>
      <c r="R38725" s="36" t="s">
        <v>48</v>
      </c>
    </row>
    <row r="38726">
      <c r="H38726" s="50"/>
      <c r="I38726" s="50"/>
      <c r="O38726" s="36" t="s">
        <v>48</v>
      </c>
      <c r="R38726" s="36" t="s">
        <v>48</v>
      </c>
    </row>
    <row r="38727">
      <c r="H38727" s="50"/>
      <c r="I38727" s="50"/>
      <c r="O38727" s="36" t="s">
        <v>48</v>
      </c>
      <c r="R38727" s="36" t="s">
        <v>48</v>
      </c>
    </row>
    <row r="38728">
      <c r="H38728" s="50"/>
      <c r="I38728" s="50"/>
      <c r="O38728" s="36" t="s">
        <v>48</v>
      </c>
      <c r="R38728" s="36" t="s">
        <v>48</v>
      </c>
    </row>
    <row r="38729">
      <c r="H38729" s="50"/>
      <c r="I38729" s="50"/>
      <c r="O38729" s="36" t="s">
        <v>48</v>
      </c>
      <c r="R38729" s="36" t="s">
        <v>48</v>
      </c>
    </row>
    <row r="38730">
      <c r="H38730" s="50"/>
      <c r="I38730" s="50"/>
      <c r="O38730" s="36" t="s">
        <v>48</v>
      </c>
      <c r="R38730" s="36" t="s">
        <v>48</v>
      </c>
    </row>
    <row r="38731">
      <c r="H38731" s="50"/>
      <c r="I38731" s="50"/>
      <c r="O38731" s="36" t="s">
        <v>48</v>
      </c>
      <c r="R38731" s="36" t="s">
        <v>48</v>
      </c>
    </row>
    <row r="38732">
      <c r="H38732" s="50"/>
      <c r="I38732" s="50"/>
      <c r="O38732" s="36" t="s">
        <v>48</v>
      </c>
      <c r="R38732" s="36" t="s">
        <v>48</v>
      </c>
    </row>
    <row r="38733">
      <c r="H38733" s="50"/>
      <c r="I38733" s="50"/>
      <c r="O38733" s="36" t="s">
        <v>48</v>
      </c>
      <c r="R38733" s="36" t="s">
        <v>48</v>
      </c>
    </row>
    <row r="38734">
      <c r="H38734" s="50"/>
      <c r="I38734" s="50"/>
      <c r="O38734" s="36" t="s">
        <v>48</v>
      </c>
      <c r="R38734" s="36" t="s">
        <v>48</v>
      </c>
    </row>
    <row r="38735">
      <c r="H38735" s="50"/>
      <c r="I38735" s="50"/>
      <c r="O38735" s="36" t="s">
        <v>48</v>
      </c>
      <c r="R38735" s="36" t="s">
        <v>48</v>
      </c>
    </row>
    <row r="38736">
      <c r="H38736" s="50"/>
      <c r="I38736" s="50"/>
      <c r="O38736" s="36" t="s">
        <v>48</v>
      </c>
      <c r="R38736" s="36" t="s">
        <v>48</v>
      </c>
    </row>
    <row r="38737">
      <c r="H38737" s="50"/>
      <c r="I38737" s="50"/>
      <c r="O38737" s="36" t="s">
        <v>48</v>
      </c>
      <c r="R38737" s="36" t="s">
        <v>48</v>
      </c>
    </row>
    <row r="38738">
      <c r="H38738" s="50"/>
      <c r="I38738" s="50"/>
      <c r="O38738" s="36" t="s">
        <v>48</v>
      </c>
      <c r="R38738" s="36" t="s">
        <v>48</v>
      </c>
    </row>
    <row r="38739">
      <c r="H38739" s="50"/>
      <c r="I38739" s="50"/>
      <c r="O38739" s="36" t="s">
        <v>48</v>
      </c>
      <c r="R38739" s="36" t="s">
        <v>48</v>
      </c>
    </row>
    <row r="38740">
      <c r="H38740" s="50"/>
      <c r="I38740" s="50"/>
      <c r="O38740" s="36" t="s">
        <v>48</v>
      </c>
      <c r="R38740" s="36" t="s">
        <v>48</v>
      </c>
    </row>
    <row r="38741">
      <c r="H38741" s="50"/>
      <c r="I38741" s="50"/>
      <c r="O38741" s="36" t="s">
        <v>48</v>
      </c>
      <c r="R38741" s="36" t="s">
        <v>48</v>
      </c>
    </row>
    <row r="38742">
      <c r="H38742" s="50"/>
      <c r="I38742" s="50"/>
      <c r="O38742" s="36" t="s">
        <v>48</v>
      </c>
      <c r="R38742" s="36" t="s">
        <v>48</v>
      </c>
    </row>
    <row r="38743">
      <c r="H38743" s="50"/>
      <c r="I38743" s="50"/>
      <c r="O38743" s="36" t="s">
        <v>48</v>
      </c>
      <c r="R38743" s="36" t="s">
        <v>48</v>
      </c>
    </row>
    <row r="38744">
      <c r="H38744" s="50"/>
      <c r="I38744" s="50"/>
      <c r="O38744" s="36" t="s">
        <v>48</v>
      </c>
      <c r="R38744" s="36" t="s">
        <v>48</v>
      </c>
    </row>
    <row r="38745">
      <c r="H38745" s="50"/>
      <c r="I38745" s="50"/>
      <c r="O38745" s="36" t="s">
        <v>48</v>
      </c>
      <c r="R38745" s="36" t="s">
        <v>48</v>
      </c>
    </row>
    <row r="38746">
      <c r="H38746" s="50"/>
      <c r="I38746" s="50"/>
      <c r="O38746" s="36" t="s">
        <v>48</v>
      </c>
      <c r="R38746" s="36" t="s">
        <v>48</v>
      </c>
    </row>
    <row r="38747">
      <c r="H38747" s="50"/>
      <c r="I38747" s="50"/>
      <c r="O38747" s="36" t="s">
        <v>48</v>
      </c>
      <c r="R38747" s="36" t="s">
        <v>48</v>
      </c>
    </row>
    <row r="38748">
      <c r="H38748" s="50"/>
      <c r="I38748" s="50"/>
      <c r="O38748" s="36" t="s">
        <v>48</v>
      </c>
      <c r="R38748" s="36" t="s">
        <v>48</v>
      </c>
    </row>
    <row r="38749">
      <c r="H38749" s="50"/>
      <c r="I38749" s="50"/>
      <c r="O38749" s="36" t="s">
        <v>48</v>
      </c>
      <c r="R38749" s="36" t="s">
        <v>48</v>
      </c>
    </row>
    <row r="38750">
      <c r="H38750" s="50"/>
      <c r="I38750" s="50"/>
      <c r="O38750" s="36" t="s">
        <v>48</v>
      </c>
      <c r="R38750" s="36" t="s">
        <v>48</v>
      </c>
    </row>
    <row r="38751">
      <c r="H38751" s="50"/>
      <c r="I38751" s="50"/>
      <c r="O38751" s="36" t="s">
        <v>48</v>
      </c>
      <c r="R38751" s="36" t="s">
        <v>48</v>
      </c>
    </row>
    <row r="38752">
      <c r="H38752" s="50"/>
      <c r="I38752" s="50"/>
      <c r="O38752" s="36" t="s">
        <v>48</v>
      </c>
      <c r="R38752" s="36" t="s">
        <v>48</v>
      </c>
    </row>
    <row r="38753">
      <c r="H38753" s="50"/>
      <c r="I38753" s="50"/>
      <c r="O38753" s="36" t="s">
        <v>48</v>
      </c>
      <c r="R38753" s="36" t="s">
        <v>48</v>
      </c>
    </row>
    <row r="38754">
      <c r="H38754" s="50"/>
      <c r="I38754" s="50"/>
      <c r="O38754" s="36" t="s">
        <v>48</v>
      </c>
      <c r="R38754" s="36" t="s">
        <v>48</v>
      </c>
    </row>
    <row r="38755">
      <c r="H38755" s="50"/>
      <c r="I38755" s="50"/>
      <c r="O38755" s="36" t="s">
        <v>48</v>
      </c>
      <c r="R38755" s="36" t="s">
        <v>48</v>
      </c>
    </row>
    <row r="38756">
      <c r="H38756" s="50"/>
      <c r="I38756" s="50"/>
      <c r="O38756" s="36" t="s">
        <v>48</v>
      </c>
      <c r="R38756" s="36" t="s">
        <v>48</v>
      </c>
    </row>
    <row r="38757">
      <c r="H38757" s="50"/>
      <c r="I38757" s="50"/>
      <c r="O38757" s="36" t="s">
        <v>48</v>
      </c>
      <c r="R38757" s="36" t="s">
        <v>48</v>
      </c>
    </row>
    <row r="38758">
      <c r="H38758" s="50"/>
      <c r="I38758" s="50"/>
      <c r="O38758" s="36" t="s">
        <v>48</v>
      </c>
      <c r="R38758" s="36" t="s">
        <v>48</v>
      </c>
    </row>
    <row r="38759">
      <c r="H38759" s="50"/>
      <c r="I38759" s="50"/>
      <c r="O38759" s="36" t="s">
        <v>48</v>
      </c>
      <c r="R38759" s="36" t="s">
        <v>48</v>
      </c>
    </row>
    <row r="38760">
      <c r="H38760" s="50"/>
      <c r="I38760" s="50"/>
      <c r="O38760" s="36" t="s">
        <v>48</v>
      </c>
      <c r="R38760" s="36" t="s">
        <v>48</v>
      </c>
    </row>
    <row r="38761">
      <c r="H38761" s="50"/>
      <c r="I38761" s="50"/>
      <c r="O38761" s="36" t="s">
        <v>48</v>
      </c>
      <c r="R38761" s="36" t="s">
        <v>48</v>
      </c>
    </row>
    <row r="38762">
      <c r="H38762" s="50"/>
      <c r="I38762" s="50"/>
      <c r="O38762" s="36" t="s">
        <v>48</v>
      </c>
      <c r="R38762" s="36" t="s">
        <v>48</v>
      </c>
    </row>
    <row r="38763">
      <c r="H38763" s="50"/>
      <c r="I38763" s="50"/>
      <c r="O38763" s="36" t="s">
        <v>48</v>
      </c>
      <c r="R38763" s="36" t="s">
        <v>48</v>
      </c>
    </row>
    <row r="38764">
      <c r="H38764" s="50"/>
      <c r="I38764" s="50"/>
      <c r="O38764" s="36" t="s">
        <v>48</v>
      </c>
      <c r="R38764" s="36" t="s">
        <v>48</v>
      </c>
    </row>
    <row r="38765">
      <c r="H38765" s="50"/>
      <c r="I38765" s="50"/>
      <c r="O38765" s="36" t="s">
        <v>48</v>
      </c>
      <c r="R38765" s="36" t="s">
        <v>48</v>
      </c>
    </row>
    <row r="38766">
      <c r="H38766" s="50"/>
      <c r="I38766" s="50"/>
      <c r="O38766" s="36" t="s">
        <v>48</v>
      </c>
      <c r="R38766" s="36" t="s">
        <v>48</v>
      </c>
    </row>
    <row r="38767">
      <c r="H38767" s="50"/>
      <c r="I38767" s="50"/>
      <c r="O38767" s="36" t="s">
        <v>48</v>
      </c>
      <c r="R38767" s="36" t="s">
        <v>48</v>
      </c>
    </row>
    <row r="38768">
      <c r="H38768" s="50"/>
      <c r="I38768" s="50"/>
      <c r="O38768" s="36" t="s">
        <v>48</v>
      </c>
      <c r="R38768" s="36" t="s">
        <v>48</v>
      </c>
    </row>
    <row r="38769">
      <c r="H38769" s="50"/>
      <c r="I38769" s="50"/>
      <c r="O38769" s="36" t="s">
        <v>48</v>
      </c>
      <c r="R38769" s="36" t="s">
        <v>48</v>
      </c>
    </row>
    <row r="38770">
      <c r="H38770" s="50"/>
      <c r="I38770" s="50"/>
      <c r="O38770" s="36" t="s">
        <v>48</v>
      </c>
      <c r="R38770" s="36" t="s">
        <v>48</v>
      </c>
    </row>
    <row r="38771">
      <c r="H38771" s="50"/>
      <c r="I38771" s="50"/>
      <c r="O38771" s="36" t="s">
        <v>48</v>
      </c>
      <c r="R38771" s="36" t="s">
        <v>48</v>
      </c>
    </row>
    <row r="38772">
      <c r="H38772" s="50"/>
      <c r="I38772" s="50"/>
      <c r="O38772" s="36" t="s">
        <v>48</v>
      </c>
      <c r="R38772" s="36" t="s">
        <v>48</v>
      </c>
    </row>
    <row r="38773">
      <c r="H38773" s="50"/>
      <c r="I38773" s="50"/>
      <c r="O38773" s="36" t="s">
        <v>48</v>
      </c>
      <c r="R38773" s="36" t="s">
        <v>48</v>
      </c>
    </row>
    <row r="38774">
      <c r="H38774" s="50"/>
      <c r="I38774" s="50"/>
      <c r="O38774" s="36" t="s">
        <v>48</v>
      </c>
      <c r="R38774" s="36" t="s">
        <v>48</v>
      </c>
    </row>
    <row r="38775">
      <c r="H38775" s="50"/>
      <c r="I38775" s="50"/>
      <c r="O38775" s="36" t="s">
        <v>48</v>
      </c>
      <c r="R38775" s="36" t="s">
        <v>48</v>
      </c>
    </row>
    <row r="38776">
      <c r="H38776" s="50"/>
      <c r="I38776" s="50"/>
      <c r="O38776" s="36" t="s">
        <v>48</v>
      </c>
      <c r="R38776" s="36" t="s">
        <v>48</v>
      </c>
    </row>
    <row r="38777">
      <c r="H38777" s="50"/>
      <c r="I38777" s="50"/>
      <c r="O38777" s="36" t="s">
        <v>48</v>
      </c>
      <c r="R38777" s="36" t="s">
        <v>48</v>
      </c>
    </row>
    <row r="38778">
      <c r="H38778" s="50"/>
      <c r="I38778" s="50"/>
      <c r="O38778" s="36" t="s">
        <v>48</v>
      </c>
      <c r="R38778" s="36" t="s">
        <v>48</v>
      </c>
    </row>
    <row r="38779">
      <c r="H38779" s="50"/>
      <c r="I38779" s="50"/>
      <c r="O38779" s="36" t="s">
        <v>48</v>
      </c>
      <c r="R38779" s="36" t="s">
        <v>48</v>
      </c>
    </row>
    <row r="38780">
      <c r="H38780" s="50"/>
      <c r="I38780" s="50"/>
      <c r="O38780" s="36" t="s">
        <v>48</v>
      </c>
      <c r="R38780" s="36" t="s">
        <v>48</v>
      </c>
    </row>
    <row r="38781">
      <c r="H38781" s="50"/>
      <c r="I38781" s="50"/>
      <c r="O38781" s="36" t="s">
        <v>48</v>
      </c>
      <c r="R38781" s="36" t="s">
        <v>48</v>
      </c>
    </row>
    <row r="38782">
      <c r="H38782" s="50"/>
      <c r="I38782" s="50"/>
      <c r="O38782" s="36" t="s">
        <v>48</v>
      </c>
      <c r="R38782" s="36" t="s">
        <v>48</v>
      </c>
    </row>
    <row r="38783">
      <c r="H38783" s="50"/>
      <c r="I38783" s="50"/>
      <c r="O38783" s="36" t="s">
        <v>48</v>
      </c>
      <c r="R38783" s="36" t="s">
        <v>48</v>
      </c>
    </row>
    <row r="38784">
      <c r="H38784" s="50"/>
      <c r="I38784" s="50"/>
      <c r="O38784" s="36" t="s">
        <v>48</v>
      </c>
      <c r="R38784" s="36" t="s">
        <v>48</v>
      </c>
    </row>
    <row r="38785">
      <c r="H38785" s="50"/>
      <c r="I38785" s="50"/>
      <c r="O38785" s="36" t="s">
        <v>48</v>
      </c>
      <c r="R38785" s="36" t="s">
        <v>48</v>
      </c>
    </row>
    <row r="38786">
      <c r="H38786" s="50"/>
      <c r="I38786" s="50"/>
      <c r="O38786" s="36" t="s">
        <v>48</v>
      </c>
      <c r="R38786" s="36" t="s">
        <v>48</v>
      </c>
    </row>
    <row r="38787">
      <c r="H38787" s="50"/>
      <c r="I38787" s="50"/>
      <c r="O38787" s="36" t="s">
        <v>48</v>
      </c>
      <c r="R38787" s="36" t="s">
        <v>48</v>
      </c>
    </row>
    <row r="38788">
      <c r="H38788" s="50"/>
      <c r="I38788" s="50"/>
      <c r="O38788" s="36" t="s">
        <v>48</v>
      </c>
      <c r="R38788" s="36" t="s">
        <v>48</v>
      </c>
    </row>
    <row r="38789">
      <c r="H38789" s="50"/>
      <c r="I38789" s="50"/>
      <c r="O38789" s="36" t="s">
        <v>48</v>
      </c>
      <c r="R38789" s="36" t="s">
        <v>48</v>
      </c>
    </row>
    <row r="38790">
      <c r="H38790" s="50"/>
      <c r="I38790" s="50"/>
      <c r="O38790" s="36" t="s">
        <v>48</v>
      </c>
      <c r="R38790" s="36" t="s">
        <v>48</v>
      </c>
    </row>
    <row r="38791">
      <c r="H38791" s="50"/>
      <c r="I38791" s="50"/>
      <c r="O38791" s="36" t="s">
        <v>48</v>
      </c>
      <c r="R38791" s="36" t="s">
        <v>48</v>
      </c>
    </row>
    <row r="38792">
      <c r="H38792" s="50"/>
      <c r="I38792" s="50"/>
      <c r="O38792" s="36" t="s">
        <v>48</v>
      </c>
      <c r="R38792" s="36" t="s">
        <v>48</v>
      </c>
    </row>
    <row r="38793">
      <c r="H38793" s="50"/>
      <c r="I38793" s="50"/>
      <c r="O38793" s="36" t="s">
        <v>48</v>
      </c>
      <c r="R38793" s="36" t="s">
        <v>48</v>
      </c>
    </row>
    <row r="38794">
      <c r="H38794" s="50"/>
      <c r="I38794" s="50"/>
      <c r="O38794" s="36" t="s">
        <v>48</v>
      </c>
      <c r="R38794" s="36" t="s">
        <v>48</v>
      </c>
    </row>
    <row r="38795">
      <c r="H38795" s="50"/>
      <c r="I38795" s="50"/>
      <c r="O38795" s="36" t="s">
        <v>48</v>
      </c>
      <c r="R38795" s="36" t="s">
        <v>48</v>
      </c>
    </row>
    <row r="38796">
      <c r="H38796" s="50"/>
      <c r="I38796" s="50"/>
      <c r="O38796" s="36" t="s">
        <v>48</v>
      </c>
      <c r="R38796" s="36" t="s">
        <v>48</v>
      </c>
    </row>
    <row r="38797">
      <c r="H38797" s="50"/>
      <c r="I38797" s="50"/>
      <c r="O38797" s="36" t="s">
        <v>48</v>
      </c>
      <c r="R38797" s="36" t="s">
        <v>48</v>
      </c>
    </row>
    <row r="38798">
      <c r="H38798" s="50"/>
      <c r="I38798" s="50"/>
      <c r="O38798" s="36" t="s">
        <v>48</v>
      </c>
      <c r="R38798" s="36" t="s">
        <v>48</v>
      </c>
    </row>
    <row r="38799">
      <c r="H38799" s="50"/>
      <c r="I38799" s="50"/>
      <c r="O38799" s="36" t="s">
        <v>48</v>
      </c>
      <c r="R38799" s="36" t="s">
        <v>48</v>
      </c>
    </row>
    <row r="38800">
      <c r="H38800" s="50"/>
      <c r="I38800" s="50"/>
      <c r="O38800" s="36" t="s">
        <v>48</v>
      </c>
      <c r="R38800" s="36" t="s">
        <v>48</v>
      </c>
    </row>
    <row r="38801">
      <c r="H38801" s="50"/>
      <c r="I38801" s="50"/>
      <c r="O38801" s="36" t="s">
        <v>48</v>
      </c>
      <c r="R38801" s="36" t="s">
        <v>48</v>
      </c>
    </row>
    <row r="38802">
      <c r="H38802" s="50"/>
      <c r="I38802" s="50"/>
      <c r="O38802" s="36" t="s">
        <v>48</v>
      </c>
      <c r="R38802" s="36" t="s">
        <v>48</v>
      </c>
    </row>
    <row r="38803">
      <c r="H38803" s="50"/>
      <c r="I38803" s="50"/>
      <c r="O38803" s="36" t="s">
        <v>48</v>
      </c>
      <c r="R38803" s="36" t="s">
        <v>48</v>
      </c>
    </row>
    <row r="38804">
      <c r="H38804" s="50"/>
      <c r="I38804" s="50"/>
      <c r="O38804" s="36" t="s">
        <v>48</v>
      </c>
      <c r="R38804" s="36" t="s">
        <v>48</v>
      </c>
    </row>
    <row r="38805">
      <c r="H38805" s="50"/>
      <c r="I38805" s="50"/>
      <c r="O38805" s="36" t="s">
        <v>48</v>
      </c>
      <c r="R38805" s="36" t="s">
        <v>48</v>
      </c>
    </row>
    <row r="38806">
      <c r="H38806" s="50"/>
      <c r="I38806" s="50"/>
      <c r="O38806" s="36" t="s">
        <v>48</v>
      </c>
      <c r="R38806" s="36" t="s">
        <v>48</v>
      </c>
    </row>
    <row r="38807">
      <c r="H38807" s="50"/>
      <c r="I38807" s="50"/>
      <c r="O38807" s="36" t="s">
        <v>48</v>
      </c>
      <c r="R38807" s="36" t="s">
        <v>48</v>
      </c>
    </row>
    <row r="38808">
      <c r="H38808" s="50"/>
      <c r="I38808" s="50"/>
      <c r="O38808" s="36" t="s">
        <v>48</v>
      </c>
      <c r="R38808" s="36" t="s">
        <v>48</v>
      </c>
    </row>
    <row r="38809">
      <c r="H38809" s="50"/>
      <c r="I38809" s="50"/>
      <c r="O38809" s="36" t="s">
        <v>48</v>
      </c>
      <c r="R38809" s="36" t="s">
        <v>48</v>
      </c>
    </row>
    <row r="38810">
      <c r="H38810" s="50"/>
      <c r="I38810" s="50"/>
      <c r="O38810" s="36" t="s">
        <v>48</v>
      </c>
      <c r="R38810" s="36" t="s">
        <v>48</v>
      </c>
    </row>
    <row r="38811">
      <c r="H38811" s="50"/>
      <c r="I38811" s="50"/>
      <c r="O38811" s="36" t="s">
        <v>48</v>
      </c>
      <c r="R38811" s="36" t="s">
        <v>48</v>
      </c>
    </row>
    <row r="38812">
      <c r="H38812" s="50"/>
      <c r="I38812" s="50"/>
      <c r="O38812" s="36" t="s">
        <v>48</v>
      </c>
      <c r="R38812" s="36" t="s">
        <v>48</v>
      </c>
    </row>
    <row r="38813">
      <c r="H38813" s="50"/>
      <c r="I38813" s="50"/>
      <c r="O38813" s="36" t="s">
        <v>48</v>
      </c>
      <c r="R38813" s="36" t="s">
        <v>48</v>
      </c>
    </row>
    <row r="38814">
      <c r="H38814" s="50"/>
      <c r="I38814" s="50"/>
      <c r="O38814" s="36" t="s">
        <v>48</v>
      </c>
      <c r="R38814" s="36" t="s">
        <v>48</v>
      </c>
    </row>
    <row r="38815">
      <c r="H38815" s="50"/>
      <c r="I38815" s="50"/>
      <c r="O38815" s="36" t="s">
        <v>48</v>
      </c>
      <c r="R38815" s="36" t="s">
        <v>48</v>
      </c>
    </row>
    <row r="38816">
      <c r="H38816" s="50"/>
      <c r="I38816" s="50"/>
      <c r="O38816" s="36" t="s">
        <v>48</v>
      </c>
      <c r="R38816" s="36" t="s">
        <v>48</v>
      </c>
    </row>
    <row r="38817">
      <c r="H38817" s="50"/>
      <c r="I38817" s="50"/>
      <c r="O38817" s="36" t="s">
        <v>48</v>
      </c>
      <c r="R38817" s="36" t="s">
        <v>48</v>
      </c>
    </row>
    <row r="38818">
      <c r="H38818" s="50"/>
      <c r="I38818" s="50"/>
      <c r="O38818" s="36" t="s">
        <v>48</v>
      </c>
      <c r="R38818" s="36" t="s">
        <v>48</v>
      </c>
    </row>
    <row r="38819">
      <c r="H38819" s="50"/>
      <c r="I38819" s="50"/>
      <c r="O38819" s="36" t="s">
        <v>48</v>
      </c>
      <c r="R38819" s="36" t="s">
        <v>48</v>
      </c>
    </row>
    <row r="38820">
      <c r="H38820" s="50"/>
      <c r="I38820" s="50"/>
      <c r="O38820" s="36" t="s">
        <v>48</v>
      </c>
      <c r="R38820" s="36" t="s">
        <v>48</v>
      </c>
    </row>
    <row r="38821">
      <c r="H38821" s="50"/>
      <c r="I38821" s="50"/>
      <c r="O38821" s="36" t="s">
        <v>48</v>
      </c>
      <c r="R38821" s="36" t="s">
        <v>48</v>
      </c>
    </row>
    <row r="38822">
      <c r="H38822" s="50"/>
      <c r="I38822" s="50"/>
      <c r="O38822" s="36" t="s">
        <v>48</v>
      </c>
      <c r="R38822" s="36" t="s">
        <v>48</v>
      </c>
    </row>
    <row r="38823">
      <c r="H38823" s="50"/>
      <c r="I38823" s="50"/>
      <c r="O38823" s="36" t="s">
        <v>48</v>
      </c>
      <c r="R38823" s="36" t="s">
        <v>48</v>
      </c>
    </row>
    <row r="38824">
      <c r="H38824" s="50"/>
      <c r="I38824" s="50"/>
      <c r="O38824" s="36" t="s">
        <v>48</v>
      </c>
      <c r="R38824" s="36" t="s">
        <v>48</v>
      </c>
    </row>
    <row r="38825">
      <c r="H38825" s="50"/>
      <c r="I38825" s="50"/>
      <c r="O38825" s="36" t="s">
        <v>48</v>
      </c>
      <c r="R38825" s="36" t="s">
        <v>48</v>
      </c>
    </row>
    <row r="38826">
      <c r="H38826" s="50"/>
      <c r="I38826" s="50"/>
      <c r="O38826" s="36" t="s">
        <v>48</v>
      </c>
      <c r="R38826" s="36" t="s">
        <v>48</v>
      </c>
    </row>
    <row r="38827">
      <c r="H38827" s="50"/>
      <c r="I38827" s="50"/>
      <c r="O38827" s="36" t="s">
        <v>48</v>
      </c>
      <c r="R38827" s="36" t="s">
        <v>48</v>
      </c>
    </row>
    <row r="38828">
      <c r="H38828" s="50"/>
      <c r="I38828" s="50"/>
      <c r="O38828" s="36" t="s">
        <v>48</v>
      </c>
      <c r="R38828" s="36" t="s">
        <v>48</v>
      </c>
    </row>
    <row r="38829">
      <c r="H38829" s="50"/>
      <c r="I38829" s="50"/>
      <c r="O38829" s="36" t="s">
        <v>48</v>
      </c>
      <c r="R38829" s="36" t="s">
        <v>48</v>
      </c>
    </row>
    <row r="38830">
      <c r="H38830" s="50"/>
      <c r="I38830" s="50"/>
      <c r="O38830" s="36" t="s">
        <v>48</v>
      </c>
      <c r="R38830" s="36" t="s">
        <v>48</v>
      </c>
    </row>
    <row r="38831">
      <c r="H38831" s="50"/>
      <c r="I38831" s="50"/>
      <c r="O38831" s="36" t="s">
        <v>48</v>
      </c>
      <c r="R38831" s="36" t="s">
        <v>48</v>
      </c>
    </row>
    <row r="38832">
      <c r="H38832" s="50"/>
      <c r="I38832" s="50"/>
      <c r="O38832" s="36" t="s">
        <v>48</v>
      </c>
      <c r="R38832" s="36" t="s">
        <v>48</v>
      </c>
    </row>
    <row r="38833">
      <c r="H38833" s="50"/>
      <c r="I38833" s="50"/>
      <c r="O38833" s="36" t="s">
        <v>48</v>
      </c>
      <c r="R38833" s="36" t="s">
        <v>48</v>
      </c>
    </row>
    <row r="38834">
      <c r="H38834" s="50"/>
      <c r="I38834" s="50"/>
      <c r="O38834" s="36" t="s">
        <v>48</v>
      </c>
      <c r="R38834" s="36" t="s">
        <v>48</v>
      </c>
    </row>
    <row r="38835">
      <c r="H38835" s="50"/>
      <c r="I38835" s="50"/>
      <c r="O38835" s="36" t="s">
        <v>48</v>
      </c>
      <c r="R38835" s="36" t="s">
        <v>48</v>
      </c>
    </row>
    <row r="38836">
      <c r="H38836" s="50"/>
      <c r="I38836" s="50"/>
      <c r="O38836" s="36" t="s">
        <v>48</v>
      </c>
      <c r="R38836" s="36" t="s">
        <v>48</v>
      </c>
    </row>
    <row r="38837">
      <c r="H38837" s="50"/>
      <c r="I38837" s="50"/>
      <c r="O38837" s="36" t="s">
        <v>48</v>
      </c>
      <c r="R38837" s="36" t="s">
        <v>48</v>
      </c>
    </row>
    <row r="38838">
      <c r="H38838" s="50"/>
      <c r="I38838" s="50"/>
      <c r="O38838" s="36" t="s">
        <v>48</v>
      </c>
      <c r="R38838" s="36" t="s">
        <v>48</v>
      </c>
    </row>
    <row r="38839">
      <c r="H38839" s="50"/>
      <c r="I38839" s="50"/>
      <c r="O38839" s="36" t="s">
        <v>48</v>
      </c>
      <c r="R38839" s="36" t="s">
        <v>48</v>
      </c>
    </row>
    <row r="38840">
      <c r="H38840" s="50"/>
      <c r="I38840" s="50"/>
      <c r="O38840" s="36" t="s">
        <v>48</v>
      </c>
      <c r="R38840" s="36" t="s">
        <v>48</v>
      </c>
    </row>
    <row r="38841">
      <c r="H38841" s="50"/>
      <c r="I38841" s="50"/>
      <c r="O38841" s="36" t="s">
        <v>48</v>
      </c>
      <c r="R38841" s="36" t="s">
        <v>48</v>
      </c>
    </row>
    <row r="38842">
      <c r="H38842" s="50"/>
      <c r="I38842" s="50"/>
      <c r="O38842" s="36" t="s">
        <v>48</v>
      </c>
      <c r="R38842" s="36" t="s">
        <v>48</v>
      </c>
    </row>
    <row r="38843">
      <c r="H38843" s="50"/>
      <c r="I38843" s="50"/>
      <c r="O38843" s="36" t="s">
        <v>48</v>
      </c>
      <c r="R38843" s="36" t="s">
        <v>48</v>
      </c>
    </row>
    <row r="38844">
      <c r="H38844" s="50"/>
      <c r="I38844" s="50"/>
      <c r="O38844" s="36" t="s">
        <v>48</v>
      </c>
      <c r="R38844" s="36" t="s">
        <v>48</v>
      </c>
    </row>
    <row r="38845">
      <c r="H38845" s="50"/>
      <c r="I38845" s="50"/>
      <c r="O38845" s="36" t="s">
        <v>48</v>
      </c>
      <c r="R38845" s="36" t="s">
        <v>48</v>
      </c>
    </row>
    <row r="38846">
      <c r="H38846" s="50"/>
      <c r="I38846" s="50"/>
      <c r="O38846" s="36" t="s">
        <v>48</v>
      </c>
      <c r="R38846" s="36" t="s">
        <v>48</v>
      </c>
    </row>
    <row r="38847">
      <c r="H38847" s="50"/>
      <c r="I38847" s="50"/>
      <c r="O38847" s="36" t="s">
        <v>48</v>
      </c>
      <c r="R38847" s="36" t="s">
        <v>48</v>
      </c>
    </row>
    <row r="38848">
      <c r="H38848" s="50"/>
      <c r="I38848" s="50"/>
      <c r="O38848" s="36" t="s">
        <v>48</v>
      </c>
      <c r="R38848" s="36" t="s">
        <v>48</v>
      </c>
    </row>
    <row r="38849">
      <c r="H38849" s="50"/>
      <c r="I38849" s="50"/>
      <c r="O38849" s="36" t="s">
        <v>48</v>
      </c>
      <c r="R38849" s="36" t="s">
        <v>48</v>
      </c>
    </row>
    <row r="38850">
      <c r="H38850" s="50"/>
      <c r="I38850" s="50"/>
      <c r="O38850" s="36" t="s">
        <v>48</v>
      </c>
      <c r="R38850" s="36" t="s">
        <v>48</v>
      </c>
    </row>
    <row r="38851">
      <c r="H38851" s="50"/>
      <c r="I38851" s="50"/>
      <c r="O38851" s="36" t="s">
        <v>48</v>
      </c>
      <c r="R38851" s="36" t="s">
        <v>48</v>
      </c>
    </row>
    <row r="38852">
      <c r="H38852" s="50"/>
      <c r="I38852" s="50"/>
      <c r="O38852" s="36" t="s">
        <v>48</v>
      </c>
      <c r="R38852" s="36" t="s">
        <v>48</v>
      </c>
    </row>
    <row r="38853">
      <c r="H38853" s="50"/>
      <c r="I38853" s="50"/>
      <c r="O38853" s="36" t="s">
        <v>48</v>
      </c>
      <c r="R38853" s="36" t="s">
        <v>48</v>
      </c>
    </row>
    <row r="38854">
      <c r="H38854" s="50"/>
      <c r="I38854" s="50"/>
      <c r="O38854" s="36" t="s">
        <v>48</v>
      </c>
      <c r="R38854" s="36" t="s">
        <v>48</v>
      </c>
    </row>
    <row r="38855">
      <c r="H38855" s="50"/>
      <c r="I38855" s="50"/>
      <c r="O38855" s="36" t="s">
        <v>48</v>
      </c>
      <c r="R38855" s="36" t="s">
        <v>48</v>
      </c>
    </row>
    <row r="38856">
      <c r="H38856" s="50"/>
      <c r="I38856" s="50"/>
      <c r="O38856" s="36" t="s">
        <v>48</v>
      </c>
      <c r="R38856" s="36" t="s">
        <v>48</v>
      </c>
    </row>
    <row r="38857">
      <c r="H38857" s="50"/>
      <c r="I38857" s="50"/>
      <c r="O38857" s="36" t="s">
        <v>48</v>
      </c>
      <c r="R38857" s="36" t="s">
        <v>48</v>
      </c>
    </row>
    <row r="38858">
      <c r="H38858" s="50"/>
      <c r="I38858" s="50"/>
      <c r="O38858" s="36" t="s">
        <v>48</v>
      </c>
      <c r="R38858" s="36" t="s">
        <v>48</v>
      </c>
    </row>
    <row r="38859">
      <c r="H38859" s="50"/>
      <c r="I38859" s="50"/>
      <c r="O38859" s="36" t="s">
        <v>48</v>
      </c>
      <c r="R38859" s="36" t="s">
        <v>48</v>
      </c>
    </row>
    <row r="38860">
      <c r="H38860" s="50"/>
      <c r="I38860" s="50"/>
      <c r="O38860" s="36" t="s">
        <v>48</v>
      </c>
      <c r="R38860" s="36" t="s">
        <v>48</v>
      </c>
    </row>
    <row r="38861">
      <c r="H38861" s="50"/>
      <c r="I38861" s="50"/>
      <c r="O38861" s="36" t="s">
        <v>48</v>
      </c>
      <c r="R38861" s="36" t="s">
        <v>48</v>
      </c>
    </row>
    <row r="38862">
      <c r="H38862" s="50"/>
      <c r="I38862" s="50"/>
      <c r="O38862" s="36" t="s">
        <v>48</v>
      </c>
      <c r="R38862" s="36" t="s">
        <v>48</v>
      </c>
    </row>
    <row r="38863">
      <c r="H38863" s="50"/>
      <c r="I38863" s="50"/>
      <c r="O38863" s="36" t="s">
        <v>48</v>
      </c>
      <c r="R38863" s="36" t="s">
        <v>48</v>
      </c>
    </row>
    <row r="38864">
      <c r="H38864" s="50"/>
      <c r="I38864" s="50"/>
      <c r="O38864" s="36" t="s">
        <v>48</v>
      </c>
      <c r="R38864" s="36" t="s">
        <v>48</v>
      </c>
    </row>
    <row r="38865">
      <c r="H38865" s="50"/>
      <c r="I38865" s="50"/>
      <c r="O38865" s="36" t="s">
        <v>48</v>
      </c>
      <c r="R38865" s="36" t="s">
        <v>48</v>
      </c>
    </row>
    <row r="38866">
      <c r="H38866" s="50"/>
      <c r="I38866" s="50"/>
      <c r="O38866" s="36" t="s">
        <v>48</v>
      </c>
      <c r="R38866" s="36" t="s">
        <v>48</v>
      </c>
    </row>
    <row r="38867">
      <c r="H38867" s="50"/>
      <c r="I38867" s="50"/>
      <c r="O38867" s="36" t="s">
        <v>48</v>
      </c>
      <c r="R38867" s="36" t="s">
        <v>48</v>
      </c>
    </row>
    <row r="38868">
      <c r="H38868" s="50"/>
      <c r="I38868" s="50"/>
      <c r="O38868" s="36" t="s">
        <v>48</v>
      </c>
      <c r="R38868" s="36" t="s">
        <v>48</v>
      </c>
    </row>
    <row r="38869">
      <c r="H38869" s="50"/>
      <c r="I38869" s="50"/>
      <c r="O38869" s="36" t="s">
        <v>48</v>
      </c>
      <c r="R38869" s="36" t="s">
        <v>48</v>
      </c>
    </row>
    <row r="38870">
      <c r="H38870" s="50"/>
      <c r="I38870" s="50"/>
      <c r="O38870" s="36" t="s">
        <v>48</v>
      </c>
      <c r="R38870" s="36" t="s">
        <v>48</v>
      </c>
    </row>
    <row r="38871">
      <c r="H38871" s="50"/>
      <c r="I38871" s="50"/>
      <c r="O38871" s="36" t="s">
        <v>48</v>
      </c>
      <c r="R38871" s="36" t="s">
        <v>48</v>
      </c>
    </row>
    <row r="38872">
      <c r="H38872" s="50"/>
      <c r="I38872" s="50"/>
      <c r="O38872" s="36" t="s">
        <v>48</v>
      </c>
      <c r="R38872" s="36" t="s">
        <v>48</v>
      </c>
    </row>
    <row r="38873">
      <c r="H38873" s="50"/>
      <c r="I38873" s="50"/>
      <c r="O38873" s="36" t="s">
        <v>48</v>
      </c>
      <c r="R38873" s="36" t="s">
        <v>48</v>
      </c>
    </row>
    <row r="38874">
      <c r="H38874" s="50"/>
      <c r="I38874" s="50"/>
      <c r="O38874" s="36" t="s">
        <v>48</v>
      </c>
      <c r="R38874" s="36" t="s">
        <v>48</v>
      </c>
    </row>
    <row r="38875">
      <c r="H38875" s="50"/>
      <c r="I38875" s="50"/>
      <c r="O38875" s="36" t="s">
        <v>48</v>
      </c>
      <c r="R38875" s="36" t="s">
        <v>48</v>
      </c>
    </row>
    <row r="38876">
      <c r="H38876" s="50"/>
      <c r="I38876" s="50"/>
      <c r="O38876" s="36" t="s">
        <v>48</v>
      </c>
      <c r="R38876" s="36" t="s">
        <v>48</v>
      </c>
    </row>
    <row r="38877">
      <c r="H38877" s="50"/>
      <c r="I38877" s="50"/>
      <c r="O38877" s="36" t="s">
        <v>48</v>
      </c>
      <c r="R38877" s="36" t="s">
        <v>48</v>
      </c>
    </row>
    <row r="38878">
      <c r="H38878" s="50"/>
      <c r="I38878" s="50"/>
      <c r="O38878" s="36" t="s">
        <v>48</v>
      </c>
      <c r="R38878" s="36" t="s">
        <v>48</v>
      </c>
    </row>
    <row r="38879">
      <c r="H38879" s="50"/>
      <c r="I38879" s="50"/>
      <c r="O38879" s="36" t="s">
        <v>48</v>
      </c>
      <c r="R38879" s="36" t="s">
        <v>48</v>
      </c>
    </row>
    <row r="38880">
      <c r="H38880" s="50"/>
      <c r="I38880" s="50"/>
      <c r="O38880" s="36" t="s">
        <v>48</v>
      </c>
      <c r="R38880" s="36" t="s">
        <v>48</v>
      </c>
    </row>
    <row r="38881">
      <c r="H38881" s="50"/>
      <c r="I38881" s="50"/>
      <c r="O38881" s="36" t="s">
        <v>48</v>
      </c>
      <c r="R38881" s="36" t="s">
        <v>48</v>
      </c>
    </row>
    <row r="38882">
      <c r="H38882" s="50"/>
      <c r="I38882" s="50"/>
      <c r="O38882" s="36" t="s">
        <v>48</v>
      </c>
      <c r="R38882" s="36" t="s">
        <v>48</v>
      </c>
    </row>
    <row r="38883">
      <c r="H38883" s="50"/>
      <c r="I38883" s="50"/>
      <c r="O38883" s="36" t="s">
        <v>48</v>
      </c>
      <c r="R38883" s="36" t="s">
        <v>48</v>
      </c>
    </row>
    <row r="38884">
      <c r="H38884" s="50"/>
      <c r="I38884" s="50"/>
      <c r="O38884" s="36" t="s">
        <v>48</v>
      </c>
      <c r="R38884" s="36" t="s">
        <v>48</v>
      </c>
    </row>
    <row r="38885">
      <c r="H38885" s="50"/>
      <c r="I38885" s="50"/>
      <c r="O38885" s="36" t="s">
        <v>48</v>
      </c>
      <c r="R38885" s="36" t="s">
        <v>48</v>
      </c>
    </row>
    <row r="38886">
      <c r="H38886" s="50"/>
      <c r="I38886" s="50"/>
      <c r="O38886" s="36" t="s">
        <v>48</v>
      </c>
      <c r="R38886" s="36" t="s">
        <v>48</v>
      </c>
    </row>
    <row r="38887">
      <c r="H38887" s="50"/>
      <c r="I38887" s="50"/>
      <c r="O38887" s="36" t="s">
        <v>48</v>
      </c>
      <c r="R38887" s="36" t="s">
        <v>48</v>
      </c>
    </row>
    <row r="38888">
      <c r="H38888" s="50"/>
      <c r="I38888" s="50"/>
      <c r="O38888" s="36" t="s">
        <v>48</v>
      </c>
      <c r="R38888" s="36" t="s">
        <v>48</v>
      </c>
    </row>
    <row r="38889">
      <c r="H38889" s="50"/>
      <c r="I38889" s="50"/>
      <c r="O38889" s="36" t="s">
        <v>48</v>
      </c>
      <c r="R38889" s="36" t="s">
        <v>48</v>
      </c>
    </row>
    <row r="38890">
      <c r="H38890" s="50"/>
      <c r="I38890" s="50"/>
      <c r="O38890" s="36" t="s">
        <v>48</v>
      </c>
      <c r="R38890" s="36" t="s">
        <v>48</v>
      </c>
    </row>
    <row r="38891">
      <c r="H38891" s="50"/>
      <c r="I38891" s="50"/>
      <c r="O38891" s="36" t="s">
        <v>48</v>
      </c>
      <c r="R38891" s="36" t="s">
        <v>48</v>
      </c>
    </row>
    <row r="38892">
      <c r="H38892" s="50"/>
      <c r="I38892" s="50"/>
      <c r="O38892" s="36" t="s">
        <v>48</v>
      </c>
      <c r="R38892" s="36" t="s">
        <v>48</v>
      </c>
    </row>
    <row r="38893">
      <c r="H38893" s="50"/>
      <c r="I38893" s="50"/>
      <c r="O38893" s="36" t="s">
        <v>48</v>
      </c>
      <c r="R38893" s="36" t="s">
        <v>48</v>
      </c>
    </row>
    <row r="38894">
      <c r="H38894" s="50"/>
      <c r="I38894" s="50"/>
      <c r="O38894" s="36" t="s">
        <v>48</v>
      </c>
      <c r="R38894" s="36" t="s">
        <v>48</v>
      </c>
    </row>
    <row r="38895">
      <c r="H38895" s="50"/>
      <c r="I38895" s="50"/>
      <c r="O38895" s="36" t="s">
        <v>48</v>
      </c>
      <c r="R38895" s="36" t="s">
        <v>48</v>
      </c>
    </row>
    <row r="38896">
      <c r="H38896" s="50"/>
      <c r="I38896" s="50"/>
      <c r="O38896" s="36" t="s">
        <v>48</v>
      </c>
      <c r="R38896" s="36" t="s">
        <v>48</v>
      </c>
    </row>
    <row r="38897">
      <c r="H38897" s="50"/>
      <c r="I38897" s="50"/>
      <c r="O38897" s="36" t="s">
        <v>48</v>
      </c>
      <c r="R38897" s="36" t="s">
        <v>48</v>
      </c>
    </row>
    <row r="38898">
      <c r="H38898" s="50"/>
      <c r="I38898" s="50"/>
      <c r="O38898" s="36" t="s">
        <v>48</v>
      </c>
      <c r="R38898" s="36" t="s">
        <v>48</v>
      </c>
    </row>
    <row r="38899">
      <c r="H38899" s="50"/>
      <c r="I38899" s="50"/>
      <c r="O38899" s="36" t="s">
        <v>48</v>
      </c>
      <c r="R38899" s="36" t="s">
        <v>48</v>
      </c>
    </row>
    <row r="38900">
      <c r="H38900" s="50"/>
      <c r="I38900" s="50"/>
      <c r="O38900" s="36" t="s">
        <v>48</v>
      </c>
      <c r="R38900" s="36" t="s">
        <v>48</v>
      </c>
    </row>
    <row r="38901">
      <c r="H38901" s="50"/>
      <c r="I38901" s="50"/>
      <c r="O38901" s="36" t="s">
        <v>48</v>
      </c>
      <c r="R38901" s="36" t="s">
        <v>48</v>
      </c>
    </row>
    <row r="38902">
      <c r="H38902" s="50"/>
      <c r="I38902" s="50"/>
      <c r="O38902" s="36" t="s">
        <v>48</v>
      </c>
      <c r="R38902" s="36" t="s">
        <v>48</v>
      </c>
    </row>
    <row r="38903">
      <c r="H38903" s="50"/>
      <c r="I38903" s="50"/>
      <c r="O38903" s="36" t="s">
        <v>48</v>
      </c>
      <c r="R38903" s="36" t="s">
        <v>48</v>
      </c>
    </row>
    <row r="38904">
      <c r="H38904" s="50"/>
      <c r="I38904" s="50"/>
      <c r="O38904" s="36" t="s">
        <v>48</v>
      </c>
      <c r="R38904" s="36" t="s">
        <v>48</v>
      </c>
    </row>
    <row r="38905">
      <c r="H38905" s="50"/>
      <c r="I38905" s="50"/>
      <c r="O38905" s="36" t="s">
        <v>48</v>
      </c>
      <c r="R38905" s="36" t="s">
        <v>48</v>
      </c>
    </row>
    <row r="38906">
      <c r="H38906" s="50"/>
      <c r="I38906" s="50"/>
      <c r="O38906" s="36" t="s">
        <v>48</v>
      </c>
      <c r="R38906" s="36" t="s">
        <v>48</v>
      </c>
    </row>
    <row r="38907">
      <c r="H38907" s="50"/>
      <c r="I38907" s="50"/>
      <c r="O38907" s="36" t="s">
        <v>48</v>
      </c>
      <c r="R38907" s="36" t="s">
        <v>48</v>
      </c>
    </row>
    <row r="38908">
      <c r="H38908" s="50"/>
      <c r="I38908" s="50"/>
      <c r="O38908" s="36" t="s">
        <v>48</v>
      </c>
      <c r="R38908" s="36" t="s">
        <v>48</v>
      </c>
    </row>
    <row r="38909">
      <c r="H38909" s="50"/>
      <c r="I38909" s="50"/>
      <c r="O38909" s="36" t="s">
        <v>48</v>
      </c>
      <c r="R38909" s="36" t="s">
        <v>48</v>
      </c>
    </row>
    <row r="38910">
      <c r="H38910" s="50"/>
      <c r="I38910" s="50"/>
      <c r="O38910" s="36" t="s">
        <v>48</v>
      </c>
      <c r="R38910" s="36" t="s">
        <v>48</v>
      </c>
    </row>
    <row r="38911">
      <c r="H38911" s="50"/>
      <c r="I38911" s="50"/>
      <c r="O38911" s="36" t="s">
        <v>48</v>
      </c>
      <c r="R38911" s="36" t="s">
        <v>48</v>
      </c>
    </row>
    <row r="38912">
      <c r="H38912" s="50"/>
      <c r="I38912" s="50"/>
      <c r="O38912" s="36" t="s">
        <v>48</v>
      </c>
      <c r="R38912" s="36" t="s">
        <v>48</v>
      </c>
    </row>
    <row r="38913">
      <c r="H38913" s="50"/>
      <c r="I38913" s="50"/>
      <c r="O38913" s="36" t="s">
        <v>48</v>
      </c>
      <c r="R38913" s="36" t="s">
        <v>48</v>
      </c>
    </row>
    <row r="38914">
      <c r="H38914" s="50"/>
      <c r="I38914" s="50"/>
      <c r="O38914" s="36" t="s">
        <v>48</v>
      </c>
      <c r="R38914" s="36" t="s">
        <v>48</v>
      </c>
    </row>
    <row r="38915">
      <c r="H38915" s="50"/>
      <c r="I38915" s="50"/>
      <c r="O38915" s="36" t="s">
        <v>48</v>
      </c>
      <c r="R38915" s="36" t="s">
        <v>48</v>
      </c>
    </row>
    <row r="38916">
      <c r="H38916" s="50"/>
      <c r="I38916" s="50"/>
      <c r="O38916" s="36" t="s">
        <v>48</v>
      </c>
      <c r="R38916" s="36" t="s">
        <v>48</v>
      </c>
    </row>
    <row r="38917">
      <c r="H38917" s="50"/>
      <c r="I38917" s="50"/>
      <c r="O38917" s="36" t="s">
        <v>48</v>
      </c>
      <c r="R38917" s="36" t="s">
        <v>48</v>
      </c>
    </row>
    <row r="38918">
      <c r="H38918" s="50"/>
      <c r="I38918" s="50"/>
      <c r="O38918" s="36" t="s">
        <v>48</v>
      </c>
      <c r="R38918" s="36" t="s">
        <v>48</v>
      </c>
    </row>
    <row r="38919">
      <c r="H38919" s="50"/>
      <c r="I38919" s="50"/>
      <c r="O38919" s="36" t="s">
        <v>48</v>
      </c>
      <c r="R38919" s="36" t="s">
        <v>48</v>
      </c>
    </row>
    <row r="38920">
      <c r="H38920" s="50"/>
      <c r="I38920" s="50"/>
      <c r="O38920" s="36" t="s">
        <v>48</v>
      </c>
      <c r="R38920" s="36" t="s">
        <v>48</v>
      </c>
    </row>
    <row r="38921">
      <c r="H38921" s="50"/>
      <c r="I38921" s="50"/>
      <c r="O38921" s="36" t="s">
        <v>48</v>
      </c>
      <c r="R38921" s="36" t="s">
        <v>48</v>
      </c>
    </row>
    <row r="38922">
      <c r="H38922" s="50"/>
      <c r="I38922" s="50"/>
      <c r="O38922" s="36" t="s">
        <v>48</v>
      </c>
      <c r="R38922" s="36" t="s">
        <v>48</v>
      </c>
    </row>
    <row r="38923">
      <c r="H38923" s="50"/>
      <c r="I38923" s="50"/>
      <c r="O38923" s="36" t="s">
        <v>48</v>
      </c>
      <c r="R38923" s="36" t="s">
        <v>48</v>
      </c>
    </row>
    <row r="38924">
      <c r="H38924" s="50"/>
      <c r="I38924" s="50"/>
      <c r="O38924" s="36" t="s">
        <v>48</v>
      </c>
      <c r="R38924" s="36" t="s">
        <v>48</v>
      </c>
    </row>
    <row r="38925">
      <c r="H38925" s="50"/>
      <c r="I38925" s="50"/>
      <c r="O38925" s="36" t="s">
        <v>48</v>
      </c>
      <c r="R38925" s="36" t="s">
        <v>48</v>
      </c>
    </row>
    <row r="38926">
      <c r="H38926" s="50"/>
      <c r="I38926" s="50"/>
      <c r="O38926" s="36" t="s">
        <v>48</v>
      </c>
      <c r="R38926" s="36" t="s">
        <v>48</v>
      </c>
    </row>
    <row r="38927">
      <c r="H38927" s="50"/>
      <c r="I38927" s="50"/>
      <c r="O38927" s="36" t="s">
        <v>48</v>
      </c>
      <c r="R38927" s="36" t="s">
        <v>48</v>
      </c>
    </row>
    <row r="38928">
      <c r="H38928" s="50"/>
      <c r="I38928" s="50"/>
      <c r="O38928" s="36" t="s">
        <v>48</v>
      </c>
      <c r="R38928" s="36" t="s">
        <v>48</v>
      </c>
    </row>
    <row r="38929">
      <c r="H38929" s="50"/>
      <c r="I38929" s="50"/>
      <c r="O38929" s="36" t="s">
        <v>48</v>
      </c>
      <c r="R38929" s="36" t="s">
        <v>48</v>
      </c>
    </row>
    <row r="38930">
      <c r="H38930" s="50"/>
      <c r="I38930" s="50"/>
      <c r="O38930" s="36" t="s">
        <v>48</v>
      </c>
      <c r="R38930" s="36" t="s">
        <v>48</v>
      </c>
    </row>
    <row r="38931">
      <c r="H38931" s="50"/>
      <c r="I38931" s="50"/>
      <c r="O38931" s="36" t="s">
        <v>48</v>
      </c>
      <c r="R38931" s="36" t="s">
        <v>48</v>
      </c>
    </row>
    <row r="38932">
      <c r="H38932" s="50"/>
      <c r="I38932" s="50"/>
      <c r="O38932" s="36" t="s">
        <v>48</v>
      </c>
      <c r="R38932" s="36" t="s">
        <v>48</v>
      </c>
    </row>
    <row r="38933">
      <c r="H38933" s="50"/>
      <c r="I38933" s="50"/>
      <c r="O38933" s="36" t="s">
        <v>48</v>
      </c>
      <c r="R38933" s="36" t="s">
        <v>48</v>
      </c>
    </row>
    <row r="38934">
      <c r="H38934" s="50"/>
      <c r="I38934" s="50"/>
      <c r="O38934" s="36" t="s">
        <v>48</v>
      </c>
      <c r="R38934" s="36" t="s">
        <v>48</v>
      </c>
    </row>
    <row r="38935">
      <c r="H38935" s="50"/>
      <c r="I38935" s="50"/>
      <c r="O38935" s="36" t="s">
        <v>48</v>
      </c>
      <c r="R38935" s="36" t="s">
        <v>48</v>
      </c>
    </row>
    <row r="38936">
      <c r="H38936" s="50"/>
      <c r="I38936" s="50"/>
      <c r="O38936" s="36" t="s">
        <v>48</v>
      </c>
      <c r="R38936" s="36" t="s">
        <v>48</v>
      </c>
    </row>
    <row r="38937">
      <c r="H38937" s="50"/>
      <c r="I38937" s="50"/>
      <c r="O38937" s="36" t="s">
        <v>48</v>
      </c>
      <c r="R38937" s="36" t="s">
        <v>48</v>
      </c>
    </row>
    <row r="38938">
      <c r="H38938" s="50"/>
      <c r="I38938" s="50"/>
      <c r="O38938" s="36" t="s">
        <v>48</v>
      </c>
      <c r="R38938" s="36" t="s">
        <v>48</v>
      </c>
    </row>
    <row r="38939">
      <c r="H38939" s="50"/>
      <c r="I38939" s="50"/>
      <c r="O38939" s="36" t="s">
        <v>48</v>
      </c>
      <c r="R38939" s="36" t="s">
        <v>48</v>
      </c>
    </row>
    <row r="38940">
      <c r="H38940" s="50"/>
      <c r="I38940" s="50"/>
      <c r="O38940" s="36" t="s">
        <v>48</v>
      </c>
      <c r="R38940" s="36" t="s">
        <v>48</v>
      </c>
    </row>
    <row r="38941">
      <c r="H38941" s="50"/>
      <c r="I38941" s="50"/>
      <c r="O38941" s="36" t="s">
        <v>48</v>
      </c>
      <c r="R38941" s="36" t="s">
        <v>48</v>
      </c>
    </row>
    <row r="38942">
      <c r="H38942" s="50"/>
      <c r="I38942" s="50"/>
      <c r="O38942" s="36" t="s">
        <v>48</v>
      </c>
      <c r="R38942" s="36" t="s">
        <v>48</v>
      </c>
    </row>
    <row r="38943">
      <c r="H38943" s="50"/>
      <c r="I38943" s="50"/>
      <c r="O38943" s="36" t="s">
        <v>48</v>
      </c>
      <c r="R38943" s="36" t="s">
        <v>48</v>
      </c>
    </row>
    <row r="38944">
      <c r="H38944" s="50"/>
      <c r="I38944" s="50"/>
      <c r="O38944" s="36" t="s">
        <v>48</v>
      </c>
      <c r="R38944" s="36" t="s">
        <v>48</v>
      </c>
    </row>
    <row r="38945">
      <c r="H38945" s="50"/>
      <c r="I38945" s="50"/>
      <c r="O38945" s="36" t="s">
        <v>48</v>
      </c>
      <c r="R38945" s="36" t="s">
        <v>48</v>
      </c>
    </row>
    <row r="38946">
      <c r="H38946" s="50"/>
      <c r="I38946" s="50"/>
      <c r="O38946" s="36" t="s">
        <v>48</v>
      </c>
      <c r="R38946" s="36" t="s">
        <v>48</v>
      </c>
    </row>
    <row r="38947">
      <c r="H38947" s="50"/>
      <c r="I38947" s="50"/>
      <c r="O38947" s="36" t="s">
        <v>48</v>
      </c>
      <c r="R38947" s="36" t="s">
        <v>48</v>
      </c>
    </row>
    <row r="38948">
      <c r="H38948" s="50"/>
      <c r="I38948" s="50"/>
      <c r="O38948" s="36" t="s">
        <v>48</v>
      </c>
      <c r="R38948" s="36" t="s">
        <v>48</v>
      </c>
    </row>
    <row r="38949">
      <c r="H38949" s="50"/>
      <c r="I38949" s="50"/>
      <c r="O38949" s="36" t="s">
        <v>48</v>
      </c>
      <c r="R38949" s="36" t="s">
        <v>48</v>
      </c>
    </row>
    <row r="38950">
      <c r="H38950" s="50"/>
      <c r="I38950" s="50"/>
      <c r="O38950" s="36" t="s">
        <v>48</v>
      </c>
      <c r="R38950" s="36" t="s">
        <v>48</v>
      </c>
    </row>
    <row r="38951">
      <c r="H38951" s="50"/>
      <c r="I38951" s="50"/>
      <c r="O38951" s="36" t="s">
        <v>48</v>
      </c>
      <c r="R38951" s="36" t="s">
        <v>48</v>
      </c>
    </row>
    <row r="38952">
      <c r="H38952" s="50"/>
      <c r="I38952" s="50"/>
      <c r="O38952" s="36" t="s">
        <v>48</v>
      </c>
      <c r="R38952" s="36" t="s">
        <v>48</v>
      </c>
    </row>
    <row r="38953">
      <c r="H38953" s="50"/>
      <c r="I38953" s="50"/>
      <c r="O38953" s="36" t="s">
        <v>48</v>
      </c>
      <c r="R38953" s="36" t="s">
        <v>48</v>
      </c>
    </row>
    <row r="38954">
      <c r="H38954" s="50"/>
      <c r="I38954" s="50"/>
      <c r="O38954" s="36" t="s">
        <v>48</v>
      </c>
      <c r="R38954" s="36" t="s">
        <v>48</v>
      </c>
    </row>
    <row r="38955">
      <c r="H38955" s="50"/>
      <c r="I38955" s="50"/>
      <c r="O38955" s="36" t="s">
        <v>48</v>
      </c>
      <c r="R38955" s="36" t="s">
        <v>48</v>
      </c>
    </row>
    <row r="38956">
      <c r="H38956" s="50"/>
      <c r="I38956" s="50"/>
      <c r="O38956" s="36" t="s">
        <v>48</v>
      </c>
      <c r="R38956" s="36" t="s">
        <v>48</v>
      </c>
    </row>
    <row r="38957">
      <c r="H38957" s="50"/>
      <c r="I38957" s="50"/>
      <c r="O38957" s="36" t="s">
        <v>48</v>
      </c>
      <c r="R38957" s="36" t="s">
        <v>48</v>
      </c>
    </row>
    <row r="38958">
      <c r="H38958" s="50"/>
      <c r="I38958" s="50"/>
      <c r="O38958" s="36" t="s">
        <v>48</v>
      </c>
      <c r="R38958" s="36" t="s">
        <v>48</v>
      </c>
    </row>
    <row r="38959">
      <c r="H38959" s="50"/>
      <c r="I38959" s="50"/>
      <c r="O38959" s="36" t="s">
        <v>48</v>
      </c>
      <c r="R38959" s="36" t="s">
        <v>48</v>
      </c>
    </row>
    <row r="38960">
      <c r="H38960" s="50"/>
      <c r="I38960" s="50"/>
      <c r="O38960" s="36" t="s">
        <v>48</v>
      </c>
      <c r="R38960" s="36" t="s">
        <v>48</v>
      </c>
    </row>
    <row r="38961">
      <c r="H38961" s="50"/>
      <c r="I38961" s="50"/>
      <c r="O38961" s="36" t="s">
        <v>48</v>
      </c>
      <c r="R38961" s="36" t="s">
        <v>48</v>
      </c>
    </row>
    <row r="38962">
      <c r="H38962" s="50"/>
      <c r="I38962" s="50"/>
      <c r="O38962" s="36" t="s">
        <v>48</v>
      </c>
      <c r="R38962" s="36" t="s">
        <v>48</v>
      </c>
    </row>
    <row r="38963">
      <c r="H38963" s="50"/>
      <c r="I38963" s="50"/>
      <c r="O38963" s="36" t="s">
        <v>48</v>
      </c>
      <c r="R38963" s="36" t="s">
        <v>48</v>
      </c>
    </row>
    <row r="38964">
      <c r="H38964" s="50"/>
      <c r="I38964" s="50"/>
      <c r="O38964" s="36" t="s">
        <v>48</v>
      </c>
      <c r="R38964" s="36" t="s">
        <v>48</v>
      </c>
    </row>
    <row r="38965">
      <c r="H38965" s="50"/>
      <c r="I38965" s="50"/>
      <c r="O38965" s="36" t="s">
        <v>48</v>
      </c>
      <c r="R38965" s="36" t="s">
        <v>48</v>
      </c>
    </row>
    <row r="38966">
      <c r="H38966" s="50"/>
      <c r="I38966" s="50"/>
      <c r="O38966" s="36" t="s">
        <v>48</v>
      </c>
      <c r="R38966" s="36" t="s">
        <v>48</v>
      </c>
    </row>
    <row r="38967">
      <c r="H38967" s="50"/>
      <c r="I38967" s="50"/>
      <c r="O38967" s="36" t="s">
        <v>48</v>
      </c>
      <c r="R38967" s="36" t="s">
        <v>48</v>
      </c>
    </row>
    <row r="38968">
      <c r="H38968" s="50"/>
      <c r="I38968" s="50"/>
      <c r="O38968" s="36" t="s">
        <v>48</v>
      </c>
      <c r="R38968" s="36" t="s">
        <v>48</v>
      </c>
    </row>
    <row r="38969">
      <c r="H38969" s="50"/>
      <c r="I38969" s="50"/>
      <c r="O38969" s="36" t="s">
        <v>48</v>
      </c>
      <c r="R38969" s="36" t="s">
        <v>48</v>
      </c>
    </row>
    <row r="38970">
      <c r="H38970" s="50"/>
      <c r="I38970" s="50"/>
      <c r="O38970" s="36" t="s">
        <v>48</v>
      </c>
      <c r="R38970" s="36" t="s">
        <v>48</v>
      </c>
    </row>
    <row r="38971">
      <c r="H38971" s="50"/>
      <c r="I38971" s="50"/>
      <c r="O38971" s="36" t="s">
        <v>48</v>
      </c>
      <c r="R38971" s="36" t="s">
        <v>48</v>
      </c>
    </row>
    <row r="38972">
      <c r="H38972" s="50"/>
      <c r="I38972" s="50"/>
      <c r="O38972" s="36" t="s">
        <v>48</v>
      </c>
      <c r="R38972" s="36" t="s">
        <v>48</v>
      </c>
    </row>
    <row r="38973">
      <c r="H38973" s="50"/>
      <c r="I38973" s="50"/>
      <c r="O38973" s="36" t="s">
        <v>48</v>
      </c>
      <c r="R38973" s="36" t="s">
        <v>48</v>
      </c>
    </row>
    <row r="38974">
      <c r="H38974" s="50"/>
      <c r="I38974" s="50"/>
      <c r="O38974" s="36" t="s">
        <v>48</v>
      </c>
      <c r="R38974" s="36" t="s">
        <v>48</v>
      </c>
    </row>
    <row r="38975">
      <c r="H38975" s="50"/>
      <c r="I38975" s="50"/>
      <c r="O38975" s="36" t="s">
        <v>48</v>
      </c>
      <c r="R38975" s="36" t="s">
        <v>48</v>
      </c>
    </row>
    <row r="38976">
      <c r="H38976" s="50"/>
      <c r="I38976" s="50"/>
      <c r="O38976" s="36" t="s">
        <v>48</v>
      </c>
      <c r="R38976" s="36" t="s">
        <v>48</v>
      </c>
    </row>
    <row r="38977">
      <c r="H38977" s="50"/>
      <c r="I38977" s="50"/>
      <c r="O38977" s="36" t="s">
        <v>48</v>
      </c>
      <c r="R38977" s="36" t="s">
        <v>48</v>
      </c>
    </row>
    <row r="38978">
      <c r="H38978" s="50"/>
      <c r="I38978" s="50"/>
      <c r="O38978" s="36" t="s">
        <v>48</v>
      </c>
      <c r="R38978" s="36" t="s">
        <v>48</v>
      </c>
    </row>
    <row r="38979">
      <c r="H38979" s="50"/>
      <c r="I38979" s="50"/>
      <c r="O38979" s="36" t="s">
        <v>48</v>
      </c>
      <c r="R38979" s="36" t="s">
        <v>48</v>
      </c>
    </row>
    <row r="38980">
      <c r="H38980" s="50"/>
      <c r="I38980" s="50"/>
      <c r="O38980" s="36" t="s">
        <v>48</v>
      </c>
      <c r="R38980" s="36" t="s">
        <v>48</v>
      </c>
    </row>
    <row r="38981">
      <c r="H38981" s="50"/>
      <c r="I38981" s="50"/>
      <c r="O38981" s="36" t="s">
        <v>48</v>
      </c>
      <c r="R38981" s="36" t="s">
        <v>48</v>
      </c>
    </row>
    <row r="38982">
      <c r="H38982" s="50"/>
      <c r="I38982" s="50"/>
      <c r="O38982" s="36" t="s">
        <v>48</v>
      </c>
      <c r="R38982" s="36" t="s">
        <v>48</v>
      </c>
    </row>
    <row r="38983">
      <c r="H38983" s="50"/>
      <c r="I38983" s="50"/>
      <c r="O38983" s="36" t="s">
        <v>48</v>
      </c>
      <c r="R38983" s="36" t="s">
        <v>48</v>
      </c>
    </row>
    <row r="38984">
      <c r="H38984" s="50"/>
      <c r="I38984" s="50"/>
      <c r="O38984" s="36" t="s">
        <v>48</v>
      </c>
      <c r="R38984" s="36" t="s">
        <v>48</v>
      </c>
    </row>
    <row r="38985">
      <c r="H38985" s="50"/>
      <c r="I38985" s="50"/>
      <c r="O38985" s="36" t="s">
        <v>48</v>
      </c>
      <c r="R38985" s="36" t="s">
        <v>48</v>
      </c>
    </row>
    <row r="38986">
      <c r="H38986" s="50"/>
      <c r="I38986" s="50"/>
      <c r="O38986" s="36" t="s">
        <v>48</v>
      </c>
      <c r="R38986" s="36" t="s">
        <v>48</v>
      </c>
    </row>
    <row r="38987">
      <c r="H38987" s="50"/>
      <c r="I38987" s="50"/>
      <c r="O38987" s="36" t="s">
        <v>48</v>
      </c>
      <c r="R38987" s="36" t="s">
        <v>48</v>
      </c>
    </row>
    <row r="38988">
      <c r="H38988" s="50"/>
      <c r="I38988" s="50"/>
      <c r="O38988" s="36" t="s">
        <v>48</v>
      </c>
      <c r="R38988" s="36" t="s">
        <v>48</v>
      </c>
    </row>
    <row r="38989">
      <c r="H38989" s="50"/>
      <c r="I38989" s="50"/>
      <c r="O38989" s="36" t="s">
        <v>48</v>
      </c>
      <c r="R38989" s="36" t="s">
        <v>48</v>
      </c>
    </row>
    <row r="38990">
      <c r="H38990" s="50"/>
      <c r="I38990" s="50"/>
      <c r="O38990" s="36" t="s">
        <v>48</v>
      </c>
      <c r="R38990" s="36" t="s">
        <v>48</v>
      </c>
    </row>
    <row r="38991">
      <c r="H38991" s="50"/>
      <c r="I38991" s="50"/>
      <c r="O38991" s="36" t="s">
        <v>48</v>
      </c>
      <c r="R38991" s="36" t="s">
        <v>48</v>
      </c>
    </row>
    <row r="38992">
      <c r="H38992" s="50"/>
      <c r="I38992" s="50"/>
      <c r="O38992" s="36" t="s">
        <v>48</v>
      </c>
      <c r="R38992" s="36" t="s">
        <v>48</v>
      </c>
    </row>
    <row r="38993">
      <c r="H38993" s="50"/>
      <c r="I38993" s="50"/>
      <c r="O38993" s="36" t="s">
        <v>48</v>
      </c>
      <c r="R38993" s="36" t="s">
        <v>48</v>
      </c>
    </row>
    <row r="38994">
      <c r="H38994" s="50"/>
      <c r="I38994" s="50"/>
      <c r="O38994" s="36" t="s">
        <v>48</v>
      </c>
      <c r="R38994" s="36" t="s">
        <v>48</v>
      </c>
    </row>
    <row r="38995">
      <c r="H38995" s="50"/>
      <c r="I38995" s="50"/>
      <c r="O38995" s="36" t="s">
        <v>48</v>
      </c>
      <c r="R38995" s="36" t="s">
        <v>48</v>
      </c>
    </row>
    <row r="38996">
      <c r="H38996" s="50"/>
      <c r="I38996" s="50"/>
      <c r="O38996" s="36" t="s">
        <v>48</v>
      </c>
      <c r="R38996" s="36" t="s">
        <v>48</v>
      </c>
    </row>
    <row r="38997">
      <c r="H38997" s="50"/>
      <c r="I38997" s="50"/>
      <c r="O38997" s="36" t="s">
        <v>48</v>
      </c>
      <c r="R38997" s="36" t="s">
        <v>48</v>
      </c>
    </row>
    <row r="38998">
      <c r="H38998" s="50"/>
      <c r="I38998" s="50"/>
      <c r="O38998" s="36" t="s">
        <v>48</v>
      </c>
      <c r="R38998" s="36" t="s">
        <v>48</v>
      </c>
    </row>
    <row r="38999">
      <c r="H38999" s="50"/>
      <c r="I38999" s="50"/>
      <c r="O38999" s="36" t="s">
        <v>48</v>
      </c>
      <c r="R38999" s="36" t="s">
        <v>48</v>
      </c>
    </row>
    <row r="39000">
      <c r="H39000" s="50"/>
      <c r="I39000" s="50"/>
      <c r="O39000" s="36" t="s">
        <v>48</v>
      </c>
      <c r="R39000" s="36" t="s">
        <v>48</v>
      </c>
    </row>
    <row r="39001">
      <c r="H39001" s="50"/>
      <c r="I39001" s="50"/>
      <c r="O39001" s="36" t="s">
        <v>48</v>
      </c>
      <c r="R39001" s="36" t="s">
        <v>48</v>
      </c>
    </row>
    <row r="39002">
      <c r="H39002" s="50"/>
      <c r="I39002" s="50"/>
      <c r="O39002" s="36" t="s">
        <v>48</v>
      </c>
      <c r="R39002" s="36" t="s">
        <v>48</v>
      </c>
    </row>
    <row r="39003">
      <c r="H39003" s="50"/>
      <c r="I39003" s="50"/>
      <c r="O39003" s="36" t="s">
        <v>48</v>
      </c>
      <c r="R39003" s="36" t="s">
        <v>48</v>
      </c>
    </row>
    <row r="39004">
      <c r="H39004" s="50"/>
      <c r="I39004" s="50"/>
      <c r="O39004" s="36" t="s">
        <v>48</v>
      </c>
      <c r="R39004" s="36" t="s">
        <v>48</v>
      </c>
    </row>
    <row r="39005">
      <c r="H39005" s="50"/>
      <c r="I39005" s="50"/>
      <c r="O39005" s="36" t="s">
        <v>48</v>
      </c>
      <c r="R39005" s="36" t="s">
        <v>48</v>
      </c>
    </row>
    <row r="39006">
      <c r="H39006" s="50"/>
      <c r="I39006" s="50"/>
      <c r="O39006" s="36" t="s">
        <v>48</v>
      </c>
      <c r="R39006" s="36" t="s">
        <v>48</v>
      </c>
    </row>
    <row r="39007">
      <c r="H39007" s="50"/>
      <c r="I39007" s="50"/>
      <c r="O39007" s="36" t="s">
        <v>48</v>
      </c>
      <c r="R39007" s="36" t="s">
        <v>48</v>
      </c>
    </row>
    <row r="39008">
      <c r="H39008" s="50"/>
      <c r="I39008" s="50"/>
      <c r="O39008" s="36" t="s">
        <v>48</v>
      </c>
      <c r="R39008" s="36" t="s">
        <v>48</v>
      </c>
    </row>
    <row r="39009">
      <c r="H39009" s="50"/>
      <c r="I39009" s="50"/>
      <c r="O39009" s="36" t="s">
        <v>48</v>
      </c>
      <c r="R39009" s="36" t="s">
        <v>48</v>
      </c>
    </row>
    <row r="39010">
      <c r="H39010" s="50"/>
      <c r="I39010" s="50"/>
      <c r="O39010" s="36" t="s">
        <v>48</v>
      </c>
      <c r="R39010" s="36" t="s">
        <v>48</v>
      </c>
    </row>
    <row r="39011">
      <c r="H39011" s="50"/>
      <c r="I39011" s="50"/>
      <c r="O39011" s="36" t="s">
        <v>48</v>
      </c>
      <c r="R39011" s="36" t="s">
        <v>48</v>
      </c>
    </row>
    <row r="39012">
      <c r="H39012" s="50"/>
      <c r="I39012" s="50"/>
      <c r="O39012" s="36" t="s">
        <v>48</v>
      </c>
      <c r="R39012" s="36" t="s">
        <v>48</v>
      </c>
    </row>
    <row r="39013">
      <c r="H39013" s="50"/>
      <c r="I39013" s="50"/>
      <c r="O39013" s="36" t="s">
        <v>48</v>
      </c>
      <c r="R39013" s="36" t="s">
        <v>48</v>
      </c>
    </row>
    <row r="39014">
      <c r="H39014" s="50"/>
      <c r="I39014" s="50"/>
      <c r="O39014" s="36" t="s">
        <v>48</v>
      </c>
      <c r="R39014" s="36" t="s">
        <v>48</v>
      </c>
    </row>
    <row r="39015">
      <c r="H39015" s="50"/>
      <c r="I39015" s="50"/>
      <c r="O39015" s="36" t="s">
        <v>48</v>
      </c>
      <c r="R39015" s="36" t="s">
        <v>48</v>
      </c>
    </row>
    <row r="39016">
      <c r="H39016" s="50"/>
      <c r="I39016" s="50"/>
      <c r="O39016" s="36" t="s">
        <v>48</v>
      </c>
      <c r="R39016" s="36" t="s">
        <v>48</v>
      </c>
    </row>
    <row r="39017">
      <c r="H39017" s="50"/>
      <c r="I39017" s="50"/>
      <c r="O39017" s="36" t="s">
        <v>48</v>
      </c>
      <c r="R39017" s="36" t="s">
        <v>48</v>
      </c>
    </row>
    <row r="39018">
      <c r="H39018" s="50"/>
      <c r="I39018" s="50"/>
      <c r="O39018" s="36" t="s">
        <v>48</v>
      </c>
      <c r="R39018" s="36" t="s">
        <v>48</v>
      </c>
    </row>
    <row r="39019">
      <c r="H39019" s="50"/>
      <c r="I39019" s="50"/>
      <c r="O39019" s="36" t="s">
        <v>48</v>
      </c>
      <c r="R39019" s="36" t="s">
        <v>48</v>
      </c>
    </row>
    <row r="39020">
      <c r="H39020" s="50"/>
      <c r="I39020" s="50"/>
      <c r="O39020" s="36" t="s">
        <v>48</v>
      </c>
      <c r="R39020" s="36" t="s">
        <v>48</v>
      </c>
    </row>
    <row r="39021">
      <c r="H39021" s="50"/>
      <c r="I39021" s="50"/>
      <c r="O39021" s="36" t="s">
        <v>48</v>
      </c>
      <c r="R39021" s="36" t="s">
        <v>48</v>
      </c>
    </row>
    <row r="39022">
      <c r="H39022" s="50"/>
      <c r="I39022" s="50"/>
      <c r="O39022" s="36" t="s">
        <v>48</v>
      </c>
      <c r="R39022" s="36" t="s">
        <v>48</v>
      </c>
    </row>
    <row r="39023">
      <c r="H39023" s="50"/>
      <c r="I39023" s="50"/>
      <c r="O39023" s="36" t="s">
        <v>48</v>
      </c>
      <c r="R39023" s="36" t="s">
        <v>48</v>
      </c>
    </row>
    <row r="39024">
      <c r="H39024" s="50"/>
      <c r="I39024" s="50"/>
      <c r="O39024" s="36" t="s">
        <v>48</v>
      </c>
      <c r="R39024" s="36" t="s">
        <v>48</v>
      </c>
    </row>
    <row r="39025">
      <c r="H39025" s="50"/>
      <c r="I39025" s="50"/>
      <c r="O39025" s="36" t="s">
        <v>48</v>
      </c>
      <c r="R39025" s="36" t="s">
        <v>48</v>
      </c>
    </row>
    <row r="39026">
      <c r="H39026" s="50"/>
      <c r="I39026" s="50"/>
      <c r="O39026" s="36" t="s">
        <v>48</v>
      </c>
      <c r="R39026" s="36" t="s">
        <v>48</v>
      </c>
    </row>
    <row r="39027">
      <c r="H39027" s="50"/>
      <c r="I39027" s="50"/>
      <c r="O39027" s="36" t="s">
        <v>48</v>
      </c>
      <c r="R39027" s="36" t="s">
        <v>48</v>
      </c>
    </row>
    <row r="39028">
      <c r="H39028" s="50"/>
      <c r="I39028" s="50"/>
      <c r="O39028" s="36" t="s">
        <v>48</v>
      </c>
      <c r="R39028" s="36" t="s">
        <v>48</v>
      </c>
    </row>
    <row r="39029">
      <c r="H39029" s="50"/>
      <c r="I39029" s="50"/>
      <c r="O39029" s="36" t="s">
        <v>48</v>
      </c>
      <c r="R39029" s="36" t="s">
        <v>48</v>
      </c>
    </row>
    <row r="39030">
      <c r="H39030" s="50"/>
      <c r="I39030" s="50"/>
      <c r="O39030" s="36" t="s">
        <v>48</v>
      </c>
      <c r="R39030" s="36" t="s">
        <v>48</v>
      </c>
    </row>
    <row r="39031">
      <c r="H39031" s="50"/>
      <c r="I39031" s="50"/>
      <c r="O39031" s="36" t="s">
        <v>48</v>
      </c>
      <c r="R39031" s="36" t="s">
        <v>48</v>
      </c>
    </row>
    <row r="39032">
      <c r="H39032" s="50"/>
      <c r="I39032" s="50"/>
      <c r="O39032" s="36" t="s">
        <v>48</v>
      </c>
      <c r="R39032" s="36" t="s">
        <v>48</v>
      </c>
    </row>
    <row r="39033">
      <c r="H39033" s="50"/>
      <c r="I39033" s="50"/>
      <c r="O39033" s="36" t="s">
        <v>48</v>
      </c>
      <c r="R39033" s="36" t="s">
        <v>48</v>
      </c>
    </row>
    <row r="39034">
      <c r="H39034" s="50"/>
      <c r="I39034" s="50"/>
      <c r="O39034" s="36" t="s">
        <v>48</v>
      </c>
      <c r="R39034" s="36" t="s">
        <v>48</v>
      </c>
    </row>
    <row r="39035">
      <c r="H39035" s="50"/>
      <c r="I39035" s="50"/>
      <c r="O39035" s="36" t="s">
        <v>48</v>
      </c>
      <c r="R39035" s="36" t="s">
        <v>48</v>
      </c>
    </row>
    <row r="39036">
      <c r="H39036" s="50"/>
      <c r="I39036" s="50"/>
      <c r="O39036" s="36" t="s">
        <v>48</v>
      </c>
      <c r="R39036" s="36" t="s">
        <v>48</v>
      </c>
    </row>
    <row r="39037">
      <c r="H39037" s="50"/>
      <c r="I39037" s="50"/>
      <c r="O39037" s="36" t="s">
        <v>48</v>
      </c>
      <c r="R39037" s="36" t="s">
        <v>48</v>
      </c>
    </row>
    <row r="39038">
      <c r="H39038" s="50"/>
      <c r="I39038" s="50"/>
      <c r="O39038" s="36" t="s">
        <v>48</v>
      </c>
      <c r="R39038" s="36" t="s">
        <v>48</v>
      </c>
    </row>
    <row r="39039">
      <c r="H39039" s="50"/>
      <c r="I39039" s="50"/>
      <c r="O39039" s="36" t="s">
        <v>48</v>
      </c>
      <c r="R39039" s="36" t="s">
        <v>48</v>
      </c>
    </row>
    <row r="39040">
      <c r="H39040" s="50"/>
      <c r="I39040" s="50"/>
      <c r="O39040" s="36" t="s">
        <v>48</v>
      </c>
      <c r="R39040" s="36" t="s">
        <v>48</v>
      </c>
    </row>
    <row r="39041">
      <c r="H39041" s="50"/>
      <c r="I39041" s="50"/>
      <c r="O39041" s="36" t="s">
        <v>48</v>
      </c>
      <c r="R39041" s="36" t="s">
        <v>48</v>
      </c>
    </row>
    <row r="39042">
      <c r="H39042" s="50"/>
      <c r="I39042" s="50"/>
      <c r="O39042" s="36" t="s">
        <v>48</v>
      </c>
      <c r="R39042" s="36" t="s">
        <v>48</v>
      </c>
    </row>
    <row r="39043">
      <c r="H39043" s="50"/>
      <c r="I39043" s="50"/>
      <c r="O39043" s="36" t="s">
        <v>48</v>
      </c>
      <c r="R39043" s="36" t="s">
        <v>48</v>
      </c>
    </row>
    <row r="39044">
      <c r="H39044" s="50"/>
      <c r="I39044" s="50"/>
      <c r="O39044" s="36" t="s">
        <v>48</v>
      </c>
      <c r="R39044" s="36" t="s">
        <v>48</v>
      </c>
    </row>
    <row r="39045">
      <c r="H39045" s="50"/>
      <c r="I39045" s="50"/>
      <c r="O39045" s="36" t="s">
        <v>48</v>
      </c>
      <c r="R39045" s="36" t="s">
        <v>48</v>
      </c>
    </row>
    <row r="39046">
      <c r="H39046" s="50"/>
      <c r="I39046" s="50"/>
      <c r="O39046" s="36" t="s">
        <v>48</v>
      </c>
      <c r="R39046" s="36" t="s">
        <v>48</v>
      </c>
    </row>
    <row r="39047">
      <c r="H39047" s="50"/>
      <c r="I39047" s="50"/>
      <c r="O39047" s="36" t="s">
        <v>48</v>
      </c>
      <c r="R39047" s="36" t="s">
        <v>48</v>
      </c>
    </row>
    <row r="39048">
      <c r="H39048" s="50"/>
      <c r="I39048" s="50"/>
      <c r="O39048" s="36" t="s">
        <v>48</v>
      </c>
      <c r="R39048" s="36" t="s">
        <v>48</v>
      </c>
    </row>
    <row r="39049">
      <c r="H39049" s="50"/>
      <c r="I39049" s="50"/>
      <c r="O39049" s="36" t="s">
        <v>48</v>
      </c>
      <c r="R39049" s="36" t="s">
        <v>48</v>
      </c>
    </row>
    <row r="39050">
      <c r="H39050" s="50"/>
      <c r="I39050" s="50"/>
      <c r="O39050" s="36" t="s">
        <v>48</v>
      </c>
      <c r="R39050" s="36" t="s">
        <v>48</v>
      </c>
    </row>
    <row r="39051">
      <c r="H39051" s="50"/>
      <c r="I39051" s="50"/>
      <c r="O39051" s="36" t="s">
        <v>48</v>
      </c>
      <c r="R39051" s="36" t="s">
        <v>48</v>
      </c>
    </row>
    <row r="39052">
      <c r="H39052" s="50"/>
      <c r="I39052" s="50"/>
      <c r="O39052" s="36" t="s">
        <v>48</v>
      </c>
      <c r="R39052" s="36" t="s">
        <v>48</v>
      </c>
    </row>
    <row r="39053">
      <c r="H39053" s="50"/>
      <c r="I39053" s="50"/>
      <c r="O39053" s="36" t="s">
        <v>48</v>
      </c>
      <c r="R39053" s="36" t="s">
        <v>48</v>
      </c>
    </row>
    <row r="39054">
      <c r="H39054" s="50"/>
      <c r="I39054" s="50"/>
      <c r="O39054" s="36" t="s">
        <v>48</v>
      </c>
      <c r="R39054" s="36" t="s">
        <v>48</v>
      </c>
    </row>
    <row r="39055">
      <c r="H39055" s="50"/>
      <c r="I39055" s="50"/>
      <c r="O39055" s="36" t="s">
        <v>48</v>
      </c>
      <c r="R39055" s="36" t="s">
        <v>48</v>
      </c>
    </row>
    <row r="39056">
      <c r="H39056" s="50"/>
      <c r="I39056" s="50"/>
      <c r="O39056" s="36" t="s">
        <v>48</v>
      </c>
      <c r="R39056" s="36" t="s">
        <v>48</v>
      </c>
    </row>
    <row r="39057">
      <c r="H39057" s="50"/>
      <c r="I39057" s="50"/>
      <c r="O39057" s="36" t="s">
        <v>48</v>
      </c>
      <c r="R39057" s="36" t="s">
        <v>48</v>
      </c>
    </row>
    <row r="39058">
      <c r="H39058" s="50"/>
      <c r="I39058" s="50"/>
      <c r="O39058" s="36" t="s">
        <v>48</v>
      </c>
      <c r="R39058" s="36" t="s">
        <v>48</v>
      </c>
    </row>
    <row r="39059">
      <c r="H39059" s="50"/>
      <c r="I39059" s="50"/>
      <c r="O39059" s="36" t="s">
        <v>48</v>
      </c>
      <c r="R39059" s="36" t="s">
        <v>48</v>
      </c>
    </row>
    <row r="39060">
      <c r="H39060" s="50"/>
      <c r="I39060" s="50"/>
      <c r="O39060" s="36" t="s">
        <v>48</v>
      </c>
      <c r="R39060" s="36" t="s">
        <v>48</v>
      </c>
    </row>
    <row r="39061">
      <c r="H39061" s="50"/>
      <c r="I39061" s="50"/>
      <c r="O39061" s="36" t="s">
        <v>48</v>
      </c>
      <c r="R39061" s="36" t="s">
        <v>48</v>
      </c>
    </row>
    <row r="39062">
      <c r="H39062" s="50"/>
      <c r="I39062" s="50"/>
      <c r="O39062" s="36" t="s">
        <v>48</v>
      </c>
      <c r="R39062" s="36" t="s">
        <v>48</v>
      </c>
    </row>
    <row r="39063">
      <c r="H39063" s="50"/>
      <c r="I39063" s="50"/>
      <c r="O39063" s="36" t="s">
        <v>48</v>
      </c>
      <c r="R39063" s="36" t="s">
        <v>48</v>
      </c>
    </row>
    <row r="39064">
      <c r="H39064" s="50"/>
      <c r="I39064" s="50"/>
      <c r="O39064" s="36" t="s">
        <v>48</v>
      </c>
      <c r="R39064" s="36" t="s">
        <v>48</v>
      </c>
    </row>
    <row r="39065">
      <c r="H39065" s="50"/>
      <c r="I39065" s="50"/>
      <c r="O39065" s="36" t="s">
        <v>48</v>
      </c>
      <c r="R39065" s="36" t="s">
        <v>48</v>
      </c>
    </row>
    <row r="39066">
      <c r="H39066" s="50"/>
      <c r="I39066" s="50"/>
      <c r="O39066" s="36" t="s">
        <v>48</v>
      </c>
      <c r="R39066" s="36" t="s">
        <v>48</v>
      </c>
    </row>
    <row r="39067">
      <c r="H39067" s="50"/>
      <c r="I39067" s="50"/>
      <c r="O39067" s="36" t="s">
        <v>48</v>
      </c>
      <c r="R39067" s="36" t="s">
        <v>48</v>
      </c>
    </row>
    <row r="39068">
      <c r="H39068" s="50"/>
      <c r="I39068" s="50"/>
      <c r="O39068" s="36" t="s">
        <v>48</v>
      </c>
      <c r="R39068" s="36" t="s">
        <v>48</v>
      </c>
    </row>
    <row r="39069">
      <c r="H39069" s="50"/>
      <c r="I39069" s="50"/>
      <c r="O39069" s="36" t="s">
        <v>48</v>
      </c>
      <c r="R39069" s="36" t="s">
        <v>48</v>
      </c>
    </row>
    <row r="39070">
      <c r="H39070" s="50"/>
      <c r="I39070" s="50"/>
      <c r="O39070" s="36" t="s">
        <v>48</v>
      </c>
      <c r="R39070" s="36" t="s">
        <v>48</v>
      </c>
    </row>
    <row r="39071">
      <c r="H39071" s="50"/>
      <c r="I39071" s="50"/>
      <c r="O39071" s="36" t="s">
        <v>48</v>
      </c>
      <c r="R39071" s="36" t="s">
        <v>48</v>
      </c>
    </row>
    <row r="39072">
      <c r="H39072" s="50"/>
      <c r="I39072" s="50"/>
      <c r="O39072" s="36" t="s">
        <v>48</v>
      </c>
      <c r="R39072" s="36" t="s">
        <v>48</v>
      </c>
    </row>
    <row r="39073">
      <c r="H39073" s="50"/>
      <c r="I39073" s="50"/>
      <c r="O39073" s="36" t="s">
        <v>48</v>
      </c>
      <c r="R39073" s="36" t="s">
        <v>48</v>
      </c>
    </row>
    <row r="39074">
      <c r="H39074" s="50"/>
      <c r="I39074" s="50"/>
      <c r="O39074" s="36" t="s">
        <v>48</v>
      </c>
      <c r="R39074" s="36" t="s">
        <v>48</v>
      </c>
    </row>
    <row r="39075">
      <c r="H39075" s="50"/>
      <c r="I39075" s="50"/>
      <c r="O39075" s="36" t="s">
        <v>48</v>
      </c>
      <c r="R39075" s="36" t="s">
        <v>48</v>
      </c>
    </row>
    <row r="39076">
      <c r="H39076" s="50"/>
      <c r="I39076" s="50"/>
      <c r="O39076" s="36" t="s">
        <v>48</v>
      </c>
      <c r="R39076" s="36" t="s">
        <v>48</v>
      </c>
    </row>
    <row r="39077">
      <c r="H39077" s="50"/>
      <c r="I39077" s="50"/>
      <c r="O39077" s="36" t="s">
        <v>48</v>
      </c>
      <c r="R39077" s="36" t="s">
        <v>48</v>
      </c>
    </row>
    <row r="39078">
      <c r="H39078" s="50"/>
      <c r="I39078" s="50"/>
      <c r="O39078" s="36" t="s">
        <v>48</v>
      </c>
      <c r="R39078" s="36" t="s">
        <v>48</v>
      </c>
    </row>
    <row r="39079">
      <c r="H39079" s="50"/>
      <c r="I39079" s="50"/>
      <c r="O39079" s="36" t="s">
        <v>48</v>
      </c>
      <c r="R39079" s="36" t="s">
        <v>48</v>
      </c>
    </row>
    <row r="39080">
      <c r="H39080" s="50"/>
      <c r="I39080" s="50"/>
      <c r="O39080" s="36" t="s">
        <v>48</v>
      </c>
      <c r="R39080" s="36" t="s">
        <v>48</v>
      </c>
    </row>
    <row r="39081">
      <c r="H39081" s="50"/>
      <c r="I39081" s="50"/>
      <c r="O39081" s="36" t="s">
        <v>48</v>
      </c>
      <c r="R39081" s="36" t="s">
        <v>48</v>
      </c>
    </row>
    <row r="39082">
      <c r="H39082" s="50"/>
      <c r="I39082" s="50"/>
      <c r="O39082" s="36" t="s">
        <v>48</v>
      </c>
      <c r="R39082" s="36" t="s">
        <v>48</v>
      </c>
    </row>
    <row r="39083">
      <c r="H39083" s="50"/>
      <c r="I39083" s="50"/>
      <c r="O39083" s="36" t="s">
        <v>48</v>
      </c>
      <c r="R39083" s="36" t="s">
        <v>48</v>
      </c>
    </row>
    <row r="39084">
      <c r="H39084" s="50"/>
      <c r="I39084" s="50"/>
      <c r="O39084" s="36" t="s">
        <v>48</v>
      </c>
      <c r="R39084" s="36" t="s">
        <v>48</v>
      </c>
    </row>
    <row r="39085">
      <c r="H39085" s="50"/>
      <c r="I39085" s="50"/>
      <c r="O39085" s="36" t="s">
        <v>48</v>
      </c>
      <c r="R39085" s="36" t="s">
        <v>48</v>
      </c>
    </row>
    <row r="39086">
      <c r="H39086" s="50"/>
      <c r="I39086" s="50"/>
      <c r="O39086" s="36" t="s">
        <v>48</v>
      </c>
      <c r="R39086" s="36" t="s">
        <v>48</v>
      </c>
    </row>
    <row r="39087">
      <c r="H39087" s="50"/>
      <c r="I39087" s="50"/>
      <c r="O39087" s="36" t="s">
        <v>48</v>
      </c>
      <c r="R39087" s="36" t="s">
        <v>48</v>
      </c>
    </row>
    <row r="39088">
      <c r="H39088" s="50"/>
      <c r="I39088" s="50"/>
      <c r="O39088" s="36" t="s">
        <v>48</v>
      </c>
      <c r="R39088" s="36" t="s">
        <v>48</v>
      </c>
    </row>
    <row r="39089">
      <c r="H39089" s="50"/>
      <c r="I39089" s="50"/>
      <c r="O39089" s="36" t="s">
        <v>48</v>
      </c>
      <c r="R39089" s="36" t="s">
        <v>48</v>
      </c>
    </row>
    <row r="39090">
      <c r="H39090" s="50"/>
      <c r="I39090" s="50"/>
      <c r="O39090" s="36" t="s">
        <v>48</v>
      </c>
      <c r="R39090" s="36" t="s">
        <v>48</v>
      </c>
    </row>
    <row r="39091">
      <c r="H39091" s="50"/>
      <c r="I39091" s="50"/>
      <c r="O39091" s="36" t="s">
        <v>48</v>
      </c>
      <c r="R39091" s="36" t="s">
        <v>48</v>
      </c>
    </row>
    <row r="39092">
      <c r="H39092" s="50"/>
      <c r="I39092" s="50"/>
      <c r="O39092" s="36" t="s">
        <v>48</v>
      </c>
      <c r="R39092" s="36" t="s">
        <v>48</v>
      </c>
    </row>
    <row r="39093">
      <c r="H39093" s="50"/>
      <c r="I39093" s="50"/>
      <c r="O39093" s="36" t="s">
        <v>48</v>
      </c>
      <c r="R39093" s="36" t="s">
        <v>48</v>
      </c>
    </row>
    <row r="39094">
      <c r="H39094" s="50"/>
      <c r="I39094" s="50"/>
      <c r="O39094" s="36" t="s">
        <v>48</v>
      </c>
      <c r="R39094" s="36" t="s">
        <v>48</v>
      </c>
    </row>
    <row r="39095">
      <c r="H39095" s="50"/>
      <c r="I39095" s="50"/>
      <c r="O39095" s="36" t="s">
        <v>48</v>
      </c>
      <c r="R39095" s="36" t="s">
        <v>48</v>
      </c>
    </row>
    <row r="39096">
      <c r="H39096" s="50"/>
      <c r="I39096" s="50"/>
      <c r="O39096" s="36" t="s">
        <v>48</v>
      </c>
      <c r="R39096" s="36" t="s">
        <v>48</v>
      </c>
    </row>
    <row r="39097">
      <c r="H39097" s="50"/>
      <c r="I39097" s="50"/>
      <c r="O39097" s="36" t="s">
        <v>48</v>
      </c>
      <c r="R39097" s="36" t="s">
        <v>48</v>
      </c>
    </row>
    <row r="39098">
      <c r="H39098" s="50"/>
      <c r="I39098" s="50"/>
      <c r="O39098" s="36" t="s">
        <v>48</v>
      </c>
      <c r="R39098" s="36" t="s">
        <v>48</v>
      </c>
    </row>
    <row r="39099">
      <c r="H39099" s="50"/>
      <c r="I39099" s="50"/>
      <c r="O39099" s="36" t="s">
        <v>48</v>
      </c>
      <c r="R39099" s="36" t="s">
        <v>48</v>
      </c>
    </row>
    <row r="39100">
      <c r="H39100" s="50"/>
      <c r="I39100" s="50"/>
      <c r="O39100" s="36" t="s">
        <v>48</v>
      </c>
      <c r="R39100" s="36" t="s">
        <v>48</v>
      </c>
    </row>
    <row r="39101">
      <c r="H39101" s="50"/>
      <c r="I39101" s="50"/>
      <c r="O39101" s="36" t="s">
        <v>48</v>
      </c>
      <c r="R39101" s="36" t="s">
        <v>48</v>
      </c>
    </row>
    <row r="39102">
      <c r="H39102" s="50"/>
      <c r="I39102" s="50"/>
      <c r="O39102" s="36" t="s">
        <v>48</v>
      </c>
      <c r="R39102" s="36" t="s">
        <v>48</v>
      </c>
    </row>
    <row r="39103">
      <c r="H39103" s="50"/>
      <c r="I39103" s="50"/>
      <c r="O39103" s="36" t="s">
        <v>48</v>
      </c>
      <c r="R39103" s="36" t="s">
        <v>48</v>
      </c>
    </row>
    <row r="39104">
      <c r="H39104" s="50"/>
      <c r="I39104" s="50"/>
      <c r="O39104" s="36" t="s">
        <v>48</v>
      </c>
      <c r="R39104" s="36" t="s">
        <v>48</v>
      </c>
    </row>
    <row r="39105">
      <c r="H39105" s="50"/>
      <c r="I39105" s="50"/>
      <c r="O39105" s="36" t="s">
        <v>48</v>
      </c>
      <c r="R39105" s="36" t="s">
        <v>48</v>
      </c>
    </row>
    <row r="39106">
      <c r="H39106" s="50"/>
      <c r="I39106" s="50"/>
      <c r="O39106" s="36" t="s">
        <v>48</v>
      </c>
      <c r="R39106" s="36" t="s">
        <v>48</v>
      </c>
    </row>
    <row r="39107">
      <c r="H39107" s="50"/>
      <c r="I39107" s="50"/>
      <c r="O39107" s="36" t="s">
        <v>48</v>
      </c>
      <c r="R39107" s="36" t="s">
        <v>48</v>
      </c>
    </row>
    <row r="39108">
      <c r="H39108" s="50"/>
      <c r="I39108" s="50"/>
      <c r="O39108" s="36" t="s">
        <v>48</v>
      </c>
      <c r="R39108" s="36" t="s">
        <v>48</v>
      </c>
    </row>
    <row r="39109">
      <c r="H39109" s="50"/>
      <c r="I39109" s="50"/>
      <c r="O39109" s="36" t="s">
        <v>48</v>
      </c>
      <c r="R39109" s="36" t="s">
        <v>48</v>
      </c>
    </row>
    <row r="39110">
      <c r="H39110" s="50"/>
      <c r="I39110" s="50"/>
      <c r="O39110" s="36" t="s">
        <v>48</v>
      </c>
      <c r="R39110" s="36" t="s">
        <v>48</v>
      </c>
    </row>
    <row r="39111">
      <c r="H39111" s="50"/>
      <c r="I39111" s="50"/>
      <c r="O39111" s="36" t="s">
        <v>48</v>
      </c>
      <c r="R39111" s="36" t="s">
        <v>48</v>
      </c>
    </row>
    <row r="39112">
      <c r="H39112" s="50"/>
      <c r="I39112" s="50"/>
      <c r="O39112" s="36" t="s">
        <v>48</v>
      </c>
      <c r="R39112" s="36" t="s">
        <v>48</v>
      </c>
    </row>
    <row r="39113">
      <c r="H39113" s="50"/>
      <c r="I39113" s="50"/>
      <c r="O39113" s="36" t="s">
        <v>48</v>
      </c>
      <c r="R39113" s="36" t="s">
        <v>48</v>
      </c>
    </row>
    <row r="39114">
      <c r="H39114" s="50"/>
      <c r="I39114" s="50"/>
      <c r="O39114" s="36" t="s">
        <v>48</v>
      </c>
      <c r="R39114" s="36" t="s">
        <v>48</v>
      </c>
    </row>
    <row r="39115">
      <c r="H39115" s="50"/>
      <c r="I39115" s="50"/>
      <c r="O39115" s="36" t="s">
        <v>48</v>
      </c>
      <c r="R39115" s="36" t="s">
        <v>48</v>
      </c>
    </row>
    <row r="39116">
      <c r="H39116" s="50"/>
      <c r="I39116" s="50"/>
      <c r="O39116" s="36" t="s">
        <v>48</v>
      </c>
      <c r="R39116" s="36" t="s">
        <v>48</v>
      </c>
    </row>
    <row r="39117">
      <c r="H39117" s="50"/>
      <c r="I39117" s="50"/>
      <c r="O39117" s="36" t="s">
        <v>48</v>
      </c>
      <c r="R39117" s="36" t="s">
        <v>48</v>
      </c>
    </row>
    <row r="39118">
      <c r="H39118" s="50"/>
      <c r="I39118" s="50"/>
      <c r="O39118" s="36" t="s">
        <v>48</v>
      </c>
      <c r="R39118" s="36" t="s">
        <v>48</v>
      </c>
    </row>
    <row r="39119">
      <c r="H39119" s="50"/>
      <c r="I39119" s="50"/>
      <c r="O39119" s="36" t="s">
        <v>48</v>
      </c>
      <c r="R39119" s="36" t="s">
        <v>48</v>
      </c>
    </row>
    <row r="39120">
      <c r="H39120" s="50"/>
      <c r="I39120" s="50"/>
      <c r="O39120" s="36" t="s">
        <v>48</v>
      </c>
      <c r="R39120" s="36" t="s">
        <v>48</v>
      </c>
    </row>
    <row r="39121">
      <c r="H39121" s="50"/>
      <c r="I39121" s="50"/>
      <c r="O39121" s="36" t="s">
        <v>48</v>
      </c>
      <c r="R39121" s="36" t="s">
        <v>48</v>
      </c>
    </row>
    <row r="39122">
      <c r="H39122" s="50"/>
      <c r="I39122" s="50"/>
      <c r="O39122" s="36" t="s">
        <v>48</v>
      </c>
      <c r="R39122" s="36" t="s">
        <v>48</v>
      </c>
    </row>
    <row r="39123">
      <c r="H39123" s="50"/>
      <c r="I39123" s="50"/>
      <c r="O39123" s="36" t="s">
        <v>48</v>
      </c>
      <c r="R39123" s="36" t="s">
        <v>48</v>
      </c>
    </row>
    <row r="39124">
      <c r="H39124" s="50"/>
      <c r="I39124" s="50"/>
      <c r="O39124" s="36" t="s">
        <v>48</v>
      </c>
      <c r="R39124" s="36" t="s">
        <v>48</v>
      </c>
    </row>
    <row r="39125">
      <c r="H39125" s="50"/>
      <c r="I39125" s="50"/>
      <c r="O39125" s="36" t="s">
        <v>48</v>
      </c>
      <c r="R39125" s="36" t="s">
        <v>48</v>
      </c>
    </row>
    <row r="39126">
      <c r="H39126" s="50"/>
      <c r="I39126" s="50"/>
      <c r="O39126" s="36" t="s">
        <v>48</v>
      </c>
      <c r="R39126" s="36" t="s">
        <v>48</v>
      </c>
    </row>
    <row r="39127">
      <c r="H39127" s="50"/>
      <c r="I39127" s="50"/>
      <c r="O39127" s="36" t="s">
        <v>48</v>
      </c>
      <c r="R39127" s="36" t="s">
        <v>48</v>
      </c>
    </row>
    <row r="39128">
      <c r="H39128" s="50"/>
      <c r="I39128" s="50"/>
      <c r="O39128" s="36" t="s">
        <v>48</v>
      </c>
      <c r="R39128" s="36" t="s">
        <v>48</v>
      </c>
    </row>
    <row r="39129">
      <c r="H39129" s="50"/>
      <c r="I39129" s="50"/>
      <c r="O39129" s="36" t="s">
        <v>48</v>
      </c>
      <c r="R39129" s="36" t="s">
        <v>48</v>
      </c>
    </row>
    <row r="39130">
      <c r="H39130" s="50"/>
      <c r="I39130" s="50"/>
      <c r="O39130" s="36" t="s">
        <v>48</v>
      </c>
      <c r="R39130" s="36" t="s">
        <v>48</v>
      </c>
    </row>
    <row r="39131">
      <c r="H39131" s="50"/>
      <c r="I39131" s="50"/>
      <c r="O39131" s="36" t="s">
        <v>48</v>
      </c>
      <c r="R39131" s="36" t="s">
        <v>48</v>
      </c>
    </row>
    <row r="39132">
      <c r="H39132" s="50"/>
      <c r="I39132" s="50"/>
      <c r="O39132" s="36" t="s">
        <v>48</v>
      </c>
      <c r="R39132" s="36" t="s">
        <v>48</v>
      </c>
    </row>
    <row r="39133">
      <c r="H39133" s="50"/>
      <c r="I39133" s="50"/>
      <c r="O39133" s="36" t="s">
        <v>48</v>
      </c>
      <c r="R39133" s="36" t="s">
        <v>48</v>
      </c>
    </row>
    <row r="39134">
      <c r="H39134" s="50"/>
      <c r="I39134" s="50"/>
      <c r="O39134" s="36" t="s">
        <v>48</v>
      </c>
      <c r="R39134" s="36" t="s">
        <v>48</v>
      </c>
    </row>
    <row r="39135">
      <c r="H39135" s="50"/>
      <c r="I39135" s="50"/>
      <c r="O39135" s="36" t="s">
        <v>48</v>
      </c>
      <c r="R39135" s="36" t="s">
        <v>48</v>
      </c>
    </row>
    <row r="39136">
      <c r="H39136" s="50"/>
      <c r="I39136" s="50"/>
      <c r="O39136" s="36" t="s">
        <v>48</v>
      </c>
      <c r="R39136" s="36" t="s">
        <v>48</v>
      </c>
    </row>
    <row r="39137">
      <c r="H39137" s="50"/>
      <c r="I39137" s="50"/>
      <c r="O39137" s="36" t="s">
        <v>48</v>
      </c>
      <c r="R39137" s="36" t="s">
        <v>48</v>
      </c>
    </row>
    <row r="39138">
      <c r="H39138" s="50"/>
      <c r="I39138" s="50"/>
      <c r="O39138" s="36" t="s">
        <v>48</v>
      </c>
      <c r="R39138" s="36" t="s">
        <v>48</v>
      </c>
    </row>
    <row r="39139">
      <c r="H39139" s="50"/>
      <c r="I39139" s="50"/>
      <c r="O39139" s="36" t="s">
        <v>48</v>
      </c>
      <c r="R39139" s="36" t="s">
        <v>48</v>
      </c>
    </row>
    <row r="39140">
      <c r="H39140" s="50"/>
      <c r="I39140" s="50"/>
      <c r="O39140" s="36" t="s">
        <v>48</v>
      </c>
      <c r="R39140" s="36" t="s">
        <v>48</v>
      </c>
    </row>
    <row r="39141">
      <c r="H39141" s="50"/>
      <c r="I39141" s="50"/>
      <c r="O39141" s="36" t="s">
        <v>48</v>
      </c>
      <c r="R39141" s="36" t="s">
        <v>48</v>
      </c>
    </row>
    <row r="39142">
      <c r="H39142" s="50"/>
      <c r="I39142" s="50"/>
      <c r="O39142" s="36" t="s">
        <v>48</v>
      </c>
      <c r="R39142" s="36" t="s">
        <v>48</v>
      </c>
    </row>
    <row r="39143">
      <c r="H39143" s="50"/>
      <c r="I39143" s="50"/>
      <c r="O39143" s="36" t="s">
        <v>48</v>
      </c>
      <c r="R39143" s="36" t="s">
        <v>48</v>
      </c>
    </row>
    <row r="39144">
      <c r="H39144" s="50"/>
      <c r="I39144" s="50"/>
      <c r="O39144" s="36" t="s">
        <v>48</v>
      </c>
      <c r="R39144" s="36" t="s">
        <v>48</v>
      </c>
    </row>
    <row r="39145">
      <c r="H39145" s="50"/>
      <c r="I39145" s="50"/>
      <c r="O39145" s="36" t="s">
        <v>48</v>
      </c>
      <c r="R39145" s="36" t="s">
        <v>48</v>
      </c>
    </row>
    <row r="39146">
      <c r="H39146" s="50"/>
      <c r="I39146" s="50"/>
      <c r="O39146" s="36" t="s">
        <v>48</v>
      </c>
      <c r="R39146" s="36" t="s">
        <v>48</v>
      </c>
    </row>
    <row r="39147">
      <c r="H39147" s="50"/>
      <c r="I39147" s="50"/>
      <c r="O39147" s="36" t="s">
        <v>48</v>
      </c>
      <c r="R39147" s="36" t="s">
        <v>48</v>
      </c>
    </row>
    <row r="39148">
      <c r="H39148" s="50"/>
      <c r="I39148" s="50"/>
      <c r="O39148" s="36" t="s">
        <v>48</v>
      </c>
      <c r="R39148" s="36" t="s">
        <v>48</v>
      </c>
    </row>
    <row r="39149">
      <c r="H39149" s="50"/>
      <c r="I39149" s="50"/>
      <c r="O39149" s="36" t="s">
        <v>48</v>
      </c>
      <c r="R39149" s="36" t="s">
        <v>48</v>
      </c>
    </row>
    <row r="39150">
      <c r="H39150" s="50"/>
      <c r="I39150" s="50"/>
      <c r="O39150" s="36" t="s">
        <v>48</v>
      </c>
      <c r="R39150" s="36" t="s">
        <v>48</v>
      </c>
    </row>
    <row r="39151">
      <c r="H39151" s="50"/>
      <c r="I39151" s="50"/>
      <c r="O39151" s="36" t="s">
        <v>48</v>
      </c>
      <c r="R39151" s="36" t="s">
        <v>48</v>
      </c>
    </row>
    <row r="39152">
      <c r="H39152" s="50"/>
      <c r="I39152" s="50"/>
      <c r="O39152" s="36" t="s">
        <v>48</v>
      </c>
      <c r="R39152" s="36" t="s">
        <v>48</v>
      </c>
    </row>
    <row r="39153">
      <c r="H39153" s="50"/>
      <c r="I39153" s="50"/>
      <c r="O39153" s="36" t="s">
        <v>48</v>
      </c>
      <c r="R39153" s="36" t="s">
        <v>48</v>
      </c>
    </row>
    <row r="39154">
      <c r="H39154" s="50"/>
      <c r="I39154" s="50"/>
      <c r="O39154" s="36" t="s">
        <v>48</v>
      </c>
      <c r="R39154" s="36" t="s">
        <v>48</v>
      </c>
    </row>
    <row r="39155">
      <c r="H39155" s="50"/>
      <c r="I39155" s="50"/>
      <c r="O39155" s="36" t="s">
        <v>48</v>
      </c>
      <c r="R39155" s="36" t="s">
        <v>48</v>
      </c>
    </row>
    <row r="39156">
      <c r="H39156" s="50"/>
      <c r="I39156" s="50"/>
      <c r="O39156" s="36" t="s">
        <v>48</v>
      </c>
      <c r="R39156" s="36" t="s">
        <v>48</v>
      </c>
    </row>
    <row r="39157">
      <c r="H39157" s="50"/>
      <c r="I39157" s="50"/>
      <c r="O39157" s="36" t="s">
        <v>48</v>
      </c>
      <c r="R39157" s="36" t="s">
        <v>48</v>
      </c>
    </row>
    <row r="39158">
      <c r="H39158" s="50"/>
      <c r="I39158" s="50"/>
      <c r="O39158" s="36" t="s">
        <v>48</v>
      </c>
      <c r="R39158" s="36" t="s">
        <v>48</v>
      </c>
    </row>
    <row r="39159">
      <c r="H39159" s="50"/>
      <c r="I39159" s="50"/>
      <c r="O39159" s="36" t="s">
        <v>48</v>
      </c>
      <c r="R39159" s="36" t="s">
        <v>48</v>
      </c>
    </row>
    <row r="39160">
      <c r="H39160" s="50"/>
      <c r="I39160" s="50"/>
      <c r="O39160" s="36" t="s">
        <v>48</v>
      </c>
      <c r="R39160" s="36" t="s">
        <v>48</v>
      </c>
    </row>
    <row r="39161">
      <c r="H39161" s="50"/>
      <c r="I39161" s="50"/>
      <c r="O39161" s="36" t="s">
        <v>48</v>
      </c>
      <c r="R39161" s="36" t="s">
        <v>48</v>
      </c>
    </row>
    <row r="39162">
      <c r="H39162" s="50"/>
      <c r="I39162" s="50"/>
      <c r="O39162" s="36" t="s">
        <v>48</v>
      </c>
      <c r="R39162" s="36" t="s">
        <v>48</v>
      </c>
    </row>
    <row r="39163">
      <c r="H39163" s="50"/>
      <c r="I39163" s="50"/>
      <c r="O39163" s="36" t="s">
        <v>48</v>
      </c>
      <c r="R39163" s="36" t="s">
        <v>48</v>
      </c>
    </row>
    <row r="39164">
      <c r="H39164" s="50"/>
      <c r="I39164" s="50"/>
      <c r="O39164" s="36" t="s">
        <v>48</v>
      </c>
      <c r="R39164" s="36" t="s">
        <v>48</v>
      </c>
    </row>
    <row r="39165">
      <c r="H39165" s="50"/>
      <c r="I39165" s="50"/>
      <c r="O39165" s="36" t="s">
        <v>48</v>
      </c>
      <c r="R39165" s="36" t="s">
        <v>48</v>
      </c>
    </row>
    <row r="39166">
      <c r="H39166" s="50"/>
      <c r="I39166" s="50"/>
      <c r="O39166" s="36" t="s">
        <v>48</v>
      </c>
      <c r="R39166" s="36" t="s">
        <v>48</v>
      </c>
    </row>
    <row r="39167">
      <c r="H39167" s="50"/>
      <c r="I39167" s="50"/>
      <c r="O39167" s="36" t="s">
        <v>48</v>
      </c>
      <c r="R39167" s="36" t="s">
        <v>48</v>
      </c>
    </row>
    <row r="39168">
      <c r="H39168" s="50"/>
      <c r="I39168" s="50"/>
      <c r="O39168" s="36" t="s">
        <v>48</v>
      </c>
      <c r="R39168" s="36" t="s">
        <v>48</v>
      </c>
    </row>
    <row r="39169">
      <c r="H39169" s="50"/>
      <c r="I39169" s="50"/>
      <c r="O39169" s="36" t="s">
        <v>48</v>
      </c>
      <c r="R39169" s="36" t="s">
        <v>48</v>
      </c>
    </row>
    <row r="39170">
      <c r="H39170" s="50"/>
      <c r="I39170" s="50"/>
      <c r="O39170" s="36" t="s">
        <v>48</v>
      </c>
      <c r="R39170" s="36" t="s">
        <v>48</v>
      </c>
    </row>
    <row r="39171">
      <c r="H39171" s="50"/>
      <c r="I39171" s="50"/>
      <c r="O39171" s="36" t="s">
        <v>48</v>
      </c>
      <c r="R39171" s="36" t="s">
        <v>48</v>
      </c>
    </row>
    <row r="39172">
      <c r="H39172" s="50"/>
      <c r="I39172" s="50"/>
      <c r="O39172" s="36" t="s">
        <v>48</v>
      </c>
      <c r="R39172" s="36" t="s">
        <v>48</v>
      </c>
    </row>
    <row r="39173">
      <c r="H39173" s="50"/>
      <c r="I39173" s="50"/>
      <c r="O39173" s="36" t="s">
        <v>48</v>
      </c>
      <c r="R39173" s="36" t="s">
        <v>48</v>
      </c>
    </row>
    <row r="39174">
      <c r="H39174" s="50"/>
      <c r="I39174" s="50"/>
      <c r="O39174" s="36" t="s">
        <v>48</v>
      </c>
      <c r="R39174" s="36" t="s">
        <v>48</v>
      </c>
    </row>
    <row r="39175">
      <c r="H39175" s="50"/>
      <c r="I39175" s="50"/>
      <c r="O39175" s="36" t="s">
        <v>48</v>
      </c>
      <c r="R39175" s="36" t="s">
        <v>48</v>
      </c>
    </row>
    <row r="39176">
      <c r="H39176" s="50"/>
      <c r="I39176" s="50"/>
      <c r="O39176" s="36" t="s">
        <v>48</v>
      </c>
      <c r="R39176" s="36" t="s">
        <v>48</v>
      </c>
    </row>
    <row r="39177">
      <c r="H39177" s="50"/>
      <c r="I39177" s="50"/>
      <c r="O39177" s="36" t="s">
        <v>48</v>
      </c>
      <c r="R39177" s="36" t="s">
        <v>48</v>
      </c>
    </row>
    <row r="39178">
      <c r="H39178" s="50"/>
      <c r="I39178" s="50"/>
      <c r="O39178" s="36" t="s">
        <v>48</v>
      </c>
      <c r="R39178" s="36" t="s">
        <v>48</v>
      </c>
    </row>
    <row r="39179">
      <c r="H39179" s="50"/>
      <c r="I39179" s="50"/>
      <c r="O39179" s="36" t="s">
        <v>48</v>
      </c>
      <c r="R39179" s="36" t="s">
        <v>48</v>
      </c>
    </row>
    <row r="39180">
      <c r="H39180" s="50"/>
      <c r="I39180" s="50"/>
      <c r="O39180" s="36" t="s">
        <v>48</v>
      </c>
      <c r="R39180" s="36" t="s">
        <v>48</v>
      </c>
    </row>
    <row r="39181">
      <c r="H39181" s="50"/>
      <c r="I39181" s="50"/>
      <c r="O39181" s="36" t="s">
        <v>48</v>
      </c>
      <c r="R39181" s="36" t="s">
        <v>48</v>
      </c>
    </row>
    <row r="39182">
      <c r="H39182" s="50"/>
      <c r="I39182" s="50"/>
      <c r="O39182" s="36" t="s">
        <v>48</v>
      </c>
      <c r="R39182" s="36" t="s">
        <v>48</v>
      </c>
    </row>
    <row r="39183">
      <c r="H39183" s="50"/>
      <c r="I39183" s="50"/>
      <c r="O39183" s="36" t="s">
        <v>48</v>
      </c>
      <c r="R39183" s="36" t="s">
        <v>48</v>
      </c>
    </row>
    <row r="39184">
      <c r="H39184" s="50"/>
      <c r="I39184" s="50"/>
      <c r="O39184" s="36" t="s">
        <v>48</v>
      </c>
      <c r="R39184" s="36" t="s">
        <v>48</v>
      </c>
    </row>
    <row r="39185">
      <c r="H39185" s="50"/>
      <c r="I39185" s="50"/>
      <c r="O39185" s="36" t="s">
        <v>48</v>
      </c>
      <c r="R39185" s="36" t="s">
        <v>48</v>
      </c>
    </row>
    <row r="39186">
      <c r="H39186" s="50"/>
      <c r="I39186" s="50"/>
      <c r="O39186" s="36" t="s">
        <v>48</v>
      </c>
      <c r="R39186" s="36" t="s">
        <v>48</v>
      </c>
    </row>
    <row r="39187">
      <c r="H39187" s="50"/>
      <c r="I39187" s="50"/>
      <c r="O39187" s="36" t="s">
        <v>48</v>
      </c>
      <c r="R39187" s="36" t="s">
        <v>48</v>
      </c>
    </row>
    <row r="39188">
      <c r="H39188" s="50"/>
      <c r="I39188" s="50"/>
      <c r="O39188" s="36" t="s">
        <v>48</v>
      </c>
      <c r="R39188" s="36" t="s">
        <v>48</v>
      </c>
    </row>
    <row r="39189">
      <c r="H39189" s="50"/>
      <c r="I39189" s="50"/>
      <c r="O39189" s="36" t="s">
        <v>48</v>
      </c>
      <c r="R39189" s="36" t="s">
        <v>48</v>
      </c>
    </row>
    <row r="39190">
      <c r="H39190" s="50"/>
      <c r="I39190" s="50"/>
      <c r="O39190" s="36" t="s">
        <v>48</v>
      </c>
      <c r="R39190" s="36" t="s">
        <v>48</v>
      </c>
    </row>
    <row r="39191">
      <c r="H39191" s="50"/>
      <c r="I39191" s="50"/>
      <c r="O39191" s="36" t="s">
        <v>48</v>
      </c>
      <c r="R39191" s="36" t="s">
        <v>48</v>
      </c>
    </row>
    <row r="39192">
      <c r="H39192" s="50"/>
      <c r="I39192" s="50"/>
      <c r="O39192" s="36" t="s">
        <v>48</v>
      </c>
      <c r="R39192" s="36" t="s">
        <v>48</v>
      </c>
    </row>
    <row r="39193">
      <c r="H39193" s="50"/>
      <c r="I39193" s="50"/>
      <c r="O39193" s="36" t="s">
        <v>48</v>
      </c>
      <c r="R39193" s="36" t="s">
        <v>48</v>
      </c>
    </row>
    <row r="39194">
      <c r="H39194" s="50"/>
      <c r="I39194" s="50"/>
      <c r="O39194" s="36" t="s">
        <v>48</v>
      </c>
      <c r="R39194" s="36" t="s">
        <v>48</v>
      </c>
    </row>
    <row r="39195">
      <c r="H39195" s="50"/>
      <c r="I39195" s="50"/>
      <c r="O39195" s="36" t="s">
        <v>48</v>
      </c>
      <c r="R39195" s="36" t="s">
        <v>48</v>
      </c>
    </row>
    <row r="39196">
      <c r="H39196" s="50"/>
      <c r="I39196" s="50"/>
      <c r="O39196" s="36" t="s">
        <v>48</v>
      </c>
      <c r="R39196" s="36" t="s">
        <v>48</v>
      </c>
    </row>
    <row r="39197">
      <c r="H39197" s="50"/>
      <c r="I39197" s="50"/>
      <c r="O39197" s="36" t="s">
        <v>48</v>
      </c>
      <c r="R39197" s="36" t="s">
        <v>48</v>
      </c>
    </row>
    <row r="39198">
      <c r="H39198" s="50"/>
      <c r="I39198" s="50"/>
      <c r="O39198" s="36" t="s">
        <v>48</v>
      </c>
      <c r="R39198" s="36" t="s">
        <v>48</v>
      </c>
    </row>
    <row r="39199">
      <c r="H39199" s="50"/>
      <c r="I39199" s="50"/>
      <c r="O39199" s="36" t="s">
        <v>48</v>
      </c>
      <c r="R39199" s="36" t="s">
        <v>48</v>
      </c>
    </row>
    <row r="39200">
      <c r="H39200" s="50"/>
      <c r="I39200" s="50"/>
      <c r="O39200" s="36" t="s">
        <v>48</v>
      </c>
      <c r="R39200" s="36" t="s">
        <v>48</v>
      </c>
    </row>
    <row r="39201">
      <c r="H39201" s="50"/>
      <c r="I39201" s="50"/>
      <c r="O39201" s="36" t="s">
        <v>48</v>
      </c>
      <c r="R39201" s="36" t="s">
        <v>48</v>
      </c>
    </row>
    <row r="39202">
      <c r="H39202" s="50"/>
      <c r="I39202" s="50"/>
      <c r="O39202" s="36" t="s">
        <v>48</v>
      </c>
      <c r="R39202" s="36" t="s">
        <v>48</v>
      </c>
    </row>
    <row r="39203">
      <c r="H39203" s="50"/>
      <c r="I39203" s="50"/>
      <c r="O39203" s="36" t="s">
        <v>48</v>
      </c>
      <c r="R39203" s="36" t="s">
        <v>48</v>
      </c>
    </row>
    <row r="39204">
      <c r="H39204" s="50"/>
      <c r="I39204" s="50"/>
      <c r="O39204" s="36" t="s">
        <v>48</v>
      </c>
      <c r="R39204" s="36" t="s">
        <v>48</v>
      </c>
    </row>
    <row r="39205">
      <c r="H39205" s="50"/>
      <c r="I39205" s="50"/>
      <c r="O39205" s="36" t="s">
        <v>48</v>
      </c>
      <c r="R39205" s="36" t="s">
        <v>48</v>
      </c>
    </row>
    <row r="39206">
      <c r="H39206" s="50"/>
      <c r="I39206" s="50"/>
      <c r="O39206" s="36" t="s">
        <v>48</v>
      </c>
      <c r="R39206" s="36" t="s">
        <v>48</v>
      </c>
    </row>
    <row r="39207">
      <c r="H39207" s="50"/>
      <c r="I39207" s="50"/>
      <c r="O39207" s="36" t="s">
        <v>48</v>
      </c>
      <c r="R39207" s="36" t="s">
        <v>48</v>
      </c>
    </row>
    <row r="39208">
      <c r="H39208" s="50"/>
      <c r="I39208" s="50"/>
      <c r="O39208" s="36" t="s">
        <v>48</v>
      </c>
      <c r="R39208" s="36" t="s">
        <v>48</v>
      </c>
    </row>
    <row r="39209">
      <c r="H39209" s="50"/>
      <c r="I39209" s="50"/>
      <c r="O39209" s="36" t="s">
        <v>48</v>
      </c>
      <c r="R39209" s="36" t="s">
        <v>48</v>
      </c>
    </row>
    <row r="39210">
      <c r="H39210" s="50"/>
      <c r="I39210" s="50"/>
      <c r="O39210" s="36" t="s">
        <v>48</v>
      </c>
      <c r="R39210" s="36" t="s">
        <v>48</v>
      </c>
    </row>
    <row r="39211">
      <c r="H39211" s="50"/>
      <c r="I39211" s="50"/>
      <c r="O39211" s="36" t="s">
        <v>48</v>
      </c>
      <c r="R39211" s="36" t="s">
        <v>48</v>
      </c>
    </row>
    <row r="39212">
      <c r="H39212" s="50"/>
      <c r="I39212" s="50"/>
      <c r="O39212" s="36" t="s">
        <v>48</v>
      </c>
      <c r="R39212" s="36" t="s">
        <v>48</v>
      </c>
    </row>
    <row r="39213">
      <c r="H39213" s="50"/>
      <c r="I39213" s="50"/>
      <c r="O39213" s="36" t="s">
        <v>48</v>
      </c>
      <c r="R39213" s="36" t="s">
        <v>48</v>
      </c>
    </row>
    <row r="39214">
      <c r="H39214" s="50"/>
      <c r="I39214" s="50"/>
      <c r="O39214" s="36" t="s">
        <v>48</v>
      </c>
      <c r="R39214" s="36" t="s">
        <v>48</v>
      </c>
    </row>
    <row r="39215">
      <c r="H39215" s="50"/>
      <c r="I39215" s="50"/>
      <c r="O39215" s="36" t="s">
        <v>48</v>
      </c>
      <c r="R39215" s="36" t="s">
        <v>48</v>
      </c>
    </row>
    <row r="39216">
      <c r="H39216" s="50"/>
      <c r="I39216" s="50"/>
      <c r="O39216" s="36" t="s">
        <v>48</v>
      </c>
      <c r="R39216" s="36" t="s">
        <v>48</v>
      </c>
    </row>
    <row r="39217">
      <c r="H39217" s="50"/>
      <c r="I39217" s="50"/>
      <c r="O39217" s="36" t="s">
        <v>48</v>
      </c>
      <c r="R39217" s="36" t="s">
        <v>48</v>
      </c>
    </row>
    <row r="39218">
      <c r="H39218" s="50"/>
      <c r="I39218" s="50"/>
      <c r="O39218" s="36" t="s">
        <v>48</v>
      </c>
      <c r="R39218" s="36" t="s">
        <v>48</v>
      </c>
    </row>
    <row r="39219">
      <c r="H39219" s="50"/>
      <c r="I39219" s="50"/>
      <c r="O39219" s="36" t="s">
        <v>48</v>
      </c>
      <c r="R39219" s="36" t="s">
        <v>48</v>
      </c>
    </row>
    <row r="39220">
      <c r="H39220" s="50"/>
      <c r="I39220" s="50"/>
      <c r="O39220" s="36" t="s">
        <v>48</v>
      </c>
      <c r="R39220" s="36" t="s">
        <v>48</v>
      </c>
    </row>
    <row r="39221">
      <c r="H39221" s="50"/>
      <c r="I39221" s="50"/>
      <c r="O39221" s="36" t="s">
        <v>48</v>
      </c>
      <c r="R39221" s="36" t="s">
        <v>48</v>
      </c>
    </row>
    <row r="39222">
      <c r="H39222" s="50"/>
      <c r="I39222" s="50"/>
      <c r="O39222" s="36" t="s">
        <v>48</v>
      </c>
      <c r="R39222" s="36" t="s">
        <v>48</v>
      </c>
    </row>
    <row r="39223">
      <c r="H39223" s="50"/>
      <c r="I39223" s="50"/>
      <c r="O39223" s="36" t="s">
        <v>48</v>
      </c>
      <c r="R39223" s="36" t="s">
        <v>48</v>
      </c>
    </row>
    <row r="39224">
      <c r="H39224" s="50"/>
      <c r="I39224" s="50"/>
      <c r="O39224" s="36" t="s">
        <v>48</v>
      </c>
      <c r="R39224" s="36" t="s">
        <v>48</v>
      </c>
    </row>
    <row r="39225">
      <c r="H39225" s="50"/>
      <c r="I39225" s="50"/>
      <c r="O39225" s="36" t="s">
        <v>48</v>
      </c>
      <c r="R39225" s="36" t="s">
        <v>48</v>
      </c>
    </row>
    <row r="39226">
      <c r="H39226" s="50"/>
      <c r="I39226" s="50"/>
      <c r="O39226" s="36" t="s">
        <v>48</v>
      </c>
      <c r="R39226" s="36" t="s">
        <v>48</v>
      </c>
    </row>
    <row r="39227">
      <c r="H39227" s="50"/>
      <c r="I39227" s="50"/>
      <c r="O39227" s="36" t="s">
        <v>48</v>
      </c>
      <c r="R39227" s="36" t="s">
        <v>48</v>
      </c>
    </row>
    <row r="39228">
      <c r="H39228" s="50"/>
      <c r="I39228" s="50"/>
      <c r="O39228" s="36" t="s">
        <v>48</v>
      </c>
      <c r="R39228" s="36" t="s">
        <v>48</v>
      </c>
    </row>
    <row r="39229">
      <c r="H39229" s="50"/>
      <c r="I39229" s="50"/>
      <c r="O39229" s="36" t="s">
        <v>48</v>
      </c>
      <c r="R39229" s="36" t="s">
        <v>48</v>
      </c>
    </row>
    <row r="39230">
      <c r="H39230" s="50"/>
      <c r="I39230" s="50"/>
      <c r="O39230" s="36" t="s">
        <v>48</v>
      </c>
      <c r="R39230" s="36" t="s">
        <v>48</v>
      </c>
    </row>
    <row r="39231">
      <c r="H39231" s="50"/>
      <c r="I39231" s="50"/>
      <c r="O39231" s="36" t="s">
        <v>48</v>
      </c>
      <c r="R39231" s="36" t="s">
        <v>48</v>
      </c>
    </row>
    <row r="39232">
      <c r="H39232" s="50"/>
      <c r="I39232" s="50"/>
      <c r="O39232" s="36" t="s">
        <v>48</v>
      </c>
      <c r="R39232" s="36" t="s">
        <v>48</v>
      </c>
    </row>
    <row r="39233">
      <c r="H39233" s="50"/>
      <c r="I39233" s="50"/>
      <c r="O39233" s="36" t="s">
        <v>48</v>
      </c>
      <c r="R39233" s="36" t="s">
        <v>48</v>
      </c>
    </row>
    <row r="39234">
      <c r="H39234" s="50"/>
      <c r="I39234" s="50"/>
      <c r="O39234" s="36" t="s">
        <v>48</v>
      </c>
      <c r="R39234" s="36" t="s">
        <v>48</v>
      </c>
    </row>
    <row r="39235">
      <c r="H39235" s="50"/>
      <c r="I39235" s="50"/>
      <c r="O39235" s="36" t="s">
        <v>48</v>
      </c>
      <c r="R39235" s="36" t="s">
        <v>48</v>
      </c>
    </row>
    <row r="39236">
      <c r="H39236" s="50"/>
      <c r="I39236" s="50"/>
      <c r="O39236" s="36" t="s">
        <v>48</v>
      </c>
      <c r="R39236" s="36" t="s">
        <v>48</v>
      </c>
    </row>
    <row r="39237">
      <c r="H39237" s="50"/>
      <c r="I39237" s="50"/>
      <c r="O39237" s="36" t="s">
        <v>48</v>
      </c>
      <c r="R39237" s="36" t="s">
        <v>48</v>
      </c>
    </row>
    <row r="39238">
      <c r="H39238" s="50"/>
      <c r="I39238" s="50"/>
      <c r="O39238" s="36" t="s">
        <v>48</v>
      </c>
      <c r="R39238" s="36" t="s">
        <v>48</v>
      </c>
    </row>
    <row r="39239">
      <c r="H39239" s="50"/>
      <c r="I39239" s="50"/>
      <c r="O39239" s="36" t="s">
        <v>48</v>
      </c>
      <c r="R39239" s="36" t="s">
        <v>48</v>
      </c>
    </row>
    <row r="39240">
      <c r="H39240" s="50"/>
      <c r="I39240" s="50"/>
      <c r="O39240" s="36" t="s">
        <v>48</v>
      </c>
      <c r="R39240" s="36" t="s">
        <v>48</v>
      </c>
    </row>
    <row r="39241">
      <c r="H39241" s="50"/>
      <c r="I39241" s="50"/>
      <c r="O39241" s="36" t="s">
        <v>48</v>
      </c>
      <c r="R39241" s="36" t="s">
        <v>48</v>
      </c>
    </row>
    <row r="39242">
      <c r="H39242" s="50"/>
      <c r="I39242" s="50"/>
      <c r="O39242" s="36" t="s">
        <v>48</v>
      </c>
      <c r="R39242" s="36" t="s">
        <v>48</v>
      </c>
    </row>
    <row r="39243">
      <c r="H39243" s="50"/>
      <c r="I39243" s="50"/>
      <c r="O39243" s="36" t="s">
        <v>48</v>
      </c>
      <c r="R39243" s="36" t="s">
        <v>48</v>
      </c>
    </row>
    <row r="39244">
      <c r="H39244" s="50"/>
      <c r="I39244" s="50"/>
      <c r="O39244" s="36" t="s">
        <v>48</v>
      </c>
      <c r="R39244" s="36" t="s">
        <v>48</v>
      </c>
    </row>
    <row r="39245">
      <c r="H39245" s="50"/>
      <c r="I39245" s="50"/>
      <c r="O39245" s="36" t="s">
        <v>48</v>
      </c>
      <c r="R39245" s="36" t="s">
        <v>48</v>
      </c>
    </row>
    <row r="39246">
      <c r="H39246" s="50"/>
      <c r="I39246" s="50"/>
      <c r="O39246" s="36" t="s">
        <v>48</v>
      </c>
      <c r="R39246" s="36" t="s">
        <v>48</v>
      </c>
    </row>
    <row r="39247">
      <c r="H39247" s="50"/>
      <c r="I39247" s="50"/>
      <c r="O39247" s="36" t="s">
        <v>48</v>
      </c>
      <c r="R39247" s="36" t="s">
        <v>48</v>
      </c>
    </row>
    <row r="39248">
      <c r="H39248" s="50"/>
      <c r="I39248" s="50"/>
      <c r="O39248" s="36" t="s">
        <v>48</v>
      </c>
      <c r="R39248" s="36" t="s">
        <v>48</v>
      </c>
    </row>
    <row r="39249">
      <c r="H39249" s="50"/>
      <c r="I39249" s="50"/>
      <c r="O39249" s="36" t="s">
        <v>48</v>
      </c>
      <c r="R39249" s="36" t="s">
        <v>48</v>
      </c>
    </row>
    <row r="39250">
      <c r="H39250" s="50"/>
      <c r="I39250" s="50"/>
      <c r="O39250" s="36" t="s">
        <v>48</v>
      </c>
      <c r="R39250" s="36" t="s">
        <v>48</v>
      </c>
    </row>
    <row r="39251">
      <c r="H39251" s="50"/>
      <c r="I39251" s="50"/>
      <c r="O39251" s="36" t="s">
        <v>48</v>
      </c>
      <c r="R39251" s="36" t="s">
        <v>48</v>
      </c>
    </row>
    <row r="39252">
      <c r="H39252" s="50"/>
      <c r="I39252" s="50"/>
      <c r="O39252" s="36" t="s">
        <v>48</v>
      </c>
      <c r="R39252" s="36" t="s">
        <v>48</v>
      </c>
    </row>
    <row r="39253">
      <c r="H39253" s="50"/>
      <c r="I39253" s="50"/>
      <c r="O39253" s="36" t="s">
        <v>48</v>
      </c>
      <c r="R39253" s="36" t="s">
        <v>48</v>
      </c>
    </row>
    <row r="39254">
      <c r="H39254" s="50"/>
      <c r="I39254" s="50"/>
      <c r="O39254" s="36" t="s">
        <v>48</v>
      </c>
      <c r="R39254" s="36" t="s">
        <v>48</v>
      </c>
    </row>
    <row r="39255">
      <c r="H39255" s="50"/>
      <c r="I39255" s="50"/>
      <c r="O39255" s="36" t="s">
        <v>48</v>
      </c>
      <c r="R39255" s="36" t="s">
        <v>48</v>
      </c>
    </row>
    <row r="39256">
      <c r="H39256" s="50"/>
      <c r="I39256" s="50"/>
      <c r="O39256" s="36" t="s">
        <v>48</v>
      </c>
      <c r="R39256" s="36" t="s">
        <v>48</v>
      </c>
    </row>
    <row r="39257">
      <c r="H39257" s="50"/>
      <c r="I39257" s="50"/>
      <c r="O39257" s="36" t="s">
        <v>48</v>
      </c>
      <c r="R39257" s="36" t="s">
        <v>48</v>
      </c>
    </row>
    <row r="39258">
      <c r="H39258" s="50"/>
      <c r="I39258" s="50"/>
      <c r="O39258" s="36" t="s">
        <v>48</v>
      </c>
      <c r="R39258" s="36" t="s">
        <v>48</v>
      </c>
    </row>
    <row r="39259">
      <c r="H39259" s="50"/>
      <c r="I39259" s="50"/>
      <c r="O39259" s="36" t="s">
        <v>48</v>
      </c>
      <c r="R39259" s="36" t="s">
        <v>48</v>
      </c>
    </row>
    <row r="39260">
      <c r="H39260" s="50"/>
      <c r="I39260" s="50"/>
      <c r="O39260" s="36" t="s">
        <v>48</v>
      </c>
      <c r="R39260" s="36" t="s">
        <v>48</v>
      </c>
    </row>
    <row r="39261">
      <c r="H39261" s="50"/>
      <c r="I39261" s="50"/>
      <c r="O39261" s="36" t="s">
        <v>48</v>
      </c>
      <c r="R39261" s="36" t="s">
        <v>48</v>
      </c>
    </row>
    <row r="39262">
      <c r="H39262" s="50"/>
      <c r="I39262" s="50"/>
      <c r="O39262" s="36" t="s">
        <v>48</v>
      </c>
      <c r="R39262" s="36" t="s">
        <v>48</v>
      </c>
    </row>
    <row r="39263">
      <c r="H39263" s="50"/>
      <c r="I39263" s="50"/>
      <c r="O39263" s="36" t="s">
        <v>48</v>
      </c>
      <c r="R39263" s="36" t="s">
        <v>48</v>
      </c>
    </row>
    <row r="39264">
      <c r="H39264" s="50"/>
      <c r="I39264" s="50"/>
      <c r="O39264" s="36" t="s">
        <v>48</v>
      </c>
      <c r="R39264" s="36" t="s">
        <v>48</v>
      </c>
    </row>
    <row r="39265">
      <c r="H39265" s="50"/>
      <c r="I39265" s="50"/>
      <c r="O39265" s="36" t="s">
        <v>48</v>
      </c>
      <c r="R39265" s="36" t="s">
        <v>48</v>
      </c>
    </row>
    <row r="39266">
      <c r="H39266" s="50"/>
      <c r="I39266" s="50"/>
      <c r="O39266" s="36" t="s">
        <v>48</v>
      </c>
      <c r="R39266" s="36" t="s">
        <v>48</v>
      </c>
    </row>
    <row r="39267">
      <c r="H39267" s="50"/>
      <c r="I39267" s="50"/>
      <c r="O39267" s="36" t="s">
        <v>48</v>
      </c>
      <c r="R39267" s="36" t="s">
        <v>48</v>
      </c>
    </row>
    <row r="39268">
      <c r="H39268" s="50"/>
      <c r="I39268" s="50"/>
      <c r="O39268" s="36" t="s">
        <v>48</v>
      </c>
      <c r="R39268" s="36" t="s">
        <v>48</v>
      </c>
    </row>
    <row r="39269">
      <c r="H39269" s="50"/>
      <c r="I39269" s="50"/>
      <c r="O39269" s="36" t="s">
        <v>48</v>
      </c>
      <c r="R39269" s="36" t="s">
        <v>48</v>
      </c>
    </row>
    <row r="39270">
      <c r="H39270" s="50"/>
      <c r="I39270" s="50"/>
      <c r="O39270" s="36" t="s">
        <v>48</v>
      </c>
      <c r="R39270" s="36" t="s">
        <v>48</v>
      </c>
    </row>
    <row r="39271">
      <c r="H39271" s="50"/>
      <c r="I39271" s="50"/>
      <c r="O39271" s="36" t="s">
        <v>48</v>
      </c>
      <c r="R39271" s="36" t="s">
        <v>48</v>
      </c>
    </row>
    <row r="39272">
      <c r="H39272" s="50"/>
      <c r="I39272" s="50"/>
      <c r="O39272" s="36" t="s">
        <v>48</v>
      </c>
      <c r="R39272" s="36" t="s">
        <v>48</v>
      </c>
    </row>
    <row r="39273">
      <c r="H39273" s="50"/>
      <c r="I39273" s="50"/>
      <c r="O39273" s="36" t="s">
        <v>48</v>
      </c>
      <c r="R39273" s="36" t="s">
        <v>48</v>
      </c>
    </row>
    <row r="39274">
      <c r="H39274" s="50"/>
      <c r="I39274" s="50"/>
      <c r="O39274" s="36" t="s">
        <v>48</v>
      </c>
      <c r="R39274" s="36" t="s">
        <v>48</v>
      </c>
    </row>
    <row r="39275">
      <c r="H39275" s="50"/>
      <c r="I39275" s="50"/>
      <c r="O39275" s="36" t="s">
        <v>48</v>
      </c>
      <c r="R39275" s="36" t="s">
        <v>48</v>
      </c>
    </row>
    <row r="39276">
      <c r="H39276" s="50"/>
      <c r="I39276" s="50"/>
      <c r="O39276" s="36" t="s">
        <v>48</v>
      </c>
      <c r="R39276" s="36" t="s">
        <v>48</v>
      </c>
    </row>
    <row r="39277">
      <c r="H39277" s="50"/>
      <c r="I39277" s="50"/>
      <c r="O39277" s="36" t="s">
        <v>48</v>
      </c>
      <c r="R39277" s="36" t="s">
        <v>48</v>
      </c>
    </row>
    <row r="39278">
      <c r="H39278" s="50"/>
      <c r="I39278" s="50"/>
      <c r="O39278" s="36" t="s">
        <v>48</v>
      </c>
      <c r="R39278" s="36" t="s">
        <v>48</v>
      </c>
    </row>
    <row r="39279">
      <c r="H39279" s="50"/>
      <c r="I39279" s="50"/>
      <c r="O39279" s="36" t="s">
        <v>48</v>
      </c>
      <c r="R39279" s="36" t="s">
        <v>48</v>
      </c>
    </row>
    <row r="39280">
      <c r="H39280" s="50"/>
      <c r="I39280" s="50"/>
      <c r="O39280" s="36" t="s">
        <v>48</v>
      </c>
      <c r="R39280" s="36" t="s">
        <v>48</v>
      </c>
    </row>
    <row r="39281">
      <c r="H39281" s="50"/>
      <c r="I39281" s="50"/>
      <c r="O39281" s="36" t="s">
        <v>48</v>
      </c>
      <c r="R39281" s="36" t="s">
        <v>48</v>
      </c>
    </row>
    <row r="39282">
      <c r="H39282" s="50"/>
      <c r="I39282" s="50"/>
      <c r="O39282" s="36" t="s">
        <v>48</v>
      </c>
      <c r="R39282" s="36" t="s">
        <v>48</v>
      </c>
    </row>
    <row r="39283">
      <c r="H39283" s="50"/>
      <c r="I39283" s="50"/>
      <c r="O39283" s="36" t="s">
        <v>48</v>
      </c>
      <c r="R39283" s="36" t="s">
        <v>48</v>
      </c>
    </row>
    <row r="39284">
      <c r="H39284" s="50"/>
      <c r="I39284" s="50"/>
      <c r="O39284" s="36" t="s">
        <v>48</v>
      </c>
      <c r="R39284" s="36" t="s">
        <v>48</v>
      </c>
    </row>
    <row r="39285">
      <c r="H39285" s="50"/>
      <c r="I39285" s="50"/>
      <c r="O39285" s="36" t="s">
        <v>48</v>
      </c>
      <c r="R39285" s="36" t="s">
        <v>48</v>
      </c>
    </row>
    <row r="39286">
      <c r="H39286" s="50"/>
      <c r="I39286" s="50"/>
      <c r="O39286" s="36" t="s">
        <v>48</v>
      </c>
      <c r="R39286" s="36" t="s">
        <v>48</v>
      </c>
    </row>
    <row r="39287">
      <c r="H39287" s="50"/>
      <c r="I39287" s="50"/>
      <c r="O39287" s="36" t="s">
        <v>48</v>
      </c>
      <c r="R39287" s="36" t="s">
        <v>48</v>
      </c>
    </row>
    <row r="39288">
      <c r="H39288" s="50"/>
      <c r="I39288" s="50"/>
      <c r="O39288" s="36" t="s">
        <v>48</v>
      </c>
      <c r="R39288" s="36" t="s">
        <v>48</v>
      </c>
    </row>
    <row r="39289">
      <c r="H39289" s="50"/>
      <c r="I39289" s="50"/>
      <c r="O39289" s="36" t="s">
        <v>48</v>
      </c>
      <c r="R39289" s="36" t="s">
        <v>48</v>
      </c>
    </row>
    <row r="39290">
      <c r="H39290" s="50"/>
      <c r="I39290" s="50"/>
      <c r="O39290" s="36" t="s">
        <v>48</v>
      </c>
      <c r="R39290" s="36" t="s">
        <v>48</v>
      </c>
    </row>
    <row r="39291">
      <c r="H39291" s="50"/>
      <c r="I39291" s="50"/>
      <c r="O39291" s="36" t="s">
        <v>48</v>
      </c>
      <c r="R39291" s="36" t="s">
        <v>48</v>
      </c>
    </row>
    <row r="39292">
      <c r="H39292" s="50"/>
      <c r="I39292" s="50"/>
      <c r="O39292" s="36" t="s">
        <v>48</v>
      </c>
      <c r="R39292" s="36" t="s">
        <v>48</v>
      </c>
    </row>
    <row r="39293">
      <c r="H39293" s="50"/>
      <c r="I39293" s="50"/>
      <c r="O39293" s="36" t="s">
        <v>48</v>
      </c>
      <c r="R39293" s="36" t="s">
        <v>48</v>
      </c>
    </row>
    <row r="39294">
      <c r="H39294" s="50"/>
      <c r="I39294" s="50"/>
      <c r="O39294" s="36" t="s">
        <v>48</v>
      </c>
      <c r="R39294" s="36" t="s">
        <v>48</v>
      </c>
    </row>
    <row r="39295">
      <c r="H39295" s="50"/>
      <c r="I39295" s="50"/>
      <c r="O39295" s="36" t="s">
        <v>48</v>
      </c>
      <c r="R39295" s="36" t="s">
        <v>48</v>
      </c>
    </row>
    <row r="39296">
      <c r="H39296" s="50"/>
      <c r="I39296" s="50"/>
      <c r="O39296" s="36" t="s">
        <v>48</v>
      </c>
      <c r="R39296" s="36" t="s">
        <v>48</v>
      </c>
    </row>
    <row r="39297">
      <c r="H39297" s="50"/>
      <c r="I39297" s="50"/>
      <c r="O39297" s="36" t="s">
        <v>48</v>
      </c>
      <c r="R39297" s="36" t="s">
        <v>48</v>
      </c>
    </row>
    <row r="39298">
      <c r="H39298" s="50"/>
      <c r="I39298" s="50"/>
      <c r="O39298" s="36" t="s">
        <v>48</v>
      </c>
      <c r="R39298" s="36" t="s">
        <v>48</v>
      </c>
    </row>
    <row r="39299">
      <c r="H39299" s="50"/>
      <c r="I39299" s="50"/>
      <c r="O39299" s="36" t="s">
        <v>48</v>
      </c>
      <c r="R39299" s="36" t="s">
        <v>48</v>
      </c>
    </row>
    <row r="39300">
      <c r="H39300" s="50"/>
      <c r="I39300" s="50"/>
      <c r="O39300" s="36" t="s">
        <v>48</v>
      </c>
      <c r="R39300" s="36" t="s">
        <v>48</v>
      </c>
    </row>
    <row r="39301">
      <c r="H39301" s="50"/>
      <c r="I39301" s="50"/>
      <c r="O39301" s="36" t="s">
        <v>48</v>
      </c>
      <c r="R39301" s="36" t="s">
        <v>48</v>
      </c>
    </row>
    <row r="39302">
      <c r="H39302" s="50"/>
      <c r="I39302" s="50"/>
      <c r="O39302" s="36" t="s">
        <v>48</v>
      </c>
      <c r="R39302" s="36" t="s">
        <v>48</v>
      </c>
    </row>
    <row r="39303">
      <c r="H39303" s="50"/>
      <c r="I39303" s="50"/>
      <c r="O39303" s="36" t="s">
        <v>48</v>
      </c>
      <c r="R39303" s="36" t="s">
        <v>48</v>
      </c>
    </row>
    <row r="39304">
      <c r="H39304" s="50"/>
      <c r="I39304" s="50"/>
      <c r="O39304" s="36" t="s">
        <v>48</v>
      </c>
      <c r="R39304" s="36" t="s">
        <v>48</v>
      </c>
    </row>
    <row r="39305">
      <c r="H39305" s="50"/>
      <c r="I39305" s="50"/>
      <c r="O39305" s="36" t="s">
        <v>48</v>
      </c>
      <c r="R39305" s="36" t="s">
        <v>48</v>
      </c>
    </row>
    <row r="39306">
      <c r="H39306" s="50"/>
      <c r="I39306" s="50"/>
      <c r="O39306" s="36" t="s">
        <v>48</v>
      </c>
      <c r="R39306" s="36" t="s">
        <v>48</v>
      </c>
    </row>
    <row r="39307">
      <c r="H39307" s="50"/>
      <c r="I39307" s="50"/>
      <c r="O39307" s="36" t="s">
        <v>48</v>
      </c>
      <c r="R39307" s="36" t="s">
        <v>48</v>
      </c>
    </row>
    <row r="39308">
      <c r="H39308" s="50"/>
      <c r="I39308" s="50"/>
      <c r="O39308" s="36" t="s">
        <v>48</v>
      </c>
      <c r="R39308" s="36" t="s">
        <v>48</v>
      </c>
    </row>
    <row r="39309">
      <c r="H39309" s="50"/>
      <c r="I39309" s="50"/>
      <c r="O39309" s="36" t="s">
        <v>48</v>
      </c>
      <c r="R39309" s="36" t="s">
        <v>48</v>
      </c>
    </row>
    <row r="39310">
      <c r="H39310" s="50"/>
      <c r="I39310" s="50"/>
      <c r="O39310" s="36" t="s">
        <v>48</v>
      </c>
      <c r="R39310" s="36" t="s">
        <v>48</v>
      </c>
    </row>
    <row r="39311">
      <c r="H39311" s="50"/>
      <c r="I39311" s="50"/>
      <c r="O39311" s="36" t="s">
        <v>48</v>
      </c>
      <c r="R39311" s="36" t="s">
        <v>48</v>
      </c>
    </row>
    <row r="39312">
      <c r="H39312" s="50"/>
      <c r="I39312" s="50"/>
      <c r="O39312" s="36" t="s">
        <v>48</v>
      </c>
      <c r="R39312" s="36" t="s">
        <v>48</v>
      </c>
    </row>
    <row r="39313">
      <c r="H39313" s="50"/>
      <c r="I39313" s="50"/>
      <c r="O39313" s="36" t="s">
        <v>48</v>
      </c>
      <c r="R39313" s="36" t="s">
        <v>48</v>
      </c>
    </row>
    <row r="39314">
      <c r="H39314" s="50"/>
      <c r="I39314" s="50"/>
      <c r="O39314" s="36" t="s">
        <v>48</v>
      </c>
      <c r="R39314" s="36" t="s">
        <v>48</v>
      </c>
    </row>
    <row r="39315">
      <c r="H39315" s="50"/>
      <c r="I39315" s="50"/>
      <c r="O39315" s="36" t="s">
        <v>48</v>
      </c>
      <c r="R39315" s="36" t="s">
        <v>48</v>
      </c>
    </row>
    <row r="39316">
      <c r="H39316" s="50"/>
      <c r="I39316" s="50"/>
      <c r="O39316" s="36" t="s">
        <v>48</v>
      </c>
      <c r="R39316" s="36" t="s">
        <v>48</v>
      </c>
    </row>
    <row r="39317">
      <c r="H39317" s="50"/>
      <c r="I39317" s="50"/>
      <c r="O39317" s="36" t="s">
        <v>48</v>
      </c>
      <c r="R39317" s="36" t="s">
        <v>48</v>
      </c>
    </row>
    <row r="39318">
      <c r="H39318" s="50"/>
      <c r="I39318" s="50"/>
      <c r="O39318" s="36" t="s">
        <v>48</v>
      </c>
      <c r="R39318" s="36" t="s">
        <v>48</v>
      </c>
    </row>
    <row r="39319">
      <c r="H39319" s="50"/>
      <c r="I39319" s="50"/>
      <c r="O39319" s="36" t="s">
        <v>48</v>
      </c>
      <c r="R39319" s="36" t="s">
        <v>48</v>
      </c>
    </row>
    <row r="39320">
      <c r="H39320" s="50"/>
      <c r="I39320" s="50"/>
      <c r="O39320" s="36" t="s">
        <v>48</v>
      </c>
      <c r="R39320" s="36" t="s">
        <v>48</v>
      </c>
    </row>
    <row r="39321">
      <c r="H39321" s="50"/>
      <c r="I39321" s="50"/>
      <c r="O39321" s="36" t="s">
        <v>48</v>
      </c>
      <c r="R39321" s="36" t="s">
        <v>48</v>
      </c>
    </row>
    <row r="39322">
      <c r="H39322" s="50"/>
      <c r="I39322" s="50"/>
      <c r="O39322" s="36" t="s">
        <v>48</v>
      </c>
      <c r="R39322" s="36" t="s">
        <v>48</v>
      </c>
    </row>
    <row r="39323">
      <c r="H39323" s="50"/>
      <c r="I39323" s="50"/>
      <c r="O39323" s="36" t="s">
        <v>48</v>
      </c>
      <c r="R39323" s="36" t="s">
        <v>48</v>
      </c>
    </row>
    <row r="39324">
      <c r="H39324" s="50"/>
      <c r="I39324" s="50"/>
      <c r="O39324" s="36" t="s">
        <v>48</v>
      </c>
      <c r="R39324" s="36" t="s">
        <v>48</v>
      </c>
    </row>
    <row r="39325">
      <c r="H39325" s="50"/>
      <c r="I39325" s="50"/>
      <c r="O39325" s="36" t="s">
        <v>48</v>
      </c>
      <c r="R39325" s="36" t="s">
        <v>48</v>
      </c>
    </row>
    <row r="39326">
      <c r="H39326" s="50"/>
      <c r="I39326" s="50"/>
      <c r="O39326" s="36" t="s">
        <v>48</v>
      </c>
      <c r="R39326" s="36" t="s">
        <v>48</v>
      </c>
    </row>
    <row r="39327">
      <c r="H39327" s="50"/>
      <c r="I39327" s="50"/>
      <c r="O39327" s="36" t="s">
        <v>48</v>
      </c>
      <c r="R39327" s="36" t="s">
        <v>48</v>
      </c>
    </row>
    <row r="39328">
      <c r="H39328" s="50"/>
      <c r="I39328" s="50"/>
      <c r="O39328" s="36" t="s">
        <v>48</v>
      </c>
      <c r="R39328" s="36" t="s">
        <v>48</v>
      </c>
    </row>
    <row r="39329">
      <c r="H39329" s="50"/>
      <c r="I39329" s="50"/>
      <c r="O39329" s="36" t="s">
        <v>48</v>
      </c>
      <c r="R39329" s="36" t="s">
        <v>48</v>
      </c>
    </row>
    <row r="39330">
      <c r="H39330" s="50"/>
      <c r="I39330" s="50"/>
      <c r="O39330" s="36" t="s">
        <v>48</v>
      </c>
      <c r="R39330" s="36" t="s">
        <v>48</v>
      </c>
    </row>
    <row r="39331">
      <c r="H39331" s="50"/>
      <c r="I39331" s="50"/>
      <c r="O39331" s="36" t="s">
        <v>48</v>
      </c>
      <c r="R39331" s="36" t="s">
        <v>48</v>
      </c>
    </row>
    <row r="39332">
      <c r="H39332" s="50"/>
      <c r="I39332" s="50"/>
      <c r="O39332" s="36" t="s">
        <v>48</v>
      </c>
      <c r="R39332" s="36" t="s">
        <v>48</v>
      </c>
    </row>
    <row r="39333">
      <c r="H39333" s="50"/>
      <c r="I39333" s="50"/>
      <c r="O39333" s="36" t="s">
        <v>48</v>
      </c>
      <c r="R39333" s="36" t="s">
        <v>48</v>
      </c>
    </row>
    <row r="39334">
      <c r="H39334" s="50"/>
      <c r="I39334" s="50"/>
      <c r="O39334" s="36" t="s">
        <v>48</v>
      </c>
      <c r="R39334" s="36" t="s">
        <v>48</v>
      </c>
    </row>
    <row r="39335">
      <c r="H39335" s="50"/>
      <c r="I39335" s="50"/>
      <c r="O39335" s="36" t="s">
        <v>48</v>
      </c>
      <c r="R39335" s="36" t="s">
        <v>48</v>
      </c>
    </row>
    <row r="39336">
      <c r="H39336" s="50"/>
      <c r="I39336" s="50"/>
      <c r="O39336" s="36" t="s">
        <v>48</v>
      </c>
      <c r="R39336" s="36" t="s">
        <v>48</v>
      </c>
    </row>
    <row r="39337">
      <c r="H39337" s="50"/>
      <c r="I39337" s="50"/>
      <c r="O39337" s="36" t="s">
        <v>48</v>
      </c>
      <c r="R39337" s="36" t="s">
        <v>48</v>
      </c>
    </row>
    <row r="39338">
      <c r="H39338" s="50"/>
      <c r="I39338" s="50"/>
      <c r="O39338" s="36" t="s">
        <v>48</v>
      </c>
      <c r="R39338" s="36" t="s">
        <v>48</v>
      </c>
    </row>
    <row r="39339">
      <c r="H39339" s="50"/>
      <c r="I39339" s="50"/>
      <c r="O39339" s="36" t="s">
        <v>48</v>
      </c>
      <c r="R39339" s="36" t="s">
        <v>48</v>
      </c>
    </row>
    <row r="39340">
      <c r="H39340" s="50"/>
      <c r="I39340" s="50"/>
      <c r="O39340" s="36" t="s">
        <v>48</v>
      </c>
      <c r="R39340" s="36" t="s">
        <v>48</v>
      </c>
    </row>
    <row r="39341">
      <c r="H39341" s="50"/>
      <c r="I39341" s="50"/>
      <c r="O39341" s="36" t="s">
        <v>48</v>
      </c>
      <c r="R39341" s="36" t="s">
        <v>48</v>
      </c>
    </row>
    <row r="39342">
      <c r="H39342" s="50"/>
      <c r="I39342" s="50"/>
      <c r="O39342" s="36" t="s">
        <v>48</v>
      </c>
      <c r="R39342" s="36" t="s">
        <v>48</v>
      </c>
    </row>
    <row r="39343">
      <c r="H39343" s="50"/>
      <c r="I39343" s="50"/>
      <c r="O39343" s="36" t="s">
        <v>48</v>
      </c>
      <c r="R39343" s="36" t="s">
        <v>48</v>
      </c>
    </row>
    <row r="39344">
      <c r="H39344" s="50"/>
      <c r="I39344" s="50"/>
      <c r="O39344" s="36" t="s">
        <v>48</v>
      </c>
      <c r="R39344" s="36" t="s">
        <v>48</v>
      </c>
    </row>
    <row r="39345">
      <c r="H39345" s="50"/>
      <c r="I39345" s="50"/>
      <c r="O39345" s="36" t="s">
        <v>48</v>
      </c>
      <c r="R39345" s="36" t="s">
        <v>48</v>
      </c>
    </row>
    <row r="39346">
      <c r="H39346" s="50"/>
      <c r="I39346" s="50"/>
      <c r="O39346" s="36" t="s">
        <v>48</v>
      </c>
      <c r="R39346" s="36" t="s">
        <v>48</v>
      </c>
    </row>
    <row r="39347">
      <c r="H39347" s="50"/>
      <c r="I39347" s="50"/>
      <c r="O39347" s="36" t="s">
        <v>48</v>
      </c>
      <c r="R39347" s="36" t="s">
        <v>48</v>
      </c>
    </row>
    <row r="39348">
      <c r="H39348" s="50"/>
      <c r="I39348" s="50"/>
      <c r="O39348" s="36" t="s">
        <v>48</v>
      </c>
      <c r="R39348" s="36" t="s">
        <v>48</v>
      </c>
    </row>
    <row r="39349">
      <c r="H39349" s="50"/>
      <c r="I39349" s="50"/>
      <c r="O39349" s="36" t="s">
        <v>48</v>
      </c>
      <c r="R39349" s="36" t="s">
        <v>48</v>
      </c>
    </row>
    <row r="39350">
      <c r="H39350" s="50"/>
      <c r="I39350" s="50"/>
      <c r="O39350" s="36" t="s">
        <v>48</v>
      </c>
      <c r="R39350" s="36" t="s">
        <v>48</v>
      </c>
    </row>
    <row r="39351">
      <c r="H39351" s="50"/>
      <c r="I39351" s="50"/>
      <c r="O39351" s="36" t="s">
        <v>48</v>
      </c>
      <c r="R39351" s="36" t="s">
        <v>48</v>
      </c>
    </row>
    <row r="39352">
      <c r="H39352" s="50"/>
      <c r="I39352" s="50"/>
      <c r="O39352" s="36" t="s">
        <v>48</v>
      </c>
      <c r="R39352" s="36" t="s">
        <v>48</v>
      </c>
    </row>
    <row r="39353">
      <c r="H39353" s="50"/>
      <c r="I39353" s="50"/>
      <c r="O39353" s="36" t="s">
        <v>48</v>
      </c>
      <c r="R39353" s="36" t="s">
        <v>48</v>
      </c>
    </row>
    <row r="39354">
      <c r="H39354" s="50"/>
      <c r="I39354" s="50"/>
      <c r="O39354" s="36" t="s">
        <v>48</v>
      </c>
      <c r="R39354" s="36" t="s">
        <v>48</v>
      </c>
    </row>
    <row r="39355">
      <c r="H39355" s="50"/>
      <c r="I39355" s="50"/>
      <c r="O39355" s="36" t="s">
        <v>48</v>
      </c>
      <c r="R39355" s="36" t="s">
        <v>48</v>
      </c>
    </row>
    <row r="39356">
      <c r="H39356" s="50"/>
      <c r="I39356" s="50"/>
      <c r="O39356" s="36" t="s">
        <v>48</v>
      </c>
      <c r="R39356" s="36" t="s">
        <v>48</v>
      </c>
    </row>
    <row r="39357">
      <c r="H39357" s="50"/>
      <c r="I39357" s="50"/>
      <c r="O39357" s="36" t="s">
        <v>48</v>
      </c>
      <c r="R39357" s="36" t="s">
        <v>48</v>
      </c>
    </row>
    <row r="39358">
      <c r="H39358" s="50"/>
      <c r="I39358" s="50"/>
      <c r="O39358" s="36" t="s">
        <v>48</v>
      </c>
      <c r="R39358" s="36" t="s">
        <v>48</v>
      </c>
    </row>
    <row r="39359">
      <c r="H39359" s="50"/>
      <c r="I39359" s="50"/>
      <c r="O39359" s="36" t="s">
        <v>48</v>
      </c>
      <c r="R39359" s="36" t="s">
        <v>48</v>
      </c>
    </row>
    <row r="39360">
      <c r="H39360" s="50"/>
      <c r="I39360" s="50"/>
      <c r="O39360" s="36" t="s">
        <v>48</v>
      </c>
      <c r="R39360" s="36" t="s">
        <v>48</v>
      </c>
    </row>
    <row r="39361">
      <c r="H39361" s="50"/>
      <c r="I39361" s="50"/>
      <c r="O39361" s="36" t="s">
        <v>48</v>
      </c>
      <c r="R39361" s="36" t="s">
        <v>48</v>
      </c>
    </row>
    <row r="39362">
      <c r="H39362" s="50"/>
      <c r="I39362" s="50"/>
      <c r="O39362" s="36" t="s">
        <v>48</v>
      </c>
      <c r="R39362" s="36" t="s">
        <v>48</v>
      </c>
    </row>
    <row r="39363">
      <c r="H39363" s="50"/>
      <c r="I39363" s="50"/>
      <c r="O39363" s="36" t="s">
        <v>48</v>
      </c>
      <c r="R39363" s="36" t="s">
        <v>48</v>
      </c>
    </row>
    <row r="39364">
      <c r="H39364" s="50"/>
      <c r="I39364" s="50"/>
      <c r="O39364" s="36" t="s">
        <v>48</v>
      </c>
      <c r="R39364" s="36" t="s">
        <v>48</v>
      </c>
    </row>
    <row r="39365">
      <c r="H39365" s="50"/>
      <c r="I39365" s="50"/>
      <c r="O39365" s="36" t="s">
        <v>48</v>
      </c>
      <c r="R39365" s="36" t="s">
        <v>48</v>
      </c>
    </row>
    <row r="39366">
      <c r="H39366" s="50"/>
      <c r="I39366" s="50"/>
      <c r="O39366" s="36" t="s">
        <v>48</v>
      </c>
      <c r="R39366" s="36" t="s">
        <v>48</v>
      </c>
    </row>
    <row r="39367">
      <c r="H39367" s="50"/>
      <c r="I39367" s="50"/>
      <c r="O39367" s="36" t="s">
        <v>48</v>
      </c>
      <c r="R39367" s="36" t="s">
        <v>48</v>
      </c>
    </row>
    <row r="39368">
      <c r="H39368" s="50"/>
      <c r="I39368" s="50"/>
      <c r="O39368" s="36" t="s">
        <v>48</v>
      </c>
      <c r="R39368" s="36" t="s">
        <v>48</v>
      </c>
    </row>
    <row r="39369">
      <c r="H39369" s="50"/>
      <c r="I39369" s="50"/>
      <c r="O39369" s="36" t="s">
        <v>48</v>
      </c>
      <c r="R39369" s="36" t="s">
        <v>48</v>
      </c>
    </row>
    <row r="39370">
      <c r="H39370" s="50"/>
      <c r="I39370" s="50"/>
      <c r="O39370" s="36" t="s">
        <v>48</v>
      </c>
      <c r="R39370" s="36" t="s">
        <v>48</v>
      </c>
    </row>
    <row r="39371">
      <c r="H39371" s="50"/>
      <c r="I39371" s="50"/>
      <c r="O39371" s="36" t="s">
        <v>48</v>
      </c>
      <c r="R39371" s="36" t="s">
        <v>48</v>
      </c>
    </row>
    <row r="39372">
      <c r="H39372" s="50"/>
      <c r="I39372" s="50"/>
      <c r="O39372" s="36" t="s">
        <v>48</v>
      </c>
      <c r="R39372" s="36" t="s">
        <v>48</v>
      </c>
    </row>
    <row r="39373">
      <c r="H39373" s="50"/>
      <c r="I39373" s="50"/>
      <c r="O39373" s="36" t="s">
        <v>48</v>
      </c>
      <c r="R39373" s="36" t="s">
        <v>48</v>
      </c>
    </row>
    <row r="39374">
      <c r="H39374" s="50"/>
      <c r="I39374" s="50"/>
      <c r="O39374" s="36" t="s">
        <v>48</v>
      </c>
      <c r="R39374" s="36" t="s">
        <v>48</v>
      </c>
    </row>
    <row r="39375">
      <c r="H39375" s="50"/>
      <c r="I39375" s="50"/>
      <c r="O39375" s="36" t="s">
        <v>48</v>
      </c>
      <c r="R39375" s="36" t="s">
        <v>48</v>
      </c>
    </row>
    <row r="39376">
      <c r="H39376" s="50"/>
      <c r="I39376" s="50"/>
      <c r="O39376" s="36" t="s">
        <v>48</v>
      </c>
      <c r="R39376" s="36" t="s">
        <v>48</v>
      </c>
    </row>
    <row r="39377">
      <c r="H39377" s="50"/>
      <c r="I39377" s="50"/>
      <c r="O39377" s="36" t="s">
        <v>48</v>
      </c>
      <c r="R39377" s="36" t="s">
        <v>48</v>
      </c>
    </row>
    <row r="39378">
      <c r="H39378" s="50"/>
      <c r="I39378" s="50"/>
      <c r="O39378" s="36" t="s">
        <v>48</v>
      </c>
      <c r="R39378" s="36" t="s">
        <v>48</v>
      </c>
    </row>
    <row r="39379">
      <c r="H39379" s="50"/>
      <c r="I39379" s="50"/>
      <c r="O39379" s="36" t="s">
        <v>48</v>
      </c>
      <c r="R39379" s="36" t="s">
        <v>48</v>
      </c>
    </row>
    <row r="39380">
      <c r="H39380" s="50"/>
      <c r="I39380" s="50"/>
      <c r="O39380" s="36" t="s">
        <v>48</v>
      </c>
      <c r="R39380" s="36" t="s">
        <v>48</v>
      </c>
    </row>
    <row r="39381">
      <c r="H39381" s="50"/>
      <c r="I39381" s="50"/>
      <c r="O39381" s="36" t="s">
        <v>48</v>
      </c>
      <c r="R39381" s="36" t="s">
        <v>48</v>
      </c>
    </row>
    <row r="39382">
      <c r="H39382" s="50"/>
      <c r="I39382" s="50"/>
      <c r="O39382" s="36" t="s">
        <v>48</v>
      </c>
      <c r="R39382" s="36" t="s">
        <v>48</v>
      </c>
    </row>
    <row r="39383">
      <c r="H39383" s="50"/>
      <c r="I39383" s="50"/>
      <c r="O39383" s="36" t="s">
        <v>48</v>
      </c>
      <c r="R39383" s="36" t="s">
        <v>48</v>
      </c>
    </row>
    <row r="39384">
      <c r="H39384" s="50"/>
      <c r="I39384" s="50"/>
      <c r="O39384" s="36" t="s">
        <v>48</v>
      </c>
      <c r="R39384" s="36" t="s">
        <v>48</v>
      </c>
    </row>
    <row r="39385">
      <c r="H39385" s="50"/>
      <c r="I39385" s="50"/>
      <c r="O39385" s="36" t="s">
        <v>48</v>
      </c>
      <c r="R39385" s="36" t="s">
        <v>48</v>
      </c>
    </row>
    <row r="39386">
      <c r="H39386" s="50"/>
      <c r="I39386" s="50"/>
      <c r="O39386" s="36" t="s">
        <v>48</v>
      </c>
      <c r="R39386" s="36" t="s">
        <v>48</v>
      </c>
    </row>
    <row r="39387">
      <c r="H39387" s="50"/>
      <c r="I39387" s="50"/>
      <c r="O39387" s="36" t="s">
        <v>48</v>
      </c>
      <c r="R39387" s="36" t="s">
        <v>48</v>
      </c>
    </row>
    <row r="39388">
      <c r="H39388" s="50"/>
      <c r="I39388" s="50"/>
      <c r="O39388" s="36" t="s">
        <v>48</v>
      </c>
      <c r="R39388" s="36" t="s">
        <v>48</v>
      </c>
    </row>
    <row r="39389">
      <c r="H39389" s="50"/>
      <c r="I39389" s="50"/>
      <c r="O39389" s="36" t="s">
        <v>48</v>
      </c>
      <c r="R39389" s="36" t="s">
        <v>48</v>
      </c>
    </row>
    <row r="39390">
      <c r="H39390" s="50"/>
      <c r="I39390" s="50"/>
      <c r="O39390" s="36" t="s">
        <v>48</v>
      </c>
      <c r="R39390" s="36" t="s">
        <v>48</v>
      </c>
    </row>
    <row r="39391">
      <c r="H39391" s="50"/>
      <c r="I39391" s="50"/>
      <c r="O39391" s="36" t="s">
        <v>48</v>
      </c>
      <c r="R39391" s="36" t="s">
        <v>48</v>
      </c>
    </row>
    <row r="39392">
      <c r="H39392" s="50"/>
      <c r="I39392" s="50"/>
      <c r="O39392" s="36" t="s">
        <v>48</v>
      </c>
      <c r="R39392" s="36" t="s">
        <v>48</v>
      </c>
    </row>
    <row r="39393">
      <c r="H39393" s="50"/>
      <c r="I39393" s="50"/>
      <c r="O39393" s="36" t="s">
        <v>48</v>
      </c>
      <c r="R39393" s="36" t="s">
        <v>48</v>
      </c>
    </row>
    <row r="39394">
      <c r="H39394" s="50"/>
      <c r="I39394" s="50"/>
      <c r="O39394" s="36" t="s">
        <v>48</v>
      </c>
      <c r="R39394" s="36" t="s">
        <v>48</v>
      </c>
    </row>
    <row r="39395">
      <c r="H39395" s="50"/>
      <c r="I39395" s="50"/>
      <c r="O39395" s="36" t="s">
        <v>48</v>
      </c>
      <c r="R39395" s="36" t="s">
        <v>48</v>
      </c>
    </row>
    <row r="39396">
      <c r="H39396" s="50"/>
      <c r="I39396" s="50"/>
      <c r="O39396" s="36" t="s">
        <v>48</v>
      </c>
      <c r="R39396" s="36" t="s">
        <v>48</v>
      </c>
    </row>
    <row r="39397">
      <c r="H39397" s="50"/>
      <c r="I39397" s="50"/>
      <c r="O39397" s="36" t="s">
        <v>48</v>
      </c>
      <c r="R39397" s="36" t="s">
        <v>48</v>
      </c>
    </row>
    <row r="39398">
      <c r="H39398" s="50"/>
      <c r="I39398" s="50"/>
      <c r="O39398" s="36" t="s">
        <v>48</v>
      </c>
      <c r="R39398" s="36" t="s">
        <v>48</v>
      </c>
    </row>
    <row r="39399">
      <c r="H39399" s="50"/>
      <c r="I39399" s="50"/>
      <c r="O39399" s="36" t="s">
        <v>48</v>
      </c>
      <c r="R39399" s="36" t="s">
        <v>48</v>
      </c>
    </row>
    <row r="39400">
      <c r="H39400" s="50"/>
      <c r="I39400" s="50"/>
      <c r="O39400" s="36" t="s">
        <v>48</v>
      </c>
      <c r="R39400" s="36" t="s">
        <v>48</v>
      </c>
    </row>
    <row r="39401">
      <c r="H39401" s="50"/>
      <c r="I39401" s="50"/>
      <c r="O39401" s="36" t="s">
        <v>48</v>
      </c>
      <c r="R39401" s="36" t="s">
        <v>48</v>
      </c>
    </row>
    <row r="39402">
      <c r="H39402" s="50"/>
      <c r="I39402" s="50"/>
      <c r="O39402" s="36" t="s">
        <v>48</v>
      </c>
      <c r="R39402" s="36" t="s">
        <v>48</v>
      </c>
    </row>
    <row r="39403">
      <c r="H39403" s="50"/>
      <c r="I39403" s="50"/>
      <c r="O39403" s="36" t="s">
        <v>48</v>
      </c>
      <c r="R39403" s="36" t="s">
        <v>48</v>
      </c>
    </row>
    <row r="39404">
      <c r="H39404" s="50"/>
      <c r="I39404" s="50"/>
      <c r="O39404" s="36" t="s">
        <v>48</v>
      </c>
      <c r="R39404" s="36" t="s">
        <v>48</v>
      </c>
    </row>
    <row r="39405">
      <c r="H39405" s="50"/>
      <c r="I39405" s="50"/>
      <c r="O39405" s="36" t="s">
        <v>48</v>
      </c>
      <c r="R39405" s="36" t="s">
        <v>48</v>
      </c>
    </row>
    <row r="39406">
      <c r="H39406" s="50"/>
      <c r="I39406" s="50"/>
      <c r="O39406" s="36" t="s">
        <v>48</v>
      </c>
      <c r="R39406" s="36" t="s">
        <v>48</v>
      </c>
    </row>
    <row r="39407">
      <c r="H39407" s="50"/>
      <c r="I39407" s="50"/>
      <c r="O39407" s="36" t="s">
        <v>48</v>
      </c>
      <c r="R39407" s="36" t="s">
        <v>48</v>
      </c>
    </row>
    <row r="39408">
      <c r="H39408" s="50"/>
      <c r="I39408" s="50"/>
      <c r="O39408" s="36" t="s">
        <v>48</v>
      </c>
      <c r="R39408" s="36" t="s">
        <v>48</v>
      </c>
    </row>
    <row r="39409">
      <c r="H39409" s="50"/>
      <c r="I39409" s="50"/>
      <c r="O39409" s="36" t="s">
        <v>48</v>
      </c>
      <c r="R39409" s="36" t="s">
        <v>48</v>
      </c>
    </row>
    <row r="39410">
      <c r="H39410" s="50"/>
      <c r="I39410" s="50"/>
      <c r="O39410" s="36" t="s">
        <v>48</v>
      </c>
      <c r="R39410" s="36" t="s">
        <v>48</v>
      </c>
    </row>
    <row r="39411">
      <c r="H39411" s="50"/>
      <c r="I39411" s="50"/>
      <c r="O39411" s="36" t="s">
        <v>48</v>
      </c>
      <c r="R39411" s="36" t="s">
        <v>48</v>
      </c>
    </row>
    <row r="39412">
      <c r="H39412" s="50"/>
      <c r="I39412" s="50"/>
      <c r="O39412" s="36" t="s">
        <v>48</v>
      </c>
      <c r="R39412" s="36" t="s">
        <v>48</v>
      </c>
    </row>
    <row r="39413">
      <c r="H39413" s="50"/>
      <c r="I39413" s="50"/>
      <c r="O39413" s="36" t="s">
        <v>48</v>
      </c>
      <c r="R39413" s="36" t="s">
        <v>48</v>
      </c>
    </row>
    <row r="39414">
      <c r="H39414" s="50"/>
      <c r="I39414" s="50"/>
      <c r="O39414" s="36" t="s">
        <v>48</v>
      </c>
      <c r="R39414" s="36" t="s">
        <v>48</v>
      </c>
    </row>
    <row r="39415">
      <c r="H39415" s="50"/>
      <c r="I39415" s="50"/>
      <c r="O39415" s="36" t="s">
        <v>48</v>
      </c>
      <c r="R39415" s="36" t="s">
        <v>48</v>
      </c>
    </row>
    <row r="39416">
      <c r="H39416" s="50"/>
      <c r="I39416" s="50"/>
      <c r="O39416" s="36" t="s">
        <v>48</v>
      </c>
      <c r="R39416" s="36" t="s">
        <v>48</v>
      </c>
    </row>
    <row r="39417">
      <c r="H39417" s="50"/>
      <c r="I39417" s="50"/>
      <c r="O39417" s="36" t="s">
        <v>48</v>
      </c>
      <c r="R39417" s="36" t="s">
        <v>48</v>
      </c>
    </row>
    <row r="39418">
      <c r="H39418" s="50"/>
      <c r="I39418" s="50"/>
      <c r="O39418" s="36" t="s">
        <v>48</v>
      </c>
      <c r="R39418" s="36" t="s">
        <v>48</v>
      </c>
    </row>
    <row r="39419">
      <c r="H39419" s="50"/>
      <c r="I39419" s="50"/>
      <c r="O39419" s="36" t="s">
        <v>48</v>
      </c>
      <c r="R39419" s="36" t="s">
        <v>48</v>
      </c>
    </row>
    <row r="39420">
      <c r="H39420" s="50"/>
      <c r="I39420" s="50"/>
      <c r="O39420" s="36" t="s">
        <v>48</v>
      </c>
      <c r="R39420" s="36" t="s">
        <v>48</v>
      </c>
    </row>
    <row r="39421">
      <c r="H39421" s="50"/>
      <c r="I39421" s="50"/>
      <c r="O39421" s="36" t="s">
        <v>48</v>
      </c>
      <c r="R39421" s="36" t="s">
        <v>48</v>
      </c>
    </row>
    <row r="39422">
      <c r="H39422" s="50"/>
      <c r="I39422" s="50"/>
      <c r="O39422" s="36" t="s">
        <v>48</v>
      </c>
      <c r="R39422" s="36" t="s">
        <v>48</v>
      </c>
    </row>
    <row r="39423">
      <c r="H39423" s="50"/>
      <c r="I39423" s="50"/>
      <c r="O39423" s="36" t="s">
        <v>48</v>
      </c>
      <c r="R39423" s="36" t="s">
        <v>48</v>
      </c>
    </row>
    <row r="39424">
      <c r="H39424" s="50"/>
      <c r="I39424" s="50"/>
      <c r="O39424" s="36" t="s">
        <v>48</v>
      </c>
      <c r="R39424" s="36" t="s">
        <v>48</v>
      </c>
    </row>
    <row r="39425">
      <c r="H39425" s="50"/>
      <c r="I39425" s="50"/>
      <c r="O39425" s="36" t="s">
        <v>48</v>
      </c>
      <c r="R39425" s="36" t="s">
        <v>48</v>
      </c>
    </row>
    <row r="39426">
      <c r="H39426" s="50"/>
      <c r="I39426" s="50"/>
      <c r="O39426" s="36" t="s">
        <v>48</v>
      </c>
      <c r="R39426" s="36" t="s">
        <v>48</v>
      </c>
    </row>
    <row r="39427">
      <c r="H39427" s="50"/>
      <c r="I39427" s="50"/>
      <c r="O39427" s="36" t="s">
        <v>48</v>
      </c>
      <c r="R39427" s="36" t="s">
        <v>48</v>
      </c>
    </row>
    <row r="39428">
      <c r="H39428" s="50"/>
      <c r="I39428" s="50"/>
      <c r="O39428" s="36" t="s">
        <v>48</v>
      </c>
      <c r="R39428" s="36" t="s">
        <v>48</v>
      </c>
    </row>
    <row r="39429">
      <c r="H39429" s="50"/>
      <c r="I39429" s="50"/>
      <c r="O39429" s="36" t="s">
        <v>48</v>
      </c>
      <c r="R39429" s="36" t="s">
        <v>48</v>
      </c>
    </row>
    <row r="39430">
      <c r="H39430" s="50"/>
      <c r="I39430" s="50"/>
      <c r="O39430" s="36" t="s">
        <v>48</v>
      </c>
      <c r="R39430" s="36" t="s">
        <v>48</v>
      </c>
    </row>
    <row r="39431">
      <c r="H39431" s="50"/>
      <c r="I39431" s="50"/>
      <c r="O39431" s="36" t="s">
        <v>48</v>
      </c>
      <c r="R39431" s="36" t="s">
        <v>48</v>
      </c>
    </row>
    <row r="39432">
      <c r="H39432" s="50"/>
      <c r="I39432" s="50"/>
      <c r="O39432" s="36" t="s">
        <v>48</v>
      </c>
      <c r="R39432" s="36" t="s">
        <v>48</v>
      </c>
    </row>
    <row r="39433">
      <c r="H39433" s="50"/>
      <c r="I39433" s="50"/>
      <c r="O39433" s="36" t="s">
        <v>48</v>
      </c>
      <c r="R39433" s="36" t="s">
        <v>48</v>
      </c>
    </row>
    <row r="39434">
      <c r="H39434" s="50"/>
      <c r="I39434" s="50"/>
      <c r="O39434" s="36" t="s">
        <v>48</v>
      </c>
      <c r="R39434" s="36" t="s">
        <v>48</v>
      </c>
    </row>
    <row r="39435">
      <c r="H39435" s="50"/>
      <c r="I39435" s="50"/>
      <c r="O39435" s="36" t="s">
        <v>48</v>
      </c>
      <c r="R39435" s="36" t="s">
        <v>48</v>
      </c>
    </row>
    <row r="39436">
      <c r="H39436" s="50"/>
      <c r="I39436" s="50"/>
      <c r="O39436" s="36" t="s">
        <v>48</v>
      </c>
      <c r="R39436" s="36" t="s">
        <v>48</v>
      </c>
    </row>
    <row r="39437">
      <c r="H39437" s="50"/>
      <c r="I39437" s="50"/>
      <c r="O39437" s="36" t="s">
        <v>48</v>
      </c>
      <c r="R39437" s="36" t="s">
        <v>48</v>
      </c>
    </row>
    <row r="39438">
      <c r="H39438" s="50"/>
      <c r="I39438" s="50"/>
      <c r="O39438" s="36" t="s">
        <v>48</v>
      </c>
      <c r="R39438" s="36" t="s">
        <v>48</v>
      </c>
    </row>
    <row r="39439">
      <c r="H39439" s="50"/>
      <c r="I39439" s="50"/>
      <c r="O39439" s="36" t="s">
        <v>48</v>
      </c>
      <c r="R39439" s="36" t="s">
        <v>48</v>
      </c>
    </row>
    <row r="39440">
      <c r="H39440" s="50"/>
      <c r="I39440" s="50"/>
      <c r="O39440" s="36" t="s">
        <v>48</v>
      </c>
      <c r="R39440" s="36" t="s">
        <v>48</v>
      </c>
    </row>
    <row r="39441">
      <c r="H39441" s="50"/>
      <c r="I39441" s="50"/>
      <c r="O39441" s="36" t="s">
        <v>48</v>
      </c>
      <c r="R39441" s="36" t="s">
        <v>48</v>
      </c>
    </row>
    <row r="39442">
      <c r="H39442" s="50"/>
      <c r="I39442" s="50"/>
      <c r="O39442" s="36" t="s">
        <v>48</v>
      </c>
      <c r="R39442" s="36" t="s">
        <v>48</v>
      </c>
    </row>
    <row r="39443">
      <c r="H39443" s="50"/>
      <c r="I39443" s="50"/>
      <c r="O39443" s="36" t="s">
        <v>48</v>
      </c>
      <c r="R39443" s="36" t="s">
        <v>48</v>
      </c>
    </row>
    <row r="39444">
      <c r="H39444" s="50"/>
      <c r="I39444" s="50"/>
      <c r="O39444" s="36" t="s">
        <v>48</v>
      </c>
      <c r="R39444" s="36" t="s">
        <v>48</v>
      </c>
    </row>
    <row r="39445">
      <c r="H39445" s="50"/>
      <c r="I39445" s="50"/>
      <c r="O39445" s="36" t="s">
        <v>48</v>
      </c>
      <c r="R39445" s="36" t="s">
        <v>48</v>
      </c>
    </row>
    <row r="39446">
      <c r="H39446" s="50"/>
      <c r="I39446" s="50"/>
      <c r="O39446" s="36" t="s">
        <v>48</v>
      </c>
      <c r="R39446" s="36" t="s">
        <v>48</v>
      </c>
    </row>
    <row r="39447">
      <c r="H39447" s="50"/>
      <c r="I39447" s="50"/>
      <c r="O39447" s="36" t="s">
        <v>48</v>
      </c>
      <c r="R39447" s="36" t="s">
        <v>48</v>
      </c>
    </row>
    <row r="39448">
      <c r="H39448" s="50"/>
      <c r="I39448" s="50"/>
      <c r="O39448" s="36" t="s">
        <v>48</v>
      </c>
      <c r="R39448" s="36" t="s">
        <v>48</v>
      </c>
    </row>
    <row r="39449">
      <c r="H39449" s="50"/>
      <c r="I39449" s="50"/>
      <c r="O39449" s="36" t="s">
        <v>48</v>
      </c>
      <c r="R39449" s="36" t="s">
        <v>48</v>
      </c>
    </row>
    <row r="39450">
      <c r="H39450" s="50"/>
      <c r="I39450" s="50"/>
      <c r="O39450" s="36" t="s">
        <v>48</v>
      </c>
      <c r="R39450" s="36" t="s">
        <v>48</v>
      </c>
    </row>
    <row r="39451">
      <c r="H39451" s="50"/>
      <c r="I39451" s="50"/>
      <c r="O39451" s="36" t="s">
        <v>48</v>
      </c>
      <c r="R39451" s="36" t="s">
        <v>48</v>
      </c>
    </row>
    <row r="39452">
      <c r="H39452" s="50"/>
      <c r="I39452" s="50"/>
      <c r="O39452" s="36" t="s">
        <v>48</v>
      </c>
      <c r="R39452" s="36" t="s">
        <v>48</v>
      </c>
    </row>
    <row r="39453">
      <c r="H39453" s="50"/>
      <c r="I39453" s="50"/>
      <c r="O39453" s="36" t="s">
        <v>48</v>
      </c>
      <c r="R39453" s="36" t="s">
        <v>48</v>
      </c>
    </row>
    <row r="39454">
      <c r="H39454" s="50"/>
      <c r="I39454" s="50"/>
      <c r="O39454" s="36" t="s">
        <v>48</v>
      </c>
      <c r="R39454" s="36" t="s">
        <v>48</v>
      </c>
    </row>
    <row r="39455">
      <c r="H39455" s="50"/>
      <c r="I39455" s="50"/>
      <c r="O39455" s="36" t="s">
        <v>48</v>
      </c>
      <c r="R39455" s="36" t="s">
        <v>48</v>
      </c>
    </row>
    <row r="39456">
      <c r="H39456" s="50"/>
      <c r="I39456" s="50"/>
      <c r="O39456" s="36" t="s">
        <v>48</v>
      </c>
      <c r="R39456" s="36" t="s">
        <v>48</v>
      </c>
    </row>
    <row r="39457">
      <c r="H39457" s="50"/>
      <c r="I39457" s="50"/>
      <c r="O39457" s="36" t="s">
        <v>48</v>
      </c>
      <c r="R39457" s="36" t="s">
        <v>48</v>
      </c>
    </row>
    <row r="39458">
      <c r="H39458" s="50"/>
      <c r="I39458" s="50"/>
      <c r="O39458" s="36" t="s">
        <v>48</v>
      </c>
      <c r="R39458" s="36" t="s">
        <v>48</v>
      </c>
    </row>
    <row r="39459">
      <c r="H39459" s="50"/>
      <c r="I39459" s="50"/>
      <c r="O39459" s="36" t="s">
        <v>48</v>
      </c>
      <c r="R39459" s="36" t="s">
        <v>48</v>
      </c>
    </row>
    <row r="39460">
      <c r="H39460" s="50"/>
      <c r="I39460" s="50"/>
      <c r="O39460" s="36" t="s">
        <v>48</v>
      </c>
      <c r="R39460" s="36" t="s">
        <v>48</v>
      </c>
    </row>
    <row r="39461">
      <c r="H39461" s="50"/>
      <c r="I39461" s="50"/>
      <c r="O39461" s="36" t="s">
        <v>48</v>
      </c>
      <c r="R39461" s="36" t="s">
        <v>48</v>
      </c>
    </row>
    <row r="39462">
      <c r="H39462" s="50"/>
      <c r="I39462" s="50"/>
      <c r="O39462" s="36" t="s">
        <v>48</v>
      </c>
      <c r="R39462" s="36" t="s">
        <v>48</v>
      </c>
    </row>
    <row r="39463">
      <c r="H39463" s="50"/>
      <c r="I39463" s="50"/>
      <c r="O39463" s="36" t="s">
        <v>48</v>
      </c>
      <c r="R39463" s="36" t="s">
        <v>48</v>
      </c>
    </row>
    <row r="39464">
      <c r="H39464" s="50"/>
      <c r="I39464" s="50"/>
      <c r="O39464" s="36" t="s">
        <v>48</v>
      </c>
      <c r="R39464" s="36" t="s">
        <v>48</v>
      </c>
    </row>
    <row r="39465">
      <c r="H39465" s="50"/>
      <c r="I39465" s="50"/>
      <c r="O39465" s="36" t="s">
        <v>48</v>
      </c>
      <c r="R39465" s="36" t="s">
        <v>48</v>
      </c>
    </row>
    <row r="39466">
      <c r="H39466" s="50"/>
      <c r="I39466" s="50"/>
      <c r="O39466" s="36" t="s">
        <v>48</v>
      </c>
      <c r="R39466" s="36" t="s">
        <v>48</v>
      </c>
    </row>
    <row r="39467">
      <c r="H39467" s="50"/>
      <c r="I39467" s="50"/>
      <c r="O39467" s="36" t="s">
        <v>48</v>
      </c>
      <c r="R39467" s="36" t="s">
        <v>48</v>
      </c>
    </row>
    <row r="39468">
      <c r="H39468" s="50"/>
      <c r="I39468" s="50"/>
      <c r="O39468" s="36" t="s">
        <v>48</v>
      </c>
      <c r="R39468" s="36" t="s">
        <v>48</v>
      </c>
    </row>
    <row r="39469">
      <c r="H39469" s="50"/>
      <c r="I39469" s="50"/>
      <c r="O39469" s="36" t="s">
        <v>48</v>
      </c>
      <c r="R39469" s="36" t="s">
        <v>48</v>
      </c>
    </row>
    <row r="39470">
      <c r="H39470" s="50"/>
      <c r="I39470" s="50"/>
      <c r="O39470" s="36" t="s">
        <v>48</v>
      </c>
      <c r="R39470" s="36" t="s">
        <v>48</v>
      </c>
    </row>
    <row r="39471">
      <c r="H39471" s="50"/>
      <c r="I39471" s="50"/>
      <c r="O39471" s="36" t="s">
        <v>48</v>
      </c>
      <c r="R39471" s="36" t="s">
        <v>48</v>
      </c>
    </row>
    <row r="39472">
      <c r="H39472" s="50"/>
      <c r="I39472" s="50"/>
      <c r="O39472" s="36" t="s">
        <v>48</v>
      </c>
      <c r="R39472" s="36" t="s">
        <v>48</v>
      </c>
    </row>
    <row r="39473">
      <c r="H39473" s="50"/>
      <c r="I39473" s="50"/>
      <c r="O39473" s="36" t="s">
        <v>48</v>
      </c>
      <c r="R39473" s="36" t="s">
        <v>48</v>
      </c>
    </row>
    <row r="39474">
      <c r="H39474" s="50"/>
      <c r="I39474" s="50"/>
      <c r="O39474" s="36" t="s">
        <v>48</v>
      </c>
      <c r="R39474" s="36" t="s">
        <v>48</v>
      </c>
    </row>
    <row r="39475">
      <c r="H39475" s="50"/>
      <c r="I39475" s="50"/>
      <c r="O39475" s="36" t="s">
        <v>48</v>
      </c>
      <c r="R39475" s="36" t="s">
        <v>48</v>
      </c>
    </row>
    <row r="39476">
      <c r="H39476" s="50"/>
      <c r="I39476" s="50"/>
      <c r="O39476" s="36" t="s">
        <v>48</v>
      </c>
      <c r="R39476" s="36" t="s">
        <v>48</v>
      </c>
    </row>
    <row r="39477">
      <c r="H39477" s="50"/>
      <c r="I39477" s="50"/>
      <c r="O39477" s="36" t="s">
        <v>48</v>
      </c>
      <c r="R39477" s="36" t="s">
        <v>48</v>
      </c>
    </row>
    <row r="39478">
      <c r="H39478" s="50"/>
      <c r="I39478" s="50"/>
      <c r="O39478" s="36" t="s">
        <v>48</v>
      </c>
      <c r="R39478" s="36" t="s">
        <v>48</v>
      </c>
    </row>
    <row r="39479">
      <c r="H39479" s="50"/>
      <c r="I39479" s="50"/>
      <c r="O39479" s="36" t="s">
        <v>48</v>
      </c>
      <c r="R39479" s="36" t="s">
        <v>48</v>
      </c>
    </row>
    <row r="39480">
      <c r="H39480" s="50"/>
      <c r="I39480" s="50"/>
      <c r="O39480" s="36" t="s">
        <v>48</v>
      </c>
      <c r="R39480" s="36" t="s">
        <v>48</v>
      </c>
    </row>
    <row r="39481">
      <c r="H39481" s="50"/>
      <c r="I39481" s="50"/>
      <c r="O39481" s="36" t="s">
        <v>48</v>
      </c>
      <c r="R39481" s="36" t="s">
        <v>48</v>
      </c>
    </row>
    <row r="39482">
      <c r="H39482" s="50"/>
      <c r="I39482" s="50"/>
      <c r="O39482" s="36" t="s">
        <v>48</v>
      </c>
      <c r="R39482" s="36" t="s">
        <v>48</v>
      </c>
    </row>
    <row r="39483">
      <c r="H39483" s="50"/>
      <c r="I39483" s="50"/>
      <c r="O39483" s="36" t="s">
        <v>48</v>
      </c>
      <c r="R39483" s="36" t="s">
        <v>48</v>
      </c>
    </row>
    <row r="39484">
      <c r="H39484" s="50"/>
      <c r="I39484" s="50"/>
      <c r="O39484" s="36" t="s">
        <v>48</v>
      </c>
      <c r="R39484" s="36" t="s">
        <v>48</v>
      </c>
    </row>
    <row r="39485">
      <c r="H39485" s="50"/>
      <c r="I39485" s="50"/>
      <c r="O39485" s="36" t="s">
        <v>48</v>
      </c>
      <c r="R39485" s="36" t="s">
        <v>48</v>
      </c>
    </row>
    <row r="39486">
      <c r="H39486" s="50"/>
      <c r="I39486" s="50"/>
      <c r="O39486" s="36" t="s">
        <v>48</v>
      </c>
      <c r="R39486" s="36" t="s">
        <v>48</v>
      </c>
    </row>
    <row r="39487">
      <c r="H39487" s="50"/>
      <c r="I39487" s="50"/>
      <c r="O39487" s="36" t="s">
        <v>48</v>
      </c>
      <c r="R39487" s="36" t="s">
        <v>48</v>
      </c>
    </row>
    <row r="39488">
      <c r="H39488" s="50"/>
      <c r="I39488" s="50"/>
      <c r="O39488" s="36" t="s">
        <v>48</v>
      </c>
      <c r="R39488" s="36" t="s">
        <v>48</v>
      </c>
    </row>
    <row r="39489">
      <c r="H39489" s="50"/>
      <c r="I39489" s="50"/>
      <c r="O39489" s="36" t="s">
        <v>48</v>
      </c>
      <c r="R39489" s="36" t="s">
        <v>48</v>
      </c>
    </row>
    <row r="39490">
      <c r="H39490" s="50"/>
      <c r="I39490" s="50"/>
      <c r="O39490" s="36" t="s">
        <v>48</v>
      </c>
      <c r="R39490" s="36" t="s">
        <v>48</v>
      </c>
    </row>
    <row r="39491">
      <c r="H39491" s="50"/>
      <c r="I39491" s="50"/>
      <c r="O39491" s="36" t="s">
        <v>48</v>
      </c>
      <c r="R39491" s="36" t="s">
        <v>48</v>
      </c>
    </row>
    <row r="39492">
      <c r="H39492" s="50"/>
      <c r="I39492" s="50"/>
      <c r="O39492" s="36" t="s">
        <v>48</v>
      </c>
      <c r="R39492" s="36" t="s">
        <v>48</v>
      </c>
    </row>
    <row r="39493">
      <c r="H39493" s="50"/>
      <c r="I39493" s="50"/>
      <c r="O39493" s="36" t="s">
        <v>48</v>
      </c>
      <c r="R39493" s="36" t="s">
        <v>48</v>
      </c>
    </row>
    <row r="39494">
      <c r="H39494" s="50"/>
      <c r="I39494" s="50"/>
      <c r="O39494" s="36" t="s">
        <v>48</v>
      </c>
      <c r="R39494" s="36" t="s">
        <v>48</v>
      </c>
    </row>
    <row r="39495">
      <c r="H39495" s="50"/>
      <c r="I39495" s="50"/>
      <c r="O39495" s="36" t="s">
        <v>48</v>
      </c>
      <c r="R39495" s="36" t="s">
        <v>48</v>
      </c>
    </row>
    <row r="39496">
      <c r="H39496" s="50"/>
      <c r="I39496" s="50"/>
      <c r="O39496" s="36" t="s">
        <v>48</v>
      </c>
      <c r="R39496" s="36" t="s">
        <v>48</v>
      </c>
    </row>
    <row r="39497">
      <c r="H39497" s="50"/>
      <c r="I39497" s="50"/>
      <c r="O39497" s="36" t="s">
        <v>48</v>
      </c>
      <c r="R39497" s="36" t="s">
        <v>48</v>
      </c>
    </row>
    <row r="39498">
      <c r="H39498" s="50"/>
      <c r="I39498" s="50"/>
      <c r="O39498" s="36" t="s">
        <v>48</v>
      </c>
      <c r="R39498" s="36" t="s">
        <v>48</v>
      </c>
    </row>
    <row r="39499">
      <c r="H39499" s="50"/>
      <c r="I39499" s="50"/>
      <c r="O39499" s="36" t="s">
        <v>48</v>
      </c>
      <c r="R39499" s="36" t="s">
        <v>48</v>
      </c>
    </row>
    <row r="39500">
      <c r="H39500" s="50"/>
      <c r="I39500" s="50"/>
      <c r="O39500" s="36" t="s">
        <v>48</v>
      </c>
      <c r="R39500" s="36" t="s">
        <v>48</v>
      </c>
    </row>
    <row r="39501">
      <c r="H39501" s="50"/>
      <c r="I39501" s="50"/>
      <c r="O39501" s="36" t="s">
        <v>48</v>
      </c>
      <c r="R39501" s="36" t="s">
        <v>48</v>
      </c>
    </row>
    <row r="39502">
      <c r="H39502" s="50"/>
      <c r="I39502" s="50"/>
      <c r="O39502" s="36" t="s">
        <v>48</v>
      </c>
      <c r="R39502" s="36" t="s">
        <v>48</v>
      </c>
    </row>
    <row r="39503">
      <c r="H39503" s="50"/>
      <c r="I39503" s="50"/>
      <c r="O39503" s="36" t="s">
        <v>48</v>
      </c>
      <c r="R39503" s="36" t="s">
        <v>48</v>
      </c>
    </row>
    <row r="39504">
      <c r="H39504" s="50"/>
      <c r="I39504" s="50"/>
      <c r="O39504" s="36" t="s">
        <v>48</v>
      </c>
      <c r="R39504" s="36" t="s">
        <v>48</v>
      </c>
    </row>
    <row r="39505">
      <c r="H39505" s="50"/>
      <c r="I39505" s="50"/>
      <c r="O39505" s="36" t="s">
        <v>48</v>
      </c>
      <c r="R39505" s="36" t="s">
        <v>48</v>
      </c>
    </row>
    <row r="39506">
      <c r="H39506" s="50"/>
      <c r="I39506" s="50"/>
      <c r="O39506" s="36" t="s">
        <v>48</v>
      </c>
      <c r="R39506" s="36" t="s">
        <v>48</v>
      </c>
    </row>
    <row r="39507">
      <c r="H39507" s="50"/>
      <c r="I39507" s="50"/>
      <c r="O39507" s="36" t="s">
        <v>48</v>
      </c>
      <c r="R39507" s="36" t="s">
        <v>48</v>
      </c>
    </row>
    <row r="39508">
      <c r="H39508" s="50"/>
      <c r="I39508" s="50"/>
      <c r="O39508" s="36" t="s">
        <v>48</v>
      </c>
      <c r="R39508" s="36" t="s">
        <v>48</v>
      </c>
    </row>
    <row r="39509">
      <c r="H39509" s="50"/>
      <c r="I39509" s="50"/>
      <c r="O39509" s="36" t="s">
        <v>48</v>
      </c>
      <c r="R39509" s="36" t="s">
        <v>48</v>
      </c>
    </row>
    <row r="39510">
      <c r="H39510" s="50"/>
      <c r="I39510" s="50"/>
      <c r="O39510" s="36" t="s">
        <v>48</v>
      </c>
      <c r="R39510" s="36" t="s">
        <v>48</v>
      </c>
    </row>
    <row r="39511">
      <c r="H39511" s="50"/>
      <c r="I39511" s="50"/>
      <c r="O39511" s="36" t="s">
        <v>48</v>
      </c>
      <c r="R39511" s="36" t="s">
        <v>48</v>
      </c>
    </row>
    <row r="39512">
      <c r="H39512" s="50"/>
      <c r="I39512" s="50"/>
      <c r="O39512" s="36" t="s">
        <v>48</v>
      </c>
      <c r="R39512" s="36" t="s">
        <v>48</v>
      </c>
    </row>
    <row r="39513">
      <c r="H39513" s="50"/>
      <c r="I39513" s="50"/>
      <c r="O39513" s="36" t="s">
        <v>48</v>
      </c>
      <c r="R39513" s="36" t="s">
        <v>48</v>
      </c>
    </row>
    <row r="39514">
      <c r="H39514" s="50"/>
      <c r="I39514" s="50"/>
      <c r="O39514" s="36" t="s">
        <v>48</v>
      </c>
      <c r="R39514" s="36" t="s">
        <v>48</v>
      </c>
    </row>
    <row r="39515">
      <c r="H39515" s="50"/>
      <c r="I39515" s="50"/>
      <c r="O39515" s="36" t="s">
        <v>48</v>
      </c>
      <c r="R39515" s="36" t="s">
        <v>48</v>
      </c>
    </row>
    <row r="39516">
      <c r="H39516" s="50"/>
      <c r="I39516" s="50"/>
      <c r="O39516" s="36" t="s">
        <v>48</v>
      </c>
      <c r="R39516" s="36" t="s">
        <v>48</v>
      </c>
    </row>
    <row r="39517">
      <c r="H39517" s="50"/>
      <c r="I39517" s="50"/>
      <c r="O39517" s="36" t="s">
        <v>48</v>
      </c>
      <c r="R39517" s="36" t="s">
        <v>48</v>
      </c>
    </row>
    <row r="39518">
      <c r="H39518" s="50"/>
      <c r="I39518" s="50"/>
      <c r="O39518" s="36" t="s">
        <v>48</v>
      </c>
      <c r="R39518" s="36" t="s">
        <v>48</v>
      </c>
    </row>
    <row r="39519">
      <c r="H39519" s="50"/>
      <c r="I39519" s="50"/>
      <c r="O39519" s="36" t="s">
        <v>48</v>
      </c>
      <c r="R39519" s="36" t="s">
        <v>48</v>
      </c>
    </row>
    <row r="39520">
      <c r="H39520" s="50"/>
      <c r="I39520" s="50"/>
      <c r="O39520" s="36" t="s">
        <v>48</v>
      </c>
      <c r="R39520" s="36" t="s">
        <v>48</v>
      </c>
    </row>
    <row r="39521">
      <c r="H39521" s="50"/>
      <c r="I39521" s="50"/>
      <c r="O39521" s="36" t="s">
        <v>48</v>
      </c>
      <c r="R39521" s="36" t="s">
        <v>48</v>
      </c>
    </row>
    <row r="39522">
      <c r="H39522" s="50"/>
      <c r="I39522" s="50"/>
      <c r="O39522" s="36" t="s">
        <v>48</v>
      </c>
      <c r="R39522" s="36" t="s">
        <v>48</v>
      </c>
    </row>
    <row r="39523">
      <c r="H39523" s="50"/>
      <c r="I39523" s="50"/>
      <c r="O39523" s="36" t="s">
        <v>48</v>
      </c>
      <c r="R39523" s="36" t="s">
        <v>48</v>
      </c>
    </row>
    <row r="39524">
      <c r="H39524" s="50"/>
      <c r="I39524" s="50"/>
      <c r="O39524" s="36" t="s">
        <v>48</v>
      </c>
      <c r="R39524" s="36" t="s">
        <v>48</v>
      </c>
    </row>
    <row r="39525">
      <c r="H39525" s="50"/>
      <c r="I39525" s="50"/>
      <c r="O39525" s="36" t="s">
        <v>48</v>
      </c>
      <c r="R39525" s="36" t="s">
        <v>48</v>
      </c>
    </row>
    <row r="39526">
      <c r="H39526" s="50"/>
      <c r="I39526" s="50"/>
      <c r="O39526" s="36" t="s">
        <v>48</v>
      </c>
      <c r="R39526" s="36" t="s">
        <v>48</v>
      </c>
    </row>
    <row r="39527">
      <c r="H39527" s="50"/>
      <c r="I39527" s="50"/>
      <c r="O39527" s="36" t="s">
        <v>48</v>
      </c>
      <c r="R39527" s="36" t="s">
        <v>48</v>
      </c>
    </row>
    <row r="39528">
      <c r="H39528" s="50"/>
      <c r="I39528" s="50"/>
      <c r="O39528" s="36" t="s">
        <v>48</v>
      </c>
      <c r="R39528" s="36" t="s">
        <v>48</v>
      </c>
    </row>
    <row r="39529">
      <c r="H39529" s="50"/>
      <c r="I39529" s="50"/>
      <c r="O39529" s="36" t="s">
        <v>48</v>
      </c>
      <c r="R39529" s="36" t="s">
        <v>48</v>
      </c>
    </row>
    <row r="39530">
      <c r="H39530" s="50"/>
      <c r="I39530" s="50"/>
      <c r="O39530" s="36" t="s">
        <v>48</v>
      </c>
      <c r="R39530" s="36" t="s">
        <v>48</v>
      </c>
    </row>
    <row r="39531">
      <c r="H39531" s="50"/>
      <c r="I39531" s="50"/>
      <c r="O39531" s="36" t="s">
        <v>48</v>
      </c>
      <c r="R39531" s="36" t="s">
        <v>48</v>
      </c>
    </row>
    <row r="39532">
      <c r="H39532" s="50"/>
      <c r="I39532" s="50"/>
      <c r="O39532" s="36" t="s">
        <v>48</v>
      </c>
      <c r="R39532" s="36" t="s">
        <v>48</v>
      </c>
    </row>
    <row r="39533">
      <c r="H39533" s="50"/>
      <c r="I39533" s="50"/>
      <c r="O39533" s="36" t="s">
        <v>48</v>
      </c>
      <c r="R39533" s="36" t="s">
        <v>48</v>
      </c>
    </row>
    <row r="39534">
      <c r="H39534" s="50"/>
      <c r="I39534" s="50"/>
      <c r="O39534" s="36" t="s">
        <v>48</v>
      </c>
      <c r="R39534" s="36" t="s">
        <v>48</v>
      </c>
    </row>
    <row r="39535">
      <c r="H39535" s="50"/>
      <c r="I39535" s="50"/>
      <c r="O39535" s="36" t="s">
        <v>48</v>
      </c>
      <c r="R39535" s="36" t="s">
        <v>48</v>
      </c>
    </row>
    <row r="39536">
      <c r="H39536" s="50"/>
      <c r="I39536" s="50"/>
      <c r="O39536" s="36" t="s">
        <v>48</v>
      </c>
      <c r="R39536" s="36" t="s">
        <v>48</v>
      </c>
    </row>
    <row r="39537">
      <c r="H39537" s="50"/>
      <c r="I39537" s="50"/>
      <c r="O39537" s="36" t="s">
        <v>48</v>
      </c>
      <c r="R39537" s="36" t="s">
        <v>48</v>
      </c>
    </row>
    <row r="39538">
      <c r="H39538" s="50"/>
      <c r="I39538" s="50"/>
      <c r="O39538" s="36" t="s">
        <v>48</v>
      </c>
      <c r="R39538" s="36" t="s">
        <v>48</v>
      </c>
    </row>
    <row r="39539">
      <c r="H39539" s="50"/>
      <c r="I39539" s="50"/>
      <c r="O39539" s="36" t="s">
        <v>48</v>
      </c>
      <c r="R39539" s="36" t="s">
        <v>48</v>
      </c>
    </row>
    <row r="39540">
      <c r="H39540" s="50"/>
      <c r="I39540" s="50"/>
      <c r="O39540" s="36" t="s">
        <v>48</v>
      </c>
      <c r="R39540" s="36" t="s">
        <v>48</v>
      </c>
    </row>
    <row r="39541">
      <c r="H39541" s="50"/>
      <c r="I39541" s="50"/>
      <c r="O39541" s="36" t="s">
        <v>48</v>
      </c>
      <c r="R39541" s="36" t="s">
        <v>48</v>
      </c>
    </row>
    <row r="39542">
      <c r="H39542" s="50"/>
      <c r="I39542" s="50"/>
      <c r="O39542" s="36" t="s">
        <v>48</v>
      </c>
      <c r="R39542" s="36" t="s">
        <v>48</v>
      </c>
    </row>
    <row r="39543">
      <c r="H39543" s="50"/>
      <c r="I39543" s="50"/>
      <c r="O39543" s="36" t="s">
        <v>48</v>
      </c>
      <c r="R39543" s="36" t="s">
        <v>48</v>
      </c>
    </row>
    <row r="39544">
      <c r="H39544" s="50"/>
      <c r="I39544" s="50"/>
      <c r="O39544" s="36" t="s">
        <v>48</v>
      </c>
      <c r="R39544" s="36" t="s">
        <v>48</v>
      </c>
    </row>
    <row r="39545">
      <c r="H39545" s="50"/>
      <c r="I39545" s="50"/>
      <c r="O39545" s="36" t="s">
        <v>48</v>
      </c>
      <c r="R39545" s="36" t="s">
        <v>48</v>
      </c>
    </row>
    <row r="39546">
      <c r="H39546" s="50"/>
      <c r="I39546" s="50"/>
      <c r="O39546" s="36" t="s">
        <v>48</v>
      </c>
      <c r="R39546" s="36" t="s">
        <v>48</v>
      </c>
    </row>
    <row r="39547">
      <c r="H39547" s="50"/>
      <c r="I39547" s="50"/>
      <c r="O39547" s="36" t="s">
        <v>48</v>
      </c>
      <c r="R39547" s="36" t="s">
        <v>48</v>
      </c>
    </row>
    <row r="39548">
      <c r="H39548" s="50"/>
      <c r="I39548" s="50"/>
      <c r="O39548" s="36" t="s">
        <v>48</v>
      </c>
      <c r="R39548" s="36" t="s">
        <v>48</v>
      </c>
    </row>
    <row r="39549">
      <c r="H39549" s="50"/>
      <c r="I39549" s="50"/>
      <c r="O39549" s="36" t="s">
        <v>48</v>
      </c>
      <c r="R39549" s="36" t="s">
        <v>48</v>
      </c>
    </row>
    <row r="39550">
      <c r="H39550" s="50"/>
      <c r="I39550" s="50"/>
      <c r="O39550" s="36" t="s">
        <v>48</v>
      </c>
      <c r="R39550" s="36" t="s">
        <v>48</v>
      </c>
    </row>
    <row r="39551">
      <c r="H39551" s="50"/>
      <c r="I39551" s="50"/>
      <c r="O39551" s="36" t="s">
        <v>48</v>
      </c>
      <c r="R39551" s="36" t="s">
        <v>48</v>
      </c>
    </row>
    <row r="39552">
      <c r="H39552" s="50"/>
      <c r="I39552" s="50"/>
      <c r="O39552" s="36" t="s">
        <v>48</v>
      </c>
      <c r="R39552" s="36" t="s">
        <v>48</v>
      </c>
    </row>
    <row r="39553">
      <c r="H39553" s="50"/>
      <c r="I39553" s="50"/>
      <c r="O39553" s="36" t="s">
        <v>48</v>
      </c>
      <c r="R39553" s="36" t="s">
        <v>48</v>
      </c>
    </row>
    <row r="39554">
      <c r="H39554" s="50"/>
      <c r="I39554" s="50"/>
      <c r="O39554" s="36" t="s">
        <v>48</v>
      </c>
      <c r="R39554" s="36" t="s">
        <v>48</v>
      </c>
    </row>
    <row r="39555">
      <c r="H39555" s="50"/>
      <c r="I39555" s="50"/>
      <c r="O39555" s="36" t="s">
        <v>48</v>
      </c>
      <c r="R39555" s="36" t="s">
        <v>48</v>
      </c>
    </row>
    <row r="39556">
      <c r="H39556" s="50"/>
      <c r="I39556" s="50"/>
      <c r="O39556" s="36" t="s">
        <v>48</v>
      </c>
      <c r="R39556" s="36" t="s">
        <v>48</v>
      </c>
    </row>
    <row r="39557">
      <c r="H39557" s="50"/>
      <c r="I39557" s="50"/>
      <c r="O39557" s="36" t="s">
        <v>48</v>
      </c>
      <c r="R39557" s="36" t="s">
        <v>48</v>
      </c>
    </row>
    <row r="39558">
      <c r="H39558" s="50"/>
      <c r="I39558" s="50"/>
      <c r="O39558" s="36" t="s">
        <v>48</v>
      </c>
      <c r="R39558" s="36" t="s">
        <v>48</v>
      </c>
    </row>
    <row r="39559">
      <c r="H39559" s="50"/>
      <c r="I39559" s="50"/>
      <c r="O39559" s="36" t="s">
        <v>48</v>
      </c>
      <c r="R39559" s="36" t="s">
        <v>48</v>
      </c>
    </row>
    <row r="39560">
      <c r="H39560" s="50"/>
      <c r="I39560" s="50"/>
      <c r="O39560" s="36" t="s">
        <v>48</v>
      </c>
      <c r="R39560" s="36" t="s">
        <v>48</v>
      </c>
    </row>
    <row r="39561">
      <c r="H39561" s="50"/>
      <c r="I39561" s="50"/>
      <c r="O39561" s="36" t="s">
        <v>48</v>
      </c>
      <c r="R39561" s="36" t="s">
        <v>48</v>
      </c>
    </row>
    <row r="39562">
      <c r="H39562" s="50"/>
      <c r="I39562" s="50"/>
      <c r="O39562" s="36" t="s">
        <v>48</v>
      </c>
      <c r="R39562" s="36" t="s">
        <v>48</v>
      </c>
    </row>
    <row r="39563">
      <c r="H39563" s="50"/>
      <c r="I39563" s="50"/>
      <c r="O39563" s="36" t="s">
        <v>48</v>
      </c>
      <c r="R39563" s="36" t="s">
        <v>48</v>
      </c>
    </row>
    <row r="39564">
      <c r="H39564" s="50"/>
      <c r="I39564" s="50"/>
      <c r="O39564" s="36" t="s">
        <v>48</v>
      </c>
      <c r="R39564" s="36" t="s">
        <v>48</v>
      </c>
    </row>
    <row r="39565">
      <c r="H39565" s="50"/>
      <c r="I39565" s="50"/>
      <c r="O39565" s="36" t="s">
        <v>48</v>
      </c>
      <c r="R39565" s="36" t="s">
        <v>48</v>
      </c>
    </row>
    <row r="39566">
      <c r="H39566" s="50"/>
      <c r="I39566" s="50"/>
      <c r="O39566" s="36" t="s">
        <v>48</v>
      </c>
      <c r="R39566" s="36" t="s">
        <v>48</v>
      </c>
    </row>
    <row r="39567">
      <c r="H39567" s="50"/>
      <c r="I39567" s="50"/>
      <c r="O39567" s="36" t="s">
        <v>48</v>
      </c>
      <c r="R39567" s="36" t="s">
        <v>48</v>
      </c>
    </row>
    <row r="39568">
      <c r="H39568" s="50"/>
      <c r="I39568" s="50"/>
      <c r="O39568" s="36" t="s">
        <v>48</v>
      </c>
      <c r="R39568" s="36" t="s">
        <v>48</v>
      </c>
    </row>
    <row r="39569">
      <c r="H39569" s="50"/>
      <c r="I39569" s="50"/>
      <c r="O39569" s="36" t="s">
        <v>48</v>
      </c>
      <c r="R39569" s="36" t="s">
        <v>48</v>
      </c>
    </row>
    <row r="39570">
      <c r="H39570" s="50"/>
      <c r="I39570" s="50"/>
      <c r="O39570" s="36" t="s">
        <v>48</v>
      </c>
      <c r="R39570" s="36" t="s">
        <v>48</v>
      </c>
    </row>
    <row r="39571">
      <c r="H39571" s="50"/>
      <c r="I39571" s="50"/>
      <c r="O39571" s="36" t="s">
        <v>48</v>
      </c>
      <c r="R39571" s="36" t="s">
        <v>48</v>
      </c>
    </row>
    <row r="39572">
      <c r="H39572" s="50"/>
      <c r="I39572" s="50"/>
      <c r="O39572" s="36" t="s">
        <v>48</v>
      </c>
      <c r="R39572" s="36" t="s">
        <v>48</v>
      </c>
    </row>
    <row r="39573">
      <c r="H39573" s="50"/>
      <c r="I39573" s="50"/>
      <c r="O39573" s="36" t="s">
        <v>48</v>
      </c>
      <c r="R39573" s="36" t="s">
        <v>48</v>
      </c>
    </row>
    <row r="39574">
      <c r="H39574" s="50"/>
      <c r="I39574" s="50"/>
      <c r="O39574" s="36" t="s">
        <v>48</v>
      </c>
      <c r="R39574" s="36" t="s">
        <v>48</v>
      </c>
    </row>
    <row r="39575">
      <c r="H39575" s="50"/>
      <c r="I39575" s="50"/>
      <c r="O39575" s="36" t="s">
        <v>48</v>
      </c>
      <c r="R39575" s="36" t="s">
        <v>48</v>
      </c>
    </row>
    <row r="39576">
      <c r="H39576" s="50"/>
      <c r="I39576" s="50"/>
      <c r="O39576" s="36" t="s">
        <v>48</v>
      </c>
      <c r="R39576" s="36" t="s">
        <v>48</v>
      </c>
    </row>
    <row r="39577">
      <c r="H39577" s="50"/>
      <c r="I39577" s="50"/>
      <c r="O39577" s="36" t="s">
        <v>48</v>
      </c>
      <c r="R39577" s="36" t="s">
        <v>48</v>
      </c>
    </row>
    <row r="39578">
      <c r="H39578" s="50"/>
      <c r="I39578" s="50"/>
      <c r="O39578" s="36" t="s">
        <v>48</v>
      </c>
      <c r="R39578" s="36" t="s">
        <v>48</v>
      </c>
    </row>
    <row r="39579">
      <c r="H39579" s="50"/>
      <c r="I39579" s="50"/>
      <c r="O39579" s="36" t="s">
        <v>48</v>
      </c>
      <c r="R39579" s="36" t="s">
        <v>48</v>
      </c>
    </row>
    <row r="39580">
      <c r="H39580" s="50"/>
      <c r="I39580" s="50"/>
      <c r="O39580" s="36" t="s">
        <v>48</v>
      </c>
      <c r="R39580" s="36" t="s">
        <v>48</v>
      </c>
    </row>
    <row r="39581">
      <c r="H39581" s="50"/>
      <c r="I39581" s="50"/>
      <c r="O39581" s="36" t="s">
        <v>48</v>
      </c>
      <c r="R39581" s="36" t="s">
        <v>48</v>
      </c>
    </row>
    <row r="39582">
      <c r="H39582" s="50"/>
      <c r="I39582" s="50"/>
      <c r="O39582" s="36" t="s">
        <v>48</v>
      </c>
      <c r="R39582" s="36" t="s">
        <v>48</v>
      </c>
    </row>
    <row r="39583">
      <c r="H39583" s="50"/>
      <c r="I39583" s="50"/>
      <c r="O39583" s="36" t="s">
        <v>48</v>
      </c>
      <c r="R39583" s="36" t="s">
        <v>48</v>
      </c>
    </row>
    <row r="39584">
      <c r="H39584" s="50"/>
      <c r="I39584" s="50"/>
      <c r="O39584" s="36" t="s">
        <v>48</v>
      </c>
      <c r="R39584" s="36" t="s">
        <v>48</v>
      </c>
    </row>
    <row r="39585">
      <c r="H39585" s="50"/>
      <c r="I39585" s="50"/>
      <c r="O39585" s="36" t="s">
        <v>48</v>
      </c>
      <c r="R39585" s="36" t="s">
        <v>48</v>
      </c>
    </row>
    <row r="39586">
      <c r="H39586" s="50"/>
      <c r="I39586" s="50"/>
      <c r="O39586" s="36" t="s">
        <v>48</v>
      </c>
      <c r="R39586" s="36" t="s">
        <v>48</v>
      </c>
    </row>
    <row r="39587">
      <c r="H39587" s="50"/>
      <c r="I39587" s="50"/>
      <c r="O39587" s="36" t="s">
        <v>48</v>
      </c>
      <c r="R39587" s="36" t="s">
        <v>48</v>
      </c>
    </row>
    <row r="39588">
      <c r="H39588" s="50"/>
      <c r="I39588" s="50"/>
      <c r="O39588" s="36" t="s">
        <v>48</v>
      </c>
      <c r="R39588" s="36" t="s">
        <v>48</v>
      </c>
    </row>
    <row r="39589">
      <c r="H39589" s="50"/>
      <c r="I39589" s="50"/>
      <c r="O39589" s="36" t="s">
        <v>48</v>
      </c>
      <c r="R39589" s="36" t="s">
        <v>48</v>
      </c>
    </row>
    <row r="39590">
      <c r="H39590" s="50"/>
      <c r="I39590" s="50"/>
      <c r="O39590" s="36" t="s">
        <v>48</v>
      </c>
      <c r="R39590" s="36" t="s">
        <v>48</v>
      </c>
    </row>
    <row r="39591">
      <c r="H39591" s="50"/>
      <c r="I39591" s="50"/>
      <c r="O39591" s="36" t="s">
        <v>48</v>
      </c>
      <c r="R39591" s="36" t="s">
        <v>48</v>
      </c>
    </row>
    <row r="39592">
      <c r="H39592" s="50"/>
      <c r="I39592" s="50"/>
      <c r="O39592" s="36" t="s">
        <v>48</v>
      </c>
      <c r="R39592" s="36" t="s">
        <v>48</v>
      </c>
    </row>
    <row r="39593">
      <c r="H39593" s="50"/>
      <c r="I39593" s="50"/>
      <c r="O39593" s="36" t="s">
        <v>48</v>
      </c>
      <c r="R39593" s="36" t="s">
        <v>48</v>
      </c>
    </row>
    <row r="39594">
      <c r="H39594" s="50"/>
      <c r="I39594" s="50"/>
      <c r="O39594" s="36" t="s">
        <v>48</v>
      </c>
      <c r="R39594" s="36" t="s">
        <v>48</v>
      </c>
    </row>
    <row r="39595">
      <c r="H39595" s="50"/>
      <c r="I39595" s="50"/>
      <c r="O39595" s="36" t="s">
        <v>48</v>
      </c>
      <c r="R39595" s="36" t="s">
        <v>48</v>
      </c>
    </row>
    <row r="39596">
      <c r="H39596" s="50"/>
      <c r="I39596" s="50"/>
      <c r="O39596" s="36" t="s">
        <v>48</v>
      </c>
      <c r="R39596" s="36" t="s">
        <v>48</v>
      </c>
    </row>
    <row r="39597">
      <c r="H39597" s="50"/>
      <c r="I39597" s="50"/>
      <c r="O39597" s="36" t="s">
        <v>48</v>
      </c>
      <c r="R39597" s="36" t="s">
        <v>48</v>
      </c>
    </row>
    <row r="39598">
      <c r="H39598" s="50"/>
      <c r="I39598" s="50"/>
      <c r="O39598" s="36" t="s">
        <v>48</v>
      </c>
      <c r="R39598" s="36" t="s">
        <v>48</v>
      </c>
    </row>
    <row r="39599">
      <c r="H39599" s="50"/>
      <c r="I39599" s="50"/>
      <c r="O39599" s="36" t="s">
        <v>48</v>
      </c>
      <c r="R39599" s="36" t="s">
        <v>48</v>
      </c>
    </row>
    <row r="39600">
      <c r="H39600" s="50"/>
      <c r="I39600" s="50"/>
      <c r="O39600" s="36" t="s">
        <v>48</v>
      </c>
      <c r="R39600" s="36" t="s">
        <v>48</v>
      </c>
    </row>
    <row r="39601">
      <c r="H39601" s="50"/>
      <c r="I39601" s="50"/>
      <c r="O39601" s="36" t="s">
        <v>48</v>
      </c>
      <c r="R39601" s="36" t="s">
        <v>48</v>
      </c>
    </row>
    <row r="39602">
      <c r="H39602" s="50"/>
      <c r="I39602" s="50"/>
      <c r="O39602" s="36" t="s">
        <v>48</v>
      </c>
      <c r="R39602" s="36" t="s">
        <v>48</v>
      </c>
    </row>
    <row r="39603">
      <c r="H39603" s="50"/>
      <c r="I39603" s="50"/>
      <c r="O39603" s="36" t="s">
        <v>48</v>
      </c>
      <c r="R39603" s="36" t="s">
        <v>48</v>
      </c>
    </row>
    <row r="39604">
      <c r="H39604" s="50"/>
      <c r="I39604" s="50"/>
      <c r="O39604" s="36" t="s">
        <v>48</v>
      </c>
      <c r="R39604" s="36" t="s">
        <v>48</v>
      </c>
    </row>
    <row r="39605">
      <c r="H39605" s="50"/>
      <c r="I39605" s="50"/>
      <c r="O39605" s="36" t="s">
        <v>48</v>
      </c>
      <c r="R39605" s="36" t="s">
        <v>48</v>
      </c>
    </row>
    <row r="39606">
      <c r="H39606" s="50"/>
      <c r="I39606" s="50"/>
      <c r="O39606" s="36" t="s">
        <v>48</v>
      </c>
      <c r="R39606" s="36" t="s">
        <v>48</v>
      </c>
    </row>
    <row r="39607">
      <c r="H39607" s="50"/>
      <c r="I39607" s="50"/>
      <c r="O39607" s="36" t="s">
        <v>48</v>
      </c>
      <c r="R39607" s="36" t="s">
        <v>48</v>
      </c>
    </row>
    <row r="39608">
      <c r="H39608" s="50"/>
      <c r="I39608" s="50"/>
      <c r="O39608" s="36" t="s">
        <v>48</v>
      </c>
      <c r="R39608" s="36" t="s">
        <v>48</v>
      </c>
    </row>
    <row r="39609">
      <c r="H39609" s="50"/>
      <c r="I39609" s="50"/>
      <c r="O39609" s="36" t="s">
        <v>48</v>
      </c>
      <c r="R39609" s="36" t="s">
        <v>48</v>
      </c>
    </row>
    <row r="39610">
      <c r="H39610" s="50"/>
      <c r="I39610" s="50"/>
      <c r="O39610" s="36" t="s">
        <v>48</v>
      </c>
      <c r="R39610" s="36" t="s">
        <v>48</v>
      </c>
    </row>
    <row r="39611">
      <c r="H39611" s="50"/>
      <c r="I39611" s="50"/>
      <c r="O39611" s="36" t="s">
        <v>48</v>
      </c>
      <c r="R39611" s="36" t="s">
        <v>48</v>
      </c>
    </row>
    <row r="39612">
      <c r="H39612" s="50"/>
      <c r="I39612" s="50"/>
      <c r="O39612" s="36" t="s">
        <v>48</v>
      </c>
      <c r="R39612" s="36" t="s">
        <v>48</v>
      </c>
    </row>
    <row r="39613">
      <c r="H39613" s="50"/>
      <c r="I39613" s="50"/>
      <c r="O39613" s="36" t="s">
        <v>48</v>
      </c>
      <c r="R39613" s="36" t="s">
        <v>48</v>
      </c>
    </row>
    <row r="39614">
      <c r="H39614" s="50"/>
      <c r="I39614" s="50"/>
      <c r="O39614" s="36" t="s">
        <v>48</v>
      </c>
      <c r="R39614" s="36" t="s">
        <v>48</v>
      </c>
    </row>
    <row r="39615">
      <c r="H39615" s="50"/>
      <c r="I39615" s="50"/>
      <c r="O39615" s="36" t="s">
        <v>48</v>
      </c>
      <c r="R39615" s="36" t="s">
        <v>48</v>
      </c>
    </row>
    <row r="39616">
      <c r="H39616" s="50"/>
      <c r="I39616" s="50"/>
      <c r="O39616" s="36" t="s">
        <v>48</v>
      </c>
      <c r="R39616" s="36" t="s">
        <v>48</v>
      </c>
    </row>
    <row r="39617">
      <c r="H39617" s="50"/>
      <c r="I39617" s="50"/>
      <c r="O39617" s="36" t="s">
        <v>48</v>
      </c>
      <c r="R39617" s="36" t="s">
        <v>48</v>
      </c>
    </row>
    <row r="39618">
      <c r="H39618" s="50"/>
      <c r="I39618" s="50"/>
      <c r="O39618" s="36" t="s">
        <v>48</v>
      </c>
      <c r="R39618" s="36" t="s">
        <v>48</v>
      </c>
    </row>
    <row r="39619">
      <c r="H39619" s="50"/>
      <c r="I39619" s="50"/>
      <c r="O39619" s="36" t="s">
        <v>48</v>
      </c>
      <c r="R39619" s="36" t="s">
        <v>48</v>
      </c>
    </row>
    <row r="39620">
      <c r="H39620" s="50"/>
      <c r="I39620" s="50"/>
      <c r="O39620" s="36" t="s">
        <v>48</v>
      </c>
      <c r="R39620" s="36" t="s">
        <v>48</v>
      </c>
    </row>
    <row r="39621">
      <c r="H39621" s="50"/>
      <c r="I39621" s="50"/>
      <c r="O39621" s="36" t="s">
        <v>48</v>
      </c>
      <c r="R39621" s="36" t="s">
        <v>48</v>
      </c>
    </row>
    <row r="39622">
      <c r="H39622" s="50"/>
      <c r="I39622" s="50"/>
      <c r="O39622" s="36" t="s">
        <v>48</v>
      </c>
      <c r="R39622" s="36" t="s">
        <v>48</v>
      </c>
    </row>
    <row r="39623">
      <c r="H39623" s="50"/>
      <c r="I39623" s="50"/>
      <c r="O39623" s="36" t="s">
        <v>48</v>
      </c>
      <c r="R39623" s="36" t="s">
        <v>48</v>
      </c>
    </row>
    <row r="39624">
      <c r="H39624" s="50"/>
      <c r="I39624" s="50"/>
      <c r="O39624" s="36" t="s">
        <v>48</v>
      </c>
      <c r="R39624" s="36" t="s">
        <v>48</v>
      </c>
    </row>
    <row r="39625">
      <c r="H39625" s="50"/>
      <c r="I39625" s="50"/>
      <c r="O39625" s="36" t="s">
        <v>48</v>
      </c>
      <c r="R39625" s="36" t="s">
        <v>48</v>
      </c>
    </row>
    <row r="39626">
      <c r="H39626" s="50"/>
      <c r="I39626" s="50"/>
      <c r="O39626" s="36" t="s">
        <v>48</v>
      </c>
      <c r="R39626" s="36" t="s">
        <v>48</v>
      </c>
    </row>
    <row r="39627">
      <c r="H39627" s="50"/>
      <c r="I39627" s="50"/>
      <c r="O39627" s="36" t="s">
        <v>48</v>
      </c>
      <c r="R39627" s="36" t="s">
        <v>48</v>
      </c>
    </row>
    <row r="39628">
      <c r="H39628" s="50"/>
      <c r="I39628" s="50"/>
      <c r="O39628" s="36" t="s">
        <v>48</v>
      </c>
      <c r="R39628" s="36" t="s">
        <v>48</v>
      </c>
    </row>
    <row r="39629">
      <c r="H39629" s="50"/>
      <c r="I39629" s="50"/>
      <c r="O39629" s="36" t="s">
        <v>48</v>
      </c>
      <c r="R39629" s="36" t="s">
        <v>48</v>
      </c>
    </row>
    <row r="39630">
      <c r="H39630" s="50"/>
      <c r="I39630" s="50"/>
      <c r="O39630" s="36" t="s">
        <v>48</v>
      </c>
      <c r="R39630" s="36" t="s">
        <v>48</v>
      </c>
    </row>
    <row r="39631">
      <c r="H39631" s="50"/>
      <c r="I39631" s="50"/>
      <c r="O39631" s="36" t="s">
        <v>48</v>
      </c>
      <c r="R39631" s="36" t="s">
        <v>48</v>
      </c>
    </row>
    <row r="39632">
      <c r="H39632" s="50"/>
      <c r="I39632" s="50"/>
      <c r="O39632" s="36" t="s">
        <v>48</v>
      </c>
      <c r="R39632" s="36" t="s">
        <v>48</v>
      </c>
    </row>
    <row r="39633">
      <c r="H39633" s="50"/>
      <c r="I39633" s="50"/>
      <c r="O39633" s="36" t="s">
        <v>48</v>
      </c>
      <c r="R39633" s="36" t="s">
        <v>48</v>
      </c>
    </row>
    <row r="39634">
      <c r="H39634" s="50"/>
      <c r="I39634" s="50"/>
      <c r="O39634" s="36" t="s">
        <v>48</v>
      </c>
      <c r="R39634" s="36" t="s">
        <v>48</v>
      </c>
    </row>
    <row r="39635">
      <c r="H39635" s="50"/>
      <c r="I39635" s="50"/>
      <c r="O39635" s="36" t="s">
        <v>48</v>
      </c>
      <c r="R39635" s="36" t="s">
        <v>48</v>
      </c>
    </row>
    <row r="39636">
      <c r="H39636" s="50"/>
      <c r="I39636" s="50"/>
      <c r="O39636" s="36" t="s">
        <v>48</v>
      </c>
      <c r="R39636" s="36" t="s">
        <v>48</v>
      </c>
    </row>
    <row r="39637">
      <c r="H39637" s="50"/>
      <c r="I39637" s="50"/>
      <c r="O39637" s="36" t="s">
        <v>48</v>
      </c>
      <c r="R39637" s="36" t="s">
        <v>48</v>
      </c>
    </row>
    <row r="39638">
      <c r="H39638" s="50"/>
      <c r="I39638" s="50"/>
      <c r="O39638" s="36" t="s">
        <v>48</v>
      </c>
      <c r="R39638" s="36" t="s">
        <v>48</v>
      </c>
    </row>
    <row r="39639">
      <c r="H39639" s="50"/>
      <c r="I39639" s="50"/>
      <c r="O39639" s="36" t="s">
        <v>48</v>
      </c>
      <c r="R39639" s="36" t="s">
        <v>48</v>
      </c>
    </row>
    <row r="39640">
      <c r="H39640" s="50"/>
      <c r="I39640" s="50"/>
      <c r="O39640" s="36" t="s">
        <v>48</v>
      </c>
      <c r="R39640" s="36" t="s">
        <v>48</v>
      </c>
    </row>
    <row r="39641">
      <c r="H39641" s="50"/>
      <c r="I39641" s="50"/>
      <c r="O39641" s="36" t="s">
        <v>48</v>
      </c>
      <c r="R39641" s="36" t="s">
        <v>48</v>
      </c>
    </row>
    <row r="39642">
      <c r="H39642" s="50"/>
      <c r="I39642" s="50"/>
      <c r="O39642" s="36" t="s">
        <v>48</v>
      </c>
      <c r="R39642" s="36" t="s">
        <v>48</v>
      </c>
    </row>
    <row r="39643">
      <c r="H39643" s="50"/>
      <c r="I39643" s="50"/>
      <c r="O39643" s="36" t="s">
        <v>48</v>
      </c>
      <c r="R39643" s="36" t="s">
        <v>48</v>
      </c>
    </row>
    <row r="39644">
      <c r="H39644" s="50"/>
      <c r="I39644" s="50"/>
      <c r="O39644" s="36" t="s">
        <v>48</v>
      </c>
      <c r="R39644" s="36" t="s">
        <v>48</v>
      </c>
    </row>
    <row r="39645">
      <c r="H39645" s="50"/>
      <c r="I39645" s="50"/>
      <c r="O39645" s="36" t="s">
        <v>48</v>
      </c>
      <c r="R39645" s="36" t="s">
        <v>48</v>
      </c>
    </row>
    <row r="39646">
      <c r="H39646" s="50"/>
      <c r="I39646" s="50"/>
      <c r="O39646" s="36" t="s">
        <v>48</v>
      </c>
      <c r="R39646" s="36" t="s">
        <v>48</v>
      </c>
    </row>
    <row r="39647">
      <c r="H39647" s="50"/>
      <c r="I39647" s="50"/>
      <c r="O39647" s="36" t="s">
        <v>48</v>
      </c>
      <c r="R39647" s="36" t="s">
        <v>48</v>
      </c>
    </row>
    <row r="39648">
      <c r="H39648" s="50"/>
      <c r="I39648" s="50"/>
      <c r="O39648" s="36" t="s">
        <v>48</v>
      </c>
      <c r="R39648" s="36" t="s">
        <v>48</v>
      </c>
    </row>
    <row r="39649">
      <c r="H39649" s="50"/>
      <c r="I39649" s="50"/>
      <c r="O39649" s="36" t="s">
        <v>48</v>
      </c>
      <c r="R39649" s="36" t="s">
        <v>48</v>
      </c>
    </row>
    <row r="39650">
      <c r="H39650" s="50"/>
      <c r="I39650" s="50"/>
      <c r="O39650" s="36" t="s">
        <v>48</v>
      </c>
      <c r="R39650" s="36" t="s">
        <v>48</v>
      </c>
    </row>
    <row r="39651">
      <c r="H39651" s="50"/>
      <c r="I39651" s="50"/>
      <c r="O39651" s="36" t="s">
        <v>48</v>
      </c>
      <c r="R39651" s="36" t="s">
        <v>48</v>
      </c>
    </row>
    <row r="39652">
      <c r="H39652" s="50"/>
      <c r="I39652" s="50"/>
      <c r="O39652" s="36" t="s">
        <v>48</v>
      </c>
      <c r="R39652" s="36" t="s">
        <v>48</v>
      </c>
    </row>
    <row r="39653">
      <c r="H39653" s="50"/>
      <c r="I39653" s="50"/>
      <c r="O39653" s="36" t="s">
        <v>48</v>
      </c>
      <c r="R39653" s="36" t="s">
        <v>48</v>
      </c>
    </row>
    <row r="39654">
      <c r="H39654" s="50"/>
      <c r="I39654" s="50"/>
      <c r="O39654" s="36" t="s">
        <v>48</v>
      </c>
      <c r="R39654" s="36" t="s">
        <v>48</v>
      </c>
    </row>
    <row r="39655">
      <c r="H39655" s="50"/>
      <c r="I39655" s="50"/>
      <c r="O39655" s="36" t="s">
        <v>48</v>
      </c>
      <c r="R39655" s="36" t="s">
        <v>48</v>
      </c>
    </row>
    <row r="39656">
      <c r="H39656" s="50"/>
      <c r="I39656" s="50"/>
      <c r="O39656" s="36" t="s">
        <v>48</v>
      </c>
      <c r="R39656" s="36" t="s">
        <v>48</v>
      </c>
    </row>
    <row r="39657">
      <c r="H39657" s="50"/>
      <c r="I39657" s="50"/>
      <c r="O39657" s="36" t="s">
        <v>48</v>
      </c>
      <c r="R39657" s="36" t="s">
        <v>48</v>
      </c>
    </row>
    <row r="39658">
      <c r="H39658" s="50"/>
      <c r="I39658" s="50"/>
      <c r="O39658" s="36" t="s">
        <v>48</v>
      </c>
      <c r="R39658" s="36" t="s">
        <v>48</v>
      </c>
    </row>
    <row r="39659">
      <c r="H39659" s="50"/>
      <c r="I39659" s="50"/>
      <c r="O39659" s="36" t="s">
        <v>48</v>
      </c>
      <c r="R39659" s="36" t="s">
        <v>48</v>
      </c>
    </row>
    <row r="39660">
      <c r="H39660" s="50"/>
      <c r="I39660" s="50"/>
      <c r="O39660" s="36" t="s">
        <v>48</v>
      </c>
      <c r="R39660" s="36" t="s">
        <v>48</v>
      </c>
    </row>
    <row r="39661">
      <c r="H39661" s="50"/>
      <c r="I39661" s="50"/>
      <c r="O39661" s="36" t="s">
        <v>48</v>
      </c>
      <c r="R39661" s="36" t="s">
        <v>48</v>
      </c>
    </row>
    <row r="39662">
      <c r="H39662" s="50"/>
      <c r="I39662" s="50"/>
      <c r="O39662" s="36" t="s">
        <v>48</v>
      </c>
      <c r="R39662" s="36" t="s">
        <v>48</v>
      </c>
    </row>
    <row r="39663">
      <c r="H39663" s="50"/>
      <c r="I39663" s="50"/>
      <c r="O39663" s="36" t="s">
        <v>48</v>
      </c>
      <c r="R39663" s="36" t="s">
        <v>48</v>
      </c>
    </row>
    <row r="39664">
      <c r="H39664" s="50"/>
      <c r="I39664" s="50"/>
      <c r="O39664" s="36" t="s">
        <v>48</v>
      </c>
      <c r="R39664" s="36" t="s">
        <v>48</v>
      </c>
    </row>
    <row r="39665">
      <c r="H39665" s="50"/>
      <c r="I39665" s="50"/>
      <c r="O39665" s="36" t="s">
        <v>48</v>
      </c>
      <c r="R39665" s="36" t="s">
        <v>48</v>
      </c>
    </row>
    <row r="39666">
      <c r="H39666" s="50"/>
      <c r="I39666" s="50"/>
      <c r="O39666" s="36" t="s">
        <v>48</v>
      </c>
      <c r="R39666" s="36" t="s">
        <v>48</v>
      </c>
    </row>
    <row r="39667">
      <c r="H39667" s="50"/>
      <c r="I39667" s="50"/>
      <c r="O39667" s="36" t="s">
        <v>48</v>
      </c>
      <c r="R39667" s="36" t="s">
        <v>48</v>
      </c>
    </row>
    <row r="39668">
      <c r="H39668" s="50"/>
      <c r="I39668" s="50"/>
      <c r="O39668" s="36" t="s">
        <v>48</v>
      </c>
      <c r="R39668" s="36" t="s">
        <v>48</v>
      </c>
    </row>
    <row r="39669">
      <c r="H39669" s="50"/>
      <c r="I39669" s="50"/>
      <c r="O39669" s="36" t="s">
        <v>48</v>
      </c>
      <c r="R39669" s="36" t="s">
        <v>48</v>
      </c>
    </row>
    <row r="39670">
      <c r="H39670" s="50"/>
      <c r="I39670" s="50"/>
      <c r="O39670" s="36" t="s">
        <v>48</v>
      </c>
      <c r="R39670" s="36" t="s">
        <v>48</v>
      </c>
    </row>
    <row r="39671">
      <c r="H39671" s="50"/>
      <c r="I39671" s="50"/>
      <c r="O39671" s="36" t="s">
        <v>48</v>
      </c>
      <c r="R39671" s="36" t="s">
        <v>48</v>
      </c>
    </row>
    <row r="39672">
      <c r="H39672" s="50"/>
      <c r="I39672" s="50"/>
      <c r="O39672" s="36" t="s">
        <v>48</v>
      </c>
      <c r="R39672" s="36" t="s">
        <v>48</v>
      </c>
    </row>
    <row r="39673">
      <c r="H39673" s="50"/>
      <c r="I39673" s="50"/>
      <c r="O39673" s="36" t="s">
        <v>48</v>
      </c>
      <c r="R39673" s="36" t="s">
        <v>48</v>
      </c>
    </row>
    <row r="39674">
      <c r="H39674" s="50"/>
      <c r="I39674" s="50"/>
      <c r="O39674" s="36" t="s">
        <v>48</v>
      </c>
      <c r="R39674" s="36" t="s">
        <v>48</v>
      </c>
    </row>
    <row r="39675">
      <c r="H39675" s="50"/>
      <c r="I39675" s="50"/>
      <c r="O39675" s="36" t="s">
        <v>48</v>
      </c>
      <c r="R39675" s="36" t="s">
        <v>48</v>
      </c>
    </row>
    <row r="39676">
      <c r="H39676" s="50"/>
      <c r="I39676" s="50"/>
      <c r="O39676" s="36" t="s">
        <v>48</v>
      </c>
      <c r="R39676" s="36" t="s">
        <v>48</v>
      </c>
    </row>
    <row r="39677">
      <c r="H39677" s="50"/>
      <c r="I39677" s="50"/>
      <c r="O39677" s="36" t="s">
        <v>48</v>
      </c>
      <c r="R39677" s="36" t="s">
        <v>48</v>
      </c>
    </row>
    <row r="39678">
      <c r="H39678" s="50"/>
      <c r="I39678" s="50"/>
      <c r="O39678" s="36" t="s">
        <v>48</v>
      </c>
      <c r="R39678" s="36" t="s">
        <v>48</v>
      </c>
    </row>
    <row r="39679">
      <c r="H39679" s="50"/>
      <c r="I39679" s="50"/>
      <c r="O39679" s="36" t="s">
        <v>48</v>
      </c>
      <c r="R39679" s="36" t="s">
        <v>48</v>
      </c>
    </row>
    <row r="39680">
      <c r="H39680" s="50"/>
      <c r="I39680" s="50"/>
      <c r="O39680" s="36" t="s">
        <v>48</v>
      </c>
      <c r="R39680" s="36" t="s">
        <v>48</v>
      </c>
    </row>
    <row r="39681">
      <c r="H39681" s="50"/>
      <c r="I39681" s="50"/>
      <c r="O39681" s="36" t="s">
        <v>48</v>
      </c>
      <c r="R39681" s="36" t="s">
        <v>48</v>
      </c>
    </row>
    <row r="39682">
      <c r="H39682" s="50"/>
      <c r="I39682" s="50"/>
      <c r="O39682" s="36" t="s">
        <v>48</v>
      </c>
      <c r="R39682" s="36" t="s">
        <v>48</v>
      </c>
    </row>
    <row r="39683">
      <c r="H39683" s="50"/>
      <c r="I39683" s="50"/>
      <c r="O39683" s="36" t="s">
        <v>48</v>
      </c>
      <c r="R39683" s="36" t="s">
        <v>48</v>
      </c>
    </row>
    <row r="39684">
      <c r="H39684" s="50"/>
      <c r="I39684" s="50"/>
      <c r="O39684" s="36" t="s">
        <v>48</v>
      </c>
      <c r="R39684" s="36" t="s">
        <v>48</v>
      </c>
    </row>
    <row r="39685">
      <c r="H39685" s="50"/>
      <c r="I39685" s="50"/>
      <c r="O39685" s="36" t="s">
        <v>48</v>
      </c>
      <c r="R39685" s="36" t="s">
        <v>48</v>
      </c>
    </row>
    <row r="39686">
      <c r="H39686" s="50"/>
      <c r="I39686" s="50"/>
      <c r="O39686" s="36" t="s">
        <v>48</v>
      </c>
      <c r="R39686" s="36" t="s">
        <v>48</v>
      </c>
    </row>
    <row r="39687">
      <c r="H39687" s="50"/>
      <c r="I39687" s="50"/>
      <c r="O39687" s="36" t="s">
        <v>48</v>
      </c>
      <c r="R39687" s="36" t="s">
        <v>48</v>
      </c>
    </row>
    <row r="39688">
      <c r="H39688" s="50"/>
      <c r="I39688" s="50"/>
      <c r="O39688" s="36" t="s">
        <v>48</v>
      </c>
      <c r="R39688" s="36" t="s">
        <v>48</v>
      </c>
    </row>
    <row r="39689">
      <c r="H39689" s="50"/>
      <c r="I39689" s="50"/>
      <c r="O39689" s="36" t="s">
        <v>48</v>
      </c>
      <c r="R39689" s="36" t="s">
        <v>48</v>
      </c>
    </row>
    <row r="39690">
      <c r="H39690" s="50"/>
      <c r="I39690" s="50"/>
      <c r="O39690" s="36" t="s">
        <v>48</v>
      </c>
      <c r="R39690" s="36" t="s">
        <v>48</v>
      </c>
    </row>
    <row r="39691">
      <c r="H39691" s="50"/>
      <c r="I39691" s="50"/>
      <c r="O39691" s="36" t="s">
        <v>48</v>
      </c>
      <c r="R39691" s="36" t="s">
        <v>48</v>
      </c>
    </row>
    <row r="39692">
      <c r="H39692" s="50"/>
      <c r="I39692" s="50"/>
      <c r="O39692" s="36" t="s">
        <v>48</v>
      </c>
      <c r="R39692" s="36" t="s">
        <v>48</v>
      </c>
    </row>
    <row r="39693">
      <c r="H39693" s="50"/>
      <c r="I39693" s="50"/>
      <c r="O39693" s="36" t="s">
        <v>48</v>
      </c>
      <c r="R39693" s="36" t="s">
        <v>48</v>
      </c>
    </row>
    <row r="39694">
      <c r="H39694" s="50"/>
      <c r="I39694" s="50"/>
      <c r="O39694" s="36" t="s">
        <v>48</v>
      </c>
      <c r="R39694" s="36" t="s">
        <v>48</v>
      </c>
    </row>
    <row r="39695">
      <c r="H39695" s="50"/>
      <c r="I39695" s="50"/>
      <c r="O39695" s="36" t="s">
        <v>48</v>
      </c>
      <c r="R39695" s="36" t="s">
        <v>48</v>
      </c>
    </row>
    <row r="39696">
      <c r="H39696" s="50"/>
      <c r="I39696" s="50"/>
      <c r="O39696" s="36" t="s">
        <v>48</v>
      </c>
      <c r="R39696" s="36" t="s">
        <v>48</v>
      </c>
    </row>
    <row r="39697">
      <c r="H39697" s="50"/>
      <c r="I39697" s="50"/>
      <c r="O39697" s="36" t="s">
        <v>48</v>
      </c>
      <c r="R39697" s="36" t="s">
        <v>48</v>
      </c>
    </row>
    <row r="39698">
      <c r="H39698" s="50"/>
      <c r="I39698" s="50"/>
      <c r="O39698" s="36" t="s">
        <v>48</v>
      </c>
      <c r="R39698" s="36" t="s">
        <v>48</v>
      </c>
    </row>
    <row r="39699">
      <c r="H39699" s="50"/>
      <c r="I39699" s="50"/>
      <c r="O39699" s="36" t="s">
        <v>48</v>
      </c>
      <c r="R39699" s="36" t="s">
        <v>48</v>
      </c>
    </row>
    <row r="39700">
      <c r="H39700" s="50"/>
      <c r="I39700" s="50"/>
      <c r="O39700" s="36" t="s">
        <v>48</v>
      </c>
      <c r="R39700" s="36" t="s">
        <v>48</v>
      </c>
    </row>
    <row r="39701">
      <c r="H39701" s="50"/>
      <c r="I39701" s="50"/>
      <c r="O39701" s="36" t="s">
        <v>48</v>
      </c>
      <c r="R39701" s="36" t="s">
        <v>48</v>
      </c>
    </row>
    <row r="39702">
      <c r="H39702" s="50"/>
      <c r="I39702" s="50"/>
      <c r="O39702" s="36" t="s">
        <v>48</v>
      </c>
      <c r="R39702" s="36" t="s">
        <v>48</v>
      </c>
    </row>
    <row r="39703">
      <c r="H39703" s="50"/>
      <c r="I39703" s="50"/>
      <c r="O39703" s="36" t="s">
        <v>48</v>
      </c>
      <c r="R39703" s="36" t="s">
        <v>48</v>
      </c>
    </row>
    <row r="39704">
      <c r="H39704" s="50"/>
      <c r="I39704" s="50"/>
      <c r="O39704" s="36" t="s">
        <v>48</v>
      </c>
      <c r="R39704" s="36" t="s">
        <v>48</v>
      </c>
    </row>
    <row r="39705">
      <c r="H39705" s="50"/>
      <c r="I39705" s="50"/>
      <c r="O39705" s="36" t="s">
        <v>48</v>
      </c>
      <c r="R39705" s="36" t="s">
        <v>48</v>
      </c>
    </row>
    <row r="39706">
      <c r="H39706" s="50"/>
      <c r="I39706" s="50"/>
      <c r="O39706" s="36" t="s">
        <v>48</v>
      </c>
      <c r="R39706" s="36" t="s">
        <v>48</v>
      </c>
    </row>
    <row r="39707">
      <c r="H39707" s="50"/>
      <c r="I39707" s="50"/>
      <c r="O39707" s="36" t="s">
        <v>48</v>
      </c>
      <c r="R39707" s="36" t="s">
        <v>48</v>
      </c>
    </row>
    <row r="39708">
      <c r="H39708" s="50"/>
      <c r="I39708" s="50"/>
      <c r="O39708" s="36" t="s">
        <v>48</v>
      </c>
      <c r="R39708" s="36" t="s">
        <v>48</v>
      </c>
    </row>
    <row r="39709">
      <c r="H39709" s="50"/>
      <c r="I39709" s="50"/>
      <c r="O39709" s="36" t="s">
        <v>48</v>
      </c>
      <c r="R39709" s="36" t="s">
        <v>48</v>
      </c>
    </row>
    <row r="39710">
      <c r="H39710" s="50"/>
      <c r="I39710" s="50"/>
      <c r="O39710" s="36" t="s">
        <v>48</v>
      </c>
      <c r="R39710" s="36" t="s">
        <v>48</v>
      </c>
    </row>
    <row r="39711">
      <c r="H39711" s="50"/>
      <c r="I39711" s="50"/>
      <c r="O39711" s="36" t="s">
        <v>48</v>
      </c>
      <c r="R39711" s="36" t="s">
        <v>48</v>
      </c>
    </row>
    <row r="39712">
      <c r="H39712" s="50"/>
      <c r="I39712" s="50"/>
      <c r="O39712" s="36" t="s">
        <v>48</v>
      </c>
      <c r="R39712" s="36" t="s">
        <v>48</v>
      </c>
    </row>
    <row r="39713">
      <c r="H39713" s="50"/>
      <c r="I39713" s="50"/>
      <c r="O39713" s="36" t="s">
        <v>48</v>
      </c>
      <c r="R39713" s="36" t="s">
        <v>48</v>
      </c>
    </row>
    <row r="39714">
      <c r="H39714" s="50"/>
      <c r="I39714" s="50"/>
      <c r="O39714" s="36" t="s">
        <v>48</v>
      </c>
      <c r="R39714" s="36" t="s">
        <v>48</v>
      </c>
    </row>
    <row r="39715">
      <c r="H39715" s="50"/>
      <c r="I39715" s="50"/>
      <c r="O39715" s="36" t="s">
        <v>48</v>
      </c>
      <c r="R39715" s="36" t="s">
        <v>48</v>
      </c>
    </row>
    <row r="39716">
      <c r="H39716" s="50"/>
      <c r="I39716" s="50"/>
      <c r="O39716" s="36" t="s">
        <v>48</v>
      </c>
      <c r="R39716" s="36" t="s">
        <v>48</v>
      </c>
    </row>
    <row r="39717">
      <c r="H39717" s="50"/>
      <c r="I39717" s="50"/>
      <c r="O39717" s="36" t="s">
        <v>48</v>
      </c>
      <c r="R39717" s="36" t="s">
        <v>48</v>
      </c>
    </row>
    <row r="39718">
      <c r="H39718" s="50"/>
      <c r="I39718" s="50"/>
      <c r="O39718" s="36" t="s">
        <v>48</v>
      </c>
      <c r="R39718" s="36" t="s">
        <v>48</v>
      </c>
    </row>
    <row r="39719">
      <c r="H39719" s="50"/>
      <c r="I39719" s="50"/>
      <c r="O39719" s="36" t="s">
        <v>48</v>
      </c>
      <c r="R39719" s="36" t="s">
        <v>48</v>
      </c>
    </row>
    <row r="39720">
      <c r="H39720" s="50"/>
      <c r="I39720" s="50"/>
      <c r="O39720" s="36" t="s">
        <v>48</v>
      </c>
      <c r="R39720" s="36" t="s">
        <v>48</v>
      </c>
    </row>
    <row r="39721">
      <c r="H39721" s="50"/>
      <c r="I39721" s="50"/>
      <c r="O39721" s="36" t="s">
        <v>48</v>
      </c>
      <c r="R39721" s="36" t="s">
        <v>48</v>
      </c>
    </row>
    <row r="39722">
      <c r="H39722" s="50"/>
      <c r="I39722" s="50"/>
      <c r="O39722" s="36" t="s">
        <v>48</v>
      </c>
      <c r="R39722" s="36" t="s">
        <v>48</v>
      </c>
    </row>
    <row r="39723">
      <c r="H39723" s="50"/>
      <c r="I39723" s="50"/>
      <c r="O39723" s="36" t="s">
        <v>48</v>
      </c>
      <c r="R39723" s="36" t="s">
        <v>48</v>
      </c>
    </row>
    <row r="39724">
      <c r="H39724" s="50"/>
      <c r="I39724" s="50"/>
      <c r="O39724" s="36" t="s">
        <v>48</v>
      </c>
      <c r="R39724" s="36" t="s">
        <v>48</v>
      </c>
    </row>
    <row r="39725">
      <c r="H39725" s="50"/>
      <c r="I39725" s="50"/>
      <c r="O39725" s="36" t="s">
        <v>48</v>
      </c>
      <c r="R39725" s="36" t="s">
        <v>48</v>
      </c>
    </row>
    <row r="39726">
      <c r="H39726" s="50"/>
      <c r="I39726" s="50"/>
      <c r="O39726" s="36" t="s">
        <v>48</v>
      </c>
      <c r="R39726" s="36" t="s">
        <v>48</v>
      </c>
    </row>
    <row r="39727">
      <c r="H39727" s="50"/>
      <c r="I39727" s="50"/>
      <c r="O39727" s="36" t="s">
        <v>48</v>
      </c>
      <c r="R39727" s="36" t="s">
        <v>48</v>
      </c>
    </row>
    <row r="39728">
      <c r="H39728" s="50"/>
      <c r="I39728" s="50"/>
      <c r="O39728" s="36" t="s">
        <v>48</v>
      </c>
      <c r="R39728" s="36" t="s">
        <v>48</v>
      </c>
    </row>
    <row r="39729">
      <c r="H39729" s="50"/>
      <c r="I39729" s="50"/>
      <c r="O39729" s="36" t="s">
        <v>48</v>
      </c>
      <c r="R39729" s="36" t="s">
        <v>48</v>
      </c>
    </row>
    <row r="39730">
      <c r="H39730" s="50"/>
      <c r="I39730" s="50"/>
      <c r="O39730" s="36" t="s">
        <v>48</v>
      </c>
      <c r="R39730" s="36" t="s">
        <v>48</v>
      </c>
    </row>
    <row r="39731">
      <c r="H39731" s="50"/>
      <c r="I39731" s="50"/>
      <c r="O39731" s="36" t="s">
        <v>48</v>
      </c>
      <c r="R39731" s="36" t="s">
        <v>48</v>
      </c>
    </row>
    <row r="39732">
      <c r="H39732" s="50"/>
      <c r="I39732" s="50"/>
      <c r="O39732" s="36" t="s">
        <v>48</v>
      </c>
      <c r="R39732" s="36" t="s">
        <v>48</v>
      </c>
    </row>
    <row r="39733">
      <c r="H39733" s="50"/>
      <c r="I39733" s="50"/>
      <c r="O39733" s="36" t="s">
        <v>48</v>
      </c>
      <c r="R39733" s="36" t="s">
        <v>48</v>
      </c>
    </row>
    <row r="39734">
      <c r="H39734" s="50"/>
      <c r="I39734" s="50"/>
      <c r="O39734" s="36" t="s">
        <v>48</v>
      </c>
      <c r="R39734" s="36" t="s">
        <v>48</v>
      </c>
    </row>
    <row r="39735">
      <c r="H39735" s="50"/>
      <c r="I39735" s="50"/>
      <c r="O39735" s="36" t="s">
        <v>48</v>
      </c>
      <c r="R39735" s="36" t="s">
        <v>48</v>
      </c>
    </row>
    <row r="39736">
      <c r="H39736" s="50"/>
      <c r="I39736" s="50"/>
      <c r="O39736" s="36" t="s">
        <v>48</v>
      </c>
      <c r="R39736" s="36" t="s">
        <v>48</v>
      </c>
    </row>
    <row r="39737">
      <c r="H39737" s="50"/>
      <c r="I39737" s="50"/>
      <c r="O39737" s="36" t="s">
        <v>48</v>
      </c>
      <c r="R39737" s="36" t="s">
        <v>48</v>
      </c>
    </row>
    <row r="39738">
      <c r="H39738" s="50"/>
      <c r="I39738" s="50"/>
      <c r="O39738" s="36" t="s">
        <v>48</v>
      </c>
      <c r="R39738" s="36" t="s">
        <v>48</v>
      </c>
    </row>
    <row r="39739">
      <c r="H39739" s="50"/>
      <c r="I39739" s="50"/>
      <c r="O39739" s="36" t="s">
        <v>48</v>
      </c>
      <c r="R39739" s="36" t="s">
        <v>48</v>
      </c>
    </row>
    <row r="39740">
      <c r="H39740" s="50"/>
      <c r="I39740" s="50"/>
      <c r="O39740" s="36" t="s">
        <v>48</v>
      </c>
      <c r="R39740" s="36" t="s">
        <v>48</v>
      </c>
    </row>
    <row r="39741">
      <c r="H39741" s="50"/>
      <c r="I39741" s="50"/>
      <c r="O39741" s="36" t="s">
        <v>48</v>
      </c>
      <c r="R39741" s="36" t="s">
        <v>48</v>
      </c>
    </row>
    <row r="39742">
      <c r="H39742" s="50"/>
      <c r="I39742" s="50"/>
      <c r="O39742" s="36" t="s">
        <v>48</v>
      </c>
      <c r="R39742" s="36" t="s">
        <v>48</v>
      </c>
    </row>
    <row r="39743">
      <c r="H39743" s="50"/>
      <c r="I39743" s="50"/>
      <c r="O39743" s="36" t="s">
        <v>48</v>
      </c>
      <c r="R39743" s="36" t="s">
        <v>48</v>
      </c>
    </row>
    <row r="39744">
      <c r="H39744" s="50"/>
      <c r="I39744" s="50"/>
      <c r="O39744" s="36" t="s">
        <v>48</v>
      </c>
      <c r="R39744" s="36" t="s">
        <v>48</v>
      </c>
    </row>
    <row r="39745">
      <c r="H39745" s="50"/>
      <c r="I39745" s="50"/>
      <c r="O39745" s="36" t="s">
        <v>48</v>
      </c>
      <c r="R39745" s="36" t="s">
        <v>48</v>
      </c>
    </row>
    <row r="39746">
      <c r="H39746" s="50"/>
      <c r="I39746" s="50"/>
      <c r="O39746" s="36" t="s">
        <v>48</v>
      </c>
      <c r="R39746" s="36" t="s">
        <v>48</v>
      </c>
    </row>
    <row r="39747">
      <c r="H39747" s="50"/>
      <c r="I39747" s="50"/>
      <c r="O39747" s="36" t="s">
        <v>48</v>
      </c>
      <c r="R39747" s="36" t="s">
        <v>48</v>
      </c>
    </row>
    <row r="39748">
      <c r="H39748" s="50"/>
      <c r="I39748" s="50"/>
      <c r="O39748" s="36" t="s">
        <v>48</v>
      </c>
      <c r="R39748" s="36" t="s">
        <v>48</v>
      </c>
    </row>
    <row r="39749">
      <c r="H39749" s="50"/>
      <c r="I39749" s="50"/>
      <c r="O39749" s="36" t="s">
        <v>48</v>
      </c>
      <c r="R39749" s="36" t="s">
        <v>48</v>
      </c>
    </row>
    <row r="39750">
      <c r="H39750" s="50"/>
      <c r="I39750" s="50"/>
      <c r="O39750" s="36" t="s">
        <v>48</v>
      </c>
      <c r="R39750" s="36" t="s">
        <v>48</v>
      </c>
    </row>
    <row r="39751">
      <c r="H39751" s="50"/>
      <c r="I39751" s="50"/>
      <c r="O39751" s="36" t="s">
        <v>48</v>
      </c>
      <c r="R39751" s="36" t="s">
        <v>48</v>
      </c>
    </row>
    <row r="39752">
      <c r="H39752" s="50"/>
      <c r="I39752" s="50"/>
      <c r="O39752" s="36" t="s">
        <v>48</v>
      </c>
      <c r="R39752" s="36" t="s">
        <v>48</v>
      </c>
    </row>
    <row r="39753">
      <c r="H39753" s="50"/>
      <c r="I39753" s="50"/>
      <c r="O39753" s="36" t="s">
        <v>48</v>
      </c>
      <c r="R39753" s="36" t="s">
        <v>48</v>
      </c>
    </row>
    <row r="39754">
      <c r="H39754" s="50"/>
      <c r="I39754" s="50"/>
      <c r="O39754" s="36" t="s">
        <v>48</v>
      </c>
      <c r="R39754" s="36" t="s">
        <v>48</v>
      </c>
    </row>
    <row r="39755">
      <c r="H39755" s="50"/>
      <c r="I39755" s="50"/>
      <c r="O39755" s="36" t="s">
        <v>48</v>
      </c>
      <c r="R39755" s="36" t="s">
        <v>48</v>
      </c>
    </row>
    <row r="39756">
      <c r="H39756" s="50"/>
      <c r="I39756" s="50"/>
      <c r="O39756" s="36" t="s">
        <v>48</v>
      </c>
      <c r="R39756" s="36" t="s">
        <v>48</v>
      </c>
    </row>
    <row r="39757">
      <c r="H39757" s="50"/>
      <c r="I39757" s="50"/>
      <c r="O39757" s="36" t="s">
        <v>48</v>
      </c>
      <c r="R39757" s="36" t="s">
        <v>48</v>
      </c>
    </row>
    <row r="39758">
      <c r="H39758" s="50"/>
      <c r="I39758" s="50"/>
      <c r="O39758" s="36" t="s">
        <v>48</v>
      </c>
      <c r="R39758" s="36" t="s">
        <v>48</v>
      </c>
    </row>
    <row r="39759">
      <c r="H39759" s="50"/>
      <c r="I39759" s="50"/>
      <c r="O39759" s="36" t="s">
        <v>48</v>
      </c>
      <c r="R39759" s="36" t="s">
        <v>48</v>
      </c>
    </row>
    <row r="39760">
      <c r="H39760" s="50"/>
      <c r="I39760" s="50"/>
      <c r="O39760" s="36" t="s">
        <v>48</v>
      </c>
      <c r="R39760" s="36" t="s">
        <v>48</v>
      </c>
    </row>
    <row r="39761">
      <c r="H39761" s="50"/>
      <c r="I39761" s="50"/>
      <c r="O39761" s="36" t="s">
        <v>48</v>
      </c>
      <c r="R39761" s="36" t="s">
        <v>48</v>
      </c>
    </row>
    <row r="39762">
      <c r="H39762" s="50"/>
      <c r="I39762" s="50"/>
      <c r="O39762" s="36" t="s">
        <v>48</v>
      </c>
      <c r="R39762" s="36" t="s">
        <v>48</v>
      </c>
    </row>
    <row r="39763">
      <c r="H39763" s="50"/>
      <c r="I39763" s="50"/>
      <c r="O39763" s="36" t="s">
        <v>48</v>
      </c>
      <c r="R39763" s="36" t="s">
        <v>48</v>
      </c>
    </row>
    <row r="39764">
      <c r="H39764" s="50"/>
      <c r="I39764" s="50"/>
      <c r="O39764" s="36" t="s">
        <v>48</v>
      </c>
      <c r="R39764" s="36" t="s">
        <v>48</v>
      </c>
    </row>
    <row r="39765">
      <c r="H39765" s="50"/>
      <c r="I39765" s="50"/>
      <c r="O39765" s="36" t="s">
        <v>48</v>
      </c>
      <c r="R39765" s="36" t="s">
        <v>48</v>
      </c>
    </row>
    <row r="39766">
      <c r="H39766" s="50"/>
      <c r="I39766" s="50"/>
      <c r="O39766" s="36" t="s">
        <v>48</v>
      </c>
      <c r="R39766" s="36" t="s">
        <v>48</v>
      </c>
    </row>
    <row r="39767">
      <c r="H39767" s="50"/>
      <c r="I39767" s="50"/>
      <c r="O39767" s="36" t="s">
        <v>48</v>
      </c>
      <c r="R39767" s="36" t="s">
        <v>48</v>
      </c>
    </row>
    <row r="39768">
      <c r="H39768" s="50"/>
      <c r="I39768" s="50"/>
      <c r="O39768" s="36" t="s">
        <v>48</v>
      </c>
      <c r="R39768" s="36" t="s">
        <v>48</v>
      </c>
    </row>
    <row r="39769">
      <c r="H39769" s="50"/>
      <c r="I39769" s="50"/>
      <c r="O39769" s="36" t="s">
        <v>48</v>
      </c>
      <c r="R39769" s="36" t="s">
        <v>48</v>
      </c>
    </row>
    <row r="39770">
      <c r="H39770" s="50"/>
      <c r="I39770" s="50"/>
      <c r="O39770" s="36" t="s">
        <v>48</v>
      </c>
      <c r="R39770" s="36" t="s">
        <v>48</v>
      </c>
    </row>
    <row r="39771">
      <c r="H39771" s="50"/>
      <c r="I39771" s="50"/>
      <c r="O39771" s="36" t="s">
        <v>48</v>
      </c>
      <c r="R39771" s="36" t="s">
        <v>48</v>
      </c>
    </row>
    <row r="39772">
      <c r="H39772" s="50"/>
      <c r="I39772" s="50"/>
      <c r="O39772" s="36" t="s">
        <v>48</v>
      </c>
      <c r="R39772" s="36" t="s">
        <v>48</v>
      </c>
    </row>
    <row r="39773">
      <c r="H39773" s="50"/>
      <c r="I39773" s="50"/>
      <c r="O39773" s="36" t="s">
        <v>48</v>
      </c>
      <c r="R39773" s="36" t="s">
        <v>48</v>
      </c>
    </row>
    <row r="39774">
      <c r="H39774" s="50"/>
      <c r="I39774" s="50"/>
      <c r="O39774" s="36" t="s">
        <v>48</v>
      </c>
      <c r="R39774" s="36" t="s">
        <v>48</v>
      </c>
    </row>
    <row r="39775">
      <c r="H39775" s="50"/>
      <c r="I39775" s="50"/>
      <c r="O39775" s="36" t="s">
        <v>48</v>
      </c>
      <c r="R39775" s="36" t="s">
        <v>48</v>
      </c>
    </row>
    <row r="39776">
      <c r="H39776" s="50"/>
      <c r="I39776" s="50"/>
      <c r="O39776" s="36" t="s">
        <v>48</v>
      </c>
      <c r="R39776" s="36" t="s">
        <v>48</v>
      </c>
    </row>
    <row r="39777">
      <c r="H39777" s="50"/>
      <c r="I39777" s="50"/>
      <c r="O39777" s="36" t="s">
        <v>48</v>
      </c>
      <c r="R39777" s="36" t="s">
        <v>48</v>
      </c>
    </row>
    <row r="39778">
      <c r="H39778" s="50"/>
      <c r="I39778" s="50"/>
      <c r="O39778" s="36" t="s">
        <v>48</v>
      </c>
      <c r="R39778" s="36" t="s">
        <v>48</v>
      </c>
    </row>
    <row r="39779">
      <c r="H39779" s="50"/>
      <c r="I39779" s="50"/>
      <c r="O39779" s="36" t="s">
        <v>48</v>
      </c>
      <c r="R39779" s="36" t="s">
        <v>48</v>
      </c>
    </row>
    <row r="39780">
      <c r="H39780" s="50"/>
      <c r="I39780" s="50"/>
      <c r="O39780" s="36" t="s">
        <v>48</v>
      </c>
      <c r="R39780" s="36" t="s">
        <v>48</v>
      </c>
    </row>
    <row r="39781">
      <c r="H39781" s="50"/>
      <c r="I39781" s="50"/>
      <c r="O39781" s="36" t="s">
        <v>48</v>
      </c>
      <c r="R39781" s="36" t="s">
        <v>48</v>
      </c>
    </row>
    <row r="39782">
      <c r="H39782" s="50"/>
      <c r="I39782" s="50"/>
      <c r="O39782" s="36" t="s">
        <v>48</v>
      </c>
      <c r="R39782" s="36" t="s">
        <v>48</v>
      </c>
    </row>
    <row r="39783">
      <c r="H39783" s="50"/>
      <c r="I39783" s="50"/>
      <c r="O39783" s="36" t="s">
        <v>48</v>
      </c>
      <c r="R39783" s="36" t="s">
        <v>48</v>
      </c>
    </row>
    <row r="39784">
      <c r="H39784" s="50"/>
      <c r="I39784" s="50"/>
      <c r="O39784" s="36" t="s">
        <v>48</v>
      </c>
      <c r="R39784" s="36" t="s">
        <v>48</v>
      </c>
    </row>
    <row r="39785">
      <c r="H39785" s="50"/>
      <c r="I39785" s="50"/>
      <c r="O39785" s="36" t="s">
        <v>48</v>
      </c>
      <c r="R39785" s="36" t="s">
        <v>48</v>
      </c>
    </row>
    <row r="39786">
      <c r="H39786" s="50"/>
      <c r="I39786" s="50"/>
      <c r="O39786" s="36" t="s">
        <v>48</v>
      </c>
      <c r="R39786" s="36" t="s">
        <v>48</v>
      </c>
    </row>
    <row r="39787">
      <c r="H39787" s="50"/>
      <c r="I39787" s="50"/>
      <c r="O39787" s="36" t="s">
        <v>48</v>
      </c>
      <c r="R39787" s="36" t="s">
        <v>48</v>
      </c>
    </row>
    <row r="39788">
      <c r="H39788" s="50"/>
      <c r="I39788" s="50"/>
      <c r="O39788" s="36" t="s">
        <v>48</v>
      </c>
      <c r="R39788" s="36" t="s">
        <v>48</v>
      </c>
    </row>
    <row r="39789">
      <c r="H39789" s="50"/>
      <c r="I39789" s="50"/>
      <c r="O39789" s="36" t="s">
        <v>48</v>
      </c>
      <c r="R39789" s="36" t="s">
        <v>48</v>
      </c>
    </row>
    <row r="39790">
      <c r="H39790" s="50"/>
      <c r="I39790" s="50"/>
      <c r="O39790" s="36" t="s">
        <v>48</v>
      </c>
      <c r="R39790" s="36" t="s">
        <v>48</v>
      </c>
    </row>
    <row r="39791">
      <c r="H39791" s="50"/>
      <c r="I39791" s="50"/>
      <c r="O39791" s="36" t="s">
        <v>48</v>
      </c>
      <c r="R39791" s="36" t="s">
        <v>48</v>
      </c>
    </row>
    <row r="39792">
      <c r="H39792" s="50"/>
      <c r="I39792" s="50"/>
      <c r="O39792" s="36" t="s">
        <v>48</v>
      </c>
      <c r="R39792" s="36" t="s">
        <v>48</v>
      </c>
    </row>
    <row r="39793">
      <c r="H39793" s="50"/>
      <c r="I39793" s="50"/>
      <c r="O39793" s="36" t="s">
        <v>48</v>
      </c>
      <c r="R39793" s="36" t="s">
        <v>48</v>
      </c>
    </row>
    <row r="39794">
      <c r="H39794" s="50"/>
      <c r="I39794" s="50"/>
      <c r="O39794" s="36" t="s">
        <v>48</v>
      </c>
      <c r="R39794" s="36" t="s">
        <v>48</v>
      </c>
    </row>
    <row r="39795">
      <c r="H39795" s="50"/>
      <c r="I39795" s="50"/>
      <c r="O39795" s="36" t="s">
        <v>48</v>
      </c>
      <c r="R39795" s="36" t="s">
        <v>48</v>
      </c>
    </row>
    <row r="39796">
      <c r="H39796" s="50"/>
      <c r="I39796" s="50"/>
      <c r="O39796" s="36" t="s">
        <v>48</v>
      </c>
      <c r="R39796" s="36" t="s">
        <v>48</v>
      </c>
    </row>
    <row r="39797">
      <c r="H39797" s="50"/>
      <c r="I39797" s="50"/>
      <c r="O39797" s="36" t="s">
        <v>48</v>
      </c>
      <c r="R39797" s="36" t="s">
        <v>48</v>
      </c>
    </row>
    <row r="39798">
      <c r="H39798" s="50"/>
      <c r="I39798" s="50"/>
      <c r="O39798" s="36" t="s">
        <v>48</v>
      </c>
      <c r="R39798" s="36" t="s">
        <v>48</v>
      </c>
    </row>
    <row r="39799">
      <c r="H39799" s="50"/>
      <c r="I39799" s="50"/>
      <c r="O39799" s="36" t="s">
        <v>48</v>
      </c>
      <c r="R39799" s="36" t="s">
        <v>48</v>
      </c>
    </row>
    <row r="39800">
      <c r="H39800" s="50"/>
      <c r="I39800" s="50"/>
      <c r="O39800" s="36" t="s">
        <v>48</v>
      </c>
      <c r="R39800" s="36" t="s">
        <v>48</v>
      </c>
    </row>
    <row r="39801">
      <c r="H39801" s="50"/>
      <c r="I39801" s="50"/>
      <c r="O39801" s="36" t="s">
        <v>48</v>
      </c>
      <c r="R39801" s="36" t="s">
        <v>48</v>
      </c>
    </row>
    <row r="39802">
      <c r="H39802" s="50"/>
      <c r="I39802" s="50"/>
      <c r="O39802" s="36" t="s">
        <v>48</v>
      </c>
      <c r="R39802" s="36" t="s">
        <v>48</v>
      </c>
    </row>
    <row r="39803">
      <c r="H39803" s="50"/>
      <c r="I39803" s="50"/>
      <c r="O39803" s="36" t="s">
        <v>48</v>
      </c>
      <c r="R39803" s="36" t="s">
        <v>48</v>
      </c>
    </row>
    <row r="39804">
      <c r="H39804" s="50"/>
      <c r="I39804" s="50"/>
      <c r="O39804" s="36" t="s">
        <v>48</v>
      </c>
      <c r="R39804" s="36" t="s">
        <v>48</v>
      </c>
    </row>
    <row r="39805">
      <c r="H39805" s="50"/>
      <c r="I39805" s="50"/>
      <c r="O39805" s="36" t="s">
        <v>48</v>
      </c>
      <c r="R39805" s="36" t="s">
        <v>48</v>
      </c>
    </row>
    <row r="39806">
      <c r="H39806" s="50"/>
      <c r="I39806" s="50"/>
      <c r="O39806" s="36" t="s">
        <v>48</v>
      </c>
      <c r="R39806" s="36" t="s">
        <v>48</v>
      </c>
    </row>
    <row r="39807">
      <c r="H39807" s="50"/>
      <c r="I39807" s="50"/>
      <c r="O39807" s="36" t="s">
        <v>48</v>
      </c>
      <c r="R39807" s="36" t="s">
        <v>48</v>
      </c>
    </row>
    <row r="39808">
      <c r="H39808" s="50"/>
      <c r="I39808" s="50"/>
      <c r="O39808" s="36" t="s">
        <v>48</v>
      </c>
      <c r="R39808" s="36" t="s">
        <v>48</v>
      </c>
    </row>
    <row r="39809">
      <c r="H39809" s="50"/>
      <c r="I39809" s="50"/>
      <c r="O39809" s="36" t="s">
        <v>48</v>
      </c>
      <c r="R39809" s="36" t="s">
        <v>48</v>
      </c>
    </row>
    <row r="39810">
      <c r="H39810" s="50"/>
      <c r="I39810" s="50"/>
      <c r="O39810" s="36" t="s">
        <v>48</v>
      </c>
      <c r="R39810" s="36" t="s">
        <v>48</v>
      </c>
    </row>
    <row r="39811">
      <c r="H39811" s="50"/>
      <c r="I39811" s="50"/>
      <c r="O39811" s="36" t="s">
        <v>48</v>
      </c>
      <c r="R39811" s="36" t="s">
        <v>48</v>
      </c>
    </row>
    <row r="39812">
      <c r="H39812" s="50"/>
      <c r="I39812" s="50"/>
      <c r="O39812" s="36" t="s">
        <v>48</v>
      </c>
      <c r="R39812" s="36" t="s">
        <v>48</v>
      </c>
    </row>
    <row r="39813">
      <c r="H39813" s="50"/>
      <c r="I39813" s="50"/>
      <c r="O39813" s="36" t="s">
        <v>48</v>
      </c>
      <c r="R39813" s="36" t="s">
        <v>48</v>
      </c>
    </row>
    <row r="39814">
      <c r="H39814" s="50"/>
      <c r="I39814" s="50"/>
      <c r="O39814" s="36" t="s">
        <v>48</v>
      </c>
      <c r="R39814" s="36" t="s">
        <v>48</v>
      </c>
    </row>
    <row r="39815">
      <c r="H39815" s="50"/>
      <c r="I39815" s="50"/>
      <c r="O39815" s="36" t="s">
        <v>48</v>
      </c>
      <c r="R39815" s="36" t="s">
        <v>48</v>
      </c>
    </row>
    <row r="39816">
      <c r="H39816" s="50"/>
      <c r="I39816" s="50"/>
      <c r="O39816" s="36" t="s">
        <v>48</v>
      </c>
      <c r="R39816" s="36" t="s">
        <v>48</v>
      </c>
    </row>
    <row r="39817">
      <c r="H39817" s="50"/>
      <c r="I39817" s="50"/>
      <c r="O39817" s="36" t="s">
        <v>48</v>
      </c>
      <c r="R39817" s="36" t="s">
        <v>48</v>
      </c>
    </row>
    <row r="39818">
      <c r="H39818" s="50"/>
      <c r="I39818" s="50"/>
      <c r="O39818" s="36" t="s">
        <v>48</v>
      </c>
      <c r="R39818" s="36" t="s">
        <v>48</v>
      </c>
    </row>
    <row r="39819">
      <c r="H39819" s="50"/>
      <c r="I39819" s="50"/>
      <c r="O39819" s="36" t="s">
        <v>48</v>
      </c>
      <c r="R39819" s="36" t="s">
        <v>48</v>
      </c>
    </row>
    <row r="39820">
      <c r="H39820" s="50"/>
      <c r="I39820" s="50"/>
      <c r="O39820" s="36" t="s">
        <v>48</v>
      </c>
      <c r="R39820" s="36" t="s">
        <v>48</v>
      </c>
    </row>
    <row r="39821">
      <c r="H39821" s="50"/>
      <c r="I39821" s="50"/>
      <c r="O39821" s="36" t="s">
        <v>48</v>
      </c>
      <c r="R39821" s="36" t="s">
        <v>48</v>
      </c>
    </row>
    <row r="39822">
      <c r="H39822" s="50"/>
      <c r="I39822" s="50"/>
      <c r="O39822" s="36" t="s">
        <v>48</v>
      </c>
      <c r="R39822" s="36" t="s">
        <v>48</v>
      </c>
    </row>
    <row r="39823">
      <c r="H39823" s="50"/>
      <c r="I39823" s="50"/>
      <c r="O39823" s="36" t="s">
        <v>48</v>
      </c>
      <c r="R39823" s="36" t="s">
        <v>48</v>
      </c>
    </row>
    <row r="39824">
      <c r="H39824" s="50"/>
      <c r="I39824" s="50"/>
      <c r="O39824" s="36" t="s">
        <v>48</v>
      </c>
      <c r="R39824" s="36" t="s">
        <v>48</v>
      </c>
    </row>
    <row r="39825">
      <c r="H39825" s="50"/>
      <c r="I39825" s="50"/>
      <c r="O39825" s="36" t="s">
        <v>48</v>
      </c>
      <c r="R39825" s="36" t="s">
        <v>48</v>
      </c>
    </row>
    <row r="39826">
      <c r="H39826" s="50"/>
      <c r="I39826" s="50"/>
      <c r="O39826" s="36" t="s">
        <v>48</v>
      </c>
      <c r="R39826" s="36" t="s">
        <v>48</v>
      </c>
    </row>
    <row r="39827">
      <c r="H39827" s="50"/>
      <c r="I39827" s="50"/>
      <c r="O39827" s="36" t="s">
        <v>48</v>
      </c>
      <c r="R39827" s="36" t="s">
        <v>48</v>
      </c>
    </row>
    <row r="39828">
      <c r="H39828" s="50"/>
      <c r="I39828" s="50"/>
      <c r="O39828" s="36" t="s">
        <v>48</v>
      </c>
      <c r="R39828" s="36" t="s">
        <v>48</v>
      </c>
    </row>
    <row r="39829">
      <c r="H39829" s="50"/>
      <c r="I39829" s="50"/>
      <c r="O39829" s="36" t="s">
        <v>48</v>
      </c>
      <c r="R39829" s="36" t="s">
        <v>48</v>
      </c>
    </row>
    <row r="39830">
      <c r="H39830" s="50"/>
      <c r="I39830" s="50"/>
      <c r="O39830" s="36" t="s">
        <v>48</v>
      </c>
      <c r="R39830" s="36" t="s">
        <v>48</v>
      </c>
    </row>
    <row r="39831">
      <c r="H39831" s="50"/>
      <c r="I39831" s="50"/>
      <c r="O39831" s="36" t="s">
        <v>48</v>
      </c>
      <c r="R39831" s="36" t="s">
        <v>48</v>
      </c>
    </row>
    <row r="39832">
      <c r="H39832" s="50"/>
      <c r="I39832" s="50"/>
      <c r="O39832" s="36" t="s">
        <v>48</v>
      </c>
      <c r="R39832" s="36" t="s">
        <v>48</v>
      </c>
    </row>
    <row r="39833">
      <c r="H39833" s="50"/>
      <c r="I39833" s="50"/>
      <c r="O39833" s="36" t="s">
        <v>48</v>
      </c>
      <c r="R39833" s="36" t="s">
        <v>48</v>
      </c>
    </row>
    <row r="39834">
      <c r="H39834" s="50"/>
      <c r="I39834" s="50"/>
      <c r="O39834" s="36" t="s">
        <v>48</v>
      </c>
      <c r="R39834" s="36" t="s">
        <v>48</v>
      </c>
    </row>
    <row r="39835">
      <c r="H39835" s="50"/>
      <c r="I39835" s="50"/>
      <c r="O39835" s="36" t="s">
        <v>48</v>
      </c>
      <c r="R39835" s="36" t="s">
        <v>48</v>
      </c>
    </row>
    <row r="39836">
      <c r="H39836" s="50"/>
      <c r="I39836" s="50"/>
      <c r="O39836" s="36" t="s">
        <v>48</v>
      </c>
      <c r="R39836" s="36" t="s">
        <v>48</v>
      </c>
    </row>
    <row r="39837">
      <c r="H39837" s="50"/>
      <c r="I39837" s="50"/>
      <c r="O39837" s="36" t="s">
        <v>48</v>
      </c>
      <c r="R39837" s="36" t="s">
        <v>48</v>
      </c>
    </row>
    <row r="39838">
      <c r="H39838" s="50"/>
      <c r="I39838" s="50"/>
      <c r="O39838" s="36" t="s">
        <v>48</v>
      </c>
      <c r="R39838" s="36" t="s">
        <v>48</v>
      </c>
    </row>
    <row r="39839">
      <c r="H39839" s="50"/>
      <c r="I39839" s="50"/>
      <c r="O39839" s="36" t="s">
        <v>48</v>
      </c>
      <c r="R39839" s="36" t="s">
        <v>48</v>
      </c>
    </row>
    <row r="39840">
      <c r="H39840" s="50"/>
      <c r="I39840" s="50"/>
      <c r="O39840" s="36" t="s">
        <v>48</v>
      </c>
      <c r="R39840" s="36" t="s">
        <v>48</v>
      </c>
    </row>
    <row r="39841">
      <c r="H39841" s="50"/>
      <c r="I39841" s="50"/>
      <c r="O39841" s="36" t="s">
        <v>48</v>
      </c>
      <c r="R39841" s="36" t="s">
        <v>48</v>
      </c>
    </row>
    <row r="39842">
      <c r="H39842" s="50"/>
      <c r="I39842" s="50"/>
      <c r="O39842" s="36" t="s">
        <v>48</v>
      </c>
      <c r="R39842" s="36" t="s">
        <v>48</v>
      </c>
    </row>
    <row r="39843">
      <c r="H39843" s="50"/>
      <c r="I39843" s="50"/>
      <c r="O39843" s="36" t="s">
        <v>48</v>
      </c>
      <c r="R39843" s="36" t="s">
        <v>48</v>
      </c>
    </row>
    <row r="39844">
      <c r="H39844" s="50"/>
      <c r="I39844" s="50"/>
      <c r="O39844" s="36" t="s">
        <v>48</v>
      </c>
      <c r="R39844" s="36" t="s">
        <v>48</v>
      </c>
    </row>
    <row r="39845">
      <c r="H39845" s="50"/>
      <c r="I39845" s="50"/>
      <c r="O39845" s="36" t="s">
        <v>48</v>
      </c>
      <c r="R39845" s="36" t="s">
        <v>48</v>
      </c>
    </row>
    <row r="39846">
      <c r="H39846" s="50"/>
      <c r="I39846" s="50"/>
      <c r="O39846" s="36" t="s">
        <v>48</v>
      </c>
      <c r="R39846" s="36" t="s">
        <v>48</v>
      </c>
    </row>
    <row r="39847">
      <c r="H39847" s="50"/>
      <c r="I39847" s="50"/>
      <c r="O39847" s="36" t="s">
        <v>48</v>
      </c>
      <c r="R39847" s="36" t="s">
        <v>48</v>
      </c>
    </row>
    <row r="39848">
      <c r="H39848" s="50"/>
      <c r="I39848" s="50"/>
      <c r="O39848" s="36" t="s">
        <v>48</v>
      </c>
      <c r="R39848" s="36" t="s">
        <v>48</v>
      </c>
    </row>
    <row r="39849">
      <c r="H39849" s="50"/>
      <c r="I39849" s="50"/>
      <c r="O39849" s="36" t="s">
        <v>48</v>
      </c>
      <c r="R39849" s="36" t="s">
        <v>48</v>
      </c>
    </row>
    <row r="39850">
      <c r="H39850" s="50"/>
      <c r="I39850" s="50"/>
      <c r="O39850" s="36" t="s">
        <v>48</v>
      </c>
      <c r="R39850" s="36" t="s">
        <v>48</v>
      </c>
    </row>
    <row r="39851">
      <c r="H39851" s="50"/>
      <c r="I39851" s="50"/>
      <c r="O39851" s="36" t="s">
        <v>48</v>
      </c>
      <c r="R39851" s="36" t="s">
        <v>48</v>
      </c>
    </row>
    <row r="39852">
      <c r="H39852" s="50"/>
      <c r="I39852" s="50"/>
      <c r="O39852" s="36" t="s">
        <v>48</v>
      </c>
      <c r="R39852" s="36" t="s">
        <v>48</v>
      </c>
    </row>
    <row r="39853">
      <c r="H39853" s="50"/>
      <c r="I39853" s="50"/>
      <c r="O39853" s="36" t="s">
        <v>48</v>
      </c>
      <c r="R39853" s="36" t="s">
        <v>48</v>
      </c>
    </row>
    <row r="39854">
      <c r="H39854" s="50"/>
      <c r="I39854" s="50"/>
      <c r="O39854" s="36" t="s">
        <v>48</v>
      </c>
      <c r="R39854" s="36" t="s">
        <v>48</v>
      </c>
    </row>
    <row r="39855">
      <c r="H39855" s="50"/>
      <c r="I39855" s="50"/>
      <c r="O39855" s="36" t="s">
        <v>48</v>
      </c>
      <c r="R39855" s="36" t="s">
        <v>48</v>
      </c>
    </row>
    <row r="39856">
      <c r="H39856" s="50"/>
      <c r="I39856" s="50"/>
      <c r="O39856" s="36" t="s">
        <v>48</v>
      </c>
      <c r="R39856" s="36" t="s">
        <v>48</v>
      </c>
    </row>
    <row r="39857">
      <c r="H39857" s="50"/>
      <c r="I39857" s="50"/>
      <c r="O39857" s="36" t="s">
        <v>48</v>
      </c>
      <c r="R39857" s="36" t="s">
        <v>48</v>
      </c>
    </row>
    <row r="39858">
      <c r="H39858" s="50"/>
      <c r="I39858" s="50"/>
      <c r="O39858" s="36" t="s">
        <v>48</v>
      </c>
      <c r="R39858" s="36" t="s">
        <v>48</v>
      </c>
    </row>
    <row r="39859">
      <c r="H39859" s="50"/>
      <c r="I39859" s="50"/>
      <c r="O39859" s="36" t="s">
        <v>48</v>
      </c>
      <c r="R39859" s="36" t="s">
        <v>48</v>
      </c>
    </row>
    <row r="39860">
      <c r="H39860" s="50"/>
      <c r="I39860" s="50"/>
      <c r="O39860" s="36" t="s">
        <v>48</v>
      </c>
      <c r="R39860" s="36" t="s">
        <v>48</v>
      </c>
    </row>
    <row r="39861">
      <c r="H39861" s="50"/>
      <c r="I39861" s="50"/>
      <c r="O39861" s="36" t="s">
        <v>48</v>
      </c>
      <c r="R39861" s="36" t="s">
        <v>48</v>
      </c>
    </row>
    <row r="39862">
      <c r="H39862" s="50"/>
      <c r="I39862" s="50"/>
      <c r="O39862" s="36" t="s">
        <v>48</v>
      </c>
      <c r="R39862" s="36" t="s">
        <v>48</v>
      </c>
    </row>
    <row r="39863">
      <c r="H39863" s="50"/>
      <c r="I39863" s="50"/>
      <c r="O39863" s="36" t="s">
        <v>48</v>
      </c>
      <c r="R39863" s="36" t="s">
        <v>48</v>
      </c>
    </row>
    <row r="39864">
      <c r="H39864" s="50"/>
      <c r="I39864" s="50"/>
      <c r="O39864" s="36" t="s">
        <v>48</v>
      </c>
      <c r="R39864" s="36" t="s">
        <v>48</v>
      </c>
    </row>
    <row r="39865">
      <c r="H39865" s="50"/>
      <c r="I39865" s="50"/>
      <c r="O39865" s="36" t="s">
        <v>48</v>
      </c>
      <c r="R39865" s="36" t="s">
        <v>48</v>
      </c>
    </row>
    <row r="39866">
      <c r="H39866" s="50"/>
      <c r="I39866" s="50"/>
      <c r="O39866" s="36" t="s">
        <v>48</v>
      </c>
      <c r="R39866" s="36" t="s">
        <v>48</v>
      </c>
    </row>
    <row r="39867">
      <c r="H39867" s="50"/>
      <c r="I39867" s="50"/>
      <c r="O39867" s="36" t="s">
        <v>48</v>
      </c>
      <c r="R39867" s="36" t="s">
        <v>48</v>
      </c>
    </row>
    <row r="39868">
      <c r="H39868" s="50"/>
      <c r="I39868" s="50"/>
      <c r="O39868" s="36" t="s">
        <v>48</v>
      </c>
      <c r="R39868" s="36" t="s">
        <v>48</v>
      </c>
    </row>
    <row r="39869">
      <c r="H39869" s="50"/>
      <c r="I39869" s="50"/>
      <c r="O39869" s="36" t="s">
        <v>48</v>
      </c>
      <c r="R39869" s="36" t="s">
        <v>48</v>
      </c>
    </row>
    <row r="39870">
      <c r="H39870" s="50"/>
      <c r="I39870" s="50"/>
      <c r="O39870" s="36" t="s">
        <v>48</v>
      </c>
      <c r="R39870" s="36" t="s">
        <v>48</v>
      </c>
    </row>
    <row r="39871">
      <c r="H39871" s="50"/>
      <c r="I39871" s="50"/>
      <c r="O39871" s="36" t="s">
        <v>48</v>
      </c>
      <c r="R39871" s="36" t="s">
        <v>48</v>
      </c>
    </row>
    <row r="39872">
      <c r="H39872" s="50"/>
      <c r="I39872" s="50"/>
      <c r="O39872" s="36" t="s">
        <v>48</v>
      </c>
      <c r="R39872" s="36" t="s">
        <v>48</v>
      </c>
    </row>
    <row r="39873">
      <c r="H39873" s="50"/>
      <c r="I39873" s="50"/>
      <c r="O39873" s="36" t="s">
        <v>48</v>
      </c>
      <c r="R39873" s="36" t="s">
        <v>48</v>
      </c>
    </row>
    <row r="39874">
      <c r="H39874" s="50"/>
      <c r="I39874" s="50"/>
      <c r="O39874" s="36" t="s">
        <v>48</v>
      </c>
      <c r="R39874" s="36" t="s">
        <v>48</v>
      </c>
    </row>
    <row r="39875">
      <c r="H39875" s="50"/>
      <c r="I39875" s="50"/>
      <c r="O39875" s="36" t="s">
        <v>48</v>
      </c>
      <c r="R39875" s="36" t="s">
        <v>48</v>
      </c>
    </row>
    <row r="39876">
      <c r="H39876" s="50"/>
      <c r="I39876" s="50"/>
      <c r="O39876" s="36" t="s">
        <v>48</v>
      </c>
      <c r="R39876" s="36" t="s">
        <v>48</v>
      </c>
    </row>
    <row r="39877">
      <c r="H39877" s="50"/>
      <c r="I39877" s="50"/>
      <c r="O39877" s="36" t="s">
        <v>48</v>
      </c>
      <c r="R39877" s="36" t="s">
        <v>48</v>
      </c>
    </row>
    <row r="39878">
      <c r="H39878" s="50"/>
      <c r="I39878" s="50"/>
      <c r="O39878" s="36" t="s">
        <v>48</v>
      </c>
      <c r="R39878" s="36" t="s">
        <v>48</v>
      </c>
    </row>
    <row r="39879">
      <c r="H39879" s="50"/>
      <c r="I39879" s="50"/>
      <c r="O39879" s="36" t="s">
        <v>48</v>
      </c>
      <c r="R39879" s="36" t="s">
        <v>48</v>
      </c>
    </row>
    <row r="39880">
      <c r="H39880" s="50"/>
      <c r="I39880" s="50"/>
      <c r="O39880" s="36" t="s">
        <v>48</v>
      </c>
      <c r="R39880" s="36" t="s">
        <v>48</v>
      </c>
    </row>
    <row r="39881">
      <c r="H39881" s="50"/>
      <c r="I39881" s="50"/>
      <c r="O39881" s="36" t="s">
        <v>48</v>
      </c>
      <c r="R39881" s="36" t="s">
        <v>48</v>
      </c>
    </row>
    <row r="39882">
      <c r="H39882" s="50"/>
      <c r="I39882" s="50"/>
      <c r="O39882" s="36" t="s">
        <v>48</v>
      </c>
      <c r="R39882" s="36" t="s">
        <v>48</v>
      </c>
    </row>
    <row r="39883">
      <c r="H39883" s="50"/>
      <c r="I39883" s="50"/>
      <c r="O39883" s="36" t="s">
        <v>48</v>
      </c>
      <c r="R39883" s="36" t="s">
        <v>48</v>
      </c>
    </row>
    <row r="39884">
      <c r="H39884" s="50"/>
      <c r="I39884" s="50"/>
      <c r="O39884" s="36" t="s">
        <v>48</v>
      </c>
      <c r="R39884" s="36" t="s">
        <v>48</v>
      </c>
    </row>
    <row r="39885">
      <c r="H39885" s="50"/>
      <c r="I39885" s="50"/>
      <c r="O39885" s="36" t="s">
        <v>48</v>
      </c>
      <c r="R39885" s="36" t="s">
        <v>48</v>
      </c>
    </row>
    <row r="39886">
      <c r="H39886" s="50"/>
      <c r="I39886" s="50"/>
      <c r="O39886" s="36" t="s">
        <v>48</v>
      </c>
      <c r="R39886" s="36" t="s">
        <v>48</v>
      </c>
    </row>
    <row r="39887">
      <c r="H39887" s="50"/>
      <c r="I39887" s="50"/>
      <c r="O39887" s="36" t="s">
        <v>48</v>
      </c>
      <c r="R39887" s="36" t="s">
        <v>48</v>
      </c>
    </row>
    <row r="39888">
      <c r="H39888" s="50"/>
      <c r="I39888" s="50"/>
      <c r="O39888" s="36" t="s">
        <v>48</v>
      </c>
      <c r="R39888" s="36" t="s">
        <v>48</v>
      </c>
    </row>
    <row r="39889">
      <c r="H39889" s="50"/>
      <c r="I39889" s="50"/>
      <c r="O39889" s="36" t="s">
        <v>48</v>
      </c>
      <c r="R39889" s="36" t="s">
        <v>48</v>
      </c>
    </row>
    <row r="39890">
      <c r="H39890" s="50"/>
      <c r="I39890" s="50"/>
      <c r="O39890" s="36" t="s">
        <v>48</v>
      </c>
      <c r="R39890" s="36" t="s">
        <v>48</v>
      </c>
    </row>
    <row r="39891">
      <c r="H39891" s="50"/>
      <c r="I39891" s="50"/>
      <c r="O39891" s="36" t="s">
        <v>48</v>
      </c>
      <c r="R39891" s="36" t="s">
        <v>48</v>
      </c>
    </row>
    <row r="39892">
      <c r="H39892" s="50"/>
      <c r="I39892" s="50"/>
      <c r="O39892" s="36" t="s">
        <v>48</v>
      </c>
      <c r="R39892" s="36" t="s">
        <v>48</v>
      </c>
    </row>
    <row r="39893">
      <c r="H39893" s="50"/>
      <c r="I39893" s="50"/>
      <c r="O39893" s="36" t="s">
        <v>48</v>
      </c>
      <c r="R39893" s="36" t="s">
        <v>48</v>
      </c>
    </row>
    <row r="39894">
      <c r="H39894" s="50"/>
      <c r="I39894" s="50"/>
      <c r="O39894" s="36" t="s">
        <v>48</v>
      </c>
      <c r="R39894" s="36" t="s">
        <v>48</v>
      </c>
    </row>
    <row r="39895">
      <c r="H39895" s="50"/>
      <c r="I39895" s="50"/>
      <c r="O39895" s="36" t="s">
        <v>48</v>
      </c>
      <c r="R39895" s="36" t="s">
        <v>48</v>
      </c>
    </row>
    <row r="39896">
      <c r="H39896" s="50"/>
      <c r="I39896" s="50"/>
      <c r="O39896" s="36" t="s">
        <v>48</v>
      </c>
      <c r="R39896" s="36" t="s">
        <v>48</v>
      </c>
    </row>
    <row r="39897">
      <c r="H39897" s="50"/>
      <c r="I39897" s="50"/>
      <c r="O39897" s="36" t="s">
        <v>48</v>
      </c>
      <c r="R39897" s="36" t="s">
        <v>48</v>
      </c>
    </row>
    <row r="39898">
      <c r="H39898" s="50"/>
      <c r="I39898" s="50"/>
      <c r="O39898" s="36" t="s">
        <v>48</v>
      </c>
      <c r="R39898" s="36" t="s">
        <v>48</v>
      </c>
    </row>
    <row r="39899">
      <c r="H39899" s="50"/>
      <c r="I39899" s="50"/>
      <c r="O39899" s="36" t="s">
        <v>48</v>
      </c>
      <c r="R39899" s="36" t="s">
        <v>48</v>
      </c>
    </row>
    <row r="39900">
      <c r="H39900" s="50"/>
      <c r="I39900" s="50"/>
      <c r="O39900" s="36" t="s">
        <v>48</v>
      </c>
      <c r="R39900" s="36" t="s">
        <v>48</v>
      </c>
    </row>
    <row r="39901">
      <c r="H39901" s="50"/>
      <c r="I39901" s="50"/>
      <c r="O39901" s="36" t="s">
        <v>48</v>
      </c>
      <c r="R39901" s="36" t="s">
        <v>48</v>
      </c>
    </row>
    <row r="39902">
      <c r="H39902" s="50"/>
      <c r="I39902" s="50"/>
      <c r="O39902" s="36" t="s">
        <v>48</v>
      </c>
      <c r="R39902" s="36" t="s">
        <v>48</v>
      </c>
    </row>
    <row r="39903">
      <c r="H39903" s="50"/>
      <c r="I39903" s="50"/>
      <c r="O39903" s="36" t="s">
        <v>48</v>
      </c>
      <c r="R39903" s="36" t="s">
        <v>48</v>
      </c>
    </row>
    <row r="39904">
      <c r="H39904" s="50"/>
      <c r="I39904" s="50"/>
      <c r="O39904" s="36" t="s">
        <v>48</v>
      </c>
      <c r="R39904" s="36" t="s">
        <v>48</v>
      </c>
    </row>
    <row r="39905">
      <c r="H39905" s="50"/>
      <c r="I39905" s="50"/>
      <c r="O39905" s="36" t="s">
        <v>48</v>
      </c>
      <c r="R39905" s="36" t="s">
        <v>48</v>
      </c>
    </row>
    <row r="39906">
      <c r="H39906" s="50"/>
      <c r="I39906" s="50"/>
      <c r="O39906" s="36" t="s">
        <v>48</v>
      </c>
      <c r="R39906" s="36" t="s">
        <v>48</v>
      </c>
    </row>
    <row r="39907">
      <c r="H39907" s="50"/>
      <c r="I39907" s="50"/>
      <c r="O39907" s="36" t="s">
        <v>48</v>
      </c>
      <c r="R39907" s="36" t="s">
        <v>48</v>
      </c>
    </row>
    <row r="39908">
      <c r="H39908" s="50"/>
      <c r="I39908" s="50"/>
      <c r="O39908" s="36" t="s">
        <v>48</v>
      </c>
      <c r="R39908" s="36" t="s">
        <v>48</v>
      </c>
    </row>
    <row r="39909">
      <c r="H39909" s="50"/>
      <c r="I39909" s="50"/>
      <c r="O39909" s="36" t="s">
        <v>48</v>
      </c>
      <c r="R39909" s="36" t="s">
        <v>48</v>
      </c>
    </row>
    <row r="39910">
      <c r="H39910" s="50"/>
      <c r="I39910" s="50"/>
      <c r="O39910" s="36" t="s">
        <v>48</v>
      </c>
      <c r="R39910" s="36" t="s">
        <v>48</v>
      </c>
    </row>
    <row r="39911">
      <c r="H39911" s="50"/>
      <c r="I39911" s="50"/>
      <c r="O39911" s="36" t="s">
        <v>48</v>
      </c>
      <c r="R39911" s="36" t="s">
        <v>48</v>
      </c>
    </row>
    <row r="39912">
      <c r="H39912" s="50"/>
      <c r="I39912" s="50"/>
      <c r="O39912" s="36" t="s">
        <v>48</v>
      </c>
      <c r="R39912" s="36" t="s">
        <v>48</v>
      </c>
    </row>
    <row r="39913">
      <c r="H39913" s="50"/>
      <c r="I39913" s="50"/>
      <c r="O39913" s="36" t="s">
        <v>48</v>
      </c>
      <c r="R39913" s="36" t="s">
        <v>48</v>
      </c>
    </row>
    <row r="39914">
      <c r="H39914" s="50"/>
      <c r="I39914" s="50"/>
      <c r="O39914" s="36" t="s">
        <v>48</v>
      </c>
      <c r="R39914" s="36" t="s">
        <v>48</v>
      </c>
    </row>
    <row r="39915">
      <c r="H39915" s="50"/>
      <c r="I39915" s="50"/>
      <c r="O39915" s="36" t="s">
        <v>48</v>
      </c>
      <c r="R39915" s="36" t="s">
        <v>48</v>
      </c>
    </row>
    <row r="39916">
      <c r="H39916" s="50"/>
      <c r="I39916" s="50"/>
      <c r="O39916" s="36" t="s">
        <v>48</v>
      </c>
      <c r="R39916" s="36" t="s">
        <v>48</v>
      </c>
    </row>
    <row r="39917">
      <c r="H39917" s="50"/>
      <c r="I39917" s="50"/>
      <c r="O39917" s="36" t="s">
        <v>48</v>
      </c>
      <c r="R39917" s="36" t="s">
        <v>48</v>
      </c>
    </row>
    <row r="39918">
      <c r="H39918" s="50"/>
      <c r="I39918" s="50"/>
      <c r="O39918" s="36" t="s">
        <v>48</v>
      </c>
      <c r="R39918" s="36" t="s">
        <v>48</v>
      </c>
    </row>
    <row r="39919">
      <c r="H39919" s="50"/>
      <c r="I39919" s="50"/>
      <c r="O39919" s="36" t="s">
        <v>48</v>
      </c>
      <c r="R39919" s="36" t="s">
        <v>48</v>
      </c>
    </row>
    <row r="39920">
      <c r="H39920" s="50"/>
      <c r="I39920" s="50"/>
      <c r="O39920" s="36" t="s">
        <v>48</v>
      </c>
      <c r="R39920" s="36" t="s">
        <v>48</v>
      </c>
    </row>
    <row r="39921">
      <c r="H39921" s="50"/>
      <c r="I39921" s="50"/>
      <c r="O39921" s="36" t="s">
        <v>48</v>
      </c>
      <c r="R39921" s="36" t="s">
        <v>48</v>
      </c>
    </row>
    <row r="39922">
      <c r="H39922" s="50"/>
      <c r="I39922" s="50"/>
      <c r="O39922" s="36" t="s">
        <v>48</v>
      </c>
      <c r="R39922" s="36" t="s">
        <v>48</v>
      </c>
    </row>
    <row r="39923">
      <c r="H39923" s="50"/>
      <c r="I39923" s="50"/>
      <c r="O39923" s="36" t="s">
        <v>48</v>
      </c>
      <c r="R39923" s="36" t="s">
        <v>48</v>
      </c>
    </row>
    <row r="39924">
      <c r="H39924" s="50"/>
      <c r="I39924" s="50"/>
      <c r="O39924" s="36" t="s">
        <v>48</v>
      </c>
      <c r="R39924" s="36" t="s">
        <v>48</v>
      </c>
    </row>
    <row r="39925">
      <c r="H39925" s="50"/>
      <c r="I39925" s="50"/>
      <c r="O39925" s="36" t="s">
        <v>48</v>
      </c>
      <c r="R39925" s="36" t="s">
        <v>48</v>
      </c>
    </row>
    <row r="39926">
      <c r="H39926" s="50"/>
      <c r="I39926" s="50"/>
      <c r="O39926" s="36" t="s">
        <v>48</v>
      </c>
      <c r="R39926" s="36" t="s">
        <v>48</v>
      </c>
    </row>
    <row r="39927">
      <c r="H39927" s="50"/>
      <c r="I39927" s="50"/>
      <c r="O39927" s="36" t="s">
        <v>48</v>
      </c>
      <c r="R39927" s="36" t="s">
        <v>48</v>
      </c>
    </row>
    <row r="39928">
      <c r="H39928" s="50"/>
      <c r="I39928" s="50"/>
      <c r="O39928" s="36" t="s">
        <v>48</v>
      </c>
      <c r="R39928" s="36" t="s">
        <v>48</v>
      </c>
    </row>
    <row r="39929">
      <c r="H39929" s="50"/>
      <c r="I39929" s="50"/>
      <c r="O39929" s="36" t="s">
        <v>48</v>
      </c>
      <c r="R39929" s="36" t="s">
        <v>48</v>
      </c>
    </row>
    <row r="39930">
      <c r="H39930" s="50"/>
      <c r="I39930" s="50"/>
      <c r="O39930" s="36" t="s">
        <v>48</v>
      </c>
      <c r="R39930" s="36" t="s">
        <v>48</v>
      </c>
    </row>
    <row r="39931">
      <c r="H39931" s="50"/>
      <c r="I39931" s="50"/>
      <c r="O39931" s="36" t="s">
        <v>48</v>
      </c>
      <c r="R39931" s="36" t="s">
        <v>48</v>
      </c>
    </row>
    <row r="39932">
      <c r="H39932" s="50"/>
      <c r="I39932" s="50"/>
      <c r="O39932" s="36" t="s">
        <v>48</v>
      </c>
      <c r="R39932" s="36" t="s">
        <v>48</v>
      </c>
    </row>
    <row r="39933">
      <c r="H39933" s="50"/>
      <c r="I39933" s="50"/>
      <c r="O39933" s="36" t="s">
        <v>48</v>
      </c>
      <c r="R39933" s="36" t="s">
        <v>48</v>
      </c>
    </row>
    <row r="39934">
      <c r="H39934" s="50"/>
      <c r="I39934" s="50"/>
      <c r="O39934" s="36" t="s">
        <v>48</v>
      </c>
      <c r="R39934" s="36" t="s">
        <v>48</v>
      </c>
    </row>
    <row r="39935">
      <c r="H39935" s="50"/>
      <c r="I39935" s="50"/>
      <c r="O39935" s="36" t="s">
        <v>48</v>
      </c>
      <c r="R39935" s="36" t="s">
        <v>48</v>
      </c>
    </row>
    <row r="39936">
      <c r="H39936" s="50"/>
      <c r="I39936" s="50"/>
      <c r="O39936" s="36" t="s">
        <v>48</v>
      </c>
      <c r="R39936" s="36" t="s">
        <v>48</v>
      </c>
    </row>
    <row r="39937">
      <c r="H39937" s="50"/>
      <c r="I39937" s="50"/>
      <c r="O39937" s="36" t="s">
        <v>48</v>
      </c>
      <c r="R39937" s="36" t="s">
        <v>48</v>
      </c>
    </row>
    <row r="39938">
      <c r="H39938" s="50"/>
      <c r="I39938" s="50"/>
      <c r="O39938" s="36" t="s">
        <v>48</v>
      </c>
      <c r="R39938" s="36" t="s">
        <v>48</v>
      </c>
    </row>
    <row r="39939">
      <c r="H39939" s="50"/>
      <c r="I39939" s="50"/>
      <c r="O39939" s="36" t="s">
        <v>48</v>
      </c>
      <c r="R39939" s="36" t="s">
        <v>48</v>
      </c>
    </row>
    <row r="39940">
      <c r="H39940" s="50"/>
      <c r="I39940" s="50"/>
      <c r="O39940" s="36" t="s">
        <v>48</v>
      </c>
      <c r="R39940" s="36" t="s">
        <v>48</v>
      </c>
    </row>
    <row r="39941">
      <c r="H39941" s="50"/>
      <c r="I39941" s="50"/>
      <c r="O39941" s="36" t="s">
        <v>48</v>
      </c>
      <c r="R39941" s="36" t="s">
        <v>48</v>
      </c>
    </row>
    <row r="39942">
      <c r="H39942" s="50"/>
      <c r="I39942" s="50"/>
      <c r="O39942" s="36" t="s">
        <v>48</v>
      </c>
      <c r="R39942" s="36" t="s">
        <v>48</v>
      </c>
    </row>
    <row r="39943">
      <c r="H39943" s="50"/>
      <c r="I39943" s="50"/>
      <c r="O39943" s="36" t="s">
        <v>48</v>
      </c>
      <c r="R39943" s="36" t="s">
        <v>48</v>
      </c>
    </row>
    <row r="39944">
      <c r="H39944" s="50"/>
      <c r="I39944" s="50"/>
      <c r="O39944" s="36" t="s">
        <v>48</v>
      </c>
      <c r="R39944" s="36" t="s">
        <v>48</v>
      </c>
    </row>
    <row r="39945">
      <c r="H39945" s="50"/>
      <c r="I39945" s="50"/>
      <c r="O39945" s="36" t="s">
        <v>48</v>
      </c>
      <c r="R39945" s="36" t="s">
        <v>48</v>
      </c>
    </row>
    <row r="39946">
      <c r="H39946" s="50"/>
      <c r="I39946" s="50"/>
      <c r="O39946" s="36" t="s">
        <v>48</v>
      </c>
      <c r="R39946" s="36" t="s">
        <v>48</v>
      </c>
    </row>
    <row r="39947">
      <c r="H39947" s="50"/>
      <c r="I39947" s="50"/>
      <c r="O39947" s="36" t="s">
        <v>48</v>
      </c>
      <c r="R39947" s="36" t="s">
        <v>48</v>
      </c>
    </row>
    <row r="39948">
      <c r="H39948" s="50"/>
      <c r="I39948" s="50"/>
      <c r="O39948" s="36" t="s">
        <v>48</v>
      </c>
      <c r="R39948" s="36" t="s">
        <v>48</v>
      </c>
    </row>
    <row r="39949">
      <c r="H39949" s="50"/>
      <c r="I39949" s="50"/>
      <c r="O39949" s="36" t="s">
        <v>48</v>
      </c>
      <c r="R39949" s="36" t="s">
        <v>48</v>
      </c>
    </row>
    <row r="39950">
      <c r="H39950" s="50"/>
      <c r="I39950" s="50"/>
      <c r="O39950" s="36" t="s">
        <v>48</v>
      </c>
      <c r="R39950" s="36" t="s">
        <v>48</v>
      </c>
    </row>
    <row r="39951">
      <c r="H39951" s="50"/>
      <c r="I39951" s="50"/>
      <c r="O39951" s="36" t="s">
        <v>48</v>
      </c>
      <c r="R39951" s="36" t="s">
        <v>48</v>
      </c>
    </row>
    <row r="39952">
      <c r="H39952" s="50"/>
      <c r="I39952" s="50"/>
      <c r="O39952" s="36" t="s">
        <v>48</v>
      </c>
      <c r="R39952" s="36" t="s">
        <v>48</v>
      </c>
    </row>
    <row r="39953">
      <c r="H39953" s="50"/>
      <c r="I39953" s="50"/>
      <c r="O39953" s="36" t="s">
        <v>48</v>
      </c>
      <c r="R39953" s="36" t="s">
        <v>48</v>
      </c>
    </row>
    <row r="39954">
      <c r="H39954" s="50"/>
      <c r="I39954" s="50"/>
      <c r="O39954" s="36" t="s">
        <v>48</v>
      </c>
      <c r="R39954" s="36" t="s">
        <v>48</v>
      </c>
    </row>
    <row r="39955">
      <c r="H39955" s="50"/>
      <c r="I39955" s="50"/>
      <c r="O39955" s="36" t="s">
        <v>48</v>
      </c>
      <c r="R39955" s="36" t="s">
        <v>48</v>
      </c>
    </row>
    <row r="39956">
      <c r="H39956" s="50"/>
      <c r="I39956" s="50"/>
      <c r="O39956" s="36" t="s">
        <v>48</v>
      </c>
      <c r="R39956" s="36" t="s">
        <v>48</v>
      </c>
    </row>
    <row r="39957">
      <c r="H39957" s="50"/>
      <c r="I39957" s="50"/>
      <c r="O39957" s="36" t="s">
        <v>48</v>
      </c>
      <c r="R39957" s="36" t="s">
        <v>48</v>
      </c>
    </row>
    <row r="39958">
      <c r="H39958" s="50"/>
      <c r="I39958" s="50"/>
      <c r="O39958" s="36" t="s">
        <v>48</v>
      </c>
      <c r="R39958" s="36" t="s">
        <v>48</v>
      </c>
    </row>
    <row r="39959">
      <c r="H39959" s="50"/>
      <c r="I39959" s="50"/>
      <c r="O39959" s="36" t="s">
        <v>48</v>
      </c>
      <c r="R39959" s="36" t="s">
        <v>48</v>
      </c>
    </row>
    <row r="39960">
      <c r="H39960" s="50"/>
      <c r="I39960" s="50"/>
      <c r="O39960" s="36" t="s">
        <v>48</v>
      </c>
      <c r="R39960" s="36" t="s">
        <v>48</v>
      </c>
    </row>
    <row r="39961">
      <c r="H39961" s="50"/>
      <c r="I39961" s="50"/>
      <c r="O39961" s="36" t="s">
        <v>48</v>
      </c>
      <c r="R39961" s="36" t="s">
        <v>48</v>
      </c>
    </row>
    <row r="39962">
      <c r="H39962" s="50"/>
      <c r="I39962" s="50"/>
      <c r="O39962" s="36" t="s">
        <v>48</v>
      </c>
      <c r="R39962" s="36" t="s">
        <v>48</v>
      </c>
    </row>
    <row r="39963">
      <c r="H39963" s="50"/>
      <c r="I39963" s="50"/>
      <c r="O39963" s="36" t="s">
        <v>48</v>
      </c>
      <c r="R39963" s="36" t="s">
        <v>48</v>
      </c>
    </row>
    <row r="39964">
      <c r="H39964" s="50"/>
      <c r="I39964" s="50"/>
      <c r="O39964" s="36" t="s">
        <v>48</v>
      </c>
      <c r="R39964" s="36" t="s">
        <v>48</v>
      </c>
    </row>
    <row r="39965">
      <c r="H39965" s="50"/>
      <c r="I39965" s="50"/>
      <c r="O39965" s="36" t="s">
        <v>48</v>
      </c>
      <c r="R39965" s="36" t="s">
        <v>48</v>
      </c>
    </row>
    <row r="39966">
      <c r="H39966" s="50"/>
      <c r="I39966" s="50"/>
      <c r="O39966" s="36" t="s">
        <v>48</v>
      </c>
      <c r="R39966" s="36" t="s">
        <v>48</v>
      </c>
    </row>
    <row r="39967">
      <c r="H39967" s="50"/>
      <c r="I39967" s="50"/>
      <c r="O39967" s="36" t="s">
        <v>48</v>
      </c>
      <c r="R39967" s="36" t="s">
        <v>48</v>
      </c>
    </row>
    <row r="39968">
      <c r="H39968" s="50"/>
      <c r="I39968" s="50"/>
      <c r="O39968" s="36" t="s">
        <v>48</v>
      </c>
      <c r="R39968" s="36" t="s">
        <v>48</v>
      </c>
    </row>
    <row r="39969">
      <c r="H39969" s="50"/>
      <c r="I39969" s="50"/>
      <c r="O39969" s="36" t="s">
        <v>48</v>
      </c>
      <c r="R39969" s="36" t="s">
        <v>48</v>
      </c>
    </row>
    <row r="39970">
      <c r="H39970" s="50"/>
      <c r="I39970" s="50"/>
      <c r="O39970" s="36" t="s">
        <v>48</v>
      </c>
      <c r="R39970" s="36" t="s">
        <v>48</v>
      </c>
    </row>
    <row r="39971">
      <c r="H39971" s="50"/>
      <c r="I39971" s="50"/>
      <c r="O39971" s="36" t="s">
        <v>48</v>
      </c>
      <c r="R39971" s="36" t="s">
        <v>48</v>
      </c>
    </row>
    <row r="39972">
      <c r="H39972" s="50"/>
      <c r="I39972" s="50"/>
      <c r="O39972" s="36" t="s">
        <v>48</v>
      </c>
      <c r="R39972" s="36" t="s">
        <v>48</v>
      </c>
    </row>
    <row r="39973">
      <c r="H39973" s="50"/>
      <c r="I39973" s="50"/>
      <c r="O39973" s="36" t="s">
        <v>48</v>
      </c>
      <c r="R39973" s="36" t="s">
        <v>48</v>
      </c>
    </row>
    <row r="39974">
      <c r="H39974" s="50"/>
      <c r="I39974" s="50"/>
      <c r="O39974" s="36" t="s">
        <v>48</v>
      </c>
      <c r="R39974" s="36" t="s">
        <v>48</v>
      </c>
    </row>
    <row r="39975">
      <c r="H39975" s="50"/>
      <c r="I39975" s="50"/>
      <c r="O39975" s="36" t="s">
        <v>48</v>
      </c>
      <c r="R39975" s="36" t="s">
        <v>48</v>
      </c>
    </row>
    <row r="39976">
      <c r="H39976" s="50"/>
      <c r="I39976" s="50"/>
      <c r="O39976" s="36" t="s">
        <v>48</v>
      </c>
      <c r="R39976" s="36" t="s">
        <v>48</v>
      </c>
    </row>
    <row r="39977">
      <c r="H39977" s="50"/>
      <c r="I39977" s="50"/>
      <c r="O39977" s="36" t="s">
        <v>48</v>
      </c>
      <c r="R39977" s="36" t="s">
        <v>48</v>
      </c>
    </row>
    <row r="39978">
      <c r="H39978" s="50"/>
      <c r="I39978" s="50"/>
      <c r="O39978" s="36" t="s">
        <v>48</v>
      </c>
      <c r="R39978" s="36" t="s">
        <v>48</v>
      </c>
    </row>
    <row r="39979">
      <c r="H39979" s="50"/>
      <c r="I39979" s="50"/>
      <c r="O39979" s="36" t="s">
        <v>48</v>
      </c>
      <c r="R39979" s="36" t="s">
        <v>48</v>
      </c>
    </row>
    <row r="39980">
      <c r="H39980" s="50"/>
      <c r="I39980" s="50"/>
      <c r="O39980" s="36" t="s">
        <v>48</v>
      </c>
      <c r="R39980" s="36" t="s">
        <v>48</v>
      </c>
    </row>
    <row r="39981">
      <c r="H39981" s="50"/>
      <c r="I39981" s="50"/>
      <c r="O39981" s="36" t="s">
        <v>48</v>
      </c>
      <c r="R39981" s="36" t="s">
        <v>48</v>
      </c>
    </row>
    <row r="39982">
      <c r="H39982" s="50"/>
      <c r="I39982" s="50"/>
      <c r="O39982" s="36" t="s">
        <v>48</v>
      </c>
      <c r="R39982" s="36" t="s">
        <v>48</v>
      </c>
    </row>
    <row r="39983">
      <c r="H39983" s="50"/>
      <c r="I39983" s="50"/>
      <c r="O39983" s="36" t="s">
        <v>48</v>
      </c>
      <c r="R39983" s="36" t="s">
        <v>48</v>
      </c>
    </row>
    <row r="39984">
      <c r="H39984" s="50"/>
      <c r="I39984" s="50"/>
      <c r="O39984" s="36" t="s">
        <v>48</v>
      </c>
      <c r="R39984" s="36" t="s">
        <v>48</v>
      </c>
    </row>
    <row r="39985">
      <c r="H39985" s="50"/>
      <c r="I39985" s="50"/>
      <c r="O39985" s="36" t="s">
        <v>48</v>
      </c>
      <c r="R39985" s="36" t="s">
        <v>48</v>
      </c>
    </row>
    <row r="39986">
      <c r="H39986" s="50"/>
      <c r="I39986" s="50"/>
      <c r="O39986" s="36" t="s">
        <v>48</v>
      </c>
      <c r="R39986" s="36" t="s">
        <v>48</v>
      </c>
    </row>
    <row r="39987">
      <c r="H39987" s="50"/>
      <c r="I39987" s="50"/>
      <c r="O39987" s="36" t="s">
        <v>48</v>
      </c>
      <c r="R39987" s="36" t="s">
        <v>48</v>
      </c>
    </row>
    <row r="39988">
      <c r="H39988" s="50"/>
      <c r="I39988" s="50"/>
      <c r="O39988" s="36" t="s">
        <v>48</v>
      </c>
      <c r="R39988" s="36" t="s">
        <v>48</v>
      </c>
    </row>
    <row r="39989">
      <c r="H39989" s="50"/>
      <c r="I39989" s="50"/>
      <c r="O39989" s="36" t="s">
        <v>48</v>
      </c>
      <c r="R39989" s="36" t="s">
        <v>48</v>
      </c>
    </row>
    <row r="39990">
      <c r="H39990" s="50"/>
      <c r="I39990" s="50"/>
      <c r="O39990" s="36" t="s">
        <v>48</v>
      </c>
      <c r="R39990" s="36" t="s">
        <v>48</v>
      </c>
    </row>
    <row r="39991">
      <c r="H39991" s="50"/>
      <c r="I39991" s="50"/>
      <c r="O39991" s="36" t="s">
        <v>48</v>
      </c>
      <c r="R39991" s="36" t="s">
        <v>48</v>
      </c>
    </row>
    <row r="39992">
      <c r="H39992" s="50"/>
      <c r="I39992" s="50"/>
      <c r="O39992" s="36" t="s">
        <v>48</v>
      </c>
      <c r="R39992" s="36" t="s">
        <v>48</v>
      </c>
    </row>
    <row r="39993">
      <c r="H39993" s="50"/>
      <c r="I39993" s="50"/>
      <c r="O39993" s="36" t="s">
        <v>48</v>
      </c>
      <c r="R39993" s="36" t="s">
        <v>48</v>
      </c>
    </row>
    <row r="39994">
      <c r="H39994" s="50"/>
      <c r="I39994" s="50"/>
      <c r="O39994" s="36" t="s">
        <v>48</v>
      </c>
      <c r="R39994" s="36" t="s">
        <v>48</v>
      </c>
    </row>
    <row r="39995">
      <c r="H39995" s="50"/>
      <c r="I39995" s="50"/>
      <c r="O39995" s="36" t="s">
        <v>48</v>
      </c>
      <c r="R39995" s="36" t="s">
        <v>48</v>
      </c>
    </row>
    <row r="39996">
      <c r="H39996" s="50"/>
      <c r="I39996" s="50"/>
      <c r="O39996" s="36" t="s">
        <v>48</v>
      </c>
      <c r="R39996" s="36" t="s">
        <v>48</v>
      </c>
    </row>
    <row r="39997">
      <c r="H39997" s="50"/>
      <c r="I39997" s="50"/>
      <c r="O39997" s="36" t="s">
        <v>48</v>
      </c>
      <c r="R39997" s="36" t="s">
        <v>48</v>
      </c>
    </row>
    <row r="39998">
      <c r="H39998" s="50"/>
      <c r="I39998" s="50"/>
      <c r="O39998" s="36" t="s">
        <v>48</v>
      </c>
      <c r="R39998" s="36" t="s">
        <v>48</v>
      </c>
    </row>
    <row r="39999">
      <c r="H39999" s="50"/>
      <c r="I39999" s="50"/>
      <c r="O39999" s="36" t="s">
        <v>48</v>
      </c>
      <c r="R39999" s="36" t="s">
        <v>48</v>
      </c>
    </row>
    <row r="40000">
      <c r="H40000" s="50"/>
      <c r="I40000" s="50"/>
      <c r="O40000" s="36" t="s">
        <v>48</v>
      </c>
      <c r="R40000" s="36" t="s">
        <v>48</v>
      </c>
    </row>
    <row r="40001">
      <c r="H40001" s="50"/>
      <c r="I40001" s="50"/>
      <c r="O40001" s="36" t="s">
        <v>48</v>
      </c>
      <c r="R40001" s="36" t="s">
        <v>48</v>
      </c>
    </row>
    <row r="40002">
      <c r="H40002" s="50"/>
      <c r="I40002" s="50"/>
      <c r="O40002" s="36" t="s">
        <v>48</v>
      </c>
      <c r="R40002" s="36" t="s">
        <v>48</v>
      </c>
    </row>
    <row r="40003">
      <c r="H40003" s="50"/>
      <c r="I40003" s="50"/>
      <c r="O40003" s="36" t="s">
        <v>48</v>
      </c>
      <c r="R40003" s="36" t="s">
        <v>48</v>
      </c>
    </row>
    <row r="40004">
      <c r="H40004" s="50"/>
      <c r="I40004" s="50"/>
      <c r="O40004" s="36" t="s">
        <v>48</v>
      </c>
      <c r="R40004" s="36" t="s">
        <v>48</v>
      </c>
    </row>
    <row r="40005">
      <c r="H40005" s="50"/>
      <c r="I40005" s="50"/>
      <c r="O40005" s="36" t="s">
        <v>48</v>
      </c>
      <c r="R40005" s="36" t="s">
        <v>48</v>
      </c>
    </row>
    <row r="40006">
      <c r="H40006" s="50"/>
      <c r="I40006" s="50"/>
      <c r="O40006" s="36" t="s">
        <v>48</v>
      </c>
      <c r="R40006" s="36" t="s">
        <v>48</v>
      </c>
    </row>
    <row r="40007">
      <c r="H40007" s="50"/>
      <c r="I40007" s="50"/>
      <c r="O40007" s="36" t="s">
        <v>48</v>
      </c>
      <c r="R40007" s="36" t="s">
        <v>48</v>
      </c>
    </row>
    <row r="40008">
      <c r="H40008" s="50"/>
      <c r="I40008" s="50"/>
      <c r="O40008" s="36" t="s">
        <v>48</v>
      </c>
      <c r="R40008" s="36" t="s">
        <v>48</v>
      </c>
    </row>
    <row r="40009">
      <c r="H40009" s="50"/>
      <c r="I40009" s="50"/>
      <c r="O40009" s="36" t="s">
        <v>48</v>
      </c>
      <c r="R40009" s="36" t="s">
        <v>48</v>
      </c>
    </row>
    <row r="40010">
      <c r="H40010" s="50"/>
      <c r="I40010" s="50"/>
      <c r="O40010" s="36" t="s">
        <v>48</v>
      </c>
      <c r="R40010" s="36" t="s">
        <v>48</v>
      </c>
    </row>
    <row r="40011">
      <c r="H40011" s="50"/>
      <c r="I40011" s="50"/>
      <c r="O40011" s="36" t="s">
        <v>48</v>
      </c>
      <c r="R40011" s="36" t="s">
        <v>48</v>
      </c>
    </row>
    <row r="40012">
      <c r="H40012" s="50"/>
      <c r="I40012" s="50"/>
      <c r="O40012" s="36" t="s">
        <v>48</v>
      </c>
      <c r="R40012" s="36" t="s">
        <v>48</v>
      </c>
    </row>
    <row r="40013">
      <c r="H40013" s="50"/>
      <c r="I40013" s="50"/>
      <c r="O40013" s="36" t="s">
        <v>48</v>
      </c>
      <c r="R40013" s="36" t="s">
        <v>48</v>
      </c>
    </row>
    <row r="40014">
      <c r="H40014" s="50"/>
      <c r="I40014" s="50"/>
      <c r="O40014" s="36" t="s">
        <v>48</v>
      </c>
      <c r="R40014" s="36" t="s">
        <v>48</v>
      </c>
    </row>
    <row r="40015">
      <c r="H40015" s="50"/>
      <c r="I40015" s="50"/>
      <c r="O40015" s="36" t="s">
        <v>48</v>
      </c>
      <c r="R40015" s="36" t="s">
        <v>48</v>
      </c>
    </row>
    <row r="40016">
      <c r="H40016" s="50"/>
      <c r="I40016" s="50"/>
      <c r="O40016" s="36" t="s">
        <v>48</v>
      </c>
      <c r="R40016" s="36" t="s">
        <v>48</v>
      </c>
    </row>
    <row r="40017">
      <c r="H40017" s="50"/>
      <c r="I40017" s="50"/>
      <c r="O40017" s="36" t="s">
        <v>48</v>
      </c>
      <c r="R40017" s="36" t="s">
        <v>48</v>
      </c>
    </row>
    <row r="40018">
      <c r="H40018" s="50"/>
      <c r="I40018" s="50"/>
      <c r="O40018" s="36" t="s">
        <v>48</v>
      </c>
      <c r="R40018" s="36" t="s">
        <v>48</v>
      </c>
    </row>
    <row r="40019">
      <c r="H40019" s="50"/>
      <c r="I40019" s="50"/>
      <c r="O40019" s="36" t="s">
        <v>48</v>
      </c>
      <c r="R40019" s="36" t="s">
        <v>48</v>
      </c>
    </row>
    <row r="40020">
      <c r="H40020" s="50"/>
      <c r="I40020" s="50"/>
      <c r="O40020" s="36" t="s">
        <v>48</v>
      </c>
      <c r="R40020" s="36" t="s">
        <v>48</v>
      </c>
    </row>
    <row r="40021">
      <c r="H40021" s="50"/>
      <c r="I40021" s="50"/>
      <c r="O40021" s="36" t="s">
        <v>48</v>
      </c>
      <c r="R40021" s="36" t="s">
        <v>48</v>
      </c>
    </row>
    <row r="40022">
      <c r="H40022" s="50"/>
      <c r="I40022" s="50"/>
      <c r="O40022" s="36" t="s">
        <v>48</v>
      </c>
      <c r="R40022" s="36" t="s">
        <v>48</v>
      </c>
    </row>
    <row r="40023">
      <c r="H40023" s="50"/>
      <c r="I40023" s="50"/>
      <c r="O40023" s="36" t="s">
        <v>48</v>
      </c>
      <c r="R40023" s="36" t="s">
        <v>48</v>
      </c>
    </row>
    <row r="40024">
      <c r="H40024" s="50"/>
      <c r="I40024" s="50"/>
      <c r="O40024" s="36" t="s">
        <v>48</v>
      </c>
      <c r="R40024" s="36" t="s">
        <v>48</v>
      </c>
    </row>
    <row r="40025">
      <c r="H40025" s="50"/>
      <c r="I40025" s="50"/>
      <c r="O40025" s="36" t="s">
        <v>48</v>
      </c>
      <c r="R40025" s="36" t="s">
        <v>48</v>
      </c>
    </row>
    <row r="40026">
      <c r="H40026" s="50"/>
      <c r="I40026" s="50"/>
      <c r="O40026" s="36" t="s">
        <v>48</v>
      </c>
      <c r="R40026" s="36" t="s">
        <v>48</v>
      </c>
    </row>
    <row r="40027">
      <c r="H40027" s="50"/>
      <c r="I40027" s="50"/>
      <c r="O40027" s="36" t="s">
        <v>48</v>
      </c>
      <c r="R40027" s="36" t="s">
        <v>48</v>
      </c>
    </row>
    <row r="40028">
      <c r="H40028" s="50"/>
      <c r="I40028" s="50"/>
      <c r="O40028" s="36" t="s">
        <v>48</v>
      </c>
      <c r="R40028" s="36" t="s">
        <v>48</v>
      </c>
    </row>
    <row r="40029">
      <c r="H40029" s="50"/>
      <c r="I40029" s="50"/>
      <c r="O40029" s="36" t="s">
        <v>48</v>
      </c>
      <c r="R40029" s="36" t="s">
        <v>48</v>
      </c>
    </row>
    <row r="40030">
      <c r="H40030" s="50"/>
      <c r="I40030" s="50"/>
      <c r="O40030" s="36" t="s">
        <v>48</v>
      </c>
      <c r="R40030" s="36" t="s">
        <v>48</v>
      </c>
    </row>
    <row r="40031">
      <c r="H40031" s="50"/>
      <c r="I40031" s="50"/>
      <c r="O40031" s="36" t="s">
        <v>48</v>
      </c>
      <c r="R40031" s="36" t="s">
        <v>48</v>
      </c>
    </row>
    <row r="40032">
      <c r="H40032" s="50"/>
      <c r="I40032" s="50"/>
      <c r="O40032" s="36" t="s">
        <v>48</v>
      </c>
      <c r="R40032" s="36" t="s">
        <v>48</v>
      </c>
    </row>
    <row r="40033">
      <c r="H40033" s="50"/>
      <c r="I40033" s="50"/>
      <c r="O40033" s="36" t="s">
        <v>48</v>
      </c>
      <c r="R40033" s="36" t="s">
        <v>48</v>
      </c>
    </row>
    <row r="40034">
      <c r="H40034" s="50"/>
      <c r="I40034" s="50"/>
      <c r="O40034" s="36" t="s">
        <v>48</v>
      </c>
      <c r="R40034" s="36" t="s">
        <v>48</v>
      </c>
    </row>
    <row r="40035">
      <c r="H40035" s="50"/>
      <c r="I40035" s="50"/>
      <c r="O40035" s="36" t="s">
        <v>48</v>
      </c>
      <c r="R40035" s="36" t="s">
        <v>48</v>
      </c>
    </row>
    <row r="40036">
      <c r="H40036" s="50"/>
      <c r="I40036" s="50"/>
      <c r="O40036" s="36" t="s">
        <v>48</v>
      </c>
      <c r="R40036" s="36" t="s">
        <v>48</v>
      </c>
    </row>
    <row r="40037">
      <c r="H40037" s="50"/>
      <c r="I40037" s="50"/>
      <c r="O40037" s="36" t="s">
        <v>48</v>
      </c>
      <c r="R40037" s="36" t="s">
        <v>48</v>
      </c>
    </row>
    <row r="40038">
      <c r="H40038" s="50"/>
      <c r="I40038" s="50"/>
      <c r="O40038" s="36" t="s">
        <v>48</v>
      </c>
      <c r="R40038" s="36" t="s">
        <v>48</v>
      </c>
    </row>
    <row r="40039">
      <c r="H40039" s="50"/>
      <c r="I40039" s="50"/>
      <c r="O40039" s="36" t="s">
        <v>48</v>
      </c>
      <c r="R40039" s="36" t="s">
        <v>48</v>
      </c>
    </row>
    <row r="40040">
      <c r="H40040" s="50"/>
      <c r="I40040" s="50"/>
      <c r="O40040" s="36" t="s">
        <v>48</v>
      </c>
      <c r="R40040" s="36" t="s">
        <v>48</v>
      </c>
    </row>
    <row r="40041">
      <c r="H40041" s="50"/>
      <c r="I40041" s="50"/>
      <c r="O40041" s="36" t="s">
        <v>48</v>
      </c>
      <c r="R40041" s="36" t="s">
        <v>48</v>
      </c>
    </row>
    <row r="40042">
      <c r="H40042" s="50"/>
      <c r="I40042" s="50"/>
      <c r="O40042" s="36" t="s">
        <v>48</v>
      </c>
      <c r="R40042" s="36" t="s">
        <v>48</v>
      </c>
    </row>
    <row r="40043">
      <c r="H40043" s="50"/>
      <c r="I40043" s="50"/>
      <c r="O40043" s="36" t="s">
        <v>48</v>
      </c>
      <c r="R40043" s="36" t="s">
        <v>48</v>
      </c>
    </row>
    <row r="40044">
      <c r="H40044" s="50"/>
      <c r="I40044" s="50"/>
      <c r="O40044" s="36" t="s">
        <v>48</v>
      </c>
      <c r="R40044" s="36" t="s">
        <v>48</v>
      </c>
    </row>
    <row r="40045">
      <c r="H40045" s="50"/>
      <c r="I40045" s="50"/>
      <c r="O40045" s="36" t="s">
        <v>48</v>
      </c>
      <c r="R40045" s="36" t="s">
        <v>48</v>
      </c>
    </row>
    <row r="40046">
      <c r="H40046" s="50"/>
      <c r="I40046" s="50"/>
      <c r="O40046" s="36" t="s">
        <v>48</v>
      </c>
      <c r="R40046" s="36" t="s">
        <v>48</v>
      </c>
    </row>
    <row r="40047">
      <c r="H40047" s="50"/>
      <c r="I40047" s="50"/>
      <c r="O40047" s="36" t="s">
        <v>48</v>
      </c>
      <c r="R40047" s="36" t="s">
        <v>48</v>
      </c>
    </row>
    <row r="40048">
      <c r="H40048" s="50"/>
      <c r="I40048" s="50"/>
      <c r="O40048" s="36" t="s">
        <v>48</v>
      </c>
      <c r="R40048" s="36" t="s">
        <v>48</v>
      </c>
    </row>
    <row r="40049">
      <c r="H40049" s="50"/>
      <c r="I40049" s="50"/>
      <c r="O40049" s="36" t="s">
        <v>48</v>
      </c>
      <c r="R40049" s="36" t="s">
        <v>48</v>
      </c>
    </row>
    <row r="40050">
      <c r="H40050" s="50"/>
      <c r="I40050" s="50"/>
      <c r="O40050" s="36" t="s">
        <v>48</v>
      </c>
      <c r="R40050" s="36" t="s">
        <v>48</v>
      </c>
    </row>
    <row r="40051">
      <c r="H40051" s="50"/>
      <c r="I40051" s="50"/>
      <c r="O40051" s="36" t="s">
        <v>48</v>
      </c>
      <c r="R40051" s="36" t="s">
        <v>48</v>
      </c>
    </row>
    <row r="40052">
      <c r="H40052" s="50"/>
      <c r="I40052" s="50"/>
      <c r="O40052" s="36" t="s">
        <v>48</v>
      </c>
      <c r="R40052" s="36" t="s">
        <v>48</v>
      </c>
    </row>
    <row r="40053">
      <c r="H40053" s="50"/>
      <c r="I40053" s="50"/>
      <c r="O40053" s="36" t="s">
        <v>48</v>
      </c>
      <c r="R40053" s="36" t="s">
        <v>48</v>
      </c>
    </row>
    <row r="40054">
      <c r="H40054" s="50"/>
      <c r="I40054" s="50"/>
      <c r="O40054" s="36" t="s">
        <v>48</v>
      </c>
      <c r="R40054" s="36" t="s">
        <v>48</v>
      </c>
    </row>
    <row r="40055">
      <c r="H40055" s="50"/>
      <c r="I40055" s="50"/>
      <c r="O40055" s="36" t="s">
        <v>48</v>
      </c>
      <c r="R40055" s="36" t="s">
        <v>48</v>
      </c>
    </row>
    <row r="40056">
      <c r="H40056" s="50"/>
      <c r="I40056" s="50"/>
      <c r="O40056" s="36" t="s">
        <v>48</v>
      </c>
      <c r="R40056" s="36" t="s">
        <v>48</v>
      </c>
    </row>
    <row r="40057">
      <c r="H40057" s="50"/>
      <c r="I40057" s="50"/>
      <c r="O40057" s="36" t="s">
        <v>48</v>
      </c>
      <c r="R40057" s="36" t="s">
        <v>48</v>
      </c>
    </row>
    <row r="40058">
      <c r="H40058" s="50"/>
      <c r="I40058" s="50"/>
      <c r="O40058" s="36" t="s">
        <v>48</v>
      </c>
      <c r="R40058" s="36" t="s">
        <v>48</v>
      </c>
    </row>
    <row r="40059">
      <c r="H40059" s="50"/>
      <c r="I40059" s="50"/>
      <c r="O40059" s="36" t="s">
        <v>48</v>
      </c>
      <c r="R40059" s="36" t="s">
        <v>48</v>
      </c>
    </row>
    <row r="40060">
      <c r="H40060" s="50"/>
      <c r="I40060" s="50"/>
      <c r="O40060" s="36" t="s">
        <v>48</v>
      </c>
      <c r="R40060" s="36" t="s">
        <v>48</v>
      </c>
    </row>
    <row r="40061">
      <c r="H40061" s="50"/>
      <c r="I40061" s="50"/>
      <c r="O40061" s="36" t="s">
        <v>48</v>
      </c>
      <c r="R40061" s="36" t="s">
        <v>48</v>
      </c>
    </row>
    <row r="40062">
      <c r="H40062" s="50"/>
      <c r="I40062" s="50"/>
      <c r="O40062" s="36" t="s">
        <v>48</v>
      </c>
      <c r="R40062" s="36" t="s">
        <v>48</v>
      </c>
    </row>
    <row r="40063">
      <c r="H40063" s="50"/>
      <c r="I40063" s="50"/>
      <c r="O40063" s="36" t="s">
        <v>48</v>
      </c>
      <c r="R40063" s="36" t="s">
        <v>48</v>
      </c>
    </row>
    <row r="40064">
      <c r="H40064" s="50"/>
      <c r="I40064" s="50"/>
      <c r="O40064" s="36" t="s">
        <v>48</v>
      </c>
      <c r="R40064" s="36" t="s">
        <v>48</v>
      </c>
    </row>
    <row r="40065">
      <c r="H40065" s="50"/>
      <c r="I40065" s="50"/>
      <c r="O40065" s="36" t="s">
        <v>48</v>
      </c>
      <c r="R40065" s="36" t="s">
        <v>48</v>
      </c>
    </row>
    <row r="40066">
      <c r="H40066" s="50"/>
      <c r="I40066" s="50"/>
      <c r="O40066" s="36" t="s">
        <v>48</v>
      </c>
      <c r="R40066" s="36" t="s">
        <v>48</v>
      </c>
    </row>
    <row r="40067">
      <c r="H40067" s="50"/>
      <c r="I40067" s="50"/>
      <c r="O40067" s="36" t="s">
        <v>48</v>
      </c>
      <c r="R40067" s="36" t="s">
        <v>48</v>
      </c>
    </row>
    <row r="40068">
      <c r="H40068" s="50"/>
      <c r="I40068" s="50"/>
      <c r="O40068" s="36" t="s">
        <v>48</v>
      </c>
      <c r="R40068" s="36" t="s">
        <v>48</v>
      </c>
    </row>
    <row r="40069">
      <c r="H40069" s="50"/>
      <c r="I40069" s="50"/>
      <c r="O40069" s="36" t="s">
        <v>48</v>
      </c>
      <c r="R40069" s="36" t="s">
        <v>48</v>
      </c>
    </row>
    <row r="40070">
      <c r="H40070" s="50"/>
      <c r="I40070" s="50"/>
      <c r="O40070" s="36" t="s">
        <v>48</v>
      </c>
      <c r="R40070" s="36" t="s">
        <v>48</v>
      </c>
    </row>
    <row r="40071">
      <c r="H40071" s="50"/>
      <c r="I40071" s="50"/>
      <c r="O40071" s="36" t="s">
        <v>48</v>
      </c>
      <c r="R40071" s="36" t="s">
        <v>48</v>
      </c>
    </row>
    <row r="40072">
      <c r="H40072" s="50"/>
      <c r="I40072" s="50"/>
      <c r="O40072" s="36" t="s">
        <v>48</v>
      </c>
      <c r="R40072" s="36" t="s">
        <v>48</v>
      </c>
    </row>
    <row r="40073">
      <c r="H40073" s="50"/>
      <c r="I40073" s="50"/>
      <c r="O40073" s="36" t="s">
        <v>48</v>
      </c>
      <c r="R40073" s="36" t="s">
        <v>48</v>
      </c>
    </row>
    <row r="40074">
      <c r="H40074" s="50"/>
      <c r="I40074" s="50"/>
      <c r="O40074" s="36" t="s">
        <v>48</v>
      </c>
      <c r="R40074" s="36" t="s">
        <v>48</v>
      </c>
    </row>
    <row r="40075">
      <c r="H40075" s="50"/>
      <c r="I40075" s="50"/>
      <c r="O40075" s="36" t="s">
        <v>48</v>
      </c>
      <c r="R40075" s="36" t="s">
        <v>48</v>
      </c>
    </row>
    <row r="40076">
      <c r="H40076" s="50"/>
      <c r="I40076" s="50"/>
      <c r="O40076" s="36" t="s">
        <v>48</v>
      </c>
      <c r="R40076" s="36" t="s">
        <v>48</v>
      </c>
    </row>
    <row r="40077">
      <c r="H40077" s="50"/>
      <c r="I40077" s="50"/>
      <c r="O40077" s="36" t="s">
        <v>48</v>
      </c>
      <c r="R40077" s="36" t="s">
        <v>48</v>
      </c>
    </row>
    <row r="40078">
      <c r="H40078" s="50"/>
      <c r="I40078" s="50"/>
      <c r="O40078" s="36" t="s">
        <v>48</v>
      </c>
      <c r="R40078" s="36" t="s">
        <v>48</v>
      </c>
    </row>
    <row r="40079">
      <c r="H40079" s="50"/>
      <c r="I40079" s="50"/>
      <c r="O40079" s="36" t="s">
        <v>48</v>
      </c>
      <c r="R40079" s="36" t="s">
        <v>48</v>
      </c>
    </row>
    <row r="40080">
      <c r="H40080" s="50"/>
      <c r="I40080" s="50"/>
      <c r="O40080" s="36" t="s">
        <v>48</v>
      </c>
      <c r="R40080" s="36" t="s">
        <v>48</v>
      </c>
    </row>
    <row r="40081">
      <c r="H40081" s="50"/>
      <c r="I40081" s="50"/>
      <c r="O40081" s="36" t="s">
        <v>48</v>
      </c>
      <c r="R40081" s="36" t="s">
        <v>48</v>
      </c>
    </row>
    <row r="40082">
      <c r="H40082" s="50"/>
      <c r="I40082" s="50"/>
      <c r="O40082" s="36" t="s">
        <v>48</v>
      </c>
      <c r="R40082" s="36" t="s">
        <v>48</v>
      </c>
    </row>
    <row r="40083">
      <c r="H40083" s="50"/>
      <c r="I40083" s="50"/>
      <c r="O40083" s="36" t="s">
        <v>48</v>
      </c>
      <c r="R40083" s="36" t="s">
        <v>48</v>
      </c>
    </row>
    <row r="40084">
      <c r="H40084" s="50"/>
      <c r="I40084" s="50"/>
      <c r="O40084" s="36" t="s">
        <v>48</v>
      </c>
      <c r="R40084" s="36" t="s">
        <v>48</v>
      </c>
    </row>
    <row r="40085">
      <c r="H40085" s="50"/>
      <c r="I40085" s="50"/>
      <c r="O40085" s="36" t="s">
        <v>48</v>
      </c>
      <c r="R40085" s="36" t="s">
        <v>48</v>
      </c>
    </row>
    <row r="40086">
      <c r="H40086" s="50"/>
      <c r="I40086" s="50"/>
      <c r="O40086" s="36" t="s">
        <v>48</v>
      </c>
      <c r="R40086" s="36" t="s">
        <v>48</v>
      </c>
    </row>
    <row r="40087">
      <c r="H40087" s="50"/>
      <c r="I40087" s="50"/>
      <c r="O40087" s="36" t="s">
        <v>48</v>
      </c>
      <c r="R40087" s="36" t="s">
        <v>48</v>
      </c>
    </row>
    <row r="40088">
      <c r="H40088" s="50"/>
      <c r="I40088" s="50"/>
      <c r="O40088" s="36" t="s">
        <v>48</v>
      </c>
      <c r="R40088" s="36" t="s">
        <v>48</v>
      </c>
    </row>
    <row r="40089">
      <c r="H40089" s="50"/>
      <c r="I40089" s="50"/>
      <c r="O40089" s="36" t="s">
        <v>48</v>
      </c>
      <c r="R40089" s="36" t="s">
        <v>48</v>
      </c>
    </row>
    <row r="40090">
      <c r="H40090" s="50"/>
      <c r="I40090" s="50"/>
      <c r="O40090" s="36" t="s">
        <v>48</v>
      </c>
      <c r="R40090" s="36" t="s">
        <v>48</v>
      </c>
    </row>
    <row r="40091">
      <c r="H40091" s="50"/>
      <c r="I40091" s="50"/>
      <c r="O40091" s="36" t="s">
        <v>48</v>
      </c>
      <c r="R40091" s="36" t="s">
        <v>48</v>
      </c>
    </row>
    <row r="40092">
      <c r="H40092" s="50"/>
      <c r="I40092" s="50"/>
      <c r="O40092" s="36" t="s">
        <v>48</v>
      </c>
      <c r="R40092" s="36" t="s">
        <v>48</v>
      </c>
    </row>
    <row r="40093">
      <c r="H40093" s="50"/>
      <c r="I40093" s="50"/>
      <c r="O40093" s="36" t="s">
        <v>48</v>
      </c>
      <c r="R40093" s="36" t="s">
        <v>48</v>
      </c>
    </row>
    <row r="40094">
      <c r="H40094" s="50"/>
      <c r="I40094" s="50"/>
      <c r="O40094" s="36" t="s">
        <v>48</v>
      </c>
      <c r="R40094" s="36" t="s">
        <v>48</v>
      </c>
    </row>
    <row r="40095">
      <c r="H40095" s="50"/>
      <c r="I40095" s="50"/>
      <c r="O40095" s="36" t="s">
        <v>48</v>
      </c>
      <c r="R40095" s="36" t="s">
        <v>48</v>
      </c>
    </row>
    <row r="40096">
      <c r="H40096" s="50"/>
      <c r="I40096" s="50"/>
      <c r="O40096" s="36" t="s">
        <v>48</v>
      </c>
      <c r="R40096" s="36" t="s">
        <v>48</v>
      </c>
    </row>
    <row r="40097">
      <c r="H40097" s="50"/>
      <c r="I40097" s="50"/>
      <c r="O40097" s="36" t="s">
        <v>48</v>
      </c>
      <c r="R40097" s="36" t="s">
        <v>48</v>
      </c>
    </row>
    <row r="40098">
      <c r="H40098" s="50"/>
      <c r="I40098" s="50"/>
      <c r="O40098" s="36" t="s">
        <v>48</v>
      </c>
      <c r="R40098" s="36" t="s">
        <v>48</v>
      </c>
    </row>
    <row r="40099">
      <c r="H40099" s="50"/>
      <c r="I40099" s="50"/>
      <c r="O40099" s="36" t="s">
        <v>48</v>
      </c>
      <c r="R40099" s="36" t="s">
        <v>48</v>
      </c>
    </row>
    <row r="40100">
      <c r="H40100" s="50"/>
      <c r="I40100" s="50"/>
      <c r="O40100" s="36" t="s">
        <v>48</v>
      </c>
      <c r="R40100" s="36" t="s">
        <v>48</v>
      </c>
    </row>
    <row r="40101">
      <c r="H40101" s="50"/>
      <c r="I40101" s="50"/>
      <c r="O40101" s="36" t="s">
        <v>48</v>
      </c>
      <c r="R40101" s="36" t="s">
        <v>48</v>
      </c>
    </row>
    <row r="40102">
      <c r="H40102" s="50"/>
      <c r="I40102" s="50"/>
      <c r="O40102" s="36" t="s">
        <v>48</v>
      </c>
      <c r="R40102" s="36" t="s">
        <v>48</v>
      </c>
    </row>
    <row r="40103">
      <c r="H40103" s="50"/>
      <c r="I40103" s="50"/>
      <c r="O40103" s="36" t="s">
        <v>48</v>
      </c>
      <c r="R40103" s="36" t="s">
        <v>48</v>
      </c>
    </row>
    <row r="40104">
      <c r="H40104" s="50"/>
      <c r="I40104" s="50"/>
      <c r="O40104" s="36" t="s">
        <v>48</v>
      </c>
      <c r="R40104" s="36" t="s">
        <v>48</v>
      </c>
    </row>
    <row r="40105">
      <c r="H40105" s="50"/>
      <c r="I40105" s="50"/>
      <c r="O40105" s="36" t="s">
        <v>48</v>
      </c>
      <c r="R40105" s="36" t="s">
        <v>48</v>
      </c>
    </row>
    <row r="40106">
      <c r="H40106" s="50"/>
      <c r="I40106" s="50"/>
      <c r="O40106" s="36" t="s">
        <v>48</v>
      </c>
      <c r="R40106" s="36" t="s">
        <v>48</v>
      </c>
    </row>
    <row r="40107">
      <c r="H40107" s="50"/>
      <c r="I40107" s="50"/>
      <c r="O40107" s="36" t="s">
        <v>48</v>
      </c>
      <c r="R40107" s="36" t="s">
        <v>48</v>
      </c>
    </row>
    <row r="40108">
      <c r="H40108" s="50"/>
      <c r="I40108" s="50"/>
      <c r="O40108" s="36" t="s">
        <v>48</v>
      </c>
      <c r="R40108" s="36" t="s">
        <v>48</v>
      </c>
    </row>
    <row r="40109">
      <c r="H40109" s="50"/>
      <c r="I40109" s="50"/>
      <c r="O40109" s="36" t="s">
        <v>48</v>
      </c>
      <c r="R40109" s="36" t="s">
        <v>48</v>
      </c>
    </row>
    <row r="40110">
      <c r="H40110" s="50"/>
      <c r="I40110" s="50"/>
      <c r="O40110" s="36" t="s">
        <v>48</v>
      </c>
      <c r="R40110" s="36" t="s">
        <v>48</v>
      </c>
    </row>
    <row r="40111">
      <c r="H40111" s="50"/>
      <c r="I40111" s="50"/>
      <c r="O40111" s="36" t="s">
        <v>48</v>
      </c>
      <c r="R40111" s="36" t="s">
        <v>48</v>
      </c>
    </row>
    <row r="40112">
      <c r="H40112" s="50"/>
      <c r="I40112" s="50"/>
      <c r="O40112" s="36" t="s">
        <v>48</v>
      </c>
      <c r="R40112" s="36" t="s">
        <v>48</v>
      </c>
    </row>
    <row r="40113">
      <c r="H40113" s="50"/>
      <c r="I40113" s="50"/>
      <c r="O40113" s="36" t="s">
        <v>48</v>
      </c>
      <c r="R40113" s="36" t="s">
        <v>48</v>
      </c>
    </row>
    <row r="40114">
      <c r="H40114" s="50"/>
      <c r="I40114" s="50"/>
      <c r="O40114" s="36" t="s">
        <v>48</v>
      </c>
      <c r="R40114" s="36" t="s">
        <v>48</v>
      </c>
    </row>
    <row r="40115">
      <c r="H40115" s="50"/>
      <c r="I40115" s="50"/>
      <c r="O40115" s="36" t="s">
        <v>48</v>
      </c>
      <c r="R40115" s="36" t="s">
        <v>48</v>
      </c>
    </row>
    <row r="40116">
      <c r="H40116" s="50"/>
      <c r="I40116" s="50"/>
      <c r="O40116" s="36" t="s">
        <v>48</v>
      </c>
      <c r="R40116" s="36" t="s">
        <v>48</v>
      </c>
    </row>
    <row r="40117">
      <c r="H40117" s="50"/>
      <c r="I40117" s="50"/>
      <c r="O40117" s="36" t="s">
        <v>48</v>
      </c>
      <c r="R40117" s="36" t="s">
        <v>48</v>
      </c>
    </row>
    <row r="40118">
      <c r="H40118" s="50"/>
      <c r="I40118" s="50"/>
      <c r="O40118" s="36" t="s">
        <v>48</v>
      </c>
      <c r="R40118" s="36" t="s">
        <v>48</v>
      </c>
    </row>
    <row r="40119">
      <c r="H40119" s="50"/>
      <c r="I40119" s="50"/>
      <c r="O40119" s="36" t="s">
        <v>48</v>
      </c>
      <c r="R40119" s="36" t="s">
        <v>48</v>
      </c>
    </row>
    <row r="40120">
      <c r="H40120" s="50"/>
      <c r="I40120" s="50"/>
      <c r="O40120" s="36" t="s">
        <v>48</v>
      </c>
      <c r="R40120" s="36" t="s">
        <v>48</v>
      </c>
    </row>
    <row r="40121">
      <c r="H40121" s="50"/>
      <c r="I40121" s="50"/>
      <c r="O40121" s="36" t="s">
        <v>48</v>
      </c>
      <c r="R40121" s="36" t="s">
        <v>48</v>
      </c>
    </row>
    <row r="40122">
      <c r="H40122" s="50"/>
      <c r="I40122" s="50"/>
      <c r="O40122" s="36" t="s">
        <v>48</v>
      </c>
      <c r="R40122" s="36" t="s">
        <v>48</v>
      </c>
    </row>
    <row r="40123">
      <c r="H40123" s="50"/>
      <c r="I40123" s="50"/>
      <c r="O40123" s="36" t="s">
        <v>48</v>
      </c>
      <c r="R40123" s="36" t="s">
        <v>48</v>
      </c>
    </row>
    <row r="40124">
      <c r="H40124" s="50"/>
      <c r="I40124" s="50"/>
      <c r="O40124" s="36" t="s">
        <v>48</v>
      </c>
      <c r="R40124" s="36" t="s">
        <v>48</v>
      </c>
    </row>
    <row r="40125">
      <c r="H40125" s="50"/>
      <c r="I40125" s="50"/>
      <c r="O40125" s="36" t="s">
        <v>48</v>
      </c>
      <c r="R40125" s="36" t="s">
        <v>48</v>
      </c>
    </row>
    <row r="40126">
      <c r="H40126" s="50"/>
      <c r="I40126" s="50"/>
      <c r="O40126" s="36" t="s">
        <v>48</v>
      </c>
      <c r="R40126" s="36" t="s">
        <v>48</v>
      </c>
    </row>
    <row r="40127">
      <c r="H40127" s="50"/>
      <c r="I40127" s="50"/>
      <c r="O40127" s="36" t="s">
        <v>48</v>
      </c>
      <c r="R40127" s="36" t="s">
        <v>48</v>
      </c>
    </row>
    <row r="40128">
      <c r="H40128" s="50"/>
      <c r="I40128" s="50"/>
      <c r="O40128" s="36" t="s">
        <v>48</v>
      </c>
      <c r="R40128" s="36" t="s">
        <v>48</v>
      </c>
    </row>
    <row r="40129">
      <c r="H40129" s="50"/>
      <c r="I40129" s="50"/>
      <c r="O40129" s="36" t="s">
        <v>48</v>
      </c>
      <c r="R40129" s="36" t="s">
        <v>48</v>
      </c>
    </row>
    <row r="40130">
      <c r="H40130" s="50"/>
      <c r="I40130" s="50"/>
      <c r="O40130" s="36" t="s">
        <v>48</v>
      </c>
      <c r="R40130" s="36" t="s">
        <v>48</v>
      </c>
    </row>
    <row r="40131">
      <c r="H40131" s="50"/>
      <c r="I40131" s="50"/>
      <c r="O40131" s="36" t="s">
        <v>48</v>
      </c>
      <c r="R40131" s="36" t="s">
        <v>48</v>
      </c>
    </row>
    <row r="40132">
      <c r="H40132" s="50"/>
      <c r="I40132" s="50"/>
      <c r="O40132" s="36" t="s">
        <v>48</v>
      </c>
      <c r="R40132" s="36" t="s">
        <v>48</v>
      </c>
    </row>
    <row r="40133">
      <c r="H40133" s="50"/>
      <c r="I40133" s="50"/>
      <c r="O40133" s="36" t="s">
        <v>48</v>
      </c>
      <c r="R40133" s="36" t="s">
        <v>48</v>
      </c>
    </row>
    <row r="40134">
      <c r="H40134" s="50"/>
      <c r="I40134" s="50"/>
      <c r="O40134" s="36" t="s">
        <v>48</v>
      </c>
      <c r="R40134" s="36" t="s">
        <v>48</v>
      </c>
    </row>
    <row r="40135">
      <c r="H40135" s="50"/>
      <c r="I40135" s="50"/>
      <c r="O40135" s="36" t="s">
        <v>48</v>
      </c>
      <c r="R40135" s="36" t="s">
        <v>48</v>
      </c>
    </row>
    <row r="40136">
      <c r="H40136" s="50"/>
      <c r="I40136" s="50"/>
      <c r="O40136" s="36" t="s">
        <v>48</v>
      </c>
      <c r="R40136" s="36" t="s">
        <v>48</v>
      </c>
    </row>
    <row r="40137">
      <c r="H40137" s="50"/>
      <c r="I40137" s="50"/>
      <c r="O40137" s="36" t="s">
        <v>48</v>
      </c>
      <c r="R40137" s="36" t="s">
        <v>48</v>
      </c>
    </row>
    <row r="40138">
      <c r="H40138" s="50"/>
      <c r="I40138" s="50"/>
      <c r="O40138" s="36" t="s">
        <v>48</v>
      </c>
      <c r="R40138" s="36" t="s">
        <v>48</v>
      </c>
    </row>
    <row r="40139">
      <c r="H40139" s="50"/>
      <c r="I40139" s="50"/>
      <c r="O40139" s="36" t="s">
        <v>48</v>
      </c>
      <c r="R40139" s="36" t="s">
        <v>48</v>
      </c>
    </row>
    <row r="40140">
      <c r="H40140" s="50"/>
      <c r="I40140" s="50"/>
      <c r="O40140" s="36" t="s">
        <v>48</v>
      </c>
      <c r="R40140" s="36" t="s">
        <v>48</v>
      </c>
    </row>
    <row r="40141">
      <c r="H40141" s="50"/>
      <c r="I40141" s="50"/>
      <c r="O40141" s="36" t="s">
        <v>48</v>
      </c>
      <c r="R40141" s="36" t="s">
        <v>48</v>
      </c>
    </row>
    <row r="40142">
      <c r="H40142" s="50"/>
      <c r="I40142" s="50"/>
      <c r="O40142" s="36" t="s">
        <v>48</v>
      </c>
      <c r="R40142" s="36" t="s">
        <v>48</v>
      </c>
    </row>
    <row r="40143">
      <c r="H40143" s="50"/>
      <c r="I40143" s="50"/>
      <c r="O40143" s="36" t="s">
        <v>48</v>
      </c>
      <c r="R40143" s="36" t="s">
        <v>48</v>
      </c>
    </row>
    <row r="40144">
      <c r="H40144" s="50"/>
      <c r="I40144" s="50"/>
      <c r="O40144" s="36" t="s">
        <v>48</v>
      </c>
      <c r="R40144" s="36" t="s">
        <v>48</v>
      </c>
    </row>
    <row r="40145">
      <c r="H40145" s="50"/>
      <c r="I40145" s="50"/>
      <c r="O40145" s="36" t="s">
        <v>48</v>
      </c>
      <c r="R40145" s="36" t="s">
        <v>48</v>
      </c>
    </row>
    <row r="40146">
      <c r="H40146" s="50"/>
      <c r="I40146" s="50"/>
      <c r="O40146" s="36" t="s">
        <v>48</v>
      </c>
      <c r="R40146" s="36" t="s">
        <v>48</v>
      </c>
    </row>
    <row r="40147">
      <c r="H40147" s="50"/>
      <c r="I40147" s="50"/>
      <c r="O40147" s="36" t="s">
        <v>48</v>
      </c>
      <c r="R40147" s="36" t="s">
        <v>48</v>
      </c>
    </row>
    <row r="40148">
      <c r="H40148" s="50"/>
      <c r="I40148" s="50"/>
      <c r="O40148" s="36" t="s">
        <v>48</v>
      </c>
      <c r="R40148" s="36" t="s">
        <v>48</v>
      </c>
    </row>
    <row r="40149">
      <c r="H40149" s="50"/>
      <c r="I40149" s="50"/>
      <c r="O40149" s="36" t="s">
        <v>48</v>
      </c>
      <c r="R40149" s="36" t="s">
        <v>48</v>
      </c>
    </row>
    <row r="40150">
      <c r="H40150" s="50"/>
      <c r="I40150" s="50"/>
      <c r="O40150" s="36" t="s">
        <v>48</v>
      </c>
      <c r="R40150" s="36" t="s">
        <v>48</v>
      </c>
    </row>
    <row r="40151">
      <c r="H40151" s="50"/>
      <c r="I40151" s="50"/>
      <c r="O40151" s="36" t="s">
        <v>48</v>
      </c>
      <c r="R40151" s="36" t="s">
        <v>48</v>
      </c>
    </row>
    <row r="40152">
      <c r="H40152" s="50"/>
      <c r="I40152" s="50"/>
      <c r="O40152" s="36" t="s">
        <v>48</v>
      </c>
      <c r="R40152" s="36" t="s">
        <v>48</v>
      </c>
    </row>
    <row r="40153">
      <c r="H40153" s="50"/>
      <c r="I40153" s="50"/>
      <c r="O40153" s="36" t="s">
        <v>48</v>
      </c>
      <c r="R40153" s="36" t="s">
        <v>48</v>
      </c>
    </row>
    <row r="40154">
      <c r="H40154" s="50"/>
      <c r="I40154" s="50"/>
      <c r="O40154" s="36" t="s">
        <v>48</v>
      </c>
      <c r="R40154" s="36" t="s">
        <v>48</v>
      </c>
    </row>
    <row r="40155">
      <c r="H40155" s="50"/>
      <c r="I40155" s="50"/>
      <c r="O40155" s="36" t="s">
        <v>48</v>
      </c>
      <c r="R40155" s="36" t="s">
        <v>48</v>
      </c>
    </row>
    <row r="40156">
      <c r="H40156" s="50"/>
      <c r="I40156" s="50"/>
      <c r="O40156" s="36" t="s">
        <v>48</v>
      </c>
      <c r="R40156" s="36" t="s">
        <v>48</v>
      </c>
    </row>
    <row r="40157">
      <c r="H40157" s="50"/>
      <c r="I40157" s="50"/>
      <c r="O40157" s="36" t="s">
        <v>48</v>
      </c>
      <c r="R40157" s="36" t="s">
        <v>48</v>
      </c>
    </row>
    <row r="40158">
      <c r="H40158" s="50"/>
      <c r="I40158" s="50"/>
      <c r="O40158" s="36" t="s">
        <v>48</v>
      </c>
      <c r="R40158" s="36" t="s">
        <v>48</v>
      </c>
    </row>
    <row r="40159">
      <c r="H40159" s="50"/>
      <c r="I40159" s="50"/>
      <c r="O40159" s="36" t="s">
        <v>48</v>
      </c>
      <c r="R40159" s="36" t="s">
        <v>48</v>
      </c>
    </row>
    <row r="40160">
      <c r="H40160" s="50"/>
      <c r="I40160" s="50"/>
      <c r="O40160" s="36" t="s">
        <v>48</v>
      </c>
      <c r="R40160" s="36" t="s">
        <v>48</v>
      </c>
    </row>
    <row r="40161">
      <c r="H40161" s="50"/>
      <c r="I40161" s="50"/>
      <c r="O40161" s="36" t="s">
        <v>48</v>
      </c>
      <c r="R40161" s="36" t="s">
        <v>48</v>
      </c>
    </row>
    <row r="40162">
      <c r="H40162" s="50"/>
      <c r="I40162" s="50"/>
      <c r="O40162" s="36" t="s">
        <v>48</v>
      </c>
      <c r="R40162" s="36" t="s">
        <v>48</v>
      </c>
    </row>
    <row r="40163">
      <c r="H40163" s="50"/>
      <c r="I40163" s="50"/>
      <c r="O40163" s="36" t="s">
        <v>48</v>
      </c>
      <c r="R40163" s="36" t="s">
        <v>48</v>
      </c>
    </row>
    <row r="40164">
      <c r="H40164" s="50"/>
      <c r="I40164" s="50"/>
      <c r="O40164" s="36" t="s">
        <v>48</v>
      </c>
      <c r="R40164" s="36" t="s">
        <v>48</v>
      </c>
    </row>
    <row r="40165">
      <c r="H40165" s="50"/>
      <c r="I40165" s="50"/>
      <c r="O40165" s="36" t="s">
        <v>48</v>
      </c>
      <c r="R40165" s="36" t="s">
        <v>48</v>
      </c>
    </row>
    <row r="40166">
      <c r="H40166" s="50"/>
      <c r="I40166" s="50"/>
      <c r="O40166" s="36" t="s">
        <v>48</v>
      </c>
      <c r="R40166" s="36" t="s">
        <v>48</v>
      </c>
    </row>
    <row r="40167">
      <c r="H40167" s="50"/>
      <c r="I40167" s="50"/>
      <c r="O40167" s="36" t="s">
        <v>48</v>
      </c>
      <c r="R40167" s="36" t="s">
        <v>48</v>
      </c>
    </row>
    <row r="40168">
      <c r="H40168" s="50"/>
      <c r="I40168" s="50"/>
      <c r="O40168" s="36" t="s">
        <v>48</v>
      </c>
      <c r="R40168" s="36" t="s">
        <v>48</v>
      </c>
    </row>
    <row r="40169">
      <c r="H40169" s="50"/>
      <c r="I40169" s="50"/>
      <c r="O40169" s="36" t="s">
        <v>48</v>
      </c>
      <c r="R40169" s="36" t="s">
        <v>48</v>
      </c>
    </row>
    <row r="40170">
      <c r="H40170" s="50"/>
      <c r="I40170" s="50"/>
      <c r="O40170" s="36" t="s">
        <v>48</v>
      </c>
      <c r="R40170" s="36" t="s">
        <v>48</v>
      </c>
    </row>
    <row r="40171">
      <c r="H40171" s="50"/>
      <c r="I40171" s="50"/>
      <c r="O40171" s="36" t="s">
        <v>48</v>
      </c>
      <c r="R40171" s="36" t="s">
        <v>48</v>
      </c>
    </row>
    <row r="40172">
      <c r="H40172" s="50"/>
      <c r="I40172" s="50"/>
      <c r="O40172" s="36" t="s">
        <v>48</v>
      </c>
      <c r="R40172" s="36" t="s">
        <v>48</v>
      </c>
    </row>
    <row r="40173">
      <c r="H40173" s="50"/>
      <c r="I40173" s="50"/>
      <c r="O40173" s="36" t="s">
        <v>48</v>
      </c>
      <c r="R40173" s="36" t="s">
        <v>48</v>
      </c>
    </row>
    <row r="40174">
      <c r="H40174" s="50"/>
      <c r="I40174" s="50"/>
      <c r="O40174" s="36" t="s">
        <v>48</v>
      </c>
      <c r="R40174" s="36" t="s">
        <v>48</v>
      </c>
    </row>
    <row r="40175">
      <c r="H40175" s="50"/>
      <c r="I40175" s="50"/>
      <c r="O40175" s="36" t="s">
        <v>48</v>
      </c>
      <c r="R40175" s="36" t="s">
        <v>48</v>
      </c>
    </row>
    <row r="40176">
      <c r="H40176" s="50"/>
      <c r="I40176" s="50"/>
      <c r="O40176" s="36" t="s">
        <v>48</v>
      </c>
      <c r="R40176" s="36" t="s">
        <v>48</v>
      </c>
    </row>
    <row r="40177">
      <c r="H40177" s="50"/>
      <c r="I40177" s="50"/>
      <c r="O40177" s="36" t="s">
        <v>48</v>
      </c>
      <c r="R40177" s="36" t="s">
        <v>48</v>
      </c>
    </row>
    <row r="40178">
      <c r="H40178" s="50"/>
      <c r="I40178" s="50"/>
      <c r="O40178" s="36" t="s">
        <v>48</v>
      </c>
      <c r="R40178" s="36" t="s">
        <v>48</v>
      </c>
    </row>
    <row r="40179">
      <c r="H40179" s="50"/>
      <c r="I40179" s="50"/>
      <c r="O40179" s="36" t="s">
        <v>48</v>
      </c>
      <c r="R40179" s="36" t="s">
        <v>48</v>
      </c>
    </row>
    <row r="40180">
      <c r="H40180" s="50"/>
      <c r="I40180" s="50"/>
      <c r="O40180" s="36" t="s">
        <v>48</v>
      </c>
      <c r="R40180" s="36" t="s">
        <v>48</v>
      </c>
    </row>
    <row r="40181">
      <c r="H40181" s="50"/>
      <c r="I40181" s="50"/>
      <c r="O40181" s="36" t="s">
        <v>48</v>
      </c>
      <c r="R40181" s="36" t="s">
        <v>48</v>
      </c>
    </row>
    <row r="40182">
      <c r="H40182" s="50"/>
      <c r="I40182" s="50"/>
      <c r="O40182" s="36" t="s">
        <v>48</v>
      </c>
      <c r="R40182" s="36" t="s">
        <v>48</v>
      </c>
    </row>
    <row r="40183">
      <c r="H40183" s="50"/>
      <c r="I40183" s="50"/>
      <c r="O40183" s="36" t="s">
        <v>48</v>
      </c>
      <c r="R40183" s="36" t="s">
        <v>48</v>
      </c>
    </row>
    <row r="40184">
      <c r="H40184" s="50"/>
      <c r="I40184" s="50"/>
      <c r="O40184" s="36" t="s">
        <v>48</v>
      </c>
      <c r="R40184" s="36" t="s">
        <v>48</v>
      </c>
    </row>
    <row r="40185">
      <c r="H40185" s="50"/>
      <c r="I40185" s="50"/>
      <c r="O40185" s="36" t="s">
        <v>48</v>
      </c>
      <c r="R40185" s="36" t="s">
        <v>48</v>
      </c>
    </row>
    <row r="40186">
      <c r="H40186" s="50"/>
      <c r="I40186" s="50"/>
      <c r="O40186" s="36" t="s">
        <v>48</v>
      </c>
      <c r="R40186" s="36" t="s">
        <v>48</v>
      </c>
    </row>
    <row r="40187">
      <c r="H40187" s="50"/>
      <c r="I40187" s="50"/>
      <c r="O40187" s="36" t="s">
        <v>48</v>
      </c>
      <c r="R40187" s="36" t="s">
        <v>48</v>
      </c>
    </row>
    <row r="40188">
      <c r="H40188" s="50"/>
      <c r="I40188" s="50"/>
      <c r="O40188" s="36" t="s">
        <v>48</v>
      </c>
      <c r="R40188" s="36" t="s">
        <v>48</v>
      </c>
    </row>
    <row r="40189">
      <c r="H40189" s="50"/>
      <c r="I40189" s="50"/>
      <c r="O40189" s="36" t="s">
        <v>48</v>
      </c>
      <c r="R40189" s="36" t="s">
        <v>48</v>
      </c>
    </row>
    <row r="40190">
      <c r="H40190" s="50"/>
      <c r="I40190" s="50"/>
      <c r="O40190" s="36" t="s">
        <v>48</v>
      </c>
      <c r="R40190" s="36" t="s">
        <v>48</v>
      </c>
    </row>
    <row r="40191">
      <c r="H40191" s="50"/>
      <c r="I40191" s="50"/>
      <c r="O40191" s="36" t="s">
        <v>48</v>
      </c>
      <c r="R40191" s="36" t="s">
        <v>48</v>
      </c>
    </row>
    <row r="40192">
      <c r="H40192" s="50"/>
      <c r="I40192" s="50"/>
      <c r="O40192" s="36" t="s">
        <v>48</v>
      </c>
      <c r="R40192" s="36" t="s">
        <v>48</v>
      </c>
    </row>
    <row r="40193">
      <c r="H40193" s="50"/>
      <c r="I40193" s="50"/>
      <c r="O40193" s="36" t="s">
        <v>48</v>
      </c>
      <c r="R40193" s="36" t="s">
        <v>48</v>
      </c>
    </row>
    <row r="40194">
      <c r="H40194" s="50"/>
      <c r="I40194" s="50"/>
      <c r="O40194" s="36" t="s">
        <v>48</v>
      </c>
      <c r="R40194" s="36" t="s">
        <v>48</v>
      </c>
    </row>
    <row r="40195">
      <c r="H40195" s="50"/>
      <c r="I40195" s="50"/>
      <c r="O40195" s="36" t="s">
        <v>48</v>
      </c>
      <c r="R40195" s="36" t="s">
        <v>48</v>
      </c>
    </row>
    <row r="40196">
      <c r="H40196" s="50"/>
      <c r="I40196" s="50"/>
      <c r="O40196" s="36" t="s">
        <v>48</v>
      </c>
      <c r="R40196" s="36" t="s">
        <v>48</v>
      </c>
    </row>
    <row r="40197">
      <c r="H40197" s="50"/>
      <c r="I40197" s="50"/>
      <c r="O40197" s="36" t="s">
        <v>48</v>
      </c>
      <c r="R40197" s="36" t="s">
        <v>48</v>
      </c>
    </row>
    <row r="40198">
      <c r="H40198" s="50"/>
      <c r="I40198" s="50"/>
      <c r="O40198" s="36" t="s">
        <v>48</v>
      </c>
      <c r="R40198" s="36" t="s">
        <v>48</v>
      </c>
    </row>
    <row r="40199">
      <c r="H40199" s="50"/>
      <c r="I40199" s="50"/>
      <c r="O40199" s="36" t="s">
        <v>48</v>
      </c>
      <c r="R40199" s="36" t="s">
        <v>48</v>
      </c>
    </row>
    <row r="40200">
      <c r="H40200" s="50"/>
      <c r="I40200" s="50"/>
      <c r="O40200" s="36" t="s">
        <v>48</v>
      </c>
      <c r="R40200" s="36" t="s">
        <v>48</v>
      </c>
    </row>
    <row r="40201">
      <c r="H40201" s="50"/>
      <c r="I40201" s="50"/>
      <c r="O40201" s="36" t="s">
        <v>48</v>
      </c>
      <c r="R40201" s="36" t="s">
        <v>48</v>
      </c>
    </row>
    <row r="40202">
      <c r="H40202" s="50"/>
      <c r="I40202" s="50"/>
      <c r="O40202" s="36" t="s">
        <v>48</v>
      </c>
      <c r="R40202" s="36" t="s">
        <v>48</v>
      </c>
    </row>
    <row r="40203">
      <c r="H40203" s="50"/>
      <c r="I40203" s="50"/>
      <c r="O40203" s="36" t="s">
        <v>48</v>
      </c>
      <c r="R40203" s="36" t="s">
        <v>48</v>
      </c>
    </row>
    <row r="40204">
      <c r="H40204" s="50"/>
      <c r="I40204" s="50"/>
      <c r="O40204" s="36" t="s">
        <v>48</v>
      </c>
      <c r="R40204" s="36" t="s">
        <v>48</v>
      </c>
    </row>
    <row r="40205">
      <c r="H40205" s="50"/>
      <c r="I40205" s="50"/>
      <c r="O40205" s="36" t="s">
        <v>48</v>
      </c>
      <c r="R40205" s="36" t="s">
        <v>48</v>
      </c>
    </row>
    <row r="40206">
      <c r="H40206" s="50"/>
      <c r="I40206" s="50"/>
      <c r="O40206" s="36" t="s">
        <v>48</v>
      </c>
      <c r="R40206" s="36" t="s">
        <v>48</v>
      </c>
    </row>
    <row r="40207">
      <c r="H40207" s="50"/>
      <c r="I40207" s="50"/>
      <c r="O40207" s="36" t="s">
        <v>48</v>
      </c>
      <c r="R40207" s="36" t="s">
        <v>48</v>
      </c>
    </row>
    <row r="40208">
      <c r="H40208" s="50"/>
      <c r="I40208" s="50"/>
      <c r="O40208" s="36" t="s">
        <v>48</v>
      </c>
      <c r="R40208" s="36" t="s">
        <v>48</v>
      </c>
    </row>
    <row r="40209">
      <c r="H40209" s="50"/>
      <c r="I40209" s="50"/>
      <c r="O40209" s="36" t="s">
        <v>48</v>
      </c>
      <c r="R40209" s="36" t="s">
        <v>48</v>
      </c>
    </row>
    <row r="40210">
      <c r="H40210" s="50"/>
      <c r="I40210" s="50"/>
      <c r="O40210" s="36" t="s">
        <v>48</v>
      </c>
      <c r="R40210" s="36" t="s">
        <v>48</v>
      </c>
    </row>
    <row r="40211">
      <c r="H40211" s="50"/>
      <c r="I40211" s="50"/>
      <c r="O40211" s="36" t="s">
        <v>48</v>
      </c>
      <c r="R40211" s="36" t="s">
        <v>48</v>
      </c>
    </row>
    <row r="40212">
      <c r="H40212" s="50"/>
      <c r="I40212" s="50"/>
      <c r="O40212" s="36" t="s">
        <v>48</v>
      </c>
      <c r="R40212" s="36" t="s">
        <v>48</v>
      </c>
    </row>
    <row r="40213">
      <c r="H40213" s="50"/>
      <c r="I40213" s="50"/>
      <c r="O40213" s="36" t="s">
        <v>48</v>
      </c>
      <c r="R40213" s="36" t="s">
        <v>48</v>
      </c>
    </row>
    <row r="40214">
      <c r="H40214" s="50"/>
      <c r="I40214" s="50"/>
      <c r="O40214" s="36" t="s">
        <v>48</v>
      </c>
      <c r="R40214" s="36" t="s">
        <v>48</v>
      </c>
    </row>
    <row r="40215">
      <c r="H40215" s="50"/>
      <c r="I40215" s="50"/>
      <c r="O40215" s="36" t="s">
        <v>48</v>
      </c>
      <c r="R40215" s="36" t="s">
        <v>48</v>
      </c>
    </row>
    <row r="40216">
      <c r="H40216" s="50"/>
      <c r="I40216" s="50"/>
      <c r="O40216" s="36" t="s">
        <v>48</v>
      </c>
      <c r="R40216" s="36" t="s">
        <v>48</v>
      </c>
    </row>
    <row r="40217">
      <c r="H40217" s="50"/>
      <c r="I40217" s="50"/>
      <c r="O40217" s="36" t="s">
        <v>48</v>
      </c>
      <c r="R40217" s="36" t="s">
        <v>48</v>
      </c>
    </row>
    <row r="40218">
      <c r="H40218" s="50"/>
      <c r="I40218" s="50"/>
      <c r="O40218" s="36" t="s">
        <v>48</v>
      </c>
      <c r="R40218" s="36" t="s">
        <v>48</v>
      </c>
    </row>
    <row r="40219">
      <c r="H40219" s="50"/>
      <c r="I40219" s="50"/>
      <c r="O40219" s="36" t="s">
        <v>48</v>
      </c>
      <c r="R40219" s="36" t="s">
        <v>48</v>
      </c>
    </row>
    <row r="40220">
      <c r="H40220" s="50"/>
      <c r="I40220" s="50"/>
      <c r="O40220" s="36" t="s">
        <v>48</v>
      </c>
      <c r="R40220" s="36" t="s">
        <v>48</v>
      </c>
    </row>
    <row r="40221">
      <c r="H40221" s="50"/>
      <c r="I40221" s="50"/>
      <c r="O40221" s="36" t="s">
        <v>48</v>
      </c>
      <c r="R40221" s="36" t="s">
        <v>48</v>
      </c>
    </row>
    <row r="40222">
      <c r="H40222" s="50"/>
      <c r="I40222" s="50"/>
      <c r="O40222" s="36" t="s">
        <v>48</v>
      </c>
      <c r="R40222" s="36" t="s">
        <v>48</v>
      </c>
    </row>
    <row r="40223">
      <c r="H40223" s="50"/>
      <c r="I40223" s="50"/>
      <c r="O40223" s="36" t="s">
        <v>48</v>
      </c>
      <c r="R40223" s="36" t="s">
        <v>48</v>
      </c>
    </row>
    <row r="40224">
      <c r="H40224" s="50"/>
      <c r="I40224" s="50"/>
      <c r="O40224" s="36" t="s">
        <v>48</v>
      </c>
      <c r="R40224" s="36" t="s">
        <v>48</v>
      </c>
    </row>
    <row r="40225">
      <c r="H40225" s="50"/>
      <c r="I40225" s="50"/>
      <c r="O40225" s="36" t="s">
        <v>48</v>
      </c>
      <c r="R40225" s="36" t="s">
        <v>48</v>
      </c>
    </row>
    <row r="40226">
      <c r="H40226" s="50"/>
      <c r="I40226" s="50"/>
      <c r="O40226" s="36" t="s">
        <v>48</v>
      </c>
      <c r="R40226" s="36" t="s">
        <v>48</v>
      </c>
    </row>
    <row r="40227">
      <c r="H40227" s="50"/>
      <c r="I40227" s="50"/>
      <c r="O40227" s="36" t="s">
        <v>48</v>
      </c>
      <c r="R40227" s="36" t="s">
        <v>48</v>
      </c>
    </row>
    <row r="40228">
      <c r="H40228" s="50"/>
      <c r="I40228" s="50"/>
      <c r="O40228" s="36" t="s">
        <v>48</v>
      </c>
      <c r="R40228" s="36" t="s">
        <v>48</v>
      </c>
    </row>
    <row r="40229">
      <c r="H40229" s="50"/>
      <c r="I40229" s="50"/>
      <c r="O40229" s="36" t="s">
        <v>48</v>
      </c>
      <c r="R40229" s="36" t="s">
        <v>48</v>
      </c>
    </row>
    <row r="40230">
      <c r="H40230" s="50"/>
      <c r="I40230" s="50"/>
      <c r="O40230" s="36" t="s">
        <v>48</v>
      </c>
      <c r="R40230" s="36" t="s">
        <v>48</v>
      </c>
    </row>
    <row r="40231">
      <c r="H40231" s="50"/>
      <c r="I40231" s="50"/>
      <c r="O40231" s="36" t="s">
        <v>48</v>
      </c>
      <c r="R40231" s="36" t="s">
        <v>48</v>
      </c>
    </row>
    <row r="40232">
      <c r="H40232" s="50"/>
      <c r="I40232" s="50"/>
      <c r="O40232" s="36" t="s">
        <v>48</v>
      </c>
      <c r="R40232" s="36" t="s">
        <v>48</v>
      </c>
    </row>
    <row r="40233">
      <c r="H40233" s="50"/>
      <c r="I40233" s="50"/>
      <c r="O40233" s="36" t="s">
        <v>48</v>
      </c>
      <c r="R40233" s="36" t="s">
        <v>48</v>
      </c>
    </row>
    <row r="40234">
      <c r="H40234" s="50"/>
      <c r="I40234" s="50"/>
      <c r="O40234" s="36" t="s">
        <v>48</v>
      </c>
      <c r="R40234" s="36" t="s">
        <v>48</v>
      </c>
    </row>
    <row r="40235">
      <c r="H40235" s="50"/>
      <c r="I40235" s="50"/>
      <c r="O40235" s="36" t="s">
        <v>48</v>
      </c>
      <c r="R40235" s="36" t="s">
        <v>48</v>
      </c>
    </row>
    <row r="40236">
      <c r="H40236" s="50"/>
      <c r="I40236" s="50"/>
      <c r="O40236" s="36" t="s">
        <v>48</v>
      </c>
      <c r="R40236" s="36" t="s">
        <v>48</v>
      </c>
    </row>
    <row r="40237">
      <c r="H40237" s="50"/>
      <c r="I40237" s="50"/>
      <c r="O40237" s="36" t="s">
        <v>48</v>
      </c>
      <c r="R40237" s="36" t="s">
        <v>48</v>
      </c>
    </row>
    <row r="40238">
      <c r="H40238" s="50"/>
      <c r="I40238" s="50"/>
      <c r="O40238" s="36" t="s">
        <v>48</v>
      </c>
      <c r="R40238" s="36" t="s">
        <v>48</v>
      </c>
    </row>
    <row r="40239">
      <c r="H40239" s="50"/>
      <c r="I40239" s="50"/>
      <c r="O40239" s="36" t="s">
        <v>48</v>
      </c>
      <c r="R40239" s="36" t="s">
        <v>48</v>
      </c>
    </row>
    <row r="40240">
      <c r="H40240" s="50"/>
      <c r="I40240" s="50"/>
      <c r="O40240" s="36" t="s">
        <v>48</v>
      </c>
      <c r="R40240" s="36" t="s">
        <v>48</v>
      </c>
    </row>
    <row r="40241">
      <c r="H40241" s="50"/>
      <c r="I40241" s="50"/>
      <c r="O40241" s="36" t="s">
        <v>48</v>
      </c>
      <c r="R40241" s="36" t="s">
        <v>48</v>
      </c>
    </row>
    <row r="40242">
      <c r="H40242" s="50"/>
      <c r="I40242" s="50"/>
      <c r="O40242" s="36" t="s">
        <v>48</v>
      </c>
      <c r="R40242" s="36" t="s">
        <v>48</v>
      </c>
    </row>
    <row r="40243">
      <c r="H40243" s="50"/>
      <c r="I40243" s="50"/>
      <c r="O40243" s="36" t="s">
        <v>48</v>
      </c>
      <c r="R40243" s="36" t="s">
        <v>48</v>
      </c>
    </row>
    <row r="40244">
      <c r="H40244" s="50"/>
      <c r="I40244" s="50"/>
      <c r="O40244" s="36" t="s">
        <v>48</v>
      </c>
      <c r="R40244" s="36" t="s">
        <v>48</v>
      </c>
    </row>
    <row r="40245">
      <c r="H40245" s="50"/>
      <c r="I40245" s="50"/>
      <c r="O40245" s="36" t="s">
        <v>48</v>
      </c>
      <c r="R40245" s="36" t="s">
        <v>48</v>
      </c>
    </row>
    <row r="40246">
      <c r="H40246" s="50"/>
      <c r="I40246" s="50"/>
      <c r="O40246" s="36" t="s">
        <v>48</v>
      </c>
      <c r="R40246" s="36" t="s">
        <v>48</v>
      </c>
    </row>
    <row r="40247">
      <c r="H40247" s="50"/>
      <c r="I40247" s="50"/>
      <c r="O40247" s="36" t="s">
        <v>48</v>
      </c>
      <c r="R40247" s="36" t="s">
        <v>48</v>
      </c>
    </row>
    <row r="40248">
      <c r="H40248" s="50"/>
      <c r="I40248" s="50"/>
      <c r="O40248" s="36" t="s">
        <v>48</v>
      </c>
      <c r="R40248" s="36" t="s">
        <v>48</v>
      </c>
    </row>
    <row r="40249">
      <c r="H40249" s="50"/>
      <c r="I40249" s="50"/>
      <c r="O40249" s="36" t="s">
        <v>48</v>
      </c>
      <c r="R40249" s="36" t="s">
        <v>48</v>
      </c>
    </row>
    <row r="40250">
      <c r="H40250" s="50"/>
      <c r="I40250" s="50"/>
      <c r="O40250" s="36" t="s">
        <v>48</v>
      </c>
      <c r="R40250" s="36" t="s">
        <v>48</v>
      </c>
    </row>
    <row r="40251">
      <c r="H40251" s="50"/>
      <c r="I40251" s="50"/>
      <c r="O40251" s="36" t="s">
        <v>48</v>
      </c>
      <c r="R40251" s="36" t="s">
        <v>48</v>
      </c>
    </row>
    <row r="40252">
      <c r="H40252" s="50"/>
      <c r="I40252" s="50"/>
      <c r="O40252" s="36" t="s">
        <v>48</v>
      </c>
      <c r="R40252" s="36" t="s">
        <v>48</v>
      </c>
    </row>
    <row r="40253">
      <c r="H40253" s="50"/>
      <c r="I40253" s="50"/>
      <c r="O40253" s="36" t="s">
        <v>48</v>
      </c>
      <c r="R40253" s="36" t="s">
        <v>48</v>
      </c>
    </row>
    <row r="40254">
      <c r="H40254" s="50"/>
      <c r="I40254" s="50"/>
      <c r="O40254" s="36" t="s">
        <v>48</v>
      </c>
      <c r="R40254" s="36" t="s">
        <v>48</v>
      </c>
    </row>
    <row r="40255">
      <c r="H40255" s="50"/>
      <c r="I40255" s="50"/>
      <c r="O40255" s="36" t="s">
        <v>48</v>
      </c>
      <c r="R40255" s="36" t="s">
        <v>48</v>
      </c>
    </row>
    <row r="40256">
      <c r="H40256" s="50"/>
      <c r="I40256" s="50"/>
      <c r="O40256" s="36" t="s">
        <v>48</v>
      </c>
      <c r="R40256" s="36" t="s">
        <v>48</v>
      </c>
    </row>
    <row r="40257">
      <c r="H40257" s="50"/>
      <c r="I40257" s="50"/>
      <c r="O40257" s="36" t="s">
        <v>48</v>
      </c>
      <c r="R40257" s="36" t="s">
        <v>48</v>
      </c>
    </row>
    <row r="40258">
      <c r="H40258" s="50"/>
      <c r="I40258" s="50"/>
      <c r="O40258" s="36" t="s">
        <v>48</v>
      </c>
      <c r="R40258" s="36" t="s">
        <v>48</v>
      </c>
    </row>
    <row r="40259">
      <c r="H40259" s="50"/>
      <c r="I40259" s="50"/>
      <c r="O40259" s="36" t="s">
        <v>48</v>
      </c>
      <c r="R40259" s="36" t="s">
        <v>48</v>
      </c>
    </row>
    <row r="40260">
      <c r="H40260" s="50"/>
      <c r="I40260" s="50"/>
      <c r="O40260" s="36" t="s">
        <v>48</v>
      </c>
      <c r="R40260" s="36" t="s">
        <v>48</v>
      </c>
    </row>
    <row r="40261">
      <c r="H40261" s="50"/>
      <c r="I40261" s="50"/>
      <c r="O40261" s="36" t="s">
        <v>48</v>
      </c>
      <c r="R40261" s="36" t="s">
        <v>48</v>
      </c>
    </row>
    <row r="40262">
      <c r="H40262" s="50"/>
      <c r="I40262" s="50"/>
      <c r="O40262" s="36" t="s">
        <v>48</v>
      </c>
      <c r="R40262" s="36" t="s">
        <v>48</v>
      </c>
    </row>
    <row r="40263">
      <c r="H40263" s="50"/>
      <c r="I40263" s="50"/>
      <c r="O40263" s="36" t="s">
        <v>48</v>
      </c>
      <c r="R40263" s="36" t="s">
        <v>48</v>
      </c>
    </row>
    <row r="40264">
      <c r="H40264" s="50"/>
      <c r="I40264" s="50"/>
      <c r="O40264" s="36" t="s">
        <v>48</v>
      </c>
      <c r="R40264" s="36" t="s">
        <v>48</v>
      </c>
    </row>
    <row r="40265">
      <c r="H40265" s="50"/>
      <c r="I40265" s="50"/>
      <c r="O40265" s="36" t="s">
        <v>48</v>
      </c>
      <c r="R40265" s="36" t="s">
        <v>48</v>
      </c>
    </row>
    <row r="40266">
      <c r="H40266" s="50"/>
      <c r="I40266" s="50"/>
      <c r="O40266" s="36" t="s">
        <v>48</v>
      </c>
      <c r="R40266" s="36" t="s">
        <v>48</v>
      </c>
    </row>
    <row r="40267">
      <c r="H40267" s="50"/>
      <c r="I40267" s="50"/>
      <c r="O40267" s="36" t="s">
        <v>48</v>
      </c>
      <c r="R40267" s="36" t="s">
        <v>48</v>
      </c>
    </row>
    <row r="40268">
      <c r="H40268" s="50"/>
      <c r="I40268" s="50"/>
      <c r="O40268" s="36" t="s">
        <v>48</v>
      </c>
      <c r="R40268" s="36" t="s">
        <v>48</v>
      </c>
    </row>
    <row r="40269">
      <c r="H40269" s="50"/>
      <c r="I40269" s="50"/>
      <c r="O40269" s="36" t="s">
        <v>48</v>
      </c>
      <c r="R40269" s="36" t="s">
        <v>48</v>
      </c>
    </row>
    <row r="40270">
      <c r="H40270" s="50"/>
      <c r="I40270" s="50"/>
      <c r="O40270" s="36" t="s">
        <v>48</v>
      </c>
      <c r="R40270" s="36" t="s">
        <v>48</v>
      </c>
    </row>
    <row r="40271">
      <c r="H40271" s="50"/>
      <c r="I40271" s="50"/>
      <c r="O40271" s="36" t="s">
        <v>48</v>
      </c>
      <c r="R40271" s="36" t="s">
        <v>48</v>
      </c>
    </row>
    <row r="40272">
      <c r="H40272" s="50"/>
      <c r="I40272" s="50"/>
      <c r="O40272" s="36" t="s">
        <v>48</v>
      </c>
      <c r="R40272" s="36" t="s">
        <v>48</v>
      </c>
    </row>
    <row r="40273">
      <c r="H40273" s="50"/>
      <c r="I40273" s="50"/>
      <c r="O40273" s="36" t="s">
        <v>48</v>
      </c>
      <c r="R40273" s="36" t="s">
        <v>48</v>
      </c>
    </row>
    <row r="40274">
      <c r="H40274" s="50"/>
      <c r="I40274" s="50"/>
      <c r="O40274" s="36" t="s">
        <v>48</v>
      </c>
      <c r="R40274" s="36" t="s">
        <v>48</v>
      </c>
    </row>
    <row r="40275">
      <c r="H40275" s="50"/>
      <c r="I40275" s="50"/>
      <c r="O40275" s="36" t="s">
        <v>48</v>
      </c>
      <c r="R40275" s="36" t="s">
        <v>48</v>
      </c>
    </row>
    <row r="40276">
      <c r="H40276" s="50"/>
      <c r="I40276" s="50"/>
      <c r="O40276" s="36" t="s">
        <v>48</v>
      </c>
      <c r="R40276" s="36" t="s">
        <v>48</v>
      </c>
    </row>
    <row r="40277">
      <c r="H40277" s="50"/>
      <c r="I40277" s="50"/>
      <c r="O40277" s="36" t="s">
        <v>48</v>
      </c>
      <c r="R40277" s="36" t="s">
        <v>48</v>
      </c>
    </row>
    <row r="40278">
      <c r="H40278" s="50"/>
      <c r="I40278" s="50"/>
      <c r="O40278" s="36" t="s">
        <v>48</v>
      </c>
      <c r="R40278" s="36" t="s">
        <v>48</v>
      </c>
    </row>
    <row r="40279">
      <c r="H40279" s="50"/>
      <c r="I40279" s="50"/>
      <c r="O40279" s="36" t="s">
        <v>48</v>
      </c>
      <c r="R40279" s="36" t="s">
        <v>48</v>
      </c>
    </row>
    <row r="40280">
      <c r="H40280" s="50"/>
      <c r="I40280" s="50"/>
      <c r="O40280" s="36" t="s">
        <v>48</v>
      </c>
      <c r="R40280" s="36" t="s">
        <v>48</v>
      </c>
    </row>
    <row r="40281">
      <c r="H40281" s="50"/>
      <c r="I40281" s="50"/>
      <c r="O40281" s="36" t="s">
        <v>48</v>
      </c>
      <c r="R40281" s="36" t="s">
        <v>48</v>
      </c>
    </row>
    <row r="40282">
      <c r="H40282" s="50"/>
      <c r="I40282" s="50"/>
      <c r="O40282" s="36" t="s">
        <v>48</v>
      </c>
      <c r="R40282" s="36" t="s">
        <v>48</v>
      </c>
    </row>
    <row r="40283">
      <c r="H40283" s="50"/>
      <c r="I40283" s="50"/>
      <c r="O40283" s="36" t="s">
        <v>48</v>
      </c>
      <c r="R40283" s="36" t="s">
        <v>48</v>
      </c>
    </row>
    <row r="40284">
      <c r="H40284" s="50"/>
      <c r="I40284" s="50"/>
      <c r="O40284" s="36" t="s">
        <v>48</v>
      </c>
      <c r="R40284" s="36" t="s">
        <v>48</v>
      </c>
    </row>
    <row r="40285">
      <c r="H40285" s="50"/>
      <c r="I40285" s="50"/>
      <c r="O40285" s="36" t="s">
        <v>48</v>
      </c>
      <c r="R40285" s="36" t="s">
        <v>48</v>
      </c>
    </row>
    <row r="40286">
      <c r="H40286" s="50"/>
      <c r="I40286" s="50"/>
      <c r="O40286" s="36" t="s">
        <v>48</v>
      </c>
      <c r="R40286" s="36" t="s">
        <v>48</v>
      </c>
    </row>
    <row r="40287">
      <c r="H40287" s="50"/>
      <c r="I40287" s="50"/>
      <c r="O40287" s="36" t="s">
        <v>48</v>
      </c>
      <c r="R40287" s="36" t="s">
        <v>48</v>
      </c>
    </row>
    <row r="40288">
      <c r="H40288" s="50"/>
      <c r="I40288" s="50"/>
      <c r="O40288" s="36" t="s">
        <v>48</v>
      </c>
      <c r="R40288" s="36" t="s">
        <v>48</v>
      </c>
    </row>
    <row r="40289">
      <c r="H40289" s="50"/>
      <c r="I40289" s="50"/>
      <c r="O40289" s="36" t="s">
        <v>48</v>
      </c>
      <c r="R40289" s="36" t="s">
        <v>48</v>
      </c>
    </row>
    <row r="40290">
      <c r="H40290" s="50"/>
      <c r="I40290" s="50"/>
      <c r="O40290" s="36" t="s">
        <v>48</v>
      </c>
      <c r="R40290" s="36" t="s">
        <v>48</v>
      </c>
    </row>
    <row r="40291">
      <c r="H40291" s="50"/>
      <c r="I40291" s="50"/>
      <c r="O40291" s="36" t="s">
        <v>48</v>
      </c>
      <c r="R40291" s="36" t="s">
        <v>48</v>
      </c>
    </row>
    <row r="40292">
      <c r="H40292" s="50"/>
      <c r="I40292" s="50"/>
      <c r="O40292" s="36" t="s">
        <v>48</v>
      </c>
      <c r="R40292" s="36" t="s">
        <v>48</v>
      </c>
    </row>
    <row r="40293">
      <c r="H40293" s="50"/>
      <c r="I40293" s="50"/>
      <c r="O40293" s="36" t="s">
        <v>48</v>
      </c>
      <c r="R40293" s="36" t="s">
        <v>48</v>
      </c>
    </row>
    <row r="40294">
      <c r="H40294" s="50"/>
      <c r="I40294" s="50"/>
      <c r="O40294" s="36" t="s">
        <v>48</v>
      </c>
      <c r="R40294" s="36" t="s">
        <v>48</v>
      </c>
    </row>
    <row r="40295">
      <c r="H40295" s="50"/>
      <c r="I40295" s="50"/>
      <c r="O40295" s="36" t="s">
        <v>48</v>
      </c>
      <c r="R40295" s="36" t="s">
        <v>48</v>
      </c>
    </row>
    <row r="40296">
      <c r="H40296" s="50"/>
      <c r="I40296" s="50"/>
      <c r="O40296" s="36" t="s">
        <v>48</v>
      </c>
      <c r="R40296" s="36" t="s">
        <v>48</v>
      </c>
    </row>
    <row r="40297">
      <c r="H40297" s="50"/>
      <c r="I40297" s="50"/>
      <c r="O40297" s="36" t="s">
        <v>48</v>
      </c>
      <c r="R40297" s="36" t="s">
        <v>48</v>
      </c>
    </row>
    <row r="40298">
      <c r="H40298" s="50"/>
      <c r="I40298" s="50"/>
      <c r="O40298" s="36" t="s">
        <v>48</v>
      </c>
      <c r="R40298" s="36" t="s">
        <v>48</v>
      </c>
    </row>
    <row r="40299">
      <c r="H40299" s="50"/>
      <c r="I40299" s="50"/>
      <c r="O40299" s="36" t="s">
        <v>48</v>
      </c>
      <c r="R40299" s="36" t="s">
        <v>48</v>
      </c>
    </row>
    <row r="40300">
      <c r="H40300" s="50"/>
      <c r="I40300" s="50"/>
      <c r="O40300" s="36" t="s">
        <v>48</v>
      </c>
      <c r="R40300" s="36" t="s">
        <v>48</v>
      </c>
    </row>
    <row r="40301">
      <c r="H40301" s="50"/>
      <c r="I40301" s="50"/>
      <c r="O40301" s="36" t="s">
        <v>48</v>
      </c>
      <c r="R40301" s="36" t="s">
        <v>48</v>
      </c>
    </row>
    <row r="40302">
      <c r="H40302" s="50"/>
      <c r="I40302" s="50"/>
      <c r="O40302" s="36" t="s">
        <v>48</v>
      </c>
      <c r="R40302" s="36" t="s">
        <v>48</v>
      </c>
    </row>
    <row r="40303">
      <c r="H40303" s="50"/>
      <c r="I40303" s="50"/>
      <c r="O40303" s="36" t="s">
        <v>48</v>
      </c>
      <c r="R40303" s="36" t="s">
        <v>48</v>
      </c>
    </row>
    <row r="40304">
      <c r="H40304" s="50"/>
      <c r="I40304" s="50"/>
      <c r="O40304" s="36" t="s">
        <v>48</v>
      </c>
      <c r="R40304" s="36" t="s">
        <v>48</v>
      </c>
    </row>
    <row r="40305">
      <c r="H40305" s="50"/>
      <c r="I40305" s="50"/>
      <c r="O40305" s="36" t="s">
        <v>48</v>
      </c>
      <c r="R40305" s="36" t="s">
        <v>48</v>
      </c>
    </row>
    <row r="40306">
      <c r="H40306" s="50"/>
      <c r="I40306" s="50"/>
      <c r="O40306" s="36" t="s">
        <v>48</v>
      </c>
      <c r="R40306" s="36" t="s">
        <v>48</v>
      </c>
    </row>
    <row r="40307">
      <c r="H40307" s="50"/>
      <c r="I40307" s="50"/>
      <c r="O40307" s="36" t="s">
        <v>48</v>
      </c>
      <c r="R40307" s="36" t="s">
        <v>48</v>
      </c>
    </row>
    <row r="40308">
      <c r="H40308" s="50"/>
      <c r="I40308" s="50"/>
      <c r="O40308" s="36" t="s">
        <v>48</v>
      </c>
      <c r="R40308" s="36" t="s">
        <v>48</v>
      </c>
    </row>
    <row r="40309">
      <c r="H40309" s="50"/>
      <c r="I40309" s="50"/>
      <c r="O40309" s="36" t="s">
        <v>48</v>
      </c>
      <c r="R40309" s="36" t="s">
        <v>48</v>
      </c>
    </row>
    <row r="40310">
      <c r="H40310" s="50"/>
      <c r="I40310" s="50"/>
      <c r="O40310" s="36" t="s">
        <v>48</v>
      </c>
      <c r="R40310" s="36" t="s">
        <v>48</v>
      </c>
    </row>
    <row r="40311">
      <c r="H40311" s="50"/>
      <c r="I40311" s="50"/>
      <c r="O40311" s="36" t="s">
        <v>48</v>
      </c>
      <c r="R40311" s="36" t="s">
        <v>48</v>
      </c>
    </row>
    <row r="40312">
      <c r="H40312" s="50"/>
      <c r="I40312" s="50"/>
      <c r="O40312" s="36" t="s">
        <v>48</v>
      </c>
      <c r="R40312" s="36" t="s">
        <v>48</v>
      </c>
    </row>
    <row r="40313">
      <c r="H40313" s="50"/>
      <c r="I40313" s="50"/>
      <c r="O40313" s="36" t="s">
        <v>48</v>
      </c>
      <c r="R40313" s="36" t="s">
        <v>48</v>
      </c>
    </row>
    <row r="40314">
      <c r="H40314" s="50"/>
      <c r="I40314" s="50"/>
      <c r="O40314" s="36" t="s">
        <v>48</v>
      </c>
      <c r="R40314" s="36" t="s">
        <v>48</v>
      </c>
    </row>
    <row r="40315">
      <c r="H40315" s="50"/>
      <c r="I40315" s="50"/>
      <c r="O40315" s="36" t="s">
        <v>48</v>
      </c>
      <c r="R40315" s="36" t="s">
        <v>48</v>
      </c>
    </row>
    <row r="40316">
      <c r="H40316" s="50"/>
      <c r="I40316" s="50"/>
      <c r="O40316" s="36" t="s">
        <v>48</v>
      </c>
      <c r="R40316" s="36" t="s">
        <v>48</v>
      </c>
    </row>
    <row r="40317">
      <c r="H40317" s="50"/>
      <c r="I40317" s="50"/>
      <c r="O40317" s="36" t="s">
        <v>48</v>
      </c>
      <c r="R40317" s="36" t="s">
        <v>48</v>
      </c>
    </row>
    <row r="40318">
      <c r="H40318" s="50"/>
      <c r="I40318" s="50"/>
      <c r="O40318" s="36" t="s">
        <v>48</v>
      </c>
      <c r="R40318" s="36" t="s">
        <v>48</v>
      </c>
    </row>
    <row r="40319">
      <c r="H40319" s="50"/>
      <c r="I40319" s="50"/>
      <c r="O40319" s="36" t="s">
        <v>48</v>
      </c>
      <c r="R40319" s="36" t="s">
        <v>48</v>
      </c>
    </row>
    <row r="40320">
      <c r="H40320" s="50"/>
      <c r="I40320" s="50"/>
      <c r="O40320" s="36" t="s">
        <v>48</v>
      </c>
      <c r="R40320" s="36" t="s">
        <v>48</v>
      </c>
    </row>
    <row r="40321">
      <c r="H40321" s="50"/>
      <c r="I40321" s="50"/>
      <c r="O40321" s="36" t="s">
        <v>48</v>
      </c>
      <c r="R40321" s="36" t="s">
        <v>48</v>
      </c>
    </row>
    <row r="40322">
      <c r="H40322" s="50"/>
      <c r="I40322" s="50"/>
      <c r="O40322" s="36" t="s">
        <v>48</v>
      </c>
      <c r="R40322" s="36" t="s">
        <v>48</v>
      </c>
    </row>
    <row r="40323">
      <c r="H40323" s="50"/>
      <c r="I40323" s="50"/>
      <c r="O40323" s="36" t="s">
        <v>48</v>
      </c>
      <c r="R40323" s="36" t="s">
        <v>48</v>
      </c>
    </row>
    <row r="40324">
      <c r="H40324" s="50"/>
      <c r="I40324" s="50"/>
      <c r="O40324" s="36" t="s">
        <v>48</v>
      </c>
      <c r="R40324" s="36" t="s">
        <v>48</v>
      </c>
    </row>
    <row r="40325">
      <c r="H40325" s="50"/>
      <c r="I40325" s="50"/>
      <c r="O40325" s="36" t="s">
        <v>48</v>
      </c>
      <c r="R40325" s="36" t="s">
        <v>48</v>
      </c>
    </row>
    <row r="40326">
      <c r="H40326" s="50"/>
      <c r="I40326" s="50"/>
      <c r="O40326" s="36" t="s">
        <v>48</v>
      </c>
      <c r="R40326" s="36" t="s">
        <v>48</v>
      </c>
    </row>
    <row r="40327">
      <c r="H40327" s="50"/>
      <c r="I40327" s="50"/>
      <c r="O40327" s="36" t="s">
        <v>48</v>
      </c>
      <c r="R40327" s="36" t="s">
        <v>48</v>
      </c>
    </row>
    <row r="40328">
      <c r="H40328" s="50"/>
      <c r="I40328" s="50"/>
      <c r="O40328" s="36" t="s">
        <v>48</v>
      </c>
      <c r="R40328" s="36" t="s">
        <v>48</v>
      </c>
    </row>
    <row r="40329">
      <c r="H40329" s="50"/>
      <c r="I40329" s="50"/>
      <c r="O40329" s="36" t="s">
        <v>48</v>
      </c>
      <c r="R40329" s="36" t="s">
        <v>48</v>
      </c>
    </row>
    <row r="40330">
      <c r="H40330" s="50"/>
      <c r="I40330" s="50"/>
      <c r="O40330" s="36" t="s">
        <v>48</v>
      </c>
      <c r="R40330" s="36" t="s">
        <v>48</v>
      </c>
    </row>
    <row r="40331">
      <c r="H40331" s="50"/>
      <c r="I40331" s="50"/>
      <c r="O40331" s="36" t="s">
        <v>48</v>
      </c>
      <c r="R40331" s="36" t="s">
        <v>48</v>
      </c>
    </row>
    <row r="40332">
      <c r="H40332" s="50"/>
      <c r="I40332" s="50"/>
      <c r="O40332" s="36" t="s">
        <v>48</v>
      </c>
      <c r="R40332" s="36" t="s">
        <v>48</v>
      </c>
    </row>
    <row r="40333">
      <c r="H40333" s="50"/>
      <c r="I40333" s="50"/>
      <c r="O40333" s="36" t="s">
        <v>48</v>
      </c>
      <c r="R40333" s="36" t="s">
        <v>48</v>
      </c>
    </row>
    <row r="40334">
      <c r="H40334" s="50"/>
      <c r="I40334" s="50"/>
      <c r="O40334" s="36" t="s">
        <v>48</v>
      </c>
      <c r="R40334" s="36" t="s">
        <v>48</v>
      </c>
    </row>
    <row r="40335">
      <c r="H40335" s="50"/>
      <c r="I40335" s="50"/>
      <c r="O40335" s="36" t="s">
        <v>48</v>
      </c>
      <c r="R40335" s="36" t="s">
        <v>48</v>
      </c>
    </row>
    <row r="40336">
      <c r="H40336" s="50"/>
      <c r="I40336" s="50"/>
      <c r="O40336" s="36" t="s">
        <v>48</v>
      </c>
      <c r="R40336" s="36" t="s">
        <v>48</v>
      </c>
    </row>
    <row r="40337">
      <c r="H40337" s="50"/>
      <c r="I40337" s="50"/>
      <c r="O40337" s="36" t="s">
        <v>48</v>
      </c>
      <c r="R40337" s="36" t="s">
        <v>48</v>
      </c>
    </row>
    <row r="40338">
      <c r="H40338" s="50"/>
      <c r="I40338" s="50"/>
      <c r="O40338" s="36" t="s">
        <v>48</v>
      </c>
      <c r="R40338" s="36" t="s">
        <v>48</v>
      </c>
    </row>
    <row r="40339">
      <c r="H40339" s="50"/>
      <c r="I40339" s="50"/>
      <c r="O40339" s="36" t="s">
        <v>48</v>
      </c>
      <c r="R40339" s="36" t="s">
        <v>48</v>
      </c>
    </row>
    <row r="40340">
      <c r="H40340" s="50"/>
      <c r="I40340" s="50"/>
      <c r="O40340" s="36" t="s">
        <v>48</v>
      </c>
      <c r="R40340" s="36" t="s">
        <v>48</v>
      </c>
    </row>
    <row r="40341">
      <c r="H40341" s="50"/>
      <c r="I40341" s="50"/>
      <c r="O40341" s="36" t="s">
        <v>48</v>
      </c>
      <c r="R40341" s="36" t="s">
        <v>48</v>
      </c>
    </row>
    <row r="40342">
      <c r="H40342" s="50"/>
      <c r="I40342" s="50"/>
      <c r="O40342" s="36" t="s">
        <v>48</v>
      </c>
      <c r="R40342" s="36" t="s">
        <v>48</v>
      </c>
    </row>
    <row r="40343">
      <c r="H40343" s="50"/>
      <c r="I40343" s="50"/>
      <c r="O40343" s="36" t="s">
        <v>48</v>
      </c>
      <c r="R40343" s="36" t="s">
        <v>48</v>
      </c>
    </row>
    <row r="40344">
      <c r="H40344" s="50"/>
      <c r="I40344" s="50"/>
      <c r="O40344" s="36" t="s">
        <v>48</v>
      </c>
      <c r="R40344" s="36" t="s">
        <v>48</v>
      </c>
    </row>
    <row r="40345">
      <c r="H40345" s="50"/>
      <c r="I40345" s="50"/>
      <c r="O40345" s="36" t="s">
        <v>48</v>
      </c>
      <c r="R40345" s="36" t="s">
        <v>48</v>
      </c>
    </row>
    <row r="40346">
      <c r="H40346" s="50"/>
      <c r="I40346" s="50"/>
      <c r="O40346" s="36" t="s">
        <v>48</v>
      </c>
      <c r="R40346" s="36" t="s">
        <v>48</v>
      </c>
    </row>
    <row r="40347">
      <c r="H40347" s="50"/>
      <c r="I40347" s="50"/>
      <c r="O40347" s="36" t="s">
        <v>48</v>
      </c>
      <c r="R40347" s="36" t="s">
        <v>48</v>
      </c>
    </row>
    <row r="40348">
      <c r="H40348" s="50"/>
      <c r="I40348" s="50"/>
      <c r="O40348" s="36" t="s">
        <v>48</v>
      </c>
      <c r="R40348" s="36" t="s">
        <v>48</v>
      </c>
    </row>
    <row r="40349">
      <c r="H40349" s="50"/>
      <c r="I40349" s="50"/>
      <c r="O40349" s="36" t="s">
        <v>48</v>
      </c>
      <c r="R40349" s="36" t="s">
        <v>48</v>
      </c>
    </row>
    <row r="40350">
      <c r="H40350" s="50"/>
      <c r="I40350" s="50"/>
      <c r="O40350" s="36" t="s">
        <v>48</v>
      </c>
      <c r="R40350" s="36" t="s">
        <v>48</v>
      </c>
    </row>
    <row r="40351">
      <c r="H40351" s="50"/>
      <c r="I40351" s="50"/>
      <c r="O40351" s="36" t="s">
        <v>48</v>
      </c>
      <c r="R40351" s="36" t="s">
        <v>48</v>
      </c>
    </row>
    <row r="40352">
      <c r="H40352" s="50"/>
      <c r="I40352" s="50"/>
      <c r="O40352" s="36" t="s">
        <v>48</v>
      </c>
      <c r="R40352" s="36" t="s">
        <v>48</v>
      </c>
    </row>
    <row r="40353">
      <c r="H40353" s="50"/>
      <c r="I40353" s="50"/>
      <c r="O40353" s="36" t="s">
        <v>48</v>
      </c>
      <c r="R40353" s="36" t="s">
        <v>48</v>
      </c>
    </row>
    <row r="40354">
      <c r="H40354" s="50"/>
      <c r="I40354" s="50"/>
      <c r="O40354" s="36" t="s">
        <v>48</v>
      </c>
      <c r="R40354" s="36" t="s">
        <v>48</v>
      </c>
    </row>
    <row r="40355">
      <c r="H40355" s="50"/>
      <c r="I40355" s="50"/>
      <c r="O40355" s="36" t="s">
        <v>48</v>
      </c>
      <c r="R40355" s="36" t="s">
        <v>48</v>
      </c>
    </row>
    <row r="40356">
      <c r="H40356" s="50"/>
      <c r="I40356" s="50"/>
      <c r="O40356" s="36" t="s">
        <v>48</v>
      </c>
      <c r="R40356" s="36" t="s">
        <v>48</v>
      </c>
    </row>
    <row r="40357">
      <c r="H40357" s="50"/>
      <c r="I40357" s="50"/>
      <c r="O40357" s="36" t="s">
        <v>48</v>
      </c>
      <c r="R40357" s="36" t="s">
        <v>48</v>
      </c>
    </row>
    <row r="40358">
      <c r="H40358" s="50"/>
      <c r="I40358" s="50"/>
      <c r="O40358" s="36" t="s">
        <v>48</v>
      </c>
      <c r="R40358" s="36" t="s">
        <v>48</v>
      </c>
    </row>
    <row r="40359">
      <c r="H40359" s="50"/>
      <c r="I40359" s="50"/>
      <c r="O40359" s="36" t="s">
        <v>48</v>
      </c>
      <c r="R40359" s="36" t="s">
        <v>48</v>
      </c>
    </row>
    <row r="40360">
      <c r="H40360" s="50"/>
      <c r="I40360" s="50"/>
      <c r="O40360" s="36" t="s">
        <v>48</v>
      </c>
      <c r="R40360" s="36" t="s">
        <v>48</v>
      </c>
    </row>
    <row r="40361">
      <c r="H40361" s="50"/>
      <c r="I40361" s="50"/>
      <c r="O40361" s="36" t="s">
        <v>48</v>
      </c>
      <c r="R40361" s="36" t="s">
        <v>48</v>
      </c>
    </row>
    <row r="40362">
      <c r="H40362" s="50"/>
      <c r="I40362" s="50"/>
      <c r="O40362" s="36" t="s">
        <v>48</v>
      </c>
      <c r="R40362" s="36" t="s">
        <v>48</v>
      </c>
    </row>
    <row r="40363">
      <c r="H40363" s="50"/>
      <c r="I40363" s="50"/>
      <c r="O40363" s="36" t="s">
        <v>48</v>
      </c>
      <c r="R40363" s="36" t="s">
        <v>48</v>
      </c>
    </row>
    <row r="40364">
      <c r="H40364" s="50"/>
      <c r="I40364" s="50"/>
      <c r="O40364" s="36" t="s">
        <v>48</v>
      </c>
      <c r="R40364" s="36" t="s">
        <v>48</v>
      </c>
    </row>
    <row r="40365">
      <c r="H40365" s="50"/>
      <c r="I40365" s="50"/>
      <c r="O40365" s="36" t="s">
        <v>48</v>
      </c>
      <c r="R40365" s="36" t="s">
        <v>48</v>
      </c>
    </row>
    <row r="40366">
      <c r="H40366" s="50"/>
      <c r="I40366" s="50"/>
      <c r="O40366" s="36" t="s">
        <v>48</v>
      </c>
      <c r="R40366" s="36" t="s">
        <v>48</v>
      </c>
    </row>
    <row r="40367">
      <c r="H40367" s="50"/>
      <c r="I40367" s="50"/>
      <c r="O40367" s="36" t="s">
        <v>48</v>
      </c>
      <c r="R40367" s="36" t="s">
        <v>48</v>
      </c>
    </row>
    <row r="40368">
      <c r="H40368" s="50"/>
      <c r="I40368" s="50"/>
      <c r="O40368" s="36" t="s">
        <v>48</v>
      </c>
      <c r="R40368" s="36" t="s">
        <v>48</v>
      </c>
    </row>
    <row r="40369">
      <c r="H40369" s="50"/>
      <c r="I40369" s="50"/>
      <c r="O40369" s="36" t="s">
        <v>48</v>
      </c>
      <c r="R40369" s="36" t="s">
        <v>48</v>
      </c>
    </row>
    <row r="40370">
      <c r="H40370" s="50"/>
      <c r="I40370" s="50"/>
      <c r="O40370" s="36" t="s">
        <v>48</v>
      </c>
      <c r="R40370" s="36" t="s">
        <v>48</v>
      </c>
    </row>
    <row r="40371">
      <c r="H40371" s="50"/>
      <c r="I40371" s="50"/>
      <c r="O40371" s="36" t="s">
        <v>48</v>
      </c>
      <c r="R40371" s="36" t="s">
        <v>48</v>
      </c>
    </row>
    <row r="40372">
      <c r="H40372" s="50"/>
      <c r="I40372" s="50"/>
      <c r="O40372" s="36" t="s">
        <v>48</v>
      </c>
      <c r="R40372" s="36" t="s">
        <v>48</v>
      </c>
    </row>
    <row r="40373">
      <c r="H40373" s="50"/>
      <c r="I40373" s="50"/>
      <c r="O40373" s="36" t="s">
        <v>48</v>
      </c>
      <c r="R40373" s="36" t="s">
        <v>48</v>
      </c>
    </row>
    <row r="40374">
      <c r="H40374" s="50"/>
      <c r="I40374" s="50"/>
      <c r="O40374" s="36" t="s">
        <v>48</v>
      </c>
      <c r="R40374" s="36" t="s">
        <v>48</v>
      </c>
    </row>
    <row r="40375">
      <c r="H40375" s="50"/>
      <c r="I40375" s="50"/>
      <c r="O40375" s="36" t="s">
        <v>48</v>
      </c>
      <c r="R40375" s="36" t="s">
        <v>48</v>
      </c>
    </row>
    <row r="40376">
      <c r="H40376" s="50"/>
      <c r="I40376" s="50"/>
      <c r="O40376" s="36" t="s">
        <v>48</v>
      </c>
      <c r="R40376" s="36" t="s">
        <v>48</v>
      </c>
    </row>
    <row r="40377">
      <c r="H40377" s="50"/>
      <c r="I40377" s="50"/>
      <c r="O40377" s="36" t="s">
        <v>48</v>
      </c>
      <c r="R40377" s="36" t="s">
        <v>48</v>
      </c>
    </row>
    <row r="40378">
      <c r="H40378" s="50"/>
      <c r="I40378" s="50"/>
      <c r="O40378" s="36" t="s">
        <v>48</v>
      </c>
      <c r="R40378" s="36" t="s">
        <v>48</v>
      </c>
    </row>
    <row r="40379">
      <c r="H40379" s="50"/>
      <c r="I40379" s="50"/>
      <c r="O40379" s="36" t="s">
        <v>48</v>
      </c>
      <c r="R40379" s="36" t="s">
        <v>48</v>
      </c>
    </row>
    <row r="40380">
      <c r="H40380" s="50"/>
      <c r="I40380" s="50"/>
      <c r="O40380" s="36" t="s">
        <v>48</v>
      </c>
      <c r="R40380" s="36" t="s">
        <v>48</v>
      </c>
    </row>
    <row r="40381">
      <c r="H40381" s="50"/>
      <c r="I40381" s="50"/>
      <c r="O40381" s="36" t="s">
        <v>48</v>
      </c>
      <c r="R40381" s="36" t="s">
        <v>48</v>
      </c>
    </row>
    <row r="40382">
      <c r="H40382" s="50"/>
      <c r="I40382" s="50"/>
      <c r="O40382" s="36" t="s">
        <v>48</v>
      </c>
      <c r="R40382" s="36" t="s">
        <v>48</v>
      </c>
    </row>
    <row r="40383">
      <c r="H40383" s="50"/>
      <c r="I40383" s="50"/>
      <c r="O40383" s="36" t="s">
        <v>48</v>
      </c>
      <c r="R40383" s="36" t="s">
        <v>48</v>
      </c>
    </row>
    <row r="40384">
      <c r="H40384" s="50"/>
      <c r="I40384" s="50"/>
      <c r="O40384" s="36" t="s">
        <v>48</v>
      </c>
      <c r="R40384" s="36" t="s">
        <v>48</v>
      </c>
    </row>
    <row r="40385">
      <c r="H40385" s="50"/>
      <c r="I40385" s="50"/>
      <c r="O40385" s="36" t="s">
        <v>48</v>
      </c>
      <c r="R40385" s="36" t="s">
        <v>48</v>
      </c>
    </row>
    <row r="40386">
      <c r="H40386" s="50"/>
      <c r="I40386" s="50"/>
      <c r="O40386" s="36" t="s">
        <v>48</v>
      </c>
      <c r="R40386" s="36" t="s">
        <v>48</v>
      </c>
    </row>
    <row r="40387">
      <c r="H40387" s="50"/>
      <c r="I40387" s="50"/>
      <c r="O40387" s="36" t="s">
        <v>48</v>
      </c>
      <c r="R40387" s="36" t="s">
        <v>48</v>
      </c>
    </row>
    <row r="40388">
      <c r="H40388" s="50"/>
      <c r="I40388" s="50"/>
      <c r="O40388" s="36" t="s">
        <v>48</v>
      </c>
      <c r="R40388" s="36" t="s">
        <v>48</v>
      </c>
    </row>
    <row r="40389">
      <c r="H40389" s="50"/>
      <c r="I40389" s="50"/>
      <c r="O40389" s="36" t="s">
        <v>48</v>
      </c>
      <c r="R40389" s="36" t="s">
        <v>48</v>
      </c>
    </row>
    <row r="40390">
      <c r="H40390" s="50"/>
      <c r="I40390" s="50"/>
      <c r="O40390" s="36" t="s">
        <v>48</v>
      </c>
      <c r="R40390" s="36" t="s">
        <v>48</v>
      </c>
    </row>
    <row r="40391">
      <c r="H40391" s="50"/>
      <c r="I40391" s="50"/>
      <c r="O40391" s="36" t="s">
        <v>48</v>
      </c>
      <c r="R40391" s="36" t="s">
        <v>48</v>
      </c>
    </row>
    <row r="40392">
      <c r="H40392" s="50"/>
      <c r="I40392" s="50"/>
      <c r="O40392" s="36" t="s">
        <v>48</v>
      </c>
      <c r="R40392" s="36" t="s">
        <v>48</v>
      </c>
    </row>
    <row r="40393">
      <c r="H40393" s="50"/>
      <c r="I40393" s="50"/>
      <c r="O40393" s="36" t="s">
        <v>48</v>
      </c>
      <c r="R40393" s="36" t="s">
        <v>48</v>
      </c>
    </row>
    <row r="40394">
      <c r="H40394" s="50"/>
      <c r="I40394" s="50"/>
      <c r="O40394" s="36" t="s">
        <v>48</v>
      </c>
      <c r="R40394" s="36" t="s">
        <v>48</v>
      </c>
    </row>
    <row r="40395">
      <c r="H40395" s="50"/>
      <c r="I40395" s="50"/>
      <c r="O40395" s="36" t="s">
        <v>48</v>
      </c>
      <c r="R40395" s="36" t="s">
        <v>48</v>
      </c>
    </row>
    <row r="40396">
      <c r="H40396" s="50"/>
      <c r="I40396" s="50"/>
      <c r="O40396" s="36" t="s">
        <v>48</v>
      </c>
      <c r="R40396" s="36" t="s">
        <v>48</v>
      </c>
    </row>
    <row r="40397">
      <c r="H40397" s="50"/>
      <c r="I40397" s="50"/>
      <c r="O40397" s="36" t="s">
        <v>48</v>
      </c>
      <c r="R40397" s="36" t="s">
        <v>48</v>
      </c>
    </row>
    <row r="40398">
      <c r="H40398" s="50"/>
      <c r="I40398" s="50"/>
      <c r="O40398" s="36" t="s">
        <v>48</v>
      </c>
      <c r="R40398" s="36" t="s">
        <v>48</v>
      </c>
    </row>
    <row r="40399">
      <c r="H40399" s="50"/>
      <c r="I40399" s="50"/>
      <c r="O40399" s="36" t="s">
        <v>48</v>
      </c>
      <c r="R40399" s="36" t="s">
        <v>48</v>
      </c>
    </row>
    <row r="40400">
      <c r="H40400" s="50"/>
      <c r="I40400" s="50"/>
      <c r="O40400" s="36" t="s">
        <v>48</v>
      </c>
      <c r="R40400" s="36" t="s">
        <v>48</v>
      </c>
    </row>
    <row r="40401">
      <c r="H40401" s="50"/>
      <c r="I40401" s="50"/>
      <c r="O40401" s="36" t="s">
        <v>48</v>
      </c>
      <c r="R40401" s="36" t="s">
        <v>48</v>
      </c>
    </row>
    <row r="40402">
      <c r="H40402" s="50"/>
      <c r="I40402" s="50"/>
      <c r="O40402" s="36" t="s">
        <v>48</v>
      </c>
      <c r="R40402" s="36" t="s">
        <v>48</v>
      </c>
    </row>
    <row r="40403">
      <c r="H40403" s="50"/>
      <c r="I40403" s="50"/>
      <c r="O40403" s="36" t="s">
        <v>48</v>
      </c>
      <c r="R40403" s="36" t="s">
        <v>48</v>
      </c>
    </row>
    <row r="40404">
      <c r="H40404" s="50"/>
      <c r="I40404" s="50"/>
      <c r="O40404" s="36" t="s">
        <v>48</v>
      </c>
      <c r="R40404" s="36" t="s">
        <v>48</v>
      </c>
    </row>
    <row r="40405">
      <c r="H40405" s="50"/>
      <c r="I40405" s="50"/>
      <c r="O40405" s="36" t="s">
        <v>48</v>
      </c>
      <c r="R40405" s="36" t="s">
        <v>48</v>
      </c>
    </row>
    <row r="40406">
      <c r="H40406" s="50"/>
      <c r="I40406" s="50"/>
      <c r="O40406" s="36" t="s">
        <v>48</v>
      </c>
      <c r="R40406" s="36" t="s">
        <v>48</v>
      </c>
    </row>
    <row r="40407">
      <c r="H40407" s="50"/>
      <c r="I40407" s="50"/>
      <c r="O40407" s="36" t="s">
        <v>48</v>
      </c>
      <c r="R40407" s="36" t="s">
        <v>48</v>
      </c>
    </row>
    <row r="40408">
      <c r="H40408" s="50"/>
      <c r="I40408" s="50"/>
      <c r="O40408" s="36" t="s">
        <v>48</v>
      </c>
      <c r="R40408" s="36" t="s">
        <v>48</v>
      </c>
    </row>
    <row r="40409">
      <c r="H40409" s="50"/>
      <c r="I40409" s="50"/>
      <c r="O40409" s="36" t="s">
        <v>48</v>
      </c>
      <c r="R40409" s="36" t="s">
        <v>48</v>
      </c>
    </row>
    <row r="40410">
      <c r="H40410" s="50"/>
      <c r="I40410" s="50"/>
      <c r="O40410" s="36" t="s">
        <v>48</v>
      </c>
      <c r="R40410" s="36" t="s">
        <v>48</v>
      </c>
    </row>
    <row r="40411">
      <c r="H40411" s="50"/>
      <c r="I40411" s="50"/>
      <c r="O40411" s="36" t="s">
        <v>48</v>
      </c>
      <c r="R40411" s="36" t="s">
        <v>48</v>
      </c>
    </row>
    <row r="40412">
      <c r="H40412" s="50"/>
      <c r="I40412" s="50"/>
      <c r="O40412" s="36" t="s">
        <v>48</v>
      </c>
      <c r="R40412" s="36" t="s">
        <v>48</v>
      </c>
    </row>
    <row r="40413">
      <c r="H40413" s="50"/>
      <c r="I40413" s="50"/>
      <c r="O40413" s="36" t="s">
        <v>48</v>
      </c>
      <c r="R40413" s="36" t="s">
        <v>48</v>
      </c>
    </row>
    <row r="40414">
      <c r="H40414" s="50"/>
      <c r="I40414" s="50"/>
      <c r="O40414" s="36" t="s">
        <v>48</v>
      </c>
      <c r="R40414" s="36" t="s">
        <v>48</v>
      </c>
    </row>
    <row r="40415">
      <c r="H40415" s="50"/>
      <c r="I40415" s="50"/>
      <c r="O40415" s="36" t="s">
        <v>48</v>
      </c>
      <c r="R40415" s="36" t="s">
        <v>48</v>
      </c>
    </row>
    <row r="40416">
      <c r="H40416" s="50"/>
      <c r="I40416" s="50"/>
      <c r="O40416" s="36" t="s">
        <v>48</v>
      </c>
      <c r="R40416" s="36" t="s">
        <v>48</v>
      </c>
    </row>
    <row r="40417">
      <c r="H40417" s="50"/>
      <c r="I40417" s="50"/>
      <c r="O40417" s="36" t="s">
        <v>48</v>
      </c>
      <c r="R40417" s="36" t="s">
        <v>48</v>
      </c>
    </row>
    <row r="40418">
      <c r="H40418" s="50"/>
      <c r="I40418" s="50"/>
      <c r="O40418" s="36" t="s">
        <v>48</v>
      </c>
      <c r="R40418" s="36" t="s">
        <v>48</v>
      </c>
    </row>
    <row r="40419">
      <c r="H40419" s="50"/>
      <c r="I40419" s="50"/>
      <c r="O40419" s="36" t="s">
        <v>48</v>
      </c>
      <c r="R40419" s="36" t="s">
        <v>48</v>
      </c>
    </row>
    <row r="40420">
      <c r="H40420" s="50"/>
      <c r="I40420" s="50"/>
      <c r="O40420" s="36" t="s">
        <v>48</v>
      </c>
      <c r="R40420" s="36" t="s">
        <v>48</v>
      </c>
    </row>
    <row r="40421">
      <c r="H40421" s="50"/>
      <c r="I40421" s="50"/>
      <c r="O40421" s="36" t="s">
        <v>48</v>
      </c>
      <c r="R40421" s="36" t="s">
        <v>48</v>
      </c>
    </row>
    <row r="40422">
      <c r="H40422" s="50"/>
      <c r="I40422" s="50"/>
      <c r="O40422" s="36" t="s">
        <v>48</v>
      </c>
      <c r="R40422" s="36" t="s">
        <v>48</v>
      </c>
    </row>
    <row r="40423">
      <c r="H40423" s="50"/>
      <c r="I40423" s="50"/>
      <c r="O40423" s="36" t="s">
        <v>48</v>
      </c>
      <c r="R40423" s="36" t="s">
        <v>48</v>
      </c>
    </row>
    <row r="40424">
      <c r="H40424" s="50"/>
      <c r="I40424" s="50"/>
      <c r="O40424" s="36" t="s">
        <v>48</v>
      </c>
      <c r="R40424" s="36" t="s">
        <v>48</v>
      </c>
    </row>
    <row r="40425">
      <c r="H40425" s="50"/>
      <c r="I40425" s="50"/>
      <c r="O40425" s="36" t="s">
        <v>48</v>
      </c>
      <c r="R40425" s="36" t="s">
        <v>48</v>
      </c>
    </row>
    <row r="40426">
      <c r="H40426" s="50"/>
      <c r="I40426" s="50"/>
      <c r="O40426" s="36" t="s">
        <v>48</v>
      </c>
      <c r="R40426" s="36" t="s">
        <v>48</v>
      </c>
    </row>
    <row r="40427">
      <c r="H40427" s="50"/>
      <c r="I40427" s="50"/>
      <c r="O40427" s="36" t="s">
        <v>48</v>
      </c>
      <c r="R40427" s="36" t="s">
        <v>48</v>
      </c>
    </row>
    <row r="40428">
      <c r="H40428" s="50"/>
      <c r="I40428" s="50"/>
      <c r="O40428" s="36" t="s">
        <v>48</v>
      </c>
      <c r="R40428" s="36" t="s">
        <v>48</v>
      </c>
    </row>
    <row r="40429">
      <c r="H40429" s="50"/>
      <c r="I40429" s="50"/>
      <c r="O40429" s="36" t="s">
        <v>48</v>
      </c>
      <c r="R40429" s="36" t="s">
        <v>48</v>
      </c>
    </row>
    <row r="40430">
      <c r="H40430" s="50"/>
      <c r="I40430" s="50"/>
      <c r="O40430" s="36" t="s">
        <v>48</v>
      </c>
      <c r="R40430" s="36" t="s">
        <v>48</v>
      </c>
    </row>
    <row r="40431">
      <c r="H40431" s="50"/>
      <c r="I40431" s="50"/>
      <c r="O40431" s="36" t="s">
        <v>48</v>
      </c>
      <c r="R40431" s="36" t="s">
        <v>48</v>
      </c>
    </row>
    <row r="40432">
      <c r="H40432" s="50"/>
      <c r="I40432" s="50"/>
      <c r="O40432" s="36" t="s">
        <v>48</v>
      </c>
      <c r="R40432" s="36" t="s">
        <v>48</v>
      </c>
    </row>
    <row r="40433">
      <c r="H40433" s="50"/>
      <c r="I40433" s="50"/>
      <c r="O40433" s="36" t="s">
        <v>48</v>
      </c>
      <c r="R40433" s="36" t="s">
        <v>48</v>
      </c>
    </row>
    <row r="40434">
      <c r="H40434" s="50"/>
      <c r="I40434" s="50"/>
      <c r="O40434" s="36" t="s">
        <v>48</v>
      </c>
      <c r="R40434" s="36" t="s">
        <v>48</v>
      </c>
    </row>
    <row r="40435">
      <c r="H40435" s="50"/>
      <c r="I40435" s="50"/>
      <c r="O40435" s="36" t="s">
        <v>48</v>
      </c>
      <c r="R40435" s="36" t="s">
        <v>48</v>
      </c>
    </row>
    <row r="40436">
      <c r="H40436" s="50"/>
      <c r="I40436" s="50"/>
      <c r="O40436" s="36" t="s">
        <v>48</v>
      </c>
      <c r="R40436" s="36" t="s">
        <v>48</v>
      </c>
    </row>
    <row r="40437">
      <c r="H40437" s="50"/>
      <c r="I40437" s="50"/>
      <c r="O40437" s="36" t="s">
        <v>48</v>
      </c>
      <c r="R40437" s="36" t="s">
        <v>48</v>
      </c>
    </row>
    <row r="40438">
      <c r="H40438" s="50"/>
      <c r="I40438" s="50"/>
      <c r="O40438" s="36" t="s">
        <v>48</v>
      </c>
      <c r="R40438" s="36" t="s">
        <v>48</v>
      </c>
    </row>
    <row r="40439">
      <c r="H40439" s="50"/>
      <c r="I40439" s="50"/>
      <c r="O40439" s="36" t="s">
        <v>48</v>
      </c>
      <c r="R40439" s="36" t="s">
        <v>48</v>
      </c>
    </row>
    <row r="40440">
      <c r="H40440" s="50"/>
      <c r="I40440" s="50"/>
      <c r="O40440" s="36" t="s">
        <v>48</v>
      </c>
      <c r="R40440" s="36" t="s">
        <v>48</v>
      </c>
    </row>
    <row r="40441">
      <c r="H40441" s="50"/>
      <c r="I40441" s="50"/>
      <c r="O40441" s="36" t="s">
        <v>48</v>
      </c>
      <c r="R40441" s="36" t="s">
        <v>48</v>
      </c>
    </row>
    <row r="40442">
      <c r="H40442" s="50"/>
      <c r="I40442" s="50"/>
      <c r="O40442" s="36" t="s">
        <v>48</v>
      </c>
      <c r="R40442" s="36" t="s">
        <v>48</v>
      </c>
    </row>
    <row r="40443">
      <c r="H40443" s="50"/>
      <c r="I40443" s="50"/>
      <c r="O40443" s="36" t="s">
        <v>48</v>
      </c>
      <c r="R40443" s="36" t="s">
        <v>48</v>
      </c>
    </row>
    <row r="40444">
      <c r="H40444" s="50"/>
      <c r="I40444" s="50"/>
      <c r="O40444" s="36" t="s">
        <v>48</v>
      </c>
      <c r="R40444" s="36" t="s">
        <v>48</v>
      </c>
    </row>
    <row r="40445">
      <c r="H40445" s="50"/>
      <c r="I40445" s="50"/>
      <c r="O40445" s="36" t="s">
        <v>48</v>
      </c>
      <c r="R40445" s="36" t="s">
        <v>48</v>
      </c>
    </row>
    <row r="40446">
      <c r="H40446" s="50"/>
      <c r="I40446" s="50"/>
      <c r="O40446" s="36" t="s">
        <v>48</v>
      </c>
      <c r="R40446" s="36" t="s">
        <v>48</v>
      </c>
    </row>
    <row r="40447">
      <c r="H40447" s="50"/>
      <c r="I40447" s="50"/>
      <c r="O40447" s="36" t="s">
        <v>48</v>
      </c>
      <c r="R40447" s="36" t="s">
        <v>48</v>
      </c>
    </row>
    <row r="40448">
      <c r="H40448" s="50"/>
      <c r="I40448" s="50"/>
      <c r="O40448" s="36" t="s">
        <v>48</v>
      </c>
      <c r="R40448" s="36" t="s">
        <v>48</v>
      </c>
    </row>
    <row r="40449">
      <c r="H40449" s="50"/>
      <c r="I40449" s="50"/>
      <c r="O40449" s="36" t="s">
        <v>48</v>
      </c>
      <c r="R40449" s="36" t="s">
        <v>48</v>
      </c>
    </row>
    <row r="40450">
      <c r="H40450" s="50"/>
      <c r="I40450" s="50"/>
      <c r="O40450" s="36" t="s">
        <v>48</v>
      </c>
      <c r="R40450" s="36" t="s">
        <v>48</v>
      </c>
    </row>
    <row r="40451">
      <c r="H40451" s="50"/>
      <c r="I40451" s="50"/>
      <c r="O40451" s="36" t="s">
        <v>48</v>
      </c>
      <c r="R40451" s="36" t="s">
        <v>48</v>
      </c>
    </row>
    <row r="40452">
      <c r="H40452" s="50"/>
      <c r="I40452" s="50"/>
      <c r="O40452" s="36" t="s">
        <v>48</v>
      </c>
      <c r="R40452" s="36" t="s">
        <v>48</v>
      </c>
    </row>
    <row r="40453">
      <c r="H40453" s="50"/>
      <c r="I40453" s="50"/>
      <c r="O40453" s="36" t="s">
        <v>48</v>
      </c>
      <c r="R40453" s="36" t="s">
        <v>48</v>
      </c>
    </row>
    <row r="40454">
      <c r="H40454" s="50"/>
      <c r="I40454" s="50"/>
      <c r="O40454" s="36" t="s">
        <v>48</v>
      </c>
      <c r="R40454" s="36" t="s">
        <v>48</v>
      </c>
    </row>
    <row r="40455">
      <c r="H40455" s="50"/>
      <c r="I40455" s="50"/>
      <c r="O40455" s="36" t="s">
        <v>48</v>
      </c>
      <c r="R40455" s="36" t="s">
        <v>48</v>
      </c>
    </row>
    <row r="40456">
      <c r="H40456" s="50"/>
      <c r="I40456" s="50"/>
      <c r="O40456" s="36" t="s">
        <v>48</v>
      </c>
      <c r="R40456" s="36" t="s">
        <v>48</v>
      </c>
    </row>
    <row r="40457">
      <c r="H40457" s="50"/>
      <c r="I40457" s="50"/>
      <c r="O40457" s="36" t="s">
        <v>48</v>
      </c>
      <c r="R40457" s="36" t="s">
        <v>48</v>
      </c>
    </row>
    <row r="40458">
      <c r="H40458" s="50"/>
      <c r="I40458" s="50"/>
      <c r="O40458" s="36" t="s">
        <v>48</v>
      </c>
      <c r="R40458" s="36" t="s">
        <v>48</v>
      </c>
    </row>
    <row r="40459">
      <c r="H40459" s="50"/>
      <c r="I40459" s="50"/>
      <c r="O40459" s="36" t="s">
        <v>48</v>
      </c>
      <c r="R40459" s="36" t="s">
        <v>48</v>
      </c>
    </row>
    <row r="40460">
      <c r="H40460" s="50"/>
      <c r="I40460" s="50"/>
      <c r="O40460" s="36" t="s">
        <v>48</v>
      </c>
      <c r="R40460" s="36" t="s">
        <v>48</v>
      </c>
    </row>
    <row r="40461">
      <c r="H40461" s="50"/>
      <c r="I40461" s="50"/>
      <c r="O40461" s="36" t="s">
        <v>48</v>
      </c>
      <c r="R40461" s="36" t="s">
        <v>48</v>
      </c>
    </row>
    <row r="40462">
      <c r="H40462" s="50"/>
      <c r="I40462" s="50"/>
      <c r="O40462" s="36" t="s">
        <v>48</v>
      </c>
      <c r="R40462" s="36" t="s">
        <v>48</v>
      </c>
    </row>
    <row r="40463">
      <c r="H40463" s="50"/>
      <c r="I40463" s="50"/>
      <c r="O40463" s="36" t="s">
        <v>48</v>
      </c>
      <c r="R40463" s="36" t="s">
        <v>48</v>
      </c>
    </row>
    <row r="40464">
      <c r="H40464" s="50"/>
      <c r="I40464" s="50"/>
      <c r="O40464" s="36" t="s">
        <v>48</v>
      </c>
      <c r="R40464" s="36" t="s">
        <v>48</v>
      </c>
    </row>
    <row r="40465">
      <c r="H40465" s="50"/>
      <c r="I40465" s="50"/>
      <c r="O40465" s="36" t="s">
        <v>48</v>
      </c>
      <c r="R40465" s="36" t="s">
        <v>48</v>
      </c>
    </row>
    <row r="40466">
      <c r="H40466" s="50"/>
      <c r="I40466" s="50"/>
      <c r="O40466" s="36" t="s">
        <v>48</v>
      </c>
      <c r="R40466" s="36" t="s">
        <v>48</v>
      </c>
    </row>
    <row r="40467">
      <c r="H40467" s="50"/>
      <c r="I40467" s="50"/>
      <c r="O40467" s="36" t="s">
        <v>48</v>
      </c>
      <c r="R40467" s="36" t="s">
        <v>48</v>
      </c>
    </row>
    <row r="40468">
      <c r="H40468" s="50"/>
      <c r="I40468" s="50"/>
      <c r="O40468" s="36" t="s">
        <v>48</v>
      </c>
      <c r="R40468" s="36" t="s">
        <v>48</v>
      </c>
    </row>
    <row r="40469">
      <c r="H40469" s="50"/>
      <c r="I40469" s="50"/>
      <c r="O40469" s="36" t="s">
        <v>48</v>
      </c>
      <c r="R40469" s="36" t="s">
        <v>48</v>
      </c>
    </row>
    <row r="40470">
      <c r="H40470" s="50"/>
      <c r="I40470" s="50"/>
      <c r="O40470" s="36" t="s">
        <v>48</v>
      </c>
      <c r="R40470" s="36" t="s">
        <v>48</v>
      </c>
    </row>
    <row r="40471">
      <c r="H40471" s="50"/>
      <c r="I40471" s="50"/>
      <c r="O40471" s="36" t="s">
        <v>48</v>
      </c>
      <c r="R40471" s="36" t="s">
        <v>48</v>
      </c>
    </row>
    <row r="40472">
      <c r="H40472" s="50"/>
      <c r="I40472" s="50"/>
      <c r="O40472" s="36" t="s">
        <v>48</v>
      </c>
      <c r="R40472" s="36" t="s">
        <v>48</v>
      </c>
    </row>
    <row r="40473">
      <c r="H40473" s="50"/>
      <c r="I40473" s="50"/>
      <c r="O40473" s="36" t="s">
        <v>48</v>
      </c>
      <c r="R40473" s="36" t="s">
        <v>48</v>
      </c>
    </row>
    <row r="40474">
      <c r="H40474" s="50"/>
      <c r="I40474" s="50"/>
      <c r="O40474" s="36" t="s">
        <v>48</v>
      </c>
      <c r="R40474" s="36" t="s">
        <v>48</v>
      </c>
    </row>
    <row r="40475">
      <c r="H40475" s="50"/>
      <c r="I40475" s="50"/>
      <c r="O40475" s="36" t="s">
        <v>48</v>
      </c>
      <c r="R40475" s="36" t="s">
        <v>48</v>
      </c>
    </row>
    <row r="40476">
      <c r="H40476" s="50"/>
      <c r="I40476" s="50"/>
      <c r="O40476" s="36" t="s">
        <v>48</v>
      </c>
      <c r="R40476" s="36" t="s">
        <v>48</v>
      </c>
    </row>
    <row r="40477">
      <c r="H40477" s="50"/>
      <c r="I40477" s="50"/>
      <c r="O40477" s="36" t="s">
        <v>48</v>
      </c>
      <c r="R40477" s="36" t="s">
        <v>48</v>
      </c>
    </row>
    <row r="40478">
      <c r="H40478" s="50"/>
      <c r="I40478" s="50"/>
      <c r="O40478" s="36" t="s">
        <v>48</v>
      </c>
      <c r="R40478" s="36" t="s">
        <v>48</v>
      </c>
    </row>
    <row r="40479">
      <c r="H40479" s="50"/>
      <c r="I40479" s="50"/>
      <c r="O40479" s="36" t="s">
        <v>48</v>
      </c>
      <c r="R40479" s="36" t="s">
        <v>48</v>
      </c>
    </row>
    <row r="40480">
      <c r="H40480" s="50"/>
      <c r="I40480" s="50"/>
      <c r="O40480" s="36" t="s">
        <v>48</v>
      </c>
      <c r="R40480" s="36" t="s">
        <v>48</v>
      </c>
    </row>
    <row r="40481">
      <c r="H40481" s="50"/>
      <c r="I40481" s="50"/>
      <c r="O40481" s="36" t="s">
        <v>48</v>
      </c>
      <c r="R40481" s="36" t="s">
        <v>48</v>
      </c>
    </row>
    <row r="40482">
      <c r="H40482" s="50"/>
      <c r="I40482" s="50"/>
      <c r="O40482" s="36" t="s">
        <v>48</v>
      </c>
      <c r="R40482" s="36" t="s">
        <v>48</v>
      </c>
    </row>
    <row r="40483">
      <c r="H40483" s="50"/>
      <c r="I40483" s="50"/>
      <c r="O40483" s="36" t="s">
        <v>48</v>
      </c>
      <c r="R40483" s="36" t="s">
        <v>48</v>
      </c>
    </row>
    <row r="40484">
      <c r="H40484" s="50"/>
      <c r="I40484" s="50"/>
      <c r="O40484" s="36" t="s">
        <v>48</v>
      </c>
      <c r="R40484" s="36" t="s">
        <v>48</v>
      </c>
    </row>
    <row r="40485">
      <c r="H40485" s="50"/>
      <c r="I40485" s="50"/>
      <c r="O40485" s="36" t="s">
        <v>48</v>
      </c>
      <c r="R40485" s="36" t="s">
        <v>48</v>
      </c>
    </row>
    <row r="40486">
      <c r="H40486" s="50"/>
      <c r="I40486" s="50"/>
      <c r="O40486" s="36" t="s">
        <v>48</v>
      </c>
      <c r="R40486" s="36" t="s">
        <v>48</v>
      </c>
    </row>
    <row r="40487">
      <c r="H40487" s="50"/>
      <c r="I40487" s="50"/>
      <c r="O40487" s="36" t="s">
        <v>48</v>
      </c>
      <c r="R40487" s="36" t="s">
        <v>48</v>
      </c>
    </row>
    <row r="40488">
      <c r="H40488" s="50"/>
      <c r="I40488" s="50"/>
      <c r="O40488" s="36" t="s">
        <v>48</v>
      </c>
      <c r="R40488" s="36" t="s">
        <v>48</v>
      </c>
    </row>
    <row r="40489">
      <c r="H40489" s="50"/>
      <c r="I40489" s="50"/>
      <c r="O40489" s="36" t="s">
        <v>48</v>
      </c>
      <c r="R40489" s="36" t="s">
        <v>48</v>
      </c>
    </row>
    <row r="40490">
      <c r="H40490" s="50"/>
      <c r="I40490" s="50"/>
      <c r="O40490" s="36" t="s">
        <v>48</v>
      </c>
      <c r="R40490" s="36" t="s">
        <v>48</v>
      </c>
    </row>
    <row r="40491">
      <c r="H40491" s="50"/>
      <c r="I40491" s="50"/>
      <c r="O40491" s="36" t="s">
        <v>48</v>
      </c>
      <c r="R40491" s="36" t="s">
        <v>48</v>
      </c>
    </row>
    <row r="40492">
      <c r="H40492" s="50"/>
      <c r="I40492" s="50"/>
      <c r="O40492" s="36" t="s">
        <v>48</v>
      </c>
      <c r="R40492" s="36" t="s">
        <v>48</v>
      </c>
    </row>
    <row r="40493">
      <c r="H40493" s="50"/>
      <c r="I40493" s="50"/>
      <c r="O40493" s="36" t="s">
        <v>48</v>
      </c>
      <c r="R40493" s="36" t="s">
        <v>48</v>
      </c>
    </row>
    <row r="40494">
      <c r="H40494" s="50"/>
      <c r="I40494" s="50"/>
      <c r="O40494" s="36" t="s">
        <v>48</v>
      </c>
      <c r="R40494" s="36" t="s">
        <v>48</v>
      </c>
    </row>
    <row r="40495">
      <c r="H40495" s="50"/>
      <c r="I40495" s="50"/>
      <c r="O40495" s="36" t="s">
        <v>48</v>
      </c>
      <c r="R40495" s="36" t="s">
        <v>48</v>
      </c>
    </row>
    <row r="40496">
      <c r="H40496" s="50"/>
      <c r="I40496" s="50"/>
      <c r="O40496" s="36" t="s">
        <v>48</v>
      </c>
      <c r="R40496" s="36" t="s">
        <v>48</v>
      </c>
    </row>
    <row r="40497">
      <c r="H40497" s="50"/>
      <c r="I40497" s="50"/>
      <c r="O40497" s="36" t="s">
        <v>48</v>
      </c>
      <c r="R40497" s="36" t="s">
        <v>48</v>
      </c>
    </row>
    <row r="40498">
      <c r="H40498" s="50"/>
      <c r="I40498" s="50"/>
      <c r="O40498" s="36" t="s">
        <v>48</v>
      </c>
      <c r="R40498" s="36" t="s">
        <v>48</v>
      </c>
    </row>
    <row r="40499">
      <c r="H40499" s="50"/>
      <c r="I40499" s="50"/>
      <c r="O40499" s="36" t="s">
        <v>48</v>
      </c>
      <c r="R40499" s="36" t="s">
        <v>48</v>
      </c>
    </row>
    <row r="40500">
      <c r="H40500" s="50"/>
      <c r="I40500" s="50"/>
      <c r="O40500" s="36" t="s">
        <v>48</v>
      </c>
      <c r="R40500" s="36" t="s">
        <v>48</v>
      </c>
    </row>
    <row r="40501">
      <c r="H40501" s="50"/>
      <c r="I40501" s="50"/>
      <c r="O40501" s="36" t="s">
        <v>48</v>
      </c>
      <c r="R40501" s="36" t="s">
        <v>48</v>
      </c>
    </row>
    <row r="40502">
      <c r="H40502" s="50"/>
      <c r="I40502" s="50"/>
      <c r="O40502" s="36" t="s">
        <v>48</v>
      </c>
      <c r="R40502" s="36" t="s">
        <v>48</v>
      </c>
    </row>
    <row r="40503">
      <c r="H40503" s="50"/>
      <c r="I40503" s="50"/>
      <c r="O40503" s="36" t="s">
        <v>48</v>
      </c>
      <c r="R40503" s="36" t="s">
        <v>48</v>
      </c>
    </row>
    <row r="40504">
      <c r="H40504" s="50"/>
      <c r="I40504" s="50"/>
      <c r="O40504" s="36" t="s">
        <v>48</v>
      </c>
      <c r="R40504" s="36" t="s">
        <v>48</v>
      </c>
    </row>
    <row r="40505">
      <c r="H40505" s="50"/>
      <c r="I40505" s="50"/>
      <c r="O40505" s="36" t="s">
        <v>48</v>
      </c>
      <c r="R40505" s="36" t="s">
        <v>48</v>
      </c>
    </row>
    <row r="40506">
      <c r="H40506" s="50"/>
      <c r="I40506" s="50"/>
      <c r="O40506" s="36" t="s">
        <v>48</v>
      </c>
      <c r="R40506" s="36" t="s">
        <v>48</v>
      </c>
    </row>
    <row r="40507">
      <c r="H40507" s="50"/>
      <c r="I40507" s="50"/>
      <c r="O40507" s="36" t="s">
        <v>48</v>
      </c>
      <c r="R40507" s="36" t="s">
        <v>48</v>
      </c>
    </row>
    <row r="40508">
      <c r="H40508" s="50"/>
      <c r="I40508" s="50"/>
      <c r="O40508" s="36" t="s">
        <v>48</v>
      </c>
      <c r="R40508" s="36" t="s">
        <v>48</v>
      </c>
    </row>
    <row r="40509">
      <c r="H40509" s="50"/>
      <c r="I40509" s="50"/>
      <c r="O40509" s="36" t="s">
        <v>48</v>
      </c>
      <c r="R40509" s="36" t="s">
        <v>48</v>
      </c>
    </row>
    <row r="40510">
      <c r="H40510" s="50"/>
      <c r="I40510" s="50"/>
      <c r="O40510" s="36" t="s">
        <v>48</v>
      </c>
      <c r="R40510" s="36" t="s">
        <v>48</v>
      </c>
    </row>
    <row r="40511">
      <c r="H40511" s="50"/>
      <c r="I40511" s="50"/>
      <c r="O40511" s="36" t="s">
        <v>48</v>
      </c>
      <c r="R40511" s="36" t="s">
        <v>48</v>
      </c>
    </row>
    <row r="40512">
      <c r="H40512" s="50"/>
      <c r="I40512" s="50"/>
      <c r="O40512" s="36" t="s">
        <v>48</v>
      </c>
      <c r="R40512" s="36" t="s">
        <v>48</v>
      </c>
    </row>
    <row r="40513">
      <c r="H40513" s="50"/>
      <c r="I40513" s="50"/>
      <c r="O40513" s="36" t="s">
        <v>48</v>
      </c>
      <c r="R40513" s="36" t="s">
        <v>48</v>
      </c>
    </row>
    <row r="40514">
      <c r="H40514" s="50"/>
      <c r="I40514" s="50"/>
      <c r="O40514" s="36" t="s">
        <v>48</v>
      </c>
      <c r="R40514" s="36" t="s">
        <v>48</v>
      </c>
    </row>
    <row r="40515">
      <c r="H40515" s="50"/>
      <c r="I40515" s="50"/>
      <c r="O40515" s="36" t="s">
        <v>48</v>
      </c>
      <c r="R40515" s="36" t="s">
        <v>48</v>
      </c>
    </row>
    <row r="40516">
      <c r="H40516" s="50"/>
      <c r="I40516" s="50"/>
      <c r="O40516" s="36" t="s">
        <v>48</v>
      </c>
      <c r="R40516" s="36" t="s">
        <v>48</v>
      </c>
    </row>
    <row r="40517">
      <c r="H40517" s="50"/>
      <c r="I40517" s="50"/>
      <c r="O40517" s="36" t="s">
        <v>48</v>
      </c>
      <c r="R40517" s="36" t="s">
        <v>48</v>
      </c>
    </row>
    <row r="40518">
      <c r="H40518" s="50"/>
      <c r="I40518" s="50"/>
      <c r="O40518" s="36" t="s">
        <v>48</v>
      </c>
      <c r="R40518" s="36" t="s">
        <v>48</v>
      </c>
    </row>
    <row r="40519">
      <c r="H40519" s="50"/>
      <c r="I40519" s="50"/>
      <c r="O40519" s="36" t="s">
        <v>48</v>
      </c>
      <c r="R40519" s="36" t="s">
        <v>48</v>
      </c>
    </row>
    <row r="40520">
      <c r="H40520" s="50"/>
      <c r="I40520" s="50"/>
      <c r="O40520" s="36" t="s">
        <v>48</v>
      </c>
      <c r="R40520" s="36" t="s">
        <v>48</v>
      </c>
    </row>
    <row r="40521">
      <c r="H40521" s="50"/>
      <c r="I40521" s="50"/>
      <c r="O40521" s="36" t="s">
        <v>48</v>
      </c>
      <c r="R40521" s="36" t="s">
        <v>48</v>
      </c>
    </row>
    <row r="40522">
      <c r="H40522" s="50"/>
      <c r="I40522" s="50"/>
      <c r="O40522" s="36" t="s">
        <v>48</v>
      </c>
      <c r="R40522" s="36" t="s">
        <v>48</v>
      </c>
    </row>
    <row r="40523">
      <c r="H40523" s="50"/>
      <c r="I40523" s="50"/>
      <c r="O40523" s="36" t="s">
        <v>48</v>
      </c>
      <c r="R40523" s="36" t="s">
        <v>48</v>
      </c>
    </row>
    <row r="40524">
      <c r="H40524" s="50"/>
      <c r="I40524" s="50"/>
      <c r="O40524" s="36" t="s">
        <v>48</v>
      </c>
      <c r="R40524" s="36" t="s">
        <v>48</v>
      </c>
    </row>
    <row r="40525">
      <c r="H40525" s="50"/>
      <c r="I40525" s="50"/>
      <c r="O40525" s="36" t="s">
        <v>48</v>
      </c>
      <c r="R40525" s="36" t="s">
        <v>48</v>
      </c>
    </row>
    <row r="40526">
      <c r="H40526" s="50"/>
      <c r="I40526" s="50"/>
      <c r="O40526" s="36" t="s">
        <v>48</v>
      </c>
      <c r="R40526" s="36" t="s">
        <v>48</v>
      </c>
    </row>
    <row r="40527">
      <c r="H40527" s="50"/>
      <c r="I40527" s="50"/>
      <c r="O40527" s="36" t="s">
        <v>48</v>
      </c>
      <c r="R40527" s="36" t="s">
        <v>48</v>
      </c>
    </row>
    <row r="40528">
      <c r="H40528" s="50"/>
      <c r="I40528" s="50"/>
      <c r="O40528" s="36" t="s">
        <v>48</v>
      </c>
      <c r="R40528" s="36" t="s">
        <v>48</v>
      </c>
    </row>
    <row r="40529">
      <c r="H40529" s="50"/>
      <c r="I40529" s="50"/>
      <c r="O40529" s="36" t="s">
        <v>48</v>
      </c>
      <c r="R40529" s="36" t="s">
        <v>48</v>
      </c>
    </row>
    <row r="40530">
      <c r="H40530" s="50"/>
      <c r="I40530" s="50"/>
      <c r="O40530" s="36" t="s">
        <v>48</v>
      </c>
      <c r="R40530" s="36" t="s">
        <v>48</v>
      </c>
    </row>
    <row r="40531">
      <c r="H40531" s="50"/>
      <c r="I40531" s="50"/>
      <c r="O40531" s="36" t="s">
        <v>48</v>
      </c>
      <c r="R40531" s="36" t="s">
        <v>48</v>
      </c>
    </row>
    <row r="40532">
      <c r="H40532" s="50"/>
      <c r="I40532" s="50"/>
      <c r="O40532" s="36" t="s">
        <v>48</v>
      </c>
      <c r="R40532" s="36" t="s">
        <v>48</v>
      </c>
    </row>
    <row r="40533">
      <c r="H40533" s="50"/>
      <c r="I40533" s="50"/>
      <c r="O40533" s="36" t="s">
        <v>48</v>
      </c>
      <c r="R40533" s="36" t="s">
        <v>48</v>
      </c>
    </row>
    <row r="40534">
      <c r="H40534" s="50"/>
      <c r="I40534" s="50"/>
      <c r="O40534" s="36" t="s">
        <v>48</v>
      </c>
      <c r="R40534" s="36" t="s">
        <v>48</v>
      </c>
    </row>
    <row r="40535">
      <c r="H40535" s="50"/>
      <c r="I40535" s="50"/>
      <c r="O40535" s="36" t="s">
        <v>48</v>
      </c>
      <c r="R40535" s="36" t="s">
        <v>48</v>
      </c>
    </row>
    <row r="40536">
      <c r="H40536" s="50"/>
      <c r="I40536" s="50"/>
      <c r="O40536" s="36" t="s">
        <v>48</v>
      </c>
      <c r="R40536" s="36" t="s">
        <v>48</v>
      </c>
    </row>
    <row r="40537">
      <c r="H40537" s="50"/>
      <c r="I40537" s="50"/>
      <c r="O40537" s="36" t="s">
        <v>48</v>
      </c>
      <c r="R40537" s="36" t="s">
        <v>48</v>
      </c>
    </row>
    <row r="40538">
      <c r="H40538" s="50"/>
      <c r="I40538" s="50"/>
      <c r="O40538" s="36" t="s">
        <v>48</v>
      </c>
      <c r="R40538" s="36" t="s">
        <v>48</v>
      </c>
    </row>
    <row r="40539">
      <c r="H40539" s="50"/>
      <c r="I40539" s="50"/>
      <c r="O40539" s="36" t="s">
        <v>48</v>
      </c>
      <c r="R40539" s="36" t="s">
        <v>48</v>
      </c>
    </row>
    <row r="40540">
      <c r="H40540" s="50"/>
      <c r="I40540" s="50"/>
      <c r="O40540" s="36" t="s">
        <v>48</v>
      </c>
      <c r="R40540" s="36" t="s">
        <v>48</v>
      </c>
    </row>
    <row r="40541">
      <c r="H40541" s="50"/>
      <c r="I40541" s="50"/>
      <c r="O40541" s="36" t="s">
        <v>48</v>
      </c>
      <c r="R40541" s="36" t="s">
        <v>48</v>
      </c>
    </row>
    <row r="40542">
      <c r="H40542" s="50"/>
      <c r="I40542" s="50"/>
      <c r="O40542" s="36" t="s">
        <v>48</v>
      </c>
      <c r="R40542" s="36" t="s">
        <v>48</v>
      </c>
    </row>
    <row r="40543">
      <c r="H40543" s="50"/>
      <c r="I40543" s="50"/>
      <c r="O40543" s="36" t="s">
        <v>48</v>
      </c>
      <c r="R40543" s="36" t="s">
        <v>48</v>
      </c>
    </row>
    <row r="40544">
      <c r="H40544" s="50"/>
      <c r="I40544" s="50"/>
      <c r="O40544" s="36" t="s">
        <v>48</v>
      </c>
      <c r="R40544" s="36" t="s">
        <v>48</v>
      </c>
    </row>
    <row r="40545">
      <c r="H40545" s="50"/>
      <c r="I40545" s="50"/>
      <c r="O40545" s="36" t="s">
        <v>48</v>
      </c>
      <c r="R40545" s="36" t="s">
        <v>48</v>
      </c>
    </row>
    <row r="40546">
      <c r="H40546" s="50"/>
      <c r="I40546" s="50"/>
      <c r="O40546" s="36" t="s">
        <v>48</v>
      </c>
      <c r="R40546" s="36" t="s">
        <v>48</v>
      </c>
    </row>
    <row r="40547">
      <c r="H40547" s="50"/>
      <c r="I40547" s="50"/>
      <c r="O40547" s="36" t="s">
        <v>48</v>
      </c>
      <c r="R40547" s="36" t="s">
        <v>48</v>
      </c>
    </row>
    <row r="40548">
      <c r="H40548" s="50"/>
      <c r="I40548" s="50"/>
      <c r="O40548" s="36" t="s">
        <v>48</v>
      </c>
      <c r="R40548" s="36" t="s">
        <v>48</v>
      </c>
    </row>
    <row r="40549">
      <c r="H40549" s="50"/>
      <c r="I40549" s="50"/>
      <c r="O40549" s="36" t="s">
        <v>48</v>
      </c>
      <c r="R40549" s="36" t="s">
        <v>48</v>
      </c>
    </row>
    <row r="40550">
      <c r="H40550" s="50"/>
      <c r="I40550" s="50"/>
      <c r="O40550" s="36" t="s">
        <v>48</v>
      </c>
      <c r="R40550" s="36" t="s">
        <v>48</v>
      </c>
    </row>
    <row r="40551">
      <c r="H40551" s="50"/>
      <c r="I40551" s="50"/>
      <c r="O40551" s="36" t="s">
        <v>48</v>
      </c>
      <c r="R40551" s="36" t="s">
        <v>48</v>
      </c>
    </row>
    <row r="40552">
      <c r="H40552" s="50"/>
      <c r="I40552" s="50"/>
      <c r="O40552" s="36" t="s">
        <v>48</v>
      </c>
      <c r="R40552" s="36" t="s">
        <v>48</v>
      </c>
    </row>
    <row r="40553">
      <c r="H40553" s="50"/>
      <c r="I40553" s="50"/>
      <c r="O40553" s="36" t="s">
        <v>48</v>
      </c>
      <c r="R40553" s="36" t="s">
        <v>48</v>
      </c>
    </row>
    <row r="40554">
      <c r="H40554" s="50"/>
      <c r="I40554" s="50"/>
      <c r="O40554" s="36" t="s">
        <v>48</v>
      </c>
      <c r="R40554" s="36" t="s">
        <v>48</v>
      </c>
    </row>
    <row r="40555">
      <c r="H40555" s="50"/>
      <c r="I40555" s="50"/>
      <c r="O40555" s="36" t="s">
        <v>48</v>
      </c>
      <c r="R40555" s="36" t="s">
        <v>48</v>
      </c>
    </row>
    <row r="40556">
      <c r="H40556" s="50"/>
      <c r="I40556" s="50"/>
      <c r="O40556" s="36" t="s">
        <v>48</v>
      </c>
      <c r="R40556" s="36" t="s">
        <v>48</v>
      </c>
    </row>
    <row r="40557">
      <c r="H40557" s="50"/>
      <c r="I40557" s="50"/>
      <c r="O40557" s="36" t="s">
        <v>48</v>
      </c>
      <c r="R40557" s="36" t="s">
        <v>48</v>
      </c>
    </row>
    <row r="40558">
      <c r="H40558" s="50"/>
      <c r="I40558" s="50"/>
      <c r="O40558" s="36" t="s">
        <v>48</v>
      </c>
      <c r="R40558" s="36" t="s">
        <v>48</v>
      </c>
    </row>
    <row r="40559">
      <c r="H40559" s="50"/>
      <c r="I40559" s="50"/>
      <c r="O40559" s="36" t="s">
        <v>48</v>
      </c>
      <c r="R40559" s="36" t="s">
        <v>48</v>
      </c>
    </row>
    <row r="40560">
      <c r="H40560" s="50"/>
      <c r="I40560" s="50"/>
      <c r="O40560" s="36" t="s">
        <v>48</v>
      </c>
      <c r="R40560" s="36" t="s">
        <v>48</v>
      </c>
    </row>
    <row r="40561">
      <c r="H40561" s="50"/>
      <c r="I40561" s="50"/>
      <c r="O40561" s="36" t="s">
        <v>48</v>
      </c>
      <c r="R40561" s="36" t="s">
        <v>48</v>
      </c>
    </row>
    <row r="40562">
      <c r="H40562" s="50"/>
      <c r="I40562" s="50"/>
      <c r="O40562" s="36" t="s">
        <v>48</v>
      </c>
      <c r="R40562" s="36" t="s">
        <v>48</v>
      </c>
    </row>
    <row r="40563">
      <c r="H40563" s="50"/>
      <c r="I40563" s="50"/>
      <c r="O40563" s="36" t="s">
        <v>48</v>
      </c>
      <c r="R40563" s="36" t="s">
        <v>48</v>
      </c>
    </row>
    <row r="40564">
      <c r="H40564" s="50"/>
      <c r="I40564" s="50"/>
      <c r="O40564" s="36" t="s">
        <v>48</v>
      </c>
      <c r="R40564" s="36" t="s">
        <v>48</v>
      </c>
    </row>
    <row r="40565">
      <c r="H40565" s="50"/>
      <c r="I40565" s="50"/>
      <c r="O40565" s="36" t="s">
        <v>48</v>
      </c>
      <c r="R40565" s="36" t="s">
        <v>48</v>
      </c>
    </row>
    <row r="40566">
      <c r="H40566" s="50"/>
      <c r="I40566" s="50"/>
      <c r="O40566" s="36" t="s">
        <v>48</v>
      </c>
      <c r="R40566" s="36" t="s">
        <v>48</v>
      </c>
    </row>
    <row r="40567">
      <c r="H40567" s="50"/>
      <c r="I40567" s="50"/>
      <c r="O40567" s="36" t="s">
        <v>48</v>
      </c>
      <c r="R40567" s="36" t="s">
        <v>48</v>
      </c>
    </row>
    <row r="40568">
      <c r="H40568" s="50"/>
      <c r="I40568" s="50"/>
      <c r="O40568" s="36" t="s">
        <v>48</v>
      </c>
      <c r="R40568" s="36" t="s">
        <v>48</v>
      </c>
    </row>
    <row r="40569">
      <c r="H40569" s="50"/>
      <c r="I40569" s="50"/>
      <c r="O40569" s="36" t="s">
        <v>48</v>
      </c>
      <c r="R40569" s="36" t="s">
        <v>48</v>
      </c>
    </row>
    <row r="40570">
      <c r="H40570" s="50"/>
      <c r="I40570" s="50"/>
      <c r="O40570" s="36" t="s">
        <v>48</v>
      </c>
      <c r="R40570" s="36" t="s">
        <v>48</v>
      </c>
    </row>
    <row r="40571">
      <c r="H40571" s="50"/>
      <c r="I40571" s="50"/>
      <c r="O40571" s="36" t="s">
        <v>48</v>
      </c>
      <c r="R40571" s="36" t="s">
        <v>48</v>
      </c>
    </row>
    <row r="40572">
      <c r="H40572" s="50"/>
      <c r="I40572" s="50"/>
      <c r="O40572" s="36" t="s">
        <v>48</v>
      </c>
      <c r="R40572" s="36" t="s">
        <v>48</v>
      </c>
    </row>
    <row r="40573">
      <c r="H40573" s="50"/>
      <c r="I40573" s="50"/>
      <c r="O40573" s="36" t="s">
        <v>48</v>
      </c>
      <c r="R40573" s="36" t="s">
        <v>48</v>
      </c>
    </row>
    <row r="40574">
      <c r="H40574" s="50"/>
      <c r="I40574" s="50"/>
      <c r="O40574" s="36" t="s">
        <v>48</v>
      </c>
      <c r="R40574" s="36" t="s">
        <v>48</v>
      </c>
    </row>
    <row r="40575">
      <c r="H40575" s="50"/>
      <c r="I40575" s="50"/>
      <c r="O40575" s="36" t="s">
        <v>48</v>
      </c>
      <c r="R40575" s="36" t="s">
        <v>48</v>
      </c>
    </row>
    <row r="40576">
      <c r="H40576" s="50"/>
      <c r="I40576" s="50"/>
      <c r="O40576" s="36" t="s">
        <v>48</v>
      </c>
      <c r="R40576" s="36" t="s">
        <v>48</v>
      </c>
    </row>
    <row r="40577">
      <c r="H40577" s="50"/>
      <c r="I40577" s="50"/>
      <c r="O40577" s="36" t="s">
        <v>48</v>
      </c>
      <c r="R40577" s="36" t="s">
        <v>48</v>
      </c>
    </row>
    <row r="40578">
      <c r="H40578" s="50"/>
      <c r="I40578" s="50"/>
      <c r="O40578" s="36" t="s">
        <v>48</v>
      </c>
      <c r="R40578" s="36" t="s">
        <v>48</v>
      </c>
    </row>
    <row r="40579">
      <c r="H40579" s="50"/>
      <c r="I40579" s="50"/>
      <c r="O40579" s="36" t="s">
        <v>48</v>
      </c>
      <c r="R40579" s="36" t="s">
        <v>48</v>
      </c>
    </row>
    <row r="40580">
      <c r="H40580" s="50"/>
      <c r="I40580" s="50"/>
      <c r="O40580" s="36" t="s">
        <v>48</v>
      </c>
      <c r="R40580" s="36" t="s">
        <v>48</v>
      </c>
    </row>
    <row r="40581">
      <c r="H40581" s="50"/>
      <c r="I40581" s="50"/>
      <c r="O40581" s="36" t="s">
        <v>48</v>
      </c>
      <c r="R40581" s="36" t="s">
        <v>48</v>
      </c>
    </row>
    <row r="40582">
      <c r="H40582" s="50"/>
      <c r="I40582" s="50"/>
      <c r="O40582" s="36" t="s">
        <v>48</v>
      </c>
      <c r="R40582" s="36" t="s">
        <v>48</v>
      </c>
    </row>
    <row r="40583">
      <c r="H40583" s="50"/>
      <c r="I40583" s="50"/>
      <c r="O40583" s="36" t="s">
        <v>48</v>
      </c>
      <c r="R40583" s="36" t="s">
        <v>48</v>
      </c>
    </row>
    <row r="40584">
      <c r="H40584" s="50"/>
      <c r="I40584" s="50"/>
      <c r="O40584" s="36" t="s">
        <v>48</v>
      </c>
      <c r="R40584" s="36" t="s">
        <v>48</v>
      </c>
    </row>
    <row r="40585">
      <c r="H40585" s="50"/>
      <c r="I40585" s="50"/>
      <c r="O40585" s="36" t="s">
        <v>48</v>
      </c>
      <c r="R40585" s="36" t="s">
        <v>48</v>
      </c>
    </row>
    <row r="40586">
      <c r="H40586" s="50"/>
      <c r="I40586" s="50"/>
      <c r="O40586" s="36" t="s">
        <v>48</v>
      </c>
      <c r="R40586" s="36" t="s">
        <v>48</v>
      </c>
    </row>
    <row r="40587">
      <c r="H40587" s="50"/>
      <c r="I40587" s="50"/>
      <c r="O40587" s="36" t="s">
        <v>48</v>
      </c>
      <c r="R40587" s="36" t="s">
        <v>48</v>
      </c>
    </row>
    <row r="40588">
      <c r="H40588" s="50"/>
      <c r="I40588" s="50"/>
      <c r="O40588" s="36" t="s">
        <v>48</v>
      </c>
      <c r="R40588" s="36" t="s">
        <v>48</v>
      </c>
    </row>
    <row r="40589">
      <c r="H40589" s="50"/>
      <c r="I40589" s="50"/>
      <c r="O40589" s="36" t="s">
        <v>48</v>
      </c>
      <c r="R40589" s="36" t="s">
        <v>48</v>
      </c>
    </row>
    <row r="40590">
      <c r="H40590" s="50"/>
      <c r="I40590" s="50"/>
      <c r="O40590" s="36" t="s">
        <v>48</v>
      </c>
      <c r="R40590" s="36" t="s">
        <v>48</v>
      </c>
    </row>
    <row r="40591">
      <c r="H40591" s="50"/>
      <c r="I40591" s="50"/>
      <c r="O40591" s="36" t="s">
        <v>48</v>
      </c>
      <c r="R40591" s="36" t="s">
        <v>48</v>
      </c>
    </row>
    <row r="40592">
      <c r="H40592" s="50"/>
      <c r="I40592" s="50"/>
      <c r="O40592" s="36" t="s">
        <v>48</v>
      </c>
      <c r="R40592" s="36" t="s">
        <v>48</v>
      </c>
    </row>
    <row r="40593">
      <c r="H40593" s="50"/>
      <c r="I40593" s="50"/>
      <c r="O40593" s="36" t="s">
        <v>48</v>
      </c>
      <c r="R40593" s="36" t="s">
        <v>48</v>
      </c>
    </row>
    <row r="40594">
      <c r="H40594" s="50"/>
      <c r="I40594" s="50"/>
      <c r="O40594" s="36" t="s">
        <v>48</v>
      </c>
      <c r="R40594" s="36" t="s">
        <v>48</v>
      </c>
    </row>
    <row r="40595">
      <c r="H40595" s="50"/>
      <c r="I40595" s="50"/>
      <c r="O40595" s="36" t="s">
        <v>48</v>
      </c>
      <c r="R40595" s="36" t="s">
        <v>48</v>
      </c>
    </row>
    <row r="40596">
      <c r="H40596" s="50"/>
      <c r="I40596" s="50"/>
      <c r="O40596" s="36" t="s">
        <v>48</v>
      </c>
      <c r="R40596" s="36" t="s">
        <v>48</v>
      </c>
    </row>
    <row r="40597">
      <c r="H40597" s="50"/>
      <c r="I40597" s="50"/>
      <c r="O40597" s="36" t="s">
        <v>48</v>
      </c>
      <c r="R40597" s="36" t="s">
        <v>48</v>
      </c>
    </row>
    <row r="40598">
      <c r="H40598" s="50"/>
      <c r="I40598" s="50"/>
      <c r="O40598" s="36" t="s">
        <v>48</v>
      </c>
      <c r="R40598" s="36" t="s">
        <v>48</v>
      </c>
    </row>
    <row r="40599">
      <c r="H40599" s="50"/>
      <c r="I40599" s="50"/>
      <c r="O40599" s="36" t="s">
        <v>48</v>
      </c>
      <c r="R40599" s="36" t="s">
        <v>48</v>
      </c>
    </row>
    <row r="40600">
      <c r="H40600" s="50"/>
      <c r="I40600" s="50"/>
      <c r="O40600" s="36" t="s">
        <v>48</v>
      </c>
      <c r="R40600" s="36" t="s">
        <v>48</v>
      </c>
    </row>
    <row r="40601">
      <c r="H40601" s="50"/>
      <c r="I40601" s="50"/>
      <c r="O40601" s="36" t="s">
        <v>48</v>
      </c>
      <c r="R40601" s="36" t="s">
        <v>48</v>
      </c>
    </row>
    <row r="40602">
      <c r="H40602" s="50"/>
      <c r="I40602" s="50"/>
      <c r="O40602" s="36" t="s">
        <v>48</v>
      </c>
      <c r="R40602" s="36" t="s">
        <v>48</v>
      </c>
    </row>
    <row r="40603">
      <c r="H40603" s="50"/>
      <c r="I40603" s="50"/>
      <c r="O40603" s="36" t="s">
        <v>48</v>
      </c>
      <c r="R40603" s="36" t="s">
        <v>48</v>
      </c>
    </row>
    <row r="40604">
      <c r="H40604" s="50"/>
      <c r="I40604" s="50"/>
      <c r="O40604" s="36" t="s">
        <v>48</v>
      </c>
      <c r="R40604" s="36" t="s">
        <v>48</v>
      </c>
    </row>
    <row r="40605">
      <c r="H40605" s="50"/>
      <c r="I40605" s="50"/>
      <c r="O40605" s="36" t="s">
        <v>48</v>
      </c>
      <c r="R40605" s="36" t="s">
        <v>48</v>
      </c>
    </row>
    <row r="40606">
      <c r="H40606" s="50"/>
      <c r="I40606" s="50"/>
      <c r="O40606" s="36" t="s">
        <v>48</v>
      </c>
      <c r="R40606" s="36" t="s">
        <v>48</v>
      </c>
    </row>
    <row r="40607">
      <c r="H40607" s="50"/>
      <c r="I40607" s="50"/>
      <c r="O40607" s="36" t="s">
        <v>48</v>
      </c>
      <c r="R40607" s="36" t="s">
        <v>48</v>
      </c>
    </row>
    <row r="40608">
      <c r="H40608" s="50"/>
      <c r="I40608" s="50"/>
      <c r="O40608" s="36" t="s">
        <v>48</v>
      </c>
      <c r="R40608" s="36" t="s">
        <v>48</v>
      </c>
    </row>
    <row r="40609">
      <c r="H40609" s="50"/>
      <c r="I40609" s="50"/>
      <c r="O40609" s="36" t="s">
        <v>48</v>
      </c>
      <c r="R40609" s="36" t="s">
        <v>48</v>
      </c>
    </row>
    <row r="40610">
      <c r="H40610" s="50"/>
      <c r="I40610" s="50"/>
      <c r="O40610" s="36" t="s">
        <v>48</v>
      </c>
      <c r="R40610" s="36" t="s">
        <v>48</v>
      </c>
    </row>
    <row r="40611">
      <c r="H40611" s="50"/>
      <c r="I40611" s="50"/>
      <c r="O40611" s="36" t="s">
        <v>48</v>
      </c>
      <c r="R40611" s="36" t="s">
        <v>48</v>
      </c>
    </row>
    <row r="40612">
      <c r="H40612" s="50"/>
      <c r="I40612" s="50"/>
      <c r="O40612" s="36" t="s">
        <v>48</v>
      </c>
      <c r="R40612" s="36" t="s">
        <v>48</v>
      </c>
    </row>
    <row r="40613">
      <c r="H40613" s="50"/>
      <c r="I40613" s="50"/>
      <c r="O40613" s="36" t="s">
        <v>48</v>
      </c>
      <c r="R40613" s="36" t="s">
        <v>48</v>
      </c>
    </row>
    <row r="40614">
      <c r="H40614" s="50"/>
      <c r="I40614" s="50"/>
      <c r="O40614" s="36" t="s">
        <v>48</v>
      </c>
      <c r="R40614" s="36" t="s">
        <v>48</v>
      </c>
    </row>
    <row r="40615">
      <c r="H40615" s="50"/>
      <c r="I40615" s="50"/>
      <c r="O40615" s="36" t="s">
        <v>48</v>
      </c>
      <c r="R40615" s="36" t="s">
        <v>48</v>
      </c>
    </row>
    <row r="40616">
      <c r="H40616" s="50"/>
      <c r="I40616" s="50"/>
      <c r="O40616" s="36" t="s">
        <v>48</v>
      </c>
      <c r="R40616" s="36" t="s">
        <v>48</v>
      </c>
    </row>
    <row r="40617">
      <c r="H40617" s="50"/>
      <c r="I40617" s="50"/>
      <c r="O40617" s="36" t="s">
        <v>48</v>
      </c>
      <c r="R40617" s="36" t="s">
        <v>48</v>
      </c>
    </row>
    <row r="40618">
      <c r="H40618" s="50"/>
      <c r="I40618" s="50"/>
      <c r="O40618" s="36" t="s">
        <v>48</v>
      </c>
      <c r="R40618" s="36" t="s">
        <v>48</v>
      </c>
    </row>
    <row r="40619">
      <c r="H40619" s="50"/>
      <c r="I40619" s="50"/>
      <c r="O40619" s="36" t="s">
        <v>48</v>
      </c>
      <c r="R40619" s="36" t="s">
        <v>48</v>
      </c>
    </row>
    <row r="40620">
      <c r="H40620" s="50"/>
      <c r="I40620" s="50"/>
      <c r="O40620" s="36" t="s">
        <v>48</v>
      </c>
      <c r="R40620" s="36" t="s">
        <v>48</v>
      </c>
    </row>
    <row r="40621">
      <c r="H40621" s="50"/>
      <c r="I40621" s="50"/>
      <c r="O40621" s="36" t="s">
        <v>48</v>
      </c>
      <c r="R40621" s="36" t="s">
        <v>48</v>
      </c>
    </row>
    <row r="40622">
      <c r="H40622" s="50"/>
      <c r="I40622" s="50"/>
      <c r="O40622" s="36" t="s">
        <v>48</v>
      </c>
      <c r="R40622" s="36" t="s">
        <v>48</v>
      </c>
    </row>
    <row r="40623">
      <c r="H40623" s="50"/>
      <c r="I40623" s="50"/>
      <c r="O40623" s="36" t="s">
        <v>48</v>
      </c>
      <c r="R40623" s="36" t="s">
        <v>48</v>
      </c>
    </row>
    <row r="40624">
      <c r="H40624" s="50"/>
      <c r="I40624" s="50"/>
      <c r="O40624" s="36" t="s">
        <v>48</v>
      </c>
      <c r="R40624" s="36" t="s">
        <v>48</v>
      </c>
    </row>
    <row r="40625">
      <c r="H40625" s="50"/>
      <c r="I40625" s="50"/>
      <c r="O40625" s="36" t="s">
        <v>48</v>
      </c>
      <c r="R40625" s="36" t="s">
        <v>48</v>
      </c>
    </row>
    <row r="40626">
      <c r="H40626" s="50"/>
      <c r="I40626" s="50"/>
      <c r="O40626" s="36" t="s">
        <v>48</v>
      </c>
      <c r="R40626" s="36" t="s">
        <v>48</v>
      </c>
    </row>
    <row r="40627">
      <c r="H40627" s="50"/>
      <c r="I40627" s="50"/>
      <c r="O40627" s="36" t="s">
        <v>48</v>
      </c>
      <c r="R40627" s="36" t="s">
        <v>48</v>
      </c>
    </row>
    <row r="40628">
      <c r="H40628" s="50"/>
      <c r="I40628" s="50"/>
      <c r="O40628" s="36" t="s">
        <v>48</v>
      </c>
      <c r="R40628" s="36" t="s">
        <v>48</v>
      </c>
    </row>
    <row r="40629">
      <c r="H40629" s="50"/>
      <c r="I40629" s="50"/>
      <c r="O40629" s="36" t="s">
        <v>48</v>
      </c>
      <c r="R40629" s="36" t="s">
        <v>48</v>
      </c>
    </row>
    <row r="40630">
      <c r="H40630" s="50"/>
      <c r="I40630" s="50"/>
      <c r="O40630" s="36" t="s">
        <v>48</v>
      </c>
      <c r="R40630" s="36" t="s">
        <v>48</v>
      </c>
    </row>
    <row r="40631">
      <c r="H40631" s="50"/>
      <c r="I40631" s="50"/>
      <c r="O40631" s="36" t="s">
        <v>48</v>
      </c>
      <c r="R40631" s="36" t="s">
        <v>48</v>
      </c>
    </row>
    <row r="40632">
      <c r="H40632" s="50"/>
      <c r="I40632" s="50"/>
      <c r="O40632" s="36" t="s">
        <v>48</v>
      </c>
      <c r="R40632" s="36" t="s">
        <v>48</v>
      </c>
    </row>
    <row r="40633">
      <c r="H40633" s="50"/>
      <c r="I40633" s="50"/>
      <c r="O40633" s="36" t="s">
        <v>48</v>
      </c>
      <c r="R40633" s="36" t="s">
        <v>48</v>
      </c>
    </row>
    <row r="40634">
      <c r="H40634" s="50"/>
      <c r="I40634" s="50"/>
      <c r="O40634" s="36" t="s">
        <v>48</v>
      </c>
      <c r="R40634" s="36" t="s">
        <v>48</v>
      </c>
    </row>
    <row r="40635">
      <c r="H40635" s="50"/>
      <c r="I40635" s="50"/>
      <c r="O40635" s="36" t="s">
        <v>48</v>
      </c>
      <c r="R40635" s="36" t="s">
        <v>48</v>
      </c>
    </row>
    <row r="40636">
      <c r="H40636" s="50"/>
      <c r="I40636" s="50"/>
      <c r="O40636" s="36" t="s">
        <v>48</v>
      </c>
      <c r="R40636" s="36" t="s">
        <v>48</v>
      </c>
    </row>
    <row r="40637">
      <c r="H40637" s="50"/>
      <c r="I40637" s="50"/>
      <c r="O40637" s="36" t="s">
        <v>48</v>
      </c>
      <c r="R40637" s="36" t="s">
        <v>48</v>
      </c>
    </row>
    <row r="40638">
      <c r="H40638" s="50"/>
      <c r="I40638" s="50"/>
      <c r="O40638" s="36" t="s">
        <v>48</v>
      </c>
      <c r="R40638" s="36" t="s">
        <v>48</v>
      </c>
    </row>
    <row r="40639">
      <c r="H40639" s="50"/>
      <c r="I40639" s="50"/>
      <c r="O40639" s="36" t="s">
        <v>48</v>
      </c>
      <c r="R40639" s="36" t="s">
        <v>48</v>
      </c>
    </row>
    <row r="40640">
      <c r="H40640" s="50"/>
      <c r="I40640" s="50"/>
      <c r="O40640" s="36" t="s">
        <v>48</v>
      </c>
      <c r="R40640" s="36" t="s">
        <v>48</v>
      </c>
    </row>
    <row r="40641">
      <c r="H40641" s="50"/>
      <c r="I40641" s="50"/>
      <c r="O40641" s="36" t="s">
        <v>48</v>
      </c>
      <c r="R40641" s="36" t="s">
        <v>48</v>
      </c>
    </row>
    <row r="40642">
      <c r="H40642" s="50"/>
      <c r="I40642" s="50"/>
      <c r="O40642" s="36" t="s">
        <v>48</v>
      </c>
      <c r="R40642" s="36" t="s">
        <v>48</v>
      </c>
    </row>
    <row r="40643">
      <c r="H40643" s="50"/>
      <c r="I40643" s="50"/>
      <c r="O40643" s="36" t="s">
        <v>48</v>
      </c>
      <c r="R40643" s="36" t="s">
        <v>48</v>
      </c>
    </row>
    <row r="40644">
      <c r="H40644" s="50"/>
      <c r="I40644" s="50"/>
      <c r="O40644" s="36" t="s">
        <v>48</v>
      </c>
      <c r="R40644" s="36" t="s">
        <v>48</v>
      </c>
    </row>
    <row r="40645">
      <c r="H40645" s="50"/>
      <c r="I40645" s="50"/>
      <c r="O40645" s="36" t="s">
        <v>48</v>
      </c>
      <c r="R40645" s="36" t="s">
        <v>48</v>
      </c>
    </row>
    <row r="40646">
      <c r="H40646" s="50"/>
      <c r="I40646" s="50"/>
      <c r="O40646" s="36" t="s">
        <v>48</v>
      </c>
      <c r="R40646" s="36" t="s">
        <v>48</v>
      </c>
    </row>
    <row r="40647">
      <c r="H40647" s="50"/>
      <c r="I40647" s="50"/>
      <c r="O40647" s="36" t="s">
        <v>48</v>
      </c>
      <c r="R40647" s="36" t="s">
        <v>48</v>
      </c>
    </row>
    <row r="40648">
      <c r="H40648" s="50"/>
      <c r="I40648" s="50"/>
      <c r="O40648" s="36" t="s">
        <v>48</v>
      </c>
      <c r="R40648" s="36" t="s">
        <v>48</v>
      </c>
    </row>
    <row r="40649">
      <c r="H40649" s="50"/>
      <c r="I40649" s="50"/>
      <c r="O40649" s="36" t="s">
        <v>48</v>
      </c>
      <c r="R40649" s="36" t="s">
        <v>48</v>
      </c>
    </row>
    <row r="40650">
      <c r="H40650" s="50"/>
      <c r="I40650" s="50"/>
      <c r="O40650" s="36" t="s">
        <v>48</v>
      </c>
      <c r="R40650" s="36" t="s">
        <v>48</v>
      </c>
    </row>
    <row r="40651">
      <c r="H40651" s="50"/>
      <c r="I40651" s="50"/>
      <c r="O40651" s="36" t="s">
        <v>48</v>
      </c>
      <c r="R40651" s="36" t="s">
        <v>48</v>
      </c>
    </row>
    <row r="40652">
      <c r="H40652" s="50"/>
      <c r="I40652" s="50"/>
      <c r="O40652" s="36" t="s">
        <v>48</v>
      </c>
      <c r="R40652" s="36" t="s">
        <v>48</v>
      </c>
    </row>
    <row r="40653">
      <c r="H40653" s="50"/>
      <c r="I40653" s="50"/>
      <c r="O40653" s="36" t="s">
        <v>48</v>
      </c>
      <c r="R40653" s="36" t="s">
        <v>48</v>
      </c>
    </row>
    <row r="40654">
      <c r="H40654" s="50"/>
      <c r="I40654" s="50"/>
      <c r="O40654" s="36" t="s">
        <v>48</v>
      </c>
      <c r="R40654" s="36" t="s">
        <v>48</v>
      </c>
    </row>
    <row r="40655">
      <c r="H40655" s="50"/>
      <c r="I40655" s="50"/>
      <c r="O40655" s="36" t="s">
        <v>48</v>
      </c>
      <c r="R40655" s="36" t="s">
        <v>48</v>
      </c>
    </row>
    <row r="40656">
      <c r="H40656" s="50"/>
      <c r="I40656" s="50"/>
      <c r="O40656" s="36" t="s">
        <v>48</v>
      </c>
      <c r="R40656" s="36" t="s">
        <v>48</v>
      </c>
    </row>
    <row r="40657">
      <c r="H40657" s="50"/>
      <c r="I40657" s="50"/>
      <c r="O40657" s="36" t="s">
        <v>48</v>
      </c>
      <c r="R40657" s="36" t="s">
        <v>48</v>
      </c>
    </row>
    <row r="40658">
      <c r="H40658" s="50"/>
      <c r="I40658" s="50"/>
      <c r="O40658" s="36" t="s">
        <v>48</v>
      </c>
      <c r="R40658" s="36" t="s">
        <v>48</v>
      </c>
    </row>
    <row r="40659">
      <c r="H40659" s="50"/>
      <c r="I40659" s="50"/>
      <c r="O40659" s="36" t="s">
        <v>48</v>
      </c>
      <c r="R40659" s="36" t="s">
        <v>48</v>
      </c>
    </row>
    <row r="40660">
      <c r="H40660" s="50"/>
      <c r="I40660" s="50"/>
      <c r="O40660" s="36" t="s">
        <v>48</v>
      </c>
      <c r="R40660" s="36" t="s">
        <v>48</v>
      </c>
    </row>
    <row r="40661">
      <c r="H40661" s="50"/>
      <c r="I40661" s="50"/>
      <c r="O40661" s="36" t="s">
        <v>48</v>
      </c>
      <c r="R40661" s="36" t="s">
        <v>48</v>
      </c>
    </row>
    <row r="40662">
      <c r="H40662" s="50"/>
      <c r="I40662" s="50"/>
      <c r="O40662" s="36" t="s">
        <v>48</v>
      </c>
      <c r="R40662" s="36" t="s">
        <v>48</v>
      </c>
    </row>
    <row r="40663">
      <c r="H40663" s="50"/>
      <c r="I40663" s="50"/>
      <c r="O40663" s="36" t="s">
        <v>48</v>
      </c>
      <c r="R40663" s="36" t="s">
        <v>48</v>
      </c>
    </row>
    <row r="40664">
      <c r="H40664" s="50"/>
      <c r="I40664" s="50"/>
      <c r="O40664" s="36" t="s">
        <v>48</v>
      </c>
      <c r="R40664" s="36" t="s">
        <v>48</v>
      </c>
    </row>
    <row r="40665">
      <c r="H40665" s="50"/>
      <c r="I40665" s="50"/>
      <c r="O40665" s="36" t="s">
        <v>48</v>
      </c>
      <c r="R40665" s="36" t="s">
        <v>48</v>
      </c>
    </row>
    <row r="40666">
      <c r="H40666" s="50"/>
      <c r="I40666" s="50"/>
      <c r="O40666" s="36" t="s">
        <v>48</v>
      </c>
      <c r="R40666" s="36" t="s">
        <v>48</v>
      </c>
    </row>
    <row r="40667">
      <c r="H40667" s="50"/>
      <c r="I40667" s="50"/>
      <c r="O40667" s="36" t="s">
        <v>48</v>
      </c>
      <c r="R40667" s="36" t="s">
        <v>48</v>
      </c>
    </row>
    <row r="40668">
      <c r="H40668" s="50"/>
      <c r="I40668" s="50"/>
      <c r="O40668" s="36" t="s">
        <v>48</v>
      </c>
      <c r="R40668" s="36" t="s">
        <v>48</v>
      </c>
    </row>
    <row r="40669">
      <c r="H40669" s="50"/>
      <c r="I40669" s="50"/>
      <c r="O40669" s="36" t="s">
        <v>48</v>
      </c>
      <c r="R40669" s="36" t="s">
        <v>48</v>
      </c>
    </row>
    <row r="40670">
      <c r="H40670" s="50"/>
      <c r="I40670" s="50"/>
      <c r="O40670" s="36" t="s">
        <v>48</v>
      </c>
      <c r="R40670" s="36" t="s">
        <v>48</v>
      </c>
    </row>
    <row r="40671">
      <c r="H40671" s="50"/>
      <c r="I40671" s="50"/>
      <c r="O40671" s="36" t="s">
        <v>48</v>
      </c>
      <c r="R40671" s="36" t="s">
        <v>48</v>
      </c>
    </row>
    <row r="40672">
      <c r="H40672" s="50"/>
      <c r="I40672" s="50"/>
      <c r="O40672" s="36" t="s">
        <v>48</v>
      </c>
      <c r="R40672" s="36" t="s">
        <v>48</v>
      </c>
    </row>
    <row r="40673">
      <c r="H40673" s="50"/>
      <c r="I40673" s="50"/>
      <c r="O40673" s="36" t="s">
        <v>48</v>
      </c>
      <c r="R40673" s="36" t="s">
        <v>48</v>
      </c>
    </row>
    <row r="40674">
      <c r="H40674" s="50"/>
      <c r="I40674" s="50"/>
      <c r="O40674" s="36" t="s">
        <v>48</v>
      </c>
      <c r="R40674" s="36" t="s">
        <v>48</v>
      </c>
    </row>
    <row r="40675">
      <c r="H40675" s="50"/>
      <c r="I40675" s="50"/>
      <c r="O40675" s="36" t="s">
        <v>48</v>
      </c>
      <c r="R40675" s="36" t="s">
        <v>48</v>
      </c>
    </row>
    <row r="40676">
      <c r="H40676" s="50"/>
      <c r="I40676" s="50"/>
      <c r="O40676" s="36" t="s">
        <v>48</v>
      </c>
      <c r="R40676" s="36" t="s">
        <v>48</v>
      </c>
    </row>
    <row r="40677">
      <c r="H40677" s="50"/>
      <c r="I40677" s="50"/>
      <c r="O40677" s="36" t="s">
        <v>48</v>
      </c>
      <c r="R40677" s="36" t="s">
        <v>48</v>
      </c>
    </row>
    <row r="40678">
      <c r="H40678" s="50"/>
      <c r="I40678" s="50"/>
      <c r="O40678" s="36" t="s">
        <v>48</v>
      </c>
      <c r="R40678" s="36" t="s">
        <v>48</v>
      </c>
    </row>
    <row r="40679">
      <c r="H40679" s="50"/>
      <c r="I40679" s="50"/>
      <c r="O40679" s="36" t="s">
        <v>48</v>
      </c>
      <c r="R40679" s="36" t="s">
        <v>48</v>
      </c>
    </row>
    <row r="40680">
      <c r="H40680" s="50"/>
      <c r="I40680" s="50"/>
      <c r="O40680" s="36" t="s">
        <v>48</v>
      </c>
      <c r="R40680" s="36" t="s">
        <v>48</v>
      </c>
    </row>
    <row r="40681">
      <c r="H40681" s="50"/>
      <c r="I40681" s="50"/>
      <c r="O40681" s="36" t="s">
        <v>48</v>
      </c>
      <c r="R40681" s="36" t="s">
        <v>48</v>
      </c>
    </row>
    <row r="40682">
      <c r="H40682" s="50"/>
      <c r="I40682" s="50"/>
      <c r="O40682" s="36" t="s">
        <v>48</v>
      </c>
      <c r="R40682" s="36" t="s">
        <v>48</v>
      </c>
    </row>
    <row r="40683">
      <c r="H40683" s="50"/>
      <c r="I40683" s="50"/>
      <c r="O40683" s="36" t="s">
        <v>48</v>
      </c>
      <c r="R40683" s="36" t="s">
        <v>48</v>
      </c>
    </row>
    <row r="40684">
      <c r="H40684" s="50"/>
      <c r="I40684" s="50"/>
      <c r="O40684" s="36" t="s">
        <v>48</v>
      </c>
      <c r="R40684" s="36" t="s">
        <v>48</v>
      </c>
    </row>
    <row r="40685">
      <c r="H40685" s="50"/>
      <c r="I40685" s="50"/>
      <c r="O40685" s="36" t="s">
        <v>48</v>
      </c>
      <c r="R40685" s="36" t="s">
        <v>48</v>
      </c>
    </row>
    <row r="40686">
      <c r="H40686" s="50"/>
      <c r="I40686" s="50"/>
      <c r="O40686" s="36" t="s">
        <v>48</v>
      </c>
      <c r="R40686" s="36" t="s">
        <v>48</v>
      </c>
    </row>
    <row r="40687">
      <c r="H40687" s="50"/>
      <c r="I40687" s="50"/>
      <c r="O40687" s="36" t="s">
        <v>48</v>
      </c>
      <c r="R40687" s="36" t="s">
        <v>48</v>
      </c>
    </row>
    <row r="40688">
      <c r="H40688" s="50"/>
      <c r="I40688" s="50"/>
      <c r="O40688" s="36" t="s">
        <v>48</v>
      </c>
      <c r="R40688" s="36" t="s">
        <v>48</v>
      </c>
    </row>
    <row r="40689">
      <c r="H40689" s="50"/>
      <c r="I40689" s="50"/>
      <c r="O40689" s="36" t="s">
        <v>48</v>
      </c>
      <c r="R40689" s="36" t="s">
        <v>48</v>
      </c>
    </row>
    <row r="40690">
      <c r="H40690" s="50"/>
      <c r="I40690" s="50"/>
      <c r="O40690" s="36" t="s">
        <v>48</v>
      </c>
      <c r="R40690" s="36" t="s">
        <v>48</v>
      </c>
    </row>
    <row r="40691">
      <c r="H40691" s="50"/>
      <c r="I40691" s="50"/>
      <c r="O40691" s="36" t="s">
        <v>48</v>
      </c>
      <c r="R40691" s="36" t="s">
        <v>48</v>
      </c>
    </row>
    <row r="40692">
      <c r="H40692" s="50"/>
      <c r="I40692" s="50"/>
      <c r="O40692" s="36" t="s">
        <v>48</v>
      </c>
      <c r="R40692" s="36" t="s">
        <v>48</v>
      </c>
    </row>
    <row r="40693">
      <c r="H40693" s="50"/>
      <c r="I40693" s="50"/>
      <c r="O40693" s="36" t="s">
        <v>48</v>
      </c>
      <c r="R40693" s="36" t="s">
        <v>48</v>
      </c>
    </row>
    <row r="40694">
      <c r="H40694" s="50"/>
      <c r="I40694" s="50"/>
      <c r="O40694" s="36" t="s">
        <v>48</v>
      </c>
      <c r="R40694" s="36" t="s">
        <v>48</v>
      </c>
    </row>
    <row r="40695">
      <c r="H40695" s="50"/>
      <c r="I40695" s="50"/>
      <c r="O40695" s="36" t="s">
        <v>48</v>
      </c>
      <c r="R40695" s="36" t="s">
        <v>48</v>
      </c>
    </row>
    <row r="40696">
      <c r="H40696" s="50"/>
      <c r="I40696" s="50"/>
      <c r="O40696" s="36" t="s">
        <v>48</v>
      </c>
      <c r="R40696" s="36" t="s">
        <v>48</v>
      </c>
    </row>
    <row r="40697">
      <c r="H40697" s="50"/>
      <c r="I40697" s="50"/>
      <c r="O40697" s="36" t="s">
        <v>48</v>
      </c>
      <c r="R40697" s="36" t="s">
        <v>48</v>
      </c>
    </row>
    <row r="40698">
      <c r="H40698" s="50"/>
      <c r="I40698" s="50"/>
      <c r="O40698" s="36" t="s">
        <v>48</v>
      </c>
      <c r="R40698" s="36" t="s">
        <v>48</v>
      </c>
    </row>
    <row r="40699">
      <c r="H40699" s="50"/>
      <c r="I40699" s="50"/>
      <c r="O40699" s="36" t="s">
        <v>48</v>
      </c>
      <c r="R40699" s="36" t="s">
        <v>48</v>
      </c>
    </row>
    <row r="40700">
      <c r="H40700" s="50"/>
      <c r="I40700" s="50"/>
      <c r="O40700" s="36" t="s">
        <v>48</v>
      </c>
      <c r="R40700" s="36" t="s">
        <v>48</v>
      </c>
    </row>
    <row r="40701">
      <c r="H40701" s="50"/>
      <c r="I40701" s="50"/>
      <c r="O40701" s="36" t="s">
        <v>48</v>
      </c>
      <c r="R40701" s="36" t="s">
        <v>48</v>
      </c>
    </row>
    <row r="40702">
      <c r="H40702" s="50"/>
      <c r="I40702" s="50"/>
      <c r="O40702" s="36" t="s">
        <v>48</v>
      </c>
      <c r="R40702" s="36" t="s">
        <v>48</v>
      </c>
    </row>
    <row r="40703">
      <c r="H40703" s="50"/>
      <c r="I40703" s="50"/>
      <c r="O40703" s="36" t="s">
        <v>48</v>
      </c>
      <c r="R40703" s="36" t="s">
        <v>48</v>
      </c>
    </row>
    <row r="40704">
      <c r="H40704" s="50"/>
      <c r="I40704" s="50"/>
      <c r="O40704" s="36" t="s">
        <v>48</v>
      </c>
      <c r="R40704" s="36" t="s">
        <v>48</v>
      </c>
    </row>
    <row r="40705">
      <c r="H40705" s="50"/>
      <c r="I40705" s="50"/>
      <c r="O40705" s="36" t="s">
        <v>48</v>
      </c>
      <c r="R40705" s="36" t="s">
        <v>48</v>
      </c>
    </row>
    <row r="40706">
      <c r="H40706" s="50"/>
      <c r="I40706" s="50"/>
      <c r="O40706" s="36" t="s">
        <v>48</v>
      </c>
      <c r="R40706" s="36" t="s">
        <v>48</v>
      </c>
    </row>
    <row r="40707">
      <c r="H40707" s="50"/>
      <c r="I40707" s="50"/>
      <c r="O40707" s="36" t="s">
        <v>48</v>
      </c>
      <c r="R40707" s="36" t="s">
        <v>48</v>
      </c>
    </row>
    <row r="40708">
      <c r="H40708" s="50"/>
      <c r="I40708" s="50"/>
      <c r="O40708" s="36" t="s">
        <v>48</v>
      </c>
      <c r="R40708" s="36" t="s">
        <v>48</v>
      </c>
    </row>
    <row r="40709">
      <c r="H40709" s="50"/>
      <c r="I40709" s="50"/>
      <c r="O40709" s="36" t="s">
        <v>48</v>
      </c>
      <c r="R40709" s="36" t="s">
        <v>48</v>
      </c>
    </row>
    <row r="40710">
      <c r="H40710" s="50"/>
      <c r="I40710" s="50"/>
      <c r="O40710" s="36" t="s">
        <v>48</v>
      </c>
      <c r="R40710" s="36" t="s">
        <v>48</v>
      </c>
    </row>
    <row r="40711">
      <c r="H40711" s="50"/>
      <c r="I40711" s="50"/>
      <c r="O40711" s="36" t="s">
        <v>48</v>
      </c>
      <c r="R40711" s="36" t="s">
        <v>48</v>
      </c>
    </row>
    <row r="40712">
      <c r="H40712" s="50"/>
      <c r="I40712" s="50"/>
      <c r="O40712" s="36" t="s">
        <v>48</v>
      </c>
      <c r="R40712" s="36" t="s">
        <v>48</v>
      </c>
    </row>
    <row r="40713">
      <c r="H40713" s="50"/>
      <c r="I40713" s="50"/>
      <c r="O40713" s="36" t="s">
        <v>48</v>
      </c>
      <c r="R40713" s="36" t="s">
        <v>48</v>
      </c>
    </row>
    <row r="40714">
      <c r="H40714" s="50"/>
      <c r="I40714" s="50"/>
      <c r="O40714" s="36" t="s">
        <v>48</v>
      </c>
      <c r="R40714" s="36" t="s">
        <v>48</v>
      </c>
    </row>
    <row r="40715">
      <c r="H40715" s="50"/>
      <c r="I40715" s="50"/>
      <c r="O40715" s="36" t="s">
        <v>48</v>
      </c>
      <c r="R40715" s="36" t="s">
        <v>48</v>
      </c>
    </row>
    <row r="40716">
      <c r="H40716" s="50"/>
      <c r="I40716" s="50"/>
      <c r="O40716" s="36" t="s">
        <v>48</v>
      </c>
      <c r="R40716" s="36" t="s">
        <v>48</v>
      </c>
    </row>
    <row r="40717">
      <c r="H40717" s="50"/>
      <c r="I40717" s="50"/>
      <c r="O40717" s="36" t="s">
        <v>48</v>
      </c>
      <c r="R40717" s="36" t="s">
        <v>48</v>
      </c>
    </row>
    <row r="40718">
      <c r="H40718" s="50"/>
      <c r="I40718" s="50"/>
      <c r="O40718" s="36" t="s">
        <v>48</v>
      </c>
      <c r="R40718" s="36" t="s">
        <v>48</v>
      </c>
    </row>
    <row r="40719">
      <c r="H40719" s="50"/>
      <c r="I40719" s="50"/>
      <c r="O40719" s="36" t="s">
        <v>48</v>
      </c>
      <c r="R40719" s="36" t="s">
        <v>48</v>
      </c>
    </row>
    <row r="40720">
      <c r="H40720" s="50"/>
      <c r="I40720" s="50"/>
      <c r="O40720" s="36" t="s">
        <v>48</v>
      </c>
      <c r="R40720" s="36" t="s">
        <v>48</v>
      </c>
    </row>
    <row r="40721">
      <c r="H40721" s="50"/>
      <c r="I40721" s="50"/>
      <c r="O40721" s="36" t="s">
        <v>48</v>
      </c>
      <c r="R40721" s="36" t="s">
        <v>48</v>
      </c>
    </row>
    <row r="40722">
      <c r="H40722" s="50"/>
      <c r="I40722" s="50"/>
      <c r="O40722" s="36" t="s">
        <v>48</v>
      </c>
      <c r="R40722" s="36" t="s">
        <v>48</v>
      </c>
    </row>
    <row r="40723">
      <c r="H40723" s="50"/>
      <c r="I40723" s="50"/>
      <c r="O40723" s="36" t="s">
        <v>48</v>
      </c>
      <c r="R40723" s="36" t="s">
        <v>48</v>
      </c>
    </row>
    <row r="40724">
      <c r="H40724" s="50"/>
      <c r="I40724" s="50"/>
      <c r="O40724" s="36" t="s">
        <v>48</v>
      </c>
      <c r="R40724" s="36" t="s">
        <v>48</v>
      </c>
    </row>
    <row r="40725">
      <c r="H40725" s="50"/>
      <c r="I40725" s="50"/>
      <c r="O40725" s="36" t="s">
        <v>48</v>
      </c>
      <c r="R40725" s="36" t="s">
        <v>48</v>
      </c>
    </row>
    <row r="40726">
      <c r="H40726" s="50"/>
      <c r="I40726" s="50"/>
      <c r="O40726" s="36" t="s">
        <v>48</v>
      </c>
      <c r="R40726" s="36" t="s">
        <v>48</v>
      </c>
    </row>
    <row r="40727">
      <c r="H40727" s="50"/>
      <c r="I40727" s="50"/>
      <c r="O40727" s="36" t="s">
        <v>48</v>
      </c>
      <c r="R40727" s="36" t="s">
        <v>48</v>
      </c>
    </row>
    <row r="40728">
      <c r="H40728" s="50"/>
      <c r="I40728" s="50"/>
      <c r="O40728" s="36" t="s">
        <v>48</v>
      </c>
      <c r="R40728" s="36" t="s">
        <v>48</v>
      </c>
    </row>
    <row r="40729">
      <c r="H40729" s="50"/>
      <c r="I40729" s="50"/>
      <c r="O40729" s="36" t="s">
        <v>48</v>
      </c>
      <c r="R40729" s="36" t="s">
        <v>48</v>
      </c>
    </row>
    <row r="40730">
      <c r="H40730" s="50"/>
      <c r="I40730" s="50"/>
      <c r="O40730" s="36" t="s">
        <v>48</v>
      </c>
      <c r="R40730" s="36" t="s">
        <v>48</v>
      </c>
    </row>
    <row r="40731">
      <c r="H40731" s="50"/>
      <c r="I40731" s="50"/>
      <c r="O40731" s="36" t="s">
        <v>48</v>
      </c>
      <c r="R40731" s="36" t="s">
        <v>48</v>
      </c>
    </row>
    <row r="40732">
      <c r="H40732" s="50"/>
      <c r="I40732" s="50"/>
      <c r="O40732" s="36" t="s">
        <v>48</v>
      </c>
      <c r="R40732" s="36" t="s">
        <v>48</v>
      </c>
    </row>
    <row r="40733">
      <c r="H40733" s="50"/>
      <c r="I40733" s="50"/>
      <c r="O40733" s="36" t="s">
        <v>48</v>
      </c>
      <c r="R40733" s="36" t="s">
        <v>48</v>
      </c>
    </row>
    <row r="40734">
      <c r="H40734" s="50"/>
      <c r="I40734" s="50"/>
      <c r="O40734" s="36" t="s">
        <v>48</v>
      </c>
      <c r="R40734" s="36" t="s">
        <v>48</v>
      </c>
    </row>
    <row r="40735">
      <c r="H40735" s="50"/>
      <c r="I40735" s="50"/>
      <c r="O40735" s="36" t="s">
        <v>48</v>
      </c>
      <c r="R40735" s="36" t="s">
        <v>48</v>
      </c>
    </row>
    <row r="40736">
      <c r="H40736" s="50"/>
      <c r="I40736" s="50"/>
      <c r="O40736" s="36" t="s">
        <v>48</v>
      </c>
      <c r="R40736" s="36" t="s">
        <v>48</v>
      </c>
    </row>
    <row r="40737">
      <c r="H40737" s="50"/>
      <c r="I40737" s="50"/>
      <c r="O40737" s="36" t="s">
        <v>48</v>
      </c>
      <c r="R40737" s="36" t="s">
        <v>48</v>
      </c>
    </row>
    <row r="40738">
      <c r="H40738" s="50"/>
      <c r="I40738" s="50"/>
      <c r="O40738" s="36" t="s">
        <v>48</v>
      </c>
      <c r="R40738" s="36" t="s">
        <v>48</v>
      </c>
    </row>
    <row r="40739">
      <c r="H40739" s="50"/>
      <c r="I40739" s="50"/>
      <c r="O40739" s="36" t="s">
        <v>48</v>
      </c>
      <c r="R40739" s="36" t="s">
        <v>48</v>
      </c>
    </row>
    <row r="40740">
      <c r="H40740" s="50"/>
      <c r="I40740" s="50"/>
      <c r="O40740" s="36" t="s">
        <v>48</v>
      </c>
      <c r="R40740" s="36" t="s">
        <v>48</v>
      </c>
    </row>
    <row r="40741">
      <c r="H40741" s="50"/>
      <c r="I40741" s="50"/>
      <c r="O40741" s="36" t="s">
        <v>48</v>
      </c>
      <c r="R40741" s="36" t="s">
        <v>48</v>
      </c>
    </row>
    <row r="40742">
      <c r="H40742" s="50"/>
      <c r="I40742" s="50"/>
      <c r="O40742" s="36" t="s">
        <v>48</v>
      </c>
      <c r="R40742" s="36" t="s">
        <v>48</v>
      </c>
    </row>
    <row r="40743">
      <c r="H40743" s="50"/>
      <c r="I40743" s="50"/>
      <c r="O40743" s="36" t="s">
        <v>48</v>
      </c>
      <c r="R40743" s="36" t="s">
        <v>48</v>
      </c>
    </row>
    <row r="40744">
      <c r="H40744" s="50"/>
      <c r="I40744" s="50"/>
      <c r="O40744" s="36" t="s">
        <v>48</v>
      </c>
      <c r="R40744" s="36" t="s">
        <v>48</v>
      </c>
    </row>
    <row r="40745">
      <c r="H40745" s="50"/>
      <c r="I40745" s="50"/>
      <c r="O40745" s="36" t="s">
        <v>48</v>
      </c>
      <c r="R40745" s="36" t="s">
        <v>48</v>
      </c>
    </row>
    <row r="40746">
      <c r="H40746" s="50"/>
      <c r="I40746" s="50"/>
      <c r="O40746" s="36" t="s">
        <v>48</v>
      </c>
      <c r="R40746" s="36" t="s">
        <v>48</v>
      </c>
    </row>
    <row r="40747">
      <c r="H40747" s="50"/>
      <c r="I40747" s="50"/>
      <c r="O40747" s="36" t="s">
        <v>48</v>
      </c>
      <c r="R40747" s="36" t="s">
        <v>48</v>
      </c>
    </row>
    <row r="40748">
      <c r="H40748" s="50"/>
      <c r="I40748" s="50"/>
      <c r="O40748" s="36" t="s">
        <v>48</v>
      </c>
      <c r="R40748" s="36" t="s">
        <v>48</v>
      </c>
    </row>
    <row r="40749">
      <c r="H40749" s="50"/>
      <c r="I40749" s="50"/>
      <c r="O40749" s="36" t="s">
        <v>48</v>
      </c>
      <c r="R40749" s="36" t="s">
        <v>48</v>
      </c>
    </row>
    <row r="40750">
      <c r="H40750" s="50"/>
      <c r="I40750" s="50"/>
      <c r="O40750" s="36" t="s">
        <v>48</v>
      </c>
      <c r="R40750" s="36" t="s">
        <v>48</v>
      </c>
    </row>
    <row r="40751">
      <c r="H40751" s="50"/>
      <c r="I40751" s="50"/>
      <c r="O40751" s="36" t="s">
        <v>48</v>
      </c>
      <c r="R40751" s="36" t="s">
        <v>48</v>
      </c>
    </row>
    <row r="40752">
      <c r="H40752" s="50"/>
      <c r="I40752" s="50"/>
      <c r="O40752" s="36" t="s">
        <v>48</v>
      </c>
      <c r="R40752" s="36" t="s">
        <v>48</v>
      </c>
    </row>
    <row r="40753">
      <c r="H40753" s="50"/>
      <c r="I40753" s="50"/>
      <c r="O40753" s="36" t="s">
        <v>48</v>
      </c>
      <c r="R40753" s="36" t="s">
        <v>48</v>
      </c>
    </row>
    <row r="40754">
      <c r="H40754" s="50"/>
      <c r="I40754" s="50"/>
      <c r="O40754" s="36" t="s">
        <v>48</v>
      </c>
      <c r="R40754" s="36" t="s">
        <v>48</v>
      </c>
    </row>
    <row r="40755">
      <c r="H40755" s="50"/>
      <c r="I40755" s="50"/>
      <c r="O40755" s="36" t="s">
        <v>48</v>
      </c>
      <c r="R40755" s="36" t="s">
        <v>48</v>
      </c>
    </row>
    <row r="40756">
      <c r="H40756" s="50"/>
      <c r="I40756" s="50"/>
      <c r="O40756" s="36" t="s">
        <v>48</v>
      </c>
      <c r="R40756" s="36" t="s">
        <v>48</v>
      </c>
    </row>
    <row r="40757">
      <c r="H40757" s="50"/>
      <c r="I40757" s="50"/>
      <c r="O40757" s="36" t="s">
        <v>48</v>
      </c>
      <c r="R40757" s="36" t="s">
        <v>48</v>
      </c>
    </row>
    <row r="40758">
      <c r="H40758" s="50"/>
      <c r="I40758" s="50"/>
      <c r="O40758" s="36" t="s">
        <v>48</v>
      </c>
      <c r="R40758" s="36" t="s">
        <v>48</v>
      </c>
    </row>
    <row r="40759">
      <c r="H40759" s="50"/>
      <c r="I40759" s="50"/>
      <c r="O40759" s="36" t="s">
        <v>48</v>
      </c>
      <c r="R40759" s="36" t="s">
        <v>48</v>
      </c>
    </row>
    <row r="40760">
      <c r="H40760" s="50"/>
      <c r="I40760" s="50"/>
      <c r="O40760" s="36" t="s">
        <v>48</v>
      </c>
      <c r="R40760" s="36" t="s">
        <v>48</v>
      </c>
    </row>
    <row r="40761">
      <c r="H40761" s="50"/>
      <c r="I40761" s="50"/>
      <c r="O40761" s="36" t="s">
        <v>48</v>
      </c>
      <c r="R40761" s="36" t="s">
        <v>48</v>
      </c>
    </row>
    <row r="40762">
      <c r="H40762" s="50"/>
      <c r="I40762" s="50"/>
      <c r="O40762" s="36" t="s">
        <v>48</v>
      </c>
      <c r="R40762" s="36" t="s">
        <v>48</v>
      </c>
    </row>
    <row r="40763">
      <c r="H40763" s="50"/>
      <c r="I40763" s="50"/>
      <c r="O40763" s="36" t="s">
        <v>48</v>
      </c>
      <c r="R40763" s="36" t="s">
        <v>48</v>
      </c>
    </row>
    <row r="40764">
      <c r="H40764" s="50"/>
      <c r="I40764" s="50"/>
      <c r="O40764" s="36" t="s">
        <v>48</v>
      </c>
      <c r="R40764" s="36" t="s">
        <v>48</v>
      </c>
    </row>
    <row r="40765">
      <c r="H40765" s="50"/>
      <c r="I40765" s="50"/>
      <c r="O40765" s="36" t="s">
        <v>48</v>
      </c>
      <c r="R40765" s="36" t="s">
        <v>48</v>
      </c>
    </row>
    <row r="40766">
      <c r="H40766" s="50"/>
      <c r="I40766" s="50"/>
      <c r="O40766" s="36" t="s">
        <v>48</v>
      </c>
      <c r="R40766" s="36" t="s">
        <v>48</v>
      </c>
    </row>
    <row r="40767">
      <c r="H40767" s="50"/>
      <c r="I40767" s="50"/>
      <c r="O40767" s="36" t="s">
        <v>48</v>
      </c>
      <c r="R40767" s="36" t="s">
        <v>48</v>
      </c>
    </row>
    <row r="40768">
      <c r="H40768" s="50"/>
      <c r="I40768" s="50"/>
      <c r="O40768" s="36" t="s">
        <v>48</v>
      </c>
      <c r="R40768" s="36" t="s">
        <v>48</v>
      </c>
    </row>
    <row r="40769">
      <c r="H40769" s="50"/>
      <c r="I40769" s="50"/>
      <c r="O40769" s="36" t="s">
        <v>48</v>
      </c>
      <c r="R40769" s="36" t="s">
        <v>48</v>
      </c>
    </row>
    <row r="40770">
      <c r="H40770" s="50"/>
      <c r="I40770" s="50"/>
      <c r="O40770" s="36" t="s">
        <v>48</v>
      </c>
      <c r="R40770" s="36" t="s">
        <v>48</v>
      </c>
    </row>
    <row r="40771">
      <c r="H40771" s="50"/>
      <c r="I40771" s="50"/>
      <c r="O40771" s="36" t="s">
        <v>48</v>
      </c>
      <c r="R40771" s="36" t="s">
        <v>48</v>
      </c>
    </row>
    <row r="40772">
      <c r="H40772" s="50"/>
      <c r="I40772" s="50"/>
      <c r="O40772" s="36" t="s">
        <v>48</v>
      </c>
      <c r="R40772" s="36" t="s">
        <v>48</v>
      </c>
    </row>
    <row r="40773">
      <c r="H40773" s="50"/>
      <c r="I40773" s="50"/>
      <c r="O40773" s="36" t="s">
        <v>48</v>
      </c>
      <c r="R40773" s="36" t="s">
        <v>48</v>
      </c>
    </row>
    <row r="40774">
      <c r="H40774" s="50"/>
      <c r="I40774" s="50"/>
      <c r="O40774" s="36" t="s">
        <v>48</v>
      </c>
      <c r="R40774" s="36" t="s">
        <v>48</v>
      </c>
    </row>
    <row r="40775">
      <c r="H40775" s="50"/>
      <c r="I40775" s="50"/>
      <c r="O40775" s="36" t="s">
        <v>48</v>
      </c>
      <c r="R40775" s="36" t="s">
        <v>48</v>
      </c>
    </row>
    <row r="40776">
      <c r="H40776" s="50"/>
      <c r="I40776" s="50"/>
      <c r="O40776" s="36" t="s">
        <v>48</v>
      </c>
      <c r="R40776" s="36" t="s">
        <v>48</v>
      </c>
    </row>
    <row r="40777">
      <c r="H40777" s="50"/>
      <c r="I40777" s="50"/>
      <c r="O40777" s="36" t="s">
        <v>48</v>
      </c>
      <c r="R40777" s="36" t="s">
        <v>48</v>
      </c>
    </row>
    <row r="40778">
      <c r="H40778" s="50"/>
      <c r="I40778" s="50"/>
      <c r="O40778" s="36" t="s">
        <v>48</v>
      </c>
      <c r="R40778" s="36" t="s">
        <v>48</v>
      </c>
    </row>
    <row r="40779">
      <c r="H40779" s="50"/>
      <c r="I40779" s="50"/>
      <c r="O40779" s="36" t="s">
        <v>48</v>
      </c>
      <c r="R40779" s="36" t="s">
        <v>48</v>
      </c>
    </row>
    <row r="40780">
      <c r="H40780" s="50"/>
      <c r="I40780" s="50"/>
      <c r="O40780" s="36" t="s">
        <v>48</v>
      </c>
      <c r="R40780" s="36" t="s">
        <v>48</v>
      </c>
    </row>
    <row r="40781">
      <c r="H40781" s="50"/>
      <c r="I40781" s="50"/>
      <c r="O40781" s="36" t="s">
        <v>48</v>
      </c>
      <c r="R40781" s="36" t="s">
        <v>48</v>
      </c>
    </row>
    <row r="40782">
      <c r="H40782" s="50"/>
      <c r="I40782" s="50"/>
      <c r="O40782" s="36" t="s">
        <v>48</v>
      </c>
      <c r="R40782" s="36" t="s">
        <v>48</v>
      </c>
    </row>
    <row r="40783">
      <c r="H40783" s="50"/>
      <c r="I40783" s="50"/>
      <c r="O40783" s="36" t="s">
        <v>48</v>
      </c>
      <c r="R40783" s="36" t="s">
        <v>48</v>
      </c>
    </row>
    <row r="40784">
      <c r="H40784" s="50"/>
      <c r="I40784" s="50"/>
      <c r="O40784" s="36" t="s">
        <v>48</v>
      </c>
      <c r="R40784" s="36" t="s">
        <v>48</v>
      </c>
    </row>
    <row r="40785">
      <c r="H40785" s="50"/>
      <c r="I40785" s="50"/>
      <c r="O40785" s="36" t="s">
        <v>48</v>
      </c>
      <c r="R40785" s="36" t="s">
        <v>48</v>
      </c>
    </row>
    <row r="40786">
      <c r="H40786" s="50"/>
      <c r="I40786" s="50"/>
      <c r="O40786" s="36" t="s">
        <v>48</v>
      </c>
      <c r="R40786" s="36" t="s">
        <v>48</v>
      </c>
    </row>
    <row r="40787">
      <c r="H40787" s="50"/>
      <c r="I40787" s="50"/>
      <c r="O40787" s="36" t="s">
        <v>48</v>
      </c>
      <c r="R40787" s="36" t="s">
        <v>48</v>
      </c>
    </row>
    <row r="40788">
      <c r="H40788" s="50"/>
      <c r="I40788" s="50"/>
      <c r="O40788" s="36" t="s">
        <v>48</v>
      </c>
      <c r="R40788" s="36" t="s">
        <v>48</v>
      </c>
    </row>
    <row r="40789">
      <c r="H40789" s="50"/>
      <c r="I40789" s="50"/>
      <c r="O40789" s="36" t="s">
        <v>48</v>
      </c>
      <c r="R40789" s="36" t="s">
        <v>48</v>
      </c>
    </row>
    <row r="40790">
      <c r="H40790" s="50"/>
      <c r="I40790" s="50"/>
      <c r="O40790" s="36" t="s">
        <v>48</v>
      </c>
      <c r="R40790" s="36" t="s">
        <v>48</v>
      </c>
    </row>
    <row r="40791">
      <c r="H40791" s="50"/>
      <c r="I40791" s="50"/>
      <c r="O40791" s="36" t="s">
        <v>48</v>
      </c>
      <c r="R40791" s="36" t="s">
        <v>48</v>
      </c>
    </row>
    <row r="40792">
      <c r="H40792" s="50"/>
      <c r="I40792" s="50"/>
      <c r="O40792" s="36" t="s">
        <v>48</v>
      </c>
      <c r="R40792" s="36" t="s">
        <v>48</v>
      </c>
    </row>
    <row r="40793">
      <c r="H40793" s="50"/>
      <c r="I40793" s="50"/>
      <c r="O40793" s="36" t="s">
        <v>48</v>
      </c>
      <c r="R40793" s="36" t="s">
        <v>48</v>
      </c>
    </row>
    <row r="40794">
      <c r="H40794" s="50"/>
      <c r="I40794" s="50"/>
      <c r="O40794" s="36" t="s">
        <v>48</v>
      </c>
      <c r="R40794" s="36" t="s">
        <v>48</v>
      </c>
    </row>
    <row r="40795">
      <c r="H40795" s="50"/>
      <c r="I40795" s="50"/>
      <c r="O40795" s="36" t="s">
        <v>48</v>
      </c>
      <c r="R40795" s="36" t="s">
        <v>48</v>
      </c>
    </row>
    <row r="40796">
      <c r="H40796" s="50"/>
      <c r="I40796" s="50"/>
      <c r="O40796" s="36" t="s">
        <v>48</v>
      </c>
      <c r="R40796" s="36" t="s">
        <v>48</v>
      </c>
    </row>
    <row r="40797">
      <c r="H40797" s="50"/>
      <c r="I40797" s="50"/>
      <c r="O40797" s="36" t="s">
        <v>48</v>
      </c>
      <c r="R40797" s="36" t="s">
        <v>48</v>
      </c>
    </row>
    <row r="40798">
      <c r="H40798" s="50"/>
      <c r="I40798" s="50"/>
      <c r="O40798" s="36" t="s">
        <v>48</v>
      </c>
      <c r="R40798" s="36" t="s">
        <v>48</v>
      </c>
    </row>
    <row r="40799">
      <c r="H40799" s="50"/>
      <c r="I40799" s="50"/>
      <c r="O40799" s="36" t="s">
        <v>48</v>
      </c>
      <c r="R40799" s="36" t="s">
        <v>48</v>
      </c>
    </row>
    <row r="40800">
      <c r="H40800" s="50"/>
      <c r="I40800" s="50"/>
      <c r="O40800" s="36" t="s">
        <v>48</v>
      </c>
      <c r="R40800" s="36" t="s">
        <v>48</v>
      </c>
    </row>
    <row r="40801">
      <c r="H40801" s="50"/>
      <c r="I40801" s="50"/>
      <c r="O40801" s="36" t="s">
        <v>48</v>
      </c>
      <c r="R40801" s="36" t="s">
        <v>48</v>
      </c>
    </row>
    <row r="40802">
      <c r="H40802" s="50"/>
      <c r="I40802" s="50"/>
      <c r="O40802" s="36" t="s">
        <v>48</v>
      </c>
      <c r="R40802" s="36" t="s">
        <v>48</v>
      </c>
    </row>
    <row r="40803">
      <c r="H40803" s="50"/>
      <c r="I40803" s="50"/>
      <c r="O40803" s="36" t="s">
        <v>48</v>
      </c>
      <c r="R40803" s="36" t="s">
        <v>48</v>
      </c>
    </row>
    <row r="40804">
      <c r="H40804" s="50"/>
      <c r="I40804" s="50"/>
      <c r="O40804" s="36" t="s">
        <v>48</v>
      </c>
      <c r="R40804" s="36" t="s">
        <v>48</v>
      </c>
    </row>
    <row r="40805">
      <c r="H40805" s="50"/>
      <c r="I40805" s="50"/>
      <c r="O40805" s="36" t="s">
        <v>48</v>
      </c>
      <c r="R40805" s="36" t="s">
        <v>48</v>
      </c>
    </row>
    <row r="40806">
      <c r="H40806" s="50"/>
      <c r="I40806" s="50"/>
      <c r="O40806" s="36" t="s">
        <v>48</v>
      </c>
      <c r="R40806" s="36" t="s">
        <v>48</v>
      </c>
    </row>
    <row r="40807">
      <c r="H40807" s="50"/>
      <c r="I40807" s="50"/>
      <c r="O40807" s="36" t="s">
        <v>48</v>
      </c>
      <c r="R40807" s="36" t="s">
        <v>48</v>
      </c>
    </row>
    <row r="40808">
      <c r="H40808" s="50"/>
      <c r="I40808" s="50"/>
      <c r="O40808" s="36" t="s">
        <v>48</v>
      </c>
      <c r="R40808" s="36" t="s">
        <v>48</v>
      </c>
    </row>
    <row r="40809">
      <c r="H40809" s="50"/>
      <c r="I40809" s="50"/>
      <c r="O40809" s="36" t="s">
        <v>48</v>
      </c>
      <c r="R40809" s="36" t="s">
        <v>48</v>
      </c>
    </row>
    <row r="40810">
      <c r="H40810" s="50"/>
      <c r="I40810" s="50"/>
      <c r="O40810" s="36" t="s">
        <v>48</v>
      </c>
      <c r="R40810" s="36" t="s">
        <v>48</v>
      </c>
    </row>
    <row r="40811">
      <c r="H40811" s="50"/>
      <c r="I40811" s="50"/>
      <c r="O40811" s="36" t="s">
        <v>48</v>
      </c>
      <c r="R40811" s="36" t="s">
        <v>48</v>
      </c>
    </row>
    <row r="40812">
      <c r="H40812" s="50"/>
      <c r="I40812" s="50"/>
      <c r="O40812" s="36" t="s">
        <v>48</v>
      </c>
      <c r="R40812" s="36" t="s">
        <v>48</v>
      </c>
    </row>
    <row r="40813">
      <c r="H40813" s="50"/>
      <c r="I40813" s="50"/>
      <c r="O40813" s="36" t="s">
        <v>48</v>
      </c>
      <c r="R40813" s="36" t="s">
        <v>48</v>
      </c>
    </row>
    <row r="40814">
      <c r="H40814" s="50"/>
      <c r="I40814" s="50"/>
      <c r="O40814" s="36" t="s">
        <v>48</v>
      </c>
      <c r="R40814" s="36" t="s">
        <v>48</v>
      </c>
    </row>
    <row r="40815">
      <c r="H40815" s="50"/>
      <c r="I40815" s="50"/>
      <c r="O40815" s="36" t="s">
        <v>48</v>
      </c>
      <c r="R40815" s="36" t="s">
        <v>48</v>
      </c>
    </row>
    <row r="40816">
      <c r="H40816" s="50"/>
      <c r="I40816" s="50"/>
      <c r="O40816" s="36" t="s">
        <v>48</v>
      </c>
      <c r="R40816" s="36" t="s">
        <v>48</v>
      </c>
    </row>
    <row r="40817">
      <c r="H40817" s="50"/>
      <c r="I40817" s="50"/>
      <c r="O40817" s="36" t="s">
        <v>48</v>
      </c>
      <c r="R40817" s="36" t="s">
        <v>48</v>
      </c>
    </row>
    <row r="40818">
      <c r="H40818" s="50"/>
      <c r="I40818" s="50"/>
      <c r="O40818" s="36" t="s">
        <v>48</v>
      </c>
      <c r="R40818" s="36" t="s">
        <v>48</v>
      </c>
    </row>
    <row r="40819">
      <c r="H40819" s="50"/>
      <c r="I40819" s="50"/>
      <c r="O40819" s="36" t="s">
        <v>48</v>
      </c>
      <c r="R40819" s="36" t="s">
        <v>48</v>
      </c>
    </row>
    <row r="40820">
      <c r="H40820" s="50"/>
      <c r="I40820" s="50"/>
      <c r="O40820" s="36" t="s">
        <v>48</v>
      </c>
      <c r="R40820" s="36" t="s">
        <v>48</v>
      </c>
    </row>
    <row r="40821">
      <c r="H40821" s="50"/>
      <c r="I40821" s="50"/>
      <c r="O40821" s="36" t="s">
        <v>48</v>
      </c>
      <c r="R40821" s="36" t="s">
        <v>48</v>
      </c>
    </row>
    <row r="40822">
      <c r="H40822" s="50"/>
      <c r="I40822" s="50"/>
      <c r="O40822" s="36" t="s">
        <v>48</v>
      </c>
      <c r="R40822" s="36" t="s">
        <v>48</v>
      </c>
    </row>
    <row r="40823">
      <c r="H40823" s="50"/>
      <c r="I40823" s="50"/>
      <c r="O40823" s="36" t="s">
        <v>48</v>
      </c>
      <c r="R40823" s="36" t="s">
        <v>48</v>
      </c>
    </row>
    <row r="40824">
      <c r="H40824" s="50"/>
      <c r="I40824" s="50"/>
      <c r="O40824" s="36" t="s">
        <v>48</v>
      </c>
      <c r="R40824" s="36" t="s">
        <v>48</v>
      </c>
    </row>
    <row r="40825">
      <c r="H40825" s="50"/>
      <c r="I40825" s="50"/>
      <c r="O40825" s="36" t="s">
        <v>48</v>
      </c>
      <c r="R40825" s="36" t="s">
        <v>48</v>
      </c>
    </row>
    <row r="40826">
      <c r="H40826" s="50"/>
      <c r="I40826" s="50"/>
      <c r="O40826" s="36" t="s">
        <v>48</v>
      </c>
      <c r="R40826" s="36" t="s">
        <v>48</v>
      </c>
    </row>
    <row r="40827">
      <c r="H40827" s="50"/>
      <c r="I40827" s="50"/>
      <c r="O40827" s="36" t="s">
        <v>48</v>
      </c>
      <c r="R40827" s="36" t="s">
        <v>48</v>
      </c>
    </row>
    <row r="40828">
      <c r="H40828" s="50"/>
      <c r="I40828" s="50"/>
      <c r="O40828" s="36" t="s">
        <v>48</v>
      </c>
      <c r="R40828" s="36" t="s">
        <v>48</v>
      </c>
    </row>
    <row r="40829">
      <c r="H40829" s="50"/>
      <c r="I40829" s="50"/>
      <c r="O40829" s="36" t="s">
        <v>48</v>
      </c>
      <c r="R40829" s="36" t="s">
        <v>48</v>
      </c>
    </row>
    <row r="40830">
      <c r="H40830" s="50"/>
      <c r="I40830" s="50"/>
      <c r="O40830" s="36" t="s">
        <v>48</v>
      </c>
      <c r="R40830" s="36" t="s">
        <v>48</v>
      </c>
    </row>
    <row r="40831">
      <c r="H40831" s="50"/>
      <c r="I40831" s="50"/>
      <c r="O40831" s="36" t="s">
        <v>48</v>
      </c>
      <c r="R40831" s="36" t="s">
        <v>48</v>
      </c>
    </row>
    <row r="40832">
      <c r="H40832" s="50"/>
      <c r="I40832" s="50"/>
      <c r="O40832" s="36" t="s">
        <v>48</v>
      </c>
      <c r="R40832" s="36" t="s">
        <v>48</v>
      </c>
    </row>
    <row r="40833">
      <c r="H40833" s="50"/>
      <c r="I40833" s="50"/>
      <c r="O40833" s="36" t="s">
        <v>48</v>
      </c>
      <c r="R40833" s="36" t="s">
        <v>48</v>
      </c>
    </row>
    <row r="40834">
      <c r="H40834" s="50"/>
      <c r="I40834" s="50"/>
      <c r="O40834" s="36" t="s">
        <v>48</v>
      </c>
      <c r="R40834" s="36" t="s">
        <v>48</v>
      </c>
    </row>
    <row r="40835">
      <c r="H40835" s="50"/>
      <c r="I40835" s="50"/>
      <c r="O40835" s="36" t="s">
        <v>48</v>
      </c>
      <c r="R40835" s="36" t="s">
        <v>48</v>
      </c>
    </row>
    <row r="40836">
      <c r="H40836" s="50"/>
      <c r="I40836" s="50"/>
      <c r="O40836" s="36" t="s">
        <v>48</v>
      </c>
      <c r="R40836" s="36" t="s">
        <v>48</v>
      </c>
    </row>
    <row r="40837">
      <c r="H40837" s="50"/>
      <c r="I40837" s="50"/>
      <c r="O40837" s="36" t="s">
        <v>48</v>
      </c>
      <c r="R40837" s="36" t="s">
        <v>48</v>
      </c>
    </row>
    <row r="40838">
      <c r="H40838" s="50"/>
      <c r="I40838" s="50"/>
      <c r="O40838" s="36" t="s">
        <v>48</v>
      </c>
      <c r="R40838" s="36" t="s">
        <v>48</v>
      </c>
    </row>
    <row r="40839">
      <c r="H40839" s="50"/>
      <c r="I40839" s="50"/>
      <c r="O40839" s="36" t="s">
        <v>48</v>
      </c>
      <c r="R40839" s="36" t="s">
        <v>48</v>
      </c>
    </row>
    <row r="40840">
      <c r="H40840" s="50"/>
      <c r="I40840" s="50"/>
      <c r="O40840" s="36" t="s">
        <v>48</v>
      </c>
      <c r="R40840" s="36" t="s">
        <v>48</v>
      </c>
    </row>
    <row r="40841">
      <c r="H40841" s="50"/>
      <c r="I40841" s="50"/>
      <c r="O40841" s="36" t="s">
        <v>48</v>
      </c>
      <c r="R40841" s="36" t="s">
        <v>48</v>
      </c>
    </row>
    <row r="40842">
      <c r="H40842" s="50"/>
      <c r="I40842" s="50"/>
      <c r="O40842" s="36" t="s">
        <v>48</v>
      </c>
      <c r="R40842" s="36" t="s">
        <v>48</v>
      </c>
    </row>
    <row r="40843">
      <c r="H40843" s="50"/>
      <c r="I40843" s="50"/>
      <c r="O40843" s="36" t="s">
        <v>48</v>
      </c>
      <c r="R40843" s="36" t="s">
        <v>48</v>
      </c>
    </row>
    <row r="40844">
      <c r="H40844" s="50"/>
      <c r="I40844" s="50"/>
      <c r="O40844" s="36" t="s">
        <v>48</v>
      </c>
      <c r="R40844" s="36" t="s">
        <v>48</v>
      </c>
    </row>
    <row r="40845">
      <c r="H40845" s="50"/>
      <c r="I40845" s="50"/>
      <c r="O40845" s="36" t="s">
        <v>48</v>
      </c>
      <c r="R40845" s="36" t="s">
        <v>48</v>
      </c>
    </row>
    <row r="40846">
      <c r="H40846" s="50"/>
      <c r="I40846" s="50"/>
      <c r="O40846" s="36" t="s">
        <v>48</v>
      </c>
      <c r="R40846" s="36" t="s">
        <v>48</v>
      </c>
    </row>
    <row r="40847">
      <c r="H40847" s="50"/>
      <c r="I40847" s="50"/>
      <c r="O40847" s="36" t="s">
        <v>48</v>
      </c>
      <c r="R40847" s="36" t="s">
        <v>48</v>
      </c>
    </row>
    <row r="40848">
      <c r="H40848" s="50"/>
      <c r="I40848" s="50"/>
      <c r="O40848" s="36" t="s">
        <v>48</v>
      </c>
      <c r="R40848" s="36" t="s">
        <v>48</v>
      </c>
    </row>
    <row r="40849">
      <c r="H40849" s="50"/>
      <c r="I40849" s="50"/>
      <c r="O40849" s="36" t="s">
        <v>48</v>
      </c>
      <c r="R40849" s="36" t="s">
        <v>48</v>
      </c>
    </row>
    <row r="40850">
      <c r="H40850" s="50"/>
      <c r="I40850" s="50"/>
      <c r="O40850" s="36" t="s">
        <v>48</v>
      </c>
      <c r="R40850" s="36" t="s">
        <v>48</v>
      </c>
    </row>
    <row r="40851">
      <c r="H40851" s="50"/>
      <c r="I40851" s="50"/>
      <c r="O40851" s="36" t="s">
        <v>48</v>
      </c>
      <c r="R40851" s="36" t="s">
        <v>48</v>
      </c>
    </row>
    <row r="40852">
      <c r="H40852" s="50"/>
      <c r="I40852" s="50"/>
      <c r="O40852" s="36" t="s">
        <v>48</v>
      </c>
      <c r="R40852" s="36" t="s">
        <v>48</v>
      </c>
    </row>
    <row r="40853">
      <c r="H40853" s="50"/>
      <c r="I40853" s="50"/>
      <c r="O40853" s="36" t="s">
        <v>48</v>
      </c>
      <c r="R40853" s="36" t="s">
        <v>48</v>
      </c>
    </row>
    <row r="40854">
      <c r="H40854" s="50"/>
      <c r="I40854" s="50"/>
      <c r="O40854" s="36" t="s">
        <v>48</v>
      </c>
      <c r="R40854" s="36" t="s">
        <v>48</v>
      </c>
    </row>
    <row r="40855">
      <c r="H40855" s="50"/>
      <c r="I40855" s="50"/>
      <c r="O40855" s="36" t="s">
        <v>48</v>
      </c>
      <c r="R40855" s="36" t="s">
        <v>48</v>
      </c>
    </row>
    <row r="40856">
      <c r="H40856" s="50"/>
      <c r="I40856" s="50"/>
      <c r="O40856" s="36" t="s">
        <v>48</v>
      </c>
      <c r="R40856" s="36" t="s">
        <v>48</v>
      </c>
    </row>
    <row r="40857">
      <c r="H40857" s="50"/>
      <c r="I40857" s="50"/>
      <c r="O40857" s="36" t="s">
        <v>48</v>
      </c>
      <c r="R40857" s="36" t="s">
        <v>48</v>
      </c>
    </row>
    <row r="40858">
      <c r="H40858" s="50"/>
      <c r="I40858" s="50"/>
      <c r="O40858" s="36" t="s">
        <v>48</v>
      </c>
      <c r="R40858" s="36" t="s">
        <v>48</v>
      </c>
    </row>
    <row r="40859">
      <c r="H40859" s="50"/>
      <c r="I40859" s="50"/>
      <c r="O40859" s="36" t="s">
        <v>48</v>
      </c>
      <c r="R40859" s="36" t="s">
        <v>48</v>
      </c>
    </row>
    <row r="40860">
      <c r="H40860" s="50"/>
      <c r="I40860" s="50"/>
      <c r="O40860" s="36" t="s">
        <v>48</v>
      </c>
      <c r="R40860" s="36" t="s">
        <v>48</v>
      </c>
    </row>
    <row r="40861">
      <c r="H40861" s="50"/>
      <c r="I40861" s="50"/>
      <c r="O40861" s="36" t="s">
        <v>48</v>
      </c>
      <c r="R40861" s="36" t="s">
        <v>48</v>
      </c>
    </row>
    <row r="40862">
      <c r="H40862" s="50"/>
      <c r="I40862" s="50"/>
      <c r="O40862" s="36" t="s">
        <v>48</v>
      </c>
      <c r="R40862" s="36" t="s">
        <v>48</v>
      </c>
    </row>
    <row r="40863">
      <c r="H40863" s="50"/>
      <c r="I40863" s="50"/>
      <c r="O40863" s="36" t="s">
        <v>48</v>
      </c>
      <c r="R40863" s="36" t="s">
        <v>48</v>
      </c>
    </row>
    <row r="40864">
      <c r="H40864" s="50"/>
      <c r="I40864" s="50"/>
      <c r="O40864" s="36" t="s">
        <v>48</v>
      </c>
      <c r="R40864" s="36" t="s">
        <v>48</v>
      </c>
    </row>
    <row r="40865">
      <c r="H40865" s="50"/>
      <c r="I40865" s="50"/>
      <c r="O40865" s="36" t="s">
        <v>48</v>
      </c>
      <c r="R40865" s="36" t="s">
        <v>48</v>
      </c>
    </row>
    <row r="40866">
      <c r="H40866" s="50"/>
      <c r="I40866" s="50"/>
      <c r="O40866" s="36" t="s">
        <v>48</v>
      </c>
      <c r="R40866" s="36" t="s">
        <v>48</v>
      </c>
    </row>
    <row r="40867">
      <c r="H40867" s="50"/>
      <c r="I40867" s="50"/>
      <c r="O40867" s="36" t="s">
        <v>48</v>
      </c>
      <c r="R40867" s="36" t="s">
        <v>48</v>
      </c>
    </row>
    <row r="40868">
      <c r="H40868" s="50"/>
      <c r="I40868" s="50"/>
      <c r="O40868" s="36" t="s">
        <v>48</v>
      </c>
      <c r="R40868" s="36" t="s">
        <v>48</v>
      </c>
    </row>
    <row r="40869">
      <c r="H40869" s="50"/>
      <c r="I40869" s="50"/>
      <c r="O40869" s="36" t="s">
        <v>48</v>
      </c>
      <c r="R40869" s="36" t="s">
        <v>48</v>
      </c>
    </row>
    <row r="40870">
      <c r="H40870" s="50"/>
      <c r="I40870" s="50"/>
      <c r="O40870" s="36" t="s">
        <v>48</v>
      </c>
      <c r="R40870" s="36" t="s">
        <v>48</v>
      </c>
    </row>
    <row r="40871">
      <c r="H40871" s="50"/>
      <c r="I40871" s="50"/>
      <c r="O40871" s="36" t="s">
        <v>48</v>
      </c>
      <c r="R40871" s="36" t="s">
        <v>48</v>
      </c>
    </row>
    <row r="40872">
      <c r="H40872" s="50"/>
      <c r="I40872" s="50"/>
      <c r="O40872" s="36" t="s">
        <v>48</v>
      </c>
      <c r="R40872" s="36" t="s">
        <v>48</v>
      </c>
    </row>
    <row r="40873">
      <c r="H40873" s="50"/>
      <c r="I40873" s="50"/>
      <c r="O40873" s="36" t="s">
        <v>48</v>
      </c>
      <c r="R40873" s="36" t="s">
        <v>48</v>
      </c>
    </row>
    <row r="40874">
      <c r="H40874" s="50"/>
      <c r="I40874" s="50"/>
      <c r="O40874" s="36" t="s">
        <v>48</v>
      </c>
      <c r="R40874" s="36" t="s">
        <v>48</v>
      </c>
    </row>
    <row r="40875">
      <c r="H40875" s="50"/>
      <c r="I40875" s="50"/>
      <c r="O40875" s="36" t="s">
        <v>48</v>
      </c>
      <c r="R40875" s="36" t="s">
        <v>48</v>
      </c>
    </row>
    <row r="40876">
      <c r="H40876" s="50"/>
      <c r="I40876" s="50"/>
      <c r="O40876" s="36" t="s">
        <v>48</v>
      </c>
      <c r="R40876" s="36" t="s">
        <v>48</v>
      </c>
    </row>
    <row r="40877">
      <c r="H40877" s="50"/>
      <c r="I40877" s="50"/>
      <c r="O40877" s="36" t="s">
        <v>48</v>
      </c>
      <c r="R40877" s="36" t="s">
        <v>48</v>
      </c>
    </row>
    <row r="40878">
      <c r="H40878" s="50"/>
      <c r="I40878" s="50"/>
      <c r="O40878" s="36" t="s">
        <v>48</v>
      </c>
      <c r="R40878" s="36" t="s">
        <v>48</v>
      </c>
    </row>
    <row r="40879">
      <c r="H40879" s="50"/>
      <c r="I40879" s="50"/>
      <c r="O40879" s="36" t="s">
        <v>48</v>
      </c>
      <c r="R40879" s="36" t="s">
        <v>48</v>
      </c>
    </row>
    <row r="40880">
      <c r="H40880" s="50"/>
      <c r="I40880" s="50"/>
      <c r="O40880" s="36" t="s">
        <v>48</v>
      </c>
      <c r="R40880" s="36" t="s">
        <v>48</v>
      </c>
    </row>
    <row r="40881">
      <c r="H40881" s="50"/>
      <c r="I40881" s="50"/>
      <c r="O40881" s="36" t="s">
        <v>48</v>
      </c>
      <c r="R40881" s="36" t="s">
        <v>48</v>
      </c>
    </row>
    <row r="40882">
      <c r="H40882" s="50"/>
      <c r="I40882" s="50"/>
      <c r="O40882" s="36" t="s">
        <v>48</v>
      </c>
      <c r="R40882" s="36" t="s">
        <v>48</v>
      </c>
    </row>
    <row r="40883">
      <c r="H40883" s="50"/>
      <c r="I40883" s="50"/>
      <c r="O40883" s="36" t="s">
        <v>48</v>
      </c>
      <c r="R40883" s="36" t="s">
        <v>48</v>
      </c>
    </row>
    <row r="40884">
      <c r="H40884" s="50"/>
      <c r="I40884" s="50"/>
      <c r="O40884" s="36" t="s">
        <v>48</v>
      </c>
      <c r="R40884" s="36" t="s">
        <v>48</v>
      </c>
    </row>
    <row r="40885">
      <c r="H40885" s="50"/>
      <c r="I40885" s="50"/>
      <c r="O40885" s="36" t="s">
        <v>48</v>
      </c>
      <c r="R40885" s="36" t="s">
        <v>48</v>
      </c>
    </row>
    <row r="40886">
      <c r="H40886" s="50"/>
      <c r="I40886" s="50"/>
      <c r="O40886" s="36" t="s">
        <v>48</v>
      </c>
      <c r="R40886" s="36" t="s">
        <v>48</v>
      </c>
    </row>
    <row r="40887">
      <c r="H40887" s="50"/>
      <c r="I40887" s="50"/>
      <c r="O40887" s="36" t="s">
        <v>48</v>
      </c>
      <c r="R40887" s="36" t="s">
        <v>48</v>
      </c>
    </row>
    <row r="40888">
      <c r="H40888" s="50"/>
      <c r="I40888" s="50"/>
      <c r="O40888" s="36" t="s">
        <v>48</v>
      </c>
      <c r="R40888" s="36" t="s">
        <v>48</v>
      </c>
    </row>
    <row r="40889">
      <c r="H40889" s="50"/>
      <c r="I40889" s="50"/>
      <c r="O40889" s="36" t="s">
        <v>48</v>
      </c>
      <c r="R40889" s="36" t="s">
        <v>48</v>
      </c>
    </row>
    <row r="40890">
      <c r="H40890" s="50"/>
      <c r="I40890" s="50"/>
      <c r="O40890" s="36" t="s">
        <v>48</v>
      </c>
      <c r="R40890" s="36" t="s">
        <v>48</v>
      </c>
    </row>
    <row r="40891">
      <c r="H40891" s="50"/>
      <c r="I40891" s="50"/>
      <c r="O40891" s="36" t="s">
        <v>48</v>
      </c>
      <c r="R40891" s="36" t="s">
        <v>48</v>
      </c>
    </row>
    <row r="40892">
      <c r="H40892" s="50"/>
      <c r="I40892" s="50"/>
      <c r="O40892" s="36" t="s">
        <v>48</v>
      </c>
      <c r="R40892" s="36" t="s">
        <v>48</v>
      </c>
    </row>
    <row r="40893">
      <c r="H40893" s="50"/>
      <c r="I40893" s="50"/>
      <c r="O40893" s="36" t="s">
        <v>48</v>
      </c>
      <c r="R40893" s="36" t="s">
        <v>48</v>
      </c>
    </row>
    <row r="40894">
      <c r="H40894" s="50"/>
      <c r="I40894" s="50"/>
      <c r="O40894" s="36" t="s">
        <v>48</v>
      </c>
      <c r="R40894" s="36" t="s">
        <v>48</v>
      </c>
    </row>
    <row r="40895">
      <c r="H40895" s="50"/>
      <c r="I40895" s="50"/>
      <c r="O40895" s="36" t="s">
        <v>48</v>
      </c>
      <c r="R40895" s="36" t="s">
        <v>48</v>
      </c>
    </row>
    <row r="40896">
      <c r="H40896" s="50"/>
      <c r="I40896" s="50"/>
      <c r="O40896" s="36" t="s">
        <v>48</v>
      </c>
      <c r="R40896" s="36" t="s">
        <v>48</v>
      </c>
    </row>
    <row r="40897">
      <c r="H40897" s="50"/>
      <c r="I40897" s="50"/>
      <c r="O40897" s="36" t="s">
        <v>48</v>
      </c>
      <c r="R40897" s="36" t="s">
        <v>48</v>
      </c>
    </row>
    <row r="40898">
      <c r="H40898" s="50"/>
      <c r="I40898" s="50"/>
      <c r="O40898" s="36" t="s">
        <v>48</v>
      </c>
      <c r="R40898" s="36" t="s">
        <v>48</v>
      </c>
    </row>
    <row r="40899">
      <c r="H40899" s="50"/>
      <c r="I40899" s="50"/>
      <c r="O40899" s="36" t="s">
        <v>48</v>
      </c>
      <c r="R40899" s="36" t="s">
        <v>48</v>
      </c>
    </row>
    <row r="40900">
      <c r="H40900" s="50"/>
      <c r="I40900" s="50"/>
      <c r="O40900" s="36" t="s">
        <v>48</v>
      </c>
      <c r="R40900" s="36" t="s">
        <v>48</v>
      </c>
    </row>
    <row r="40901">
      <c r="H40901" s="50"/>
      <c r="I40901" s="50"/>
      <c r="O40901" s="36" t="s">
        <v>48</v>
      </c>
      <c r="R40901" s="36" t="s">
        <v>48</v>
      </c>
    </row>
    <row r="40902">
      <c r="H40902" s="50"/>
      <c r="I40902" s="50"/>
      <c r="O40902" s="36" t="s">
        <v>48</v>
      </c>
      <c r="R40902" s="36" t="s">
        <v>48</v>
      </c>
    </row>
    <row r="40903">
      <c r="H40903" s="50"/>
      <c r="I40903" s="50"/>
      <c r="O40903" s="36" t="s">
        <v>48</v>
      </c>
      <c r="R40903" s="36" t="s">
        <v>48</v>
      </c>
    </row>
    <row r="40904">
      <c r="H40904" s="50"/>
      <c r="I40904" s="50"/>
      <c r="O40904" s="36" t="s">
        <v>48</v>
      </c>
      <c r="R40904" s="36" t="s">
        <v>48</v>
      </c>
    </row>
    <row r="40905">
      <c r="H40905" s="50"/>
      <c r="I40905" s="50"/>
      <c r="O40905" s="36" t="s">
        <v>48</v>
      </c>
      <c r="R40905" s="36" t="s">
        <v>48</v>
      </c>
    </row>
    <row r="40906">
      <c r="H40906" s="50"/>
      <c r="I40906" s="50"/>
      <c r="O40906" s="36" t="s">
        <v>48</v>
      </c>
      <c r="R40906" s="36" t="s">
        <v>48</v>
      </c>
    </row>
    <row r="40907">
      <c r="H40907" s="50"/>
      <c r="I40907" s="50"/>
      <c r="O40907" s="36" t="s">
        <v>48</v>
      </c>
      <c r="R40907" s="36" t="s">
        <v>48</v>
      </c>
    </row>
    <row r="40908">
      <c r="H40908" s="50"/>
      <c r="I40908" s="50"/>
      <c r="O40908" s="36" t="s">
        <v>48</v>
      </c>
      <c r="R40908" s="36" t="s">
        <v>48</v>
      </c>
    </row>
    <row r="40909">
      <c r="H40909" s="50"/>
      <c r="I40909" s="50"/>
      <c r="O40909" s="36" t="s">
        <v>48</v>
      </c>
      <c r="R40909" s="36" t="s">
        <v>48</v>
      </c>
    </row>
    <row r="40910">
      <c r="H40910" s="50"/>
      <c r="I40910" s="50"/>
      <c r="O40910" s="36" t="s">
        <v>48</v>
      </c>
      <c r="R40910" s="36" t="s">
        <v>48</v>
      </c>
    </row>
    <row r="40911">
      <c r="H40911" s="50"/>
      <c r="I40911" s="50"/>
      <c r="O40911" s="36" t="s">
        <v>48</v>
      </c>
      <c r="R40911" s="36" t="s">
        <v>48</v>
      </c>
    </row>
    <row r="40912">
      <c r="H40912" s="50"/>
      <c r="I40912" s="50"/>
      <c r="O40912" s="36" t="s">
        <v>48</v>
      </c>
      <c r="R40912" s="36" t="s">
        <v>48</v>
      </c>
    </row>
    <row r="40913">
      <c r="H40913" s="50"/>
      <c r="I40913" s="50"/>
      <c r="O40913" s="36" t="s">
        <v>48</v>
      </c>
      <c r="R40913" s="36" t="s">
        <v>48</v>
      </c>
    </row>
    <row r="40914">
      <c r="H40914" s="50"/>
      <c r="I40914" s="50"/>
      <c r="O40914" s="36" t="s">
        <v>48</v>
      </c>
      <c r="R40914" s="36" t="s">
        <v>48</v>
      </c>
    </row>
    <row r="40915">
      <c r="H40915" s="50"/>
      <c r="I40915" s="50"/>
      <c r="O40915" s="36" t="s">
        <v>48</v>
      </c>
      <c r="R40915" s="36" t="s">
        <v>48</v>
      </c>
    </row>
    <row r="40916">
      <c r="H40916" s="50"/>
      <c r="I40916" s="50"/>
      <c r="O40916" s="36" t="s">
        <v>48</v>
      </c>
      <c r="R40916" s="36" t="s">
        <v>48</v>
      </c>
    </row>
    <row r="40917">
      <c r="H40917" s="50"/>
      <c r="I40917" s="50"/>
      <c r="O40917" s="36" t="s">
        <v>48</v>
      </c>
      <c r="R40917" s="36" t="s">
        <v>48</v>
      </c>
    </row>
    <row r="40918">
      <c r="H40918" s="50"/>
      <c r="I40918" s="50"/>
      <c r="O40918" s="36" t="s">
        <v>48</v>
      </c>
      <c r="R40918" s="36" t="s">
        <v>48</v>
      </c>
    </row>
    <row r="40919">
      <c r="H40919" s="50"/>
      <c r="I40919" s="50"/>
      <c r="O40919" s="36" t="s">
        <v>48</v>
      </c>
      <c r="R40919" s="36" t="s">
        <v>48</v>
      </c>
    </row>
    <row r="40920">
      <c r="H40920" s="50"/>
      <c r="I40920" s="50"/>
      <c r="O40920" s="36" t="s">
        <v>48</v>
      </c>
      <c r="R40920" s="36" t="s">
        <v>48</v>
      </c>
    </row>
    <row r="40921">
      <c r="H40921" s="50"/>
      <c r="I40921" s="50"/>
      <c r="O40921" s="36" t="s">
        <v>48</v>
      </c>
      <c r="R40921" s="36" t="s">
        <v>48</v>
      </c>
    </row>
    <row r="40922">
      <c r="H40922" s="50"/>
      <c r="I40922" s="50"/>
      <c r="O40922" s="36" t="s">
        <v>48</v>
      </c>
      <c r="R40922" s="36" t="s">
        <v>48</v>
      </c>
    </row>
    <row r="40923">
      <c r="H40923" s="50"/>
      <c r="I40923" s="50"/>
      <c r="O40923" s="36" t="s">
        <v>48</v>
      </c>
      <c r="R40923" s="36" t="s">
        <v>48</v>
      </c>
    </row>
    <row r="40924">
      <c r="H40924" s="50"/>
      <c r="I40924" s="50"/>
      <c r="O40924" s="36" t="s">
        <v>48</v>
      </c>
      <c r="R40924" s="36" t="s">
        <v>48</v>
      </c>
    </row>
    <row r="40925">
      <c r="H40925" s="50"/>
      <c r="I40925" s="50"/>
      <c r="O40925" s="36" t="s">
        <v>48</v>
      </c>
      <c r="R40925" s="36" t="s">
        <v>48</v>
      </c>
    </row>
    <row r="40926">
      <c r="H40926" s="50"/>
      <c r="I40926" s="50"/>
      <c r="O40926" s="36" t="s">
        <v>48</v>
      </c>
      <c r="R40926" s="36" t="s">
        <v>48</v>
      </c>
    </row>
    <row r="40927">
      <c r="H40927" s="50"/>
      <c r="I40927" s="50"/>
      <c r="O40927" s="36" t="s">
        <v>48</v>
      </c>
      <c r="R40927" s="36" t="s">
        <v>48</v>
      </c>
    </row>
    <row r="40928">
      <c r="H40928" s="50"/>
      <c r="I40928" s="50"/>
      <c r="O40928" s="36" t="s">
        <v>48</v>
      </c>
      <c r="R40928" s="36" t="s">
        <v>48</v>
      </c>
    </row>
    <row r="40929">
      <c r="H40929" s="50"/>
      <c r="I40929" s="50"/>
      <c r="O40929" s="36" t="s">
        <v>48</v>
      </c>
      <c r="R40929" s="36" t="s">
        <v>48</v>
      </c>
    </row>
    <row r="40930">
      <c r="H40930" s="50"/>
      <c r="I40930" s="50"/>
      <c r="O40930" s="36" t="s">
        <v>48</v>
      </c>
      <c r="R40930" s="36" t="s">
        <v>48</v>
      </c>
    </row>
    <row r="40931">
      <c r="H40931" s="50"/>
      <c r="I40931" s="50"/>
      <c r="O40931" s="36" t="s">
        <v>48</v>
      </c>
      <c r="R40931" s="36" t="s">
        <v>48</v>
      </c>
    </row>
    <row r="40932">
      <c r="H40932" s="50"/>
      <c r="I40932" s="50"/>
      <c r="O40932" s="36" t="s">
        <v>48</v>
      </c>
      <c r="R40932" s="36" t="s">
        <v>48</v>
      </c>
    </row>
    <row r="40933">
      <c r="H40933" s="50"/>
      <c r="I40933" s="50"/>
      <c r="O40933" s="36" t="s">
        <v>48</v>
      </c>
      <c r="R40933" s="36" t="s">
        <v>48</v>
      </c>
    </row>
    <row r="40934">
      <c r="H40934" s="50"/>
      <c r="I40934" s="50"/>
      <c r="O40934" s="36" t="s">
        <v>48</v>
      </c>
      <c r="R40934" s="36" t="s">
        <v>48</v>
      </c>
    </row>
    <row r="40935">
      <c r="H40935" s="50"/>
      <c r="I40935" s="50"/>
      <c r="O40935" s="36" t="s">
        <v>48</v>
      </c>
      <c r="R40935" s="36" t="s">
        <v>48</v>
      </c>
    </row>
    <row r="40936">
      <c r="H40936" s="50"/>
      <c r="I40936" s="50"/>
      <c r="O40936" s="36" t="s">
        <v>48</v>
      </c>
      <c r="R40936" s="36" t="s">
        <v>48</v>
      </c>
    </row>
    <row r="40937">
      <c r="H40937" s="50"/>
      <c r="I40937" s="50"/>
      <c r="O40937" s="36" t="s">
        <v>48</v>
      </c>
      <c r="R40937" s="36" t="s">
        <v>48</v>
      </c>
    </row>
    <row r="40938">
      <c r="H40938" s="50"/>
      <c r="I40938" s="50"/>
      <c r="O40938" s="36" t="s">
        <v>48</v>
      </c>
      <c r="R40938" s="36" t="s">
        <v>48</v>
      </c>
    </row>
    <row r="40939">
      <c r="H40939" s="50"/>
      <c r="I40939" s="50"/>
      <c r="O40939" s="36" t="s">
        <v>48</v>
      </c>
      <c r="R40939" s="36" t="s">
        <v>48</v>
      </c>
    </row>
    <row r="40940">
      <c r="H40940" s="50"/>
      <c r="I40940" s="50"/>
      <c r="O40940" s="36" t="s">
        <v>48</v>
      </c>
      <c r="R40940" s="36" t="s">
        <v>48</v>
      </c>
    </row>
    <row r="40941">
      <c r="H40941" s="50"/>
      <c r="I40941" s="50"/>
      <c r="O40941" s="36" t="s">
        <v>48</v>
      </c>
      <c r="R40941" s="36" t="s">
        <v>48</v>
      </c>
    </row>
    <row r="40942">
      <c r="H40942" s="50"/>
      <c r="I40942" s="50"/>
      <c r="O40942" s="36" t="s">
        <v>48</v>
      </c>
      <c r="R40942" s="36" t="s">
        <v>48</v>
      </c>
    </row>
    <row r="40943">
      <c r="H40943" s="50"/>
      <c r="I40943" s="50"/>
      <c r="O40943" s="36" t="s">
        <v>48</v>
      </c>
      <c r="R40943" s="36" t="s">
        <v>48</v>
      </c>
    </row>
    <row r="40944">
      <c r="H40944" s="50"/>
      <c r="I40944" s="50"/>
      <c r="O40944" s="36" t="s">
        <v>48</v>
      </c>
      <c r="R40944" s="36" t="s">
        <v>48</v>
      </c>
    </row>
    <row r="40945">
      <c r="H40945" s="50"/>
      <c r="I40945" s="50"/>
      <c r="O40945" s="36" t="s">
        <v>48</v>
      </c>
      <c r="R40945" s="36" t="s">
        <v>48</v>
      </c>
    </row>
    <row r="40946">
      <c r="H40946" s="50"/>
      <c r="I40946" s="50"/>
      <c r="O40946" s="36" t="s">
        <v>48</v>
      </c>
      <c r="R40946" s="36" t="s">
        <v>48</v>
      </c>
    </row>
    <row r="40947">
      <c r="H40947" s="50"/>
      <c r="I40947" s="50"/>
      <c r="O40947" s="36" t="s">
        <v>48</v>
      </c>
      <c r="R40947" s="36" t="s">
        <v>48</v>
      </c>
    </row>
    <row r="40948">
      <c r="H40948" s="50"/>
      <c r="I40948" s="50"/>
      <c r="O40948" s="36" t="s">
        <v>48</v>
      </c>
      <c r="R40948" s="36" t="s">
        <v>48</v>
      </c>
    </row>
    <row r="40949">
      <c r="H40949" s="50"/>
      <c r="I40949" s="50"/>
      <c r="O40949" s="36" t="s">
        <v>48</v>
      </c>
      <c r="R40949" s="36" t="s">
        <v>48</v>
      </c>
    </row>
    <row r="40950">
      <c r="H40950" s="50"/>
      <c r="I40950" s="50"/>
      <c r="O40950" s="36" t="s">
        <v>48</v>
      </c>
      <c r="R40950" s="36" t="s">
        <v>48</v>
      </c>
    </row>
    <row r="40951">
      <c r="H40951" s="50"/>
      <c r="I40951" s="50"/>
      <c r="O40951" s="36" t="s">
        <v>48</v>
      </c>
      <c r="R40951" s="36" t="s">
        <v>48</v>
      </c>
    </row>
    <row r="40952">
      <c r="H40952" s="50"/>
      <c r="I40952" s="50"/>
      <c r="O40952" s="36" t="s">
        <v>48</v>
      </c>
      <c r="R40952" s="36" t="s">
        <v>48</v>
      </c>
    </row>
    <row r="40953">
      <c r="H40953" s="50"/>
      <c r="I40953" s="50"/>
      <c r="O40953" s="36" t="s">
        <v>48</v>
      </c>
      <c r="R40953" s="36" t="s">
        <v>48</v>
      </c>
    </row>
    <row r="40954">
      <c r="H40954" s="50"/>
      <c r="I40954" s="50"/>
      <c r="O40954" s="36" t="s">
        <v>48</v>
      </c>
      <c r="R40954" s="36" t="s">
        <v>48</v>
      </c>
    </row>
    <row r="40955">
      <c r="H40955" s="50"/>
      <c r="I40955" s="50"/>
      <c r="O40955" s="36" t="s">
        <v>48</v>
      </c>
      <c r="R40955" s="36" t="s">
        <v>48</v>
      </c>
    </row>
    <row r="40956">
      <c r="H40956" s="50"/>
      <c r="I40956" s="50"/>
      <c r="O40956" s="36" t="s">
        <v>48</v>
      </c>
      <c r="R40956" s="36" t="s">
        <v>48</v>
      </c>
    </row>
    <row r="40957">
      <c r="H40957" s="50"/>
      <c r="I40957" s="50"/>
      <c r="O40957" s="36" t="s">
        <v>48</v>
      </c>
      <c r="R40957" s="36" t="s">
        <v>48</v>
      </c>
    </row>
    <row r="40958">
      <c r="H40958" s="50"/>
      <c r="I40958" s="50"/>
      <c r="O40958" s="36" t="s">
        <v>48</v>
      </c>
      <c r="R40958" s="36" t="s">
        <v>48</v>
      </c>
    </row>
    <row r="40959">
      <c r="H40959" s="50"/>
      <c r="I40959" s="50"/>
      <c r="O40959" s="36" t="s">
        <v>48</v>
      </c>
      <c r="R40959" s="36" t="s">
        <v>48</v>
      </c>
    </row>
    <row r="40960">
      <c r="H40960" s="50"/>
      <c r="I40960" s="50"/>
      <c r="O40960" s="36" t="s">
        <v>48</v>
      </c>
      <c r="R40960" s="36" t="s">
        <v>48</v>
      </c>
    </row>
    <row r="40961">
      <c r="H40961" s="50"/>
      <c r="I40961" s="50"/>
      <c r="O40961" s="36" t="s">
        <v>48</v>
      </c>
      <c r="R40961" s="36" t="s">
        <v>48</v>
      </c>
    </row>
    <row r="40962">
      <c r="H40962" s="50"/>
      <c r="I40962" s="50"/>
      <c r="O40962" s="36" t="s">
        <v>48</v>
      </c>
      <c r="R40962" s="36" t="s">
        <v>48</v>
      </c>
    </row>
    <row r="40963">
      <c r="H40963" s="50"/>
      <c r="I40963" s="50"/>
      <c r="O40963" s="36" t="s">
        <v>48</v>
      </c>
      <c r="R40963" s="36" t="s">
        <v>48</v>
      </c>
    </row>
    <row r="40964">
      <c r="H40964" s="50"/>
      <c r="I40964" s="50"/>
      <c r="O40964" s="36" t="s">
        <v>48</v>
      </c>
      <c r="R40964" s="36" t="s">
        <v>48</v>
      </c>
    </row>
    <row r="40965">
      <c r="H40965" s="50"/>
      <c r="I40965" s="50"/>
      <c r="O40965" s="36" t="s">
        <v>48</v>
      </c>
      <c r="R40965" s="36" t="s">
        <v>48</v>
      </c>
    </row>
    <row r="40966">
      <c r="H40966" s="50"/>
      <c r="I40966" s="50"/>
      <c r="O40966" s="36" t="s">
        <v>48</v>
      </c>
      <c r="R40966" s="36" t="s">
        <v>48</v>
      </c>
    </row>
    <row r="40967">
      <c r="H40967" s="50"/>
      <c r="I40967" s="50"/>
      <c r="O40967" s="36" t="s">
        <v>48</v>
      </c>
      <c r="R40967" s="36" t="s">
        <v>48</v>
      </c>
    </row>
    <row r="40968">
      <c r="H40968" s="50"/>
      <c r="I40968" s="50"/>
      <c r="O40968" s="36" t="s">
        <v>48</v>
      </c>
      <c r="R40968" s="36" t="s">
        <v>48</v>
      </c>
    </row>
    <row r="40969">
      <c r="H40969" s="50"/>
      <c r="I40969" s="50"/>
      <c r="O40969" s="36" t="s">
        <v>48</v>
      </c>
      <c r="R40969" s="36" t="s">
        <v>48</v>
      </c>
    </row>
    <row r="40970">
      <c r="H40970" s="50"/>
      <c r="I40970" s="50"/>
      <c r="O40970" s="36" t="s">
        <v>48</v>
      </c>
      <c r="R40970" s="36" t="s">
        <v>48</v>
      </c>
    </row>
    <row r="40971">
      <c r="H40971" s="50"/>
      <c r="I40971" s="50"/>
      <c r="O40971" s="36" t="s">
        <v>48</v>
      </c>
      <c r="R40971" s="36" t="s">
        <v>48</v>
      </c>
    </row>
    <row r="40972">
      <c r="H40972" s="50"/>
      <c r="I40972" s="50"/>
      <c r="O40972" s="36" t="s">
        <v>48</v>
      </c>
      <c r="R40972" s="36" t="s">
        <v>48</v>
      </c>
    </row>
    <row r="40973">
      <c r="H40973" s="50"/>
      <c r="I40973" s="50"/>
      <c r="O40973" s="36" t="s">
        <v>48</v>
      </c>
      <c r="R40973" s="36" t="s">
        <v>48</v>
      </c>
    </row>
    <row r="40974">
      <c r="H40974" s="50"/>
      <c r="I40974" s="50"/>
      <c r="O40974" s="36" t="s">
        <v>48</v>
      </c>
      <c r="R40974" s="36" t="s">
        <v>48</v>
      </c>
    </row>
    <row r="40975">
      <c r="H40975" s="50"/>
      <c r="I40975" s="50"/>
      <c r="O40975" s="36" t="s">
        <v>48</v>
      </c>
      <c r="R40975" s="36" t="s">
        <v>48</v>
      </c>
    </row>
    <row r="40976">
      <c r="H40976" s="50"/>
      <c r="I40976" s="50"/>
      <c r="O40976" s="36" t="s">
        <v>48</v>
      </c>
      <c r="R40976" s="36" t="s">
        <v>48</v>
      </c>
    </row>
    <row r="40977">
      <c r="H40977" s="50"/>
      <c r="I40977" s="50"/>
      <c r="O40977" s="36" t="s">
        <v>48</v>
      </c>
      <c r="R40977" s="36" t="s">
        <v>48</v>
      </c>
    </row>
    <row r="40978">
      <c r="H40978" s="50"/>
      <c r="I40978" s="50"/>
      <c r="O40978" s="36" t="s">
        <v>48</v>
      </c>
      <c r="R40978" s="36" t="s">
        <v>48</v>
      </c>
    </row>
    <row r="40979">
      <c r="H40979" s="50"/>
      <c r="I40979" s="50"/>
      <c r="O40979" s="36" t="s">
        <v>48</v>
      </c>
      <c r="R40979" s="36" t="s">
        <v>48</v>
      </c>
    </row>
    <row r="40980">
      <c r="H40980" s="50"/>
      <c r="I40980" s="50"/>
      <c r="O40980" s="36" t="s">
        <v>48</v>
      </c>
      <c r="R40980" s="36" t="s">
        <v>48</v>
      </c>
    </row>
    <row r="40981">
      <c r="H40981" s="50"/>
      <c r="I40981" s="50"/>
      <c r="O40981" s="36" t="s">
        <v>48</v>
      </c>
      <c r="R40981" s="36" t="s">
        <v>48</v>
      </c>
    </row>
    <row r="40982">
      <c r="H40982" s="50"/>
      <c r="I40982" s="50"/>
      <c r="O40982" s="36" t="s">
        <v>48</v>
      </c>
      <c r="R40982" s="36" t="s">
        <v>48</v>
      </c>
    </row>
    <row r="40983">
      <c r="H40983" s="50"/>
      <c r="I40983" s="50"/>
      <c r="O40983" s="36" t="s">
        <v>48</v>
      </c>
      <c r="R40983" s="36" t="s">
        <v>48</v>
      </c>
    </row>
    <row r="40984">
      <c r="H40984" s="50"/>
      <c r="I40984" s="50"/>
      <c r="O40984" s="36" t="s">
        <v>48</v>
      </c>
      <c r="R40984" s="36" t="s">
        <v>48</v>
      </c>
    </row>
    <row r="40985">
      <c r="H40985" s="50"/>
      <c r="I40985" s="50"/>
      <c r="O40985" s="36" t="s">
        <v>48</v>
      </c>
      <c r="R40985" s="36" t="s">
        <v>48</v>
      </c>
    </row>
    <row r="40986">
      <c r="H40986" s="50"/>
      <c r="I40986" s="50"/>
      <c r="O40986" s="36" t="s">
        <v>48</v>
      </c>
      <c r="R40986" s="36" t="s">
        <v>48</v>
      </c>
    </row>
    <row r="40987">
      <c r="H40987" s="50"/>
      <c r="I40987" s="50"/>
      <c r="O40987" s="36" t="s">
        <v>48</v>
      </c>
      <c r="R40987" s="36" t="s">
        <v>48</v>
      </c>
    </row>
    <row r="40988">
      <c r="H40988" s="50"/>
      <c r="I40988" s="50"/>
      <c r="O40988" s="36" t="s">
        <v>48</v>
      </c>
      <c r="R40988" s="36" t="s">
        <v>48</v>
      </c>
    </row>
    <row r="40989">
      <c r="H40989" s="50"/>
      <c r="I40989" s="50"/>
      <c r="O40989" s="36" t="s">
        <v>48</v>
      </c>
      <c r="R40989" s="36" t="s">
        <v>48</v>
      </c>
    </row>
    <row r="40990">
      <c r="H40990" s="50"/>
      <c r="I40990" s="50"/>
      <c r="O40990" s="36" t="s">
        <v>48</v>
      </c>
      <c r="R40990" s="36" t="s">
        <v>48</v>
      </c>
    </row>
    <row r="40991">
      <c r="H40991" s="50"/>
      <c r="I40991" s="50"/>
      <c r="O40991" s="36" t="s">
        <v>48</v>
      </c>
      <c r="R40991" s="36" t="s">
        <v>48</v>
      </c>
    </row>
    <row r="40992">
      <c r="H40992" s="50"/>
      <c r="I40992" s="50"/>
      <c r="O40992" s="36" t="s">
        <v>48</v>
      </c>
      <c r="R40992" s="36" t="s">
        <v>48</v>
      </c>
    </row>
    <row r="40993">
      <c r="H40993" s="50"/>
      <c r="I40993" s="50"/>
      <c r="O40993" s="36" t="s">
        <v>48</v>
      </c>
      <c r="R40993" s="36" t="s">
        <v>48</v>
      </c>
    </row>
    <row r="40994">
      <c r="H40994" s="50"/>
      <c r="I40994" s="50"/>
      <c r="O40994" s="36" t="s">
        <v>48</v>
      </c>
      <c r="R40994" s="36" t="s">
        <v>48</v>
      </c>
    </row>
    <row r="40995">
      <c r="H40995" s="50"/>
      <c r="I40995" s="50"/>
      <c r="O40995" s="36" t="s">
        <v>48</v>
      </c>
      <c r="R40995" s="36" t="s">
        <v>48</v>
      </c>
    </row>
    <row r="40996">
      <c r="H40996" s="50"/>
      <c r="I40996" s="50"/>
      <c r="O40996" s="36" t="s">
        <v>48</v>
      </c>
      <c r="R40996" s="36" t="s">
        <v>48</v>
      </c>
    </row>
    <row r="40997">
      <c r="H40997" s="50"/>
      <c r="I40997" s="50"/>
      <c r="O40997" s="36" t="s">
        <v>48</v>
      </c>
      <c r="R40997" s="36" t="s">
        <v>48</v>
      </c>
    </row>
    <row r="40998">
      <c r="H40998" s="50"/>
      <c r="I40998" s="50"/>
      <c r="O40998" s="36" t="s">
        <v>48</v>
      </c>
      <c r="R40998" s="36" t="s">
        <v>48</v>
      </c>
    </row>
    <row r="40999">
      <c r="H40999" s="50"/>
      <c r="I40999" s="50"/>
      <c r="O40999" s="36" t="s">
        <v>48</v>
      </c>
      <c r="R40999" s="36" t="s">
        <v>48</v>
      </c>
    </row>
    <row r="41000">
      <c r="H41000" s="50"/>
      <c r="I41000" s="50"/>
      <c r="O41000" s="36" t="s">
        <v>48</v>
      </c>
      <c r="R41000" s="36" t="s">
        <v>48</v>
      </c>
    </row>
    <row r="41001">
      <c r="H41001" s="50"/>
      <c r="I41001" s="50"/>
      <c r="O41001" s="36" t="s">
        <v>48</v>
      </c>
      <c r="R41001" s="36" t="s">
        <v>48</v>
      </c>
    </row>
    <row r="41002">
      <c r="H41002" s="50"/>
      <c r="I41002" s="50"/>
      <c r="O41002" s="36" t="s">
        <v>48</v>
      </c>
      <c r="R41002" s="36" t="s">
        <v>48</v>
      </c>
    </row>
    <row r="41003">
      <c r="H41003" s="50"/>
      <c r="I41003" s="50"/>
      <c r="O41003" s="36" t="s">
        <v>48</v>
      </c>
      <c r="R41003" s="36" t="s">
        <v>48</v>
      </c>
    </row>
    <row r="41004">
      <c r="H41004" s="50"/>
      <c r="I41004" s="50"/>
      <c r="O41004" s="36" t="s">
        <v>48</v>
      </c>
      <c r="R41004" s="36" t="s">
        <v>48</v>
      </c>
    </row>
    <row r="41005">
      <c r="H41005" s="50"/>
      <c r="I41005" s="50"/>
      <c r="O41005" s="36" t="s">
        <v>48</v>
      </c>
      <c r="R41005" s="36" t="s">
        <v>48</v>
      </c>
    </row>
    <row r="41006">
      <c r="H41006" s="50"/>
      <c r="I41006" s="50"/>
      <c r="O41006" s="36" t="s">
        <v>48</v>
      </c>
      <c r="R41006" s="36" t="s">
        <v>48</v>
      </c>
    </row>
    <row r="41007">
      <c r="H41007" s="50"/>
      <c r="I41007" s="50"/>
      <c r="O41007" s="36" t="s">
        <v>48</v>
      </c>
      <c r="R41007" s="36" t="s">
        <v>48</v>
      </c>
    </row>
    <row r="41008">
      <c r="H41008" s="50"/>
      <c r="I41008" s="50"/>
      <c r="O41008" s="36" t="s">
        <v>48</v>
      </c>
      <c r="R41008" s="36" t="s">
        <v>48</v>
      </c>
    </row>
    <row r="41009">
      <c r="H41009" s="50"/>
      <c r="I41009" s="50"/>
      <c r="O41009" s="36" t="s">
        <v>48</v>
      </c>
      <c r="R41009" s="36" t="s">
        <v>48</v>
      </c>
    </row>
    <row r="41010">
      <c r="H41010" s="50"/>
      <c r="I41010" s="50"/>
      <c r="O41010" s="36" t="s">
        <v>48</v>
      </c>
      <c r="R41010" s="36" t="s">
        <v>48</v>
      </c>
    </row>
    <row r="41011">
      <c r="H41011" s="50"/>
      <c r="I41011" s="50"/>
      <c r="O41011" s="36" t="s">
        <v>48</v>
      </c>
      <c r="R41011" s="36" t="s">
        <v>48</v>
      </c>
    </row>
    <row r="41012">
      <c r="H41012" s="50"/>
      <c r="I41012" s="50"/>
      <c r="O41012" s="36" t="s">
        <v>48</v>
      </c>
      <c r="R41012" s="36" t="s">
        <v>48</v>
      </c>
    </row>
    <row r="41013">
      <c r="H41013" s="50"/>
      <c r="I41013" s="50"/>
      <c r="O41013" s="36" t="s">
        <v>48</v>
      </c>
      <c r="R41013" s="36" t="s">
        <v>48</v>
      </c>
    </row>
    <row r="41014">
      <c r="H41014" s="50"/>
      <c r="I41014" s="50"/>
      <c r="O41014" s="36" t="s">
        <v>48</v>
      </c>
      <c r="R41014" s="36" t="s">
        <v>48</v>
      </c>
    </row>
    <row r="41015">
      <c r="H41015" s="50"/>
      <c r="I41015" s="50"/>
      <c r="O41015" s="36" t="s">
        <v>48</v>
      </c>
      <c r="R41015" s="36" t="s">
        <v>48</v>
      </c>
    </row>
    <row r="41016">
      <c r="H41016" s="50"/>
      <c r="I41016" s="50"/>
      <c r="O41016" s="36" t="s">
        <v>48</v>
      </c>
      <c r="R41016" s="36" t="s">
        <v>48</v>
      </c>
    </row>
    <row r="41017">
      <c r="H41017" s="50"/>
      <c r="I41017" s="50"/>
      <c r="O41017" s="36" t="s">
        <v>48</v>
      </c>
      <c r="R41017" s="36" t="s">
        <v>48</v>
      </c>
    </row>
    <row r="41018">
      <c r="H41018" s="50"/>
      <c r="I41018" s="50"/>
      <c r="O41018" s="36" t="s">
        <v>48</v>
      </c>
      <c r="R41018" s="36" t="s">
        <v>48</v>
      </c>
    </row>
    <row r="41019">
      <c r="H41019" s="50"/>
      <c r="I41019" s="50"/>
      <c r="O41019" s="36" t="s">
        <v>48</v>
      </c>
      <c r="R41019" s="36" t="s">
        <v>48</v>
      </c>
    </row>
    <row r="41020">
      <c r="H41020" s="50"/>
      <c r="I41020" s="50"/>
      <c r="O41020" s="36" t="s">
        <v>48</v>
      </c>
      <c r="R41020" s="36" t="s">
        <v>48</v>
      </c>
    </row>
    <row r="41021">
      <c r="H41021" s="50"/>
      <c r="I41021" s="50"/>
      <c r="O41021" s="36" t="s">
        <v>48</v>
      </c>
      <c r="R41021" s="36" t="s">
        <v>48</v>
      </c>
    </row>
    <row r="41022">
      <c r="H41022" s="50"/>
      <c r="I41022" s="50"/>
      <c r="O41022" s="36" t="s">
        <v>48</v>
      </c>
      <c r="R41022" s="36" t="s">
        <v>48</v>
      </c>
    </row>
    <row r="41023">
      <c r="H41023" s="50"/>
      <c r="I41023" s="50"/>
      <c r="O41023" s="36" t="s">
        <v>48</v>
      </c>
      <c r="R41023" s="36" t="s">
        <v>48</v>
      </c>
    </row>
    <row r="41024">
      <c r="H41024" s="50"/>
      <c r="I41024" s="50"/>
      <c r="O41024" s="36" t="s">
        <v>48</v>
      </c>
      <c r="R41024" s="36" t="s">
        <v>48</v>
      </c>
    </row>
    <row r="41025">
      <c r="H41025" s="50"/>
      <c r="I41025" s="50"/>
      <c r="O41025" s="36" t="s">
        <v>48</v>
      </c>
      <c r="R41025" s="36" t="s">
        <v>48</v>
      </c>
    </row>
    <row r="41026">
      <c r="H41026" s="50"/>
      <c r="I41026" s="50"/>
      <c r="O41026" s="36" t="s">
        <v>48</v>
      </c>
      <c r="R41026" s="36" t="s">
        <v>48</v>
      </c>
    </row>
    <row r="41027">
      <c r="H41027" s="50"/>
      <c r="I41027" s="50"/>
      <c r="O41027" s="36" t="s">
        <v>48</v>
      </c>
      <c r="R41027" s="36" t="s">
        <v>48</v>
      </c>
    </row>
    <row r="41028">
      <c r="H41028" s="50"/>
      <c r="I41028" s="50"/>
      <c r="O41028" s="36" t="s">
        <v>48</v>
      </c>
      <c r="R41028" s="36" t="s">
        <v>48</v>
      </c>
    </row>
    <row r="41029">
      <c r="H41029" s="50"/>
      <c r="I41029" s="50"/>
      <c r="O41029" s="36" t="s">
        <v>48</v>
      </c>
      <c r="R41029" s="36" t="s">
        <v>48</v>
      </c>
    </row>
    <row r="41030">
      <c r="H41030" s="50"/>
      <c r="I41030" s="50"/>
      <c r="O41030" s="36" t="s">
        <v>48</v>
      </c>
      <c r="R41030" s="36" t="s">
        <v>48</v>
      </c>
    </row>
    <row r="41031">
      <c r="H41031" s="50"/>
      <c r="I41031" s="50"/>
      <c r="O41031" s="36" t="s">
        <v>48</v>
      </c>
      <c r="R41031" s="36" t="s">
        <v>48</v>
      </c>
    </row>
    <row r="41032">
      <c r="H41032" s="50"/>
      <c r="I41032" s="50"/>
      <c r="O41032" s="36" t="s">
        <v>48</v>
      </c>
      <c r="R41032" s="36" t="s">
        <v>48</v>
      </c>
    </row>
    <row r="41033">
      <c r="H41033" s="50"/>
      <c r="I41033" s="50"/>
      <c r="O41033" s="36" t="s">
        <v>48</v>
      </c>
      <c r="R41033" s="36" t="s">
        <v>48</v>
      </c>
    </row>
    <row r="41034">
      <c r="H41034" s="50"/>
      <c r="I41034" s="50"/>
      <c r="O41034" s="36" t="s">
        <v>48</v>
      </c>
      <c r="R41034" s="36" t="s">
        <v>48</v>
      </c>
    </row>
    <row r="41035">
      <c r="H41035" s="50"/>
      <c r="I41035" s="50"/>
      <c r="O41035" s="36" t="s">
        <v>48</v>
      </c>
      <c r="R41035" s="36" t="s">
        <v>48</v>
      </c>
    </row>
    <row r="41036">
      <c r="H41036" s="50"/>
      <c r="I41036" s="50"/>
      <c r="O41036" s="36" t="s">
        <v>48</v>
      </c>
      <c r="R41036" s="36" t="s">
        <v>48</v>
      </c>
    </row>
    <row r="41037">
      <c r="H41037" s="50"/>
      <c r="I41037" s="50"/>
      <c r="O41037" s="36" t="s">
        <v>48</v>
      </c>
      <c r="R41037" s="36" t="s">
        <v>48</v>
      </c>
    </row>
    <row r="41038">
      <c r="H41038" s="50"/>
      <c r="I41038" s="50"/>
      <c r="O41038" s="36" t="s">
        <v>48</v>
      </c>
      <c r="R41038" s="36" t="s">
        <v>48</v>
      </c>
    </row>
    <row r="41039">
      <c r="H41039" s="50"/>
      <c r="I41039" s="50"/>
      <c r="O41039" s="36" t="s">
        <v>48</v>
      </c>
      <c r="R41039" s="36" t="s">
        <v>48</v>
      </c>
    </row>
    <row r="41040">
      <c r="H41040" s="50"/>
      <c r="I41040" s="50"/>
      <c r="O41040" s="36" t="s">
        <v>48</v>
      </c>
      <c r="R41040" s="36" t="s">
        <v>48</v>
      </c>
    </row>
    <row r="41041">
      <c r="H41041" s="50"/>
      <c r="I41041" s="50"/>
      <c r="O41041" s="36" t="s">
        <v>48</v>
      </c>
      <c r="R41041" s="36" t="s">
        <v>48</v>
      </c>
    </row>
    <row r="41042">
      <c r="H41042" s="50"/>
      <c r="I41042" s="50"/>
      <c r="O41042" s="36" t="s">
        <v>48</v>
      </c>
      <c r="R41042" s="36" t="s">
        <v>48</v>
      </c>
    </row>
    <row r="41043">
      <c r="H41043" s="50"/>
      <c r="I41043" s="50"/>
      <c r="O41043" s="36" t="s">
        <v>48</v>
      </c>
      <c r="R41043" s="36" t="s">
        <v>48</v>
      </c>
    </row>
    <row r="41044">
      <c r="H41044" s="50"/>
      <c r="I41044" s="50"/>
      <c r="O41044" s="36" t="s">
        <v>48</v>
      </c>
      <c r="R41044" s="36" t="s">
        <v>48</v>
      </c>
    </row>
    <row r="41045">
      <c r="H41045" s="50"/>
      <c r="I41045" s="50"/>
      <c r="O41045" s="36" t="s">
        <v>48</v>
      </c>
      <c r="R41045" s="36" t="s">
        <v>48</v>
      </c>
    </row>
    <row r="41046">
      <c r="H41046" s="50"/>
      <c r="I41046" s="50"/>
      <c r="O41046" s="36" t="s">
        <v>48</v>
      </c>
      <c r="R41046" s="36" t="s">
        <v>48</v>
      </c>
    </row>
    <row r="41047">
      <c r="H41047" s="50"/>
      <c r="I41047" s="50"/>
      <c r="O41047" s="36" t="s">
        <v>48</v>
      </c>
      <c r="R41047" s="36" t="s">
        <v>48</v>
      </c>
    </row>
    <row r="41048">
      <c r="H41048" s="50"/>
      <c r="I41048" s="50"/>
      <c r="O41048" s="36" t="s">
        <v>48</v>
      </c>
      <c r="R41048" s="36" t="s">
        <v>48</v>
      </c>
    </row>
    <row r="41049">
      <c r="H41049" s="50"/>
      <c r="I41049" s="50"/>
      <c r="O41049" s="36" t="s">
        <v>48</v>
      </c>
      <c r="R41049" s="36" t="s">
        <v>48</v>
      </c>
    </row>
    <row r="41050">
      <c r="H41050" s="50"/>
      <c r="I41050" s="50"/>
      <c r="O41050" s="36" t="s">
        <v>48</v>
      </c>
      <c r="R41050" s="36" t="s">
        <v>48</v>
      </c>
    </row>
    <row r="41051">
      <c r="H41051" s="50"/>
      <c r="I41051" s="50"/>
      <c r="O41051" s="36" t="s">
        <v>48</v>
      </c>
      <c r="R41051" s="36" t="s">
        <v>48</v>
      </c>
    </row>
    <row r="41052">
      <c r="H41052" s="50"/>
      <c r="I41052" s="50"/>
      <c r="O41052" s="36" t="s">
        <v>48</v>
      </c>
      <c r="R41052" s="36" t="s">
        <v>48</v>
      </c>
    </row>
    <row r="41053">
      <c r="H41053" s="50"/>
      <c r="I41053" s="50"/>
      <c r="O41053" s="36" t="s">
        <v>48</v>
      </c>
      <c r="R41053" s="36" t="s">
        <v>48</v>
      </c>
    </row>
    <row r="41054">
      <c r="H41054" s="50"/>
      <c r="I41054" s="50"/>
      <c r="O41054" s="36" t="s">
        <v>48</v>
      </c>
      <c r="R41054" s="36" t="s">
        <v>48</v>
      </c>
    </row>
    <row r="41055">
      <c r="H41055" s="50"/>
      <c r="I41055" s="50"/>
      <c r="O41055" s="36" t="s">
        <v>48</v>
      </c>
      <c r="R41055" s="36" t="s">
        <v>48</v>
      </c>
    </row>
    <row r="41056">
      <c r="H41056" s="50"/>
      <c r="I41056" s="50"/>
      <c r="O41056" s="36" t="s">
        <v>48</v>
      </c>
      <c r="R41056" s="36" t="s">
        <v>48</v>
      </c>
    </row>
    <row r="41057">
      <c r="H41057" s="50"/>
      <c r="I41057" s="50"/>
      <c r="O41057" s="36" t="s">
        <v>48</v>
      </c>
      <c r="R41057" s="36" t="s">
        <v>48</v>
      </c>
    </row>
    <row r="41058">
      <c r="H41058" s="50"/>
      <c r="I41058" s="50"/>
      <c r="O41058" s="36" t="s">
        <v>48</v>
      </c>
      <c r="R41058" s="36" t="s">
        <v>48</v>
      </c>
    </row>
    <row r="41059">
      <c r="H41059" s="50"/>
      <c r="I41059" s="50"/>
      <c r="O41059" s="36" t="s">
        <v>48</v>
      </c>
      <c r="R41059" s="36" t="s">
        <v>48</v>
      </c>
    </row>
    <row r="41060">
      <c r="H41060" s="50"/>
      <c r="I41060" s="50"/>
      <c r="O41060" s="36" t="s">
        <v>48</v>
      </c>
      <c r="R41060" s="36" t="s">
        <v>48</v>
      </c>
    </row>
    <row r="41061">
      <c r="H41061" s="50"/>
      <c r="I41061" s="50"/>
      <c r="O41061" s="36" t="s">
        <v>48</v>
      </c>
      <c r="R41061" s="36" t="s">
        <v>48</v>
      </c>
    </row>
    <row r="41062">
      <c r="H41062" s="50"/>
      <c r="I41062" s="50"/>
      <c r="O41062" s="36" t="s">
        <v>48</v>
      </c>
      <c r="R41062" s="36" t="s">
        <v>48</v>
      </c>
    </row>
    <row r="41063">
      <c r="H41063" s="50"/>
      <c r="I41063" s="50"/>
      <c r="O41063" s="36" t="s">
        <v>48</v>
      </c>
      <c r="R41063" s="36" t="s">
        <v>48</v>
      </c>
    </row>
    <row r="41064">
      <c r="H41064" s="50"/>
      <c r="I41064" s="50"/>
      <c r="O41064" s="36" t="s">
        <v>48</v>
      </c>
      <c r="R41064" s="36" t="s">
        <v>48</v>
      </c>
    </row>
    <row r="41065">
      <c r="H41065" s="50"/>
      <c r="I41065" s="50"/>
      <c r="O41065" s="36" t="s">
        <v>48</v>
      </c>
      <c r="R41065" s="36" t="s">
        <v>48</v>
      </c>
    </row>
    <row r="41066">
      <c r="H41066" s="50"/>
      <c r="I41066" s="50"/>
      <c r="O41066" s="36" t="s">
        <v>48</v>
      </c>
      <c r="R41066" s="36" t="s">
        <v>48</v>
      </c>
    </row>
    <row r="41067">
      <c r="H41067" s="50"/>
      <c r="I41067" s="50"/>
      <c r="O41067" s="36" t="s">
        <v>48</v>
      </c>
      <c r="R41067" s="36" t="s">
        <v>48</v>
      </c>
    </row>
    <row r="41068">
      <c r="H41068" s="50"/>
      <c r="I41068" s="50"/>
      <c r="O41068" s="36" t="s">
        <v>48</v>
      </c>
      <c r="R41068" s="36" t="s">
        <v>48</v>
      </c>
    </row>
    <row r="41069">
      <c r="H41069" s="50"/>
      <c r="I41069" s="50"/>
      <c r="O41069" s="36" t="s">
        <v>48</v>
      </c>
      <c r="R41069" s="36" t="s">
        <v>48</v>
      </c>
    </row>
    <row r="41070">
      <c r="H41070" s="50"/>
      <c r="I41070" s="50"/>
      <c r="O41070" s="36" t="s">
        <v>48</v>
      </c>
      <c r="R41070" s="36" t="s">
        <v>48</v>
      </c>
    </row>
    <row r="41071">
      <c r="H41071" s="50"/>
      <c r="I41071" s="50"/>
      <c r="O41071" s="36" t="s">
        <v>48</v>
      </c>
      <c r="R41071" s="36" t="s">
        <v>48</v>
      </c>
    </row>
    <row r="41072">
      <c r="H41072" s="50"/>
      <c r="I41072" s="50"/>
      <c r="O41072" s="36" t="s">
        <v>48</v>
      </c>
      <c r="R41072" s="36" t="s">
        <v>48</v>
      </c>
    </row>
    <row r="41073">
      <c r="H41073" s="50"/>
      <c r="I41073" s="50"/>
      <c r="O41073" s="36" t="s">
        <v>48</v>
      </c>
      <c r="R41073" s="36" t="s">
        <v>48</v>
      </c>
    </row>
    <row r="41074">
      <c r="H41074" s="50"/>
      <c r="I41074" s="50"/>
      <c r="O41074" s="36" t="s">
        <v>48</v>
      </c>
      <c r="R41074" s="36" t="s">
        <v>48</v>
      </c>
    </row>
    <row r="41075">
      <c r="H41075" s="50"/>
      <c r="I41075" s="50"/>
      <c r="O41075" s="36" t="s">
        <v>48</v>
      </c>
      <c r="R41075" s="36" t="s">
        <v>48</v>
      </c>
    </row>
    <row r="41076">
      <c r="H41076" s="50"/>
      <c r="I41076" s="50"/>
      <c r="O41076" s="36" t="s">
        <v>48</v>
      </c>
      <c r="R41076" s="36" t="s">
        <v>48</v>
      </c>
    </row>
    <row r="41077">
      <c r="H41077" s="50"/>
      <c r="I41077" s="50"/>
      <c r="O41077" s="36" t="s">
        <v>48</v>
      </c>
      <c r="R41077" s="36" t="s">
        <v>48</v>
      </c>
    </row>
    <row r="41078">
      <c r="H41078" s="50"/>
      <c r="I41078" s="50"/>
      <c r="O41078" s="36" t="s">
        <v>48</v>
      </c>
      <c r="R41078" s="36" t="s">
        <v>48</v>
      </c>
    </row>
    <row r="41079">
      <c r="H41079" s="50"/>
      <c r="I41079" s="50"/>
      <c r="O41079" s="36" t="s">
        <v>48</v>
      </c>
      <c r="R41079" s="36" t="s">
        <v>48</v>
      </c>
    </row>
    <row r="41080">
      <c r="H41080" s="50"/>
      <c r="I41080" s="50"/>
      <c r="O41080" s="36" t="s">
        <v>48</v>
      </c>
      <c r="R41080" s="36" t="s">
        <v>48</v>
      </c>
    </row>
    <row r="41081">
      <c r="H41081" s="50"/>
      <c r="I41081" s="50"/>
      <c r="O41081" s="36" t="s">
        <v>48</v>
      </c>
      <c r="R41081" s="36" t="s">
        <v>48</v>
      </c>
    </row>
    <row r="41082">
      <c r="H41082" s="50"/>
      <c r="I41082" s="50"/>
      <c r="O41082" s="36" t="s">
        <v>48</v>
      </c>
      <c r="R41082" s="36" t="s">
        <v>48</v>
      </c>
    </row>
    <row r="41083">
      <c r="H41083" s="50"/>
      <c r="I41083" s="50"/>
      <c r="O41083" s="36" t="s">
        <v>48</v>
      </c>
      <c r="R41083" s="36" t="s">
        <v>48</v>
      </c>
    </row>
    <row r="41084">
      <c r="H41084" s="50"/>
      <c r="I41084" s="50"/>
      <c r="O41084" s="36" t="s">
        <v>48</v>
      </c>
      <c r="R41084" s="36" t="s">
        <v>48</v>
      </c>
    </row>
    <row r="41085">
      <c r="H41085" s="50"/>
      <c r="I41085" s="50"/>
      <c r="O41085" s="36" t="s">
        <v>48</v>
      </c>
      <c r="R41085" s="36" t="s">
        <v>48</v>
      </c>
    </row>
    <row r="41086">
      <c r="H41086" s="50"/>
      <c r="I41086" s="50"/>
      <c r="O41086" s="36" t="s">
        <v>48</v>
      </c>
      <c r="R41086" s="36" t="s">
        <v>48</v>
      </c>
    </row>
    <row r="41087">
      <c r="H41087" s="50"/>
      <c r="I41087" s="50"/>
      <c r="O41087" s="36" t="s">
        <v>48</v>
      </c>
      <c r="R41087" s="36" t="s">
        <v>48</v>
      </c>
    </row>
    <row r="41088">
      <c r="H41088" s="50"/>
      <c r="I41088" s="50"/>
      <c r="O41088" s="36" t="s">
        <v>48</v>
      </c>
      <c r="R41088" s="36" t="s">
        <v>48</v>
      </c>
    </row>
    <row r="41089">
      <c r="H41089" s="50"/>
      <c r="I41089" s="50"/>
      <c r="O41089" s="36" t="s">
        <v>48</v>
      </c>
      <c r="R41089" s="36" t="s">
        <v>48</v>
      </c>
    </row>
    <row r="41090">
      <c r="H41090" s="50"/>
      <c r="I41090" s="50"/>
      <c r="O41090" s="36" t="s">
        <v>48</v>
      </c>
      <c r="R41090" s="36" t="s">
        <v>48</v>
      </c>
    </row>
    <row r="41091">
      <c r="H41091" s="50"/>
      <c r="I41091" s="50"/>
      <c r="O41091" s="36" t="s">
        <v>48</v>
      </c>
      <c r="R41091" s="36" t="s">
        <v>48</v>
      </c>
    </row>
    <row r="41092">
      <c r="H41092" s="50"/>
      <c r="I41092" s="50"/>
      <c r="O41092" s="36" t="s">
        <v>48</v>
      </c>
      <c r="R41092" s="36" t="s">
        <v>48</v>
      </c>
    </row>
    <row r="41093">
      <c r="H41093" s="50"/>
      <c r="I41093" s="50"/>
      <c r="O41093" s="36" t="s">
        <v>48</v>
      </c>
      <c r="R41093" s="36" t="s">
        <v>48</v>
      </c>
    </row>
    <row r="41094">
      <c r="H41094" s="50"/>
      <c r="I41094" s="50"/>
      <c r="O41094" s="36" t="s">
        <v>48</v>
      </c>
      <c r="R41094" s="36" t="s">
        <v>48</v>
      </c>
    </row>
    <row r="41095">
      <c r="H41095" s="50"/>
      <c r="I41095" s="50"/>
      <c r="O41095" s="36" t="s">
        <v>48</v>
      </c>
      <c r="R41095" s="36" t="s">
        <v>48</v>
      </c>
    </row>
    <row r="41096">
      <c r="H41096" s="50"/>
      <c r="I41096" s="50"/>
      <c r="O41096" s="36" t="s">
        <v>48</v>
      </c>
      <c r="R41096" s="36" t="s">
        <v>48</v>
      </c>
    </row>
    <row r="41097">
      <c r="H41097" s="50"/>
      <c r="I41097" s="50"/>
      <c r="O41097" s="36" t="s">
        <v>48</v>
      </c>
      <c r="R41097" s="36" t="s">
        <v>48</v>
      </c>
    </row>
    <row r="41098">
      <c r="H41098" s="50"/>
      <c r="I41098" s="50"/>
      <c r="O41098" s="36" t="s">
        <v>48</v>
      </c>
      <c r="R41098" s="36" t="s">
        <v>48</v>
      </c>
    </row>
    <row r="41099">
      <c r="H41099" s="50"/>
      <c r="I41099" s="50"/>
      <c r="O41099" s="36" t="s">
        <v>48</v>
      </c>
      <c r="R41099" s="36" t="s">
        <v>48</v>
      </c>
    </row>
    <row r="41100">
      <c r="H41100" s="50"/>
      <c r="I41100" s="50"/>
      <c r="O41100" s="36" t="s">
        <v>48</v>
      </c>
      <c r="R41100" s="36" t="s">
        <v>48</v>
      </c>
    </row>
    <row r="41101">
      <c r="H41101" s="50"/>
      <c r="I41101" s="50"/>
      <c r="O41101" s="36" t="s">
        <v>48</v>
      </c>
      <c r="R41101" s="36" t="s">
        <v>48</v>
      </c>
    </row>
    <row r="41102">
      <c r="H41102" s="50"/>
      <c r="I41102" s="50"/>
      <c r="O41102" s="36" t="s">
        <v>48</v>
      </c>
      <c r="R41102" s="36" t="s">
        <v>48</v>
      </c>
    </row>
    <row r="41103">
      <c r="H41103" s="50"/>
      <c r="I41103" s="50"/>
      <c r="O41103" s="36" t="s">
        <v>48</v>
      </c>
      <c r="R41103" s="36" t="s">
        <v>48</v>
      </c>
    </row>
    <row r="41104">
      <c r="H41104" s="50"/>
      <c r="I41104" s="50"/>
      <c r="O41104" s="36" t="s">
        <v>48</v>
      </c>
      <c r="R41104" s="36" t="s">
        <v>48</v>
      </c>
    </row>
    <row r="41105">
      <c r="H41105" s="50"/>
      <c r="I41105" s="50"/>
      <c r="O41105" s="36" t="s">
        <v>48</v>
      </c>
      <c r="R41105" s="36" t="s">
        <v>48</v>
      </c>
    </row>
    <row r="41106">
      <c r="H41106" s="50"/>
      <c r="I41106" s="50"/>
      <c r="O41106" s="36" t="s">
        <v>48</v>
      </c>
      <c r="R41106" s="36" t="s">
        <v>48</v>
      </c>
    </row>
    <row r="41107">
      <c r="H41107" s="50"/>
      <c r="I41107" s="50"/>
      <c r="O41107" s="36" t="s">
        <v>48</v>
      </c>
      <c r="R41107" s="36" t="s">
        <v>48</v>
      </c>
    </row>
    <row r="41108">
      <c r="H41108" s="50"/>
      <c r="I41108" s="50"/>
      <c r="O41108" s="36" t="s">
        <v>48</v>
      </c>
      <c r="R41108" s="36" t="s">
        <v>48</v>
      </c>
    </row>
    <row r="41109">
      <c r="H41109" s="50"/>
      <c r="I41109" s="50"/>
      <c r="O41109" s="36" t="s">
        <v>48</v>
      </c>
      <c r="R41109" s="36" t="s">
        <v>48</v>
      </c>
    </row>
    <row r="41110">
      <c r="H41110" s="50"/>
      <c r="I41110" s="50"/>
      <c r="O41110" s="36" t="s">
        <v>48</v>
      </c>
      <c r="R41110" s="36" t="s">
        <v>48</v>
      </c>
    </row>
    <row r="41111">
      <c r="H41111" s="50"/>
      <c r="I41111" s="50"/>
      <c r="O41111" s="36" t="s">
        <v>48</v>
      </c>
      <c r="R41111" s="36" t="s">
        <v>48</v>
      </c>
    </row>
    <row r="41112">
      <c r="H41112" s="50"/>
      <c r="I41112" s="50"/>
      <c r="O41112" s="36" t="s">
        <v>48</v>
      </c>
      <c r="R41112" s="36" t="s">
        <v>48</v>
      </c>
    </row>
    <row r="41113">
      <c r="H41113" s="50"/>
      <c r="I41113" s="50"/>
      <c r="O41113" s="36" t="s">
        <v>48</v>
      </c>
      <c r="R41113" s="36" t="s">
        <v>48</v>
      </c>
    </row>
    <row r="41114">
      <c r="H41114" s="50"/>
      <c r="I41114" s="50"/>
      <c r="O41114" s="36" t="s">
        <v>48</v>
      </c>
      <c r="R41114" s="36" t="s">
        <v>48</v>
      </c>
    </row>
    <row r="41115">
      <c r="H41115" s="50"/>
      <c r="I41115" s="50"/>
      <c r="O41115" s="36" t="s">
        <v>48</v>
      </c>
      <c r="R41115" s="36" t="s">
        <v>48</v>
      </c>
    </row>
    <row r="41116">
      <c r="H41116" s="50"/>
      <c r="I41116" s="50"/>
      <c r="O41116" s="36" t="s">
        <v>48</v>
      </c>
      <c r="R41116" s="36" t="s">
        <v>48</v>
      </c>
    </row>
    <row r="41117">
      <c r="H41117" s="50"/>
      <c r="I41117" s="50"/>
      <c r="O41117" s="36" t="s">
        <v>48</v>
      </c>
      <c r="R41117" s="36" t="s">
        <v>48</v>
      </c>
    </row>
    <row r="41118">
      <c r="H41118" s="50"/>
      <c r="I41118" s="50"/>
      <c r="O41118" s="36" t="s">
        <v>48</v>
      </c>
      <c r="R41118" s="36" t="s">
        <v>48</v>
      </c>
    </row>
    <row r="41119">
      <c r="H41119" s="50"/>
      <c r="I41119" s="50"/>
      <c r="O41119" s="36" t="s">
        <v>48</v>
      </c>
      <c r="R41119" s="36" t="s">
        <v>48</v>
      </c>
    </row>
    <row r="41120">
      <c r="H41120" s="50"/>
      <c r="I41120" s="50"/>
      <c r="O41120" s="36" t="s">
        <v>48</v>
      </c>
      <c r="R41120" s="36" t="s">
        <v>48</v>
      </c>
    </row>
    <row r="41121">
      <c r="H41121" s="50"/>
      <c r="I41121" s="50"/>
      <c r="O41121" s="36" t="s">
        <v>48</v>
      </c>
      <c r="R41121" s="36" t="s">
        <v>48</v>
      </c>
    </row>
    <row r="41122">
      <c r="H41122" s="50"/>
      <c r="I41122" s="50"/>
      <c r="O41122" s="36" t="s">
        <v>48</v>
      </c>
      <c r="R41122" s="36" t="s">
        <v>48</v>
      </c>
    </row>
    <row r="41123">
      <c r="H41123" s="50"/>
      <c r="I41123" s="50"/>
      <c r="O41123" s="36" t="s">
        <v>48</v>
      </c>
      <c r="R41123" s="36" t="s">
        <v>48</v>
      </c>
    </row>
    <row r="41124">
      <c r="H41124" s="50"/>
      <c r="I41124" s="50"/>
      <c r="O41124" s="36" t="s">
        <v>48</v>
      </c>
      <c r="R41124" s="36" t="s">
        <v>48</v>
      </c>
    </row>
    <row r="41125">
      <c r="H41125" s="50"/>
      <c r="I41125" s="50"/>
      <c r="O41125" s="36" t="s">
        <v>48</v>
      </c>
      <c r="R41125" s="36" t="s">
        <v>48</v>
      </c>
    </row>
    <row r="41126">
      <c r="H41126" s="50"/>
      <c r="I41126" s="50"/>
      <c r="O41126" s="36" t="s">
        <v>48</v>
      </c>
      <c r="R41126" s="36" t="s">
        <v>48</v>
      </c>
    </row>
    <row r="41127">
      <c r="H41127" s="50"/>
      <c r="I41127" s="50"/>
      <c r="O41127" s="36" t="s">
        <v>48</v>
      </c>
      <c r="R41127" s="36" t="s">
        <v>48</v>
      </c>
    </row>
    <row r="41128">
      <c r="H41128" s="50"/>
      <c r="I41128" s="50"/>
      <c r="O41128" s="36" t="s">
        <v>48</v>
      </c>
      <c r="R41128" s="36" t="s">
        <v>48</v>
      </c>
    </row>
    <row r="41129">
      <c r="H41129" s="50"/>
      <c r="I41129" s="50"/>
      <c r="O41129" s="36" t="s">
        <v>48</v>
      </c>
      <c r="R41129" s="36" t="s">
        <v>48</v>
      </c>
    </row>
    <row r="41130">
      <c r="H41130" s="50"/>
      <c r="I41130" s="50"/>
      <c r="O41130" s="36" t="s">
        <v>48</v>
      </c>
      <c r="R41130" s="36" t="s">
        <v>48</v>
      </c>
    </row>
    <row r="41131">
      <c r="H41131" s="50"/>
      <c r="I41131" s="50"/>
      <c r="O41131" s="36" t="s">
        <v>48</v>
      </c>
      <c r="R41131" s="36" t="s">
        <v>48</v>
      </c>
    </row>
    <row r="41132">
      <c r="H41132" s="50"/>
      <c r="I41132" s="50"/>
      <c r="O41132" s="36" t="s">
        <v>48</v>
      </c>
      <c r="R41132" s="36" t="s">
        <v>48</v>
      </c>
    </row>
    <row r="41133">
      <c r="H41133" s="50"/>
      <c r="I41133" s="50"/>
      <c r="O41133" s="36" t="s">
        <v>48</v>
      </c>
      <c r="R41133" s="36" t="s">
        <v>48</v>
      </c>
    </row>
    <row r="41134">
      <c r="H41134" s="50"/>
      <c r="I41134" s="50"/>
      <c r="O41134" s="36" t="s">
        <v>48</v>
      </c>
      <c r="R41134" s="36" t="s">
        <v>48</v>
      </c>
    </row>
    <row r="41135">
      <c r="H41135" s="50"/>
      <c r="I41135" s="50"/>
      <c r="O41135" s="36" t="s">
        <v>48</v>
      </c>
      <c r="R41135" s="36" t="s">
        <v>48</v>
      </c>
    </row>
    <row r="41136">
      <c r="H41136" s="50"/>
      <c r="I41136" s="50"/>
      <c r="O41136" s="36" t="s">
        <v>48</v>
      </c>
      <c r="R41136" s="36" t="s">
        <v>48</v>
      </c>
    </row>
    <row r="41137">
      <c r="H41137" s="50"/>
      <c r="I41137" s="50"/>
      <c r="O41137" s="36" t="s">
        <v>48</v>
      </c>
      <c r="R41137" s="36" t="s">
        <v>48</v>
      </c>
    </row>
    <row r="41138">
      <c r="H41138" s="50"/>
      <c r="I41138" s="50"/>
      <c r="O41138" s="36" t="s">
        <v>48</v>
      </c>
      <c r="R41138" s="36" t="s">
        <v>48</v>
      </c>
    </row>
    <row r="41139">
      <c r="H41139" s="50"/>
      <c r="I41139" s="50"/>
      <c r="O41139" s="36" t="s">
        <v>48</v>
      </c>
      <c r="R41139" s="36" t="s">
        <v>48</v>
      </c>
    </row>
    <row r="41140">
      <c r="H41140" s="50"/>
      <c r="I41140" s="50"/>
      <c r="O41140" s="36" t="s">
        <v>48</v>
      </c>
      <c r="R41140" s="36" t="s">
        <v>48</v>
      </c>
    </row>
    <row r="41141">
      <c r="H41141" s="50"/>
      <c r="I41141" s="50"/>
      <c r="O41141" s="36" t="s">
        <v>48</v>
      </c>
      <c r="R41141" s="36" t="s">
        <v>48</v>
      </c>
    </row>
    <row r="41142">
      <c r="H41142" s="50"/>
      <c r="I41142" s="50"/>
      <c r="O41142" s="36" t="s">
        <v>48</v>
      </c>
      <c r="R41142" s="36" t="s">
        <v>48</v>
      </c>
    </row>
    <row r="41143">
      <c r="H41143" s="50"/>
      <c r="I41143" s="50"/>
      <c r="O41143" s="36" t="s">
        <v>48</v>
      </c>
      <c r="R41143" s="36" t="s">
        <v>48</v>
      </c>
    </row>
    <row r="41144">
      <c r="H41144" s="50"/>
      <c r="I41144" s="50"/>
      <c r="O41144" s="36" t="s">
        <v>48</v>
      </c>
      <c r="R41144" s="36" t="s">
        <v>48</v>
      </c>
    </row>
    <row r="41145">
      <c r="H41145" s="50"/>
      <c r="I41145" s="50"/>
      <c r="O41145" s="36" t="s">
        <v>48</v>
      </c>
      <c r="R41145" s="36" t="s">
        <v>48</v>
      </c>
    </row>
    <row r="41146">
      <c r="H41146" s="50"/>
      <c r="I41146" s="50"/>
      <c r="O41146" s="36" t="s">
        <v>48</v>
      </c>
      <c r="R41146" s="36" t="s">
        <v>48</v>
      </c>
    </row>
    <row r="41147">
      <c r="H41147" s="50"/>
      <c r="I41147" s="50"/>
      <c r="O41147" s="36" t="s">
        <v>48</v>
      </c>
      <c r="R41147" s="36" t="s">
        <v>48</v>
      </c>
    </row>
    <row r="41148">
      <c r="H41148" s="50"/>
      <c r="I41148" s="50"/>
      <c r="O41148" s="36" t="s">
        <v>48</v>
      </c>
      <c r="R41148" s="36" t="s">
        <v>48</v>
      </c>
    </row>
    <row r="41149">
      <c r="H41149" s="50"/>
      <c r="I41149" s="50"/>
      <c r="O41149" s="36" t="s">
        <v>48</v>
      </c>
      <c r="R41149" s="36" t="s">
        <v>48</v>
      </c>
    </row>
    <row r="41150">
      <c r="H41150" s="50"/>
      <c r="I41150" s="50"/>
      <c r="O41150" s="36" t="s">
        <v>48</v>
      </c>
      <c r="R41150" s="36" t="s">
        <v>48</v>
      </c>
    </row>
    <row r="41151">
      <c r="H41151" s="50"/>
      <c r="I41151" s="50"/>
      <c r="O41151" s="36" t="s">
        <v>48</v>
      </c>
      <c r="R41151" s="36" t="s">
        <v>48</v>
      </c>
    </row>
    <row r="41152">
      <c r="H41152" s="50"/>
      <c r="I41152" s="50"/>
      <c r="O41152" s="36" t="s">
        <v>48</v>
      </c>
      <c r="R41152" s="36" t="s">
        <v>48</v>
      </c>
    </row>
    <row r="41153">
      <c r="H41153" s="50"/>
      <c r="I41153" s="50"/>
      <c r="O41153" s="36" t="s">
        <v>48</v>
      </c>
      <c r="R41153" s="36" t="s">
        <v>48</v>
      </c>
    </row>
    <row r="41154">
      <c r="H41154" s="50"/>
      <c r="I41154" s="50"/>
      <c r="O41154" s="36" t="s">
        <v>48</v>
      </c>
      <c r="R41154" s="36" t="s">
        <v>48</v>
      </c>
    </row>
    <row r="41155">
      <c r="H41155" s="50"/>
      <c r="I41155" s="50"/>
      <c r="O41155" s="36" t="s">
        <v>48</v>
      </c>
      <c r="R41155" s="36" t="s">
        <v>48</v>
      </c>
    </row>
    <row r="41156">
      <c r="H41156" s="50"/>
      <c r="I41156" s="50"/>
      <c r="O41156" s="36" t="s">
        <v>48</v>
      </c>
      <c r="R41156" s="36" t="s">
        <v>48</v>
      </c>
    </row>
    <row r="41157">
      <c r="H41157" s="50"/>
      <c r="I41157" s="50"/>
      <c r="O41157" s="36" t="s">
        <v>48</v>
      </c>
      <c r="R41157" s="36" t="s">
        <v>48</v>
      </c>
    </row>
    <row r="41158">
      <c r="H41158" s="50"/>
      <c r="I41158" s="50"/>
      <c r="O41158" s="36" t="s">
        <v>48</v>
      </c>
      <c r="R41158" s="36" t="s">
        <v>48</v>
      </c>
    </row>
    <row r="41159">
      <c r="H41159" s="50"/>
      <c r="I41159" s="50"/>
      <c r="O41159" s="36" t="s">
        <v>48</v>
      </c>
      <c r="R41159" s="36" t="s">
        <v>48</v>
      </c>
    </row>
    <row r="41160">
      <c r="H41160" s="50"/>
      <c r="I41160" s="50"/>
      <c r="O41160" s="36" t="s">
        <v>48</v>
      </c>
      <c r="R41160" s="36" t="s">
        <v>48</v>
      </c>
    </row>
    <row r="41161">
      <c r="H41161" s="50"/>
      <c r="I41161" s="50"/>
      <c r="O41161" s="36" t="s">
        <v>48</v>
      </c>
      <c r="R41161" s="36" t="s">
        <v>48</v>
      </c>
    </row>
    <row r="41162">
      <c r="H41162" s="50"/>
      <c r="I41162" s="50"/>
      <c r="O41162" s="36" t="s">
        <v>48</v>
      </c>
      <c r="R41162" s="36" t="s">
        <v>48</v>
      </c>
    </row>
    <row r="41163">
      <c r="H41163" s="50"/>
      <c r="I41163" s="50"/>
      <c r="O41163" s="36" t="s">
        <v>48</v>
      </c>
      <c r="R41163" s="36" t="s">
        <v>48</v>
      </c>
    </row>
    <row r="41164">
      <c r="H41164" s="50"/>
      <c r="I41164" s="50"/>
      <c r="O41164" s="36" t="s">
        <v>48</v>
      </c>
      <c r="R41164" s="36" t="s">
        <v>48</v>
      </c>
    </row>
    <row r="41165">
      <c r="H41165" s="50"/>
      <c r="I41165" s="50"/>
      <c r="O41165" s="36" t="s">
        <v>48</v>
      </c>
      <c r="R41165" s="36" t="s">
        <v>48</v>
      </c>
    </row>
    <row r="41166">
      <c r="H41166" s="50"/>
      <c r="I41166" s="50"/>
      <c r="O41166" s="36" t="s">
        <v>48</v>
      </c>
      <c r="R41166" s="36" t="s">
        <v>48</v>
      </c>
    </row>
    <row r="41167">
      <c r="H41167" s="50"/>
      <c r="I41167" s="50"/>
      <c r="O41167" s="36" t="s">
        <v>48</v>
      </c>
      <c r="R41167" s="36" t="s">
        <v>48</v>
      </c>
    </row>
    <row r="41168">
      <c r="H41168" s="50"/>
      <c r="I41168" s="50"/>
      <c r="O41168" s="36" t="s">
        <v>48</v>
      </c>
      <c r="R41168" s="36" t="s">
        <v>48</v>
      </c>
    </row>
    <row r="41169">
      <c r="H41169" s="50"/>
      <c r="I41169" s="50"/>
      <c r="O41169" s="36" t="s">
        <v>48</v>
      </c>
      <c r="R41169" s="36" t="s">
        <v>48</v>
      </c>
    </row>
    <row r="41170">
      <c r="H41170" s="50"/>
      <c r="I41170" s="50"/>
      <c r="O41170" s="36" t="s">
        <v>48</v>
      </c>
      <c r="R41170" s="36" t="s">
        <v>48</v>
      </c>
    </row>
    <row r="41171">
      <c r="H41171" s="50"/>
      <c r="I41171" s="50"/>
      <c r="O41171" s="36" t="s">
        <v>48</v>
      </c>
      <c r="R41171" s="36" t="s">
        <v>48</v>
      </c>
    </row>
    <row r="41172">
      <c r="H41172" s="50"/>
      <c r="I41172" s="50"/>
      <c r="O41172" s="36" t="s">
        <v>48</v>
      </c>
      <c r="R41172" s="36" t="s">
        <v>48</v>
      </c>
    </row>
    <row r="41173">
      <c r="H41173" s="50"/>
      <c r="I41173" s="50"/>
      <c r="O41173" s="36" t="s">
        <v>48</v>
      </c>
      <c r="R41173" s="36" t="s">
        <v>48</v>
      </c>
    </row>
    <row r="41174">
      <c r="H41174" s="50"/>
      <c r="I41174" s="50"/>
      <c r="O41174" s="36" t="s">
        <v>48</v>
      </c>
      <c r="R41174" s="36" t="s">
        <v>48</v>
      </c>
    </row>
    <row r="41175">
      <c r="H41175" s="50"/>
      <c r="I41175" s="50"/>
      <c r="O41175" s="36" t="s">
        <v>48</v>
      </c>
      <c r="R41175" s="36" t="s">
        <v>48</v>
      </c>
    </row>
    <row r="41176">
      <c r="H41176" s="50"/>
      <c r="I41176" s="50"/>
      <c r="O41176" s="36" t="s">
        <v>48</v>
      </c>
      <c r="R41176" s="36" t="s">
        <v>48</v>
      </c>
    </row>
    <row r="41177">
      <c r="H41177" s="50"/>
      <c r="I41177" s="50"/>
      <c r="O41177" s="36" t="s">
        <v>48</v>
      </c>
      <c r="R41177" s="36" t="s">
        <v>48</v>
      </c>
    </row>
    <row r="41178">
      <c r="H41178" s="50"/>
      <c r="I41178" s="50"/>
      <c r="O41178" s="36" t="s">
        <v>48</v>
      </c>
      <c r="R41178" s="36" t="s">
        <v>48</v>
      </c>
    </row>
    <row r="41179">
      <c r="H41179" s="50"/>
      <c r="I41179" s="50"/>
      <c r="O41179" s="36" t="s">
        <v>48</v>
      </c>
      <c r="R41179" s="36" t="s">
        <v>48</v>
      </c>
    </row>
    <row r="41180">
      <c r="H41180" s="50"/>
      <c r="I41180" s="50"/>
      <c r="O41180" s="36" t="s">
        <v>48</v>
      </c>
      <c r="R41180" s="36" t="s">
        <v>48</v>
      </c>
    </row>
    <row r="41181">
      <c r="H41181" s="50"/>
      <c r="I41181" s="50"/>
      <c r="O41181" s="36" t="s">
        <v>48</v>
      </c>
      <c r="R41181" s="36" t="s">
        <v>48</v>
      </c>
    </row>
    <row r="41182">
      <c r="H41182" s="50"/>
      <c r="I41182" s="50"/>
      <c r="O41182" s="36" t="s">
        <v>48</v>
      </c>
      <c r="R41182" s="36" t="s">
        <v>48</v>
      </c>
    </row>
    <row r="41183">
      <c r="H41183" s="50"/>
      <c r="I41183" s="50"/>
      <c r="O41183" s="36" t="s">
        <v>48</v>
      </c>
      <c r="R41183" s="36" t="s">
        <v>48</v>
      </c>
    </row>
    <row r="41184">
      <c r="H41184" s="50"/>
      <c r="I41184" s="50"/>
      <c r="O41184" s="36" t="s">
        <v>48</v>
      </c>
      <c r="R41184" s="36" t="s">
        <v>48</v>
      </c>
    </row>
    <row r="41185">
      <c r="H41185" s="50"/>
      <c r="I41185" s="50"/>
      <c r="O41185" s="36" t="s">
        <v>48</v>
      </c>
      <c r="R41185" s="36" t="s">
        <v>48</v>
      </c>
    </row>
    <row r="41186">
      <c r="H41186" s="50"/>
      <c r="I41186" s="50"/>
      <c r="O41186" s="36" t="s">
        <v>48</v>
      </c>
      <c r="R41186" s="36" t="s">
        <v>48</v>
      </c>
    </row>
    <row r="41187">
      <c r="H41187" s="50"/>
      <c r="I41187" s="50"/>
      <c r="O41187" s="36" t="s">
        <v>48</v>
      </c>
      <c r="R41187" s="36" t="s">
        <v>48</v>
      </c>
    </row>
    <row r="41188">
      <c r="H41188" s="50"/>
      <c r="I41188" s="50"/>
      <c r="O41188" s="36" t="s">
        <v>48</v>
      </c>
      <c r="R41188" s="36" t="s">
        <v>48</v>
      </c>
    </row>
    <row r="41189">
      <c r="H41189" s="50"/>
      <c r="I41189" s="50"/>
      <c r="O41189" s="36" t="s">
        <v>48</v>
      </c>
      <c r="R41189" s="36" t="s">
        <v>48</v>
      </c>
    </row>
    <row r="41190">
      <c r="H41190" s="50"/>
      <c r="I41190" s="50"/>
      <c r="O41190" s="36" t="s">
        <v>48</v>
      </c>
      <c r="R41190" s="36" t="s">
        <v>48</v>
      </c>
    </row>
    <row r="41191">
      <c r="H41191" s="50"/>
      <c r="I41191" s="50"/>
      <c r="O41191" s="36" t="s">
        <v>48</v>
      </c>
      <c r="R41191" s="36" t="s">
        <v>48</v>
      </c>
    </row>
    <row r="41192">
      <c r="H41192" s="50"/>
      <c r="I41192" s="50"/>
      <c r="O41192" s="36" t="s">
        <v>48</v>
      </c>
      <c r="R41192" s="36" t="s">
        <v>48</v>
      </c>
    </row>
    <row r="41193">
      <c r="H41193" s="50"/>
      <c r="I41193" s="50"/>
      <c r="O41193" s="36" t="s">
        <v>48</v>
      </c>
      <c r="R41193" s="36" t="s">
        <v>48</v>
      </c>
    </row>
    <row r="41194">
      <c r="H41194" s="50"/>
      <c r="I41194" s="50"/>
      <c r="O41194" s="36" t="s">
        <v>48</v>
      </c>
      <c r="R41194" s="36" t="s">
        <v>48</v>
      </c>
    </row>
    <row r="41195">
      <c r="H41195" s="50"/>
      <c r="I41195" s="50"/>
      <c r="O41195" s="36" t="s">
        <v>48</v>
      </c>
      <c r="R41195" s="36" t="s">
        <v>48</v>
      </c>
    </row>
    <row r="41196">
      <c r="H41196" s="50"/>
      <c r="I41196" s="50"/>
      <c r="O41196" s="36" t="s">
        <v>48</v>
      </c>
      <c r="R41196" s="36" t="s">
        <v>48</v>
      </c>
    </row>
    <row r="41197">
      <c r="H41197" s="50"/>
      <c r="I41197" s="50"/>
      <c r="O41197" s="36" t="s">
        <v>48</v>
      </c>
      <c r="R41197" s="36" t="s">
        <v>48</v>
      </c>
    </row>
    <row r="41198">
      <c r="H41198" s="50"/>
      <c r="I41198" s="50"/>
      <c r="O41198" s="36" t="s">
        <v>48</v>
      </c>
      <c r="R41198" s="36" t="s">
        <v>48</v>
      </c>
    </row>
    <row r="41199">
      <c r="H41199" s="50"/>
      <c r="I41199" s="50"/>
      <c r="O41199" s="36" t="s">
        <v>48</v>
      </c>
      <c r="R41199" s="36" t="s">
        <v>48</v>
      </c>
    </row>
    <row r="41200">
      <c r="H41200" s="50"/>
      <c r="I41200" s="50"/>
      <c r="O41200" s="36" t="s">
        <v>48</v>
      </c>
      <c r="R41200" s="36" t="s">
        <v>48</v>
      </c>
    </row>
    <row r="41201">
      <c r="H41201" s="50"/>
      <c r="I41201" s="50"/>
      <c r="O41201" s="36" t="s">
        <v>48</v>
      </c>
      <c r="R41201" s="36" t="s">
        <v>48</v>
      </c>
    </row>
    <row r="41202">
      <c r="H41202" s="50"/>
      <c r="I41202" s="50"/>
      <c r="O41202" s="36" t="s">
        <v>48</v>
      </c>
      <c r="R41202" s="36" t="s">
        <v>48</v>
      </c>
    </row>
    <row r="41203">
      <c r="H41203" s="50"/>
      <c r="I41203" s="50"/>
      <c r="O41203" s="36" t="s">
        <v>48</v>
      </c>
      <c r="R41203" s="36" t="s">
        <v>48</v>
      </c>
    </row>
    <row r="41204">
      <c r="H41204" s="50"/>
      <c r="I41204" s="50"/>
      <c r="O41204" s="36" t="s">
        <v>48</v>
      </c>
      <c r="R41204" s="36" t="s">
        <v>48</v>
      </c>
    </row>
    <row r="41205">
      <c r="H41205" s="50"/>
      <c r="I41205" s="50"/>
      <c r="O41205" s="36" t="s">
        <v>48</v>
      </c>
      <c r="R41205" s="36" t="s">
        <v>48</v>
      </c>
    </row>
    <row r="41206">
      <c r="H41206" s="50"/>
      <c r="I41206" s="50"/>
      <c r="O41206" s="36" t="s">
        <v>48</v>
      </c>
      <c r="R41206" s="36" t="s">
        <v>48</v>
      </c>
    </row>
    <row r="41207">
      <c r="H41207" s="50"/>
      <c r="I41207" s="50"/>
      <c r="O41207" s="36" t="s">
        <v>48</v>
      </c>
      <c r="R41207" s="36" t="s">
        <v>48</v>
      </c>
    </row>
    <row r="41208">
      <c r="H41208" s="50"/>
      <c r="I41208" s="50"/>
      <c r="O41208" s="36" t="s">
        <v>48</v>
      </c>
      <c r="R41208" s="36" t="s">
        <v>48</v>
      </c>
    </row>
    <row r="41209">
      <c r="H41209" s="50"/>
      <c r="I41209" s="50"/>
      <c r="O41209" s="36" t="s">
        <v>48</v>
      </c>
      <c r="R41209" s="36" t="s">
        <v>48</v>
      </c>
    </row>
    <row r="41210">
      <c r="H41210" s="50"/>
      <c r="I41210" s="50"/>
      <c r="O41210" s="36" t="s">
        <v>48</v>
      </c>
      <c r="R41210" s="36" t="s">
        <v>48</v>
      </c>
    </row>
    <row r="41211">
      <c r="H41211" s="50"/>
      <c r="I41211" s="50"/>
      <c r="O41211" s="36" t="s">
        <v>48</v>
      </c>
      <c r="R41211" s="36" t="s">
        <v>48</v>
      </c>
    </row>
    <row r="41212">
      <c r="H41212" s="50"/>
      <c r="I41212" s="50"/>
      <c r="O41212" s="36" t="s">
        <v>48</v>
      </c>
      <c r="R41212" s="36" t="s">
        <v>48</v>
      </c>
    </row>
    <row r="41213">
      <c r="H41213" s="50"/>
      <c r="I41213" s="50"/>
      <c r="O41213" s="36" t="s">
        <v>48</v>
      </c>
      <c r="R41213" s="36" t="s">
        <v>48</v>
      </c>
    </row>
    <row r="41214">
      <c r="H41214" s="50"/>
      <c r="I41214" s="50"/>
      <c r="O41214" s="36" t="s">
        <v>48</v>
      </c>
      <c r="R41214" s="36" t="s">
        <v>48</v>
      </c>
    </row>
    <row r="41215">
      <c r="H41215" s="50"/>
      <c r="I41215" s="50"/>
      <c r="O41215" s="36" t="s">
        <v>48</v>
      </c>
      <c r="R41215" s="36" t="s">
        <v>48</v>
      </c>
    </row>
    <row r="41216">
      <c r="H41216" s="50"/>
      <c r="I41216" s="50"/>
      <c r="O41216" s="36" t="s">
        <v>48</v>
      </c>
      <c r="R41216" s="36" t="s">
        <v>48</v>
      </c>
    </row>
    <row r="41217">
      <c r="H41217" s="50"/>
      <c r="I41217" s="50"/>
      <c r="O41217" s="36" t="s">
        <v>48</v>
      </c>
      <c r="R41217" s="36" t="s">
        <v>48</v>
      </c>
    </row>
    <row r="41218">
      <c r="H41218" s="50"/>
      <c r="I41218" s="50"/>
      <c r="O41218" s="36" t="s">
        <v>48</v>
      </c>
      <c r="R41218" s="36" t="s">
        <v>48</v>
      </c>
    </row>
    <row r="41219">
      <c r="H41219" s="50"/>
      <c r="I41219" s="50"/>
      <c r="O41219" s="36" t="s">
        <v>48</v>
      </c>
      <c r="R41219" s="36" t="s">
        <v>48</v>
      </c>
    </row>
    <row r="41220">
      <c r="H41220" s="50"/>
      <c r="I41220" s="50"/>
      <c r="O41220" s="36" t="s">
        <v>48</v>
      </c>
      <c r="R41220" s="36" t="s">
        <v>48</v>
      </c>
    </row>
    <row r="41221">
      <c r="H41221" s="50"/>
      <c r="I41221" s="50"/>
      <c r="O41221" s="36" t="s">
        <v>48</v>
      </c>
      <c r="R41221" s="36" t="s">
        <v>48</v>
      </c>
    </row>
    <row r="41222">
      <c r="H41222" s="50"/>
      <c r="I41222" s="50"/>
      <c r="O41222" s="36" t="s">
        <v>48</v>
      </c>
      <c r="R41222" s="36" t="s">
        <v>48</v>
      </c>
    </row>
    <row r="41223">
      <c r="H41223" s="50"/>
      <c r="I41223" s="50"/>
      <c r="O41223" s="36" t="s">
        <v>48</v>
      </c>
      <c r="R41223" s="36" t="s">
        <v>48</v>
      </c>
    </row>
    <row r="41224">
      <c r="H41224" s="50"/>
      <c r="I41224" s="50"/>
      <c r="O41224" s="36" t="s">
        <v>48</v>
      </c>
      <c r="R41224" s="36" t="s">
        <v>48</v>
      </c>
    </row>
    <row r="41225">
      <c r="H41225" s="50"/>
      <c r="I41225" s="50"/>
      <c r="O41225" s="36" t="s">
        <v>48</v>
      </c>
      <c r="R41225" s="36" t="s">
        <v>48</v>
      </c>
    </row>
    <row r="41226">
      <c r="H41226" s="50"/>
      <c r="I41226" s="50"/>
      <c r="O41226" s="36" t="s">
        <v>48</v>
      </c>
      <c r="R41226" s="36" t="s">
        <v>48</v>
      </c>
    </row>
    <row r="41227">
      <c r="H41227" s="50"/>
      <c r="I41227" s="50"/>
      <c r="O41227" s="36" t="s">
        <v>48</v>
      </c>
      <c r="R41227" s="36" t="s">
        <v>48</v>
      </c>
    </row>
    <row r="41228">
      <c r="H41228" s="50"/>
      <c r="I41228" s="50"/>
      <c r="O41228" s="36" t="s">
        <v>48</v>
      </c>
      <c r="R41228" s="36" t="s">
        <v>48</v>
      </c>
    </row>
    <row r="41229">
      <c r="H41229" s="50"/>
      <c r="I41229" s="50"/>
      <c r="O41229" s="36" t="s">
        <v>48</v>
      </c>
      <c r="R41229" s="36" t="s">
        <v>48</v>
      </c>
    </row>
    <row r="41230">
      <c r="H41230" s="50"/>
      <c r="I41230" s="50"/>
      <c r="O41230" s="36" t="s">
        <v>48</v>
      </c>
      <c r="R41230" s="36" t="s">
        <v>48</v>
      </c>
    </row>
    <row r="41231">
      <c r="H41231" s="50"/>
      <c r="I41231" s="50"/>
      <c r="O41231" s="36" t="s">
        <v>48</v>
      </c>
      <c r="R41231" s="36" t="s">
        <v>48</v>
      </c>
    </row>
    <row r="41232">
      <c r="H41232" s="50"/>
      <c r="I41232" s="50"/>
      <c r="O41232" s="36" t="s">
        <v>48</v>
      </c>
      <c r="R41232" s="36" t="s">
        <v>48</v>
      </c>
    </row>
    <row r="41233">
      <c r="H41233" s="50"/>
      <c r="I41233" s="50"/>
      <c r="O41233" s="36" t="s">
        <v>48</v>
      </c>
      <c r="R41233" s="36" t="s">
        <v>48</v>
      </c>
    </row>
    <row r="41234">
      <c r="H41234" s="50"/>
      <c r="I41234" s="50"/>
      <c r="O41234" s="36" t="s">
        <v>48</v>
      </c>
      <c r="R41234" s="36" t="s">
        <v>48</v>
      </c>
    </row>
    <row r="41235">
      <c r="H41235" s="50"/>
      <c r="I41235" s="50"/>
      <c r="O41235" s="36" t="s">
        <v>48</v>
      </c>
      <c r="R41235" s="36" t="s">
        <v>48</v>
      </c>
    </row>
    <row r="41236">
      <c r="H41236" s="50"/>
      <c r="I41236" s="50"/>
      <c r="O41236" s="36" t="s">
        <v>48</v>
      </c>
      <c r="R41236" s="36" t="s">
        <v>48</v>
      </c>
    </row>
    <row r="41237">
      <c r="H41237" s="50"/>
      <c r="I41237" s="50"/>
      <c r="O41237" s="36" t="s">
        <v>48</v>
      </c>
      <c r="R41237" s="36" t="s">
        <v>48</v>
      </c>
    </row>
    <row r="41238">
      <c r="H41238" s="50"/>
      <c r="I41238" s="50"/>
      <c r="O41238" s="36" t="s">
        <v>48</v>
      </c>
      <c r="R41238" s="36" t="s">
        <v>48</v>
      </c>
    </row>
    <row r="41239">
      <c r="H41239" s="50"/>
      <c r="I41239" s="50"/>
      <c r="O41239" s="36" t="s">
        <v>48</v>
      </c>
      <c r="R41239" s="36" t="s">
        <v>48</v>
      </c>
    </row>
    <row r="41240">
      <c r="H41240" s="50"/>
      <c r="I41240" s="50"/>
      <c r="O41240" s="36" t="s">
        <v>48</v>
      </c>
      <c r="R41240" s="36" t="s">
        <v>48</v>
      </c>
    </row>
    <row r="41241">
      <c r="H41241" s="50"/>
      <c r="I41241" s="50"/>
      <c r="O41241" s="36" t="s">
        <v>48</v>
      </c>
      <c r="R41241" s="36" t="s">
        <v>48</v>
      </c>
    </row>
    <row r="41242">
      <c r="H41242" s="50"/>
      <c r="I41242" s="50"/>
      <c r="O41242" s="36" t="s">
        <v>48</v>
      </c>
      <c r="R41242" s="36" t="s">
        <v>48</v>
      </c>
    </row>
    <row r="41243">
      <c r="H41243" s="50"/>
      <c r="I41243" s="50"/>
      <c r="O41243" s="36" t="s">
        <v>48</v>
      </c>
      <c r="R41243" s="36" t="s">
        <v>48</v>
      </c>
    </row>
    <row r="41244">
      <c r="H41244" s="50"/>
      <c r="I41244" s="50"/>
      <c r="O41244" s="36" t="s">
        <v>48</v>
      </c>
      <c r="R41244" s="36" t="s">
        <v>48</v>
      </c>
    </row>
    <row r="41245">
      <c r="H41245" s="50"/>
      <c r="I41245" s="50"/>
      <c r="O41245" s="36" t="s">
        <v>48</v>
      </c>
      <c r="R41245" s="36" t="s">
        <v>48</v>
      </c>
    </row>
    <row r="41246">
      <c r="H41246" s="50"/>
      <c r="I41246" s="50"/>
      <c r="O41246" s="36" t="s">
        <v>48</v>
      </c>
      <c r="R41246" s="36" t="s">
        <v>48</v>
      </c>
    </row>
    <row r="41247">
      <c r="H41247" s="50"/>
      <c r="I41247" s="50"/>
      <c r="O41247" s="36" t="s">
        <v>48</v>
      </c>
      <c r="R41247" s="36" t="s">
        <v>48</v>
      </c>
    </row>
    <row r="41248">
      <c r="H41248" s="50"/>
      <c r="I41248" s="50"/>
      <c r="O41248" s="36" t="s">
        <v>48</v>
      </c>
      <c r="R41248" s="36" t="s">
        <v>48</v>
      </c>
    </row>
    <row r="41249">
      <c r="H41249" s="50"/>
      <c r="I41249" s="50"/>
      <c r="O41249" s="36" t="s">
        <v>48</v>
      </c>
      <c r="R41249" s="36" t="s">
        <v>48</v>
      </c>
    </row>
    <row r="41250">
      <c r="H41250" s="50"/>
      <c r="I41250" s="50"/>
      <c r="O41250" s="36" t="s">
        <v>48</v>
      </c>
      <c r="R41250" s="36" t="s">
        <v>48</v>
      </c>
    </row>
    <row r="41251">
      <c r="H41251" s="50"/>
      <c r="I41251" s="50"/>
      <c r="O41251" s="36" t="s">
        <v>48</v>
      </c>
      <c r="R41251" s="36" t="s">
        <v>48</v>
      </c>
    </row>
    <row r="41252">
      <c r="H41252" s="50"/>
      <c r="I41252" s="50"/>
      <c r="O41252" s="36" t="s">
        <v>48</v>
      </c>
      <c r="R41252" s="36" t="s">
        <v>48</v>
      </c>
    </row>
    <row r="41253">
      <c r="H41253" s="50"/>
      <c r="I41253" s="50"/>
      <c r="O41253" s="36" t="s">
        <v>48</v>
      </c>
      <c r="R41253" s="36" t="s">
        <v>48</v>
      </c>
    </row>
    <row r="41254">
      <c r="H41254" s="50"/>
      <c r="I41254" s="50"/>
      <c r="O41254" s="36" t="s">
        <v>48</v>
      </c>
      <c r="R41254" s="36" t="s">
        <v>48</v>
      </c>
    </row>
    <row r="41255">
      <c r="H41255" s="50"/>
      <c r="I41255" s="50"/>
      <c r="O41255" s="36" t="s">
        <v>48</v>
      </c>
      <c r="R41255" s="36" t="s">
        <v>48</v>
      </c>
    </row>
    <row r="41256">
      <c r="H41256" s="50"/>
      <c r="I41256" s="50"/>
      <c r="O41256" s="36" t="s">
        <v>48</v>
      </c>
      <c r="R41256" s="36" t="s">
        <v>48</v>
      </c>
    </row>
    <row r="41257">
      <c r="H41257" s="50"/>
      <c r="I41257" s="50"/>
      <c r="O41257" s="36" t="s">
        <v>48</v>
      </c>
      <c r="R41257" s="36" t="s">
        <v>48</v>
      </c>
    </row>
    <row r="41258">
      <c r="H41258" s="50"/>
      <c r="I41258" s="50"/>
      <c r="O41258" s="36" t="s">
        <v>48</v>
      </c>
      <c r="R41258" s="36" t="s">
        <v>48</v>
      </c>
    </row>
    <row r="41259">
      <c r="H41259" s="50"/>
      <c r="I41259" s="50"/>
      <c r="O41259" s="36" t="s">
        <v>48</v>
      </c>
      <c r="R41259" s="36" t="s">
        <v>48</v>
      </c>
    </row>
    <row r="41260">
      <c r="H41260" s="50"/>
      <c r="I41260" s="50"/>
      <c r="O41260" s="36" t="s">
        <v>48</v>
      </c>
      <c r="R41260" s="36" t="s">
        <v>48</v>
      </c>
    </row>
    <row r="41261">
      <c r="H41261" s="50"/>
      <c r="I41261" s="50"/>
      <c r="O41261" s="36" t="s">
        <v>48</v>
      </c>
      <c r="R41261" s="36" t="s">
        <v>48</v>
      </c>
    </row>
    <row r="41262">
      <c r="H41262" s="50"/>
      <c r="I41262" s="50"/>
      <c r="O41262" s="36" t="s">
        <v>48</v>
      </c>
      <c r="R41262" s="36" t="s">
        <v>48</v>
      </c>
    </row>
    <row r="41263">
      <c r="H41263" s="50"/>
      <c r="I41263" s="50"/>
      <c r="O41263" s="36" t="s">
        <v>48</v>
      </c>
      <c r="R41263" s="36" t="s">
        <v>48</v>
      </c>
    </row>
    <row r="41264">
      <c r="H41264" s="50"/>
      <c r="I41264" s="50"/>
      <c r="O41264" s="36" t="s">
        <v>48</v>
      </c>
      <c r="R41264" s="36" t="s">
        <v>48</v>
      </c>
    </row>
    <row r="41265">
      <c r="H41265" s="50"/>
      <c r="I41265" s="50"/>
      <c r="O41265" s="36" t="s">
        <v>48</v>
      </c>
      <c r="R41265" s="36" t="s">
        <v>48</v>
      </c>
    </row>
    <row r="41266">
      <c r="H41266" s="50"/>
      <c r="I41266" s="50"/>
      <c r="O41266" s="36" t="s">
        <v>48</v>
      </c>
      <c r="R41266" s="36" t="s">
        <v>48</v>
      </c>
    </row>
    <row r="41267">
      <c r="H41267" s="50"/>
      <c r="I41267" s="50"/>
      <c r="O41267" s="36" t="s">
        <v>48</v>
      </c>
      <c r="R41267" s="36" t="s">
        <v>48</v>
      </c>
    </row>
    <row r="41268">
      <c r="H41268" s="50"/>
      <c r="I41268" s="50"/>
      <c r="O41268" s="36" t="s">
        <v>48</v>
      </c>
      <c r="R41268" s="36" t="s">
        <v>48</v>
      </c>
    </row>
    <row r="41269">
      <c r="H41269" s="50"/>
      <c r="I41269" s="50"/>
      <c r="O41269" s="36" t="s">
        <v>48</v>
      </c>
      <c r="R41269" s="36" t="s">
        <v>48</v>
      </c>
    </row>
    <row r="41270">
      <c r="H41270" s="50"/>
      <c r="I41270" s="50"/>
      <c r="O41270" s="36" t="s">
        <v>48</v>
      </c>
      <c r="R41270" s="36" t="s">
        <v>48</v>
      </c>
    </row>
    <row r="41271">
      <c r="H41271" s="50"/>
      <c r="I41271" s="50"/>
      <c r="O41271" s="36" t="s">
        <v>48</v>
      </c>
      <c r="R41271" s="36" t="s">
        <v>48</v>
      </c>
    </row>
    <row r="41272">
      <c r="H41272" s="50"/>
      <c r="I41272" s="50"/>
      <c r="O41272" s="36" t="s">
        <v>48</v>
      </c>
      <c r="R41272" s="36" t="s">
        <v>48</v>
      </c>
    </row>
    <row r="41273">
      <c r="H41273" s="50"/>
      <c r="I41273" s="50"/>
      <c r="O41273" s="36" t="s">
        <v>48</v>
      </c>
      <c r="R41273" s="36" t="s">
        <v>48</v>
      </c>
    </row>
    <row r="41274">
      <c r="H41274" s="50"/>
      <c r="I41274" s="50"/>
      <c r="O41274" s="36" t="s">
        <v>48</v>
      </c>
      <c r="R41274" s="36" t="s">
        <v>48</v>
      </c>
    </row>
    <row r="41275">
      <c r="H41275" s="50"/>
      <c r="I41275" s="50"/>
      <c r="O41275" s="36" t="s">
        <v>48</v>
      </c>
      <c r="R41275" s="36" t="s">
        <v>48</v>
      </c>
    </row>
    <row r="41276">
      <c r="H41276" s="50"/>
      <c r="I41276" s="50"/>
      <c r="O41276" s="36" t="s">
        <v>48</v>
      </c>
      <c r="R41276" s="36" t="s">
        <v>48</v>
      </c>
    </row>
    <row r="41277">
      <c r="H41277" s="50"/>
      <c r="I41277" s="50"/>
      <c r="O41277" s="36" t="s">
        <v>48</v>
      </c>
      <c r="R41277" s="36" t="s">
        <v>48</v>
      </c>
    </row>
    <row r="41278">
      <c r="H41278" s="50"/>
      <c r="I41278" s="50"/>
      <c r="O41278" s="36" t="s">
        <v>48</v>
      </c>
      <c r="R41278" s="36" t="s">
        <v>48</v>
      </c>
    </row>
    <row r="41279">
      <c r="H41279" s="50"/>
      <c r="I41279" s="50"/>
      <c r="O41279" s="36" t="s">
        <v>48</v>
      </c>
      <c r="R41279" s="36" t="s">
        <v>48</v>
      </c>
    </row>
    <row r="41280">
      <c r="H41280" s="50"/>
      <c r="I41280" s="50"/>
      <c r="O41280" s="36" t="s">
        <v>48</v>
      </c>
      <c r="R41280" s="36" t="s">
        <v>48</v>
      </c>
    </row>
    <row r="41281">
      <c r="H41281" s="50"/>
      <c r="I41281" s="50"/>
      <c r="O41281" s="36" t="s">
        <v>48</v>
      </c>
      <c r="R41281" s="36" t="s">
        <v>48</v>
      </c>
    </row>
    <row r="41282">
      <c r="H41282" s="50"/>
      <c r="I41282" s="50"/>
      <c r="O41282" s="36" t="s">
        <v>48</v>
      </c>
      <c r="R41282" s="36" t="s">
        <v>48</v>
      </c>
    </row>
    <row r="41283">
      <c r="H41283" s="50"/>
      <c r="I41283" s="50"/>
      <c r="O41283" s="36" t="s">
        <v>48</v>
      </c>
      <c r="R41283" s="36" t="s">
        <v>48</v>
      </c>
    </row>
    <row r="41284">
      <c r="H41284" s="50"/>
      <c r="I41284" s="50"/>
      <c r="O41284" s="36" t="s">
        <v>48</v>
      </c>
      <c r="R41284" s="36" t="s">
        <v>48</v>
      </c>
    </row>
    <row r="41285">
      <c r="H41285" s="50"/>
      <c r="I41285" s="50"/>
      <c r="O41285" s="36" t="s">
        <v>48</v>
      </c>
      <c r="R41285" s="36" t="s">
        <v>48</v>
      </c>
    </row>
    <row r="41286">
      <c r="H41286" s="50"/>
      <c r="I41286" s="50"/>
      <c r="O41286" s="36" t="s">
        <v>48</v>
      </c>
      <c r="R41286" s="36" t="s">
        <v>48</v>
      </c>
    </row>
    <row r="41287">
      <c r="H41287" s="50"/>
      <c r="I41287" s="50"/>
      <c r="O41287" s="36" t="s">
        <v>48</v>
      </c>
      <c r="R41287" s="36" t="s">
        <v>48</v>
      </c>
    </row>
    <row r="41288">
      <c r="H41288" s="50"/>
      <c r="I41288" s="50"/>
      <c r="O41288" s="36" t="s">
        <v>48</v>
      </c>
      <c r="R41288" s="36" t="s">
        <v>48</v>
      </c>
    </row>
    <row r="41289">
      <c r="H41289" s="50"/>
      <c r="I41289" s="50"/>
      <c r="O41289" s="36" t="s">
        <v>48</v>
      </c>
      <c r="R41289" s="36" t="s">
        <v>48</v>
      </c>
    </row>
    <row r="41290">
      <c r="H41290" s="50"/>
      <c r="I41290" s="50"/>
      <c r="O41290" s="36" t="s">
        <v>48</v>
      </c>
      <c r="R41290" s="36" t="s">
        <v>48</v>
      </c>
    </row>
    <row r="41291">
      <c r="H41291" s="50"/>
      <c r="I41291" s="50"/>
      <c r="O41291" s="36" t="s">
        <v>48</v>
      </c>
      <c r="R41291" s="36" t="s">
        <v>48</v>
      </c>
    </row>
    <row r="41292">
      <c r="H41292" s="50"/>
      <c r="I41292" s="50"/>
      <c r="O41292" s="36" t="s">
        <v>48</v>
      </c>
      <c r="R41292" s="36" t="s">
        <v>48</v>
      </c>
    </row>
    <row r="41293">
      <c r="H41293" s="50"/>
      <c r="I41293" s="50"/>
      <c r="O41293" s="36" t="s">
        <v>48</v>
      </c>
      <c r="R41293" s="36" t="s">
        <v>48</v>
      </c>
    </row>
    <row r="41294">
      <c r="H41294" s="50"/>
      <c r="I41294" s="50"/>
      <c r="O41294" s="36" t="s">
        <v>48</v>
      </c>
      <c r="R41294" s="36" t="s">
        <v>48</v>
      </c>
    </row>
    <row r="41295">
      <c r="H41295" s="50"/>
      <c r="I41295" s="50"/>
      <c r="O41295" s="36" t="s">
        <v>48</v>
      </c>
      <c r="R41295" s="36" t="s">
        <v>48</v>
      </c>
    </row>
    <row r="41296">
      <c r="H41296" s="50"/>
      <c r="I41296" s="50"/>
      <c r="O41296" s="36" t="s">
        <v>48</v>
      </c>
      <c r="R41296" s="36" t="s">
        <v>48</v>
      </c>
    </row>
    <row r="41297">
      <c r="H41297" s="50"/>
      <c r="I41297" s="50"/>
      <c r="O41297" s="36" t="s">
        <v>48</v>
      </c>
      <c r="R41297" s="36" t="s">
        <v>48</v>
      </c>
    </row>
    <row r="41298">
      <c r="H41298" s="50"/>
      <c r="I41298" s="50"/>
      <c r="O41298" s="36" t="s">
        <v>48</v>
      </c>
      <c r="R41298" s="36" t="s">
        <v>48</v>
      </c>
    </row>
    <row r="41299">
      <c r="H41299" s="50"/>
      <c r="I41299" s="50"/>
      <c r="O41299" s="36" t="s">
        <v>48</v>
      </c>
      <c r="R41299" s="36" t="s">
        <v>48</v>
      </c>
    </row>
    <row r="41300">
      <c r="H41300" s="50"/>
      <c r="I41300" s="50"/>
      <c r="O41300" s="36" t="s">
        <v>48</v>
      </c>
      <c r="R41300" s="36" t="s">
        <v>48</v>
      </c>
    </row>
    <row r="41301">
      <c r="H41301" s="50"/>
      <c r="I41301" s="50"/>
      <c r="O41301" s="36" t="s">
        <v>48</v>
      </c>
      <c r="R41301" s="36" t="s">
        <v>48</v>
      </c>
    </row>
    <row r="41302">
      <c r="H41302" s="50"/>
      <c r="I41302" s="50"/>
      <c r="O41302" s="36" t="s">
        <v>48</v>
      </c>
      <c r="R41302" s="36" t="s">
        <v>48</v>
      </c>
    </row>
    <row r="41303">
      <c r="H41303" s="50"/>
      <c r="I41303" s="50"/>
      <c r="O41303" s="36" t="s">
        <v>48</v>
      </c>
      <c r="R41303" s="36" t="s">
        <v>48</v>
      </c>
    </row>
    <row r="41304">
      <c r="H41304" s="50"/>
      <c r="I41304" s="50"/>
      <c r="O41304" s="36" t="s">
        <v>48</v>
      </c>
      <c r="R41304" s="36" t="s">
        <v>48</v>
      </c>
    </row>
    <row r="41305">
      <c r="H41305" s="50"/>
      <c r="I41305" s="50"/>
      <c r="O41305" s="36" t="s">
        <v>48</v>
      </c>
      <c r="R41305" s="36" t="s">
        <v>48</v>
      </c>
    </row>
    <row r="41306">
      <c r="H41306" s="50"/>
      <c r="I41306" s="50"/>
      <c r="O41306" s="36" t="s">
        <v>48</v>
      </c>
      <c r="R41306" s="36" t="s">
        <v>48</v>
      </c>
    </row>
    <row r="41307">
      <c r="H41307" s="50"/>
      <c r="I41307" s="50"/>
      <c r="O41307" s="36" t="s">
        <v>48</v>
      </c>
      <c r="R41307" s="36" t="s">
        <v>48</v>
      </c>
    </row>
    <row r="41308">
      <c r="H41308" s="50"/>
      <c r="I41308" s="50"/>
      <c r="O41308" s="36" t="s">
        <v>48</v>
      </c>
      <c r="R41308" s="36" t="s">
        <v>48</v>
      </c>
    </row>
    <row r="41309">
      <c r="H41309" s="50"/>
      <c r="I41309" s="50"/>
      <c r="O41309" s="36" t="s">
        <v>48</v>
      </c>
      <c r="R41309" s="36" t="s">
        <v>48</v>
      </c>
    </row>
    <row r="41310">
      <c r="H41310" s="50"/>
      <c r="I41310" s="50"/>
      <c r="O41310" s="36" t="s">
        <v>48</v>
      </c>
      <c r="R41310" s="36" t="s">
        <v>48</v>
      </c>
    </row>
    <row r="41311">
      <c r="H41311" s="50"/>
      <c r="I41311" s="50"/>
      <c r="O41311" s="36" t="s">
        <v>48</v>
      </c>
      <c r="R41311" s="36" t="s">
        <v>48</v>
      </c>
    </row>
    <row r="41312">
      <c r="H41312" s="50"/>
      <c r="I41312" s="50"/>
      <c r="O41312" s="36" t="s">
        <v>48</v>
      </c>
      <c r="R41312" s="36" t="s">
        <v>48</v>
      </c>
    </row>
    <row r="41313">
      <c r="H41313" s="50"/>
      <c r="I41313" s="50"/>
      <c r="O41313" s="36" t="s">
        <v>48</v>
      </c>
      <c r="R41313" s="36" t="s">
        <v>48</v>
      </c>
    </row>
    <row r="41314">
      <c r="H41314" s="50"/>
      <c r="I41314" s="50"/>
      <c r="O41314" s="36" t="s">
        <v>48</v>
      </c>
      <c r="R41314" s="36" t="s">
        <v>48</v>
      </c>
    </row>
    <row r="41315">
      <c r="H41315" s="50"/>
      <c r="I41315" s="50"/>
      <c r="O41315" s="36" t="s">
        <v>48</v>
      </c>
      <c r="R41315" s="36" t="s">
        <v>48</v>
      </c>
    </row>
    <row r="41316">
      <c r="H41316" s="50"/>
      <c r="I41316" s="50"/>
      <c r="O41316" s="36" t="s">
        <v>48</v>
      </c>
      <c r="R41316" s="36" t="s">
        <v>48</v>
      </c>
    </row>
    <row r="41317">
      <c r="H41317" s="50"/>
      <c r="I41317" s="50"/>
      <c r="O41317" s="36" t="s">
        <v>48</v>
      </c>
      <c r="R41317" s="36" t="s">
        <v>48</v>
      </c>
    </row>
    <row r="41318">
      <c r="H41318" s="50"/>
      <c r="I41318" s="50"/>
      <c r="O41318" s="36" t="s">
        <v>48</v>
      </c>
      <c r="R41318" s="36" t="s">
        <v>48</v>
      </c>
    </row>
    <row r="41319">
      <c r="H41319" s="50"/>
      <c r="I41319" s="50"/>
      <c r="O41319" s="36" t="s">
        <v>48</v>
      </c>
      <c r="R41319" s="36" t="s">
        <v>48</v>
      </c>
    </row>
    <row r="41320">
      <c r="H41320" s="50"/>
      <c r="I41320" s="50"/>
      <c r="O41320" s="36" t="s">
        <v>48</v>
      </c>
      <c r="R41320" s="36" t="s">
        <v>48</v>
      </c>
    </row>
    <row r="41321">
      <c r="H41321" s="50"/>
      <c r="I41321" s="50"/>
      <c r="O41321" s="36" t="s">
        <v>48</v>
      </c>
      <c r="R41321" s="36" t="s">
        <v>48</v>
      </c>
    </row>
    <row r="41322">
      <c r="H41322" s="50"/>
      <c r="I41322" s="50"/>
      <c r="O41322" s="36" t="s">
        <v>48</v>
      </c>
      <c r="R41322" s="36" t="s">
        <v>48</v>
      </c>
    </row>
    <row r="41323">
      <c r="H41323" s="50"/>
      <c r="I41323" s="50"/>
      <c r="O41323" s="36" t="s">
        <v>48</v>
      </c>
      <c r="R41323" s="36" t="s">
        <v>48</v>
      </c>
    </row>
    <row r="41324">
      <c r="H41324" s="50"/>
      <c r="I41324" s="50"/>
      <c r="O41324" s="36" t="s">
        <v>48</v>
      </c>
      <c r="R41324" s="36" t="s">
        <v>48</v>
      </c>
    </row>
    <row r="41325">
      <c r="H41325" s="50"/>
      <c r="I41325" s="50"/>
      <c r="O41325" s="36" t="s">
        <v>48</v>
      </c>
      <c r="R41325" s="36" t="s">
        <v>48</v>
      </c>
    </row>
    <row r="41326">
      <c r="H41326" s="50"/>
      <c r="I41326" s="50"/>
      <c r="O41326" s="36" t="s">
        <v>48</v>
      </c>
      <c r="R41326" s="36" t="s">
        <v>48</v>
      </c>
    </row>
    <row r="41327">
      <c r="H41327" s="50"/>
      <c r="I41327" s="50"/>
      <c r="O41327" s="36" t="s">
        <v>48</v>
      </c>
      <c r="R41327" s="36" t="s">
        <v>48</v>
      </c>
    </row>
    <row r="41328">
      <c r="H41328" s="50"/>
      <c r="I41328" s="50"/>
      <c r="O41328" s="36" t="s">
        <v>48</v>
      </c>
      <c r="R41328" s="36" t="s">
        <v>48</v>
      </c>
    </row>
    <row r="41329">
      <c r="H41329" s="50"/>
      <c r="I41329" s="50"/>
      <c r="O41329" s="36" t="s">
        <v>48</v>
      </c>
      <c r="R41329" s="36" t="s">
        <v>48</v>
      </c>
    </row>
    <row r="41330">
      <c r="H41330" s="50"/>
      <c r="I41330" s="50"/>
      <c r="O41330" s="36" t="s">
        <v>48</v>
      </c>
      <c r="R41330" s="36" t="s">
        <v>48</v>
      </c>
    </row>
    <row r="41331">
      <c r="H41331" s="50"/>
      <c r="I41331" s="50"/>
      <c r="O41331" s="36" t="s">
        <v>48</v>
      </c>
      <c r="R41331" s="36" t="s">
        <v>48</v>
      </c>
    </row>
    <row r="41332">
      <c r="H41332" s="50"/>
      <c r="I41332" s="50"/>
      <c r="O41332" s="36" t="s">
        <v>48</v>
      </c>
      <c r="R41332" s="36" t="s">
        <v>48</v>
      </c>
    </row>
    <row r="41333">
      <c r="H41333" s="50"/>
      <c r="I41333" s="50"/>
      <c r="O41333" s="36" t="s">
        <v>48</v>
      </c>
      <c r="R41333" s="36" t="s">
        <v>48</v>
      </c>
    </row>
    <row r="41334">
      <c r="H41334" s="50"/>
      <c r="I41334" s="50"/>
      <c r="O41334" s="36" t="s">
        <v>48</v>
      </c>
      <c r="R41334" s="36" t="s">
        <v>48</v>
      </c>
    </row>
    <row r="41335">
      <c r="H41335" s="50"/>
      <c r="I41335" s="50"/>
      <c r="O41335" s="36" t="s">
        <v>48</v>
      </c>
      <c r="R41335" s="36" t="s">
        <v>48</v>
      </c>
    </row>
    <row r="41336">
      <c r="H41336" s="50"/>
      <c r="I41336" s="50"/>
      <c r="O41336" s="36" t="s">
        <v>48</v>
      </c>
      <c r="R41336" s="36" t="s">
        <v>48</v>
      </c>
    </row>
    <row r="41337">
      <c r="H41337" s="50"/>
      <c r="I41337" s="50"/>
      <c r="O41337" s="36" t="s">
        <v>48</v>
      </c>
      <c r="R41337" s="36" t="s">
        <v>48</v>
      </c>
    </row>
    <row r="41338">
      <c r="H41338" s="50"/>
      <c r="I41338" s="50"/>
      <c r="O41338" s="36" t="s">
        <v>48</v>
      </c>
      <c r="R41338" s="36" t="s">
        <v>48</v>
      </c>
    </row>
    <row r="41339">
      <c r="H41339" s="50"/>
      <c r="I41339" s="50"/>
      <c r="O41339" s="36" t="s">
        <v>48</v>
      </c>
      <c r="R41339" s="36" t="s">
        <v>48</v>
      </c>
    </row>
    <row r="41340">
      <c r="H41340" s="50"/>
      <c r="I41340" s="50"/>
      <c r="O41340" s="36" t="s">
        <v>48</v>
      </c>
      <c r="R41340" s="36" t="s">
        <v>48</v>
      </c>
    </row>
    <row r="41341">
      <c r="H41341" s="50"/>
      <c r="I41341" s="50"/>
      <c r="O41341" s="36" t="s">
        <v>48</v>
      </c>
      <c r="R41341" s="36" t="s">
        <v>48</v>
      </c>
    </row>
    <row r="41342">
      <c r="H41342" s="50"/>
      <c r="I41342" s="50"/>
      <c r="O41342" s="36" t="s">
        <v>48</v>
      </c>
      <c r="R41342" s="36" t="s">
        <v>48</v>
      </c>
    </row>
    <row r="41343">
      <c r="H41343" s="50"/>
      <c r="I41343" s="50"/>
      <c r="O41343" s="36" t="s">
        <v>48</v>
      </c>
      <c r="R41343" s="36" t="s">
        <v>48</v>
      </c>
    </row>
    <row r="41344">
      <c r="H41344" s="50"/>
      <c r="I41344" s="50"/>
      <c r="O41344" s="36" t="s">
        <v>48</v>
      </c>
      <c r="R41344" s="36" t="s">
        <v>48</v>
      </c>
    </row>
    <row r="41345">
      <c r="H41345" s="50"/>
      <c r="I41345" s="50"/>
      <c r="O41345" s="36" t="s">
        <v>48</v>
      </c>
      <c r="R41345" s="36" t="s">
        <v>48</v>
      </c>
    </row>
    <row r="41346">
      <c r="H41346" s="50"/>
      <c r="I41346" s="50"/>
      <c r="O41346" s="36" t="s">
        <v>48</v>
      </c>
      <c r="R41346" s="36" t="s">
        <v>48</v>
      </c>
    </row>
    <row r="41347">
      <c r="H41347" s="50"/>
      <c r="I41347" s="50"/>
      <c r="O41347" s="36" t="s">
        <v>48</v>
      </c>
      <c r="R41347" s="36" t="s">
        <v>48</v>
      </c>
    </row>
    <row r="41348">
      <c r="H41348" s="50"/>
      <c r="I41348" s="50"/>
      <c r="O41348" s="36" t="s">
        <v>48</v>
      </c>
      <c r="R41348" s="36" t="s">
        <v>48</v>
      </c>
    </row>
    <row r="41349">
      <c r="H41349" s="50"/>
      <c r="I41349" s="50"/>
      <c r="O41349" s="36" t="s">
        <v>48</v>
      </c>
      <c r="R41349" s="36" t="s">
        <v>48</v>
      </c>
    </row>
    <row r="41350">
      <c r="H41350" s="50"/>
      <c r="I41350" s="50"/>
      <c r="O41350" s="36" t="s">
        <v>48</v>
      </c>
      <c r="R41350" s="36" t="s">
        <v>48</v>
      </c>
    </row>
    <row r="41351">
      <c r="H41351" s="50"/>
      <c r="I41351" s="50"/>
      <c r="O41351" s="36" t="s">
        <v>48</v>
      </c>
      <c r="R41351" s="36" t="s">
        <v>48</v>
      </c>
    </row>
    <row r="41352">
      <c r="H41352" s="50"/>
      <c r="I41352" s="50"/>
      <c r="O41352" s="36" t="s">
        <v>48</v>
      </c>
      <c r="R41352" s="36" t="s">
        <v>48</v>
      </c>
    </row>
    <row r="41353">
      <c r="H41353" s="50"/>
      <c r="I41353" s="50"/>
      <c r="O41353" s="36" t="s">
        <v>48</v>
      </c>
      <c r="R41353" s="36" t="s">
        <v>48</v>
      </c>
    </row>
    <row r="41354">
      <c r="H41354" s="50"/>
      <c r="I41354" s="50"/>
      <c r="O41354" s="36" t="s">
        <v>48</v>
      </c>
      <c r="R41354" s="36" t="s">
        <v>48</v>
      </c>
    </row>
    <row r="41355">
      <c r="H41355" s="50"/>
      <c r="I41355" s="50"/>
      <c r="O41355" s="36" t="s">
        <v>48</v>
      </c>
      <c r="R41355" s="36" t="s">
        <v>48</v>
      </c>
    </row>
    <row r="41356">
      <c r="H41356" s="50"/>
      <c r="I41356" s="50"/>
      <c r="O41356" s="36" t="s">
        <v>48</v>
      </c>
      <c r="R41356" s="36" t="s">
        <v>48</v>
      </c>
    </row>
    <row r="41357">
      <c r="H41357" s="50"/>
      <c r="I41357" s="50"/>
      <c r="O41357" s="36" t="s">
        <v>48</v>
      </c>
      <c r="R41357" s="36" t="s">
        <v>48</v>
      </c>
    </row>
    <row r="41358">
      <c r="H41358" s="50"/>
      <c r="I41358" s="50"/>
      <c r="O41358" s="36" t="s">
        <v>48</v>
      </c>
      <c r="R41358" s="36" t="s">
        <v>48</v>
      </c>
    </row>
    <row r="41359">
      <c r="H41359" s="50"/>
      <c r="I41359" s="50"/>
      <c r="O41359" s="36" t="s">
        <v>48</v>
      </c>
      <c r="R41359" s="36" t="s">
        <v>48</v>
      </c>
    </row>
    <row r="41360">
      <c r="H41360" s="50"/>
      <c r="I41360" s="50"/>
      <c r="O41360" s="36" t="s">
        <v>48</v>
      </c>
      <c r="R41360" s="36" t="s">
        <v>48</v>
      </c>
    </row>
    <row r="41361">
      <c r="H41361" s="50"/>
      <c r="I41361" s="50"/>
      <c r="O41361" s="36" t="s">
        <v>48</v>
      </c>
      <c r="R41361" s="36" t="s">
        <v>48</v>
      </c>
    </row>
    <row r="41362">
      <c r="H41362" s="50"/>
      <c r="I41362" s="50"/>
      <c r="O41362" s="36" t="s">
        <v>48</v>
      </c>
      <c r="R41362" s="36" t="s">
        <v>48</v>
      </c>
    </row>
    <row r="41363">
      <c r="H41363" s="50"/>
      <c r="I41363" s="50"/>
      <c r="O41363" s="36" t="s">
        <v>48</v>
      </c>
      <c r="R41363" s="36" t="s">
        <v>48</v>
      </c>
    </row>
    <row r="41364">
      <c r="H41364" s="50"/>
      <c r="I41364" s="50"/>
      <c r="O41364" s="36" t="s">
        <v>48</v>
      </c>
      <c r="R41364" s="36" t="s">
        <v>48</v>
      </c>
    </row>
    <row r="41365">
      <c r="H41365" s="50"/>
      <c r="I41365" s="50"/>
      <c r="O41365" s="36" t="s">
        <v>48</v>
      </c>
      <c r="R41365" s="36" t="s">
        <v>48</v>
      </c>
    </row>
    <row r="41366">
      <c r="H41366" s="50"/>
      <c r="I41366" s="50"/>
      <c r="O41366" s="36" t="s">
        <v>48</v>
      </c>
      <c r="R41366" s="36" t="s">
        <v>48</v>
      </c>
    </row>
    <row r="41367">
      <c r="H41367" s="50"/>
      <c r="I41367" s="50"/>
      <c r="O41367" s="36" t="s">
        <v>48</v>
      </c>
      <c r="R41367" s="36" t="s">
        <v>48</v>
      </c>
    </row>
    <row r="41368">
      <c r="H41368" s="50"/>
      <c r="I41368" s="50"/>
      <c r="O41368" s="36" t="s">
        <v>48</v>
      </c>
      <c r="R41368" s="36" t="s">
        <v>48</v>
      </c>
    </row>
    <row r="41369">
      <c r="H41369" s="50"/>
      <c r="I41369" s="50"/>
      <c r="O41369" s="36" t="s">
        <v>48</v>
      </c>
      <c r="R41369" s="36" t="s">
        <v>48</v>
      </c>
    </row>
    <row r="41370">
      <c r="H41370" s="50"/>
      <c r="I41370" s="50"/>
      <c r="O41370" s="36" t="s">
        <v>48</v>
      </c>
      <c r="R41370" s="36" t="s">
        <v>48</v>
      </c>
    </row>
    <row r="41371">
      <c r="H41371" s="50"/>
      <c r="I41371" s="50"/>
      <c r="O41371" s="36" t="s">
        <v>48</v>
      </c>
      <c r="R41371" s="36" t="s">
        <v>48</v>
      </c>
    </row>
    <row r="41372">
      <c r="H41372" s="50"/>
      <c r="I41372" s="50"/>
      <c r="O41372" s="36" t="s">
        <v>48</v>
      </c>
      <c r="R41372" s="36" t="s">
        <v>48</v>
      </c>
    </row>
    <row r="41373">
      <c r="H41373" s="50"/>
      <c r="I41373" s="50"/>
      <c r="O41373" s="36" t="s">
        <v>48</v>
      </c>
      <c r="R41373" s="36" t="s">
        <v>48</v>
      </c>
    </row>
    <row r="41374">
      <c r="H41374" s="50"/>
      <c r="I41374" s="50"/>
      <c r="O41374" s="36" t="s">
        <v>48</v>
      </c>
      <c r="R41374" s="36" t="s">
        <v>48</v>
      </c>
    </row>
    <row r="41375">
      <c r="H41375" s="50"/>
      <c r="I41375" s="50"/>
      <c r="O41375" s="36" t="s">
        <v>48</v>
      </c>
      <c r="R41375" s="36" t="s">
        <v>48</v>
      </c>
    </row>
    <row r="41376">
      <c r="H41376" s="50"/>
      <c r="I41376" s="50"/>
      <c r="O41376" s="36" t="s">
        <v>48</v>
      </c>
      <c r="R41376" s="36" t="s">
        <v>48</v>
      </c>
    </row>
    <row r="41377">
      <c r="H41377" s="50"/>
      <c r="I41377" s="50"/>
      <c r="O41377" s="36" t="s">
        <v>48</v>
      </c>
      <c r="R41377" s="36" t="s">
        <v>48</v>
      </c>
    </row>
    <row r="41378">
      <c r="H41378" s="50"/>
      <c r="I41378" s="50"/>
      <c r="O41378" s="36" t="s">
        <v>48</v>
      </c>
      <c r="R41378" s="36" t="s">
        <v>48</v>
      </c>
    </row>
    <row r="41379">
      <c r="H41379" s="50"/>
      <c r="I41379" s="50"/>
      <c r="O41379" s="36" t="s">
        <v>48</v>
      </c>
      <c r="R41379" s="36" t="s">
        <v>48</v>
      </c>
    </row>
    <row r="41380">
      <c r="H41380" s="50"/>
      <c r="I41380" s="50"/>
      <c r="O41380" s="36" t="s">
        <v>48</v>
      </c>
      <c r="R41380" s="36" t="s">
        <v>48</v>
      </c>
    </row>
    <row r="41381">
      <c r="H41381" s="50"/>
      <c r="I41381" s="50"/>
      <c r="O41381" s="36" t="s">
        <v>48</v>
      </c>
      <c r="R41381" s="36" t="s">
        <v>48</v>
      </c>
    </row>
    <row r="41382">
      <c r="H41382" s="50"/>
      <c r="I41382" s="50"/>
      <c r="O41382" s="36" t="s">
        <v>48</v>
      </c>
      <c r="R41382" s="36" t="s">
        <v>48</v>
      </c>
    </row>
    <row r="41383">
      <c r="H41383" s="50"/>
      <c r="I41383" s="50"/>
      <c r="O41383" s="36" t="s">
        <v>48</v>
      </c>
      <c r="R41383" s="36" t="s">
        <v>48</v>
      </c>
    </row>
    <row r="41384">
      <c r="H41384" s="50"/>
      <c r="I41384" s="50"/>
      <c r="O41384" s="36" t="s">
        <v>48</v>
      </c>
      <c r="R41384" s="36" t="s">
        <v>48</v>
      </c>
    </row>
    <row r="41385">
      <c r="H41385" s="50"/>
      <c r="I41385" s="50"/>
      <c r="O41385" s="36" t="s">
        <v>48</v>
      </c>
      <c r="R41385" s="36" t="s">
        <v>48</v>
      </c>
    </row>
    <row r="41386">
      <c r="H41386" s="50"/>
      <c r="I41386" s="50"/>
      <c r="O41386" s="36" t="s">
        <v>48</v>
      </c>
      <c r="R41386" s="36" t="s">
        <v>48</v>
      </c>
    </row>
    <row r="41387">
      <c r="H41387" s="50"/>
      <c r="I41387" s="50"/>
      <c r="O41387" s="36" t="s">
        <v>48</v>
      </c>
      <c r="R41387" s="36" t="s">
        <v>48</v>
      </c>
    </row>
    <row r="41388">
      <c r="H41388" s="50"/>
      <c r="I41388" s="50"/>
      <c r="O41388" s="36" t="s">
        <v>48</v>
      </c>
      <c r="R41388" s="36" t="s">
        <v>48</v>
      </c>
    </row>
    <row r="41389">
      <c r="H41389" s="50"/>
      <c r="I41389" s="50"/>
      <c r="O41389" s="36" t="s">
        <v>48</v>
      </c>
      <c r="R41389" s="36" t="s">
        <v>48</v>
      </c>
    </row>
    <row r="41390">
      <c r="H41390" s="50"/>
      <c r="I41390" s="50"/>
      <c r="O41390" s="36" t="s">
        <v>48</v>
      </c>
      <c r="R41390" s="36" t="s">
        <v>48</v>
      </c>
    </row>
    <row r="41391">
      <c r="H41391" s="50"/>
      <c r="I41391" s="50"/>
      <c r="O41391" s="36" t="s">
        <v>48</v>
      </c>
      <c r="R41391" s="36" t="s">
        <v>48</v>
      </c>
    </row>
    <row r="41392">
      <c r="H41392" s="50"/>
      <c r="I41392" s="50"/>
      <c r="O41392" s="36" t="s">
        <v>48</v>
      </c>
      <c r="R41392" s="36" t="s">
        <v>48</v>
      </c>
    </row>
    <row r="41393">
      <c r="H41393" s="50"/>
      <c r="I41393" s="50"/>
      <c r="O41393" s="36" t="s">
        <v>48</v>
      </c>
      <c r="R41393" s="36" t="s">
        <v>48</v>
      </c>
    </row>
    <row r="41394">
      <c r="H41394" s="50"/>
      <c r="I41394" s="50"/>
      <c r="O41394" s="36" t="s">
        <v>48</v>
      </c>
      <c r="R41394" s="36" t="s">
        <v>48</v>
      </c>
    </row>
    <row r="41395">
      <c r="H41395" s="50"/>
      <c r="I41395" s="50"/>
      <c r="O41395" s="36" t="s">
        <v>48</v>
      </c>
      <c r="R41395" s="36" t="s">
        <v>48</v>
      </c>
    </row>
    <row r="41396">
      <c r="H41396" s="50"/>
      <c r="I41396" s="50"/>
      <c r="O41396" s="36" t="s">
        <v>48</v>
      </c>
      <c r="R41396" s="36" t="s">
        <v>48</v>
      </c>
    </row>
    <row r="41397">
      <c r="H41397" s="50"/>
      <c r="I41397" s="50"/>
      <c r="O41397" s="36" t="s">
        <v>48</v>
      </c>
      <c r="R41397" s="36" t="s">
        <v>48</v>
      </c>
    </row>
    <row r="41398">
      <c r="H41398" s="50"/>
      <c r="I41398" s="50"/>
      <c r="O41398" s="36" t="s">
        <v>48</v>
      </c>
      <c r="R41398" s="36" t="s">
        <v>48</v>
      </c>
    </row>
    <row r="41399">
      <c r="H41399" s="50"/>
      <c r="I41399" s="50"/>
      <c r="O41399" s="36" t="s">
        <v>48</v>
      </c>
      <c r="R41399" s="36" t="s">
        <v>48</v>
      </c>
    </row>
    <row r="41400">
      <c r="H41400" s="50"/>
      <c r="I41400" s="50"/>
      <c r="O41400" s="36" t="s">
        <v>48</v>
      </c>
      <c r="R41400" s="36" t="s">
        <v>48</v>
      </c>
    </row>
    <row r="41401">
      <c r="H41401" s="50"/>
      <c r="I41401" s="50"/>
      <c r="O41401" s="36" t="s">
        <v>48</v>
      </c>
      <c r="R41401" s="36" t="s">
        <v>48</v>
      </c>
    </row>
    <row r="41402">
      <c r="H41402" s="50"/>
      <c r="I41402" s="50"/>
      <c r="O41402" s="36" t="s">
        <v>48</v>
      </c>
      <c r="R41402" s="36" t="s">
        <v>48</v>
      </c>
    </row>
    <row r="41403">
      <c r="H41403" s="50"/>
      <c r="I41403" s="50"/>
      <c r="O41403" s="36" t="s">
        <v>48</v>
      </c>
      <c r="R41403" s="36" t="s">
        <v>48</v>
      </c>
    </row>
    <row r="41404">
      <c r="H41404" s="50"/>
      <c r="I41404" s="50"/>
      <c r="O41404" s="36" t="s">
        <v>48</v>
      </c>
      <c r="R41404" s="36" t="s">
        <v>48</v>
      </c>
    </row>
    <row r="41405">
      <c r="H41405" s="50"/>
      <c r="I41405" s="50"/>
      <c r="O41405" s="36" t="s">
        <v>48</v>
      </c>
      <c r="R41405" s="36" t="s">
        <v>48</v>
      </c>
    </row>
    <row r="41406">
      <c r="H41406" s="50"/>
      <c r="I41406" s="50"/>
      <c r="O41406" s="36" t="s">
        <v>48</v>
      </c>
      <c r="R41406" s="36" t="s">
        <v>48</v>
      </c>
    </row>
    <row r="41407">
      <c r="H41407" s="50"/>
      <c r="I41407" s="50"/>
      <c r="O41407" s="36" t="s">
        <v>48</v>
      </c>
      <c r="R41407" s="36" t="s">
        <v>48</v>
      </c>
    </row>
    <row r="41408">
      <c r="H41408" s="50"/>
      <c r="I41408" s="50"/>
      <c r="O41408" s="36" t="s">
        <v>48</v>
      </c>
      <c r="R41408" s="36" t="s">
        <v>48</v>
      </c>
    </row>
    <row r="41409">
      <c r="H41409" s="50"/>
      <c r="I41409" s="50"/>
      <c r="O41409" s="36" t="s">
        <v>48</v>
      </c>
      <c r="R41409" s="36" t="s">
        <v>48</v>
      </c>
    </row>
    <row r="41410">
      <c r="H41410" s="50"/>
      <c r="I41410" s="50"/>
      <c r="O41410" s="36" t="s">
        <v>48</v>
      </c>
      <c r="R41410" s="36" t="s">
        <v>48</v>
      </c>
    </row>
    <row r="41411">
      <c r="H41411" s="50"/>
      <c r="I41411" s="50"/>
      <c r="O41411" s="36" t="s">
        <v>48</v>
      </c>
      <c r="R41411" s="36" t="s">
        <v>48</v>
      </c>
    </row>
    <row r="41412">
      <c r="H41412" s="50"/>
      <c r="I41412" s="50"/>
      <c r="O41412" s="36" t="s">
        <v>48</v>
      </c>
      <c r="R41412" s="36" t="s">
        <v>48</v>
      </c>
    </row>
    <row r="41413">
      <c r="H41413" s="50"/>
      <c r="I41413" s="50"/>
      <c r="O41413" s="36" t="s">
        <v>48</v>
      </c>
      <c r="R41413" s="36" t="s">
        <v>48</v>
      </c>
    </row>
    <row r="41414">
      <c r="H41414" s="50"/>
      <c r="I41414" s="50"/>
      <c r="O41414" s="36" t="s">
        <v>48</v>
      </c>
      <c r="R41414" s="36" t="s">
        <v>48</v>
      </c>
    </row>
    <row r="41415">
      <c r="H41415" s="50"/>
      <c r="I41415" s="50"/>
      <c r="O41415" s="36" t="s">
        <v>48</v>
      </c>
      <c r="R41415" s="36" t="s">
        <v>48</v>
      </c>
    </row>
    <row r="41416">
      <c r="H41416" s="50"/>
      <c r="I41416" s="50"/>
      <c r="O41416" s="36" t="s">
        <v>48</v>
      </c>
      <c r="R41416" s="36" t="s">
        <v>48</v>
      </c>
    </row>
    <row r="41417">
      <c r="H41417" s="50"/>
      <c r="I41417" s="50"/>
      <c r="O41417" s="36" t="s">
        <v>48</v>
      </c>
      <c r="R41417" s="36" t="s">
        <v>48</v>
      </c>
    </row>
    <row r="41418">
      <c r="H41418" s="50"/>
      <c r="I41418" s="50"/>
      <c r="O41418" s="36" t="s">
        <v>48</v>
      </c>
      <c r="R41418" s="36" t="s">
        <v>48</v>
      </c>
    </row>
    <row r="41419">
      <c r="H41419" s="50"/>
      <c r="I41419" s="50"/>
      <c r="O41419" s="36" t="s">
        <v>48</v>
      </c>
      <c r="R41419" s="36" t="s">
        <v>48</v>
      </c>
    </row>
    <row r="41420">
      <c r="H41420" s="50"/>
      <c r="I41420" s="50"/>
      <c r="O41420" s="36" t="s">
        <v>48</v>
      </c>
      <c r="R41420" s="36" t="s">
        <v>48</v>
      </c>
    </row>
    <row r="41421">
      <c r="H41421" s="50"/>
      <c r="I41421" s="50"/>
      <c r="O41421" s="36" t="s">
        <v>48</v>
      </c>
      <c r="R41421" s="36" t="s">
        <v>48</v>
      </c>
    </row>
    <row r="41422">
      <c r="H41422" s="50"/>
      <c r="I41422" s="50"/>
      <c r="O41422" s="36" t="s">
        <v>48</v>
      </c>
      <c r="R41422" s="36" t="s">
        <v>48</v>
      </c>
    </row>
    <row r="41423">
      <c r="H41423" s="50"/>
      <c r="I41423" s="50"/>
      <c r="O41423" s="36" t="s">
        <v>48</v>
      </c>
      <c r="R41423" s="36" t="s">
        <v>48</v>
      </c>
    </row>
    <row r="41424">
      <c r="H41424" s="50"/>
      <c r="I41424" s="50"/>
      <c r="O41424" s="36" t="s">
        <v>48</v>
      </c>
      <c r="R41424" s="36" t="s">
        <v>48</v>
      </c>
    </row>
    <row r="41425">
      <c r="H41425" s="50"/>
      <c r="I41425" s="50"/>
      <c r="O41425" s="36" t="s">
        <v>48</v>
      </c>
      <c r="R41425" s="36" t="s">
        <v>48</v>
      </c>
    </row>
    <row r="41426">
      <c r="H41426" s="50"/>
      <c r="I41426" s="50"/>
      <c r="O41426" s="36" t="s">
        <v>48</v>
      </c>
      <c r="R41426" s="36" t="s">
        <v>48</v>
      </c>
    </row>
    <row r="41427">
      <c r="H41427" s="50"/>
      <c r="I41427" s="50"/>
      <c r="O41427" s="36" t="s">
        <v>48</v>
      </c>
      <c r="R41427" s="36" t="s">
        <v>48</v>
      </c>
    </row>
    <row r="41428">
      <c r="H41428" s="50"/>
      <c r="I41428" s="50"/>
      <c r="O41428" s="36" t="s">
        <v>48</v>
      </c>
      <c r="R41428" s="36" t="s">
        <v>48</v>
      </c>
    </row>
    <row r="41429">
      <c r="H41429" s="50"/>
      <c r="I41429" s="50"/>
      <c r="O41429" s="36" t="s">
        <v>48</v>
      </c>
      <c r="R41429" s="36" t="s">
        <v>48</v>
      </c>
    </row>
    <row r="41430">
      <c r="H41430" s="50"/>
      <c r="I41430" s="50"/>
      <c r="O41430" s="36" t="s">
        <v>48</v>
      </c>
      <c r="R41430" s="36" t="s">
        <v>48</v>
      </c>
    </row>
    <row r="41431">
      <c r="H41431" s="50"/>
      <c r="I41431" s="50"/>
      <c r="O41431" s="36" t="s">
        <v>48</v>
      </c>
      <c r="R41431" s="36" t="s">
        <v>48</v>
      </c>
    </row>
    <row r="41432">
      <c r="H41432" s="50"/>
      <c r="I41432" s="50"/>
      <c r="O41432" s="36" t="s">
        <v>48</v>
      </c>
      <c r="R41432" s="36" t="s">
        <v>48</v>
      </c>
    </row>
    <row r="41433">
      <c r="H41433" s="50"/>
      <c r="I41433" s="50"/>
      <c r="O41433" s="36" t="s">
        <v>48</v>
      </c>
      <c r="R41433" s="36" t="s">
        <v>48</v>
      </c>
    </row>
    <row r="41434">
      <c r="H41434" s="50"/>
      <c r="I41434" s="50"/>
      <c r="O41434" s="36" t="s">
        <v>48</v>
      </c>
      <c r="R41434" s="36" t="s">
        <v>48</v>
      </c>
    </row>
    <row r="41435">
      <c r="H41435" s="50"/>
      <c r="I41435" s="50"/>
      <c r="O41435" s="36" t="s">
        <v>48</v>
      </c>
      <c r="R41435" s="36" t="s">
        <v>48</v>
      </c>
    </row>
    <row r="41436">
      <c r="H41436" s="50"/>
      <c r="I41436" s="50"/>
      <c r="O41436" s="36" t="s">
        <v>48</v>
      </c>
      <c r="R41436" s="36" t="s">
        <v>48</v>
      </c>
    </row>
    <row r="41437">
      <c r="H41437" s="50"/>
      <c r="I41437" s="50"/>
      <c r="O41437" s="36" t="s">
        <v>48</v>
      </c>
      <c r="R41437" s="36" t="s">
        <v>48</v>
      </c>
    </row>
    <row r="41438">
      <c r="H41438" s="50"/>
      <c r="I41438" s="50"/>
      <c r="O41438" s="36" t="s">
        <v>48</v>
      </c>
      <c r="R41438" s="36" t="s">
        <v>48</v>
      </c>
    </row>
    <row r="41439">
      <c r="H41439" s="50"/>
      <c r="I41439" s="50"/>
      <c r="O41439" s="36" t="s">
        <v>48</v>
      </c>
      <c r="R41439" s="36" t="s">
        <v>48</v>
      </c>
    </row>
    <row r="41440">
      <c r="H41440" s="50"/>
      <c r="I41440" s="50"/>
      <c r="O41440" s="36" t="s">
        <v>48</v>
      </c>
      <c r="R41440" s="36" t="s">
        <v>48</v>
      </c>
    </row>
    <row r="41441">
      <c r="H41441" s="50"/>
      <c r="I41441" s="50"/>
      <c r="O41441" s="36" t="s">
        <v>48</v>
      </c>
      <c r="R41441" s="36" t="s">
        <v>48</v>
      </c>
    </row>
    <row r="41442">
      <c r="H41442" s="50"/>
      <c r="I41442" s="50"/>
      <c r="O41442" s="36" t="s">
        <v>48</v>
      </c>
      <c r="R41442" s="36" t="s">
        <v>48</v>
      </c>
    </row>
    <row r="41443">
      <c r="H41443" s="50"/>
      <c r="I41443" s="50"/>
      <c r="O41443" s="36" t="s">
        <v>48</v>
      </c>
      <c r="R41443" s="36" t="s">
        <v>48</v>
      </c>
    </row>
    <row r="41444">
      <c r="H41444" s="50"/>
      <c r="I41444" s="50"/>
      <c r="O41444" s="36" t="s">
        <v>48</v>
      </c>
      <c r="R41444" s="36" t="s">
        <v>48</v>
      </c>
    </row>
    <row r="41445">
      <c r="H41445" s="50"/>
      <c r="I41445" s="50"/>
      <c r="O41445" s="36" t="s">
        <v>48</v>
      </c>
      <c r="R41445" s="36" t="s">
        <v>48</v>
      </c>
    </row>
    <row r="41446">
      <c r="H41446" s="50"/>
      <c r="I41446" s="50"/>
      <c r="O41446" s="36" t="s">
        <v>48</v>
      </c>
      <c r="R41446" s="36" t="s">
        <v>48</v>
      </c>
    </row>
    <row r="41447">
      <c r="H41447" s="50"/>
      <c r="I41447" s="50"/>
      <c r="O41447" s="36" t="s">
        <v>48</v>
      </c>
      <c r="R41447" s="36" t="s">
        <v>48</v>
      </c>
    </row>
    <row r="41448">
      <c r="H41448" s="50"/>
      <c r="I41448" s="50"/>
      <c r="O41448" s="36" t="s">
        <v>48</v>
      </c>
      <c r="R41448" s="36" t="s">
        <v>48</v>
      </c>
    </row>
    <row r="41449">
      <c r="H41449" s="50"/>
      <c r="I41449" s="50"/>
      <c r="O41449" s="36" t="s">
        <v>48</v>
      </c>
      <c r="R41449" s="36" t="s">
        <v>48</v>
      </c>
    </row>
    <row r="41450">
      <c r="H41450" s="50"/>
      <c r="I41450" s="50"/>
      <c r="O41450" s="36" t="s">
        <v>48</v>
      </c>
      <c r="R41450" s="36" t="s">
        <v>48</v>
      </c>
    </row>
    <row r="41451">
      <c r="H41451" s="50"/>
      <c r="I41451" s="50"/>
      <c r="O41451" s="36" t="s">
        <v>48</v>
      </c>
      <c r="R41451" s="36" t="s">
        <v>48</v>
      </c>
    </row>
    <row r="41452">
      <c r="H41452" s="50"/>
      <c r="I41452" s="50"/>
      <c r="O41452" s="36" t="s">
        <v>48</v>
      </c>
      <c r="R41452" s="36" t="s">
        <v>48</v>
      </c>
    </row>
    <row r="41453">
      <c r="H41453" s="50"/>
      <c r="I41453" s="50"/>
      <c r="O41453" s="36" t="s">
        <v>48</v>
      </c>
      <c r="R41453" s="36" t="s">
        <v>48</v>
      </c>
    </row>
    <row r="41454">
      <c r="H41454" s="50"/>
      <c r="I41454" s="50"/>
      <c r="O41454" s="36" t="s">
        <v>48</v>
      </c>
      <c r="R41454" s="36" t="s">
        <v>48</v>
      </c>
    </row>
    <row r="41455">
      <c r="H41455" s="50"/>
      <c r="I41455" s="50"/>
      <c r="O41455" s="36" t="s">
        <v>48</v>
      </c>
      <c r="R41455" s="36" t="s">
        <v>48</v>
      </c>
    </row>
    <row r="41456">
      <c r="H41456" s="50"/>
      <c r="I41456" s="50"/>
      <c r="O41456" s="36" t="s">
        <v>48</v>
      </c>
      <c r="R41456" s="36" t="s">
        <v>48</v>
      </c>
    </row>
    <row r="41457">
      <c r="H41457" s="50"/>
      <c r="I41457" s="50"/>
      <c r="O41457" s="36" t="s">
        <v>48</v>
      </c>
      <c r="R41457" s="36" t="s">
        <v>48</v>
      </c>
    </row>
    <row r="41458">
      <c r="H41458" s="50"/>
      <c r="I41458" s="50"/>
      <c r="O41458" s="36" t="s">
        <v>48</v>
      </c>
      <c r="R41458" s="36" t="s">
        <v>48</v>
      </c>
    </row>
    <row r="41459">
      <c r="H41459" s="50"/>
      <c r="I41459" s="50"/>
      <c r="O41459" s="36" t="s">
        <v>48</v>
      </c>
      <c r="R41459" s="36" t="s">
        <v>48</v>
      </c>
    </row>
    <row r="41460">
      <c r="H41460" s="50"/>
      <c r="I41460" s="50"/>
      <c r="O41460" s="36" t="s">
        <v>48</v>
      </c>
      <c r="R41460" s="36" t="s">
        <v>48</v>
      </c>
    </row>
    <row r="41461">
      <c r="H41461" s="50"/>
      <c r="I41461" s="50"/>
      <c r="O41461" s="36" t="s">
        <v>48</v>
      </c>
      <c r="R41461" s="36" t="s">
        <v>48</v>
      </c>
    </row>
    <row r="41462">
      <c r="H41462" s="50"/>
      <c r="I41462" s="50"/>
      <c r="O41462" s="36" t="s">
        <v>48</v>
      </c>
      <c r="R41462" s="36" t="s">
        <v>48</v>
      </c>
    </row>
    <row r="41463">
      <c r="H41463" s="50"/>
      <c r="I41463" s="50"/>
      <c r="O41463" s="36" t="s">
        <v>48</v>
      </c>
      <c r="R41463" s="36" t="s">
        <v>48</v>
      </c>
    </row>
    <row r="41464">
      <c r="H41464" s="50"/>
      <c r="I41464" s="50"/>
      <c r="O41464" s="36" t="s">
        <v>48</v>
      </c>
      <c r="R41464" s="36" t="s">
        <v>48</v>
      </c>
    </row>
    <row r="41465">
      <c r="H41465" s="50"/>
      <c r="I41465" s="50"/>
      <c r="O41465" s="36" t="s">
        <v>48</v>
      </c>
      <c r="R41465" s="36" t="s">
        <v>48</v>
      </c>
    </row>
    <row r="41466">
      <c r="H41466" s="50"/>
      <c r="I41466" s="50"/>
      <c r="O41466" s="36" t="s">
        <v>48</v>
      </c>
      <c r="R41466" s="36" t="s">
        <v>48</v>
      </c>
    </row>
    <row r="41467">
      <c r="H41467" s="50"/>
      <c r="I41467" s="50"/>
      <c r="O41467" s="36" t="s">
        <v>48</v>
      </c>
      <c r="R41467" s="36" t="s">
        <v>48</v>
      </c>
    </row>
    <row r="41468">
      <c r="H41468" s="50"/>
      <c r="I41468" s="50"/>
      <c r="O41468" s="36" t="s">
        <v>48</v>
      </c>
      <c r="R41468" s="36" t="s">
        <v>48</v>
      </c>
    </row>
    <row r="41469">
      <c r="H41469" s="50"/>
      <c r="I41469" s="50"/>
      <c r="O41469" s="36" t="s">
        <v>48</v>
      </c>
      <c r="R41469" s="36" t="s">
        <v>48</v>
      </c>
    </row>
    <row r="41470">
      <c r="H41470" s="50"/>
      <c r="I41470" s="50"/>
      <c r="O41470" s="36" t="s">
        <v>48</v>
      </c>
      <c r="R41470" s="36" t="s">
        <v>48</v>
      </c>
    </row>
    <row r="41471">
      <c r="H41471" s="50"/>
      <c r="I41471" s="50"/>
      <c r="O41471" s="36" t="s">
        <v>48</v>
      </c>
      <c r="R41471" s="36" t="s">
        <v>48</v>
      </c>
    </row>
    <row r="41472">
      <c r="H41472" s="50"/>
      <c r="I41472" s="50"/>
      <c r="O41472" s="36" t="s">
        <v>48</v>
      </c>
      <c r="R41472" s="36" t="s">
        <v>48</v>
      </c>
    </row>
    <row r="41473">
      <c r="H41473" s="50"/>
      <c r="I41473" s="50"/>
      <c r="O41473" s="36" t="s">
        <v>48</v>
      </c>
      <c r="R41473" s="36" t="s">
        <v>48</v>
      </c>
    </row>
    <row r="41474">
      <c r="H41474" s="50"/>
      <c r="I41474" s="50"/>
      <c r="O41474" s="36" t="s">
        <v>48</v>
      </c>
      <c r="R41474" s="36" t="s">
        <v>48</v>
      </c>
    </row>
    <row r="41475">
      <c r="H41475" s="50"/>
      <c r="I41475" s="50"/>
      <c r="O41475" s="36" t="s">
        <v>48</v>
      </c>
      <c r="R41475" s="36" t="s">
        <v>48</v>
      </c>
    </row>
    <row r="41476">
      <c r="H41476" s="50"/>
      <c r="I41476" s="50"/>
      <c r="O41476" s="36" t="s">
        <v>48</v>
      </c>
      <c r="R41476" s="36" t="s">
        <v>48</v>
      </c>
    </row>
    <row r="41477">
      <c r="H41477" s="50"/>
      <c r="I41477" s="50"/>
      <c r="O41477" s="36" t="s">
        <v>48</v>
      </c>
      <c r="R41477" s="36" t="s">
        <v>48</v>
      </c>
    </row>
    <row r="41478">
      <c r="H41478" s="50"/>
      <c r="I41478" s="50"/>
      <c r="O41478" s="36" t="s">
        <v>48</v>
      </c>
      <c r="R41478" s="36" t="s">
        <v>48</v>
      </c>
    </row>
    <row r="41479">
      <c r="H41479" s="50"/>
      <c r="I41479" s="50"/>
      <c r="O41479" s="36" t="s">
        <v>48</v>
      </c>
      <c r="R41479" s="36" t="s">
        <v>48</v>
      </c>
    </row>
    <row r="41480">
      <c r="H41480" s="50"/>
      <c r="I41480" s="50"/>
      <c r="O41480" s="36" t="s">
        <v>48</v>
      </c>
      <c r="R41480" s="36" t="s">
        <v>48</v>
      </c>
    </row>
    <row r="41481">
      <c r="H41481" s="50"/>
      <c r="I41481" s="50"/>
      <c r="O41481" s="36" t="s">
        <v>48</v>
      </c>
      <c r="R41481" s="36" t="s">
        <v>48</v>
      </c>
    </row>
    <row r="41482">
      <c r="H41482" s="50"/>
      <c r="I41482" s="50"/>
      <c r="O41482" s="36" t="s">
        <v>48</v>
      </c>
      <c r="R41482" s="36" t="s">
        <v>48</v>
      </c>
    </row>
    <row r="41483">
      <c r="H41483" s="50"/>
      <c r="I41483" s="50"/>
      <c r="O41483" s="36" t="s">
        <v>48</v>
      </c>
      <c r="R41483" s="36" t="s">
        <v>48</v>
      </c>
    </row>
    <row r="41484">
      <c r="H41484" s="50"/>
      <c r="I41484" s="50"/>
      <c r="O41484" s="36" t="s">
        <v>48</v>
      </c>
      <c r="R41484" s="36" t="s">
        <v>48</v>
      </c>
    </row>
    <row r="41485">
      <c r="H41485" s="50"/>
      <c r="I41485" s="50"/>
      <c r="O41485" s="36" t="s">
        <v>48</v>
      </c>
      <c r="R41485" s="36" t="s">
        <v>48</v>
      </c>
    </row>
    <row r="41486">
      <c r="H41486" s="50"/>
      <c r="I41486" s="50"/>
      <c r="O41486" s="36" t="s">
        <v>48</v>
      </c>
      <c r="R41486" s="36" t="s">
        <v>48</v>
      </c>
    </row>
    <row r="41487">
      <c r="H41487" s="50"/>
      <c r="I41487" s="50"/>
      <c r="O41487" s="36" t="s">
        <v>48</v>
      </c>
      <c r="R41487" s="36" t="s">
        <v>48</v>
      </c>
    </row>
    <row r="41488">
      <c r="H41488" s="50"/>
      <c r="I41488" s="50"/>
      <c r="O41488" s="36" t="s">
        <v>48</v>
      </c>
      <c r="R41488" s="36" t="s">
        <v>48</v>
      </c>
    </row>
    <row r="41489">
      <c r="H41489" s="50"/>
      <c r="I41489" s="50"/>
      <c r="O41489" s="36" t="s">
        <v>48</v>
      </c>
      <c r="R41489" s="36" t="s">
        <v>48</v>
      </c>
    </row>
    <row r="41490">
      <c r="H41490" s="50"/>
      <c r="I41490" s="50"/>
      <c r="O41490" s="36" t="s">
        <v>48</v>
      </c>
      <c r="R41490" s="36" t="s">
        <v>48</v>
      </c>
    </row>
    <row r="41491">
      <c r="H41491" s="50"/>
      <c r="I41491" s="50"/>
      <c r="O41491" s="36" t="s">
        <v>48</v>
      </c>
      <c r="R41491" s="36" t="s">
        <v>48</v>
      </c>
    </row>
    <row r="41492">
      <c r="H41492" s="50"/>
      <c r="I41492" s="50"/>
      <c r="O41492" s="36" t="s">
        <v>48</v>
      </c>
      <c r="R41492" s="36" t="s">
        <v>48</v>
      </c>
    </row>
    <row r="41493">
      <c r="H41493" s="50"/>
      <c r="I41493" s="50"/>
      <c r="O41493" s="36" t="s">
        <v>48</v>
      </c>
      <c r="R41493" s="36" t="s">
        <v>48</v>
      </c>
    </row>
    <row r="41494">
      <c r="H41494" s="50"/>
      <c r="I41494" s="50"/>
      <c r="O41494" s="36" t="s">
        <v>48</v>
      </c>
      <c r="R41494" s="36" t="s">
        <v>48</v>
      </c>
    </row>
    <row r="41495">
      <c r="H41495" s="50"/>
      <c r="I41495" s="50"/>
      <c r="O41495" s="36" t="s">
        <v>48</v>
      </c>
      <c r="R41495" s="36" t="s">
        <v>48</v>
      </c>
    </row>
    <row r="41496">
      <c r="H41496" s="50"/>
      <c r="I41496" s="50"/>
      <c r="O41496" s="36" t="s">
        <v>48</v>
      </c>
      <c r="R41496" s="36" t="s">
        <v>48</v>
      </c>
    </row>
    <row r="41497">
      <c r="H41497" s="50"/>
      <c r="I41497" s="50"/>
      <c r="O41497" s="36" t="s">
        <v>48</v>
      </c>
      <c r="R41497" s="36" t="s">
        <v>48</v>
      </c>
    </row>
    <row r="41498">
      <c r="H41498" s="50"/>
      <c r="I41498" s="50"/>
      <c r="O41498" s="36" t="s">
        <v>48</v>
      </c>
      <c r="R41498" s="36" t="s">
        <v>48</v>
      </c>
    </row>
    <row r="41499">
      <c r="H41499" s="50"/>
      <c r="I41499" s="50"/>
      <c r="O41499" s="36" t="s">
        <v>48</v>
      </c>
      <c r="R41499" s="36" t="s">
        <v>48</v>
      </c>
    </row>
    <row r="41500">
      <c r="H41500" s="50"/>
      <c r="I41500" s="50"/>
      <c r="O41500" s="36" t="s">
        <v>48</v>
      </c>
      <c r="R41500" s="36" t="s">
        <v>48</v>
      </c>
    </row>
    <row r="41501">
      <c r="H41501" s="50"/>
      <c r="I41501" s="50"/>
      <c r="O41501" s="36" t="s">
        <v>48</v>
      </c>
      <c r="R41501" s="36" t="s">
        <v>48</v>
      </c>
    </row>
    <row r="41502">
      <c r="H41502" s="50"/>
      <c r="I41502" s="50"/>
      <c r="O41502" s="36" t="s">
        <v>48</v>
      </c>
      <c r="R41502" s="36" t="s">
        <v>48</v>
      </c>
    </row>
    <row r="41503">
      <c r="H41503" s="50"/>
      <c r="I41503" s="50"/>
      <c r="O41503" s="36" t="s">
        <v>48</v>
      </c>
      <c r="R41503" s="36" t="s">
        <v>48</v>
      </c>
    </row>
    <row r="41504">
      <c r="H41504" s="50"/>
      <c r="I41504" s="50"/>
      <c r="O41504" s="36" t="s">
        <v>48</v>
      </c>
      <c r="R41504" s="36" t="s">
        <v>48</v>
      </c>
    </row>
    <row r="41505">
      <c r="H41505" s="50"/>
      <c r="I41505" s="50"/>
      <c r="O41505" s="36" t="s">
        <v>48</v>
      </c>
      <c r="R41505" s="36" t="s">
        <v>48</v>
      </c>
    </row>
    <row r="41506">
      <c r="H41506" s="50"/>
      <c r="I41506" s="50"/>
      <c r="O41506" s="36" t="s">
        <v>48</v>
      </c>
      <c r="R41506" s="36" t="s">
        <v>48</v>
      </c>
    </row>
    <row r="41507">
      <c r="H41507" s="50"/>
      <c r="I41507" s="50"/>
      <c r="O41507" s="36" t="s">
        <v>48</v>
      </c>
      <c r="R41507" s="36" t="s">
        <v>48</v>
      </c>
    </row>
    <row r="41508">
      <c r="H41508" s="50"/>
      <c r="I41508" s="50"/>
      <c r="O41508" s="36" t="s">
        <v>48</v>
      </c>
      <c r="R41508" s="36" t="s">
        <v>48</v>
      </c>
    </row>
    <row r="41509">
      <c r="H41509" s="50"/>
      <c r="I41509" s="50"/>
      <c r="O41509" s="36" t="s">
        <v>48</v>
      </c>
      <c r="R41509" s="36" t="s">
        <v>48</v>
      </c>
    </row>
    <row r="41510">
      <c r="H41510" s="50"/>
      <c r="I41510" s="50"/>
      <c r="O41510" s="36" t="s">
        <v>48</v>
      </c>
      <c r="R41510" s="36" t="s">
        <v>48</v>
      </c>
    </row>
    <row r="41511">
      <c r="H41511" s="50"/>
      <c r="I41511" s="50"/>
      <c r="O41511" s="36" t="s">
        <v>48</v>
      </c>
      <c r="R41511" s="36" t="s">
        <v>48</v>
      </c>
    </row>
    <row r="41512">
      <c r="H41512" s="50"/>
      <c r="I41512" s="50"/>
      <c r="O41512" s="36" t="s">
        <v>48</v>
      </c>
      <c r="R41512" s="36" t="s">
        <v>48</v>
      </c>
    </row>
    <row r="41513">
      <c r="H41513" s="50"/>
      <c r="I41513" s="50"/>
      <c r="O41513" s="36" t="s">
        <v>48</v>
      </c>
      <c r="R41513" s="36" t="s">
        <v>48</v>
      </c>
    </row>
    <row r="41514">
      <c r="H41514" s="50"/>
      <c r="I41514" s="50"/>
      <c r="O41514" s="36" t="s">
        <v>48</v>
      </c>
      <c r="R41514" s="36" t="s">
        <v>48</v>
      </c>
    </row>
    <row r="41515">
      <c r="H41515" s="50"/>
      <c r="I41515" s="50"/>
      <c r="O41515" s="36" t="s">
        <v>48</v>
      </c>
      <c r="R41515" s="36" t="s">
        <v>48</v>
      </c>
    </row>
    <row r="41516">
      <c r="H41516" s="50"/>
      <c r="I41516" s="50"/>
      <c r="O41516" s="36" t="s">
        <v>48</v>
      </c>
      <c r="R41516" s="36" t="s">
        <v>48</v>
      </c>
    </row>
    <row r="41517">
      <c r="H41517" s="50"/>
      <c r="I41517" s="50"/>
      <c r="O41517" s="36" t="s">
        <v>48</v>
      </c>
      <c r="R41517" s="36" t="s">
        <v>48</v>
      </c>
    </row>
    <row r="41518">
      <c r="H41518" s="50"/>
      <c r="I41518" s="50"/>
      <c r="O41518" s="36" t="s">
        <v>48</v>
      </c>
      <c r="R41518" s="36" t="s">
        <v>48</v>
      </c>
    </row>
    <row r="41519">
      <c r="H41519" s="50"/>
      <c r="I41519" s="50"/>
      <c r="O41519" s="36" t="s">
        <v>48</v>
      </c>
      <c r="R41519" s="36" t="s">
        <v>48</v>
      </c>
    </row>
    <row r="41520">
      <c r="H41520" s="50"/>
      <c r="I41520" s="50"/>
      <c r="O41520" s="36" t="s">
        <v>48</v>
      </c>
      <c r="R41520" s="36" t="s">
        <v>48</v>
      </c>
    </row>
    <row r="41521">
      <c r="H41521" s="50"/>
      <c r="I41521" s="50"/>
      <c r="O41521" s="36" t="s">
        <v>48</v>
      </c>
      <c r="R41521" s="36" t="s">
        <v>48</v>
      </c>
    </row>
    <row r="41522">
      <c r="H41522" s="50"/>
      <c r="I41522" s="50"/>
      <c r="O41522" s="36" t="s">
        <v>48</v>
      </c>
      <c r="R41522" s="36" t="s">
        <v>48</v>
      </c>
    </row>
    <row r="41523">
      <c r="H41523" s="50"/>
      <c r="I41523" s="50"/>
      <c r="O41523" s="36" t="s">
        <v>48</v>
      </c>
      <c r="R41523" s="36" t="s">
        <v>48</v>
      </c>
    </row>
    <row r="41524">
      <c r="H41524" s="50"/>
      <c r="I41524" s="50"/>
      <c r="O41524" s="36" t="s">
        <v>48</v>
      </c>
      <c r="R41524" s="36" t="s">
        <v>48</v>
      </c>
    </row>
    <row r="41525">
      <c r="H41525" s="50"/>
      <c r="I41525" s="50"/>
      <c r="O41525" s="36" t="s">
        <v>48</v>
      </c>
      <c r="R41525" s="36" t="s">
        <v>48</v>
      </c>
    </row>
    <row r="41526">
      <c r="H41526" s="50"/>
      <c r="I41526" s="50"/>
      <c r="O41526" s="36" t="s">
        <v>48</v>
      </c>
      <c r="R41526" s="36" t="s">
        <v>48</v>
      </c>
    </row>
    <row r="41527">
      <c r="H41527" s="50"/>
      <c r="I41527" s="50"/>
      <c r="O41527" s="36" t="s">
        <v>48</v>
      </c>
      <c r="R41527" s="36" t="s">
        <v>48</v>
      </c>
    </row>
    <row r="41528">
      <c r="H41528" s="50"/>
      <c r="I41528" s="50"/>
      <c r="O41528" s="36" t="s">
        <v>48</v>
      </c>
      <c r="R41528" s="36" t="s">
        <v>48</v>
      </c>
    </row>
    <row r="41529">
      <c r="H41529" s="50"/>
      <c r="I41529" s="50"/>
      <c r="O41529" s="36" t="s">
        <v>48</v>
      </c>
      <c r="R41529" s="36" t="s">
        <v>48</v>
      </c>
    </row>
    <row r="41530">
      <c r="H41530" s="50"/>
      <c r="I41530" s="50"/>
      <c r="O41530" s="36" t="s">
        <v>48</v>
      </c>
      <c r="R41530" s="36" t="s">
        <v>48</v>
      </c>
    </row>
    <row r="41531">
      <c r="H41531" s="50"/>
      <c r="I41531" s="50"/>
      <c r="O41531" s="36" t="s">
        <v>48</v>
      </c>
      <c r="R41531" s="36" t="s">
        <v>48</v>
      </c>
    </row>
    <row r="41532">
      <c r="H41532" s="50"/>
      <c r="I41532" s="50"/>
      <c r="O41532" s="36" t="s">
        <v>48</v>
      </c>
      <c r="R41532" s="36" t="s">
        <v>48</v>
      </c>
    </row>
    <row r="41533">
      <c r="H41533" s="50"/>
      <c r="I41533" s="50"/>
      <c r="O41533" s="36" t="s">
        <v>48</v>
      </c>
      <c r="R41533" s="36" t="s">
        <v>48</v>
      </c>
    </row>
    <row r="41534">
      <c r="H41534" s="50"/>
      <c r="I41534" s="50"/>
      <c r="O41534" s="36" t="s">
        <v>48</v>
      </c>
      <c r="R41534" s="36" t="s">
        <v>48</v>
      </c>
    </row>
    <row r="41535">
      <c r="H41535" s="50"/>
      <c r="I41535" s="50"/>
      <c r="O41535" s="36" t="s">
        <v>48</v>
      </c>
      <c r="R41535" s="36" t="s">
        <v>48</v>
      </c>
    </row>
    <row r="41536">
      <c r="H41536" s="50"/>
      <c r="I41536" s="50"/>
      <c r="O41536" s="36" t="s">
        <v>48</v>
      </c>
      <c r="R41536" s="36" t="s">
        <v>48</v>
      </c>
    </row>
    <row r="41537">
      <c r="H41537" s="50"/>
      <c r="I41537" s="50"/>
      <c r="O41537" s="36" t="s">
        <v>48</v>
      </c>
      <c r="R41537" s="36" t="s">
        <v>48</v>
      </c>
    </row>
    <row r="41538">
      <c r="H41538" s="50"/>
      <c r="I41538" s="50"/>
      <c r="O41538" s="36" t="s">
        <v>48</v>
      </c>
      <c r="R41538" s="36" t="s">
        <v>48</v>
      </c>
    </row>
    <row r="41539">
      <c r="H41539" s="50"/>
      <c r="I41539" s="50"/>
      <c r="O41539" s="36" t="s">
        <v>48</v>
      </c>
      <c r="R41539" s="36" t="s">
        <v>48</v>
      </c>
    </row>
    <row r="41540">
      <c r="H41540" s="50"/>
      <c r="I41540" s="50"/>
      <c r="O41540" s="36" t="s">
        <v>48</v>
      </c>
      <c r="R41540" s="36" t="s">
        <v>48</v>
      </c>
    </row>
    <row r="41541">
      <c r="H41541" s="50"/>
      <c r="I41541" s="50"/>
      <c r="O41541" s="36" t="s">
        <v>48</v>
      </c>
      <c r="R41541" s="36" t="s">
        <v>48</v>
      </c>
    </row>
    <row r="41542">
      <c r="H41542" s="50"/>
      <c r="I41542" s="50"/>
      <c r="O41542" s="36" t="s">
        <v>48</v>
      </c>
      <c r="R41542" s="36" t="s">
        <v>48</v>
      </c>
    </row>
    <row r="41543">
      <c r="H41543" s="50"/>
      <c r="I41543" s="50"/>
      <c r="O41543" s="36" t="s">
        <v>48</v>
      </c>
      <c r="R41543" s="36" t="s">
        <v>48</v>
      </c>
    </row>
    <row r="41544">
      <c r="H41544" s="50"/>
      <c r="I41544" s="50"/>
      <c r="O41544" s="36" t="s">
        <v>48</v>
      </c>
      <c r="R41544" s="36" t="s">
        <v>48</v>
      </c>
    </row>
    <row r="41545">
      <c r="H41545" s="50"/>
      <c r="I41545" s="50"/>
      <c r="O41545" s="36" t="s">
        <v>48</v>
      </c>
      <c r="R41545" s="36" t="s">
        <v>48</v>
      </c>
    </row>
    <row r="41546">
      <c r="H41546" s="50"/>
      <c r="I41546" s="50"/>
      <c r="O41546" s="36" t="s">
        <v>48</v>
      </c>
      <c r="R41546" s="36" t="s">
        <v>48</v>
      </c>
    </row>
    <row r="41547">
      <c r="H41547" s="50"/>
      <c r="I41547" s="50"/>
      <c r="O41547" s="36" t="s">
        <v>48</v>
      </c>
      <c r="R41547" s="36" t="s">
        <v>48</v>
      </c>
    </row>
    <row r="41548">
      <c r="H41548" s="50"/>
      <c r="I41548" s="50"/>
      <c r="O41548" s="36" t="s">
        <v>48</v>
      </c>
      <c r="R41548" s="36" t="s">
        <v>48</v>
      </c>
    </row>
    <row r="41549">
      <c r="H41549" s="50"/>
      <c r="I41549" s="50"/>
      <c r="O41549" s="36" t="s">
        <v>48</v>
      </c>
      <c r="R41549" s="36" t="s">
        <v>48</v>
      </c>
    </row>
    <row r="41550">
      <c r="H41550" s="50"/>
      <c r="I41550" s="50"/>
      <c r="O41550" s="36" t="s">
        <v>48</v>
      </c>
      <c r="R41550" s="36" t="s">
        <v>48</v>
      </c>
    </row>
    <row r="41551">
      <c r="H41551" s="50"/>
      <c r="I41551" s="50"/>
      <c r="O41551" s="36" t="s">
        <v>48</v>
      </c>
      <c r="R41551" s="36" t="s">
        <v>48</v>
      </c>
    </row>
    <row r="41552">
      <c r="H41552" s="50"/>
      <c r="I41552" s="50"/>
      <c r="O41552" s="36" t="s">
        <v>48</v>
      </c>
      <c r="R41552" s="36" t="s">
        <v>48</v>
      </c>
    </row>
    <row r="41553">
      <c r="H41553" s="50"/>
      <c r="I41553" s="50"/>
      <c r="O41553" s="36" t="s">
        <v>48</v>
      </c>
      <c r="R41553" s="36" t="s">
        <v>48</v>
      </c>
    </row>
    <row r="41554">
      <c r="H41554" s="50"/>
      <c r="I41554" s="50"/>
      <c r="O41554" s="36" t="s">
        <v>48</v>
      </c>
      <c r="R41554" s="36" t="s">
        <v>48</v>
      </c>
    </row>
    <row r="41555">
      <c r="H41555" s="50"/>
      <c r="I41555" s="50"/>
      <c r="O41555" s="36" t="s">
        <v>48</v>
      </c>
      <c r="R41555" s="36" t="s">
        <v>48</v>
      </c>
    </row>
    <row r="41556">
      <c r="H41556" s="50"/>
      <c r="I41556" s="50"/>
      <c r="O41556" s="36" t="s">
        <v>48</v>
      </c>
      <c r="R41556" s="36" t="s">
        <v>48</v>
      </c>
    </row>
    <row r="41557">
      <c r="H41557" s="50"/>
      <c r="I41557" s="50"/>
      <c r="O41557" s="36" t="s">
        <v>48</v>
      </c>
      <c r="R41557" s="36" t="s">
        <v>48</v>
      </c>
    </row>
    <row r="41558">
      <c r="H41558" s="50"/>
      <c r="I41558" s="50"/>
      <c r="O41558" s="36" t="s">
        <v>48</v>
      </c>
      <c r="R41558" s="36" t="s">
        <v>48</v>
      </c>
    </row>
    <row r="41559">
      <c r="H41559" s="50"/>
      <c r="I41559" s="50"/>
      <c r="O41559" s="36" t="s">
        <v>48</v>
      </c>
      <c r="R41559" s="36" t="s">
        <v>48</v>
      </c>
    </row>
    <row r="41560">
      <c r="H41560" s="50"/>
      <c r="I41560" s="50"/>
      <c r="O41560" s="36" t="s">
        <v>48</v>
      </c>
      <c r="R41560" s="36" t="s">
        <v>48</v>
      </c>
    </row>
    <row r="41561">
      <c r="H41561" s="50"/>
      <c r="I41561" s="50"/>
      <c r="O41561" s="36" t="s">
        <v>48</v>
      </c>
      <c r="R41561" s="36" t="s">
        <v>48</v>
      </c>
    </row>
    <row r="41562">
      <c r="H41562" s="50"/>
      <c r="I41562" s="50"/>
      <c r="O41562" s="36" t="s">
        <v>48</v>
      </c>
      <c r="R41562" s="36" t="s">
        <v>48</v>
      </c>
    </row>
    <row r="41563">
      <c r="H41563" s="50"/>
      <c r="I41563" s="50"/>
      <c r="O41563" s="36" t="s">
        <v>48</v>
      </c>
      <c r="R41563" s="36" t="s">
        <v>48</v>
      </c>
    </row>
    <row r="41564">
      <c r="H41564" s="50"/>
      <c r="I41564" s="50"/>
      <c r="O41564" s="36" t="s">
        <v>48</v>
      </c>
      <c r="R41564" s="36" t="s">
        <v>48</v>
      </c>
    </row>
    <row r="41565">
      <c r="H41565" s="50"/>
      <c r="I41565" s="50"/>
      <c r="O41565" s="36" t="s">
        <v>48</v>
      </c>
      <c r="R41565" s="36" t="s">
        <v>48</v>
      </c>
    </row>
    <row r="41566">
      <c r="H41566" s="50"/>
      <c r="I41566" s="50"/>
      <c r="O41566" s="36" t="s">
        <v>48</v>
      </c>
      <c r="R41566" s="36" t="s">
        <v>48</v>
      </c>
    </row>
    <row r="41567">
      <c r="H41567" s="50"/>
      <c r="I41567" s="50"/>
      <c r="O41567" s="36" t="s">
        <v>48</v>
      </c>
      <c r="R41567" s="36" t="s">
        <v>48</v>
      </c>
    </row>
    <row r="41568">
      <c r="H41568" s="50"/>
      <c r="I41568" s="50"/>
      <c r="O41568" s="36" t="s">
        <v>48</v>
      </c>
      <c r="R41568" s="36" t="s">
        <v>48</v>
      </c>
    </row>
    <row r="41569">
      <c r="H41569" s="50"/>
      <c r="I41569" s="50"/>
      <c r="O41569" s="36" t="s">
        <v>48</v>
      </c>
      <c r="R41569" s="36" t="s">
        <v>48</v>
      </c>
    </row>
    <row r="41570">
      <c r="H41570" s="50"/>
      <c r="I41570" s="50"/>
      <c r="O41570" s="36" t="s">
        <v>48</v>
      </c>
      <c r="R41570" s="36" t="s">
        <v>48</v>
      </c>
    </row>
    <row r="41571">
      <c r="H41571" s="50"/>
      <c r="I41571" s="50"/>
      <c r="O41571" s="36" t="s">
        <v>48</v>
      </c>
      <c r="R41571" s="36" t="s">
        <v>48</v>
      </c>
    </row>
    <row r="41572">
      <c r="H41572" s="50"/>
      <c r="I41572" s="50"/>
      <c r="O41572" s="36" t="s">
        <v>48</v>
      </c>
      <c r="R41572" s="36" t="s">
        <v>48</v>
      </c>
    </row>
    <row r="41573">
      <c r="H41573" s="50"/>
      <c r="I41573" s="50"/>
      <c r="O41573" s="36" t="s">
        <v>48</v>
      </c>
      <c r="R41573" s="36" t="s">
        <v>48</v>
      </c>
    </row>
    <row r="41574">
      <c r="H41574" s="50"/>
      <c r="I41574" s="50"/>
      <c r="O41574" s="36" t="s">
        <v>48</v>
      </c>
      <c r="R41574" s="36" t="s">
        <v>48</v>
      </c>
    </row>
    <row r="41575">
      <c r="H41575" s="50"/>
      <c r="I41575" s="50"/>
      <c r="O41575" s="36" t="s">
        <v>48</v>
      </c>
      <c r="R41575" s="36" t="s">
        <v>48</v>
      </c>
    </row>
    <row r="41576">
      <c r="H41576" s="50"/>
      <c r="I41576" s="50"/>
      <c r="O41576" s="36" t="s">
        <v>48</v>
      </c>
      <c r="R41576" s="36" t="s">
        <v>48</v>
      </c>
    </row>
    <row r="41577">
      <c r="H41577" s="50"/>
      <c r="I41577" s="50"/>
      <c r="O41577" s="36" t="s">
        <v>48</v>
      </c>
      <c r="R41577" s="36" t="s">
        <v>48</v>
      </c>
    </row>
    <row r="41578">
      <c r="H41578" s="50"/>
      <c r="I41578" s="50"/>
      <c r="O41578" s="36" t="s">
        <v>48</v>
      </c>
      <c r="R41578" s="36" t="s">
        <v>48</v>
      </c>
    </row>
    <row r="41579">
      <c r="H41579" s="50"/>
      <c r="I41579" s="50"/>
      <c r="O41579" s="36" t="s">
        <v>48</v>
      </c>
      <c r="R41579" s="36" t="s">
        <v>48</v>
      </c>
    </row>
    <row r="41580">
      <c r="H41580" s="50"/>
      <c r="I41580" s="50"/>
      <c r="O41580" s="36" t="s">
        <v>48</v>
      </c>
      <c r="R41580" s="36" t="s">
        <v>48</v>
      </c>
    </row>
    <row r="41581">
      <c r="H41581" s="50"/>
      <c r="I41581" s="50"/>
      <c r="O41581" s="36" t="s">
        <v>48</v>
      </c>
      <c r="R41581" s="36" t="s">
        <v>48</v>
      </c>
    </row>
    <row r="41582">
      <c r="H41582" s="50"/>
      <c r="I41582" s="50"/>
      <c r="O41582" s="36" t="s">
        <v>48</v>
      </c>
      <c r="R41582" s="36" t="s">
        <v>48</v>
      </c>
    </row>
    <row r="41583">
      <c r="H41583" s="50"/>
      <c r="I41583" s="50"/>
      <c r="O41583" s="36" t="s">
        <v>48</v>
      </c>
      <c r="R41583" s="36" t="s">
        <v>48</v>
      </c>
    </row>
    <row r="41584">
      <c r="H41584" s="50"/>
      <c r="I41584" s="50"/>
      <c r="O41584" s="36" t="s">
        <v>48</v>
      </c>
      <c r="R41584" s="36" t="s">
        <v>48</v>
      </c>
    </row>
    <row r="41585">
      <c r="H41585" s="50"/>
      <c r="I41585" s="50"/>
      <c r="O41585" s="36" t="s">
        <v>48</v>
      </c>
      <c r="R41585" s="36" t="s">
        <v>48</v>
      </c>
    </row>
    <row r="41586">
      <c r="H41586" s="50"/>
      <c r="I41586" s="50"/>
      <c r="O41586" s="36" t="s">
        <v>48</v>
      </c>
      <c r="R41586" s="36" t="s">
        <v>48</v>
      </c>
    </row>
    <row r="41587">
      <c r="H41587" s="50"/>
      <c r="I41587" s="50"/>
      <c r="O41587" s="36" t="s">
        <v>48</v>
      </c>
      <c r="R41587" s="36" t="s">
        <v>48</v>
      </c>
    </row>
    <row r="41588">
      <c r="H41588" s="50"/>
      <c r="I41588" s="50"/>
      <c r="O41588" s="36" t="s">
        <v>48</v>
      </c>
      <c r="R41588" s="36" t="s">
        <v>48</v>
      </c>
    </row>
    <row r="41589">
      <c r="H41589" s="50"/>
      <c r="I41589" s="50"/>
      <c r="O41589" s="36" t="s">
        <v>48</v>
      </c>
      <c r="R41589" s="36" t="s">
        <v>48</v>
      </c>
    </row>
    <row r="41590">
      <c r="H41590" s="50"/>
      <c r="I41590" s="50"/>
      <c r="O41590" s="36" t="s">
        <v>48</v>
      </c>
      <c r="R41590" s="36" t="s">
        <v>48</v>
      </c>
    </row>
    <row r="41591">
      <c r="H41591" s="50"/>
      <c r="I41591" s="50"/>
      <c r="O41591" s="36" t="s">
        <v>48</v>
      </c>
      <c r="R41591" s="36" t="s">
        <v>48</v>
      </c>
    </row>
    <row r="41592">
      <c r="H41592" s="50"/>
      <c r="I41592" s="50"/>
      <c r="O41592" s="36" t="s">
        <v>48</v>
      </c>
      <c r="R41592" s="36" t="s">
        <v>48</v>
      </c>
    </row>
    <row r="41593">
      <c r="H41593" s="50"/>
      <c r="I41593" s="50"/>
      <c r="O41593" s="36" t="s">
        <v>48</v>
      </c>
      <c r="R41593" s="36" t="s">
        <v>48</v>
      </c>
    </row>
    <row r="41594">
      <c r="H41594" s="50"/>
      <c r="I41594" s="50"/>
      <c r="O41594" s="36" t="s">
        <v>48</v>
      </c>
      <c r="R41594" s="36" t="s">
        <v>48</v>
      </c>
    </row>
    <row r="41595">
      <c r="H41595" s="50"/>
      <c r="I41595" s="50"/>
      <c r="O41595" s="36" t="s">
        <v>48</v>
      </c>
      <c r="R41595" s="36" t="s">
        <v>48</v>
      </c>
    </row>
    <row r="41596">
      <c r="H41596" s="50"/>
      <c r="I41596" s="50"/>
      <c r="O41596" s="36" t="s">
        <v>48</v>
      </c>
      <c r="R41596" s="36" t="s">
        <v>48</v>
      </c>
    </row>
    <row r="41597">
      <c r="H41597" s="50"/>
      <c r="I41597" s="50"/>
      <c r="O41597" s="36" t="s">
        <v>48</v>
      </c>
      <c r="R41597" s="36" t="s">
        <v>48</v>
      </c>
    </row>
    <row r="41598">
      <c r="H41598" s="50"/>
      <c r="I41598" s="50"/>
      <c r="O41598" s="36" t="s">
        <v>48</v>
      </c>
      <c r="R41598" s="36" t="s">
        <v>48</v>
      </c>
    </row>
    <row r="41599">
      <c r="H41599" s="50"/>
      <c r="I41599" s="50"/>
      <c r="O41599" s="36" t="s">
        <v>48</v>
      </c>
      <c r="R41599" s="36" t="s">
        <v>48</v>
      </c>
    </row>
    <row r="41600">
      <c r="H41600" s="50"/>
      <c r="I41600" s="50"/>
      <c r="O41600" s="36" t="s">
        <v>48</v>
      </c>
      <c r="R41600" s="36" t="s">
        <v>48</v>
      </c>
    </row>
    <row r="41601">
      <c r="H41601" s="50"/>
      <c r="I41601" s="50"/>
      <c r="O41601" s="36" t="s">
        <v>48</v>
      </c>
      <c r="R41601" s="36" t="s">
        <v>48</v>
      </c>
    </row>
    <row r="41602">
      <c r="H41602" s="50"/>
      <c r="I41602" s="50"/>
      <c r="O41602" s="36" t="s">
        <v>48</v>
      </c>
      <c r="R41602" s="36" t="s">
        <v>48</v>
      </c>
    </row>
    <row r="41603">
      <c r="H41603" s="50"/>
      <c r="I41603" s="50"/>
      <c r="O41603" s="36" t="s">
        <v>48</v>
      </c>
      <c r="R41603" s="36" t="s">
        <v>48</v>
      </c>
    </row>
    <row r="41604">
      <c r="H41604" s="50"/>
      <c r="I41604" s="50"/>
      <c r="O41604" s="36" t="s">
        <v>48</v>
      </c>
      <c r="R41604" s="36" t="s">
        <v>48</v>
      </c>
    </row>
    <row r="41605">
      <c r="H41605" s="50"/>
      <c r="I41605" s="50"/>
      <c r="O41605" s="36" t="s">
        <v>48</v>
      </c>
      <c r="R41605" s="36" t="s">
        <v>48</v>
      </c>
    </row>
    <row r="41606">
      <c r="H41606" s="50"/>
      <c r="I41606" s="50"/>
      <c r="O41606" s="36" t="s">
        <v>48</v>
      </c>
      <c r="R41606" s="36" t="s">
        <v>48</v>
      </c>
    </row>
    <row r="41607">
      <c r="H41607" s="50"/>
      <c r="I41607" s="50"/>
      <c r="O41607" s="36" t="s">
        <v>48</v>
      </c>
      <c r="R41607" s="36" t="s">
        <v>48</v>
      </c>
    </row>
    <row r="41608">
      <c r="H41608" s="50"/>
      <c r="I41608" s="50"/>
      <c r="O41608" s="36" t="s">
        <v>48</v>
      </c>
      <c r="R41608" s="36" t="s">
        <v>48</v>
      </c>
    </row>
    <row r="41609">
      <c r="H41609" s="50"/>
      <c r="I41609" s="50"/>
      <c r="O41609" s="36" t="s">
        <v>48</v>
      </c>
      <c r="R41609" s="36" t="s">
        <v>48</v>
      </c>
    </row>
    <row r="41610">
      <c r="H41610" s="50"/>
      <c r="I41610" s="50"/>
      <c r="O41610" s="36" t="s">
        <v>48</v>
      </c>
      <c r="R41610" s="36" t="s">
        <v>48</v>
      </c>
    </row>
    <row r="41611">
      <c r="H41611" s="50"/>
      <c r="I41611" s="50"/>
      <c r="O41611" s="36" t="s">
        <v>48</v>
      </c>
      <c r="R41611" s="36" t="s">
        <v>48</v>
      </c>
    </row>
    <row r="41612">
      <c r="H41612" s="50"/>
      <c r="I41612" s="50"/>
      <c r="O41612" s="36" t="s">
        <v>48</v>
      </c>
      <c r="R41612" s="36" t="s">
        <v>48</v>
      </c>
    </row>
    <row r="41613">
      <c r="H41613" s="50"/>
      <c r="I41613" s="50"/>
      <c r="O41613" s="36" t="s">
        <v>48</v>
      </c>
      <c r="R41613" s="36" t="s">
        <v>48</v>
      </c>
    </row>
    <row r="41614">
      <c r="H41614" s="50"/>
      <c r="I41614" s="50"/>
      <c r="O41614" s="36" t="s">
        <v>48</v>
      </c>
      <c r="R41614" s="36" t="s">
        <v>48</v>
      </c>
    </row>
    <row r="41615">
      <c r="H41615" s="50"/>
      <c r="I41615" s="50"/>
      <c r="O41615" s="36" t="s">
        <v>48</v>
      </c>
      <c r="R41615" s="36" t="s">
        <v>48</v>
      </c>
    </row>
    <row r="41616">
      <c r="H41616" s="50"/>
      <c r="I41616" s="50"/>
      <c r="O41616" s="36" t="s">
        <v>48</v>
      </c>
      <c r="R41616" s="36" t="s">
        <v>48</v>
      </c>
    </row>
    <row r="41617">
      <c r="H41617" s="50"/>
      <c r="I41617" s="50"/>
      <c r="O41617" s="36" t="s">
        <v>48</v>
      </c>
      <c r="R41617" s="36" t="s">
        <v>48</v>
      </c>
    </row>
    <row r="41618">
      <c r="H41618" s="50"/>
      <c r="I41618" s="50"/>
      <c r="O41618" s="36" t="s">
        <v>48</v>
      </c>
      <c r="R41618" s="36" t="s">
        <v>48</v>
      </c>
    </row>
    <row r="41619">
      <c r="H41619" s="50"/>
      <c r="I41619" s="50"/>
      <c r="O41619" s="36" t="s">
        <v>48</v>
      </c>
      <c r="R41619" s="36" t="s">
        <v>48</v>
      </c>
    </row>
    <row r="41620">
      <c r="H41620" s="50"/>
      <c r="I41620" s="50"/>
      <c r="O41620" s="36" t="s">
        <v>48</v>
      </c>
      <c r="R41620" s="36" t="s">
        <v>48</v>
      </c>
    </row>
    <row r="41621">
      <c r="H41621" s="50"/>
      <c r="I41621" s="50"/>
      <c r="O41621" s="36" t="s">
        <v>48</v>
      </c>
      <c r="R41621" s="36" t="s">
        <v>48</v>
      </c>
    </row>
    <row r="41622">
      <c r="H41622" s="50"/>
      <c r="I41622" s="50"/>
      <c r="O41622" s="36" t="s">
        <v>48</v>
      </c>
      <c r="R41622" s="36" t="s">
        <v>48</v>
      </c>
    </row>
    <row r="41623">
      <c r="H41623" s="50"/>
      <c r="I41623" s="50"/>
      <c r="O41623" s="36" t="s">
        <v>48</v>
      </c>
      <c r="R41623" s="36" t="s">
        <v>48</v>
      </c>
    </row>
    <row r="41624">
      <c r="H41624" s="50"/>
      <c r="I41624" s="50"/>
      <c r="O41624" s="36" t="s">
        <v>48</v>
      </c>
      <c r="R41624" s="36" t="s">
        <v>48</v>
      </c>
    </row>
    <row r="41625">
      <c r="H41625" s="50"/>
      <c r="I41625" s="50"/>
      <c r="O41625" s="36" t="s">
        <v>48</v>
      </c>
      <c r="R41625" s="36" t="s">
        <v>48</v>
      </c>
    </row>
    <row r="41626">
      <c r="H41626" s="50"/>
      <c r="I41626" s="50"/>
      <c r="O41626" s="36" t="s">
        <v>48</v>
      </c>
      <c r="R41626" s="36" t="s">
        <v>48</v>
      </c>
    </row>
    <row r="41627">
      <c r="H41627" s="50"/>
      <c r="I41627" s="50"/>
      <c r="O41627" s="36" t="s">
        <v>48</v>
      </c>
      <c r="R41627" s="36" t="s">
        <v>48</v>
      </c>
    </row>
    <row r="41628">
      <c r="H41628" s="50"/>
      <c r="I41628" s="50"/>
      <c r="O41628" s="36" t="s">
        <v>48</v>
      </c>
      <c r="R41628" s="36" t="s">
        <v>48</v>
      </c>
    </row>
    <row r="41629">
      <c r="H41629" s="50"/>
      <c r="I41629" s="50"/>
      <c r="O41629" s="36" t="s">
        <v>48</v>
      </c>
      <c r="R41629" s="36" t="s">
        <v>48</v>
      </c>
    </row>
    <row r="41630">
      <c r="H41630" s="50"/>
      <c r="I41630" s="50"/>
      <c r="O41630" s="36" t="s">
        <v>48</v>
      </c>
      <c r="R41630" s="36" t="s">
        <v>48</v>
      </c>
    </row>
    <row r="41631">
      <c r="H41631" s="50"/>
      <c r="I41631" s="50"/>
      <c r="O41631" s="36" t="s">
        <v>48</v>
      </c>
      <c r="R41631" s="36" t="s">
        <v>48</v>
      </c>
    </row>
    <row r="41632">
      <c r="H41632" s="50"/>
      <c r="I41632" s="50"/>
      <c r="O41632" s="36" t="s">
        <v>48</v>
      </c>
      <c r="R41632" s="36" t="s">
        <v>48</v>
      </c>
    </row>
    <row r="41633">
      <c r="H41633" s="50"/>
      <c r="I41633" s="50"/>
      <c r="O41633" s="36" t="s">
        <v>48</v>
      </c>
      <c r="R41633" s="36" t="s">
        <v>48</v>
      </c>
    </row>
    <row r="41634">
      <c r="H41634" s="50"/>
      <c r="I41634" s="50"/>
      <c r="O41634" s="36" t="s">
        <v>48</v>
      </c>
      <c r="R41634" s="36" t="s">
        <v>48</v>
      </c>
    </row>
    <row r="41635">
      <c r="H41635" s="50"/>
      <c r="I41635" s="50"/>
      <c r="O41635" s="36" t="s">
        <v>48</v>
      </c>
      <c r="R41635" s="36" t="s">
        <v>48</v>
      </c>
    </row>
    <row r="41636">
      <c r="H41636" s="50"/>
      <c r="I41636" s="50"/>
      <c r="O41636" s="36" t="s">
        <v>48</v>
      </c>
      <c r="R41636" s="36" t="s">
        <v>48</v>
      </c>
    </row>
    <row r="41637">
      <c r="H41637" s="50"/>
      <c r="I41637" s="50"/>
      <c r="O41637" s="36" t="s">
        <v>48</v>
      </c>
      <c r="R41637" s="36" t="s">
        <v>48</v>
      </c>
    </row>
    <row r="41638">
      <c r="H41638" s="50"/>
      <c r="I41638" s="50"/>
      <c r="O41638" s="36" t="s">
        <v>48</v>
      </c>
      <c r="R41638" s="36" t="s">
        <v>48</v>
      </c>
    </row>
    <row r="41639">
      <c r="H41639" s="50"/>
      <c r="I41639" s="50"/>
      <c r="O41639" s="36" t="s">
        <v>48</v>
      </c>
      <c r="R41639" s="36" t="s">
        <v>48</v>
      </c>
    </row>
    <row r="41640">
      <c r="H41640" s="50"/>
      <c r="I41640" s="50"/>
      <c r="O41640" s="36" t="s">
        <v>48</v>
      </c>
      <c r="R41640" s="36" t="s">
        <v>48</v>
      </c>
    </row>
    <row r="41641">
      <c r="H41641" s="50"/>
      <c r="I41641" s="50"/>
      <c r="O41641" s="36" t="s">
        <v>48</v>
      </c>
      <c r="R41641" s="36" t="s">
        <v>48</v>
      </c>
    </row>
    <row r="41642">
      <c r="H41642" s="50"/>
      <c r="I41642" s="50"/>
      <c r="O41642" s="36" t="s">
        <v>48</v>
      </c>
      <c r="R41642" s="36" t="s">
        <v>48</v>
      </c>
    </row>
    <row r="41643">
      <c r="H41643" s="50"/>
      <c r="I41643" s="50"/>
      <c r="O41643" s="36" t="s">
        <v>48</v>
      </c>
      <c r="R41643" s="36" t="s">
        <v>48</v>
      </c>
    </row>
    <row r="41644">
      <c r="H41644" s="50"/>
      <c r="I41644" s="50"/>
      <c r="O41644" s="36" t="s">
        <v>48</v>
      </c>
      <c r="R41644" s="36" t="s">
        <v>48</v>
      </c>
    </row>
    <row r="41645">
      <c r="H41645" s="50"/>
      <c r="I41645" s="50"/>
      <c r="O41645" s="36" t="s">
        <v>48</v>
      </c>
      <c r="R41645" s="36" t="s">
        <v>48</v>
      </c>
    </row>
    <row r="41646">
      <c r="H41646" s="50"/>
      <c r="I41646" s="50"/>
      <c r="O41646" s="36" t="s">
        <v>48</v>
      </c>
      <c r="R41646" s="36" t="s">
        <v>48</v>
      </c>
    </row>
    <row r="41647">
      <c r="H41647" s="50"/>
      <c r="I41647" s="50"/>
      <c r="O41647" s="36" t="s">
        <v>48</v>
      </c>
      <c r="R41647" s="36" t="s">
        <v>48</v>
      </c>
    </row>
    <row r="41648">
      <c r="H41648" s="50"/>
      <c r="I41648" s="50"/>
      <c r="O41648" s="36" t="s">
        <v>48</v>
      </c>
      <c r="R41648" s="36" t="s">
        <v>48</v>
      </c>
    </row>
    <row r="41649">
      <c r="H41649" s="50"/>
      <c r="I41649" s="50"/>
      <c r="O41649" s="36" t="s">
        <v>48</v>
      </c>
      <c r="R41649" s="36" t="s">
        <v>48</v>
      </c>
    </row>
    <row r="41650">
      <c r="H41650" s="50"/>
      <c r="I41650" s="50"/>
      <c r="O41650" s="36" t="s">
        <v>48</v>
      </c>
      <c r="R41650" s="36" t="s">
        <v>48</v>
      </c>
    </row>
    <row r="41651">
      <c r="H41651" s="50"/>
      <c r="I41651" s="50"/>
      <c r="O41651" s="36" t="s">
        <v>48</v>
      </c>
      <c r="R41651" s="36" t="s">
        <v>48</v>
      </c>
    </row>
    <row r="41652">
      <c r="H41652" s="50"/>
      <c r="I41652" s="50"/>
      <c r="O41652" s="36" t="s">
        <v>48</v>
      </c>
      <c r="R41652" s="36" t="s">
        <v>48</v>
      </c>
    </row>
    <row r="41653">
      <c r="H41653" s="50"/>
      <c r="I41653" s="50"/>
      <c r="O41653" s="36" t="s">
        <v>48</v>
      </c>
      <c r="R41653" s="36" t="s">
        <v>48</v>
      </c>
    </row>
    <row r="41654">
      <c r="H41654" s="50"/>
      <c r="I41654" s="50"/>
      <c r="O41654" s="36" t="s">
        <v>48</v>
      </c>
      <c r="R41654" s="36" t="s">
        <v>48</v>
      </c>
    </row>
    <row r="41655">
      <c r="H41655" s="50"/>
      <c r="I41655" s="50"/>
      <c r="O41655" s="36" t="s">
        <v>48</v>
      </c>
      <c r="R41655" s="36" t="s">
        <v>48</v>
      </c>
    </row>
    <row r="41656">
      <c r="H41656" s="50"/>
      <c r="I41656" s="50"/>
      <c r="O41656" s="36" t="s">
        <v>48</v>
      </c>
      <c r="R41656" s="36" t="s">
        <v>48</v>
      </c>
    </row>
    <row r="41657">
      <c r="H41657" s="50"/>
      <c r="I41657" s="50"/>
      <c r="O41657" s="36" t="s">
        <v>48</v>
      </c>
      <c r="R41657" s="36" t="s">
        <v>48</v>
      </c>
    </row>
    <row r="41658">
      <c r="H41658" s="50"/>
      <c r="I41658" s="50"/>
      <c r="O41658" s="36" t="s">
        <v>48</v>
      </c>
      <c r="R41658" s="36" t="s">
        <v>48</v>
      </c>
    </row>
    <row r="41659">
      <c r="H41659" s="50"/>
      <c r="I41659" s="50"/>
      <c r="O41659" s="36" t="s">
        <v>48</v>
      </c>
      <c r="R41659" s="36" t="s">
        <v>48</v>
      </c>
    </row>
    <row r="41660">
      <c r="H41660" s="50"/>
      <c r="I41660" s="50"/>
      <c r="O41660" s="36" t="s">
        <v>48</v>
      </c>
      <c r="R41660" s="36" t="s">
        <v>48</v>
      </c>
    </row>
    <row r="41661">
      <c r="H41661" s="50"/>
      <c r="I41661" s="50"/>
      <c r="O41661" s="36" t="s">
        <v>48</v>
      </c>
      <c r="R41661" s="36" t="s">
        <v>48</v>
      </c>
    </row>
    <row r="41662">
      <c r="H41662" s="50"/>
      <c r="I41662" s="50"/>
      <c r="O41662" s="36" t="s">
        <v>48</v>
      </c>
      <c r="R41662" s="36" t="s">
        <v>48</v>
      </c>
    </row>
    <row r="41663">
      <c r="H41663" s="50"/>
      <c r="I41663" s="50"/>
      <c r="O41663" s="36" t="s">
        <v>48</v>
      </c>
      <c r="R41663" s="36" t="s">
        <v>48</v>
      </c>
    </row>
    <row r="41664">
      <c r="H41664" s="50"/>
      <c r="I41664" s="50"/>
      <c r="O41664" s="36" t="s">
        <v>48</v>
      </c>
      <c r="R41664" s="36" t="s">
        <v>48</v>
      </c>
    </row>
    <row r="41665">
      <c r="H41665" s="50"/>
      <c r="I41665" s="50"/>
      <c r="O41665" s="36" t="s">
        <v>48</v>
      </c>
      <c r="R41665" s="36" t="s">
        <v>48</v>
      </c>
    </row>
    <row r="41666">
      <c r="H41666" s="50"/>
      <c r="I41666" s="50"/>
      <c r="O41666" s="36" t="s">
        <v>48</v>
      </c>
      <c r="R41666" s="36" t="s">
        <v>48</v>
      </c>
    </row>
    <row r="41667">
      <c r="H41667" s="50"/>
      <c r="I41667" s="50"/>
      <c r="O41667" s="36" t="s">
        <v>48</v>
      </c>
      <c r="R41667" s="36" t="s">
        <v>48</v>
      </c>
    </row>
    <row r="41668">
      <c r="H41668" s="50"/>
      <c r="I41668" s="50"/>
      <c r="O41668" s="36" t="s">
        <v>48</v>
      </c>
      <c r="R41668" s="36" t="s">
        <v>48</v>
      </c>
    </row>
    <row r="41669">
      <c r="H41669" s="50"/>
      <c r="I41669" s="50"/>
      <c r="O41669" s="36" t="s">
        <v>48</v>
      </c>
      <c r="R41669" s="36" t="s">
        <v>48</v>
      </c>
    </row>
    <row r="41670">
      <c r="H41670" s="50"/>
      <c r="I41670" s="50"/>
      <c r="O41670" s="36" t="s">
        <v>48</v>
      </c>
      <c r="R41670" s="36" t="s">
        <v>48</v>
      </c>
    </row>
    <row r="41671">
      <c r="H41671" s="50"/>
      <c r="I41671" s="50"/>
      <c r="O41671" s="36" t="s">
        <v>48</v>
      </c>
      <c r="R41671" s="36" t="s">
        <v>48</v>
      </c>
    </row>
    <row r="41672">
      <c r="H41672" s="50"/>
      <c r="I41672" s="50"/>
      <c r="O41672" s="36" t="s">
        <v>48</v>
      </c>
      <c r="R41672" s="36" t="s">
        <v>48</v>
      </c>
    </row>
    <row r="41673">
      <c r="H41673" s="50"/>
      <c r="I41673" s="50"/>
      <c r="O41673" s="36" t="s">
        <v>48</v>
      </c>
      <c r="R41673" s="36" t="s">
        <v>48</v>
      </c>
    </row>
    <row r="41674">
      <c r="H41674" s="50"/>
      <c r="I41674" s="50"/>
      <c r="O41674" s="36" t="s">
        <v>48</v>
      </c>
      <c r="R41674" s="36" t="s">
        <v>48</v>
      </c>
    </row>
    <row r="41675">
      <c r="H41675" s="50"/>
      <c r="I41675" s="50"/>
      <c r="O41675" s="36" t="s">
        <v>48</v>
      </c>
      <c r="R41675" s="36" t="s">
        <v>48</v>
      </c>
    </row>
    <row r="41676">
      <c r="H41676" s="50"/>
      <c r="I41676" s="50"/>
      <c r="O41676" s="36" t="s">
        <v>48</v>
      </c>
      <c r="R41676" s="36" t="s">
        <v>48</v>
      </c>
    </row>
    <row r="41677">
      <c r="H41677" s="50"/>
      <c r="I41677" s="50"/>
      <c r="O41677" s="36" t="s">
        <v>48</v>
      </c>
      <c r="R41677" s="36" t="s">
        <v>48</v>
      </c>
    </row>
    <row r="41678">
      <c r="H41678" s="50"/>
      <c r="I41678" s="50"/>
      <c r="O41678" s="36" t="s">
        <v>48</v>
      </c>
      <c r="R41678" s="36" t="s">
        <v>48</v>
      </c>
    </row>
    <row r="41679">
      <c r="H41679" s="50"/>
      <c r="I41679" s="50"/>
      <c r="O41679" s="36" t="s">
        <v>48</v>
      </c>
      <c r="R41679" s="36" t="s">
        <v>48</v>
      </c>
    </row>
    <row r="41680">
      <c r="H41680" s="50"/>
      <c r="I41680" s="50"/>
      <c r="O41680" s="36" t="s">
        <v>48</v>
      </c>
      <c r="R41680" s="36" t="s">
        <v>48</v>
      </c>
    </row>
    <row r="41681">
      <c r="H41681" s="50"/>
      <c r="I41681" s="50"/>
      <c r="O41681" s="36" t="s">
        <v>48</v>
      </c>
      <c r="R41681" s="36" t="s">
        <v>48</v>
      </c>
    </row>
    <row r="41682">
      <c r="H41682" s="50"/>
      <c r="I41682" s="50"/>
      <c r="O41682" s="36" t="s">
        <v>48</v>
      </c>
      <c r="R41682" s="36" t="s">
        <v>48</v>
      </c>
    </row>
    <row r="41683">
      <c r="H41683" s="50"/>
      <c r="I41683" s="50"/>
      <c r="O41683" s="36" t="s">
        <v>48</v>
      </c>
      <c r="R41683" s="36" t="s">
        <v>48</v>
      </c>
    </row>
    <row r="41684">
      <c r="H41684" s="50"/>
      <c r="I41684" s="50"/>
      <c r="O41684" s="36" t="s">
        <v>48</v>
      </c>
      <c r="R41684" s="36" t="s">
        <v>48</v>
      </c>
    </row>
    <row r="41685">
      <c r="H41685" s="50"/>
      <c r="I41685" s="50"/>
      <c r="O41685" s="36" t="s">
        <v>48</v>
      </c>
      <c r="R41685" s="36" t="s">
        <v>48</v>
      </c>
    </row>
    <row r="41686">
      <c r="H41686" s="50"/>
      <c r="I41686" s="50"/>
      <c r="O41686" s="36" t="s">
        <v>48</v>
      </c>
      <c r="R41686" s="36" t="s">
        <v>48</v>
      </c>
    </row>
    <row r="41687">
      <c r="H41687" s="50"/>
      <c r="I41687" s="50"/>
      <c r="O41687" s="36" t="s">
        <v>48</v>
      </c>
      <c r="R41687" s="36" t="s">
        <v>48</v>
      </c>
    </row>
    <row r="41688">
      <c r="H41688" s="50"/>
      <c r="I41688" s="50"/>
      <c r="O41688" s="36" t="s">
        <v>48</v>
      </c>
      <c r="R41688" s="36" t="s">
        <v>48</v>
      </c>
    </row>
    <row r="41689">
      <c r="H41689" s="50"/>
      <c r="I41689" s="50"/>
      <c r="O41689" s="36" t="s">
        <v>48</v>
      </c>
      <c r="R41689" s="36" t="s">
        <v>48</v>
      </c>
    </row>
    <row r="41690">
      <c r="H41690" s="50"/>
      <c r="I41690" s="50"/>
      <c r="O41690" s="36" t="s">
        <v>48</v>
      </c>
      <c r="R41690" s="36" t="s">
        <v>48</v>
      </c>
    </row>
    <row r="41691">
      <c r="H41691" s="50"/>
      <c r="I41691" s="50"/>
      <c r="O41691" s="36" t="s">
        <v>48</v>
      </c>
      <c r="R41691" s="36" t="s">
        <v>48</v>
      </c>
    </row>
    <row r="41692">
      <c r="H41692" s="50"/>
      <c r="I41692" s="50"/>
      <c r="O41692" s="36" t="s">
        <v>48</v>
      </c>
      <c r="R41692" s="36" t="s">
        <v>48</v>
      </c>
    </row>
    <row r="41693">
      <c r="H41693" s="50"/>
      <c r="I41693" s="50"/>
      <c r="O41693" s="36" t="s">
        <v>48</v>
      </c>
      <c r="R41693" s="36" t="s">
        <v>48</v>
      </c>
    </row>
    <row r="41694">
      <c r="H41694" s="50"/>
      <c r="I41694" s="50"/>
      <c r="O41694" s="36" t="s">
        <v>48</v>
      </c>
      <c r="R41694" s="36" t="s">
        <v>48</v>
      </c>
    </row>
    <row r="41695">
      <c r="H41695" s="50"/>
      <c r="I41695" s="50"/>
      <c r="O41695" s="36" t="s">
        <v>48</v>
      </c>
      <c r="R41695" s="36" t="s">
        <v>48</v>
      </c>
    </row>
    <row r="41696">
      <c r="H41696" s="50"/>
      <c r="I41696" s="50"/>
      <c r="O41696" s="36" t="s">
        <v>48</v>
      </c>
      <c r="R41696" s="36" t="s">
        <v>48</v>
      </c>
    </row>
    <row r="41697">
      <c r="H41697" s="50"/>
      <c r="I41697" s="50"/>
      <c r="O41697" s="36" t="s">
        <v>48</v>
      </c>
      <c r="R41697" s="36" t="s">
        <v>48</v>
      </c>
    </row>
    <row r="41698">
      <c r="H41698" s="50"/>
      <c r="I41698" s="50"/>
      <c r="O41698" s="36" t="s">
        <v>48</v>
      </c>
      <c r="R41698" s="36" t="s">
        <v>48</v>
      </c>
    </row>
    <row r="41699">
      <c r="H41699" s="50"/>
      <c r="I41699" s="50"/>
      <c r="O41699" s="36" t="s">
        <v>48</v>
      </c>
      <c r="R41699" s="36" t="s">
        <v>48</v>
      </c>
    </row>
    <row r="41700">
      <c r="H41700" s="50"/>
      <c r="I41700" s="50"/>
      <c r="O41700" s="36" t="s">
        <v>48</v>
      </c>
      <c r="R41700" s="36" t="s">
        <v>48</v>
      </c>
    </row>
    <row r="41701">
      <c r="H41701" s="50"/>
      <c r="I41701" s="50"/>
      <c r="O41701" s="36" t="s">
        <v>48</v>
      </c>
      <c r="R41701" s="36" t="s">
        <v>48</v>
      </c>
    </row>
    <row r="41702">
      <c r="H41702" s="50"/>
      <c r="I41702" s="50"/>
      <c r="O41702" s="36" t="s">
        <v>48</v>
      </c>
      <c r="R41702" s="36" t="s">
        <v>48</v>
      </c>
    </row>
    <row r="41703">
      <c r="H41703" s="50"/>
      <c r="I41703" s="50"/>
      <c r="O41703" s="36" t="s">
        <v>48</v>
      </c>
      <c r="R41703" s="36" t="s">
        <v>48</v>
      </c>
    </row>
    <row r="41704">
      <c r="H41704" s="50"/>
      <c r="I41704" s="50"/>
      <c r="O41704" s="36" t="s">
        <v>48</v>
      </c>
      <c r="R41704" s="36" t="s">
        <v>48</v>
      </c>
    </row>
    <row r="41705">
      <c r="H41705" s="50"/>
      <c r="I41705" s="50"/>
      <c r="O41705" s="36" t="s">
        <v>48</v>
      </c>
      <c r="R41705" s="36" t="s">
        <v>48</v>
      </c>
    </row>
    <row r="41706">
      <c r="H41706" s="50"/>
      <c r="I41706" s="50"/>
      <c r="O41706" s="36" t="s">
        <v>48</v>
      </c>
      <c r="R41706" s="36" t="s">
        <v>48</v>
      </c>
    </row>
    <row r="41707">
      <c r="H41707" s="50"/>
      <c r="I41707" s="50"/>
      <c r="O41707" s="36" t="s">
        <v>48</v>
      </c>
      <c r="R41707" s="36" t="s">
        <v>48</v>
      </c>
    </row>
    <row r="41708">
      <c r="H41708" s="50"/>
      <c r="I41708" s="50"/>
      <c r="O41708" s="36" t="s">
        <v>48</v>
      </c>
      <c r="R41708" s="36" t="s">
        <v>48</v>
      </c>
    </row>
    <row r="41709">
      <c r="H41709" s="50"/>
      <c r="I41709" s="50"/>
      <c r="O41709" s="36" t="s">
        <v>48</v>
      </c>
      <c r="R41709" s="36" t="s">
        <v>48</v>
      </c>
    </row>
    <row r="41710">
      <c r="H41710" s="50"/>
      <c r="I41710" s="50"/>
      <c r="O41710" s="36" t="s">
        <v>48</v>
      </c>
      <c r="R41710" s="36" t="s">
        <v>48</v>
      </c>
    </row>
    <row r="41711">
      <c r="H41711" s="50"/>
      <c r="I41711" s="50"/>
      <c r="O41711" s="36" t="s">
        <v>48</v>
      </c>
      <c r="R41711" s="36" t="s">
        <v>48</v>
      </c>
    </row>
    <row r="41712">
      <c r="H41712" s="50"/>
      <c r="I41712" s="50"/>
      <c r="O41712" s="36" t="s">
        <v>48</v>
      </c>
      <c r="R41712" s="36" t="s">
        <v>48</v>
      </c>
    </row>
    <row r="41713">
      <c r="H41713" s="50"/>
      <c r="I41713" s="50"/>
      <c r="O41713" s="36" t="s">
        <v>48</v>
      </c>
      <c r="R41713" s="36" t="s">
        <v>48</v>
      </c>
    </row>
    <row r="41714">
      <c r="H41714" s="50"/>
      <c r="I41714" s="50"/>
      <c r="O41714" s="36" t="s">
        <v>48</v>
      </c>
      <c r="R41714" s="36" t="s">
        <v>48</v>
      </c>
    </row>
    <row r="41715">
      <c r="H41715" s="50"/>
      <c r="I41715" s="50"/>
      <c r="O41715" s="36" t="s">
        <v>48</v>
      </c>
      <c r="R41715" s="36" t="s">
        <v>48</v>
      </c>
    </row>
    <row r="41716">
      <c r="H41716" s="50"/>
      <c r="I41716" s="50"/>
      <c r="O41716" s="36" t="s">
        <v>48</v>
      </c>
      <c r="R41716" s="36" t="s">
        <v>48</v>
      </c>
    </row>
    <row r="41717">
      <c r="H41717" s="50"/>
      <c r="I41717" s="50"/>
      <c r="O41717" s="36" t="s">
        <v>48</v>
      </c>
      <c r="R41717" s="36" t="s">
        <v>48</v>
      </c>
    </row>
    <row r="41718">
      <c r="H41718" s="50"/>
      <c r="I41718" s="50"/>
      <c r="O41718" s="36" t="s">
        <v>48</v>
      </c>
      <c r="R41718" s="36" t="s">
        <v>48</v>
      </c>
    </row>
    <row r="41719">
      <c r="H41719" s="50"/>
      <c r="I41719" s="50"/>
      <c r="O41719" s="36" t="s">
        <v>48</v>
      </c>
      <c r="R41719" s="36" t="s">
        <v>48</v>
      </c>
    </row>
    <row r="41720">
      <c r="H41720" s="50"/>
      <c r="I41720" s="50"/>
      <c r="O41720" s="36" t="s">
        <v>48</v>
      </c>
      <c r="R41720" s="36" t="s">
        <v>48</v>
      </c>
    </row>
    <row r="41721">
      <c r="H41721" s="50"/>
      <c r="I41721" s="50"/>
      <c r="O41721" s="36" t="s">
        <v>48</v>
      </c>
      <c r="R41721" s="36" t="s">
        <v>48</v>
      </c>
    </row>
    <row r="41722">
      <c r="H41722" s="50"/>
      <c r="I41722" s="50"/>
      <c r="O41722" s="36" t="s">
        <v>48</v>
      </c>
      <c r="R41722" s="36" t="s">
        <v>48</v>
      </c>
    </row>
    <row r="41723">
      <c r="H41723" s="50"/>
      <c r="I41723" s="50"/>
      <c r="O41723" s="36" t="s">
        <v>48</v>
      </c>
      <c r="R41723" s="36" t="s">
        <v>48</v>
      </c>
    </row>
    <row r="41724">
      <c r="H41724" s="50"/>
      <c r="I41724" s="50"/>
      <c r="O41724" s="36" t="s">
        <v>48</v>
      </c>
      <c r="R41724" s="36" t="s">
        <v>48</v>
      </c>
    </row>
    <row r="41725">
      <c r="H41725" s="50"/>
      <c r="I41725" s="50"/>
      <c r="O41725" s="36" t="s">
        <v>48</v>
      </c>
      <c r="R41725" s="36" t="s">
        <v>48</v>
      </c>
    </row>
    <row r="41726">
      <c r="H41726" s="50"/>
      <c r="I41726" s="50"/>
      <c r="O41726" s="36" t="s">
        <v>48</v>
      </c>
      <c r="R41726" s="36" t="s">
        <v>48</v>
      </c>
    </row>
    <row r="41727">
      <c r="H41727" s="50"/>
      <c r="I41727" s="50"/>
      <c r="O41727" s="36" t="s">
        <v>48</v>
      </c>
      <c r="R41727" s="36" t="s">
        <v>48</v>
      </c>
    </row>
    <row r="41728">
      <c r="H41728" s="50"/>
      <c r="I41728" s="50"/>
      <c r="O41728" s="36" t="s">
        <v>48</v>
      </c>
      <c r="R41728" s="36" t="s">
        <v>48</v>
      </c>
    </row>
    <row r="41729">
      <c r="H41729" s="50"/>
      <c r="I41729" s="50"/>
      <c r="O41729" s="36" t="s">
        <v>48</v>
      </c>
      <c r="R41729" s="36" t="s">
        <v>48</v>
      </c>
    </row>
    <row r="41730">
      <c r="H41730" s="50"/>
      <c r="I41730" s="50"/>
      <c r="O41730" s="36" t="s">
        <v>48</v>
      </c>
      <c r="R41730" s="36" t="s">
        <v>48</v>
      </c>
    </row>
    <row r="41731">
      <c r="H41731" s="50"/>
      <c r="I41731" s="50"/>
      <c r="O41731" s="36" t="s">
        <v>48</v>
      </c>
      <c r="R41731" s="36" t="s">
        <v>48</v>
      </c>
    </row>
    <row r="41732">
      <c r="H41732" s="50"/>
      <c r="I41732" s="50"/>
      <c r="O41732" s="36" t="s">
        <v>48</v>
      </c>
      <c r="R41732" s="36" t="s">
        <v>48</v>
      </c>
    </row>
    <row r="41733">
      <c r="H41733" s="50"/>
      <c r="I41733" s="50"/>
      <c r="O41733" s="36" t="s">
        <v>48</v>
      </c>
      <c r="R41733" s="36" t="s">
        <v>48</v>
      </c>
    </row>
    <row r="41734">
      <c r="H41734" s="50"/>
      <c r="I41734" s="50"/>
      <c r="O41734" s="36" t="s">
        <v>48</v>
      </c>
      <c r="R41734" s="36" t="s">
        <v>48</v>
      </c>
    </row>
    <row r="41735">
      <c r="H41735" s="50"/>
      <c r="I41735" s="50"/>
      <c r="O41735" s="36" t="s">
        <v>48</v>
      </c>
      <c r="R41735" s="36" t="s">
        <v>48</v>
      </c>
    </row>
    <row r="41736">
      <c r="H41736" s="50"/>
      <c r="I41736" s="50"/>
      <c r="O41736" s="36" t="s">
        <v>48</v>
      </c>
      <c r="R41736" s="36" t="s">
        <v>48</v>
      </c>
    </row>
    <row r="41737">
      <c r="H41737" s="50"/>
      <c r="I41737" s="50"/>
      <c r="O41737" s="36" t="s">
        <v>48</v>
      </c>
      <c r="R41737" s="36" t="s">
        <v>48</v>
      </c>
    </row>
    <row r="41738">
      <c r="H41738" s="50"/>
      <c r="I41738" s="50"/>
      <c r="O41738" s="36" t="s">
        <v>48</v>
      </c>
      <c r="R41738" s="36" t="s">
        <v>48</v>
      </c>
    </row>
    <row r="41739">
      <c r="H41739" s="50"/>
      <c r="I41739" s="50"/>
      <c r="O41739" s="36" t="s">
        <v>48</v>
      </c>
      <c r="R41739" s="36" t="s">
        <v>48</v>
      </c>
    </row>
    <row r="41740">
      <c r="H41740" s="50"/>
      <c r="I41740" s="50"/>
      <c r="O41740" s="36" t="s">
        <v>48</v>
      </c>
      <c r="R41740" s="36" t="s">
        <v>48</v>
      </c>
    </row>
    <row r="41741">
      <c r="H41741" s="50"/>
      <c r="I41741" s="50"/>
      <c r="O41741" s="36" t="s">
        <v>48</v>
      </c>
      <c r="R41741" s="36" t="s">
        <v>48</v>
      </c>
    </row>
    <row r="41742">
      <c r="H41742" s="50"/>
      <c r="I41742" s="50"/>
      <c r="O41742" s="36" t="s">
        <v>48</v>
      </c>
      <c r="R41742" s="36" t="s">
        <v>48</v>
      </c>
    </row>
    <row r="41743">
      <c r="H41743" s="50"/>
      <c r="I41743" s="50"/>
      <c r="O41743" s="36" t="s">
        <v>48</v>
      </c>
      <c r="R41743" s="36" t="s">
        <v>48</v>
      </c>
    </row>
    <row r="41744">
      <c r="H41744" s="50"/>
      <c r="I41744" s="50"/>
      <c r="O41744" s="36" t="s">
        <v>48</v>
      </c>
      <c r="R41744" s="36" t="s">
        <v>48</v>
      </c>
    </row>
    <row r="41745">
      <c r="H41745" s="50"/>
      <c r="I41745" s="50"/>
      <c r="O41745" s="36" t="s">
        <v>48</v>
      </c>
      <c r="R41745" s="36" t="s">
        <v>48</v>
      </c>
    </row>
    <row r="41746">
      <c r="H41746" s="50"/>
      <c r="I41746" s="50"/>
      <c r="O41746" s="36" t="s">
        <v>48</v>
      </c>
      <c r="R41746" s="36" t="s">
        <v>48</v>
      </c>
    </row>
    <row r="41747">
      <c r="H41747" s="50"/>
      <c r="I41747" s="50"/>
      <c r="O41747" s="36" t="s">
        <v>48</v>
      </c>
      <c r="R41747" s="36" t="s">
        <v>48</v>
      </c>
    </row>
    <row r="41748">
      <c r="H41748" s="50"/>
      <c r="I41748" s="50"/>
      <c r="O41748" s="36" t="s">
        <v>48</v>
      </c>
      <c r="R41748" s="36" t="s">
        <v>48</v>
      </c>
    </row>
    <row r="41749">
      <c r="H41749" s="50"/>
      <c r="I41749" s="50"/>
      <c r="O41749" s="36" t="s">
        <v>48</v>
      </c>
      <c r="R41749" s="36" t="s">
        <v>48</v>
      </c>
    </row>
    <row r="41750">
      <c r="H41750" s="50"/>
      <c r="I41750" s="50"/>
      <c r="O41750" s="36" t="s">
        <v>48</v>
      </c>
      <c r="R41750" s="36" t="s">
        <v>48</v>
      </c>
    </row>
    <row r="41751">
      <c r="H41751" s="50"/>
      <c r="I41751" s="50"/>
      <c r="O41751" s="36" t="s">
        <v>48</v>
      </c>
      <c r="R41751" s="36" t="s">
        <v>48</v>
      </c>
    </row>
    <row r="41752">
      <c r="H41752" s="50"/>
      <c r="I41752" s="50"/>
      <c r="O41752" s="36" t="s">
        <v>48</v>
      </c>
      <c r="R41752" s="36" t="s">
        <v>48</v>
      </c>
    </row>
    <row r="41753">
      <c r="H41753" s="50"/>
      <c r="I41753" s="50"/>
      <c r="O41753" s="36" t="s">
        <v>48</v>
      </c>
      <c r="R41753" s="36" t="s">
        <v>48</v>
      </c>
    </row>
    <row r="41754">
      <c r="H41754" s="50"/>
      <c r="I41754" s="50"/>
      <c r="O41754" s="36" t="s">
        <v>48</v>
      </c>
      <c r="R41754" s="36" t="s">
        <v>48</v>
      </c>
    </row>
    <row r="41755">
      <c r="H41755" s="50"/>
      <c r="I41755" s="50"/>
      <c r="O41755" s="36" t="s">
        <v>48</v>
      </c>
      <c r="R41755" s="36" t="s">
        <v>48</v>
      </c>
    </row>
    <row r="41756">
      <c r="H41756" s="50"/>
      <c r="I41756" s="50"/>
      <c r="O41756" s="36" t="s">
        <v>48</v>
      </c>
      <c r="R41756" s="36" t="s">
        <v>48</v>
      </c>
    </row>
    <row r="41757">
      <c r="H41757" s="50"/>
      <c r="I41757" s="50"/>
      <c r="O41757" s="36" t="s">
        <v>48</v>
      </c>
      <c r="R41757" s="36" t="s">
        <v>48</v>
      </c>
    </row>
    <row r="41758">
      <c r="H41758" s="50"/>
      <c r="I41758" s="50"/>
      <c r="O41758" s="36" t="s">
        <v>48</v>
      </c>
      <c r="R41758" s="36" t="s">
        <v>48</v>
      </c>
    </row>
    <row r="41759">
      <c r="H41759" s="50"/>
      <c r="I41759" s="50"/>
      <c r="O41759" s="36" t="s">
        <v>48</v>
      </c>
      <c r="R41759" s="36" t="s">
        <v>48</v>
      </c>
    </row>
    <row r="41760">
      <c r="H41760" s="50"/>
      <c r="I41760" s="50"/>
      <c r="O41760" s="36" t="s">
        <v>48</v>
      </c>
      <c r="R41760" s="36" t="s">
        <v>48</v>
      </c>
    </row>
    <row r="41761">
      <c r="H41761" s="50"/>
      <c r="I41761" s="50"/>
      <c r="O41761" s="36" t="s">
        <v>48</v>
      </c>
      <c r="R41761" s="36" t="s">
        <v>48</v>
      </c>
    </row>
    <row r="41762">
      <c r="H41762" s="50"/>
      <c r="I41762" s="50"/>
      <c r="O41762" s="36" t="s">
        <v>48</v>
      </c>
      <c r="R41762" s="36" t="s">
        <v>48</v>
      </c>
    </row>
    <row r="41763">
      <c r="H41763" s="50"/>
      <c r="I41763" s="50"/>
      <c r="O41763" s="36" t="s">
        <v>48</v>
      </c>
      <c r="R41763" s="36" t="s">
        <v>48</v>
      </c>
    </row>
    <row r="41764">
      <c r="H41764" s="50"/>
      <c r="I41764" s="50"/>
      <c r="O41764" s="36" t="s">
        <v>48</v>
      </c>
      <c r="R41764" s="36" t="s">
        <v>48</v>
      </c>
    </row>
    <row r="41765">
      <c r="H41765" s="50"/>
      <c r="I41765" s="50"/>
      <c r="O41765" s="36" t="s">
        <v>48</v>
      </c>
      <c r="R41765" s="36" t="s">
        <v>48</v>
      </c>
    </row>
    <row r="41766">
      <c r="H41766" s="50"/>
      <c r="I41766" s="50"/>
      <c r="O41766" s="36" t="s">
        <v>48</v>
      </c>
      <c r="R41766" s="36" t="s">
        <v>48</v>
      </c>
    </row>
    <row r="41767">
      <c r="H41767" s="50"/>
      <c r="I41767" s="50"/>
      <c r="O41767" s="36" t="s">
        <v>48</v>
      </c>
      <c r="R41767" s="36" t="s">
        <v>48</v>
      </c>
    </row>
    <row r="41768">
      <c r="H41768" s="50"/>
      <c r="I41768" s="50"/>
      <c r="O41768" s="36" t="s">
        <v>48</v>
      </c>
      <c r="R41768" s="36" t="s">
        <v>48</v>
      </c>
    </row>
    <row r="41769">
      <c r="H41769" s="50"/>
      <c r="I41769" s="50"/>
      <c r="O41769" s="36" t="s">
        <v>48</v>
      </c>
      <c r="R41769" s="36" t="s">
        <v>48</v>
      </c>
    </row>
    <row r="41770">
      <c r="H41770" s="50"/>
      <c r="I41770" s="50"/>
      <c r="O41770" s="36" t="s">
        <v>48</v>
      </c>
      <c r="R41770" s="36" t="s">
        <v>48</v>
      </c>
    </row>
    <row r="41771">
      <c r="H41771" s="50"/>
      <c r="I41771" s="50"/>
      <c r="O41771" s="36" t="s">
        <v>48</v>
      </c>
      <c r="R41771" s="36" t="s">
        <v>48</v>
      </c>
    </row>
    <row r="41772">
      <c r="H41772" s="50"/>
      <c r="I41772" s="50"/>
      <c r="O41772" s="36" t="s">
        <v>48</v>
      </c>
      <c r="R41772" s="36" t="s">
        <v>48</v>
      </c>
    </row>
    <row r="41773">
      <c r="H41773" s="50"/>
      <c r="I41773" s="50"/>
      <c r="O41773" s="36" t="s">
        <v>48</v>
      </c>
      <c r="R41773" s="36" t="s">
        <v>48</v>
      </c>
    </row>
    <row r="41774">
      <c r="H41774" s="50"/>
      <c r="I41774" s="50"/>
      <c r="O41774" s="36" t="s">
        <v>48</v>
      </c>
      <c r="R41774" s="36" t="s">
        <v>48</v>
      </c>
    </row>
    <row r="41775">
      <c r="H41775" s="50"/>
      <c r="I41775" s="50"/>
      <c r="O41775" s="36" t="s">
        <v>48</v>
      </c>
      <c r="R41775" s="36" t="s">
        <v>48</v>
      </c>
    </row>
    <row r="41776">
      <c r="H41776" s="50"/>
      <c r="I41776" s="50"/>
      <c r="O41776" s="36" t="s">
        <v>48</v>
      </c>
      <c r="R41776" s="36" t="s">
        <v>48</v>
      </c>
    </row>
    <row r="41777">
      <c r="H41777" s="50"/>
      <c r="I41777" s="50"/>
      <c r="O41777" s="36" t="s">
        <v>48</v>
      </c>
      <c r="R41777" s="36" t="s">
        <v>48</v>
      </c>
    </row>
    <row r="41778">
      <c r="H41778" s="50"/>
      <c r="I41778" s="50"/>
      <c r="O41778" s="36" t="s">
        <v>48</v>
      </c>
      <c r="R41778" s="36" t="s">
        <v>48</v>
      </c>
    </row>
    <row r="41779">
      <c r="H41779" s="50"/>
      <c r="I41779" s="50"/>
      <c r="O41779" s="36" t="s">
        <v>48</v>
      </c>
      <c r="R41779" s="36" t="s">
        <v>48</v>
      </c>
    </row>
    <row r="41780">
      <c r="H41780" s="50"/>
      <c r="I41780" s="50"/>
      <c r="O41780" s="36" t="s">
        <v>48</v>
      </c>
      <c r="R41780" s="36" t="s">
        <v>48</v>
      </c>
    </row>
    <row r="41781">
      <c r="H41781" s="50"/>
      <c r="I41781" s="50"/>
      <c r="O41781" s="36" t="s">
        <v>48</v>
      </c>
      <c r="R41781" s="36" t="s">
        <v>48</v>
      </c>
    </row>
    <row r="41782">
      <c r="H41782" s="50"/>
      <c r="I41782" s="50"/>
      <c r="O41782" s="36" t="s">
        <v>48</v>
      </c>
      <c r="R41782" s="36" t="s">
        <v>48</v>
      </c>
    </row>
    <row r="41783">
      <c r="H41783" s="50"/>
      <c r="I41783" s="50"/>
      <c r="O41783" s="36" t="s">
        <v>48</v>
      </c>
      <c r="R41783" s="36" t="s">
        <v>48</v>
      </c>
    </row>
    <row r="41784">
      <c r="H41784" s="50"/>
      <c r="I41784" s="50"/>
      <c r="O41784" s="36" t="s">
        <v>48</v>
      </c>
      <c r="R41784" s="36" t="s">
        <v>48</v>
      </c>
    </row>
    <row r="41785">
      <c r="H41785" s="50"/>
      <c r="I41785" s="50"/>
      <c r="O41785" s="36" t="s">
        <v>48</v>
      </c>
      <c r="R41785" s="36" t="s">
        <v>48</v>
      </c>
    </row>
    <row r="41786">
      <c r="H41786" s="50"/>
      <c r="I41786" s="50"/>
      <c r="O41786" s="36" t="s">
        <v>48</v>
      </c>
      <c r="R41786" s="36" t="s">
        <v>48</v>
      </c>
    </row>
    <row r="41787">
      <c r="H41787" s="50"/>
      <c r="I41787" s="50"/>
      <c r="O41787" s="36" t="s">
        <v>48</v>
      </c>
      <c r="R41787" s="36" t="s">
        <v>48</v>
      </c>
    </row>
    <row r="41788">
      <c r="H41788" s="50"/>
      <c r="I41788" s="50"/>
      <c r="O41788" s="36" t="s">
        <v>48</v>
      </c>
      <c r="R41788" s="36" t="s">
        <v>48</v>
      </c>
    </row>
    <row r="41789">
      <c r="H41789" s="50"/>
      <c r="I41789" s="50"/>
      <c r="O41789" s="36" t="s">
        <v>48</v>
      </c>
      <c r="R41789" s="36" t="s">
        <v>48</v>
      </c>
    </row>
    <row r="41790">
      <c r="H41790" s="50"/>
      <c r="I41790" s="50"/>
      <c r="O41790" s="36" t="s">
        <v>48</v>
      </c>
      <c r="R41790" s="36" t="s">
        <v>48</v>
      </c>
    </row>
    <row r="41791">
      <c r="H41791" s="50"/>
      <c r="I41791" s="50"/>
      <c r="O41791" s="36" t="s">
        <v>48</v>
      </c>
      <c r="R41791" s="36" t="s">
        <v>48</v>
      </c>
    </row>
    <row r="41792">
      <c r="H41792" s="50"/>
      <c r="I41792" s="50"/>
      <c r="O41792" s="36" t="s">
        <v>48</v>
      </c>
      <c r="R41792" s="36" t="s">
        <v>48</v>
      </c>
    </row>
    <row r="41793">
      <c r="H41793" s="50"/>
      <c r="I41793" s="50"/>
      <c r="O41793" s="36" t="s">
        <v>48</v>
      </c>
      <c r="R41793" s="36" t="s">
        <v>48</v>
      </c>
    </row>
    <row r="41794">
      <c r="H41794" s="50"/>
      <c r="I41794" s="50"/>
      <c r="O41794" s="36" t="s">
        <v>48</v>
      </c>
      <c r="R41794" s="36" t="s">
        <v>48</v>
      </c>
    </row>
    <row r="41795">
      <c r="H41795" s="50"/>
      <c r="I41795" s="50"/>
      <c r="O41795" s="36" t="s">
        <v>48</v>
      </c>
      <c r="R41795" s="36" t="s">
        <v>48</v>
      </c>
    </row>
    <row r="41796">
      <c r="H41796" s="50"/>
      <c r="I41796" s="50"/>
      <c r="O41796" s="36" t="s">
        <v>48</v>
      </c>
      <c r="R41796" s="36" t="s">
        <v>48</v>
      </c>
    </row>
    <row r="41797">
      <c r="H41797" s="50"/>
      <c r="I41797" s="50"/>
      <c r="O41797" s="36" t="s">
        <v>48</v>
      </c>
      <c r="R41797" s="36" t="s">
        <v>48</v>
      </c>
    </row>
    <row r="41798">
      <c r="H41798" s="50"/>
      <c r="I41798" s="50"/>
      <c r="O41798" s="36" t="s">
        <v>48</v>
      </c>
      <c r="R41798" s="36" t="s">
        <v>48</v>
      </c>
    </row>
    <row r="41799">
      <c r="H41799" s="50"/>
      <c r="I41799" s="50"/>
      <c r="O41799" s="36" t="s">
        <v>48</v>
      </c>
      <c r="R41799" s="36" t="s">
        <v>48</v>
      </c>
    </row>
    <row r="41800">
      <c r="H41800" s="50"/>
      <c r="I41800" s="50"/>
      <c r="O41800" s="36" t="s">
        <v>48</v>
      </c>
      <c r="R41800" s="36" t="s">
        <v>48</v>
      </c>
    </row>
    <row r="41801">
      <c r="H41801" s="50"/>
      <c r="I41801" s="50"/>
      <c r="O41801" s="36" t="s">
        <v>48</v>
      </c>
      <c r="R41801" s="36" t="s">
        <v>48</v>
      </c>
    </row>
    <row r="41802">
      <c r="H41802" s="50"/>
      <c r="I41802" s="50"/>
      <c r="O41802" s="36" t="s">
        <v>48</v>
      </c>
      <c r="R41802" s="36" t="s">
        <v>48</v>
      </c>
    </row>
    <row r="41803">
      <c r="H41803" s="50"/>
      <c r="I41803" s="50"/>
      <c r="O41803" s="36" t="s">
        <v>48</v>
      </c>
      <c r="R41803" s="36" t="s">
        <v>48</v>
      </c>
    </row>
    <row r="41804">
      <c r="H41804" s="50"/>
      <c r="I41804" s="50"/>
      <c r="O41804" s="36" t="s">
        <v>48</v>
      </c>
      <c r="R41804" s="36" t="s">
        <v>48</v>
      </c>
    </row>
    <row r="41805">
      <c r="H41805" s="50"/>
      <c r="I41805" s="50"/>
      <c r="O41805" s="36" t="s">
        <v>48</v>
      </c>
      <c r="R41805" s="36" t="s">
        <v>48</v>
      </c>
    </row>
    <row r="41806">
      <c r="H41806" s="50"/>
      <c r="I41806" s="50"/>
      <c r="O41806" s="36" t="s">
        <v>48</v>
      </c>
      <c r="R41806" s="36" t="s">
        <v>48</v>
      </c>
    </row>
    <row r="41807">
      <c r="H41807" s="50"/>
      <c r="I41807" s="50"/>
      <c r="O41807" s="36" t="s">
        <v>48</v>
      </c>
      <c r="R41807" s="36" t="s">
        <v>48</v>
      </c>
    </row>
    <row r="41808">
      <c r="H41808" s="50"/>
      <c r="I41808" s="50"/>
      <c r="O41808" s="36" t="s">
        <v>48</v>
      </c>
      <c r="R41808" s="36" t="s">
        <v>48</v>
      </c>
    </row>
    <row r="41809">
      <c r="H41809" s="50"/>
      <c r="I41809" s="50"/>
      <c r="O41809" s="36" t="s">
        <v>48</v>
      </c>
      <c r="R41809" s="36" t="s">
        <v>48</v>
      </c>
    </row>
    <row r="41810">
      <c r="H41810" s="50"/>
      <c r="I41810" s="50"/>
      <c r="O41810" s="36" t="s">
        <v>48</v>
      </c>
      <c r="R41810" s="36" t="s">
        <v>48</v>
      </c>
    </row>
    <row r="41811">
      <c r="H41811" s="50"/>
      <c r="I41811" s="50"/>
      <c r="O41811" s="36" t="s">
        <v>48</v>
      </c>
      <c r="R41811" s="36" t="s">
        <v>48</v>
      </c>
    </row>
    <row r="41812">
      <c r="H41812" s="50"/>
      <c r="I41812" s="50"/>
      <c r="O41812" s="36" t="s">
        <v>48</v>
      </c>
      <c r="R41812" s="36" t="s">
        <v>48</v>
      </c>
    </row>
    <row r="41813">
      <c r="H41813" s="50"/>
      <c r="I41813" s="50"/>
      <c r="O41813" s="36" t="s">
        <v>48</v>
      </c>
      <c r="R41813" s="36" t="s">
        <v>48</v>
      </c>
    </row>
    <row r="41814">
      <c r="H41814" s="50"/>
      <c r="I41814" s="50"/>
      <c r="O41814" s="36" t="s">
        <v>48</v>
      </c>
      <c r="R41814" s="36" t="s">
        <v>48</v>
      </c>
    </row>
    <row r="41815">
      <c r="H41815" s="50"/>
      <c r="I41815" s="50"/>
      <c r="O41815" s="36" t="s">
        <v>48</v>
      </c>
      <c r="R41815" s="36" t="s">
        <v>48</v>
      </c>
    </row>
    <row r="41816">
      <c r="H41816" s="50"/>
      <c r="I41816" s="50"/>
      <c r="O41816" s="36" t="s">
        <v>48</v>
      </c>
      <c r="R41816" s="36" t="s">
        <v>48</v>
      </c>
    </row>
    <row r="41817">
      <c r="H41817" s="50"/>
      <c r="I41817" s="50"/>
      <c r="O41817" s="36" t="s">
        <v>48</v>
      </c>
      <c r="R41817" s="36" t="s">
        <v>48</v>
      </c>
    </row>
    <row r="41818">
      <c r="H41818" s="50"/>
      <c r="I41818" s="50"/>
      <c r="O41818" s="36" t="s">
        <v>48</v>
      </c>
      <c r="R41818" s="36" t="s">
        <v>48</v>
      </c>
    </row>
    <row r="41819">
      <c r="H41819" s="50"/>
      <c r="I41819" s="50"/>
      <c r="O41819" s="36" t="s">
        <v>48</v>
      </c>
      <c r="R41819" s="36" t="s">
        <v>48</v>
      </c>
    </row>
    <row r="41820">
      <c r="H41820" s="50"/>
      <c r="I41820" s="50"/>
      <c r="O41820" s="36" t="s">
        <v>48</v>
      </c>
      <c r="R41820" s="36" t="s">
        <v>48</v>
      </c>
    </row>
    <row r="41821">
      <c r="H41821" s="50"/>
      <c r="I41821" s="50"/>
      <c r="O41821" s="36" t="s">
        <v>48</v>
      </c>
      <c r="R41821" s="36" t="s">
        <v>48</v>
      </c>
    </row>
    <row r="41822">
      <c r="H41822" s="50"/>
      <c r="I41822" s="50"/>
      <c r="O41822" s="36" t="s">
        <v>48</v>
      </c>
      <c r="R41822" s="36" t="s">
        <v>48</v>
      </c>
    </row>
    <row r="41823">
      <c r="H41823" s="50"/>
      <c r="I41823" s="50"/>
      <c r="O41823" s="36" t="s">
        <v>48</v>
      </c>
      <c r="R41823" s="36" t="s">
        <v>48</v>
      </c>
    </row>
    <row r="41824">
      <c r="H41824" s="50"/>
      <c r="I41824" s="50"/>
      <c r="O41824" s="36" t="s">
        <v>48</v>
      </c>
      <c r="R41824" s="36" t="s">
        <v>48</v>
      </c>
    </row>
    <row r="41825">
      <c r="H41825" s="50"/>
      <c r="I41825" s="50"/>
      <c r="O41825" s="36" t="s">
        <v>48</v>
      </c>
      <c r="R41825" s="36" t="s">
        <v>48</v>
      </c>
    </row>
    <row r="41826">
      <c r="H41826" s="50"/>
      <c r="I41826" s="50"/>
      <c r="O41826" s="36" t="s">
        <v>48</v>
      </c>
      <c r="R41826" s="36" t="s">
        <v>48</v>
      </c>
    </row>
    <row r="41827">
      <c r="H41827" s="50"/>
      <c r="I41827" s="50"/>
      <c r="O41827" s="36" t="s">
        <v>48</v>
      </c>
      <c r="R41827" s="36" t="s">
        <v>48</v>
      </c>
    </row>
    <row r="41828">
      <c r="H41828" s="50"/>
      <c r="I41828" s="50"/>
      <c r="O41828" s="36" t="s">
        <v>48</v>
      </c>
      <c r="R41828" s="36" t="s">
        <v>48</v>
      </c>
    </row>
    <row r="41829">
      <c r="H41829" s="50"/>
      <c r="I41829" s="50"/>
      <c r="O41829" s="36" t="s">
        <v>48</v>
      </c>
      <c r="R41829" s="36" t="s">
        <v>48</v>
      </c>
    </row>
    <row r="41830">
      <c r="H41830" s="50"/>
      <c r="I41830" s="50"/>
      <c r="O41830" s="36" t="s">
        <v>48</v>
      </c>
      <c r="R41830" s="36" t="s">
        <v>48</v>
      </c>
    </row>
    <row r="41831">
      <c r="H41831" s="50"/>
      <c r="I41831" s="50"/>
      <c r="O41831" s="36" t="s">
        <v>48</v>
      </c>
      <c r="R41831" s="36" t="s">
        <v>48</v>
      </c>
    </row>
    <row r="41832">
      <c r="H41832" s="50"/>
      <c r="I41832" s="50"/>
      <c r="O41832" s="36" t="s">
        <v>48</v>
      </c>
      <c r="R41832" s="36" t="s">
        <v>48</v>
      </c>
    </row>
    <row r="41833">
      <c r="H41833" s="50"/>
      <c r="I41833" s="50"/>
      <c r="O41833" s="36" t="s">
        <v>48</v>
      </c>
      <c r="R41833" s="36" t="s">
        <v>48</v>
      </c>
    </row>
    <row r="41834">
      <c r="H41834" s="50"/>
      <c r="I41834" s="50"/>
      <c r="O41834" s="36" t="s">
        <v>48</v>
      </c>
      <c r="R41834" s="36" t="s">
        <v>48</v>
      </c>
    </row>
    <row r="41835">
      <c r="H41835" s="50"/>
      <c r="I41835" s="50"/>
      <c r="O41835" s="36" t="s">
        <v>48</v>
      </c>
      <c r="R41835" s="36" t="s">
        <v>48</v>
      </c>
    </row>
    <row r="41836">
      <c r="H41836" s="50"/>
      <c r="I41836" s="50"/>
      <c r="O41836" s="36" t="s">
        <v>48</v>
      </c>
      <c r="R41836" s="36" t="s">
        <v>48</v>
      </c>
    </row>
    <row r="41837">
      <c r="H41837" s="50"/>
      <c r="I41837" s="50"/>
      <c r="O41837" s="36" t="s">
        <v>48</v>
      </c>
      <c r="R41837" s="36" t="s">
        <v>48</v>
      </c>
    </row>
    <row r="41838">
      <c r="H41838" s="50"/>
      <c r="I41838" s="50"/>
      <c r="O41838" s="36" t="s">
        <v>48</v>
      </c>
      <c r="R41838" s="36" t="s">
        <v>48</v>
      </c>
    </row>
    <row r="41839">
      <c r="H41839" s="50"/>
      <c r="I41839" s="50"/>
      <c r="O41839" s="36" t="s">
        <v>48</v>
      </c>
      <c r="R41839" s="36" t="s">
        <v>48</v>
      </c>
    </row>
    <row r="41840">
      <c r="H41840" s="50"/>
      <c r="I41840" s="50"/>
      <c r="O41840" s="36" t="s">
        <v>48</v>
      </c>
      <c r="R41840" s="36" t="s">
        <v>48</v>
      </c>
    </row>
    <row r="41841">
      <c r="H41841" s="50"/>
      <c r="I41841" s="50"/>
      <c r="O41841" s="36" t="s">
        <v>48</v>
      </c>
      <c r="R41841" s="36" t="s">
        <v>48</v>
      </c>
    </row>
    <row r="41842">
      <c r="H41842" s="50"/>
      <c r="I41842" s="50"/>
      <c r="O41842" s="36" t="s">
        <v>48</v>
      </c>
      <c r="R41842" s="36" t="s">
        <v>48</v>
      </c>
    </row>
    <row r="41843">
      <c r="H41843" s="50"/>
      <c r="I41843" s="50"/>
      <c r="O41843" s="36" t="s">
        <v>48</v>
      </c>
      <c r="R41843" s="36" t="s">
        <v>48</v>
      </c>
    </row>
    <row r="41844">
      <c r="H41844" s="50"/>
      <c r="I41844" s="50"/>
      <c r="O41844" s="36" t="s">
        <v>48</v>
      </c>
      <c r="R41844" s="36" t="s">
        <v>48</v>
      </c>
    </row>
    <row r="41845">
      <c r="H41845" s="50"/>
      <c r="I41845" s="50"/>
      <c r="O41845" s="36" t="s">
        <v>48</v>
      </c>
      <c r="R41845" s="36" t="s">
        <v>48</v>
      </c>
    </row>
    <row r="41846">
      <c r="H41846" s="50"/>
      <c r="I41846" s="50"/>
      <c r="O41846" s="36" t="s">
        <v>48</v>
      </c>
      <c r="R41846" s="36" t="s">
        <v>48</v>
      </c>
    </row>
    <row r="41847">
      <c r="H41847" s="50"/>
      <c r="I41847" s="50"/>
      <c r="O41847" s="36" t="s">
        <v>48</v>
      </c>
      <c r="R41847" s="36" t="s">
        <v>48</v>
      </c>
    </row>
    <row r="41848">
      <c r="H41848" s="50"/>
      <c r="I41848" s="50"/>
      <c r="O41848" s="36" t="s">
        <v>48</v>
      </c>
      <c r="R41848" s="36" t="s">
        <v>48</v>
      </c>
    </row>
    <row r="41849">
      <c r="H41849" s="50"/>
      <c r="I41849" s="50"/>
      <c r="O41849" s="36" t="s">
        <v>48</v>
      </c>
      <c r="R41849" s="36" t="s">
        <v>48</v>
      </c>
    </row>
    <row r="41850">
      <c r="H41850" s="50"/>
      <c r="I41850" s="50"/>
      <c r="O41850" s="36" t="s">
        <v>48</v>
      </c>
      <c r="R41850" s="36" t="s">
        <v>48</v>
      </c>
    </row>
    <row r="41851">
      <c r="H41851" s="50"/>
      <c r="I41851" s="50"/>
      <c r="O41851" s="36" t="s">
        <v>48</v>
      </c>
      <c r="R41851" s="36" t="s">
        <v>48</v>
      </c>
    </row>
    <row r="41852">
      <c r="H41852" s="50"/>
      <c r="I41852" s="50"/>
      <c r="O41852" s="36" t="s">
        <v>48</v>
      </c>
      <c r="R41852" s="36" t="s">
        <v>48</v>
      </c>
    </row>
    <row r="41853">
      <c r="H41853" s="50"/>
      <c r="I41853" s="50"/>
      <c r="O41853" s="36" t="s">
        <v>48</v>
      </c>
      <c r="R41853" s="36" t="s">
        <v>48</v>
      </c>
    </row>
    <row r="41854">
      <c r="H41854" s="50"/>
      <c r="I41854" s="50"/>
      <c r="O41854" s="36" t="s">
        <v>48</v>
      </c>
      <c r="R41854" s="36" t="s">
        <v>48</v>
      </c>
    </row>
    <row r="41855">
      <c r="H41855" s="50"/>
      <c r="I41855" s="50"/>
      <c r="O41855" s="36" t="s">
        <v>48</v>
      </c>
      <c r="R41855" s="36" t="s">
        <v>48</v>
      </c>
    </row>
    <row r="41856">
      <c r="H41856" s="50"/>
      <c r="I41856" s="50"/>
      <c r="O41856" s="36" t="s">
        <v>48</v>
      </c>
      <c r="R41856" s="36" t="s">
        <v>48</v>
      </c>
    </row>
    <row r="41857">
      <c r="H41857" s="50"/>
      <c r="I41857" s="50"/>
      <c r="O41857" s="36" t="s">
        <v>48</v>
      </c>
      <c r="R41857" s="36" t="s">
        <v>48</v>
      </c>
    </row>
    <row r="41858">
      <c r="H41858" s="50"/>
      <c r="I41858" s="50"/>
      <c r="O41858" s="36" t="s">
        <v>48</v>
      </c>
      <c r="R41858" s="36" t="s">
        <v>48</v>
      </c>
    </row>
    <row r="41859">
      <c r="H41859" s="50"/>
      <c r="I41859" s="50"/>
      <c r="O41859" s="36" t="s">
        <v>48</v>
      </c>
      <c r="R41859" s="36" t="s">
        <v>48</v>
      </c>
    </row>
    <row r="41860">
      <c r="H41860" s="50"/>
      <c r="I41860" s="50"/>
      <c r="O41860" s="36" t="s">
        <v>48</v>
      </c>
      <c r="R41860" s="36" t="s">
        <v>48</v>
      </c>
    </row>
    <row r="41861">
      <c r="H41861" s="50"/>
      <c r="I41861" s="50"/>
      <c r="O41861" s="36" t="s">
        <v>48</v>
      </c>
      <c r="R41861" s="36" t="s">
        <v>48</v>
      </c>
    </row>
    <row r="41862">
      <c r="H41862" s="50"/>
      <c r="I41862" s="50"/>
      <c r="O41862" s="36" t="s">
        <v>48</v>
      </c>
      <c r="R41862" s="36" t="s">
        <v>48</v>
      </c>
    </row>
    <row r="41863">
      <c r="H41863" s="50"/>
      <c r="I41863" s="50"/>
      <c r="O41863" s="36" t="s">
        <v>48</v>
      </c>
      <c r="R41863" s="36" t="s">
        <v>48</v>
      </c>
    </row>
    <row r="41864">
      <c r="H41864" s="50"/>
      <c r="I41864" s="50"/>
      <c r="O41864" s="36" t="s">
        <v>48</v>
      </c>
      <c r="R41864" s="36" t="s">
        <v>48</v>
      </c>
    </row>
    <row r="41865">
      <c r="H41865" s="50"/>
      <c r="I41865" s="50"/>
      <c r="O41865" s="36" t="s">
        <v>48</v>
      </c>
      <c r="R41865" s="36" t="s">
        <v>48</v>
      </c>
    </row>
    <row r="41866">
      <c r="H41866" s="50"/>
      <c r="I41866" s="50"/>
      <c r="O41866" s="36" t="s">
        <v>48</v>
      </c>
      <c r="R41866" s="36" t="s">
        <v>48</v>
      </c>
    </row>
    <row r="41867">
      <c r="H41867" s="50"/>
      <c r="I41867" s="50"/>
      <c r="O41867" s="36" t="s">
        <v>48</v>
      </c>
      <c r="R41867" s="36" t="s">
        <v>48</v>
      </c>
    </row>
    <row r="41868">
      <c r="H41868" s="50"/>
      <c r="I41868" s="50"/>
      <c r="O41868" s="36" t="s">
        <v>48</v>
      </c>
      <c r="R41868" s="36" t="s">
        <v>48</v>
      </c>
    </row>
    <row r="41869">
      <c r="H41869" s="50"/>
      <c r="I41869" s="50"/>
      <c r="O41869" s="36" t="s">
        <v>48</v>
      </c>
      <c r="R41869" s="36" t="s">
        <v>48</v>
      </c>
    </row>
    <row r="41870">
      <c r="H41870" s="50"/>
      <c r="I41870" s="50"/>
      <c r="O41870" s="36" t="s">
        <v>48</v>
      </c>
      <c r="R41870" s="36" t="s">
        <v>48</v>
      </c>
    </row>
    <row r="41871">
      <c r="H41871" s="50"/>
      <c r="I41871" s="50"/>
      <c r="O41871" s="36" t="s">
        <v>48</v>
      </c>
      <c r="R41871" s="36" t="s">
        <v>48</v>
      </c>
    </row>
    <row r="41872">
      <c r="H41872" s="50"/>
      <c r="I41872" s="50"/>
      <c r="O41872" s="36" t="s">
        <v>48</v>
      </c>
      <c r="R41872" s="36" t="s">
        <v>48</v>
      </c>
    </row>
    <row r="41873">
      <c r="H41873" s="50"/>
      <c r="I41873" s="50"/>
      <c r="O41873" s="36" t="s">
        <v>48</v>
      </c>
      <c r="R41873" s="36" t="s">
        <v>48</v>
      </c>
    </row>
    <row r="41874">
      <c r="H41874" s="50"/>
      <c r="I41874" s="50"/>
      <c r="O41874" s="36" t="s">
        <v>48</v>
      </c>
      <c r="R41874" s="36" t="s">
        <v>48</v>
      </c>
    </row>
    <row r="41875">
      <c r="H41875" s="50"/>
      <c r="I41875" s="50"/>
      <c r="O41875" s="36" t="s">
        <v>48</v>
      </c>
      <c r="R41875" s="36" t="s">
        <v>48</v>
      </c>
    </row>
    <row r="41876">
      <c r="H41876" s="50"/>
      <c r="I41876" s="50"/>
      <c r="O41876" s="36" t="s">
        <v>48</v>
      </c>
      <c r="R41876" s="36" t="s">
        <v>48</v>
      </c>
    </row>
    <row r="41877">
      <c r="H41877" s="50"/>
      <c r="I41877" s="50"/>
      <c r="O41877" s="36" t="s">
        <v>48</v>
      </c>
      <c r="R41877" s="36" t="s">
        <v>48</v>
      </c>
    </row>
    <row r="41878">
      <c r="H41878" s="50"/>
      <c r="I41878" s="50"/>
      <c r="O41878" s="36" t="s">
        <v>48</v>
      </c>
      <c r="R41878" s="36" t="s">
        <v>48</v>
      </c>
    </row>
    <row r="41879">
      <c r="H41879" s="50"/>
      <c r="I41879" s="50"/>
      <c r="O41879" s="36" t="s">
        <v>48</v>
      </c>
      <c r="R41879" s="36" t="s">
        <v>48</v>
      </c>
    </row>
    <row r="41880">
      <c r="H41880" s="50"/>
      <c r="I41880" s="50"/>
      <c r="O41880" s="36" t="s">
        <v>48</v>
      </c>
      <c r="R41880" s="36" t="s">
        <v>48</v>
      </c>
    </row>
    <row r="41881">
      <c r="H41881" s="50"/>
      <c r="I41881" s="50"/>
      <c r="O41881" s="36" t="s">
        <v>48</v>
      </c>
      <c r="R41881" s="36" t="s">
        <v>48</v>
      </c>
    </row>
    <row r="41882">
      <c r="H41882" s="50"/>
      <c r="I41882" s="50"/>
      <c r="O41882" s="36" t="s">
        <v>48</v>
      </c>
      <c r="R41882" s="36" t="s">
        <v>48</v>
      </c>
    </row>
    <row r="41883">
      <c r="H41883" s="50"/>
      <c r="I41883" s="50"/>
      <c r="O41883" s="36" t="s">
        <v>48</v>
      </c>
      <c r="R41883" s="36" t="s">
        <v>48</v>
      </c>
    </row>
    <row r="41884">
      <c r="H41884" s="50"/>
      <c r="I41884" s="50"/>
      <c r="O41884" s="36" t="s">
        <v>48</v>
      </c>
      <c r="R41884" s="36" t="s">
        <v>48</v>
      </c>
    </row>
    <row r="41885">
      <c r="H41885" s="50"/>
      <c r="I41885" s="50"/>
      <c r="O41885" s="36" t="s">
        <v>48</v>
      </c>
      <c r="R41885" s="36" t="s">
        <v>48</v>
      </c>
    </row>
    <row r="41886">
      <c r="H41886" s="50"/>
      <c r="I41886" s="50"/>
      <c r="O41886" s="36" t="s">
        <v>48</v>
      </c>
      <c r="R41886" s="36" t="s">
        <v>48</v>
      </c>
    </row>
    <row r="41887">
      <c r="H41887" s="50"/>
      <c r="I41887" s="50"/>
      <c r="O41887" s="36" t="s">
        <v>48</v>
      </c>
      <c r="R41887" s="36" t="s">
        <v>48</v>
      </c>
    </row>
    <row r="41888">
      <c r="H41888" s="50"/>
      <c r="I41888" s="50"/>
      <c r="O41888" s="36" t="s">
        <v>48</v>
      </c>
      <c r="R41888" s="36" t="s">
        <v>48</v>
      </c>
    </row>
    <row r="41889">
      <c r="H41889" s="50"/>
      <c r="I41889" s="50"/>
      <c r="O41889" s="36" t="s">
        <v>48</v>
      </c>
      <c r="R41889" s="36" t="s">
        <v>48</v>
      </c>
    </row>
    <row r="41890">
      <c r="H41890" s="50"/>
      <c r="I41890" s="50"/>
      <c r="O41890" s="36" t="s">
        <v>48</v>
      </c>
      <c r="R41890" s="36" t="s">
        <v>48</v>
      </c>
    </row>
    <row r="41891">
      <c r="H41891" s="50"/>
      <c r="I41891" s="50"/>
      <c r="O41891" s="36" t="s">
        <v>48</v>
      </c>
      <c r="R41891" s="36" t="s">
        <v>48</v>
      </c>
    </row>
    <row r="41892">
      <c r="H41892" s="50"/>
      <c r="I41892" s="50"/>
      <c r="O41892" s="36" t="s">
        <v>48</v>
      </c>
      <c r="R41892" s="36" t="s">
        <v>48</v>
      </c>
    </row>
    <row r="41893">
      <c r="H41893" s="50"/>
      <c r="I41893" s="50"/>
      <c r="O41893" s="36" t="s">
        <v>48</v>
      </c>
      <c r="R41893" s="36" t="s">
        <v>48</v>
      </c>
    </row>
    <row r="41894">
      <c r="H41894" s="50"/>
      <c r="I41894" s="50"/>
      <c r="O41894" s="36" t="s">
        <v>48</v>
      </c>
      <c r="R41894" s="36" t="s">
        <v>48</v>
      </c>
    </row>
    <row r="41895">
      <c r="H41895" s="50"/>
      <c r="I41895" s="50"/>
      <c r="O41895" s="36" t="s">
        <v>48</v>
      </c>
      <c r="R41895" s="36" t="s">
        <v>48</v>
      </c>
    </row>
    <row r="41896">
      <c r="H41896" s="50"/>
      <c r="I41896" s="50"/>
      <c r="O41896" s="36" t="s">
        <v>48</v>
      </c>
      <c r="R41896" s="36" t="s">
        <v>48</v>
      </c>
    </row>
    <row r="41897">
      <c r="H41897" s="50"/>
      <c r="I41897" s="50"/>
      <c r="O41897" s="36" t="s">
        <v>48</v>
      </c>
      <c r="R41897" s="36" t="s">
        <v>48</v>
      </c>
    </row>
    <row r="41898">
      <c r="H41898" s="50"/>
      <c r="I41898" s="50"/>
      <c r="O41898" s="36" t="s">
        <v>48</v>
      </c>
      <c r="R41898" s="36" t="s">
        <v>48</v>
      </c>
    </row>
    <row r="41899">
      <c r="H41899" s="50"/>
      <c r="I41899" s="50"/>
      <c r="O41899" s="36" t="s">
        <v>48</v>
      </c>
      <c r="R41899" s="36" t="s">
        <v>48</v>
      </c>
    </row>
    <row r="41900">
      <c r="H41900" s="50"/>
      <c r="I41900" s="50"/>
      <c r="O41900" s="36" t="s">
        <v>48</v>
      </c>
      <c r="R41900" s="36" t="s">
        <v>48</v>
      </c>
    </row>
    <row r="41901">
      <c r="H41901" s="50"/>
      <c r="I41901" s="50"/>
      <c r="O41901" s="36" t="s">
        <v>48</v>
      </c>
      <c r="R41901" s="36" t="s">
        <v>48</v>
      </c>
    </row>
    <row r="41902">
      <c r="H41902" s="50"/>
      <c r="I41902" s="50"/>
      <c r="O41902" s="36" t="s">
        <v>48</v>
      </c>
      <c r="R41902" s="36" t="s">
        <v>48</v>
      </c>
    </row>
    <row r="41903">
      <c r="H41903" s="50"/>
      <c r="I41903" s="50"/>
      <c r="O41903" s="36" t="s">
        <v>48</v>
      </c>
      <c r="R41903" s="36" t="s">
        <v>48</v>
      </c>
    </row>
    <row r="41904">
      <c r="H41904" s="50"/>
      <c r="I41904" s="50"/>
      <c r="O41904" s="36" t="s">
        <v>48</v>
      </c>
      <c r="R41904" s="36" t="s">
        <v>48</v>
      </c>
    </row>
    <row r="41905">
      <c r="H41905" s="50"/>
      <c r="I41905" s="50"/>
      <c r="O41905" s="36" t="s">
        <v>48</v>
      </c>
      <c r="R41905" s="36" t="s">
        <v>48</v>
      </c>
    </row>
    <row r="41906">
      <c r="H41906" s="50"/>
      <c r="I41906" s="50"/>
      <c r="O41906" s="36" t="s">
        <v>48</v>
      </c>
      <c r="R41906" s="36" t="s">
        <v>48</v>
      </c>
    </row>
    <row r="41907">
      <c r="H41907" s="50"/>
      <c r="I41907" s="50"/>
      <c r="O41907" s="36" t="s">
        <v>48</v>
      </c>
      <c r="R41907" s="36" t="s">
        <v>48</v>
      </c>
    </row>
    <row r="41908">
      <c r="H41908" s="50"/>
      <c r="I41908" s="50"/>
      <c r="O41908" s="36" t="s">
        <v>48</v>
      </c>
      <c r="R41908" s="36" t="s">
        <v>48</v>
      </c>
    </row>
    <row r="41909">
      <c r="H41909" s="50"/>
      <c r="I41909" s="50"/>
      <c r="O41909" s="36" t="s">
        <v>48</v>
      </c>
      <c r="R41909" s="36" t="s">
        <v>48</v>
      </c>
    </row>
    <row r="41910">
      <c r="H41910" s="50"/>
      <c r="I41910" s="50"/>
      <c r="O41910" s="36" t="s">
        <v>48</v>
      </c>
      <c r="R41910" s="36" t="s">
        <v>48</v>
      </c>
    </row>
    <row r="41911">
      <c r="H41911" s="50"/>
      <c r="I41911" s="50"/>
      <c r="O41911" s="36" t="s">
        <v>48</v>
      </c>
      <c r="R41911" s="36" t="s">
        <v>48</v>
      </c>
    </row>
    <row r="41912">
      <c r="H41912" s="50"/>
      <c r="I41912" s="50"/>
      <c r="O41912" s="36" t="s">
        <v>48</v>
      </c>
      <c r="R41912" s="36" t="s">
        <v>48</v>
      </c>
    </row>
    <row r="41913">
      <c r="H41913" s="50"/>
      <c r="I41913" s="50"/>
      <c r="O41913" s="36" t="s">
        <v>48</v>
      </c>
      <c r="R41913" s="36" t="s">
        <v>48</v>
      </c>
    </row>
    <row r="41914">
      <c r="H41914" s="50"/>
      <c r="I41914" s="50"/>
      <c r="O41914" s="36" t="s">
        <v>48</v>
      </c>
      <c r="R41914" s="36" t="s">
        <v>48</v>
      </c>
    </row>
    <row r="41915">
      <c r="H41915" s="50"/>
      <c r="I41915" s="50"/>
      <c r="O41915" s="36" t="s">
        <v>48</v>
      </c>
      <c r="R41915" s="36" t="s">
        <v>48</v>
      </c>
    </row>
    <row r="41916">
      <c r="H41916" s="50"/>
      <c r="I41916" s="50"/>
      <c r="O41916" s="36" t="s">
        <v>48</v>
      </c>
      <c r="R41916" s="36" t="s">
        <v>48</v>
      </c>
    </row>
    <row r="41917">
      <c r="H41917" s="50"/>
      <c r="I41917" s="50"/>
      <c r="O41917" s="36" t="s">
        <v>48</v>
      </c>
      <c r="R41917" s="36" t="s">
        <v>48</v>
      </c>
    </row>
    <row r="41918">
      <c r="H41918" s="50"/>
      <c r="I41918" s="50"/>
      <c r="O41918" s="36" t="s">
        <v>48</v>
      </c>
      <c r="R41918" s="36" t="s">
        <v>48</v>
      </c>
    </row>
    <row r="41919">
      <c r="H41919" s="50"/>
      <c r="I41919" s="50"/>
      <c r="O41919" s="36" t="s">
        <v>48</v>
      </c>
      <c r="R41919" s="36" t="s">
        <v>48</v>
      </c>
    </row>
    <row r="41920">
      <c r="H41920" s="50"/>
      <c r="I41920" s="50"/>
      <c r="O41920" s="36" t="s">
        <v>48</v>
      </c>
      <c r="R41920" s="36" t="s">
        <v>48</v>
      </c>
    </row>
    <row r="41921">
      <c r="H41921" s="50"/>
      <c r="I41921" s="50"/>
      <c r="O41921" s="36" t="s">
        <v>48</v>
      </c>
      <c r="R41921" s="36" t="s">
        <v>48</v>
      </c>
    </row>
    <row r="41922">
      <c r="H41922" s="50"/>
      <c r="I41922" s="50"/>
      <c r="O41922" s="36" t="s">
        <v>48</v>
      </c>
      <c r="R41922" s="36" t="s">
        <v>48</v>
      </c>
    </row>
    <row r="41923">
      <c r="H41923" s="50"/>
      <c r="I41923" s="50"/>
      <c r="O41923" s="36" t="s">
        <v>48</v>
      </c>
      <c r="R41923" s="36" t="s">
        <v>48</v>
      </c>
    </row>
    <row r="41924">
      <c r="H41924" s="50"/>
      <c r="I41924" s="50"/>
      <c r="O41924" s="36" t="s">
        <v>48</v>
      </c>
      <c r="R41924" s="36" t="s">
        <v>48</v>
      </c>
    </row>
    <row r="41925">
      <c r="H41925" s="50"/>
      <c r="I41925" s="50"/>
      <c r="O41925" s="36" t="s">
        <v>48</v>
      </c>
      <c r="R41925" s="36" t="s">
        <v>48</v>
      </c>
    </row>
    <row r="41926">
      <c r="H41926" s="50"/>
      <c r="I41926" s="50"/>
      <c r="O41926" s="36" t="s">
        <v>48</v>
      </c>
      <c r="R41926" s="36" t="s">
        <v>48</v>
      </c>
    </row>
    <row r="41927">
      <c r="H41927" s="50"/>
      <c r="I41927" s="50"/>
      <c r="O41927" s="36" t="s">
        <v>48</v>
      </c>
      <c r="R41927" s="36" t="s">
        <v>48</v>
      </c>
    </row>
    <row r="41928">
      <c r="H41928" s="50"/>
      <c r="I41928" s="50"/>
      <c r="O41928" s="36" t="s">
        <v>48</v>
      </c>
      <c r="R41928" s="36" t="s">
        <v>48</v>
      </c>
    </row>
    <row r="41929">
      <c r="H41929" s="50"/>
      <c r="I41929" s="50"/>
      <c r="O41929" s="36" t="s">
        <v>48</v>
      </c>
      <c r="R41929" s="36" t="s">
        <v>48</v>
      </c>
    </row>
    <row r="41930">
      <c r="H41930" s="50"/>
      <c r="I41930" s="50"/>
      <c r="O41930" s="36" t="s">
        <v>48</v>
      </c>
      <c r="R41930" s="36" t="s">
        <v>48</v>
      </c>
    </row>
    <row r="41931">
      <c r="H41931" s="50"/>
      <c r="I41931" s="50"/>
      <c r="O41931" s="36" t="s">
        <v>48</v>
      </c>
      <c r="R41931" s="36" t="s">
        <v>48</v>
      </c>
    </row>
    <row r="41932">
      <c r="H41932" s="50"/>
      <c r="I41932" s="50"/>
      <c r="O41932" s="36" t="s">
        <v>48</v>
      </c>
      <c r="R41932" s="36" t="s">
        <v>48</v>
      </c>
    </row>
    <row r="41933">
      <c r="H41933" s="50"/>
      <c r="I41933" s="50"/>
      <c r="O41933" s="36" t="s">
        <v>48</v>
      </c>
      <c r="R41933" s="36" t="s">
        <v>48</v>
      </c>
    </row>
    <row r="41934">
      <c r="H41934" s="50"/>
      <c r="I41934" s="50"/>
      <c r="O41934" s="36" t="s">
        <v>48</v>
      </c>
      <c r="R41934" s="36" t="s">
        <v>48</v>
      </c>
    </row>
    <row r="41935">
      <c r="H41935" s="50"/>
      <c r="I41935" s="50"/>
      <c r="O41935" s="36" t="s">
        <v>48</v>
      </c>
      <c r="R41935" s="36" t="s">
        <v>48</v>
      </c>
    </row>
    <row r="41936">
      <c r="H41936" s="50"/>
      <c r="I41936" s="50"/>
      <c r="O41936" s="36" t="s">
        <v>48</v>
      </c>
      <c r="R41936" s="36" t="s">
        <v>48</v>
      </c>
    </row>
    <row r="41937">
      <c r="H41937" s="50"/>
      <c r="I41937" s="50"/>
      <c r="O41937" s="36" t="s">
        <v>48</v>
      </c>
      <c r="R41937" s="36" t="s">
        <v>48</v>
      </c>
    </row>
    <row r="41938">
      <c r="H41938" s="50"/>
      <c r="I41938" s="50"/>
      <c r="O41938" s="36" t="s">
        <v>48</v>
      </c>
      <c r="R41938" s="36" t="s">
        <v>48</v>
      </c>
    </row>
    <row r="41939">
      <c r="H41939" s="50"/>
      <c r="I41939" s="50"/>
      <c r="O41939" s="36" t="s">
        <v>48</v>
      </c>
      <c r="R41939" s="36" t="s">
        <v>48</v>
      </c>
    </row>
    <row r="41940">
      <c r="H41940" s="50"/>
      <c r="I41940" s="50"/>
      <c r="O41940" s="36" t="s">
        <v>48</v>
      </c>
      <c r="R41940" s="36" t="s">
        <v>48</v>
      </c>
    </row>
    <row r="41941">
      <c r="H41941" s="50"/>
      <c r="I41941" s="50"/>
      <c r="O41941" s="36" t="s">
        <v>48</v>
      </c>
      <c r="R41941" s="36" t="s">
        <v>48</v>
      </c>
    </row>
    <row r="41942">
      <c r="H41942" s="50"/>
      <c r="I41942" s="50"/>
      <c r="O41942" s="36" t="s">
        <v>48</v>
      </c>
      <c r="R41942" s="36" t="s">
        <v>48</v>
      </c>
    </row>
    <row r="41943">
      <c r="H41943" s="50"/>
      <c r="I41943" s="50"/>
      <c r="O41943" s="36" t="s">
        <v>48</v>
      </c>
      <c r="R41943" s="36" t="s">
        <v>48</v>
      </c>
    </row>
    <row r="41944">
      <c r="H41944" s="50"/>
      <c r="I41944" s="50"/>
      <c r="O41944" s="36" t="s">
        <v>48</v>
      </c>
      <c r="R41944" s="36" t="s">
        <v>48</v>
      </c>
    </row>
    <row r="41945">
      <c r="H41945" s="50"/>
      <c r="I41945" s="50"/>
      <c r="O41945" s="36" t="s">
        <v>48</v>
      </c>
      <c r="R41945" s="36" t="s">
        <v>48</v>
      </c>
    </row>
    <row r="41946">
      <c r="H41946" s="50"/>
      <c r="I41946" s="50"/>
      <c r="O41946" s="36" t="s">
        <v>48</v>
      </c>
      <c r="R41946" s="36" t="s">
        <v>48</v>
      </c>
    </row>
    <row r="41947">
      <c r="H41947" s="50"/>
      <c r="I41947" s="50"/>
      <c r="O41947" s="36" t="s">
        <v>48</v>
      </c>
      <c r="R41947" s="36" t="s">
        <v>48</v>
      </c>
    </row>
    <row r="41948">
      <c r="H41948" s="50"/>
      <c r="I41948" s="50"/>
      <c r="O41948" s="36" t="s">
        <v>48</v>
      </c>
      <c r="R41948" s="36" t="s">
        <v>48</v>
      </c>
    </row>
    <row r="41949">
      <c r="H41949" s="50"/>
      <c r="I41949" s="50"/>
      <c r="O41949" s="36" t="s">
        <v>48</v>
      </c>
      <c r="R41949" s="36" t="s">
        <v>48</v>
      </c>
    </row>
    <row r="41950">
      <c r="H41950" s="50"/>
      <c r="I41950" s="50"/>
      <c r="O41950" s="36" t="s">
        <v>48</v>
      </c>
      <c r="R41950" s="36" t="s">
        <v>48</v>
      </c>
    </row>
    <row r="41951">
      <c r="H41951" s="50"/>
      <c r="I41951" s="50"/>
      <c r="O41951" s="36" t="s">
        <v>48</v>
      </c>
      <c r="R41951" s="36" t="s">
        <v>48</v>
      </c>
    </row>
    <row r="41952">
      <c r="H41952" s="50"/>
      <c r="I41952" s="50"/>
      <c r="O41952" s="36" t="s">
        <v>48</v>
      </c>
      <c r="R41952" s="36" t="s">
        <v>48</v>
      </c>
    </row>
    <row r="41953">
      <c r="H41953" s="50"/>
      <c r="I41953" s="50"/>
      <c r="O41953" s="36" t="s">
        <v>48</v>
      </c>
      <c r="R41953" s="36" t="s">
        <v>48</v>
      </c>
    </row>
    <row r="41954">
      <c r="H41954" s="50"/>
      <c r="I41954" s="50"/>
      <c r="O41954" s="36" t="s">
        <v>48</v>
      </c>
      <c r="R41954" s="36" t="s">
        <v>48</v>
      </c>
    </row>
    <row r="41955">
      <c r="H41955" s="50"/>
      <c r="I41955" s="50"/>
      <c r="O41955" s="36" t="s">
        <v>48</v>
      </c>
      <c r="R41955" s="36" t="s">
        <v>48</v>
      </c>
    </row>
    <row r="41956">
      <c r="H41956" s="50"/>
      <c r="I41956" s="50"/>
      <c r="O41956" s="36" t="s">
        <v>48</v>
      </c>
      <c r="R41956" s="36" t="s">
        <v>48</v>
      </c>
    </row>
    <row r="41957">
      <c r="H41957" s="50"/>
      <c r="I41957" s="50"/>
      <c r="O41957" s="36" t="s">
        <v>48</v>
      </c>
      <c r="R41957" s="36" t="s">
        <v>48</v>
      </c>
    </row>
    <row r="41958">
      <c r="H41958" s="50"/>
      <c r="I41958" s="50"/>
      <c r="O41958" s="36" t="s">
        <v>48</v>
      </c>
      <c r="R41958" s="36" t="s">
        <v>48</v>
      </c>
    </row>
    <row r="41959">
      <c r="H41959" s="50"/>
      <c r="I41959" s="50"/>
      <c r="O41959" s="36" t="s">
        <v>48</v>
      </c>
      <c r="R41959" s="36" t="s">
        <v>48</v>
      </c>
    </row>
    <row r="41960">
      <c r="H41960" s="50"/>
      <c r="I41960" s="50"/>
      <c r="O41960" s="36" t="s">
        <v>48</v>
      </c>
      <c r="R41960" s="36" t="s">
        <v>48</v>
      </c>
    </row>
    <row r="41961">
      <c r="H41961" s="50"/>
      <c r="I41961" s="50"/>
      <c r="O41961" s="36" t="s">
        <v>48</v>
      </c>
      <c r="R41961" s="36" t="s">
        <v>48</v>
      </c>
    </row>
    <row r="41962">
      <c r="H41962" s="50"/>
      <c r="I41962" s="50"/>
      <c r="O41962" s="36" t="s">
        <v>48</v>
      </c>
      <c r="R41962" s="36" t="s">
        <v>48</v>
      </c>
    </row>
    <row r="41963">
      <c r="H41963" s="50"/>
      <c r="I41963" s="50"/>
      <c r="O41963" s="36" t="s">
        <v>48</v>
      </c>
      <c r="R41963" s="36" t="s">
        <v>48</v>
      </c>
    </row>
    <row r="41964">
      <c r="H41964" s="50"/>
      <c r="I41964" s="50"/>
      <c r="O41964" s="36" t="s">
        <v>48</v>
      </c>
      <c r="R41964" s="36" t="s">
        <v>48</v>
      </c>
    </row>
    <row r="41965">
      <c r="H41965" s="50"/>
      <c r="I41965" s="50"/>
      <c r="O41965" s="36" t="s">
        <v>48</v>
      </c>
      <c r="R41965" s="36" t="s">
        <v>48</v>
      </c>
    </row>
    <row r="41966">
      <c r="H41966" s="50"/>
      <c r="I41966" s="50"/>
      <c r="O41966" s="36" t="s">
        <v>48</v>
      </c>
      <c r="R41966" s="36" t="s">
        <v>48</v>
      </c>
    </row>
    <row r="41967">
      <c r="H41967" s="50"/>
      <c r="I41967" s="50"/>
      <c r="O41967" s="36" t="s">
        <v>48</v>
      </c>
      <c r="R41967" s="36" t="s">
        <v>48</v>
      </c>
    </row>
    <row r="41968">
      <c r="H41968" s="50"/>
      <c r="I41968" s="50"/>
      <c r="O41968" s="36" t="s">
        <v>48</v>
      </c>
      <c r="R41968" s="36" t="s">
        <v>48</v>
      </c>
    </row>
    <row r="41969">
      <c r="H41969" s="50"/>
      <c r="I41969" s="50"/>
      <c r="O41969" s="36" t="s">
        <v>48</v>
      </c>
      <c r="R41969" s="36" t="s">
        <v>48</v>
      </c>
    </row>
    <row r="41970">
      <c r="H41970" s="50"/>
      <c r="I41970" s="50"/>
      <c r="O41970" s="36" t="s">
        <v>48</v>
      </c>
      <c r="R41970" s="36" t="s">
        <v>48</v>
      </c>
    </row>
    <row r="41971">
      <c r="H41971" s="50"/>
      <c r="I41971" s="50"/>
      <c r="O41971" s="36" t="s">
        <v>48</v>
      </c>
      <c r="R41971" s="36" t="s">
        <v>48</v>
      </c>
    </row>
    <row r="41972">
      <c r="H41972" s="50"/>
      <c r="I41972" s="50"/>
      <c r="O41972" s="36" t="s">
        <v>48</v>
      </c>
      <c r="R41972" s="36" t="s">
        <v>48</v>
      </c>
    </row>
    <row r="41973">
      <c r="H41973" s="50"/>
      <c r="I41973" s="50"/>
      <c r="O41973" s="36" t="s">
        <v>48</v>
      </c>
      <c r="R41973" s="36" t="s">
        <v>48</v>
      </c>
    </row>
    <row r="41974">
      <c r="H41974" s="50"/>
      <c r="I41974" s="50"/>
      <c r="O41974" s="36" t="s">
        <v>48</v>
      </c>
      <c r="R41974" s="36" t="s">
        <v>48</v>
      </c>
    </row>
    <row r="41975">
      <c r="H41975" s="50"/>
      <c r="I41975" s="50"/>
      <c r="O41975" s="36" t="s">
        <v>48</v>
      </c>
      <c r="R41975" s="36" t="s">
        <v>48</v>
      </c>
    </row>
    <row r="41976">
      <c r="H41976" s="50"/>
      <c r="I41976" s="50"/>
      <c r="O41976" s="36" t="s">
        <v>48</v>
      </c>
      <c r="R41976" s="36" t="s">
        <v>48</v>
      </c>
    </row>
    <row r="41977">
      <c r="H41977" s="50"/>
      <c r="I41977" s="50"/>
      <c r="O41977" s="36" t="s">
        <v>48</v>
      </c>
      <c r="R41977" s="36" t="s">
        <v>48</v>
      </c>
    </row>
    <row r="41978">
      <c r="H41978" s="50"/>
      <c r="I41978" s="50"/>
      <c r="O41978" s="36" t="s">
        <v>48</v>
      </c>
      <c r="R41978" s="36" t="s">
        <v>48</v>
      </c>
    </row>
    <row r="41979">
      <c r="H41979" s="50"/>
      <c r="I41979" s="50"/>
      <c r="O41979" s="36" t="s">
        <v>48</v>
      </c>
      <c r="R41979" s="36" t="s">
        <v>48</v>
      </c>
    </row>
    <row r="41980">
      <c r="H41980" s="50"/>
      <c r="I41980" s="50"/>
      <c r="O41980" s="36" t="s">
        <v>48</v>
      </c>
      <c r="R41980" s="36" t="s">
        <v>48</v>
      </c>
    </row>
    <row r="41981">
      <c r="H41981" s="50"/>
      <c r="I41981" s="50"/>
      <c r="O41981" s="36" t="s">
        <v>48</v>
      </c>
      <c r="R41981" s="36" t="s">
        <v>48</v>
      </c>
    </row>
    <row r="41982">
      <c r="H41982" s="50"/>
      <c r="I41982" s="50"/>
      <c r="O41982" s="36" t="s">
        <v>48</v>
      </c>
      <c r="R41982" s="36" t="s">
        <v>48</v>
      </c>
    </row>
    <row r="41983">
      <c r="H41983" s="50"/>
      <c r="I41983" s="50"/>
      <c r="O41983" s="36" t="s">
        <v>48</v>
      </c>
      <c r="R41983" s="36" t="s">
        <v>48</v>
      </c>
    </row>
    <row r="41984">
      <c r="H41984" s="50"/>
      <c r="I41984" s="50"/>
      <c r="O41984" s="36" t="s">
        <v>48</v>
      </c>
      <c r="R41984" s="36" t="s">
        <v>48</v>
      </c>
    </row>
    <row r="41985">
      <c r="H41985" s="50"/>
      <c r="I41985" s="50"/>
      <c r="O41985" s="36" t="s">
        <v>48</v>
      </c>
      <c r="R41985" s="36" t="s">
        <v>48</v>
      </c>
    </row>
    <row r="41986">
      <c r="H41986" s="50"/>
      <c r="I41986" s="50"/>
      <c r="O41986" s="36" t="s">
        <v>48</v>
      </c>
      <c r="R41986" s="36" t="s">
        <v>48</v>
      </c>
    </row>
    <row r="41987">
      <c r="H41987" s="50"/>
      <c r="I41987" s="50"/>
      <c r="O41987" s="36" t="s">
        <v>48</v>
      </c>
      <c r="R41987" s="36" t="s">
        <v>48</v>
      </c>
    </row>
    <row r="41988">
      <c r="H41988" s="50"/>
      <c r="I41988" s="50"/>
      <c r="O41988" s="36" t="s">
        <v>48</v>
      </c>
      <c r="R41988" s="36" t="s">
        <v>48</v>
      </c>
    </row>
    <row r="41989">
      <c r="H41989" s="50"/>
      <c r="I41989" s="50"/>
      <c r="O41989" s="36" t="s">
        <v>48</v>
      </c>
      <c r="R41989" s="36" t="s">
        <v>48</v>
      </c>
    </row>
    <row r="41990">
      <c r="H41990" s="50"/>
      <c r="I41990" s="50"/>
      <c r="O41990" s="36" t="s">
        <v>48</v>
      </c>
      <c r="R41990" s="36" t="s">
        <v>48</v>
      </c>
    </row>
    <row r="41991">
      <c r="H41991" s="50"/>
      <c r="I41991" s="50"/>
      <c r="O41991" s="36" t="s">
        <v>48</v>
      </c>
      <c r="R41991" s="36" t="s">
        <v>48</v>
      </c>
    </row>
    <row r="41992">
      <c r="H41992" s="50"/>
      <c r="I41992" s="50"/>
      <c r="O41992" s="36" t="s">
        <v>48</v>
      </c>
      <c r="R41992" s="36" t="s">
        <v>48</v>
      </c>
    </row>
    <row r="41993">
      <c r="H41993" s="50"/>
      <c r="I41993" s="50"/>
      <c r="O41993" s="36" t="s">
        <v>48</v>
      </c>
      <c r="R41993" s="36" t="s">
        <v>48</v>
      </c>
    </row>
    <row r="41994">
      <c r="H41994" s="50"/>
      <c r="I41994" s="50"/>
      <c r="O41994" s="36" t="s">
        <v>48</v>
      </c>
      <c r="R41994" s="36" t="s">
        <v>48</v>
      </c>
    </row>
    <row r="41995">
      <c r="H41995" s="50"/>
      <c r="I41995" s="50"/>
      <c r="O41995" s="36" t="s">
        <v>48</v>
      </c>
      <c r="R41995" s="36" t="s">
        <v>48</v>
      </c>
    </row>
    <row r="41996">
      <c r="H41996" s="50"/>
      <c r="I41996" s="50"/>
      <c r="O41996" s="36" t="s">
        <v>48</v>
      </c>
      <c r="R41996" s="36" t="s">
        <v>48</v>
      </c>
    </row>
    <row r="41997">
      <c r="H41997" s="50"/>
      <c r="I41997" s="50"/>
      <c r="O41997" s="36" t="s">
        <v>48</v>
      </c>
      <c r="R41997" s="36" t="s">
        <v>48</v>
      </c>
    </row>
    <row r="41998">
      <c r="H41998" s="50"/>
      <c r="I41998" s="50"/>
      <c r="O41998" s="36" t="s">
        <v>48</v>
      </c>
      <c r="R41998" s="36" t="s">
        <v>48</v>
      </c>
    </row>
    <row r="41999">
      <c r="H41999" s="50"/>
      <c r="I41999" s="50"/>
      <c r="O41999" s="36" t="s">
        <v>48</v>
      </c>
      <c r="R41999" s="36" t="s">
        <v>48</v>
      </c>
    </row>
    <row r="42000">
      <c r="H42000" s="50"/>
      <c r="I42000" s="50"/>
      <c r="O42000" s="36" t="s">
        <v>48</v>
      </c>
      <c r="R42000" s="36" t="s">
        <v>48</v>
      </c>
    </row>
    <row r="42001">
      <c r="H42001" s="50"/>
      <c r="I42001" s="50"/>
      <c r="O42001" s="36" t="s">
        <v>48</v>
      </c>
      <c r="R42001" s="36" t="s">
        <v>48</v>
      </c>
    </row>
    <row r="42002">
      <c r="H42002" s="50"/>
      <c r="I42002" s="50"/>
      <c r="O42002" s="36" t="s">
        <v>48</v>
      </c>
      <c r="R42002" s="36" t="s">
        <v>48</v>
      </c>
    </row>
    <row r="42003">
      <c r="H42003" s="50"/>
      <c r="I42003" s="50"/>
      <c r="O42003" s="36" t="s">
        <v>48</v>
      </c>
      <c r="R42003" s="36" t="s">
        <v>48</v>
      </c>
    </row>
    <row r="42004">
      <c r="H42004" s="50"/>
      <c r="I42004" s="50"/>
      <c r="O42004" s="36" t="s">
        <v>48</v>
      </c>
      <c r="R42004" s="36" t="s">
        <v>48</v>
      </c>
    </row>
    <row r="42005">
      <c r="H42005" s="50"/>
      <c r="I42005" s="50"/>
      <c r="O42005" s="36" t="s">
        <v>48</v>
      </c>
      <c r="R42005" s="36" t="s">
        <v>48</v>
      </c>
    </row>
    <row r="42006">
      <c r="H42006" s="50"/>
      <c r="I42006" s="50"/>
      <c r="O42006" s="36" t="s">
        <v>48</v>
      </c>
      <c r="R42006" s="36" t="s">
        <v>48</v>
      </c>
    </row>
    <row r="42007">
      <c r="H42007" s="50"/>
      <c r="I42007" s="50"/>
      <c r="O42007" s="36" t="s">
        <v>48</v>
      </c>
      <c r="R42007" s="36" t="s">
        <v>48</v>
      </c>
    </row>
    <row r="42008">
      <c r="H42008" s="50"/>
      <c r="I42008" s="50"/>
      <c r="O42008" s="36" t="s">
        <v>48</v>
      </c>
      <c r="R42008" s="36" t="s">
        <v>48</v>
      </c>
    </row>
    <row r="42009">
      <c r="H42009" s="50"/>
      <c r="I42009" s="50"/>
      <c r="O42009" s="36" t="s">
        <v>48</v>
      </c>
      <c r="R42009" s="36" t="s">
        <v>48</v>
      </c>
    </row>
    <row r="42010">
      <c r="H42010" s="50"/>
      <c r="I42010" s="50"/>
      <c r="O42010" s="36" t="s">
        <v>48</v>
      </c>
      <c r="R42010" s="36" t="s">
        <v>48</v>
      </c>
    </row>
    <row r="42011">
      <c r="H42011" s="50"/>
      <c r="I42011" s="50"/>
      <c r="O42011" s="36" t="s">
        <v>48</v>
      </c>
      <c r="R42011" s="36" t="s">
        <v>48</v>
      </c>
    </row>
    <row r="42012">
      <c r="H42012" s="50"/>
      <c r="I42012" s="50"/>
      <c r="O42012" s="36" t="s">
        <v>48</v>
      </c>
      <c r="R42012" s="36" t="s">
        <v>48</v>
      </c>
    </row>
    <row r="42013">
      <c r="H42013" s="50"/>
      <c r="I42013" s="50"/>
      <c r="O42013" s="36" t="s">
        <v>48</v>
      </c>
      <c r="R42013" s="36" t="s">
        <v>48</v>
      </c>
    </row>
    <row r="42014">
      <c r="H42014" s="50"/>
      <c r="I42014" s="50"/>
      <c r="O42014" s="36" t="s">
        <v>48</v>
      </c>
      <c r="R42014" s="36" t="s">
        <v>48</v>
      </c>
    </row>
    <row r="42015">
      <c r="H42015" s="50"/>
      <c r="I42015" s="50"/>
      <c r="O42015" s="36" t="s">
        <v>48</v>
      </c>
      <c r="R42015" s="36" t="s">
        <v>48</v>
      </c>
    </row>
    <row r="42016">
      <c r="H42016" s="50"/>
      <c r="I42016" s="50"/>
      <c r="O42016" s="36" t="s">
        <v>48</v>
      </c>
      <c r="R42016" s="36" t="s">
        <v>48</v>
      </c>
    </row>
    <row r="42017">
      <c r="H42017" s="50"/>
      <c r="I42017" s="50"/>
      <c r="O42017" s="36" t="s">
        <v>48</v>
      </c>
      <c r="R42017" s="36" t="s">
        <v>48</v>
      </c>
    </row>
    <row r="42018">
      <c r="H42018" s="50"/>
      <c r="I42018" s="50"/>
      <c r="O42018" s="36" t="s">
        <v>48</v>
      </c>
      <c r="R42018" s="36" t="s">
        <v>48</v>
      </c>
    </row>
    <row r="42019">
      <c r="H42019" s="50"/>
      <c r="I42019" s="50"/>
      <c r="O42019" s="36" t="s">
        <v>48</v>
      </c>
      <c r="R42019" s="36" t="s">
        <v>48</v>
      </c>
    </row>
    <row r="42020">
      <c r="H42020" s="50"/>
      <c r="I42020" s="50"/>
      <c r="O42020" s="36" t="s">
        <v>48</v>
      </c>
      <c r="R42020" s="36" t="s">
        <v>48</v>
      </c>
    </row>
    <row r="42021">
      <c r="H42021" s="50"/>
      <c r="I42021" s="50"/>
      <c r="O42021" s="36" t="s">
        <v>48</v>
      </c>
      <c r="R42021" s="36" t="s">
        <v>48</v>
      </c>
    </row>
    <row r="42022">
      <c r="H42022" s="50"/>
      <c r="I42022" s="50"/>
      <c r="O42022" s="36" t="s">
        <v>48</v>
      </c>
      <c r="R42022" s="36" t="s">
        <v>48</v>
      </c>
    </row>
    <row r="42023">
      <c r="H42023" s="50"/>
      <c r="I42023" s="50"/>
      <c r="O42023" s="36" t="s">
        <v>48</v>
      </c>
      <c r="R42023" s="36" t="s">
        <v>48</v>
      </c>
    </row>
    <row r="42024">
      <c r="H42024" s="50"/>
      <c r="I42024" s="50"/>
      <c r="O42024" s="36" t="s">
        <v>48</v>
      </c>
      <c r="R42024" s="36" t="s">
        <v>48</v>
      </c>
    </row>
    <row r="42025">
      <c r="H42025" s="50"/>
      <c r="I42025" s="50"/>
      <c r="O42025" s="36" t="s">
        <v>48</v>
      </c>
      <c r="R42025" s="36" t="s">
        <v>48</v>
      </c>
    </row>
    <row r="42026">
      <c r="H42026" s="50"/>
      <c r="I42026" s="50"/>
      <c r="O42026" s="36" t="s">
        <v>48</v>
      </c>
      <c r="R42026" s="36" t="s">
        <v>48</v>
      </c>
    </row>
    <row r="42027">
      <c r="H42027" s="50"/>
      <c r="I42027" s="50"/>
      <c r="O42027" s="36" t="s">
        <v>48</v>
      </c>
      <c r="R42027" s="36" t="s">
        <v>48</v>
      </c>
    </row>
    <row r="42028">
      <c r="H42028" s="50"/>
      <c r="I42028" s="50"/>
      <c r="O42028" s="36" t="s">
        <v>48</v>
      </c>
      <c r="R42028" s="36" t="s">
        <v>48</v>
      </c>
    </row>
    <row r="42029">
      <c r="H42029" s="50"/>
      <c r="I42029" s="50"/>
      <c r="O42029" s="36" t="s">
        <v>48</v>
      </c>
      <c r="R42029" s="36" t="s">
        <v>48</v>
      </c>
    </row>
    <row r="42030">
      <c r="H42030" s="50"/>
      <c r="I42030" s="50"/>
      <c r="O42030" s="36" t="s">
        <v>48</v>
      </c>
      <c r="R42030" s="36" t="s">
        <v>48</v>
      </c>
    </row>
    <row r="42031">
      <c r="H42031" s="50"/>
      <c r="I42031" s="50"/>
      <c r="O42031" s="36" t="s">
        <v>48</v>
      </c>
      <c r="R42031" s="36" t="s">
        <v>48</v>
      </c>
    </row>
    <row r="42032">
      <c r="H42032" s="50"/>
      <c r="I42032" s="50"/>
      <c r="O42032" s="36" t="s">
        <v>48</v>
      </c>
      <c r="R42032" s="36" t="s">
        <v>48</v>
      </c>
    </row>
    <row r="42033">
      <c r="H42033" s="50"/>
      <c r="I42033" s="50"/>
      <c r="O42033" s="36" t="s">
        <v>48</v>
      </c>
      <c r="R42033" s="36" t="s">
        <v>48</v>
      </c>
    </row>
    <row r="42034">
      <c r="H42034" s="50"/>
      <c r="I42034" s="50"/>
      <c r="O42034" s="36" t="s">
        <v>48</v>
      </c>
      <c r="R42034" s="36" t="s">
        <v>48</v>
      </c>
    </row>
    <row r="42035">
      <c r="H42035" s="50"/>
      <c r="I42035" s="50"/>
      <c r="O42035" s="36" t="s">
        <v>48</v>
      </c>
      <c r="R42035" s="36" t="s">
        <v>48</v>
      </c>
    </row>
    <row r="42036">
      <c r="H42036" s="50"/>
      <c r="I42036" s="50"/>
      <c r="O42036" s="36" t="s">
        <v>48</v>
      </c>
      <c r="R42036" s="36" t="s">
        <v>48</v>
      </c>
    </row>
    <row r="42037">
      <c r="H42037" s="50"/>
      <c r="I42037" s="50"/>
      <c r="O42037" s="36" t="s">
        <v>48</v>
      </c>
      <c r="R42037" s="36" t="s">
        <v>48</v>
      </c>
    </row>
    <row r="42038">
      <c r="H42038" s="50"/>
      <c r="I42038" s="50"/>
      <c r="O42038" s="36" t="s">
        <v>48</v>
      </c>
      <c r="R42038" s="36" t="s">
        <v>48</v>
      </c>
    </row>
    <row r="42039">
      <c r="H42039" s="50"/>
      <c r="I42039" s="50"/>
      <c r="O42039" s="36" t="s">
        <v>48</v>
      </c>
      <c r="R42039" s="36" t="s">
        <v>48</v>
      </c>
    </row>
    <row r="42040">
      <c r="H42040" s="50"/>
      <c r="I42040" s="50"/>
      <c r="O42040" s="36" t="s">
        <v>48</v>
      </c>
      <c r="R42040" s="36" t="s">
        <v>48</v>
      </c>
    </row>
    <row r="42041">
      <c r="H42041" s="50"/>
      <c r="I42041" s="50"/>
      <c r="O42041" s="36" t="s">
        <v>48</v>
      </c>
      <c r="R42041" s="36" t="s">
        <v>48</v>
      </c>
    </row>
    <row r="42042">
      <c r="H42042" s="50"/>
      <c r="I42042" s="50"/>
      <c r="O42042" s="36" t="s">
        <v>48</v>
      </c>
      <c r="R42042" s="36" t="s">
        <v>48</v>
      </c>
    </row>
    <row r="42043">
      <c r="H42043" s="50"/>
      <c r="I42043" s="50"/>
      <c r="O42043" s="36" t="s">
        <v>48</v>
      </c>
      <c r="R42043" s="36" t="s">
        <v>48</v>
      </c>
    </row>
    <row r="42044">
      <c r="H42044" s="50"/>
      <c r="I42044" s="50"/>
      <c r="O42044" s="36" t="s">
        <v>48</v>
      </c>
      <c r="R42044" s="36" t="s">
        <v>48</v>
      </c>
    </row>
    <row r="42045">
      <c r="H42045" s="50"/>
      <c r="I42045" s="50"/>
      <c r="O42045" s="36" t="s">
        <v>48</v>
      </c>
      <c r="R42045" s="36" t="s">
        <v>48</v>
      </c>
    </row>
    <row r="42046">
      <c r="H42046" s="50"/>
      <c r="I42046" s="50"/>
      <c r="O42046" s="36" t="s">
        <v>48</v>
      </c>
      <c r="R42046" s="36" t="s">
        <v>48</v>
      </c>
    </row>
    <row r="42047">
      <c r="H42047" s="50"/>
      <c r="I42047" s="50"/>
      <c r="O42047" s="36" t="s">
        <v>48</v>
      </c>
      <c r="R42047" s="36" t="s">
        <v>48</v>
      </c>
    </row>
    <row r="42048">
      <c r="H42048" s="50"/>
      <c r="I42048" s="50"/>
      <c r="O42048" s="36" t="s">
        <v>48</v>
      </c>
      <c r="R42048" s="36" t="s">
        <v>48</v>
      </c>
    </row>
    <row r="42049">
      <c r="H42049" s="50"/>
      <c r="I42049" s="50"/>
      <c r="O42049" s="36" t="s">
        <v>48</v>
      </c>
      <c r="R42049" s="36" t="s">
        <v>48</v>
      </c>
    </row>
    <row r="42050">
      <c r="H42050" s="50"/>
      <c r="I42050" s="50"/>
      <c r="O42050" s="36" t="s">
        <v>48</v>
      </c>
      <c r="R42050" s="36" t="s">
        <v>48</v>
      </c>
    </row>
    <row r="42051">
      <c r="H42051" s="50"/>
      <c r="I42051" s="50"/>
      <c r="O42051" s="36" t="s">
        <v>48</v>
      </c>
      <c r="R42051" s="36" t="s">
        <v>48</v>
      </c>
    </row>
    <row r="42052">
      <c r="H42052" s="50"/>
      <c r="I42052" s="50"/>
      <c r="O42052" s="36" t="s">
        <v>48</v>
      </c>
      <c r="R42052" s="36" t="s">
        <v>48</v>
      </c>
    </row>
    <row r="42053">
      <c r="H42053" s="50"/>
      <c r="I42053" s="50"/>
      <c r="O42053" s="36" t="s">
        <v>48</v>
      </c>
      <c r="R42053" s="36" t="s">
        <v>48</v>
      </c>
    </row>
    <row r="42054">
      <c r="H42054" s="50"/>
      <c r="I42054" s="50"/>
      <c r="O42054" s="36" t="s">
        <v>48</v>
      </c>
      <c r="R42054" s="36" t="s">
        <v>48</v>
      </c>
    </row>
    <row r="42055">
      <c r="H42055" s="50"/>
      <c r="I42055" s="50"/>
      <c r="O42055" s="36" t="s">
        <v>48</v>
      </c>
      <c r="R42055" s="36" t="s">
        <v>48</v>
      </c>
    </row>
    <row r="42056">
      <c r="H42056" s="50"/>
      <c r="I42056" s="50"/>
      <c r="O42056" s="36" t="s">
        <v>48</v>
      </c>
      <c r="R42056" s="36" t="s">
        <v>48</v>
      </c>
    </row>
    <row r="42057">
      <c r="H42057" s="50"/>
      <c r="I42057" s="50"/>
      <c r="O42057" s="36" t="s">
        <v>48</v>
      </c>
      <c r="R42057" s="36" t="s">
        <v>48</v>
      </c>
    </row>
    <row r="42058">
      <c r="H42058" s="50"/>
      <c r="I42058" s="50"/>
      <c r="O42058" s="36" t="s">
        <v>48</v>
      </c>
      <c r="R42058" s="36" t="s">
        <v>48</v>
      </c>
    </row>
    <row r="42059">
      <c r="H42059" s="50"/>
      <c r="I42059" s="50"/>
      <c r="O42059" s="36" t="s">
        <v>48</v>
      </c>
      <c r="R42059" s="36" t="s">
        <v>48</v>
      </c>
    </row>
    <row r="42060">
      <c r="H42060" s="50"/>
      <c r="I42060" s="50"/>
      <c r="O42060" s="36" t="s">
        <v>48</v>
      </c>
      <c r="R42060" s="36" t="s">
        <v>48</v>
      </c>
    </row>
    <row r="42061">
      <c r="H42061" s="50"/>
      <c r="I42061" s="50"/>
      <c r="O42061" s="36" t="s">
        <v>48</v>
      </c>
      <c r="R42061" s="36" t="s">
        <v>48</v>
      </c>
    </row>
    <row r="42062">
      <c r="H42062" s="50"/>
      <c r="I42062" s="50"/>
      <c r="O42062" s="36" t="s">
        <v>48</v>
      </c>
      <c r="R42062" s="36" t="s">
        <v>48</v>
      </c>
    </row>
    <row r="42063">
      <c r="H42063" s="50"/>
      <c r="I42063" s="50"/>
      <c r="O42063" s="36" t="s">
        <v>48</v>
      </c>
      <c r="R42063" s="36" t="s">
        <v>48</v>
      </c>
    </row>
    <row r="42064">
      <c r="H42064" s="50"/>
      <c r="I42064" s="50"/>
      <c r="O42064" s="36" t="s">
        <v>48</v>
      </c>
      <c r="R42064" s="36" t="s">
        <v>48</v>
      </c>
    </row>
    <row r="42065">
      <c r="H42065" s="50"/>
      <c r="I42065" s="50"/>
      <c r="O42065" s="36" t="s">
        <v>48</v>
      </c>
      <c r="R42065" s="36" t="s">
        <v>48</v>
      </c>
    </row>
    <row r="42066">
      <c r="H42066" s="50"/>
      <c r="I42066" s="50"/>
      <c r="O42066" s="36" t="s">
        <v>48</v>
      </c>
      <c r="R42066" s="36" t="s">
        <v>48</v>
      </c>
    </row>
    <row r="42067">
      <c r="H42067" s="50"/>
      <c r="I42067" s="50"/>
      <c r="O42067" s="36" t="s">
        <v>48</v>
      </c>
      <c r="R42067" s="36" t="s">
        <v>48</v>
      </c>
    </row>
    <row r="42068">
      <c r="H42068" s="50"/>
      <c r="I42068" s="50"/>
      <c r="O42068" s="36" t="s">
        <v>48</v>
      </c>
      <c r="R42068" s="36" t="s">
        <v>48</v>
      </c>
    </row>
    <row r="42069">
      <c r="H42069" s="50"/>
      <c r="I42069" s="50"/>
      <c r="O42069" s="36" t="s">
        <v>48</v>
      </c>
      <c r="R42069" s="36" t="s">
        <v>48</v>
      </c>
    </row>
    <row r="42070">
      <c r="H42070" s="50"/>
      <c r="I42070" s="50"/>
      <c r="O42070" s="36" t="s">
        <v>48</v>
      </c>
      <c r="R42070" s="36" t="s">
        <v>48</v>
      </c>
    </row>
    <row r="42071">
      <c r="H42071" s="50"/>
      <c r="I42071" s="50"/>
      <c r="O42071" s="36" t="s">
        <v>48</v>
      </c>
      <c r="R42071" s="36" t="s">
        <v>48</v>
      </c>
    </row>
    <row r="42072">
      <c r="H42072" s="50"/>
      <c r="I42072" s="50"/>
      <c r="O42072" s="36" t="s">
        <v>48</v>
      </c>
      <c r="R42072" s="36" t="s">
        <v>48</v>
      </c>
    </row>
    <row r="42073">
      <c r="H42073" s="50"/>
      <c r="I42073" s="50"/>
      <c r="O42073" s="36" t="s">
        <v>48</v>
      </c>
      <c r="R42073" s="36" t="s">
        <v>48</v>
      </c>
    </row>
    <row r="42074">
      <c r="H42074" s="50"/>
      <c r="I42074" s="50"/>
      <c r="O42074" s="36" t="s">
        <v>48</v>
      </c>
      <c r="R42074" s="36" t="s">
        <v>48</v>
      </c>
    </row>
    <row r="42075">
      <c r="H42075" s="50"/>
      <c r="I42075" s="50"/>
      <c r="O42075" s="36" t="s">
        <v>48</v>
      </c>
      <c r="R42075" s="36" t="s">
        <v>48</v>
      </c>
    </row>
    <row r="42076">
      <c r="H42076" s="50"/>
      <c r="I42076" s="50"/>
      <c r="O42076" s="36" t="s">
        <v>48</v>
      </c>
      <c r="R42076" s="36" t="s">
        <v>48</v>
      </c>
    </row>
    <row r="42077">
      <c r="H42077" s="50"/>
      <c r="I42077" s="50"/>
      <c r="O42077" s="36" t="s">
        <v>48</v>
      </c>
      <c r="R42077" s="36" t="s">
        <v>48</v>
      </c>
    </row>
    <row r="42078">
      <c r="H42078" s="50"/>
      <c r="I42078" s="50"/>
      <c r="O42078" s="36" t="s">
        <v>48</v>
      </c>
      <c r="R42078" s="36" t="s">
        <v>48</v>
      </c>
    </row>
    <row r="42079">
      <c r="H42079" s="50"/>
      <c r="I42079" s="50"/>
      <c r="O42079" s="36" t="s">
        <v>48</v>
      </c>
      <c r="R42079" s="36" t="s">
        <v>48</v>
      </c>
    </row>
    <row r="42080">
      <c r="H42080" s="50"/>
      <c r="I42080" s="50"/>
      <c r="O42080" s="36" t="s">
        <v>48</v>
      </c>
      <c r="R42080" s="36" t="s">
        <v>48</v>
      </c>
    </row>
    <row r="42081">
      <c r="H42081" s="50"/>
      <c r="I42081" s="50"/>
      <c r="O42081" s="36" t="s">
        <v>48</v>
      </c>
      <c r="R42081" s="36" t="s">
        <v>48</v>
      </c>
    </row>
    <row r="42082">
      <c r="H42082" s="50"/>
      <c r="I42082" s="50"/>
      <c r="O42082" s="36" t="s">
        <v>48</v>
      </c>
      <c r="R42082" s="36" t="s">
        <v>48</v>
      </c>
    </row>
    <row r="42083">
      <c r="H42083" s="50"/>
      <c r="I42083" s="50"/>
      <c r="O42083" s="36" t="s">
        <v>48</v>
      </c>
      <c r="R42083" s="36" t="s">
        <v>48</v>
      </c>
    </row>
    <row r="42084">
      <c r="H42084" s="50"/>
      <c r="I42084" s="50"/>
      <c r="O42084" s="36" t="s">
        <v>48</v>
      </c>
      <c r="R42084" s="36" t="s">
        <v>48</v>
      </c>
    </row>
    <row r="42085">
      <c r="H42085" s="50"/>
      <c r="I42085" s="50"/>
      <c r="O42085" s="36" t="s">
        <v>48</v>
      </c>
      <c r="R42085" s="36" t="s">
        <v>48</v>
      </c>
    </row>
    <row r="42086">
      <c r="H42086" s="50"/>
      <c r="I42086" s="50"/>
      <c r="O42086" s="36" t="s">
        <v>48</v>
      </c>
      <c r="R42086" s="36" t="s">
        <v>48</v>
      </c>
    </row>
    <row r="42087">
      <c r="H42087" s="50"/>
      <c r="I42087" s="50"/>
      <c r="O42087" s="36" t="s">
        <v>48</v>
      </c>
      <c r="R42087" s="36" t="s">
        <v>48</v>
      </c>
    </row>
    <row r="42088">
      <c r="H42088" s="50"/>
      <c r="I42088" s="50"/>
      <c r="O42088" s="36" t="s">
        <v>48</v>
      </c>
      <c r="R42088" s="36" t="s">
        <v>48</v>
      </c>
    </row>
    <row r="42089">
      <c r="H42089" s="50"/>
      <c r="I42089" s="50"/>
      <c r="O42089" s="36" t="s">
        <v>48</v>
      </c>
      <c r="R42089" s="36" t="s">
        <v>48</v>
      </c>
    </row>
    <row r="42090">
      <c r="H42090" s="50"/>
      <c r="I42090" s="50"/>
      <c r="O42090" s="36" t="s">
        <v>48</v>
      </c>
      <c r="R42090" s="36" t="s">
        <v>48</v>
      </c>
    </row>
    <row r="42091">
      <c r="H42091" s="50"/>
      <c r="I42091" s="50"/>
      <c r="O42091" s="36" t="s">
        <v>48</v>
      </c>
      <c r="R42091" s="36" t="s">
        <v>48</v>
      </c>
    </row>
    <row r="42092">
      <c r="H42092" s="50"/>
      <c r="I42092" s="50"/>
      <c r="O42092" s="36" t="s">
        <v>48</v>
      </c>
      <c r="R42092" s="36" t="s">
        <v>48</v>
      </c>
    </row>
    <row r="42093">
      <c r="H42093" s="50"/>
      <c r="I42093" s="50"/>
      <c r="O42093" s="36" t="s">
        <v>48</v>
      </c>
      <c r="R42093" s="36" t="s">
        <v>48</v>
      </c>
    </row>
    <row r="42094">
      <c r="H42094" s="50"/>
      <c r="I42094" s="50"/>
      <c r="O42094" s="36" t="s">
        <v>48</v>
      </c>
      <c r="R42094" s="36" t="s">
        <v>48</v>
      </c>
    </row>
    <row r="42095">
      <c r="H42095" s="50"/>
      <c r="I42095" s="50"/>
      <c r="O42095" s="36" t="s">
        <v>48</v>
      </c>
      <c r="R42095" s="36" t="s">
        <v>48</v>
      </c>
    </row>
    <row r="42096">
      <c r="H42096" s="50"/>
      <c r="I42096" s="50"/>
      <c r="O42096" s="36" t="s">
        <v>48</v>
      </c>
      <c r="R42096" s="36" t="s">
        <v>48</v>
      </c>
    </row>
    <row r="42097">
      <c r="H42097" s="50"/>
      <c r="I42097" s="50"/>
      <c r="O42097" s="36" t="s">
        <v>48</v>
      </c>
      <c r="R42097" s="36" t="s">
        <v>48</v>
      </c>
    </row>
    <row r="42098">
      <c r="H42098" s="50"/>
      <c r="I42098" s="50"/>
      <c r="O42098" s="36" t="s">
        <v>48</v>
      </c>
      <c r="R42098" s="36" t="s">
        <v>48</v>
      </c>
    </row>
    <row r="42099">
      <c r="H42099" s="50"/>
      <c r="I42099" s="50"/>
      <c r="O42099" s="36" t="s">
        <v>48</v>
      </c>
      <c r="R42099" s="36" t="s">
        <v>48</v>
      </c>
    </row>
    <row r="42100">
      <c r="H42100" s="50"/>
      <c r="I42100" s="50"/>
      <c r="O42100" s="36" t="s">
        <v>48</v>
      </c>
      <c r="R42100" s="36" t="s">
        <v>48</v>
      </c>
    </row>
    <row r="42101">
      <c r="H42101" s="50"/>
      <c r="I42101" s="50"/>
      <c r="O42101" s="36" t="s">
        <v>48</v>
      </c>
      <c r="R42101" s="36" t="s">
        <v>48</v>
      </c>
    </row>
    <row r="42102">
      <c r="H42102" s="50"/>
      <c r="I42102" s="50"/>
      <c r="O42102" s="36" t="s">
        <v>48</v>
      </c>
      <c r="R42102" s="36" t="s">
        <v>48</v>
      </c>
    </row>
    <row r="42103">
      <c r="H42103" s="50"/>
      <c r="I42103" s="50"/>
      <c r="O42103" s="36" t="s">
        <v>48</v>
      </c>
      <c r="R42103" s="36" t="s">
        <v>48</v>
      </c>
    </row>
    <row r="42104">
      <c r="H42104" s="50"/>
      <c r="I42104" s="50"/>
      <c r="O42104" s="36" t="s">
        <v>48</v>
      </c>
      <c r="R42104" s="36" t="s">
        <v>48</v>
      </c>
    </row>
    <row r="42105">
      <c r="H42105" s="50"/>
      <c r="I42105" s="50"/>
      <c r="O42105" s="36" t="s">
        <v>48</v>
      </c>
      <c r="R42105" s="36" t="s">
        <v>48</v>
      </c>
    </row>
    <row r="42106">
      <c r="H42106" s="50"/>
      <c r="I42106" s="50"/>
      <c r="O42106" s="36" t="s">
        <v>48</v>
      </c>
      <c r="R42106" s="36" t="s">
        <v>48</v>
      </c>
    </row>
    <row r="42107">
      <c r="H42107" s="50"/>
      <c r="I42107" s="50"/>
      <c r="O42107" s="36" t="s">
        <v>48</v>
      </c>
      <c r="R42107" s="36" t="s">
        <v>48</v>
      </c>
    </row>
    <row r="42108">
      <c r="H42108" s="50"/>
      <c r="I42108" s="50"/>
      <c r="O42108" s="36" t="s">
        <v>48</v>
      </c>
      <c r="R42108" s="36" t="s">
        <v>48</v>
      </c>
    </row>
    <row r="42109">
      <c r="H42109" s="50"/>
      <c r="I42109" s="50"/>
      <c r="O42109" s="36" t="s">
        <v>48</v>
      </c>
      <c r="R42109" s="36" t="s">
        <v>48</v>
      </c>
    </row>
    <row r="42110">
      <c r="H42110" s="50"/>
      <c r="I42110" s="50"/>
      <c r="O42110" s="36" t="s">
        <v>48</v>
      </c>
      <c r="R42110" s="36" t="s">
        <v>48</v>
      </c>
    </row>
    <row r="42111">
      <c r="H42111" s="50"/>
      <c r="I42111" s="50"/>
      <c r="O42111" s="36" t="s">
        <v>48</v>
      </c>
      <c r="R42111" s="36" t="s">
        <v>48</v>
      </c>
    </row>
    <row r="42112">
      <c r="H42112" s="50"/>
      <c r="I42112" s="50"/>
      <c r="O42112" s="36" t="s">
        <v>48</v>
      </c>
      <c r="R42112" s="36" t="s">
        <v>48</v>
      </c>
    </row>
    <row r="42113">
      <c r="H42113" s="50"/>
      <c r="I42113" s="50"/>
      <c r="O42113" s="36" t="s">
        <v>48</v>
      </c>
      <c r="R42113" s="36" t="s">
        <v>48</v>
      </c>
    </row>
    <row r="42114">
      <c r="H42114" s="50"/>
      <c r="I42114" s="50"/>
      <c r="O42114" s="36" t="s">
        <v>48</v>
      </c>
      <c r="R42114" s="36" t="s">
        <v>48</v>
      </c>
    </row>
    <row r="42115">
      <c r="H42115" s="50"/>
      <c r="I42115" s="50"/>
      <c r="O42115" s="36" t="s">
        <v>48</v>
      </c>
      <c r="R42115" s="36" t="s">
        <v>48</v>
      </c>
    </row>
    <row r="42116">
      <c r="H42116" s="50"/>
      <c r="I42116" s="50"/>
      <c r="O42116" s="36" t="s">
        <v>48</v>
      </c>
      <c r="R42116" s="36" t="s">
        <v>48</v>
      </c>
    </row>
    <row r="42117">
      <c r="H42117" s="50"/>
      <c r="I42117" s="50"/>
      <c r="O42117" s="36" t="s">
        <v>48</v>
      </c>
      <c r="R42117" s="36" t="s">
        <v>48</v>
      </c>
    </row>
    <row r="42118">
      <c r="H42118" s="50"/>
      <c r="I42118" s="50"/>
      <c r="O42118" s="36" t="s">
        <v>48</v>
      </c>
      <c r="R42118" s="36" t="s">
        <v>48</v>
      </c>
    </row>
    <row r="42119">
      <c r="H42119" s="50"/>
      <c r="I42119" s="50"/>
      <c r="O42119" s="36" t="s">
        <v>48</v>
      </c>
      <c r="R42119" s="36" t="s">
        <v>48</v>
      </c>
    </row>
    <row r="42120">
      <c r="H42120" s="50"/>
      <c r="I42120" s="50"/>
      <c r="O42120" s="36" t="s">
        <v>48</v>
      </c>
      <c r="R42120" s="36" t="s">
        <v>48</v>
      </c>
    </row>
    <row r="42121">
      <c r="H42121" s="50"/>
      <c r="I42121" s="50"/>
      <c r="O42121" s="36" t="s">
        <v>48</v>
      </c>
      <c r="R42121" s="36" t="s">
        <v>48</v>
      </c>
    </row>
    <row r="42122">
      <c r="H42122" s="50"/>
      <c r="I42122" s="50"/>
      <c r="O42122" s="36" t="s">
        <v>48</v>
      </c>
      <c r="R42122" s="36" t="s">
        <v>48</v>
      </c>
    </row>
    <row r="42123">
      <c r="H42123" s="50"/>
      <c r="I42123" s="50"/>
      <c r="O42123" s="36" t="s">
        <v>48</v>
      </c>
      <c r="R42123" s="36" t="s">
        <v>48</v>
      </c>
    </row>
    <row r="42124">
      <c r="H42124" s="50"/>
      <c r="I42124" s="50"/>
      <c r="O42124" s="36" t="s">
        <v>48</v>
      </c>
      <c r="R42124" s="36" t="s">
        <v>48</v>
      </c>
    </row>
    <row r="42125">
      <c r="H42125" s="50"/>
      <c r="I42125" s="50"/>
      <c r="O42125" s="36" t="s">
        <v>48</v>
      </c>
      <c r="R42125" s="36" t="s">
        <v>48</v>
      </c>
    </row>
    <row r="42126">
      <c r="H42126" s="50"/>
      <c r="I42126" s="50"/>
      <c r="O42126" s="36" t="s">
        <v>48</v>
      </c>
      <c r="R42126" s="36" t="s">
        <v>48</v>
      </c>
    </row>
    <row r="42127">
      <c r="H42127" s="50"/>
      <c r="I42127" s="50"/>
      <c r="O42127" s="36" t="s">
        <v>48</v>
      </c>
      <c r="R42127" s="36" t="s">
        <v>48</v>
      </c>
    </row>
    <row r="42128">
      <c r="H42128" s="50"/>
      <c r="I42128" s="50"/>
      <c r="O42128" s="36" t="s">
        <v>48</v>
      </c>
      <c r="R42128" s="36" t="s">
        <v>48</v>
      </c>
    </row>
    <row r="42129">
      <c r="H42129" s="50"/>
      <c r="I42129" s="50"/>
      <c r="O42129" s="36" t="s">
        <v>48</v>
      </c>
      <c r="R42129" s="36" t="s">
        <v>48</v>
      </c>
    </row>
    <row r="42130">
      <c r="H42130" s="50"/>
      <c r="I42130" s="50"/>
      <c r="O42130" s="36" t="s">
        <v>48</v>
      </c>
      <c r="R42130" s="36" t="s">
        <v>48</v>
      </c>
    </row>
    <row r="42131">
      <c r="H42131" s="50"/>
      <c r="I42131" s="50"/>
      <c r="O42131" s="36" t="s">
        <v>48</v>
      </c>
      <c r="R42131" s="36" t="s">
        <v>48</v>
      </c>
    </row>
    <row r="42132">
      <c r="H42132" s="50"/>
      <c r="I42132" s="50"/>
      <c r="O42132" s="36" t="s">
        <v>48</v>
      </c>
      <c r="R42132" s="36" t="s">
        <v>48</v>
      </c>
    </row>
    <row r="42133">
      <c r="H42133" s="50"/>
      <c r="I42133" s="50"/>
      <c r="O42133" s="36" t="s">
        <v>48</v>
      </c>
      <c r="R42133" s="36" t="s">
        <v>48</v>
      </c>
    </row>
    <row r="42134">
      <c r="H42134" s="50"/>
      <c r="I42134" s="50"/>
      <c r="O42134" s="36" t="s">
        <v>48</v>
      </c>
      <c r="R42134" s="36" t="s">
        <v>48</v>
      </c>
    </row>
    <row r="42135">
      <c r="H42135" s="50"/>
      <c r="I42135" s="50"/>
      <c r="O42135" s="36" t="s">
        <v>48</v>
      </c>
      <c r="R42135" s="36" t="s">
        <v>48</v>
      </c>
    </row>
    <row r="42136">
      <c r="H42136" s="50"/>
      <c r="I42136" s="50"/>
      <c r="O42136" s="36" t="s">
        <v>48</v>
      </c>
      <c r="R42136" s="36" t="s">
        <v>48</v>
      </c>
    </row>
    <row r="42137">
      <c r="H42137" s="50"/>
      <c r="I42137" s="50"/>
      <c r="O42137" s="36" t="s">
        <v>48</v>
      </c>
      <c r="R42137" s="36" t="s">
        <v>48</v>
      </c>
    </row>
    <row r="42138">
      <c r="H42138" s="50"/>
      <c r="I42138" s="50"/>
      <c r="O42138" s="36" t="s">
        <v>48</v>
      </c>
      <c r="R42138" s="36" t="s">
        <v>48</v>
      </c>
    </row>
    <row r="42139">
      <c r="H42139" s="50"/>
      <c r="I42139" s="50"/>
      <c r="O42139" s="36" t="s">
        <v>48</v>
      </c>
      <c r="R42139" s="36" t="s">
        <v>48</v>
      </c>
    </row>
    <row r="42140">
      <c r="H42140" s="50"/>
      <c r="I42140" s="50"/>
      <c r="O42140" s="36" t="s">
        <v>48</v>
      </c>
      <c r="R42140" s="36" t="s">
        <v>48</v>
      </c>
    </row>
    <row r="42141">
      <c r="H42141" s="50"/>
      <c r="I42141" s="50"/>
      <c r="O42141" s="36" t="s">
        <v>48</v>
      </c>
      <c r="R42141" s="36" t="s">
        <v>48</v>
      </c>
    </row>
    <row r="42142">
      <c r="H42142" s="50"/>
      <c r="I42142" s="50"/>
      <c r="O42142" s="36" t="s">
        <v>48</v>
      </c>
      <c r="R42142" s="36" t="s">
        <v>48</v>
      </c>
    </row>
    <row r="42143">
      <c r="H42143" s="50"/>
      <c r="I42143" s="50"/>
      <c r="O42143" s="36" t="s">
        <v>48</v>
      </c>
      <c r="R42143" s="36" t="s">
        <v>48</v>
      </c>
    </row>
    <row r="42144">
      <c r="H42144" s="50"/>
      <c r="I42144" s="50"/>
      <c r="O42144" s="36" t="s">
        <v>48</v>
      </c>
      <c r="R42144" s="36" t="s">
        <v>48</v>
      </c>
    </row>
    <row r="42145">
      <c r="H42145" s="50"/>
      <c r="I42145" s="50"/>
      <c r="O42145" s="36" t="s">
        <v>48</v>
      </c>
      <c r="R42145" s="36" t="s">
        <v>48</v>
      </c>
    </row>
    <row r="42146">
      <c r="H42146" s="50"/>
      <c r="I42146" s="50"/>
      <c r="O42146" s="36" t="s">
        <v>48</v>
      </c>
      <c r="R42146" s="36" t="s">
        <v>48</v>
      </c>
    </row>
    <row r="42147">
      <c r="H42147" s="50"/>
      <c r="I42147" s="50"/>
      <c r="O42147" s="36" t="s">
        <v>48</v>
      </c>
      <c r="R42147" s="36" t="s">
        <v>48</v>
      </c>
    </row>
    <row r="42148">
      <c r="H42148" s="50"/>
      <c r="I42148" s="50"/>
      <c r="O42148" s="36" t="s">
        <v>48</v>
      </c>
      <c r="R42148" s="36" t="s">
        <v>48</v>
      </c>
    </row>
    <row r="42149">
      <c r="H42149" s="50"/>
      <c r="I42149" s="50"/>
      <c r="O42149" s="36" t="s">
        <v>48</v>
      </c>
      <c r="R42149" s="36" t="s">
        <v>48</v>
      </c>
    </row>
    <row r="42150">
      <c r="H42150" s="50"/>
      <c r="I42150" s="50"/>
      <c r="O42150" s="36" t="s">
        <v>48</v>
      </c>
      <c r="R42150" s="36" t="s">
        <v>48</v>
      </c>
    </row>
    <row r="42151">
      <c r="H42151" s="50"/>
      <c r="I42151" s="50"/>
      <c r="O42151" s="36" t="s">
        <v>48</v>
      </c>
      <c r="R42151" s="36" t="s">
        <v>48</v>
      </c>
    </row>
    <row r="42152">
      <c r="H42152" s="50"/>
      <c r="I42152" s="50"/>
      <c r="O42152" s="36" t="s">
        <v>48</v>
      </c>
      <c r="R42152" s="36" t="s">
        <v>48</v>
      </c>
    </row>
    <row r="42153">
      <c r="H42153" s="50"/>
      <c r="I42153" s="50"/>
      <c r="O42153" s="36" t="s">
        <v>48</v>
      </c>
      <c r="R42153" s="36" t="s">
        <v>48</v>
      </c>
    </row>
    <row r="42154">
      <c r="H42154" s="50"/>
      <c r="I42154" s="50"/>
      <c r="O42154" s="36" t="s">
        <v>48</v>
      </c>
      <c r="R42154" s="36" t="s">
        <v>48</v>
      </c>
    </row>
    <row r="42155">
      <c r="H42155" s="50"/>
      <c r="I42155" s="50"/>
      <c r="O42155" s="36" t="s">
        <v>48</v>
      </c>
      <c r="R42155" s="36" t="s">
        <v>48</v>
      </c>
    </row>
    <row r="42156">
      <c r="H42156" s="50"/>
      <c r="I42156" s="50"/>
      <c r="O42156" s="36" t="s">
        <v>48</v>
      </c>
      <c r="R42156" s="36" t="s">
        <v>48</v>
      </c>
    </row>
    <row r="42157">
      <c r="H42157" s="50"/>
      <c r="I42157" s="50"/>
      <c r="O42157" s="36" t="s">
        <v>48</v>
      </c>
      <c r="R42157" s="36" t="s">
        <v>48</v>
      </c>
    </row>
    <row r="42158">
      <c r="H42158" s="50"/>
      <c r="I42158" s="50"/>
      <c r="O42158" s="36" t="s">
        <v>48</v>
      </c>
      <c r="R42158" s="36" t="s">
        <v>48</v>
      </c>
    </row>
    <row r="42159">
      <c r="H42159" s="50"/>
      <c r="I42159" s="50"/>
      <c r="O42159" s="36" t="s">
        <v>48</v>
      </c>
      <c r="R42159" s="36" t="s">
        <v>48</v>
      </c>
    </row>
    <row r="42160">
      <c r="H42160" s="50"/>
      <c r="I42160" s="50"/>
      <c r="O42160" s="36" t="s">
        <v>48</v>
      </c>
      <c r="R42160" s="36" t="s">
        <v>48</v>
      </c>
    </row>
    <row r="42161">
      <c r="H42161" s="50"/>
      <c r="I42161" s="50"/>
      <c r="O42161" s="36" t="s">
        <v>48</v>
      </c>
      <c r="R42161" s="36" t="s">
        <v>48</v>
      </c>
    </row>
    <row r="42162">
      <c r="H42162" s="50"/>
      <c r="I42162" s="50"/>
      <c r="O42162" s="36" t="s">
        <v>48</v>
      </c>
      <c r="R42162" s="36" t="s">
        <v>48</v>
      </c>
    </row>
    <row r="42163">
      <c r="H42163" s="50"/>
      <c r="I42163" s="50"/>
      <c r="O42163" s="36" t="s">
        <v>48</v>
      </c>
      <c r="R42163" s="36" t="s">
        <v>48</v>
      </c>
    </row>
    <row r="42164">
      <c r="H42164" s="50"/>
      <c r="I42164" s="50"/>
      <c r="O42164" s="36" t="s">
        <v>48</v>
      </c>
      <c r="R42164" s="36" t="s">
        <v>48</v>
      </c>
    </row>
    <row r="42165">
      <c r="H42165" s="50"/>
      <c r="I42165" s="50"/>
      <c r="O42165" s="36" t="s">
        <v>48</v>
      </c>
      <c r="R42165" s="36" t="s">
        <v>48</v>
      </c>
    </row>
    <row r="42166">
      <c r="H42166" s="50"/>
      <c r="I42166" s="50"/>
      <c r="O42166" s="36" t="s">
        <v>48</v>
      </c>
      <c r="R42166" s="36" t="s">
        <v>48</v>
      </c>
    </row>
    <row r="42167">
      <c r="H42167" s="50"/>
      <c r="I42167" s="50"/>
      <c r="O42167" s="36" t="s">
        <v>48</v>
      </c>
      <c r="R42167" s="36" t="s">
        <v>48</v>
      </c>
    </row>
    <row r="42168">
      <c r="H42168" s="50"/>
      <c r="I42168" s="50"/>
      <c r="O42168" s="36" t="s">
        <v>48</v>
      </c>
      <c r="R42168" s="36" t="s">
        <v>48</v>
      </c>
    </row>
    <row r="42169">
      <c r="H42169" s="50"/>
      <c r="I42169" s="50"/>
      <c r="O42169" s="36" t="s">
        <v>48</v>
      </c>
      <c r="R42169" s="36" t="s">
        <v>48</v>
      </c>
    </row>
    <row r="42170">
      <c r="H42170" s="50"/>
      <c r="I42170" s="50"/>
      <c r="O42170" s="36" t="s">
        <v>48</v>
      </c>
      <c r="R42170" s="36" t="s">
        <v>48</v>
      </c>
    </row>
    <row r="42171">
      <c r="H42171" s="50"/>
      <c r="I42171" s="50"/>
      <c r="O42171" s="36" t="s">
        <v>48</v>
      </c>
      <c r="R42171" s="36" t="s">
        <v>48</v>
      </c>
    </row>
    <row r="42172">
      <c r="H42172" s="50"/>
      <c r="I42172" s="50"/>
      <c r="O42172" s="36" t="s">
        <v>48</v>
      </c>
      <c r="R42172" s="36" t="s">
        <v>48</v>
      </c>
    </row>
    <row r="42173">
      <c r="H42173" s="50"/>
      <c r="I42173" s="50"/>
      <c r="O42173" s="36" t="s">
        <v>48</v>
      </c>
      <c r="R42173" s="36" t="s">
        <v>48</v>
      </c>
    </row>
    <row r="42174">
      <c r="H42174" s="50"/>
      <c r="I42174" s="50"/>
      <c r="O42174" s="36" t="s">
        <v>48</v>
      </c>
      <c r="R42174" s="36" t="s">
        <v>48</v>
      </c>
    </row>
    <row r="42175">
      <c r="H42175" s="50"/>
      <c r="I42175" s="50"/>
      <c r="O42175" s="36" t="s">
        <v>48</v>
      </c>
      <c r="R42175" s="36" t="s">
        <v>48</v>
      </c>
    </row>
    <row r="42176">
      <c r="H42176" s="50"/>
      <c r="I42176" s="50"/>
      <c r="O42176" s="36" t="s">
        <v>48</v>
      </c>
      <c r="R42176" s="36" t="s">
        <v>48</v>
      </c>
    </row>
    <row r="42177">
      <c r="H42177" s="50"/>
      <c r="I42177" s="50"/>
      <c r="O42177" s="36" t="s">
        <v>48</v>
      </c>
      <c r="R42177" s="36" t="s">
        <v>48</v>
      </c>
    </row>
    <row r="42178">
      <c r="H42178" s="50"/>
      <c r="I42178" s="50"/>
      <c r="O42178" s="36" t="s">
        <v>48</v>
      </c>
      <c r="R42178" s="36" t="s">
        <v>48</v>
      </c>
    </row>
    <row r="42179">
      <c r="H42179" s="50"/>
      <c r="I42179" s="50"/>
      <c r="O42179" s="36" t="s">
        <v>48</v>
      </c>
      <c r="R42179" s="36" t="s">
        <v>48</v>
      </c>
    </row>
    <row r="42180">
      <c r="H42180" s="50"/>
      <c r="I42180" s="50"/>
      <c r="O42180" s="36" t="s">
        <v>48</v>
      </c>
      <c r="R42180" s="36" t="s">
        <v>48</v>
      </c>
    </row>
    <row r="42181">
      <c r="H42181" s="50"/>
      <c r="I42181" s="50"/>
      <c r="O42181" s="36" t="s">
        <v>48</v>
      </c>
      <c r="R42181" s="36" t="s">
        <v>48</v>
      </c>
    </row>
    <row r="42182">
      <c r="H42182" s="50"/>
      <c r="I42182" s="50"/>
      <c r="O42182" s="36" t="s">
        <v>48</v>
      </c>
      <c r="R42182" s="36" t="s">
        <v>48</v>
      </c>
    </row>
    <row r="42183">
      <c r="H42183" s="50"/>
      <c r="I42183" s="50"/>
      <c r="O42183" s="36" t="s">
        <v>48</v>
      </c>
      <c r="R42183" s="36" t="s">
        <v>48</v>
      </c>
    </row>
    <row r="42184">
      <c r="H42184" s="50"/>
      <c r="I42184" s="50"/>
      <c r="O42184" s="36" t="s">
        <v>48</v>
      </c>
      <c r="R42184" s="36" t="s">
        <v>48</v>
      </c>
    </row>
    <row r="42185">
      <c r="H42185" s="50"/>
      <c r="I42185" s="50"/>
      <c r="O42185" s="36" t="s">
        <v>48</v>
      </c>
      <c r="R42185" s="36" t="s">
        <v>48</v>
      </c>
    </row>
    <row r="42186">
      <c r="H42186" s="50"/>
      <c r="I42186" s="50"/>
      <c r="O42186" s="36" t="s">
        <v>48</v>
      </c>
      <c r="R42186" s="36" t="s">
        <v>48</v>
      </c>
    </row>
    <row r="42187">
      <c r="H42187" s="50"/>
      <c r="I42187" s="50"/>
      <c r="O42187" s="36" t="s">
        <v>48</v>
      </c>
      <c r="R42187" s="36" t="s">
        <v>48</v>
      </c>
    </row>
    <row r="42188">
      <c r="H42188" s="50"/>
      <c r="I42188" s="50"/>
      <c r="O42188" s="36" t="s">
        <v>48</v>
      </c>
      <c r="R42188" s="36" t="s">
        <v>48</v>
      </c>
    </row>
    <row r="42189">
      <c r="H42189" s="50"/>
      <c r="I42189" s="50"/>
      <c r="O42189" s="36" t="s">
        <v>48</v>
      </c>
      <c r="R42189" s="36" t="s">
        <v>48</v>
      </c>
    </row>
    <row r="42190">
      <c r="H42190" s="50"/>
      <c r="I42190" s="50"/>
      <c r="O42190" s="36" t="s">
        <v>48</v>
      </c>
      <c r="R42190" s="36" t="s">
        <v>48</v>
      </c>
    </row>
    <row r="42191">
      <c r="H42191" s="50"/>
      <c r="I42191" s="50"/>
      <c r="O42191" s="36" t="s">
        <v>48</v>
      </c>
      <c r="R42191" s="36" t="s">
        <v>48</v>
      </c>
    </row>
    <row r="42192">
      <c r="H42192" s="50"/>
      <c r="I42192" s="50"/>
      <c r="O42192" s="36" t="s">
        <v>48</v>
      </c>
      <c r="R42192" s="36" t="s">
        <v>48</v>
      </c>
    </row>
    <row r="42193">
      <c r="H42193" s="50"/>
      <c r="I42193" s="50"/>
      <c r="O42193" s="36" t="s">
        <v>48</v>
      </c>
      <c r="R42193" s="36" t="s">
        <v>48</v>
      </c>
    </row>
    <row r="42194">
      <c r="H42194" s="50"/>
      <c r="I42194" s="50"/>
      <c r="O42194" s="36" t="s">
        <v>48</v>
      </c>
      <c r="R42194" s="36" t="s">
        <v>48</v>
      </c>
    </row>
    <row r="42195">
      <c r="H42195" s="50"/>
      <c r="I42195" s="50"/>
      <c r="O42195" s="36" t="s">
        <v>48</v>
      </c>
      <c r="R42195" s="36" t="s">
        <v>48</v>
      </c>
    </row>
    <row r="42196">
      <c r="H42196" s="50"/>
      <c r="I42196" s="50"/>
      <c r="O42196" s="36" t="s">
        <v>48</v>
      </c>
      <c r="R42196" s="36" t="s">
        <v>48</v>
      </c>
    </row>
    <row r="42197">
      <c r="H42197" s="50"/>
      <c r="I42197" s="50"/>
      <c r="O42197" s="36" t="s">
        <v>48</v>
      </c>
      <c r="R42197" s="36" t="s">
        <v>48</v>
      </c>
    </row>
    <row r="42198">
      <c r="H42198" s="50"/>
      <c r="I42198" s="50"/>
      <c r="O42198" s="36" t="s">
        <v>48</v>
      </c>
      <c r="R42198" s="36" t="s">
        <v>48</v>
      </c>
    </row>
    <row r="42199">
      <c r="H42199" s="50"/>
      <c r="I42199" s="50"/>
      <c r="O42199" s="36" t="s">
        <v>48</v>
      </c>
      <c r="R42199" s="36" t="s">
        <v>48</v>
      </c>
    </row>
    <row r="42200">
      <c r="H42200" s="50"/>
      <c r="I42200" s="50"/>
      <c r="O42200" s="36" t="s">
        <v>48</v>
      </c>
      <c r="R42200" s="36" t="s">
        <v>48</v>
      </c>
    </row>
    <row r="42201">
      <c r="H42201" s="50"/>
      <c r="I42201" s="50"/>
      <c r="O42201" s="36" t="s">
        <v>48</v>
      </c>
      <c r="R42201" s="36" t="s">
        <v>48</v>
      </c>
    </row>
    <row r="42202">
      <c r="H42202" s="50"/>
      <c r="I42202" s="50"/>
      <c r="O42202" s="36" t="s">
        <v>48</v>
      </c>
      <c r="R42202" s="36" t="s">
        <v>48</v>
      </c>
    </row>
    <row r="42203">
      <c r="H42203" s="50"/>
      <c r="I42203" s="50"/>
      <c r="O42203" s="36" t="s">
        <v>48</v>
      </c>
      <c r="R42203" s="36" t="s">
        <v>48</v>
      </c>
    </row>
    <row r="42204">
      <c r="H42204" s="50"/>
      <c r="I42204" s="50"/>
      <c r="O42204" s="36" t="s">
        <v>48</v>
      </c>
      <c r="R42204" s="36" t="s">
        <v>48</v>
      </c>
    </row>
    <row r="42205">
      <c r="H42205" s="50"/>
      <c r="I42205" s="50"/>
      <c r="O42205" s="36" t="s">
        <v>48</v>
      </c>
      <c r="R42205" s="36" t="s">
        <v>48</v>
      </c>
    </row>
    <row r="42206">
      <c r="H42206" s="50"/>
      <c r="I42206" s="50"/>
      <c r="O42206" s="36" t="s">
        <v>48</v>
      </c>
      <c r="R42206" s="36" t="s">
        <v>48</v>
      </c>
    </row>
    <row r="42207">
      <c r="H42207" s="50"/>
      <c r="I42207" s="50"/>
      <c r="O42207" s="36" t="s">
        <v>48</v>
      </c>
      <c r="R42207" s="36" t="s">
        <v>48</v>
      </c>
    </row>
    <row r="42208">
      <c r="H42208" s="50"/>
      <c r="I42208" s="50"/>
      <c r="O42208" s="36" t="s">
        <v>48</v>
      </c>
      <c r="R42208" s="36" t="s">
        <v>48</v>
      </c>
    </row>
    <row r="42209">
      <c r="H42209" s="50"/>
      <c r="I42209" s="50"/>
      <c r="O42209" s="36" t="s">
        <v>48</v>
      </c>
      <c r="R42209" s="36" t="s">
        <v>48</v>
      </c>
    </row>
    <row r="42210">
      <c r="H42210" s="50"/>
      <c r="I42210" s="50"/>
      <c r="O42210" s="36" t="s">
        <v>48</v>
      </c>
      <c r="R42210" s="36" t="s">
        <v>48</v>
      </c>
    </row>
    <row r="42211">
      <c r="H42211" s="50"/>
      <c r="I42211" s="50"/>
      <c r="O42211" s="36" t="s">
        <v>48</v>
      </c>
      <c r="R42211" s="36" t="s">
        <v>48</v>
      </c>
    </row>
    <row r="42212">
      <c r="H42212" s="50"/>
      <c r="I42212" s="50"/>
      <c r="O42212" s="36" t="s">
        <v>48</v>
      </c>
      <c r="R42212" s="36" t="s">
        <v>48</v>
      </c>
    </row>
    <row r="42213">
      <c r="H42213" s="50"/>
      <c r="I42213" s="50"/>
      <c r="O42213" s="36" t="s">
        <v>48</v>
      </c>
      <c r="R42213" s="36" t="s">
        <v>48</v>
      </c>
    </row>
    <row r="42214">
      <c r="H42214" s="50"/>
      <c r="I42214" s="50"/>
      <c r="O42214" s="36" t="s">
        <v>48</v>
      </c>
      <c r="R42214" s="36" t="s">
        <v>48</v>
      </c>
    </row>
    <row r="42215">
      <c r="H42215" s="50"/>
      <c r="I42215" s="50"/>
      <c r="O42215" s="36" t="s">
        <v>48</v>
      </c>
      <c r="R42215" s="36" t="s">
        <v>48</v>
      </c>
    </row>
    <row r="42216">
      <c r="H42216" s="50"/>
      <c r="I42216" s="50"/>
      <c r="O42216" s="36" t="s">
        <v>48</v>
      </c>
      <c r="R42216" s="36" t="s">
        <v>48</v>
      </c>
    </row>
    <row r="42217">
      <c r="H42217" s="50"/>
      <c r="I42217" s="50"/>
      <c r="O42217" s="36" t="s">
        <v>48</v>
      </c>
      <c r="R42217" s="36" t="s">
        <v>48</v>
      </c>
    </row>
    <row r="42218">
      <c r="H42218" s="50"/>
      <c r="I42218" s="50"/>
      <c r="O42218" s="36" t="s">
        <v>48</v>
      </c>
      <c r="R42218" s="36" t="s">
        <v>48</v>
      </c>
    </row>
    <row r="42219">
      <c r="H42219" s="50"/>
      <c r="I42219" s="50"/>
      <c r="O42219" s="36" t="s">
        <v>48</v>
      </c>
      <c r="R42219" s="36" t="s">
        <v>48</v>
      </c>
    </row>
    <row r="42220">
      <c r="H42220" s="50"/>
      <c r="I42220" s="50"/>
      <c r="O42220" s="36" t="s">
        <v>48</v>
      </c>
      <c r="R42220" s="36" t="s">
        <v>48</v>
      </c>
    </row>
    <row r="42221">
      <c r="H42221" s="50"/>
      <c r="I42221" s="50"/>
      <c r="O42221" s="36" t="s">
        <v>48</v>
      </c>
      <c r="R42221" s="36" t="s">
        <v>48</v>
      </c>
    </row>
    <row r="42222">
      <c r="H42222" s="50"/>
      <c r="I42222" s="50"/>
      <c r="O42222" s="36" t="s">
        <v>48</v>
      </c>
      <c r="R42222" s="36" t="s">
        <v>48</v>
      </c>
    </row>
    <row r="42223">
      <c r="H42223" s="50"/>
      <c r="I42223" s="50"/>
      <c r="O42223" s="36" t="s">
        <v>48</v>
      </c>
      <c r="R42223" s="36" t="s">
        <v>48</v>
      </c>
    </row>
    <row r="42224">
      <c r="H42224" s="50"/>
      <c r="I42224" s="50"/>
      <c r="O42224" s="36" t="s">
        <v>48</v>
      </c>
      <c r="R42224" s="36" t="s">
        <v>48</v>
      </c>
    </row>
    <row r="42225">
      <c r="H42225" s="50"/>
      <c r="I42225" s="50"/>
      <c r="O42225" s="36" t="s">
        <v>48</v>
      </c>
      <c r="R42225" s="36" t="s">
        <v>48</v>
      </c>
    </row>
    <row r="42226">
      <c r="H42226" s="50"/>
      <c r="I42226" s="50"/>
      <c r="O42226" s="36" t="s">
        <v>48</v>
      </c>
      <c r="R42226" s="36" t="s">
        <v>48</v>
      </c>
    </row>
    <row r="42227">
      <c r="H42227" s="50"/>
      <c r="I42227" s="50"/>
      <c r="O42227" s="36" t="s">
        <v>48</v>
      </c>
      <c r="R42227" s="36" t="s">
        <v>48</v>
      </c>
    </row>
    <row r="42228">
      <c r="H42228" s="50"/>
      <c r="I42228" s="50"/>
      <c r="O42228" s="36" t="s">
        <v>48</v>
      </c>
      <c r="R42228" s="36" t="s">
        <v>48</v>
      </c>
    </row>
    <row r="42229">
      <c r="H42229" s="50"/>
      <c r="I42229" s="50"/>
      <c r="O42229" s="36" t="s">
        <v>48</v>
      </c>
      <c r="R42229" s="36" t="s">
        <v>48</v>
      </c>
    </row>
    <row r="42230">
      <c r="H42230" s="50"/>
      <c r="I42230" s="50"/>
      <c r="O42230" s="36" t="s">
        <v>48</v>
      </c>
      <c r="R42230" s="36" t="s">
        <v>48</v>
      </c>
    </row>
    <row r="42231">
      <c r="H42231" s="50"/>
      <c r="I42231" s="50"/>
      <c r="O42231" s="36" t="s">
        <v>48</v>
      </c>
      <c r="R42231" s="36" t="s">
        <v>48</v>
      </c>
    </row>
    <row r="42232">
      <c r="H42232" s="50"/>
      <c r="I42232" s="50"/>
      <c r="O42232" s="36" t="s">
        <v>48</v>
      </c>
      <c r="R42232" s="36" t="s">
        <v>48</v>
      </c>
    </row>
    <row r="42233">
      <c r="H42233" s="50"/>
      <c r="I42233" s="50"/>
      <c r="O42233" s="36" t="s">
        <v>48</v>
      </c>
      <c r="R42233" s="36" t="s">
        <v>48</v>
      </c>
    </row>
    <row r="42234">
      <c r="H42234" s="50"/>
      <c r="I42234" s="50"/>
      <c r="O42234" s="36" t="s">
        <v>48</v>
      </c>
      <c r="R42234" s="36" t="s">
        <v>48</v>
      </c>
    </row>
    <row r="42235">
      <c r="H42235" s="50"/>
      <c r="I42235" s="50"/>
      <c r="O42235" s="36" t="s">
        <v>48</v>
      </c>
      <c r="R42235" s="36" t="s">
        <v>48</v>
      </c>
    </row>
    <row r="42236">
      <c r="H42236" s="50"/>
      <c r="I42236" s="50"/>
      <c r="O42236" s="36" t="s">
        <v>48</v>
      </c>
      <c r="R42236" s="36" t="s">
        <v>48</v>
      </c>
    </row>
    <row r="42237">
      <c r="H42237" s="50"/>
      <c r="I42237" s="50"/>
      <c r="O42237" s="36" t="s">
        <v>48</v>
      </c>
      <c r="R42237" s="36" t="s">
        <v>48</v>
      </c>
    </row>
    <row r="42238">
      <c r="H42238" s="50"/>
      <c r="I42238" s="50"/>
      <c r="O42238" s="36" t="s">
        <v>48</v>
      </c>
      <c r="R42238" s="36" t="s">
        <v>48</v>
      </c>
    </row>
    <row r="42239">
      <c r="H42239" s="50"/>
      <c r="I42239" s="50"/>
      <c r="O42239" s="36" t="s">
        <v>48</v>
      </c>
      <c r="R42239" s="36" t="s">
        <v>48</v>
      </c>
    </row>
    <row r="42240">
      <c r="H42240" s="50"/>
      <c r="I42240" s="50"/>
      <c r="O42240" s="36" t="s">
        <v>48</v>
      </c>
      <c r="R42240" s="36" t="s">
        <v>48</v>
      </c>
    </row>
    <row r="42241">
      <c r="H42241" s="50"/>
      <c r="I42241" s="50"/>
      <c r="O42241" s="36" t="s">
        <v>48</v>
      </c>
      <c r="R42241" s="36" t="s">
        <v>48</v>
      </c>
    </row>
    <row r="42242">
      <c r="H42242" s="50"/>
      <c r="I42242" s="50"/>
      <c r="O42242" s="36" t="s">
        <v>48</v>
      </c>
      <c r="R42242" s="36" t="s">
        <v>48</v>
      </c>
    </row>
    <row r="42243">
      <c r="H42243" s="50"/>
      <c r="I42243" s="50"/>
      <c r="O42243" s="36" t="s">
        <v>48</v>
      </c>
      <c r="R42243" s="36" t="s">
        <v>48</v>
      </c>
    </row>
    <row r="42244">
      <c r="H42244" s="50"/>
      <c r="I42244" s="50"/>
      <c r="O42244" s="36" t="s">
        <v>48</v>
      </c>
      <c r="R42244" s="36" t="s">
        <v>48</v>
      </c>
    </row>
    <row r="42245">
      <c r="H42245" s="50"/>
      <c r="I42245" s="50"/>
      <c r="O42245" s="36" t="s">
        <v>48</v>
      </c>
      <c r="R42245" s="36" t="s">
        <v>48</v>
      </c>
    </row>
    <row r="42246">
      <c r="H42246" s="50"/>
      <c r="I42246" s="50"/>
      <c r="O42246" s="36" t="s">
        <v>48</v>
      </c>
      <c r="R42246" s="36" t="s">
        <v>48</v>
      </c>
    </row>
    <row r="42247">
      <c r="H42247" s="50"/>
      <c r="I42247" s="50"/>
      <c r="O42247" s="36" t="s">
        <v>48</v>
      </c>
      <c r="R42247" s="36" t="s">
        <v>48</v>
      </c>
    </row>
    <row r="42248">
      <c r="H42248" s="50"/>
      <c r="I42248" s="50"/>
      <c r="O42248" s="36" t="s">
        <v>48</v>
      </c>
      <c r="R42248" s="36" t="s">
        <v>48</v>
      </c>
    </row>
    <row r="42249">
      <c r="H42249" s="50"/>
      <c r="I42249" s="50"/>
      <c r="O42249" s="36" t="s">
        <v>48</v>
      </c>
      <c r="R42249" s="36" t="s">
        <v>48</v>
      </c>
    </row>
    <row r="42250">
      <c r="H42250" s="50"/>
      <c r="I42250" s="50"/>
      <c r="O42250" s="36" t="s">
        <v>48</v>
      </c>
      <c r="R42250" s="36" t="s">
        <v>48</v>
      </c>
    </row>
    <row r="42251">
      <c r="H42251" s="50"/>
      <c r="I42251" s="50"/>
      <c r="O42251" s="36" t="s">
        <v>48</v>
      </c>
      <c r="R42251" s="36" t="s">
        <v>48</v>
      </c>
    </row>
    <row r="42252">
      <c r="H42252" s="50"/>
      <c r="I42252" s="50"/>
      <c r="O42252" s="36" t="s">
        <v>48</v>
      </c>
      <c r="R42252" s="36" t="s">
        <v>48</v>
      </c>
    </row>
    <row r="42253">
      <c r="H42253" s="50"/>
      <c r="I42253" s="50"/>
      <c r="O42253" s="36" t="s">
        <v>48</v>
      </c>
      <c r="R42253" s="36" t="s">
        <v>48</v>
      </c>
    </row>
    <row r="42254">
      <c r="H42254" s="50"/>
      <c r="I42254" s="50"/>
      <c r="O42254" s="36" t="s">
        <v>48</v>
      </c>
      <c r="R42254" s="36" t="s">
        <v>48</v>
      </c>
    </row>
    <row r="42255">
      <c r="H42255" s="50"/>
      <c r="I42255" s="50"/>
      <c r="O42255" s="36" t="s">
        <v>48</v>
      </c>
      <c r="R42255" s="36" t="s">
        <v>48</v>
      </c>
    </row>
    <row r="42256">
      <c r="H42256" s="50"/>
      <c r="I42256" s="50"/>
      <c r="O42256" s="36" t="s">
        <v>48</v>
      </c>
      <c r="R42256" s="36" t="s">
        <v>48</v>
      </c>
    </row>
    <row r="42257">
      <c r="H42257" s="50"/>
      <c r="I42257" s="50"/>
      <c r="O42257" s="36" t="s">
        <v>48</v>
      </c>
      <c r="R42257" s="36" t="s">
        <v>48</v>
      </c>
    </row>
    <row r="42258">
      <c r="H42258" s="50"/>
      <c r="I42258" s="50"/>
      <c r="O42258" s="36" t="s">
        <v>48</v>
      </c>
      <c r="R42258" s="36" t="s">
        <v>48</v>
      </c>
    </row>
    <row r="42259">
      <c r="H42259" s="50"/>
      <c r="I42259" s="50"/>
      <c r="O42259" s="36" t="s">
        <v>48</v>
      </c>
      <c r="R42259" s="36" t="s">
        <v>48</v>
      </c>
    </row>
    <row r="42260">
      <c r="H42260" s="50"/>
      <c r="I42260" s="50"/>
      <c r="O42260" s="36" t="s">
        <v>48</v>
      </c>
      <c r="R42260" s="36" t="s">
        <v>48</v>
      </c>
    </row>
    <row r="42261">
      <c r="H42261" s="50"/>
      <c r="I42261" s="50"/>
      <c r="O42261" s="36" t="s">
        <v>48</v>
      </c>
      <c r="R42261" s="36" t="s">
        <v>48</v>
      </c>
    </row>
    <row r="42262">
      <c r="H42262" s="50"/>
      <c r="I42262" s="50"/>
      <c r="O42262" s="36" t="s">
        <v>48</v>
      </c>
      <c r="R42262" s="36" t="s">
        <v>48</v>
      </c>
    </row>
    <row r="42263">
      <c r="H42263" s="50"/>
      <c r="I42263" s="50"/>
      <c r="O42263" s="36" t="s">
        <v>48</v>
      </c>
      <c r="R42263" s="36" t="s">
        <v>48</v>
      </c>
    </row>
    <row r="42264">
      <c r="H42264" s="50"/>
      <c r="I42264" s="50"/>
      <c r="O42264" s="36" t="s">
        <v>48</v>
      </c>
      <c r="R42264" s="36" t="s">
        <v>48</v>
      </c>
    </row>
    <row r="42265">
      <c r="H42265" s="50"/>
      <c r="I42265" s="50"/>
      <c r="O42265" s="36" t="s">
        <v>48</v>
      </c>
      <c r="R42265" s="36" t="s">
        <v>48</v>
      </c>
    </row>
    <row r="42266">
      <c r="H42266" s="50"/>
      <c r="I42266" s="50"/>
      <c r="O42266" s="36" t="s">
        <v>48</v>
      </c>
      <c r="R42266" s="36" t="s">
        <v>48</v>
      </c>
    </row>
    <row r="42267">
      <c r="H42267" s="50"/>
      <c r="I42267" s="50"/>
      <c r="O42267" s="36" t="s">
        <v>48</v>
      </c>
      <c r="R42267" s="36" t="s">
        <v>48</v>
      </c>
    </row>
    <row r="42268">
      <c r="H42268" s="50"/>
      <c r="I42268" s="50"/>
      <c r="O42268" s="36" t="s">
        <v>48</v>
      </c>
      <c r="R42268" s="36" t="s">
        <v>48</v>
      </c>
    </row>
    <row r="42269">
      <c r="H42269" s="50"/>
      <c r="I42269" s="50"/>
      <c r="O42269" s="36" t="s">
        <v>48</v>
      </c>
      <c r="R42269" s="36" t="s">
        <v>48</v>
      </c>
    </row>
    <row r="42270">
      <c r="H42270" s="50"/>
      <c r="I42270" s="50"/>
      <c r="O42270" s="36" t="s">
        <v>48</v>
      </c>
      <c r="R42270" s="36" t="s">
        <v>48</v>
      </c>
    </row>
    <row r="42271">
      <c r="H42271" s="50"/>
      <c r="I42271" s="50"/>
      <c r="O42271" s="36" t="s">
        <v>48</v>
      </c>
      <c r="R42271" s="36" t="s">
        <v>48</v>
      </c>
    </row>
    <row r="42272">
      <c r="H42272" s="50"/>
      <c r="I42272" s="50"/>
      <c r="O42272" s="36" t="s">
        <v>48</v>
      </c>
      <c r="R42272" s="36" t="s">
        <v>48</v>
      </c>
    </row>
    <row r="42273">
      <c r="H42273" s="50"/>
      <c r="I42273" s="50"/>
      <c r="O42273" s="36" t="s">
        <v>48</v>
      </c>
      <c r="R42273" s="36" t="s">
        <v>48</v>
      </c>
    </row>
    <row r="42274">
      <c r="H42274" s="50"/>
      <c r="I42274" s="50"/>
      <c r="O42274" s="36" t="s">
        <v>48</v>
      </c>
      <c r="R42274" s="36" t="s">
        <v>48</v>
      </c>
    </row>
    <row r="42275">
      <c r="H42275" s="50"/>
      <c r="I42275" s="50"/>
      <c r="O42275" s="36" t="s">
        <v>48</v>
      </c>
      <c r="R42275" s="36" t="s">
        <v>48</v>
      </c>
    </row>
    <row r="42276">
      <c r="H42276" s="50"/>
      <c r="I42276" s="50"/>
      <c r="O42276" s="36" t="s">
        <v>48</v>
      </c>
      <c r="R42276" s="36" t="s">
        <v>48</v>
      </c>
    </row>
    <row r="42277">
      <c r="H42277" s="50"/>
      <c r="I42277" s="50"/>
      <c r="O42277" s="36" t="s">
        <v>48</v>
      </c>
      <c r="R42277" s="36" t="s">
        <v>48</v>
      </c>
    </row>
    <row r="42278">
      <c r="H42278" s="50"/>
      <c r="I42278" s="50"/>
      <c r="O42278" s="36" t="s">
        <v>48</v>
      </c>
      <c r="R42278" s="36" t="s">
        <v>48</v>
      </c>
    </row>
    <row r="42279">
      <c r="H42279" s="50"/>
      <c r="I42279" s="50"/>
      <c r="O42279" s="36" t="s">
        <v>48</v>
      </c>
      <c r="R42279" s="36" t="s">
        <v>48</v>
      </c>
    </row>
    <row r="42280">
      <c r="H42280" s="50"/>
      <c r="I42280" s="50"/>
      <c r="O42280" s="36" t="s">
        <v>48</v>
      </c>
      <c r="R42280" s="36" t="s">
        <v>48</v>
      </c>
    </row>
    <row r="42281">
      <c r="H42281" s="50"/>
      <c r="I42281" s="50"/>
      <c r="O42281" s="36" t="s">
        <v>48</v>
      </c>
      <c r="R42281" s="36" t="s">
        <v>48</v>
      </c>
    </row>
    <row r="42282">
      <c r="H42282" s="50"/>
      <c r="I42282" s="50"/>
      <c r="O42282" s="36" t="s">
        <v>48</v>
      </c>
      <c r="R42282" s="36" t="s">
        <v>48</v>
      </c>
    </row>
    <row r="42283">
      <c r="H42283" s="50"/>
      <c r="I42283" s="50"/>
      <c r="O42283" s="36" t="s">
        <v>48</v>
      </c>
      <c r="R42283" s="36" t="s">
        <v>48</v>
      </c>
    </row>
    <row r="42284">
      <c r="H42284" s="50"/>
      <c r="I42284" s="50"/>
      <c r="O42284" s="36" t="s">
        <v>48</v>
      </c>
      <c r="R42284" s="36" t="s">
        <v>48</v>
      </c>
    </row>
    <row r="42285">
      <c r="H42285" s="50"/>
      <c r="I42285" s="50"/>
      <c r="O42285" s="36" t="s">
        <v>48</v>
      </c>
      <c r="R42285" s="36" t="s">
        <v>48</v>
      </c>
    </row>
    <row r="42286">
      <c r="H42286" s="50"/>
      <c r="I42286" s="50"/>
      <c r="O42286" s="36" t="s">
        <v>48</v>
      </c>
      <c r="R42286" s="36" t="s">
        <v>48</v>
      </c>
    </row>
    <row r="42287">
      <c r="H42287" s="50"/>
      <c r="I42287" s="50"/>
      <c r="O42287" s="36" t="s">
        <v>48</v>
      </c>
      <c r="R42287" s="36" t="s">
        <v>48</v>
      </c>
    </row>
    <row r="42288">
      <c r="H42288" s="50"/>
      <c r="I42288" s="50"/>
      <c r="O42288" s="36" t="s">
        <v>48</v>
      </c>
      <c r="R42288" s="36" t="s">
        <v>48</v>
      </c>
    </row>
    <row r="42289">
      <c r="H42289" s="50"/>
      <c r="I42289" s="50"/>
      <c r="O42289" s="36" t="s">
        <v>48</v>
      </c>
      <c r="R42289" s="36" t="s">
        <v>48</v>
      </c>
    </row>
    <row r="42290">
      <c r="H42290" s="50"/>
      <c r="I42290" s="50"/>
      <c r="O42290" s="36" t="s">
        <v>48</v>
      </c>
      <c r="R42290" s="36" t="s">
        <v>48</v>
      </c>
    </row>
    <row r="42291">
      <c r="H42291" s="50"/>
      <c r="I42291" s="50"/>
      <c r="O42291" s="36" t="s">
        <v>48</v>
      </c>
      <c r="R42291" s="36" t="s">
        <v>48</v>
      </c>
    </row>
    <row r="42292">
      <c r="H42292" s="50"/>
      <c r="I42292" s="50"/>
      <c r="O42292" s="36" t="s">
        <v>48</v>
      </c>
      <c r="R42292" s="36" t="s">
        <v>48</v>
      </c>
    </row>
    <row r="42293">
      <c r="H42293" s="50"/>
      <c r="I42293" s="50"/>
      <c r="O42293" s="36" t="s">
        <v>48</v>
      </c>
      <c r="R42293" s="36" t="s">
        <v>48</v>
      </c>
    </row>
    <row r="42294">
      <c r="H42294" s="50"/>
      <c r="I42294" s="50"/>
      <c r="O42294" s="36" t="s">
        <v>48</v>
      </c>
      <c r="R42294" s="36" t="s">
        <v>48</v>
      </c>
    </row>
    <row r="42295">
      <c r="H42295" s="50"/>
      <c r="I42295" s="50"/>
      <c r="O42295" s="36" t="s">
        <v>48</v>
      </c>
      <c r="R42295" s="36" t="s">
        <v>48</v>
      </c>
    </row>
    <row r="42296">
      <c r="H42296" s="50"/>
      <c r="I42296" s="50"/>
      <c r="O42296" s="36" t="s">
        <v>48</v>
      </c>
      <c r="R42296" s="36" t="s">
        <v>48</v>
      </c>
    </row>
    <row r="42297">
      <c r="H42297" s="50"/>
      <c r="I42297" s="50"/>
      <c r="O42297" s="36" t="s">
        <v>48</v>
      </c>
      <c r="R42297" s="36" t="s">
        <v>48</v>
      </c>
    </row>
    <row r="42298">
      <c r="H42298" s="50"/>
      <c r="I42298" s="50"/>
      <c r="O42298" s="36" t="s">
        <v>48</v>
      </c>
      <c r="R42298" s="36" t="s">
        <v>48</v>
      </c>
    </row>
    <row r="42299">
      <c r="H42299" s="50"/>
      <c r="I42299" s="50"/>
      <c r="O42299" s="36" t="s">
        <v>48</v>
      </c>
      <c r="R42299" s="36" t="s">
        <v>48</v>
      </c>
    </row>
    <row r="42300">
      <c r="H42300" s="50"/>
      <c r="I42300" s="50"/>
      <c r="O42300" s="36" t="s">
        <v>48</v>
      </c>
      <c r="R42300" s="36" t="s">
        <v>48</v>
      </c>
    </row>
    <row r="42301">
      <c r="H42301" s="50"/>
      <c r="I42301" s="50"/>
      <c r="O42301" s="36" t="s">
        <v>48</v>
      </c>
      <c r="R42301" s="36" t="s">
        <v>48</v>
      </c>
    </row>
    <row r="42302">
      <c r="H42302" s="50"/>
      <c r="I42302" s="50"/>
      <c r="O42302" s="36" t="s">
        <v>48</v>
      </c>
      <c r="R42302" s="36" t="s">
        <v>48</v>
      </c>
    </row>
    <row r="42303">
      <c r="H42303" s="50"/>
      <c r="I42303" s="50"/>
      <c r="O42303" s="36" t="s">
        <v>48</v>
      </c>
      <c r="R42303" s="36" t="s">
        <v>48</v>
      </c>
    </row>
    <row r="42304">
      <c r="H42304" s="50"/>
      <c r="I42304" s="50"/>
      <c r="O42304" s="36" t="s">
        <v>48</v>
      </c>
      <c r="R42304" s="36" t="s">
        <v>48</v>
      </c>
    </row>
    <row r="42305">
      <c r="H42305" s="50"/>
      <c r="I42305" s="50"/>
      <c r="O42305" s="36" t="s">
        <v>48</v>
      </c>
      <c r="R42305" s="36" t="s">
        <v>48</v>
      </c>
    </row>
    <row r="42306">
      <c r="H42306" s="50"/>
      <c r="I42306" s="50"/>
      <c r="O42306" s="36" t="s">
        <v>48</v>
      </c>
      <c r="R42306" s="36" t="s">
        <v>48</v>
      </c>
    </row>
    <row r="42307">
      <c r="H42307" s="50"/>
      <c r="I42307" s="50"/>
      <c r="O42307" s="36" t="s">
        <v>48</v>
      </c>
      <c r="R42307" s="36" t="s">
        <v>48</v>
      </c>
    </row>
    <row r="42308">
      <c r="H42308" s="50"/>
      <c r="I42308" s="50"/>
      <c r="O42308" s="36" t="s">
        <v>48</v>
      </c>
      <c r="R42308" s="36" t="s">
        <v>48</v>
      </c>
    </row>
    <row r="42309">
      <c r="H42309" s="50"/>
      <c r="I42309" s="50"/>
      <c r="O42309" s="36" t="s">
        <v>48</v>
      </c>
      <c r="R42309" s="36" t="s">
        <v>48</v>
      </c>
    </row>
    <row r="42310">
      <c r="H42310" s="50"/>
      <c r="I42310" s="50"/>
      <c r="O42310" s="36" t="s">
        <v>48</v>
      </c>
      <c r="R42310" s="36" t="s">
        <v>48</v>
      </c>
    </row>
    <row r="42311">
      <c r="H42311" s="50"/>
      <c r="I42311" s="50"/>
      <c r="O42311" s="36" t="s">
        <v>48</v>
      </c>
      <c r="R42311" s="36" t="s">
        <v>48</v>
      </c>
    </row>
    <row r="42312">
      <c r="H42312" s="50"/>
      <c r="I42312" s="50"/>
      <c r="O42312" s="36" t="s">
        <v>48</v>
      </c>
      <c r="R42312" s="36" t="s">
        <v>48</v>
      </c>
    </row>
    <row r="42313">
      <c r="H42313" s="50"/>
      <c r="I42313" s="50"/>
      <c r="O42313" s="36" t="s">
        <v>48</v>
      </c>
      <c r="R42313" s="36" t="s">
        <v>48</v>
      </c>
    </row>
    <row r="42314">
      <c r="H42314" s="50"/>
      <c r="I42314" s="50"/>
      <c r="O42314" s="36" t="s">
        <v>48</v>
      </c>
      <c r="R42314" s="36" t="s">
        <v>48</v>
      </c>
    </row>
    <row r="42315">
      <c r="H42315" s="50"/>
      <c r="I42315" s="50"/>
      <c r="O42315" s="36" t="s">
        <v>48</v>
      </c>
      <c r="R42315" s="36" t="s">
        <v>48</v>
      </c>
    </row>
    <row r="42316">
      <c r="H42316" s="50"/>
      <c r="I42316" s="50"/>
      <c r="O42316" s="36" t="s">
        <v>48</v>
      </c>
      <c r="R42316" s="36" t="s">
        <v>48</v>
      </c>
    </row>
    <row r="42317">
      <c r="H42317" s="50"/>
      <c r="I42317" s="50"/>
      <c r="O42317" s="36" t="s">
        <v>48</v>
      </c>
      <c r="R42317" s="36" t="s">
        <v>48</v>
      </c>
    </row>
    <row r="42318">
      <c r="H42318" s="50"/>
      <c r="I42318" s="50"/>
      <c r="O42318" s="36" t="s">
        <v>48</v>
      </c>
      <c r="R42318" s="36" t="s">
        <v>48</v>
      </c>
    </row>
    <row r="42319">
      <c r="H42319" s="50"/>
      <c r="I42319" s="50"/>
      <c r="O42319" s="36" t="s">
        <v>48</v>
      </c>
      <c r="R42319" s="36" t="s">
        <v>48</v>
      </c>
    </row>
    <row r="42320">
      <c r="H42320" s="50"/>
      <c r="I42320" s="50"/>
      <c r="O42320" s="36" t="s">
        <v>48</v>
      </c>
      <c r="R42320" s="36" t="s">
        <v>48</v>
      </c>
    </row>
    <row r="42321">
      <c r="H42321" s="50"/>
      <c r="I42321" s="50"/>
      <c r="O42321" s="36" t="s">
        <v>48</v>
      </c>
      <c r="R42321" s="36" t="s">
        <v>48</v>
      </c>
    </row>
    <row r="42322">
      <c r="H42322" s="50"/>
      <c r="I42322" s="50"/>
      <c r="O42322" s="36" t="s">
        <v>48</v>
      </c>
      <c r="R42322" s="36" t="s">
        <v>48</v>
      </c>
    </row>
    <row r="42323">
      <c r="H42323" s="50"/>
      <c r="I42323" s="50"/>
      <c r="O42323" s="36" t="s">
        <v>48</v>
      </c>
      <c r="R42323" s="36" t="s">
        <v>48</v>
      </c>
    </row>
    <row r="42324">
      <c r="H42324" s="50"/>
      <c r="I42324" s="50"/>
      <c r="O42324" s="36" t="s">
        <v>48</v>
      </c>
      <c r="R42324" s="36" t="s">
        <v>48</v>
      </c>
    </row>
    <row r="42325">
      <c r="H42325" s="50"/>
      <c r="I42325" s="50"/>
      <c r="O42325" s="36" t="s">
        <v>48</v>
      </c>
      <c r="R42325" s="36" t="s">
        <v>48</v>
      </c>
    </row>
    <row r="42326">
      <c r="H42326" s="50"/>
      <c r="I42326" s="50"/>
      <c r="O42326" s="36" t="s">
        <v>48</v>
      </c>
      <c r="R42326" s="36" t="s">
        <v>48</v>
      </c>
    </row>
    <row r="42327">
      <c r="H42327" s="50"/>
      <c r="I42327" s="50"/>
      <c r="O42327" s="36" t="s">
        <v>48</v>
      </c>
      <c r="R42327" s="36" t="s">
        <v>48</v>
      </c>
    </row>
    <row r="42328">
      <c r="H42328" s="50"/>
      <c r="I42328" s="50"/>
      <c r="O42328" s="36" t="s">
        <v>48</v>
      </c>
      <c r="R42328" s="36" t="s">
        <v>48</v>
      </c>
    </row>
    <row r="42329">
      <c r="H42329" s="50"/>
      <c r="I42329" s="50"/>
      <c r="O42329" s="36" t="s">
        <v>48</v>
      </c>
      <c r="R42329" s="36" t="s">
        <v>48</v>
      </c>
    </row>
    <row r="42330">
      <c r="H42330" s="50"/>
      <c r="I42330" s="50"/>
      <c r="O42330" s="36" t="s">
        <v>48</v>
      </c>
      <c r="R42330" s="36" t="s">
        <v>48</v>
      </c>
    </row>
    <row r="42331">
      <c r="H42331" s="50"/>
      <c r="I42331" s="50"/>
      <c r="O42331" s="36" t="s">
        <v>48</v>
      </c>
      <c r="R42331" s="36" t="s">
        <v>48</v>
      </c>
    </row>
    <row r="42332">
      <c r="H42332" s="50"/>
      <c r="I42332" s="50"/>
      <c r="O42332" s="36" t="s">
        <v>48</v>
      </c>
      <c r="R42332" s="36" t="s">
        <v>48</v>
      </c>
    </row>
    <row r="42333">
      <c r="H42333" s="50"/>
      <c r="I42333" s="50"/>
      <c r="O42333" s="36" t="s">
        <v>48</v>
      </c>
      <c r="R42333" s="36" t="s">
        <v>48</v>
      </c>
    </row>
    <row r="42334">
      <c r="H42334" s="50"/>
      <c r="I42334" s="50"/>
      <c r="O42334" s="36" t="s">
        <v>48</v>
      </c>
      <c r="R42334" s="36" t="s">
        <v>48</v>
      </c>
    </row>
    <row r="42335">
      <c r="H42335" s="50"/>
      <c r="I42335" s="50"/>
      <c r="O42335" s="36" t="s">
        <v>48</v>
      </c>
      <c r="R42335" s="36" t="s">
        <v>48</v>
      </c>
    </row>
    <row r="42336">
      <c r="H42336" s="50"/>
      <c r="I42336" s="50"/>
      <c r="O42336" s="36" t="s">
        <v>48</v>
      </c>
      <c r="R42336" s="36" t="s">
        <v>48</v>
      </c>
    </row>
    <row r="42337">
      <c r="H42337" s="50"/>
      <c r="I42337" s="50"/>
      <c r="O42337" s="36" t="s">
        <v>48</v>
      </c>
      <c r="R42337" s="36" t="s">
        <v>48</v>
      </c>
    </row>
    <row r="42338">
      <c r="H42338" s="50"/>
      <c r="I42338" s="50"/>
      <c r="O42338" s="36" t="s">
        <v>48</v>
      </c>
      <c r="R42338" s="36" t="s">
        <v>48</v>
      </c>
    </row>
    <row r="42339">
      <c r="H42339" s="50"/>
      <c r="I42339" s="50"/>
      <c r="O42339" s="36" t="s">
        <v>48</v>
      </c>
      <c r="R42339" s="36" t="s">
        <v>48</v>
      </c>
    </row>
    <row r="42340">
      <c r="H42340" s="50"/>
      <c r="I42340" s="50"/>
      <c r="O42340" s="36" t="s">
        <v>48</v>
      </c>
      <c r="R42340" s="36" t="s">
        <v>48</v>
      </c>
    </row>
    <row r="42341">
      <c r="H42341" s="50"/>
      <c r="I42341" s="50"/>
      <c r="O42341" s="36" t="s">
        <v>48</v>
      </c>
      <c r="R42341" s="36" t="s">
        <v>48</v>
      </c>
    </row>
    <row r="42342">
      <c r="H42342" s="50"/>
      <c r="I42342" s="50"/>
      <c r="O42342" s="36" t="s">
        <v>48</v>
      </c>
      <c r="R42342" s="36" t="s">
        <v>48</v>
      </c>
    </row>
    <row r="42343">
      <c r="H42343" s="50"/>
      <c r="I42343" s="50"/>
      <c r="O42343" s="36" t="s">
        <v>48</v>
      </c>
      <c r="R42343" s="36" t="s">
        <v>48</v>
      </c>
    </row>
    <row r="42344">
      <c r="H42344" s="50"/>
      <c r="I42344" s="50"/>
      <c r="O42344" s="36" t="s">
        <v>48</v>
      </c>
      <c r="R42344" s="36" t="s">
        <v>48</v>
      </c>
    </row>
    <row r="42345">
      <c r="H42345" s="50"/>
      <c r="I42345" s="50"/>
      <c r="O42345" s="36" t="s">
        <v>48</v>
      </c>
      <c r="R42345" s="36" t="s">
        <v>48</v>
      </c>
    </row>
    <row r="42346">
      <c r="H42346" s="50"/>
      <c r="I42346" s="50"/>
      <c r="O42346" s="36" t="s">
        <v>48</v>
      </c>
      <c r="R42346" s="36" t="s">
        <v>48</v>
      </c>
    </row>
    <row r="42347">
      <c r="H42347" s="50"/>
      <c r="I42347" s="50"/>
      <c r="O42347" s="36" t="s">
        <v>48</v>
      </c>
      <c r="R42347" s="36" t="s">
        <v>48</v>
      </c>
    </row>
    <row r="42348">
      <c r="H42348" s="50"/>
      <c r="I42348" s="50"/>
      <c r="O42348" s="36" t="s">
        <v>48</v>
      </c>
      <c r="R42348" s="36" t="s">
        <v>48</v>
      </c>
    </row>
    <row r="42349">
      <c r="H42349" s="50"/>
      <c r="I42349" s="50"/>
      <c r="O42349" s="36" t="s">
        <v>48</v>
      </c>
      <c r="R42349" s="36" t="s">
        <v>48</v>
      </c>
    </row>
    <row r="42350">
      <c r="H42350" s="50"/>
      <c r="I42350" s="50"/>
      <c r="O42350" s="36" t="s">
        <v>48</v>
      </c>
      <c r="R42350" s="36" t="s">
        <v>48</v>
      </c>
    </row>
    <row r="42351">
      <c r="H42351" s="50"/>
      <c r="I42351" s="50"/>
      <c r="O42351" s="36" t="s">
        <v>48</v>
      </c>
      <c r="R42351" s="36" t="s">
        <v>48</v>
      </c>
    </row>
    <row r="42352">
      <c r="H42352" s="50"/>
      <c r="I42352" s="50"/>
      <c r="O42352" s="36" t="s">
        <v>48</v>
      </c>
      <c r="R42352" s="36" t="s">
        <v>48</v>
      </c>
    </row>
    <row r="42353">
      <c r="H42353" s="50"/>
      <c r="I42353" s="50"/>
      <c r="O42353" s="36" t="s">
        <v>48</v>
      </c>
      <c r="R42353" s="36" t="s">
        <v>48</v>
      </c>
    </row>
    <row r="42354">
      <c r="H42354" s="50"/>
      <c r="I42354" s="50"/>
      <c r="O42354" s="36" t="s">
        <v>48</v>
      </c>
      <c r="R42354" s="36" t="s">
        <v>48</v>
      </c>
    </row>
    <row r="42355">
      <c r="H42355" s="50"/>
      <c r="I42355" s="50"/>
      <c r="O42355" s="36" t="s">
        <v>48</v>
      </c>
      <c r="R42355" s="36" t="s">
        <v>48</v>
      </c>
    </row>
    <row r="42356">
      <c r="H42356" s="50"/>
      <c r="I42356" s="50"/>
      <c r="O42356" s="36" t="s">
        <v>48</v>
      </c>
      <c r="R42356" s="36" t="s">
        <v>48</v>
      </c>
    </row>
    <row r="42357">
      <c r="H42357" s="50"/>
      <c r="I42357" s="50"/>
      <c r="O42357" s="36" t="s">
        <v>48</v>
      </c>
      <c r="R42357" s="36" t="s">
        <v>48</v>
      </c>
    </row>
    <row r="42358">
      <c r="H42358" s="50"/>
      <c r="I42358" s="50"/>
      <c r="O42358" s="36" t="s">
        <v>48</v>
      </c>
      <c r="R42358" s="36" t="s">
        <v>48</v>
      </c>
    </row>
    <row r="42359">
      <c r="H42359" s="50"/>
      <c r="I42359" s="50"/>
      <c r="O42359" s="36" t="s">
        <v>48</v>
      </c>
      <c r="R42359" s="36" t="s">
        <v>48</v>
      </c>
    </row>
    <row r="42360">
      <c r="H42360" s="50"/>
      <c r="I42360" s="50"/>
      <c r="O42360" s="36" t="s">
        <v>48</v>
      </c>
      <c r="R42360" s="36" t="s">
        <v>48</v>
      </c>
    </row>
    <row r="42361">
      <c r="H42361" s="50"/>
      <c r="I42361" s="50"/>
      <c r="O42361" s="36" t="s">
        <v>48</v>
      </c>
      <c r="R42361" s="36" t="s">
        <v>48</v>
      </c>
    </row>
    <row r="42362">
      <c r="H42362" s="50"/>
      <c r="I42362" s="50"/>
      <c r="O42362" s="36" t="s">
        <v>48</v>
      </c>
      <c r="R42362" s="36" t="s">
        <v>48</v>
      </c>
    </row>
    <row r="42363">
      <c r="H42363" s="50"/>
      <c r="I42363" s="50"/>
      <c r="O42363" s="36" t="s">
        <v>48</v>
      </c>
      <c r="R42363" s="36" t="s">
        <v>48</v>
      </c>
    </row>
    <row r="42364">
      <c r="H42364" s="50"/>
      <c r="I42364" s="50"/>
      <c r="O42364" s="36" t="s">
        <v>48</v>
      </c>
      <c r="R42364" s="36" t="s">
        <v>48</v>
      </c>
    </row>
    <row r="42365">
      <c r="H42365" s="50"/>
      <c r="I42365" s="50"/>
      <c r="O42365" s="36" t="s">
        <v>48</v>
      </c>
      <c r="R42365" s="36" t="s">
        <v>48</v>
      </c>
    </row>
    <row r="42366">
      <c r="H42366" s="50"/>
      <c r="I42366" s="50"/>
      <c r="O42366" s="36" t="s">
        <v>48</v>
      </c>
      <c r="R42366" s="36" t="s">
        <v>48</v>
      </c>
    </row>
    <row r="42367">
      <c r="H42367" s="50"/>
      <c r="I42367" s="50"/>
      <c r="O42367" s="36" t="s">
        <v>48</v>
      </c>
      <c r="R42367" s="36" t="s">
        <v>48</v>
      </c>
    </row>
    <row r="42368">
      <c r="H42368" s="50"/>
      <c r="I42368" s="50"/>
      <c r="O42368" s="36" t="s">
        <v>48</v>
      </c>
      <c r="R42368" s="36" t="s">
        <v>48</v>
      </c>
    </row>
    <row r="42369">
      <c r="H42369" s="50"/>
      <c r="I42369" s="50"/>
      <c r="O42369" s="36" t="s">
        <v>48</v>
      </c>
      <c r="R42369" s="36" t="s">
        <v>48</v>
      </c>
    </row>
    <row r="42370">
      <c r="H42370" s="50"/>
      <c r="I42370" s="50"/>
      <c r="O42370" s="36" t="s">
        <v>48</v>
      </c>
      <c r="R42370" s="36" t="s">
        <v>48</v>
      </c>
    </row>
    <row r="42371">
      <c r="H42371" s="50"/>
      <c r="I42371" s="50"/>
      <c r="O42371" s="36" t="s">
        <v>48</v>
      </c>
      <c r="R42371" s="36" t="s">
        <v>48</v>
      </c>
    </row>
    <row r="42372">
      <c r="H42372" s="50"/>
      <c r="I42372" s="50"/>
      <c r="O42372" s="36" t="s">
        <v>48</v>
      </c>
      <c r="R42372" s="36" t="s">
        <v>48</v>
      </c>
    </row>
    <row r="42373">
      <c r="H42373" s="50"/>
      <c r="I42373" s="50"/>
      <c r="O42373" s="36" t="s">
        <v>48</v>
      </c>
      <c r="R42373" s="36" t="s">
        <v>48</v>
      </c>
    </row>
    <row r="42374">
      <c r="H42374" s="50"/>
      <c r="I42374" s="50"/>
      <c r="O42374" s="36" t="s">
        <v>48</v>
      </c>
      <c r="R42374" s="36" t="s">
        <v>48</v>
      </c>
    </row>
    <row r="42375">
      <c r="H42375" s="50"/>
      <c r="I42375" s="50"/>
      <c r="O42375" s="36" t="s">
        <v>48</v>
      </c>
      <c r="R42375" s="36" t="s">
        <v>48</v>
      </c>
    </row>
    <row r="42376">
      <c r="H42376" s="50"/>
      <c r="I42376" s="50"/>
      <c r="O42376" s="36" t="s">
        <v>48</v>
      </c>
      <c r="R42376" s="36" t="s">
        <v>48</v>
      </c>
    </row>
    <row r="42377">
      <c r="H42377" s="50"/>
      <c r="I42377" s="50"/>
      <c r="O42377" s="36" t="s">
        <v>48</v>
      </c>
      <c r="R42377" s="36" t="s">
        <v>48</v>
      </c>
    </row>
    <row r="42378">
      <c r="H42378" s="50"/>
      <c r="I42378" s="50"/>
      <c r="O42378" s="36" t="s">
        <v>48</v>
      </c>
      <c r="R42378" s="36" t="s">
        <v>48</v>
      </c>
    </row>
    <row r="42379">
      <c r="H42379" s="50"/>
      <c r="I42379" s="50"/>
      <c r="O42379" s="36" t="s">
        <v>48</v>
      </c>
      <c r="R42379" s="36" t="s">
        <v>48</v>
      </c>
    </row>
    <row r="42380">
      <c r="H42380" s="50"/>
      <c r="I42380" s="50"/>
      <c r="O42380" s="36" t="s">
        <v>48</v>
      </c>
      <c r="R42380" s="36" t="s">
        <v>48</v>
      </c>
    </row>
    <row r="42381">
      <c r="H42381" s="50"/>
      <c r="I42381" s="50"/>
      <c r="O42381" s="36" t="s">
        <v>48</v>
      </c>
      <c r="R42381" s="36" t="s">
        <v>48</v>
      </c>
    </row>
    <row r="42382">
      <c r="H42382" s="50"/>
      <c r="I42382" s="50"/>
      <c r="O42382" s="36" t="s">
        <v>48</v>
      </c>
      <c r="R42382" s="36" t="s">
        <v>48</v>
      </c>
    </row>
    <row r="42383">
      <c r="H42383" s="50"/>
      <c r="I42383" s="50"/>
      <c r="O42383" s="36" t="s">
        <v>48</v>
      </c>
      <c r="R42383" s="36" t="s">
        <v>48</v>
      </c>
    </row>
    <row r="42384">
      <c r="H42384" s="50"/>
      <c r="I42384" s="50"/>
      <c r="O42384" s="36" t="s">
        <v>48</v>
      </c>
      <c r="R42384" s="36" t="s">
        <v>48</v>
      </c>
    </row>
    <row r="42385">
      <c r="H42385" s="50"/>
      <c r="I42385" s="50"/>
      <c r="O42385" s="36" t="s">
        <v>48</v>
      </c>
      <c r="R42385" s="36" t="s">
        <v>48</v>
      </c>
    </row>
    <row r="42386">
      <c r="H42386" s="50"/>
      <c r="I42386" s="50"/>
      <c r="O42386" s="36" t="s">
        <v>48</v>
      </c>
      <c r="R42386" s="36" t="s">
        <v>48</v>
      </c>
    </row>
    <row r="42387">
      <c r="H42387" s="50"/>
      <c r="I42387" s="50"/>
      <c r="O42387" s="36" t="s">
        <v>48</v>
      </c>
      <c r="R42387" s="36" t="s">
        <v>48</v>
      </c>
    </row>
    <row r="42388">
      <c r="H42388" s="50"/>
      <c r="I42388" s="50"/>
      <c r="O42388" s="36" t="s">
        <v>48</v>
      </c>
      <c r="R42388" s="36" t="s">
        <v>48</v>
      </c>
    </row>
    <row r="42389">
      <c r="H42389" s="50"/>
      <c r="I42389" s="50"/>
      <c r="O42389" s="36" t="s">
        <v>48</v>
      </c>
      <c r="R42389" s="36" t="s">
        <v>48</v>
      </c>
    </row>
    <row r="42390">
      <c r="H42390" s="50"/>
      <c r="I42390" s="50"/>
      <c r="O42390" s="36" t="s">
        <v>48</v>
      </c>
      <c r="R42390" s="36" t="s">
        <v>48</v>
      </c>
    </row>
    <row r="42391">
      <c r="H42391" s="50"/>
      <c r="I42391" s="50"/>
      <c r="O42391" s="36" t="s">
        <v>48</v>
      </c>
      <c r="R42391" s="36" t="s">
        <v>48</v>
      </c>
    </row>
    <row r="42392">
      <c r="H42392" s="50"/>
      <c r="I42392" s="50"/>
      <c r="O42392" s="36" t="s">
        <v>48</v>
      </c>
      <c r="R42392" s="36" t="s">
        <v>48</v>
      </c>
    </row>
    <row r="42393">
      <c r="H42393" s="50"/>
      <c r="I42393" s="50"/>
      <c r="O42393" s="36" t="s">
        <v>48</v>
      </c>
      <c r="R42393" s="36" t="s">
        <v>48</v>
      </c>
    </row>
    <row r="42394">
      <c r="H42394" s="50"/>
      <c r="I42394" s="50"/>
      <c r="O42394" s="36" t="s">
        <v>48</v>
      </c>
      <c r="R42394" s="36" t="s">
        <v>48</v>
      </c>
    </row>
    <row r="42395">
      <c r="H42395" s="50"/>
      <c r="I42395" s="50"/>
      <c r="O42395" s="36" t="s">
        <v>48</v>
      </c>
      <c r="R42395" s="36" t="s">
        <v>48</v>
      </c>
    </row>
    <row r="42396">
      <c r="H42396" s="50"/>
      <c r="I42396" s="50"/>
      <c r="O42396" s="36" t="s">
        <v>48</v>
      </c>
      <c r="R42396" s="36" t="s">
        <v>48</v>
      </c>
    </row>
    <row r="42397">
      <c r="H42397" s="50"/>
      <c r="I42397" s="50"/>
      <c r="O42397" s="36" t="s">
        <v>48</v>
      </c>
      <c r="R42397" s="36" t="s">
        <v>48</v>
      </c>
    </row>
    <row r="42398">
      <c r="H42398" s="50"/>
      <c r="I42398" s="50"/>
      <c r="O42398" s="36" t="s">
        <v>48</v>
      </c>
      <c r="R42398" s="36" t="s">
        <v>48</v>
      </c>
    </row>
    <row r="42399">
      <c r="H42399" s="50"/>
      <c r="I42399" s="50"/>
      <c r="O42399" s="36" t="s">
        <v>48</v>
      </c>
      <c r="R42399" s="36" t="s">
        <v>48</v>
      </c>
    </row>
    <row r="42400">
      <c r="H42400" s="50"/>
      <c r="I42400" s="50"/>
      <c r="O42400" s="36" t="s">
        <v>48</v>
      </c>
      <c r="R42400" s="36" t="s">
        <v>48</v>
      </c>
    </row>
    <row r="42401">
      <c r="H42401" s="50"/>
      <c r="I42401" s="50"/>
      <c r="O42401" s="36" t="s">
        <v>48</v>
      </c>
      <c r="R42401" s="36" t="s">
        <v>48</v>
      </c>
    </row>
    <row r="42402">
      <c r="H42402" s="50"/>
      <c r="I42402" s="50"/>
      <c r="O42402" s="36" t="s">
        <v>48</v>
      </c>
      <c r="R42402" s="36" t="s">
        <v>48</v>
      </c>
    </row>
    <row r="42403">
      <c r="H42403" s="50"/>
      <c r="I42403" s="50"/>
      <c r="O42403" s="36" t="s">
        <v>48</v>
      </c>
      <c r="R42403" s="36" t="s">
        <v>48</v>
      </c>
    </row>
    <row r="42404">
      <c r="H42404" s="50"/>
      <c r="I42404" s="50"/>
      <c r="O42404" s="36" t="s">
        <v>48</v>
      </c>
      <c r="R42404" s="36" t="s">
        <v>48</v>
      </c>
    </row>
    <row r="42405">
      <c r="H42405" s="50"/>
      <c r="I42405" s="50"/>
      <c r="O42405" s="36" t="s">
        <v>48</v>
      </c>
      <c r="R42405" s="36" t="s">
        <v>48</v>
      </c>
    </row>
    <row r="42406">
      <c r="H42406" s="50"/>
      <c r="I42406" s="50"/>
      <c r="O42406" s="36" t="s">
        <v>48</v>
      </c>
      <c r="R42406" s="36" t="s">
        <v>48</v>
      </c>
    </row>
    <row r="42407">
      <c r="H42407" s="50"/>
      <c r="I42407" s="50"/>
      <c r="O42407" s="36" t="s">
        <v>48</v>
      </c>
      <c r="R42407" s="36" t="s">
        <v>48</v>
      </c>
    </row>
    <row r="42408">
      <c r="H42408" s="50"/>
      <c r="I42408" s="50"/>
      <c r="O42408" s="36" t="s">
        <v>48</v>
      </c>
      <c r="R42408" s="36" t="s">
        <v>48</v>
      </c>
    </row>
    <row r="42409">
      <c r="H42409" s="50"/>
      <c r="I42409" s="50"/>
      <c r="O42409" s="36" t="s">
        <v>48</v>
      </c>
      <c r="R42409" s="36" t="s">
        <v>48</v>
      </c>
    </row>
    <row r="42410">
      <c r="H42410" s="50"/>
      <c r="I42410" s="50"/>
      <c r="O42410" s="36" t="s">
        <v>48</v>
      </c>
      <c r="R42410" s="36" t="s">
        <v>48</v>
      </c>
    </row>
    <row r="42411">
      <c r="H42411" s="50"/>
      <c r="I42411" s="50"/>
      <c r="O42411" s="36" t="s">
        <v>48</v>
      </c>
      <c r="R42411" s="36" t="s">
        <v>48</v>
      </c>
    </row>
    <row r="42412">
      <c r="H42412" s="50"/>
      <c r="I42412" s="50"/>
      <c r="O42412" s="36" t="s">
        <v>48</v>
      </c>
      <c r="R42412" s="36" t="s">
        <v>48</v>
      </c>
    </row>
    <row r="42413">
      <c r="H42413" s="50"/>
      <c r="I42413" s="50"/>
      <c r="O42413" s="36" t="s">
        <v>48</v>
      </c>
      <c r="R42413" s="36" t="s">
        <v>48</v>
      </c>
    </row>
    <row r="42414">
      <c r="H42414" s="50"/>
      <c r="I42414" s="50"/>
      <c r="O42414" s="36" t="s">
        <v>48</v>
      </c>
      <c r="R42414" s="36" t="s">
        <v>48</v>
      </c>
    </row>
    <row r="42415">
      <c r="H42415" s="50"/>
      <c r="I42415" s="50"/>
      <c r="O42415" s="36" t="s">
        <v>48</v>
      </c>
      <c r="R42415" s="36" t="s">
        <v>48</v>
      </c>
    </row>
    <row r="42416">
      <c r="H42416" s="50"/>
      <c r="I42416" s="50"/>
      <c r="O42416" s="36" t="s">
        <v>48</v>
      </c>
      <c r="R42416" s="36" t="s">
        <v>48</v>
      </c>
    </row>
    <row r="42417">
      <c r="H42417" s="50"/>
      <c r="I42417" s="50"/>
      <c r="O42417" s="36" t="s">
        <v>48</v>
      </c>
      <c r="R42417" s="36" t="s">
        <v>48</v>
      </c>
    </row>
    <row r="42418">
      <c r="H42418" s="50"/>
      <c r="I42418" s="50"/>
      <c r="O42418" s="36" t="s">
        <v>48</v>
      </c>
      <c r="R42418" s="36" t="s">
        <v>48</v>
      </c>
    </row>
    <row r="42419">
      <c r="H42419" s="50"/>
      <c r="I42419" s="50"/>
      <c r="O42419" s="36" t="s">
        <v>48</v>
      </c>
      <c r="R42419" s="36" t="s">
        <v>48</v>
      </c>
    </row>
    <row r="42420">
      <c r="H42420" s="50"/>
      <c r="I42420" s="50"/>
      <c r="O42420" s="36" t="s">
        <v>48</v>
      </c>
      <c r="R42420" s="36" t="s">
        <v>48</v>
      </c>
    </row>
    <row r="42421">
      <c r="H42421" s="50"/>
      <c r="I42421" s="50"/>
      <c r="O42421" s="36" t="s">
        <v>48</v>
      </c>
      <c r="R42421" s="36" t="s">
        <v>48</v>
      </c>
    </row>
    <row r="42422">
      <c r="H42422" s="50"/>
      <c r="I42422" s="50"/>
      <c r="O42422" s="36" t="s">
        <v>48</v>
      </c>
      <c r="R42422" s="36" t="s">
        <v>48</v>
      </c>
    </row>
    <row r="42423">
      <c r="H42423" s="50"/>
      <c r="I42423" s="50"/>
      <c r="O42423" s="36" t="s">
        <v>48</v>
      </c>
      <c r="R42423" s="36" t="s">
        <v>48</v>
      </c>
    </row>
    <row r="42424">
      <c r="H42424" s="50"/>
      <c r="I42424" s="50"/>
      <c r="O42424" s="36" t="s">
        <v>48</v>
      </c>
      <c r="R42424" s="36" t="s">
        <v>48</v>
      </c>
    </row>
    <row r="42425">
      <c r="H42425" s="50"/>
      <c r="I42425" s="50"/>
      <c r="O42425" s="36" t="s">
        <v>48</v>
      </c>
      <c r="R42425" s="36" t="s">
        <v>48</v>
      </c>
    </row>
    <row r="42426">
      <c r="H42426" s="50"/>
      <c r="I42426" s="50"/>
      <c r="O42426" s="36" t="s">
        <v>48</v>
      </c>
      <c r="R42426" s="36" t="s">
        <v>48</v>
      </c>
    </row>
    <row r="42427">
      <c r="H42427" s="50"/>
      <c r="I42427" s="50"/>
      <c r="O42427" s="36" t="s">
        <v>48</v>
      </c>
      <c r="R42427" s="36" t="s">
        <v>48</v>
      </c>
    </row>
    <row r="42428">
      <c r="H42428" s="50"/>
      <c r="I42428" s="50"/>
      <c r="O42428" s="36" t="s">
        <v>48</v>
      </c>
      <c r="R42428" s="36" t="s">
        <v>48</v>
      </c>
    </row>
    <row r="42429">
      <c r="H42429" s="50"/>
      <c r="I42429" s="50"/>
      <c r="O42429" s="36" t="s">
        <v>48</v>
      </c>
      <c r="R42429" s="36" t="s">
        <v>48</v>
      </c>
    </row>
    <row r="42430">
      <c r="H42430" s="50"/>
      <c r="I42430" s="50"/>
      <c r="O42430" s="36" t="s">
        <v>48</v>
      </c>
      <c r="R42430" s="36" t="s">
        <v>48</v>
      </c>
    </row>
    <row r="42431">
      <c r="H42431" s="50"/>
      <c r="I42431" s="50"/>
      <c r="O42431" s="36" t="s">
        <v>48</v>
      </c>
      <c r="R42431" s="36" t="s">
        <v>48</v>
      </c>
    </row>
    <row r="42432">
      <c r="H42432" s="50"/>
      <c r="I42432" s="50"/>
      <c r="O42432" s="36" t="s">
        <v>48</v>
      </c>
      <c r="R42432" s="36" t="s">
        <v>48</v>
      </c>
    </row>
    <row r="42433">
      <c r="H42433" s="50"/>
      <c r="I42433" s="50"/>
      <c r="O42433" s="36" t="s">
        <v>48</v>
      </c>
      <c r="R42433" s="36" t="s">
        <v>48</v>
      </c>
    </row>
    <row r="42434">
      <c r="H42434" s="50"/>
      <c r="I42434" s="50"/>
      <c r="O42434" s="36" t="s">
        <v>48</v>
      </c>
      <c r="R42434" s="36" t="s">
        <v>48</v>
      </c>
    </row>
    <row r="42435">
      <c r="H42435" s="50"/>
      <c r="I42435" s="50"/>
      <c r="O42435" s="36" t="s">
        <v>48</v>
      </c>
      <c r="R42435" s="36" t="s">
        <v>48</v>
      </c>
    </row>
    <row r="42436">
      <c r="H42436" s="50"/>
      <c r="I42436" s="50"/>
      <c r="O42436" s="36" t="s">
        <v>48</v>
      </c>
      <c r="R42436" s="36" t="s">
        <v>48</v>
      </c>
    </row>
    <row r="42437">
      <c r="H42437" s="50"/>
      <c r="I42437" s="50"/>
      <c r="O42437" s="36" t="s">
        <v>48</v>
      </c>
      <c r="R42437" s="36" t="s">
        <v>48</v>
      </c>
    </row>
    <row r="42438">
      <c r="H42438" s="50"/>
      <c r="I42438" s="50"/>
      <c r="O42438" s="36" t="s">
        <v>48</v>
      </c>
      <c r="R42438" s="36" t="s">
        <v>48</v>
      </c>
    </row>
    <row r="42439">
      <c r="H42439" s="50"/>
      <c r="I42439" s="50"/>
      <c r="O42439" s="36" t="s">
        <v>48</v>
      </c>
      <c r="R42439" s="36" t="s">
        <v>48</v>
      </c>
    </row>
    <row r="42440">
      <c r="H42440" s="50"/>
      <c r="I42440" s="50"/>
      <c r="O42440" s="36" t="s">
        <v>48</v>
      </c>
      <c r="R42440" s="36" t="s">
        <v>48</v>
      </c>
    </row>
    <row r="42441">
      <c r="H42441" s="50"/>
      <c r="I42441" s="50"/>
      <c r="O42441" s="36" t="s">
        <v>48</v>
      </c>
      <c r="R42441" s="36" t="s">
        <v>48</v>
      </c>
    </row>
    <row r="42442">
      <c r="H42442" s="50"/>
      <c r="I42442" s="50"/>
      <c r="O42442" s="36" t="s">
        <v>48</v>
      </c>
      <c r="R42442" s="36" t="s">
        <v>48</v>
      </c>
    </row>
    <row r="42443">
      <c r="H42443" s="50"/>
      <c r="I42443" s="50"/>
      <c r="O42443" s="36" t="s">
        <v>48</v>
      </c>
      <c r="R42443" s="36" t="s">
        <v>48</v>
      </c>
    </row>
    <row r="42444">
      <c r="H42444" s="50"/>
      <c r="I42444" s="50"/>
      <c r="O42444" s="36" t="s">
        <v>48</v>
      </c>
      <c r="R42444" s="36" t="s">
        <v>48</v>
      </c>
    </row>
    <row r="42445">
      <c r="H42445" s="50"/>
      <c r="I42445" s="50"/>
      <c r="O42445" s="36" t="s">
        <v>48</v>
      </c>
      <c r="R42445" s="36" t="s">
        <v>48</v>
      </c>
    </row>
    <row r="42446">
      <c r="H42446" s="50"/>
      <c r="I42446" s="50"/>
      <c r="O42446" s="36" t="s">
        <v>48</v>
      </c>
      <c r="R42446" s="36" t="s">
        <v>48</v>
      </c>
    </row>
    <row r="42447">
      <c r="H42447" s="50"/>
      <c r="I42447" s="50"/>
      <c r="O42447" s="36" t="s">
        <v>48</v>
      </c>
      <c r="R42447" s="36" t="s">
        <v>48</v>
      </c>
    </row>
    <row r="42448">
      <c r="H42448" s="50"/>
      <c r="I42448" s="50"/>
      <c r="O42448" s="36" t="s">
        <v>48</v>
      </c>
      <c r="R42448" s="36" t="s">
        <v>48</v>
      </c>
    </row>
    <row r="42449">
      <c r="H42449" s="50"/>
      <c r="I42449" s="50"/>
      <c r="O42449" s="36" t="s">
        <v>48</v>
      </c>
      <c r="R42449" s="36" t="s">
        <v>48</v>
      </c>
    </row>
    <row r="42450">
      <c r="H42450" s="50"/>
      <c r="I42450" s="50"/>
      <c r="O42450" s="36" t="s">
        <v>48</v>
      </c>
      <c r="R42450" s="36" t="s">
        <v>48</v>
      </c>
    </row>
    <row r="42451">
      <c r="H42451" s="50"/>
      <c r="I42451" s="50"/>
      <c r="O42451" s="36" t="s">
        <v>48</v>
      </c>
      <c r="R42451" s="36" t="s">
        <v>48</v>
      </c>
    </row>
    <row r="42452">
      <c r="H42452" s="50"/>
      <c r="I42452" s="50"/>
      <c r="O42452" s="36" t="s">
        <v>48</v>
      </c>
      <c r="R42452" s="36" t="s">
        <v>48</v>
      </c>
    </row>
    <row r="42453">
      <c r="H42453" s="50"/>
      <c r="I42453" s="50"/>
      <c r="O42453" s="36" t="s">
        <v>48</v>
      </c>
      <c r="R42453" s="36" t="s">
        <v>48</v>
      </c>
    </row>
    <row r="42454">
      <c r="H42454" s="50"/>
      <c r="I42454" s="50"/>
      <c r="O42454" s="36" t="s">
        <v>48</v>
      </c>
      <c r="R42454" s="36" t="s">
        <v>48</v>
      </c>
    </row>
    <row r="42455">
      <c r="H42455" s="50"/>
      <c r="I42455" s="50"/>
      <c r="O42455" s="36" t="s">
        <v>48</v>
      </c>
      <c r="R42455" s="36" t="s">
        <v>48</v>
      </c>
    </row>
    <row r="42456">
      <c r="H42456" s="50"/>
      <c r="I42456" s="50"/>
      <c r="O42456" s="36" t="s">
        <v>48</v>
      </c>
      <c r="R42456" s="36" t="s">
        <v>48</v>
      </c>
    </row>
    <row r="42457">
      <c r="H42457" s="50"/>
      <c r="I42457" s="50"/>
      <c r="O42457" s="36" t="s">
        <v>48</v>
      </c>
      <c r="R42457" s="36" t="s">
        <v>48</v>
      </c>
    </row>
    <row r="42458">
      <c r="H42458" s="50"/>
      <c r="I42458" s="50"/>
      <c r="O42458" s="36" t="s">
        <v>48</v>
      </c>
      <c r="R42458" s="36" t="s">
        <v>48</v>
      </c>
    </row>
    <row r="42459">
      <c r="H42459" s="50"/>
      <c r="I42459" s="50"/>
      <c r="O42459" s="36" t="s">
        <v>48</v>
      </c>
      <c r="R42459" s="36" t="s">
        <v>48</v>
      </c>
    </row>
    <row r="42460">
      <c r="H42460" s="50"/>
      <c r="I42460" s="50"/>
      <c r="O42460" s="36" t="s">
        <v>48</v>
      </c>
      <c r="R42460" s="36" t="s">
        <v>48</v>
      </c>
    </row>
    <row r="42461">
      <c r="H42461" s="50"/>
      <c r="I42461" s="50"/>
      <c r="O42461" s="36" t="s">
        <v>48</v>
      </c>
      <c r="R42461" s="36" t="s">
        <v>48</v>
      </c>
    </row>
    <row r="42462">
      <c r="H42462" s="50"/>
      <c r="I42462" s="50"/>
      <c r="O42462" s="36" t="s">
        <v>48</v>
      </c>
      <c r="R42462" s="36" t="s">
        <v>48</v>
      </c>
    </row>
    <row r="42463">
      <c r="H42463" s="50"/>
      <c r="I42463" s="50"/>
      <c r="O42463" s="36" t="s">
        <v>48</v>
      </c>
      <c r="R42463" s="36" t="s">
        <v>48</v>
      </c>
    </row>
    <row r="42464">
      <c r="H42464" s="50"/>
      <c r="I42464" s="50"/>
      <c r="O42464" s="36" t="s">
        <v>48</v>
      </c>
      <c r="R42464" s="36" t="s">
        <v>48</v>
      </c>
    </row>
    <row r="42465">
      <c r="H42465" s="50"/>
      <c r="I42465" s="50"/>
      <c r="O42465" s="36" t="s">
        <v>48</v>
      </c>
      <c r="R42465" s="36" t="s">
        <v>48</v>
      </c>
    </row>
    <row r="42466">
      <c r="H42466" s="50"/>
      <c r="I42466" s="50"/>
      <c r="O42466" s="36" t="s">
        <v>48</v>
      </c>
      <c r="R42466" s="36" t="s">
        <v>48</v>
      </c>
    </row>
    <row r="42467">
      <c r="H42467" s="50"/>
      <c r="I42467" s="50"/>
      <c r="O42467" s="36" t="s">
        <v>48</v>
      </c>
      <c r="R42467" s="36" t="s">
        <v>48</v>
      </c>
    </row>
    <row r="42468">
      <c r="H42468" s="50"/>
      <c r="I42468" s="50"/>
      <c r="O42468" s="36" t="s">
        <v>48</v>
      </c>
      <c r="R42468" s="36" t="s">
        <v>48</v>
      </c>
    </row>
    <row r="42469">
      <c r="H42469" s="50"/>
      <c r="I42469" s="50"/>
      <c r="O42469" s="36" t="s">
        <v>48</v>
      </c>
      <c r="R42469" s="36" t="s">
        <v>48</v>
      </c>
    </row>
    <row r="42470">
      <c r="H42470" s="50"/>
      <c r="I42470" s="50"/>
      <c r="O42470" s="36" t="s">
        <v>48</v>
      </c>
      <c r="R42470" s="36" t="s">
        <v>48</v>
      </c>
    </row>
    <row r="42471">
      <c r="H42471" s="50"/>
      <c r="I42471" s="50"/>
      <c r="O42471" s="36" t="s">
        <v>48</v>
      </c>
      <c r="R42471" s="36" t="s">
        <v>48</v>
      </c>
    </row>
    <row r="42472">
      <c r="H42472" s="50"/>
      <c r="I42472" s="50"/>
      <c r="O42472" s="36" t="s">
        <v>48</v>
      </c>
      <c r="R42472" s="36" t="s">
        <v>48</v>
      </c>
    </row>
    <row r="42473">
      <c r="H42473" s="50"/>
      <c r="I42473" s="50"/>
      <c r="O42473" s="36" t="s">
        <v>48</v>
      </c>
      <c r="R42473" s="36" t="s">
        <v>48</v>
      </c>
    </row>
    <row r="42474">
      <c r="H42474" s="50"/>
      <c r="I42474" s="50"/>
      <c r="O42474" s="36" t="s">
        <v>48</v>
      </c>
      <c r="R42474" s="36" t="s">
        <v>48</v>
      </c>
    </row>
    <row r="42475">
      <c r="H42475" s="50"/>
      <c r="I42475" s="50"/>
      <c r="O42475" s="36" t="s">
        <v>48</v>
      </c>
      <c r="R42475" s="36" t="s">
        <v>48</v>
      </c>
    </row>
    <row r="42476">
      <c r="H42476" s="50"/>
      <c r="I42476" s="50"/>
      <c r="O42476" s="36" t="s">
        <v>48</v>
      </c>
      <c r="R42476" s="36" t="s">
        <v>48</v>
      </c>
    </row>
    <row r="42477">
      <c r="H42477" s="50"/>
      <c r="I42477" s="50"/>
      <c r="O42477" s="36" t="s">
        <v>48</v>
      </c>
      <c r="R42477" s="36" t="s">
        <v>48</v>
      </c>
    </row>
    <row r="42478">
      <c r="H42478" s="50"/>
      <c r="I42478" s="50"/>
      <c r="O42478" s="36" t="s">
        <v>48</v>
      </c>
      <c r="R42478" s="36" t="s">
        <v>48</v>
      </c>
    </row>
    <row r="42479">
      <c r="H42479" s="50"/>
      <c r="I42479" s="50"/>
      <c r="O42479" s="36" t="s">
        <v>48</v>
      </c>
      <c r="R42479" s="36" t="s">
        <v>48</v>
      </c>
    </row>
    <row r="42480">
      <c r="H42480" s="50"/>
      <c r="I42480" s="50"/>
      <c r="O42480" s="36" t="s">
        <v>48</v>
      </c>
      <c r="R42480" s="36" t="s">
        <v>48</v>
      </c>
    </row>
    <row r="42481">
      <c r="H42481" s="50"/>
      <c r="I42481" s="50"/>
      <c r="O42481" s="36" t="s">
        <v>48</v>
      </c>
      <c r="R42481" s="36" t="s">
        <v>48</v>
      </c>
    </row>
    <row r="42482">
      <c r="H42482" s="50"/>
      <c r="I42482" s="50"/>
      <c r="O42482" s="36" t="s">
        <v>48</v>
      </c>
      <c r="R42482" s="36" t="s">
        <v>48</v>
      </c>
    </row>
    <row r="42483">
      <c r="H42483" s="50"/>
      <c r="I42483" s="50"/>
      <c r="O42483" s="36" t="s">
        <v>48</v>
      </c>
      <c r="R42483" s="36" t="s">
        <v>48</v>
      </c>
    </row>
    <row r="42484">
      <c r="H42484" s="50"/>
      <c r="I42484" s="50"/>
      <c r="O42484" s="36" t="s">
        <v>48</v>
      </c>
      <c r="R42484" s="36" t="s">
        <v>48</v>
      </c>
    </row>
    <row r="42485">
      <c r="H42485" s="50"/>
      <c r="I42485" s="50"/>
      <c r="O42485" s="36" t="s">
        <v>48</v>
      </c>
      <c r="R42485" s="36" t="s">
        <v>48</v>
      </c>
    </row>
    <row r="42486">
      <c r="H42486" s="50"/>
      <c r="I42486" s="50"/>
      <c r="O42486" s="36" t="s">
        <v>48</v>
      </c>
      <c r="R42486" s="36" t="s">
        <v>48</v>
      </c>
    </row>
    <row r="42487">
      <c r="H42487" s="50"/>
      <c r="I42487" s="50"/>
      <c r="O42487" s="36" t="s">
        <v>48</v>
      </c>
      <c r="R42487" s="36" t="s">
        <v>48</v>
      </c>
    </row>
    <row r="42488">
      <c r="H42488" s="50"/>
      <c r="I42488" s="50"/>
      <c r="O42488" s="36" t="s">
        <v>48</v>
      </c>
      <c r="R42488" s="36" t="s">
        <v>48</v>
      </c>
    </row>
    <row r="42489">
      <c r="H42489" s="50"/>
      <c r="I42489" s="50"/>
      <c r="O42489" s="36" t="s">
        <v>48</v>
      </c>
      <c r="R42489" s="36" t="s">
        <v>48</v>
      </c>
    </row>
    <row r="42490">
      <c r="H42490" s="50"/>
      <c r="I42490" s="50"/>
      <c r="O42490" s="36" t="s">
        <v>48</v>
      </c>
      <c r="R42490" s="36" t="s">
        <v>48</v>
      </c>
    </row>
    <row r="42491">
      <c r="H42491" s="50"/>
      <c r="I42491" s="50"/>
      <c r="O42491" s="36" t="s">
        <v>48</v>
      </c>
      <c r="R42491" s="36" t="s">
        <v>48</v>
      </c>
    </row>
    <row r="42492">
      <c r="H42492" s="50"/>
      <c r="I42492" s="50"/>
      <c r="O42492" s="36" t="s">
        <v>48</v>
      </c>
      <c r="R42492" s="36" t="s">
        <v>48</v>
      </c>
    </row>
    <row r="42493">
      <c r="H42493" s="50"/>
      <c r="I42493" s="50"/>
      <c r="O42493" s="36" t="s">
        <v>48</v>
      </c>
      <c r="R42493" s="36" t="s">
        <v>48</v>
      </c>
    </row>
    <row r="42494">
      <c r="H42494" s="50"/>
      <c r="I42494" s="50"/>
      <c r="O42494" s="36" t="s">
        <v>48</v>
      </c>
      <c r="R42494" s="36" t="s">
        <v>48</v>
      </c>
    </row>
    <row r="42495">
      <c r="H42495" s="50"/>
      <c r="I42495" s="50"/>
      <c r="O42495" s="36" t="s">
        <v>48</v>
      </c>
      <c r="R42495" s="36" t="s">
        <v>48</v>
      </c>
    </row>
    <row r="42496">
      <c r="H42496" s="50"/>
      <c r="I42496" s="50"/>
      <c r="O42496" s="36" t="s">
        <v>48</v>
      </c>
      <c r="R42496" s="36" t="s">
        <v>48</v>
      </c>
    </row>
    <row r="42497">
      <c r="H42497" s="50"/>
      <c r="I42497" s="50"/>
      <c r="O42497" s="36" t="s">
        <v>48</v>
      </c>
      <c r="R42497" s="36" t="s">
        <v>48</v>
      </c>
    </row>
    <row r="42498">
      <c r="H42498" s="50"/>
      <c r="I42498" s="50"/>
      <c r="O42498" s="36" t="s">
        <v>48</v>
      </c>
      <c r="R42498" s="36" t="s">
        <v>48</v>
      </c>
    </row>
    <row r="42499">
      <c r="H42499" s="50"/>
      <c r="I42499" s="50"/>
      <c r="O42499" s="36" t="s">
        <v>48</v>
      </c>
      <c r="R42499" s="36" t="s">
        <v>48</v>
      </c>
    </row>
    <row r="42500">
      <c r="H42500" s="50"/>
      <c r="I42500" s="50"/>
      <c r="O42500" s="36" t="s">
        <v>48</v>
      </c>
      <c r="R42500" s="36" t="s">
        <v>48</v>
      </c>
    </row>
    <row r="42501">
      <c r="H42501" s="50"/>
      <c r="I42501" s="50"/>
      <c r="O42501" s="36" t="s">
        <v>48</v>
      </c>
      <c r="R42501" s="36" t="s">
        <v>48</v>
      </c>
    </row>
    <row r="42502">
      <c r="H42502" s="50"/>
      <c r="I42502" s="50"/>
      <c r="O42502" s="36" t="s">
        <v>48</v>
      </c>
      <c r="R42502" s="36" t="s">
        <v>48</v>
      </c>
    </row>
    <row r="42503">
      <c r="H42503" s="50"/>
      <c r="I42503" s="50"/>
      <c r="O42503" s="36" t="s">
        <v>48</v>
      </c>
      <c r="R42503" s="36" t="s">
        <v>48</v>
      </c>
    </row>
    <row r="42504">
      <c r="H42504" s="50"/>
      <c r="I42504" s="50"/>
      <c r="O42504" s="36" t="s">
        <v>48</v>
      </c>
      <c r="R42504" s="36" t="s">
        <v>48</v>
      </c>
    </row>
    <row r="42505">
      <c r="H42505" s="50"/>
      <c r="I42505" s="50"/>
      <c r="O42505" s="36" t="s">
        <v>48</v>
      </c>
      <c r="R42505" s="36" t="s">
        <v>48</v>
      </c>
    </row>
    <row r="42506">
      <c r="H42506" s="50"/>
      <c r="I42506" s="50"/>
      <c r="O42506" s="36" t="s">
        <v>48</v>
      </c>
      <c r="R42506" s="36" t="s">
        <v>48</v>
      </c>
    </row>
    <row r="42507">
      <c r="H42507" s="50"/>
      <c r="I42507" s="50"/>
      <c r="O42507" s="36" t="s">
        <v>48</v>
      </c>
      <c r="R42507" s="36" t="s">
        <v>48</v>
      </c>
    </row>
    <row r="42508">
      <c r="H42508" s="50"/>
      <c r="I42508" s="50"/>
      <c r="O42508" s="36" t="s">
        <v>48</v>
      </c>
      <c r="R42508" s="36" t="s">
        <v>48</v>
      </c>
    </row>
    <row r="42509">
      <c r="H42509" s="50"/>
      <c r="I42509" s="50"/>
      <c r="O42509" s="36" t="s">
        <v>48</v>
      </c>
      <c r="R42509" s="36" t="s">
        <v>48</v>
      </c>
    </row>
    <row r="42510">
      <c r="H42510" s="50"/>
      <c r="I42510" s="50"/>
      <c r="O42510" s="36" t="s">
        <v>48</v>
      </c>
      <c r="R42510" s="36" t="s">
        <v>48</v>
      </c>
    </row>
    <row r="42511">
      <c r="H42511" s="50"/>
      <c r="I42511" s="50"/>
      <c r="O42511" s="36" t="s">
        <v>48</v>
      </c>
      <c r="R42511" s="36" t="s">
        <v>48</v>
      </c>
    </row>
    <row r="42512">
      <c r="H42512" s="50"/>
      <c r="I42512" s="50"/>
      <c r="O42512" s="36" t="s">
        <v>48</v>
      </c>
      <c r="R42512" s="36" t="s">
        <v>48</v>
      </c>
    </row>
    <row r="42513">
      <c r="H42513" s="50"/>
      <c r="I42513" s="50"/>
      <c r="O42513" s="36" t="s">
        <v>48</v>
      </c>
      <c r="R42513" s="36" t="s">
        <v>48</v>
      </c>
    </row>
    <row r="42514">
      <c r="H42514" s="50"/>
      <c r="I42514" s="50"/>
      <c r="O42514" s="36" t="s">
        <v>48</v>
      </c>
      <c r="R42514" s="36" t="s">
        <v>48</v>
      </c>
    </row>
    <row r="42515">
      <c r="H42515" s="50"/>
      <c r="I42515" s="50"/>
      <c r="O42515" s="36" t="s">
        <v>48</v>
      </c>
      <c r="R42515" s="36" t="s">
        <v>48</v>
      </c>
    </row>
    <row r="42516">
      <c r="H42516" s="50"/>
      <c r="I42516" s="50"/>
      <c r="O42516" s="36" t="s">
        <v>48</v>
      </c>
      <c r="R42516" s="36" t="s">
        <v>48</v>
      </c>
    </row>
    <row r="42517">
      <c r="H42517" s="50"/>
      <c r="I42517" s="50"/>
      <c r="O42517" s="36" t="s">
        <v>48</v>
      </c>
      <c r="R42517" s="36" t="s">
        <v>48</v>
      </c>
    </row>
    <row r="42518">
      <c r="H42518" s="50"/>
      <c r="I42518" s="50"/>
      <c r="O42518" s="36" t="s">
        <v>48</v>
      </c>
      <c r="R42518" s="36" t="s">
        <v>48</v>
      </c>
    </row>
    <row r="42519">
      <c r="H42519" s="50"/>
      <c r="I42519" s="50"/>
      <c r="O42519" s="36" t="s">
        <v>48</v>
      </c>
      <c r="R42519" s="36" t="s">
        <v>48</v>
      </c>
    </row>
    <row r="42520">
      <c r="H42520" s="50"/>
      <c r="I42520" s="50"/>
      <c r="O42520" s="36" t="s">
        <v>48</v>
      </c>
      <c r="R42520" s="36" t="s">
        <v>48</v>
      </c>
    </row>
    <row r="42521">
      <c r="H42521" s="50"/>
      <c r="I42521" s="50"/>
      <c r="O42521" s="36" t="s">
        <v>48</v>
      </c>
      <c r="R42521" s="36" t="s">
        <v>48</v>
      </c>
    </row>
    <row r="42522">
      <c r="H42522" s="50"/>
      <c r="I42522" s="50"/>
      <c r="O42522" s="36" t="s">
        <v>48</v>
      </c>
      <c r="R42522" s="36" t="s">
        <v>48</v>
      </c>
    </row>
    <row r="42523">
      <c r="H42523" s="50"/>
      <c r="I42523" s="50"/>
      <c r="O42523" s="36" t="s">
        <v>48</v>
      </c>
      <c r="R42523" s="36" t="s">
        <v>48</v>
      </c>
    </row>
    <row r="42524">
      <c r="H42524" s="50"/>
      <c r="I42524" s="50"/>
      <c r="O42524" s="36" t="s">
        <v>48</v>
      </c>
      <c r="R42524" s="36" t="s">
        <v>48</v>
      </c>
    </row>
    <row r="42525">
      <c r="H42525" s="50"/>
      <c r="I42525" s="50"/>
      <c r="O42525" s="36" t="s">
        <v>48</v>
      </c>
      <c r="R42525" s="36" t="s">
        <v>48</v>
      </c>
    </row>
    <row r="42526">
      <c r="H42526" s="50"/>
      <c r="I42526" s="50"/>
      <c r="O42526" s="36" t="s">
        <v>48</v>
      </c>
      <c r="R42526" s="36" t="s">
        <v>48</v>
      </c>
    </row>
    <row r="42527">
      <c r="H42527" s="50"/>
      <c r="I42527" s="50"/>
      <c r="O42527" s="36" t="s">
        <v>48</v>
      </c>
      <c r="R42527" s="36" t="s">
        <v>48</v>
      </c>
    </row>
    <row r="42528">
      <c r="H42528" s="50"/>
      <c r="I42528" s="50"/>
      <c r="O42528" s="36" t="s">
        <v>48</v>
      </c>
      <c r="R42528" s="36" t="s">
        <v>48</v>
      </c>
    </row>
    <row r="42529">
      <c r="H42529" s="50"/>
      <c r="I42529" s="50"/>
      <c r="O42529" s="36" t="s">
        <v>48</v>
      </c>
      <c r="R42529" s="36" t="s">
        <v>48</v>
      </c>
    </row>
    <row r="42530">
      <c r="H42530" s="50"/>
      <c r="I42530" s="50"/>
      <c r="O42530" s="36" t="s">
        <v>48</v>
      </c>
      <c r="R42530" s="36" t="s">
        <v>48</v>
      </c>
    </row>
    <row r="42531">
      <c r="H42531" s="50"/>
      <c r="I42531" s="50"/>
      <c r="O42531" s="36" t="s">
        <v>48</v>
      </c>
      <c r="R42531" s="36" t="s">
        <v>48</v>
      </c>
    </row>
    <row r="42532">
      <c r="H42532" s="50"/>
      <c r="I42532" s="50"/>
      <c r="O42532" s="36" t="s">
        <v>48</v>
      </c>
      <c r="R42532" s="36" t="s">
        <v>48</v>
      </c>
    </row>
    <row r="42533">
      <c r="H42533" s="50"/>
      <c r="I42533" s="50"/>
      <c r="O42533" s="36" t="s">
        <v>48</v>
      </c>
      <c r="R42533" s="36" t="s">
        <v>48</v>
      </c>
    </row>
    <row r="42534">
      <c r="H42534" s="50"/>
      <c r="I42534" s="50"/>
      <c r="O42534" s="36" t="s">
        <v>48</v>
      </c>
      <c r="R42534" s="36" t="s">
        <v>48</v>
      </c>
    </row>
    <row r="42535">
      <c r="H42535" s="50"/>
      <c r="I42535" s="50"/>
      <c r="O42535" s="36" t="s">
        <v>48</v>
      </c>
      <c r="R42535" s="36" t="s">
        <v>48</v>
      </c>
    </row>
    <row r="42536">
      <c r="H42536" s="50"/>
      <c r="I42536" s="50"/>
      <c r="O42536" s="36" t="s">
        <v>48</v>
      </c>
      <c r="R42536" s="36" t="s">
        <v>48</v>
      </c>
    </row>
    <row r="42537">
      <c r="H42537" s="50"/>
      <c r="I42537" s="50"/>
      <c r="O42537" s="36" t="s">
        <v>48</v>
      </c>
      <c r="R42537" s="36" t="s">
        <v>48</v>
      </c>
    </row>
    <row r="42538">
      <c r="H42538" s="50"/>
      <c r="I42538" s="50"/>
      <c r="O42538" s="36" t="s">
        <v>48</v>
      </c>
      <c r="R42538" s="36" t="s">
        <v>48</v>
      </c>
    </row>
    <row r="42539">
      <c r="H42539" s="50"/>
      <c r="I42539" s="50"/>
      <c r="O42539" s="36" t="s">
        <v>48</v>
      </c>
      <c r="R42539" s="36" t="s">
        <v>48</v>
      </c>
    </row>
    <row r="42540">
      <c r="H42540" s="50"/>
      <c r="I42540" s="50"/>
      <c r="O42540" s="36" t="s">
        <v>48</v>
      </c>
      <c r="R42540" s="36" t="s">
        <v>48</v>
      </c>
    </row>
    <row r="42541">
      <c r="H42541" s="50"/>
      <c r="I42541" s="50"/>
      <c r="O42541" s="36" t="s">
        <v>48</v>
      </c>
      <c r="R42541" s="36" t="s">
        <v>48</v>
      </c>
    </row>
    <row r="42542">
      <c r="H42542" s="50"/>
      <c r="I42542" s="50"/>
      <c r="O42542" s="36" t="s">
        <v>48</v>
      </c>
      <c r="R42542" s="36" t="s">
        <v>48</v>
      </c>
    </row>
    <row r="42543">
      <c r="H42543" s="50"/>
      <c r="I42543" s="50"/>
      <c r="O42543" s="36" t="s">
        <v>48</v>
      </c>
      <c r="R42543" s="36" t="s">
        <v>48</v>
      </c>
    </row>
    <row r="42544">
      <c r="H42544" s="50"/>
      <c r="I42544" s="50"/>
      <c r="O42544" s="36" t="s">
        <v>48</v>
      </c>
      <c r="R42544" s="36" t="s">
        <v>48</v>
      </c>
    </row>
    <row r="42545">
      <c r="H42545" s="50"/>
      <c r="I42545" s="50"/>
      <c r="O42545" s="36" t="s">
        <v>48</v>
      </c>
      <c r="R42545" s="36" t="s">
        <v>48</v>
      </c>
    </row>
    <row r="42546">
      <c r="H42546" s="50"/>
      <c r="I42546" s="50"/>
      <c r="O42546" s="36" t="s">
        <v>48</v>
      </c>
      <c r="R42546" s="36" t="s">
        <v>48</v>
      </c>
    </row>
    <row r="42547">
      <c r="H42547" s="50"/>
      <c r="I42547" s="50"/>
      <c r="O42547" s="36" t="s">
        <v>48</v>
      </c>
      <c r="R42547" s="36" t="s">
        <v>48</v>
      </c>
    </row>
    <row r="42548">
      <c r="H42548" s="50"/>
      <c r="I42548" s="50"/>
      <c r="O42548" s="36" t="s">
        <v>48</v>
      </c>
      <c r="R42548" s="36" t="s">
        <v>48</v>
      </c>
    </row>
    <row r="42549">
      <c r="H42549" s="50"/>
      <c r="I42549" s="50"/>
      <c r="O42549" s="36" t="s">
        <v>48</v>
      </c>
      <c r="R42549" s="36" t="s">
        <v>48</v>
      </c>
    </row>
    <row r="42550">
      <c r="H42550" s="50"/>
      <c r="I42550" s="50"/>
      <c r="O42550" s="36" t="s">
        <v>48</v>
      </c>
      <c r="R42550" s="36" t="s">
        <v>48</v>
      </c>
    </row>
    <row r="42551">
      <c r="H42551" s="50"/>
      <c r="I42551" s="50"/>
      <c r="O42551" s="36" t="s">
        <v>48</v>
      </c>
      <c r="R42551" s="36" t="s">
        <v>48</v>
      </c>
    </row>
    <row r="42552">
      <c r="H42552" s="50"/>
      <c r="I42552" s="50"/>
      <c r="O42552" s="36" t="s">
        <v>48</v>
      </c>
      <c r="R42552" s="36" t="s">
        <v>48</v>
      </c>
    </row>
    <row r="42553">
      <c r="H42553" s="50"/>
      <c r="I42553" s="50"/>
      <c r="O42553" s="36" t="s">
        <v>48</v>
      </c>
      <c r="R42553" s="36" t="s">
        <v>48</v>
      </c>
    </row>
    <row r="42554">
      <c r="H42554" s="50"/>
      <c r="I42554" s="50"/>
      <c r="O42554" s="36" t="s">
        <v>48</v>
      </c>
      <c r="R42554" s="36" t="s">
        <v>48</v>
      </c>
    </row>
    <row r="42555">
      <c r="H42555" s="50"/>
      <c r="I42555" s="50"/>
      <c r="O42555" s="36" t="s">
        <v>48</v>
      </c>
      <c r="R42555" s="36" t="s">
        <v>48</v>
      </c>
    </row>
    <row r="42556">
      <c r="H42556" s="50"/>
      <c r="I42556" s="50"/>
      <c r="O42556" s="36" t="s">
        <v>48</v>
      </c>
      <c r="R42556" s="36" t="s">
        <v>48</v>
      </c>
    </row>
    <row r="42557">
      <c r="H42557" s="50"/>
      <c r="I42557" s="50"/>
      <c r="O42557" s="36" t="s">
        <v>48</v>
      </c>
      <c r="R42557" s="36" t="s">
        <v>48</v>
      </c>
    </row>
    <row r="42558">
      <c r="H42558" s="50"/>
      <c r="I42558" s="50"/>
      <c r="O42558" s="36" t="s">
        <v>48</v>
      </c>
      <c r="R42558" s="36" t="s">
        <v>48</v>
      </c>
    </row>
    <row r="42559">
      <c r="H42559" s="50"/>
      <c r="I42559" s="50"/>
      <c r="O42559" s="36" t="s">
        <v>48</v>
      </c>
      <c r="R42559" s="36" t="s">
        <v>48</v>
      </c>
    </row>
    <row r="42560">
      <c r="H42560" s="50"/>
      <c r="I42560" s="50"/>
      <c r="O42560" s="36" t="s">
        <v>48</v>
      </c>
      <c r="R42560" s="36" t="s">
        <v>48</v>
      </c>
    </row>
    <row r="42561">
      <c r="H42561" s="50"/>
      <c r="I42561" s="50"/>
      <c r="O42561" s="36" t="s">
        <v>48</v>
      </c>
      <c r="R42561" s="36" t="s">
        <v>48</v>
      </c>
    </row>
    <row r="42562">
      <c r="H42562" s="50"/>
      <c r="I42562" s="50"/>
      <c r="O42562" s="36" t="s">
        <v>48</v>
      </c>
      <c r="R42562" s="36" t="s">
        <v>48</v>
      </c>
    </row>
    <row r="42563">
      <c r="H42563" s="50"/>
      <c r="I42563" s="50"/>
      <c r="O42563" s="36" t="s">
        <v>48</v>
      </c>
      <c r="R42563" s="36" t="s">
        <v>48</v>
      </c>
    </row>
    <row r="42564">
      <c r="H42564" s="50"/>
      <c r="I42564" s="50"/>
      <c r="O42564" s="36" t="s">
        <v>48</v>
      </c>
      <c r="R42564" s="36" t="s">
        <v>48</v>
      </c>
    </row>
    <row r="42565">
      <c r="H42565" s="50"/>
      <c r="I42565" s="50"/>
      <c r="O42565" s="36" t="s">
        <v>48</v>
      </c>
      <c r="R42565" s="36" t="s">
        <v>48</v>
      </c>
    </row>
    <row r="42566">
      <c r="H42566" s="50"/>
      <c r="I42566" s="50"/>
      <c r="O42566" s="36" t="s">
        <v>48</v>
      </c>
      <c r="R42566" s="36" t="s">
        <v>48</v>
      </c>
    </row>
    <row r="42567">
      <c r="H42567" s="50"/>
      <c r="I42567" s="50"/>
      <c r="O42567" s="36" t="s">
        <v>48</v>
      </c>
      <c r="R42567" s="36" t="s">
        <v>48</v>
      </c>
    </row>
    <row r="42568">
      <c r="H42568" s="50"/>
      <c r="I42568" s="50"/>
      <c r="O42568" s="36" t="s">
        <v>48</v>
      </c>
      <c r="R42568" s="36" t="s">
        <v>48</v>
      </c>
    </row>
    <row r="42569">
      <c r="H42569" s="50"/>
      <c r="I42569" s="50"/>
      <c r="O42569" s="36" t="s">
        <v>48</v>
      </c>
      <c r="R42569" s="36" t="s">
        <v>48</v>
      </c>
    </row>
    <row r="42570">
      <c r="H42570" s="50"/>
      <c r="I42570" s="50"/>
      <c r="O42570" s="36" t="s">
        <v>48</v>
      </c>
      <c r="R42570" s="36" t="s">
        <v>48</v>
      </c>
    </row>
    <row r="42571">
      <c r="H42571" s="50"/>
      <c r="I42571" s="50"/>
      <c r="O42571" s="36" t="s">
        <v>48</v>
      </c>
      <c r="R42571" s="36" t="s">
        <v>48</v>
      </c>
    </row>
    <row r="42572">
      <c r="H42572" s="50"/>
      <c r="I42572" s="50"/>
      <c r="O42572" s="36" t="s">
        <v>48</v>
      </c>
      <c r="R42572" s="36" t="s">
        <v>48</v>
      </c>
    </row>
    <row r="42573">
      <c r="H42573" s="50"/>
      <c r="I42573" s="50"/>
      <c r="O42573" s="36" t="s">
        <v>48</v>
      </c>
      <c r="R42573" s="36" t="s">
        <v>48</v>
      </c>
    </row>
    <row r="42574">
      <c r="H42574" s="50"/>
      <c r="I42574" s="50"/>
      <c r="O42574" s="36" t="s">
        <v>48</v>
      </c>
      <c r="R42574" s="36" t="s">
        <v>48</v>
      </c>
    </row>
    <row r="42575">
      <c r="H42575" s="50"/>
      <c r="I42575" s="50"/>
      <c r="O42575" s="36" t="s">
        <v>48</v>
      </c>
      <c r="R42575" s="36" t="s">
        <v>48</v>
      </c>
    </row>
    <row r="42576">
      <c r="H42576" s="50"/>
      <c r="I42576" s="50"/>
      <c r="O42576" s="36" t="s">
        <v>48</v>
      </c>
      <c r="R42576" s="36" t="s">
        <v>48</v>
      </c>
    </row>
    <row r="42577">
      <c r="H42577" s="50"/>
      <c r="I42577" s="50"/>
      <c r="O42577" s="36" t="s">
        <v>48</v>
      </c>
      <c r="R42577" s="36" t="s">
        <v>48</v>
      </c>
    </row>
    <row r="42578">
      <c r="H42578" s="50"/>
      <c r="I42578" s="50"/>
      <c r="O42578" s="36" t="s">
        <v>48</v>
      </c>
      <c r="R42578" s="36" t="s">
        <v>48</v>
      </c>
    </row>
    <row r="42579">
      <c r="H42579" s="50"/>
      <c r="I42579" s="50"/>
      <c r="O42579" s="36" t="s">
        <v>48</v>
      </c>
      <c r="R42579" s="36" t="s">
        <v>48</v>
      </c>
    </row>
    <row r="42580">
      <c r="H42580" s="50"/>
      <c r="I42580" s="50"/>
      <c r="O42580" s="36" t="s">
        <v>48</v>
      </c>
      <c r="R42580" s="36" t="s">
        <v>48</v>
      </c>
    </row>
    <row r="42581">
      <c r="H42581" s="50"/>
      <c r="I42581" s="50"/>
      <c r="O42581" s="36" t="s">
        <v>48</v>
      </c>
      <c r="R42581" s="36" t="s">
        <v>48</v>
      </c>
    </row>
    <row r="42582">
      <c r="H42582" s="50"/>
      <c r="I42582" s="50"/>
      <c r="O42582" s="36" t="s">
        <v>48</v>
      </c>
      <c r="R42582" s="36" t="s">
        <v>48</v>
      </c>
    </row>
    <row r="42583">
      <c r="H42583" s="50"/>
      <c r="I42583" s="50"/>
      <c r="O42583" s="36" t="s">
        <v>48</v>
      </c>
      <c r="R42583" s="36" t="s">
        <v>48</v>
      </c>
    </row>
    <row r="42584">
      <c r="H42584" s="50"/>
      <c r="I42584" s="50"/>
      <c r="O42584" s="36" t="s">
        <v>48</v>
      </c>
      <c r="R42584" s="36" t="s">
        <v>48</v>
      </c>
    </row>
    <row r="42585">
      <c r="H42585" s="50"/>
      <c r="I42585" s="50"/>
      <c r="O42585" s="36" t="s">
        <v>48</v>
      </c>
      <c r="R42585" s="36" t="s">
        <v>48</v>
      </c>
    </row>
    <row r="42586">
      <c r="H42586" s="50"/>
      <c r="I42586" s="50"/>
      <c r="O42586" s="36" t="s">
        <v>48</v>
      </c>
      <c r="R42586" s="36" t="s">
        <v>48</v>
      </c>
    </row>
    <row r="42587">
      <c r="H42587" s="50"/>
      <c r="I42587" s="50"/>
      <c r="O42587" s="36" t="s">
        <v>48</v>
      </c>
      <c r="R42587" s="36" t="s">
        <v>48</v>
      </c>
    </row>
    <row r="42588">
      <c r="H42588" s="50"/>
      <c r="I42588" s="50"/>
      <c r="O42588" s="36" t="s">
        <v>48</v>
      </c>
      <c r="R42588" s="36" t="s">
        <v>48</v>
      </c>
    </row>
    <row r="42589">
      <c r="H42589" s="50"/>
      <c r="I42589" s="50"/>
      <c r="O42589" s="36" t="s">
        <v>48</v>
      </c>
      <c r="R42589" s="36" t="s">
        <v>48</v>
      </c>
    </row>
    <row r="42590">
      <c r="H42590" s="50"/>
      <c r="I42590" s="50"/>
      <c r="O42590" s="36" t="s">
        <v>48</v>
      </c>
      <c r="R42590" s="36" t="s">
        <v>48</v>
      </c>
    </row>
    <row r="42591">
      <c r="H42591" s="50"/>
      <c r="I42591" s="50"/>
      <c r="O42591" s="36" t="s">
        <v>48</v>
      </c>
      <c r="R42591" s="36" t="s">
        <v>48</v>
      </c>
    </row>
    <row r="42592">
      <c r="H42592" s="50"/>
      <c r="I42592" s="50"/>
      <c r="O42592" s="36" t="s">
        <v>48</v>
      </c>
      <c r="R42592" s="36" t="s">
        <v>48</v>
      </c>
    </row>
    <row r="42593">
      <c r="H42593" s="50"/>
      <c r="I42593" s="50"/>
      <c r="O42593" s="36" t="s">
        <v>48</v>
      </c>
      <c r="R42593" s="36" t="s">
        <v>48</v>
      </c>
    </row>
    <row r="42594">
      <c r="H42594" s="50"/>
      <c r="I42594" s="50"/>
      <c r="O42594" s="36" t="s">
        <v>48</v>
      </c>
      <c r="R42594" s="36" t="s">
        <v>48</v>
      </c>
    </row>
    <row r="42595">
      <c r="H42595" s="50"/>
      <c r="I42595" s="50"/>
      <c r="O42595" s="36" t="s">
        <v>48</v>
      </c>
      <c r="R42595" s="36" t="s">
        <v>48</v>
      </c>
    </row>
    <row r="42596">
      <c r="H42596" s="50"/>
      <c r="I42596" s="50"/>
      <c r="O42596" s="36" t="s">
        <v>48</v>
      </c>
      <c r="R42596" s="36" t="s">
        <v>48</v>
      </c>
    </row>
    <row r="42597">
      <c r="H42597" s="50"/>
      <c r="I42597" s="50"/>
      <c r="O42597" s="36" t="s">
        <v>48</v>
      </c>
      <c r="R42597" s="36" t="s">
        <v>48</v>
      </c>
    </row>
    <row r="42598">
      <c r="H42598" s="50"/>
      <c r="I42598" s="50"/>
      <c r="O42598" s="36" t="s">
        <v>48</v>
      </c>
      <c r="R42598" s="36" t="s">
        <v>48</v>
      </c>
    </row>
    <row r="42599">
      <c r="H42599" s="50"/>
      <c r="I42599" s="50"/>
      <c r="O42599" s="36" t="s">
        <v>48</v>
      </c>
      <c r="R42599" s="36" t="s">
        <v>48</v>
      </c>
    </row>
    <row r="42600">
      <c r="H42600" s="50"/>
      <c r="I42600" s="50"/>
      <c r="O42600" s="36" t="s">
        <v>48</v>
      </c>
      <c r="R42600" s="36" t="s">
        <v>48</v>
      </c>
    </row>
    <row r="42601">
      <c r="H42601" s="50"/>
      <c r="I42601" s="50"/>
      <c r="O42601" s="36" t="s">
        <v>48</v>
      </c>
      <c r="R42601" s="36" t="s">
        <v>48</v>
      </c>
    </row>
    <row r="42602">
      <c r="H42602" s="50"/>
      <c r="I42602" s="50"/>
      <c r="O42602" s="36" t="s">
        <v>48</v>
      </c>
      <c r="R42602" s="36" t="s">
        <v>48</v>
      </c>
    </row>
    <row r="42603">
      <c r="H42603" s="50"/>
      <c r="I42603" s="50"/>
      <c r="O42603" s="36" t="s">
        <v>48</v>
      </c>
      <c r="R42603" s="36" t="s">
        <v>48</v>
      </c>
    </row>
    <row r="42604">
      <c r="H42604" s="50"/>
      <c r="I42604" s="50"/>
      <c r="O42604" s="36" t="s">
        <v>48</v>
      </c>
      <c r="R42604" s="36" t="s">
        <v>48</v>
      </c>
    </row>
    <row r="42605">
      <c r="H42605" s="50"/>
      <c r="I42605" s="50"/>
      <c r="O42605" s="36" t="s">
        <v>48</v>
      </c>
      <c r="R42605" s="36" t="s">
        <v>48</v>
      </c>
    </row>
    <row r="42606">
      <c r="H42606" s="50"/>
      <c r="I42606" s="50"/>
      <c r="O42606" s="36" t="s">
        <v>48</v>
      </c>
      <c r="R42606" s="36" t="s">
        <v>48</v>
      </c>
    </row>
    <row r="42607">
      <c r="H42607" s="50"/>
      <c r="I42607" s="50"/>
      <c r="O42607" s="36" t="s">
        <v>48</v>
      </c>
      <c r="R42607" s="36" t="s">
        <v>48</v>
      </c>
    </row>
    <row r="42608">
      <c r="H42608" s="50"/>
      <c r="I42608" s="50"/>
      <c r="O42608" s="36" t="s">
        <v>48</v>
      </c>
      <c r="R42608" s="36" t="s">
        <v>48</v>
      </c>
    </row>
    <row r="42609">
      <c r="H42609" s="50"/>
      <c r="I42609" s="50"/>
      <c r="O42609" s="36" t="s">
        <v>48</v>
      </c>
      <c r="R42609" s="36" t="s">
        <v>48</v>
      </c>
    </row>
    <row r="42610">
      <c r="H42610" s="50"/>
      <c r="I42610" s="50"/>
      <c r="O42610" s="36" t="s">
        <v>48</v>
      </c>
      <c r="R42610" s="36" t="s">
        <v>48</v>
      </c>
    </row>
    <row r="42611">
      <c r="H42611" s="50"/>
      <c r="I42611" s="50"/>
      <c r="O42611" s="36" t="s">
        <v>48</v>
      </c>
      <c r="R42611" s="36" t="s">
        <v>48</v>
      </c>
    </row>
    <row r="42612">
      <c r="H42612" s="50"/>
      <c r="I42612" s="50"/>
      <c r="O42612" s="36" t="s">
        <v>48</v>
      </c>
      <c r="R42612" s="36" t="s">
        <v>48</v>
      </c>
    </row>
    <row r="42613">
      <c r="H42613" s="50"/>
      <c r="I42613" s="50"/>
      <c r="O42613" s="36" t="s">
        <v>48</v>
      </c>
      <c r="R42613" s="36" t="s">
        <v>48</v>
      </c>
    </row>
    <row r="42614">
      <c r="H42614" s="50"/>
      <c r="I42614" s="50"/>
      <c r="O42614" s="36" t="s">
        <v>48</v>
      </c>
      <c r="R42614" s="36" t="s">
        <v>48</v>
      </c>
    </row>
    <row r="42615">
      <c r="H42615" s="50"/>
      <c r="I42615" s="50"/>
      <c r="O42615" s="36" t="s">
        <v>48</v>
      </c>
      <c r="R42615" s="36" t="s">
        <v>48</v>
      </c>
    </row>
    <row r="42616">
      <c r="H42616" s="50"/>
      <c r="I42616" s="50"/>
      <c r="O42616" s="36" t="s">
        <v>48</v>
      </c>
      <c r="R42616" s="36" t="s">
        <v>48</v>
      </c>
    </row>
    <row r="42617">
      <c r="H42617" s="50"/>
      <c r="I42617" s="50"/>
      <c r="O42617" s="36" t="s">
        <v>48</v>
      </c>
      <c r="R42617" s="36" t="s">
        <v>48</v>
      </c>
    </row>
    <row r="42618">
      <c r="H42618" s="50"/>
      <c r="I42618" s="50"/>
      <c r="O42618" s="36" t="s">
        <v>48</v>
      </c>
      <c r="R42618" s="36" t="s">
        <v>48</v>
      </c>
    </row>
    <row r="42619">
      <c r="H42619" s="50"/>
      <c r="I42619" s="50"/>
      <c r="O42619" s="36" t="s">
        <v>48</v>
      </c>
      <c r="R42619" s="36" t="s">
        <v>48</v>
      </c>
    </row>
    <row r="42620">
      <c r="H42620" s="50"/>
      <c r="I42620" s="50"/>
      <c r="O42620" s="36" t="s">
        <v>48</v>
      </c>
      <c r="R42620" s="36" t="s">
        <v>48</v>
      </c>
    </row>
    <row r="42621">
      <c r="H42621" s="50"/>
      <c r="I42621" s="50"/>
      <c r="O42621" s="36" t="s">
        <v>48</v>
      </c>
      <c r="R42621" s="36" t="s">
        <v>48</v>
      </c>
    </row>
    <row r="42622">
      <c r="H42622" s="50"/>
      <c r="I42622" s="50"/>
      <c r="O42622" s="36" t="s">
        <v>48</v>
      </c>
      <c r="R42622" s="36" t="s">
        <v>48</v>
      </c>
    </row>
    <row r="42623">
      <c r="H42623" s="50"/>
      <c r="I42623" s="50"/>
      <c r="O42623" s="36" t="s">
        <v>48</v>
      </c>
      <c r="R42623" s="36" t="s">
        <v>48</v>
      </c>
    </row>
    <row r="42624">
      <c r="H42624" s="50"/>
      <c r="I42624" s="50"/>
      <c r="O42624" s="36" t="s">
        <v>48</v>
      </c>
      <c r="R42624" s="36" t="s">
        <v>48</v>
      </c>
    </row>
    <row r="42625">
      <c r="H42625" s="50"/>
      <c r="I42625" s="50"/>
      <c r="O42625" s="36" t="s">
        <v>48</v>
      </c>
      <c r="R42625" s="36" t="s">
        <v>48</v>
      </c>
    </row>
    <row r="42626">
      <c r="H42626" s="50"/>
      <c r="I42626" s="50"/>
      <c r="O42626" s="36" t="s">
        <v>48</v>
      </c>
      <c r="R42626" s="36" t="s">
        <v>48</v>
      </c>
    </row>
    <row r="42627">
      <c r="H42627" s="50"/>
      <c r="I42627" s="50"/>
      <c r="O42627" s="36" t="s">
        <v>48</v>
      </c>
      <c r="R42627" s="36" t="s">
        <v>48</v>
      </c>
    </row>
    <row r="42628">
      <c r="H42628" s="50"/>
      <c r="I42628" s="50"/>
      <c r="O42628" s="36" t="s">
        <v>48</v>
      </c>
      <c r="R42628" s="36" t="s">
        <v>48</v>
      </c>
    </row>
    <row r="42629">
      <c r="H42629" s="50"/>
      <c r="I42629" s="50"/>
      <c r="O42629" s="36" t="s">
        <v>48</v>
      </c>
      <c r="R42629" s="36" t="s">
        <v>48</v>
      </c>
    </row>
    <row r="42630">
      <c r="H42630" s="50"/>
      <c r="I42630" s="50"/>
      <c r="O42630" s="36" t="s">
        <v>48</v>
      </c>
      <c r="R42630" s="36" t="s">
        <v>48</v>
      </c>
    </row>
    <row r="42631">
      <c r="H42631" s="50"/>
      <c r="I42631" s="50"/>
      <c r="O42631" s="36" t="s">
        <v>48</v>
      </c>
      <c r="R42631" s="36" t="s">
        <v>48</v>
      </c>
    </row>
    <row r="42632">
      <c r="H42632" s="50"/>
      <c r="I42632" s="50"/>
      <c r="O42632" s="36" t="s">
        <v>48</v>
      </c>
      <c r="R42632" s="36" t="s">
        <v>48</v>
      </c>
    </row>
    <row r="42633">
      <c r="H42633" s="50"/>
      <c r="I42633" s="50"/>
      <c r="O42633" s="36" t="s">
        <v>48</v>
      </c>
      <c r="R42633" s="36" t="s">
        <v>48</v>
      </c>
    </row>
    <row r="42634">
      <c r="H42634" s="50"/>
      <c r="I42634" s="50"/>
      <c r="O42634" s="36" t="s">
        <v>48</v>
      </c>
      <c r="R42634" s="36" t="s">
        <v>48</v>
      </c>
    </row>
    <row r="42635">
      <c r="H42635" s="50"/>
      <c r="I42635" s="50"/>
      <c r="O42635" s="36" t="s">
        <v>48</v>
      </c>
      <c r="R42635" s="36" t="s">
        <v>48</v>
      </c>
    </row>
    <row r="42636">
      <c r="H42636" s="50"/>
      <c r="I42636" s="50"/>
      <c r="O42636" s="36" t="s">
        <v>48</v>
      </c>
      <c r="R42636" s="36" t="s">
        <v>48</v>
      </c>
    </row>
    <row r="42637">
      <c r="H42637" s="50"/>
      <c r="I42637" s="50"/>
      <c r="O42637" s="36" t="s">
        <v>48</v>
      </c>
      <c r="R42637" s="36" t="s">
        <v>48</v>
      </c>
    </row>
    <row r="42638">
      <c r="H42638" s="50"/>
      <c r="I42638" s="50"/>
      <c r="O42638" s="36" t="s">
        <v>48</v>
      </c>
      <c r="R42638" s="36" t="s">
        <v>48</v>
      </c>
    </row>
    <row r="42639">
      <c r="H42639" s="50"/>
      <c r="I42639" s="50"/>
      <c r="O42639" s="36" t="s">
        <v>48</v>
      </c>
      <c r="R42639" s="36" t="s">
        <v>48</v>
      </c>
    </row>
    <row r="42640">
      <c r="H42640" s="50"/>
      <c r="I42640" s="50"/>
      <c r="O42640" s="36" t="s">
        <v>48</v>
      </c>
      <c r="R42640" s="36" t="s">
        <v>48</v>
      </c>
    </row>
    <row r="42641">
      <c r="H42641" s="50"/>
      <c r="I42641" s="50"/>
      <c r="O42641" s="36" t="s">
        <v>48</v>
      </c>
      <c r="R42641" s="36" t="s">
        <v>48</v>
      </c>
    </row>
    <row r="42642">
      <c r="H42642" s="50"/>
      <c r="I42642" s="50"/>
      <c r="O42642" s="36" t="s">
        <v>48</v>
      </c>
      <c r="R42642" s="36" t="s">
        <v>48</v>
      </c>
    </row>
    <row r="42643">
      <c r="H42643" s="50"/>
      <c r="I42643" s="50"/>
      <c r="O42643" s="36" t="s">
        <v>48</v>
      </c>
      <c r="R42643" s="36" t="s">
        <v>48</v>
      </c>
    </row>
    <row r="42644">
      <c r="H42644" s="50"/>
      <c r="I42644" s="50"/>
      <c r="O42644" s="36" t="s">
        <v>48</v>
      </c>
      <c r="R42644" s="36" t="s">
        <v>48</v>
      </c>
    </row>
    <row r="42645">
      <c r="H42645" s="50"/>
      <c r="I42645" s="50"/>
      <c r="O42645" s="36" t="s">
        <v>48</v>
      </c>
      <c r="R42645" s="36" t="s">
        <v>48</v>
      </c>
    </row>
    <row r="42646">
      <c r="H42646" s="50"/>
      <c r="I42646" s="50"/>
      <c r="O42646" s="36" t="s">
        <v>48</v>
      </c>
      <c r="R42646" s="36" t="s">
        <v>48</v>
      </c>
    </row>
    <row r="42647">
      <c r="H42647" s="50"/>
      <c r="I42647" s="50"/>
      <c r="O42647" s="36" t="s">
        <v>48</v>
      </c>
      <c r="R42647" s="36" t="s">
        <v>48</v>
      </c>
    </row>
    <row r="42648">
      <c r="H42648" s="50"/>
      <c r="I42648" s="50"/>
      <c r="O42648" s="36" t="s">
        <v>48</v>
      </c>
      <c r="R42648" s="36" t="s">
        <v>48</v>
      </c>
    </row>
    <row r="42649">
      <c r="H42649" s="50"/>
      <c r="I42649" s="50"/>
      <c r="O42649" s="36" t="s">
        <v>48</v>
      </c>
      <c r="R42649" s="36" t="s">
        <v>48</v>
      </c>
    </row>
    <row r="42650">
      <c r="H42650" s="50"/>
      <c r="I42650" s="50"/>
      <c r="O42650" s="36" t="s">
        <v>48</v>
      </c>
      <c r="R42650" s="36" t="s">
        <v>48</v>
      </c>
    </row>
    <row r="42651">
      <c r="H42651" s="50"/>
      <c r="I42651" s="50"/>
      <c r="O42651" s="36" t="s">
        <v>48</v>
      </c>
      <c r="R42651" s="36" t="s">
        <v>48</v>
      </c>
    </row>
    <row r="42652">
      <c r="H42652" s="50"/>
      <c r="I42652" s="50"/>
      <c r="O42652" s="36" t="s">
        <v>48</v>
      </c>
      <c r="R42652" s="36" t="s">
        <v>48</v>
      </c>
    </row>
    <row r="42653">
      <c r="H42653" s="50"/>
      <c r="I42653" s="50"/>
      <c r="O42653" s="36" t="s">
        <v>48</v>
      </c>
      <c r="R42653" s="36" t="s">
        <v>48</v>
      </c>
    </row>
    <row r="42654">
      <c r="H42654" s="50"/>
      <c r="I42654" s="50"/>
      <c r="O42654" s="36" t="s">
        <v>48</v>
      </c>
      <c r="R42654" s="36" t="s">
        <v>48</v>
      </c>
    </row>
    <row r="42655">
      <c r="H42655" s="50"/>
      <c r="I42655" s="50"/>
      <c r="O42655" s="36" t="s">
        <v>48</v>
      </c>
      <c r="R42655" s="36" t="s">
        <v>48</v>
      </c>
    </row>
    <row r="42656">
      <c r="H42656" s="50"/>
      <c r="I42656" s="50"/>
      <c r="O42656" s="36" t="s">
        <v>48</v>
      </c>
      <c r="R42656" s="36" t="s">
        <v>48</v>
      </c>
    </row>
    <row r="42657">
      <c r="H42657" s="50"/>
      <c r="I42657" s="50"/>
      <c r="O42657" s="36" t="s">
        <v>48</v>
      </c>
      <c r="R42657" s="36" t="s">
        <v>48</v>
      </c>
    </row>
    <row r="42658">
      <c r="H42658" s="50"/>
      <c r="I42658" s="50"/>
      <c r="O42658" s="36" t="s">
        <v>48</v>
      </c>
      <c r="R42658" s="36" t="s">
        <v>48</v>
      </c>
    </row>
    <row r="42659">
      <c r="H42659" s="50"/>
      <c r="I42659" s="50"/>
      <c r="O42659" s="36" t="s">
        <v>48</v>
      </c>
      <c r="R42659" s="36" t="s">
        <v>48</v>
      </c>
    </row>
    <row r="42660">
      <c r="H42660" s="50"/>
      <c r="I42660" s="50"/>
      <c r="O42660" s="36" t="s">
        <v>48</v>
      </c>
      <c r="R42660" s="36" t="s">
        <v>48</v>
      </c>
    </row>
    <row r="42661">
      <c r="H42661" s="50"/>
      <c r="I42661" s="50"/>
      <c r="O42661" s="36" t="s">
        <v>48</v>
      </c>
      <c r="R42661" s="36" t="s">
        <v>48</v>
      </c>
    </row>
    <row r="42662">
      <c r="H42662" s="50"/>
      <c r="I42662" s="50"/>
      <c r="O42662" s="36" t="s">
        <v>48</v>
      </c>
      <c r="R42662" s="36" t="s">
        <v>48</v>
      </c>
    </row>
    <row r="42663">
      <c r="H42663" s="50"/>
      <c r="I42663" s="50"/>
      <c r="O42663" s="36" t="s">
        <v>48</v>
      </c>
      <c r="R42663" s="36" t="s">
        <v>48</v>
      </c>
    </row>
    <row r="42664">
      <c r="H42664" s="50"/>
      <c r="I42664" s="50"/>
      <c r="O42664" s="36" t="s">
        <v>48</v>
      </c>
      <c r="R42664" s="36" t="s">
        <v>48</v>
      </c>
    </row>
    <row r="42665">
      <c r="H42665" s="50"/>
      <c r="I42665" s="50"/>
      <c r="O42665" s="36" t="s">
        <v>48</v>
      </c>
      <c r="R42665" s="36" t="s">
        <v>48</v>
      </c>
    </row>
    <row r="42666">
      <c r="H42666" s="50"/>
      <c r="I42666" s="50"/>
      <c r="O42666" s="36" t="s">
        <v>48</v>
      </c>
      <c r="R42666" s="36" t="s">
        <v>48</v>
      </c>
    </row>
    <row r="42667">
      <c r="H42667" s="50"/>
      <c r="I42667" s="50"/>
      <c r="O42667" s="36" t="s">
        <v>48</v>
      </c>
      <c r="R42667" s="36" t="s">
        <v>48</v>
      </c>
    </row>
    <row r="42668">
      <c r="H42668" s="50"/>
      <c r="I42668" s="50"/>
      <c r="O42668" s="36" t="s">
        <v>48</v>
      </c>
      <c r="R42668" s="36" t="s">
        <v>48</v>
      </c>
    </row>
    <row r="42669">
      <c r="H42669" s="50"/>
      <c r="I42669" s="50"/>
      <c r="O42669" s="36" t="s">
        <v>48</v>
      </c>
      <c r="R42669" s="36" t="s">
        <v>48</v>
      </c>
    </row>
    <row r="42670">
      <c r="H42670" s="50"/>
      <c r="I42670" s="50"/>
      <c r="O42670" s="36" t="s">
        <v>48</v>
      </c>
      <c r="R42670" s="36" t="s">
        <v>48</v>
      </c>
    </row>
    <row r="42671">
      <c r="H42671" s="50"/>
      <c r="I42671" s="50"/>
      <c r="O42671" s="36" t="s">
        <v>48</v>
      </c>
      <c r="R42671" s="36" t="s">
        <v>48</v>
      </c>
    </row>
    <row r="42672">
      <c r="H42672" s="50"/>
      <c r="I42672" s="50"/>
      <c r="O42672" s="36" t="s">
        <v>48</v>
      </c>
      <c r="R42672" s="36" t="s">
        <v>48</v>
      </c>
    </row>
    <row r="42673">
      <c r="H42673" s="50"/>
      <c r="I42673" s="50"/>
      <c r="O42673" s="36" t="s">
        <v>48</v>
      </c>
      <c r="R42673" s="36" t="s">
        <v>48</v>
      </c>
    </row>
    <row r="42674">
      <c r="H42674" s="50"/>
      <c r="I42674" s="50"/>
      <c r="O42674" s="36" t="s">
        <v>48</v>
      </c>
      <c r="R42674" s="36" t="s">
        <v>48</v>
      </c>
    </row>
    <row r="42675">
      <c r="H42675" s="50"/>
      <c r="I42675" s="50"/>
      <c r="O42675" s="36" t="s">
        <v>48</v>
      </c>
      <c r="R42675" s="36" t="s">
        <v>48</v>
      </c>
    </row>
    <row r="42676">
      <c r="H42676" s="50"/>
      <c r="I42676" s="50"/>
      <c r="O42676" s="36" t="s">
        <v>48</v>
      </c>
      <c r="R42676" s="36" t="s">
        <v>48</v>
      </c>
    </row>
    <row r="42677">
      <c r="H42677" s="50"/>
      <c r="I42677" s="50"/>
      <c r="O42677" s="36" t="s">
        <v>48</v>
      </c>
      <c r="R42677" s="36" t="s">
        <v>48</v>
      </c>
    </row>
    <row r="42678">
      <c r="H42678" s="50"/>
      <c r="I42678" s="50"/>
      <c r="O42678" s="36" t="s">
        <v>48</v>
      </c>
      <c r="R42678" s="36" t="s">
        <v>48</v>
      </c>
    </row>
    <row r="42679">
      <c r="H42679" s="50"/>
      <c r="I42679" s="50"/>
      <c r="O42679" s="36" t="s">
        <v>48</v>
      </c>
      <c r="R42679" s="36" t="s">
        <v>48</v>
      </c>
    </row>
    <row r="42680">
      <c r="H42680" s="50"/>
      <c r="I42680" s="50"/>
      <c r="O42680" s="36" t="s">
        <v>48</v>
      </c>
      <c r="R42680" s="36" t="s">
        <v>48</v>
      </c>
    </row>
    <row r="42681">
      <c r="H42681" s="50"/>
      <c r="I42681" s="50"/>
      <c r="O42681" s="36" t="s">
        <v>48</v>
      </c>
      <c r="R42681" s="36" t="s">
        <v>48</v>
      </c>
    </row>
    <row r="42682">
      <c r="H42682" s="50"/>
      <c r="I42682" s="50"/>
      <c r="O42682" s="36" t="s">
        <v>48</v>
      </c>
      <c r="R42682" s="36" t="s">
        <v>48</v>
      </c>
    </row>
    <row r="42683">
      <c r="H42683" s="50"/>
      <c r="I42683" s="50"/>
      <c r="O42683" s="36" t="s">
        <v>48</v>
      </c>
      <c r="R42683" s="36" t="s">
        <v>48</v>
      </c>
    </row>
    <row r="42684">
      <c r="H42684" s="50"/>
      <c r="I42684" s="50"/>
      <c r="O42684" s="36" t="s">
        <v>48</v>
      </c>
      <c r="R42684" s="36" t="s">
        <v>48</v>
      </c>
    </row>
    <row r="42685">
      <c r="H42685" s="50"/>
      <c r="I42685" s="50"/>
      <c r="O42685" s="36" t="s">
        <v>48</v>
      </c>
      <c r="R42685" s="36" t="s">
        <v>48</v>
      </c>
    </row>
    <row r="42686">
      <c r="H42686" s="50"/>
      <c r="I42686" s="50"/>
      <c r="O42686" s="36" t="s">
        <v>48</v>
      </c>
      <c r="R42686" s="36" t="s">
        <v>48</v>
      </c>
    </row>
    <row r="42687">
      <c r="H42687" s="50"/>
      <c r="I42687" s="50"/>
      <c r="O42687" s="36" t="s">
        <v>48</v>
      </c>
      <c r="R42687" s="36" t="s">
        <v>48</v>
      </c>
    </row>
    <row r="42688">
      <c r="H42688" s="50"/>
      <c r="I42688" s="50"/>
      <c r="O42688" s="36" t="s">
        <v>48</v>
      </c>
      <c r="R42688" s="36" t="s">
        <v>48</v>
      </c>
    </row>
    <row r="42689">
      <c r="H42689" s="50"/>
      <c r="I42689" s="50"/>
      <c r="O42689" s="36" t="s">
        <v>48</v>
      </c>
      <c r="R42689" s="36" t="s">
        <v>48</v>
      </c>
    </row>
    <row r="42690">
      <c r="H42690" s="50"/>
      <c r="I42690" s="50"/>
      <c r="O42690" s="36" t="s">
        <v>48</v>
      </c>
      <c r="R42690" s="36" t="s">
        <v>48</v>
      </c>
    </row>
    <row r="42691">
      <c r="H42691" s="50"/>
      <c r="I42691" s="50"/>
      <c r="O42691" s="36" t="s">
        <v>48</v>
      </c>
      <c r="R42691" s="36" t="s">
        <v>48</v>
      </c>
    </row>
    <row r="42692">
      <c r="H42692" s="50"/>
      <c r="I42692" s="50"/>
      <c r="O42692" s="36" t="s">
        <v>48</v>
      </c>
      <c r="R42692" s="36" t="s">
        <v>48</v>
      </c>
    </row>
    <row r="42693">
      <c r="H42693" s="50"/>
      <c r="I42693" s="50"/>
      <c r="O42693" s="36" t="s">
        <v>48</v>
      </c>
      <c r="R42693" s="36" t="s">
        <v>48</v>
      </c>
    </row>
    <row r="42694">
      <c r="H42694" s="50"/>
      <c r="I42694" s="50"/>
      <c r="O42694" s="36" t="s">
        <v>48</v>
      </c>
      <c r="R42694" s="36" t="s">
        <v>48</v>
      </c>
    </row>
    <row r="42695">
      <c r="H42695" s="50"/>
      <c r="I42695" s="50"/>
      <c r="O42695" s="36" t="s">
        <v>48</v>
      </c>
      <c r="R42695" s="36" t="s">
        <v>48</v>
      </c>
    </row>
    <row r="42696">
      <c r="H42696" s="50"/>
      <c r="I42696" s="50"/>
      <c r="O42696" s="36" t="s">
        <v>48</v>
      </c>
      <c r="R42696" s="36" t="s">
        <v>48</v>
      </c>
    </row>
    <row r="42697">
      <c r="H42697" s="50"/>
      <c r="I42697" s="50"/>
      <c r="O42697" s="36" t="s">
        <v>48</v>
      </c>
      <c r="R42697" s="36" t="s">
        <v>48</v>
      </c>
    </row>
    <row r="42698">
      <c r="H42698" s="50"/>
      <c r="I42698" s="50"/>
      <c r="O42698" s="36" t="s">
        <v>48</v>
      </c>
      <c r="R42698" s="36" t="s">
        <v>48</v>
      </c>
    </row>
    <row r="42699">
      <c r="H42699" s="50"/>
      <c r="I42699" s="50"/>
      <c r="O42699" s="36" t="s">
        <v>48</v>
      </c>
      <c r="R42699" s="36" t="s">
        <v>48</v>
      </c>
    </row>
    <row r="42700">
      <c r="H42700" s="50"/>
      <c r="I42700" s="50"/>
      <c r="O42700" s="36" t="s">
        <v>48</v>
      </c>
      <c r="R42700" s="36" t="s">
        <v>48</v>
      </c>
    </row>
    <row r="42701">
      <c r="H42701" s="50"/>
      <c r="I42701" s="50"/>
      <c r="O42701" s="36" t="s">
        <v>48</v>
      </c>
      <c r="R42701" s="36" t="s">
        <v>48</v>
      </c>
    </row>
    <row r="42702">
      <c r="H42702" s="50"/>
      <c r="I42702" s="50"/>
      <c r="O42702" s="36" t="s">
        <v>48</v>
      </c>
      <c r="R42702" s="36" t="s">
        <v>48</v>
      </c>
    </row>
    <row r="42703">
      <c r="H42703" s="50"/>
      <c r="I42703" s="50"/>
      <c r="O42703" s="36" t="s">
        <v>48</v>
      </c>
      <c r="R42703" s="36" t="s">
        <v>48</v>
      </c>
    </row>
    <row r="42704">
      <c r="H42704" s="50"/>
      <c r="I42704" s="50"/>
      <c r="O42704" s="36" t="s">
        <v>48</v>
      </c>
      <c r="R42704" s="36" t="s">
        <v>48</v>
      </c>
    </row>
    <row r="42705">
      <c r="H42705" s="50"/>
      <c r="I42705" s="50"/>
      <c r="O42705" s="36" t="s">
        <v>48</v>
      </c>
      <c r="R42705" s="36" t="s">
        <v>48</v>
      </c>
    </row>
    <row r="42706">
      <c r="H42706" s="50"/>
      <c r="I42706" s="50"/>
      <c r="O42706" s="36" t="s">
        <v>48</v>
      </c>
      <c r="R42706" s="36" t="s">
        <v>48</v>
      </c>
    </row>
    <row r="42707">
      <c r="H42707" s="50"/>
      <c r="I42707" s="50"/>
      <c r="O42707" s="36" t="s">
        <v>48</v>
      </c>
      <c r="R42707" s="36" t="s">
        <v>48</v>
      </c>
    </row>
    <row r="42708">
      <c r="H42708" s="50"/>
      <c r="I42708" s="50"/>
      <c r="O42708" s="36" t="s">
        <v>48</v>
      </c>
      <c r="R42708" s="36" t="s">
        <v>48</v>
      </c>
    </row>
    <row r="42709">
      <c r="H42709" s="50"/>
      <c r="I42709" s="50"/>
      <c r="O42709" s="36" t="s">
        <v>48</v>
      </c>
      <c r="R42709" s="36" t="s">
        <v>48</v>
      </c>
    </row>
    <row r="42710">
      <c r="H42710" s="50"/>
      <c r="I42710" s="50"/>
      <c r="O42710" s="36" t="s">
        <v>48</v>
      </c>
      <c r="R42710" s="36" t="s">
        <v>48</v>
      </c>
    </row>
    <row r="42711">
      <c r="H42711" s="50"/>
      <c r="I42711" s="50"/>
      <c r="O42711" s="36" t="s">
        <v>48</v>
      </c>
      <c r="R42711" s="36" t="s">
        <v>48</v>
      </c>
    </row>
    <row r="42712">
      <c r="H42712" s="50"/>
      <c r="I42712" s="50"/>
      <c r="O42712" s="36" t="s">
        <v>48</v>
      </c>
      <c r="R42712" s="36" t="s">
        <v>48</v>
      </c>
    </row>
    <row r="42713">
      <c r="H42713" s="50"/>
      <c r="I42713" s="50"/>
      <c r="O42713" s="36" t="s">
        <v>48</v>
      </c>
      <c r="R42713" s="36" t="s">
        <v>48</v>
      </c>
    </row>
    <row r="42714">
      <c r="H42714" s="50"/>
      <c r="I42714" s="50"/>
      <c r="O42714" s="36" t="s">
        <v>48</v>
      </c>
      <c r="R42714" s="36" t="s">
        <v>48</v>
      </c>
    </row>
    <row r="42715">
      <c r="H42715" s="50"/>
      <c r="I42715" s="50"/>
      <c r="O42715" s="36" t="s">
        <v>48</v>
      </c>
      <c r="R42715" s="36" t="s">
        <v>48</v>
      </c>
    </row>
    <row r="42716">
      <c r="H42716" s="50"/>
      <c r="I42716" s="50"/>
      <c r="O42716" s="36" t="s">
        <v>48</v>
      </c>
      <c r="R42716" s="36" t="s">
        <v>48</v>
      </c>
    </row>
    <row r="42717">
      <c r="H42717" s="50"/>
      <c r="I42717" s="50"/>
      <c r="O42717" s="36" t="s">
        <v>48</v>
      </c>
      <c r="R42717" s="36" t="s">
        <v>48</v>
      </c>
    </row>
    <row r="42718">
      <c r="H42718" s="50"/>
      <c r="I42718" s="50"/>
      <c r="O42718" s="36" t="s">
        <v>48</v>
      </c>
      <c r="R42718" s="36" t="s">
        <v>48</v>
      </c>
    </row>
    <row r="42719">
      <c r="H42719" s="50"/>
      <c r="I42719" s="50"/>
      <c r="O42719" s="36" t="s">
        <v>48</v>
      </c>
      <c r="R42719" s="36" t="s">
        <v>48</v>
      </c>
    </row>
    <row r="42720">
      <c r="H42720" s="50"/>
      <c r="I42720" s="50"/>
      <c r="O42720" s="36" t="s">
        <v>48</v>
      </c>
      <c r="R42720" s="36" t="s">
        <v>48</v>
      </c>
    </row>
    <row r="42721">
      <c r="H42721" s="50"/>
      <c r="I42721" s="50"/>
      <c r="O42721" s="36" t="s">
        <v>48</v>
      </c>
      <c r="R42721" s="36" t="s">
        <v>48</v>
      </c>
    </row>
    <row r="42722">
      <c r="H42722" s="50"/>
      <c r="I42722" s="50"/>
      <c r="O42722" s="36" t="s">
        <v>48</v>
      </c>
      <c r="R42722" s="36" t="s">
        <v>48</v>
      </c>
    </row>
    <row r="42723">
      <c r="H42723" s="50"/>
      <c r="I42723" s="50"/>
      <c r="O42723" s="36" t="s">
        <v>48</v>
      </c>
      <c r="R42723" s="36" t="s">
        <v>48</v>
      </c>
    </row>
    <row r="42724">
      <c r="H42724" s="50"/>
      <c r="I42724" s="50"/>
      <c r="O42724" s="36" t="s">
        <v>48</v>
      </c>
      <c r="R42724" s="36" t="s">
        <v>48</v>
      </c>
    </row>
    <row r="42725">
      <c r="H42725" s="50"/>
      <c r="I42725" s="50"/>
      <c r="O42725" s="36" t="s">
        <v>48</v>
      </c>
      <c r="R42725" s="36" t="s">
        <v>48</v>
      </c>
    </row>
    <row r="42726">
      <c r="H42726" s="50"/>
      <c r="I42726" s="50"/>
      <c r="O42726" s="36" t="s">
        <v>48</v>
      </c>
      <c r="R42726" s="36" t="s">
        <v>48</v>
      </c>
    </row>
    <row r="42727">
      <c r="H42727" s="50"/>
      <c r="I42727" s="50"/>
      <c r="O42727" s="36" t="s">
        <v>48</v>
      </c>
      <c r="R42727" s="36" t="s">
        <v>48</v>
      </c>
    </row>
    <row r="42728">
      <c r="H42728" s="50"/>
      <c r="I42728" s="50"/>
      <c r="O42728" s="36" t="s">
        <v>48</v>
      </c>
      <c r="R42728" s="36" t="s">
        <v>48</v>
      </c>
    </row>
    <row r="42729">
      <c r="H42729" s="50"/>
      <c r="I42729" s="50"/>
      <c r="O42729" s="36" t="s">
        <v>48</v>
      </c>
      <c r="R42729" s="36" t="s">
        <v>48</v>
      </c>
    </row>
    <row r="42730">
      <c r="H42730" s="50"/>
      <c r="I42730" s="50"/>
      <c r="O42730" s="36" t="s">
        <v>48</v>
      </c>
      <c r="R42730" s="36" t="s">
        <v>48</v>
      </c>
    </row>
    <row r="42731">
      <c r="H42731" s="50"/>
      <c r="I42731" s="50"/>
      <c r="O42731" s="36" t="s">
        <v>48</v>
      </c>
      <c r="R42731" s="36" t="s">
        <v>48</v>
      </c>
    </row>
    <row r="42732">
      <c r="H42732" s="50"/>
      <c r="I42732" s="50"/>
      <c r="O42732" s="36" t="s">
        <v>48</v>
      </c>
      <c r="R42732" s="36" t="s">
        <v>48</v>
      </c>
    </row>
    <row r="42733">
      <c r="H42733" s="50"/>
      <c r="I42733" s="50"/>
      <c r="O42733" s="36" t="s">
        <v>48</v>
      </c>
      <c r="R42733" s="36" t="s">
        <v>48</v>
      </c>
    </row>
    <row r="42734">
      <c r="H42734" s="50"/>
      <c r="I42734" s="50"/>
      <c r="O42734" s="36" t="s">
        <v>48</v>
      </c>
      <c r="R42734" s="36" t="s">
        <v>48</v>
      </c>
    </row>
    <row r="42735">
      <c r="H42735" s="50"/>
      <c r="I42735" s="50"/>
      <c r="O42735" s="36" t="s">
        <v>48</v>
      </c>
      <c r="R42735" s="36" t="s">
        <v>48</v>
      </c>
    </row>
    <row r="42736">
      <c r="H42736" s="50"/>
      <c r="I42736" s="50"/>
      <c r="O42736" s="36" t="s">
        <v>48</v>
      </c>
      <c r="R42736" s="36" t="s">
        <v>48</v>
      </c>
    </row>
    <row r="42737">
      <c r="H42737" s="50"/>
      <c r="I42737" s="50"/>
      <c r="O42737" s="36" t="s">
        <v>48</v>
      </c>
      <c r="R42737" s="36" t="s">
        <v>48</v>
      </c>
    </row>
    <row r="42738">
      <c r="H42738" s="50"/>
      <c r="I42738" s="50"/>
      <c r="O42738" s="36" t="s">
        <v>48</v>
      </c>
      <c r="R42738" s="36" t="s">
        <v>48</v>
      </c>
    </row>
    <row r="42739">
      <c r="H42739" s="50"/>
      <c r="I42739" s="50"/>
      <c r="O42739" s="36" t="s">
        <v>48</v>
      </c>
      <c r="R42739" s="36" t="s">
        <v>48</v>
      </c>
    </row>
    <row r="42740">
      <c r="H42740" s="50"/>
      <c r="I42740" s="50"/>
      <c r="O42740" s="36" t="s">
        <v>48</v>
      </c>
      <c r="R42740" s="36" t="s">
        <v>48</v>
      </c>
    </row>
    <row r="42741">
      <c r="H42741" s="50"/>
      <c r="I42741" s="50"/>
      <c r="O42741" s="36" t="s">
        <v>48</v>
      </c>
      <c r="R42741" s="36" t="s">
        <v>48</v>
      </c>
    </row>
    <row r="42742">
      <c r="H42742" s="50"/>
      <c r="I42742" s="50"/>
      <c r="O42742" s="36" t="s">
        <v>48</v>
      </c>
      <c r="R42742" s="36" t="s">
        <v>48</v>
      </c>
    </row>
    <row r="42743">
      <c r="H42743" s="50"/>
      <c r="I42743" s="50"/>
      <c r="O42743" s="36" t="s">
        <v>48</v>
      </c>
      <c r="R42743" s="36" t="s">
        <v>48</v>
      </c>
    </row>
    <row r="42744">
      <c r="H42744" s="50"/>
      <c r="I42744" s="50"/>
      <c r="O42744" s="36" t="s">
        <v>48</v>
      </c>
      <c r="R42744" s="36" t="s">
        <v>48</v>
      </c>
    </row>
    <row r="42745">
      <c r="H42745" s="50"/>
      <c r="I42745" s="50"/>
      <c r="O42745" s="36" t="s">
        <v>48</v>
      </c>
      <c r="R42745" s="36" t="s">
        <v>48</v>
      </c>
    </row>
    <row r="42746">
      <c r="H42746" s="50"/>
      <c r="I42746" s="50"/>
      <c r="O42746" s="36" t="s">
        <v>48</v>
      </c>
      <c r="R42746" s="36" t="s">
        <v>48</v>
      </c>
    </row>
    <row r="42747">
      <c r="H42747" s="50"/>
      <c r="I42747" s="50"/>
      <c r="O42747" s="36" t="s">
        <v>48</v>
      </c>
      <c r="R42747" s="36" t="s">
        <v>48</v>
      </c>
    </row>
    <row r="42748">
      <c r="H42748" s="50"/>
      <c r="I42748" s="50"/>
      <c r="O42748" s="36" t="s">
        <v>48</v>
      </c>
      <c r="R42748" s="36" t="s">
        <v>48</v>
      </c>
    </row>
    <row r="42749">
      <c r="H42749" s="50"/>
      <c r="I42749" s="50"/>
      <c r="O42749" s="36" t="s">
        <v>48</v>
      </c>
      <c r="R42749" s="36" t="s">
        <v>48</v>
      </c>
    </row>
    <row r="42750">
      <c r="H42750" s="50"/>
      <c r="I42750" s="50"/>
      <c r="O42750" s="36" t="s">
        <v>48</v>
      </c>
      <c r="R42750" s="36" t="s">
        <v>48</v>
      </c>
    </row>
    <row r="42751">
      <c r="H42751" s="50"/>
      <c r="I42751" s="50"/>
      <c r="O42751" s="36" t="s">
        <v>48</v>
      </c>
      <c r="R42751" s="36" t="s">
        <v>48</v>
      </c>
    </row>
    <row r="42752">
      <c r="H42752" s="50"/>
      <c r="I42752" s="50"/>
      <c r="O42752" s="36" t="s">
        <v>48</v>
      </c>
      <c r="R42752" s="36" t="s">
        <v>48</v>
      </c>
    </row>
    <row r="42753">
      <c r="H42753" s="50"/>
      <c r="I42753" s="50"/>
      <c r="O42753" s="36" t="s">
        <v>48</v>
      </c>
      <c r="R42753" s="36" t="s">
        <v>48</v>
      </c>
    </row>
    <row r="42754">
      <c r="H42754" s="50"/>
      <c r="I42754" s="50"/>
      <c r="O42754" s="36" t="s">
        <v>48</v>
      </c>
      <c r="R42754" s="36" t="s">
        <v>48</v>
      </c>
    </row>
    <row r="42755">
      <c r="H42755" s="50"/>
      <c r="I42755" s="50"/>
      <c r="O42755" s="36" t="s">
        <v>48</v>
      </c>
      <c r="R42755" s="36" t="s">
        <v>48</v>
      </c>
    </row>
    <row r="42756">
      <c r="H42756" s="50"/>
      <c r="I42756" s="50"/>
      <c r="O42756" s="36" t="s">
        <v>48</v>
      </c>
      <c r="R42756" s="36" t="s">
        <v>48</v>
      </c>
    </row>
    <row r="42757">
      <c r="H42757" s="50"/>
      <c r="I42757" s="50"/>
      <c r="O42757" s="36" t="s">
        <v>48</v>
      </c>
      <c r="R42757" s="36" t="s">
        <v>48</v>
      </c>
    </row>
    <row r="42758">
      <c r="H42758" s="50"/>
      <c r="I42758" s="50"/>
      <c r="O42758" s="36" t="s">
        <v>48</v>
      </c>
      <c r="R42758" s="36" t="s">
        <v>48</v>
      </c>
    </row>
    <row r="42759">
      <c r="H42759" s="50"/>
      <c r="I42759" s="50"/>
      <c r="O42759" s="36" t="s">
        <v>48</v>
      </c>
      <c r="R42759" s="36" t="s">
        <v>48</v>
      </c>
    </row>
    <row r="42760">
      <c r="H42760" s="50"/>
      <c r="I42760" s="50"/>
      <c r="O42760" s="36" t="s">
        <v>48</v>
      </c>
      <c r="R42760" s="36" t="s">
        <v>48</v>
      </c>
    </row>
    <row r="42761">
      <c r="H42761" s="50"/>
      <c r="I42761" s="50"/>
      <c r="O42761" s="36" t="s">
        <v>48</v>
      </c>
      <c r="R42761" s="36" t="s">
        <v>48</v>
      </c>
    </row>
    <row r="42762">
      <c r="H42762" s="50"/>
      <c r="I42762" s="50"/>
      <c r="O42762" s="36" t="s">
        <v>48</v>
      </c>
      <c r="R42762" s="36" t="s">
        <v>48</v>
      </c>
    </row>
    <row r="42763">
      <c r="H42763" s="50"/>
      <c r="I42763" s="50"/>
      <c r="O42763" s="36" t="s">
        <v>48</v>
      </c>
      <c r="R42763" s="36" t="s">
        <v>48</v>
      </c>
    </row>
    <row r="42764">
      <c r="H42764" s="50"/>
      <c r="I42764" s="50"/>
      <c r="O42764" s="36" t="s">
        <v>48</v>
      </c>
      <c r="R42764" s="36" t="s">
        <v>48</v>
      </c>
    </row>
    <row r="42765">
      <c r="H42765" s="50"/>
      <c r="I42765" s="50"/>
      <c r="O42765" s="36" t="s">
        <v>48</v>
      </c>
      <c r="R42765" s="36" t="s">
        <v>48</v>
      </c>
    </row>
    <row r="42766">
      <c r="H42766" s="50"/>
      <c r="I42766" s="50"/>
      <c r="O42766" s="36" t="s">
        <v>48</v>
      </c>
      <c r="R42766" s="36" t="s">
        <v>48</v>
      </c>
    </row>
    <row r="42767">
      <c r="H42767" s="50"/>
      <c r="I42767" s="50"/>
      <c r="O42767" s="36" t="s">
        <v>48</v>
      </c>
      <c r="R42767" s="36" t="s">
        <v>48</v>
      </c>
    </row>
    <row r="42768">
      <c r="H42768" s="50"/>
      <c r="I42768" s="50"/>
      <c r="O42768" s="36" t="s">
        <v>48</v>
      </c>
      <c r="R42768" s="36" t="s">
        <v>48</v>
      </c>
    </row>
    <row r="42769">
      <c r="H42769" s="50"/>
      <c r="I42769" s="50"/>
      <c r="O42769" s="36" t="s">
        <v>48</v>
      </c>
      <c r="R42769" s="36" t="s">
        <v>48</v>
      </c>
    </row>
    <row r="42770">
      <c r="H42770" s="50"/>
      <c r="I42770" s="50"/>
      <c r="O42770" s="36" t="s">
        <v>48</v>
      </c>
      <c r="R42770" s="36" t="s">
        <v>48</v>
      </c>
    </row>
    <row r="42771">
      <c r="H42771" s="50"/>
      <c r="I42771" s="50"/>
      <c r="O42771" s="36" t="s">
        <v>48</v>
      </c>
      <c r="R42771" s="36" t="s">
        <v>48</v>
      </c>
    </row>
    <row r="42772">
      <c r="H42772" s="50"/>
      <c r="I42772" s="50"/>
      <c r="O42772" s="36" t="s">
        <v>48</v>
      </c>
      <c r="R42772" s="36" t="s">
        <v>48</v>
      </c>
    </row>
    <row r="42773">
      <c r="H42773" s="50"/>
      <c r="I42773" s="50"/>
      <c r="O42773" s="36" t="s">
        <v>48</v>
      </c>
      <c r="R42773" s="36" t="s">
        <v>48</v>
      </c>
    </row>
    <row r="42774">
      <c r="H42774" s="50"/>
      <c r="I42774" s="50"/>
      <c r="O42774" s="36" t="s">
        <v>48</v>
      </c>
      <c r="R42774" s="36" t="s">
        <v>48</v>
      </c>
    </row>
    <row r="42775">
      <c r="H42775" s="50"/>
      <c r="I42775" s="50"/>
      <c r="O42775" s="36" t="s">
        <v>48</v>
      </c>
      <c r="R42775" s="36" t="s">
        <v>48</v>
      </c>
    </row>
    <row r="42776">
      <c r="H42776" s="50"/>
      <c r="I42776" s="50"/>
      <c r="O42776" s="36" t="s">
        <v>48</v>
      </c>
      <c r="R42776" s="36" t="s">
        <v>48</v>
      </c>
    </row>
    <row r="42777">
      <c r="H42777" s="50"/>
      <c r="I42777" s="50"/>
      <c r="O42777" s="36" t="s">
        <v>48</v>
      </c>
      <c r="R42777" s="36" t="s">
        <v>48</v>
      </c>
    </row>
    <row r="42778">
      <c r="H42778" s="50"/>
      <c r="I42778" s="50"/>
      <c r="O42778" s="36" t="s">
        <v>48</v>
      </c>
      <c r="R42778" s="36" t="s">
        <v>48</v>
      </c>
    </row>
    <row r="42779">
      <c r="H42779" s="50"/>
      <c r="I42779" s="50"/>
      <c r="O42779" s="36" t="s">
        <v>48</v>
      </c>
      <c r="R42779" s="36" t="s">
        <v>48</v>
      </c>
    </row>
    <row r="42780">
      <c r="H42780" s="50"/>
      <c r="I42780" s="50"/>
      <c r="O42780" s="36" t="s">
        <v>48</v>
      </c>
      <c r="R42780" s="36" t="s">
        <v>48</v>
      </c>
    </row>
    <row r="42781">
      <c r="H42781" s="50"/>
      <c r="I42781" s="50"/>
      <c r="O42781" s="36" t="s">
        <v>48</v>
      </c>
      <c r="R42781" s="36" t="s">
        <v>48</v>
      </c>
    </row>
    <row r="42782">
      <c r="H42782" s="50"/>
      <c r="I42782" s="50"/>
      <c r="O42782" s="36" t="s">
        <v>48</v>
      </c>
      <c r="R42782" s="36" t="s">
        <v>48</v>
      </c>
    </row>
    <row r="42783">
      <c r="H42783" s="50"/>
      <c r="I42783" s="50"/>
      <c r="O42783" s="36" t="s">
        <v>48</v>
      </c>
      <c r="R42783" s="36" t="s">
        <v>48</v>
      </c>
    </row>
    <row r="42784">
      <c r="H42784" s="50"/>
      <c r="I42784" s="50"/>
      <c r="O42784" s="36" t="s">
        <v>48</v>
      </c>
      <c r="R42784" s="36" t="s">
        <v>48</v>
      </c>
    </row>
    <row r="42785">
      <c r="H42785" s="50"/>
      <c r="I42785" s="50"/>
      <c r="O42785" s="36" t="s">
        <v>48</v>
      </c>
      <c r="R42785" s="36" t="s">
        <v>48</v>
      </c>
    </row>
    <row r="42786">
      <c r="H42786" s="50"/>
      <c r="I42786" s="50"/>
      <c r="O42786" s="36" t="s">
        <v>48</v>
      </c>
      <c r="R42786" s="36" t="s">
        <v>48</v>
      </c>
    </row>
    <row r="42787">
      <c r="H42787" s="50"/>
      <c r="I42787" s="50"/>
      <c r="O42787" s="36" t="s">
        <v>48</v>
      </c>
      <c r="R42787" s="36" t="s">
        <v>48</v>
      </c>
    </row>
    <row r="42788">
      <c r="H42788" s="50"/>
      <c r="I42788" s="50"/>
      <c r="O42788" s="36" t="s">
        <v>48</v>
      </c>
      <c r="R42788" s="36" t="s">
        <v>48</v>
      </c>
    </row>
    <row r="42789">
      <c r="H42789" s="50"/>
      <c r="I42789" s="50"/>
      <c r="O42789" s="36" t="s">
        <v>48</v>
      </c>
      <c r="R42789" s="36" t="s">
        <v>48</v>
      </c>
    </row>
    <row r="42790">
      <c r="H42790" s="50"/>
      <c r="I42790" s="50"/>
      <c r="O42790" s="36" t="s">
        <v>48</v>
      </c>
      <c r="R42790" s="36" t="s">
        <v>48</v>
      </c>
    </row>
    <row r="42791">
      <c r="H42791" s="50"/>
      <c r="I42791" s="50"/>
      <c r="O42791" s="36" t="s">
        <v>48</v>
      </c>
      <c r="R42791" s="36" t="s">
        <v>48</v>
      </c>
    </row>
    <row r="42792">
      <c r="H42792" s="50"/>
      <c r="I42792" s="50"/>
      <c r="O42792" s="36" t="s">
        <v>48</v>
      </c>
      <c r="R42792" s="36" t="s">
        <v>48</v>
      </c>
    </row>
    <row r="42793">
      <c r="H42793" s="50"/>
      <c r="I42793" s="50"/>
      <c r="O42793" s="36" t="s">
        <v>48</v>
      </c>
      <c r="R42793" s="36" t="s">
        <v>48</v>
      </c>
    </row>
    <row r="42794">
      <c r="H42794" s="50"/>
      <c r="I42794" s="50"/>
      <c r="O42794" s="36" t="s">
        <v>48</v>
      </c>
      <c r="R42794" s="36" t="s">
        <v>48</v>
      </c>
    </row>
    <row r="42795">
      <c r="H42795" s="50"/>
      <c r="I42795" s="50"/>
      <c r="O42795" s="36" t="s">
        <v>48</v>
      </c>
      <c r="R42795" s="36" t="s">
        <v>48</v>
      </c>
    </row>
    <row r="42796">
      <c r="H42796" s="50"/>
      <c r="I42796" s="50"/>
      <c r="O42796" s="36" t="s">
        <v>48</v>
      </c>
      <c r="R42796" s="36" t="s">
        <v>48</v>
      </c>
    </row>
    <row r="42797">
      <c r="H42797" s="50"/>
      <c r="I42797" s="50"/>
      <c r="O42797" s="36" t="s">
        <v>48</v>
      </c>
      <c r="R42797" s="36" t="s">
        <v>48</v>
      </c>
    </row>
    <row r="42798">
      <c r="H42798" s="50"/>
      <c r="I42798" s="50"/>
      <c r="O42798" s="36" t="s">
        <v>48</v>
      </c>
      <c r="R42798" s="36" t="s">
        <v>48</v>
      </c>
    </row>
    <row r="42799">
      <c r="H42799" s="50"/>
      <c r="I42799" s="50"/>
      <c r="O42799" s="36" t="s">
        <v>48</v>
      </c>
      <c r="R42799" s="36" t="s">
        <v>48</v>
      </c>
    </row>
    <row r="42800">
      <c r="H42800" s="50"/>
      <c r="I42800" s="50"/>
      <c r="O42800" s="36" t="s">
        <v>48</v>
      </c>
      <c r="R42800" s="36" t="s">
        <v>48</v>
      </c>
    </row>
    <row r="42801">
      <c r="H42801" s="50"/>
      <c r="I42801" s="50"/>
      <c r="O42801" s="36" t="s">
        <v>48</v>
      </c>
      <c r="R42801" s="36" t="s">
        <v>48</v>
      </c>
    </row>
    <row r="42802">
      <c r="H42802" s="50"/>
      <c r="I42802" s="50"/>
      <c r="O42802" s="36" t="s">
        <v>48</v>
      </c>
      <c r="R42802" s="36" t="s">
        <v>48</v>
      </c>
    </row>
    <row r="42803">
      <c r="H42803" s="50"/>
      <c r="I42803" s="50"/>
      <c r="O42803" s="36" t="s">
        <v>48</v>
      </c>
      <c r="R42803" s="36" t="s">
        <v>48</v>
      </c>
    </row>
    <row r="42804">
      <c r="H42804" s="50"/>
      <c r="I42804" s="50"/>
      <c r="O42804" s="36" t="s">
        <v>48</v>
      </c>
      <c r="R42804" s="36" t="s">
        <v>48</v>
      </c>
    </row>
    <row r="42805">
      <c r="H42805" s="50"/>
      <c r="I42805" s="50"/>
      <c r="O42805" s="36" t="s">
        <v>48</v>
      </c>
      <c r="R42805" s="36" t="s">
        <v>48</v>
      </c>
    </row>
    <row r="42806">
      <c r="H42806" s="50"/>
      <c r="I42806" s="50"/>
      <c r="O42806" s="36" t="s">
        <v>48</v>
      </c>
      <c r="R42806" s="36" t="s">
        <v>48</v>
      </c>
    </row>
    <row r="42807">
      <c r="H42807" s="50"/>
      <c r="I42807" s="50"/>
      <c r="O42807" s="36" t="s">
        <v>48</v>
      </c>
      <c r="R42807" s="36" t="s">
        <v>48</v>
      </c>
    </row>
    <row r="42808">
      <c r="H42808" s="50"/>
      <c r="I42808" s="50"/>
      <c r="O42808" s="36" t="s">
        <v>48</v>
      </c>
      <c r="R42808" s="36" t="s">
        <v>48</v>
      </c>
    </row>
    <row r="42809">
      <c r="H42809" s="50"/>
      <c r="I42809" s="50"/>
      <c r="O42809" s="36" t="s">
        <v>48</v>
      </c>
      <c r="R42809" s="36" t="s">
        <v>48</v>
      </c>
    </row>
    <row r="42810">
      <c r="H42810" s="50"/>
      <c r="I42810" s="50"/>
      <c r="O42810" s="36" t="s">
        <v>48</v>
      </c>
      <c r="R42810" s="36" t="s">
        <v>48</v>
      </c>
    </row>
    <row r="42811">
      <c r="H42811" s="50"/>
      <c r="I42811" s="50"/>
      <c r="O42811" s="36" t="s">
        <v>48</v>
      </c>
      <c r="R42811" s="36" t="s">
        <v>48</v>
      </c>
    </row>
    <row r="42812">
      <c r="H42812" s="50"/>
      <c r="I42812" s="50"/>
      <c r="O42812" s="36" t="s">
        <v>48</v>
      </c>
      <c r="R42812" s="36" t="s">
        <v>48</v>
      </c>
    </row>
    <row r="42813">
      <c r="H42813" s="50"/>
      <c r="I42813" s="50"/>
      <c r="O42813" s="36" t="s">
        <v>48</v>
      </c>
      <c r="R42813" s="36" t="s">
        <v>48</v>
      </c>
    </row>
    <row r="42814">
      <c r="H42814" s="50"/>
      <c r="I42814" s="50"/>
      <c r="O42814" s="36" t="s">
        <v>48</v>
      </c>
      <c r="R42814" s="36" t="s">
        <v>48</v>
      </c>
    </row>
    <row r="42815">
      <c r="H42815" s="50"/>
      <c r="I42815" s="50"/>
      <c r="O42815" s="36" t="s">
        <v>48</v>
      </c>
      <c r="R42815" s="36" t="s">
        <v>48</v>
      </c>
    </row>
    <row r="42816">
      <c r="H42816" s="50"/>
      <c r="I42816" s="50"/>
      <c r="O42816" s="36" t="s">
        <v>48</v>
      </c>
      <c r="R42816" s="36" t="s">
        <v>48</v>
      </c>
    </row>
    <row r="42817">
      <c r="H42817" s="50"/>
      <c r="I42817" s="50"/>
      <c r="O42817" s="36" t="s">
        <v>48</v>
      </c>
      <c r="R42817" s="36" t="s">
        <v>48</v>
      </c>
    </row>
    <row r="42818">
      <c r="H42818" s="50"/>
      <c r="I42818" s="50"/>
      <c r="O42818" s="36" t="s">
        <v>48</v>
      </c>
      <c r="R42818" s="36" t="s">
        <v>48</v>
      </c>
    </row>
    <row r="42819">
      <c r="H42819" s="50"/>
      <c r="I42819" s="50"/>
      <c r="O42819" s="36" t="s">
        <v>48</v>
      </c>
      <c r="R42819" s="36" t="s">
        <v>48</v>
      </c>
    </row>
    <row r="42820">
      <c r="H42820" s="50"/>
      <c r="I42820" s="50"/>
      <c r="O42820" s="36" t="s">
        <v>48</v>
      </c>
      <c r="R42820" s="36" t="s">
        <v>48</v>
      </c>
    </row>
    <row r="42821">
      <c r="H42821" s="50"/>
      <c r="I42821" s="50"/>
      <c r="O42821" s="36" t="s">
        <v>48</v>
      </c>
      <c r="R42821" s="36" t="s">
        <v>48</v>
      </c>
    </row>
    <row r="42822">
      <c r="H42822" s="50"/>
      <c r="I42822" s="50"/>
      <c r="O42822" s="36" t="s">
        <v>48</v>
      </c>
      <c r="R42822" s="36" t="s">
        <v>48</v>
      </c>
    </row>
    <row r="42823">
      <c r="H42823" s="50"/>
      <c r="I42823" s="50"/>
      <c r="O42823" s="36" t="s">
        <v>48</v>
      </c>
      <c r="R42823" s="36" t="s">
        <v>48</v>
      </c>
    </row>
    <row r="42824">
      <c r="H42824" s="50"/>
      <c r="I42824" s="50"/>
      <c r="O42824" s="36" t="s">
        <v>48</v>
      </c>
      <c r="R42824" s="36" t="s">
        <v>48</v>
      </c>
    </row>
    <row r="42825">
      <c r="H42825" s="50"/>
      <c r="I42825" s="50"/>
      <c r="O42825" s="36" t="s">
        <v>48</v>
      </c>
      <c r="R42825" s="36" t="s">
        <v>48</v>
      </c>
    </row>
    <row r="42826">
      <c r="H42826" s="50"/>
      <c r="I42826" s="50"/>
      <c r="O42826" s="36" t="s">
        <v>48</v>
      </c>
      <c r="R42826" s="36" t="s">
        <v>48</v>
      </c>
    </row>
    <row r="42827">
      <c r="H42827" s="50"/>
      <c r="I42827" s="50"/>
      <c r="O42827" s="36" t="s">
        <v>48</v>
      </c>
      <c r="R42827" s="36" t="s">
        <v>48</v>
      </c>
    </row>
    <row r="42828">
      <c r="H42828" s="50"/>
      <c r="I42828" s="50"/>
      <c r="O42828" s="36" t="s">
        <v>48</v>
      </c>
      <c r="R42828" s="36" t="s">
        <v>48</v>
      </c>
    </row>
    <row r="42829">
      <c r="H42829" s="50"/>
      <c r="I42829" s="50"/>
      <c r="O42829" s="36" t="s">
        <v>48</v>
      </c>
      <c r="R42829" s="36" t="s">
        <v>48</v>
      </c>
    </row>
    <row r="42830">
      <c r="H42830" s="50"/>
      <c r="I42830" s="50"/>
      <c r="O42830" s="36" t="s">
        <v>48</v>
      </c>
      <c r="R42830" s="36" t="s">
        <v>48</v>
      </c>
    </row>
    <row r="42831">
      <c r="H42831" s="50"/>
      <c r="I42831" s="50"/>
      <c r="O42831" s="36" t="s">
        <v>48</v>
      </c>
      <c r="R42831" s="36" t="s">
        <v>48</v>
      </c>
    </row>
    <row r="42832">
      <c r="H42832" s="50"/>
      <c r="I42832" s="50"/>
      <c r="O42832" s="36" t="s">
        <v>48</v>
      </c>
      <c r="R42832" s="36" t="s">
        <v>48</v>
      </c>
    </row>
    <row r="42833">
      <c r="H42833" s="50"/>
      <c r="I42833" s="50"/>
      <c r="O42833" s="36" t="s">
        <v>48</v>
      </c>
      <c r="R42833" s="36" t="s">
        <v>48</v>
      </c>
    </row>
    <row r="42834">
      <c r="H42834" s="50"/>
      <c r="I42834" s="50"/>
      <c r="O42834" s="36" t="s">
        <v>48</v>
      </c>
      <c r="R42834" s="36" t="s">
        <v>48</v>
      </c>
    </row>
    <row r="42835">
      <c r="H42835" s="50"/>
      <c r="I42835" s="50"/>
      <c r="O42835" s="36" t="s">
        <v>48</v>
      </c>
      <c r="R42835" s="36" t="s">
        <v>48</v>
      </c>
    </row>
    <row r="42836">
      <c r="H42836" s="50"/>
      <c r="I42836" s="50"/>
      <c r="O42836" s="36" t="s">
        <v>48</v>
      </c>
      <c r="R42836" s="36" t="s">
        <v>48</v>
      </c>
    </row>
    <row r="42837">
      <c r="H42837" s="50"/>
      <c r="I42837" s="50"/>
      <c r="O42837" s="36" t="s">
        <v>48</v>
      </c>
      <c r="R42837" s="36" t="s">
        <v>48</v>
      </c>
    </row>
    <row r="42838">
      <c r="H42838" s="50"/>
      <c r="I42838" s="50"/>
      <c r="O42838" s="36" t="s">
        <v>48</v>
      </c>
      <c r="R42838" s="36" t="s">
        <v>48</v>
      </c>
    </row>
    <row r="42839">
      <c r="H42839" s="50"/>
      <c r="I42839" s="50"/>
      <c r="O42839" s="36" t="s">
        <v>48</v>
      </c>
      <c r="R42839" s="36" t="s">
        <v>48</v>
      </c>
    </row>
    <row r="42840">
      <c r="H42840" s="50"/>
      <c r="I42840" s="50"/>
      <c r="O42840" s="36" t="s">
        <v>48</v>
      </c>
      <c r="R42840" s="36" t="s">
        <v>48</v>
      </c>
    </row>
    <row r="42841">
      <c r="H42841" s="50"/>
      <c r="I42841" s="50"/>
      <c r="O42841" s="36" t="s">
        <v>48</v>
      </c>
      <c r="R42841" s="36" t="s">
        <v>48</v>
      </c>
    </row>
    <row r="42842">
      <c r="H42842" s="50"/>
      <c r="I42842" s="50"/>
      <c r="O42842" s="36" t="s">
        <v>48</v>
      </c>
      <c r="R42842" s="36" t="s">
        <v>48</v>
      </c>
    </row>
    <row r="42843">
      <c r="H42843" s="50"/>
      <c r="I42843" s="50"/>
      <c r="O42843" s="36" t="s">
        <v>48</v>
      </c>
      <c r="R42843" s="36" t="s">
        <v>48</v>
      </c>
    </row>
    <row r="42844">
      <c r="H42844" s="50"/>
      <c r="I42844" s="50"/>
      <c r="O42844" s="36" t="s">
        <v>48</v>
      </c>
      <c r="R42844" s="36" t="s">
        <v>48</v>
      </c>
    </row>
    <row r="42845">
      <c r="H42845" s="50"/>
      <c r="I42845" s="50"/>
      <c r="O42845" s="36" t="s">
        <v>48</v>
      </c>
      <c r="R42845" s="36" t="s">
        <v>48</v>
      </c>
    </row>
    <row r="42846">
      <c r="H42846" s="50"/>
      <c r="I42846" s="50"/>
      <c r="O42846" s="36" t="s">
        <v>48</v>
      </c>
      <c r="R42846" s="36" t="s">
        <v>48</v>
      </c>
    </row>
    <row r="42847">
      <c r="H42847" s="50"/>
      <c r="I42847" s="50"/>
      <c r="O42847" s="36" t="s">
        <v>48</v>
      </c>
      <c r="R42847" s="36" t="s">
        <v>48</v>
      </c>
    </row>
    <row r="42848">
      <c r="H42848" s="50"/>
      <c r="I42848" s="50"/>
      <c r="O42848" s="36" t="s">
        <v>48</v>
      </c>
      <c r="R42848" s="36" t="s">
        <v>48</v>
      </c>
    </row>
    <row r="42849">
      <c r="H42849" s="50"/>
      <c r="I42849" s="50"/>
      <c r="O42849" s="36" t="s">
        <v>48</v>
      </c>
      <c r="R42849" s="36" t="s">
        <v>48</v>
      </c>
    </row>
    <row r="42850">
      <c r="H42850" s="50"/>
      <c r="I42850" s="50"/>
      <c r="O42850" s="36" t="s">
        <v>48</v>
      </c>
      <c r="R42850" s="36" t="s">
        <v>48</v>
      </c>
    </row>
    <row r="42851">
      <c r="H42851" s="50"/>
      <c r="I42851" s="50"/>
      <c r="O42851" s="36" t="s">
        <v>48</v>
      </c>
      <c r="R42851" s="36" t="s">
        <v>48</v>
      </c>
    </row>
    <row r="42852">
      <c r="H42852" s="50"/>
      <c r="I42852" s="50"/>
      <c r="O42852" s="36" t="s">
        <v>48</v>
      </c>
      <c r="R42852" s="36" t="s">
        <v>48</v>
      </c>
    </row>
    <row r="42853">
      <c r="H42853" s="50"/>
      <c r="I42853" s="50"/>
      <c r="O42853" s="36" t="s">
        <v>48</v>
      </c>
      <c r="R42853" s="36" t="s">
        <v>48</v>
      </c>
    </row>
    <row r="42854">
      <c r="H42854" s="50"/>
      <c r="I42854" s="50"/>
      <c r="O42854" s="36" t="s">
        <v>48</v>
      </c>
      <c r="R42854" s="36" t="s">
        <v>48</v>
      </c>
    </row>
    <row r="42855">
      <c r="H42855" s="50"/>
      <c r="I42855" s="50"/>
      <c r="O42855" s="36" t="s">
        <v>48</v>
      </c>
      <c r="R42855" s="36" t="s">
        <v>48</v>
      </c>
    </row>
    <row r="42856">
      <c r="H42856" s="50"/>
      <c r="I42856" s="50"/>
      <c r="O42856" s="36" t="s">
        <v>48</v>
      </c>
      <c r="R42856" s="36" t="s">
        <v>48</v>
      </c>
    </row>
    <row r="42857">
      <c r="H42857" s="50"/>
      <c r="I42857" s="50"/>
      <c r="O42857" s="36" t="s">
        <v>48</v>
      </c>
      <c r="R42857" s="36" t="s">
        <v>48</v>
      </c>
    </row>
    <row r="42858">
      <c r="H42858" s="50"/>
      <c r="I42858" s="50"/>
      <c r="O42858" s="36" t="s">
        <v>48</v>
      </c>
      <c r="R42858" s="36" t="s">
        <v>48</v>
      </c>
    </row>
    <row r="42859">
      <c r="H42859" s="50"/>
      <c r="I42859" s="50"/>
      <c r="O42859" s="36" t="s">
        <v>48</v>
      </c>
      <c r="R42859" s="36" t="s">
        <v>48</v>
      </c>
    </row>
    <row r="42860">
      <c r="H42860" s="50"/>
      <c r="I42860" s="50"/>
      <c r="O42860" s="36" t="s">
        <v>48</v>
      </c>
      <c r="R42860" s="36" t="s">
        <v>48</v>
      </c>
    </row>
    <row r="42861">
      <c r="H42861" s="50"/>
      <c r="I42861" s="50"/>
      <c r="O42861" s="36" t="s">
        <v>48</v>
      </c>
      <c r="R42861" s="36" t="s">
        <v>48</v>
      </c>
    </row>
    <row r="42862">
      <c r="H42862" s="50"/>
      <c r="I42862" s="50"/>
      <c r="O42862" s="36" t="s">
        <v>48</v>
      </c>
      <c r="R42862" s="36" t="s">
        <v>48</v>
      </c>
    </row>
    <row r="42863">
      <c r="H42863" s="50"/>
      <c r="I42863" s="50"/>
      <c r="O42863" s="36" t="s">
        <v>48</v>
      </c>
      <c r="R42863" s="36" t="s">
        <v>48</v>
      </c>
    </row>
    <row r="42864">
      <c r="H42864" s="50"/>
      <c r="I42864" s="50"/>
      <c r="O42864" s="36" t="s">
        <v>48</v>
      </c>
      <c r="R42864" s="36" t="s">
        <v>48</v>
      </c>
    </row>
    <row r="42865">
      <c r="H42865" s="50"/>
      <c r="I42865" s="50"/>
      <c r="O42865" s="36" t="s">
        <v>48</v>
      </c>
      <c r="R42865" s="36" t="s">
        <v>48</v>
      </c>
    </row>
    <row r="42866">
      <c r="H42866" s="50"/>
      <c r="I42866" s="50"/>
      <c r="O42866" s="36" t="s">
        <v>48</v>
      </c>
      <c r="R42866" s="36" t="s">
        <v>48</v>
      </c>
    </row>
    <row r="42867">
      <c r="H42867" s="50"/>
      <c r="I42867" s="50"/>
      <c r="O42867" s="36" t="s">
        <v>48</v>
      </c>
      <c r="R42867" s="36" t="s">
        <v>48</v>
      </c>
    </row>
    <row r="42868">
      <c r="H42868" s="50"/>
      <c r="I42868" s="50"/>
      <c r="O42868" s="36" t="s">
        <v>48</v>
      </c>
      <c r="R42868" s="36" t="s">
        <v>48</v>
      </c>
    </row>
    <row r="42869">
      <c r="H42869" s="50"/>
      <c r="I42869" s="50"/>
      <c r="O42869" s="36" t="s">
        <v>48</v>
      </c>
      <c r="R42869" s="36" t="s">
        <v>48</v>
      </c>
    </row>
    <row r="42870">
      <c r="H42870" s="50"/>
      <c r="I42870" s="50"/>
      <c r="O42870" s="36" t="s">
        <v>48</v>
      </c>
      <c r="R42870" s="36" t="s">
        <v>48</v>
      </c>
    </row>
    <row r="42871">
      <c r="H42871" s="50"/>
      <c r="I42871" s="50"/>
      <c r="O42871" s="36" t="s">
        <v>48</v>
      </c>
      <c r="R42871" s="36" t="s">
        <v>48</v>
      </c>
    </row>
    <row r="42872">
      <c r="H42872" s="50"/>
      <c r="I42872" s="50"/>
      <c r="O42872" s="36" t="s">
        <v>48</v>
      </c>
      <c r="R42872" s="36" t="s">
        <v>48</v>
      </c>
    </row>
    <row r="42873">
      <c r="H42873" s="50"/>
      <c r="I42873" s="50"/>
      <c r="O42873" s="36" t="s">
        <v>48</v>
      </c>
      <c r="R42873" s="36" t="s">
        <v>48</v>
      </c>
    </row>
    <row r="42874">
      <c r="H42874" s="50"/>
      <c r="I42874" s="50"/>
      <c r="O42874" s="36" t="s">
        <v>48</v>
      </c>
      <c r="R42874" s="36" t="s">
        <v>48</v>
      </c>
    </row>
    <row r="42875">
      <c r="H42875" s="50"/>
      <c r="I42875" s="50"/>
      <c r="O42875" s="36" t="s">
        <v>48</v>
      </c>
      <c r="R42875" s="36" t="s">
        <v>48</v>
      </c>
    </row>
    <row r="42876">
      <c r="H42876" s="50"/>
      <c r="I42876" s="50"/>
      <c r="O42876" s="36" t="s">
        <v>48</v>
      </c>
      <c r="R42876" s="36" t="s">
        <v>48</v>
      </c>
    </row>
    <row r="42877">
      <c r="H42877" s="50"/>
      <c r="I42877" s="50"/>
      <c r="O42877" s="36" t="s">
        <v>48</v>
      </c>
      <c r="R42877" s="36" t="s">
        <v>48</v>
      </c>
    </row>
    <row r="42878">
      <c r="H42878" s="50"/>
      <c r="I42878" s="50"/>
      <c r="O42878" s="36" t="s">
        <v>48</v>
      </c>
      <c r="R42878" s="36" t="s">
        <v>48</v>
      </c>
    </row>
    <row r="42879">
      <c r="H42879" s="50"/>
      <c r="I42879" s="50"/>
      <c r="O42879" s="36" t="s">
        <v>48</v>
      </c>
      <c r="R42879" s="36" t="s">
        <v>48</v>
      </c>
    </row>
    <row r="42880">
      <c r="H42880" s="50"/>
      <c r="I42880" s="50"/>
      <c r="O42880" s="36" t="s">
        <v>48</v>
      </c>
      <c r="R42880" s="36" t="s">
        <v>48</v>
      </c>
    </row>
    <row r="42881">
      <c r="H42881" s="50"/>
      <c r="I42881" s="50"/>
      <c r="O42881" s="36" t="s">
        <v>48</v>
      </c>
      <c r="R42881" s="36" t="s">
        <v>48</v>
      </c>
    </row>
    <row r="42882">
      <c r="H42882" s="50"/>
      <c r="I42882" s="50"/>
      <c r="O42882" s="36" t="s">
        <v>48</v>
      </c>
      <c r="R42882" s="36" t="s">
        <v>48</v>
      </c>
    </row>
    <row r="42883">
      <c r="H42883" s="50"/>
      <c r="I42883" s="50"/>
      <c r="O42883" s="36" t="s">
        <v>48</v>
      </c>
      <c r="R42883" s="36" t="s">
        <v>48</v>
      </c>
    </row>
    <row r="42884">
      <c r="H42884" s="50"/>
      <c r="I42884" s="50"/>
      <c r="O42884" s="36" t="s">
        <v>48</v>
      </c>
      <c r="R42884" s="36" t="s">
        <v>48</v>
      </c>
    </row>
    <row r="42885">
      <c r="H42885" s="50"/>
      <c r="I42885" s="50"/>
      <c r="O42885" s="36" t="s">
        <v>48</v>
      </c>
      <c r="R42885" s="36" t="s">
        <v>48</v>
      </c>
    </row>
    <row r="42886">
      <c r="H42886" s="50"/>
      <c r="I42886" s="50"/>
      <c r="O42886" s="36" t="s">
        <v>48</v>
      </c>
      <c r="R42886" s="36" t="s">
        <v>48</v>
      </c>
    </row>
    <row r="42887">
      <c r="H42887" s="50"/>
      <c r="I42887" s="50"/>
      <c r="O42887" s="36" t="s">
        <v>48</v>
      </c>
      <c r="R42887" s="36" t="s">
        <v>48</v>
      </c>
    </row>
    <row r="42888">
      <c r="H42888" s="50"/>
      <c r="I42888" s="50"/>
      <c r="O42888" s="36" t="s">
        <v>48</v>
      </c>
      <c r="R42888" s="36" t="s">
        <v>48</v>
      </c>
    </row>
    <row r="42889">
      <c r="H42889" s="50"/>
      <c r="I42889" s="50"/>
      <c r="O42889" s="36" t="s">
        <v>48</v>
      </c>
      <c r="R42889" s="36" t="s">
        <v>48</v>
      </c>
    </row>
    <row r="42890">
      <c r="H42890" s="50"/>
      <c r="I42890" s="50"/>
      <c r="O42890" s="36" t="s">
        <v>48</v>
      </c>
      <c r="R42890" s="36" t="s">
        <v>48</v>
      </c>
    </row>
    <row r="42891">
      <c r="H42891" s="50"/>
      <c r="I42891" s="50"/>
      <c r="O42891" s="36" t="s">
        <v>48</v>
      </c>
      <c r="R42891" s="36" t="s">
        <v>48</v>
      </c>
    </row>
    <row r="42892">
      <c r="H42892" s="50"/>
      <c r="I42892" s="50"/>
      <c r="O42892" s="36" t="s">
        <v>48</v>
      </c>
      <c r="R42892" s="36" t="s">
        <v>48</v>
      </c>
    </row>
    <row r="42893">
      <c r="H42893" s="50"/>
      <c r="I42893" s="50"/>
      <c r="O42893" s="36" t="s">
        <v>48</v>
      </c>
      <c r="R42893" s="36" t="s">
        <v>48</v>
      </c>
    </row>
    <row r="42894">
      <c r="H42894" s="50"/>
      <c r="I42894" s="50"/>
      <c r="O42894" s="36" t="s">
        <v>48</v>
      </c>
      <c r="R42894" s="36" t="s">
        <v>48</v>
      </c>
    </row>
    <row r="42895">
      <c r="H42895" s="50"/>
      <c r="I42895" s="50"/>
      <c r="O42895" s="36" t="s">
        <v>48</v>
      </c>
      <c r="R42895" s="36" t="s">
        <v>48</v>
      </c>
    </row>
    <row r="42896">
      <c r="H42896" s="50"/>
      <c r="I42896" s="50"/>
      <c r="O42896" s="36" t="s">
        <v>48</v>
      </c>
      <c r="R42896" s="36" t="s">
        <v>48</v>
      </c>
    </row>
    <row r="42897">
      <c r="H42897" s="50"/>
      <c r="I42897" s="50"/>
      <c r="O42897" s="36" t="s">
        <v>48</v>
      </c>
      <c r="R42897" s="36" t="s">
        <v>48</v>
      </c>
    </row>
    <row r="42898">
      <c r="H42898" s="50"/>
      <c r="I42898" s="50"/>
      <c r="O42898" s="36" t="s">
        <v>48</v>
      </c>
      <c r="R42898" s="36" t="s">
        <v>48</v>
      </c>
    </row>
    <row r="42899">
      <c r="H42899" s="50"/>
      <c r="I42899" s="50"/>
      <c r="O42899" s="36" t="s">
        <v>48</v>
      </c>
      <c r="R42899" s="36" t="s">
        <v>48</v>
      </c>
    </row>
    <row r="42900">
      <c r="H42900" s="50"/>
      <c r="I42900" s="50"/>
      <c r="O42900" s="36" t="s">
        <v>48</v>
      </c>
      <c r="R42900" s="36" t="s">
        <v>48</v>
      </c>
    </row>
    <row r="42901">
      <c r="H42901" s="50"/>
      <c r="I42901" s="50"/>
      <c r="O42901" s="36" t="s">
        <v>48</v>
      </c>
      <c r="R42901" s="36" t="s">
        <v>48</v>
      </c>
    </row>
    <row r="42902">
      <c r="H42902" s="50"/>
      <c r="I42902" s="50"/>
      <c r="O42902" s="36" t="s">
        <v>48</v>
      </c>
      <c r="R42902" s="36" t="s">
        <v>48</v>
      </c>
    </row>
    <row r="42903">
      <c r="H42903" s="50"/>
      <c r="I42903" s="50"/>
      <c r="O42903" s="36" t="s">
        <v>48</v>
      </c>
      <c r="R42903" s="36" t="s">
        <v>48</v>
      </c>
    </row>
    <row r="42904">
      <c r="H42904" s="50"/>
      <c r="I42904" s="50"/>
      <c r="O42904" s="36" t="s">
        <v>48</v>
      </c>
      <c r="R42904" s="36" t="s">
        <v>48</v>
      </c>
    </row>
    <row r="42905">
      <c r="H42905" s="50"/>
      <c r="I42905" s="50"/>
      <c r="O42905" s="36" t="s">
        <v>48</v>
      </c>
      <c r="R42905" s="36" t="s">
        <v>48</v>
      </c>
    </row>
    <row r="42906">
      <c r="H42906" s="50"/>
      <c r="I42906" s="50"/>
      <c r="O42906" s="36" t="s">
        <v>48</v>
      </c>
      <c r="R42906" s="36" t="s">
        <v>48</v>
      </c>
    </row>
    <row r="42907">
      <c r="H42907" s="50"/>
      <c r="I42907" s="50"/>
      <c r="O42907" s="36" t="s">
        <v>48</v>
      </c>
      <c r="R42907" s="36" t="s">
        <v>48</v>
      </c>
    </row>
    <row r="42908">
      <c r="H42908" s="50"/>
      <c r="I42908" s="50"/>
      <c r="O42908" s="36" t="s">
        <v>48</v>
      </c>
      <c r="R42908" s="36" t="s">
        <v>48</v>
      </c>
    </row>
    <row r="42909">
      <c r="H42909" s="50"/>
      <c r="I42909" s="50"/>
      <c r="O42909" s="36" t="s">
        <v>48</v>
      </c>
      <c r="R42909" s="36" t="s">
        <v>48</v>
      </c>
    </row>
    <row r="42910">
      <c r="H42910" s="50"/>
      <c r="I42910" s="50"/>
      <c r="O42910" s="36" t="s">
        <v>48</v>
      </c>
      <c r="R42910" s="36" t="s">
        <v>48</v>
      </c>
    </row>
    <row r="42911">
      <c r="H42911" s="50"/>
      <c r="I42911" s="50"/>
      <c r="O42911" s="36" t="s">
        <v>48</v>
      </c>
      <c r="R42911" s="36" t="s">
        <v>48</v>
      </c>
    </row>
    <row r="42912">
      <c r="H42912" s="50"/>
      <c r="I42912" s="50"/>
      <c r="O42912" s="36" t="s">
        <v>48</v>
      </c>
      <c r="R42912" s="36" t="s">
        <v>48</v>
      </c>
    </row>
    <row r="42913">
      <c r="H42913" s="50"/>
      <c r="I42913" s="50"/>
      <c r="O42913" s="36" t="s">
        <v>48</v>
      </c>
      <c r="R42913" s="36" t="s">
        <v>48</v>
      </c>
    </row>
    <row r="42914">
      <c r="H42914" s="50"/>
      <c r="I42914" s="50"/>
      <c r="O42914" s="36" t="s">
        <v>48</v>
      </c>
      <c r="R42914" s="36" t="s">
        <v>48</v>
      </c>
    </row>
    <row r="42915">
      <c r="H42915" s="50"/>
      <c r="I42915" s="50"/>
      <c r="O42915" s="36" t="s">
        <v>48</v>
      </c>
      <c r="R42915" s="36" t="s">
        <v>48</v>
      </c>
    </row>
    <row r="42916">
      <c r="H42916" s="50"/>
      <c r="I42916" s="50"/>
      <c r="O42916" s="36" t="s">
        <v>48</v>
      </c>
      <c r="R42916" s="36" t="s">
        <v>48</v>
      </c>
    </row>
    <row r="42917">
      <c r="H42917" s="50"/>
      <c r="I42917" s="50"/>
      <c r="O42917" s="36" t="s">
        <v>48</v>
      </c>
      <c r="R42917" s="36" t="s">
        <v>48</v>
      </c>
    </row>
    <row r="42918">
      <c r="H42918" s="50"/>
      <c r="I42918" s="50"/>
      <c r="O42918" s="36" t="s">
        <v>48</v>
      </c>
      <c r="R42918" s="36" t="s">
        <v>48</v>
      </c>
    </row>
    <row r="42919">
      <c r="H42919" s="50"/>
      <c r="I42919" s="50"/>
      <c r="O42919" s="36" t="s">
        <v>48</v>
      </c>
      <c r="R42919" s="36" t="s">
        <v>48</v>
      </c>
    </row>
    <row r="42920">
      <c r="H42920" s="50"/>
      <c r="I42920" s="50"/>
      <c r="O42920" s="36" t="s">
        <v>48</v>
      </c>
      <c r="R42920" s="36" t="s">
        <v>48</v>
      </c>
    </row>
    <row r="42921">
      <c r="H42921" s="50"/>
      <c r="I42921" s="50"/>
      <c r="O42921" s="36" t="s">
        <v>48</v>
      </c>
      <c r="R42921" s="36" t="s">
        <v>48</v>
      </c>
    </row>
    <row r="42922">
      <c r="H42922" s="50"/>
      <c r="I42922" s="50"/>
      <c r="O42922" s="36" t="s">
        <v>48</v>
      </c>
      <c r="R42922" s="36" t="s">
        <v>48</v>
      </c>
    </row>
    <row r="42923">
      <c r="H42923" s="50"/>
      <c r="I42923" s="50"/>
      <c r="O42923" s="36" t="s">
        <v>48</v>
      </c>
      <c r="R42923" s="36" t="s">
        <v>48</v>
      </c>
    </row>
    <row r="42924">
      <c r="H42924" s="50"/>
      <c r="I42924" s="50"/>
      <c r="O42924" s="36" t="s">
        <v>48</v>
      </c>
      <c r="R42924" s="36" t="s">
        <v>48</v>
      </c>
    </row>
    <row r="42925">
      <c r="H42925" s="50"/>
      <c r="I42925" s="50"/>
      <c r="O42925" s="36" t="s">
        <v>48</v>
      </c>
      <c r="R42925" s="36" t="s">
        <v>48</v>
      </c>
    </row>
    <row r="42926">
      <c r="H42926" s="50"/>
      <c r="I42926" s="50"/>
      <c r="O42926" s="36" t="s">
        <v>48</v>
      </c>
      <c r="R42926" s="36" t="s">
        <v>48</v>
      </c>
    </row>
    <row r="42927">
      <c r="H42927" s="50"/>
      <c r="I42927" s="50"/>
      <c r="O42927" s="36" t="s">
        <v>48</v>
      </c>
      <c r="R42927" s="36" t="s">
        <v>48</v>
      </c>
    </row>
    <row r="42928">
      <c r="H42928" s="50"/>
      <c r="I42928" s="50"/>
      <c r="O42928" s="36" t="s">
        <v>48</v>
      </c>
      <c r="R42928" s="36" t="s">
        <v>48</v>
      </c>
    </row>
    <row r="42929">
      <c r="H42929" s="50"/>
      <c r="I42929" s="50"/>
      <c r="O42929" s="36" t="s">
        <v>48</v>
      </c>
      <c r="R42929" s="36" t="s">
        <v>48</v>
      </c>
    </row>
    <row r="42930">
      <c r="H42930" s="50"/>
      <c r="I42930" s="50"/>
      <c r="O42930" s="36" t="s">
        <v>48</v>
      </c>
      <c r="R42930" s="36" t="s">
        <v>48</v>
      </c>
    </row>
    <row r="42931">
      <c r="H42931" s="50"/>
      <c r="I42931" s="50"/>
      <c r="O42931" s="36" t="s">
        <v>48</v>
      </c>
      <c r="R42931" s="36" t="s">
        <v>48</v>
      </c>
    </row>
    <row r="42932">
      <c r="H42932" s="50"/>
      <c r="I42932" s="50"/>
      <c r="O42932" s="36" t="s">
        <v>48</v>
      </c>
      <c r="R42932" s="36" t="s">
        <v>48</v>
      </c>
    </row>
    <row r="42933">
      <c r="H42933" s="50"/>
      <c r="I42933" s="50"/>
      <c r="O42933" s="36" t="s">
        <v>48</v>
      </c>
      <c r="R42933" s="36" t="s">
        <v>48</v>
      </c>
    </row>
    <row r="42934">
      <c r="H42934" s="50"/>
      <c r="I42934" s="50"/>
      <c r="O42934" s="36" t="s">
        <v>48</v>
      </c>
      <c r="R42934" s="36" t="s">
        <v>48</v>
      </c>
    </row>
    <row r="42935">
      <c r="H42935" s="50"/>
      <c r="I42935" s="50"/>
      <c r="O42935" s="36" t="s">
        <v>48</v>
      </c>
      <c r="R42935" s="36" t="s">
        <v>48</v>
      </c>
    </row>
    <row r="42936">
      <c r="H42936" s="50"/>
      <c r="I42936" s="50"/>
      <c r="O42936" s="36" t="s">
        <v>48</v>
      </c>
      <c r="R42936" s="36" t="s">
        <v>48</v>
      </c>
    </row>
    <row r="42937">
      <c r="H42937" s="50"/>
      <c r="I42937" s="50"/>
      <c r="O42937" s="36" t="s">
        <v>48</v>
      </c>
      <c r="R42937" s="36" t="s">
        <v>48</v>
      </c>
    </row>
    <row r="42938">
      <c r="H42938" s="50"/>
      <c r="I42938" s="50"/>
      <c r="O42938" s="36" t="s">
        <v>48</v>
      </c>
      <c r="R42938" s="36" t="s">
        <v>48</v>
      </c>
    </row>
    <row r="42939">
      <c r="H42939" s="50"/>
      <c r="I42939" s="50"/>
      <c r="O42939" s="36" t="s">
        <v>48</v>
      </c>
      <c r="R42939" s="36" t="s">
        <v>48</v>
      </c>
    </row>
    <row r="42940">
      <c r="H42940" s="50"/>
      <c r="I42940" s="50"/>
      <c r="O42940" s="36" t="s">
        <v>48</v>
      </c>
      <c r="R42940" s="36" t="s">
        <v>48</v>
      </c>
    </row>
    <row r="42941">
      <c r="H42941" s="50"/>
      <c r="I42941" s="50"/>
      <c r="O42941" s="36" t="s">
        <v>48</v>
      </c>
      <c r="R42941" s="36" t="s">
        <v>48</v>
      </c>
    </row>
    <row r="42942">
      <c r="H42942" s="50"/>
      <c r="I42942" s="50"/>
      <c r="O42942" s="36" t="s">
        <v>48</v>
      </c>
      <c r="R42942" s="36" t="s">
        <v>48</v>
      </c>
    </row>
    <row r="42943">
      <c r="H42943" s="50"/>
      <c r="I42943" s="50"/>
      <c r="O42943" s="36" t="s">
        <v>48</v>
      </c>
      <c r="R42943" s="36" t="s">
        <v>48</v>
      </c>
    </row>
    <row r="42944">
      <c r="H42944" s="50"/>
      <c r="I42944" s="50"/>
      <c r="O42944" s="36" t="s">
        <v>48</v>
      </c>
      <c r="R42944" s="36" t="s">
        <v>48</v>
      </c>
    </row>
    <row r="42945">
      <c r="H42945" s="50"/>
      <c r="I42945" s="50"/>
      <c r="O42945" s="36" t="s">
        <v>48</v>
      </c>
      <c r="R42945" s="36" t="s">
        <v>48</v>
      </c>
    </row>
    <row r="42946">
      <c r="H42946" s="50"/>
      <c r="I42946" s="50"/>
      <c r="O42946" s="36" t="s">
        <v>48</v>
      </c>
      <c r="R42946" s="36" t="s">
        <v>48</v>
      </c>
    </row>
    <row r="42947">
      <c r="H42947" s="50"/>
      <c r="I42947" s="50"/>
      <c r="O42947" s="36" t="s">
        <v>48</v>
      </c>
      <c r="R42947" s="36" t="s">
        <v>48</v>
      </c>
    </row>
    <row r="42948">
      <c r="H42948" s="50"/>
      <c r="I42948" s="50"/>
      <c r="O42948" s="36" t="s">
        <v>48</v>
      </c>
      <c r="R42948" s="36" t="s">
        <v>48</v>
      </c>
    </row>
    <row r="42949">
      <c r="H42949" s="50"/>
      <c r="I42949" s="50"/>
      <c r="O42949" s="36" t="s">
        <v>48</v>
      </c>
      <c r="R42949" s="36" t="s">
        <v>48</v>
      </c>
    </row>
    <row r="42950">
      <c r="H42950" s="50"/>
      <c r="I42950" s="50"/>
      <c r="O42950" s="36" t="s">
        <v>48</v>
      </c>
      <c r="R42950" s="36" t="s">
        <v>48</v>
      </c>
    </row>
    <row r="42951">
      <c r="H42951" s="50"/>
      <c r="I42951" s="50"/>
      <c r="O42951" s="36" t="s">
        <v>48</v>
      </c>
      <c r="R42951" s="36" t="s">
        <v>48</v>
      </c>
    </row>
    <row r="42952">
      <c r="H42952" s="50"/>
      <c r="I42952" s="50"/>
      <c r="O42952" s="36" t="s">
        <v>48</v>
      </c>
      <c r="R42952" s="36" t="s">
        <v>48</v>
      </c>
    </row>
    <row r="42953">
      <c r="H42953" s="50"/>
      <c r="I42953" s="50"/>
      <c r="O42953" s="36" t="s">
        <v>48</v>
      </c>
      <c r="R42953" s="36" t="s">
        <v>48</v>
      </c>
    </row>
    <row r="42954">
      <c r="H42954" s="50"/>
      <c r="I42954" s="50"/>
      <c r="O42954" s="36" t="s">
        <v>48</v>
      </c>
      <c r="R42954" s="36" t="s">
        <v>48</v>
      </c>
    </row>
    <row r="42955">
      <c r="H42955" s="50"/>
      <c r="I42955" s="50"/>
      <c r="O42955" s="36" t="s">
        <v>48</v>
      </c>
      <c r="R42955" s="36" t="s">
        <v>48</v>
      </c>
    </row>
    <row r="42956">
      <c r="H42956" s="50"/>
      <c r="I42956" s="50"/>
      <c r="O42956" s="36" t="s">
        <v>48</v>
      </c>
      <c r="R42956" s="36" t="s">
        <v>48</v>
      </c>
    </row>
    <row r="42957">
      <c r="H42957" s="50"/>
      <c r="I42957" s="50"/>
      <c r="O42957" s="36" t="s">
        <v>48</v>
      </c>
      <c r="R42957" s="36" t="s">
        <v>48</v>
      </c>
    </row>
    <row r="42958">
      <c r="H42958" s="50"/>
      <c r="I42958" s="50"/>
      <c r="O42958" s="36" t="s">
        <v>48</v>
      </c>
      <c r="R42958" s="36" t="s">
        <v>48</v>
      </c>
    </row>
    <row r="42959">
      <c r="H42959" s="50"/>
      <c r="I42959" s="50"/>
      <c r="O42959" s="36" t="s">
        <v>48</v>
      </c>
      <c r="R42959" s="36" t="s">
        <v>48</v>
      </c>
    </row>
    <row r="42960">
      <c r="H42960" s="50"/>
      <c r="I42960" s="50"/>
      <c r="O42960" s="36" t="s">
        <v>48</v>
      </c>
      <c r="R42960" s="36" t="s">
        <v>48</v>
      </c>
    </row>
    <row r="42961">
      <c r="H42961" s="50"/>
      <c r="I42961" s="50"/>
      <c r="O42961" s="36" t="s">
        <v>48</v>
      </c>
      <c r="R42961" s="36" t="s">
        <v>48</v>
      </c>
    </row>
    <row r="42962">
      <c r="H42962" s="50"/>
      <c r="I42962" s="50"/>
      <c r="O42962" s="36" t="s">
        <v>48</v>
      </c>
      <c r="R42962" s="36" t="s">
        <v>48</v>
      </c>
    </row>
    <row r="42963">
      <c r="H42963" s="50"/>
      <c r="I42963" s="50"/>
      <c r="O42963" s="36" t="s">
        <v>48</v>
      </c>
      <c r="R42963" s="36" t="s">
        <v>48</v>
      </c>
    </row>
    <row r="42964">
      <c r="H42964" s="50"/>
      <c r="I42964" s="50"/>
      <c r="O42964" s="36" t="s">
        <v>48</v>
      </c>
      <c r="R42964" s="36" t="s">
        <v>48</v>
      </c>
    </row>
    <row r="42965">
      <c r="H42965" s="50"/>
      <c r="I42965" s="50"/>
      <c r="O42965" s="36" t="s">
        <v>48</v>
      </c>
      <c r="R42965" s="36" t="s">
        <v>48</v>
      </c>
    </row>
    <row r="42966">
      <c r="H42966" s="50"/>
      <c r="I42966" s="50"/>
      <c r="O42966" s="36" t="s">
        <v>48</v>
      </c>
      <c r="R42966" s="36" t="s">
        <v>48</v>
      </c>
    </row>
    <row r="42967">
      <c r="H42967" s="50"/>
      <c r="I42967" s="50"/>
      <c r="O42967" s="36" t="s">
        <v>48</v>
      </c>
      <c r="R42967" s="36" t="s">
        <v>48</v>
      </c>
    </row>
    <row r="42968">
      <c r="H42968" s="50"/>
      <c r="I42968" s="50"/>
      <c r="O42968" s="36" t="s">
        <v>48</v>
      </c>
      <c r="R42968" s="36" t="s">
        <v>48</v>
      </c>
    </row>
    <row r="42969">
      <c r="H42969" s="50"/>
      <c r="I42969" s="50"/>
      <c r="O42969" s="36" t="s">
        <v>48</v>
      </c>
      <c r="R42969" s="36" t="s">
        <v>48</v>
      </c>
    </row>
    <row r="42970">
      <c r="H42970" s="50"/>
      <c r="I42970" s="50"/>
      <c r="O42970" s="36" t="s">
        <v>48</v>
      </c>
      <c r="R42970" s="36" t="s">
        <v>48</v>
      </c>
    </row>
    <row r="42971">
      <c r="H42971" s="50"/>
      <c r="I42971" s="50"/>
      <c r="O42971" s="36" t="s">
        <v>48</v>
      </c>
      <c r="R42971" s="36" t="s">
        <v>48</v>
      </c>
    </row>
    <row r="42972">
      <c r="H42972" s="50"/>
      <c r="I42972" s="50"/>
      <c r="O42972" s="36" t="s">
        <v>48</v>
      </c>
      <c r="R42972" s="36" t="s">
        <v>48</v>
      </c>
    </row>
    <row r="42973">
      <c r="H42973" s="50"/>
      <c r="I42973" s="50"/>
      <c r="O42973" s="36" t="s">
        <v>48</v>
      </c>
      <c r="R42973" s="36" t="s">
        <v>48</v>
      </c>
    </row>
    <row r="42974">
      <c r="H42974" s="50"/>
      <c r="I42974" s="50"/>
      <c r="O42974" s="36" t="s">
        <v>48</v>
      </c>
      <c r="R42974" s="36" t="s">
        <v>48</v>
      </c>
    </row>
    <row r="42975">
      <c r="H42975" s="50"/>
      <c r="I42975" s="50"/>
      <c r="O42975" s="36" t="s">
        <v>48</v>
      </c>
      <c r="R42975" s="36" t="s">
        <v>48</v>
      </c>
    </row>
    <row r="42976">
      <c r="H42976" s="50"/>
      <c r="I42976" s="50"/>
      <c r="O42976" s="36" t="s">
        <v>48</v>
      </c>
      <c r="R42976" s="36" t="s">
        <v>48</v>
      </c>
    </row>
    <row r="42977">
      <c r="H42977" s="50"/>
      <c r="I42977" s="50"/>
      <c r="O42977" s="36" t="s">
        <v>48</v>
      </c>
      <c r="R42977" s="36" t="s">
        <v>48</v>
      </c>
    </row>
    <row r="42978">
      <c r="H42978" s="50"/>
      <c r="I42978" s="50"/>
      <c r="O42978" s="36" t="s">
        <v>48</v>
      </c>
      <c r="R42978" s="36" t="s">
        <v>48</v>
      </c>
    </row>
    <row r="42979">
      <c r="H42979" s="50"/>
      <c r="I42979" s="50"/>
      <c r="O42979" s="36" t="s">
        <v>48</v>
      </c>
      <c r="R42979" s="36" t="s">
        <v>48</v>
      </c>
    </row>
    <row r="42980">
      <c r="H42980" s="50"/>
      <c r="I42980" s="50"/>
      <c r="O42980" s="36" t="s">
        <v>48</v>
      </c>
      <c r="R42980" s="36" t="s">
        <v>48</v>
      </c>
    </row>
    <row r="42981">
      <c r="H42981" s="50"/>
      <c r="I42981" s="50"/>
      <c r="O42981" s="36" t="s">
        <v>48</v>
      </c>
      <c r="R42981" s="36" t="s">
        <v>48</v>
      </c>
    </row>
    <row r="42982">
      <c r="H42982" s="50"/>
      <c r="I42982" s="50"/>
      <c r="O42982" s="36" t="s">
        <v>48</v>
      </c>
      <c r="R42982" s="36" t="s">
        <v>48</v>
      </c>
    </row>
    <row r="42983">
      <c r="H42983" s="50"/>
      <c r="I42983" s="50"/>
      <c r="O42983" s="36" t="s">
        <v>48</v>
      </c>
      <c r="R42983" s="36" t="s">
        <v>48</v>
      </c>
    </row>
    <row r="42984">
      <c r="H42984" s="50"/>
      <c r="I42984" s="50"/>
      <c r="O42984" s="36" t="s">
        <v>48</v>
      </c>
      <c r="R42984" s="36" t="s">
        <v>48</v>
      </c>
    </row>
    <row r="42985">
      <c r="H42985" s="50"/>
      <c r="I42985" s="50"/>
      <c r="O42985" s="36" t="s">
        <v>48</v>
      </c>
      <c r="R42985" s="36" t="s">
        <v>48</v>
      </c>
    </row>
    <row r="42986">
      <c r="H42986" s="50"/>
      <c r="I42986" s="50"/>
      <c r="O42986" s="36" t="s">
        <v>48</v>
      </c>
      <c r="R42986" s="36" t="s">
        <v>48</v>
      </c>
    </row>
    <row r="42987">
      <c r="H42987" s="50"/>
      <c r="I42987" s="50"/>
      <c r="O42987" s="36" t="s">
        <v>48</v>
      </c>
      <c r="R42987" s="36" t="s">
        <v>48</v>
      </c>
    </row>
    <row r="42988">
      <c r="H42988" s="50"/>
      <c r="I42988" s="50"/>
      <c r="O42988" s="36" t="s">
        <v>48</v>
      </c>
      <c r="R42988" s="36" t="s">
        <v>48</v>
      </c>
    </row>
    <row r="42989">
      <c r="H42989" s="50"/>
      <c r="I42989" s="50"/>
      <c r="O42989" s="36" t="s">
        <v>48</v>
      </c>
      <c r="R42989" s="36" t="s">
        <v>48</v>
      </c>
    </row>
    <row r="42990">
      <c r="H42990" s="50"/>
      <c r="I42990" s="50"/>
      <c r="O42990" s="36" t="s">
        <v>48</v>
      </c>
      <c r="R42990" s="36" t="s">
        <v>48</v>
      </c>
    </row>
    <row r="42991">
      <c r="H42991" s="50"/>
      <c r="I42991" s="50"/>
      <c r="O42991" s="36" t="s">
        <v>48</v>
      </c>
      <c r="R42991" s="36" t="s">
        <v>48</v>
      </c>
    </row>
    <row r="42992">
      <c r="H42992" s="50"/>
      <c r="I42992" s="50"/>
      <c r="O42992" s="36" t="s">
        <v>48</v>
      </c>
      <c r="R42992" s="36" t="s">
        <v>48</v>
      </c>
    </row>
    <row r="42993">
      <c r="H42993" s="50"/>
      <c r="I42993" s="50"/>
      <c r="O42993" s="36" t="s">
        <v>48</v>
      </c>
      <c r="R42993" s="36" t="s">
        <v>48</v>
      </c>
    </row>
    <row r="42994">
      <c r="H42994" s="50"/>
      <c r="I42994" s="50"/>
      <c r="O42994" s="36" t="s">
        <v>48</v>
      </c>
      <c r="R42994" s="36" t="s">
        <v>48</v>
      </c>
    </row>
    <row r="42995">
      <c r="H42995" s="50"/>
      <c r="I42995" s="50"/>
      <c r="O42995" s="36" t="s">
        <v>48</v>
      </c>
      <c r="R42995" s="36" t="s">
        <v>48</v>
      </c>
    </row>
    <row r="42996">
      <c r="H42996" s="50"/>
      <c r="I42996" s="50"/>
      <c r="O42996" s="36" t="s">
        <v>48</v>
      </c>
      <c r="R42996" s="36" t="s">
        <v>48</v>
      </c>
    </row>
    <row r="42997">
      <c r="H42997" s="50"/>
      <c r="I42997" s="50"/>
      <c r="O42997" s="36" t="s">
        <v>48</v>
      </c>
      <c r="R42997" s="36" t="s">
        <v>48</v>
      </c>
    </row>
    <row r="42998">
      <c r="H42998" s="50"/>
      <c r="I42998" s="50"/>
      <c r="O42998" s="36" t="s">
        <v>48</v>
      </c>
      <c r="R42998" s="36" t="s">
        <v>48</v>
      </c>
    </row>
    <row r="42999">
      <c r="H42999" s="50"/>
      <c r="I42999" s="50"/>
      <c r="O42999" s="36" t="s">
        <v>48</v>
      </c>
      <c r="R42999" s="36" t="s">
        <v>48</v>
      </c>
    </row>
    <row r="43000">
      <c r="H43000" s="50"/>
      <c r="I43000" s="50"/>
      <c r="O43000" s="36" t="s">
        <v>48</v>
      </c>
      <c r="R43000" s="36" t="s">
        <v>48</v>
      </c>
    </row>
    <row r="43001">
      <c r="H43001" s="50"/>
      <c r="I43001" s="50"/>
      <c r="O43001" s="36" t="s">
        <v>48</v>
      </c>
      <c r="R43001" s="36" t="s">
        <v>48</v>
      </c>
    </row>
    <row r="43002">
      <c r="H43002" s="50"/>
      <c r="I43002" s="50"/>
      <c r="O43002" s="36" t="s">
        <v>48</v>
      </c>
      <c r="R43002" s="36" t="s">
        <v>48</v>
      </c>
    </row>
    <row r="43003">
      <c r="H43003" s="50"/>
      <c r="I43003" s="50"/>
      <c r="O43003" s="36" t="s">
        <v>48</v>
      </c>
      <c r="R43003" s="36" t="s">
        <v>48</v>
      </c>
    </row>
    <row r="43004">
      <c r="H43004" s="50"/>
      <c r="I43004" s="50"/>
      <c r="O43004" s="36" t="s">
        <v>48</v>
      </c>
      <c r="R43004" s="36" t="s">
        <v>48</v>
      </c>
    </row>
    <row r="43005">
      <c r="H43005" s="50"/>
      <c r="I43005" s="50"/>
      <c r="O43005" s="36" t="s">
        <v>48</v>
      </c>
      <c r="R43005" s="36" t="s">
        <v>48</v>
      </c>
    </row>
    <row r="43006">
      <c r="H43006" s="50"/>
      <c r="I43006" s="50"/>
      <c r="O43006" s="36" t="s">
        <v>48</v>
      </c>
      <c r="R43006" s="36" t="s">
        <v>48</v>
      </c>
    </row>
    <row r="43007">
      <c r="H43007" s="50"/>
      <c r="I43007" s="50"/>
      <c r="O43007" s="36" t="s">
        <v>48</v>
      </c>
      <c r="R43007" s="36" t="s">
        <v>48</v>
      </c>
    </row>
    <row r="43008">
      <c r="H43008" s="50"/>
      <c r="I43008" s="50"/>
      <c r="O43008" s="36" t="s">
        <v>48</v>
      </c>
      <c r="R43008" s="36" t="s">
        <v>48</v>
      </c>
    </row>
    <row r="43009">
      <c r="H43009" s="50"/>
      <c r="I43009" s="50"/>
      <c r="O43009" s="36" t="s">
        <v>48</v>
      </c>
      <c r="R43009" s="36" t="s">
        <v>48</v>
      </c>
    </row>
    <row r="43010">
      <c r="H43010" s="50"/>
      <c r="I43010" s="50"/>
      <c r="O43010" s="36" t="s">
        <v>48</v>
      </c>
      <c r="R43010" s="36" t="s">
        <v>48</v>
      </c>
    </row>
    <row r="43011">
      <c r="H43011" s="50"/>
      <c r="I43011" s="50"/>
      <c r="O43011" s="36" t="s">
        <v>48</v>
      </c>
      <c r="R43011" s="36" t="s">
        <v>48</v>
      </c>
    </row>
    <row r="43012">
      <c r="H43012" s="50"/>
      <c r="I43012" s="50"/>
      <c r="O43012" s="36" t="s">
        <v>48</v>
      </c>
      <c r="R43012" s="36" t="s">
        <v>48</v>
      </c>
    </row>
    <row r="43013">
      <c r="H43013" s="50"/>
      <c r="I43013" s="50"/>
      <c r="O43013" s="36" t="s">
        <v>48</v>
      </c>
      <c r="R43013" s="36" t="s">
        <v>48</v>
      </c>
    </row>
    <row r="43014">
      <c r="H43014" s="50"/>
      <c r="I43014" s="50"/>
      <c r="O43014" s="36" t="s">
        <v>48</v>
      </c>
      <c r="R43014" s="36" t="s">
        <v>48</v>
      </c>
    </row>
    <row r="43015">
      <c r="H43015" s="50"/>
      <c r="I43015" s="50"/>
      <c r="O43015" s="36" t="s">
        <v>48</v>
      </c>
      <c r="R43015" s="36" t="s">
        <v>48</v>
      </c>
    </row>
    <row r="43016">
      <c r="H43016" s="50"/>
      <c r="I43016" s="50"/>
      <c r="O43016" s="36" t="s">
        <v>48</v>
      </c>
      <c r="R43016" s="36" t="s">
        <v>48</v>
      </c>
    </row>
    <row r="43017">
      <c r="H43017" s="50"/>
      <c r="I43017" s="50"/>
      <c r="O43017" s="36" t="s">
        <v>48</v>
      </c>
      <c r="R43017" s="36" t="s">
        <v>48</v>
      </c>
    </row>
    <row r="43018">
      <c r="H43018" s="50"/>
      <c r="I43018" s="50"/>
      <c r="O43018" s="36" t="s">
        <v>48</v>
      </c>
      <c r="R43018" s="36" t="s">
        <v>48</v>
      </c>
    </row>
    <row r="43019">
      <c r="H43019" s="50"/>
      <c r="I43019" s="50"/>
      <c r="O43019" s="36" t="s">
        <v>48</v>
      </c>
      <c r="R43019" s="36" t="s">
        <v>48</v>
      </c>
    </row>
    <row r="43020">
      <c r="H43020" s="50"/>
      <c r="I43020" s="50"/>
      <c r="O43020" s="36" t="s">
        <v>48</v>
      </c>
      <c r="R43020" s="36" t="s">
        <v>48</v>
      </c>
    </row>
    <row r="43021">
      <c r="H43021" s="50"/>
      <c r="I43021" s="50"/>
      <c r="O43021" s="36" t="s">
        <v>48</v>
      </c>
      <c r="R43021" s="36" t="s">
        <v>48</v>
      </c>
    </row>
    <row r="43022">
      <c r="H43022" s="50"/>
      <c r="I43022" s="50"/>
      <c r="O43022" s="36" t="s">
        <v>48</v>
      </c>
      <c r="R43022" s="36" t="s">
        <v>48</v>
      </c>
    </row>
    <row r="43023">
      <c r="H43023" s="50"/>
      <c r="I43023" s="50"/>
      <c r="O43023" s="36" t="s">
        <v>48</v>
      </c>
      <c r="R43023" s="36" t="s">
        <v>48</v>
      </c>
    </row>
    <row r="43024">
      <c r="H43024" s="50"/>
      <c r="I43024" s="50"/>
      <c r="O43024" s="36" t="s">
        <v>48</v>
      </c>
      <c r="R43024" s="36" t="s">
        <v>48</v>
      </c>
    </row>
    <row r="43025">
      <c r="H43025" s="50"/>
      <c r="I43025" s="50"/>
      <c r="O43025" s="36" t="s">
        <v>48</v>
      </c>
      <c r="R43025" s="36" t="s">
        <v>48</v>
      </c>
    </row>
    <row r="43026">
      <c r="H43026" s="50"/>
      <c r="I43026" s="50"/>
      <c r="O43026" s="36" t="s">
        <v>48</v>
      </c>
      <c r="R43026" s="36" t="s">
        <v>48</v>
      </c>
    </row>
    <row r="43027">
      <c r="H43027" s="50"/>
      <c r="I43027" s="50"/>
      <c r="O43027" s="36" t="s">
        <v>48</v>
      </c>
      <c r="R43027" s="36" t="s">
        <v>48</v>
      </c>
    </row>
    <row r="43028">
      <c r="H43028" s="50"/>
      <c r="I43028" s="50"/>
      <c r="O43028" s="36" t="s">
        <v>48</v>
      </c>
      <c r="R43028" s="36" t="s">
        <v>48</v>
      </c>
    </row>
    <row r="43029">
      <c r="H43029" s="50"/>
      <c r="I43029" s="50"/>
      <c r="O43029" s="36" t="s">
        <v>48</v>
      </c>
      <c r="R43029" s="36" t="s">
        <v>48</v>
      </c>
    </row>
    <row r="43030">
      <c r="H43030" s="50"/>
      <c r="I43030" s="50"/>
      <c r="O43030" s="36" t="s">
        <v>48</v>
      </c>
      <c r="R43030" s="36" t="s">
        <v>48</v>
      </c>
    </row>
    <row r="43031">
      <c r="H43031" s="50"/>
      <c r="I43031" s="50"/>
      <c r="O43031" s="36" t="s">
        <v>48</v>
      </c>
      <c r="R43031" s="36" t="s">
        <v>48</v>
      </c>
    </row>
    <row r="43032">
      <c r="H43032" s="50"/>
      <c r="I43032" s="50"/>
      <c r="O43032" s="36" t="s">
        <v>48</v>
      </c>
      <c r="R43032" s="36" t="s">
        <v>48</v>
      </c>
    </row>
    <row r="43033">
      <c r="H43033" s="50"/>
      <c r="I43033" s="50"/>
      <c r="O43033" s="36" t="s">
        <v>48</v>
      </c>
      <c r="R43033" s="36" t="s">
        <v>48</v>
      </c>
    </row>
    <row r="43034">
      <c r="H43034" s="50"/>
      <c r="I43034" s="50"/>
      <c r="O43034" s="36" t="s">
        <v>48</v>
      </c>
      <c r="R43034" s="36" t="s">
        <v>48</v>
      </c>
    </row>
    <row r="43035">
      <c r="H43035" s="50"/>
      <c r="I43035" s="50"/>
      <c r="O43035" s="36" t="s">
        <v>48</v>
      </c>
      <c r="R43035" s="36" t="s">
        <v>48</v>
      </c>
    </row>
    <row r="43036">
      <c r="H43036" s="50"/>
      <c r="I43036" s="50"/>
      <c r="O43036" s="36" t="s">
        <v>48</v>
      </c>
      <c r="R43036" s="36" t="s">
        <v>48</v>
      </c>
    </row>
    <row r="43037">
      <c r="H43037" s="50"/>
      <c r="I43037" s="50"/>
      <c r="O43037" s="36" t="s">
        <v>48</v>
      </c>
      <c r="R43037" s="36" t="s">
        <v>48</v>
      </c>
    </row>
    <row r="43038">
      <c r="H43038" s="50"/>
      <c r="I43038" s="50"/>
      <c r="O43038" s="36" t="s">
        <v>48</v>
      </c>
      <c r="R43038" s="36" t="s">
        <v>48</v>
      </c>
    </row>
    <row r="43039">
      <c r="H43039" s="50"/>
      <c r="I43039" s="50"/>
      <c r="O43039" s="36" t="s">
        <v>48</v>
      </c>
      <c r="R43039" s="36" t="s">
        <v>48</v>
      </c>
    </row>
    <row r="43040">
      <c r="H43040" s="50"/>
      <c r="I43040" s="50"/>
      <c r="O43040" s="36" t="s">
        <v>48</v>
      </c>
      <c r="R43040" s="36" t="s">
        <v>48</v>
      </c>
    </row>
    <row r="43041">
      <c r="H43041" s="50"/>
      <c r="I43041" s="50"/>
      <c r="O43041" s="36" t="s">
        <v>48</v>
      </c>
      <c r="R43041" s="36" t="s">
        <v>48</v>
      </c>
    </row>
    <row r="43042">
      <c r="H43042" s="50"/>
      <c r="I43042" s="50"/>
      <c r="O43042" s="36" t="s">
        <v>48</v>
      </c>
      <c r="R43042" s="36" t="s">
        <v>48</v>
      </c>
    </row>
    <row r="43043">
      <c r="H43043" s="50"/>
      <c r="I43043" s="50"/>
      <c r="O43043" s="36" t="s">
        <v>48</v>
      </c>
      <c r="R43043" s="36" t="s">
        <v>48</v>
      </c>
    </row>
    <row r="43044">
      <c r="H43044" s="50"/>
      <c r="I43044" s="50"/>
      <c r="O43044" s="36" t="s">
        <v>48</v>
      </c>
      <c r="R43044" s="36" t="s">
        <v>48</v>
      </c>
    </row>
    <row r="43045">
      <c r="H43045" s="50"/>
      <c r="I43045" s="50"/>
      <c r="O43045" s="36" t="s">
        <v>48</v>
      </c>
      <c r="R43045" s="36" t="s">
        <v>48</v>
      </c>
    </row>
    <row r="43046">
      <c r="H43046" s="50"/>
      <c r="I43046" s="50"/>
      <c r="O43046" s="36" t="s">
        <v>48</v>
      </c>
      <c r="R43046" s="36" t="s">
        <v>48</v>
      </c>
    </row>
    <row r="43047">
      <c r="H43047" s="50"/>
      <c r="I43047" s="50"/>
      <c r="O43047" s="36" t="s">
        <v>48</v>
      </c>
      <c r="R43047" s="36" t="s">
        <v>48</v>
      </c>
    </row>
    <row r="43048">
      <c r="H43048" s="50"/>
      <c r="I43048" s="50"/>
      <c r="O43048" s="36" t="s">
        <v>48</v>
      </c>
      <c r="R43048" s="36" t="s">
        <v>48</v>
      </c>
    </row>
    <row r="43049">
      <c r="H43049" s="50"/>
      <c r="I43049" s="50"/>
      <c r="O43049" s="36" t="s">
        <v>48</v>
      </c>
      <c r="R43049" s="36" t="s">
        <v>48</v>
      </c>
    </row>
    <row r="43050">
      <c r="H43050" s="50"/>
      <c r="I43050" s="50"/>
      <c r="O43050" s="36" t="s">
        <v>48</v>
      </c>
      <c r="R43050" s="36" t="s">
        <v>48</v>
      </c>
    </row>
    <row r="43051">
      <c r="H43051" s="50"/>
      <c r="I43051" s="50"/>
      <c r="O43051" s="36" t="s">
        <v>48</v>
      </c>
      <c r="R43051" s="36" t="s">
        <v>48</v>
      </c>
    </row>
    <row r="43052">
      <c r="H43052" s="50"/>
      <c r="I43052" s="50"/>
      <c r="O43052" s="36" t="s">
        <v>48</v>
      </c>
      <c r="R43052" s="36" t="s">
        <v>48</v>
      </c>
    </row>
    <row r="43053">
      <c r="H43053" s="50"/>
      <c r="I43053" s="50"/>
      <c r="O43053" s="36" t="s">
        <v>48</v>
      </c>
      <c r="R43053" s="36" t="s">
        <v>48</v>
      </c>
    </row>
    <row r="43054">
      <c r="H43054" s="50"/>
      <c r="I43054" s="50"/>
      <c r="O43054" s="36" t="s">
        <v>48</v>
      </c>
      <c r="R43054" s="36" t="s">
        <v>48</v>
      </c>
    </row>
    <row r="43055">
      <c r="H43055" s="50"/>
      <c r="I43055" s="50"/>
      <c r="O43055" s="36" t="s">
        <v>48</v>
      </c>
      <c r="R43055" s="36" t="s">
        <v>48</v>
      </c>
    </row>
    <row r="43056">
      <c r="H43056" s="50"/>
      <c r="I43056" s="50"/>
      <c r="O43056" s="36" t="s">
        <v>48</v>
      </c>
      <c r="R43056" s="36" t="s">
        <v>48</v>
      </c>
    </row>
    <row r="43057">
      <c r="H43057" s="50"/>
      <c r="I43057" s="50"/>
      <c r="O43057" s="36" t="s">
        <v>48</v>
      </c>
      <c r="R43057" s="36" t="s">
        <v>48</v>
      </c>
    </row>
    <row r="43058">
      <c r="H43058" s="50"/>
      <c r="I43058" s="50"/>
      <c r="O43058" s="36" t="s">
        <v>48</v>
      </c>
      <c r="R43058" s="36" t="s">
        <v>48</v>
      </c>
    </row>
    <row r="43059">
      <c r="H43059" s="50"/>
      <c r="I43059" s="50"/>
      <c r="O43059" s="36" t="s">
        <v>48</v>
      </c>
      <c r="R43059" s="36" t="s">
        <v>48</v>
      </c>
    </row>
    <row r="43060">
      <c r="H43060" s="50"/>
      <c r="I43060" s="50"/>
      <c r="O43060" s="36" t="s">
        <v>48</v>
      </c>
      <c r="R43060" s="36" t="s">
        <v>48</v>
      </c>
    </row>
    <row r="43061">
      <c r="H43061" s="50"/>
      <c r="I43061" s="50"/>
      <c r="O43061" s="36" t="s">
        <v>48</v>
      </c>
      <c r="R43061" s="36" t="s">
        <v>48</v>
      </c>
    </row>
    <row r="43062">
      <c r="H43062" s="50"/>
      <c r="I43062" s="50"/>
      <c r="O43062" s="36" t="s">
        <v>48</v>
      </c>
      <c r="R43062" s="36" t="s">
        <v>48</v>
      </c>
    </row>
    <row r="43063">
      <c r="H43063" s="50"/>
      <c r="I43063" s="50"/>
      <c r="O43063" s="36" t="s">
        <v>48</v>
      </c>
      <c r="R43063" s="36" t="s">
        <v>48</v>
      </c>
    </row>
    <row r="43064">
      <c r="H43064" s="50"/>
      <c r="I43064" s="50"/>
      <c r="O43064" s="36" t="s">
        <v>48</v>
      </c>
      <c r="R43064" s="36" t="s">
        <v>48</v>
      </c>
    </row>
    <row r="43065">
      <c r="H43065" s="50"/>
      <c r="I43065" s="50"/>
      <c r="O43065" s="36" t="s">
        <v>48</v>
      </c>
      <c r="R43065" s="36" t="s">
        <v>48</v>
      </c>
    </row>
    <row r="43066">
      <c r="H43066" s="50"/>
      <c r="I43066" s="50"/>
      <c r="O43066" s="36" t="s">
        <v>48</v>
      </c>
      <c r="R43066" s="36" t="s">
        <v>48</v>
      </c>
    </row>
    <row r="43067">
      <c r="H43067" s="50"/>
      <c r="I43067" s="50"/>
      <c r="O43067" s="36" t="s">
        <v>48</v>
      </c>
      <c r="R43067" s="36" t="s">
        <v>48</v>
      </c>
    </row>
    <row r="43068">
      <c r="H43068" s="50"/>
      <c r="I43068" s="50"/>
      <c r="O43068" s="36" t="s">
        <v>48</v>
      </c>
      <c r="R43068" s="36" t="s">
        <v>48</v>
      </c>
    </row>
    <row r="43069">
      <c r="H43069" s="50"/>
      <c r="I43069" s="50"/>
      <c r="O43069" s="36" t="s">
        <v>48</v>
      </c>
      <c r="R43069" s="36" t="s">
        <v>48</v>
      </c>
    </row>
    <row r="43070">
      <c r="H43070" s="50"/>
      <c r="I43070" s="50"/>
      <c r="O43070" s="36" t="s">
        <v>48</v>
      </c>
      <c r="R43070" s="36" t="s">
        <v>48</v>
      </c>
    </row>
    <row r="43071">
      <c r="H43071" s="50"/>
      <c r="I43071" s="50"/>
      <c r="O43071" s="36" t="s">
        <v>48</v>
      </c>
      <c r="R43071" s="36" t="s">
        <v>48</v>
      </c>
    </row>
    <row r="43072">
      <c r="H43072" s="50"/>
      <c r="I43072" s="50"/>
      <c r="O43072" s="36" t="s">
        <v>48</v>
      </c>
      <c r="R43072" s="36" t="s">
        <v>48</v>
      </c>
    </row>
    <row r="43073">
      <c r="H43073" s="50"/>
      <c r="I43073" s="50"/>
      <c r="O43073" s="36" t="s">
        <v>48</v>
      </c>
      <c r="R43073" s="36" t="s">
        <v>48</v>
      </c>
    </row>
    <row r="43074">
      <c r="H43074" s="50"/>
      <c r="I43074" s="50"/>
      <c r="O43074" s="36" t="s">
        <v>48</v>
      </c>
      <c r="R43074" s="36" t="s">
        <v>48</v>
      </c>
    </row>
    <row r="43075">
      <c r="H43075" s="50"/>
      <c r="I43075" s="50"/>
      <c r="O43075" s="36" t="s">
        <v>48</v>
      </c>
      <c r="R43075" s="36" t="s">
        <v>48</v>
      </c>
    </row>
    <row r="43076">
      <c r="H43076" s="50"/>
      <c r="I43076" s="50"/>
      <c r="O43076" s="36" t="s">
        <v>48</v>
      </c>
      <c r="R43076" s="36" t="s">
        <v>48</v>
      </c>
    </row>
    <row r="43077">
      <c r="H43077" s="50"/>
      <c r="I43077" s="50"/>
      <c r="O43077" s="36" t="s">
        <v>48</v>
      </c>
      <c r="R43077" s="36" t="s">
        <v>48</v>
      </c>
    </row>
    <row r="43078">
      <c r="H43078" s="50"/>
      <c r="I43078" s="50"/>
      <c r="O43078" s="36" t="s">
        <v>48</v>
      </c>
      <c r="R43078" s="36" t="s">
        <v>48</v>
      </c>
    </row>
    <row r="43079">
      <c r="H43079" s="50"/>
      <c r="I43079" s="50"/>
      <c r="O43079" s="36" t="s">
        <v>48</v>
      </c>
      <c r="R43079" s="36" t="s">
        <v>48</v>
      </c>
    </row>
    <row r="43080">
      <c r="H43080" s="50"/>
      <c r="I43080" s="50"/>
      <c r="O43080" s="36" t="s">
        <v>48</v>
      </c>
      <c r="R43080" s="36" t="s">
        <v>48</v>
      </c>
    </row>
    <row r="43081">
      <c r="H43081" s="50"/>
      <c r="I43081" s="50"/>
      <c r="O43081" s="36" t="s">
        <v>48</v>
      </c>
      <c r="R43081" s="36" t="s">
        <v>48</v>
      </c>
    </row>
    <row r="43082">
      <c r="H43082" s="50"/>
      <c r="I43082" s="50"/>
      <c r="O43082" s="36" t="s">
        <v>48</v>
      </c>
      <c r="R43082" s="36" t="s">
        <v>48</v>
      </c>
    </row>
    <row r="43083">
      <c r="H43083" s="50"/>
      <c r="I43083" s="50"/>
      <c r="O43083" s="36" t="s">
        <v>48</v>
      </c>
      <c r="R43083" s="36" t="s">
        <v>48</v>
      </c>
    </row>
    <row r="43084">
      <c r="H43084" s="50"/>
      <c r="I43084" s="50"/>
      <c r="O43084" s="36" t="s">
        <v>48</v>
      </c>
      <c r="R43084" s="36" t="s">
        <v>48</v>
      </c>
    </row>
    <row r="43085">
      <c r="H43085" s="50"/>
      <c r="I43085" s="50"/>
      <c r="O43085" s="36" t="s">
        <v>48</v>
      </c>
      <c r="R43085" s="36" t="s">
        <v>48</v>
      </c>
    </row>
    <row r="43086">
      <c r="H43086" s="50"/>
      <c r="I43086" s="50"/>
      <c r="O43086" s="36" t="s">
        <v>48</v>
      </c>
      <c r="R43086" s="36" t="s">
        <v>48</v>
      </c>
    </row>
    <row r="43087">
      <c r="H43087" s="50"/>
      <c r="I43087" s="50"/>
      <c r="O43087" s="36" t="s">
        <v>48</v>
      </c>
      <c r="R43087" s="36" t="s">
        <v>48</v>
      </c>
    </row>
    <row r="43088">
      <c r="H43088" s="50"/>
      <c r="I43088" s="50"/>
      <c r="O43088" s="36" t="s">
        <v>48</v>
      </c>
      <c r="R43088" s="36" t="s">
        <v>48</v>
      </c>
    </row>
    <row r="43089">
      <c r="H43089" s="50"/>
      <c r="I43089" s="50"/>
      <c r="O43089" s="36" t="s">
        <v>48</v>
      </c>
      <c r="R43089" s="36" t="s">
        <v>48</v>
      </c>
    </row>
    <row r="43090">
      <c r="H43090" s="50"/>
      <c r="I43090" s="50"/>
      <c r="O43090" s="36" t="s">
        <v>48</v>
      </c>
      <c r="R43090" s="36" t="s">
        <v>48</v>
      </c>
    </row>
    <row r="43091">
      <c r="H43091" s="50"/>
      <c r="I43091" s="50"/>
      <c r="O43091" s="36" t="s">
        <v>48</v>
      </c>
      <c r="R43091" s="36" t="s">
        <v>48</v>
      </c>
    </row>
    <row r="43092">
      <c r="H43092" s="50"/>
      <c r="I43092" s="50"/>
      <c r="O43092" s="36" t="s">
        <v>48</v>
      </c>
      <c r="R43092" s="36" t="s">
        <v>48</v>
      </c>
    </row>
    <row r="43093">
      <c r="H43093" s="50"/>
      <c r="I43093" s="50"/>
      <c r="O43093" s="36" t="s">
        <v>48</v>
      </c>
      <c r="R43093" s="36" t="s">
        <v>48</v>
      </c>
    </row>
    <row r="43094">
      <c r="H43094" s="50"/>
      <c r="I43094" s="50"/>
      <c r="O43094" s="36" t="s">
        <v>48</v>
      </c>
      <c r="R43094" s="36" t="s">
        <v>48</v>
      </c>
    </row>
    <row r="43095">
      <c r="H43095" s="50"/>
      <c r="I43095" s="50"/>
      <c r="O43095" s="36" t="s">
        <v>48</v>
      </c>
      <c r="R43095" s="36" t="s">
        <v>48</v>
      </c>
    </row>
    <row r="43096">
      <c r="H43096" s="50"/>
      <c r="I43096" s="50"/>
      <c r="O43096" s="36" t="s">
        <v>48</v>
      </c>
      <c r="R43096" s="36" t="s">
        <v>48</v>
      </c>
    </row>
    <row r="43097">
      <c r="H43097" s="50"/>
      <c r="I43097" s="50"/>
      <c r="O43097" s="36" t="s">
        <v>48</v>
      </c>
      <c r="R43097" s="36" t="s">
        <v>48</v>
      </c>
    </row>
    <row r="43098">
      <c r="H43098" s="50"/>
      <c r="I43098" s="50"/>
      <c r="O43098" s="36" t="s">
        <v>48</v>
      </c>
      <c r="R43098" s="36" t="s">
        <v>48</v>
      </c>
    </row>
    <row r="43099">
      <c r="H43099" s="50"/>
      <c r="I43099" s="50"/>
      <c r="O43099" s="36" t="s">
        <v>48</v>
      </c>
      <c r="R43099" s="36" t="s">
        <v>48</v>
      </c>
    </row>
    <row r="43100">
      <c r="H43100" s="50"/>
      <c r="I43100" s="50"/>
      <c r="O43100" s="36" t="s">
        <v>48</v>
      </c>
      <c r="R43100" s="36" t="s">
        <v>48</v>
      </c>
    </row>
    <row r="43101">
      <c r="H43101" s="50"/>
      <c r="I43101" s="50"/>
      <c r="O43101" s="36" t="s">
        <v>48</v>
      </c>
      <c r="R43101" s="36" t="s">
        <v>48</v>
      </c>
    </row>
    <row r="43102">
      <c r="H43102" s="50"/>
      <c r="I43102" s="50"/>
      <c r="O43102" s="36" t="s">
        <v>48</v>
      </c>
      <c r="R43102" s="36" t="s">
        <v>48</v>
      </c>
    </row>
    <row r="43103">
      <c r="H43103" s="50"/>
      <c r="I43103" s="50"/>
      <c r="O43103" s="36" t="s">
        <v>48</v>
      </c>
      <c r="R43103" s="36" t="s">
        <v>48</v>
      </c>
    </row>
    <row r="43104">
      <c r="H43104" s="50"/>
      <c r="I43104" s="50"/>
      <c r="O43104" s="36" t="s">
        <v>48</v>
      </c>
      <c r="R43104" s="36" t="s">
        <v>48</v>
      </c>
    </row>
    <row r="43105">
      <c r="H43105" s="50"/>
      <c r="I43105" s="50"/>
      <c r="O43105" s="36" t="s">
        <v>48</v>
      </c>
      <c r="R43105" s="36" t="s">
        <v>48</v>
      </c>
    </row>
    <row r="43106">
      <c r="H43106" s="50"/>
      <c r="I43106" s="50"/>
      <c r="O43106" s="36" t="s">
        <v>48</v>
      </c>
      <c r="R43106" s="36" t="s">
        <v>48</v>
      </c>
    </row>
    <row r="43107">
      <c r="H43107" s="50"/>
      <c r="I43107" s="50"/>
      <c r="O43107" s="36" t="s">
        <v>48</v>
      </c>
      <c r="R43107" s="36" t="s">
        <v>48</v>
      </c>
    </row>
    <row r="43108">
      <c r="H43108" s="50"/>
      <c r="I43108" s="50"/>
      <c r="O43108" s="36" t="s">
        <v>48</v>
      </c>
      <c r="R43108" s="36" t="s">
        <v>48</v>
      </c>
    </row>
    <row r="43109">
      <c r="H43109" s="50"/>
      <c r="I43109" s="50"/>
      <c r="O43109" s="36" t="s">
        <v>48</v>
      </c>
      <c r="R43109" s="36" t="s">
        <v>48</v>
      </c>
    </row>
    <row r="43110">
      <c r="H43110" s="50"/>
      <c r="I43110" s="50"/>
      <c r="O43110" s="36" t="s">
        <v>48</v>
      </c>
      <c r="R43110" s="36" t="s">
        <v>48</v>
      </c>
    </row>
    <row r="43111">
      <c r="H43111" s="50"/>
      <c r="I43111" s="50"/>
      <c r="O43111" s="36" t="s">
        <v>48</v>
      </c>
      <c r="R43111" s="36" t="s">
        <v>48</v>
      </c>
    </row>
    <row r="43112">
      <c r="H43112" s="50"/>
      <c r="I43112" s="50"/>
      <c r="O43112" s="36" t="s">
        <v>48</v>
      </c>
      <c r="R43112" s="36" t="s">
        <v>48</v>
      </c>
    </row>
    <row r="43113">
      <c r="H43113" s="50"/>
      <c r="I43113" s="50"/>
      <c r="O43113" s="36" t="s">
        <v>48</v>
      </c>
      <c r="R43113" s="36" t="s">
        <v>48</v>
      </c>
    </row>
    <row r="43114">
      <c r="H43114" s="50"/>
      <c r="I43114" s="50"/>
      <c r="O43114" s="36" t="s">
        <v>48</v>
      </c>
      <c r="R43114" s="36" t="s">
        <v>48</v>
      </c>
    </row>
    <row r="43115">
      <c r="H43115" s="50"/>
      <c r="I43115" s="50"/>
      <c r="O43115" s="36" t="s">
        <v>48</v>
      </c>
      <c r="R43115" s="36" t="s">
        <v>48</v>
      </c>
    </row>
    <row r="43116">
      <c r="H43116" s="50"/>
      <c r="I43116" s="50"/>
      <c r="O43116" s="36" t="s">
        <v>48</v>
      </c>
      <c r="R43116" s="36" t="s">
        <v>48</v>
      </c>
    </row>
    <row r="43117">
      <c r="H43117" s="50"/>
      <c r="I43117" s="50"/>
      <c r="O43117" s="36" t="s">
        <v>48</v>
      </c>
      <c r="R43117" s="36" t="s">
        <v>48</v>
      </c>
    </row>
    <row r="43118">
      <c r="H43118" s="50"/>
      <c r="I43118" s="50"/>
      <c r="O43118" s="36" t="s">
        <v>48</v>
      </c>
      <c r="R43118" s="36" t="s">
        <v>48</v>
      </c>
    </row>
    <row r="43119">
      <c r="H43119" s="50"/>
      <c r="I43119" s="50"/>
      <c r="O43119" s="36" t="s">
        <v>48</v>
      </c>
      <c r="R43119" s="36" t="s">
        <v>48</v>
      </c>
    </row>
    <row r="43120">
      <c r="H43120" s="50"/>
      <c r="I43120" s="50"/>
      <c r="O43120" s="36" t="s">
        <v>48</v>
      </c>
      <c r="R43120" s="36" t="s">
        <v>48</v>
      </c>
    </row>
    <row r="43121">
      <c r="H43121" s="50"/>
      <c r="I43121" s="50"/>
      <c r="O43121" s="36" t="s">
        <v>48</v>
      </c>
      <c r="R43121" s="36" t="s">
        <v>48</v>
      </c>
    </row>
    <row r="43122">
      <c r="H43122" s="50"/>
      <c r="I43122" s="50"/>
      <c r="O43122" s="36" t="s">
        <v>48</v>
      </c>
      <c r="R43122" s="36" t="s">
        <v>48</v>
      </c>
    </row>
    <row r="43123">
      <c r="H43123" s="50"/>
      <c r="I43123" s="50"/>
      <c r="O43123" s="36" t="s">
        <v>48</v>
      </c>
      <c r="R43123" s="36" t="s">
        <v>48</v>
      </c>
    </row>
    <row r="43124">
      <c r="H43124" s="50"/>
      <c r="I43124" s="50"/>
      <c r="O43124" s="36" t="s">
        <v>48</v>
      </c>
      <c r="R43124" s="36" t="s">
        <v>48</v>
      </c>
    </row>
    <row r="43125">
      <c r="H43125" s="50"/>
      <c r="I43125" s="50"/>
      <c r="O43125" s="36" t="s">
        <v>48</v>
      </c>
      <c r="R43125" s="36" t="s">
        <v>48</v>
      </c>
    </row>
    <row r="43126">
      <c r="H43126" s="50"/>
      <c r="I43126" s="50"/>
      <c r="O43126" s="36" t="s">
        <v>48</v>
      </c>
      <c r="R43126" s="36" t="s">
        <v>48</v>
      </c>
    </row>
    <row r="43127">
      <c r="H43127" s="50"/>
      <c r="I43127" s="50"/>
      <c r="O43127" s="36" t="s">
        <v>48</v>
      </c>
      <c r="R43127" s="36" t="s">
        <v>48</v>
      </c>
    </row>
    <row r="43128">
      <c r="H43128" s="50"/>
      <c r="I43128" s="50"/>
      <c r="O43128" s="36" t="s">
        <v>48</v>
      </c>
      <c r="R43128" s="36" t="s">
        <v>48</v>
      </c>
    </row>
    <row r="43129">
      <c r="H43129" s="50"/>
      <c r="I43129" s="50"/>
      <c r="O43129" s="36" t="s">
        <v>48</v>
      </c>
      <c r="R43129" s="36" t="s">
        <v>48</v>
      </c>
    </row>
    <row r="43130">
      <c r="H43130" s="50"/>
      <c r="I43130" s="50"/>
      <c r="O43130" s="36" t="s">
        <v>48</v>
      </c>
      <c r="R43130" s="36" t="s">
        <v>48</v>
      </c>
    </row>
    <row r="43131">
      <c r="H43131" s="50"/>
      <c r="I43131" s="50"/>
      <c r="O43131" s="36" t="s">
        <v>48</v>
      </c>
      <c r="R43131" s="36" t="s">
        <v>48</v>
      </c>
    </row>
    <row r="43132">
      <c r="H43132" s="50"/>
      <c r="I43132" s="50"/>
      <c r="O43132" s="36" t="s">
        <v>48</v>
      </c>
      <c r="R43132" s="36" t="s">
        <v>48</v>
      </c>
    </row>
    <row r="43133">
      <c r="H43133" s="50"/>
      <c r="I43133" s="50"/>
      <c r="O43133" s="36" t="s">
        <v>48</v>
      </c>
      <c r="R43133" s="36" t="s">
        <v>48</v>
      </c>
    </row>
    <row r="43134">
      <c r="H43134" s="50"/>
      <c r="I43134" s="50"/>
      <c r="O43134" s="36" t="s">
        <v>48</v>
      </c>
      <c r="R43134" s="36" t="s">
        <v>48</v>
      </c>
    </row>
    <row r="43135">
      <c r="H43135" s="50"/>
      <c r="I43135" s="50"/>
      <c r="O43135" s="36" t="s">
        <v>48</v>
      </c>
      <c r="R43135" s="36" t="s">
        <v>48</v>
      </c>
    </row>
    <row r="43136">
      <c r="H43136" s="50"/>
      <c r="I43136" s="50"/>
      <c r="O43136" s="36" t="s">
        <v>48</v>
      </c>
      <c r="R43136" s="36" t="s">
        <v>48</v>
      </c>
    </row>
    <row r="43137">
      <c r="H43137" s="50"/>
      <c r="I43137" s="50"/>
      <c r="O43137" s="36" t="s">
        <v>48</v>
      </c>
      <c r="R43137" s="36" t="s">
        <v>48</v>
      </c>
    </row>
    <row r="43138">
      <c r="H43138" s="50"/>
      <c r="I43138" s="50"/>
      <c r="O43138" s="36" t="s">
        <v>48</v>
      </c>
      <c r="R43138" s="36" t="s">
        <v>48</v>
      </c>
    </row>
    <row r="43139">
      <c r="H43139" s="50"/>
      <c r="I43139" s="50"/>
      <c r="O43139" s="36" t="s">
        <v>48</v>
      </c>
      <c r="R43139" s="36" t="s">
        <v>48</v>
      </c>
    </row>
    <row r="43140">
      <c r="H43140" s="50"/>
      <c r="I43140" s="50"/>
      <c r="O43140" s="36" t="s">
        <v>48</v>
      </c>
      <c r="R43140" s="36" t="s">
        <v>48</v>
      </c>
    </row>
    <row r="43141">
      <c r="H43141" s="50"/>
      <c r="I43141" s="50"/>
      <c r="O43141" s="36" t="s">
        <v>48</v>
      </c>
      <c r="R43141" s="36" t="s">
        <v>48</v>
      </c>
    </row>
    <row r="43142">
      <c r="H43142" s="50"/>
      <c r="I43142" s="50"/>
      <c r="O43142" s="36" t="s">
        <v>48</v>
      </c>
      <c r="R43142" s="36" t="s">
        <v>48</v>
      </c>
    </row>
    <row r="43143">
      <c r="H43143" s="50"/>
      <c r="I43143" s="50"/>
      <c r="O43143" s="36" t="s">
        <v>48</v>
      </c>
      <c r="R43143" s="36" t="s">
        <v>48</v>
      </c>
    </row>
    <row r="43144">
      <c r="H43144" s="50"/>
      <c r="I43144" s="50"/>
      <c r="O43144" s="36" t="s">
        <v>48</v>
      </c>
      <c r="R43144" s="36" t="s">
        <v>48</v>
      </c>
    </row>
    <row r="43145">
      <c r="H43145" s="50"/>
      <c r="I43145" s="50"/>
      <c r="O43145" s="36" t="s">
        <v>48</v>
      </c>
      <c r="R43145" s="36" t="s">
        <v>48</v>
      </c>
    </row>
    <row r="43146">
      <c r="H43146" s="50"/>
      <c r="I43146" s="50"/>
      <c r="O43146" s="36" t="s">
        <v>48</v>
      </c>
      <c r="R43146" s="36" t="s">
        <v>48</v>
      </c>
    </row>
    <row r="43147">
      <c r="H43147" s="50"/>
      <c r="I43147" s="50"/>
      <c r="O43147" s="36" t="s">
        <v>48</v>
      </c>
      <c r="R43147" s="36" t="s">
        <v>48</v>
      </c>
    </row>
    <row r="43148">
      <c r="H43148" s="50"/>
      <c r="I43148" s="50"/>
      <c r="O43148" s="36" t="s">
        <v>48</v>
      </c>
      <c r="R43148" s="36" t="s">
        <v>48</v>
      </c>
    </row>
    <row r="43149">
      <c r="H43149" s="50"/>
      <c r="I43149" s="50"/>
      <c r="O43149" s="36" t="s">
        <v>48</v>
      </c>
      <c r="R43149" s="36" t="s">
        <v>48</v>
      </c>
    </row>
    <row r="43150">
      <c r="H43150" s="50"/>
      <c r="I43150" s="50"/>
      <c r="O43150" s="36" t="s">
        <v>48</v>
      </c>
      <c r="R43150" s="36" t="s">
        <v>48</v>
      </c>
    </row>
    <row r="43151">
      <c r="H43151" s="50"/>
      <c r="I43151" s="50"/>
      <c r="O43151" s="36" t="s">
        <v>48</v>
      </c>
      <c r="R43151" s="36" t="s">
        <v>48</v>
      </c>
    </row>
    <row r="43152">
      <c r="H43152" s="50"/>
      <c r="I43152" s="50"/>
      <c r="O43152" s="36" t="s">
        <v>48</v>
      </c>
      <c r="R43152" s="36" t="s">
        <v>48</v>
      </c>
    </row>
    <row r="43153">
      <c r="H43153" s="50"/>
      <c r="I43153" s="50"/>
      <c r="O43153" s="36" t="s">
        <v>48</v>
      </c>
      <c r="R43153" s="36" t="s">
        <v>48</v>
      </c>
    </row>
    <row r="43154">
      <c r="H43154" s="50"/>
      <c r="I43154" s="50"/>
      <c r="O43154" s="36" t="s">
        <v>48</v>
      </c>
      <c r="R43154" s="36" t="s">
        <v>48</v>
      </c>
    </row>
    <row r="43155">
      <c r="H43155" s="50"/>
      <c r="I43155" s="50"/>
      <c r="O43155" s="36" t="s">
        <v>48</v>
      </c>
      <c r="R43155" s="36" t="s">
        <v>48</v>
      </c>
    </row>
    <row r="43156">
      <c r="H43156" s="50"/>
      <c r="I43156" s="50"/>
      <c r="O43156" s="36" t="s">
        <v>48</v>
      </c>
      <c r="R43156" s="36" t="s">
        <v>48</v>
      </c>
    </row>
    <row r="43157">
      <c r="H43157" s="50"/>
      <c r="I43157" s="50"/>
      <c r="O43157" s="36" t="s">
        <v>48</v>
      </c>
      <c r="R43157" s="36" t="s">
        <v>48</v>
      </c>
    </row>
    <row r="43158">
      <c r="H43158" s="50"/>
      <c r="I43158" s="50"/>
      <c r="O43158" s="36" t="s">
        <v>48</v>
      </c>
      <c r="R43158" s="36" t="s">
        <v>48</v>
      </c>
    </row>
    <row r="43159">
      <c r="H43159" s="50"/>
      <c r="I43159" s="50"/>
      <c r="O43159" s="36" t="s">
        <v>48</v>
      </c>
      <c r="R43159" s="36" t="s">
        <v>48</v>
      </c>
    </row>
    <row r="43160">
      <c r="H43160" s="50"/>
      <c r="I43160" s="50"/>
      <c r="O43160" s="36" t="s">
        <v>48</v>
      </c>
      <c r="R43160" s="36" t="s">
        <v>48</v>
      </c>
    </row>
    <row r="43161">
      <c r="H43161" s="50"/>
      <c r="I43161" s="50"/>
      <c r="O43161" s="36" t="s">
        <v>48</v>
      </c>
      <c r="R43161" s="36" t="s">
        <v>48</v>
      </c>
    </row>
    <row r="43162">
      <c r="H43162" s="50"/>
      <c r="I43162" s="50"/>
      <c r="O43162" s="36" t="s">
        <v>48</v>
      </c>
      <c r="R43162" s="36" t="s">
        <v>48</v>
      </c>
    </row>
    <row r="43163">
      <c r="H43163" s="50"/>
      <c r="I43163" s="50"/>
      <c r="O43163" s="36" t="s">
        <v>48</v>
      </c>
      <c r="R43163" s="36" t="s">
        <v>48</v>
      </c>
    </row>
    <row r="43164">
      <c r="H43164" s="50"/>
      <c r="I43164" s="50"/>
      <c r="O43164" s="36" t="s">
        <v>48</v>
      </c>
      <c r="R43164" s="36" t="s">
        <v>48</v>
      </c>
    </row>
    <row r="43165">
      <c r="H43165" s="50"/>
      <c r="I43165" s="50"/>
      <c r="O43165" s="36" t="s">
        <v>48</v>
      </c>
      <c r="R43165" s="36" t="s">
        <v>48</v>
      </c>
    </row>
    <row r="43166">
      <c r="H43166" s="50"/>
      <c r="I43166" s="50"/>
      <c r="O43166" s="36" t="s">
        <v>48</v>
      </c>
      <c r="R43166" s="36" t="s">
        <v>48</v>
      </c>
    </row>
    <row r="43167">
      <c r="H43167" s="50"/>
      <c r="I43167" s="50"/>
      <c r="O43167" s="36" t="s">
        <v>48</v>
      </c>
      <c r="R43167" s="36" t="s">
        <v>48</v>
      </c>
    </row>
    <row r="43168">
      <c r="H43168" s="50"/>
      <c r="I43168" s="50"/>
      <c r="O43168" s="36" t="s">
        <v>48</v>
      </c>
      <c r="R43168" s="36" t="s">
        <v>48</v>
      </c>
    </row>
    <row r="43169">
      <c r="H43169" s="50"/>
      <c r="I43169" s="50"/>
      <c r="O43169" s="36" t="s">
        <v>48</v>
      </c>
      <c r="R43169" s="36" t="s">
        <v>48</v>
      </c>
    </row>
    <row r="43170">
      <c r="H43170" s="50"/>
      <c r="I43170" s="50"/>
      <c r="O43170" s="36" t="s">
        <v>48</v>
      </c>
      <c r="R43170" s="36" t="s">
        <v>48</v>
      </c>
    </row>
    <row r="43171">
      <c r="H43171" s="50"/>
      <c r="I43171" s="50"/>
      <c r="O43171" s="36" t="s">
        <v>48</v>
      </c>
      <c r="R43171" s="36" t="s">
        <v>48</v>
      </c>
    </row>
    <row r="43172">
      <c r="H43172" s="50"/>
      <c r="I43172" s="50"/>
      <c r="O43172" s="36" t="s">
        <v>48</v>
      </c>
      <c r="R43172" s="36" t="s">
        <v>48</v>
      </c>
    </row>
    <row r="43173">
      <c r="H43173" s="50"/>
      <c r="I43173" s="50"/>
      <c r="O43173" s="36" t="s">
        <v>48</v>
      </c>
      <c r="R43173" s="36" t="s">
        <v>48</v>
      </c>
    </row>
    <row r="43174">
      <c r="H43174" s="50"/>
      <c r="I43174" s="50"/>
      <c r="O43174" s="36" t="s">
        <v>48</v>
      </c>
      <c r="R43174" s="36" t="s">
        <v>48</v>
      </c>
    </row>
    <row r="43175">
      <c r="H43175" s="50"/>
      <c r="I43175" s="50"/>
      <c r="O43175" s="36" t="s">
        <v>48</v>
      </c>
      <c r="R43175" s="36" t="s">
        <v>48</v>
      </c>
    </row>
    <row r="43176">
      <c r="H43176" s="50"/>
      <c r="I43176" s="50"/>
      <c r="O43176" s="36" t="s">
        <v>48</v>
      </c>
      <c r="R43176" s="36" t="s">
        <v>48</v>
      </c>
    </row>
    <row r="43177">
      <c r="H43177" s="50"/>
      <c r="I43177" s="50"/>
      <c r="O43177" s="36" t="s">
        <v>48</v>
      </c>
      <c r="R43177" s="36" t="s">
        <v>48</v>
      </c>
    </row>
    <row r="43178">
      <c r="H43178" s="50"/>
      <c r="I43178" s="50"/>
      <c r="O43178" s="36" t="s">
        <v>48</v>
      </c>
      <c r="R43178" s="36" t="s">
        <v>48</v>
      </c>
    </row>
    <row r="43179">
      <c r="H43179" s="50"/>
      <c r="I43179" s="50"/>
      <c r="O43179" s="36" t="s">
        <v>48</v>
      </c>
      <c r="R43179" s="36" t="s">
        <v>48</v>
      </c>
    </row>
    <row r="43180">
      <c r="H43180" s="50"/>
      <c r="I43180" s="50"/>
      <c r="O43180" s="36" t="s">
        <v>48</v>
      </c>
      <c r="R43180" s="36" t="s">
        <v>48</v>
      </c>
    </row>
    <row r="43181">
      <c r="H43181" s="50"/>
      <c r="I43181" s="50"/>
      <c r="O43181" s="36" t="s">
        <v>48</v>
      </c>
      <c r="R43181" s="36" t="s">
        <v>48</v>
      </c>
    </row>
    <row r="43182">
      <c r="H43182" s="50"/>
      <c r="I43182" s="50"/>
      <c r="O43182" s="36" t="s">
        <v>48</v>
      </c>
      <c r="R43182" s="36" t="s">
        <v>48</v>
      </c>
    </row>
    <row r="43183">
      <c r="H43183" s="50"/>
      <c r="I43183" s="50"/>
      <c r="O43183" s="36" t="s">
        <v>48</v>
      </c>
      <c r="R43183" s="36" t="s">
        <v>48</v>
      </c>
    </row>
    <row r="43184">
      <c r="H43184" s="50"/>
      <c r="I43184" s="50"/>
      <c r="O43184" s="36" t="s">
        <v>48</v>
      </c>
      <c r="R43184" s="36" t="s">
        <v>48</v>
      </c>
    </row>
    <row r="43185">
      <c r="H43185" s="50"/>
      <c r="I43185" s="50"/>
      <c r="O43185" s="36" t="s">
        <v>48</v>
      </c>
      <c r="R43185" s="36" t="s">
        <v>48</v>
      </c>
    </row>
    <row r="43186">
      <c r="H43186" s="50"/>
      <c r="I43186" s="50"/>
      <c r="O43186" s="36" t="s">
        <v>48</v>
      </c>
      <c r="R43186" s="36" t="s">
        <v>48</v>
      </c>
    </row>
    <row r="43187">
      <c r="H43187" s="50"/>
      <c r="I43187" s="50"/>
      <c r="O43187" s="36" t="s">
        <v>48</v>
      </c>
      <c r="R43187" s="36" t="s">
        <v>48</v>
      </c>
    </row>
    <row r="43188">
      <c r="H43188" s="50"/>
      <c r="I43188" s="50"/>
      <c r="O43188" s="36" t="s">
        <v>48</v>
      </c>
      <c r="R43188" s="36" t="s">
        <v>48</v>
      </c>
    </row>
    <row r="43189">
      <c r="H43189" s="50"/>
      <c r="I43189" s="50"/>
      <c r="O43189" s="36" t="s">
        <v>48</v>
      </c>
      <c r="R43189" s="36" t="s">
        <v>48</v>
      </c>
    </row>
    <row r="43190">
      <c r="H43190" s="50"/>
      <c r="I43190" s="50"/>
      <c r="O43190" s="36" t="s">
        <v>48</v>
      </c>
      <c r="R43190" s="36" t="s">
        <v>48</v>
      </c>
    </row>
    <row r="43191">
      <c r="H43191" s="50"/>
      <c r="I43191" s="50"/>
      <c r="O43191" s="36" t="s">
        <v>48</v>
      </c>
      <c r="R43191" s="36" t="s">
        <v>48</v>
      </c>
    </row>
    <row r="43192">
      <c r="H43192" s="50"/>
      <c r="I43192" s="50"/>
      <c r="O43192" s="36" t="s">
        <v>48</v>
      </c>
      <c r="R43192" s="36" t="s">
        <v>48</v>
      </c>
    </row>
    <row r="43193">
      <c r="H43193" s="50"/>
      <c r="I43193" s="50"/>
      <c r="O43193" s="36" t="s">
        <v>48</v>
      </c>
      <c r="R43193" s="36" t="s">
        <v>48</v>
      </c>
    </row>
    <row r="43194">
      <c r="H43194" s="50"/>
      <c r="I43194" s="50"/>
      <c r="O43194" s="36" t="s">
        <v>48</v>
      </c>
      <c r="R43194" s="36" t="s">
        <v>48</v>
      </c>
    </row>
    <row r="43195">
      <c r="H43195" s="50"/>
      <c r="I43195" s="50"/>
      <c r="O43195" s="36" t="s">
        <v>48</v>
      </c>
      <c r="R43195" s="36" t="s">
        <v>48</v>
      </c>
    </row>
    <row r="43196">
      <c r="H43196" s="50"/>
      <c r="I43196" s="50"/>
      <c r="O43196" s="36" t="s">
        <v>48</v>
      </c>
      <c r="R43196" s="36" t="s">
        <v>48</v>
      </c>
    </row>
    <row r="43197">
      <c r="H43197" s="50"/>
      <c r="I43197" s="50"/>
      <c r="O43197" s="36" t="s">
        <v>48</v>
      </c>
      <c r="R43197" s="36" t="s">
        <v>48</v>
      </c>
    </row>
    <row r="43198">
      <c r="H43198" s="50"/>
      <c r="I43198" s="50"/>
      <c r="O43198" s="36" t="s">
        <v>48</v>
      </c>
      <c r="R43198" s="36" t="s">
        <v>48</v>
      </c>
    </row>
    <row r="43199">
      <c r="H43199" s="50"/>
      <c r="I43199" s="50"/>
      <c r="O43199" s="36" t="s">
        <v>48</v>
      </c>
      <c r="R43199" s="36" t="s">
        <v>48</v>
      </c>
    </row>
    <row r="43200">
      <c r="H43200" s="50"/>
      <c r="I43200" s="50"/>
      <c r="O43200" s="36" t="s">
        <v>48</v>
      </c>
      <c r="R43200" s="36" t="s">
        <v>48</v>
      </c>
    </row>
    <row r="43201">
      <c r="H43201" s="50"/>
      <c r="I43201" s="50"/>
      <c r="O43201" s="36" t="s">
        <v>48</v>
      </c>
      <c r="R43201" s="36" t="s">
        <v>48</v>
      </c>
    </row>
    <row r="43202">
      <c r="H43202" s="50"/>
      <c r="I43202" s="50"/>
      <c r="O43202" s="36" t="s">
        <v>48</v>
      </c>
      <c r="R43202" s="36" t="s">
        <v>48</v>
      </c>
    </row>
    <row r="43203">
      <c r="H43203" s="50"/>
      <c r="I43203" s="50"/>
      <c r="O43203" s="36" t="s">
        <v>48</v>
      </c>
      <c r="R43203" s="36" t="s">
        <v>48</v>
      </c>
    </row>
    <row r="43204">
      <c r="H43204" s="50"/>
      <c r="I43204" s="50"/>
      <c r="O43204" s="36" t="s">
        <v>48</v>
      </c>
      <c r="R43204" s="36" t="s">
        <v>48</v>
      </c>
    </row>
    <row r="43205">
      <c r="H43205" s="50"/>
      <c r="I43205" s="50"/>
      <c r="O43205" s="36" t="s">
        <v>48</v>
      </c>
      <c r="R43205" s="36" t="s">
        <v>48</v>
      </c>
    </row>
    <row r="43206">
      <c r="H43206" s="50"/>
      <c r="I43206" s="50"/>
      <c r="O43206" s="36" t="s">
        <v>48</v>
      </c>
      <c r="R43206" s="36" t="s">
        <v>48</v>
      </c>
    </row>
    <row r="43207">
      <c r="H43207" s="50"/>
      <c r="I43207" s="50"/>
      <c r="O43207" s="36" t="s">
        <v>48</v>
      </c>
      <c r="R43207" s="36" t="s">
        <v>48</v>
      </c>
    </row>
    <row r="43208">
      <c r="H43208" s="50"/>
      <c r="I43208" s="50"/>
      <c r="O43208" s="36" t="s">
        <v>48</v>
      </c>
      <c r="R43208" s="36" t="s">
        <v>48</v>
      </c>
    </row>
    <row r="43209">
      <c r="H43209" s="50"/>
      <c r="I43209" s="50"/>
      <c r="O43209" s="36" t="s">
        <v>48</v>
      </c>
      <c r="R43209" s="36" t="s">
        <v>48</v>
      </c>
    </row>
    <row r="43210">
      <c r="H43210" s="50"/>
      <c r="I43210" s="50"/>
      <c r="O43210" s="36" t="s">
        <v>48</v>
      </c>
      <c r="R43210" s="36" t="s">
        <v>48</v>
      </c>
    </row>
    <row r="43211">
      <c r="H43211" s="50"/>
      <c r="I43211" s="50"/>
      <c r="O43211" s="36" t="s">
        <v>48</v>
      </c>
      <c r="R43211" s="36" t="s">
        <v>48</v>
      </c>
    </row>
    <row r="43212">
      <c r="H43212" s="50"/>
      <c r="I43212" s="50"/>
      <c r="O43212" s="36" t="s">
        <v>48</v>
      </c>
      <c r="R43212" s="36" t="s">
        <v>48</v>
      </c>
    </row>
    <row r="43213">
      <c r="H43213" s="50"/>
      <c r="I43213" s="50"/>
      <c r="O43213" s="36" t="s">
        <v>48</v>
      </c>
      <c r="R43213" s="36" t="s">
        <v>48</v>
      </c>
    </row>
    <row r="43214">
      <c r="H43214" s="50"/>
      <c r="I43214" s="50"/>
      <c r="O43214" s="36" t="s">
        <v>48</v>
      </c>
      <c r="R43214" s="36" t="s">
        <v>48</v>
      </c>
    </row>
    <row r="43215">
      <c r="H43215" s="50"/>
      <c r="I43215" s="50"/>
      <c r="O43215" s="36" t="s">
        <v>48</v>
      </c>
      <c r="R43215" s="36" t="s">
        <v>48</v>
      </c>
    </row>
    <row r="43216">
      <c r="H43216" s="50"/>
      <c r="I43216" s="50"/>
      <c r="O43216" s="36" t="s">
        <v>48</v>
      </c>
      <c r="R43216" s="36" t="s">
        <v>48</v>
      </c>
    </row>
    <row r="43217">
      <c r="H43217" s="50"/>
      <c r="I43217" s="50"/>
      <c r="O43217" s="36" t="s">
        <v>48</v>
      </c>
      <c r="R43217" s="36" t="s">
        <v>48</v>
      </c>
    </row>
    <row r="43218">
      <c r="H43218" s="50"/>
      <c r="I43218" s="50"/>
      <c r="O43218" s="36" t="s">
        <v>48</v>
      </c>
      <c r="R43218" s="36" t="s">
        <v>48</v>
      </c>
    </row>
    <row r="43219">
      <c r="H43219" s="50"/>
      <c r="I43219" s="50"/>
      <c r="O43219" s="36" t="s">
        <v>48</v>
      </c>
      <c r="R43219" s="36" t="s">
        <v>48</v>
      </c>
    </row>
    <row r="43220">
      <c r="H43220" s="50"/>
      <c r="I43220" s="50"/>
      <c r="O43220" s="36" t="s">
        <v>48</v>
      </c>
      <c r="R43220" s="36" t="s">
        <v>48</v>
      </c>
    </row>
    <row r="43221">
      <c r="H43221" s="50"/>
      <c r="I43221" s="50"/>
      <c r="O43221" s="36" t="s">
        <v>48</v>
      </c>
      <c r="R43221" s="36" t="s">
        <v>48</v>
      </c>
    </row>
    <row r="43222">
      <c r="H43222" s="50"/>
      <c r="I43222" s="50"/>
      <c r="O43222" s="36" t="s">
        <v>48</v>
      </c>
      <c r="R43222" s="36" t="s">
        <v>48</v>
      </c>
    </row>
    <row r="43223">
      <c r="H43223" s="50"/>
      <c r="I43223" s="50"/>
      <c r="O43223" s="36" t="s">
        <v>48</v>
      </c>
      <c r="R43223" s="36" t="s">
        <v>48</v>
      </c>
    </row>
    <row r="43224">
      <c r="H43224" s="50"/>
      <c r="I43224" s="50"/>
      <c r="O43224" s="36" t="s">
        <v>48</v>
      </c>
      <c r="R43224" s="36" t="s">
        <v>48</v>
      </c>
    </row>
    <row r="43225">
      <c r="H43225" s="50"/>
      <c r="I43225" s="50"/>
      <c r="O43225" s="36" t="s">
        <v>48</v>
      </c>
      <c r="R43225" s="36" t="s">
        <v>48</v>
      </c>
    </row>
    <row r="43226">
      <c r="H43226" s="50"/>
      <c r="I43226" s="50"/>
      <c r="O43226" s="36" t="s">
        <v>48</v>
      </c>
      <c r="R43226" s="36" t="s">
        <v>48</v>
      </c>
    </row>
    <row r="43227">
      <c r="H43227" s="50"/>
      <c r="I43227" s="50"/>
      <c r="O43227" s="36" t="s">
        <v>48</v>
      </c>
      <c r="R43227" s="36" t="s">
        <v>48</v>
      </c>
    </row>
    <row r="43228">
      <c r="H43228" s="50"/>
      <c r="I43228" s="50"/>
      <c r="O43228" s="36" t="s">
        <v>48</v>
      </c>
      <c r="R43228" s="36" t="s">
        <v>48</v>
      </c>
    </row>
    <row r="43229">
      <c r="H43229" s="50"/>
      <c r="I43229" s="50"/>
      <c r="O43229" s="36" t="s">
        <v>48</v>
      </c>
      <c r="R43229" s="36" t="s">
        <v>48</v>
      </c>
    </row>
    <row r="43230">
      <c r="H43230" s="50"/>
      <c r="I43230" s="50"/>
      <c r="O43230" s="36" t="s">
        <v>48</v>
      </c>
      <c r="R43230" s="36" t="s">
        <v>48</v>
      </c>
    </row>
    <row r="43231">
      <c r="H43231" s="50"/>
      <c r="I43231" s="50"/>
      <c r="O43231" s="36" t="s">
        <v>48</v>
      </c>
      <c r="R43231" s="36" t="s">
        <v>48</v>
      </c>
    </row>
    <row r="43232">
      <c r="H43232" s="50"/>
      <c r="I43232" s="50"/>
      <c r="O43232" s="36" t="s">
        <v>48</v>
      </c>
      <c r="R43232" s="36" t="s">
        <v>48</v>
      </c>
    </row>
    <row r="43233">
      <c r="H43233" s="50"/>
      <c r="I43233" s="50"/>
      <c r="O43233" s="36" t="s">
        <v>48</v>
      </c>
      <c r="R43233" s="36" t="s">
        <v>48</v>
      </c>
    </row>
    <row r="43234">
      <c r="H43234" s="50"/>
      <c r="I43234" s="50"/>
      <c r="O43234" s="36" t="s">
        <v>48</v>
      </c>
      <c r="R43234" s="36" t="s">
        <v>48</v>
      </c>
    </row>
    <row r="43235">
      <c r="H43235" s="50"/>
      <c r="I43235" s="50"/>
      <c r="O43235" s="36" t="s">
        <v>48</v>
      </c>
      <c r="R43235" s="36" t="s">
        <v>48</v>
      </c>
    </row>
    <row r="43236">
      <c r="H43236" s="50"/>
      <c r="I43236" s="50"/>
      <c r="O43236" s="36" t="s">
        <v>48</v>
      </c>
      <c r="R43236" s="36" t="s">
        <v>48</v>
      </c>
    </row>
    <row r="43237">
      <c r="H43237" s="50"/>
      <c r="I43237" s="50"/>
      <c r="O43237" s="36" t="s">
        <v>48</v>
      </c>
      <c r="R43237" s="36" t="s">
        <v>48</v>
      </c>
    </row>
    <row r="43238">
      <c r="H43238" s="50"/>
      <c r="I43238" s="50"/>
      <c r="O43238" s="36" t="s">
        <v>48</v>
      </c>
      <c r="R43238" s="36" t="s">
        <v>48</v>
      </c>
    </row>
    <row r="43239">
      <c r="H43239" s="50"/>
      <c r="I43239" s="50"/>
      <c r="O43239" s="36" t="s">
        <v>48</v>
      </c>
      <c r="R43239" s="36" t="s">
        <v>48</v>
      </c>
    </row>
    <row r="43240">
      <c r="H43240" s="50"/>
      <c r="I43240" s="50"/>
      <c r="O43240" s="36" t="s">
        <v>48</v>
      </c>
      <c r="R43240" s="36" t="s">
        <v>48</v>
      </c>
    </row>
    <row r="43241">
      <c r="H43241" s="50"/>
      <c r="I43241" s="50"/>
      <c r="O43241" s="36" t="s">
        <v>48</v>
      </c>
      <c r="R43241" s="36" t="s">
        <v>48</v>
      </c>
    </row>
    <row r="43242">
      <c r="H43242" s="50"/>
      <c r="I43242" s="50"/>
      <c r="O43242" s="36" t="s">
        <v>48</v>
      </c>
      <c r="R43242" s="36" t="s">
        <v>48</v>
      </c>
    </row>
    <row r="43243">
      <c r="H43243" s="50"/>
      <c r="I43243" s="50"/>
      <c r="O43243" s="36" t="s">
        <v>48</v>
      </c>
      <c r="R43243" s="36" t="s">
        <v>48</v>
      </c>
    </row>
    <row r="43244">
      <c r="H43244" s="50"/>
      <c r="I43244" s="50"/>
      <c r="O43244" s="36" t="s">
        <v>48</v>
      </c>
      <c r="R43244" s="36" t="s">
        <v>48</v>
      </c>
    </row>
    <row r="43245">
      <c r="H43245" s="50"/>
      <c r="I43245" s="50"/>
      <c r="O43245" s="36" t="s">
        <v>48</v>
      </c>
      <c r="R43245" s="36" t="s">
        <v>48</v>
      </c>
    </row>
    <row r="43246">
      <c r="H43246" s="50"/>
      <c r="I43246" s="50"/>
      <c r="O43246" s="36" t="s">
        <v>48</v>
      </c>
      <c r="R43246" s="36" t="s">
        <v>48</v>
      </c>
    </row>
    <row r="43247">
      <c r="H43247" s="50"/>
      <c r="I43247" s="50"/>
      <c r="O43247" s="36" t="s">
        <v>48</v>
      </c>
      <c r="R43247" s="36" t="s">
        <v>48</v>
      </c>
    </row>
    <row r="43248">
      <c r="H43248" s="50"/>
      <c r="I43248" s="50"/>
      <c r="O43248" s="36" t="s">
        <v>48</v>
      </c>
      <c r="R43248" s="36" t="s">
        <v>48</v>
      </c>
    </row>
    <row r="43249">
      <c r="H43249" s="50"/>
      <c r="I43249" s="50"/>
      <c r="O43249" s="36" t="s">
        <v>48</v>
      </c>
      <c r="R43249" s="36" t="s">
        <v>48</v>
      </c>
    </row>
    <row r="43250">
      <c r="H43250" s="50"/>
      <c r="I43250" s="50"/>
      <c r="O43250" s="36" t="s">
        <v>48</v>
      </c>
      <c r="R43250" s="36" t="s">
        <v>48</v>
      </c>
    </row>
    <row r="43251">
      <c r="H43251" s="50"/>
      <c r="I43251" s="50"/>
      <c r="O43251" s="36" t="s">
        <v>48</v>
      </c>
      <c r="R43251" s="36" t="s">
        <v>48</v>
      </c>
    </row>
    <row r="43252">
      <c r="H43252" s="50"/>
      <c r="I43252" s="50"/>
      <c r="O43252" s="36" t="s">
        <v>48</v>
      </c>
      <c r="R43252" s="36" t="s">
        <v>48</v>
      </c>
    </row>
    <row r="43253">
      <c r="H43253" s="50"/>
      <c r="I43253" s="50"/>
      <c r="O43253" s="36" t="s">
        <v>48</v>
      </c>
      <c r="R43253" s="36" t="s">
        <v>48</v>
      </c>
    </row>
    <row r="43254">
      <c r="H43254" s="50"/>
      <c r="I43254" s="50"/>
      <c r="O43254" s="36" t="s">
        <v>48</v>
      </c>
      <c r="R43254" s="36" t="s">
        <v>48</v>
      </c>
    </row>
    <row r="43255">
      <c r="H43255" s="50"/>
      <c r="I43255" s="50"/>
      <c r="O43255" s="36" t="s">
        <v>48</v>
      </c>
      <c r="R43255" s="36" t="s">
        <v>48</v>
      </c>
    </row>
    <row r="43256">
      <c r="H43256" s="50"/>
      <c r="I43256" s="50"/>
      <c r="O43256" s="36" t="s">
        <v>48</v>
      </c>
      <c r="R43256" s="36" t="s">
        <v>48</v>
      </c>
    </row>
    <row r="43257">
      <c r="H43257" s="50"/>
      <c r="I43257" s="50"/>
      <c r="O43257" s="36" t="s">
        <v>48</v>
      </c>
      <c r="R43257" s="36" t="s">
        <v>48</v>
      </c>
    </row>
    <row r="43258">
      <c r="H43258" s="50"/>
      <c r="I43258" s="50"/>
      <c r="O43258" s="36" t="s">
        <v>48</v>
      </c>
      <c r="R43258" s="36" t="s">
        <v>48</v>
      </c>
    </row>
    <row r="43259">
      <c r="H43259" s="50"/>
      <c r="I43259" s="50"/>
      <c r="O43259" s="36" t="s">
        <v>48</v>
      </c>
      <c r="R43259" s="36" t="s">
        <v>48</v>
      </c>
    </row>
    <row r="43260">
      <c r="H43260" s="50"/>
      <c r="I43260" s="50"/>
      <c r="O43260" s="36" t="s">
        <v>48</v>
      </c>
      <c r="R43260" s="36" t="s">
        <v>48</v>
      </c>
    </row>
    <row r="43261">
      <c r="H43261" s="50"/>
      <c r="I43261" s="50"/>
      <c r="O43261" s="36" t="s">
        <v>48</v>
      </c>
      <c r="R43261" s="36" t="s">
        <v>48</v>
      </c>
    </row>
    <row r="43262">
      <c r="H43262" s="50"/>
      <c r="I43262" s="50"/>
      <c r="O43262" s="36" t="s">
        <v>48</v>
      </c>
      <c r="R43262" s="36" t="s">
        <v>48</v>
      </c>
    </row>
    <row r="43263">
      <c r="H43263" s="50"/>
      <c r="I43263" s="50"/>
      <c r="O43263" s="36" t="s">
        <v>48</v>
      </c>
      <c r="R43263" s="36" t="s">
        <v>48</v>
      </c>
    </row>
    <row r="43264">
      <c r="H43264" s="50"/>
      <c r="I43264" s="50"/>
      <c r="O43264" s="36" t="s">
        <v>48</v>
      </c>
      <c r="R43264" s="36" t="s">
        <v>48</v>
      </c>
    </row>
    <row r="43265">
      <c r="H43265" s="50"/>
      <c r="I43265" s="50"/>
      <c r="O43265" s="36" t="s">
        <v>48</v>
      </c>
      <c r="R43265" s="36" t="s">
        <v>48</v>
      </c>
    </row>
    <row r="43266">
      <c r="H43266" s="50"/>
      <c r="I43266" s="50"/>
      <c r="O43266" s="36" t="s">
        <v>48</v>
      </c>
      <c r="R43266" s="36" t="s">
        <v>48</v>
      </c>
    </row>
    <row r="43267">
      <c r="H43267" s="50"/>
      <c r="I43267" s="50"/>
      <c r="O43267" s="36" t="s">
        <v>48</v>
      </c>
      <c r="R43267" s="36" t="s">
        <v>48</v>
      </c>
    </row>
    <row r="43268">
      <c r="H43268" s="50"/>
      <c r="I43268" s="50"/>
      <c r="O43268" s="36" t="s">
        <v>48</v>
      </c>
      <c r="R43268" s="36" t="s">
        <v>48</v>
      </c>
    </row>
    <row r="43269">
      <c r="H43269" s="50"/>
      <c r="I43269" s="50"/>
      <c r="O43269" s="36" t="s">
        <v>48</v>
      </c>
      <c r="R43269" s="36" t="s">
        <v>48</v>
      </c>
    </row>
    <row r="43270">
      <c r="H43270" s="50"/>
      <c r="I43270" s="50"/>
      <c r="O43270" s="36" t="s">
        <v>48</v>
      </c>
      <c r="R43270" s="36" t="s">
        <v>48</v>
      </c>
    </row>
    <row r="43271">
      <c r="H43271" s="50"/>
      <c r="I43271" s="50"/>
      <c r="O43271" s="36" t="s">
        <v>48</v>
      </c>
      <c r="R43271" s="36" t="s">
        <v>48</v>
      </c>
    </row>
    <row r="43272">
      <c r="H43272" s="50"/>
      <c r="I43272" s="50"/>
      <c r="O43272" s="36" t="s">
        <v>48</v>
      </c>
      <c r="R43272" s="36" t="s">
        <v>48</v>
      </c>
    </row>
    <row r="43273">
      <c r="H43273" s="50"/>
      <c r="I43273" s="50"/>
      <c r="O43273" s="36" t="s">
        <v>48</v>
      </c>
      <c r="R43273" s="36" t="s">
        <v>48</v>
      </c>
    </row>
    <row r="43274">
      <c r="H43274" s="50"/>
      <c r="I43274" s="50"/>
      <c r="O43274" s="36" t="s">
        <v>48</v>
      </c>
      <c r="R43274" s="36" t="s">
        <v>48</v>
      </c>
    </row>
    <row r="43275">
      <c r="H43275" s="50"/>
      <c r="I43275" s="50"/>
      <c r="O43275" s="36" t="s">
        <v>48</v>
      </c>
      <c r="R43275" s="36" t="s">
        <v>48</v>
      </c>
    </row>
    <row r="43276">
      <c r="H43276" s="50"/>
      <c r="I43276" s="50"/>
      <c r="O43276" s="36" t="s">
        <v>48</v>
      </c>
      <c r="R43276" s="36" t="s">
        <v>48</v>
      </c>
    </row>
    <row r="43277">
      <c r="H43277" s="50"/>
      <c r="I43277" s="50"/>
      <c r="O43277" s="36" t="s">
        <v>48</v>
      </c>
      <c r="R43277" s="36" t="s">
        <v>48</v>
      </c>
    </row>
    <row r="43278">
      <c r="H43278" s="50"/>
      <c r="I43278" s="50"/>
      <c r="O43278" s="36" t="s">
        <v>48</v>
      </c>
      <c r="R43278" s="36" t="s">
        <v>48</v>
      </c>
    </row>
    <row r="43279">
      <c r="H43279" s="50"/>
      <c r="I43279" s="50"/>
      <c r="O43279" s="36" t="s">
        <v>48</v>
      </c>
      <c r="R43279" s="36" t="s">
        <v>48</v>
      </c>
    </row>
    <row r="43280">
      <c r="H43280" s="50"/>
      <c r="I43280" s="50"/>
      <c r="O43280" s="36" t="s">
        <v>48</v>
      </c>
      <c r="R43280" s="36" t="s">
        <v>48</v>
      </c>
    </row>
    <row r="43281">
      <c r="H43281" s="50"/>
      <c r="I43281" s="50"/>
      <c r="O43281" s="36" t="s">
        <v>48</v>
      </c>
      <c r="R43281" s="36" t="s">
        <v>48</v>
      </c>
    </row>
    <row r="43282">
      <c r="H43282" s="50"/>
      <c r="I43282" s="50"/>
      <c r="O43282" s="36" t="s">
        <v>48</v>
      </c>
      <c r="R43282" s="36" t="s">
        <v>48</v>
      </c>
    </row>
    <row r="43283">
      <c r="H43283" s="50"/>
      <c r="I43283" s="50"/>
      <c r="O43283" s="36" t="s">
        <v>48</v>
      </c>
      <c r="R43283" s="36" t="s">
        <v>48</v>
      </c>
    </row>
    <row r="43284">
      <c r="H43284" s="50"/>
      <c r="I43284" s="50"/>
      <c r="O43284" s="36" t="s">
        <v>48</v>
      </c>
      <c r="R43284" s="36" t="s">
        <v>48</v>
      </c>
    </row>
    <row r="43285">
      <c r="H43285" s="50"/>
      <c r="I43285" s="50"/>
      <c r="O43285" s="36" t="s">
        <v>48</v>
      </c>
      <c r="R43285" s="36" t="s">
        <v>48</v>
      </c>
    </row>
    <row r="43286">
      <c r="H43286" s="50"/>
      <c r="I43286" s="50"/>
      <c r="O43286" s="36" t="s">
        <v>48</v>
      </c>
      <c r="R43286" s="36" t="s">
        <v>48</v>
      </c>
    </row>
    <row r="43287">
      <c r="H43287" s="50"/>
      <c r="I43287" s="50"/>
      <c r="O43287" s="36" t="s">
        <v>48</v>
      </c>
      <c r="R43287" s="36" t="s">
        <v>48</v>
      </c>
    </row>
    <row r="43288">
      <c r="H43288" s="50"/>
      <c r="I43288" s="50"/>
      <c r="O43288" s="36" t="s">
        <v>48</v>
      </c>
      <c r="R43288" s="36" t="s">
        <v>48</v>
      </c>
    </row>
    <row r="43289">
      <c r="H43289" s="50"/>
      <c r="I43289" s="50"/>
      <c r="O43289" s="36" t="s">
        <v>48</v>
      </c>
      <c r="R43289" s="36" t="s">
        <v>48</v>
      </c>
    </row>
    <row r="43290">
      <c r="H43290" s="50"/>
      <c r="I43290" s="50"/>
      <c r="O43290" s="36" t="s">
        <v>48</v>
      </c>
      <c r="R43290" s="36" t="s">
        <v>48</v>
      </c>
    </row>
    <row r="43291">
      <c r="H43291" s="50"/>
      <c r="I43291" s="50"/>
      <c r="O43291" s="36" t="s">
        <v>48</v>
      </c>
      <c r="R43291" s="36" t="s">
        <v>48</v>
      </c>
    </row>
    <row r="43292">
      <c r="H43292" s="50"/>
      <c r="I43292" s="50"/>
      <c r="O43292" s="36" t="s">
        <v>48</v>
      </c>
      <c r="R43292" s="36" t="s">
        <v>48</v>
      </c>
    </row>
    <row r="43293">
      <c r="H43293" s="50"/>
      <c r="I43293" s="50"/>
      <c r="O43293" s="36" t="s">
        <v>48</v>
      </c>
      <c r="R43293" s="36" t="s">
        <v>48</v>
      </c>
    </row>
    <row r="43294">
      <c r="H43294" s="50"/>
      <c r="I43294" s="50"/>
      <c r="O43294" s="36" t="s">
        <v>48</v>
      </c>
      <c r="R43294" s="36" t="s">
        <v>48</v>
      </c>
    </row>
    <row r="43295">
      <c r="H43295" s="50"/>
      <c r="I43295" s="50"/>
      <c r="O43295" s="36" t="s">
        <v>48</v>
      </c>
      <c r="R43295" s="36" t="s">
        <v>48</v>
      </c>
    </row>
    <row r="43296">
      <c r="H43296" s="50"/>
      <c r="I43296" s="50"/>
      <c r="O43296" s="36" t="s">
        <v>48</v>
      </c>
      <c r="R43296" s="36" t="s">
        <v>48</v>
      </c>
    </row>
    <row r="43297">
      <c r="H43297" s="50"/>
      <c r="I43297" s="50"/>
      <c r="O43297" s="36" t="s">
        <v>48</v>
      </c>
      <c r="R43297" s="36" t="s">
        <v>48</v>
      </c>
    </row>
    <row r="43298">
      <c r="H43298" s="50"/>
      <c r="I43298" s="50"/>
      <c r="O43298" s="36" t="s">
        <v>48</v>
      </c>
      <c r="R43298" s="36" t="s">
        <v>48</v>
      </c>
    </row>
    <row r="43299">
      <c r="H43299" s="50"/>
      <c r="I43299" s="50"/>
      <c r="O43299" s="36" t="s">
        <v>48</v>
      </c>
      <c r="R43299" s="36" t="s">
        <v>48</v>
      </c>
    </row>
    <row r="43300">
      <c r="H43300" s="50"/>
      <c r="I43300" s="50"/>
      <c r="O43300" s="36" t="s">
        <v>48</v>
      </c>
      <c r="R43300" s="36" t="s">
        <v>48</v>
      </c>
    </row>
    <row r="43301">
      <c r="H43301" s="50"/>
      <c r="I43301" s="50"/>
      <c r="O43301" s="36" t="s">
        <v>48</v>
      </c>
      <c r="R43301" s="36" t="s">
        <v>48</v>
      </c>
    </row>
    <row r="43302">
      <c r="H43302" s="50"/>
      <c r="I43302" s="50"/>
      <c r="O43302" s="36" t="s">
        <v>48</v>
      </c>
      <c r="R43302" s="36" t="s">
        <v>48</v>
      </c>
    </row>
    <row r="43303">
      <c r="H43303" s="50"/>
      <c r="I43303" s="50"/>
      <c r="O43303" s="36" t="s">
        <v>48</v>
      </c>
      <c r="R43303" s="36" t="s">
        <v>48</v>
      </c>
    </row>
    <row r="43304">
      <c r="H43304" s="50"/>
      <c r="I43304" s="50"/>
      <c r="O43304" s="36" t="s">
        <v>48</v>
      </c>
      <c r="R43304" s="36" t="s">
        <v>48</v>
      </c>
    </row>
    <row r="43305">
      <c r="H43305" s="50"/>
      <c r="I43305" s="50"/>
      <c r="O43305" s="36" t="s">
        <v>48</v>
      </c>
      <c r="R43305" s="36" t="s">
        <v>48</v>
      </c>
    </row>
    <row r="43306">
      <c r="H43306" s="50"/>
      <c r="I43306" s="50"/>
      <c r="O43306" s="36" t="s">
        <v>48</v>
      </c>
      <c r="R43306" s="36" t="s">
        <v>48</v>
      </c>
    </row>
    <row r="43307">
      <c r="H43307" s="50"/>
      <c r="I43307" s="50"/>
      <c r="O43307" s="36" t="s">
        <v>48</v>
      </c>
      <c r="R43307" s="36" t="s">
        <v>48</v>
      </c>
    </row>
    <row r="43308">
      <c r="H43308" s="50"/>
      <c r="I43308" s="50"/>
      <c r="O43308" s="36" t="s">
        <v>48</v>
      </c>
      <c r="R43308" s="36" t="s">
        <v>48</v>
      </c>
    </row>
    <row r="43309">
      <c r="H43309" s="50"/>
      <c r="I43309" s="50"/>
      <c r="O43309" s="36" t="s">
        <v>48</v>
      </c>
      <c r="R43309" s="36" t="s">
        <v>48</v>
      </c>
    </row>
    <row r="43310">
      <c r="H43310" s="50"/>
      <c r="I43310" s="50"/>
      <c r="O43310" s="36" t="s">
        <v>48</v>
      </c>
      <c r="R43310" s="36" t="s">
        <v>48</v>
      </c>
    </row>
    <row r="43311">
      <c r="H43311" s="50"/>
      <c r="I43311" s="50"/>
      <c r="O43311" s="36" t="s">
        <v>48</v>
      </c>
      <c r="R43311" s="36" t="s">
        <v>48</v>
      </c>
    </row>
    <row r="43312">
      <c r="H43312" s="50"/>
      <c r="I43312" s="50"/>
      <c r="O43312" s="36" t="s">
        <v>48</v>
      </c>
      <c r="R43312" s="36" t="s">
        <v>48</v>
      </c>
    </row>
    <row r="43313">
      <c r="H43313" s="50"/>
      <c r="I43313" s="50"/>
      <c r="O43313" s="36" t="s">
        <v>48</v>
      </c>
      <c r="R43313" s="36" t="s">
        <v>48</v>
      </c>
    </row>
    <row r="43314">
      <c r="H43314" s="50"/>
      <c r="I43314" s="50"/>
      <c r="O43314" s="36" t="s">
        <v>48</v>
      </c>
      <c r="R43314" s="36" t="s">
        <v>48</v>
      </c>
    </row>
    <row r="43315">
      <c r="H43315" s="50"/>
      <c r="I43315" s="50"/>
      <c r="O43315" s="36" t="s">
        <v>48</v>
      </c>
      <c r="R43315" s="36" t="s">
        <v>48</v>
      </c>
    </row>
    <row r="43316">
      <c r="H43316" s="50"/>
      <c r="I43316" s="50"/>
      <c r="O43316" s="36" t="s">
        <v>48</v>
      </c>
      <c r="R43316" s="36" t="s">
        <v>48</v>
      </c>
    </row>
    <row r="43317">
      <c r="H43317" s="50"/>
      <c r="I43317" s="50"/>
      <c r="O43317" s="36" t="s">
        <v>48</v>
      </c>
      <c r="R43317" s="36" t="s">
        <v>48</v>
      </c>
    </row>
    <row r="43318">
      <c r="H43318" s="50"/>
      <c r="I43318" s="50"/>
      <c r="O43318" s="36" t="s">
        <v>48</v>
      </c>
      <c r="R43318" s="36" t="s">
        <v>48</v>
      </c>
    </row>
    <row r="43319">
      <c r="H43319" s="50"/>
      <c r="I43319" s="50"/>
      <c r="O43319" s="36" t="s">
        <v>48</v>
      </c>
      <c r="R43319" s="36" t="s">
        <v>48</v>
      </c>
    </row>
    <row r="43320">
      <c r="H43320" s="50"/>
      <c r="I43320" s="50"/>
      <c r="O43320" s="36" t="s">
        <v>48</v>
      </c>
      <c r="R43320" s="36" t="s">
        <v>48</v>
      </c>
    </row>
    <row r="43321">
      <c r="H43321" s="50"/>
      <c r="I43321" s="50"/>
      <c r="O43321" s="36" t="s">
        <v>48</v>
      </c>
      <c r="R43321" s="36" t="s">
        <v>48</v>
      </c>
    </row>
    <row r="43322">
      <c r="H43322" s="50"/>
      <c r="I43322" s="50"/>
      <c r="O43322" s="36" t="s">
        <v>48</v>
      </c>
      <c r="R43322" s="36" t="s">
        <v>48</v>
      </c>
    </row>
    <row r="43323">
      <c r="H43323" s="50"/>
      <c r="I43323" s="50"/>
      <c r="O43323" s="36" t="s">
        <v>48</v>
      </c>
      <c r="R43323" s="36" t="s">
        <v>48</v>
      </c>
    </row>
    <row r="43324">
      <c r="H43324" s="50"/>
      <c r="I43324" s="50"/>
      <c r="O43324" s="36" t="s">
        <v>48</v>
      </c>
      <c r="R43324" s="36" t="s">
        <v>48</v>
      </c>
    </row>
    <row r="43325">
      <c r="H43325" s="50"/>
      <c r="I43325" s="50"/>
      <c r="O43325" s="36" t="s">
        <v>48</v>
      </c>
      <c r="R43325" s="36" t="s">
        <v>48</v>
      </c>
    </row>
    <row r="43326">
      <c r="H43326" s="50"/>
      <c r="I43326" s="50"/>
      <c r="O43326" s="36" t="s">
        <v>48</v>
      </c>
      <c r="R43326" s="36" t="s">
        <v>48</v>
      </c>
    </row>
    <row r="43327">
      <c r="H43327" s="50"/>
      <c r="I43327" s="50"/>
      <c r="O43327" s="36" t="s">
        <v>48</v>
      </c>
      <c r="R43327" s="36" t="s">
        <v>48</v>
      </c>
    </row>
    <row r="43328">
      <c r="H43328" s="50"/>
      <c r="I43328" s="50"/>
      <c r="O43328" s="36" t="s">
        <v>48</v>
      </c>
      <c r="R43328" s="36" t="s">
        <v>48</v>
      </c>
    </row>
    <row r="43329">
      <c r="H43329" s="50"/>
      <c r="I43329" s="50"/>
      <c r="O43329" s="36" t="s">
        <v>48</v>
      </c>
      <c r="R43329" s="36" t="s">
        <v>48</v>
      </c>
    </row>
    <row r="43330">
      <c r="H43330" s="50"/>
      <c r="I43330" s="50"/>
      <c r="O43330" s="36" t="s">
        <v>48</v>
      </c>
      <c r="R43330" s="36" t="s">
        <v>48</v>
      </c>
    </row>
    <row r="43331">
      <c r="H43331" s="50"/>
      <c r="I43331" s="50"/>
      <c r="O43331" s="36" t="s">
        <v>48</v>
      </c>
      <c r="R43331" s="36" t="s">
        <v>48</v>
      </c>
    </row>
    <row r="43332">
      <c r="H43332" s="50"/>
      <c r="I43332" s="50"/>
      <c r="O43332" s="36" t="s">
        <v>48</v>
      </c>
      <c r="R43332" s="36" t="s">
        <v>48</v>
      </c>
    </row>
    <row r="43333">
      <c r="H43333" s="50"/>
      <c r="I43333" s="50"/>
      <c r="O43333" s="36" t="s">
        <v>48</v>
      </c>
      <c r="R43333" s="36" t="s">
        <v>48</v>
      </c>
    </row>
    <row r="43334">
      <c r="H43334" s="50"/>
      <c r="I43334" s="50"/>
      <c r="O43334" s="36" t="s">
        <v>48</v>
      </c>
      <c r="R43334" s="36" t="s">
        <v>48</v>
      </c>
    </row>
    <row r="43335">
      <c r="H43335" s="50"/>
      <c r="I43335" s="50"/>
      <c r="O43335" s="36" t="s">
        <v>48</v>
      </c>
      <c r="R43335" s="36" t="s">
        <v>48</v>
      </c>
    </row>
    <row r="43336">
      <c r="H43336" s="50"/>
      <c r="I43336" s="50"/>
      <c r="O43336" s="36" t="s">
        <v>48</v>
      </c>
      <c r="R43336" s="36" t="s">
        <v>48</v>
      </c>
    </row>
    <row r="43337">
      <c r="H43337" s="50"/>
      <c r="I43337" s="50"/>
      <c r="O43337" s="36" t="s">
        <v>48</v>
      </c>
      <c r="R43337" s="36" t="s">
        <v>48</v>
      </c>
    </row>
    <row r="43338">
      <c r="H43338" s="50"/>
      <c r="I43338" s="50"/>
      <c r="O43338" s="36" t="s">
        <v>48</v>
      </c>
      <c r="R43338" s="36" t="s">
        <v>48</v>
      </c>
    </row>
    <row r="43339">
      <c r="H43339" s="50"/>
      <c r="I43339" s="50"/>
      <c r="O43339" s="36" t="s">
        <v>48</v>
      </c>
      <c r="R43339" s="36" t="s">
        <v>48</v>
      </c>
    </row>
    <row r="43340">
      <c r="H43340" s="50"/>
      <c r="I43340" s="50"/>
      <c r="O43340" s="36" t="s">
        <v>48</v>
      </c>
      <c r="R43340" s="36" t="s">
        <v>48</v>
      </c>
    </row>
    <row r="43341">
      <c r="H43341" s="50"/>
      <c r="I43341" s="50"/>
      <c r="O43341" s="36" t="s">
        <v>48</v>
      </c>
      <c r="R43341" s="36" t="s">
        <v>48</v>
      </c>
    </row>
    <row r="43342">
      <c r="H43342" s="50"/>
      <c r="I43342" s="50"/>
      <c r="O43342" s="36" t="s">
        <v>48</v>
      </c>
      <c r="R43342" s="36" t="s">
        <v>48</v>
      </c>
    </row>
    <row r="43343">
      <c r="H43343" s="50"/>
      <c r="I43343" s="50"/>
      <c r="O43343" s="36" t="s">
        <v>48</v>
      </c>
      <c r="R43343" s="36" t="s">
        <v>48</v>
      </c>
    </row>
    <row r="43344">
      <c r="H43344" s="50"/>
      <c r="I43344" s="50"/>
      <c r="O43344" s="36" t="s">
        <v>48</v>
      </c>
      <c r="R43344" s="36" t="s">
        <v>48</v>
      </c>
    </row>
    <row r="43345">
      <c r="H43345" s="50"/>
      <c r="I43345" s="50"/>
      <c r="O43345" s="36" t="s">
        <v>48</v>
      </c>
      <c r="R43345" s="36" t="s">
        <v>48</v>
      </c>
    </row>
    <row r="43346">
      <c r="H43346" s="50"/>
      <c r="I43346" s="50"/>
      <c r="O43346" s="36" t="s">
        <v>48</v>
      </c>
      <c r="R43346" s="36" t="s">
        <v>48</v>
      </c>
    </row>
    <row r="43347">
      <c r="H43347" s="50"/>
      <c r="I43347" s="50"/>
      <c r="O43347" s="36" t="s">
        <v>48</v>
      </c>
      <c r="R43347" s="36" t="s">
        <v>48</v>
      </c>
    </row>
    <row r="43348">
      <c r="H43348" s="50"/>
      <c r="I43348" s="50"/>
      <c r="O43348" s="36" t="s">
        <v>48</v>
      </c>
      <c r="R43348" s="36" t="s">
        <v>48</v>
      </c>
    </row>
    <row r="43349">
      <c r="H43349" s="50"/>
      <c r="I43349" s="50"/>
      <c r="O43349" s="36" t="s">
        <v>48</v>
      </c>
      <c r="R43349" s="36" t="s">
        <v>48</v>
      </c>
    </row>
    <row r="43350">
      <c r="H43350" s="50"/>
      <c r="I43350" s="50"/>
      <c r="O43350" s="36" t="s">
        <v>48</v>
      </c>
      <c r="R43350" s="36" t="s">
        <v>48</v>
      </c>
    </row>
    <row r="43351">
      <c r="H43351" s="50"/>
      <c r="I43351" s="50"/>
      <c r="O43351" s="36" t="s">
        <v>48</v>
      </c>
      <c r="R43351" s="36" t="s">
        <v>48</v>
      </c>
    </row>
    <row r="43352">
      <c r="H43352" s="50"/>
      <c r="I43352" s="50"/>
      <c r="O43352" s="36" t="s">
        <v>48</v>
      </c>
      <c r="R43352" s="36" t="s">
        <v>48</v>
      </c>
    </row>
    <row r="43353">
      <c r="H43353" s="50"/>
      <c r="I43353" s="50"/>
      <c r="O43353" s="36" t="s">
        <v>48</v>
      </c>
      <c r="R43353" s="36" t="s">
        <v>48</v>
      </c>
    </row>
    <row r="43354">
      <c r="H43354" s="50"/>
      <c r="I43354" s="50"/>
      <c r="O43354" s="36" t="s">
        <v>48</v>
      </c>
      <c r="R43354" s="36" t="s">
        <v>48</v>
      </c>
    </row>
    <row r="43355">
      <c r="H43355" s="50"/>
      <c r="I43355" s="50"/>
      <c r="O43355" s="36" t="s">
        <v>48</v>
      </c>
      <c r="R43355" s="36" t="s">
        <v>48</v>
      </c>
    </row>
    <row r="43356">
      <c r="H43356" s="50"/>
      <c r="I43356" s="50"/>
      <c r="O43356" s="36" t="s">
        <v>48</v>
      </c>
      <c r="R43356" s="36" t="s">
        <v>48</v>
      </c>
    </row>
    <row r="43357">
      <c r="H43357" s="50"/>
      <c r="I43357" s="50"/>
      <c r="O43357" s="36" t="s">
        <v>48</v>
      </c>
      <c r="R43357" s="36" t="s">
        <v>48</v>
      </c>
    </row>
    <row r="43358">
      <c r="H43358" s="50"/>
      <c r="I43358" s="50"/>
      <c r="O43358" s="36" t="s">
        <v>48</v>
      </c>
      <c r="R43358" s="36" t="s">
        <v>48</v>
      </c>
    </row>
    <row r="43359">
      <c r="H43359" s="50"/>
      <c r="I43359" s="50"/>
      <c r="O43359" s="36" t="s">
        <v>48</v>
      </c>
      <c r="R43359" s="36" t="s">
        <v>48</v>
      </c>
    </row>
    <row r="43360">
      <c r="H43360" s="50"/>
      <c r="I43360" s="50"/>
      <c r="O43360" s="36" t="s">
        <v>48</v>
      </c>
      <c r="R43360" s="36" t="s">
        <v>48</v>
      </c>
    </row>
    <row r="43361">
      <c r="H43361" s="50"/>
      <c r="I43361" s="50"/>
      <c r="O43361" s="36" t="s">
        <v>48</v>
      </c>
      <c r="R43361" s="36" t="s">
        <v>48</v>
      </c>
    </row>
    <row r="43362">
      <c r="H43362" s="50"/>
      <c r="I43362" s="50"/>
      <c r="O43362" s="36" t="s">
        <v>48</v>
      </c>
      <c r="R43362" s="36" t="s">
        <v>48</v>
      </c>
    </row>
    <row r="43363">
      <c r="H43363" s="50"/>
      <c r="I43363" s="50"/>
      <c r="O43363" s="36" t="s">
        <v>48</v>
      </c>
      <c r="R43363" s="36" t="s">
        <v>48</v>
      </c>
    </row>
    <row r="43364">
      <c r="H43364" s="50"/>
      <c r="I43364" s="50"/>
      <c r="O43364" s="36" t="s">
        <v>48</v>
      </c>
      <c r="R43364" s="36" t="s">
        <v>48</v>
      </c>
    </row>
    <row r="43365">
      <c r="H43365" s="50"/>
      <c r="I43365" s="50"/>
      <c r="O43365" s="36" t="s">
        <v>48</v>
      </c>
      <c r="R43365" s="36" t="s">
        <v>48</v>
      </c>
    </row>
    <row r="43366">
      <c r="H43366" s="50"/>
      <c r="I43366" s="50"/>
      <c r="O43366" s="36" t="s">
        <v>48</v>
      </c>
      <c r="R43366" s="36" t="s">
        <v>48</v>
      </c>
    </row>
    <row r="43367">
      <c r="H43367" s="50"/>
      <c r="I43367" s="50"/>
      <c r="O43367" s="36" t="s">
        <v>48</v>
      </c>
      <c r="R43367" s="36" t="s">
        <v>48</v>
      </c>
    </row>
    <row r="43368">
      <c r="H43368" s="50"/>
      <c r="I43368" s="50"/>
      <c r="O43368" s="36" t="s">
        <v>48</v>
      </c>
      <c r="R43368" s="36" t="s">
        <v>48</v>
      </c>
    </row>
    <row r="43369">
      <c r="H43369" s="50"/>
      <c r="I43369" s="50"/>
      <c r="O43369" s="36" t="s">
        <v>48</v>
      </c>
      <c r="R43369" s="36" t="s">
        <v>48</v>
      </c>
    </row>
    <row r="43370">
      <c r="H43370" s="50"/>
      <c r="I43370" s="50"/>
      <c r="O43370" s="36" t="s">
        <v>48</v>
      </c>
      <c r="R43370" s="36" t="s">
        <v>48</v>
      </c>
    </row>
    <row r="43371">
      <c r="H43371" s="50"/>
      <c r="I43371" s="50"/>
      <c r="O43371" s="36" t="s">
        <v>48</v>
      </c>
      <c r="R43371" s="36" t="s">
        <v>48</v>
      </c>
    </row>
    <row r="43372">
      <c r="H43372" s="50"/>
      <c r="I43372" s="50"/>
      <c r="O43372" s="36" t="s">
        <v>48</v>
      </c>
      <c r="R43372" s="36" t="s">
        <v>48</v>
      </c>
    </row>
    <row r="43373">
      <c r="H43373" s="50"/>
      <c r="I43373" s="50"/>
      <c r="O43373" s="36" t="s">
        <v>48</v>
      </c>
      <c r="R43373" s="36" t="s">
        <v>48</v>
      </c>
    </row>
    <row r="43374">
      <c r="H43374" s="50"/>
      <c r="I43374" s="50"/>
      <c r="O43374" s="36" t="s">
        <v>48</v>
      </c>
      <c r="R43374" s="36" t="s">
        <v>48</v>
      </c>
    </row>
    <row r="43375">
      <c r="H43375" s="50"/>
      <c r="I43375" s="50"/>
      <c r="O43375" s="36" t="s">
        <v>48</v>
      </c>
      <c r="R43375" s="36" t="s">
        <v>48</v>
      </c>
    </row>
    <row r="43376">
      <c r="H43376" s="50"/>
      <c r="I43376" s="50"/>
      <c r="O43376" s="36" t="s">
        <v>48</v>
      </c>
      <c r="R43376" s="36" t="s">
        <v>48</v>
      </c>
    </row>
    <row r="43377">
      <c r="H43377" s="50"/>
      <c r="I43377" s="50"/>
      <c r="O43377" s="36" t="s">
        <v>48</v>
      </c>
      <c r="R43377" s="36" t="s">
        <v>48</v>
      </c>
    </row>
    <row r="43378">
      <c r="H43378" s="50"/>
      <c r="I43378" s="50"/>
      <c r="O43378" s="36" t="s">
        <v>48</v>
      </c>
      <c r="R43378" s="36" t="s">
        <v>48</v>
      </c>
    </row>
    <row r="43379">
      <c r="H43379" s="50"/>
      <c r="I43379" s="50"/>
      <c r="O43379" s="36" t="s">
        <v>48</v>
      </c>
      <c r="R43379" s="36" t="s">
        <v>48</v>
      </c>
    </row>
    <row r="43380">
      <c r="H43380" s="50"/>
      <c r="I43380" s="50"/>
      <c r="O43380" s="36" t="s">
        <v>48</v>
      </c>
      <c r="R43380" s="36" t="s">
        <v>48</v>
      </c>
    </row>
    <row r="43381">
      <c r="H43381" s="50"/>
      <c r="I43381" s="50"/>
      <c r="O43381" s="36" t="s">
        <v>48</v>
      </c>
      <c r="R43381" s="36" t="s">
        <v>48</v>
      </c>
    </row>
    <row r="43382">
      <c r="H43382" s="50"/>
      <c r="I43382" s="50"/>
      <c r="O43382" s="36" t="s">
        <v>48</v>
      </c>
      <c r="R43382" s="36" t="s">
        <v>48</v>
      </c>
    </row>
    <row r="43383">
      <c r="H43383" s="50"/>
      <c r="I43383" s="50"/>
      <c r="O43383" s="36" t="s">
        <v>48</v>
      </c>
      <c r="R43383" s="36" t="s">
        <v>48</v>
      </c>
    </row>
    <row r="43384">
      <c r="H43384" s="50"/>
      <c r="I43384" s="50"/>
      <c r="O43384" s="36" t="s">
        <v>48</v>
      </c>
      <c r="R43384" s="36" t="s">
        <v>48</v>
      </c>
    </row>
    <row r="43385">
      <c r="H43385" s="50"/>
      <c r="I43385" s="50"/>
      <c r="O43385" s="36" t="s">
        <v>48</v>
      </c>
      <c r="R43385" s="36" t="s">
        <v>48</v>
      </c>
    </row>
    <row r="43386">
      <c r="H43386" s="50"/>
      <c r="I43386" s="50"/>
      <c r="O43386" s="36" t="s">
        <v>48</v>
      </c>
      <c r="R43386" s="36" t="s">
        <v>48</v>
      </c>
    </row>
    <row r="43387">
      <c r="H43387" s="50"/>
      <c r="I43387" s="50"/>
      <c r="O43387" s="36" t="s">
        <v>48</v>
      </c>
      <c r="R43387" s="36" t="s">
        <v>48</v>
      </c>
    </row>
    <row r="43388">
      <c r="H43388" s="50"/>
      <c r="I43388" s="50"/>
      <c r="O43388" s="36" t="s">
        <v>48</v>
      </c>
      <c r="R43388" s="36" t="s">
        <v>48</v>
      </c>
    </row>
    <row r="43389">
      <c r="H43389" s="50"/>
      <c r="I43389" s="50"/>
      <c r="O43389" s="36" t="s">
        <v>48</v>
      </c>
      <c r="R43389" s="36" t="s">
        <v>48</v>
      </c>
    </row>
    <row r="43390">
      <c r="H43390" s="50"/>
      <c r="I43390" s="50"/>
      <c r="O43390" s="36" t="s">
        <v>48</v>
      </c>
      <c r="R43390" s="36" t="s">
        <v>48</v>
      </c>
    </row>
    <row r="43391">
      <c r="H43391" s="50"/>
      <c r="I43391" s="50"/>
      <c r="O43391" s="36" t="s">
        <v>48</v>
      </c>
      <c r="R43391" s="36" t="s">
        <v>48</v>
      </c>
    </row>
    <row r="43392">
      <c r="H43392" s="50"/>
      <c r="I43392" s="50"/>
      <c r="O43392" s="36" t="s">
        <v>48</v>
      </c>
      <c r="R43392" s="36" t="s">
        <v>48</v>
      </c>
    </row>
    <row r="43393">
      <c r="H43393" s="50"/>
      <c r="I43393" s="50"/>
      <c r="O43393" s="36" t="s">
        <v>48</v>
      </c>
      <c r="R43393" s="36" t="s">
        <v>48</v>
      </c>
    </row>
    <row r="43394">
      <c r="H43394" s="50"/>
      <c r="I43394" s="50"/>
      <c r="O43394" s="36" t="s">
        <v>48</v>
      </c>
      <c r="R43394" s="36" t="s">
        <v>48</v>
      </c>
    </row>
    <row r="43395">
      <c r="H43395" s="50"/>
      <c r="I43395" s="50"/>
      <c r="O43395" s="36" t="s">
        <v>48</v>
      </c>
      <c r="R43395" s="36" t="s">
        <v>48</v>
      </c>
    </row>
    <row r="43396">
      <c r="H43396" s="50"/>
      <c r="I43396" s="50"/>
      <c r="O43396" s="36" t="s">
        <v>48</v>
      </c>
      <c r="R43396" s="36" t="s">
        <v>48</v>
      </c>
    </row>
    <row r="43397">
      <c r="H43397" s="50"/>
      <c r="I43397" s="50"/>
      <c r="O43397" s="36" t="s">
        <v>48</v>
      </c>
      <c r="R43397" s="36" t="s">
        <v>48</v>
      </c>
    </row>
    <row r="43398">
      <c r="H43398" s="50"/>
      <c r="I43398" s="50"/>
      <c r="O43398" s="36" t="s">
        <v>48</v>
      </c>
      <c r="R43398" s="36" t="s">
        <v>48</v>
      </c>
    </row>
    <row r="43399">
      <c r="H43399" s="50"/>
      <c r="I43399" s="50"/>
      <c r="O43399" s="36" t="s">
        <v>48</v>
      </c>
      <c r="R43399" s="36" t="s">
        <v>48</v>
      </c>
    </row>
    <row r="43400">
      <c r="H43400" s="50"/>
      <c r="I43400" s="50"/>
      <c r="O43400" s="36" t="s">
        <v>48</v>
      </c>
      <c r="R43400" s="36" t="s">
        <v>48</v>
      </c>
    </row>
    <row r="43401">
      <c r="H43401" s="50"/>
      <c r="I43401" s="50"/>
      <c r="O43401" s="36" t="s">
        <v>48</v>
      </c>
      <c r="R43401" s="36" t="s">
        <v>48</v>
      </c>
    </row>
    <row r="43402">
      <c r="H43402" s="50"/>
      <c r="I43402" s="50"/>
      <c r="O43402" s="36" t="s">
        <v>48</v>
      </c>
      <c r="R43402" s="36" t="s">
        <v>48</v>
      </c>
    </row>
    <row r="43403">
      <c r="H43403" s="50"/>
      <c r="I43403" s="50"/>
      <c r="O43403" s="36" t="s">
        <v>48</v>
      </c>
      <c r="R43403" s="36" t="s">
        <v>48</v>
      </c>
    </row>
    <row r="43404">
      <c r="H43404" s="50"/>
      <c r="I43404" s="50"/>
      <c r="O43404" s="36" t="s">
        <v>48</v>
      </c>
      <c r="R43404" s="36" t="s">
        <v>48</v>
      </c>
    </row>
    <row r="43405">
      <c r="H43405" s="50"/>
      <c r="I43405" s="50"/>
      <c r="O43405" s="36" t="s">
        <v>48</v>
      </c>
      <c r="R43405" s="36" t="s">
        <v>48</v>
      </c>
    </row>
    <row r="43406">
      <c r="H43406" s="50"/>
      <c r="I43406" s="50"/>
      <c r="O43406" s="36" t="s">
        <v>48</v>
      </c>
      <c r="R43406" s="36" t="s">
        <v>48</v>
      </c>
    </row>
    <row r="43407">
      <c r="H43407" s="50"/>
      <c r="I43407" s="50"/>
      <c r="O43407" s="36" t="s">
        <v>48</v>
      </c>
      <c r="R43407" s="36" t="s">
        <v>48</v>
      </c>
    </row>
    <row r="43408">
      <c r="H43408" s="50"/>
      <c r="I43408" s="50"/>
      <c r="O43408" s="36" t="s">
        <v>48</v>
      </c>
      <c r="R43408" s="36" t="s">
        <v>48</v>
      </c>
    </row>
    <row r="43409">
      <c r="H43409" s="50"/>
      <c r="I43409" s="50"/>
      <c r="O43409" s="36" t="s">
        <v>48</v>
      </c>
      <c r="R43409" s="36" t="s">
        <v>48</v>
      </c>
    </row>
    <row r="43410">
      <c r="H43410" s="50"/>
      <c r="I43410" s="50"/>
      <c r="O43410" s="36" t="s">
        <v>48</v>
      </c>
      <c r="R43410" s="36" t="s">
        <v>48</v>
      </c>
    </row>
    <row r="43411">
      <c r="H43411" s="50"/>
      <c r="I43411" s="50"/>
      <c r="O43411" s="36" t="s">
        <v>48</v>
      </c>
      <c r="R43411" s="36" t="s">
        <v>48</v>
      </c>
    </row>
    <row r="43412">
      <c r="H43412" s="50"/>
      <c r="I43412" s="50"/>
      <c r="O43412" s="36" t="s">
        <v>48</v>
      </c>
      <c r="R43412" s="36" t="s">
        <v>48</v>
      </c>
    </row>
    <row r="43413">
      <c r="H43413" s="50"/>
      <c r="I43413" s="50"/>
      <c r="O43413" s="36" t="s">
        <v>48</v>
      </c>
      <c r="R43413" s="36" t="s">
        <v>48</v>
      </c>
    </row>
    <row r="43414">
      <c r="H43414" s="50"/>
      <c r="I43414" s="50"/>
      <c r="O43414" s="36" t="s">
        <v>48</v>
      </c>
      <c r="R43414" s="36" t="s">
        <v>48</v>
      </c>
    </row>
    <row r="43415">
      <c r="H43415" s="50"/>
      <c r="I43415" s="50"/>
      <c r="O43415" s="36" t="s">
        <v>48</v>
      </c>
      <c r="R43415" s="36" t="s">
        <v>48</v>
      </c>
    </row>
    <row r="43416">
      <c r="H43416" s="50"/>
      <c r="I43416" s="50"/>
      <c r="O43416" s="36" t="s">
        <v>48</v>
      </c>
      <c r="R43416" s="36" t="s">
        <v>48</v>
      </c>
    </row>
    <row r="43417">
      <c r="H43417" s="50"/>
      <c r="I43417" s="50"/>
      <c r="O43417" s="36" t="s">
        <v>48</v>
      </c>
      <c r="R43417" s="36" t="s">
        <v>48</v>
      </c>
    </row>
    <row r="43418">
      <c r="H43418" s="50"/>
      <c r="I43418" s="50"/>
      <c r="O43418" s="36" t="s">
        <v>48</v>
      </c>
      <c r="R43418" s="36" t="s">
        <v>48</v>
      </c>
    </row>
    <row r="43419">
      <c r="H43419" s="50"/>
      <c r="I43419" s="50"/>
      <c r="O43419" s="36" t="s">
        <v>48</v>
      </c>
      <c r="R43419" s="36" t="s">
        <v>48</v>
      </c>
    </row>
    <row r="43420">
      <c r="H43420" s="50"/>
      <c r="I43420" s="50"/>
      <c r="O43420" s="36" t="s">
        <v>48</v>
      </c>
      <c r="R43420" s="36" t="s">
        <v>48</v>
      </c>
    </row>
    <row r="43421">
      <c r="H43421" s="50"/>
      <c r="I43421" s="50"/>
      <c r="O43421" s="36" t="s">
        <v>48</v>
      </c>
      <c r="R43421" s="36" t="s">
        <v>48</v>
      </c>
    </row>
    <row r="43422">
      <c r="H43422" s="50"/>
      <c r="I43422" s="50"/>
      <c r="O43422" s="36" t="s">
        <v>48</v>
      </c>
      <c r="R43422" s="36" t="s">
        <v>48</v>
      </c>
    </row>
    <row r="43423">
      <c r="H43423" s="50"/>
      <c r="I43423" s="50"/>
      <c r="O43423" s="36" t="s">
        <v>48</v>
      </c>
      <c r="R43423" s="36" t="s">
        <v>48</v>
      </c>
    </row>
    <row r="43424">
      <c r="H43424" s="50"/>
      <c r="I43424" s="50"/>
      <c r="O43424" s="36" t="s">
        <v>48</v>
      </c>
      <c r="R43424" s="36" t="s">
        <v>48</v>
      </c>
    </row>
    <row r="43425">
      <c r="H43425" s="50"/>
      <c r="I43425" s="50"/>
      <c r="O43425" s="36" t="s">
        <v>48</v>
      </c>
      <c r="R43425" s="36" t="s">
        <v>48</v>
      </c>
    </row>
    <row r="43426">
      <c r="H43426" s="50"/>
      <c r="I43426" s="50"/>
      <c r="O43426" s="36" t="s">
        <v>48</v>
      </c>
      <c r="R43426" s="36" t="s">
        <v>48</v>
      </c>
    </row>
    <row r="43427">
      <c r="H43427" s="50"/>
      <c r="I43427" s="50"/>
      <c r="O43427" s="36" t="s">
        <v>48</v>
      </c>
      <c r="R43427" s="36" t="s">
        <v>48</v>
      </c>
    </row>
    <row r="43428">
      <c r="H43428" s="50"/>
      <c r="I43428" s="50"/>
      <c r="O43428" s="36" t="s">
        <v>48</v>
      </c>
      <c r="R43428" s="36" t="s">
        <v>48</v>
      </c>
    </row>
    <row r="43429">
      <c r="H43429" s="50"/>
      <c r="I43429" s="50"/>
      <c r="O43429" s="36" t="s">
        <v>48</v>
      </c>
      <c r="R43429" s="36" t="s">
        <v>48</v>
      </c>
    </row>
    <row r="43430">
      <c r="H43430" s="50"/>
      <c r="I43430" s="50"/>
      <c r="O43430" s="36" t="s">
        <v>48</v>
      </c>
      <c r="R43430" s="36" t="s">
        <v>48</v>
      </c>
    </row>
    <row r="43431">
      <c r="H43431" s="50"/>
      <c r="I43431" s="50"/>
      <c r="O43431" s="36" t="s">
        <v>48</v>
      </c>
      <c r="R43431" s="36" t="s">
        <v>48</v>
      </c>
    </row>
    <row r="43432">
      <c r="H43432" s="50"/>
      <c r="I43432" s="50"/>
      <c r="O43432" s="36" t="s">
        <v>48</v>
      </c>
      <c r="R43432" s="36" t="s">
        <v>48</v>
      </c>
    </row>
    <row r="43433">
      <c r="H43433" s="50"/>
      <c r="I43433" s="50"/>
      <c r="O43433" s="36" t="s">
        <v>48</v>
      </c>
      <c r="R43433" s="36" t="s">
        <v>48</v>
      </c>
    </row>
    <row r="43434">
      <c r="H43434" s="50"/>
      <c r="I43434" s="50"/>
      <c r="O43434" s="36" t="s">
        <v>48</v>
      </c>
      <c r="R43434" s="36" t="s">
        <v>48</v>
      </c>
    </row>
    <row r="43435">
      <c r="H43435" s="50"/>
      <c r="I43435" s="50"/>
      <c r="O43435" s="36" t="s">
        <v>48</v>
      </c>
      <c r="R43435" s="36" t="s">
        <v>48</v>
      </c>
    </row>
    <row r="43436">
      <c r="H43436" s="50"/>
      <c r="I43436" s="50"/>
      <c r="O43436" s="36" t="s">
        <v>48</v>
      </c>
      <c r="R43436" s="36" t="s">
        <v>48</v>
      </c>
    </row>
    <row r="43437">
      <c r="H43437" s="50"/>
      <c r="I43437" s="50"/>
      <c r="O43437" s="36" t="s">
        <v>48</v>
      </c>
      <c r="R43437" s="36" t="s">
        <v>48</v>
      </c>
    </row>
    <row r="43438">
      <c r="H43438" s="50"/>
      <c r="I43438" s="50"/>
      <c r="O43438" s="36" t="s">
        <v>48</v>
      </c>
      <c r="R43438" s="36" t="s">
        <v>48</v>
      </c>
    </row>
    <row r="43439">
      <c r="H43439" s="50"/>
      <c r="I43439" s="50"/>
      <c r="O43439" s="36" t="s">
        <v>48</v>
      </c>
      <c r="R43439" s="36" t="s">
        <v>48</v>
      </c>
    </row>
    <row r="43440">
      <c r="H43440" s="50"/>
      <c r="I43440" s="50"/>
      <c r="O43440" s="36" t="s">
        <v>48</v>
      </c>
      <c r="R43440" s="36" t="s">
        <v>48</v>
      </c>
    </row>
    <row r="43441">
      <c r="H43441" s="50"/>
      <c r="I43441" s="50"/>
      <c r="O43441" s="36" t="s">
        <v>48</v>
      </c>
      <c r="R43441" s="36" t="s">
        <v>48</v>
      </c>
    </row>
    <row r="43442">
      <c r="H43442" s="50"/>
      <c r="I43442" s="50"/>
      <c r="O43442" s="36" t="s">
        <v>48</v>
      </c>
      <c r="R43442" s="36" t="s">
        <v>48</v>
      </c>
    </row>
    <row r="43443">
      <c r="H43443" s="50"/>
      <c r="I43443" s="50"/>
      <c r="O43443" s="36" t="s">
        <v>48</v>
      </c>
      <c r="R43443" s="36" t="s">
        <v>48</v>
      </c>
    </row>
    <row r="43444">
      <c r="H43444" s="50"/>
      <c r="I43444" s="50"/>
      <c r="O43444" s="36" t="s">
        <v>48</v>
      </c>
      <c r="R43444" s="36" t="s">
        <v>48</v>
      </c>
    </row>
    <row r="43445">
      <c r="H43445" s="50"/>
      <c r="I43445" s="50"/>
      <c r="O43445" s="36" t="s">
        <v>48</v>
      </c>
      <c r="R43445" s="36" t="s">
        <v>48</v>
      </c>
    </row>
    <row r="43446">
      <c r="H43446" s="50"/>
      <c r="I43446" s="50"/>
      <c r="O43446" s="36" t="s">
        <v>48</v>
      </c>
      <c r="R43446" s="36" t="s">
        <v>48</v>
      </c>
    </row>
    <row r="43447">
      <c r="H43447" s="50"/>
      <c r="I43447" s="50"/>
      <c r="O43447" s="36" t="s">
        <v>48</v>
      </c>
      <c r="R43447" s="36" t="s">
        <v>48</v>
      </c>
    </row>
    <row r="43448">
      <c r="H43448" s="50"/>
      <c r="I43448" s="50"/>
      <c r="O43448" s="36" t="s">
        <v>48</v>
      </c>
      <c r="R43448" s="36" t="s">
        <v>48</v>
      </c>
    </row>
    <row r="43449">
      <c r="H43449" s="50"/>
      <c r="I43449" s="50"/>
      <c r="O43449" s="36" t="s">
        <v>48</v>
      </c>
      <c r="R43449" s="36" t="s">
        <v>48</v>
      </c>
    </row>
    <row r="43450">
      <c r="H43450" s="50"/>
      <c r="I43450" s="50"/>
      <c r="O43450" s="36" t="s">
        <v>48</v>
      </c>
      <c r="R43450" s="36" t="s">
        <v>48</v>
      </c>
    </row>
    <row r="43451">
      <c r="H43451" s="50"/>
      <c r="I43451" s="50"/>
      <c r="O43451" s="36" t="s">
        <v>48</v>
      </c>
      <c r="R43451" s="36" t="s">
        <v>48</v>
      </c>
    </row>
    <row r="43452">
      <c r="H43452" s="50"/>
      <c r="I43452" s="50"/>
      <c r="O43452" s="36" t="s">
        <v>48</v>
      </c>
      <c r="R43452" s="36" t="s">
        <v>48</v>
      </c>
    </row>
    <row r="43453">
      <c r="H43453" s="50"/>
      <c r="I43453" s="50"/>
      <c r="O43453" s="36" t="s">
        <v>48</v>
      </c>
      <c r="R43453" s="36" t="s">
        <v>48</v>
      </c>
    </row>
    <row r="43454">
      <c r="H43454" s="50"/>
      <c r="I43454" s="50"/>
      <c r="O43454" s="36" t="s">
        <v>48</v>
      </c>
      <c r="R43454" s="36" t="s">
        <v>48</v>
      </c>
    </row>
    <row r="43455">
      <c r="H43455" s="50"/>
      <c r="I43455" s="50"/>
      <c r="O43455" s="36" t="s">
        <v>48</v>
      </c>
      <c r="R43455" s="36" t="s">
        <v>48</v>
      </c>
    </row>
    <row r="43456">
      <c r="H43456" s="50"/>
      <c r="I43456" s="50"/>
      <c r="O43456" s="36" t="s">
        <v>48</v>
      </c>
      <c r="R43456" s="36" t="s">
        <v>48</v>
      </c>
    </row>
    <row r="43457">
      <c r="H43457" s="50"/>
      <c r="I43457" s="50"/>
      <c r="O43457" s="36" t="s">
        <v>48</v>
      </c>
      <c r="R43457" s="36" t="s">
        <v>48</v>
      </c>
    </row>
    <row r="43458">
      <c r="H43458" s="50"/>
      <c r="I43458" s="50"/>
      <c r="O43458" s="36" t="s">
        <v>48</v>
      </c>
      <c r="R43458" s="36" t="s">
        <v>48</v>
      </c>
    </row>
    <row r="43459">
      <c r="H43459" s="50"/>
      <c r="I43459" s="50"/>
      <c r="O43459" s="36" t="s">
        <v>48</v>
      </c>
      <c r="R43459" s="36" t="s">
        <v>48</v>
      </c>
    </row>
    <row r="43460">
      <c r="H43460" s="50"/>
      <c r="I43460" s="50"/>
      <c r="O43460" s="36" t="s">
        <v>48</v>
      </c>
      <c r="R43460" s="36" t="s">
        <v>48</v>
      </c>
    </row>
    <row r="43461">
      <c r="H43461" s="50"/>
      <c r="I43461" s="50"/>
      <c r="O43461" s="36" t="s">
        <v>48</v>
      </c>
      <c r="R43461" s="36" t="s">
        <v>48</v>
      </c>
    </row>
    <row r="43462">
      <c r="H43462" s="50"/>
      <c r="I43462" s="50"/>
      <c r="O43462" s="36" t="s">
        <v>48</v>
      </c>
      <c r="R43462" s="36" t="s">
        <v>48</v>
      </c>
    </row>
    <row r="43463">
      <c r="H43463" s="50"/>
      <c r="I43463" s="50"/>
      <c r="O43463" s="36" t="s">
        <v>48</v>
      </c>
      <c r="R43463" s="36" t="s">
        <v>48</v>
      </c>
    </row>
    <row r="43464">
      <c r="H43464" s="50"/>
      <c r="I43464" s="50"/>
      <c r="O43464" s="36" t="s">
        <v>48</v>
      </c>
      <c r="R43464" s="36" t="s">
        <v>48</v>
      </c>
    </row>
    <row r="43465">
      <c r="H43465" s="50"/>
      <c r="I43465" s="50"/>
      <c r="O43465" s="36" t="s">
        <v>48</v>
      </c>
      <c r="R43465" s="36" t="s">
        <v>48</v>
      </c>
    </row>
    <row r="43466">
      <c r="H43466" s="50"/>
      <c r="I43466" s="50"/>
      <c r="O43466" s="36" t="s">
        <v>48</v>
      </c>
      <c r="R43466" s="36" t="s">
        <v>48</v>
      </c>
    </row>
    <row r="43467">
      <c r="H43467" s="50"/>
      <c r="I43467" s="50"/>
      <c r="O43467" s="36" t="s">
        <v>48</v>
      </c>
      <c r="R43467" s="36" t="s">
        <v>48</v>
      </c>
    </row>
    <row r="43468">
      <c r="H43468" s="50"/>
      <c r="I43468" s="50"/>
      <c r="O43468" s="36" t="s">
        <v>48</v>
      </c>
      <c r="R43468" s="36" t="s">
        <v>48</v>
      </c>
    </row>
    <row r="43469">
      <c r="H43469" s="50"/>
      <c r="I43469" s="50"/>
      <c r="O43469" s="36" t="s">
        <v>48</v>
      </c>
      <c r="R43469" s="36" t="s">
        <v>48</v>
      </c>
    </row>
    <row r="43470">
      <c r="H43470" s="50"/>
      <c r="I43470" s="50"/>
      <c r="O43470" s="36" t="s">
        <v>48</v>
      </c>
      <c r="R43470" s="36" t="s">
        <v>48</v>
      </c>
    </row>
    <row r="43471">
      <c r="H43471" s="50"/>
      <c r="I43471" s="50"/>
      <c r="O43471" s="36" t="s">
        <v>48</v>
      </c>
      <c r="R43471" s="36" t="s">
        <v>48</v>
      </c>
    </row>
    <row r="43472">
      <c r="H43472" s="50"/>
      <c r="I43472" s="50"/>
      <c r="O43472" s="36" t="s">
        <v>48</v>
      </c>
      <c r="R43472" s="36" t="s">
        <v>48</v>
      </c>
    </row>
    <row r="43473">
      <c r="H43473" s="50"/>
      <c r="I43473" s="50"/>
      <c r="O43473" s="36" t="s">
        <v>48</v>
      </c>
      <c r="R43473" s="36" t="s">
        <v>48</v>
      </c>
    </row>
    <row r="43474">
      <c r="H43474" s="50"/>
      <c r="I43474" s="50"/>
      <c r="O43474" s="36" t="s">
        <v>48</v>
      </c>
      <c r="R43474" s="36" t="s">
        <v>48</v>
      </c>
    </row>
    <row r="43475">
      <c r="H43475" s="50"/>
      <c r="I43475" s="50"/>
      <c r="O43475" s="36" t="s">
        <v>48</v>
      </c>
      <c r="R43475" s="36" t="s">
        <v>48</v>
      </c>
    </row>
    <row r="43476">
      <c r="H43476" s="50"/>
      <c r="I43476" s="50"/>
      <c r="O43476" s="36" t="s">
        <v>48</v>
      </c>
      <c r="R43476" s="36" t="s">
        <v>48</v>
      </c>
    </row>
    <row r="43477">
      <c r="H43477" s="50"/>
      <c r="I43477" s="50"/>
      <c r="O43477" s="36" t="s">
        <v>48</v>
      </c>
      <c r="R43477" s="36" t="s">
        <v>48</v>
      </c>
    </row>
    <row r="43478">
      <c r="H43478" s="50"/>
      <c r="I43478" s="50"/>
      <c r="O43478" s="36" t="s">
        <v>48</v>
      </c>
      <c r="R43478" s="36" t="s">
        <v>48</v>
      </c>
    </row>
    <row r="43479">
      <c r="H43479" s="50"/>
      <c r="I43479" s="50"/>
      <c r="O43479" s="36" t="s">
        <v>48</v>
      </c>
      <c r="R43479" s="36" t="s">
        <v>48</v>
      </c>
    </row>
    <row r="43480">
      <c r="H43480" s="50"/>
      <c r="I43480" s="50"/>
      <c r="O43480" s="36" t="s">
        <v>48</v>
      </c>
      <c r="R43480" s="36" t="s">
        <v>48</v>
      </c>
    </row>
    <row r="43481">
      <c r="H43481" s="50"/>
      <c r="I43481" s="50"/>
      <c r="O43481" s="36" t="s">
        <v>48</v>
      </c>
      <c r="R43481" s="36" t="s">
        <v>48</v>
      </c>
    </row>
    <row r="43482">
      <c r="H43482" s="50"/>
      <c r="I43482" s="50"/>
      <c r="O43482" s="36" t="s">
        <v>48</v>
      </c>
      <c r="R43482" s="36" t="s">
        <v>48</v>
      </c>
    </row>
    <row r="43483">
      <c r="H43483" s="50"/>
      <c r="I43483" s="50"/>
      <c r="O43483" s="36" t="s">
        <v>48</v>
      </c>
      <c r="R43483" s="36" t="s">
        <v>48</v>
      </c>
    </row>
    <row r="43484">
      <c r="H43484" s="50"/>
      <c r="I43484" s="50"/>
      <c r="O43484" s="36" t="s">
        <v>48</v>
      </c>
      <c r="R43484" s="36" t="s">
        <v>48</v>
      </c>
    </row>
    <row r="43485">
      <c r="H43485" s="50"/>
      <c r="I43485" s="50"/>
      <c r="O43485" s="36" t="s">
        <v>48</v>
      </c>
      <c r="R43485" s="36" t="s">
        <v>48</v>
      </c>
    </row>
    <row r="43486">
      <c r="H43486" s="50"/>
      <c r="I43486" s="50"/>
      <c r="O43486" s="36" t="s">
        <v>48</v>
      </c>
      <c r="R43486" s="36" t="s">
        <v>48</v>
      </c>
    </row>
    <row r="43487">
      <c r="H43487" s="50"/>
      <c r="I43487" s="50"/>
      <c r="O43487" s="36" t="s">
        <v>48</v>
      </c>
      <c r="R43487" s="36" t="s">
        <v>48</v>
      </c>
    </row>
    <row r="43488">
      <c r="H43488" s="50"/>
      <c r="I43488" s="50"/>
      <c r="O43488" s="36" t="s">
        <v>48</v>
      </c>
      <c r="R43488" s="36" t="s">
        <v>48</v>
      </c>
    </row>
    <row r="43489">
      <c r="H43489" s="50"/>
      <c r="I43489" s="50"/>
      <c r="O43489" s="36" t="s">
        <v>48</v>
      </c>
      <c r="R43489" s="36" t="s">
        <v>48</v>
      </c>
    </row>
    <row r="43490">
      <c r="H43490" s="50"/>
      <c r="I43490" s="50"/>
      <c r="O43490" s="36" t="s">
        <v>48</v>
      </c>
      <c r="R43490" s="36" t="s">
        <v>48</v>
      </c>
    </row>
    <row r="43491">
      <c r="H43491" s="50"/>
      <c r="I43491" s="50"/>
      <c r="O43491" s="36" t="s">
        <v>48</v>
      </c>
      <c r="R43491" s="36" t="s">
        <v>48</v>
      </c>
    </row>
    <row r="43492">
      <c r="H43492" s="50"/>
      <c r="I43492" s="50"/>
      <c r="O43492" s="36" t="s">
        <v>48</v>
      </c>
      <c r="R43492" s="36" t="s">
        <v>48</v>
      </c>
    </row>
    <row r="43493">
      <c r="H43493" s="50"/>
      <c r="I43493" s="50"/>
      <c r="O43493" s="36" t="s">
        <v>48</v>
      </c>
      <c r="R43493" s="36" t="s">
        <v>48</v>
      </c>
    </row>
    <row r="43494">
      <c r="H43494" s="50"/>
      <c r="I43494" s="50"/>
      <c r="O43494" s="36" t="s">
        <v>48</v>
      </c>
      <c r="R43494" s="36" t="s">
        <v>48</v>
      </c>
    </row>
    <row r="43495">
      <c r="H43495" s="50"/>
      <c r="I43495" s="50"/>
      <c r="O43495" s="36" t="s">
        <v>48</v>
      </c>
      <c r="R43495" s="36" t="s">
        <v>48</v>
      </c>
    </row>
    <row r="43496">
      <c r="H43496" s="50"/>
      <c r="I43496" s="50"/>
      <c r="O43496" s="36" t="s">
        <v>48</v>
      </c>
      <c r="R43496" s="36" t="s">
        <v>48</v>
      </c>
    </row>
    <row r="43497">
      <c r="H43497" s="50"/>
      <c r="I43497" s="50"/>
      <c r="O43497" s="36" t="s">
        <v>48</v>
      </c>
      <c r="R43497" s="36" t="s">
        <v>48</v>
      </c>
    </row>
    <row r="43498">
      <c r="H43498" s="50"/>
      <c r="I43498" s="50"/>
      <c r="O43498" s="36" t="s">
        <v>48</v>
      </c>
      <c r="R43498" s="36" t="s">
        <v>48</v>
      </c>
    </row>
    <row r="43499">
      <c r="H43499" s="50"/>
      <c r="I43499" s="50"/>
      <c r="O43499" s="36" t="s">
        <v>48</v>
      </c>
      <c r="R43499" s="36" t="s">
        <v>48</v>
      </c>
    </row>
    <row r="43500">
      <c r="H43500" s="50"/>
      <c r="I43500" s="50"/>
      <c r="O43500" s="36" t="s">
        <v>48</v>
      </c>
      <c r="R43500" s="36" t="s">
        <v>48</v>
      </c>
    </row>
    <row r="43501">
      <c r="H43501" s="50"/>
      <c r="I43501" s="50"/>
      <c r="O43501" s="36" t="s">
        <v>48</v>
      </c>
      <c r="R43501" s="36" t="s">
        <v>48</v>
      </c>
    </row>
    <row r="43502">
      <c r="H43502" s="50"/>
      <c r="I43502" s="50"/>
      <c r="O43502" s="36" t="s">
        <v>48</v>
      </c>
      <c r="R43502" s="36" t="s">
        <v>48</v>
      </c>
    </row>
    <row r="43503">
      <c r="H43503" s="50"/>
      <c r="I43503" s="50"/>
      <c r="O43503" s="36" t="s">
        <v>48</v>
      </c>
      <c r="R43503" s="36" t="s">
        <v>48</v>
      </c>
    </row>
    <row r="43504">
      <c r="H43504" s="50"/>
      <c r="I43504" s="50"/>
      <c r="O43504" s="36" t="s">
        <v>48</v>
      </c>
      <c r="R43504" s="36" t="s">
        <v>48</v>
      </c>
    </row>
    <row r="43505">
      <c r="H43505" s="50"/>
      <c r="I43505" s="50"/>
      <c r="O43505" s="36" t="s">
        <v>48</v>
      </c>
      <c r="R43505" s="36" t="s">
        <v>48</v>
      </c>
    </row>
    <row r="43506">
      <c r="H43506" s="50"/>
      <c r="I43506" s="50"/>
      <c r="O43506" s="36" t="s">
        <v>48</v>
      </c>
      <c r="R43506" s="36" t="s">
        <v>48</v>
      </c>
    </row>
    <row r="43507">
      <c r="H43507" s="50"/>
      <c r="I43507" s="50"/>
      <c r="O43507" s="36" t="s">
        <v>48</v>
      </c>
      <c r="R43507" s="36" t="s">
        <v>48</v>
      </c>
    </row>
    <row r="43508">
      <c r="H43508" s="50"/>
      <c r="I43508" s="50"/>
      <c r="O43508" s="36" t="s">
        <v>48</v>
      </c>
      <c r="R43508" s="36" t="s">
        <v>48</v>
      </c>
    </row>
    <row r="43509">
      <c r="H43509" s="50"/>
      <c r="I43509" s="50"/>
      <c r="O43509" s="36" t="s">
        <v>48</v>
      </c>
      <c r="R43509" s="36" t="s">
        <v>48</v>
      </c>
    </row>
    <row r="43510">
      <c r="H43510" s="50"/>
      <c r="I43510" s="50"/>
      <c r="O43510" s="36" t="s">
        <v>48</v>
      </c>
      <c r="R43510" s="36" t="s">
        <v>48</v>
      </c>
    </row>
    <row r="43511">
      <c r="H43511" s="50"/>
      <c r="I43511" s="50"/>
      <c r="O43511" s="36" t="s">
        <v>48</v>
      </c>
      <c r="R43511" s="36" t="s">
        <v>48</v>
      </c>
    </row>
    <row r="43512">
      <c r="H43512" s="50"/>
      <c r="I43512" s="50"/>
      <c r="O43512" s="36" t="s">
        <v>48</v>
      </c>
      <c r="R43512" s="36" t="s">
        <v>48</v>
      </c>
    </row>
    <row r="43513">
      <c r="H43513" s="50"/>
      <c r="I43513" s="50"/>
      <c r="O43513" s="36" t="s">
        <v>48</v>
      </c>
      <c r="R43513" s="36" t="s">
        <v>48</v>
      </c>
    </row>
    <row r="43514">
      <c r="H43514" s="50"/>
      <c r="I43514" s="50"/>
      <c r="O43514" s="36" t="s">
        <v>48</v>
      </c>
      <c r="R43514" s="36" t="s">
        <v>48</v>
      </c>
    </row>
    <row r="43515">
      <c r="H43515" s="50"/>
      <c r="I43515" s="50"/>
      <c r="O43515" s="36" t="s">
        <v>48</v>
      </c>
      <c r="R43515" s="36" t="s">
        <v>48</v>
      </c>
    </row>
    <row r="43516">
      <c r="H43516" s="50"/>
      <c r="I43516" s="50"/>
      <c r="O43516" s="36" t="s">
        <v>48</v>
      </c>
      <c r="R43516" s="36" t="s">
        <v>48</v>
      </c>
    </row>
    <row r="43517">
      <c r="H43517" s="50"/>
      <c r="I43517" s="50"/>
      <c r="O43517" s="36" t="s">
        <v>48</v>
      </c>
      <c r="R43517" s="36" t="s">
        <v>48</v>
      </c>
    </row>
    <row r="43518">
      <c r="H43518" s="50"/>
      <c r="I43518" s="50"/>
      <c r="O43518" s="36" t="s">
        <v>48</v>
      </c>
      <c r="R43518" s="36" t="s">
        <v>48</v>
      </c>
    </row>
    <row r="43519">
      <c r="H43519" s="50"/>
      <c r="I43519" s="50"/>
      <c r="O43519" s="36" t="s">
        <v>48</v>
      </c>
      <c r="R43519" s="36" t="s">
        <v>48</v>
      </c>
    </row>
    <row r="43520">
      <c r="H43520" s="50"/>
      <c r="I43520" s="50"/>
      <c r="O43520" s="36" t="s">
        <v>48</v>
      </c>
      <c r="R43520" s="36" t="s">
        <v>48</v>
      </c>
    </row>
    <row r="43521">
      <c r="H43521" s="50"/>
      <c r="I43521" s="50"/>
      <c r="O43521" s="36" t="s">
        <v>48</v>
      </c>
      <c r="R43521" s="36" t="s">
        <v>48</v>
      </c>
    </row>
    <row r="43522">
      <c r="H43522" s="50"/>
      <c r="I43522" s="50"/>
      <c r="O43522" s="36" t="s">
        <v>48</v>
      </c>
      <c r="R43522" s="36" t="s">
        <v>48</v>
      </c>
    </row>
    <row r="43523">
      <c r="H43523" s="50"/>
      <c r="I43523" s="50"/>
      <c r="O43523" s="36" t="s">
        <v>48</v>
      </c>
      <c r="R43523" s="36" t="s">
        <v>48</v>
      </c>
    </row>
    <row r="43524">
      <c r="H43524" s="50"/>
      <c r="I43524" s="50"/>
      <c r="O43524" s="36" t="s">
        <v>48</v>
      </c>
      <c r="R43524" s="36" t="s">
        <v>48</v>
      </c>
    </row>
    <row r="43525">
      <c r="H43525" s="50"/>
      <c r="I43525" s="50"/>
      <c r="O43525" s="36" t="s">
        <v>48</v>
      </c>
      <c r="R43525" s="36" t="s">
        <v>48</v>
      </c>
    </row>
    <row r="43526">
      <c r="H43526" s="50"/>
      <c r="I43526" s="50"/>
      <c r="O43526" s="36" t="s">
        <v>48</v>
      </c>
      <c r="R43526" s="36" t="s">
        <v>48</v>
      </c>
    </row>
    <row r="43527">
      <c r="H43527" s="50"/>
      <c r="I43527" s="50"/>
      <c r="O43527" s="36" t="s">
        <v>48</v>
      </c>
      <c r="R43527" s="36" t="s">
        <v>48</v>
      </c>
    </row>
    <row r="43528">
      <c r="H43528" s="50"/>
      <c r="I43528" s="50"/>
      <c r="O43528" s="36" t="s">
        <v>48</v>
      </c>
      <c r="R43528" s="36" t="s">
        <v>48</v>
      </c>
    </row>
    <row r="43529">
      <c r="H43529" s="50"/>
      <c r="I43529" s="50"/>
      <c r="O43529" s="36" t="s">
        <v>48</v>
      </c>
      <c r="R43529" s="36" t="s">
        <v>48</v>
      </c>
    </row>
    <row r="43530">
      <c r="H43530" s="50"/>
      <c r="I43530" s="50"/>
      <c r="O43530" s="36" t="s">
        <v>48</v>
      </c>
      <c r="R43530" s="36" t="s">
        <v>48</v>
      </c>
    </row>
    <row r="43531">
      <c r="H43531" s="50"/>
      <c r="I43531" s="50"/>
      <c r="O43531" s="36" t="s">
        <v>48</v>
      </c>
      <c r="R43531" s="36" t="s">
        <v>48</v>
      </c>
    </row>
    <row r="43532">
      <c r="H43532" s="50"/>
      <c r="I43532" s="50"/>
      <c r="O43532" s="36" t="s">
        <v>48</v>
      </c>
      <c r="R43532" s="36" t="s">
        <v>48</v>
      </c>
    </row>
    <row r="43533">
      <c r="H43533" s="50"/>
      <c r="I43533" s="50"/>
      <c r="O43533" s="36" t="s">
        <v>48</v>
      </c>
      <c r="R43533" s="36" t="s">
        <v>48</v>
      </c>
    </row>
    <row r="43534">
      <c r="H43534" s="50"/>
      <c r="I43534" s="50"/>
      <c r="O43534" s="36" t="s">
        <v>48</v>
      </c>
      <c r="R43534" s="36" t="s">
        <v>48</v>
      </c>
    </row>
    <row r="43535">
      <c r="H43535" s="50"/>
      <c r="I43535" s="50"/>
      <c r="O43535" s="36" t="s">
        <v>48</v>
      </c>
      <c r="R43535" s="36" t="s">
        <v>48</v>
      </c>
    </row>
    <row r="43536">
      <c r="H43536" s="50"/>
      <c r="I43536" s="50"/>
      <c r="O43536" s="36" t="s">
        <v>48</v>
      </c>
      <c r="R43536" s="36" t="s">
        <v>48</v>
      </c>
    </row>
    <row r="43537">
      <c r="H43537" s="50"/>
      <c r="I43537" s="50"/>
      <c r="O43537" s="36" t="s">
        <v>48</v>
      </c>
      <c r="R43537" s="36" t="s">
        <v>48</v>
      </c>
    </row>
    <row r="43538">
      <c r="H43538" s="50"/>
      <c r="I43538" s="50"/>
      <c r="O43538" s="36" t="s">
        <v>48</v>
      </c>
      <c r="R43538" s="36" t="s">
        <v>48</v>
      </c>
    </row>
    <row r="43539">
      <c r="H43539" s="50"/>
      <c r="I43539" s="50"/>
      <c r="O43539" s="36" t="s">
        <v>48</v>
      </c>
      <c r="R43539" s="36" t="s">
        <v>48</v>
      </c>
    </row>
    <row r="43540">
      <c r="H43540" s="50"/>
      <c r="I43540" s="50"/>
      <c r="O43540" s="36" t="s">
        <v>48</v>
      </c>
      <c r="R43540" s="36" t="s">
        <v>48</v>
      </c>
    </row>
    <row r="43541">
      <c r="H43541" s="50"/>
      <c r="I43541" s="50"/>
      <c r="O43541" s="36" t="s">
        <v>48</v>
      </c>
      <c r="R43541" s="36" t="s">
        <v>48</v>
      </c>
    </row>
    <row r="43542">
      <c r="H43542" s="50"/>
      <c r="I43542" s="50"/>
      <c r="O43542" s="36" t="s">
        <v>48</v>
      </c>
      <c r="R43542" s="36" t="s">
        <v>48</v>
      </c>
    </row>
    <row r="43543">
      <c r="H43543" s="50"/>
      <c r="I43543" s="50"/>
      <c r="O43543" s="36" t="s">
        <v>48</v>
      </c>
      <c r="R43543" s="36" t="s">
        <v>48</v>
      </c>
    </row>
    <row r="43544">
      <c r="H43544" s="50"/>
      <c r="I43544" s="50"/>
      <c r="O43544" s="36" t="s">
        <v>48</v>
      </c>
      <c r="R43544" s="36" t="s">
        <v>48</v>
      </c>
    </row>
    <row r="43545">
      <c r="H43545" s="50"/>
      <c r="I43545" s="50"/>
      <c r="O43545" s="36" t="s">
        <v>48</v>
      </c>
      <c r="R43545" s="36" t="s">
        <v>48</v>
      </c>
    </row>
    <row r="43546">
      <c r="H43546" s="50"/>
      <c r="I43546" s="50"/>
      <c r="O43546" s="36" t="s">
        <v>48</v>
      </c>
      <c r="R43546" s="36" t="s">
        <v>48</v>
      </c>
    </row>
    <row r="43547">
      <c r="H43547" s="50"/>
      <c r="I43547" s="50"/>
      <c r="O43547" s="36" t="s">
        <v>48</v>
      </c>
      <c r="R43547" s="36" t="s">
        <v>48</v>
      </c>
    </row>
    <row r="43548">
      <c r="H43548" s="50"/>
      <c r="I43548" s="50"/>
      <c r="O43548" s="36" t="s">
        <v>48</v>
      </c>
      <c r="R43548" s="36" t="s">
        <v>48</v>
      </c>
    </row>
    <row r="43549">
      <c r="H43549" s="50"/>
      <c r="I43549" s="50"/>
      <c r="O43549" s="36" t="s">
        <v>48</v>
      </c>
      <c r="R43549" s="36" t="s">
        <v>48</v>
      </c>
    </row>
    <row r="43550">
      <c r="H43550" s="50"/>
      <c r="I43550" s="50"/>
      <c r="O43550" s="36" t="s">
        <v>48</v>
      </c>
      <c r="R43550" s="36" t="s">
        <v>48</v>
      </c>
    </row>
    <row r="43551">
      <c r="H43551" s="50"/>
      <c r="I43551" s="50"/>
      <c r="O43551" s="36" t="s">
        <v>48</v>
      </c>
      <c r="R43551" s="36" t="s">
        <v>48</v>
      </c>
    </row>
    <row r="43552">
      <c r="H43552" s="50"/>
      <c r="I43552" s="50"/>
      <c r="O43552" s="36" t="s">
        <v>48</v>
      </c>
      <c r="R43552" s="36" t="s">
        <v>48</v>
      </c>
    </row>
    <row r="43553">
      <c r="H43553" s="50"/>
      <c r="I43553" s="50"/>
      <c r="O43553" s="36" t="s">
        <v>48</v>
      </c>
      <c r="R43553" s="36" t="s">
        <v>48</v>
      </c>
    </row>
    <row r="43554">
      <c r="H43554" s="50"/>
      <c r="I43554" s="50"/>
      <c r="O43554" s="36" t="s">
        <v>48</v>
      </c>
      <c r="R43554" s="36" t="s">
        <v>48</v>
      </c>
    </row>
    <row r="43555">
      <c r="H43555" s="50"/>
      <c r="I43555" s="50"/>
      <c r="O43555" s="36" t="s">
        <v>48</v>
      </c>
      <c r="R43555" s="36" t="s">
        <v>48</v>
      </c>
    </row>
    <row r="43556">
      <c r="H43556" s="50"/>
      <c r="I43556" s="50"/>
      <c r="O43556" s="36" t="s">
        <v>48</v>
      </c>
      <c r="R43556" s="36" t="s">
        <v>48</v>
      </c>
    </row>
    <row r="43557">
      <c r="H43557" s="50"/>
      <c r="I43557" s="50"/>
      <c r="O43557" s="36" t="s">
        <v>48</v>
      </c>
      <c r="R43557" s="36" t="s">
        <v>48</v>
      </c>
    </row>
    <row r="43558">
      <c r="H43558" s="50"/>
      <c r="I43558" s="50"/>
      <c r="O43558" s="36" t="s">
        <v>48</v>
      </c>
      <c r="R43558" s="36" t="s">
        <v>48</v>
      </c>
    </row>
    <row r="43559">
      <c r="H43559" s="50"/>
      <c r="I43559" s="50"/>
      <c r="O43559" s="36" t="s">
        <v>48</v>
      </c>
      <c r="R43559" s="36" t="s">
        <v>48</v>
      </c>
    </row>
    <row r="43560">
      <c r="H43560" s="50"/>
      <c r="I43560" s="50"/>
      <c r="O43560" s="36" t="s">
        <v>48</v>
      </c>
      <c r="R43560" s="36" t="s">
        <v>48</v>
      </c>
    </row>
    <row r="43561">
      <c r="H43561" s="50"/>
      <c r="I43561" s="50"/>
      <c r="O43561" s="36" t="s">
        <v>48</v>
      </c>
      <c r="R43561" s="36" t="s">
        <v>48</v>
      </c>
    </row>
    <row r="43562">
      <c r="H43562" s="50"/>
      <c r="I43562" s="50"/>
      <c r="O43562" s="36" t="s">
        <v>48</v>
      </c>
      <c r="R43562" s="36" t="s">
        <v>48</v>
      </c>
    </row>
    <row r="43563">
      <c r="H43563" s="50"/>
      <c r="I43563" s="50"/>
      <c r="O43563" s="36" t="s">
        <v>48</v>
      </c>
      <c r="R43563" s="36" t="s">
        <v>48</v>
      </c>
    </row>
    <row r="43564">
      <c r="H43564" s="50"/>
      <c r="I43564" s="50"/>
      <c r="O43564" s="36" t="s">
        <v>48</v>
      </c>
      <c r="R43564" s="36" t="s">
        <v>48</v>
      </c>
    </row>
    <row r="43565">
      <c r="H43565" s="50"/>
      <c r="I43565" s="50"/>
      <c r="O43565" s="36" t="s">
        <v>48</v>
      </c>
      <c r="R43565" s="36" t="s">
        <v>48</v>
      </c>
    </row>
    <row r="43566">
      <c r="H43566" s="50"/>
      <c r="I43566" s="50"/>
      <c r="O43566" s="36" t="s">
        <v>48</v>
      </c>
      <c r="R43566" s="36" t="s">
        <v>48</v>
      </c>
    </row>
    <row r="43567">
      <c r="H43567" s="50"/>
      <c r="I43567" s="50"/>
      <c r="O43567" s="36" t="s">
        <v>48</v>
      </c>
      <c r="R43567" s="36" t="s">
        <v>48</v>
      </c>
    </row>
    <row r="43568">
      <c r="H43568" s="50"/>
      <c r="I43568" s="50"/>
      <c r="O43568" s="36" t="s">
        <v>48</v>
      </c>
      <c r="R43568" s="36" t="s">
        <v>48</v>
      </c>
    </row>
    <row r="43569">
      <c r="H43569" s="50"/>
      <c r="I43569" s="50"/>
      <c r="O43569" s="36" t="s">
        <v>48</v>
      </c>
      <c r="R43569" s="36" t="s">
        <v>48</v>
      </c>
    </row>
    <row r="43570">
      <c r="H43570" s="50"/>
      <c r="I43570" s="50"/>
      <c r="O43570" s="36" t="s">
        <v>48</v>
      </c>
      <c r="R43570" s="36" t="s">
        <v>48</v>
      </c>
    </row>
    <row r="43571">
      <c r="H43571" s="50"/>
      <c r="I43571" s="50"/>
      <c r="O43571" s="36" t="s">
        <v>48</v>
      </c>
      <c r="R43571" s="36" t="s">
        <v>48</v>
      </c>
    </row>
    <row r="43572">
      <c r="H43572" s="50"/>
      <c r="I43572" s="50"/>
      <c r="O43572" s="36" t="s">
        <v>48</v>
      </c>
      <c r="R43572" s="36" t="s">
        <v>48</v>
      </c>
    </row>
    <row r="43573">
      <c r="H43573" s="50"/>
      <c r="I43573" s="50"/>
      <c r="O43573" s="36" t="s">
        <v>48</v>
      </c>
      <c r="R43573" s="36" t="s">
        <v>48</v>
      </c>
    </row>
    <row r="43574">
      <c r="H43574" s="50"/>
      <c r="I43574" s="50"/>
      <c r="O43574" s="36" t="s">
        <v>48</v>
      </c>
      <c r="R43574" s="36" t="s">
        <v>48</v>
      </c>
    </row>
    <row r="43575">
      <c r="H43575" s="50"/>
      <c r="I43575" s="50"/>
      <c r="O43575" s="36" t="s">
        <v>48</v>
      </c>
      <c r="R43575" s="36" t="s">
        <v>48</v>
      </c>
    </row>
    <row r="43576">
      <c r="H43576" s="50"/>
      <c r="I43576" s="50"/>
      <c r="O43576" s="36" t="s">
        <v>48</v>
      </c>
      <c r="R43576" s="36" t="s">
        <v>48</v>
      </c>
    </row>
    <row r="43577">
      <c r="H43577" s="50"/>
      <c r="I43577" s="50"/>
      <c r="O43577" s="36" t="s">
        <v>48</v>
      </c>
      <c r="R43577" s="36" t="s">
        <v>48</v>
      </c>
    </row>
    <row r="43578">
      <c r="H43578" s="50"/>
      <c r="I43578" s="50"/>
      <c r="O43578" s="36" t="s">
        <v>48</v>
      </c>
      <c r="R43578" s="36" t="s">
        <v>48</v>
      </c>
    </row>
    <row r="43579">
      <c r="H43579" s="50"/>
      <c r="I43579" s="50"/>
      <c r="O43579" s="36" t="s">
        <v>48</v>
      </c>
      <c r="R43579" s="36" t="s">
        <v>48</v>
      </c>
    </row>
    <row r="43580">
      <c r="H43580" s="50"/>
      <c r="I43580" s="50"/>
      <c r="O43580" s="36" t="s">
        <v>48</v>
      </c>
      <c r="R43580" s="36" t="s">
        <v>48</v>
      </c>
    </row>
    <row r="43581">
      <c r="H43581" s="50"/>
      <c r="I43581" s="50"/>
      <c r="O43581" s="36" t="s">
        <v>48</v>
      </c>
      <c r="R43581" s="36" t="s">
        <v>48</v>
      </c>
    </row>
    <row r="43582">
      <c r="H43582" s="50"/>
      <c r="I43582" s="50"/>
      <c r="O43582" s="36" t="s">
        <v>48</v>
      </c>
      <c r="R43582" s="36" t="s">
        <v>48</v>
      </c>
    </row>
    <row r="43583">
      <c r="H43583" s="50"/>
      <c r="I43583" s="50"/>
      <c r="O43583" s="36" t="s">
        <v>48</v>
      </c>
      <c r="R43583" s="36" t="s">
        <v>48</v>
      </c>
    </row>
    <row r="43584">
      <c r="H43584" s="50"/>
      <c r="I43584" s="50"/>
      <c r="O43584" s="36" t="s">
        <v>48</v>
      </c>
      <c r="R43584" s="36" t="s">
        <v>48</v>
      </c>
    </row>
    <row r="43585">
      <c r="H43585" s="50"/>
      <c r="I43585" s="50"/>
      <c r="O43585" s="36" t="s">
        <v>48</v>
      </c>
      <c r="R43585" s="36" t="s">
        <v>48</v>
      </c>
    </row>
    <row r="43586">
      <c r="H43586" s="50"/>
      <c r="I43586" s="50"/>
      <c r="O43586" s="36" t="s">
        <v>48</v>
      </c>
      <c r="R43586" s="36" t="s">
        <v>48</v>
      </c>
    </row>
    <row r="43587">
      <c r="H43587" s="50"/>
      <c r="I43587" s="50"/>
      <c r="O43587" s="36" t="s">
        <v>48</v>
      </c>
      <c r="R43587" s="36" t="s">
        <v>48</v>
      </c>
    </row>
    <row r="43588">
      <c r="H43588" s="50"/>
      <c r="I43588" s="50"/>
      <c r="O43588" s="36" t="s">
        <v>48</v>
      </c>
      <c r="R43588" s="36" t="s">
        <v>48</v>
      </c>
    </row>
    <row r="43589">
      <c r="H43589" s="50"/>
      <c r="I43589" s="50"/>
      <c r="O43589" s="36" t="s">
        <v>48</v>
      </c>
      <c r="R43589" s="36" t="s">
        <v>48</v>
      </c>
    </row>
    <row r="43590">
      <c r="H43590" s="50"/>
      <c r="I43590" s="50"/>
      <c r="O43590" s="36" t="s">
        <v>48</v>
      </c>
      <c r="R43590" s="36" t="s">
        <v>48</v>
      </c>
    </row>
    <row r="43591">
      <c r="H43591" s="50"/>
      <c r="I43591" s="50"/>
      <c r="O43591" s="36" t="s">
        <v>48</v>
      </c>
      <c r="R43591" s="36" t="s">
        <v>48</v>
      </c>
    </row>
    <row r="43592">
      <c r="H43592" s="50"/>
      <c r="I43592" s="50"/>
      <c r="O43592" s="36" t="s">
        <v>48</v>
      </c>
      <c r="R43592" s="36" t="s">
        <v>48</v>
      </c>
    </row>
    <row r="43593">
      <c r="H43593" s="50"/>
      <c r="I43593" s="50"/>
      <c r="O43593" s="36" t="s">
        <v>48</v>
      </c>
      <c r="R43593" s="36" t="s">
        <v>48</v>
      </c>
    </row>
    <row r="43594">
      <c r="H43594" s="50"/>
      <c r="I43594" s="50"/>
      <c r="O43594" s="36" t="s">
        <v>48</v>
      </c>
      <c r="R43594" s="36" t="s">
        <v>48</v>
      </c>
    </row>
    <row r="43595">
      <c r="H43595" s="50"/>
      <c r="I43595" s="50"/>
      <c r="O43595" s="36" t="s">
        <v>48</v>
      </c>
      <c r="R43595" s="36" t="s">
        <v>48</v>
      </c>
    </row>
    <row r="43596">
      <c r="H43596" s="50"/>
      <c r="I43596" s="50"/>
      <c r="O43596" s="36" t="s">
        <v>48</v>
      </c>
      <c r="R43596" s="36" t="s">
        <v>48</v>
      </c>
    </row>
    <row r="43597">
      <c r="H43597" s="50"/>
      <c r="I43597" s="50"/>
      <c r="O43597" s="36" t="s">
        <v>48</v>
      </c>
      <c r="R43597" s="36" t="s">
        <v>48</v>
      </c>
    </row>
    <row r="43598">
      <c r="H43598" s="50"/>
      <c r="I43598" s="50"/>
      <c r="O43598" s="36" t="s">
        <v>48</v>
      </c>
      <c r="R43598" s="36" t="s">
        <v>48</v>
      </c>
    </row>
    <row r="43599">
      <c r="H43599" s="50"/>
      <c r="I43599" s="50"/>
      <c r="O43599" s="36" t="s">
        <v>48</v>
      </c>
      <c r="R43599" s="36" t="s">
        <v>48</v>
      </c>
    </row>
    <row r="43600">
      <c r="H43600" s="50"/>
      <c r="I43600" s="50"/>
      <c r="O43600" s="36" t="s">
        <v>48</v>
      </c>
      <c r="R43600" s="36" t="s">
        <v>48</v>
      </c>
    </row>
    <row r="43601">
      <c r="H43601" s="50"/>
      <c r="I43601" s="50"/>
      <c r="O43601" s="36" t="s">
        <v>48</v>
      </c>
      <c r="R43601" s="36" t="s">
        <v>48</v>
      </c>
    </row>
    <row r="43602">
      <c r="H43602" s="50"/>
      <c r="I43602" s="50"/>
      <c r="O43602" s="36" t="s">
        <v>48</v>
      </c>
      <c r="R43602" s="36" t="s">
        <v>48</v>
      </c>
    </row>
    <row r="43603">
      <c r="H43603" s="50"/>
      <c r="I43603" s="50"/>
      <c r="O43603" s="36" t="s">
        <v>48</v>
      </c>
      <c r="R43603" s="36" t="s">
        <v>48</v>
      </c>
    </row>
    <row r="43604">
      <c r="H43604" s="50"/>
      <c r="I43604" s="50"/>
      <c r="O43604" s="36" t="s">
        <v>48</v>
      </c>
      <c r="R43604" s="36" t="s">
        <v>48</v>
      </c>
    </row>
    <row r="43605">
      <c r="H43605" s="50"/>
      <c r="I43605" s="50"/>
      <c r="O43605" s="36" t="s">
        <v>48</v>
      </c>
      <c r="R43605" s="36" t="s">
        <v>48</v>
      </c>
    </row>
    <row r="43606">
      <c r="H43606" s="50"/>
      <c r="I43606" s="50"/>
      <c r="O43606" s="36" t="s">
        <v>48</v>
      </c>
      <c r="R43606" s="36" t="s">
        <v>48</v>
      </c>
    </row>
    <row r="43607">
      <c r="H43607" s="50"/>
      <c r="I43607" s="50"/>
      <c r="O43607" s="36" t="s">
        <v>48</v>
      </c>
      <c r="R43607" s="36" t="s">
        <v>48</v>
      </c>
    </row>
    <row r="43608">
      <c r="H43608" s="50"/>
      <c r="I43608" s="50"/>
      <c r="O43608" s="36" t="s">
        <v>48</v>
      </c>
      <c r="R43608" s="36" t="s">
        <v>48</v>
      </c>
    </row>
    <row r="43609">
      <c r="H43609" s="50"/>
      <c r="I43609" s="50"/>
      <c r="O43609" s="36" t="s">
        <v>48</v>
      </c>
      <c r="R43609" s="36" t="s">
        <v>48</v>
      </c>
    </row>
    <row r="43610">
      <c r="H43610" s="50"/>
      <c r="I43610" s="50"/>
      <c r="O43610" s="36" t="s">
        <v>48</v>
      </c>
      <c r="R43610" s="36" t="s">
        <v>48</v>
      </c>
    </row>
    <row r="43611">
      <c r="H43611" s="50"/>
      <c r="I43611" s="50"/>
      <c r="O43611" s="36" t="s">
        <v>48</v>
      </c>
      <c r="R43611" s="36" t="s">
        <v>48</v>
      </c>
    </row>
    <row r="43612">
      <c r="H43612" s="50"/>
      <c r="I43612" s="50"/>
      <c r="O43612" s="36" t="s">
        <v>48</v>
      </c>
      <c r="R43612" s="36" t="s">
        <v>48</v>
      </c>
    </row>
    <row r="43613">
      <c r="H43613" s="50"/>
      <c r="I43613" s="50"/>
      <c r="O43613" s="36" t="s">
        <v>48</v>
      </c>
      <c r="R43613" s="36" t="s">
        <v>48</v>
      </c>
    </row>
    <row r="43614">
      <c r="H43614" s="50"/>
      <c r="I43614" s="50"/>
      <c r="O43614" s="36" t="s">
        <v>48</v>
      </c>
      <c r="R43614" s="36" t="s">
        <v>48</v>
      </c>
    </row>
    <row r="43615">
      <c r="H43615" s="50"/>
      <c r="I43615" s="50"/>
      <c r="O43615" s="36" t="s">
        <v>48</v>
      </c>
      <c r="R43615" s="36" t="s">
        <v>48</v>
      </c>
    </row>
    <row r="43616">
      <c r="H43616" s="50"/>
      <c r="I43616" s="50"/>
      <c r="O43616" s="36" t="s">
        <v>48</v>
      </c>
      <c r="R43616" s="36" t="s">
        <v>48</v>
      </c>
    </row>
    <row r="43617">
      <c r="H43617" s="50"/>
      <c r="I43617" s="50"/>
      <c r="O43617" s="36" t="s">
        <v>48</v>
      </c>
      <c r="R43617" s="36" t="s">
        <v>48</v>
      </c>
    </row>
    <row r="43618">
      <c r="H43618" s="50"/>
      <c r="I43618" s="50"/>
      <c r="O43618" s="36" t="s">
        <v>48</v>
      </c>
      <c r="R43618" s="36" t="s">
        <v>48</v>
      </c>
    </row>
    <row r="43619">
      <c r="H43619" s="50"/>
      <c r="I43619" s="50"/>
      <c r="O43619" s="36" t="s">
        <v>48</v>
      </c>
      <c r="R43619" s="36" t="s">
        <v>48</v>
      </c>
    </row>
    <row r="43620">
      <c r="H43620" s="50"/>
      <c r="I43620" s="50"/>
      <c r="O43620" s="36" t="s">
        <v>48</v>
      </c>
      <c r="R43620" s="36" t="s">
        <v>48</v>
      </c>
    </row>
    <row r="43621">
      <c r="H43621" s="50"/>
      <c r="I43621" s="50"/>
      <c r="O43621" s="36" t="s">
        <v>48</v>
      </c>
      <c r="R43621" s="36" t="s">
        <v>48</v>
      </c>
    </row>
    <row r="43622">
      <c r="H43622" s="50"/>
      <c r="I43622" s="50"/>
      <c r="O43622" s="36" t="s">
        <v>48</v>
      </c>
      <c r="R43622" s="36" t="s">
        <v>48</v>
      </c>
    </row>
    <row r="43623">
      <c r="H43623" s="50"/>
      <c r="I43623" s="50"/>
      <c r="O43623" s="36" t="s">
        <v>48</v>
      </c>
      <c r="R43623" s="36" t="s">
        <v>48</v>
      </c>
    </row>
    <row r="43624">
      <c r="H43624" s="50"/>
      <c r="I43624" s="50"/>
      <c r="O43624" s="36" t="s">
        <v>48</v>
      </c>
      <c r="R43624" s="36" t="s">
        <v>48</v>
      </c>
    </row>
    <row r="43625">
      <c r="H43625" s="50"/>
      <c r="I43625" s="50"/>
      <c r="O43625" s="36" t="s">
        <v>48</v>
      </c>
      <c r="R43625" s="36" t="s">
        <v>48</v>
      </c>
    </row>
    <row r="43626">
      <c r="H43626" s="50"/>
      <c r="I43626" s="50"/>
      <c r="O43626" s="36" t="s">
        <v>48</v>
      </c>
      <c r="R43626" s="36" t="s">
        <v>48</v>
      </c>
    </row>
    <row r="43627">
      <c r="H43627" s="50"/>
      <c r="I43627" s="50"/>
      <c r="O43627" s="36" t="s">
        <v>48</v>
      </c>
      <c r="R43627" s="36" t="s">
        <v>48</v>
      </c>
    </row>
    <row r="43628">
      <c r="H43628" s="50"/>
      <c r="I43628" s="50"/>
      <c r="O43628" s="36" t="s">
        <v>48</v>
      </c>
      <c r="R43628" s="36" t="s">
        <v>48</v>
      </c>
    </row>
    <row r="43629">
      <c r="H43629" s="50"/>
      <c r="I43629" s="50"/>
      <c r="O43629" s="36" t="s">
        <v>48</v>
      </c>
      <c r="R43629" s="36" t="s">
        <v>48</v>
      </c>
    </row>
    <row r="43630">
      <c r="H43630" s="50"/>
      <c r="I43630" s="50"/>
      <c r="O43630" s="36" t="s">
        <v>48</v>
      </c>
      <c r="R43630" s="36" t="s">
        <v>48</v>
      </c>
    </row>
    <row r="43631">
      <c r="H43631" s="50"/>
      <c r="I43631" s="50"/>
      <c r="O43631" s="36" t="s">
        <v>48</v>
      </c>
      <c r="R43631" s="36" t="s">
        <v>48</v>
      </c>
    </row>
    <row r="43632">
      <c r="H43632" s="50"/>
      <c r="I43632" s="50"/>
      <c r="O43632" s="36" t="s">
        <v>48</v>
      </c>
      <c r="R43632" s="36" t="s">
        <v>48</v>
      </c>
    </row>
    <row r="43633">
      <c r="H43633" s="50"/>
      <c r="I43633" s="50"/>
      <c r="O43633" s="36" t="s">
        <v>48</v>
      </c>
      <c r="R43633" s="36" t="s">
        <v>48</v>
      </c>
    </row>
    <row r="43634">
      <c r="H43634" s="50"/>
      <c r="I43634" s="50"/>
      <c r="O43634" s="36" t="s">
        <v>48</v>
      </c>
      <c r="R43634" s="36" t="s">
        <v>48</v>
      </c>
    </row>
    <row r="43635">
      <c r="H43635" s="50"/>
      <c r="I43635" s="50"/>
      <c r="O43635" s="36" t="s">
        <v>48</v>
      </c>
      <c r="R43635" s="36" t="s">
        <v>48</v>
      </c>
    </row>
    <row r="43636">
      <c r="H43636" s="50"/>
      <c r="I43636" s="50"/>
      <c r="O43636" s="36" t="s">
        <v>48</v>
      </c>
      <c r="R43636" s="36" t="s">
        <v>48</v>
      </c>
    </row>
    <row r="43637">
      <c r="H43637" s="50"/>
      <c r="I43637" s="50"/>
      <c r="O43637" s="36" t="s">
        <v>48</v>
      </c>
      <c r="R43637" s="36" t="s">
        <v>48</v>
      </c>
    </row>
    <row r="43638">
      <c r="H43638" s="50"/>
      <c r="I43638" s="50"/>
      <c r="O43638" s="36" t="s">
        <v>48</v>
      </c>
      <c r="R43638" s="36" t="s">
        <v>48</v>
      </c>
    </row>
    <row r="43639">
      <c r="H43639" s="50"/>
      <c r="I43639" s="50"/>
      <c r="O43639" s="36" t="s">
        <v>48</v>
      </c>
      <c r="R43639" s="36" t="s">
        <v>48</v>
      </c>
    </row>
    <row r="43640">
      <c r="H43640" s="50"/>
      <c r="I43640" s="50"/>
      <c r="O43640" s="36" t="s">
        <v>48</v>
      </c>
      <c r="R43640" s="36" t="s">
        <v>48</v>
      </c>
    </row>
    <row r="43641">
      <c r="H43641" s="50"/>
      <c r="I43641" s="50"/>
      <c r="O43641" s="36" t="s">
        <v>48</v>
      </c>
      <c r="R43641" s="36" t="s">
        <v>48</v>
      </c>
    </row>
    <row r="43642">
      <c r="H43642" s="50"/>
      <c r="I43642" s="50"/>
      <c r="O43642" s="36" t="s">
        <v>48</v>
      </c>
      <c r="R43642" s="36" t="s">
        <v>48</v>
      </c>
    </row>
    <row r="43643">
      <c r="H43643" s="50"/>
      <c r="I43643" s="50"/>
      <c r="O43643" s="36" t="s">
        <v>48</v>
      </c>
      <c r="R43643" s="36" t="s">
        <v>48</v>
      </c>
    </row>
    <row r="43644">
      <c r="H43644" s="50"/>
      <c r="I43644" s="50"/>
      <c r="O43644" s="36" t="s">
        <v>48</v>
      </c>
      <c r="R43644" s="36" t="s">
        <v>48</v>
      </c>
    </row>
    <row r="43645">
      <c r="H43645" s="50"/>
      <c r="I43645" s="50"/>
      <c r="O43645" s="36" t="s">
        <v>48</v>
      </c>
      <c r="R43645" s="36" t="s">
        <v>48</v>
      </c>
    </row>
    <row r="43646">
      <c r="H43646" s="50"/>
      <c r="I43646" s="50"/>
      <c r="O43646" s="36" t="s">
        <v>48</v>
      </c>
      <c r="R43646" s="36" t="s">
        <v>48</v>
      </c>
    </row>
    <row r="43647">
      <c r="H43647" s="50"/>
      <c r="I43647" s="50"/>
      <c r="O43647" s="36" t="s">
        <v>48</v>
      </c>
      <c r="R43647" s="36" t="s">
        <v>48</v>
      </c>
    </row>
    <row r="43648">
      <c r="H43648" s="50"/>
      <c r="I43648" s="50"/>
      <c r="O43648" s="36" t="s">
        <v>48</v>
      </c>
      <c r="R43648" s="36" t="s">
        <v>48</v>
      </c>
    </row>
    <row r="43649">
      <c r="H43649" s="50"/>
      <c r="I43649" s="50"/>
      <c r="O43649" s="36" t="s">
        <v>48</v>
      </c>
      <c r="R43649" s="36" t="s">
        <v>48</v>
      </c>
    </row>
    <row r="43650">
      <c r="H43650" s="50"/>
      <c r="I43650" s="50"/>
      <c r="O43650" s="36" t="s">
        <v>48</v>
      </c>
      <c r="R43650" s="36" t="s">
        <v>48</v>
      </c>
    </row>
    <row r="43651">
      <c r="H43651" s="50"/>
      <c r="I43651" s="50"/>
      <c r="O43651" s="36" t="s">
        <v>48</v>
      </c>
      <c r="R43651" s="36" t="s">
        <v>48</v>
      </c>
    </row>
    <row r="43652">
      <c r="H43652" s="50"/>
      <c r="I43652" s="50"/>
      <c r="O43652" s="36" t="s">
        <v>48</v>
      </c>
      <c r="R43652" s="36" t="s">
        <v>48</v>
      </c>
    </row>
    <row r="43653">
      <c r="H43653" s="50"/>
      <c r="I43653" s="50"/>
      <c r="O43653" s="36" t="s">
        <v>48</v>
      </c>
      <c r="R43653" s="36" t="s">
        <v>48</v>
      </c>
    </row>
    <row r="43654">
      <c r="H43654" s="50"/>
      <c r="I43654" s="50"/>
      <c r="O43654" s="36" t="s">
        <v>48</v>
      </c>
      <c r="R43654" s="36" t="s">
        <v>48</v>
      </c>
    </row>
    <row r="43655">
      <c r="H43655" s="50"/>
      <c r="I43655" s="50"/>
      <c r="O43655" s="36" t="s">
        <v>48</v>
      </c>
      <c r="R43655" s="36" t="s">
        <v>48</v>
      </c>
    </row>
    <row r="43656">
      <c r="H43656" s="50"/>
      <c r="I43656" s="50"/>
      <c r="O43656" s="36" t="s">
        <v>48</v>
      </c>
      <c r="R43656" s="36" t="s">
        <v>48</v>
      </c>
    </row>
    <row r="43657">
      <c r="H43657" s="50"/>
      <c r="I43657" s="50"/>
      <c r="O43657" s="36" t="s">
        <v>48</v>
      </c>
      <c r="R43657" s="36" t="s">
        <v>48</v>
      </c>
    </row>
    <row r="43658">
      <c r="H43658" s="50"/>
      <c r="I43658" s="50"/>
      <c r="O43658" s="36" t="s">
        <v>48</v>
      </c>
      <c r="R43658" s="36" t="s">
        <v>48</v>
      </c>
    </row>
    <row r="43659">
      <c r="H43659" s="50"/>
      <c r="I43659" s="50"/>
      <c r="O43659" s="36" t="s">
        <v>48</v>
      </c>
      <c r="R43659" s="36" t="s">
        <v>48</v>
      </c>
    </row>
    <row r="43660">
      <c r="H43660" s="50"/>
      <c r="I43660" s="50"/>
      <c r="O43660" s="36" t="s">
        <v>48</v>
      </c>
      <c r="R43660" s="36" t="s">
        <v>48</v>
      </c>
    </row>
    <row r="43661">
      <c r="H43661" s="50"/>
      <c r="I43661" s="50"/>
      <c r="O43661" s="36" t="s">
        <v>48</v>
      </c>
      <c r="R43661" s="36" t="s">
        <v>48</v>
      </c>
    </row>
    <row r="43662">
      <c r="H43662" s="50"/>
      <c r="I43662" s="50"/>
      <c r="O43662" s="36" t="s">
        <v>48</v>
      </c>
      <c r="R43662" s="36" t="s">
        <v>48</v>
      </c>
    </row>
    <row r="43663">
      <c r="H43663" s="50"/>
      <c r="I43663" s="50"/>
      <c r="O43663" s="36" t="s">
        <v>48</v>
      </c>
      <c r="R43663" s="36" t="s">
        <v>48</v>
      </c>
    </row>
    <row r="43664">
      <c r="H43664" s="50"/>
      <c r="I43664" s="50"/>
      <c r="O43664" s="36" t="s">
        <v>48</v>
      </c>
      <c r="R43664" s="36" t="s">
        <v>48</v>
      </c>
    </row>
    <row r="43665">
      <c r="H43665" s="50"/>
      <c r="I43665" s="50"/>
      <c r="O43665" s="36" t="s">
        <v>48</v>
      </c>
      <c r="R43665" s="36" t="s">
        <v>48</v>
      </c>
    </row>
    <row r="43666">
      <c r="H43666" s="50"/>
      <c r="I43666" s="50"/>
      <c r="O43666" s="36" t="s">
        <v>48</v>
      </c>
      <c r="R43666" s="36" t="s">
        <v>48</v>
      </c>
    </row>
    <row r="43667">
      <c r="H43667" s="50"/>
      <c r="I43667" s="50"/>
      <c r="O43667" s="36" t="s">
        <v>48</v>
      </c>
      <c r="R43667" s="36" t="s">
        <v>48</v>
      </c>
    </row>
    <row r="43668">
      <c r="H43668" s="50"/>
      <c r="I43668" s="50"/>
      <c r="O43668" s="36" t="s">
        <v>48</v>
      </c>
      <c r="R43668" s="36" t="s">
        <v>48</v>
      </c>
    </row>
    <row r="43669">
      <c r="H43669" s="50"/>
      <c r="I43669" s="50"/>
      <c r="O43669" s="36" t="s">
        <v>48</v>
      </c>
      <c r="R43669" s="36" t="s">
        <v>48</v>
      </c>
    </row>
    <row r="43670">
      <c r="H43670" s="50"/>
      <c r="I43670" s="50"/>
      <c r="O43670" s="36" t="s">
        <v>48</v>
      </c>
      <c r="R43670" s="36" t="s">
        <v>48</v>
      </c>
    </row>
    <row r="43671">
      <c r="H43671" s="50"/>
      <c r="I43671" s="50"/>
      <c r="O43671" s="36" t="s">
        <v>48</v>
      </c>
      <c r="R43671" s="36" t="s">
        <v>48</v>
      </c>
    </row>
    <row r="43672">
      <c r="H43672" s="50"/>
      <c r="I43672" s="50"/>
      <c r="O43672" s="36" t="s">
        <v>48</v>
      </c>
      <c r="R43672" s="36" t="s">
        <v>48</v>
      </c>
    </row>
    <row r="43673">
      <c r="H43673" s="50"/>
      <c r="I43673" s="50"/>
      <c r="O43673" s="36" t="s">
        <v>48</v>
      </c>
      <c r="R43673" s="36" t="s">
        <v>48</v>
      </c>
    </row>
    <row r="43674">
      <c r="H43674" s="50"/>
      <c r="I43674" s="50"/>
      <c r="O43674" s="36" t="s">
        <v>48</v>
      </c>
      <c r="R43674" s="36" t="s">
        <v>48</v>
      </c>
    </row>
    <row r="43675">
      <c r="H43675" s="50"/>
      <c r="I43675" s="50"/>
      <c r="O43675" s="36" t="s">
        <v>48</v>
      </c>
      <c r="R43675" s="36" t="s">
        <v>48</v>
      </c>
    </row>
    <row r="43676">
      <c r="H43676" s="50"/>
      <c r="I43676" s="50"/>
      <c r="O43676" s="36" t="s">
        <v>48</v>
      </c>
      <c r="R43676" s="36" t="s">
        <v>48</v>
      </c>
    </row>
    <row r="43677">
      <c r="H43677" s="50"/>
      <c r="I43677" s="50"/>
      <c r="O43677" s="36" t="s">
        <v>48</v>
      </c>
      <c r="R43677" s="36" t="s">
        <v>48</v>
      </c>
    </row>
    <row r="43678">
      <c r="H43678" s="50"/>
      <c r="I43678" s="50"/>
      <c r="O43678" s="36" t="s">
        <v>48</v>
      </c>
      <c r="R43678" s="36" t="s">
        <v>48</v>
      </c>
    </row>
    <row r="43679">
      <c r="H43679" s="50"/>
      <c r="I43679" s="50"/>
      <c r="O43679" s="36" t="s">
        <v>48</v>
      </c>
      <c r="R43679" s="36" t="s">
        <v>48</v>
      </c>
    </row>
    <row r="43680">
      <c r="H43680" s="50"/>
      <c r="I43680" s="50"/>
      <c r="O43680" s="36" t="s">
        <v>48</v>
      </c>
      <c r="R43680" s="36" t="s">
        <v>48</v>
      </c>
    </row>
    <row r="43681">
      <c r="H43681" s="50"/>
      <c r="I43681" s="50"/>
      <c r="O43681" s="36" t="s">
        <v>48</v>
      </c>
      <c r="R43681" s="36" t="s">
        <v>48</v>
      </c>
    </row>
    <row r="43682">
      <c r="H43682" s="50"/>
      <c r="I43682" s="50"/>
      <c r="O43682" s="36" t="s">
        <v>48</v>
      </c>
      <c r="R43682" s="36" t="s">
        <v>48</v>
      </c>
    </row>
    <row r="43683">
      <c r="H43683" s="50"/>
      <c r="I43683" s="50"/>
      <c r="O43683" s="36" t="s">
        <v>48</v>
      </c>
      <c r="R43683" s="36" t="s">
        <v>48</v>
      </c>
    </row>
    <row r="43684">
      <c r="H43684" s="50"/>
      <c r="I43684" s="50"/>
      <c r="O43684" s="36" t="s">
        <v>48</v>
      </c>
      <c r="R43684" s="36" t="s">
        <v>48</v>
      </c>
    </row>
    <row r="43685">
      <c r="H43685" s="50"/>
      <c r="I43685" s="50"/>
      <c r="O43685" s="36" t="s">
        <v>48</v>
      </c>
      <c r="R43685" s="36" t="s">
        <v>48</v>
      </c>
    </row>
    <row r="43686">
      <c r="H43686" s="50"/>
      <c r="I43686" s="50"/>
      <c r="O43686" s="36" t="s">
        <v>48</v>
      </c>
      <c r="R43686" s="36" t="s">
        <v>48</v>
      </c>
    </row>
    <row r="43687">
      <c r="H43687" s="50"/>
      <c r="I43687" s="50"/>
      <c r="O43687" s="36" t="s">
        <v>48</v>
      </c>
      <c r="R43687" s="36" t="s">
        <v>48</v>
      </c>
    </row>
    <row r="43688">
      <c r="H43688" s="50"/>
      <c r="I43688" s="50"/>
      <c r="O43688" s="36" t="s">
        <v>48</v>
      </c>
      <c r="R43688" s="36" t="s">
        <v>48</v>
      </c>
    </row>
    <row r="43689">
      <c r="H43689" s="50"/>
      <c r="I43689" s="50"/>
      <c r="O43689" s="36" t="s">
        <v>48</v>
      </c>
      <c r="R43689" s="36" t="s">
        <v>48</v>
      </c>
    </row>
    <row r="43690">
      <c r="H43690" s="50"/>
      <c r="I43690" s="50"/>
      <c r="O43690" s="36" t="s">
        <v>48</v>
      </c>
      <c r="R43690" s="36" t="s">
        <v>48</v>
      </c>
    </row>
    <row r="43691">
      <c r="H43691" s="50"/>
      <c r="I43691" s="50"/>
      <c r="O43691" s="36" t="s">
        <v>48</v>
      </c>
      <c r="R43691" s="36" t="s">
        <v>48</v>
      </c>
    </row>
    <row r="43692">
      <c r="H43692" s="50"/>
      <c r="I43692" s="50"/>
      <c r="O43692" s="36" t="s">
        <v>48</v>
      </c>
      <c r="R43692" s="36" t="s">
        <v>48</v>
      </c>
    </row>
    <row r="43693">
      <c r="H43693" s="50"/>
      <c r="I43693" s="50"/>
      <c r="O43693" s="36" t="s">
        <v>48</v>
      </c>
      <c r="R43693" s="36" t="s">
        <v>48</v>
      </c>
    </row>
    <row r="43694">
      <c r="H43694" s="50"/>
      <c r="I43694" s="50"/>
      <c r="O43694" s="36" t="s">
        <v>48</v>
      </c>
      <c r="R43694" s="36" t="s">
        <v>48</v>
      </c>
    </row>
    <row r="43695">
      <c r="H43695" s="50"/>
      <c r="I43695" s="50"/>
      <c r="O43695" s="36" t="s">
        <v>48</v>
      </c>
      <c r="R43695" s="36" t="s">
        <v>48</v>
      </c>
    </row>
    <row r="43696">
      <c r="H43696" s="50"/>
      <c r="I43696" s="50"/>
      <c r="O43696" s="36" t="s">
        <v>48</v>
      </c>
      <c r="R43696" s="36" t="s">
        <v>48</v>
      </c>
    </row>
    <row r="43697">
      <c r="H43697" s="50"/>
      <c r="I43697" s="50"/>
      <c r="O43697" s="36" t="s">
        <v>48</v>
      </c>
      <c r="R43697" s="36" t="s">
        <v>48</v>
      </c>
    </row>
    <row r="43698">
      <c r="H43698" s="50"/>
      <c r="I43698" s="50"/>
      <c r="O43698" s="36" t="s">
        <v>48</v>
      </c>
      <c r="R43698" s="36" t="s">
        <v>48</v>
      </c>
    </row>
    <row r="43699">
      <c r="H43699" s="50"/>
      <c r="I43699" s="50"/>
      <c r="O43699" s="36" t="s">
        <v>48</v>
      </c>
      <c r="R43699" s="36" t="s">
        <v>48</v>
      </c>
    </row>
    <row r="43700">
      <c r="H43700" s="50"/>
      <c r="I43700" s="50"/>
      <c r="O43700" s="36" t="s">
        <v>48</v>
      </c>
      <c r="R43700" s="36" t="s">
        <v>48</v>
      </c>
    </row>
    <row r="43701">
      <c r="H43701" s="50"/>
      <c r="I43701" s="50"/>
      <c r="O43701" s="36" t="s">
        <v>48</v>
      </c>
      <c r="R43701" s="36" t="s">
        <v>48</v>
      </c>
    </row>
    <row r="43702">
      <c r="H43702" s="50"/>
      <c r="I43702" s="50"/>
      <c r="O43702" s="36" t="s">
        <v>48</v>
      </c>
      <c r="R43702" s="36" t="s">
        <v>48</v>
      </c>
    </row>
    <row r="43703">
      <c r="H43703" s="50"/>
      <c r="I43703" s="50"/>
      <c r="O43703" s="36" t="s">
        <v>48</v>
      </c>
      <c r="R43703" s="36" t="s">
        <v>48</v>
      </c>
    </row>
    <row r="43704">
      <c r="H43704" s="50"/>
      <c r="I43704" s="50"/>
      <c r="O43704" s="36" t="s">
        <v>48</v>
      </c>
      <c r="R43704" s="36" t="s">
        <v>48</v>
      </c>
    </row>
    <row r="43705">
      <c r="H43705" s="50"/>
      <c r="I43705" s="50"/>
      <c r="O43705" s="36" t="s">
        <v>48</v>
      </c>
      <c r="R43705" s="36" t="s">
        <v>48</v>
      </c>
    </row>
    <row r="43706">
      <c r="H43706" s="50"/>
      <c r="I43706" s="50"/>
      <c r="O43706" s="36" t="s">
        <v>48</v>
      </c>
      <c r="R43706" s="36" t="s">
        <v>48</v>
      </c>
    </row>
    <row r="43707">
      <c r="H43707" s="50"/>
      <c r="I43707" s="50"/>
      <c r="O43707" s="36" t="s">
        <v>48</v>
      </c>
      <c r="R43707" s="36" t="s">
        <v>48</v>
      </c>
    </row>
    <row r="43708">
      <c r="H43708" s="50"/>
      <c r="I43708" s="50"/>
      <c r="O43708" s="36" t="s">
        <v>48</v>
      </c>
      <c r="R43708" s="36" t="s">
        <v>48</v>
      </c>
    </row>
    <row r="43709">
      <c r="H43709" s="50"/>
      <c r="I43709" s="50"/>
      <c r="O43709" s="36" t="s">
        <v>48</v>
      </c>
      <c r="R43709" s="36" t="s">
        <v>48</v>
      </c>
    </row>
    <row r="43710">
      <c r="H43710" s="50"/>
      <c r="I43710" s="50"/>
      <c r="O43710" s="36" t="s">
        <v>48</v>
      </c>
      <c r="R43710" s="36" t="s">
        <v>48</v>
      </c>
    </row>
    <row r="43711">
      <c r="H43711" s="50"/>
      <c r="I43711" s="50"/>
      <c r="O43711" s="36" t="s">
        <v>48</v>
      </c>
      <c r="R43711" s="36" t="s">
        <v>48</v>
      </c>
    </row>
    <row r="43712">
      <c r="H43712" s="50"/>
      <c r="I43712" s="50"/>
      <c r="O43712" s="36" t="s">
        <v>48</v>
      </c>
      <c r="R43712" s="36" t="s">
        <v>48</v>
      </c>
    </row>
    <row r="43713">
      <c r="H43713" s="50"/>
      <c r="I43713" s="50"/>
      <c r="O43713" s="36" t="s">
        <v>48</v>
      </c>
      <c r="R43713" s="36" t="s">
        <v>48</v>
      </c>
    </row>
    <row r="43714">
      <c r="H43714" s="50"/>
      <c r="I43714" s="50"/>
      <c r="O43714" s="36" t="s">
        <v>48</v>
      </c>
      <c r="R43714" s="36" t="s">
        <v>48</v>
      </c>
    </row>
    <row r="43715">
      <c r="H43715" s="50"/>
      <c r="I43715" s="50"/>
      <c r="O43715" s="36" t="s">
        <v>48</v>
      </c>
      <c r="R43715" s="36" t="s">
        <v>48</v>
      </c>
    </row>
    <row r="43716">
      <c r="H43716" s="50"/>
      <c r="I43716" s="50"/>
      <c r="O43716" s="36" t="s">
        <v>48</v>
      </c>
      <c r="R43716" s="36" t="s">
        <v>48</v>
      </c>
    </row>
    <row r="43717">
      <c r="H43717" s="50"/>
      <c r="I43717" s="50"/>
      <c r="O43717" s="36" t="s">
        <v>48</v>
      </c>
      <c r="R43717" s="36" t="s">
        <v>48</v>
      </c>
    </row>
    <row r="43718">
      <c r="H43718" s="50"/>
      <c r="I43718" s="50"/>
      <c r="O43718" s="36" t="s">
        <v>48</v>
      </c>
      <c r="R43718" s="36" t="s">
        <v>48</v>
      </c>
    </row>
    <row r="43719">
      <c r="H43719" s="50"/>
      <c r="I43719" s="50"/>
      <c r="O43719" s="36" t="s">
        <v>48</v>
      </c>
      <c r="R43719" s="36" t="s">
        <v>48</v>
      </c>
    </row>
    <row r="43720">
      <c r="H43720" s="50"/>
      <c r="I43720" s="50"/>
      <c r="O43720" s="36" t="s">
        <v>48</v>
      </c>
      <c r="R43720" s="36" t="s">
        <v>48</v>
      </c>
    </row>
    <row r="43721">
      <c r="H43721" s="50"/>
      <c r="I43721" s="50"/>
      <c r="O43721" s="36" t="s">
        <v>48</v>
      </c>
      <c r="R43721" s="36" t="s">
        <v>48</v>
      </c>
    </row>
    <row r="43722">
      <c r="H43722" s="50"/>
      <c r="I43722" s="50"/>
      <c r="O43722" s="36" t="s">
        <v>48</v>
      </c>
      <c r="R43722" s="36" t="s">
        <v>48</v>
      </c>
    </row>
    <row r="43723">
      <c r="H43723" s="50"/>
      <c r="I43723" s="50"/>
      <c r="O43723" s="36" t="s">
        <v>48</v>
      </c>
      <c r="R43723" s="36" t="s">
        <v>48</v>
      </c>
    </row>
    <row r="43724">
      <c r="H43724" s="50"/>
      <c r="I43724" s="50"/>
      <c r="O43724" s="36" t="s">
        <v>48</v>
      </c>
      <c r="R43724" s="36" t="s">
        <v>48</v>
      </c>
    </row>
    <row r="43725">
      <c r="H43725" s="50"/>
      <c r="I43725" s="50"/>
      <c r="O43725" s="36" t="s">
        <v>48</v>
      </c>
      <c r="R43725" s="36" t="s">
        <v>48</v>
      </c>
    </row>
    <row r="43726">
      <c r="H43726" s="50"/>
      <c r="I43726" s="50"/>
      <c r="O43726" s="36" t="s">
        <v>48</v>
      </c>
      <c r="R43726" s="36" t="s">
        <v>48</v>
      </c>
    </row>
    <row r="43727">
      <c r="H43727" s="50"/>
      <c r="I43727" s="50"/>
      <c r="O43727" s="36" t="s">
        <v>48</v>
      </c>
      <c r="R43727" s="36" t="s">
        <v>48</v>
      </c>
    </row>
    <row r="43728">
      <c r="H43728" s="50"/>
      <c r="I43728" s="50"/>
      <c r="O43728" s="36" t="s">
        <v>48</v>
      </c>
      <c r="R43728" s="36" t="s">
        <v>48</v>
      </c>
    </row>
    <row r="43729">
      <c r="H43729" s="50"/>
      <c r="I43729" s="50"/>
      <c r="O43729" s="36" t="s">
        <v>48</v>
      </c>
      <c r="R43729" s="36" t="s">
        <v>48</v>
      </c>
    </row>
    <row r="43730">
      <c r="H43730" s="50"/>
      <c r="I43730" s="50"/>
      <c r="O43730" s="36" t="s">
        <v>48</v>
      </c>
      <c r="R43730" s="36" t="s">
        <v>48</v>
      </c>
    </row>
    <row r="43731">
      <c r="H43731" s="50"/>
      <c r="I43731" s="50"/>
      <c r="O43731" s="36" t="s">
        <v>48</v>
      </c>
      <c r="R43731" s="36" t="s">
        <v>48</v>
      </c>
    </row>
    <row r="43732">
      <c r="H43732" s="50"/>
      <c r="I43732" s="50"/>
      <c r="O43732" s="36" t="s">
        <v>48</v>
      </c>
      <c r="R43732" s="36" t="s">
        <v>48</v>
      </c>
    </row>
    <row r="43733">
      <c r="H43733" s="50"/>
      <c r="I43733" s="50"/>
      <c r="O43733" s="36" t="s">
        <v>48</v>
      </c>
      <c r="R43733" s="36" t="s">
        <v>48</v>
      </c>
    </row>
    <row r="43734">
      <c r="H43734" s="50"/>
      <c r="I43734" s="50"/>
      <c r="O43734" s="36" t="s">
        <v>48</v>
      </c>
      <c r="R43734" s="36" t="s">
        <v>48</v>
      </c>
    </row>
    <row r="43735">
      <c r="H43735" s="50"/>
      <c r="I43735" s="50"/>
      <c r="O43735" s="36" t="s">
        <v>48</v>
      </c>
      <c r="R43735" s="36" t="s">
        <v>48</v>
      </c>
    </row>
    <row r="43736">
      <c r="H43736" s="50"/>
      <c r="I43736" s="50"/>
      <c r="O43736" s="36" t="s">
        <v>48</v>
      </c>
      <c r="R43736" s="36" t="s">
        <v>48</v>
      </c>
    </row>
    <row r="43737">
      <c r="H43737" s="50"/>
      <c r="I43737" s="50"/>
      <c r="O43737" s="36" t="s">
        <v>48</v>
      </c>
      <c r="R43737" s="36" t="s">
        <v>48</v>
      </c>
    </row>
    <row r="43738">
      <c r="H43738" s="50"/>
      <c r="I43738" s="50"/>
      <c r="O43738" s="36" t="s">
        <v>48</v>
      </c>
      <c r="R43738" s="36" t="s">
        <v>48</v>
      </c>
    </row>
    <row r="43739">
      <c r="H43739" s="50"/>
      <c r="I43739" s="50"/>
      <c r="O43739" s="36" t="s">
        <v>48</v>
      </c>
      <c r="R43739" s="36" t="s">
        <v>48</v>
      </c>
    </row>
    <row r="43740">
      <c r="H43740" s="50"/>
      <c r="I43740" s="50"/>
      <c r="O43740" s="36" t="s">
        <v>48</v>
      </c>
      <c r="R43740" s="36" t="s">
        <v>48</v>
      </c>
    </row>
    <row r="43741">
      <c r="H43741" s="50"/>
      <c r="I43741" s="50"/>
      <c r="O43741" s="36" t="s">
        <v>48</v>
      </c>
      <c r="R43741" s="36" t="s">
        <v>48</v>
      </c>
    </row>
    <row r="43742">
      <c r="H43742" s="50"/>
      <c r="I43742" s="50"/>
      <c r="O43742" s="36" t="s">
        <v>48</v>
      </c>
      <c r="R43742" s="36" t="s">
        <v>48</v>
      </c>
    </row>
    <row r="43743">
      <c r="H43743" s="50"/>
      <c r="I43743" s="50"/>
      <c r="O43743" s="36" t="s">
        <v>48</v>
      </c>
      <c r="R43743" s="36" t="s">
        <v>48</v>
      </c>
    </row>
    <row r="43744">
      <c r="H43744" s="50"/>
      <c r="I43744" s="50"/>
      <c r="O43744" s="36" t="s">
        <v>48</v>
      </c>
      <c r="R43744" s="36" t="s">
        <v>48</v>
      </c>
    </row>
    <row r="43745">
      <c r="H43745" s="50"/>
      <c r="I43745" s="50"/>
      <c r="O43745" s="36" t="s">
        <v>48</v>
      </c>
      <c r="R43745" s="36" t="s">
        <v>48</v>
      </c>
    </row>
    <row r="43746">
      <c r="H43746" s="50"/>
      <c r="I43746" s="50"/>
      <c r="O43746" s="36" t="s">
        <v>48</v>
      </c>
      <c r="R43746" s="36" t="s">
        <v>48</v>
      </c>
    </row>
    <row r="43747">
      <c r="H43747" s="50"/>
      <c r="I43747" s="50"/>
      <c r="O43747" s="36" t="s">
        <v>48</v>
      </c>
      <c r="R43747" s="36" t="s">
        <v>48</v>
      </c>
    </row>
    <row r="43748">
      <c r="H43748" s="50"/>
      <c r="I43748" s="50"/>
      <c r="O43748" s="36" t="s">
        <v>48</v>
      </c>
      <c r="R43748" s="36" t="s">
        <v>48</v>
      </c>
    </row>
    <row r="43749">
      <c r="H43749" s="50"/>
      <c r="I43749" s="50"/>
      <c r="O43749" s="36" t="s">
        <v>48</v>
      </c>
      <c r="R43749" s="36" t="s">
        <v>48</v>
      </c>
    </row>
    <row r="43750">
      <c r="H43750" s="50"/>
      <c r="I43750" s="50"/>
      <c r="O43750" s="36" t="s">
        <v>48</v>
      </c>
      <c r="R43750" s="36" t="s">
        <v>48</v>
      </c>
    </row>
    <row r="43751">
      <c r="H43751" s="50"/>
      <c r="I43751" s="50"/>
      <c r="O43751" s="36" t="s">
        <v>48</v>
      </c>
      <c r="R43751" s="36" t="s">
        <v>48</v>
      </c>
    </row>
    <row r="43752">
      <c r="H43752" s="50"/>
      <c r="I43752" s="50"/>
      <c r="O43752" s="36" t="s">
        <v>48</v>
      </c>
      <c r="R43752" s="36" t="s">
        <v>48</v>
      </c>
    </row>
    <row r="43753">
      <c r="H43753" s="50"/>
      <c r="I43753" s="50"/>
      <c r="O43753" s="36" t="s">
        <v>48</v>
      </c>
      <c r="R43753" s="36" t="s">
        <v>48</v>
      </c>
    </row>
    <row r="43754">
      <c r="H43754" s="50"/>
      <c r="I43754" s="50"/>
      <c r="O43754" s="36" t="s">
        <v>48</v>
      </c>
      <c r="R43754" s="36" t="s">
        <v>48</v>
      </c>
    </row>
    <row r="43755">
      <c r="H43755" s="50"/>
      <c r="I43755" s="50"/>
      <c r="O43755" s="36" t="s">
        <v>48</v>
      </c>
      <c r="R43755" s="36" t="s">
        <v>48</v>
      </c>
    </row>
    <row r="43756">
      <c r="H43756" s="50"/>
      <c r="I43756" s="50"/>
      <c r="O43756" s="36" t="s">
        <v>48</v>
      </c>
      <c r="R43756" s="36" t="s">
        <v>48</v>
      </c>
    </row>
    <row r="43757">
      <c r="H43757" s="50"/>
      <c r="I43757" s="50"/>
      <c r="O43757" s="36" t="s">
        <v>48</v>
      </c>
      <c r="R43757" s="36" t="s">
        <v>48</v>
      </c>
    </row>
    <row r="43758">
      <c r="H43758" s="50"/>
      <c r="I43758" s="50"/>
      <c r="O43758" s="36" t="s">
        <v>48</v>
      </c>
      <c r="R43758" s="36" t="s">
        <v>48</v>
      </c>
    </row>
    <row r="43759">
      <c r="H43759" s="50"/>
      <c r="I43759" s="50"/>
      <c r="O43759" s="36" t="s">
        <v>48</v>
      </c>
      <c r="R43759" s="36" t="s">
        <v>48</v>
      </c>
    </row>
    <row r="43760">
      <c r="H43760" s="50"/>
      <c r="I43760" s="50"/>
      <c r="O43760" s="36" t="s">
        <v>48</v>
      </c>
      <c r="R43760" s="36" t="s">
        <v>48</v>
      </c>
    </row>
    <row r="43761">
      <c r="H43761" s="50"/>
      <c r="I43761" s="50"/>
      <c r="O43761" s="36" t="s">
        <v>48</v>
      </c>
      <c r="R43761" s="36" t="s">
        <v>48</v>
      </c>
    </row>
    <row r="43762">
      <c r="H43762" s="50"/>
      <c r="I43762" s="50"/>
      <c r="O43762" s="36" t="s">
        <v>48</v>
      </c>
      <c r="R43762" s="36" t="s">
        <v>48</v>
      </c>
    </row>
    <row r="43763">
      <c r="H43763" s="50"/>
      <c r="I43763" s="50"/>
      <c r="O43763" s="36" t="s">
        <v>48</v>
      </c>
      <c r="R43763" s="36" t="s">
        <v>48</v>
      </c>
    </row>
    <row r="43764">
      <c r="H43764" s="50"/>
      <c r="I43764" s="50"/>
      <c r="O43764" s="36" t="s">
        <v>48</v>
      </c>
      <c r="R43764" s="36" t="s">
        <v>48</v>
      </c>
    </row>
    <row r="43765">
      <c r="H43765" s="50"/>
      <c r="I43765" s="50"/>
      <c r="O43765" s="36" t="s">
        <v>48</v>
      </c>
      <c r="R43765" s="36" t="s">
        <v>48</v>
      </c>
    </row>
    <row r="43766">
      <c r="H43766" s="50"/>
      <c r="I43766" s="50"/>
      <c r="O43766" s="36" t="s">
        <v>48</v>
      </c>
      <c r="R43766" s="36" t="s">
        <v>48</v>
      </c>
    </row>
    <row r="43767">
      <c r="H43767" s="50"/>
      <c r="I43767" s="50"/>
      <c r="O43767" s="36" t="s">
        <v>48</v>
      </c>
      <c r="R43767" s="36" t="s">
        <v>48</v>
      </c>
    </row>
    <row r="43768">
      <c r="H43768" s="50"/>
      <c r="I43768" s="50"/>
      <c r="O43768" s="36" t="s">
        <v>48</v>
      </c>
      <c r="R43768" s="36" t="s">
        <v>48</v>
      </c>
    </row>
    <row r="43769">
      <c r="H43769" s="50"/>
      <c r="I43769" s="50"/>
      <c r="O43769" s="36" t="s">
        <v>48</v>
      </c>
      <c r="R43769" s="36" t="s">
        <v>48</v>
      </c>
    </row>
    <row r="43770">
      <c r="H43770" s="50"/>
      <c r="I43770" s="50"/>
      <c r="O43770" s="36" t="s">
        <v>48</v>
      </c>
      <c r="R43770" s="36" t="s">
        <v>48</v>
      </c>
    </row>
    <row r="43771">
      <c r="H43771" s="50"/>
      <c r="I43771" s="50"/>
      <c r="O43771" s="36" t="s">
        <v>48</v>
      </c>
      <c r="R43771" s="36" t="s">
        <v>48</v>
      </c>
    </row>
    <row r="43772">
      <c r="H43772" s="50"/>
      <c r="I43772" s="50"/>
      <c r="O43772" s="36" t="s">
        <v>48</v>
      </c>
      <c r="R43772" s="36" t="s">
        <v>48</v>
      </c>
    </row>
    <row r="43773">
      <c r="H43773" s="50"/>
      <c r="I43773" s="50"/>
      <c r="O43773" s="36" t="s">
        <v>48</v>
      </c>
      <c r="R43773" s="36" t="s">
        <v>48</v>
      </c>
    </row>
    <row r="43774">
      <c r="H43774" s="50"/>
      <c r="I43774" s="50"/>
      <c r="O43774" s="36" t="s">
        <v>48</v>
      </c>
      <c r="R43774" s="36" t="s">
        <v>48</v>
      </c>
    </row>
    <row r="43775">
      <c r="H43775" s="50"/>
      <c r="I43775" s="50"/>
      <c r="O43775" s="36" t="s">
        <v>48</v>
      </c>
      <c r="R43775" s="36" t="s">
        <v>48</v>
      </c>
    </row>
    <row r="43776">
      <c r="H43776" s="50"/>
      <c r="I43776" s="50"/>
      <c r="O43776" s="36" t="s">
        <v>48</v>
      </c>
      <c r="R43776" s="36" t="s">
        <v>48</v>
      </c>
    </row>
    <row r="43777">
      <c r="H43777" s="50"/>
      <c r="I43777" s="50"/>
      <c r="O43777" s="36" t="s">
        <v>48</v>
      </c>
      <c r="R43777" s="36" t="s">
        <v>48</v>
      </c>
    </row>
    <row r="43778">
      <c r="H43778" s="50"/>
      <c r="I43778" s="50"/>
      <c r="O43778" s="36" t="s">
        <v>48</v>
      </c>
      <c r="R43778" s="36" t="s">
        <v>48</v>
      </c>
    </row>
    <row r="43779">
      <c r="H43779" s="50"/>
      <c r="I43779" s="50"/>
      <c r="O43779" s="36" t="s">
        <v>48</v>
      </c>
      <c r="R43779" s="36" t="s">
        <v>48</v>
      </c>
    </row>
    <row r="43780">
      <c r="H43780" s="50"/>
      <c r="I43780" s="50"/>
      <c r="O43780" s="36" t="s">
        <v>48</v>
      </c>
      <c r="R43780" s="36" t="s">
        <v>48</v>
      </c>
    </row>
    <row r="43781">
      <c r="H43781" s="50"/>
      <c r="I43781" s="50"/>
      <c r="O43781" s="36" t="s">
        <v>48</v>
      </c>
      <c r="R43781" s="36" t="s">
        <v>48</v>
      </c>
    </row>
    <row r="43782">
      <c r="H43782" s="50"/>
      <c r="I43782" s="50"/>
      <c r="O43782" s="36" t="s">
        <v>48</v>
      </c>
      <c r="R43782" s="36" t="s">
        <v>48</v>
      </c>
    </row>
    <row r="43783">
      <c r="H43783" s="50"/>
      <c r="I43783" s="50"/>
      <c r="O43783" s="36" t="s">
        <v>48</v>
      </c>
      <c r="R43783" s="36" t="s">
        <v>48</v>
      </c>
    </row>
    <row r="43784">
      <c r="H43784" s="50"/>
      <c r="I43784" s="50"/>
      <c r="O43784" s="36" t="s">
        <v>48</v>
      </c>
      <c r="R43784" s="36" t="s">
        <v>48</v>
      </c>
    </row>
    <row r="43785">
      <c r="H43785" s="50"/>
      <c r="I43785" s="50"/>
      <c r="O43785" s="36" t="s">
        <v>48</v>
      </c>
      <c r="R43785" s="36" t="s">
        <v>48</v>
      </c>
    </row>
    <row r="43786">
      <c r="H43786" s="50"/>
      <c r="I43786" s="50"/>
      <c r="O43786" s="36" t="s">
        <v>48</v>
      </c>
      <c r="R43786" s="36" t="s">
        <v>48</v>
      </c>
    </row>
    <row r="43787">
      <c r="H43787" s="50"/>
      <c r="I43787" s="50"/>
      <c r="O43787" s="36" t="s">
        <v>48</v>
      </c>
      <c r="R43787" s="36" t="s">
        <v>48</v>
      </c>
    </row>
    <row r="43788">
      <c r="H43788" s="50"/>
      <c r="I43788" s="50"/>
      <c r="O43788" s="36" t="s">
        <v>48</v>
      </c>
      <c r="R43788" s="36" t="s">
        <v>48</v>
      </c>
    </row>
    <row r="43789">
      <c r="H43789" s="50"/>
      <c r="I43789" s="50"/>
      <c r="O43789" s="36" t="s">
        <v>48</v>
      </c>
      <c r="R43789" s="36" t="s">
        <v>48</v>
      </c>
    </row>
    <row r="43790">
      <c r="H43790" s="50"/>
      <c r="I43790" s="50"/>
      <c r="O43790" s="36" t="s">
        <v>48</v>
      </c>
      <c r="R43790" s="36" t="s">
        <v>48</v>
      </c>
    </row>
    <row r="43791">
      <c r="H43791" s="50"/>
      <c r="I43791" s="50"/>
      <c r="O43791" s="36" t="s">
        <v>48</v>
      </c>
      <c r="R43791" s="36" t="s">
        <v>48</v>
      </c>
    </row>
    <row r="43792">
      <c r="H43792" s="50"/>
      <c r="I43792" s="50"/>
      <c r="O43792" s="36" t="s">
        <v>48</v>
      </c>
      <c r="R43792" s="36" t="s">
        <v>48</v>
      </c>
    </row>
    <row r="43793">
      <c r="H43793" s="50"/>
      <c r="I43793" s="50"/>
      <c r="O43793" s="36" t="s">
        <v>48</v>
      </c>
      <c r="R43793" s="36" t="s">
        <v>48</v>
      </c>
    </row>
    <row r="43794">
      <c r="H43794" s="50"/>
      <c r="I43794" s="50"/>
      <c r="O43794" s="36" t="s">
        <v>48</v>
      </c>
      <c r="R43794" s="36" t="s">
        <v>48</v>
      </c>
    </row>
    <row r="43795">
      <c r="H43795" s="50"/>
      <c r="I43795" s="50"/>
      <c r="O43795" s="36" t="s">
        <v>48</v>
      </c>
      <c r="R43795" s="36" t="s">
        <v>48</v>
      </c>
    </row>
    <row r="43796">
      <c r="H43796" s="50"/>
      <c r="I43796" s="50"/>
      <c r="O43796" s="36" t="s">
        <v>48</v>
      </c>
      <c r="R43796" s="36" t="s">
        <v>48</v>
      </c>
    </row>
    <row r="43797">
      <c r="H43797" s="50"/>
      <c r="I43797" s="50"/>
      <c r="O43797" s="36" t="s">
        <v>48</v>
      </c>
      <c r="R43797" s="36" t="s">
        <v>48</v>
      </c>
    </row>
    <row r="43798">
      <c r="H43798" s="50"/>
      <c r="I43798" s="50"/>
      <c r="O43798" s="36" t="s">
        <v>48</v>
      </c>
      <c r="R43798" s="36" t="s">
        <v>48</v>
      </c>
    </row>
    <row r="43799">
      <c r="H43799" s="50"/>
      <c r="I43799" s="50"/>
      <c r="O43799" s="36" t="s">
        <v>48</v>
      </c>
      <c r="R43799" s="36" t="s">
        <v>48</v>
      </c>
    </row>
    <row r="43800">
      <c r="H43800" s="50"/>
      <c r="I43800" s="50"/>
      <c r="O43800" s="36" t="s">
        <v>48</v>
      </c>
      <c r="R43800" s="36" t="s">
        <v>48</v>
      </c>
    </row>
    <row r="43801">
      <c r="H43801" s="50"/>
      <c r="I43801" s="50"/>
      <c r="O43801" s="36" t="s">
        <v>48</v>
      </c>
      <c r="R43801" s="36" t="s">
        <v>48</v>
      </c>
    </row>
    <row r="43802">
      <c r="H43802" s="50"/>
      <c r="I43802" s="50"/>
      <c r="O43802" s="36" t="s">
        <v>48</v>
      </c>
      <c r="R43802" s="36" t="s">
        <v>48</v>
      </c>
    </row>
    <row r="43803">
      <c r="H43803" s="50"/>
      <c r="I43803" s="50"/>
      <c r="O43803" s="36" t="s">
        <v>48</v>
      </c>
      <c r="R43803" s="36" t="s">
        <v>48</v>
      </c>
    </row>
    <row r="43804">
      <c r="H43804" s="50"/>
      <c r="I43804" s="50"/>
      <c r="O43804" s="36" t="s">
        <v>48</v>
      </c>
      <c r="R43804" s="36" t="s">
        <v>48</v>
      </c>
    </row>
    <row r="43805">
      <c r="H43805" s="50"/>
      <c r="I43805" s="50"/>
      <c r="O43805" s="36" t="s">
        <v>48</v>
      </c>
      <c r="R43805" s="36" t="s">
        <v>48</v>
      </c>
    </row>
    <row r="43806">
      <c r="H43806" s="50"/>
      <c r="I43806" s="50"/>
      <c r="O43806" s="36" t="s">
        <v>48</v>
      </c>
      <c r="R43806" s="36" t="s">
        <v>48</v>
      </c>
    </row>
    <row r="43807">
      <c r="H43807" s="50"/>
      <c r="I43807" s="50"/>
      <c r="O43807" s="36" t="s">
        <v>48</v>
      </c>
      <c r="R43807" s="36" t="s">
        <v>48</v>
      </c>
    </row>
    <row r="43808">
      <c r="H43808" s="50"/>
      <c r="I43808" s="50"/>
      <c r="O43808" s="36" t="s">
        <v>48</v>
      </c>
      <c r="R43808" s="36" t="s">
        <v>48</v>
      </c>
    </row>
    <row r="43809">
      <c r="H43809" s="50"/>
      <c r="I43809" s="50"/>
      <c r="O43809" s="36" t="s">
        <v>48</v>
      </c>
      <c r="R43809" s="36" t="s">
        <v>48</v>
      </c>
    </row>
    <row r="43810">
      <c r="H43810" s="50"/>
      <c r="I43810" s="50"/>
      <c r="O43810" s="36" t="s">
        <v>48</v>
      </c>
      <c r="R43810" s="36" t="s">
        <v>48</v>
      </c>
    </row>
    <row r="43811">
      <c r="H43811" s="50"/>
      <c r="I43811" s="50"/>
      <c r="O43811" s="36" t="s">
        <v>48</v>
      </c>
      <c r="R43811" s="36" t="s">
        <v>48</v>
      </c>
    </row>
    <row r="43812">
      <c r="H43812" s="50"/>
      <c r="I43812" s="50"/>
      <c r="O43812" s="36" t="s">
        <v>48</v>
      </c>
      <c r="R43812" s="36" t="s">
        <v>48</v>
      </c>
    </row>
    <row r="43813">
      <c r="H43813" s="50"/>
      <c r="I43813" s="50"/>
      <c r="O43813" s="36" t="s">
        <v>48</v>
      </c>
      <c r="R43813" s="36" t="s">
        <v>48</v>
      </c>
    </row>
    <row r="43814">
      <c r="H43814" s="50"/>
      <c r="I43814" s="50"/>
      <c r="O43814" s="36" t="s">
        <v>48</v>
      </c>
      <c r="R43814" s="36" t="s">
        <v>48</v>
      </c>
    </row>
    <row r="43815">
      <c r="H43815" s="50"/>
      <c r="I43815" s="50"/>
      <c r="O43815" s="36" t="s">
        <v>48</v>
      </c>
      <c r="R43815" s="36" t="s">
        <v>48</v>
      </c>
    </row>
    <row r="43816">
      <c r="H43816" s="50"/>
      <c r="I43816" s="50"/>
      <c r="O43816" s="36" t="s">
        <v>48</v>
      </c>
      <c r="R43816" s="36" t="s">
        <v>48</v>
      </c>
    </row>
    <row r="43817">
      <c r="H43817" s="50"/>
      <c r="I43817" s="50"/>
      <c r="O43817" s="36" t="s">
        <v>48</v>
      </c>
      <c r="R43817" s="36" t="s">
        <v>48</v>
      </c>
    </row>
    <row r="43818">
      <c r="H43818" s="50"/>
      <c r="I43818" s="50"/>
      <c r="O43818" s="36" t="s">
        <v>48</v>
      </c>
      <c r="R43818" s="36" t="s">
        <v>48</v>
      </c>
    </row>
    <row r="43819">
      <c r="H43819" s="50"/>
      <c r="I43819" s="50"/>
      <c r="O43819" s="36" t="s">
        <v>48</v>
      </c>
      <c r="R43819" s="36" t="s">
        <v>48</v>
      </c>
    </row>
    <row r="43820">
      <c r="H43820" s="50"/>
      <c r="I43820" s="50"/>
      <c r="O43820" s="36" t="s">
        <v>48</v>
      </c>
      <c r="R43820" s="36" t="s">
        <v>48</v>
      </c>
    </row>
    <row r="43821">
      <c r="H43821" s="50"/>
      <c r="I43821" s="50"/>
      <c r="O43821" s="36" t="s">
        <v>48</v>
      </c>
      <c r="R43821" s="36" t="s">
        <v>48</v>
      </c>
    </row>
    <row r="43822">
      <c r="H43822" s="50"/>
      <c r="I43822" s="50"/>
      <c r="O43822" s="36" t="s">
        <v>48</v>
      </c>
      <c r="R43822" s="36" t="s">
        <v>48</v>
      </c>
    </row>
    <row r="43823">
      <c r="H43823" s="50"/>
      <c r="I43823" s="50"/>
      <c r="O43823" s="36" t="s">
        <v>48</v>
      </c>
      <c r="R43823" s="36" t="s">
        <v>48</v>
      </c>
    </row>
    <row r="43824">
      <c r="H43824" s="50"/>
      <c r="I43824" s="50"/>
      <c r="O43824" s="36" t="s">
        <v>48</v>
      </c>
      <c r="R43824" s="36" t="s">
        <v>48</v>
      </c>
    </row>
    <row r="43825">
      <c r="H43825" s="50"/>
      <c r="I43825" s="50"/>
      <c r="O43825" s="36" t="s">
        <v>48</v>
      </c>
      <c r="R43825" s="36" t="s">
        <v>48</v>
      </c>
    </row>
    <row r="43826">
      <c r="H43826" s="50"/>
      <c r="I43826" s="50"/>
      <c r="O43826" s="36" t="s">
        <v>48</v>
      </c>
      <c r="R43826" s="36" t="s">
        <v>48</v>
      </c>
    </row>
    <row r="43827">
      <c r="H43827" s="50"/>
      <c r="I43827" s="50"/>
      <c r="O43827" s="36" t="s">
        <v>48</v>
      </c>
      <c r="R43827" s="36" t="s">
        <v>48</v>
      </c>
    </row>
    <row r="43828">
      <c r="H43828" s="50"/>
      <c r="I43828" s="50"/>
      <c r="O43828" s="36" t="s">
        <v>48</v>
      </c>
      <c r="R43828" s="36" t="s">
        <v>48</v>
      </c>
    </row>
    <row r="43829">
      <c r="H43829" s="50"/>
      <c r="I43829" s="50"/>
      <c r="O43829" s="36" t="s">
        <v>48</v>
      </c>
      <c r="R43829" s="36" t="s">
        <v>48</v>
      </c>
    </row>
    <row r="43830">
      <c r="H43830" s="50"/>
      <c r="I43830" s="50"/>
      <c r="O43830" s="36" t="s">
        <v>48</v>
      </c>
      <c r="R43830" s="36" t="s">
        <v>48</v>
      </c>
    </row>
    <row r="43831">
      <c r="H43831" s="50"/>
      <c r="I43831" s="50"/>
      <c r="O43831" s="36" t="s">
        <v>48</v>
      </c>
      <c r="R43831" s="36" t="s">
        <v>48</v>
      </c>
    </row>
    <row r="43832">
      <c r="H43832" s="50"/>
      <c r="I43832" s="50"/>
      <c r="O43832" s="36" t="s">
        <v>48</v>
      </c>
      <c r="R43832" s="36" t="s">
        <v>48</v>
      </c>
    </row>
    <row r="43833">
      <c r="H43833" s="50"/>
      <c r="I43833" s="50"/>
      <c r="O43833" s="36" t="s">
        <v>48</v>
      </c>
      <c r="R43833" s="36" t="s">
        <v>48</v>
      </c>
    </row>
    <row r="43834">
      <c r="H43834" s="50"/>
      <c r="I43834" s="50"/>
      <c r="O43834" s="36" t="s">
        <v>48</v>
      </c>
      <c r="R43834" s="36" t="s">
        <v>48</v>
      </c>
    </row>
    <row r="43835">
      <c r="H43835" s="50"/>
      <c r="I43835" s="50"/>
      <c r="O43835" s="36" t="s">
        <v>48</v>
      </c>
      <c r="R43835" s="36" t="s">
        <v>48</v>
      </c>
    </row>
    <row r="43836">
      <c r="H43836" s="50"/>
      <c r="I43836" s="50"/>
      <c r="O43836" s="36" t="s">
        <v>48</v>
      </c>
      <c r="R43836" s="36" t="s">
        <v>48</v>
      </c>
    </row>
    <row r="43837">
      <c r="H43837" s="50"/>
      <c r="I43837" s="50"/>
      <c r="O43837" s="36" t="s">
        <v>48</v>
      </c>
      <c r="R43837" s="36" t="s">
        <v>48</v>
      </c>
    </row>
    <row r="43838">
      <c r="H43838" s="50"/>
      <c r="I43838" s="50"/>
      <c r="O43838" s="36" t="s">
        <v>48</v>
      </c>
      <c r="R43838" s="36" t="s">
        <v>48</v>
      </c>
    </row>
    <row r="43839">
      <c r="H43839" s="50"/>
      <c r="I43839" s="50"/>
      <c r="O43839" s="36" t="s">
        <v>48</v>
      </c>
      <c r="R43839" s="36" t="s">
        <v>48</v>
      </c>
    </row>
    <row r="43840">
      <c r="H43840" s="50"/>
      <c r="I43840" s="50"/>
      <c r="O43840" s="36" t="s">
        <v>48</v>
      </c>
      <c r="R43840" s="36" t="s">
        <v>48</v>
      </c>
    </row>
    <row r="43841">
      <c r="H43841" s="50"/>
      <c r="I43841" s="50"/>
      <c r="O43841" s="36" t="s">
        <v>48</v>
      </c>
      <c r="R43841" s="36" t="s">
        <v>48</v>
      </c>
    </row>
    <row r="43842">
      <c r="H43842" s="50"/>
      <c r="I43842" s="50"/>
      <c r="O43842" s="36" t="s">
        <v>48</v>
      </c>
      <c r="R43842" s="36" t="s">
        <v>48</v>
      </c>
    </row>
    <row r="43843">
      <c r="H43843" s="50"/>
      <c r="I43843" s="50"/>
      <c r="O43843" s="36" t="s">
        <v>48</v>
      </c>
      <c r="R43843" s="36" t="s">
        <v>48</v>
      </c>
    </row>
    <row r="43844">
      <c r="H43844" s="50"/>
      <c r="I43844" s="50"/>
      <c r="O43844" s="36" t="s">
        <v>48</v>
      </c>
      <c r="R43844" s="36" t="s">
        <v>48</v>
      </c>
    </row>
    <row r="43845">
      <c r="H43845" s="50"/>
      <c r="I43845" s="50"/>
      <c r="O43845" s="36" t="s">
        <v>48</v>
      </c>
      <c r="R43845" s="36" t="s">
        <v>48</v>
      </c>
    </row>
    <row r="43846">
      <c r="H43846" s="50"/>
      <c r="I43846" s="50"/>
      <c r="O43846" s="36" t="s">
        <v>48</v>
      </c>
      <c r="R43846" s="36" t="s">
        <v>48</v>
      </c>
    </row>
    <row r="43847">
      <c r="H43847" s="50"/>
      <c r="I43847" s="50"/>
      <c r="O43847" s="36" t="s">
        <v>48</v>
      </c>
      <c r="R43847" s="36" t="s">
        <v>48</v>
      </c>
    </row>
    <row r="43848">
      <c r="H43848" s="50"/>
      <c r="I43848" s="50"/>
      <c r="O43848" s="36" t="s">
        <v>48</v>
      </c>
      <c r="R43848" s="36" t="s">
        <v>48</v>
      </c>
    </row>
    <row r="43849">
      <c r="H43849" s="50"/>
      <c r="I43849" s="50"/>
      <c r="O43849" s="36" t="s">
        <v>48</v>
      </c>
      <c r="R43849" s="36" t="s">
        <v>48</v>
      </c>
    </row>
    <row r="43850">
      <c r="H43850" s="50"/>
      <c r="I43850" s="50"/>
      <c r="O43850" s="36" t="s">
        <v>48</v>
      </c>
      <c r="R43850" s="36" t="s">
        <v>48</v>
      </c>
    </row>
    <row r="43851">
      <c r="H43851" s="50"/>
      <c r="I43851" s="50"/>
      <c r="O43851" s="36" t="s">
        <v>48</v>
      </c>
      <c r="R43851" s="36" t="s">
        <v>48</v>
      </c>
    </row>
    <row r="43852">
      <c r="H43852" s="50"/>
      <c r="I43852" s="50"/>
      <c r="O43852" s="36" t="s">
        <v>48</v>
      </c>
      <c r="R43852" s="36" t="s">
        <v>48</v>
      </c>
    </row>
    <row r="43853">
      <c r="H43853" s="50"/>
      <c r="I43853" s="50"/>
      <c r="O43853" s="36" t="s">
        <v>48</v>
      </c>
      <c r="R43853" s="36" t="s">
        <v>48</v>
      </c>
    </row>
    <row r="43854">
      <c r="H43854" s="50"/>
      <c r="I43854" s="50"/>
      <c r="O43854" s="36" t="s">
        <v>48</v>
      </c>
      <c r="R43854" s="36" t="s">
        <v>48</v>
      </c>
    </row>
    <row r="43855">
      <c r="H43855" s="50"/>
      <c r="I43855" s="50"/>
      <c r="O43855" s="36" t="s">
        <v>48</v>
      </c>
      <c r="R43855" s="36" t="s">
        <v>48</v>
      </c>
    </row>
    <row r="43856">
      <c r="H43856" s="50"/>
      <c r="I43856" s="50"/>
      <c r="O43856" s="36" t="s">
        <v>48</v>
      </c>
      <c r="R43856" s="36" t="s">
        <v>48</v>
      </c>
    </row>
    <row r="43857">
      <c r="H43857" s="50"/>
      <c r="I43857" s="50"/>
      <c r="O43857" s="36" t="s">
        <v>48</v>
      </c>
      <c r="R43857" s="36" t="s">
        <v>48</v>
      </c>
    </row>
    <row r="43858">
      <c r="H43858" s="50"/>
      <c r="I43858" s="50"/>
      <c r="O43858" s="36" t="s">
        <v>48</v>
      </c>
      <c r="R43858" s="36" t="s">
        <v>48</v>
      </c>
    </row>
    <row r="43859">
      <c r="H43859" s="50"/>
      <c r="I43859" s="50"/>
      <c r="O43859" s="36" t="s">
        <v>48</v>
      </c>
      <c r="R43859" s="36" t="s">
        <v>48</v>
      </c>
    </row>
    <row r="43860">
      <c r="H43860" s="50"/>
      <c r="I43860" s="50"/>
      <c r="O43860" s="36" t="s">
        <v>48</v>
      </c>
      <c r="R43860" s="36" t="s">
        <v>48</v>
      </c>
    </row>
    <row r="43861">
      <c r="H43861" s="50"/>
      <c r="I43861" s="50"/>
      <c r="O43861" s="36" t="s">
        <v>48</v>
      </c>
      <c r="R43861" s="36" t="s">
        <v>48</v>
      </c>
    </row>
    <row r="43862">
      <c r="H43862" s="50"/>
      <c r="I43862" s="50"/>
      <c r="O43862" s="36" t="s">
        <v>48</v>
      </c>
      <c r="R43862" s="36" t="s">
        <v>48</v>
      </c>
    </row>
    <row r="43863">
      <c r="H43863" s="50"/>
      <c r="I43863" s="50"/>
      <c r="O43863" s="36" t="s">
        <v>48</v>
      </c>
      <c r="R43863" s="36" t="s">
        <v>48</v>
      </c>
    </row>
    <row r="43864">
      <c r="H43864" s="50"/>
      <c r="I43864" s="50"/>
      <c r="O43864" s="36" t="s">
        <v>48</v>
      </c>
      <c r="R43864" s="36" t="s">
        <v>48</v>
      </c>
    </row>
    <row r="43865">
      <c r="H43865" s="50"/>
      <c r="I43865" s="50"/>
      <c r="O43865" s="36" t="s">
        <v>48</v>
      </c>
      <c r="R43865" s="36" t="s">
        <v>48</v>
      </c>
    </row>
    <row r="43866">
      <c r="H43866" s="50"/>
      <c r="I43866" s="50"/>
      <c r="O43866" s="36" t="s">
        <v>48</v>
      </c>
      <c r="R43866" s="36" t="s">
        <v>48</v>
      </c>
    </row>
    <row r="43867">
      <c r="H43867" s="50"/>
      <c r="I43867" s="50"/>
      <c r="O43867" s="36" t="s">
        <v>48</v>
      </c>
      <c r="R43867" s="36" t="s">
        <v>48</v>
      </c>
    </row>
    <row r="43868">
      <c r="H43868" s="50"/>
      <c r="I43868" s="50"/>
      <c r="O43868" s="36" t="s">
        <v>48</v>
      </c>
      <c r="R43868" s="36" t="s">
        <v>48</v>
      </c>
    </row>
    <row r="43869">
      <c r="H43869" s="50"/>
      <c r="I43869" s="50"/>
      <c r="O43869" s="36" t="s">
        <v>48</v>
      </c>
      <c r="R43869" s="36" t="s">
        <v>48</v>
      </c>
    </row>
    <row r="43870">
      <c r="H43870" s="50"/>
      <c r="I43870" s="50"/>
      <c r="O43870" s="36" t="s">
        <v>48</v>
      </c>
      <c r="R43870" s="36" t="s">
        <v>48</v>
      </c>
    </row>
    <row r="43871">
      <c r="H43871" s="50"/>
      <c r="I43871" s="50"/>
      <c r="O43871" s="36" t="s">
        <v>48</v>
      </c>
      <c r="R43871" s="36" t="s">
        <v>48</v>
      </c>
    </row>
    <row r="43872">
      <c r="H43872" s="50"/>
      <c r="I43872" s="50"/>
      <c r="O43872" s="36" t="s">
        <v>48</v>
      </c>
      <c r="R43872" s="36" t="s">
        <v>48</v>
      </c>
    </row>
    <row r="43873">
      <c r="H43873" s="50"/>
      <c r="I43873" s="50"/>
      <c r="O43873" s="36" t="s">
        <v>48</v>
      </c>
      <c r="R43873" s="36" t="s">
        <v>48</v>
      </c>
    </row>
    <row r="43874">
      <c r="H43874" s="50"/>
      <c r="I43874" s="50"/>
      <c r="O43874" s="36" t="s">
        <v>48</v>
      </c>
      <c r="R43874" s="36" t="s">
        <v>48</v>
      </c>
    </row>
    <row r="43875">
      <c r="H43875" s="50"/>
      <c r="I43875" s="50"/>
      <c r="O43875" s="36" t="s">
        <v>48</v>
      </c>
      <c r="R43875" s="36" t="s">
        <v>48</v>
      </c>
    </row>
    <row r="43876">
      <c r="H43876" s="50"/>
      <c r="I43876" s="50"/>
      <c r="O43876" s="36" t="s">
        <v>48</v>
      </c>
      <c r="R43876" s="36" t="s">
        <v>48</v>
      </c>
    </row>
    <row r="43877">
      <c r="H43877" s="50"/>
      <c r="I43877" s="50"/>
      <c r="O43877" s="36" t="s">
        <v>48</v>
      </c>
      <c r="R43877" s="36" t="s">
        <v>48</v>
      </c>
    </row>
    <row r="43878">
      <c r="H43878" s="50"/>
      <c r="I43878" s="50"/>
      <c r="O43878" s="36" t="s">
        <v>48</v>
      </c>
      <c r="R43878" s="36" t="s">
        <v>48</v>
      </c>
    </row>
    <row r="43879">
      <c r="H43879" s="50"/>
      <c r="I43879" s="50"/>
      <c r="O43879" s="36" t="s">
        <v>48</v>
      </c>
      <c r="R43879" s="36" t="s">
        <v>48</v>
      </c>
    </row>
    <row r="43880">
      <c r="H43880" s="50"/>
      <c r="I43880" s="50"/>
      <c r="O43880" s="36" t="s">
        <v>48</v>
      </c>
      <c r="R43880" s="36" t="s">
        <v>48</v>
      </c>
    </row>
    <row r="43881">
      <c r="H43881" s="50"/>
      <c r="I43881" s="50"/>
      <c r="O43881" s="36" t="s">
        <v>48</v>
      </c>
      <c r="R43881" s="36" t="s">
        <v>48</v>
      </c>
    </row>
    <row r="43882">
      <c r="H43882" s="50"/>
      <c r="I43882" s="50"/>
      <c r="O43882" s="36" t="s">
        <v>48</v>
      </c>
      <c r="R43882" s="36" t="s">
        <v>48</v>
      </c>
    </row>
    <row r="43883">
      <c r="H43883" s="50"/>
      <c r="I43883" s="50"/>
      <c r="O43883" s="36" t="s">
        <v>48</v>
      </c>
      <c r="R43883" s="36" t="s">
        <v>48</v>
      </c>
    </row>
    <row r="43884">
      <c r="H43884" s="50"/>
      <c r="I43884" s="50"/>
      <c r="O43884" s="36" t="s">
        <v>48</v>
      </c>
      <c r="R43884" s="36" t="s">
        <v>48</v>
      </c>
    </row>
    <row r="43885">
      <c r="H43885" s="50"/>
      <c r="I43885" s="50"/>
      <c r="O43885" s="36" t="s">
        <v>48</v>
      </c>
      <c r="R43885" s="36" t="s">
        <v>48</v>
      </c>
    </row>
    <row r="43886">
      <c r="H43886" s="50"/>
      <c r="I43886" s="50"/>
      <c r="O43886" s="36" t="s">
        <v>48</v>
      </c>
      <c r="R43886" s="36" t="s">
        <v>48</v>
      </c>
    </row>
    <row r="43887">
      <c r="H43887" s="50"/>
      <c r="I43887" s="50"/>
      <c r="O43887" s="36" t="s">
        <v>48</v>
      </c>
      <c r="R43887" s="36" t="s">
        <v>48</v>
      </c>
    </row>
    <row r="43888">
      <c r="H43888" s="50"/>
      <c r="I43888" s="50"/>
      <c r="O43888" s="36" t="s">
        <v>48</v>
      </c>
      <c r="R43888" s="36" t="s">
        <v>48</v>
      </c>
    </row>
    <row r="43889">
      <c r="H43889" s="50"/>
      <c r="I43889" s="50"/>
      <c r="O43889" s="36" t="s">
        <v>48</v>
      </c>
      <c r="R43889" s="36" t="s">
        <v>48</v>
      </c>
    </row>
    <row r="43890">
      <c r="H43890" s="50"/>
      <c r="I43890" s="50"/>
      <c r="O43890" s="36" t="s">
        <v>48</v>
      </c>
      <c r="R43890" s="36" t="s">
        <v>48</v>
      </c>
    </row>
    <row r="43891">
      <c r="H43891" s="50"/>
      <c r="I43891" s="50"/>
      <c r="O43891" s="36" t="s">
        <v>48</v>
      </c>
      <c r="R43891" s="36" t="s">
        <v>48</v>
      </c>
    </row>
    <row r="43892">
      <c r="H43892" s="50"/>
      <c r="I43892" s="50"/>
      <c r="O43892" s="36" t="s">
        <v>48</v>
      </c>
      <c r="R43892" s="36" t="s">
        <v>48</v>
      </c>
    </row>
    <row r="43893">
      <c r="H43893" s="50"/>
      <c r="I43893" s="50"/>
      <c r="O43893" s="36" t="s">
        <v>48</v>
      </c>
      <c r="R43893" s="36" t="s">
        <v>48</v>
      </c>
    </row>
    <row r="43894">
      <c r="H43894" s="50"/>
      <c r="I43894" s="50"/>
      <c r="O43894" s="36" t="s">
        <v>48</v>
      </c>
      <c r="R43894" s="36" t="s">
        <v>48</v>
      </c>
    </row>
    <row r="43895">
      <c r="H43895" s="50"/>
      <c r="I43895" s="50"/>
      <c r="O43895" s="36" t="s">
        <v>48</v>
      </c>
      <c r="R43895" s="36" t="s">
        <v>48</v>
      </c>
    </row>
    <row r="43896">
      <c r="H43896" s="50"/>
      <c r="I43896" s="50"/>
      <c r="O43896" s="36" t="s">
        <v>48</v>
      </c>
      <c r="R43896" s="36" t="s">
        <v>48</v>
      </c>
    </row>
    <row r="43897">
      <c r="H43897" s="50"/>
      <c r="I43897" s="50"/>
      <c r="O43897" s="36" t="s">
        <v>48</v>
      </c>
      <c r="R43897" s="36" t="s">
        <v>48</v>
      </c>
    </row>
    <row r="43898">
      <c r="H43898" s="50"/>
      <c r="I43898" s="50"/>
      <c r="O43898" s="36" t="s">
        <v>48</v>
      </c>
      <c r="R43898" s="36" t="s">
        <v>48</v>
      </c>
    </row>
    <row r="43899">
      <c r="H43899" s="50"/>
      <c r="I43899" s="50"/>
      <c r="O43899" s="36" t="s">
        <v>48</v>
      </c>
      <c r="R43899" s="36" t="s">
        <v>48</v>
      </c>
    </row>
    <row r="43900">
      <c r="H43900" s="50"/>
      <c r="I43900" s="50"/>
      <c r="O43900" s="36" t="s">
        <v>48</v>
      </c>
      <c r="R43900" s="36" t="s">
        <v>48</v>
      </c>
    </row>
    <row r="43901">
      <c r="H43901" s="50"/>
      <c r="I43901" s="50"/>
      <c r="O43901" s="36" t="s">
        <v>48</v>
      </c>
      <c r="R43901" s="36" t="s">
        <v>48</v>
      </c>
    </row>
    <row r="43902">
      <c r="H43902" s="50"/>
      <c r="I43902" s="50"/>
      <c r="O43902" s="36" t="s">
        <v>48</v>
      </c>
      <c r="R43902" s="36" t="s">
        <v>48</v>
      </c>
    </row>
    <row r="43903">
      <c r="H43903" s="50"/>
      <c r="I43903" s="50"/>
      <c r="O43903" s="36" t="s">
        <v>48</v>
      </c>
      <c r="R43903" s="36" t="s">
        <v>48</v>
      </c>
    </row>
    <row r="43904">
      <c r="H43904" s="50"/>
      <c r="I43904" s="50"/>
      <c r="O43904" s="36" t="s">
        <v>48</v>
      </c>
      <c r="R43904" s="36" t="s">
        <v>48</v>
      </c>
    </row>
    <row r="43905">
      <c r="H43905" s="50"/>
      <c r="I43905" s="50"/>
      <c r="O43905" s="36" t="s">
        <v>48</v>
      </c>
      <c r="R43905" s="36" t="s">
        <v>48</v>
      </c>
    </row>
    <row r="43906">
      <c r="H43906" s="50"/>
      <c r="I43906" s="50"/>
      <c r="O43906" s="36" t="s">
        <v>48</v>
      </c>
      <c r="R43906" s="36" t="s">
        <v>48</v>
      </c>
    </row>
    <row r="43907">
      <c r="H43907" s="50"/>
      <c r="I43907" s="50"/>
      <c r="O43907" s="36" t="s">
        <v>48</v>
      </c>
      <c r="R43907" s="36" t="s">
        <v>48</v>
      </c>
    </row>
    <row r="43908">
      <c r="H43908" s="50"/>
      <c r="I43908" s="50"/>
      <c r="O43908" s="36" t="s">
        <v>48</v>
      </c>
      <c r="R43908" s="36" t="s">
        <v>48</v>
      </c>
    </row>
    <row r="43909">
      <c r="H43909" s="50"/>
      <c r="I43909" s="50"/>
      <c r="O43909" s="36" t="s">
        <v>48</v>
      </c>
      <c r="R43909" s="36" t="s">
        <v>48</v>
      </c>
    </row>
    <row r="43910">
      <c r="H43910" s="50"/>
      <c r="I43910" s="50"/>
      <c r="O43910" s="36" t="s">
        <v>48</v>
      </c>
      <c r="R43910" s="36" t="s">
        <v>48</v>
      </c>
    </row>
    <row r="43911">
      <c r="H43911" s="50"/>
      <c r="I43911" s="50"/>
      <c r="O43911" s="36" t="s">
        <v>48</v>
      </c>
      <c r="R43911" s="36" t="s">
        <v>48</v>
      </c>
    </row>
    <row r="43912">
      <c r="H43912" s="50"/>
      <c r="I43912" s="50"/>
      <c r="O43912" s="36" t="s">
        <v>48</v>
      </c>
      <c r="R43912" s="36" t="s">
        <v>48</v>
      </c>
    </row>
    <row r="43913">
      <c r="H43913" s="50"/>
      <c r="I43913" s="50"/>
      <c r="O43913" s="36" t="s">
        <v>48</v>
      </c>
      <c r="R43913" s="36" t="s">
        <v>48</v>
      </c>
    </row>
    <row r="43914">
      <c r="H43914" s="50"/>
      <c r="I43914" s="50"/>
      <c r="O43914" s="36" t="s">
        <v>48</v>
      </c>
      <c r="R43914" s="36" t="s">
        <v>48</v>
      </c>
    </row>
    <row r="43915">
      <c r="H43915" s="50"/>
      <c r="I43915" s="50"/>
      <c r="O43915" s="36" t="s">
        <v>48</v>
      </c>
      <c r="R43915" s="36" t="s">
        <v>48</v>
      </c>
    </row>
    <row r="43916">
      <c r="H43916" s="50"/>
      <c r="I43916" s="50"/>
      <c r="O43916" s="36" t="s">
        <v>48</v>
      </c>
      <c r="R43916" s="36" t="s">
        <v>48</v>
      </c>
    </row>
    <row r="43917">
      <c r="H43917" s="50"/>
      <c r="I43917" s="50"/>
      <c r="O43917" s="36" t="s">
        <v>48</v>
      </c>
      <c r="R43917" s="36" t="s">
        <v>48</v>
      </c>
    </row>
    <row r="43918">
      <c r="H43918" s="50"/>
      <c r="I43918" s="50"/>
      <c r="O43918" s="36" t="s">
        <v>48</v>
      </c>
      <c r="R43918" s="36" t="s">
        <v>48</v>
      </c>
    </row>
    <row r="43919">
      <c r="H43919" s="50"/>
      <c r="I43919" s="50"/>
      <c r="O43919" s="36" t="s">
        <v>48</v>
      </c>
      <c r="R43919" s="36" t="s">
        <v>48</v>
      </c>
    </row>
    <row r="43920">
      <c r="H43920" s="50"/>
      <c r="I43920" s="50"/>
      <c r="O43920" s="36" t="s">
        <v>48</v>
      </c>
      <c r="R43920" s="36" t="s">
        <v>48</v>
      </c>
    </row>
    <row r="43921">
      <c r="H43921" s="50"/>
      <c r="I43921" s="50"/>
      <c r="O43921" s="36" t="s">
        <v>48</v>
      </c>
      <c r="R43921" s="36" t="s">
        <v>48</v>
      </c>
    </row>
    <row r="43922">
      <c r="H43922" s="50"/>
      <c r="I43922" s="50"/>
      <c r="O43922" s="36" t="s">
        <v>48</v>
      </c>
      <c r="R43922" s="36" t="s">
        <v>48</v>
      </c>
    </row>
    <row r="43923">
      <c r="H43923" s="50"/>
      <c r="I43923" s="50"/>
      <c r="O43923" s="36" t="s">
        <v>48</v>
      </c>
      <c r="R43923" s="36" t="s">
        <v>48</v>
      </c>
    </row>
    <row r="43924">
      <c r="H43924" s="50"/>
      <c r="I43924" s="50"/>
      <c r="O43924" s="36" t="s">
        <v>48</v>
      </c>
      <c r="R43924" s="36" t="s">
        <v>48</v>
      </c>
    </row>
    <row r="43925">
      <c r="H43925" s="50"/>
      <c r="I43925" s="50"/>
      <c r="O43925" s="36" t="s">
        <v>48</v>
      </c>
      <c r="R43925" s="36" t="s">
        <v>48</v>
      </c>
    </row>
    <row r="43926">
      <c r="H43926" s="50"/>
      <c r="I43926" s="50"/>
      <c r="O43926" s="36" t="s">
        <v>48</v>
      </c>
      <c r="R43926" s="36" t="s">
        <v>48</v>
      </c>
    </row>
    <row r="43927">
      <c r="H43927" s="50"/>
      <c r="I43927" s="50"/>
      <c r="O43927" s="36" t="s">
        <v>48</v>
      </c>
      <c r="R43927" s="36" t="s">
        <v>48</v>
      </c>
    </row>
    <row r="43928">
      <c r="H43928" s="50"/>
      <c r="I43928" s="50"/>
      <c r="O43928" s="36" t="s">
        <v>48</v>
      </c>
      <c r="R43928" s="36" t="s">
        <v>48</v>
      </c>
    </row>
    <row r="43929">
      <c r="H43929" s="50"/>
      <c r="I43929" s="50"/>
      <c r="O43929" s="36" t="s">
        <v>48</v>
      </c>
      <c r="R43929" s="36" t="s">
        <v>48</v>
      </c>
    </row>
    <row r="43930">
      <c r="H43930" s="50"/>
      <c r="I43930" s="50"/>
      <c r="O43930" s="36" t="s">
        <v>48</v>
      </c>
      <c r="R43930" s="36" t="s">
        <v>48</v>
      </c>
    </row>
    <row r="43931">
      <c r="H43931" s="50"/>
      <c r="I43931" s="50"/>
      <c r="O43931" s="36" t="s">
        <v>48</v>
      </c>
      <c r="R43931" s="36" t="s">
        <v>48</v>
      </c>
    </row>
    <row r="43932">
      <c r="H43932" s="50"/>
      <c r="I43932" s="50"/>
      <c r="O43932" s="36" t="s">
        <v>48</v>
      </c>
      <c r="R43932" s="36" t="s">
        <v>48</v>
      </c>
    </row>
    <row r="43933">
      <c r="H43933" s="50"/>
      <c r="I43933" s="50"/>
      <c r="O43933" s="36" t="s">
        <v>48</v>
      </c>
      <c r="R43933" s="36" t="s">
        <v>48</v>
      </c>
    </row>
    <row r="43934">
      <c r="H43934" s="50"/>
      <c r="I43934" s="50"/>
      <c r="O43934" s="36" t="s">
        <v>48</v>
      </c>
      <c r="R43934" s="36" t="s">
        <v>48</v>
      </c>
    </row>
    <row r="43935">
      <c r="H43935" s="50"/>
      <c r="I43935" s="50"/>
      <c r="O43935" s="36" t="s">
        <v>48</v>
      </c>
      <c r="R43935" s="36" t="s">
        <v>48</v>
      </c>
    </row>
    <row r="43936">
      <c r="H43936" s="50"/>
      <c r="I43936" s="50"/>
      <c r="O43936" s="36" t="s">
        <v>48</v>
      </c>
      <c r="R43936" s="36" t="s">
        <v>48</v>
      </c>
    </row>
    <row r="43937">
      <c r="H43937" s="50"/>
      <c r="I43937" s="50"/>
      <c r="O43937" s="36" t="s">
        <v>48</v>
      </c>
      <c r="R43937" s="36" t="s">
        <v>48</v>
      </c>
    </row>
    <row r="43938">
      <c r="H43938" s="50"/>
      <c r="I43938" s="50"/>
      <c r="O43938" s="36" t="s">
        <v>48</v>
      </c>
      <c r="R43938" s="36" t="s">
        <v>48</v>
      </c>
    </row>
    <row r="43939">
      <c r="H43939" s="50"/>
      <c r="I43939" s="50"/>
      <c r="O43939" s="36" t="s">
        <v>48</v>
      </c>
      <c r="R43939" s="36" t="s">
        <v>48</v>
      </c>
    </row>
    <row r="43940">
      <c r="H43940" s="50"/>
      <c r="I43940" s="50"/>
      <c r="O43940" s="36" t="s">
        <v>48</v>
      </c>
      <c r="R43940" s="36" t="s">
        <v>48</v>
      </c>
    </row>
    <row r="43941">
      <c r="H43941" s="50"/>
      <c r="I43941" s="50"/>
      <c r="O43941" s="36" t="s">
        <v>48</v>
      </c>
      <c r="R43941" s="36" t="s">
        <v>48</v>
      </c>
    </row>
    <row r="43942">
      <c r="H43942" s="50"/>
      <c r="I43942" s="50"/>
      <c r="O43942" s="36" t="s">
        <v>48</v>
      </c>
      <c r="R43942" s="36" t="s">
        <v>48</v>
      </c>
    </row>
    <row r="43943">
      <c r="H43943" s="50"/>
      <c r="I43943" s="50"/>
      <c r="O43943" s="36" t="s">
        <v>48</v>
      </c>
      <c r="R43943" s="36" t="s">
        <v>48</v>
      </c>
    </row>
    <row r="43944">
      <c r="H43944" s="50"/>
      <c r="I43944" s="50"/>
      <c r="O43944" s="36" t="s">
        <v>48</v>
      </c>
      <c r="R43944" s="36" t="s">
        <v>48</v>
      </c>
    </row>
    <row r="43945">
      <c r="H43945" s="50"/>
      <c r="I43945" s="50"/>
      <c r="O43945" s="36" t="s">
        <v>48</v>
      </c>
      <c r="R43945" s="36" t="s">
        <v>48</v>
      </c>
    </row>
    <row r="43946">
      <c r="H43946" s="50"/>
      <c r="I43946" s="50"/>
      <c r="O43946" s="36" t="s">
        <v>48</v>
      </c>
      <c r="R43946" s="36" t="s">
        <v>48</v>
      </c>
    </row>
    <row r="43947">
      <c r="H43947" s="50"/>
      <c r="I43947" s="50"/>
      <c r="O43947" s="36" t="s">
        <v>48</v>
      </c>
      <c r="R43947" s="36" t="s">
        <v>48</v>
      </c>
    </row>
    <row r="43948">
      <c r="H43948" s="50"/>
      <c r="I43948" s="50"/>
      <c r="O43948" s="36" t="s">
        <v>48</v>
      </c>
      <c r="R43948" s="36" t="s">
        <v>48</v>
      </c>
    </row>
    <row r="43949">
      <c r="H43949" s="50"/>
      <c r="I43949" s="50"/>
      <c r="O43949" s="36" t="s">
        <v>48</v>
      </c>
      <c r="R43949" s="36" t="s">
        <v>48</v>
      </c>
    </row>
    <row r="43950">
      <c r="H43950" s="50"/>
      <c r="I43950" s="50"/>
      <c r="O43950" s="36" t="s">
        <v>48</v>
      </c>
      <c r="R43950" s="36" t="s">
        <v>48</v>
      </c>
    </row>
    <row r="43951">
      <c r="H43951" s="50"/>
      <c r="I43951" s="50"/>
      <c r="O43951" s="36" t="s">
        <v>48</v>
      </c>
      <c r="R43951" s="36" t="s">
        <v>48</v>
      </c>
    </row>
    <row r="43952">
      <c r="H43952" s="50"/>
      <c r="I43952" s="50"/>
      <c r="O43952" s="36" t="s">
        <v>48</v>
      </c>
      <c r="R43952" s="36" t="s">
        <v>48</v>
      </c>
    </row>
    <row r="43953">
      <c r="H43953" s="50"/>
      <c r="I43953" s="50"/>
      <c r="O43953" s="36" t="s">
        <v>48</v>
      </c>
      <c r="R43953" s="36" t="s">
        <v>48</v>
      </c>
    </row>
    <row r="43954">
      <c r="H43954" s="50"/>
      <c r="I43954" s="50"/>
      <c r="O43954" s="36" t="s">
        <v>48</v>
      </c>
      <c r="R43954" s="36" t="s">
        <v>48</v>
      </c>
    </row>
    <row r="43955">
      <c r="H43955" s="50"/>
      <c r="I43955" s="50"/>
      <c r="O43955" s="36" t="s">
        <v>48</v>
      </c>
      <c r="R43955" s="36" t="s">
        <v>48</v>
      </c>
    </row>
    <row r="43956">
      <c r="H43956" s="50"/>
      <c r="I43956" s="50"/>
      <c r="O43956" s="36" t="s">
        <v>48</v>
      </c>
      <c r="R43956" s="36" t="s">
        <v>48</v>
      </c>
    </row>
    <row r="43957">
      <c r="H43957" s="50"/>
      <c r="I43957" s="50"/>
      <c r="O43957" s="36" t="s">
        <v>48</v>
      </c>
      <c r="R43957" s="36" t="s">
        <v>48</v>
      </c>
    </row>
    <row r="43958">
      <c r="H43958" s="50"/>
      <c r="I43958" s="50"/>
      <c r="O43958" s="36" t="s">
        <v>48</v>
      </c>
      <c r="R43958" s="36" t="s">
        <v>48</v>
      </c>
    </row>
    <row r="43959">
      <c r="H43959" s="50"/>
      <c r="I43959" s="50"/>
      <c r="O43959" s="36" t="s">
        <v>48</v>
      </c>
      <c r="R43959" s="36" t="s">
        <v>48</v>
      </c>
    </row>
    <row r="43960">
      <c r="H43960" s="50"/>
      <c r="I43960" s="50"/>
      <c r="O43960" s="36" t="s">
        <v>48</v>
      </c>
      <c r="R43960" s="36" t="s">
        <v>48</v>
      </c>
    </row>
    <row r="43961">
      <c r="H43961" s="50"/>
      <c r="I43961" s="50"/>
      <c r="O43961" s="36" t="s">
        <v>48</v>
      </c>
      <c r="R43961" s="36" t="s">
        <v>48</v>
      </c>
    </row>
    <row r="43962">
      <c r="H43962" s="50"/>
      <c r="I43962" s="50"/>
      <c r="O43962" s="36" t="s">
        <v>48</v>
      </c>
      <c r="R43962" s="36" t="s">
        <v>48</v>
      </c>
    </row>
    <row r="43963">
      <c r="H43963" s="50"/>
      <c r="I43963" s="50"/>
      <c r="O43963" s="36" t="s">
        <v>48</v>
      </c>
      <c r="R43963" s="36" t="s">
        <v>48</v>
      </c>
    </row>
    <row r="43964">
      <c r="H43964" s="50"/>
      <c r="I43964" s="50"/>
      <c r="O43964" s="36" t="s">
        <v>48</v>
      </c>
      <c r="R43964" s="36" t="s">
        <v>48</v>
      </c>
    </row>
    <row r="43965">
      <c r="H43965" s="50"/>
      <c r="I43965" s="50"/>
      <c r="O43965" s="36" t="s">
        <v>48</v>
      </c>
      <c r="R43965" s="36" t="s">
        <v>48</v>
      </c>
    </row>
    <row r="43966">
      <c r="H43966" s="50"/>
      <c r="I43966" s="50"/>
      <c r="O43966" s="36" t="s">
        <v>48</v>
      </c>
      <c r="R43966" s="36" t="s">
        <v>48</v>
      </c>
    </row>
    <row r="43967">
      <c r="H43967" s="50"/>
      <c r="I43967" s="50"/>
      <c r="O43967" s="36" t="s">
        <v>48</v>
      </c>
      <c r="R43967" s="36" t="s">
        <v>48</v>
      </c>
    </row>
    <row r="43968">
      <c r="H43968" s="50"/>
      <c r="I43968" s="50"/>
      <c r="O43968" s="36" t="s">
        <v>48</v>
      </c>
      <c r="R43968" s="36" t="s">
        <v>48</v>
      </c>
    </row>
    <row r="43969">
      <c r="H43969" s="50"/>
      <c r="I43969" s="50"/>
      <c r="O43969" s="36" t="s">
        <v>48</v>
      </c>
      <c r="R43969" s="36" t="s">
        <v>48</v>
      </c>
    </row>
    <row r="43970">
      <c r="H43970" s="50"/>
      <c r="I43970" s="50"/>
      <c r="O43970" s="36" t="s">
        <v>48</v>
      </c>
      <c r="R43970" s="36" t="s">
        <v>48</v>
      </c>
    </row>
    <row r="43971">
      <c r="H43971" s="50"/>
      <c r="I43971" s="50"/>
      <c r="O43971" s="36" t="s">
        <v>48</v>
      </c>
      <c r="R43971" s="36" t="s">
        <v>48</v>
      </c>
    </row>
    <row r="43972">
      <c r="H43972" s="50"/>
      <c r="I43972" s="50"/>
      <c r="O43972" s="36" t="s">
        <v>48</v>
      </c>
      <c r="R43972" s="36" t="s">
        <v>48</v>
      </c>
    </row>
    <row r="43973">
      <c r="H43973" s="50"/>
      <c r="I43973" s="50"/>
      <c r="O43973" s="36" t="s">
        <v>48</v>
      </c>
      <c r="R43973" s="36" t="s">
        <v>48</v>
      </c>
    </row>
    <row r="43974">
      <c r="H43974" s="50"/>
      <c r="I43974" s="50"/>
      <c r="O43974" s="36" t="s">
        <v>48</v>
      </c>
      <c r="R43974" s="36" t="s">
        <v>48</v>
      </c>
    </row>
    <row r="43975">
      <c r="H43975" s="50"/>
      <c r="I43975" s="50"/>
      <c r="O43975" s="36" t="s">
        <v>48</v>
      </c>
      <c r="R43975" s="36" t="s">
        <v>48</v>
      </c>
    </row>
    <row r="43976">
      <c r="H43976" s="50"/>
      <c r="I43976" s="50"/>
      <c r="O43976" s="36" t="s">
        <v>48</v>
      </c>
      <c r="R43976" s="36" t="s">
        <v>48</v>
      </c>
    </row>
    <row r="43977">
      <c r="H43977" s="50"/>
      <c r="I43977" s="50"/>
      <c r="O43977" s="36" t="s">
        <v>48</v>
      </c>
      <c r="R43977" s="36" t="s">
        <v>48</v>
      </c>
    </row>
    <row r="43978">
      <c r="H43978" s="50"/>
      <c r="I43978" s="50"/>
      <c r="O43978" s="36" t="s">
        <v>48</v>
      </c>
      <c r="R43978" s="36" t="s">
        <v>48</v>
      </c>
    </row>
    <row r="43979">
      <c r="H43979" s="50"/>
      <c r="I43979" s="50"/>
      <c r="O43979" s="36" t="s">
        <v>48</v>
      </c>
      <c r="R43979" s="36" t="s">
        <v>48</v>
      </c>
    </row>
    <row r="43980">
      <c r="H43980" s="50"/>
      <c r="I43980" s="50"/>
      <c r="O43980" s="36" t="s">
        <v>48</v>
      </c>
      <c r="R43980" s="36" t="s">
        <v>48</v>
      </c>
    </row>
    <row r="43981">
      <c r="H43981" s="50"/>
      <c r="I43981" s="50"/>
      <c r="O43981" s="36" t="s">
        <v>48</v>
      </c>
      <c r="R43981" s="36" t="s">
        <v>48</v>
      </c>
    </row>
    <row r="43982">
      <c r="H43982" s="50"/>
      <c r="I43982" s="50"/>
      <c r="O43982" s="36" t="s">
        <v>48</v>
      </c>
      <c r="R43982" s="36" t="s">
        <v>48</v>
      </c>
    </row>
    <row r="43983">
      <c r="H43983" s="50"/>
      <c r="I43983" s="50"/>
      <c r="O43983" s="36" t="s">
        <v>48</v>
      </c>
      <c r="R43983" s="36" t="s">
        <v>48</v>
      </c>
    </row>
    <row r="43984">
      <c r="H43984" s="50"/>
      <c r="I43984" s="50"/>
      <c r="O43984" s="36" t="s">
        <v>48</v>
      </c>
      <c r="R43984" s="36" t="s">
        <v>48</v>
      </c>
    </row>
    <row r="43985">
      <c r="H43985" s="50"/>
      <c r="I43985" s="50"/>
      <c r="O43985" s="36" t="s">
        <v>48</v>
      </c>
      <c r="R43985" s="36" t="s">
        <v>48</v>
      </c>
    </row>
    <row r="43986">
      <c r="H43986" s="50"/>
      <c r="I43986" s="50"/>
      <c r="O43986" s="36" t="s">
        <v>48</v>
      </c>
      <c r="R43986" s="36" t="s">
        <v>48</v>
      </c>
    </row>
    <row r="43987">
      <c r="H43987" s="50"/>
      <c r="I43987" s="50"/>
      <c r="O43987" s="36" t="s">
        <v>48</v>
      </c>
      <c r="R43987" s="36" t="s">
        <v>48</v>
      </c>
    </row>
    <row r="43988">
      <c r="H43988" s="50"/>
      <c r="I43988" s="50"/>
      <c r="O43988" s="36" t="s">
        <v>48</v>
      </c>
      <c r="R43988" s="36" t="s">
        <v>48</v>
      </c>
    </row>
    <row r="43989">
      <c r="H43989" s="50"/>
      <c r="I43989" s="50"/>
      <c r="O43989" s="36" t="s">
        <v>48</v>
      </c>
      <c r="R43989" s="36" t="s">
        <v>48</v>
      </c>
    </row>
    <row r="43990">
      <c r="H43990" s="50"/>
      <c r="I43990" s="50"/>
      <c r="O43990" s="36" t="s">
        <v>48</v>
      </c>
      <c r="R43990" s="36" t="s">
        <v>48</v>
      </c>
    </row>
    <row r="43991">
      <c r="H43991" s="50"/>
      <c r="I43991" s="50"/>
      <c r="O43991" s="36" t="s">
        <v>48</v>
      </c>
      <c r="R43991" s="36" t="s">
        <v>48</v>
      </c>
    </row>
    <row r="43992">
      <c r="H43992" s="50"/>
      <c r="I43992" s="50"/>
      <c r="O43992" s="36" t="s">
        <v>48</v>
      </c>
      <c r="R43992" s="36" t="s">
        <v>48</v>
      </c>
    </row>
    <row r="43993">
      <c r="H43993" s="50"/>
      <c r="I43993" s="50"/>
      <c r="O43993" s="36" t="s">
        <v>48</v>
      </c>
      <c r="R43993" s="36" t="s">
        <v>48</v>
      </c>
    </row>
    <row r="43994">
      <c r="H43994" s="50"/>
      <c r="I43994" s="50"/>
      <c r="O43994" s="36" t="s">
        <v>48</v>
      </c>
      <c r="R43994" s="36" t="s">
        <v>48</v>
      </c>
    </row>
    <row r="43995">
      <c r="H43995" s="50"/>
      <c r="I43995" s="50"/>
      <c r="O43995" s="36" t="s">
        <v>48</v>
      </c>
      <c r="R43995" s="36" t="s">
        <v>48</v>
      </c>
    </row>
    <row r="43996">
      <c r="H43996" s="50"/>
      <c r="I43996" s="50"/>
      <c r="O43996" s="36" t="s">
        <v>48</v>
      </c>
      <c r="R43996" s="36" t="s">
        <v>48</v>
      </c>
    </row>
    <row r="43997">
      <c r="H43997" s="50"/>
      <c r="I43997" s="50"/>
      <c r="O43997" s="36" t="s">
        <v>48</v>
      </c>
      <c r="R43997" s="36" t="s">
        <v>48</v>
      </c>
    </row>
    <row r="43998">
      <c r="H43998" s="50"/>
      <c r="I43998" s="50"/>
      <c r="O43998" s="36" t="s">
        <v>48</v>
      </c>
      <c r="R43998" s="36" t="s">
        <v>48</v>
      </c>
    </row>
    <row r="43999">
      <c r="H43999" s="50"/>
      <c r="I43999" s="50"/>
      <c r="O43999" s="36" t="s">
        <v>48</v>
      </c>
      <c r="R43999" s="36" t="s">
        <v>48</v>
      </c>
    </row>
    <row r="44000">
      <c r="H44000" s="50"/>
      <c r="I44000" s="50"/>
      <c r="O44000" s="36" t="s">
        <v>48</v>
      </c>
      <c r="R44000" s="36" t="s">
        <v>48</v>
      </c>
    </row>
    <row r="44001">
      <c r="H44001" s="50"/>
      <c r="I44001" s="50"/>
      <c r="O44001" s="36" t="s">
        <v>48</v>
      </c>
      <c r="R44001" s="36" t="s">
        <v>48</v>
      </c>
    </row>
    <row r="44002">
      <c r="H44002" s="50"/>
      <c r="I44002" s="50"/>
      <c r="O44002" s="36" t="s">
        <v>48</v>
      </c>
      <c r="R44002" s="36" t="s">
        <v>48</v>
      </c>
    </row>
    <row r="44003">
      <c r="H44003" s="50"/>
      <c r="I44003" s="50"/>
      <c r="O44003" s="36" t="s">
        <v>48</v>
      </c>
      <c r="R44003" s="36" t="s">
        <v>48</v>
      </c>
    </row>
    <row r="44004">
      <c r="H44004" s="50"/>
      <c r="I44004" s="50"/>
      <c r="O44004" s="36" t="s">
        <v>48</v>
      </c>
      <c r="R44004" s="36" t="s">
        <v>48</v>
      </c>
    </row>
    <row r="44005">
      <c r="H44005" s="50"/>
      <c r="I44005" s="50"/>
      <c r="O44005" s="36" t="s">
        <v>48</v>
      </c>
      <c r="R44005" s="36" t="s">
        <v>48</v>
      </c>
    </row>
    <row r="44006">
      <c r="H44006" s="50"/>
      <c r="I44006" s="50"/>
      <c r="O44006" s="36" t="s">
        <v>48</v>
      </c>
      <c r="R44006" s="36" t="s">
        <v>48</v>
      </c>
    </row>
    <row r="44007">
      <c r="H44007" s="50"/>
      <c r="I44007" s="50"/>
      <c r="O44007" s="36" t="s">
        <v>48</v>
      </c>
      <c r="R44007" s="36" t="s">
        <v>48</v>
      </c>
    </row>
    <row r="44008">
      <c r="H44008" s="50"/>
      <c r="I44008" s="50"/>
      <c r="O44008" s="36" t="s">
        <v>48</v>
      </c>
      <c r="R44008" s="36" t="s">
        <v>48</v>
      </c>
    </row>
    <row r="44009">
      <c r="H44009" s="50"/>
      <c r="I44009" s="50"/>
      <c r="O44009" s="36" t="s">
        <v>48</v>
      </c>
      <c r="R44009" s="36" t="s">
        <v>48</v>
      </c>
    </row>
    <row r="44010">
      <c r="H44010" s="50"/>
      <c r="I44010" s="50"/>
      <c r="O44010" s="36" t="s">
        <v>48</v>
      </c>
      <c r="R44010" s="36" t="s">
        <v>48</v>
      </c>
    </row>
    <row r="44011">
      <c r="H44011" s="50"/>
      <c r="I44011" s="50"/>
      <c r="O44011" s="36" t="s">
        <v>48</v>
      </c>
      <c r="R44011" s="36" t="s">
        <v>48</v>
      </c>
    </row>
    <row r="44012">
      <c r="H44012" s="50"/>
      <c r="I44012" s="50"/>
      <c r="O44012" s="36" t="s">
        <v>48</v>
      </c>
      <c r="R44012" s="36" t="s">
        <v>48</v>
      </c>
    </row>
    <row r="44013">
      <c r="H44013" s="50"/>
      <c r="I44013" s="50"/>
      <c r="O44013" s="36" t="s">
        <v>48</v>
      </c>
      <c r="R44013" s="36" t="s">
        <v>48</v>
      </c>
    </row>
    <row r="44014">
      <c r="H44014" s="50"/>
      <c r="I44014" s="50"/>
      <c r="O44014" s="36" t="s">
        <v>48</v>
      </c>
      <c r="R44014" s="36" t="s">
        <v>48</v>
      </c>
    </row>
    <row r="44015">
      <c r="H44015" s="50"/>
      <c r="I44015" s="50"/>
      <c r="O44015" s="36" t="s">
        <v>48</v>
      </c>
      <c r="R44015" s="36" t="s">
        <v>48</v>
      </c>
    </row>
    <row r="44016">
      <c r="H44016" s="50"/>
      <c r="I44016" s="50"/>
      <c r="O44016" s="36" t="s">
        <v>48</v>
      </c>
      <c r="R44016" s="36" t="s">
        <v>48</v>
      </c>
    </row>
    <row r="44017">
      <c r="H44017" s="50"/>
      <c r="I44017" s="50"/>
      <c r="O44017" s="36" t="s">
        <v>48</v>
      </c>
      <c r="R44017" s="36" t="s">
        <v>48</v>
      </c>
    </row>
    <row r="44018">
      <c r="H44018" s="50"/>
      <c r="I44018" s="50"/>
      <c r="O44018" s="36" t="s">
        <v>48</v>
      </c>
      <c r="R44018" s="36" t="s">
        <v>48</v>
      </c>
    </row>
    <row r="44019">
      <c r="H44019" s="50"/>
      <c r="I44019" s="50"/>
      <c r="O44019" s="36" t="s">
        <v>48</v>
      </c>
      <c r="R44019" s="36" t="s">
        <v>48</v>
      </c>
    </row>
    <row r="44020">
      <c r="H44020" s="50"/>
      <c r="I44020" s="50"/>
      <c r="O44020" s="36" t="s">
        <v>48</v>
      </c>
      <c r="R44020" s="36" t="s">
        <v>48</v>
      </c>
    </row>
    <row r="44021">
      <c r="H44021" s="50"/>
      <c r="I44021" s="50"/>
      <c r="O44021" s="36" t="s">
        <v>48</v>
      </c>
      <c r="R44021" s="36" t="s">
        <v>48</v>
      </c>
    </row>
    <row r="44022">
      <c r="H44022" s="50"/>
      <c r="I44022" s="50"/>
      <c r="O44022" s="36" t="s">
        <v>48</v>
      </c>
      <c r="R44022" s="36" t="s">
        <v>48</v>
      </c>
    </row>
    <row r="44023">
      <c r="H44023" s="50"/>
      <c r="I44023" s="50"/>
      <c r="O44023" s="36" t="s">
        <v>48</v>
      </c>
      <c r="R44023" s="36" t="s">
        <v>48</v>
      </c>
    </row>
    <row r="44024">
      <c r="H44024" s="50"/>
      <c r="I44024" s="50"/>
      <c r="O44024" s="36" t="s">
        <v>48</v>
      </c>
      <c r="R44024" s="36" t="s">
        <v>48</v>
      </c>
    </row>
    <row r="44025">
      <c r="H44025" s="50"/>
      <c r="I44025" s="50"/>
      <c r="O44025" s="36" t="s">
        <v>48</v>
      </c>
      <c r="R44025" s="36" t="s">
        <v>48</v>
      </c>
    </row>
    <row r="44026">
      <c r="H44026" s="50"/>
      <c r="I44026" s="50"/>
      <c r="O44026" s="36" t="s">
        <v>48</v>
      </c>
      <c r="R44026" s="36" t="s">
        <v>48</v>
      </c>
    </row>
    <row r="44027">
      <c r="H44027" s="50"/>
      <c r="I44027" s="50"/>
      <c r="O44027" s="36" t="s">
        <v>48</v>
      </c>
      <c r="R44027" s="36" t="s">
        <v>48</v>
      </c>
    </row>
    <row r="44028">
      <c r="H44028" s="50"/>
      <c r="I44028" s="50"/>
      <c r="O44028" s="36" t="s">
        <v>48</v>
      </c>
      <c r="R44028" s="36" t="s">
        <v>48</v>
      </c>
    </row>
    <row r="44029">
      <c r="H44029" s="50"/>
      <c r="I44029" s="50"/>
      <c r="O44029" s="36" t="s">
        <v>48</v>
      </c>
      <c r="R44029" s="36" t="s">
        <v>48</v>
      </c>
    </row>
    <row r="44030">
      <c r="H44030" s="50"/>
      <c r="I44030" s="50"/>
      <c r="O44030" s="36" t="s">
        <v>48</v>
      </c>
      <c r="R44030" s="36" t="s">
        <v>48</v>
      </c>
    </row>
    <row r="44031">
      <c r="H44031" s="50"/>
      <c r="I44031" s="50"/>
      <c r="O44031" s="36" t="s">
        <v>48</v>
      </c>
      <c r="R44031" s="36" t="s">
        <v>48</v>
      </c>
    </row>
    <row r="44032">
      <c r="H44032" s="50"/>
      <c r="I44032" s="50"/>
      <c r="O44032" s="36" t="s">
        <v>48</v>
      </c>
      <c r="R44032" s="36" t="s">
        <v>48</v>
      </c>
    </row>
    <row r="44033">
      <c r="H44033" s="50"/>
      <c r="I44033" s="50"/>
      <c r="O44033" s="36" t="s">
        <v>48</v>
      </c>
      <c r="R44033" s="36" t="s">
        <v>48</v>
      </c>
    </row>
    <row r="44034">
      <c r="H44034" s="50"/>
      <c r="I44034" s="50"/>
      <c r="O44034" s="36" t="s">
        <v>48</v>
      </c>
      <c r="R44034" s="36" t="s">
        <v>48</v>
      </c>
    </row>
    <row r="44035">
      <c r="H44035" s="50"/>
      <c r="I44035" s="50"/>
      <c r="O44035" s="36" t="s">
        <v>48</v>
      </c>
      <c r="R44035" s="36" t="s">
        <v>48</v>
      </c>
    </row>
    <row r="44036">
      <c r="H44036" s="50"/>
      <c r="I44036" s="50"/>
      <c r="O44036" s="36" t="s">
        <v>48</v>
      </c>
      <c r="R44036" s="36" t="s">
        <v>48</v>
      </c>
    </row>
    <row r="44037">
      <c r="H44037" s="50"/>
      <c r="I44037" s="50"/>
      <c r="O44037" s="36" t="s">
        <v>48</v>
      </c>
      <c r="R44037" s="36" t="s">
        <v>48</v>
      </c>
    </row>
    <row r="44038">
      <c r="H44038" s="50"/>
      <c r="I44038" s="50"/>
      <c r="O44038" s="36" t="s">
        <v>48</v>
      </c>
      <c r="R44038" s="36" t="s">
        <v>48</v>
      </c>
    </row>
    <row r="44039">
      <c r="H44039" s="50"/>
      <c r="I44039" s="50"/>
      <c r="O44039" s="36" t="s">
        <v>48</v>
      </c>
      <c r="R44039" s="36" t="s">
        <v>48</v>
      </c>
    </row>
    <row r="44040">
      <c r="H44040" s="50"/>
      <c r="I44040" s="50"/>
      <c r="O44040" s="36" t="s">
        <v>48</v>
      </c>
      <c r="R44040" s="36" t="s">
        <v>48</v>
      </c>
    </row>
    <row r="44041">
      <c r="H44041" s="50"/>
      <c r="I44041" s="50"/>
      <c r="O44041" s="36" t="s">
        <v>48</v>
      </c>
      <c r="R44041" s="36" t="s">
        <v>48</v>
      </c>
    </row>
    <row r="44042">
      <c r="H44042" s="50"/>
      <c r="I44042" s="50"/>
      <c r="O44042" s="36" t="s">
        <v>48</v>
      </c>
      <c r="R44042" s="36" t="s">
        <v>48</v>
      </c>
    </row>
    <row r="44043">
      <c r="H44043" s="50"/>
      <c r="I44043" s="50"/>
      <c r="O44043" s="36" t="s">
        <v>48</v>
      </c>
      <c r="R44043" s="36" t="s">
        <v>48</v>
      </c>
    </row>
    <row r="44044">
      <c r="H44044" s="50"/>
      <c r="I44044" s="50"/>
      <c r="O44044" s="36" t="s">
        <v>48</v>
      </c>
      <c r="R44044" s="36" t="s">
        <v>48</v>
      </c>
    </row>
    <row r="44045">
      <c r="H44045" s="50"/>
      <c r="I44045" s="50"/>
      <c r="O44045" s="36" t="s">
        <v>48</v>
      </c>
      <c r="R44045" s="36" t="s">
        <v>48</v>
      </c>
    </row>
    <row r="44046">
      <c r="H44046" s="50"/>
      <c r="I44046" s="50"/>
      <c r="O44046" s="36" t="s">
        <v>48</v>
      </c>
      <c r="R44046" s="36" t="s">
        <v>48</v>
      </c>
    </row>
    <row r="44047">
      <c r="H44047" s="50"/>
      <c r="I44047" s="50"/>
      <c r="O44047" s="36" t="s">
        <v>48</v>
      </c>
      <c r="R44047" s="36" t="s">
        <v>48</v>
      </c>
    </row>
    <row r="44048">
      <c r="H44048" s="50"/>
      <c r="I44048" s="50"/>
      <c r="O44048" s="36" t="s">
        <v>48</v>
      </c>
      <c r="R44048" s="36" t="s">
        <v>48</v>
      </c>
    </row>
    <row r="44049">
      <c r="H44049" s="50"/>
      <c r="I44049" s="50"/>
      <c r="O44049" s="36" t="s">
        <v>48</v>
      </c>
      <c r="R44049" s="36" t="s">
        <v>48</v>
      </c>
    </row>
    <row r="44050">
      <c r="H44050" s="50"/>
      <c r="I44050" s="50"/>
      <c r="O44050" s="36" t="s">
        <v>48</v>
      </c>
      <c r="R44050" s="36" t="s">
        <v>48</v>
      </c>
    </row>
    <row r="44051">
      <c r="H44051" s="50"/>
      <c r="I44051" s="50"/>
      <c r="O44051" s="36" t="s">
        <v>48</v>
      </c>
      <c r="R44051" s="36" t="s">
        <v>48</v>
      </c>
    </row>
    <row r="44052">
      <c r="H44052" s="50"/>
      <c r="I44052" s="50"/>
      <c r="O44052" s="36" t="s">
        <v>48</v>
      </c>
      <c r="R44052" s="36" t="s">
        <v>48</v>
      </c>
    </row>
    <row r="44053">
      <c r="H44053" s="50"/>
      <c r="I44053" s="50"/>
      <c r="O44053" s="36" t="s">
        <v>48</v>
      </c>
      <c r="R44053" s="36" t="s">
        <v>48</v>
      </c>
    </row>
    <row r="44054">
      <c r="H44054" s="50"/>
      <c r="I44054" s="50"/>
      <c r="O44054" s="36" t="s">
        <v>48</v>
      </c>
      <c r="R44054" s="36" t="s">
        <v>48</v>
      </c>
    </row>
    <row r="44055">
      <c r="H44055" s="50"/>
      <c r="I44055" s="50"/>
      <c r="O44055" s="36" t="s">
        <v>48</v>
      </c>
      <c r="R44055" s="36" t="s">
        <v>48</v>
      </c>
    </row>
    <row r="44056">
      <c r="H44056" s="50"/>
      <c r="I44056" s="50"/>
      <c r="O44056" s="36" t="s">
        <v>48</v>
      </c>
      <c r="R44056" s="36" t="s">
        <v>48</v>
      </c>
    </row>
    <row r="44057">
      <c r="H44057" s="50"/>
      <c r="I44057" s="50"/>
      <c r="O44057" s="36" t="s">
        <v>48</v>
      </c>
      <c r="R44057" s="36" t="s">
        <v>48</v>
      </c>
    </row>
    <row r="44058">
      <c r="H44058" s="50"/>
      <c r="I44058" s="50"/>
      <c r="O44058" s="36" t="s">
        <v>48</v>
      </c>
      <c r="R44058" s="36" t="s">
        <v>48</v>
      </c>
    </row>
    <row r="44059">
      <c r="H44059" s="50"/>
      <c r="I44059" s="50"/>
      <c r="O44059" s="36" t="s">
        <v>48</v>
      </c>
      <c r="R44059" s="36" t="s">
        <v>48</v>
      </c>
    </row>
    <row r="44060">
      <c r="H44060" s="50"/>
      <c r="I44060" s="50"/>
      <c r="O44060" s="36" t="s">
        <v>48</v>
      </c>
      <c r="R44060" s="36" t="s">
        <v>48</v>
      </c>
    </row>
    <row r="44061">
      <c r="H44061" s="50"/>
      <c r="I44061" s="50"/>
      <c r="O44061" s="36" t="s">
        <v>48</v>
      </c>
      <c r="R44061" s="36" t="s">
        <v>48</v>
      </c>
    </row>
    <row r="44062">
      <c r="H44062" s="50"/>
      <c r="I44062" s="50"/>
      <c r="O44062" s="36" t="s">
        <v>48</v>
      </c>
      <c r="R44062" s="36" t="s">
        <v>48</v>
      </c>
    </row>
    <row r="44063">
      <c r="H44063" s="50"/>
      <c r="I44063" s="50"/>
      <c r="O44063" s="36" t="s">
        <v>48</v>
      </c>
      <c r="R44063" s="36" t="s">
        <v>48</v>
      </c>
    </row>
    <row r="44064">
      <c r="H44064" s="50"/>
      <c r="I44064" s="50"/>
      <c r="O44064" s="36" t="s">
        <v>48</v>
      </c>
      <c r="R44064" s="36" t="s">
        <v>48</v>
      </c>
    </row>
    <row r="44065">
      <c r="H44065" s="50"/>
      <c r="I44065" s="50"/>
      <c r="O44065" s="36" t="s">
        <v>48</v>
      </c>
      <c r="R44065" s="36" t="s">
        <v>48</v>
      </c>
    </row>
    <row r="44066">
      <c r="H44066" s="50"/>
      <c r="I44066" s="50"/>
      <c r="O44066" s="36" t="s">
        <v>48</v>
      </c>
      <c r="R44066" s="36" t="s">
        <v>48</v>
      </c>
    </row>
    <row r="44067">
      <c r="H44067" s="50"/>
      <c r="I44067" s="50"/>
      <c r="O44067" s="36" t="s">
        <v>48</v>
      </c>
      <c r="R44067" s="36" t="s">
        <v>48</v>
      </c>
    </row>
    <row r="44068">
      <c r="H44068" s="50"/>
      <c r="I44068" s="50"/>
      <c r="O44068" s="36" t="s">
        <v>48</v>
      </c>
      <c r="R44068" s="36" t="s">
        <v>48</v>
      </c>
    </row>
    <row r="44069">
      <c r="H44069" s="50"/>
      <c r="I44069" s="50"/>
      <c r="O44069" s="36" t="s">
        <v>48</v>
      </c>
      <c r="R44069" s="36" t="s">
        <v>48</v>
      </c>
    </row>
    <row r="44070">
      <c r="H44070" s="50"/>
      <c r="I44070" s="50"/>
      <c r="O44070" s="36" t="s">
        <v>48</v>
      </c>
      <c r="R44070" s="36" t="s">
        <v>48</v>
      </c>
    </row>
    <row r="44071">
      <c r="H44071" s="50"/>
      <c r="I44071" s="50"/>
      <c r="O44071" s="36" t="s">
        <v>48</v>
      </c>
      <c r="R44071" s="36" t="s">
        <v>48</v>
      </c>
    </row>
    <row r="44072">
      <c r="H44072" s="50"/>
      <c r="I44072" s="50"/>
      <c r="O44072" s="36" t="s">
        <v>48</v>
      </c>
      <c r="R44072" s="36" t="s">
        <v>48</v>
      </c>
    </row>
    <row r="44073">
      <c r="H44073" s="50"/>
      <c r="I44073" s="50"/>
      <c r="O44073" s="36" t="s">
        <v>48</v>
      </c>
      <c r="R44073" s="36" t="s">
        <v>48</v>
      </c>
    </row>
    <row r="44074">
      <c r="H44074" s="50"/>
      <c r="I44074" s="50"/>
      <c r="O44074" s="36" t="s">
        <v>48</v>
      </c>
      <c r="R44074" s="36" t="s">
        <v>48</v>
      </c>
    </row>
    <row r="44075">
      <c r="H44075" s="50"/>
      <c r="I44075" s="50"/>
      <c r="O44075" s="36" t="s">
        <v>48</v>
      </c>
      <c r="R44075" s="36" t="s">
        <v>48</v>
      </c>
    </row>
    <row r="44076">
      <c r="H44076" s="50"/>
      <c r="I44076" s="50"/>
      <c r="O44076" s="36" t="s">
        <v>48</v>
      </c>
      <c r="R44076" s="36" t="s">
        <v>48</v>
      </c>
    </row>
    <row r="44077">
      <c r="H44077" s="50"/>
      <c r="I44077" s="50"/>
      <c r="O44077" s="36" t="s">
        <v>48</v>
      </c>
      <c r="R44077" s="36" t="s">
        <v>48</v>
      </c>
    </row>
    <row r="44078">
      <c r="H44078" s="50"/>
      <c r="I44078" s="50"/>
      <c r="O44078" s="36" t="s">
        <v>48</v>
      </c>
      <c r="R44078" s="36" t="s">
        <v>48</v>
      </c>
    </row>
    <row r="44079">
      <c r="H44079" s="50"/>
      <c r="I44079" s="50"/>
      <c r="O44079" s="36" t="s">
        <v>48</v>
      </c>
      <c r="R44079" s="36" t="s">
        <v>48</v>
      </c>
    </row>
    <row r="44080">
      <c r="H44080" s="50"/>
      <c r="I44080" s="50"/>
      <c r="O44080" s="36" t="s">
        <v>48</v>
      </c>
      <c r="R44080" s="36" t="s">
        <v>48</v>
      </c>
    </row>
    <row r="44081">
      <c r="H44081" s="50"/>
      <c r="I44081" s="50"/>
      <c r="O44081" s="36" t="s">
        <v>48</v>
      </c>
      <c r="R44081" s="36" t="s">
        <v>48</v>
      </c>
    </row>
    <row r="44082">
      <c r="H44082" s="50"/>
      <c r="I44082" s="50"/>
      <c r="O44082" s="36" t="s">
        <v>48</v>
      </c>
      <c r="R44082" s="36" t="s">
        <v>48</v>
      </c>
    </row>
    <row r="44083">
      <c r="H44083" s="50"/>
      <c r="I44083" s="50"/>
      <c r="O44083" s="36" t="s">
        <v>48</v>
      </c>
      <c r="R44083" s="36" t="s">
        <v>48</v>
      </c>
    </row>
    <row r="44084">
      <c r="H44084" s="50"/>
      <c r="I44084" s="50"/>
      <c r="O44084" s="36" t="s">
        <v>48</v>
      </c>
      <c r="R44084" s="36" t="s">
        <v>48</v>
      </c>
    </row>
    <row r="44085">
      <c r="H44085" s="50"/>
      <c r="I44085" s="50"/>
      <c r="O44085" s="36" t="s">
        <v>48</v>
      </c>
      <c r="R44085" s="36" t="s">
        <v>48</v>
      </c>
    </row>
    <row r="44086">
      <c r="H44086" s="50"/>
      <c r="I44086" s="50"/>
      <c r="O44086" s="36" t="s">
        <v>48</v>
      </c>
      <c r="R44086" s="36" t="s">
        <v>48</v>
      </c>
    </row>
    <row r="44087">
      <c r="H44087" s="50"/>
      <c r="I44087" s="50"/>
      <c r="O44087" s="36" t="s">
        <v>48</v>
      </c>
      <c r="R44087" s="36" t="s">
        <v>48</v>
      </c>
    </row>
    <row r="44088">
      <c r="H44088" s="50"/>
      <c r="I44088" s="50"/>
      <c r="O44088" s="36" t="s">
        <v>48</v>
      </c>
      <c r="R44088" s="36" t="s">
        <v>48</v>
      </c>
    </row>
    <row r="44089">
      <c r="H44089" s="50"/>
      <c r="I44089" s="50"/>
      <c r="O44089" s="36" t="s">
        <v>48</v>
      </c>
      <c r="R44089" s="36" t="s">
        <v>48</v>
      </c>
    </row>
    <row r="44090">
      <c r="H44090" s="50"/>
      <c r="I44090" s="50"/>
      <c r="O44090" s="36" t="s">
        <v>48</v>
      </c>
      <c r="R44090" s="36" t="s">
        <v>48</v>
      </c>
    </row>
    <row r="44091">
      <c r="H44091" s="50"/>
      <c r="I44091" s="50"/>
      <c r="O44091" s="36" t="s">
        <v>48</v>
      </c>
      <c r="R44091" s="36" t="s">
        <v>48</v>
      </c>
    </row>
    <row r="44092">
      <c r="H44092" s="50"/>
      <c r="I44092" s="50"/>
      <c r="O44092" s="36" t="s">
        <v>48</v>
      </c>
      <c r="R44092" s="36" t="s">
        <v>48</v>
      </c>
    </row>
    <row r="44093">
      <c r="H44093" s="50"/>
      <c r="I44093" s="50"/>
      <c r="O44093" s="36" t="s">
        <v>48</v>
      </c>
      <c r="R44093" s="36" t="s">
        <v>48</v>
      </c>
    </row>
    <row r="44094">
      <c r="H44094" s="50"/>
      <c r="I44094" s="50"/>
      <c r="O44094" s="36" t="s">
        <v>48</v>
      </c>
      <c r="R44094" s="36" t="s">
        <v>48</v>
      </c>
    </row>
    <row r="44095">
      <c r="H44095" s="50"/>
      <c r="I44095" s="50"/>
      <c r="O44095" s="36" t="s">
        <v>48</v>
      </c>
      <c r="R44095" s="36" t="s">
        <v>48</v>
      </c>
    </row>
    <row r="44096">
      <c r="H44096" s="50"/>
      <c r="I44096" s="50"/>
      <c r="O44096" s="36" t="s">
        <v>48</v>
      </c>
      <c r="R44096" s="36" t="s">
        <v>48</v>
      </c>
    </row>
    <row r="44097">
      <c r="H44097" s="50"/>
      <c r="I44097" s="50"/>
      <c r="O44097" s="36" t="s">
        <v>48</v>
      </c>
      <c r="R44097" s="36" t="s">
        <v>48</v>
      </c>
    </row>
    <row r="44098">
      <c r="H44098" s="50"/>
      <c r="I44098" s="50"/>
      <c r="O44098" s="36" t="s">
        <v>48</v>
      </c>
      <c r="R44098" s="36" t="s">
        <v>48</v>
      </c>
    </row>
    <row r="44099">
      <c r="H44099" s="50"/>
      <c r="I44099" s="50"/>
      <c r="O44099" s="36" t="s">
        <v>48</v>
      </c>
      <c r="R44099" s="36" t="s">
        <v>48</v>
      </c>
    </row>
    <row r="44100">
      <c r="H44100" s="50"/>
      <c r="I44100" s="50"/>
      <c r="O44100" s="36" t="s">
        <v>48</v>
      </c>
      <c r="R44100" s="36" t="s">
        <v>48</v>
      </c>
    </row>
    <row r="44101">
      <c r="H44101" s="50"/>
      <c r="I44101" s="50"/>
      <c r="O44101" s="36" t="s">
        <v>48</v>
      </c>
      <c r="R44101" s="36" t="s">
        <v>48</v>
      </c>
    </row>
    <row r="44102">
      <c r="H44102" s="50"/>
      <c r="I44102" s="50"/>
      <c r="O44102" s="36" t="s">
        <v>48</v>
      </c>
      <c r="R44102" s="36" t="s">
        <v>48</v>
      </c>
    </row>
    <row r="44103">
      <c r="H44103" s="50"/>
      <c r="I44103" s="50"/>
      <c r="O44103" s="36" t="s">
        <v>48</v>
      </c>
      <c r="R44103" s="36" t="s">
        <v>48</v>
      </c>
    </row>
    <row r="44104">
      <c r="H44104" s="50"/>
      <c r="I44104" s="50"/>
      <c r="O44104" s="36" t="s">
        <v>48</v>
      </c>
      <c r="R44104" s="36" t="s">
        <v>48</v>
      </c>
    </row>
    <row r="44105">
      <c r="H44105" s="50"/>
      <c r="I44105" s="50"/>
      <c r="O44105" s="36" t="s">
        <v>48</v>
      </c>
      <c r="R44105" s="36" t="s">
        <v>48</v>
      </c>
    </row>
    <row r="44106">
      <c r="H44106" s="50"/>
      <c r="I44106" s="50"/>
      <c r="O44106" s="36" t="s">
        <v>48</v>
      </c>
      <c r="R44106" s="36" t="s">
        <v>48</v>
      </c>
    </row>
    <row r="44107">
      <c r="H44107" s="50"/>
      <c r="I44107" s="50"/>
      <c r="O44107" s="36" t="s">
        <v>48</v>
      </c>
      <c r="R44107" s="36" t="s">
        <v>48</v>
      </c>
    </row>
    <row r="44108">
      <c r="H44108" s="50"/>
      <c r="I44108" s="50"/>
      <c r="O44108" s="36" t="s">
        <v>48</v>
      </c>
      <c r="R44108" s="36" t="s">
        <v>48</v>
      </c>
    </row>
    <row r="44109">
      <c r="H44109" s="50"/>
      <c r="I44109" s="50"/>
      <c r="O44109" s="36" t="s">
        <v>48</v>
      </c>
      <c r="R44109" s="36" t="s">
        <v>48</v>
      </c>
    </row>
    <row r="44110">
      <c r="H44110" s="50"/>
      <c r="I44110" s="50"/>
      <c r="O44110" s="36" t="s">
        <v>48</v>
      </c>
      <c r="R44110" s="36" t="s">
        <v>48</v>
      </c>
    </row>
    <row r="44111">
      <c r="H44111" s="50"/>
      <c r="I44111" s="50"/>
      <c r="O44111" s="36" t="s">
        <v>48</v>
      </c>
      <c r="R44111" s="36" t="s">
        <v>48</v>
      </c>
    </row>
    <row r="44112">
      <c r="H44112" s="50"/>
      <c r="I44112" s="50"/>
      <c r="O44112" s="36" t="s">
        <v>48</v>
      </c>
      <c r="R44112" s="36" t="s">
        <v>48</v>
      </c>
    </row>
    <row r="44113">
      <c r="H44113" s="50"/>
      <c r="I44113" s="50"/>
      <c r="O44113" s="36" t="s">
        <v>48</v>
      </c>
      <c r="R44113" s="36" t="s">
        <v>48</v>
      </c>
    </row>
    <row r="44114">
      <c r="H44114" s="50"/>
      <c r="I44114" s="50"/>
      <c r="O44114" s="36" t="s">
        <v>48</v>
      </c>
      <c r="R44114" s="36" t="s">
        <v>48</v>
      </c>
    </row>
    <row r="44115">
      <c r="H44115" s="50"/>
      <c r="I44115" s="50"/>
      <c r="O44115" s="36" t="s">
        <v>48</v>
      </c>
      <c r="R44115" s="36" t="s">
        <v>48</v>
      </c>
    </row>
    <row r="44116">
      <c r="H44116" s="50"/>
      <c r="I44116" s="50"/>
      <c r="O44116" s="36" t="s">
        <v>48</v>
      </c>
      <c r="R44116" s="36" t="s">
        <v>48</v>
      </c>
    </row>
    <row r="44117">
      <c r="H44117" s="50"/>
      <c r="I44117" s="50"/>
      <c r="O44117" s="36" t="s">
        <v>48</v>
      </c>
      <c r="R44117" s="36" t="s">
        <v>48</v>
      </c>
    </row>
    <row r="44118">
      <c r="H44118" s="50"/>
      <c r="I44118" s="50"/>
      <c r="O44118" s="36" t="s">
        <v>48</v>
      </c>
      <c r="R44118" s="36" t="s">
        <v>48</v>
      </c>
    </row>
    <row r="44119">
      <c r="H44119" s="50"/>
      <c r="I44119" s="50"/>
      <c r="O44119" s="36" t="s">
        <v>48</v>
      </c>
      <c r="R44119" s="36" t="s">
        <v>48</v>
      </c>
    </row>
    <row r="44120">
      <c r="H44120" s="50"/>
      <c r="I44120" s="50"/>
      <c r="O44120" s="36" t="s">
        <v>48</v>
      </c>
      <c r="R44120" s="36" t="s">
        <v>48</v>
      </c>
    </row>
    <row r="44121">
      <c r="H44121" s="50"/>
      <c r="I44121" s="50"/>
      <c r="O44121" s="36" t="s">
        <v>48</v>
      </c>
      <c r="R44121" s="36" t="s">
        <v>48</v>
      </c>
    </row>
    <row r="44122">
      <c r="H44122" s="50"/>
      <c r="I44122" s="50"/>
      <c r="O44122" s="36" t="s">
        <v>48</v>
      </c>
      <c r="R44122" s="36" t="s">
        <v>48</v>
      </c>
    </row>
    <row r="44123">
      <c r="H44123" s="50"/>
      <c r="I44123" s="50"/>
      <c r="O44123" s="36" t="s">
        <v>48</v>
      </c>
      <c r="R44123" s="36" t="s">
        <v>48</v>
      </c>
    </row>
    <row r="44124">
      <c r="H44124" s="50"/>
      <c r="I44124" s="50"/>
      <c r="O44124" s="36" t="s">
        <v>48</v>
      </c>
      <c r="R44124" s="36" t="s">
        <v>48</v>
      </c>
    </row>
    <row r="44125">
      <c r="H44125" s="50"/>
      <c r="I44125" s="50"/>
      <c r="O44125" s="36" t="s">
        <v>48</v>
      </c>
      <c r="R44125" s="36" t="s">
        <v>48</v>
      </c>
    </row>
    <row r="44126">
      <c r="H44126" s="50"/>
      <c r="I44126" s="50"/>
      <c r="O44126" s="36" t="s">
        <v>48</v>
      </c>
      <c r="R44126" s="36" t="s">
        <v>48</v>
      </c>
    </row>
    <row r="44127">
      <c r="H44127" s="50"/>
      <c r="I44127" s="50"/>
      <c r="O44127" s="36" t="s">
        <v>48</v>
      </c>
      <c r="R44127" s="36" t="s">
        <v>48</v>
      </c>
    </row>
    <row r="44128">
      <c r="H44128" s="50"/>
      <c r="I44128" s="50"/>
      <c r="O44128" s="36" t="s">
        <v>48</v>
      </c>
      <c r="R44128" s="36" t="s">
        <v>48</v>
      </c>
    </row>
    <row r="44129">
      <c r="H44129" s="50"/>
      <c r="I44129" s="50"/>
      <c r="O44129" s="36" t="s">
        <v>48</v>
      </c>
      <c r="R44129" s="36" t="s">
        <v>48</v>
      </c>
    </row>
    <row r="44130">
      <c r="H44130" s="50"/>
      <c r="I44130" s="50"/>
      <c r="O44130" s="36" t="s">
        <v>48</v>
      </c>
      <c r="R44130" s="36" t="s">
        <v>48</v>
      </c>
    </row>
    <row r="44131">
      <c r="H44131" s="50"/>
      <c r="I44131" s="50"/>
      <c r="O44131" s="36" t="s">
        <v>48</v>
      </c>
      <c r="R44131" s="36" t="s">
        <v>48</v>
      </c>
    </row>
    <row r="44132">
      <c r="H44132" s="50"/>
      <c r="I44132" s="50"/>
      <c r="O44132" s="36" t="s">
        <v>48</v>
      </c>
      <c r="R44132" s="36" t="s">
        <v>48</v>
      </c>
    </row>
    <row r="44133">
      <c r="H44133" s="50"/>
      <c r="I44133" s="50"/>
      <c r="O44133" s="36" t="s">
        <v>48</v>
      </c>
      <c r="R44133" s="36" t="s">
        <v>48</v>
      </c>
    </row>
    <row r="44134">
      <c r="H44134" s="50"/>
      <c r="I44134" s="50"/>
      <c r="O44134" s="36" t="s">
        <v>48</v>
      </c>
      <c r="R44134" s="36" t="s">
        <v>48</v>
      </c>
    </row>
    <row r="44135">
      <c r="H44135" s="50"/>
      <c r="I44135" s="50"/>
      <c r="O44135" s="36" t="s">
        <v>48</v>
      </c>
      <c r="R44135" s="36" t="s">
        <v>48</v>
      </c>
    </row>
    <row r="44136">
      <c r="H44136" s="50"/>
      <c r="I44136" s="50"/>
      <c r="O44136" s="36" t="s">
        <v>48</v>
      </c>
      <c r="R44136" s="36" t="s">
        <v>48</v>
      </c>
    </row>
    <row r="44137">
      <c r="H44137" s="50"/>
      <c r="I44137" s="50"/>
      <c r="O44137" s="36" t="s">
        <v>48</v>
      </c>
      <c r="R44137" s="36" t="s">
        <v>48</v>
      </c>
    </row>
    <row r="44138">
      <c r="H44138" s="50"/>
      <c r="I44138" s="50"/>
      <c r="O44138" s="36" t="s">
        <v>48</v>
      </c>
      <c r="R44138" s="36" t="s">
        <v>48</v>
      </c>
    </row>
    <row r="44139">
      <c r="H44139" s="50"/>
      <c r="I44139" s="50"/>
      <c r="O44139" s="36" t="s">
        <v>48</v>
      </c>
      <c r="R44139" s="36" t="s">
        <v>48</v>
      </c>
    </row>
    <row r="44140">
      <c r="H44140" s="50"/>
      <c r="I44140" s="50"/>
      <c r="O44140" s="36" t="s">
        <v>48</v>
      </c>
      <c r="R44140" s="36" t="s">
        <v>48</v>
      </c>
    </row>
    <row r="44141">
      <c r="H44141" s="50"/>
      <c r="I44141" s="50"/>
      <c r="O44141" s="36" t="s">
        <v>48</v>
      </c>
      <c r="R44141" s="36" t="s">
        <v>48</v>
      </c>
    </row>
    <row r="44142">
      <c r="H44142" s="50"/>
      <c r="I44142" s="50"/>
      <c r="O44142" s="36" t="s">
        <v>48</v>
      </c>
      <c r="R44142" s="36" t="s">
        <v>48</v>
      </c>
    </row>
    <row r="44143">
      <c r="H44143" s="50"/>
      <c r="I44143" s="50"/>
      <c r="O44143" s="36" t="s">
        <v>48</v>
      </c>
      <c r="R44143" s="36" t="s">
        <v>48</v>
      </c>
    </row>
    <row r="44144">
      <c r="H44144" s="50"/>
      <c r="I44144" s="50"/>
      <c r="O44144" s="36" t="s">
        <v>48</v>
      </c>
      <c r="R44144" s="36" t="s">
        <v>48</v>
      </c>
    </row>
    <row r="44145">
      <c r="H44145" s="50"/>
      <c r="I44145" s="50"/>
      <c r="O44145" s="36" t="s">
        <v>48</v>
      </c>
      <c r="R44145" s="36" t="s">
        <v>48</v>
      </c>
    </row>
    <row r="44146">
      <c r="H44146" s="50"/>
      <c r="I44146" s="50"/>
      <c r="O44146" s="36" t="s">
        <v>48</v>
      </c>
      <c r="R44146" s="36" t="s">
        <v>48</v>
      </c>
    </row>
    <row r="44147">
      <c r="H44147" s="50"/>
      <c r="I44147" s="50"/>
      <c r="O44147" s="36" t="s">
        <v>48</v>
      </c>
      <c r="R44147" s="36" t="s">
        <v>48</v>
      </c>
    </row>
    <row r="44148">
      <c r="H44148" s="50"/>
      <c r="I44148" s="50"/>
      <c r="O44148" s="36" t="s">
        <v>48</v>
      </c>
      <c r="R44148" s="36" t="s">
        <v>48</v>
      </c>
    </row>
    <row r="44149">
      <c r="H44149" s="50"/>
      <c r="I44149" s="50"/>
      <c r="O44149" s="36" t="s">
        <v>48</v>
      </c>
      <c r="R44149" s="36" t="s">
        <v>48</v>
      </c>
    </row>
    <row r="44150">
      <c r="H44150" s="50"/>
      <c r="I44150" s="50"/>
      <c r="O44150" s="36" t="s">
        <v>48</v>
      </c>
      <c r="R44150" s="36" t="s">
        <v>48</v>
      </c>
    </row>
    <row r="44151">
      <c r="H44151" s="50"/>
      <c r="I44151" s="50"/>
      <c r="O44151" s="36" t="s">
        <v>48</v>
      </c>
      <c r="R44151" s="36" t="s">
        <v>48</v>
      </c>
    </row>
    <row r="44152">
      <c r="H44152" s="50"/>
      <c r="I44152" s="50"/>
      <c r="O44152" s="36" t="s">
        <v>48</v>
      </c>
      <c r="R44152" s="36" t="s">
        <v>48</v>
      </c>
    </row>
    <row r="44153">
      <c r="H44153" s="50"/>
      <c r="I44153" s="50"/>
      <c r="O44153" s="36" t="s">
        <v>48</v>
      </c>
      <c r="R44153" s="36" t="s">
        <v>48</v>
      </c>
    </row>
    <row r="44154">
      <c r="H44154" s="50"/>
      <c r="I44154" s="50"/>
      <c r="O44154" s="36" t="s">
        <v>48</v>
      </c>
      <c r="R44154" s="36" t="s">
        <v>48</v>
      </c>
    </row>
    <row r="44155">
      <c r="H44155" s="50"/>
      <c r="I44155" s="50"/>
      <c r="O44155" s="36" t="s">
        <v>48</v>
      </c>
      <c r="R44155" s="36" t="s">
        <v>48</v>
      </c>
    </row>
    <row r="44156">
      <c r="H44156" s="50"/>
      <c r="I44156" s="50"/>
      <c r="O44156" s="36" t="s">
        <v>48</v>
      </c>
      <c r="R44156" s="36" t="s">
        <v>48</v>
      </c>
    </row>
    <row r="44157">
      <c r="H44157" s="50"/>
      <c r="I44157" s="50"/>
      <c r="O44157" s="36" t="s">
        <v>48</v>
      </c>
      <c r="R44157" s="36" t="s">
        <v>48</v>
      </c>
    </row>
    <row r="44158">
      <c r="H44158" s="50"/>
      <c r="I44158" s="50"/>
      <c r="O44158" s="36" t="s">
        <v>48</v>
      </c>
      <c r="R44158" s="36" t="s">
        <v>48</v>
      </c>
    </row>
    <row r="44159">
      <c r="H44159" s="50"/>
      <c r="I44159" s="50"/>
      <c r="O44159" s="36" t="s">
        <v>48</v>
      </c>
      <c r="R44159" s="36" t="s">
        <v>48</v>
      </c>
    </row>
    <row r="44160">
      <c r="H44160" s="50"/>
      <c r="I44160" s="50"/>
      <c r="O44160" s="36" t="s">
        <v>48</v>
      </c>
      <c r="R44160" s="36" t="s">
        <v>48</v>
      </c>
    </row>
    <row r="44161">
      <c r="H44161" s="50"/>
      <c r="I44161" s="50"/>
      <c r="O44161" s="36" t="s">
        <v>48</v>
      </c>
      <c r="R44161" s="36" t="s">
        <v>48</v>
      </c>
    </row>
    <row r="44162">
      <c r="H44162" s="50"/>
      <c r="I44162" s="50"/>
      <c r="O44162" s="36" t="s">
        <v>48</v>
      </c>
      <c r="R44162" s="36" t="s">
        <v>48</v>
      </c>
    </row>
    <row r="44163">
      <c r="H44163" s="50"/>
      <c r="I44163" s="50"/>
      <c r="O44163" s="36" t="s">
        <v>48</v>
      </c>
      <c r="R44163" s="36" t="s">
        <v>48</v>
      </c>
    </row>
    <row r="44164">
      <c r="H44164" s="50"/>
      <c r="I44164" s="50"/>
      <c r="O44164" s="36" t="s">
        <v>48</v>
      </c>
      <c r="R44164" s="36" t="s">
        <v>48</v>
      </c>
    </row>
    <row r="44165">
      <c r="H44165" s="50"/>
      <c r="I44165" s="50"/>
      <c r="O44165" s="36" t="s">
        <v>48</v>
      </c>
      <c r="R44165" s="36" t="s">
        <v>48</v>
      </c>
    </row>
    <row r="44166">
      <c r="H44166" s="50"/>
      <c r="I44166" s="50"/>
      <c r="O44166" s="36" t="s">
        <v>48</v>
      </c>
      <c r="R44166" s="36" t="s">
        <v>48</v>
      </c>
    </row>
    <row r="44167">
      <c r="H44167" s="50"/>
      <c r="I44167" s="50"/>
      <c r="O44167" s="36" t="s">
        <v>48</v>
      </c>
      <c r="R44167" s="36" t="s">
        <v>48</v>
      </c>
    </row>
    <row r="44168">
      <c r="H44168" s="50"/>
      <c r="I44168" s="50"/>
      <c r="O44168" s="36" t="s">
        <v>48</v>
      </c>
      <c r="R44168" s="36" t="s">
        <v>48</v>
      </c>
    </row>
    <row r="44169">
      <c r="H44169" s="50"/>
      <c r="I44169" s="50"/>
      <c r="O44169" s="36" t="s">
        <v>48</v>
      </c>
      <c r="R44169" s="36" t="s">
        <v>48</v>
      </c>
    </row>
    <row r="44170">
      <c r="H44170" s="50"/>
      <c r="I44170" s="50"/>
      <c r="O44170" s="36" t="s">
        <v>48</v>
      </c>
      <c r="R44170" s="36" t="s">
        <v>48</v>
      </c>
    </row>
    <row r="44171">
      <c r="H44171" s="50"/>
      <c r="I44171" s="50"/>
      <c r="O44171" s="36" t="s">
        <v>48</v>
      </c>
      <c r="R44171" s="36" t="s">
        <v>48</v>
      </c>
    </row>
    <row r="44172">
      <c r="H44172" s="50"/>
      <c r="I44172" s="50"/>
      <c r="O44172" s="36" t="s">
        <v>48</v>
      </c>
      <c r="R44172" s="36" t="s">
        <v>48</v>
      </c>
    </row>
    <row r="44173">
      <c r="H44173" s="50"/>
      <c r="I44173" s="50"/>
      <c r="O44173" s="36" t="s">
        <v>48</v>
      </c>
      <c r="R44173" s="36" t="s">
        <v>48</v>
      </c>
    </row>
    <row r="44174">
      <c r="H44174" s="50"/>
      <c r="I44174" s="50"/>
      <c r="O44174" s="36" t="s">
        <v>48</v>
      </c>
      <c r="R44174" s="36" t="s">
        <v>48</v>
      </c>
    </row>
    <row r="44175">
      <c r="H44175" s="50"/>
      <c r="I44175" s="50"/>
      <c r="O44175" s="36" t="s">
        <v>48</v>
      </c>
      <c r="R44175" s="36" t="s">
        <v>48</v>
      </c>
    </row>
    <row r="44176">
      <c r="H44176" s="50"/>
      <c r="I44176" s="50"/>
      <c r="O44176" s="36" t="s">
        <v>48</v>
      </c>
      <c r="R44176" s="36" t="s">
        <v>48</v>
      </c>
    </row>
    <row r="44177">
      <c r="H44177" s="50"/>
      <c r="I44177" s="50"/>
      <c r="O44177" s="36" t="s">
        <v>48</v>
      </c>
      <c r="R44177" s="36" t="s">
        <v>48</v>
      </c>
    </row>
    <row r="44178">
      <c r="H44178" s="50"/>
      <c r="I44178" s="50"/>
      <c r="O44178" s="36" t="s">
        <v>48</v>
      </c>
      <c r="R44178" s="36" t="s">
        <v>48</v>
      </c>
    </row>
    <row r="44179">
      <c r="H44179" s="50"/>
      <c r="I44179" s="50"/>
      <c r="O44179" s="36" t="s">
        <v>48</v>
      </c>
      <c r="R44179" s="36" t="s">
        <v>48</v>
      </c>
    </row>
    <row r="44180">
      <c r="H44180" s="50"/>
      <c r="I44180" s="50"/>
      <c r="O44180" s="36" t="s">
        <v>48</v>
      </c>
      <c r="R44180" s="36" t="s">
        <v>48</v>
      </c>
    </row>
    <row r="44181">
      <c r="H44181" s="50"/>
      <c r="I44181" s="50"/>
      <c r="O44181" s="36" t="s">
        <v>48</v>
      </c>
      <c r="R44181" s="36" t="s">
        <v>48</v>
      </c>
    </row>
    <row r="44182">
      <c r="H44182" s="50"/>
      <c r="I44182" s="50"/>
      <c r="O44182" s="36" t="s">
        <v>48</v>
      </c>
      <c r="R44182" s="36" t="s">
        <v>48</v>
      </c>
    </row>
    <row r="44183">
      <c r="H44183" s="50"/>
      <c r="I44183" s="50"/>
      <c r="O44183" s="36" t="s">
        <v>48</v>
      </c>
      <c r="R44183" s="36" t="s">
        <v>48</v>
      </c>
    </row>
    <row r="44184">
      <c r="H44184" s="50"/>
      <c r="I44184" s="50"/>
      <c r="O44184" s="36" t="s">
        <v>48</v>
      </c>
      <c r="R44184" s="36" t="s">
        <v>48</v>
      </c>
    </row>
    <row r="44185">
      <c r="H44185" s="50"/>
      <c r="I44185" s="50"/>
      <c r="O44185" s="36" t="s">
        <v>48</v>
      </c>
      <c r="R44185" s="36" t="s">
        <v>48</v>
      </c>
    </row>
    <row r="44186">
      <c r="H44186" s="50"/>
      <c r="I44186" s="50"/>
      <c r="O44186" s="36" t="s">
        <v>48</v>
      </c>
      <c r="R44186" s="36" t="s">
        <v>48</v>
      </c>
    </row>
    <row r="44187">
      <c r="H44187" s="50"/>
      <c r="I44187" s="50"/>
      <c r="O44187" s="36" t="s">
        <v>48</v>
      </c>
      <c r="R44187" s="36" t="s">
        <v>48</v>
      </c>
    </row>
    <row r="44188">
      <c r="H44188" s="50"/>
      <c r="I44188" s="50"/>
      <c r="O44188" s="36" t="s">
        <v>48</v>
      </c>
      <c r="R44188" s="36" t="s">
        <v>48</v>
      </c>
    </row>
    <row r="44189">
      <c r="H44189" s="50"/>
      <c r="I44189" s="50"/>
      <c r="O44189" s="36" t="s">
        <v>48</v>
      </c>
      <c r="R44189" s="36" t="s">
        <v>48</v>
      </c>
    </row>
    <row r="44190">
      <c r="H44190" s="50"/>
      <c r="I44190" s="50"/>
      <c r="O44190" s="36" t="s">
        <v>48</v>
      </c>
      <c r="R44190" s="36" t="s">
        <v>48</v>
      </c>
    </row>
    <row r="44191">
      <c r="H44191" s="50"/>
      <c r="I44191" s="50"/>
      <c r="O44191" s="36" t="s">
        <v>48</v>
      </c>
      <c r="R44191" s="36" t="s">
        <v>48</v>
      </c>
    </row>
    <row r="44192">
      <c r="H44192" s="50"/>
      <c r="I44192" s="50"/>
      <c r="O44192" s="36" t="s">
        <v>48</v>
      </c>
      <c r="R44192" s="36" t="s">
        <v>48</v>
      </c>
    </row>
    <row r="44193">
      <c r="H44193" s="50"/>
      <c r="I44193" s="50"/>
      <c r="O44193" s="36" t="s">
        <v>48</v>
      </c>
      <c r="R44193" s="36" t="s">
        <v>48</v>
      </c>
    </row>
    <row r="44194">
      <c r="H44194" s="50"/>
      <c r="I44194" s="50"/>
      <c r="O44194" s="36" t="s">
        <v>48</v>
      </c>
      <c r="R44194" s="36" t="s">
        <v>48</v>
      </c>
    </row>
    <row r="44195">
      <c r="H44195" s="50"/>
      <c r="I44195" s="50"/>
      <c r="O44195" s="36" t="s">
        <v>48</v>
      </c>
      <c r="R44195" s="36" t="s">
        <v>48</v>
      </c>
    </row>
    <row r="44196">
      <c r="H44196" s="50"/>
      <c r="I44196" s="50"/>
      <c r="O44196" s="36" t="s">
        <v>48</v>
      </c>
      <c r="R44196" s="36" t="s">
        <v>48</v>
      </c>
    </row>
    <row r="44197">
      <c r="H44197" s="50"/>
      <c r="I44197" s="50"/>
      <c r="O44197" s="36" t="s">
        <v>48</v>
      </c>
      <c r="R44197" s="36" t="s">
        <v>48</v>
      </c>
    </row>
    <row r="44198">
      <c r="H44198" s="50"/>
      <c r="I44198" s="50"/>
      <c r="O44198" s="36" t="s">
        <v>48</v>
      </c>
      <c r="R44198" s="36" t="s">
        <v>48</v>
      </c>
    </row>
    <row r="44199">
      <c r="H44199" s="50"/>
      <c r="I44199" s="50"/>
      <c r="O44199" s="36" t="s">
        <v>48</v>
      </c>
      <c r="R44199" s="36" t="s">
        <v>48</v>
      </c>
    </row>
    <row r="44200">
      <c r="H44200" s="50"/>
      <c r="I44200" s="50"/>
      <c r="O44200" s="36" t="s">
        <v>48</v>
      </c>
      <c r="R44200" s="36" t="s">
        <v>48</v>
      </c>
    </row>
    <row r="44201">
      <c r="H44201" s="50"/>
      <c r="I44201" s="50"/>
      <c r="O44201" s="36" t="s">
        <v>48</v>
      </c>
      <c r="R44201" s="36" t="s">
        <v>48</v>
      </c>
    </row>
    <row r="44202">
      <c r="H44202" s="50"/>
      <c r="I44202" s="50"/>
      <c r="O44202" s="36" t="s">
        <v>48</v>
      </c>
      <c r="R44202" s="36" t="s">
        <v>48</v>
      </c>
    </row>
    <row r="44203">
      <c r="H44203" s="50"/>
      <c r="I44203" s="50"/>
      <c r="O44203" s="36" t="s">
        <v>48</v>
      </c>
      <c r="R44203" s="36" t="s">
        <v>48</v>
      </c>
    </row>
    <row r="44204">
      <c r="H44204" s="50"/>
      <c r="I44204" s="50"/>
      <c r="O44204" s="36" t="s">
        <v>48</v>
      </c>
      <c r="R44204" s="36" t="s">
        <v>48</v>
      </c>
    </row>
    <row r="44205">
      <c r="H44205" s="50"/>
      <c r="I44205" s="50"/>
      <c r="O44205" s="36" t="s">
        <v>48</v>
      </c>
      <c r="R44205" s="36" t="s">
        <v>48</v>
      </c>
    </row>
    <row r="44206">
      <c r="H44206" s="50"/>
      <c r="I44206" s="50"/>
      <c r="O44206" s="36" t="s">
        <v>48</v>
      </c>
      <c r="R44206" s="36" t="s">
        <v>48</v>
      </c>
    </row>
    <row r="44207">
      <c r="H44207" s="50"/>
      <c r="I44207" s="50"/>
      <c r="O44207" s="36" t="s">
        <v>48</v>
      </c>
      <c r="R44207" s="36" t="s">
        <v>48</v>
      </c>
    </row>
    <row r="44208">
      <c r="H44208" s="50"/>
      <c r="I44208" s="50"/>
      <c r="O44208" s="36" t="s">
        <v>48</v>
      </c>
      <c r="R44208" s="36" t="s">
        <v>48</v>
      </c>
    </row>
    <row r="44209">
      <c r="H44209" s="50"/>
      <c r="I44209" s="50"/>
      <c r="O44209" s="36" t="s">
        <v>48</v>
      </c>
      <c r="R44209" s="36" t="s">
        <v>48</v>
      </c>
    </row>
    <row r="44210">
      <c r="H44210" s="50"/>
      <c r="I44210" s="50"/>
      <c r="O44210" s="36" t="s">
        <v>48</v>
      </c>
      <c r="R44210" s="36" t="s">
        <v>48</v>
      </c>
    </row>
    <row r="44211">
      <c r="H44211" s="50"/>
      <c r="I44211" s="50"/>
      <c r="O44211" s="36" t="s">
        <v>48</v>
      </c>
      <c r="R44211" s="36" t="s">
        <v>48</v>
      </c>
    </row>
    <row r="44212">
      <c r="H44212" s="50"/>
      <c r="I44212" s="50"/>
      <c r="O44212" s="36" t="s">
        <v>48</v>
      </c>
      <c r="R44212" s="36" t="s">
        <v>48</v>
      </c>
    </row>
    <row r="44213">
      <c r="H44213" s="50"/>
      <c r="I44213" s="50"/>
      <c r="O44213" s="36" t="s">
        <v>48</v>
      </c>
      <c r="R44213" s="36" t="s">
        <v>48</v>
      </c>
    </row>
    <row r="44214">
      <c r="H44214" s="50"/>
      <c r="I44214" s="50"/>
      <c r="O44214" s="36" t="s">
        <v>48</v>
      </c>
      <c r="R44214" s="36" t="s">
        <v>48</v>
      </c>
    </row>
    <row r="44215">
      <c r="H44215" s="50"/>
      <c r="I44215" s="50"/>
      <c r="O44215" s="36" t="s">
        <v>48</v>
      </c>
      <c r="R44215" s="36" t="s">
        <v>48</v>
      </c>
    </row>
    <row r="44216">
      <c r="H44216" s="50"/>
      <c r="I44216" s="50"/>
      <c r="O44216" s="36" t="s">
        <v>48</v>
      </c>
      <c r="R44216" s="36" t="s">
        <v>48</v>
      </c>
    </row>
    <row r="44217">
      <c r="H44217" s="50"/>
      <c r="I44217" s="50"/>
      <c r="O44217" s="36" t="s">
        <v>48</v>
      </c>
      <c r="R44217" s="36" t="s">
        <v>48</v>
      </c>
    </row>
    <row r="44218">
      <c r="H44218" s="50"/>
      <c r="I44218" s="50"/>
      <c r="O44218" s="36" t="s">
        <v>48</v>
      </c>
      <c r="R44218" s="36" t="s">
        <v>48</v>
      </c>
    </row>
    <row r="44219">
      <c r="H44219" s="50"/>
      <c r="I44219" s="50"/>
      <c r="O44219" s="36" t="s">
        <v>48</v>
      </c>
      <c r="R44219" s="36" t="s">
        <v>48</v>
      </c>
    </row>
    <row r="44220">
      <c r="H44220" s="50"/>
      <c r="I44220" s="50"/>
      <c r="O44220" s="36" t="s">
        <v>48</v>
      </c>
      <c r="R44220" s="36" t="s">
        <v>48</v>
      </c>
    </row>
    <row r="44221">
      <c r="H44221" s="50"/>
      <c r="I44221" s="50"/>
      <c r="O44221" s="36" t="s">
        <v>48</v>
      </c>
      <c r="R44221" s="36" t="s">
        <v>48</v>
      </c>
    </row>
    <row r="44222">
      <c r="H44222" s="50"/>
      <c r="I44222" s="50"/>
      <c r="O44222" s="36" t="s">
        <v>48</v>
      </c>
      <c r="R44222" s="36" t="s">
        <v>48</v>
      </c>
    </row>
    <row r="44223">
      <c r="H44223" s="50"/>
      <c r="I44223" s="50"/>
      <c r="O44223" s="36" t="s">
        <v>48</v>
      </c>
      <c r="R44223" s="36" t="s">
        <v>48</v>
      </c>
    </row>
    <row r="44224">
      <c r="H44224" s="50"/>
      <c r="I44224" s="50"/>
      <c r="O44224" s="36" t="s">
        <v>48</v>
      </c>
      <c r="R44224" s="36" t="s">
        <v>48</v>
      </c>
    </row>
    <row r="44225">
      <c r="H44225" s="50"/>
      <c r="I44225" s="50"/>
      <c r="O44225" s="36" t="s">
        <v>48</v>
      </c>
      <c r="R44225" s="36" t="s">
        <v>48</v>
      </c>
    </row>
    <row r="44226">
      <c r="H44226" s="50"/>
      <c r="I44226" s="50"/>
      <c r="O44226" s="36" t="s">
        <v>48</v>
      </c>
      <c r="R44226" s="36" t="s">
        <v>48</v>
      </c>
    </row>
    <row r="44227">
      <c r="H44227" s="50"/>
      <c r="I44227" s="50"/>
      <c r="O44227" s="36" t="s">
        <v>48</v>
      </c>
      <c r="R44227" s="36" t="s">
        <v>48</v>
      </c>
    </row>
    <row r="44228">
      <c r="H44228" s="50"/>
      <c r="I44228" s="50"/>
      <c r="O44228" s="36" t="s">
        <v>48</v>
      </c>
      <c r="R44228" s="36" t="s">
        <v>48</v>
      </c>
    </row>
    <row r="44229">
      <c r="H44229" s="50"/>
      <c r="I44229" s="50"/>
      <c r="O44229" s="36" t="s">
        <v>48</v>
      </c>
      <c r="R44229" s="36" t="s">
        <v>48</v>
      </c>
    </row>
    <row r="44230">
      <c r="H44230" s="50"/>
      <c r="I44230" s="50"/>
      <c r="O44230" s="36" t="s">
        <v>48</v>
      </c>
      <c r="R44230" s="36" t="s">
        <v>48</v>
      </c>
    </row>
    <row r="44231">
      <c r="H44231" s="50"/>
      <c r="I44231" s="50"/>
      <c r="O44231" s="36" t="s">
        <v>48</v>
      </c>
      <c r="R44231" s="36" t="s">
        <v>48</v>
      </c>
    </row>
    <row r="44232">
      <c r="H44232" s="50"/>
      <c r="I44232" s="50"/>
      <c r="O44232" s="36" t="s">
        <v>48</v>
      </c>
      <c r="R44232" s="36" t="s">
        <v>48</v>
      </c>
    </row>
    <row r="44233">
      <c r="H44233" s="50"/>
      <c r="I44233" s="50"/>
      <c r="O44233" s="36" t="s">
        <v>48</v>
      </c>
      <c r="R44233" s="36" t="s">
        <v>48</v>
      </c>
    </row>
    <row r="44234">
      <c r="H44234" s="50"/>
      <c r="I44234" s="50"/>
      <c r="O44234" s="36" t="s">
        <v>48</v>
      </c>
      <c r="R44234" s="36" t="s">
        <v>48</v>
      </c>
    </row>
    <row r="44235">
      <c r="H44235" s="50"/>
      <c r="I44235" s="50"/>
      <c r="O44235" s="36" t="s">
        <v>48</v>
      </c>
      <c r="R44235" s="36" t="s">
        <v>48</v>
      </c>
    </row>
    <row r="44236">
      <c r="H44236" s="50"/>
      <c r="I44236" s="50"/>
      <c r="O44236" s="36" t="s">
        <v>48</v>
      </c>
      <c r="R44236" s="36" t="s">
        <v>48</v>
      </c>
    </row>
    <row r="44237">
      <c r="H44237" s="50"/>
      <c r="I44237" s="50"/>
      <c r="O44237" s="36" t="s">
        <v>48</v>
      </c>
      <c r="R44237" s="36" t="s">
        <v>48</v>
      </c>
    </row>
    <row r="44238">
      <c r="H44238" s="50"/>
      <c r="I44238" s="50"/>
      <c r="O44238" s="36" t="s">
        <v>48</v>
      </c>
      <c r="R44238" s="36" t="s">
        <v>48</v>
      </c>
    </row>
    <row r="44239">
      <c r="H44239" s="50"/>
      <c r="I44239" s="50"/>
      <c r="O44239" s="36" t="s">
        <v>48</v>
      </c>
      <c r="R44239" s="36" t="s">
        <v>48</v>
      </c>
    </row>
    <row r="44240">
      <c r="H44240" s="50"/>
      <c r="I44240" s="50"/>
      <c r="O44240" s="36" t="s">
        <v>48</v>
      </c>
      <c r="R44240" s="36" t="s">
        <v>48</v>
      </c>
    </row>
    <row r="44241">
      <c r="H44241" s="50"/>
      <c r="I44241" s="50"/>
      <c r="O44241" s="36" t="s">
        <v>48</v>
      </c>
      <c r="R44241" s="36" t="s">
        <v>48</v>
      </c>
    </row>
    <row r="44242">
      <c r="H44242" s="50"/>
      <c r="I44242" s="50"/>
      <c r="O44242" s="36" t="s">
        <v>48</v>
      </c>
      <c r="R44242" s="36" t="s">
        <v>48</v>
      </c>
    </row>
    <row r="44243">
      <c r="H44243" s="50"/>
      <c r="I44243" s="50"/>
      <c r="O44243" s="36" t="s">
        <v>48</v>
      </c>
      <c r="R44243" s="36" t="s">
        <v>48</v>
      </c>
    </row>
    <row r="44244">
      <c r="H44244" s="50"/>
      <c r="I44244" s="50"/>
      <c r="O44244" s="36" t="s">
        <v>48</v>
      </c>
      <c r="R44244" s="36" t="s">
        <v>48</v>
      </c>
    </row>
    <row r="44245">
      <c r="H44245" s="50"/>
      <c r="I44245" s="50"/>
      <c r="O44245" s="36" t="s">
        <v>48</v>
      </c>
      <c r="R44245" s="36" t="s">
        <v>48</v>
      </c>
    </row>
    <row r="44246">
      <c r="H44246" s="50"/>
      <c r="I44246" s="50"/>
      <c r="O44246" s="36" t="s">
        <v>48</v>
      </c>
      <c r="R44246" s="36" t="s">
        <v>48</v>
      </c>
    </row>
    <row r="44247">
      <c r="H44247" s="50"/>
      <c r="I44247" s="50"/>
      <c r="O44247" s="36" t="s">
        <v>48</v>
      </c>
      <c r="R44247" s="36" t="s">
        <v>48</v>
      </c>
    </row>
    <row r="44248">
      <c r="H44248" s="50"/>
      <c r="I44248" s="50"/>
      <c r="O44248" s="36" t="s">
        <v>48</v>
      </c>
      <c r="R44248" s="36" t="s">
        <v>48</v>
      </c>
    </row>
    <row r="44249">
      <c r="H44249" s="50"/>
      <c r="I44249" s="50"/>
      <c r="O44249" s="36" t="s">
        <v>48</v>
      </c>
      <c r="R44249" s="36" t="s">
        <v>48</v>
      </c>
    </row>
    <row r="44250">
      <c r="H44250" s="50"/>
      <c r="I44250" s="50"/>
      <c r="O44250" s="36" t="s">
        <v>48</v>
      </c>
      <c r="R44250" s="36" t="s">
        <v>48</v>
      </c>
    </row>
    <row r="44251">
      <c r="H44251" s="50"/>
      <c r="I44251" s="50"/>
      <c r="O44251" s="36" t="s">
        <v>48</v>
      </c>
      <c r="R44251" s="36" t="s">
        <v>48</v>
      </c>
    </row>
    <row r="44252">
      <c r="H44252" s="50"/>
      <c r="I44252" s="50"/>
      <c r="O44252" s="36" t="s">
        <v>48</v>
      </c>
      <c r="R44252" s="36" t="s">
        <v>48</v>
      </c>
    </row>
    <row r="44253">
      <c r="H44253" s="50"/>
      <c r="I44253" s="50"/>
      <c r="O44253" s="36" t="s">
        <v>48</v>
      </c>
      <c r="R44253" s="36" t="s">
        <v>48</v>
      </c>
    </row>
    <row r="44254">
      <c r="H44254" s="50"/>
      <c r="I44254" s="50"/>
      <c r="O44254" s="36" t="s">
        <v>48</v>
      </c>
      <c r="R44254" s="36" t="s">
        <v>48</v>
      </c>
    </row>
    <row r="44255">
      <c r="H44255" s="50"/>
      <c r="I44255" s="50"/>
      <c r="O44255" s="36" t="s">
        <v>48</v>
      </c>
      <c r="R44255" s="36" t="s">
        <v>48</v>
      </c>
    </row>
    <row r="44256">
      <c r="H44256" s="50"/>
      <c r="I44256" s="50"/>
      <c r="O44256" s="36" t="s">
        <v>48</v>
      </c>
      <c r="R44256" s="36" t="s">
        <v>48</v>
      </c>
    </row>
    <row r="44257">
      <c r="H44257" s="50"/>
      <c r="I44257" s="50"/>
      <c r="O44257" s="36" t="s">
        <v>48</v>
      </c>
      <c r="R44257" s="36" t="s">
        <v>48</v>
      </c>
    </row>
    <row r="44258">
      <c r="H44258" s="50"/>
      <c r="I44258" s="50"/>
      <c r="O44258" s="36" t="s">
        <v>48</v>
      </c>
      <c r="R44258" s="36" t="s">
        <v>48</v>
      </c>
    </row>
    <row r="44259">
      <c r="H44259" s="50"/>
      <c r="I44259" s="50"/>
      <c r="O44259" s="36" t="s">
        <v>48</v>
      </c>
      <c r="R44259" s="36" t="s">
        <v>48</v>
      </c>
    </row>
    <row r="44260">
      <c r="H44260" s="50"/>
      <c r="I44260" s="50"/>
      <c r="O44260" s="36" t="s">
        <v>48</v>
      </c>
      <c r="R44260" s="36" t="s">
        <v>48</v>
      </c>
    </row>
    <row r="44261">
      <c r="H44261" s="50"/>
      <c r="I44261" s="50"/>
      <c r="O44261" s="36" t="s">
        <v>48</v>
      </c>
      <c r="R44261" s="36" t="s">
        <v>48</v>
      </c>
    </row>
    <row r="44262">
      <c r="H44262" s="50"/>
      <c r="I44262" s="50"/>
      <c r="O44262" s="36" t="s">
        <v>48</v>
      </c>
      <c r="R44262" s="36" t="s">
        <v>48</v>
      </c>
    </row>
    <row r="44263">
      <c r="H44263" s="50"/>
      <c r="I44263" s="50"/>
      <c r="O44263" s="36" t="s">
        <v>48</v>
      </c>
      <c r="R44263" s="36" t="s">
        <v>48</v>
      </c>
    </row>
    <row r="44264">
      <c r="H44264" s="50"/>
      <c r="I44264" s="50"/>
      <c r="O44264" s="36" t="s">
        <v>48</v>
      </c>
      <c r="R44264" s="36" t="s">
        <v>48</v>
      </c>
    </row>
    <row r="44265">
      <c r="H44265" s="50"/>
      <c r="I44265" s="50"/>
      <c r="O44265" s="36" t="s">
        <v>48</v>
      </c>
      <c r="R44265" s="36" t="s">
        <v>48</v>
      </c>
    </row>
    <row r="44266">
      <c r="H44266" s="50"/>
      <c r="I44266" s="50"/>
      <c r="O44266" s="36" t="s">
        <v>48</v>
      </c>
      <c r="R44266" s="36" t="s">
        <v>48</v>
      </c>
    </row>
    <row r="44267">
      <c r="H44267" s="50"/>
      <c r="I44267" s="50"/>
      <c r="O44267" s="36" t="s">
        <v>48</v>
      </c>
      <c r="R44267" s="36" t="s">
        <v>48</v>
      </c>
    </row>
    <row r="44268">
      <c r="H44268" s="50"/>
      <c r="I44268" s="50"/>
      <c r="O44268" s="36" t="s">
        <v>48</v>
      </c>
      <c r="R44268" s="36" t="s">
        <v>48</v>
      </c>
    </row>
    <row r="44269">
      <c r="H44269" s="50"/>
      <c r="I44269" s="50"/>
      <c r="O44269" s="36" t="s">
        <v>48</v>
      </c>
      <c r="R44269" s="36" t="s">
        <v>48</v>
      </c>
    </row>
    <row r="44270">
      <c r="H44270" s="50"/>
      <c r="I44270" s="50"/>
      <c r="O44270" s="36" t="s">
        <v>48</v>
      </c>
      <c r="R44270" s="36" t="s">
        <v>48</v>
      </c>
    </row>
    <row r="44271">
      <c r="H44271" s="50"/>
      <c r="I44271" s="50"/>
      <c r="O44271" s="36" t="s">
        <v>48</v>
      </c>
      <c r="R44271" s="36" t="s">
        <v>48</v>
      </c>
    </row>
    <row r="44272">
      <c r="H44272" s="50"/>
      <c r="I44272" s="50"/>
      <c r="O44272" s="36" t="s">
        <v>48</v>
      </c>
      <c r="R44272" s="36" t="s">
        <v>48</v>
      </c>
    </row>
    <row r="44273">
      <c r="H44273" s="50"/>
      <c r="I44273" s="50"/>
      <c r="O44273" s="36" t="s">
        <v>48</v>
      </c>
      <c r="R44273" s="36" t="s">
        <v>48</v>
      </c>
    </row>
    <row r="44274">
      <c r="H44274" s="50"/>
      <c r="I44274" s="50"/>
      <c r="O44274" s="36" t="s">
        <v>48</v>
      </c>
      <c r="R44274" s="36" t="s">
        <v>48</v>
      </c>
    </row>
    <row r="44275">
      <c r="H44275" s="50"/>
      <c r="I44275" s="50"/>
      <c r="O44275" s="36" t="s">
        <v>48</v>
      </c>
      <c r="R44275" s="36" t="s">
        <v>48</v>
      </c>
    </row>
    <row r="44276">
      <c r="H44276" s="50"/>
      <c r="I44276" s="50"/>
      <c r="O44276" s="36" t="s">
        <v>48</v>
      </c>
      <c r="R44276" s="36" t="s">
        <v>48</v>
      </c>
    </row>
    <row r="44277">
      <c r="H44277" s="50"/>
      <c r="I44277" s="50"/>
      <c r="O44277" s="36" t="s">
        <v>48</v>
      </c>
      <c r="R44277" s="36" t="s">
        <v>48</v>
      </c>
    </row>
    <row r="44278">
      <c r="H44278" s="50"/>
      <c r="I44278" s="50"/>
      <c r="O44278" s="36" t="s">
        <v>48</v>
      </c>
      <c r="R44278" s="36" t="s">
        <v>48</v>
      </c>
    </row>
    <row r="44279">
      <c r="H44279" s="50"/>
      <c r="I44279" s="50"/>
      <c r="O44279" s="36" t="s">
        <v>48</v>
      </c>
      <c r="R44279" s="36" t="s">
        <v>48</v>
      </c>
    </row>
    <row r="44280">
      <c r="H44280" s="50"/>
      <c r="I44280" s="50"/>
      <c r="O44280" s="36" t="s">
        <v>48</v>
      </c>
      <c r="R44280" s="36" t="s">
        <v>48</v>
      </c>
    </row>
    <row r="44281">
      <c r="H44281" s="50"/>
      <c r="I44281" s="50"/>
      <c r="O44281" s="36" t="s">
        <v>48</v>
      </c>
      <c r="R44281" s="36" t="s">
        <v>48</v>
      </c>
    </row>
    <row r="44282">
      <c r="H44282" s="50"/>
      <c r="I44282" s="50"/>
      <c r="O44282" s="36" t="s">
        <v>48</v>
      </c>
      <c r="R44282" s="36" t="s">
        <v>48</v>
      </c>
    </row>
    <row r="44283">
      <c r="H44283" s="50"/>
      <c r="I44283" s="50"/>
      <c r="O44283" s="36" t="s">
        <v>48</v>
      </c>
      <c r="R44283" s="36" t="s">
        <v>48</v>
      </c>
    </row>
    <row r="44284">
      <c r="H44284" s="50"/>
      <c r="I44284" s="50"/>
      <c r="O44284" s="36" t="s">
        <v>48</v>
      </c>
      <c r="R44284" s="36" t="s">
        <v>48</v>
      </c>
    </row>
    <row r="44285">
      <c r="H44285" s="50"/>
      <c r="I44285" s="50"/>
      <c r="O44285" s="36" t="s">
        <v>48</v>
      </c>
      <c r="R44285" s="36" t="s">
        <v>48</v>
      </c>
    </row>
    <row r="44286">
      <c r="H44286" s="50"/>
      <c r="I44286" s="50"/>
      <c r="O44286" s="36" t="s">
        <v>48</v>
      </c>
      <c r="R44286" s="36" t="s">
        <v>48</v>
      </c>
    </row>
    <row r="44287">
      <c r="H44287" s="50"/>
      <c r="I44287" s="50"/>
      <c r="O44287" s="36" t="s">
        <v>48</v>
      </c>
      <c r="R44287" s="36" t="s">
        <v>48</v>
      </c>
    </row>
    <row r="44288">
      <c r="H44288" s="50"/>
      <c r="I44288" s="50"/>
      <c r="O44288" s="36" t="s">
        <v>48</v>
      </c>
      <c r="R44288" s="36" t="s">
        <v>48</v>
      </c>
    </row>
    <row r="44289">
      <c r="H44289" s="50"/>
      <c r="I44289" s="50"/>
      <c r="O44289" s="36" t="s">
        <v>48</v>
      </c>
      <c r="R44289" s="36" t="s">
        <v>48</v>
      </c>
    </row>
    <row r="44290">
      <c r="H44290" s="50"/>
      <c r="I44290" s="50"/>
      <c r="O44290" s="36" t="s">
        <v>48</v>
      </c>
      <c r="R44290" s="36" t="s">
        <v>48</v>
      </c>
    </row>
    <row r="44291">
      <c r="H44291" s="50"/>
      <c r="I44291" s="50"/>
      <c r="O44291" s="36" t="s">
        <v>48</v>
      </c>
      <c r="R44291" s="36" t="s">
        <v>48</v>
      </c>
    </row>
    <row r="44292">
      <c r="H44292" s="50"/>
      <c r="I44292" s="50"/>
      <c r="O44292" s="36" t="s">
        <v>48</v>
      </c>
      <c r="R44292" s="36" t="s">
        <v>48</v>
      </c>
    </row>
    <row r="44293">
      <c r="H44293" s="50"/>
      <c r="I44293" s="50"/>
      <c r="O44293" s="36" t="s">
        <v>48</v>
      </c>
      <c r="R44293" s="36" t="s">
        <v>48</v>
      </c>
    </row>
    <row r="44294">
      <c r="H44294" s="50"/>
      <c r="I44294" s="50"/>
      <c r="O44294" s="36" t="s">
        <v>48</v>
      </c>
      <c r="R44294" s="36" t="s">
        <v>48</v>
      </c>
    </row>
    <row r="44295">
      <c r="H44295" s="50"/>
      <c r="I44295" s="50"/>
      <c r="O44295" s="36" t="s">
        <v>48</v>
      </c>
      <c r="R44295" s="36" t="s">
        <v>48</v>
      </c>
    </row>
    <row r="44296">
      <c r="H44296" s="50"/>
      <c r="I44296" s="50"/>
      <c r="O44296" s="36" t="s">
        <v>48</v>
      </c>
      <c r="R44296" s="36" t="s">
        <v>48</v>
      </c>
    </row>
    <row r="44297">
      <c r="H44297" s="50"/>
      <c r="I44297" s="50"/>
      <c r="O44297" s="36" t="s">
        <v>48</v>
      </c>
      <c r="R44297" s="36" t="s">
        <v>48</v>
      </c>
    </row>
    <row r="44298">
      <c r="H44298" s="50"/>
      <c r="I44298" s="50"/>
      <c r="O44298" s="36" t="s">
        <v>48</v>
      </c>
      <c r="R44298" s="36" t="s">
        <v>48</v>
      </c>
    </row>
    <row r="44299">
      <c r="H44299" s="50"/>
      <c r="I44299" s="50"/>
      <c r="O44299" s="36" t="s">
        <v>48</v>
      </c>
      <c r="R44299" s="36" t="s">
        <v>48</v>
      </c>
    </row>
    <row r="44300">
      <c r="H44300" s="50"/>
      <c r="I44300" s="50"/>
      <c r="O44300" s="36" t="s">
        <v>48</v>
      </c>
      <c r="R44300" s="36" t="s">
        <v>48</v>
      </c>
    </row>
    <row r="44301">
      <c r="H44301" s="50"/>
      <c r="I44301" s="50"/>
      <c r="O44301" s="36" t="s">
        <v>48</v>
      </c>
      <c r="R44301" s="36" t="s">
        <v>48</v>
      </c>
    </row>
    <row r="44302">
      <c r="H44302" s="50"/>
      <c r="I44302" s="50"/>
      <c r="O44302" s="36" t="s">
        <v>48</v>
      </c>
      <c r="R44302" s="36" t="s">
        <v>48</v>
      </c>
    </row>
    <row r="44303">
      <c r="H44303" s="50"/>
      <c r="I44303" s="50"/>
      <c r="O44303" s="36" t="s">
        <v>48</v>
      </c>
      <c r="R44303" s="36" t="s">
        <v>48</v>
      </c>
    </row>
    <row r="44304">
      <c r="H44304" s="50"/>
      <c r="I44304" s="50"/>
      <c r="O44304" s="36" t="s">
        <v>48</v>
      </c>
      <c r="R44304" s="36" t="s">
        <v>48</v>
      </c>
    </row>
    <row r="44305">
      <c r="H44305" s="50"/>
      <c r="I44305" s="50"/>
      <c r="O44305" s="36" t="s">
        <v>48</v>
      </c>
      <c r="R44305" s="36" t="s">
        <v>48</v>
      </c>
    </row>
    <row r="44306">
      <c r="H44306" s="50"/>
      <c r="I44306" s="50"/>
      <c r="O44306" s="36" t="s">
        <v>48</v>
      </c>
      <c r="R44306" s="36" t="s">
        <v>48</v>
      </c>
    </row>
    <row r="44307">
      <c r="H44307" s="50"/>
      <c r="I44307" s="50"/>
      <c r="O44307" s="36" t="s">
        <v>48</v>
      </c>
      <c r="R44307" s="36" t="s">
        <v>48</v>
      </c>
    </row>
    <row r="44308">
      <c r="H44308" s="50"/>
      <c r="I44308" s="50"/>
      <c r="O44308" s="36" t="s">
        <v>48</v>
      </c>
      <c r="R44308" s="36" t="s">
        <v>48</v>
      </c>
    </row>
    <row r="44309">
      <c r="H44309" s="50"/>
      <c r="I44309" s="50"/>
      <c r="O44309" s="36" t="s">
        <v>48</v>
      </c>
      <c r="R44309" s="36" t="s">
        <v>48</v>
      </c>
    </row>
    <row r="44310">
      <c r="H44310" s="50"/>
      <c r="I44310" s="50"/>
      <c r="O44310" s="36" t="s">
        <v>48</v>
      </c>
      <c r="R44310" s="36" t="s">
        <v>48</v>
      </c>
    </row>
    <row r="44311">
      <c r="H44311" s="50"/>
      <c r="I44311" s="50"/>
      <c r="O44311" s="36" t="s">
        <v>48</v>
      </c>
      <c r="R44311" s="36" t="s">
        <v>48</v>
      </c>
    </row>
    <row r="44312">
      <c r="H44312" s="50"/>
      <c r="I44312" s="50"/>
      <c r="O44312" s="36" t="s">
        <v>48</v>
      </c>
      <c r="R44312" s="36" t="s">
        <v>48</v>
      </c>
    </row>
    <row r="44313">
      <c r="H44313" s="50"/>
      <c r="I44313" s="50"/>
      <c r="O44313" s="36" t="s">
        <v>48</v>
      </c>
      <c r="R44313" s="36" t="s">
        <v>48</v>
      </c>
    </row>
    <row r="44314">
      <c r="H44314" s="50"/>
      <c r="I44314" s="50"/>
      <c r="O44314" s="36" t="s">
        <v>48</v>
      </c>
      <c r="R44314" s="36" t="s">
        <v>48</v>
      </c>
    </row>
    <row r="44315">
      <c r="H44315" s="50"/>
      <c r="I44315" s="50"/>
      <c r="O44315" s="36" t="s">
        <v>48</v>
      </c>
      <c r="R44315" s="36" t="s">
        <v>48</v>
      </c>
    </row>
    <row r="44316">
      <c r="H44316" s="50"/>
      <c r="I44316" s="50"/>
      <c r="O44316" s="36" t="s">
        <v>48</v>
      </c>
      <c r="R44316" s="36" t="s">
        <v>48</v>
      </c>
    </row>
    <row r="44317">
      <c r="H44317" s="50"/>
      <c r="I44317" s="50"/>
      <c r="O44317" s="36" t="s">
        <v>48</v>
      </c>
      <c r="R44317" s="36" t="s">
        <v>48</v>
      </c>
    </row>
    <row r="44318">
      <c r="H44318" s="50"/>
      <c r="I44318" s="50"/>
      <c r="O44318" s="36" t="s">
        <v>48</v>
      </c>
      <c r="R44318" s="36" t="s">
        <v>48</v>
      </c>
    </row>
    <row r="44319">
      <c r="H44319" s="50"/>
      <c r="I44319" s="50"/>
      <c r="O44319" s="36" t="s">
        <v>48</v>
      </c>
      <c r="R44319" s="36" t="s">
        <v>48</v>
      </c>
    </row>
    <row r="44320">
      <c r="H44320" s="50"/>
      <c r="I44320" s="50"/>
      <c r="O44320" s="36" t="s">
        <v>48</v>
      </c>
      <c r="R44320" s="36" t="s">
        <v>48</v>
      </c>
    </row>
    <row r="44321">
      <c r="H44321" s="50"/>
      <c r="I44321" s="50"/>
      <c r="O44321" s="36" t="s">
        <v>48</v>
      </c>
      <c r="R44321" s="36" t="s">
        <v>48</v>
      </c>
    </row>
    <row r="44322">
      <c r="H44322" s="50"/>
      <c r="I44322" s="50"/>
      <c r="O44322" s="36" t="s">
        <v>48</v>
      </c>
      <c r="R44322" s="36" t="s">
        <v>48</v>
      </c>
    </row>
    <row r="44323">
      <c r="H44323" s="50"/>
      <c r="I44323" s="50"/>
      <c r="O44323" s="36" t="s">
        <v>48</v>
      </c>
      <c r="R44323" s="36" t="s">
        <v>48</v>
      </c>
    </row>
    <row r="44324">
      <c r="H44324" s="50"/>
      <c r="I44324" s="50"/>
      <c r="O44324" s="36" t="s">
        <v>48</v>
      </c>
      <c r="R44324" s="36" t="s">
        <v>48</v>
      </c>
    </row>
    <row r="44325">
      <c r="H44325" s="50"/>
      <c r="I44325" s="50"/>
      <c r="O44325" s="36" t="s">
        <v>48</v>
      </c>
      <c r="R44325" s="36" t="s">
        <v>48</v>
      </c>
    </row>
    <row r="44326">
      <c r="H44326" s="50"/>
      <c r="I44326" s="50"/>
      <c r="O44326" s="36" t="s">
        <v>48</v>
      </c>
      <c r="R44326" s="36" t="s">
        <v>48</v>
      </c>
    </row>
    <row r="44327">
      <c r="H44327" s="50"/>
      <c r="I44327" s="50"/>
      <c r="O44327" s="36" t="s">
        <v>48</v>
      </c>
      <c r="R44327" s="36" t="s">
        <v>48</v>
      </c>
    </row>
    <row r="44328">
      <c r="H44328" s="50"/>
      <c r="I44328" s="50"/>
      <c r="O44328" s="36" t="s">
        <v>48</v>
      </c>
      <c r="R44328" s="36" t="s">
        <v>48</v>
      </c>
    </row>
    <row r="44329">
      <c r="H44329" s="50"/>
      <c r="I44329" s="50"/>
      <c r="O44329" s="36" t="s">
        <v>48</v>
      </c>
      <c r="R44329" s="36" t="s">
        <v>48</v>
      </c>
    </row>
    <row r="44330">
      <c r="H44330" s="50"/>
      <c r="I44330" s="50"/>
      <c r="O44330" s="36" t="s">
        <v>48</v>
      </c>
      <c r="R44330" s="36" t="s">
        <v>48</v>
      </c>
    </row>
    <row r="44331">
      <c r="H44331" s="50"/>
      <c r="I44331" s="50"/>
      <c r="O44331" s="36" t="s">
        <v>48</v>
      </c>
      <c r="R44331" s="36" t="s">
        <v>48</v>
      </c>
    </row>
    <row r="44332">
      <c r="H44332" s="50"/>
      <c r="I44332" s="50"/>
      <c r="O44332" s="36" t="s">
        <v>48</v>
      </c>
      <c r="R44332" s="36" t="s">
        <v>48</v>
      </c>
    </row>
    <row r="44333">
      <c r="H44333" s="50"/>
      <c r="I44333" s="50"/>
      <c r="O44333" s="36" t="s">
        <v>48</v>
      </c>
      <c r="R44333" s="36" t="s">
        <v>48</v>
      </c>
    </row>
    <row r="44334">
      <c r="H44334" s="50"/>
      <c r="I44334" s="50"/>
      <c r="O44334" s="36" t="s">
        <v>48</v>
      </c>
      <c r="R44334" s="36" t="s">
        <v>48</v>
      </c>
    </row>
    <row r="44335">
      <c r="H44335" s="50"/>
      <c r="I44335" s="50"/>
      <c r="O44335" s="36" t="s">
        <v>48</v>
      </c>
      <c r="R44335" s="36" t="s">
        <v>48</v>
      </c>
    </row>
    <row r="44336">
      <c r="H44336" s="50"/>
      <c r="I44336" s="50"/>
      <c r="O44336" s="36" t="s">
        <v>48</v>
      </c>
      <c r="R44336" s="36" t="s">
        <v>48</v>
      </c>
    </row>
    <row r="44337">
      <c r="H44337" s="50"/>
      <c r="I44337" s="50"/>
      <c r="O44337" s="36" t="s">
        <v>48</v>
      </c>
      <c r="R44337" s="36" t="s">
        <v>48</v>
      </c>
    </row>
    <row r="44338">
      <c r="H44338" s="50"/>
      <c r="I44338" s="50"/>
      <c r="O44338" s="36" t="s">
        <v>48</v>
      </c>
      <c r="R44338" s="36" t="s">
        <v>48</v>
      </c>
    </row>
    <row r="44339">
      <c r="H44339" s="50"/>
      <c r="I44339" s="50"/>
      <c r="O44339" s="36" t="s">
        <v>48</v>
      </c>
      <c r="R44339" s="36" t="s">
        <v>48</v>
      </c>
    </row>
    <row r="44340">
      <c r="H44340" s="50"/>
      <c r="I44340" s="50"/>
      <c r="O44340" s="36" t="s">
        <v>48</v>
      </c>
      <c r="R44340" s="36" t="s">
        <v>48</v>
      </c>
    </row>
    <row r="44341">
      <c r="H44341" s="50"/>
      <c r="I44341" s="50"/>
      <c r="O44341" s="36" t="s">
        <v>48</v>
      </c>
      <c r="R44341" s="36" t="s">
        <v>48</v>
      </c>
    </row>
    <row r="44342">
      <c r="H44342" s="50"/>
      <c r="I44342" s="50"/>
      <c r="O44342" s="36" t="s">
        <v>48</v>
      </c>
      <c r="R44342" s="36" t="s">
        <v>48</v>
      </c>
    </row>
    <row r="44343">
      <c r="H44343" s="50"/>
      <c r="I44343" s="50"/>
      <c r="O44343" s="36" t="s">
        <v>48</v>
      </c>
      <c r="R44343" s="36" t="s">
        <v>48</v>
      </c>
    </row>
    <row r="44344">
      <c r="H44344" s="50"/>
      <c r="I44344" s="50"/>
      <c r="O44344" s="36" t="s">
        <v>48</v>
      </c>
      <c r="R44344" s="36" t="s">
        <v>48</v>
      </c>
    </row>
    <row r="44345">
      <c r="H44345" s="50"/>
      <c r="I44345" s="50"/>
      <c r="O44345" s="36" t="s">
        <v>48</v>
      </c>
      <c r="R44345" s="36" t="s">
        <v>48</v>
      </c>
    </row>
    <row r="44346">
      <c r="H44346" s="50"/>
      <c r="I44346" s="50"/>
      <c r="O44346" s="36" t="s">
        <v>48</v>
      </c>
      <c r="R44346" s="36" t="s">
        <v>48</v>
      </c>
    </row>
    <row r="44347">
      <c r="H44347" s="50"/>
      <c r="I44347" s="50"/>
      <c r="O44347" s="36" t="s">
        <v>48</v>
      </c>
      <c r="R44347" s="36" t="s">
        <v>48</v>
      </c>
    </row>
    <row r="44348">
      <c r="H44348" s="50"/>
      <c r="I44348" s="50"/>
      <c r="O44348" s="36" t="s">
        <v>48</v>
      </c>
      <c r="R44348" s="36" t="s">
        <v>48</v>
      </c>
    </row>
    <row r="44349">
      <c r="H44349" s="50"/>
      <c r="I44349" s="50"/>
      <c r="O44349" s="36" t="s">
        <v>48</v>
      </c>
      <c r="R44349" s="36" t="s">
        <v>48</v>
      </c>
    </row>
    <row r="44350">
      <c r="H44350" s="50"/>
      <c r="I44350" s="50"/>
      <c r="O44350" s="36" t="s">
        <v>48</v>
      </c>
      <c r="R44350" s="36" t="s">
        <v>48</v>
      </c>
    </row>
    <row r="44351">
      <c r="H44351" s="50"/>
      <c r="I44351" s="50"/>
      <c r="O44351" s="36" t="s">
        <v>48</v>
      </c>
      <c r="R44351" s="36" t="s">
        <v>48</v>
      </c>
    </row>
    <row r="44352">
      <c r="H44352" s="50"/>
      <c r="I44352" s="50"/>
      <c r="O44352" s="36" t="s">
        <v>48</v>
      </c>
      <c r="R44352" s="36" t="s">
        <v>48</v>
      </c>
    </row>
    <row r="44353">
      <c r="H44353" s="50"/>
      <c r="I44353" s="50"/>
      <c r="O44353" s="36" t="s">
        <v>48</v>
      </c>
      <c r="R44353" s="36" t="s">
        <v>48</v>
      </c>
    </row>
    <row r="44354">
      <c r="H44354" s="50"/>
      <c r="I44354" s="50"/>
      <c r="O44354" s="36" t="s">
        <v>48</v>
      </c>
      <c r="R44354" s="36" t="s">
        <v>48</v>
      </c>
    </row>
    <row r="44355">
      <c r="H44355" s="50"/>
      <c r="I44355" s="50"/>
      <c r="O44355" s="36" t="s">
        <v>48</v>
      </c>
      <c r="R44355" s="36" t="s">
        <v>48</v>
      </c>
    </row>
    <row r="44356">
      <c r="H44356" s="50"/>
      <c r="I44356" s="50"/>
      <c r="O44356" s="36" t="s">
        <v>48</v>
      </c>
      <c r="R44356" s="36" t="s">
        <v>48</v>
      </c>
    </row>
    <row r="44357">
      <c r="H44357" s="50"/>
      <c r="I44357" s="50"/>
      <c r="O44357" s="36" t="s">
        <v>48</v>
      </c>
      <c r="R44357" s="36" t="s">
        <v>48</v>
      </c>
    </row>
    <row r="44358">
      <c r="H44358" s="50"/>
      <c r="I44358" s="50"/>
      <c r="O44358" s="36" t="s">
        <v>48</v>
      </c>
      <c r="R44358" s="36" t="s">
        <v>48</v>
      </c>
    </row>
    <row r="44359">
      <c r="H44359" s="50"/>
      <c r="I44359" s="50"/>
      <c r="O44359" s="36" t="s">
        <v>48</v>
      </c>
      <c r="R44359" s="36" t="s">
        <v>48</v>
      </c>
    </row>
    <row r="44360">
      <c r="H44360" s="50"/>
      <c r="I44360" s="50"/>
      <c r="O44360" s="36" t="s">
        <v>48</v>
      </c>
      <c r="R44360" s="36" t="s">
        <v>48</v>
      </c>
    </row>
    <row r="44361">
      <c r="H44361" s="50"/>
      <c r="I44361" s="50"/>
      <c r="O44361" s="36" t="s">
        <v>48</v>
      </c>
      <c r="R44361" s="36" t="s">
        <v>48</v>
      </c>
    </row>
    <row r="44362">
      <c r="H44362" s="50"/>
      <c r="I44362" s="50"/>
      <c r="O44362" s="36" t="s">
        <v>48</v>
      </c>
      <c r="R44362" s="36" t="s">
        <v>48</v>
      </c>
    </row>
    <row r="44363">
      <c r="H44363" s="50"/>
      <c r="I44363" s="50"/>
      <c r="O44363" s="36" t="s">
        <v>48</v>
      </c>
      <c r="R44363" s="36" t="s">
        <v>48</v>
      </c>
    </row>
    <row r="44364">
      <c r="H44364" s="50"/>
      <c r="I44364" s="50"/>
      <c r="O44364" s="36" t="s">
        <v>48</v>
      </c>
      <c r="R44364" s="36" t="s">
        <v>48</v>
      </c>
    </row>
    <row r="44365">
      <c r="H44365" s="50"/>
      <c r="I44365" s="50"/>
      <c r="O44365" s="36" t="s">
        <v>48</v>
      </c>
      <c r="R44365" s="36" t="s">
        <v>48</v>
      </c>
    </row>
    <row r="44366">
      <c r="H44366" s="50"/>
      <c r="I44366" s="50"/>
      <c r="O44366" s="36" t="s">
        <v>48</v>
      </c>
      <c r="R44366" s="36" t="s">
        <v>48</v>
      </c>
    </row>
    <row r="44367">
      <c r="H44367" s="50"/>
      <c r="I44367" s="50"/>
      <c r="O44367" s="36" t="s">
        <v>48</v>
      </c>
      <c r="R44367" s="36" t="s">
        <v>48</v>
      </c>
    </row>
    <row r="44368">
      <c r="H44368" s="50"/>
      <c r="I44368" s="50"/>
      <c r="O44368" s="36" t="s">
        <v>48</v>
      </c>
      <c r="R44368" s="36" t="s">
        <v>48</v>
      </c>
    </row>
    <row r="44369">
      <c r="H44369" s="50"/>
      <c r="I44369" s="50"/>
      <c r="O44369" s="36" t="s">
        <v>48</v>
      </c>
      <c r="R44369" s="36" t="s">
        <v>48</v>
      </c>
    </row>
    <row r="44370">
      <c r="H44370" s="50"/>
      <c r="I44370" s="50"/>
      <c r="O44370" s="36" t="s">
        <v>48</v>
      </c>
      <c r="R44370" s="36" t="s">
        <v>48</v>
      </c>
    </row>
    <row r="44371">
      <c r="H44371" s="50"/>
      <c r="I44371" s="50"/>
      <c r="O44371" s="36" t="s">
        <v>48</v>
      </c>
      <c r="R44371" s="36" t="s">
        <v>48</v>
      </c>
    </row>
    <row r="44372">
      <c r="H44372" s="50"/>
      <c r="I44372" s="50"/>
      <c r="O44372" s="36" t="s">
        <v>48</v>
      </c>
      <c r="R44372" s="36" t="s">
        <v>48</v>
      </c>
    </row>
    <row r="44373">
      <c r="H44373" s="50"/>
      <c r="I44373" s="50"/>
      <c r="O44373" s="36" t="s">
        <v>48</v>
      </c>
      <c r="R44373" s="36" t="s">
        <v>48</v>
      </c>
    </row>
    <row r="44374">
      <c r="H44374" s="50"/>
      <c r="I44374" s="50"/>
      <c r="O44374" s="36" t="s">
        <v>48</v>
      </c>
      <c r="R44374" s="36" t="s">
        <v>48</v>
      </c>
    </row>
    <row r="44375">
      <c r="H44375" s="50"/>
      <c r="I44375" s="50"/>
      <c r="O44375" s="36" t="s">
        <v>48</v>
      </c>
      <c r="R44375" s="36" t="s">
        <v>48</v>
      </c>
    </row>
    <row r="44376">
      <c r="H44376" s="50"/>
      <c r="I44376" s="50"/>
      <c r="O44376" s="36" t="s">
        <v>48</v>
      </c>
      <c r="R44376" s="36" t="s">
        <v>48</v>
      </c>
    </row>
    <row r="44377">
      <c r="H44377" s="50"/>
      <c r="I44377" s="50"/>
      <c r="O44377" s="36" t="s">
        <v>48</v>
      </c>
      <c r="R44377" s="36" t="s">
        <v>48</v>
      </c>
    </row>
    <row r="44378">
      <c r="H44378" s="50"/>
      <c r="I44378" s="50"/>
      <c r="O44378" s="36" t="s">
        <v>48</v>
      </c>
      <c r="R44378" s="36" t="s">
        <v>48</v>
      </c>
    </row>
    <row r="44379">
      <c r="H44379" s="50"/>
      <c r="I44379" s="50"/>
      <c r="O44379" s="36" t="s">
        <v>48</v>
      </c>
      <c r="R44379" s="36" t="s">
        <v>48</v>
      </c>
    </row>
    <row r="44380">
      <c r="H44380" s="50"/>
      <c r="I44380" s="50"/>
      <c r="O44380" s="36" t="s">
        <v>48</v>
      </c>
      <c r="R44380" s="36" t="s">
        <v>48</v>
      </c>
    </row>
    <row r="44381">
      <c r="H44381" s="50"/>
      <c r="I44381" s="50"/>
      <c r="O44381" s="36" t="s">
        <v>48</v>
      </c>
      <c r="R44381" s="36" t="s">
        <v>48</v>
      </c>
    </row>
    <row r="44382">
      <c r="H44382" s="50"/>
      <c r="I44382" s="50"/>
      <c r="O44382" s="36" t="s">
        <v>48</v>
      </c>
      <c r="R44382" s="36" t="s">
        <v>48</v>
      </c>
    </row>
    <row r="44383">
      <c r="H44383" s="50"/>
      <c r="I44383" s="50"/>
      <c r="O44383" s="36" t="s">
        <v>48</v>
      </c>
      <c r="R44383" s="36" t="s">
        <v>48</v>
      </c>
    </row>
    <row r="44384">
      <c r="H44384" s="50"/>
      <c r="I44384" s="50"/>
      <c r="O44384" s="36" t="s">
        <v>48</v>
      </c>
      <c r="R44384" s="36" t="s">
        <v>48</v>
      </c>
    </row>
    <row r="44385">
      <c r="H44385" s="50"/>
      <c r="I44385" s="50"/>
      <c r="O44385" s="36" t="s">
        <v>48</v>
      </c>
      <c r="R44385" s="36" t="s">
        <v>48</v>
      </c>
    </row>
    <row r="44386">
      <c r="H44386" s="50"/>
      <c r="I44386" s="50"/>
      <c r="O44386" s="36" t="s">
        <v>48</v>
      </c>
      <c r="R44386" s="36" t="s">
        <v>48</v>
      </c>
    </row>
    <row r="44387">
      <c r="H44387" s="50"/>
      <c r="I44387" s="50"/>
      <c r="O44387" s="36" t="s">
        <v>48</v>
      </c>
      <c r="R44387" s="36" t="s">
        <v>48</v>
      </c>
    </row>
    <row r="44388">
      <c r="H44388" s="50"/>
      <c r="I44388" s="50"/>
      <c r="O44388" s="36" t="s">
        <v>48</v>
      </c>
      <c r="R44388" s="36" t="s">
        <v>48</v>
      </c>
    </row>
    <row r="44389">
      <c r="H44389" s="50"/>
      <c r="I44389" s="50"/>
      <c r="O44389" s="36" t="s">
        <v>48</v>
      </c>
      <c r="R44389" s="36" t="s">
        <v>48</v>
      </c>
    </row>
    <row r="44390">
      <c r="H44390" s="50"/>
      <c r="I44390" s="50"/>
      <c r="O44390" s="36" t="s">
        <v>48</v>
      </c>
      <c r="R44390" s="36" t="s">
        <v>48</v>
      </c>
    </row>
    <row r="44391">
      <c r="H44391" s="50"/>
      <c r="I44391" s="50"/>
      <c r="O44391" s="36" t="s">
        <v>48</v>
      </c>
      <c r="R44391" s="36" t="s">
        <v>48</v>
      </c>
    </row>
    <row r="44392">
      <c r="H44392" s="50"/>
      <c r="I44392" s="50"/>
      <c r="O44392" s="36" t="s">
        <v>48</v>
      </c>
      <c r="R44392" s="36" t="s">
        <v>48</v>
      </c>
    </row>
    <row r="44393">
      <c r="H44393" s="50"/>
      <c r="I44393" s="50"/>
      <c r="O44393" s="36" t="s">
        <v>48</v>
      </c>
      <c r="R44393" s="36" t="s">
        <v>48</v>
      </c>
    </row>
    <row r="44394">
      <c r="H44394" s="50"/>
      <c r="I44394" s="50"/>
      <c r="O44394" s="36" t="s">
        <v>48</v>
      </c>
      <c r="R44394" s="36" t="s">
        <v>48</v>
      </c>
    </row>
    <row r="44395">
      <c r="H44395" s="50"/>
      <c r="I44395" s="50"/>
      <c r="O44395" s="36" t="s">
        <v>48</v>
      </c>
      <c r="R44395" s="36" t="s">
        <v>48</v>
      </c>
    </row>
    <row r="44396">
      <c r="H44396" s="50"/>
      <c r="I44396" s="50"/>
      <c r="O44396" s="36" t="s">
        <v>48</v>
      </c>
      <c r="R44396" s="36" t="s">
        <v>48</v>
      </c>
    </row>
    <row r="44397">
      <c r="H44397" s="50"/>
      <c r="I44397" s="50"/>
      <c r="O44397" s="36" t="s">
        <v>48</v>
      </c>
      <c r="R44397" s="36" t="s">
        <v>48</v>
      </c>
    </row>
    <row r="44398">
      <c r="H44398" s="50"/>
      <c r="I44398" s="50"/>
      <c r="O44398" s="36" t="s">
        <v>48</v>
      </c>
      <c r="R44398" s="36" t="s">
        <v>48</v>
      </c>
    </row>
    <row r="44399">
      <c r="H44399" s="50"/>
      <c r="I44399" s="50"/>
      <c r="O44399" s="36" t="s">
        <v>48</v>
      </c>
      <c r="R44399" s="36" t="s">
        <v>48</v>
      </c>
    </row>
    <row r="44400">
      <c r="H44400" s="50"/>
      <c r="I44400" s="50"/>
      <c r="O44400" s="36" t="s">
        <v>48</v>
      </c>
      <c r="R44400" s="36" t="s">
        <v>48</v>
      </c>
    </row>
    <row r="44401">
      <c r="H44401" s="50"/>
      <c r="I44401" s="50"/>
      <c r="O44401" s="36" t="s">
        <v>48</v>
      </c>
      <c r="R44401" s="36" t="s">
        <v>48</v>
      </c>
    </row>
    <row r="44402">
      <c r="H44402" s="50"/>
      <c r="I44402" s="50"/>
      <c r="O44402" s="36" t="s">
        <v>48</v>
      </c>
      <c r="R44402" s="36" t="s">
        <v>48</v>
      </c>
    </row>
    <row r="44403">
      <c r="H44403" s="50"/>
      <c r="I44403" s="50"/>
      <c r="O44403" s="36" t="s">
        <v>48</v>
      </c>
      <c r="R44403" s="36" t="s">
        <v>48</v>
      </c>
    </row>
    <row r="44404">
      <c r="H44404" s="50"/>
      <c r="I44404" s="50"/>
      <c r="O44404" s="36" t="s">
        <v>48</v>
      </c>
      <c r="R44404" s="36" t="s">
        <v>48</v>
      </c>
    </row>
    <row r="44405">
      <c r="H44405" s="50"/>
      <c r="I44405" s="50"/>
      <c r="O44405" s="36" t="s">
        <v>48</v>
      </c>
      <c r="R44405" s="36" t="s">
        <v>48</v>
      </c>
    </row>
    <row r="44406">
      <c r="H44406" s="50"/>
      <c r="I44406" s="50"/>
      <c r="O44406" s="36" t="s">
        <v>48</v>
      </c>
      <c r="R44406" s="36" t="s">
        <v>48</v>
      </c>
    </row>
    <row r="44407">
      <c r="H44407" s="50"/>
      <c r="I44407" s="50"/>
      <c r="O44407" s="36" t="s">
        <v>48</v>
      </c>
      <c r="R44407" s="36" t="s">
        <v>48</v>
      </c>
    </row>
    <row r="44408">
      <c r="H44408" s="50"/>
      <c r="I44408" s="50"/>
      <c r="O44408" s="36" t="s">
        <v>48</v>
      </c>
      <c r="R44408" s="36" t="s">
        <v>48</v>
      </c>
    </row>
    <row r="44409">
      <c r="H44409" s="50"/>
      <c r="I44409" s="50"/>
      <c r="O44409" s="36" t="s">
        <v>48</v>
      </c>
      <c r="R44409" s="36" t="s">
        <v>48</v>
      </c>
    </row>
    <row r="44410">
      <c r="H44410" s="50"/>
      <c r="I44410" s="50"/>
      <c r="O44410" s="36" t="s">
        <v>48</v>
      </c>
      <c r="R44410" s="36" t="s">
        <v>48</v>
      </c>
    </row>
    <row r="44411">
      <c r="H44411" s="50"/>
      <c r="I44411" s="50"/>
      <c r="O44411" s="36" t="s">
        <v>48</v>
      </c>
      <c r="R44411" s="36" t="s">
        <v>48</v>
      </c>
    </row>
    <row r="44412">
      <c r="H44412" s="50"/>
      <c r="I44412" s="50"/>
      <c r="O44412" s="36" t="s">
        <v>48</v>
      </c>
      <c r="R44412" s="36" t="s">
        <v>48</v>
      </c>
    </row>
    <row r="44413">
      <c r="H44413" s="50"/>
      <c r="I44413" s="50"/>
      <c r="O44413" s="36" t="s">
        <v>48</v>
      </c>
      <c r="R44413" s="36" t="s">
        <v>48</v>
      </c>
    </row>
    <row r="44414">
      <c r="H44414" s="50"/>
      <c r="I44414" s="50"/>
      <c r="O44414" s="36" t="s">
        <v>48</v>
      </c>
      <c r="R44414" s="36" t="s">
        <v>48</v>
      </c>
    </row>
    <row r="44415">
      <c r="H44415" s="50"/>
      <c r="I44415" s="50"/>
      <c r="O44415" s="36" t="s">
        <v>48</v>
      </c>
      <c r="R44415" s="36" t="s">
        <v>48</v>
      </c>
    </row>
    <row r="44416">
      <c r="H44416" s="50"/>
      <c r="I44416" s="50"/>
      <c r="O44416" s="36" t="s">
        <v>48</v>
      </c>
      <c r="R44416" s="36" t="s">
        <v>48</v>
      </c>
    </row>
    <row r="44417">
      <c r="H44417" s="50"/>
      <c r="I44417" s="50"/>
      <c r="O44417" s="36" t="s">
        <v>48</v>
      </c>
      <c r="R44417" s="36" t="s">
        <v>48</v>
      </c>
    </row>
    <row r="44418">
      <c r="H44418" s="50"/>
      <c r="I44418" s="50"/>
      <c r="O44418" s="36" t="s">
        <v>48</v>
      </c>
      <c r="R44418" s="36" t="s">
        <v>48</v>
      </c>
    </row>
    <row r="44419">
      <c r="H44419" s="50"/>
      <c r="I44419" s="50"/>
      <c r="O44419" s="36" t="s">
        <v>48</v>
      </c>
      <c r="R44419" s="36" t="s">
        <v>48</v>
      </c>
    </row>
    <row r="44420">
      <c r="H44420" s="50"/>
      <c r="I44420" s="50"/>
      <c r="O44420" s="36" t="s">
        <v>48</v>
      </c>
      <c r="R44420" s="36" t="s">
        <v>48</v>
      </c>
    </row>
    <row r="44421">
      <c r="H44421" s="50"/>
      <c r="I44421" s="50"/>
      <c r="O44421" s="36" t="s">
        <v>48</v>
      </c>
      <c r="R44421" s="36" t="s">
        <v>48</v>
      </c>
    </row>
    <row r="44422">
      <c r="H44422" s="50"/>
      <c r="I44422" s="50"/>
      <c r="O44422" s="36" t="s">
        <v>48</v>
      </c>
      <c r="R44422" s="36" t="s">
        <v>48</v>
      </c>
    </row>
    <row r="44423">
      <c r="H44423" s="50"/>
      <c r="I44423" s="50"/>
      <c r="O44423" s="36" t="s">
        <v>48</v>
      </c>
      <c r="R44423" s="36" t="s">
        <v>48</v>
      </c>
    </row>
    <row r="44424">
      <c r="H44424" s="50"/>
      <c r="I44424" s="50"/>
      <c r="O44424" s="36" t="s">
        <v>48</v>
      </c>
      <c r="R44424" s="36" t="s">
        <v>48</v>
      </c>
    </row>
    <row r="44425">
      <c r="H44425" s="50"/>
      <c r="I44425" s="50"/>
      <c r="O44425" s="36" t="s">
        <v>48</v>
      </c>
      <c r="R44425" s="36" t="s">
        <v>48</v>
      </c>
    </row>
    <row r="44426">
      <c r="H44426" s="50"/>
      <c r="I44426" s="50"/>
      <c r="O44426" s="36" t="s">
        <v>48</v>
      </c>
      <c r="R44426" s="36" t="s">
        <v>48</v>
      </c>
    </row>
    <row r="44427">
      <c r="H44427" s="50"/>
      <c r="I44427" s="50"/>
      <c r="O44427" s="36" t="s">
        <v>48</v>
      </c>
      <c r="R44427" s="36" t="s">
        <v>48</v>
      </c>
    </row>
    <row r="44428">
      <c r="H44428" s="50"/>
      <c r="I44428" s="50"/>
      <c r="O44428" s="36" t="s">
        <v>48</v>
      </c>
      <c r="R44428" s="36" t="s">
        <v>48</v>
      </c>
    </row>
    <row r="44429">
      <c r="H44429" s="50"/>
      <c r="I44429" s="50"/>
      <c r="O44429" s="36" t="s">
        <v>48</v>
      </c>
      <c r="R44429" s="36" t="s">
        <v>48</v>
      </c>
    </row>
    <row r="44430">
      <c r="H44430" s="50"/>
      <c r="I44430" s="50"/>
      <c r="O44430" s="36" t="s">
        <v>48</v>
      </c>
      <c r="R44430" s="36" t="s">
        <v>48</v>
      </c>
    </row>
    <row r="44431">
      <c r="H44431" s="50"/>
      <c r="I44431" s="50"/>
      <c r="O44431" s="36" t="s">
        <v>48</v>
      </c>
      <c r="R44431" s="36" t="s">
        <v>48</v>
      </c>
    </row>
    <row r="44432">
      <c r="H44432" s="50"/>
      <c r="I44432" s="50"/>
      <c r="O44432" s="36" t="s">
        <v>48</v>
      </c>
      <c r="R44432" s="36" t="s">
        <v>48</v>
      </c>
    </row>
    <row r="44433">
      <c r="H44433" s="50"/>
      <c r="I44433" s="50"/>
      <c r="O44433" s="36" t="s">
        <v>48</v>
      </c>
      <c r="R44433" s="36" t="s">
        <v>48</v>
      </c>
    </row>
    <row r="44434">
      <c r="H44434" s="50"/>
      <c r="I44434" s="50"/>
      <c r="O44434" s="36" t="s">
        <v>48</v>
      </c>
      <c r="R44434" s="36" t="s">
        <v>48</v>
      </c>
    </row>
    <row r="44435">
      <c r="H44435" s="50"/>
      <c r="I44435" s="50"/>
      <c r="O44435" s="36" t="s">
        <v>48</v>
      </c>
      <c r="R44435" s="36" t="s">
        <v>48</v>
      </c>
    </row>
    <row r="44436">
      <c r="H44436" s="50"/>
      <c r="I44436" s="50"/>
      <c r="O44436" s="36" t="s">
        <v>48</v>
      </c>
      <c r="R44436" s="36" t="s">
        <v>48</v>
      </c>
    </row>
    <row r="44437">
      <c r="H44437" s="50"/>
      <c r="I44437" s="50"/>
      <c r="O44437" s="36" t="s">
        <v>48</v>
      </c>
      <c r="R44437" s="36" t="s">
        <v>48</v>
      </c>
    </row>
    <row r="44438">
      <c r="H44438" s="50"/>
      <c r="I44438" s="50"/>
      <c r="O44438" s="36" t="s">
        <v>48</v>
      </c>
      <c r="R44438" s="36" t="s">
        <v>48</v>
      </c>
    </row>
    <row r="44439">
      <c r="H44439" s="50"/>
      <c r="I44439" s="50"/>
      <c r="O44439" s="36" t="s">
        <v>48</v>
      </c>
      <c r="R44439" s="36" t="s">
        <v>48</v>
      </c>
    </row>
    <row r="44440">
      <c r="H44440" s="50"/>
      <c r="I44440" s="50"/>
      <c r="O44440" s="36" t="s">
        <v>48</v>
      </c>
      <c r="R44440" s="36" t="s">
        <v>48</v>
      </c>
    </row>
    <row r="44441">
      <c r="H44441" s="50"/>
      <c r="I44441" s="50"/>
      <c r="O44441" s="36" t="s">
        <v>48</v>
      </c>
      <c r="R44441" s="36" t="s">
        <v>48</v>
      </c>
    </row>
    <row r="44442">
      <c r="H44442" s="50"/>
      <c r="I44442" s="50"/>
      <c r="O44442" s="36" t="s">
        <v>48</v>
      </c>
      <c r="R44442" s="36" t="s">
        <v>48</v>
      </c>
    </row>
    <row r="44443">
      <c r="H44443" s="50"/>
      <c r="I44443" s="50"/>
      <c r="O44443" s="36" t="s">
        <v>48</v>
      </c>
      <c r="R44443" s="36" t="s">
        <v>48</v>
      </c>
    </row>
    <row r="44444">
      <c r="H44444" s="50"/>
      <c r="I44444" s="50"/>
      <c r="O44444" s="36" t="s">
        <v>48</v>
      </c>
      <c r="R44444" s="36" t="s">
        <v>48</v>
      </c>
    </row>
    <row r="44445">
      <c r="H44445" s="50"/>
      <c r="I44445" s="50"/>
      <c r="O44445" s="36" t="s">
        <v>48</v>
      </c>
      <c r="R44445" s="36" t="s">
        <v>48</v>
      </c>
    </row>
    <row r="44446">
      <c r="H44446" s="50"/>
      <c r="I44446" s="50"/>
      <c r="O44446" s="36" t="s">
        <v>48</v>
      </c>
      <c r="R44446" s="36" t="s">
        <v>48</v>
      </c>
    </row>
    <row r="44447">
      <c r="H44447" s="50"/>
      <c r="I44447" s="50"/>
      <c r="O44447" s="36" t="s">
        <v>48</v>
      </c>
      <c r="R44447" s="36" t="s">
        <v>48</v>
      </c>
    </row>
    <row r="44448">
      <c r="H44448" s="50"/>
      <c r="I44448" s="50"/>
      <c r="O44448" s="36" t="s">
        <v>48</v>
      </c>
      <c r="R44448" s="36" t="s">
        <v>48</v>
      </c>
    </row>
    <row r="44449">
      <c r="H44449" s="50"/>
      <c r="I44449" s="50"/>
      <c r="O44449" s="36" t="s">
        <v>48</v>
      </c>
      <c r="R44449" s="36" t="s">
        <v>48</v>
      </c>
    </row>
    <row r="44450">
      <c r="H44450" s="50"/>
      <c r="I44450" s="50"/>
      <c r="O44450" s="36" t="s">
        <v>48</v>
      </c>
      <c r="R44450" s="36" t="s">
        <v>48</v>
      </c>
    </row>
    <row r="44451">
      <c r="H44451" s="50"/>
      <c r="I44451" s="50"/>
      <c r="O44451" s="36" t="s">
        <v>48</v>
      </c>
      <c r="R44451" s="36" t="s">
        <v>48</v>
      </c>
    </row>
    <row r="44452">
      <c r="H44452" s="50"/>
      <c r="I44452" s="50"/>
      <c r="O44452" s="36" t="s">
        <v>48</v>
      </c>
      <c r="R44452" s="36" t="s">
        <v>48</v>
      </c>
    </row>
    <row r="44453">
      <c r="H44453" s="50"/>
      <c r="I44453" s="50"/>
      <c r="O44453" s="36" t="s">
        <v>48</v>
      </c>
      <c r="R44453" s="36" t="s">
        <v>48</v>
      </c>
    </row>
    <row r="44454">
      <c r="H44454" s="50"/>
      <c r="I44454" s="50"/>
      <c r="O44454" s="36" t="s">
        <v>48</v>
      </c>
      <c r="R44454" s="36" t="s">
        <v>48</v>
      </c>
    </row>
    <row r="44455">
      <c r="H44455" s="50"/>
      <c r="I44455" s="50"/>
      <c r="O44455" s="36" t="s">
        <v>48</v>
      </c>
      <c r="R44455" s="36" t="s">
        <v>48</v>
      </c>
    </row>
    <row r="44456">
      <c r="H44456" s="50"/>
      <c r="I44456" s="50"/>
      <c r="O44456" s="36" t="s">
        <v>48</v>
      </c>
      <c r="R44456" s="36" t="s">
        <v>48</v>
      </c>
    </row>
    <row r="44457">
      <c r="H44457" s="50"/>
      <c r="I44457" s="50"/>
      <c r="O44457" s="36" t="s">
        <v>48</v>
      </c>
      <c r="R44457" s="36" t="s">
        <v>48</v>
      </c>
    </row>
    <row r="44458">
      <c r="H44458" s="50"/>
      <c r="I44458" s="50"/>
      <c r="O44458" s="36" t="s">
        <v>48</v>
      </c>
      <c r="R44458" s="36" t="s">
        <v>48</v>
      </c>
    </row>
    <row r="44459">
      <c r="H44459" s="50"/>
      <c r="I44459" s="50"/>
      <c r="O44459" s="36" t="s">
        <v>48</v>
      </c>
      <c r="R44459" s="36" t="s">
        <v>48</v>
      </c>
    </row>
    <row r="44460">
      <c r="H44460" s="50"/>
      <c r="I44460" s="50"/>
      <c r="O44460" s="36" t="s">
        <v>48</v>
      </c>
      <c r="R44460" s="36" t="s">
        <v>48</v>
      </c>
    </row>
    <row r="44461">
      <c r="H44461" s="50"/>
      <c r="I44461" s="50"/>
      <c r="O44461" s="36" t="s">
        <v>48</v>
      </c>
      <c r="R44461" s="36" t="s">
        <v>48</v>
      </c>
    </row>
    <row r="44462">
      <c r="H44462" s="50"/>
      <c r="I44462" s="50"/>
      <c r="O44462" s="36" t="s">
        <v>48</v>
      </c>
      <c r="R44462" s="36" t="s">
        <v>48</v>
      </c>
    </row>
    <row r="44463">
      <c r="H44463" s="50"/>
      <c r="I44463" s="50"/>
      <c r="O44463" s="36" t="s">
        <v>48</v>
      </c>
      <c r="R44463" s="36" t="s">
        <v>48</v>
      </c>
    </row>
    <row r="44464">
      <c r="H44464" s="50"/>
      <c r="I44464" s="50"/>
      <c r="O44464" s="36" t="s">
        <v>48</v>
      </c>
      <c r="R44464" s="36" t="s">
        <v>48</v>
      </c>
    </row>
    <row r="44465">
      <c r="H44465" s="50"/>
      <c r="I44465" s="50"/>
      <c r="O44465" s="36" t="s">
        <v>48</v>
      </c>
      <c r="R44465" s="36" t="s">
        <v>48</v>
      </c>
    </row>
    <row r="44466">
      <c r="H44466" s="50"/>
      <c r="I44466" s="50"/>
      <c r="O44466" s="36" t="s">
        <v>48</v>
      </c>
      <c r="R44466" s="36" t="s">
        <v>48</v>
      </c>
    </row>
    <row r="44467">
      <c r="H44467" s="50"/>
      <c r="I44467" s="50"/>
      <c r="O44467" s="36" t="s">
        <v>48</v>
      </c>
      <c r="R44467" s="36" t="s">
        <v>48</v>
      </c>
    </row>
    <row r="44468">
      <c r="H44468" s="50"/>
      <c r="I44468" s="50"/>
      <c r="O44468" s="36" t="s">
        <v>48</v>
      </c>
      <c r="R44468" s="36" t="s">
        <v>48</v>
      </c>
    </row>
    <row r="44469">
      <c r="H44469" s="50"/>
      <c r="I44469" s="50"/>
      <c r="O44469" s="36" t="s">
        <v>48</v>
      </c>
      <c r="R44469" s="36" t="s">
        <v>48</v>
      </c>
    </row>
    <row r="44470">
      <c r="H44470" s="50"/>
      <c r="I44470" s="50"/>
      <c r="O44470" s="36" t="s">
        <v>48</v>
      </c>
      <c r="R44470" s="36" t="s">
        <v>48</v>
      </c>
    </row>
    <row r="44471">
      <c r="H44471" s="50"/>
      <c r="I44471" s="50"/>
      <c r="O44471" s="36" t="s">
        <v>48</v>
      </c>
      <c r="R44471" s="36" t="s">
        <v>48</v>
      </c>
    </row>
    <row r="44472">
      <c r="H44472" s="50"/>
      <c r="I44472" s="50"/>
      <c r="O44472" s="36" t="s">
        <v>48</v>
      </c>
      <c r="R44472" s="36" t="s">
        <v>48</v>
      </c>
    </row>
    <row r="44473">
      <c r="H44473" s="50"/>
      <c r="I44473" s="50"/>
      <c r="O44473" s="36" t="s">
        <v>48</v>
      </c>
      <c r="R44473" s="36" t="s">
        <v>48</v>
      </c>
    </row>
    <row r="44474">
      <c r="H44474" s="50"/>
      <c r="I44474" s="50"/>
      <c r="O44474" s="36" t="s">
        <v>48</v>
      </c>
      <c r="R44474" s="36" t="s">
        <v>48</v>
      </c>
    </row>
    <row r="44475">
      <c r="H44475" s="50"/>
      <c r="I44475" s="50"/>
      <c r="O44475" s="36" t="s">
        <v>48</v>
      </c>
      <c r="R44475" s="36" t="s">
        <v>48</v>
      </c>
    </row>
    <row r="44476">
      <c r="H44476" s="50"/>
      <c r="I44476" s="50"/>
      <c r="O44476" s="36" t="s">
        <v>48</v>
      </c>
      <c r="R44476" s="36" t="s">
        <v>48</v>
      </c>
    </row>
    <row r="44477">
      <c r="H44477" s="50"/>
      <c r="I44477" s="50"/>
      <c r="O44477" s="36" t="s">
        <v>48</v>
      </c>
      <c r="R44477" s="36" t="s">
        <v>48</v>
      </c>
    </row>
    <row r="44478">
      <c r="H44478" s="50"/>
      <c r="I44478" s="50"/>
      <c r="O44478" s="36" t="s">
        <v>48</v>
      </c>
      <c r="R44478" s="36" t="s">
        <v>48</v>
      </c>
    </row>
    <row r="44479">
      <c r="H44479" s="50"/>
      <c r="I44479" s="50"/>
      <c r="O44479" s="36" t="s">
        <v>48</v>
      </c>
      <c r="R44479" s="36" t="s">
        <v>48</v>
      </c>
    </row>
    <row r="44480">
      <c r="H44480" s="50"/>
      <c r="I44480" s="50"/>
      <c r="O44480" s="36" t="s">
        <v>48</v>
      </c>
      <c r="R44480" s="36" t="s">
        <v>48</v>
      </c>
    </row>
    <row r="44481">
      <c r="H44481" s="50"/>
      <c r="I44481" s="50"/>
      <c r="O44481" s="36" t="s">
        <v>48</v>
      </c>
      <c r="R44481" s="36" t="s">
        <v>48</v>
      </c>
    </row>
    <row r="44482">
      <c r="H44482" s="50"/>
      <c r="I44482" s="50"/>
      <c r="O44482" s="36" t="s">
        <v>48</v>
      </c>
      <c r="R44482" s="36" t="s">
        <v>48</v>
      </c>
    </row>
    <row r="44483">
      <c r="H44483" s="50"/>
      <c r="I44483" s="50"/>
      <c r="O44483" s="36" t="s">
        <v>48</v>
      </c>
      <c r="R44483" s="36" t="s">
        <v>48</v>
      </c>
    </row>
    <row r="44484">
      <c r="H44484" s="50"/>
      <c r="I44484" s="50"/>
      <c r="O44484" s="36" t="s">
        <v>48</v>
      </c>
      <c r="R44484" s="36" t="s">
        <v>48</v>
      </c>
    </row>
    <row r="44485">
      <c r="H44485" s="50"/>
      <c r="I44485" s="50"/>
      <c r="O44485" s="36" t="s">
        <v>48</v>
      </c>
      <c r="R44485" s="36" t="s">
        <v>48</v>
      </c>
    </row>
    <row r="44486">
      <c r="H44486" s="50"/>
      <c r="I44486" s="50"/>
      <c r="O44486" s="36" t="s">
        <v>48</v>
      </c>
      <c r="R44486" s="36" t="s">
        <v>48</v>
      </c>
    </row>
    <row r="44487">
      <c r="H44487" s="50"/>
      <c r="I44487" s="50"/>
      <c r="O44487" s="36" t="s">
        <v>48</v>
      </c>
      <c r="R44487" s="36" t="s">
        <v>48</v>
      </c>
    </row>
    <row r="44488">
      <c r="H44488" s="50"/>
      <c r="I44488" s="50"/>
      <c r="O44488" s="36" t="s">
        <v>48</v>
      </c>
      <c r="R44488" s="36" t="s">
        <v>48</v>
      </c>
    </row>
    <row r="44489">
      <c r="H44489" s="50"/>
      <c r="I44489" s="50"/>
      <c r="O44489" s="36" t="s">
        <v>48</v>
      </c>
      <c r="R44489" s="36" t="s">
        <v>48</v>
      </c>
    </row>
    <row r="44490">
      <c r="H44490" s="50"/>
      <c r="I44490" s="50"/>
      <c r="O44490" s="36" t="s">
        <v>48</v>
      </c>
      <c r="R44490" s="36" t="s">
        <v>48</v>
      </c>
    </row>
    <row r="44491">
      <c r="H44491" s="50"/>
      <c r="I44491" s="50"/>
      <c r="O44491" s="36" t="s">
        <v>48</v>
      </c>
      <c r="R44491" s="36" t="s">
        <v>48</v>
      </c>
    </row>
    <row r="44492">
      <c r="H44492" s="50"/>
      <c r="I44492" s="50"/>
      <c r="O44492" s="36" t="s">
        <v>48</v>
      </c>
      <c r="R44492" s="36" t="s">
        <v>48</v>
      </c>
    </row>
    <row r="44493">
      <c r="H44493" s="50"/>
      <c r="I44493" s="50"/>
      <c r="O44493" s="36" t="s">
        <v>48</v>
      </c>
      <c r="R44493" s="36" t="s">
        <v>48</v>
      </c>
    </row>
    <row r="44494">
      <c r="H44494" s="50"/>
      <c r="I44494" s="50"/>
      <c r="O44494" s="36" t="s">
        <v>48</v>
      </c>
      <c r="R44494" s="36" t="s">
        <v>48</v>
      </c>
    </row>
    <row r="44495">
      <c r="H44495" s="50"/>
      <c r="I44495" s="50"/>
      <c r="O44495" s="36" t="s">
        <v>48</v>
      </c>
      <c r="R44495" s="36" t="s">
        <v>48</v>
      </c>
    </row>
    <row r="44496">
      <c r="H44496" s="50"/>
      <c r="I44496" s="50"/>
      <c r="O44496" s="36" t="s">
        <v>48</v>
      </c>
      <c r="R44496" s="36" t="s">
        <v>48</v>
      </c>
    </row>
    <row r="44497">
      <c r="H44497" s="50"/>
      <c r="I44497" s="50"/>
      <c r="O44497" s="36" t="s">
        <v>48</v>
      </c>
      <c r="R44497" s="36" t="s">
        <v>48</v>
      </c>
    </row>
    <row r="44498">
      <c r="H44498" s="50"/>
      <c r="I44498" s="50"/>
      <c r="O44498" s="36" t="s">
        <v>48</v>
      </c>
      <c r="R44498" s="36" t="s">
        <v>48</v>
      </c>
    </row>
    <row r="44499">
      <c r="H44499" s="50"/>
      <c r="I44499" s="50"/>
      <c r="O44499" s="36" t="s">
        <v>48</v>
      </c>
      <c r="R44499" s="36" t="s">
        <v>48</v>
      </c>
    </row>
    <row r="44500">
      <c r="H44500" s="50"/>
      <c r="I44500" s="50"/>
      <c r="O44500" s="36" t="s">
        <v>48</v>
      </c>
      <c r="R44500" s="36" t="s">
        <v>48</v>
      </c>
    </row>
    <row r="44501">
      <c r="H44501" s="50"/>
      <c r="I44501" s="50"/>
      <c r="O44501" s="36" t="s">
        <v>48</v>
      </c>
      <c r="R44501" s="36" t="s">
        <v>48</v>
      </c>
    </row>
    <row r="44502">
      <c r="H44502" s="50"/>
      <c r="I44502" s="50"/>
      <c r="O44502" s="36" t="s">
        <v>48</v>
      </c>
      <c r="R44502" s="36" t="s">
        <v>48</v>
      </c>
    </row>
    <row r="44503">
      <c r="H44503" s="50"/>
      <c r="I44503" s="50"/>
      <c r="O44503" s="36" t="s">
        <v>48</v>
      </c>
      <c r="R44503" s="36" t="s">
        <v>48</v>
      </c>
    </row>
    <row r="44504">
      <c r="H44504" s="50"/>
      <c r="I44504" s="50"/>
      <c r="O44504" s="36" t="s">
        <v>48</v>
      </c>
      <c r="R44504" s="36" t="s">
        <v>48</v>
      </c>
    </row>
    <row r="44505">
      <c r="H44505" s="50"/>
      <c r="I44505" s="50"/>
      <c r="O44505" s="36" t="s">
        <v>48</v>
      </c>
      <c r="R44505" s="36" t="s">
        <v>48</v>
      </c>
    </row>
    <row r="44506">
      <c r="H44506" s="50"/>
      <c r="I44506" s="50"/>
      <c r="O44506" s="36" t="s">
        <v>48</v>
      </c>
      <c r="R44506" s="36" t="s">
        <v>48</v>
      </c>
    </row>
    <row r="44507">
      <c r="H44507" s="50"/>
      <c r="I44507" s="50"/>
      <c r="O44507" s="36" t="s">
        <v>48</v>
      </c>
      <c r="R44507" s="36" t="s">
        <v>48</v>
      </c>
    </row>
    <row r="44508">
      <c r="H44508" s="50"/>
      <c r="I44508" s="50"/>
      <c r="O44508" s="36" t="s">
        <v>48</v>
      </c>
      <c r="R44508" s="36" t="s">
        <v>48</v>
      </c>
    </row>
    <row r="44509">
      <c r="H44509" s="50"/>
      <c r="I44509" s="50"/>
      <c r="O44509" s="36" t="s">
        <v>48</v>
      </c>
      <c r="R44509" s="36" t="s">
        <v>48</v>
      </c>
    </row>
    <row r="44510">
      <c r="H44510" s="50"/>
      <c r="I44510" s="50"/>
      <c r="O44510" s="36" t="s">
        <v>48</v>
      </c>
      <c r="R44510" s="36" t="s">
        <v>48</v>
      </c>
    </row>
    <row r="44511">
      <c r="H44511" s="50"/>
      <c r="I44511" s="50"/>
      <c r="O44511" s="36" t="s">
        <v>48</v>
      </c>
      <c r="R44511" s="36" t="s">
        <v>48</v>
      </c>
    </row>
    <row r="44512">
      <c r="H44512" s="50"/>
      <c r="I44512" s="50"/>
      <c r="O44512" s="36" t="s">
        <v>48</v>
      </c>
      <c r="R44512" s="36" t="s">
        <v>48</v>
      </c>
    </row>
    <row r="44513">
      <c r="H44513" s="50"/>
      <c r="I44513" s="50"/>
      <c r="O44513" s="36" t="s">
        <v>48</v>
      </c>
      <c r="R44513" s="36" t="s">
        <v>48</v>
      </c>
    </row>
    <row r="44514">
      <c r="H44514" s="50"/>
      <c r="I44514" s="50"/>
      <c r="O44514" s="36" t="s">
        <v>48</v>
      </c>
      <c r="R44514" s="36" t="s">
        <v>48</v>
      </c>
    </row>
    <row r="44515">
      <c r="H44515" s="50"/>
      <c r="I44515" s="50"/>
      <c r="O44515" s="36" t="s">
        <v>48</v>
      </c>
      <c r="R44515" s="36" t="s">
        <v>48</v>
      </c>
    </row>
    <row r="44516">
      <c r="H44516" s="50"/>
      <c r="I44516" s="50"/>
      <c r="O44516" s="36" t="s">
        <v>48</v>
      </c>
      <c r="R44516" s="36" t="s">
        <v>48</v>
      </c>
    </row>
    <row r="44517">
      <c r="H44517" s="50"/>
      <c r="I44517" s="50"/>
      <c r="O44517" s="36" t="s">
        <v>48</v>
      </c>
      <c r="R44517" s="36" t="s">
        <v>48</v>
      </c>
    </row>
    <row r="44518">
      <c r="H44518" s="50"/>
      <c r="I44518" s="50"/>
      <c r="O44518" s="36" t="s">
        <v>48</v>
      </c>
      <c r="R44518" s="36" t="s">
        <v>48</v>
      </c>
    </row>
    <row r="44519">
      <c r="H44519" s="50"/>
      <c r="I44519" s="50"/>
      <c r="O44519" s="36" t="s">
        <v>48</v>
      </c>
      <c r="R44519" s="36" t="s">
        <v>48</v>
      </c>
    </row>
    <row r="44520">
      <c r="H44520" s="50"/>
      <c r="I44520" s="50"/>
      <c r="O44520" s="36" t="s">
        <v>48</v>
      </c>
      <c r="R44520" s="36" t="s">
        <v>48</v>
      </c>
    </row>
    <row r="44521">
      <c r="H44521" s="50"/>
      <c r="I44521" s="50"/>
      <c r="O44521" s="36" t="s">
        <v>48</v>
      </c>
      <c r="R44521" s="36" t="s">
        <v>48</v>
      </c>
    </row>
    <row r="44522">
      <c r="H44522" s="50"/>
      <c r="I44522" s="50"/>
      <c r="O44522" s="36" t="s">
        <v>48</v>
      </c>
      <c r="R44522" s="36" t="s">
        <v>48</v>
      </c>
    </row>
    <row r="44523">
      <c r="H44523" s="50"/>
      <c r="I44523" s="50"/>
      <c r="O44523" s="36" t="s">
        <v>48</v>
      </c>
      <c r="R44523" s="36" t="s">
        <v>48</v>
      </c>
    </row>
    <row r="44524">
      <c r="H44524" s="50"/>
      <c r="I44524" s="50"/>
      <c r="O44524" s="36" t="s">
        <v>48</v>
      </c>
      <c r="R44524" s="36" t="s">
        <v>48</v>
      </c>
    </row>
    <row r="44525">
      <c r="H44525" s="50"/>
      <c r="I44525" s="50"/>
      <c r="O44525" s="36" t="s">
        <v>48</v>
      </c>
      <c r="R44525" s="36" t="s">
        <v>48</v>
      </c>
    </row>
    <row r="44526">
      <c r="H44526" s="50"/>
      <c r="I44526" s="50"/>
      <c r="O44526" s="36" t="s">
        <v>48</v>
      </c>
      <c r="R44526" s="36" t="s">
        <v>48</v>
      </c>
    </row>
    <row r="44527">
      <c r="H44527" s="50"/>
      <c r="I44527" s="50"/>
      <c r="O44527" s="36" t="s">
        <v>48</v>
      </c>
      <c r="R44527" s="36" t="s">
        <v>48</v>
      </c>
    </row>
    <row r="44528">
      <c r="H44528" s="50"/>
      <c r="I44528" s="50"/>
      <c r="O44528" s="36" t="s">
        <v>48</v>
      </c>
      <c r="R44528" s="36" t="s">
        <v>48</v>
      </c>
    </row>
    <row r="44529">
      <c r="H44529" s="50"/>
      <c r="I44529" s="50"/>
      <c r="O44529" s="36" t="s">
        <v>48</v>
      </c>
      <c r="R44529" s="36" t="s">
        <v>48</v>
      </c>
    </row>
    <row r="44530">
      <c r="H44530" s="50"/>
      <c r="I44530" s="50"/>
      <c r="O44530" s="36" t="s">
        <v>48</v>
      </c>
      <c r="R44530" s="36" t="s">
        <v>48</v>
      </c>
    </row>
    <row r="44531">
      <c r="H44531" s="50"/>
      <c r="I44531" s="50"/>
      <c r="O44531" s="36" t="s">
        <v>48</v>
      </c>
      <c r="R44531" s="36" t="s">
        <v>48</v>
      </c>
    </row>
    <row r="44532">
      <c r="H44532" s="50"/>
      <c r="I44532" s="50"/>
      <c r="O44532" s="36" t="s">
        <v>48</v>
      </c>
      <c r="R44532" s="36" t="s">
        <v>48</v>
      </c>
    </row>
    <row r="44533">
      <c r="H44533" s="50"/>
      <c r="I44533" s="50"/>
      <c r="O44533" s="36" t="s">
        <v>48</v>
      </c>
      <c r="R44533" s="36" t="s">
        <v>48</v>
      </c>
    </row>
    <row r="44534">
      <c r="H44534" s="50"/>
      <c r="I44534" s="50"/>
      <c r="O44534" s="36" t="s">
        <v>48</v>
      </c>
      <c r="R44534" s="36" t="s">
        <v>48</v>
      </c>
    </row>
    <row r="44535">
      <c r="H44535" s="50"/>
      <c r="I44535" s="50"/>
      <c r="O44535" s="36" t="s">
        <v>48</v>
      </c>
      <c r="R44535" s="36" t="s">
        <v>48</v>
      </c>
    </row>
    <row r="44536">
      <c r="H44536" s="50"/>
      <c r="I44536" s="50"/>
      <c r="O44536" s="36" t="s">
        <v>48</v>
      </c>
      <c r="R44536" s="36" t="s">
        <v>48</v>
      </c>
    </row>
    <row r="44537">
      <c r="H44537" s="50"/>
      <c r="I44537" s="50"/>
      <c r="O44537" s="36" t="s">
        <v>48</v>
      </c>
      <c r="R44537" s="36" t="s">
        <v>48</v>
      </c>
    </row>
    <row r="44538">
      <c r="H44538" s="50"/>
      <c r="I44538" s="50"/>
      <c r="O44538" s="36" t="s">
        <v>48</v>
      </c>
      <c r="R44538" s="36" t="s">
        <v>48</v>
      </c>
    </row>
    <row r="44539">
      <c r="H44539" s="50"/>
      <c r="I44539" s="50"/>
      <c r="O44539" s="36" t="s">
        <v>48</v>
      </c>
      <c r="R44539" s="36" t="s">
        <v>48</v>
      </c>
    </row>
    <row r="44540">
      <c r="H44540" s="50"/>
      <c r="I44540" s="50"/>
      <c r="O44540" s="36" t="s">
        <v>48</v>
      </c>
      <c r="R44540" s="36" t="s">
        <v>48</v>
      </c>
    </row>
    <row r="44541">
      <c r="H44541" s="50"/>
      <c r="I44541" s="50"/>
      <c r="O44541" s="36" t="s">
        <v>48</v>
      </c>
      <c r="R44541" s="36" t="s">
        <v>48</v>
      </c>
    </row>
    <row r="44542">
      <c r="H44542" s="50"/>
      <c r="I44542" s="50"/>
      <c r="O44542" s="36" t="s">
        <v>48</v>
      </c>
      <c r="R44542" s="36" t="s">
        <v>48</v>
      </c>
    </row>
    <row r="44543">
      <c r="H44543" s="50"/>
      <c r="I44543" s="50"/>
      <c r="O44543" s="36" t="s">
        <v>48</v>
      </c>
      <c r="R44543" s="36" t="s">
        <v>48</v>
      </c>
    </row>
    <row r="44544">
      <c r="H44544" s="50"/>
      <c r="I44544" s="50"/>
      <c r="O44544" s="36" t="s">
        <v>48</v>
      </c>
      <c r="R44544" s="36" t="s">
        <v>48</v>
      </c>
    </row>
    <row r="44545">
      <c r="H44545" s="50"/>
      <c r="I44545" s="50"/>
      <c r="O44545" s="36" t="s">
        <v>48</v>
      </c>
      <c r="R44545" s="36" t="s">
        <v>48</v>
      </c>
    </row>
    <row r="44546">
      <c r="H44546" s="50"/>
      <c r="I44546" s="50"/>
      <c r="O44546" s="36" t="s">
        <v>48</v>
      </c>
      <c r="R44546" s="36" t="s">
        <v>48</v>
      </c>
    </row>
    <row r="44547">
      <c r="H44547" s="50"/>
      <c r="I44547" s="50"/>
      <c r="O44547" s="36" t="s">
        <v>48</v>
      </c>
      <c r="R44547" s="36" t="s">
        <v>48</v>
      </c>
    </row>
    <row r="44548">
      <c r="H44548" s="50"/>
      <c r="I44548" s="50"/>
      <c r="O44548" s="36" t="s">
        <v>48</v>
      </c>
      <c r="R44548" s="36" t="s">
        <v>48</v>
      </c>
    </row>
    <row r="44549">
      <c r="H44549" s="50"/>
      <c r="I44549" s="50"/>
      <c r="O44549" s="36" t="s">
        <v>48</v>
      </c>
      <c r="R44549" s="36" t="s">
        <v>48</v>
      </c>
    </row>
    <row r="44550">
      <c r="H44550" s="50"/>
      <c r="I44550" s="50"/>
      <c r="O44550" s="36" t="s">
        <v>48</v>
      </c>
      <c r="R44550" s="36" t="s">
        <v>48</v>
      </c>
    </row>
    <row r="44551">
      <c r="H44551" s="50"/>
      <c r="I44551" s="50"/>
      <c r="O44551" s="36" t="s">
        <v>48</v>
      </c>
      <c r="R44551" s="36" t="s">
        <v>48</v>
      </c>
    </row>
    <row r="44552">
      <c r="H44552" s="50"/>
      <c r="I44552" s="50"/>
      <c r="O44552" s="36" t="s">
        <v>48</v>
      </c>
      <c r="R44552" s="36" t="s">
        <v>48</v>
      </c>
    </row>
    <row r="44553">
      <c r="H44553" s="50"/>
      <c r="I44553" s="50"/>
      <c r="O44553" s="36" t="s">
        <v>48</v>
      </c>
      <c r="R44553" s="36" t="s">
        <v>48</v>
      </c>
    </row>
    <row r="44554">
      <c r="H44554" s="50"/>
      <c r="I44554" s="50"/>
      <c r="O44554" s="36" t="s">
        <v>48</v>
      </c>
      <c r="R44554" s="36" t="s">
        <v>48</v>
      </c>
    </row>
    <row r="44555">
      <c r="H44555" s="50"/>
      <c r="I44555" s="50"/>
      <c r="O44555" s="36" t="s">
        <v>48</v>
      </c>
      <c r="R44555" s="36" t="s">
        <v>48</v>
      </c>
    </row>
    <row r="44556">
      <c r="H44556" s="50"/>
      <c r="I44556" s="50"/>
      <c r="O44556" s="36" t="s">
        <v>48</v>
      </c>
      <c r="R44556" s="36" t="s">
        <v>48</v>
      </c>
    </row>
    <row r="44557">
      <c r="H44557" s="50"/>
      <c r="I44557" s="50"/>
      <c r="O44557" s="36" t="s">
        <v>48</v>
      </c>
      <c r="R44557" s="36" t="s">
        <v>48</v>
      </c>
    </row>
    <row r="44558">
      <c r="H44558" s="50"/>
      <c r="I44558" s="50"/>
      <c r="O44558" s="36" t="s">
        <v>48</v>
      </c>
      <c r="R44558" s="36" t="s">
        <v>48</v>
      </c>
    </row>
    <row r="44559">
      <c r="H44559" s="50"/>
      <c r="I44559" s="50"/>
      <c r="O44559" s="36" t="s">
        <v>48</v>
      </c>
      <c r="R44559" s="36" t="s">
        <v>48</v>
      </c>
    </row>
    <row r="44560">
      <c r="H44560" s="50"/>
      <c r="I44560" s="50"/>
      <c r="O44560" s="36" t="s">
        <v>48</v>
      </c>
      <c r="R44560" s="36" t="s">
        <v>48</v>
      </c>
    </row>
    <row r="44561">
      <c r="H44561" s="50"/>
      <c r="I44561" s="50"/>
      <c r="O44561" s="36" t="s">
        <v>48</v>
      </c>
      <c r="R44561" s="36" t="s">
        <v>48</v>
      </c>
    </row>
    <row r="44562">
      <c r="H44562" s="50"/>
      <c r="I44562" s="50"/>
      <c r="O44562" s="36" t="s">
        <v>48</v>
      </c>
      <c r="R44562" s="36" t="s">
        <v>48</v>
      </c>
    </row>
    <row r="44563">
      <c r="H44563" s="50"/>
      <c r="I44563" s="50"/>
      <c r="O44563" s="36" t="s">
        <v>48</v>
      </c>
      <c r="R44563" s="36" t="s">
        <v>48</v>
      </c>
    </row>
    <row r="44564">
      <c r="H44564" s="50"/>
      <c r="I44564" s="50"/>
      <c r="O44564" s="36" t="s">
        <v>48</v>
      </c>
      <c r="R44564" s="36" t="s">
        <v>48</v>
      </c>
    </row>
    <row r="44565">
      <c r="H44565" s="50"/>
      <c r="I44565" s="50"/>
      <c r="O44565" s="36" t="s">
        <v>48</v>
      </c>
      <c r="R44565" s="36" t="s">
        <v>48</v>
      </c>
    </row>
    <row r="44566">
      <c r="H44566" s="50"/>
      <c r="I44566" s="50"/>
      <c r="O44566" s="36" t="s">
        <v>48</v>
      </c>
      <c r="R44566" s="36" t="s">
        <v>48</v>
      </c>
    </row>
    <row r="44567">
      <c r="H44567" s="50"/>
      <c r="I44567" s="50"/>
      <c r="O44567" s="36" t="s">
        <v>48</v>
      </c>
      <c r="R44567" s="36" t="s">
        <v>48</v>
      </c>
    </row>
    <row r="44568">
      <c r="H44568" s="50"/>
      <c r="I44568" s="50"/>
      <c r="O44568" s="36" t="s">
        <v>48</v>
      </c>
      <c r="R44568" s="36" t="s">
        <v>48</v>
      </c>
    </row>
    <row r="44569">
      <c r="H44569" s="50"/>
      <c r="I44569" s="50"/>
      <c r="O44569" s="36" t="s">
        <v>48</v>
      </c>
      <c r="R44569" s="36" t="s">
        <v>48</v>
      </c>
    </row>
    <row r="44570">
      <c r="H44570" s="50"/>
      <c r="I44570" s="50"/>
      <c r="O44570" s="36" t="s">
        <v>48</v>
      </c>
      <c r="R44570" s="36" t="s">
        <v>48</v>
      </c>
    </row>
    <row r="44571">
      <c r="H44571" s="50"/>
      <c r="I44571" s="50"/>
      <c r="O44571" s="36" t="s">
        <v>48</v>
      </c>
      <c r="R44571" s="36" t="s">
        <v>48</v>
      </c>
    </row>
    <row r="44572">
      <c r="H44572" s="50"/>
      <c r="I44572" s="50"/>
      <c r="O44572" s="36" t="s">
        <v>48</v>
      </c>
      <c r="R44572" s="36" t="s">
        <v>48</v>
      </c>
    </row>
    <row r="44573">
      <c r="H44573" s="50"/>
      <c r="I44573" s="50"/>
      <c r="O44573" s="36" t="s">
        <v>48</v>
      </c>
      <c r="R44573" s="36" t="s">
        <v>48</v>
      </c>
    </row>
    <row r="44574">
      <c r="H44574" s="50"/>
      <c r="I44574" s="50"/>
      <c r="O44574" s="36" t="s">
        <v>48</v>
      </c>
      <c r="R44574" s="36" t="s">
        <v>48</v>
      </c>
    </row>
    <row r="44575">
      <c r="H44575" s="50"/>
      <c r="I44575" s="50"/>
      <c r="O44575" s="36" t="s">
        <v>48</v>
      </c>
      <c r="R44575" s="36" t="s">
        <v>48</v>
      </c>
    </row>
    <row r="44576">
      <c r="H44576" s="50"/>
      <c r="I44576" s="50"/>
      <c r="O44576" s="36" t="s">
        <v>48</v>
      </c>
      <c r="R44576" s="36" t="s">
        <v>48</v>
      </c>
    </row>
    <row r="44577">
      <c r="H44577" s="50"/>
      <c r="I44577" s="50"/>
      <c r="O44577" s="36" t="s">
        <v>48</v>
      </c>
      <c r="R44577" s="36" t="s">
        <v>48</v>
      </c>
    </row>
    <row r="44578">
      <c r="H44578" s="50"/>
      <c r="I44578" s="50"/>
      <c r="O44578" s="36" t="s">
        <v>48</v>
      </c>
      <c r="R44578" s="36" t="s">
        <v>48</v>
      </c>
    </row>
    <row r="44579">
      <c r="H44579" s="50"/>
      <c r="I44579" s="50"/>
      <c r="O44579" s="36" t="s">
        <v>48</v>
      </c>
      <c r="R44579" s="36" t="s">
        <v>48</v>
      </c>
    </row>
    <row r="44580">
      <c r="H44580" s="50"/>
      <c r="I44580" s="50"/>
      <c r="O44580" s="36" t="s">
        <v>48</v>
      </c>
      <c r="R44580" s="36" t="s">
        <v>48</v>
      </c>
    </row>
    <row r="44581">
      <c r="H44581" s="50"/>
      <c r="I44581" s="50"/>
      <c r="O44581" s="36" t="s">
        <v>48</v>
      </c>
      <c r="R44581" s="36" t="s">
        <v>48</v>
      </c>
    </row>
    <row r="44582">
      <c r="H44582" s="50"/>
      <c r="I44582" s="50"/>
      <c r="O44582" s="36" t="s">
        <v>48</v>
      </c>
      <c r="R44582" s="36" t="s">
        <v>48</v>
      </c>
    </row>
    <row r="44583">
      <c r="H44583" s="50"/>
      <c r="I44583" s="50"/>
      <c r="O44583" s="36" t="s">
        <v>48</v>
      </c>
      <c r="R44583" s="36" t="s">
        <v>48</v>
      </c>
    </row>
    <row r="44584">
      <c r="H44584" s="50"/>
      <c r="I44584" s="50"/>
      <c r="O44584" s="36" t="s">
        <v>48</v>
      </c>
      <c r="R44584" s="36" t="s">
        <v>48</v>
      </c>
    </row>
    <row r="44585">
      <c r="H44585" s="50"/>
      <c r="I44585" s="50"/>
      <c r="O44585" s="36" t="s">
        <v>48</v>
      </c>
      <c r="R44585" s="36" t="s">
        <v>48</v>
      </c>
    </row>
    <row r="44586">
      <c r="H44586" s="50"/>
      <c r="I44586" s="50"/>
      <c r="O44586" s="36" t="s">
        <v>48</v>
      </c>
      <c r="R44586" s="36" t="s">
        <v>48</v>
      </c>
    </row>
    <row r="44587">
      <c r="H44587" s="50"/>
      <c r="I44587" s="50"/>
      <c r="O44587" s="36" t="s">
        <v>48</v>
      </c>
      <c r="R44587" s="36" t="s">
        <v>48</v>
      </c>
    </row>
    <row r="44588">
      <c r="H44588" s="50"/>
      <c r="I44588" s="50"/>
      <c r="O44588" s="36" t="s">
        <v>48</v>
      </c>
      <c r="R44588" s="36" t="s">
        <v>48</v>
      </c>
    </row>
    <row r="44589">
      <c r="H44589" s="50"/>
      <c r="I44589" s="50"/>
      <c r="O44589" s="36" t="s">
        <v>48</v>
      </c>
      <c r="R44589" s="36" t="s">
        <v>48</v>
      </c>
    </row>
    <row r="44590">
      <c r="H44590" s="50"/>
      <c r="I44590" s="50"/>
      <c r="O44590" s="36" t="s">
        <v>48</v>
      </c>
      <c r="R44590" s="36" t="s">
        <v>48</v>
      </c>
    </row>
    <row r="44591">
      <c r="H44591" s="50"/>
      <c r="I44591" s="50"/>
      <c r="O44591" s="36" t="s">
        <v>48</v>
      </c>
      <c r="R44591" s="36" t="s">
        <v>48</v>
      </c>
    </row>
    <row r="44592">
      <c r="H44592" s="50"/>
      <c r="I44592" s="50"/>
      <c r="O44592" s="36" t="s">
        <v>48</v>
      </c>
      <c r="R44592" s="36" t="s">
        <v>48</v>
      </c>
    </row>
    <row r="44593">
      <c r="H44593" s="50"/>
      <c r="I44593" s="50"/>
      <c r="O44593" s="36" t="s">
        <v>48</v>
      </c>
      <c r="R44593" s="36" t="s">
        <v>48</v>
      </c>
    </row>
    <row r="44594">
      <c r="H44594" s="50"/>
      <c r="I44594" s="50"/>
      <c r="O44594" s="36" t="s">
        <v>48</v>
      </c>
      <c r="R44594" s="36" t="s">
        <v>48</v>
      </c>
    </row>
    <row r="44595">
      <c r="H44595" s="50"/>
      <c r="I44595" s="50"/>
      <c r="O44595" s="36" t="s">
        <v>48</v>
      </c>
      <c r="R44595" s="36" t="s">
        <v>48</v>
      </c>
    </row>
    <row r="44596">
      <c r="H44596" s="50"/>
      <c r="I44596" s="50"/>
      <c r="O44596" s="36" t="s">
        <v>48</v>
      </c>
      <c r="R44596" s="36" t="s">
        <v>48</v>
      </c>
    </row>
    <row r="44597">
      <c r="H44597" s="50"/>
      <c r="I44597" s="50"/>
      <c r="O44597" s="36" t="s">
        <v>48</v>
      </c>
      <c r="R44597" s="36" t="s">
        <v>48</v>
      </c>
    </row>
    <row r="44598">
      <c r="H44598" s="50"/>
      <c r="I44598" s="50"/>
      <c r="O44598" s="36" t="s">
        <v>48</v>
      </c>
      <c r="R44598" s="36" t="s">
        <v>48</v>
      </c>
    </row>
    <row r="44599">
      <c r="H44599" s="50"/>
      <c r="I44599" s="50"/>
      <c r="O44599" s="36" t="s">
        <v>48</v>
      </c>
      <c r="R44599" s="36" t="s">
        <v>48</v>
      </c>
    </row>
    <row r="44600">
      <c r="H44600" s="50"/>
      <c r="I44600" s="50"/>
      <c r="O44600" s="36" t="s">
        <v>48</v>
      </c>
      <c r="R44600" s="36" t="s">
        <v>48</v>
      </c>
    </row>
    <row r="44601">
      <c r="H44601" s="50"/>
      <c r="I44601" s="50"/>
      <c r="O44601" s="36" t="s">
        <v>48</v>
      </c>
      <c r="R44601" s="36" t="s">
        <v>48</v>
      </c>
    </row>
    <row r="44602">
      <c r="H44602" s="50"/>
      <c r="I44602" s="50"/>
      <c r="O44602" s="36" t="s">
        <v>48</v>
      </c>
      <c r="R44602" s="36" t="s">
        <v>48</v>
      </c>
    </row>
    <row r="44603">
      <c r="H44603" s="50"/>
      <c r="I44603" s="50"/>
      <c r="O44603" s="36" t="s">
        <v>48</v>
      </c>
      <c r="R44603" s="36" t="s">
        <v>48</v>
      </c>
    </row>
    <row r="44604">
      <c r="H44604" s="50"/>
      <c r="I44604" s="50"/>
      <c r="O44604" s="36" t="s">
        <v>48</v>
      </c>
      <c r="R44604" s="36" t="s">
        <v>48</v>
      </c>
    </row>
    <row r="44605">
      <c r="H44605" s="50"/>
      <c r="I44605" s="50"/>
      <c r="O44605" s="36" t="s">
        <v>48</v>
      </c>
      <c r="R44605" s="36" t="s">
        <v>48</v>
      </c>
    </row>
    <row r="44606">
      <c r="H44606" s="50"/>
      <c r="I44606" s="50"/>
      <c r="O44606" s="36" t="s">
        <v>48</v>
      </c>
      <c r="R44606" s="36" t="s">
        <v>48</v>
      </c>
    </row>
    <row r="44607">
      <c r="H44607" s="50"/>
      <c r="I44607" s="50"/>
      <c r="O44607" s="36" t="s">
        <v>48</v>
      </c>
      <c r="R44607" s="36" t="s">
        <v>48</v>
      </c>
    </row>
    <row r="44608">
      <c r="H44608" s="50"/>
      <c r="I44608" s="50"/>
      <c r="O44608" s="36" t="s">
        <v>48</v>
      </c>
      <c r="R44608" s="36" t="s">
        <v>48</v>
      </c>
    </row>
    <row r="44609">
      <c r="H44609" s="50"/>
      <c r="I44609" s="50"/>
      <c r="O44609" s="36" t="s">
        <v>48</v>
      </c>
      <c r="R44609" s="36" t="s">
        <v>48</v>
      </c>
    </row>
    <row r="44610">
      <c r="H44610" s="50"/>
      <c r="I44610" s="50"/>
      <c r="O44610" s="36" t="s">
        <v>48</v>
      </c>
      <c r="R44610" s="36" t="s">
        <v>48</v>
      </c>
    </row>
    <row r="44611">
      <c r="H44611" s="50"/>
      <c r="I44611" s="50"/>
      <c r="O44611" s="36" t="s">
        <v>48</v>
      </c>
      <c r="R44611" s="36" t="s">
        <v>48</v>
      </c>
    </row>
    <row r="44612">
      <c r="H44612" s="50"/>
      <c r="I44612" s="50"/>
      <c r="O44612" s="36" t="s">
        <v>48</v>
      </c>
      <c r="R44612" s="36" t="s">
        <v>48</v>
      </c>
    </row>
    <row r="44613">
      <c r="H44613" s="50"/>
      <c r="I44613" s="50"/>
      <c r="O44613" s="36" t="s">
        <v>48</v>
      </c>
      <c r="R44613" s="36" t="s">
        <v>48</v>
      </c>
    </row>
    <row r="44614">
      <c r="H44614" s="50"/>
      <c r="I44614" s="50"/>
      <c r="O44614" s="36" t="s">
        <v>48</v>
      </c>
      <c r="R44614" s="36" t="s">
        <v>48</v>
      </c>
    </row>
    <row r="44615">
      <c r="H44615" s="50"/>
      <c r="I44615" s="50"/>
      <c r="O44615" s="36" t="s">
        <v>48</v>
      </c>
      <c r="R44615" s="36" t="s">
        <v>48</v>
      </c>
    </row>
    <row r="44616">
      <c r="H44616" s="50"/>
      <c r="I44616" s="50"/>
      <c r="O44616" s="36" t="s">
        <v>48</v>
      </c>
      <c r="R44616" s="36" t="s">
        <v>48</v>
      </c>
    </row>
    <row r="44617">
      <c r="H44617" s="50"/>
      <c r="I44617" s="50"/>
      <c r="O44617" s="36" t="s">
        <v>48</v>
      </c>
      <c r="R44617" s="36" t="s">
        <v>48</v>
      </c>
    </row>
    <row r="44618">
      <c r="H44618" s="50"/>
      <c r="I44618" s="50"/>
      <c r="O44618" s="36" t="s">
        <v>48</v>
      </c>
      <c r="R44618" s="36" t="s">
        <v>48</v>
      </c>
    </row>
    <row r="44619">
      <c r="H44619" s="50"/>
      <c r="I44619" s="50"/>
      <c r="O44619" s="36" t="s">
        <v>48</v>
      </c>
      <c r="R44619" s="36" t="s">
        <v>48</v>
      </c>
    </row>
    <row r="44620">
      <c r="H44620" s="50"/>
      <c r="I44620" s="50"/>
      <c r="O44620" s="36" t="s">
        <v>48</v>
      </c>
      <c r="R44620" s="36" t="s">
        <v>48</v>
      </c>
    </row>
    <row r="44621">
      <c r="H44621" s="50"/>
      <c r="I44621" s="50"/>
      <c r="O44621" s="36" t="s">
        <v>48</v>
      </c>
      <c r="R44621" s="36" t="s">
        <v>48</v>
      </c>
    </row>
    <row r="44622">
      <c r="H44622" s="50"/>
      <c r="I44622" s="50"/>
      <c r="O44622" s="36" t="s">
        <v>48</v>
      </c>
      <c r="R44622" s="36" t="s">
        <v>48</v>
      </c>
    </row>
    <row r="44623">
      <c r="H44623" s="50"/>
      <c r="I44623" s="50"/>
      <c r="O44623" s="36" t="s">
        <v>48</v>
      </c>
      <c r="R44623" s="36" t="s">
        <v>48</v>
      </c>
    </row>
    <row r="44624">
      <c r="H44624" s="50"/>
      <c r="I44624" s="50"/>
      <c r="O44624" s="36" t="s">
        <v>48</v>
      </c>
      <c r="R44624" s="36" t="s">
        <v>48</v>
      </c>
    </row>
    <row r="44625">
      <c r="H44625" s="50"/>
      <c r="I44625" s="50"/>
      <c r="O44625" s="36" t="s">
        <v>48</v>
      </c>
      <c r="R44625" s="36" t="s">
        <v>48</v>
      </c>
    </row>
    <row r="44626">
      <c r="H44626" s="50"/>
      <c r="I44626" s="50"/>
      <c r="O44626" s="36" t="s">
        <v>48</v>
      </c>
      <c r="R44626" s="36" t="s">
        <v>48</v>
      </c>
    </row>
    <row r="44627">
      <c r="H44627" s="50"/>
      <c r="I44627" s="50"/>
      <c r="O44627" s="36" t="s">
        <v>48</v>
      </c>
      <c r="R44627" s="36" t="s">
        <v>48</v>
      </c>
    </row>
    <row r="44628">
      <c r="H44628" s="50"/>
      <c r="I44628" s="50"/>
      <c r="O44628" s="36" t="s">
        <v>48</v>
      </c>
      <c r="R44628" s="36" t="s">
        <v>48</v>
      </c>
    </row>
    <row r="44629">
      <c r="H44629" s="50"/>
      <c r="I44629" s="50"/>
      <c r="O44629" s="36" t="s">
        <v>48</v>
      </c>
      <c r="R44629" s="36" t="s">
        <v>48</v>
      </c>
    </row>
    <row r="44630">
      <c r="H44630" s="50"/>
      <c r="I44630" s="50"/>
      <c r="O44630" s="36" t="s">
        <v>48</v>
      </c>
      <c r="R44630" s="36" t="s">
        <v>48</v>
      </c>
    </row>
    <row r="44631">
      <c r="H44631" s="50"/>
      <c r="I44631" s="50"/>
      <c r="O44631" s="36" t="s">
        <v>48</v>
      </c>
      <c r="R44631" s="36" t="s">
        <v>48</v>
      </c>
    </row>
    <row r="44632">
      <c r="H44632" s="50"/>
      <c r="I44632" s="50"/>
      <c r="O44632" s="36" t="s">
        <v>48</v>
      </c>
      <c r="R44632" s="36" t="s">
        <v>48</v>
      </c>
    </row>
    <row r="44633">
      <c r="H44633" s="50"/>
      <c r="I44633" s="50"/>
      <c r="O44633" s="36" t="s">
        <v>48</v>
      </c>
      <c r="R44633" s="36" t="s">
        <v>48</v>
      </c>
    </row>
    <row r="44634">
      <c r="H44634" s="50"/>
      <c r="I44634" s="50"/>
      <c r="O44634" s="36" t="s">
        <v>48</v>
      </c>
      <c r="R44634" s="36" t="s">
        <v>48</v>
      </c>
    </row>
    <row r="44635">
      <c r="H44635" s="50"/>
      <c r="I44635" s="50"/>
      <c r="O44635" s="36" t="s">
        <v>48</v>
      </c>
      <c r="R44635" s="36" t="s">
        <v>48</v>
      </c>
    </row>
    <row r="44636">
      <c r="H44636" s="50"/>
      <c r="I44636" s="50"/>
      <c r="O44636" s="36" t="s">
        <v>48</v>
      </c>
      <c r="R44636" s="36" t="s">
        <v>48</v>
      </c>
    </row>
    <row r="44637">
      <c r="H44637" s="50"/>
      <c r="I44637" s="50"/>
      <c r="O44637" s="36" t="s">
        <v>48</v>
      </c>
      <c r="R44637" s="36" t="s">
        <v>48</v>
      </c>
    </row>
    <row r="44638">
      <c r="H44638" s="50"/>
      <c r="I44638" s="50"/>
      <c r="O44638" s="36" t="s">
        <v>48</v>
      </c>
      <c r="R44638" s="36" t="s">
        <v>48</v>
      </c>
    </row>
    <row r="44639">
      <c r="H44639" s="50"/>
      <c r="I44639" s="50"/>
      <c r="O44639" s="36" t="s">
        <v>48</v>
      </c>
      <c r="R44639" s="36" t="s">
        <v>48</v>
      </c>
    </row>
    <row r="44640">
      <c r="H44640" s="50"/>
      <c r="I44640" s="50"/>
      <c r="O44640" s="36" t="s">
        <v>48</v>
      </c>
      <c r="R44640" s="36" t="s">
        <v>48</v>
      </c>
    </row>
    <row r="44641">
      <c r="H44641" s="50"/>
      <c r="I44641" s="50"/>
      <c r="O44641" s="36" t="s">
        <v>48</v>
      </c>
      <c r="R44641" s="36" t="s">
        <v>48</v>
      </c>
    </row>
    <row r="44642">
      <c r="H44642" s="50"/>
      <c r="I44642" s="50"/>
      <c r="O44642" s="36" t="s">
        <v>48</v>
      </c>
      <c r="R44642" s="36" t="s">
        <v>48</v>
      </c>
    </row>
    <row r="44643">
      <c r="H44643" s="50"/>
      <c r="I44643" s="50"/>
      <c r="O44643" s="36" t="s">
        <v>48</v>
      </c>
      <c r="R44643" s="36" t="s">
        <v>48</v>
      </c>
    </row>
    <row r="44644">
      <c r="H44644" s="50"/>
      <c r="I44644" s="50"/>
      <c r="O44644" s="36" t="s">
        <v>48</v>
      </c>
      <c r="R44644" s="36" t="s">
        <v>48</v>
      </c>
    </row>
    <row r="44645">
      <c r="H44645" s="50"/>
      <c r="I44645" s="50"/>
      <c r="O44645" s="36" t="s">
        <v>48</v>
      </c>
      <c r="R44645" s="36" t="s">
        <v>48</v>
      </c>
    </row>
    <row r="44646">
      <c r="H44646" s="50"/>
      <c r="I44646" s="50"/>
      <c r="O44646" s="36" t="s">
        <v>48</v>
      </c>
      <c r="R44646" s="36" t="s">
        <v>48</v>
      </c>
    </row>
    <row r="44647">
      <c r="H44647" s="50"/>
      <c r="I44647" s="50"/>
      <c r="O44647" s="36" t="s">
        <v>48</v>
      </c>
      <c r="R44647" s="36" t="s">
        <v>48</v>
      </c>
    </row>
    <row r="44648">
      <c r="H44648" s="50"/>
      <c r="I44648" s="50"/>
      <c r="O44648" s="36" t="s">
        <v>48</v>
      </c>
      <c r="R44648" s="36" t="s">
        <v>48</v>
      </c>
    </row>
    <row r="44649">
      <c r="H44649" s="50"/>
      <c r="I44649" s="50"/>
      <c r="O44649" s="36" t="s">
        <v>48</v>
      </c>
      <c r="R44649" s="36" t="s">
        <v>48</v>
      </c>
    </row>
    <row r="44650">
      <c r="H44650" s="50"/>
      <c r="I44650" s="50"/>
      <c r="O44650" s="36" t="s">
        <v>48</v>
      </c>
      <c r="R44650" s="36" t="s">
        <v>48</v>
      </c>
    </row>
    <row r="44651">
      <c r="H44651" s="50"/>
      <c r="I44651" s="50"/>
      <c r="O44651" s="36" t="s">
        <v>48</v>
      </c>
      <c r="R44651" s="36" t="s">
        <v>48</v>
      </c>
    </row>
    <row r="44652">
      <c r="H44652" s="50"/>
      <c r="I44652" s="50"/>
      <c r="O44652" s="36" t="s">
        <v>48</v>
      </c>
      <c r="R44652" s="36" t="s">
        <v>48</v>
      </c>
    </row>
    <row r="44653">
      <c r="H44653" s="50"/>
      <c r="I44653" s="50"/>
      <c r="O44653" s="36" t="s">
        <v>48</v>
      </c>
      <c r="R44653" s="36" t="s">
        <v>48</v>
      </c>
    </row>
    <row r="44654">
      <c r="H44654" s="50"/>
      <c r="I44654" s="50"/>
      <c r="O44654" s="36" t="s">
        <v>48</v>
      </c>
      <c r="R44654" s="36" t="s">
        <v>48</v>
      </c>
    </row>
    <row r="44655">
      <c r="H44655" s="50"/>
      <c r="I44655" s="50"/>
      <c r="O44655" s="36" t="s">
        <v>48</v>
      </c>
      <c r="R44655" s="36" t="s">
        <v>48</v>
      </c>
    </row>
    <row r="44656">
      <c r="H44656" s="50"/>
      <c r="I44656" s="50"/>
      <c r="O44656" s="36" t="s">
        <v>48</v>
      </c>
      <c r="R44656" s="36" t="s">
        <v>48</v>
      </c>
    </row>
    <row r="44657">
      <c r="H44657" s="50"/>
      <c r="I44657" s="50"/>
      <c r="O44657" s="36" t="s">
        <v>48</v>
      </c>
      <c r="R44657" s="36" t="s">
        <v>48</v>
      </c>
    </row>
    <row r="44658">
      <c r="H44658" s="50"/>
      <c r="I44658" s="50"/>
      <c r="O44658" s="36" t="s">
        <v>48</v>
      </c>
      <c r="R44658" s="36" t="s">
        <v>48</v>
      </c>
    </row>
    <row r="44659">
      <c r="H44659" s="50"/>
      <c r="I44659" s="50"/>
      <c r="O44659" s="36" t="s">
        <v>48</v>
      </c>
      <c r="R44659" s="36" t="s">
        <v>48</v>
      </c>
    </row>
    <row r="44660">
      <c r="H44660" s="50"/>
      <c r="I44660" s="50"/>
      <c r="O44660" s="36" t="s">
        <v>48</v>
      </c>
      <c r="R44660" s="36" t="s">
        <v>48</v>
      </c>
    </row>
    <row r="44661">
      <c r="H44661" s="50"/>
      <c r="I44661" s="50"/>
      <c r="O44661" s="36" t="s">
        <v>48</v>
      </c>
      <c r="R44661" s="36" t="s">
        <v>48</v>
      </c>
    </row>
    <row r="44662">
      <c r="H44662" s="50"/>
      <c r="I44662" s="50"/>
      <c r="O44662" s="36" t="s">
        <v>48</v>
      </c>
      <c r="R44662" s="36" t="s">
        <v>48</v>
      </c>
    </row>
    <row r="44663">
      <c r="H44663" s="50"/>
      <c r="I44663" s="50"/>
      <c r="O44663" s="36" t="s">
        <v>48</v>
      </c>
      <c r="R44663" s="36" t="s">
        <v>48</v>
      </c>
    </row>
    <row r="44664">
      <c r="H44664" s="50"/>
      <c r="I44664" s="50"/>
      <c r="O44664" s="36" t="s">
        <v>48</v>
      </c>
      <c r="R44664" s="36" t="s">
        <v>48</v>
      </c>
    </row>
    <row r="44665">
      <c r="H44665" s="50"/>
      <c r="I44665" s="50"/>
      <c r="O44665" s="36" t="s">
        <v>48</v>
      </c>
      <c r="R44665" s="36" t="s">
        <v>48</v>
      </c>
    </row>
    <row r="44666">
      <c r="H44666" s="50"/>
      <c r="I44666" s="50"/>
      <c r="O44666" s="36" t="s">
        <v>48</v>
      </c>
      <c r="R44666" s="36" t="s">
        <v>48</v>
      </c>
    </row>
    <row r="44667">
      <c r="H44667" s="50"/>
      <c r="I44667" s="50"/>
      <c r="O44667" s="36" t="s">
        <v>48</v>
      </c>
      <c r="R44667" s="36" t="s">
        <v>48</v>
      </c>
    </row>
    <row r="44668">
      <c r="H44668" s="50"/>
      <c r="I44668" s="50"/>
      <c r="O44668" s="36" t="s">
        <v>48</v>
      </c>
      <c r="R44668" s="36" t="s">
        <v>48</v>
      </c>
    </row>
    <row r="44669">
      <c r="H44669" s="50"/>
      <c r="I44669" s="50"/>
      <c r="O44669" s="36" t="s">
        <v>48</v>
      </c>
      <c r="R44669" s="36" t="s">
        <v>48</v>
      </c>
    </row>
    <row r="44670">
      <c r="H44670" s="50"/>
      <c r="I44670" s="50"/>
      <c r="O44670" s="36" t="s">
        <v>48</v>
      </c>
      <c r="R44670" s="36" t="s">
        <v>48</v>
      </c>
    </row>
    <row r="44671">
      <c r="H44671" s="50"/>
      <c r="I44671" s="50"/>
      <c r="O44671" s="36" t="s">
        <v>48</v>
      </c>
      <c r="R44671" s="36" t="s">
        <v>48</v>
      </c>
    </row>
    <row r="44672">
      <c r="H44672" s="50"/>
      <c r="I44672" s="50"/>
      <c r="O44672" s="36" t="s">
        <v>48</v>
      </c>
      <c r="R44672" s="36" t="s">
        <v>48</v>
      </c>
    </row>
    <row r="44673">
      <c r="H44673" s="50"/>
      <c r="I44673" s="50"/>
      <c r="O44673" s="36" t="s">
        <v>48</v>
      </c>
      <c r="R44673" s="36" t="s">
        <v>48</v>
      </c>
    </row>
    <row r="44674">
      <c r="H44674" s="50"/>
      <c r="I44674" s="50"/>
      <c r="O44674" s="36" t="s">
        <v>48</v>
      </c>
      <c r="R44674" s="36" t="s">
        <v>48</v>
      </c>
    </row>
    <row r="44675">
      <c r="H44675" s="50"/>
      <c r="I44675" s="50"/>
      <c r="O44675" s="36" t="s">
        <v>48</v>
      </c>
      <c r="R44675" s="36" t="s">
        <v>48</v>
      </c>
    </row>
    <row r="44676">
      <c r="H44676" s="50"/>
      <c r="I44676" s="50"/>
      <c r="O44676" s="36" t="s">
        <v>48</v>
      </c>
      <c r="R44676" s="36" t="s">
        <v>48</v>
      </c>
    </row>
    <row r="44677">
      <c r="H44677" s="50"/>
      <c r="I44677" s="50"/>
      <c r="O44677" s="36" t="s">
        <v>48</v>
      </c>
      <c r="R44677" s="36" t="s">
        <v>48</v>
      </c>
    </row>
    <row r="44678">
      <c r="H44678" s="50"/>
      <c r="I44678" s="50"/>
      <c r="O44678" s="36" t="s">
        <v>48</v>
      </c>
      <c r="R44678" s="36" t="s">
        <v>48</v>
      </c>
    </row>
    <row r="44679">
      <c r="H44679" s="50"/>
      <c r="I44679" s="50"/>
      <c r="O44679" s="36" t="s">
        <v>48</v>
      </c>
      <c r="R44679" s="36" t="s">
        <v>48</v>
      </c>
    </row>
    <row r="44680">
      <c r="H44680" s="50"/>
      <c r="I44680" s="50"/>
      <c r="O44680" s="36" t="s">
        <v>48</v>
      </c>
      <c r="R44680" s="36" t="s">
        <v>48</v>
      </c>
    </row>
    <row r="44681">
      <c r="H44681" s="50"/>
      <c r="I44681" s="50"/>
      <c r="O44681" s="36" t="s">
        <v>48</v>
      </c>
      <c r="R44681" s="36" t="s">
        <v>48</v>
      </c>
    </row>
    <row r="44682">
      <c r="H44682" s="50"/>
      <c r="I44682" s="50"/>
      <c r="O44682" s="36" t="s">
        <v>48</v>
      </c>
      <c r="R44682" s="36" t="s">
        <v>48</v>
      </c>
    </row>
    <row r="44683">
      <c r="H44683" s="50"/>
      <c r="I44683" s="50"/>
      <c r="O44683" s="36" t="s">
        <v>48</v>
      </c>
      <c r="R44683" s="36" t="s">
        <v>48</v>
      </c>
    </row>
    <row r="44684">
      <c r="H44684" s="50"/>
      <c r="I44684" s="50"/>
      <c r="O44684" s="36" t="s">
        <v>48</v>
      </c>
      <c r="R44684" s="36" t="s">
        <v>48</v>
      </c>
    </row>
    <row r="44685">
      <c r="H44685" s="50"/>
      <c r="I44685" s="50"/>
      <c r="O44685" s="36" t="s">
        <v>48</v>
      </c>
      <c r="R44685" s="36" t="s">
        <v>48</v>
      </c>
    </row>
    <row r="44686">
      <c r="H44686" s="50"/>
      <c r="I44686" s="50"/>
      <c r="O44686" s="36" t="s">
        <v>48</v>
      </c>
      <c r="R44686" s="36" t="s">
        <v>48</v>
      </c>
    </row>
    <row r="44687">
      <c r="H44687" s="50"/>
      <c r="I44687" s="50"/>
      <c r="O44687" s="36" t="s">
        <v>48</v>
      </c>
      <c r="R44687" s="36" t="s">
        <v>48</v>
      </c>
    </row>
    <row r="44688">
      <c r="H44688" s="50"/>
      <c r="I44688" s="50"/>
      <c r="O44688" s="36" t="s">
        <v>48</v>
      </c>
      <c r="R44688" s="36" t="s">
        <v>48</v>
      </c>
    </row>
    <row r="44689">
      <c r="H44689" s="50"/>
      <c r="I44689" s="50"/>
      <c r="O44689" s="36" t="s">
        <v>48</v>
      </c>
      <c r="R44689" s="36" t="s">
        <v>48</v>
      </c>
    </row>
    <row r="44690">
      <c r="H44690" s="50"/>
      <c r="I44690" s="50"/>
      <c r="O44690" s="36" t="s">
        <v>48</v>
      </c>
      <c r="R44690" s="36" t="s">
        <v>48</v>
      </c>
    </row>
    <row r="44691">
      <c r="H44691" s="50"/>
      <c r="I44691" s="50"/>
      <c r="O44691" s="36" t="s">
        <v>48</v>
      </c>
      <c r="R44691" s="36" t="s">
        <v>48</v>
      </c>
    </row>
    <row r="44692">
      <c r="H44692" s="50"/>
      <c r="I44692" s="50"/>
      <c r="O44692" s="36" t="s">
        <v>48</v>
      </c>
      <c r="R44692" s="36" t="s">
        <v>48</v>
      </c>
    </row>
    <row r="44693">
      <c r="H44693" s="50"/>
      <c r="I44693" s="50"/>
      <c r="O44693" s="36" t="s">
        <v>48</v>
      </c>
      <c r="R44693" s="36" t="s">
        <v>48</v>
      </c>
    </row>
    <row r="44694">
      <c r="H44694" s="50"/>
      <c r="I44694" s="50"/>
      <c r="O44694" s="36" t="s">
        <v>48</v>
      </c>
      <c r="R44694" s="36" t="s">
        <v>48</v>
      </c>
    </row>
    <row r="44695">
      <c r="H44695" s="50"/>
      <c r="I44695" s="50"/>
      <c r="O44695" s="36" t="s">
        <v>48</v>
      </c>
      <c r="R44695" s="36" t="s">
        <v>48</v>
      </c>
    </row>
    <row r="44696">
      <c r="H44696" s="50"/>
      <c r="I44696" s="50"/>
      <c r="O44696" s="36" t="s">
        <v>48</v>
      </c>
      <c r="R44696" s="36" t="s">
        <v>48</v>
      </c>
    </row>
    <row r="44697">
      <c r="H44697" s="50"/>
      <c r="I44697" s="50"/>
      <c r="O44697" s="36" t="s">
        <v>48</v>
      </c>
      <c r="R44697" s="36" t="s">
        <v>48</v>
      </c>
    </row>
    <row r="44698">
      <c r="H44698" s="50"/>
      <c r="I44698" s="50"/>
      <c r="O44698" s="36" t="s">
        <v>48</v>
      </c>
      <c r="R44698" s="36" t="s">
        <v>48</v>
      </c>
    </row>
    <row r="44699">
      <c r="H44699" s="50"/>
      <c r="I44699" s="50"/>
      <c r="O44699" s="36" t="s">
        <v>48</v>
      </c>
      <c r="R44699" s="36" t="s">
        <v>48</v>
      </c>
    </row>
    <row r="44700">
      <c r="H44700" s="50"/>
      <c r="I44700" s="50"/>
      <c r="O44700" s="36" t="s">
        <v>48</v>
      </c>
      <c r="R44700" s="36" t="s">
        <v>48</v>
      </c>
    </row>
    <row r="44701">
      <c r="H44701" s="50"/>
      <c r="I44701" s="50"/>
      <c r="O44701" s="36" t="s">
        <v>48</v>
      </c>
      <c r="R44701" s="36" t="s">
        <v>48</v>
      </c>
    </row>
    <row r="44702">
      <c r="H44702" s="50"/>
      <c r="I44702" s="50"/>
      <c r="O44702" s="36" t="s">
        <v>48</v>
      </c>
      <c r="R44702" s="36" t="s">
        <v>48</v>
      </c>
    </row>
    <row r="44703">
      <c r="H44703" s="50"/>
      <c r="I44703" s="50"/>
      <c r="O44703" s="36" t="s">
        <v>48</v>
      </c>
      <c r="R44703" s="36" t="s">
        <v>48</v>
      </c>
    </row>
    <row r="44704">
      <c r="H44704" s="50"/>
      <c r="I44704" s="50"/>
      <c r="O44704" s="36" t="s">
        <v>48</v>
      </c>
      <c r="R44704" s="36" t="s">
        <v>48</v>
      </c>
    </row>
    <row r="44705">
      <c r="H44705" s="50"/>
      <c r="I44705" s="50"/>
      <c r="O44705" s="36" t="s">
        <v>48</v>
      </c>
      <c r="R44705" s="36" t="s">
        <v>48</v>
      </c>
    </row>
    <row r="44706">
      <c r="H44706" s="50"/>
      <c r="I44706" s="50"/>
      <c r="O44706" s="36" t="s">
        <v>48</v>
      </c>
      <c r="R44706" s="36" t="s">
        <v>48</v>
      </c>
    </row>
    <row r="44707">
      <c r="H44707" s="50"/>
      <c r="I44707" s="50"/>
      <c r="O44707" s="36" t="s">
        <v>48</v>
      </c>
      <c r="R44707" s="36" t="s">
        <v>48</v>
      </c>
    </row>
    <row r="44708">
      <c r="H44708" s="50"/>
      <c r="I44708" s="50"/>
      <c r="O44708" s="36" t="s">
        <v>48</v>
      </c>
      <c r="R44708" s="36" t="s">
        <v>48</v>
      </c>
    </row>
    <row r="44709">
      <c r="H44709" s="50"/>
      <c r="I44709" s="50"/>
      <c r="O44709" s="36" t="s">
        <v>48</v>
      </c>
      <c r="R44709" s="36" t="s">
        <v>48</v>
      </c>
    </row>
    <row r="44710">
      <c r="H44710" s="50"/>
      <c r="I44710" s="50"/>
      <c r="O44710" s="36" t="s">
        <v>48</v>
      </c>
      <c r="R44710" s="36" t="s">
        <v>48</v>
      </c>
    </row>
    <row r="44711">
      <c r="H44711" s="50"/>
      <c r="I44711" s="50"/>
      <c r="O44711" s="36" t="s">
        <v>48</v>
      </c>
      <c r="R44711" s="36" t="s">
        <v>48</v>
      </c>
    </row>
    <row r="44712">
      <c r="H44712" s="50"/>
      <c r="I44712" s="50"/>
      <c r="O44712" s="36" t="s">
        <v>48</v>
      </c>
      <c r="R44712" s="36" t="s">
        <v>48</v>
      </c>
    </row>
    <row r="44713">
      <c r="H44713" s="50"/>
      <c r="I44713" s="50"/>
      <c r="O44713" s="36" t="s">
        <v>48</v>
      </c>
      <c r="R44713" s="36" t="s">
        <v>48</v>
      </c>
    </row>
    <row r="44714">
      <c r="H44714" s="50"/>
      <c r="I44714" s="50"/>
      <c r="O44714" s="36" t="s">
        <v>48</v>
      </c>
      <c r="R44714" s="36" t="s">
        <v>48</v>
      </c>
    </row>
    <row r="44715">
      <c r="H44715" s="50"/>
      <c r="I44715" s="50"/>
      <c r="O44715" s="36" t="s">
        <v>48</v>
      </c>
      <c r="R44715" s="36" t="s">
        <v>48</v>
      </c>
    </row>
    <row r="44716">
      <c r="H44716" s="50"/>
      <c r="I44716" s="50"/>
      <c r="O44716" s="36" t="s">
        <v>48</v>
      </c>
      <c r="R44716" s="36" t="s">
        <v>48</v>
      </c>
    </row>
    <row r="44717">
      <c r="H44717" s="50"/>
      <c r="I44717" s="50"/>
      <c r="O44717" s="36" t="s">
        <v>48</v>
      </c>
      <c r="R44717" s="36" t="s">
        <v>48</v>
      </c>
    </row>
    <row r="44718">
      <c r="H44718" s="50"/>
      <c r="I44718" s="50"/>
      <c r="O44718" s="36" t="s">
        <v>48</v>
      </c>
      <c r="R44718" s="36" t="s">
        <v>48</v>
      </c>
    </row>
    <row r="44719">
      <c r="H44719" s="50"/>
      <c r="I44719" s="50"/>
      <c r="O44719" s="36" t="s">
        <v>48</v>
      </c>
      <c r="R44719" s="36" t="s">
        <v>48</v>
      </c>
    </row>
    <row r="44720">
      <c r="H44720" s="50"/>
      <c r="I44720" s="50"/>
      <c r="O44720" s="36" t="s">
        <v>48</v>
      </c>
      <c r="R44720" s="36" t="s">
        <v>48</v>
      </c>
    </row>
    <row r="44721">
      <c r="H44721" s="50"/>
      <c r="I44721" s="50"/>
      <c r="O44721" s="36" t="s">
        <v>48</v>
      </c>
      <c r="R44721" s="36" t="s">
        <v>48</v>
      </c>
    </row>
    <row r="44722">
      <c r="H44722" s="50"/>
      <c r="I44722" s="50"/>
      <c r="O44722" s="36" t="s">
        <v>48</v>
      </c>
      <c r="R44722" s="36" t="s">
        <v>48</v>
      </c>
    </row>
    <row r="44723">
      <c r="H44723" s="50"/>
      <c r="I44723" s="50"/>
      <c r="O44723" s="36" t="s">
        <v>48</v>
      </c>
      <c r="R44723" s="36" t="s">
        <v>48</v>
      </c>
    </row>
    <row r="44724">
      <c r="H44724" s="50"/>
      <c r="I44724" s="50"/>
      <c r="O44724" s="36" t="s">
        <v>48</v>
      </c>
      <c r="R44724" s="36" t="s">
        <v>48</v>
      </c>
    </row>
    <row r="44725">
      <c r="H44725" s="50"/>
      <c r="I44725" s="50"/>
      <c r="O44725" s="36" t="s">
        <v>48</v>
      </c>
      <c r="R44725" s="36" t="s">
        <v>48</v>
      </c>
    </row>
    <row r="44726">
      <c r="H44726" s="50"/>
      <c r="I44726" s="50"/>
      <c r="O44726" s="36" t="s">
        <v>48</v>
      </c>
      <c r="R44726" s="36" t="s">
        <v>48</v>
      </c>
    </row>
    <row r="44727">
      <c r="H44727" s="50"/>
      <c r="I44727" s="50"/>
      <c r="O44727" s="36" t="s">
        <v>48</v>
      </c>
      <c r="R44727" s="36" t="s">
        <v>48</v>
      </c>
    </row>
    <row r="44728">
      <c r="H44728" s="50"/>
      <c r="I44728" s="50"/>
      <c r="O44728" s="36" t="s">
        <v>48</v>
      </c>
      <c r="R44728" s="36" t="s">
        <v>48</v>
      </c>
    </row>
    <row r="44729">
      <c r="H44729" s="50"/>
      <c r="I44729" s="50"/>
      <c r="O44729" s="36" t="s">
        <v>48</v>
      </c>
      <c r="R44729" s="36" t="s">
        <v>48</v>
      </c>
    </row>
    <row r="44730">
      <c r="H44730" s="50"/>
      <c r="I44730" s="50"/>
      <c r="O44730" s="36" t="s">
        <v>48</v>
      </c>
      <c r="R44730" s="36" t="s">
        <v>48</v>
      </c>
    </row>
    <row r="44731">
      <c r="H44731" s="50"/>
      <c r="I44731" s="50"/>
      <c r="O44731" s="36" t="s">
        <v>48</v>
      </c>
      <c r="R44731" s="36" t="s">
        <v>48</v>
      </c>
    </row>
    <row r="44732">
      <c r="H44732" s="50"/>
      <c r="I44732" s="50"/>
      <c r="O44732" s="36" t="s">
        <v>48</v>
      </c>
      <c r="R44732" s="36" t="s">
        <v>48</v>
      </c>
    </row>
    <row r="44733">
      <c r="H44733" s="50"/>
      <c r="I44733" s="50"/>
      <c r="O44733" s="36" t="s">
        <v>48</v>
      </c>
      <c r="R44733" s="36" t="s">
        <v>48</v>
      </c>
    </row>
    <row r="44734">
      <c r="H44734" s="50"/>
      <c r="I44734" s="50"/>
      <c r="O44734" s="36" t="s">
        <v>48</v>
      </c>
      <c r="R44734" s="36" t="s">
        <v>48</v>
      </c>
    </row>
    <row r="44735">
      <c r="H44735" s="50"/>
      <c r="I44735" s="50"/>
      <c r="O44735" s="36" t="s">
        <v>48</v>
      </c>
      <c r="R44735" s="36" t="s">
        <v>48</v>
      </c>
    </row>
    <row r="44736">
      <c r="H44736" s="50"/>
      <c r="I44736" s="50"/>
      <c r="O44736" s="36" t="s">
        <v>48</v>
      </c>
      <c r="R44736" s="36" t="s">
        <v>48</v>
      </c>
    </row>
    <row r="44737">
      <c r="H44737" s="50"/>
      <c r="I44737" s="50"/>
      <c r="O44737" s="36" t="s">
        <v>48</v>
      </c>
      <c r="R44737" s="36" t="s">
        <v>48</v>
      </c>
    </row>
    <row r="44738">
      <c r="H44738" s="50"/>
      <c r="I44738" s="50"/>
      <c r="O44738" s="36" t="s">
        <v>48</v>
      </c>
      <c r="R44738" s="36" t="s">
        <v>48</v>
      </c>
    </row>
    <row r="44739">
      <c r="H44739" s="50"/>
      <c r="I44739" s="50"/>
      <c r="O44739" s="36" t="s">
        <v>48</v>
      </c>
      <c r="R44739" s="36" t="s">
        <v>48</v>
      </c>
    </row>
    <row r="44740">
      <c r="H44740" s="50"/>
      <c r="I44740" s="50"/>
      <c r="O44740" s="36" t="s">
        <v>48</v>
      </c>
      <c r="R44740" s="36" t="s">
        <v>48</v>
      </c>
    </row>
    <row r="44741">
      <c r="H44741" s="50"/>
      <c r="I44741" s="50"/>
      <c r="O44741" s="36" t="s">
        <v>48</v>
      </c>
      <c r="R44741" s="36" t="s">
        <v>48</v>
      </c>
    </row>
    <row r="44742">
      <c r="H44742" s="50"/>
      <c r="I44742" s="50"/>
      <c r="O44742" s="36" t="s">
        <v>48</v>
      </c>
      <c r="R44742" s="36" t="s">
        <v>48</v>
      </c>
    </row>
    <row r="44743">
      <c r="H44743" s="50"/>
      <c r="I44743" s="50"/>
      <c r="O44743" s="36" t="s">
        <v>48</v>
      </c>
      <c r="R44743" s="36" t="s">
        <v>48</v>
      </c>
    </row>
    <row r="44744">
      <c r="H44744" s="50"/>
      <c r="I44744" s="50"/>
      <c r="O44744" s="36" t="s">
        <v>48</v>
      </c>
      <c r="R44744" s="36" t="s">
        <v>48</v>
      </c>
    </row>
    <row r="44745">
      <c r="H44745" s="50"/>
      <c r="I44745" s="50"/>
      <c r="O44745" s="36" t="s">
        <v>48</v>
      </c>
      <c r="R44745" s="36" t="s">
        <v>48</v>
      </c>
    </row>
    <row r="44746">
      <c r="H44746" s="50"/>
      <c r="I44746" s="50"/>
      <c r="O44746" s="36" t="s">
        <v>48</v>
      </c>
      <c r="R44746" s="36" t="s">
        <v>48</v>
      </c>
    </row>
    <row r="44747">
      <c r="H44747" s="50"/>
      <c r="I44747" s="50"/>
      <c r="O44747" s="36" t="s">
        <v>48</v>
      </c>
      <c r="R44747" s="36" t="s">
        <v>48</v>
      </c>
    </row>
    <row r="44748">
      <c r="H44748" s="50"/>
      <c r="I44748" s="50"/>
      <c r="O44748" s="36" t="s">
        <v>48</v>
      </c>
      <c r="R44748" s="36" t="s">
        <v>48</v>
      </c>
    </row>
    <row r="44749">
      <c r="H44749" s="50"/>
      <c r="I44749" s="50"/>
      <c r="O44749" s="36" t="s">
        <v>48</v>
      </c>
      <c r="R44749" s="36" t="s">
        <v>48</v>
      </c>
    </row>
    <row r="44750">
      <c r="H44750" s="50"/>
      <c r="I44750" s="50"/>
      <c r="O44750" s="36" t="s">
        <v>48</v>
      </c>
      <c r="R44750" s="36" t="s">
        <v>48</v>
      </c>
    </row>
    <row r="44751">
      <c r="H44751" s="50"/>
      <c r="I44751" s="50"/>
      <c r="O44751" s="36" t="s">
        <v>48</v>
      </c>
      <c r="R44751" s="36" t="s">
        <v>48</v>
      </c>
    </row>
    <row r="44752">
      <c r="H44752" s="50"/>
      <c r="I44752" s="50"/>
      <c r="O44752" s="36" t="s">
        <v>48</v>
      </c>
      <c r="R44752" s="36" t="s">
        <v>48</v>
      </c>
    </row>
    <row r="44753">
      <c r="H44753" s="50"/>
      <c r="I44753" s="50"/>
      <c r="O44753" s="36" t="s">
        <v>48</v>
      </c>
      <c r="R44753" s="36" t="s">
        <v>48</v>
      </c>
    </row>
    <row r="44754">
      <c r="H44754" s="50"/>
      <c r="I44754" s="50"/>
      <c r="O44754" s="36" t="s">
        <v>48</v>
      </c>
      <c r="R44754" s="36" t="s">
        <v>48</v>
      </c>
    </row>
    <row r="44755">
      <c r="H44755" s="50"/>
      <c r="I44755" s="50"/>
      <c r="O44755" s="36" t="s">
        <v>48</v>
      </c>
      <c r="R44755" s="36" t="s">
        <v>48</v>
      </c>
    </row>
    <row r="44756">
      <c r="H44756" s="50"/>
      <c r="I44756" s="50"/>
      <c r="O44756" s="36" t="s">
        <v>48</v>
      </c>
      <c r="R44756" s="36" t="s">
        <v>48</v>
      </c>
    </row>
    <row r="44757">
      <c r="H44757" s="50"/>
      <c r="I44757" s="50"/>
      <c r="O44757" s="36" t="s">
        <v>48</v>
      </c>
      <c r="R44757" s="36" t="s">
        <v>48</v>
      </c>
    </row>
    <row r="44758">
      <c r="H44758" s="50"/>
      <c r="I44758" s="50"/>
      <c r="O44758" s="36" t="s">
        <v>48</v>
      </c>
      <c r="R44758" s="36" t="s">
        <v>48</v>
      </c>
    </row>
    <row r="44759">
      <c r="H44759" s="50"/>
      <c r="I44759" s="50"/>
      <c r="O44759" s="36" t="s">
        <v>48</v>
      </c>
      <c r="R44759" s="36" t="s">
        <v>48</v>
      </c>
    </row>
    <row r="44760">
      <c r="H44760" s="50"/>
      <c r="I44760" s="50"/>
      <c r="O44760" s="36" t="s">
        <v>48</v>
      </c>
      <c r="R44760" s="36" t="s">
        <v>48</v>
      </c>
    </row>
    <row r="44761">
      <c r="H44761" s="50"/>
      <c r="I44761" s="50"/>
      <c r="O44761" s="36" t="s">
        <v>48</v>
      </c>
      <c r="R44761" s="36" t="s">
        <v>48</v>
      </c>
    </row>
    <row r="44762">
      <c r="H44762" s="50"/>
      <c r="I44762" s="50"/>
      <c r="O44762" s="36" t="s">
        <v>48</v>
      </c>
      <c r="R44762" s="36" t="s">
        <v>48</v>
      </c>
    </row>
    <row r="44763">
      <c r="H44763" s="50"/>
      <c r="I44763" s="50"/>
      <c r="O44763" s="36" t="s">
        <v>48</v>
      </c>
      <c r="R44763" s="36" t="s">
        <v>48</v>
      </c>
    </row>
    <row r="44764">
      <c r="H44764" s="50"/>
      <c r="I44764" s="50"/>
      <c r="O44764" s="36" t="s">
        <v>48</v>
      </c>
      <c r="R44764" s="36" t="s">
        <v>48</v>
      </c>
    </row>
    <row r="44765">
      <c r="H44765" s="50"/>
      <c r="I44765" s="50"/>
      <c r="O44765" s="36" t="s">
        <v>48</v>
      </c>
      <c r="R44765" s="36" t="s">
        <v>48</v>
      </c>
    </row>
    <row r="44766">
      <c r="H44766" s="50"/>
      <c r="I44766" s="50"/>
      <c r="O44766" s="36" t="s">
        <v>48</v>
      </c>
      <c r="R44766" s="36" t="s">
        <v>48</v>
      </c>
    </row>
    <row r="44767">
      <c r="H44767" s="50"/>
      <c r="I44767" s="50"/>
      <c r="O44767" s="36" t="s">
        <v>48</v>
      </c>
      <c r="R44767" s="36" t="s">
        <v>48</v>
      </c>
    </row>
    <row r="44768">
      <c r="H44768" s="50"/>
      <c r="I44768" s="50"/>
      <c r="O44768" s="36" t="s">
        <v>48</v>
      </c>
      <c r="R44768" s="36" t="s">
        <v>48</v>
      </c>
    </row>
    <row r="44769">
      <c r="H44769" s="50"/>
      <c r="I44769" s="50"/>
      <c r="O44769" s="36" t="s">
        <v>48</v>
      </c>
      <c r="R44769" s="36" t="s">
        <v>48</v>
      </c>
    </row>
    <row r="44770">
      <c r="H44770" s="50"/>
      <c r="I44770" s="50"/>
      <c r="O44770" s="36" t="s">
        <v>48</v>
      </c>
      <c r="R44770" s="36" t="s">
        <v>48</v>
      </c>
    </row>
    <row r="44771">
      <c r="H44771" s="50"/>
      <c r="I44771" s="50"/>
      <c r="O44771" s="36" t="s">
        <v>48</v>
      </c>
      <c r="R44771" s="36" t="s">
        <v>48</v>
      </c>
    </row>
    <row r="44772">
      <c r="H44772" s="50"/>
      <c r="I44772" s="50"/>
      <c r="O44772" s="36" t="s">
        <v>48</v>
      </c>
      <c r="R44772" s="36" t="s">
        <v>48</v>
      </c>
    </row>
    <row r="44773">
      <c r="H44773" s="50"/>
      <c r="I44773" s="50"/>
      <c r="O44773" s="36" t="s">
        <v>48</v>
      </c>
      <c r="R44773" s="36" t="s">
        <v>48</v>
      </c>
    </row>
    <row r="44774">
      <c r="H44774" s="50"/>
      <c r="I44774" s="50"/>
      <c r="O44774" s="36" t="s">
        <v>48</v>
      </c>
      <c r="R44774" s="36" t="s">
        <v>48</v>
      </c>
    </row>
    <row r="44775">
      <c r="H44775" s="50"/>
      <c r="I44775" s="50"/>
      <c r="O44775" s="36" t="s">
        <v>48</v>
      </c>
      <c r="R44775" s="36" t="s">
        <v>48</v>
      </c>
    </row>
    <row r="44776">
      <c r="H44776" s="50"/>
      <c r="I44776" s="50"/>
      <c r="O44776" s="36" t="s">
        <v>48</v>
      </c>
      <c r="R44776" s="36" t="s">
        <v>48</v>
      </c>
    </row>
    <row r="44777">
      <c r="H44777" s="50"/>
      <c r="I44777" s="50"/>
      <c r="O44777" s="36" t="s">
        <v>48</v>
      </c>
      <c r="R44777" s="36" t="s">
        <v>48</v>
      </c>
    </row>
    <row r="44778">
      <c r="H44778" s="50"/>
      <c r="I44778" s="50"/>
      <c r="O44778" s="36" t="s">
        <v>48</v>
      </c>
      <c r="R44778" s="36" t="s">
        <v>48</v>
      </c>
    </row>
    <row r="44779">
      <c r="H44779" s="50"/>
      <c r="I44779" s="50"/>
      <c r="O44779" s="36" t="s">
        <v>48</v>
      </c>
      <c r="R44779" s="36" t="s">
        <v>48</v>
      </c>
    </row>
    <row r="44780">
      <c r="H44780" s="50"/>
      <c r="I44780" s="50"/>
      <c r="O44780" s="36" t="s">
        <v>48</v>
      </c>
      <c r="R44780" s="36" t="s">
        <v>48</v>
      </c>
    </row>
    <row r="44781">
      <c r="H44781" s="50"/>
      <c r="I44781" s="50"/>
      <c r="O44781" s="36" t="s">
        <v>48</v>
      </c>
      <c r="R44781" s="36" t="s">
        <v>48</v>
      </c>
    </row>
    <row r="44782">
      <c r="H44782" s="50"/>
      <c r="I44782" s="50"/>
      <c r="O44782" s="36" t="s">
        <v>48</v>
      </c>
      <c r="R44782" s="36" t="s">
        <v>48</v>
      </c>
    </row>
    <row r="44783">
      <c r="H44783" s="50"/>
      <c r="I44783" s="50"/>
      <c r="O44783" s="36" t="s">
        <v>48</v>
      </c>
      <c r="R44783" s="36" t="s">
        <v>48</v>
      </c>
    </row>
    <row r="44784">
      <c r="H44784" s="50"/>
      <c r="I44784" s="50"/>
      <c r="O44784" s="36" t="s">
        <v>48</v>
      </c>
      <c r="R44784" s="36" t="s">
        <v>48</v>
      </c>
    </row>
    <row r="44785">
      <c r="H44785" s="50"/>
      <c r="I44785" s="50"/>
      <c r="O44785" s="36" t="s">
        <v>48</v>
      </c>
      <c r="R44785" s="36" t="s">
        <v>48</v>
      </c>
    </row>
    <row r="44786">
      <c r="H44786" s="50"/>
      <c r="I44786" s="50"/>
      <c r="O44786" s="36" t="s">
        <v>48</v>
      </c>
      <c r="R44786" s="36" t="s">
        <v>48</v>
      </c>
    </row>
    <row r="44787">
      <c r="H44787" s="50"/>
      <c r="I44787" s="50"/>
      <c r="O44787" s="36" t="s">
        <v>48</v>
      </c>
      <c r="R44787" s="36" t="s">
        <v>48</v>
      </c>
    </row>
    <row r="44788">
      <c r="H44788" s="50"/>
      <c r="I44788" s="50"/>
      <c r="O44788" s="36" t="s">
        <v>48</v>
      </c>
      <c r="R44788" s="36" t="s">
        <v>48</v>
      </c>
    </row>
    <row r="44789">
      <c r="H44789" s="50"/>
      <c r="I44789" s="50"/>
      <c r="O44789" s="36" t="s">
        <v>48</v>
      </c>
      <c r="R44789" s="36" t="s">
        <v>48</v>
      </c>
    </row>
    <row r="44790">
      <c r="H44790" s="50"/>
      <c r="I44790" s="50"/>
      <c r="O44790" s="36" t="s">
        <v>48</v>
      </c>
      <c r="R44790" s="36" t="s">
        <v>48</v>
      </c>
    </row>
    <row r="44791">
      <c r="H44791" s="50"/>
      <c r="I44791" s="50"/>
      <c r="O44791" s="36" t="s">
        <v>48</v>
      </c>
      <c r="R44791" s="36" t="s">
        <v>48</v>
      </c>
    </row>
    <row r="44792">
      <c r="H44792" s="50"/>
      <c r="I44792" s="50"/>
      <c r="O44792" s="36" t="s">
        <v>48</v>
      </c>
      <c r="R44792" s="36" t="s">
        <v>48</v>
      </c>
    </row>
    <row r="44793">
      <c r="H44793" s="50"/>
      <c r="I44793" s="50"/>
      <c r="O44793" s="36" t="s">
        <v>48</v>
      </c>
      <c r="R44793" s="36" t="s">
        <v>48</v>
      </c>
    </row>
    <row r="44794">
      <c r="H44794" s="50"/>
      <c r="I44794" s="50"/>
      <c r="O44794" s="36" t="s">
        <v>48</v>
      </c>
      <c r="R44794" s="36" t="s">
        <v>48</v>
      </c>
    </row>
    <row r="44795">
      <c r="H44795" s="50"/>
      <c r="I44795" s="50"/>
      <c r="O44795" s="36" t="s">
        <v>48</v>
      </c>
      <c r="R44795" s="36" t="s">
        <v>48</v>
      </c>
    </row>
    <row r="44796">
      <c r="H44796" s="50"/>
      <c r="I44796" s="50"/>
      <c r="O44796" s="36" t="s">
        <v>48</v>
      </c>
      <c r="R44796" s="36" t="s">
        <v>48</v>
      </c>
    </row>
    <row r="44797">
      <c r="H44797" s="50"/>
      <c r="I44797" s="50"/>
      <c r="O44797" s="36" t="s">
        <v>48</v>
      </c>
      <c r="R44797" s="36" t="s">
        <v>48</v>
      </c>
    </row>
    <row r="44798">
      <c r="H44798" s="50"/>
      <c r="I44798" s="50"/>
      <c r="O44798" s="36" t="s">
        <v>48</v>
      </c>
      <c r="R44798" s="36" t="s">
        <v>48</v>
      </c>
    </row>
    <row r="44799">
      <c r="H44799" s="50"/>
      <c r="I44799" s="50"/>
      <c r="O44799" s="36" t="s">
        <v>48</v>
      </c>
      <c r="R44799" s="36" t="s">
        <v>48</v>
      </c>
    </row>
    <row r="44800">
      <c r="H44800" s="50"/>
      <c r="I44800" s="50"/>
      <c r="O44800" s="36" t="s">
        <v>48</v>
      </c>
      <c r="R44800" s="36" t="s">
        <v>48</v>
      </c>
    </row>
    <row r="44801">
      <c r="H44801" s="50"/>
      <c r="I44801" s="50"/>
      <c r="O44801" s="36" t="s">
        <v>48</v>
      </c>
      <c r="R44801" s="36" t="s">
        <v>48</v>
      </c>
    </row>
    <row r="44802">
      <c r="H44802" s="50"/>
      <c r="I44802" s="50"/>
      <c r="O44802" s="36" t="s">
        <v>48</v>
      </c>
      <c r="R44802" s="36" t="s">
        <v>48</v>
      </c>
    </row>
    <row r="44803">
      <c r="H44803" s="50"/>
      <c r="I44803" s="50"/>
      <c r="O44803" s="36" t="s">
        <v>48</v>
      </c>
      <c r="R44803" s="36" t="s">
        <v>48</v>
      </c>
    </row>
    <row r="44804">
      <c r="H44804" s="50"/>
      <c r="I44804" s="50"/>
      <c r="O44804" s="36" t="s">
        <v>48</v>
      </c>
      <c r="R44804" s="36" t="s">
        <v>48</v>
      </c>
    </row>
    <row r="44805">
      <c r="H44805" s="50"/>
      <c r="I44805" s="50"/>
      <c r="O44805" s="36" t="s">
        <v>48</v>
      </c>
      <c r="R44805" s="36" t="s">
        <v>48</v>
      </c>
    </row>
    <row r="44806">
      <c r="H44806" s="50"/>
      <c r="I44806" s="50"/>
      <c r="O44806" s="36" t="s">
        <v>48</v>
      </c>
      <c r="R44806" s="36" t="s">
        <v>48</v>
      </c>
    </row>
    <row r="44807">
      <c r="H44807" s="50"/>
      <c r="I44807" s="50"/>
      <c r="O44807" s="36" t="s">
        <v>48</v>
      </c>
      <c r="R44807" s="36" t="s">
        <v>48</v>
      </c>
    </row>
    <row r="44808">
      <c r="H44808" s="50"/>
      <c r="I44808" s="50"/>
      <c r="O44808" s="36" t="s">
        <v>48</v>
      </c>
      <c r="R44808" s="36" t="s">
        <v>48</v>
      </c>
    </row>
    <row r="44809">
      <c r="H44809" s="50"/>
      <c r="I44809" s="50"/>
      <c r="O44809" s="36" t="s">
        <v>48</v>
      </c>
      <c r="R44809" s="36" t="s">
        <v>48</v>
      </c>
    </row>
    <row r="44810">
      <c r="H44810" s="50"/>
      <c r="I44810" s="50"/>
      <c r="O44810" s="36" t="s">
        <v>48</v>
      </c>
      <c r="R44810" s="36" t="s">
        <v>48</v>
      </c>
    </row>
    <row r="44811">
      <c r="H44811" s="50"/>
      <c r="I44811" s="50"/>
      <c r="O44811" s="36" t="s">
        <v>48</v>
      </c>
      <c r="R44811" s="36" t="s">
        <v>48</v>
      </c>
    </row>
    <row r="44812">
      <c r="H44812" s="50"/>
      <c r="I44812" s="50"/>
      <c r="O44812" s="36" t="s">
        <v>48</v>
      </c>
      <c r="R44812" s="36" t="s">
        <v>48</v>
      </c>
    </row>
    <row r="44813">
      <c r="H44813" s="50"/>
      <c r="I44813" s="50"/>
      <c r="O44813" s="36" t="s">
        <v>48</v>
      </c>
      <c r="R44813" s="36" t="s">
        <v>48</v>
      </c>
    </row>
    <row r="44814">
      <c r="H44814" s="50"/>
      <c r="I44814" s="50"/>
      <c r="O44814" s="36" t="s">
        <v>48</v>
      </c>
      <c r="R44814" s="36" t="s">
        <v>48</v>
      </c>
    </row>
    <row r="44815">
      <c r="H44815" s="50"/>
      <c r="I44815" s="50"/>
      <c r="O44815" s="36" t="s">
        <v>48</v>
      </c>
      <c r="R44815" s="36" t="s">
        <v>48</v>
      </c>
    </row>
    <row r="44816">
      <c r="H44816" s="50"/>
      <c r="I44816" s="50"/>
      <c r="O44816" s="36" t="s">
        <v>48</v>
      </c>
      <c r="R44816" s="36" t="s">
        <v>48</v>
      </c>
    </row>
    <row r="44817">
      <c r="H44817" s="50"/>
      <c r="I44817" s="50"/>
      <c r="O44817" s="36" t="s">
        <v>48</v>
      </c>
      <c r="R44817" s="36" t="s">
        <v>48</v>
      </c>
    </row>
    <row r="44818">
      <c r="H44818" s="50"/>
      <c r="I44818" s="50"/>
      <c r="O44818" s="36" t="s">
        <v>48</v>
      </c>
      <c r="R44818" s="36" t="s">
        <v>48</v>
      </c>
    </row>
    <row r="44819">
      <c r="H44819" s="50"/>
      <c r="I44819" s="50"/>
      <c r="O44819" s="36" t="s">
        <v>48</v>
      </c>
      <c r="R44819" s="36" t="s">
        <v>48</v>
      </c>
    </row>
    <row r="44820">
      <c r="H44820" s="50"/>
      <c r="I44820" s="50"/>
      <c r="O44820" s="36" t="s">
        <v>48</v>
      </c>
      <c r="R44820" s="36" t="s">
        <v>48</v>
      </c>
    </row>
    <row r="44821">
      <c r="H44821" s="50"/>
      <c r="I44821" s="50"/>
      <c r="O44821" s="36" t="s">
        <v>48</v>
      </c>
      <c r="R44821" s="36" t="s">
        <v>48</v>
      </c>
    </row>
    <row r="44822">
      <c r="H44822" s="50"/>
      <c r="I44822" s="50"/>
      <c r="O44822" s="36" t="s">
        <v>48</v>
      </c>
      <c r="R44822" s="36" t="s">
        <v>48</v>
      </c>
    </row>
    <row r="44823">
      <c r="H44823" s="50"/>
      <c r="I44823" s="50"/>
      <c r="O44823" s="36" t="s">
        <v>48</v>
      </c>
      <c r="R44823" s="36" t="s">
        <v>48</v>
      </c>
    </row>
    <row r="44824">
      <c r="H44824" s="50"/>
      <c r="I44824" s="50"/>
      <c r="O44824" s="36" t="s">
        <v>48</v>
      </c>
      <c r="R44824" s="36" t="s">
        <v>48</v>
      </c>
    </row>
    <row r="44825">
      <c r="H44825" s="50"/>
      <c r="I44825" s="50"/>
      <c r="O44825" s="36" t="s">
        <v>48</v>
      </c>
      <c r="R44825" s="36" t="s">
        <v>48</v>
      </c>
    </row>
    <row r="44826">
      <c r="H44826" s="50"/>
      <c r="I44826" s="50"/>
      <c r="O44826" s="36" t="s">
        <v>48</v>
      </c>
      <c r="R44826" s="36" t="s">
        <v>48</v>
      </c>
    </row>
    <row r="44827">
      <c r="H44827" s="50"/>
      <c r="I44827" s="50"/>
      <c r="O44827" s="36" t="s">
        <v>48</v>
      </c>
      <c r="R44827" s="36" t="s">
        <v>48</v>
      </c>
    </row>
    <row r="44828">
      <c r="H44828" s="50"/>
      <c r="I44828" s="50"/>
      <c r="O44828" s="36" t="s">
        <v>48</v>
      </c>
      <c r="R44828" s="36" t="s">
        <v>48</v>
      </c>
    </row>
    <row r="44829">
      <c r="H44829" s="50"/>
      <c r="I44829" s="50"/>
      <c r="O44829" s="36" t="s">
        <v>48</v>
      </c>
      <c r="R44829" s="36" t="s">
        <v>48</v>
      </c>
    </row>
    <row r="44830">
      <c r="H44830" s="50"/>
      <c r="I44830" s="50"/>
      <c r="O44830" s="36" t="s">
        <v>48</v>
      </c>
      <c r="R44830" s="36" t="s">
        <v>48</v>
      </c>
    </row>
    <row r="44831">
      <c r="H44831" s="50"/>
      <c r="I44831" s="50"/>
      <c r="O44831" s="36" t="s">
        <v>48</v>
      </c>
      <c r="R44831" s="36" t="s">
        <v>48</v>
      </c>
    </row>
    <row r="44832">
      <c r="H44832" s="50"/>
      <c r="I44832" s="50"/>
      <c r="O44832" s="36" t="s">
        <v>48</v>
      </c>
      <c r="R44832" s="36" t="s">
        <v>48</v>
      </c>
    </row>
    <row r="44833">
      <c r="H44833" s="50"/>
      <c r="I44833" s="50"/>
      <c r="O44833" s="36" t="s">
        <v>48</v>
      </c>
      <c r="R44833" s="36" t="s">
        <v>48</v>
      </c>
    </row>
    <row r="44834">
      <c r="H44834" s="50"/>
      <c r="I44834" s="50"/>
      <c r="O44834" s="36" t="s">
        <v>48</v>
      </c>
      <c r="R44834" s="36" t="s">
        <v>48</v>
      </c>
    </row>
    <row r="44835">
      <c r="H44835" s="50"/>
      <c r="I44835" s="50"/>
      <c r="O44835" s="36" t="s">
        <v>48</v>
      </c>
      <c r="R44835" s="36" t="s">
        <v>48</v>
      </c>
    </row>
    <row r="44836">
      <c r="H44836" s="50"/>
      <c r="I44836" s="50"/>
      <c r="O44836" s="36" t="s">
        <v>48</v>
      </c>
      <c r="R44836" s="36" t="s">
        <v>48</v>
      </c>
    </row>
    <row r="44837">
      <c r="H44837" s="50"/>
      <c r="I44837" s="50"/>
      <c r="O44837" s="36" t="s">
        <v>48</v>
      </c>
      <c r="R44837" s="36" t="s">
        <v>48</v>
      </c>
    </row>
    <row r="44838">
      <c r="H44838" s="50"/>
      <c r="I44838" s="50"/>
      <c r="O44838" s="36" t="s">
        <v>48</v>
      </c>
      <c r="R44838" s="36" t="s">
        <v>48</v>
      </c>
    </row>
    <row r="44839">
      <c r="H44839" s="50"/>
      <c r="I44839" s="50"/>
      <c r="O44839" s="36" t="s">
        <v>48</v>
      </c>
      <c r="R44839" s="36" t="s">
        <v>48</v>
      </c>
    </row>
    <row r="44840">
      <c r="H44840" s="50"/>
      <c r="I44840" s="50"/>
      <c r="O44840" s="36" t="s">
        <v>48</v>
      </c>
      <c r="R44840" s="36" t="s">
        <v>48</v>
      </c>
    </row>
    <row r="44841">
      <c r="H44841" s="50"/>
      <c r="I44841" s="50"/>
      <c r="O44841" s="36" t="s">
        <v>48</v>
      </c>
      <c r="R44841" s="36" t="s">
        <v>48</v>
      </c>
    </row>
    <row r="44842">
      <c r="H44842" s="50"/>
      <c r="I44842" s="50"/>
      <c r="O44842" s="36" t="s">
        <v>48</v>
      </c>
      <c r="R44842" s="36" t="s">
        <v>48</v>
      </c>
    </row>
    <row r="44843">
      <c r="H44843" s="50"/>
      <c r="I44843" s="50"/>
      <c r="O44843" s="36" t="s">
        <v>48</v>
      </c>
      <c r="R44843" s="36" t="s">
        <v>48</v>
      </c>
    </row>
    <row r="44844">
      <c r="H44844" s="50"/>
      <c r="I44844" s="50"/>
      <c r="O44844" s="36" t="s">
        <v>48</v>
      </c>
      <c r="R44844" s="36" t="s">
        <v>48</v>
      </c>
    </row>
    <row r="44845">
      <c r="H44845" s="50"/>
      <c r="I44845" s="50"/>
      <c r="O44845" s="36" t="s">
        <v>48</v>
      </c>
      <c r="R44845" s="36" t="s">
        <v>48</v>
      </c>
    </row>
    <row r="44846">
      <c r="H44846" s="50"/>
      <c r="I44846" s="50"/>
      <c r="O44846" s="36" t="s">
        <v>48</v>
      </c>
      <c r="R44846" s="36" t="s">
        <v>48</v>
      </c>
    </row>
    <row r="44847">
      <c r="H44847" s="50"/>
      <c r="I44847" s="50"/>
      <c r="O44847" s="36" t="s">
        <v>48</v>
      </c>
      <c r="R44847" s="36" t="s">
        <v>48</v>
      </c>
    </row>
    <row r="44848">
      <c r="H44848" s="50"/>
      <c r="I44848" s="50"/>
      <c r="O44848" s="36" t="s">
        <v>48</v>
      </c>
      <c r="R44848" s="36" t="s">
        <v>48</v>
      </c>
    </row>
    <row r="44849">
      <c r="H44849" s="50"/>
      <c r="I44849" s="50"/>
      <c r="O44849" s="36" t="s">
        <v>48</v>
      </c>
      <c r="R44849" s="36" t="s">
        <v>48</v>
      </c>
    </row>
    <row r="44850">
      <c r="H44850" s="50"/>
      <c r="I44850" s="50"/>
      <c r="O44850" s="36" t="s">
        <v>48</v>
      </c>
      <c r="R44850" s="36" t="s">
        <v>48</v>
      </c>
    </row>
    <row r="44851">
      <c r="H44851" s="50"/>
      <c r="I44851" s="50"/>
      <c r="O44851" s="36" t="s">
        <v>48</v>
      </c>
      <c r="R44851" s="36" t="s">
        <v>48</v>
      </c>
    </row>
    <row r="44852">
      <c r="H44852" s="50"/>
      <c r="I44852" s="50"/>
      <c r="O44852" s="36" t="s">
        <v>48</v>
      </c>
      <c r="R44852" s="36" t="s">
        <v>48</v>
      </c>
    </row>
    <row r="44853">
      <c r="H44853" s="50"/>
      <c r="I44853" s="50"/>
      <c r="O44853" s="36" t="s">
        <v>48</v>
      </c>
      <c r="R44853" s="36" t="s">
        <v>48</v>
      </c>
    </row>
    <row r="44854">
      <c r="H44854" s="50"/>
      <c r="I44854" s="50"/>
      <c r="O44854" s="36" t="s">
        <v>48</v>
      </c>
      <c r="R44854" s="36" t="s">
        <v>48</v>
      </c>
    </row>
    <row r="44855">
      <c r="H44855" s="50"/>
      <c r="I44855" s="50"/>
      <c r="O44855" s="36" t="s">
        <v>48</v>
      </c>
      <c r="R44855" s="36" t="s">
        <v>48</v>
      </c>
    </row>
    <row r="44856">
      <c r="H44856" s="50"/>
      <c r="I44856" s="50"/>
      <c r="O44856" s="36" t="s">
        <v>48</v>
      </c>
      <c r="R44856" s="36" t="s">
        <v>48</v>
      </c>
    </row>
    <row r="44857">
      <c r="H44857" s="50"/>
      <c r="I44857" s="50"/>
      <c r="O44857" s="36" t="s">
        <v>48</v>
      </c>
      <c r="R44857" s="36" t="s">
        <v>48</v>
      </c>
    </row>
    <row r="44858">
      <c r="H44858" s="50"/>
      <c r="I44858" s="50"/>
      <c r="O44858" s="36" t="s">
        <v>48</v>
      </c>
      <c r="R44858" s="36" t="s">
        <v>48</v>
      </c>
    </row>
    <row r="44859">
      <c r="H44859" s="50"/>
      <c r="I44859" s="50"/>
      <c r="O44859" s="36" t="s">
        <v>48</v>
      </c>
      <c r="R44859" s="36" t="s">
        <v>48</v>
      </c>
    </row>
    <row r="44860">
      <c r="H44860" s="50"/>
      <c r="I44860" s="50"/>
      <c r="O44860" s="36" t="s">
        <v>48</v>
      </c>
      <c r="R44860" s="36" t="s">
        <v>48</v>
      </c>
    </row>
    <row r="44861">
      <c r="H44861" s="50"/>
      <c r="I44861" s="50"/>
      <c r="O44861" s="36" t="s">
        <v>48</v>
      </c>
      <c r="R44861" s="36" t="s">
        <v>48</v>
      </c>
    </row>
    <row r="44862">
      <c r="H44862" s="50"/>
      <c r="I44862" s="50"/>
      <c r="O44862" s="36" t="s">
        <v>48</v>
      </c>
      <c r="R44862" s="36" t="s">
        <v>48</v>
      </c>
    </row>
    <row r="44863">
      <c r="H44863" s="50"/>
      <c r="I44863" s="50"/>
      <c r="O44863" s="36" t="s">
        <v>48</v>
      </c>
      <c r="R44863" s="36" t="s">
        <v>48</v>
      </c>
    </row>
    <row r="44864">
      <c r="H44864" s="50"/>
      <c r="I44864" s="50"/>
      <c r="O44864" s="36" t="s">
        <v>48</v>
      </c>
      <c r="R44864" s="36" t="s">
        <v>48</v>
      </c>
    </row>
    <row r="44865">
      <c r="H44865" s="50"/>
      <c r="I44865" s="50"/>
      <c r="O44865" s="36" t="s">
        <v>48</v>
      </c>
      <c r="R44865" s="36" t="s">
        <v>48</v>
      </c>
    </row>
    <row r="44866">
      <c r="H44866" s="50"/>
      <c r="I44866" s="50"/>
      <c r="O44866" s="36" t="s">
        <v>48</v>
      </c>
      <c r="R44866" s="36" t="s">
        <v>48</v>
      </c>
    </row>
    <row r="44867">
      <c r="H44867" s="50"/>
      <c r="I44867" s="50"/>
      <c r="O44867" s="36" t="s">
        <v>48</v>
      </c>
      <c r="R44867" s="36" t="s">
        <v>48</v>
      </c>
    </row>
    <row r="44868">
      <c r="H44868" s="50"/>
      <c r="I44868" s="50"/>
      <c r="O44868" s="36" t="s">
        <v>48</v>
      </c>
      <c r="R44868" s="36" t="s">
        <v>48</v>
      </c>
    </row>
    <row r="44869">
      <c r="H44869" s="50"/>
      <c r="I44869" s="50"/>
      <c r="O44869" s="36" t="s">
        <v>48</v>
      </c>
      <c r="R44869" s="36" t="s">
        <v>48</v>
      </c>
    </row>
    <row r="44870">
      <c r="H44870" s="50"/>
      <c r="I44870" s="50"/>
      <c r="O44870" s="36" t="s">
        <v>48</v>
      </c>
      <c r="R44870" s="36" t="s">
        <v>48</v>
      </c>
    </row>
    <row r="44871">
      <c r="H44871" s="50"/>
      <c r="I44871" s="50"/>
      <c r="O44871" s="36" t="s">
        <v>48</v>
      </c>
      <c r="R44871" s="36" t="s">
        <v>48</v>
      </c>
    </row>
    <row r="44872">
      <c r="H44872" s="50"/>
      <c r="I44872" s="50"/>
      <c r="O44872" s="36" t="s">
        <v>48</v>
      </c>
      <c r="R44872" s="36" t="s">
        <v>48</v>
      </c>
    </row>
    <row r="44873">
      <c r="H44873" s="50"/>
      <c r="I44873" s="50"/>
      <c r="O44873" s="36" t="s">
        <v>48</v>
      </c>
      <c r="R44873" s="36" t="s">
        <v>48</v>
      </c>
    </row>
    <row r="44874">
      <c r="H44874" s="50"/>
      <c r="I44874" s="50"/>
      <c r="O44874" s="36" t="s">
        <v>48</v>
      </c>
      <c r="R44874" s="36" t="s">
        <v>48</v>
      </c>
    </row>
    <row r="44875">
      <c r="H44875" s="50"/>
      <c r="I44875" s="50"/>
      <c r="O44875" s="36" t="s">
        <v>48</v>
      </c>
      <c r="R44875" s="36" t="s">
        <v>48</v>
      </c>
    </row>
    <row r="44876">
      <c r="H44876" s="50"/>
      <c r="I44876" s="50"/>
      <c r="O44876" s="36" t="s">
        <v>48</v>
      </c>
      <c r="R44876" s="36" t="s">
        <v>48</v>
      </c>
    </row>
    <row r="44877">
      <c r="H44877" s="50"/>
      <c r="I44877" s="50"/>
      <c r="O44877" s="36" t="s">
        <v>48</v>
      </c>
      <c r="R44877" s="36" t="s">
        <v>48</v>
      </c>
    </row>
    <row r="44878">
      <c r="H44878" s="50"/>
      <c r="I44878" s="50"/>
      <c r="O44878" s="36" t="s">
        <v>48</v>
      </c>
      <c r="R44878" s="36" t="s">
        <v>48</v>
      </c>
    </row>
    <row r="44879">
      <c r="H44879" s="50"/>
      <c r="I44879" s="50"/>
      <c r="O44879" s="36" t="s">
        <v>48</v>
      </c>
      <c r="R44879" s="36" t="s">
        <v>48</v>
      </c>
    </row>
    <row r="44880">
      <c r="H44880" s="50"/>
      <c r="I44880" s="50"/>
      <c r="O44880" s="36" t="s">
        <v>48</v>
      </c>
      <c r="R44880" s="36" t="s">
        <v>48</v>
      </c>
    </row>
    <row r="44881">
      <c r="H44881" s="50"/>
      <c r="I44881" s="50"/>
      <c r="O44881" s="36" t="s">
        <v>48</v>
      </c>
      <c r="R44881" s="36" t="s">
        <v>48</v>
      </c>
    </row>
    <row r="44882">
      <c r="H44882" s="50"/>
      <c r="I44882" s="50"/>
      <c r="O44882" s="36" t="s">
        <v>48</v>
      </c>
      <c r="R44882" s="36" t="s">
        <v>48</v>
      </c>
    </row>
    <row r="44883">
      <c r="H44883" s="50"/>
      <c r="I44883" s="50"/>
      <c r="O44883" s="36" t="s">
        <v>48</v>
      </c>
      <c r="R44883" s="36" t="s">
        <v>48</v>
      </c>
    </row>
    <row r="44884">
      <c r="H44884" s="50"/>
      <c r="I44884" s="50"/>
      <c r="O44884" s="36" t="s">
        <v>48</v>
      </c>
      <c r="R44884" s="36" t="s">
        <v>48</v>
      </c>
    </row>
    <row r="44885">
      <c r="H44885" s="50"/>
      <c r="I44885" s="50"/>
      <c r="O44885" s="36" t="s">
        <v>48</v>
      </c>
      <c r="R44885" s="36" t="s">
        <v>48</v>
      </c>
    </row>
    <row r="44886">
      <c r="H44886" s="50"/>
      <c r="I44886" s="50"/>
      <c r="O44886" s="36" t="s">
        <v>48</v>
      </c>
      <c r="R44886" s="36" t="s">
        <v>48</v>
      </c>
    </row>
    <row r="44887">
      <c r="H44887" s="50"/>
      <c r="I44887" s="50"/>
      <c r="O44887" s="36" t="s">
        <v>48</v>
      </c>
      <c r="R44887" s="36" t="s">
        <v>48</v>
      </c>
    </row>
    <row r="44888">
      <c r="H44888" s="50"/>
      <c r="I44888" s="50"/>
      <c r="O44888" s="36" t="s">
        <v>48</v>
      </c>
      <c r="R44888" s="36" t="s">
        <v>48</v>
      </c>
    </row>
    <row r="44889">
      <c r="H44889" s="50"/>
      <c r="I44889" s="50"/>
      <c r="O44889" s="36" t="s">
        <v>48</v>
      </c>
      <c r="R44889" s="36" t="s">
        <v>48</v>
      </c>
    </row>
    <row r="44890">
      <c r="H44890" s="50"/>
      <c r="I44890" s="50"/>
      <c r="O44890" s="36" t="s">
        <v>48</v>
      </c>
      <c r="R44890" s="36" t="s">
        <v>48</v>
      </c>
    </row>
    <row r="44891">
      <c r="H44891" s="50"/>
      <c r="I44891" s="50"/>
      <c r="O44891" s="36" t="s">
        <v>48</v>
      </c>
      <c r="R44891" s="36" t="s">
        <v>48</v>
      </c>
    </row>
    <row r="44892">
      <c r="H44892" s="50"/>
      <c r="I44892" s="50"/>
      <c r="O44892" s="36" t="s">
        <v>48</v>
      </c>
      <c r="R44892" s="36" t="s">
        <v>48</v>
      </c>
    </row>
    <row r="44893">
      <c r="H44893" s="50"/>
      <c r="I44893" s="50"/>
      <c r="O44893" s="36" t="s">
        <v>48</v>
      </c>
      <c r="R44893" s="36" t="s">
        <v>48</v>
      </c>
    </row>
    <row r="44894">
      <c r="H44894" s="50"/>
      <c r="I44894" s="50"/>
      <c r="O44894" s="36" t="s">
        <v>48</v>
      </c>
      <c r="R44894" s="36" t="s">
        <v>48</v>
      </c>
    </row>
    <row r="44895">
      <c r="H44895" s="50"/>
      <c r="I44895" s="50"/>
      <c r="O44895" s="36" t="s">
        <v>48</v>
      </c>
      <c r="R44895" s="36" t="s">
        <v>48</v>
      </c>
    </row>
    <row r="44896">
      <c r="H44896" s="50"/>
      <c r="I44896" s="50"/>
      <c r="O44896" s="36" t="s">
        <v>48</v>
      </c>
      <c r="R44896" s="36" t="s">
        <v>48</v>
      </c>
    </row>
    <row r="44897">
      <c r="H44897" s="50"/>
      <c r="I44897" s="50"/>
      <c r="O44897" s="36" t="s">
        <v>48</v>
      </c>
      <c r="R44897" s="36" t="s">
        <v>48</v>
      </c>
    </row>
    <row r="44898">
      <c r="H44898" s="50"/>
      <c r="I44898" s="50"/>
      <c r="O44898" s="36" t="s">
        <v>48</v>
      </c>
      <c r="R44898" s="36" t="s">
        <v>48</v>
      </c>
    </row>
    <row r="44899">
      <c r="H44899" s="50"/>
      <c r="I44899" s="50"/>
      <c r="O44899" s="36" t="s">
        <v>48</v>
      </c>
      <c r="R44899" s="36" t="s">
        <v>48</v>
      </c>
    </row>
    <row r="44900">
      <c r="H44900" s="50"/>
      <c r="I44900" s="50"/>
      <c r="O44900" s="36" t="s">
        <v>48</v>
      </c>
      <c r="R44900" s="36" t="s">
        <v>48</v>
      </c>
    </row>
    <row r="44901">
      <c r="H44901" s="50"/>
      <c r="I44901" s="50"/>
      <c r="O44901" s="36" t="s">
        <v>48</v>
      </c>
      <c r="R44901" s="36" t="s">
        <v>48</v>
      </c>
    </row>
    <row r="44902">
      <c r="H44902" s="50"/>
      <c r="I44902" s="50"/>
      <c r="O44902" s="36" t="s">
        <v>48</v>
      </c>
      <c r="R44902" s="36" t="s">
        <v>48</v>
      </c>
    </row>
    <row r="44903">
      <c r="H44903" s="50"/>
      <c r="I44903" s="50"/>
      <c r="O44903" s="36" t="s">
        <v>48</v>
      </c>
      <c r="R44903" s="36" t="s">
        <v>48</v>
      </c>
    </row>
    <row r="44904">
      <c r="H44904" s="50"/>
      <c r="I44904" s="50"/>
      <c r="O44904" s="36" t="s">
        <v>48</v>
      </c>
      <c r="R44904" s="36" t="s">
        <v>48</v>
      </c>
    </row>
    <row r="44905">
      <c r="H44905" s="50"/>
      <c r="I44905" s="50"/>
      <c r="O44905" s="36" t="s">
        <v>48</v>
      </c>
      <c r="R44905" s="36" t="s">
        <v>48</v>
      </c>
    </row>
    <row r="44906">
      <c r="H44906" s="50"/>
      <c r="I44906" s="50"/>
      <c r="O44906" s="36" t="s">
        <v>48</v>
      </c>
      <c r="R44906" s="36" t="s">
        <v>48</v>
      </c>
    </row>
    <row r="44907">
      <c r="H44907" s="50"/>
      <c r="I44907" s="50"/>
      <c r="O44907" s="36" t="s">
        <v>48</v>
      </c>
      <c r="R44907" s="36" t="s">
        <v>48</v>
      </c>
    </row>
    <row r="44908">
      <c r="H44908" s="50"/>
      <c r="I44908" s="50"/>
      <c r="O44908" s="36" t="s">
        <v>48</v>
      </c>
      <c r="R44908" s="36" t="s">
        <v>48</v>
      </c>
    </row>
    <row r="44909">
      <c r="H44909" s="50"/>
      <c r="I44909" s="50"/>
      <c r="O44909" s="36" t="s">
        <v>48</v>
      </c>
      <c r="R44909" s="36" t="s">
        <v>48</v>
      </c>
    </row>
    <row r="44910">
      <c r="H44910" s="50"/>
      <c r="I44910" s="50"/>
      <c r="O44910" s="36" t="s">
        <v>48</v>
      </c>
      <c r="R44910" s="36" t="s">
        <v>48</v>
      </c>
    </row>
    <row r="44911">
      <c r="H44911" s="50"/>
      <c r="I44911" s="50"/>
      <c r="O44911" s="36" t="s">
        <v>48</v>
      </c>
      <c r="R44911" s="36" t="s">
        <v>48</v>
      </c>
    </row>
    <row r="44912">
      <c r="H44912" s="50"/>
      <c r="I44912" s="50"/>
      <c r="O44912" s="36" t="s">
        <v>48</v>
      </c>
      <c r="R44912" s="36" t="s">
        <v>48</v>
      </c>
    </row>
    <row r="44913">
      <c r="H44913" s="50"/>
      <c r="I44913" s="50"/>
      <c r="O44913" s="36" t="s">
        <v>48</v>
      </c>
      <c r="R44913" s="36" t="s">
        <v>48</v>
      </c>
    </row>
    <row r="44914">
      <c r="H44914" s="50"/>
      <c r="I44914" s="50"/>
      <c r="O44914" s="36" t="s">
        <v>48</v>
      </c>
      <c r="R44914" s="36" t="s">
        <v>48</v>
      </c>
    </row>
    <row r="44915">
      <c r="H44915" s="50"/>
      <c r="I44915" s="50"/>
      <c r="O44915" s="36" t="s">
        <v>48</v>
      </c>
      <c r="R44915" s="36" t="s">
        <v>48</v>
      </c>
    </row>
    <row r="44916">
      <c r="H44916" s="50"/>
      <c r="I44916" s="50"/>
      <c r="O44916" s="36" t="s">
        <v>48</v>
      </c>
      <c r="R44916" s="36" t="s">
        <v>48</v>
      </c>
    </row>
    <row r="44917">
      <c r="H44917" s="50"/>
      <c r="I44917" s="50"/>
      <c r="O44917" s="36" t="s">
        <v>48</v>
      </c>
      <c r="R44917" s="36" t="s">
        <v>48</v>
      </c>
    </row>
    <row r="44918">
      <c r="H44918" s="50"/>
      <c r="I44918" s="50"/>
      <c r="O44918" s="36" t="s">
        <v>48</v>
      </c>
      <c r="R44918" s="36" t="s">
        <v>48</v>
      </c>
    </row>
    <row r="44919">
      <c r="H44919" s="50"/>
      <c r="I44919" s="50"/>
      <c r="O44919" s="36" t="s">
        <v>48</v>
      </c>
      <c r="R44919" s="36" t="s">
        <v>48</v>
      </c>
    </row>
    <row r="44920">
      <c r="H44920" s="50"/>
      <c r="I44920" s="50"/>
      <c r="O44920" s="36" t="s">
        <v>48</v>
      </c>
      <c r="R44920" s="36" t="s">
        <v>48</v>
      </c>
    </row>
    <row r="44921">
      <c r="H44921" s="50"/>
      <c r="I44921" s="50"/>
      <c r="O44921" s="36" t="s">
        <v>48</v>
      </c>
      <c r="R44921" s="36" t="s">
        <v>48</v>
      </c>
    </row>
    <row r="44922">
      <c r="H44922" s="50"/>
      <c r="I44922" s="50"/>
      <c r="O44922" s="36" t="s">
        <v>48</v>
      </c>
      <c r="R44922" s="36" t="s">
        <v>48</v>
      </c>
    </row>
    <row r="44923">
      <c r="H44923" s="50"/>
      <c r="I44923" s="50"/>
      <c r="O44923" s="36" t="s">
        <v>48</v>
      </c>
      <c r="R44923" s="36" t="s">
        <v>48</v>
      </c>
    </row>
    <row r="44924">
      <c r="H44924" s="50"/>
      <c r="I44924" s="50"/>
      <c r="O44924" s="36" t="s">
        <v>48</v>
      </c>
      <c r="R44924" s="36" t="s">
        <v>48</v>
      </c>
    </row>
    <row r="44925">
      <c r="H44925" s="50"/>
      <c r="I44925" s="50"/>
      <c r="O44925" s="36" t="s">
        <v>48</v>
      </c>
      <c r="R44925" s="36" t="s">
        <v>48</v>
      </c>
    </row>
    <row r="44926">
      <c r="H44926" s="50"/>
      <c r="I44926" s="50"/>
      <c r="O44926" s="36" t="s">
        <v>48</v>
      </c>
      <c r="R44926" s="36" t="s">
        <v>48</v>
      </c>
    </row>
    <row r="44927">
      <c r="H44927" s="50"/>
      <c r="I44927" s="50"/>
      <c r="O44927" s="36" t="s">
        <v>48</v>
      </c>
      <c r="R44927" s="36" t="s">
        <v>48</v>
      </c>
    </row>
    <row r="44928">
      <c r="H44928" s="50"/>
      <c r="I44928" s="50"/>
      <c r="O44928" s="36" t="s">
        <v>48</v>
      </c>
      <c r="R44928" s="36" t="s">
        <v>48</v>
      </c>
    </row>
    <row r="44929">
      <c r="H44929" s="50"/>
      <c r="I44929" s="50"/>
      <c r="O44929" s="36" t="s">
        <v>48</v>
      </c>
      <c r="R44929" s="36" t="s">
        <v>48</v>
      </c>
    </row>
    <row r="44930">
      <c r="H44930" s="50"/>
      <c r="I44930" s="50"/>
      <c r="O44930" s="36" t="s">
        <v>48</v>
      </c>
      <c r="R44930" s="36" t="s">
        <v>48</v>
      </c>
    </row>
    <row r="44931">
      <c r="H44931" s="50"/>
      <c r="I44931" s="50"/>
      <c r="O44931" s="36" t="s">
        <v>48</v>
      </c>
      <c r="R44931" s="36" t="s">
        <v>48</v>
      </c>
    </row>
    <row r="44932">
      <c r="H44932" s="50"/>
      <c r="I44932" s="50"/>
      <c r="O44932" s="36" t="s">
        <v>48</v>
      </c>
      <c r="R44932" s="36" t="s">
        <v>48</v>
      </c>
    </row>
    <row r="44933">
      <c r="H44933" s="50"/>
      <c r="I44933" s="50"/>
      <c r="O44933" s="36" t="s">
        <v>48</v>
      </c>
      <c r="R44933" s="36" t="s">
        <v>48</v>
      </c>
    </row>
    <row r="44934">
      <c r="H44934" s="50"/>
      <c r="I44934" s="50"/>
      <c r="O44934" s="36" t="s">
        <v>48</v>
      </c>
      <c r="R44934" s="36" t="s">
        <v>48</v>
      </c>
    </row>
    <row r="44935">
      <c r="H44935" s="50"/>
      <c r="I44935" s="50"/>
      <c r="O44935" s="36" t="s">
        <v>48</v>
      </c>
      <c r="R44935" s="36" t="s">
        <v>48</v>
      </c>
    </row>
    <row r="44936">
      <c r="H44936" s="50"/>
      <c r="I44936" s="50"/>
      <c r="O44936" s="36" t="s">
        <v>48</v>
      </c>
      <c r="R44936" s="36" t="s">
        <v>48</v>
      </c>
    </row>
    <row r="44937">
      <c r="H44937" s="50"/>
      <c r="I44937" s="50"/>
      <c r="O44937" s="36" t="s">
        <v>48</v>
      </c>
      <c r="R44937" s="36" t="s">
        <v>48</v>
      </c>
    </row>
    <row r="44938">
      <c r="H44938" s="50"/>
      <c r="I44938" s="50"/>
      <c r="O44938" s="36" t="s">
        <v>48</v>
      </c>
      <c r="R44938" s="36" t="s">
        <v>48</v>
      </c>
    </row>
    <row r="44939">
      <c r="H44939" s="50"/>
      <c r="I44939" s="50"/>
      <c r="O44939" s="36" t="s">
        <v>48</v>
      </c>
      <c r="R44939" s="36" t="s">
        <v>48</v>
      </c>
    </row>
    <row r="44940">
      <c r="H44940" s="50"/>
      <c r="I44940" s="50"/>
      <c r="O44940" s="36" t="s">
        <v>48</v>
      </c>
      <c r="R44940" s="36" t="s">
        <v>48</v>
      </c>
    </row>
    <row r="44941">
      <c r="H44941" s="50"/>
      <c r="I44941" s="50"/>
      <c r="O44941" s="36" t="s">
        <v>48</v>
      </c>
      <c r="R44941" s="36" t="s">
        <v>48</v>
      </c>
    </row>
    <row r="44942">
      <c r="H44942" s="50"/>
      <c r="I44942" s="50"/>
      <c r="O44942" s="36" t="s">
        <v>48</v>
      </c>
      <c r="R44942" s="36" t="s">
        <v>48</v>
      </c>
    </row>
    <row r="44943">
      <c r="H44943" s="50"/>
      <c r="I44943" s="50"/>
      <c r="O44943" s="36" t="s">
        <v>48</v>
      </c>
      <c r="R44943" s="36" t="s">
        <v>48</v>
      </c>
    </row>
    <row r="44944">
      <c r="H44944" s="50"/>
      <c r="I44944" s="50"/>
      <c r="O44944" s="36" t="s">
        <v>48</v>
      </c>
      <c r="R44944" s="36" t="s">
        <v>48</v>
      </c>
    </row>
    <row r="44945">
      <c r="H44945" s="50"/>
      <c r="I44945" s="50"/>
      <c r="O44945" s="36" t="s">
        <v>48</v>
      </c>
      <c r="R44945" s="36" t="s">
        <v>48</v>
      </c>
    </row>
    <row r="44946">
      <c r="H44946" s="50"/>
      <c r="I44946" s="50"/>
      <c r="O44946" s="36" t="s">
        <v>48</v>
      </c>
      <c r="R44946" s="36" t="s">
        <v>48</v>
      </c>
    </row>
    <row r="44947">
      <c r="H44947" s="50"/>
      <c r="I44947" s="50"/>
      <c r="O44947" s="36" t="s">
        <v>48</v>
      </c>
      <c r="R44947" s="36" t="s">
        <v>48</v>
      </c>
    </row>
    <row r="44948">
      <c r="H44948" s="50"/>
      <c r="I44948" s="50"/>
      <c r="O44948" s="36" t="s">
        <v>48</v>
      </c>
      <c r="R44948" s="36" t="s">
        <v>48</v>
      </c>
    </row>
    <row r="44949">
      <c r="H44949" s="50"/>
      <c r="I44949" s="50"/>
      <c r="O44949" s="36" t="s">
        <v>48</v>
      </c>
      <c r="R44949" s="36" t="s">
        <v>48</v>
      </c>
    </row>
    <row r="44950">
      <c r="H44950" s="50"/>
      <c r="I44950" s="50"/>
      <c r="O44950" s="36" t="s">
        <v>48</v>
      </c>
      <c r="R44950" s="36" t="s">
        <v>48</v>
      </c>
    </row>
    <row r="44951">
      <c r="H44951" s="50"/>
      <c r="I44951" s="50"/>
      <c r="O44951" s="36" t="s">
        <v>48</v>
      </c>
      <c r="R44951" s="36" t="s">
        <v>48</v>
      </c>
    </row>
    <row r="44952">
      <c r="H44952" s="50"/>
      <c r="I44952" s="50"/>
      <c r="O44952" s="36" t="s">
        <v>48</v>
      </c>
      <c r="R44952" s="36" t="s">
        <v>48</v>
      </c>
    </row>
    <row r="44953">
      <c r="H44953" s="50"/>
      <c r="I44953" s="50"/>
      <c r="O44953" s="36" t="s">
        <v>48</v>
      </c>
      <c r="R44953" s="36" t="s">
        <v>48</v>
      </c>
    </row>
    <row r="44954">
      <c r="H44954" s="50"/>
      <c r="I44954" s="50"/>
      <c r="O44954" s="36" t="s">
        <v>48</v>
      </c>
      <c r="R44954" s="36" t="s">
        <v>48</v>
      </c>
    </row>
    <row r="44955">
      <c r="H44955" s="50"/>
      <c r="I44955" s="50"/>
      <c r="O44955" s="36" t="s">
        <v>48</v>
      </c>
      <c r="R44955" s="36" t="s">
        <v>48</v>
      </c>
    </row>
    <row r="44956">
      <c r="H44956" s="50"/>
      <c r="I44956" s="50"/>
      <c r="O44956" s="36" t="s">
        <v>48</v>
      </c>
      <c r="R44956" s="36" t="s">
        <v>48</v>
      </c>
    </row>
    <row r="44957">
      <c r="H44957" s="50"/>
      <c r="I44957" s="50"/>
      <c r="O44957" s="36" t="s">
        <v>48</v>
      </c>
      <c r="R44957" s="36" t="s">
        <v>48</v>
      </c>
    </row>
    <row r="44958">
      <c r="H44958" s="50"/>
      <c r="I44958" s="50"/>
      <c r="O44958" s="36" t="s">
        <v>48</v>
      </c>
      <c r="R44958" s="36" t="s">
        <v>48</v>
      </c>
    </row>
    <row r="44959">
      <c r="H44959" s="50"/>
      <c r="I44959" s="50"/>
      <c r="O44959" s="36" t="s">
        <v>48</v>
      </c>
      <c r="R44959" s="36" t="s">
        <v>48</v>
      </c>
    </row>
    <row r="44960">
      <c r="H44960" s="50"/>
      <c r="I44960" s="50"/>
      <c r="O44960" s="36" t="s">
        <v>48</v>
      </c>
      <c r="R44960" s="36" t="s">
        <v>48</v>
      </c>
    </row>
    <row r="44961">
      <c r="H44961" s="50"/>
      <c r="I44961" s="50"/>
      <c r="O44961" s="36" t="s">
        <v>48</v>
      </c>
      <c r="R44961" s="36" t="s">
        <v>48</v>
      </c>
    </row>
    <row r="44962">
      <c r="H44962" s="50"/>
      <c r="I44962" s="50"/>
      <c r="O44962" s="36" t="s">
        <v>48</v>
      </c>
      <c r="R44962" s="36" t="s">
        <v>48</v>
      </c>
    </row>
    <row r="44963">
      <c r="H44963" s="50"/>
      <c r="I44963" s="50"/>
      <c r="O44963" s="36" t="s">
        <v>48</v>
      </c>
      <c r="R44963" s="36" t="s">
        <v>48</v>
      </c>
    </row>
    <row r="44964">
      <c r="H44964" s="50"/>
      <c r="I44964" s="50"/>
      <c r="O44964" s="36" t="s">
        <v>48</v>
      </c>
      <c r="R44964" s="36" t="s">
        <v>48</v>
      </c>
    </row>
    <row r="44965">
      <c r="H44965" s="50"/>
      <c r="I44965" s="50"/>
      <c r="O44965" s="36" t="s">
        <v>48</v>
      </c>
      <c r="R44965" s="36" t="s">
        <v>48</v>
      </c>
    </row>
    <row r="44966">
      <c r="H44966" s="50"/>
      <c r="I44966" s="50"/>
      <c r="O44966" s="36" t="s">
        <v>48</v>
      </c>
      <c r="R44966" s="36" t="s">
        <v>48</v>
      </c>
    </row>
    <row r="44967">
      <c r="H44967" s="50"/>
      <c r="I44967" s="50"/>
      <c r="O44967" s="36" t="s">
        <v>48</v>
      </c>
      <c r="R44967" s="36" t="s">
        <v>48</v>
      </c>
    </row>
    <row r="44968">
      <c r="H44968" s="50"/>
      <c r="I44968" s="50"/>
      <c r="O44968" s="36" t="s">
        <v>48</v>
      </c>
      <c r="R44968" s="36" t="s">
        <v>48</v>
      </c>
    </row>
    <row r="44969">
      <c r="H44969" s="50"/>
      <c r="I44969" s="50"/>
      <c r="O44969" s="36" t="s">
        <v>48</v>
      </c>
      <c r="R44969" s="36" t="s">
        <v>48</v>
      </c>
    </row>
    <row r="44970">
      <c r="H44970" s="50"/>
      <c r="I44970" s="50"/>
      <c r="O44970" s="36" t="s">
        <v>48</v>
      </c>
      <c r="R44970" s="36" t="s">
        <v>48</v>
      </c>
    </row>
    <row r="44971">
      <c r="H44971" s="50"/>
      <c r="I44971" s="50"/>
      <c r="O44971" s="36" t="s">
        <v>48</v>
      </c>
      <c r="R44971" s="36" t="s">
        <v>48</v>
      </c>
    </row>
    <row r="44972">
      <c r="H44972" s="50"/>
      <c r="I44972" s="50"/>
      <c r="O44972" s="36" t="s">
        <v>48</v>
      </c>
      <c r="R44972" s="36" t="s">
        <v>48</v>
      </c>
    </row>
    <row r="44973">
      <c r="H44973" s="50"/>
      <c r="I44973" s="50"/>
      <c r="O44973" s="36" t="s">
        <v>48</v>
      </c>
      <c r="R44973" s="36" t="s">
        <v>48</v>
      </c>
    </row>
    <row r="44974">
      <c r="H44974" s="50"/>
      <c r="I44974" s="50"/>
      <c r="O44974" s="36" t="s">
        <v>48</v>
      </c>
      <c r="R44974" s="36" t="s">
        <v>48</v>
      </c>
    </row>
    <row r="44975">
      <c r="H44975" s="50"/>
      <c r="I44975" s="50"/>
      <c r="O44975" s="36" t="s">
        <v>48</v>
      </c>
      <c r="R44975" s="36" t="s">
        <v>48</v>
      </c>
    </row>
    <row r="44976">
      <c r="H44976" s="50"/>
      <c r="I44976" s="50"/>
      <c r="O44976" s="36" t="s">
        <v>48</v>
      </c>
      <c r="R44976" s="36" t="s">
        <v>48</v>
      </c>
    </row>
    <row r="44977">
      <c r="H44977" s="50"/>
      <c r="I44977" s="50"/>
      <c r="O44977" s="36" t="s">
        <v>48</v>
      </c>
      <c r="R44977" s="36" t="s">
        <v>48</v>
      </c>
    </row>
    <row r="44978">
      <c r="H44978" s="50"/>
      <c r="I44978" s="50"/>
      <c r="O44978" s="36" t="s">
        <v>48</v>
      </c>
      <c r="R44978" s="36" t="s">
        <v>48</v>
      </c>
    </row>
    <row r="44979">
      <c r="H44979" s="50"/>
      <c r="I44979" s="50"/>
      <c r="O44979" s="36" t="s">
        <v>48</v>
      </c>
      <c r="R44979" s="36" t="s">
        <v>48</v>
      </c>
    </row>
    <row r="44980">
      <c r="H44980" s="50"/>
      <c r="I44980" s="50"/>
      <c r="O44980" s="36" t="s">
        <v>48</v>
      </c>
      <c r="R44980" s="36" t="s">
        <v>48</v>
      </c>
    </row>
    <row r="44981">
      <c r="H44981" s="50"/>
      <c r="I44981" s="50"/>
      <c r="O44981" s="36" t="s">
        <v>48</v>
      </c>
      <c r="R44981" s="36" t="s">
        <v>48</v>
      </c>
    </row>
    <row r="44982">
      <c r="H44982" s="50"/>
      <c r="I44982" s="50"/>
      <c r="O44982" s="36" t="s">
        <v>48</v>
      </c>
      <c r="R44982" s="36" t="s">
        <v>48</v>
      </c>
    </row>
    <row r="44983">
      <c r="H44983" s="50"/>
      <c r="I44983" s="50"/>
      <c r="O44983" s="36" t="s">
        <v>48</v>
      </c>
      <c r="R44983" s="36" t="s">
        <v>48</v>
      </c>
    </row>
    <row r="44984">
      <c r="H44984" s="50"/>
      <c r="I44984" s="50"/>
      <c r="O44984" s="36" t="s">
        <v>48</v>
      </c>
      <c r="R44984" s="36" t="s">
        <v>48</v>
      </c>
    </row>
    <row r="44985">
      <c r="H44985" s="50"/>
      <c r="I44985" s="50"/>
      <c r="O44985" s="36" t="s">
        <v>48</v>
      </c>
      <c r="R44985" s="36" t="s">
        <v>48</v>
      </c>
    </row>
    <row r="44986">
      <c r="H44986" s="50"/>
      <c r="I44986" s="50"/>
      <c r="O44986" s="36" t="s">
        <v>48</v>
      </c>
      <c r="R44986" s="36" t="s">
        <v>48</v>
      </c>
    </row>
    <row r="44987">
      <c r="H44987" s="50"/>
      <c r="I44987" s="50"/>
      <c r="O44987" s="36" t="s">
        <v>48</v>
      </c>
      <c r="R44987" s="36" t="s">
        <v>48</v>
      </c>
    </row>
    <row r="44988">
      <c r="H44988" s="50"/>
      <c r="I44988" s="50"/>
      <c r="O44988" s="36" t="s">
        <v>48</v>
      </c>
      <c r="R44988" s="36" t="s">
        <v>48</v>
      </c>
    </row>
    <row r="44989">
      <c r="H44989" s="50"/>
      <c r="I44989" s="50"/>
      <c r="O44989" s="36" t="s">
        <v>48</v>
      </c>
      <c r="R44989" s="36" t="s">
        <v>48</v>
      </c>
    </row>
    <row r="44990">
      <c r="H44990" s="50"/>
      <c r="I44990" s="50"/>
      <c r="O44990" s="36" t="s">
        <v>48</v>
      </c>
      <c r="R44990" s="36" t="s">
        <v>48</v>
      </c>
    </row>
    <row r="44991">
      <c r="H44991" s="50"/>
      <c r="I44991" s="50"/>
      <c r="O44991" s="36" t="s">
        <v>48</v>
      </c>
      <c r="R44991" s="36" t="s">
        <v>48</v>
      </c>
    </row>
    <row r="44992">
      <c r="H44992" s="50"/>
      <c r="I44992" s="50"/>
      <c r="O44992" s="36" t="s">
        <v>48</v>
      </c>
      <c r="R44992" s="36" t="s">
        <v>48</v>
      </c>
    </row>
    <row r="44993">
      <c r="H44993" s="50"/>
      <c r="I44993" s="50"/>
      <c r="O44993" s="36" t="s">
        <v>48</v>
      </c>
      <c r="R44993" s="36" t="s">
        <v>48</v>
      </c>
    </row>
    <row r="44994">
      <c r="H44994" s="50"/>
      <c r="I44994" s="50"/>
      <c r="O44994" s="36" t="s">
        <v>48</v>
      </c>
      <c r="R44994" s="36" t="s">
        <v>48</v>
      </c>
    </row>
    <row r="44995">
      <c r="H44995" s="50"/>
      <c r="I44995" s="50"/>
      <c r="O44995" s="36" t="s">
        <v>48</v>
      </c>
      <c r="R44995" s="36" t="s">
        <v>48</v>
      </c>
    </row>
    <row r="44996">
      <c r="H44996" s="50"/>
      <c r="I44996" s="50"/>
      <c r="O44996" s="36" t="s">
        <v>48</v>
      </c>
      <c r="R44996" s="36" t="s">
        <v>48</v>
      </c>
    </row>
    <row r="44997">
      <c r="H44997" s="50"/>
      <c r="I44997" s="50"/>
      <c r="O44997" s="36" t="s">
        <v>48</v>
      </c>
      <c r="R44997" s="36" t="s">
        <v>48</v>
      </c>
    </row>
    <row r="44998">
      <c r="H44998" s="50"/>
      <c r="I44998" s="50"/>
      <c r="O44998" s="36" t="s">
        <v>48</v>
      </c>
      <c r="R44998" s="36" t="s">
        <v>48</v>
      </c>
    </row>
    <row r="44999">
      <c r="H44999" s="50"/>
      <c r="I44999" s="50"/>
      <c r="O44999" s="36" t="s">
        <v>48</v>
      </c>
      <c r="R44999" s="36" t="s">
        <v>48</v>
      </c>
    </row>
    <row r="45000">
      <c r="H45000" s="50"/>
      <c r="I45000" s="50"/>
      <c r="O45000" s="36" t="s">
        <v>48</v>
      </c>
      <c r="R45000" s="36" t="s">
        <v>48</v>
      </c>
    </row>
    <row r="45001">
      <c r="H45001" s="50"/>
      <c r="I45001" s="50"/>
      <c r="O45001" s="36" t="s">
        <v>48</v>
      </c>
      <c r="R45001" s="36" t="s">
        <v>48</v>
      </c>
    </row>
    <row r="45002">
      <c r="H45002" s="50"/>
      <c r="I45002" s="50"/>
      <c r="O45002" s="36" t="s">
        <v>48</v>
      </c>
      <c r="R45002" s="36" t="s">
        <v>48</v>
      </c>
    </row>
    <row r="45003">
      <c r="H45003" s="50"/>
      <c r="I45003" s="50"/>
      <c r="O45003" s="36" t="s">
        <v>48</v>
      </c>
      <c r="R45003" s="36" t="s">
        <v>48</v>
      </c>
    </row>
    <row r="45004">
      <c r="H45004" s="50"/>
      <c r="I45004" s="50"/>
      <c r="O45004" s="36" t="s">
        <v>48</v>
      </c>
      <c r="R45004" s="36" t="s">
        <v>48</v>
      </c>
    </row>
    <row r="45005">
      <c r="H45005" s="50"/>
      <c r="I45005" s="50"/>
      <c r="O45005" s="36" t="s">
        <v>48</v>
      </c>
      <c r="R45005" s="36" t="s">
        <v>48</v>
      </c>
    </row>
    <row r="45006">
      <c r="H45006" s="50"/>
      <c r="I45006" s="50"/>
      <c r="O45006" s="36" t="s">
        <v>48</v>
      </c>
      <c r="R45006" s="36" t="s">
        <v>48</v>
      </c>
    </row>
    <row r="45007">
      <c r="H45007" s="50"/>
      <c r="I45007" s="50"/>
      <c r="O45007" s="36" t="s">
        <v>48</v>
      </c>
      <c r="R45007" s="36" t="s">
        <v>48</v>
      </c>
    </row>
    <row r="45008">
      <c r="H45008" s="50"/>
      <c r="I45008" s="50"/>
      <c r="O45008" s="36" t="s">
        <v>48</v>
      </c>
      <c r="R45008" s="36" t="s">
        <v>48</v>
      </c>
    </row>
    <row r="45009">
      <c r="H45009" s="50"/>
      <c r="I45009" s="50"/>
      <c r="O45009" s="36" t="s">
        <v>48</v>
      </c>
      <c r="R45009" s="36" t="s">
        <v>48</v>
      </c>
    </row>
    <row r="45010">
      <c r="H45010" s="50"/>
      <c r="I45010" s="50"/>
      <c r="O45010" s="36" t="s">
        <v>48</v>
      </c>
      <c r="R45010" s="36" t="s">
        <v>48</v>
      </c>
    </row>
    <row r="45011">
      <c r="H45011" s="50"/>
      <c r="I45011" s="50"/>
      <c r="O45011" s="36" t="s">
        <v>48</v>
      </c>
      <c r="R45011" s="36" t="s">
        <v>48</v>
      </c>
    </row>
    <row r="45012">
      <c r="H45012" s="50"/>
      <c r="I45012" s="50"/>
      <c r="O45012" s="36" t="s">
        <v>48</v>
      </c>
      <c r="R45012" s="36" t="s">
        <v>48</v>
      </c>
    </row>
    <row r="45013">
      <c r="H45013" s="50"/>
      <c r="I45013" s="50"/>
      <c r="O45013" s="36" t="s">
        <v>48</v>
      </c>
      <c r="R45013" s="36" t="s">
        <v>48</v>
      </c>
    </row>
    <row r="45014">
      <c r="H45014" s="50"/>
      <c r="I45014" s="50"/>
      <c r="O45014" s="36" t="s">
        <v>48</v>
      </c>
      <c r="R45014" s="36" t="s">
        <v>48</v>
      </c>
    </row>
    <row r="45015">
      <c r="H45015" s="50"/>
      <c r="I45015" s="50"/>
      <c r="O45015" s="36" t="s">
        <v>48</v>
      </c>
      <c r="R45015" s="36" t="s">
        <v>48</v>
      </c>
    </row>
    <row r="45016">
      <c r="H45016" s="50"/>
      <c r="I45016" s="50"/>
      <c r="O45016" s="36" t="s">
        <v>48</v>
      </c>
      <c r="R45016" s="36" t="s">
        <v>48</v>
      </c>
    </row>
    <row r="45017">
      <c r="H45017" s="50"/>
      <c r="I45017" s="50"/>
      <c r="O45017" s="36" t="s">
        <v>48</v>
      </c>
      <c r="R45017" s="36" t="s">
        <v>48</v>
      </c>
    </row>
    <row r="45018">
      <c r="H45018" s="50"/>
      <c r="I45018" s="50"/>
      <c r="O45018" s="36" t="s">
        <v>48</v>
      </c>
      <c r="R45018" s="36" t="s">
        <v>48</v>
      </c>
    </row>
    <row r="45019">
      <c r="H45019" s="50"/>
      <c r="I45019" s="50"/>
      <c r="O45019" s="36" t="s">
        <v>48</v>
      </c>
      <c r="R45019" s="36" t="s">
        <v>48</v>
      </c>
    </row>
    <row r="45020">
      <c r="H45020" s="50"/>
      <c r="I45020" s="50"/>
      <c r="O45020" s="36" t="s">
        <v>48</v>
      </c>
      <c r="R45020" s="36" t="s">
        <v>48</v>
      </c>
    </row>
    <row r="45021">
      <c r="H45021" s="50"/>
      <c r="I45021" s="50"/>
      <c r="O45021" s="36" t="s">
        <v>48</v>
      </c>
      <c r="R45021" s="36" t="s">
        <v>48</v>
      </c>
    </row>
    <row r="45022">
      <c r="H45022" s="50"/>
      <c r="I45022" s="50"/>
      <c r="O45022" s="36" t="s">
        <v>48</v>
      </c>
      <c r="R45022" s="36" t="s">
        <v>48</v>
      </c>
    </row>
    <row r="45023">
      <c r="H45023" s="50"/>
      <c r="I45023" s="50"/>
      <c r="O45023" s="36" t="s">
        <v>48</v>
      </c>
      <c r="R45023" s="36" t="s">
        <v>48</v>
      </c>
    </row>
    <row r="45024">
      <c r="H45024" s="50"/>
      <c r="I45024" s="50"/>
      <c r="O45024" s="36" t="s">
        <v>48</v>
      </c>
      <c r="R45024" s="36" t="s">
        <v>48</v>
      </c>
    </row>
    <row r="45025">
      <c r="H45025" s="50"/>
      <c r="I45025" s="50"/>
      <c r="O45025" s="36" t="s">
        <v>48</v>
      </c>
      <c r="R45025" s="36" t="s">
        <v>48</v>
      </c>
    </row>
    <row r="45026">
      <c r="H45026" s="50"/>
      <c r="I45026" s="50"/>
      <c r="O45026" s="36" t="s">
        <v>48</v>
      </c>
      <c r="R45026" s="36" t="s">
        <v>48</v>
      </c>
    </row>
    <row r="45027">
      <c r="H45027" s="50"/>
      <c r="I45027" s="50"/>
      <c r="O45027" s="36" t="s">
        <v>48</v>
      </c>
      <c r="R45027" s="36" t="s">
        <v>48</v>
      </c>
    </row>
    <row r="45028">
      <c r="H45028" s="50"/>
      <c r="I45028" s="50"/>
      <c r="O45028" s="36" t="s">
        <v>48</v>
      </c>
      <c r="R45028" s="36" t="s">
        <v>48</v>
      </c>
    </row>
    <row r="45029">
      <c r="H45029" s="50"/>
      <c r="I45029" s="50"/>
      <c r="O45029" s="36" t="s">
        <v>48</v>
      </c>
      <c r="R45029" s="36" t="s">
        <v>48</v>
      </c>
    </row>
    <row r="45030">
      <c r="H45030" s="50"/>
      <c r="I45030" s="50"/>
      <c r="O45030" s="36" t="s">
        <v>48</v>
      </c>
      <c r="R45030" s="36" t="s">
        <v>48</v>
      </c>
    </row>
    <row r="45031">
      <c r="H45031" s="50"/>
      <c r="I45031" s="50"/>
      <c r="O45031" s="36" t="s">
        <v>48</v>
      </c>
      <c r="R45031" s="36" t="s">
        <v>48</v>
      </c>
    </row>
    <row r="45032">
      <c r="H45032" s="50"/>
      <c r="I45032" s="50"/>
      <c r="O45032" s="36" t="s">
        <v>48</v>
      </c>
      <c r="R45032" s="36" t="s">
        <v>48</v>
      </c>
    </row>
    <row r="45033">
      <c r="H45033" s="50"/>
      <c r="I45033" s="50"/>
      <c r="O45033" s="36" t="s">
        <v>48</v>
      </c>
      <c r="R45033" s="36" t="s">
        <v>48</v>
      </c>
    </row>
    <row r="45034">
      <c r="H45034" s="50"/>
      <c r="I45034" s="50"/>
      <c r="O45034" s="36" t="s">
        <v>48</v>
      </c>
      <c r="R45034" s="36" t="s">
        <v>48</v>
      </c>
    </row>
    <row r="45035">
      <c r="H45035" s="50"/>
      <c r="I45035" s="50"/>
      <c r="O45035" s="36" t="s">
        <v>48</v>
      </c>
      <c r="R45035" s="36" t="s">
        <v>48</v>
      </c>
    </row>
    <row r="45036">
      <c r="H45036" s="50"/>
      <c r="I45036" s="50"/>
      <c r="O45036" s="36" t="s">
        <v>48</v>
      </c>
      <c r="R45036" s="36" t="s">
        <v>48</v>
      </c>
    </row>
    <row r="45037">
      <c r="H45037" s="50"/>
      <c r="I45037" s="50"/>
      <c r="O45037" s="36" t="s">
        <v>48</v>
      </c>
      <c r="R45037" s="36" t="s">
        <v>48</v>
      </c>
    </row>
    <row r="45038">
      <c r="H45038" s="50"/>
      <c r="I45038" s="50"/>
      <c r="O45038" s="36" t="s">
        <v>48</v>
      </c>
      <c r="R45038" s="36" t="s">
        <v>48</v>
      </c>
    </row>
    <row r="45039">
      <c r="H45039" s="50"/>
      <c r="I45039" s="50"/>
      <c r="O45039" s="36" t="s">
        <v>48</v>
      </c>
      <c r="R45039" s="36" t="s">
        <v>48</v>
      </c>
    </row>
    <row r="45040">
      <c r="H45040" s="50"/>
      <c r="I45040" s="50"/>
      <c r="O45040" s="36" t="s">
        <v>48</v>
      </c>
      <c r="R45040" s="36" t="s">
        <v>48</v>
      </c>
    </row>
    <row r="45041">
      <c r="H45041" s="50"/>
      <c r="I45041" s="50"/>
      <c r="O45041" s="36" t="s">
        <v>48</v>
      </c>
      <c r="R45041" s="36" t="s">
        <v>48</v>
      </c>
    </row>
    <row r="45042">
      <c r="H45042" s="50"/>
      <c r="I45042" s="50"/>
      <c r="O45042" s="36" t="s">
        <v>48</v>
      </c>
      <c r="R45042" s="36" t="s">
        <v>48</v>
      </c>
    </row>
    <row r="45043">
      <c r="H45043" s="50"/>
      <c r="I45043" s="50"/>
      <c r="O45043" s="36" t="s">
        <v>48</v>
      </c>
      <c r="R45043" s="36" t="s">
        <v>48</v>
      </c>
    </row>
    <row r="45044">
      <c r="H45044" s="50"/>
      <c r="I45044" s="50"/>
      <c r="O45044" s="36" t="s">
        <v>48</v>
      </c>
      <c r="R45044" s="36" t="s">
        <v>48</v>
      </c>
    </row>
    <row r="45045">
      <c r="H45045" s="50"/>
      <c r="I45045" s="50"/>
      <c r="O45045" s="36" t="s">
        <v>48</v>
      </c>
      <c r="R45045" s="36" t="s">
        <v>48</v>
      </c>
    </row>
    <row r="45046">
      <c r="H45046" s="50"/>
      <c r="I45046" s="50"/>
      <c r="O45046" s="36" t="s">
        <v>48</v>
      </c>
      <c r="R45046" s="36" t="s">
        <v>48</v>
      </c>
    </row>
    <row r="45047">
      <c r="H45047" s="50"/>
      <c r="I45047" s="50"/>
      <c r="O45047" s="36" t="s">
        <v>48</v>
      </c>
      <c r="R45047" s="36" t="s">
        <v>48</v>
      </c>
    </row>
    <row r="45048">
      <c r="H45048" s="50"/>
      <c r="I45048" s="50"/>
      <c r="O45048" s="36" t="s">
        <v>48</v>
      </c>
      <c r="R45048" s="36" t="s">
        <v>48</v>
      </c>
    </row>
    <row r="45049">
      <c r="H45049" s="50"/>
      <c r="I45049" s="50"/>
      <c r="O45049" s="36" t="s">
        <v>48</v>
      </c>
      <c r="R45049" s="36" t="s">
        <v>48</v>
      </c>
    </row>
    <row r="45050">
      <c r="H45050" s="50"/>
      <c r="I45050" s="50"/>
      <c r="O45050" s="36" t="s">
        <v>48</v>
      </c>
      <c r="R45050" s="36" t="s">
        <v>48</v>
      </c>
    </row>
    <row r="45051">
      <c r="H45051" s="50"/>
      <c r="I45051" s="50"/>
      <c r="O45051" s="36" t="s">
        <v>48</v>
      </c>
      <c r="R45051" s="36" t="s">
        <v>48</v>
      </c>
    </row>
    <row r="45052">
      <c r="H45052" s="50"/>
      <c r="I45052" s="50"/>
      <c r="O45052" s="36" t="s">
        <v>48</v>
      </c>
      <c r="R45052" s="36" t="s">
        <v>48</v>
      </c>
    </row>
    <row r="45053">
      <c r="H45053" s="50"/>
      <c r="I45053" s="50"/>
      <c r="O45053" s="36" t="s">
        <v>48</v>
      </c>
      <c r="R45053" s="36" t="s">
        <v>48</v>
      </c>
    </row>
    <row r="45054">
      <c r="H45054" s="50"/>
      <c r="I45054" s="50"/>
      <c r="O45054" s="36" t="s">
        <v>48</v>
      </c>
      <c r="R45054" s="36" t="s">
        <v>48</v>
      </c>
    </row>
    <row r="45055">
      <c r="H45055" s="50"/>
      <c r="I45055" s="50"/>
      <c r="O45055" s="36" t="s">
        <v>48</v>
      </c>
      <c r="R45055" s="36" t="s">
        <v>48</v>
      </c>
    </row>
    <row r="45056">
      <c r="H45056" s="50"/>
      <c r="I45056" s="50"/>
      <c r="O45056" s="36" t="s">
        <v>48</v>
      </c>
      <c r="R45056" s="36" t="s">
        <v>48</v>
      </c>
    </row>
    <row r="45057">
      <c r="H45057" s="50"/>
      <c r="I45057" s="50"/>
      <c r="O45057" s="36" t="s">
        <v>48</v>
      </c>
      <c r="R45057" s="36" t="s">
        <v>48</v>
      </c>
    </row>
    <row r="45058">
      <c r="H45058" s="50"/>
      <c r="I45058" s="50"/>
      <c r="O45058" s="36" t="s">
        <v>48</v>
      </c>
      <c r="R45058" s="36" t="s">
        <v>48</v>
      </c>
    </row>
    <row r="45059">
      <c r="H45059" s="50"/>
      <c r="I45059" s="50"/>
      <c r="O45059" s="36" t="s">
        <v>48</v>
      </c>
      <c r="R45059" s="36" t="s">
        <v>48</v>
      </c>
    </row>
    <row r="45060">
      <c r="H45060" s="50"/>
      <c r="I45060" s="50"/>
      <c r="O45060" s="36" t="s">
        <v>48</v>
      </c>
      <c r="R45060" s="36" t="s">
        <v>48</v>
      </c>
    </row>
    <row r="45061">
      <c r="H45061" s="50"/>
      <c r="I45061" s="50"/>
      <c r="O45061" s="36" t="s">
        <v>48</v>
      </c>
      <c r="R45061" s="36" t="s">
        <v>48</v>
      </c>
    </row>
    <row r="45062">
      <c r="H45062" s="50"/>
      <c r="I45062" s="50"/>
      <c r="O45062" s="36" t="s">
        <v>48</v>
      </c>
      <c r="R45062" s="36" t="s">
        <v>48</v>
      </c>
    </row>
    <row r="45063">
      <c r="H45063" s="50"/>
      <c r="I45063" s="50"/>
      <c r="O45063" s="36" t="s">
        <v>48</v>
      </c>
      <c r="R45063" s="36" t="s">
        <v>48</v>
      </c>
    </row>
    <row r="45064">
      <c r="H45064" s="50"/>
      <c r="I45064" s="50"/>
      <c r="O45064" s="36" t="s">
        <v>48</v>
      </c>
      <c r="R45064" s="36" t="s">
        <v>48</v>
      </c>
    </row>
    <row r="45065">
      <c r="H45065" s="50"/>
      <c r="I45065" s="50"/>
      <c r="O45065" s="36" t="s">
        <v>48</v>
      </c>
      <c r="R45065" s="36" t="s">
        <v>48</v>
      </c>
    </row>
    <row r="45066">
      <c r="H45066" s="50"/>
      <c r="I45066" s="50"/>
      <c r="O45066" s="36" t="s">
        <v>48</v>
      </c>
      <c r="R45066" s="36" t="s">
        <v>48</v>
      </c>
    </row>
    <row r="45067">
      <c r="H45067" s="50"/>
      <c r="I45067" s="50"/>
      <c r="O45067" s="36" t="s">
        <v>48</v>
      </c>
      <c r="R45067" s="36" t="s">
        <v>48</v>
      </c>
    </row>
    <row r="45068">
      <c r="H45068" s="50"/>
      <c r="I45068" s="50"/>
      <c r="O45068" s="36" t="s">
        <v>48</v>
      </c>
      <c r="R45068" s="36" t="s">
        <v>48</v>
      </c>
    </row>
    <row r="45069">
      <c r="H45069" s="50"/>
      <c r="I45069" s="50"/>
      <c r="O45069" s="36" t="s">
        <v>48</v>
      </c>
      <c r="R45069" s="36" t="s">
        <v>48</v>
      </c>
    </row>
    <row r="45070">
      <c r="H45070" s="50"/>
      <c r="I45070" s="50"/>
      <c r="O45070" s="36" t="s">
        <v>48</v>
      </c>
      <c r="R45070" s="36" t="s">
        <v>48</v>
      </c>
    </row>
    <row r="45071">
      <c r="H45071" s="50"/>
      <c r="I45071" s="50"/>
      <c r="O45071" s="36" t="s">
        <v>48</v>
      </c>
      <c r="R45071" s="36" t="s">
        <v>48</v>
      </c>
    </row>
    <row r="45072">
      <c r="H45072" s="50"/>
      <c r="I45072" s="50"/>
      <c r="O45072" s="36" t="s">
        <v>48</v>
      </c>
      <c r="R45072" s="36" t="s">
        <v>48</v>
      </c>
    </row>
    <row r="45073">
      <c r="H45073" s="50"/>
      <c r="I45073" s="50"/>
      <c r="O45073" s="36" t="s">
        <v>48</v>
      </c>
      <c r="R45073" s="36" t="s">
        <v>48</v>
      </c>
    </row>
    <row r="45074">
      <c r="H45074" s="50"/>
      <c r="I45074" s="50"/>
      <c r="O45074" s="36" t="s">
        <v>48</v>
      </c>
      <c r="R45074" s="36" t="s">
        <v>48</v>
      </c>
    </row>
    <row r="45075">
      <c r="H45075" s="50"/>
      <c r="I45075" s="50"/>
      <c r="O45075" s="36" t="s">
        <v>48</v>
      </c>
      <c r="R45075" s="36" t="s">
        <v>48</v>
      </c>
    </row>
    <row r="45076">
      <c r="H45076" s="50"/>
      <c r="I45076" s="50"/>
      <c r="O45076" s="36" t="s">
        <v>48</v>
      </c>
      <c r="R45076" s="36" t="s">
        <v>48</v>
      </c>
    </row>
    <row r="45077">
      <c r="H45077" s="50"/>
      <c r="I45077" s="50"/>
      <c r="O45077" s="36" t="s">
        <v>48</v>
      </c>
      <c r="R45077" s="36" t="s">
        <v>48</v>
      </c>
    </row>
    <row r="45078">
      <c r="H45078" s="50"/>
      <c r="I45078" s="50"/>
      <c r="O45078" s="36" t="s">
        <v>48</v>
      </c>
      <c r="R45078" s="36" t="s">
        <v>48</v>
      </c>
    </row>
    <row r="45079">
      <c r="H45079" s="50"/>
      <c r="I45079" s="50"/>
      <c r="O45079" s="36" t="s">
        <v>48</v>
      </c>
      <c r="R45079" s="36" t="s">
        <v>48</v>
      </c>
    </row>
    <row r="45080">
      <c r="H45080" s="50"/>
      <c r="I45080" s="50"/>
      <c r="O45080" s="36" t="s">
        <v>48</v>
      </c>
      <c r="R45080" s="36" t="s">
        <v>48</v>
      </c>
    </row>
    <row r="45081">
      <c r="H45081" s="50"/>
      <c r="I45081" s="50"/>
      <c r="O45081" s="36" t="s">
        <v>48</v>
      </c>
      <c r="R45081" s="36" t="s">
        <v>48</v>
      </c>
    </row>
    <row r="45082">
      <c r="H45082" s="50"/>
      <c r="I45082" s="50"/>
      <c r="O45082" s="36" t="s">
        <v>48</v>
      </c>
      <c r="R45082" s="36" t="s">
        <v>48</v>
      </c>
    </row>
    <row r="45083">
      <c r="H45083" s="50"/>
      <c r="I45083" s="50"/>
      <c r="O45083" s="36" t="s">
        <v>48</v>
      </c>
      <c r="R45083" s="36" t="s">
        <v>48</v>
      </c>
    </row>
    <row r="45084">
      <c r="H45084" s="50"/>
      <c r="I45084" s="50"/>
      <c r="O45084" s="36" t="s">
        <v>48</v>
      </c>
      <c r="R45084" s="36" t="s">
        <v>48</v>
      </c>
    </row>
    <row r="45085">
      <c r="H45085" s="50"/>
      <c r="I45085" s="50"/>
      <c r="O45085" s="36" t="s">
        <v>48</v>
      </c>
      <c r="R45085" s="36" t="s">
        <v>48</v>
      </c>
    </row>
    <row r="45086">
      <c r="H45086" s="50"/>
      <c r="I45086" s="50"/>
      <c r="O45086" s="36" t="s">
        <v>48</v>
      </c>
      <c r="R45086" s="36" t="s">
        <v>48</v>
      </c>
    </row>
    <row r="45087">
      <c r="H45087" s="50"/>
      <c r="I45087" s="50"/>
      <c r="O45087" s="36" t="s">
        <v>48</v>
      </c>
      <c r="R45087" s="36" t="s">
        <v>48</v>
      </c>
    </row>
    <row r="45088">
      <c r="H45088" s="50"/>
      <c r="I45088" s="50"/>
      <c r="O45088" s="36" t="s">
        <v>48</v>
      </c>
      <c r="R45088" s="36" t="s">
        <v>48</v>
      </c>
    </row>
    <row r="45089">
      <c r="H45089" s="50"/>
      <c r="I45089" s="50"/>
      <c r="O45089" s="36" t="s">
        <v>48</v>
      </c>
      <c r="R45089" s="36" t="s">
        <v>48</v>
      </c>
    </row>
    <row r="45090">
      <c r="H45090" s="50"/>
      <c r="I45090" s="50"/>
      <c r="O45090" s="36" t="s">
        <v>48</v>
      </c>
      <c r="R45090" s="36" t="s">
        <v>48</v>
      </c>
    </row>
    <row r="45091">
      <c r="H45091" s="50"/>
      <c r="I45091" s="50"/>
      <c r="O45091" s="36" t="s">
        <v>48</v>
      </c>
      <c r="R45091" s="36" t="s">
        <v>48</v>
      </c>
    </row>
    <row r="45092">
      <c r="H45092" s="50"/>
      <c r="I45092" s="50"/>
      <c r="O45092" s="36" t="s">
        <v>48</v>
      </c>
      <c r="R45092" s="36" t="s">
        <v>48</v>
      </c>
    </row>
    <row r="45093">
      <c r="H45093" s="50"/>
      <c r="I45093" s="50"/>
      <c r="O45093" s="36" t="s">
        <v>48</v>
      </c>
      <c r="R45093" s="36" t="s">
        <v>48</v>
      </c>
    </row>
    <row r="45094">
      <c r="H45094" s="50"/>
      <c r="I45094" s="50"/>
      <c r="O45094" s="36" t="s">
        <v>48</v>
      </c>
      <c r="R45094" s="36" t="s">
        <v>48</v>
      </c>
    </row>
    <row r="45095">
      <c r="H45095" s="50"/>
      <c r="I45095" s="50"/>
      <c r="O45095" s="36" t="s">
        <v>48</v>
      </c>
      <c r="R45095" s="36" t="s">
        <v>48</v>
      </c>
    </row>
    <row r="45096">
      <c r="H45096" s="50"/>
      <c r="I45096" s="50"/>
      <c r="O45096" s="36" t="s">
        <v>48</v>
      </c>
      <c r="R45096" s="36" t="s">
        <v>48</v>
      </c>
    </row>
    <row r="45097">
      <c r="H45097" s="50"/>
      <c r="I45097" s="50"/>
      <c r="O45097" s="36" t="s">
        <v>48</v>
      </c>
      <c r="R45097" s="36" t="s">
        <v>48</v>
      </c>
    </row>
    <row r="45098">
      <c r="H45098" s="50"/>
      <c r="I45098" s="50"/>
      <c r="O45098" s="36" t="s">
        <v>48</v>
      </c>
      <c r="R45098" s="36" t="s">
        <v>48</v>
      </c>
    </row>
    <row r="45099">
      <c r="H45099" s="50"/>
      <c r="I45099" s="50"/>
      <c r="O45099" s="36" t="s">
        <v>48</v>
      </c>
      <c r="R45099" s="36" t="s">
        <v>48</v>
      </c>
    </row>
    <row r="45100">
      <c r="H45100" s="50"/>
      <c r="I45100" s="50"/>
      <c r="O45100" s="36" t="s">
        <v>48</v>
      </c>
      <c r="R45100" s="36" t="s">
        <v>48</v>
      </c>
    </row>
    <row r="45101">
      <c r="H45101" s="50"/>
      <c r="I45101" s="50"/>
      <c r="O45101" s="36" t="s">
        <v>48</v>
      </c>
      <c r="R45101" s="36" t="s">
        <v>48</v>
      </c>
    </row>
    <row r="45102">
      <c r="H45102" s="50"/>
      <c r="I45102" s="50"/>
      <c r="O45102" s="36" t="s">
        <v>48</v>
      </c>
      <c r="R45102" s="36" t="s">
        <v>48</v>
      </c>
    </row>
    <row r="45103">
      <c r="H45103" s="50"/>
      <c r="I45103" s="50"/>
      <c r="O45103" s="36" t="s">
        <v>48</v>
      </c>
      <c r="R45103" s="36" t="s">
        <v>48</v>
      </c>
    </row>
    <row r="45104">
      <c r="H45104" s="50"/>
      <c r="I45104" s="50"/>
      <c r="O45104" s="36" t="s">
        <v>48</v>
      </c>
      <c r="R45104" s="36" t="s">
        <v>48</v>
      </c>
    </row>
    <row r="45105">
      <c r="H45105" s="50"/>
      <c r="I45105" s="50"/>
      <c r="O45105" s="36" t="s">
        <v>48</v>
      </c>
      <c r="R45105" s="36" t="s">
        <v>48</v>
      </c>
    </row>
    <row r="45106">
      <c r="H45106" s="50"/>
      <c r="I45106" s="50"/>
      <c r="O45106" s="36" t="s">
        <v>48</v>
      </c>
      <c r="R45106" s="36" t="s">
        <v>48</v>
      </c>
    </row>
    <row r="45107">
      <c r="H45107" s="50"/>
      <c r="I45107" s="50"/>
      <c r="O45107" s="36" t="s">
        <v>48</v>
      </c>
      <c r="R45107" s="36" t="s">
        <v>48</v>
      </c>
    </row>
    <row r="45108">
      <c r="H45108" s="50"/>
      <c r="I45108" s="50"/>
      <c r="O45108" s="36" t="s">
        <v>48</v>
      </c>
      <c r="R45108" s="36" t="s">
        <v>48</v>
      </c>
    </row>
    <row r="45109">
      <c r="H45109" s="50"/>
      <c r="I45109" s="50"/>
      <c r="O45109" s="36" t="s">
        <v>48</v>
      </c>
      <c r="R45109" s="36" t="s">
        <v>48</v>
      </c>
    </row>
    <row r="45110">
      <c r="H45110" s="50"/>
      <c r="I45110" s="50"/>
      <c r="O45110" s="36" t="s">
        <v>48</v>
      </c>
      <c r="R45110" s="36" t="s">
        <v>48</v>
      </c>
    </row>
    <row r="45111">
      <c r="H45111" s="50"/>
      <c r="I45111" s="50"/>
      <c r="O45111" s="36" t="s">
        <v>48</v>
      </c>
      <c r="R45111" s="36" t="s">
        <v>48</v>
      </c>
    </row>
    <row r="45112">
      <c r="H45112" s="50"/>
      <c r="I45112" s="50"/>
      <c r="O45112" s="36" t="s">
        <v>48</v>
      </c>
      <c r="R45112" s="36" t="s">
        <v>48</v>
      </c>
    </row>
    <row r="45113">
      <c r="H45113" s="50"/>
      <c r="I45113" s="50"/>
      <c r="O45113" s="36" t="s">
        <v>48</v>
      </c>
      <c r="R45113" s="36" t="s">
        <v>48</v>
      </c>
    </row>
    <row r="45114">
      <c r="H45114" s="50"/>
      <c r="I45114" s="50"/>
      <c r="O45114" s="36" t="s">
        <v>48</v>
      </c>
      <c r="R45114" s="36" t="s">
        <v>48</v>
      </c>
    </row>
    <row r="45115">
      <c r="H45115" s="50"/>
      <c r="I45115" s="50"/>
      <c r="O45115" s="36" t="s">
        <v>48</v>
      </c>
      <c r="R45115" s="36" t="s">
        <v>48</v>
      </c>
    </row>
    <row r="45116">
      <c r="H45116" s="50"/>
      <c r="I45116" s="50"/>
      <c r="O45116" s="36" t="s">
        <v>48</v>
      </c>
      <c r="R45116" s="36" t="s">
        <v>48</v>
      </c>
    </row>
    <row r="45117">
      <c r="H45117" s="50"/>
      <c r="I45117" s="50"/>
      <c r="O45117" s="36" t="s">
        <v>48</v>
      </c>
      <c r="R45117" s="36" t="s">
        <v>48</v>
      </c>
    </row>
    <row r="45118">
      <c r="H45118" s="50"/>
      <c r="I45118" s="50"/>
      <c r="O45118" s="36" t="s">
        <v>48</v>
      </c>
      <c r="R45118" s="36" t="s">
        <v>48</v>
      </c>
    </row>
    <row r="45119">
      <c r="H45119" s="50"/>
      <c r="I45119" s="50"/>
      <c r="O45119" s="36" t="s">
        <v>48</v>
      </c>
      <c r="R45119" s="36" t="s">
        <v>48</v>
      </c>
    </row>
    <row r="45120">
      <c r="H45120" s="50"/>
      <c r="I45120" s="50"/>
      <c r="O45120" s="36" t="s">
        <v>48</v>
      </c>
      <c r="R45120" s="36" t="s">
        <v>48</v>
      </c>
    </row>
    <row r="45121">
      <c r="H45121" s="50"/>
      <c r="I45121" s="50"/>
      <c r="O45121" s="36" t="s">
        <v>48</v>
      </c>
      <c r="R45121" s="36" t="s">
        <v>48</v>
      </c>
    </row>
    <row r="45122">
      <c r="H45122" s="50"/>
      <c r="I45122" s="50"/>
      <c r="O45122" s="36" t="s">
        <v>48</v>
      </c>
      <c r="R45122" s="36" t="s">
        <v>48</v>
      </c>
    </row>
    <row r="45123">
      <c r="H45123" s="50"/>
      <c r="I45123" s="50"/>
      <c r="O45123" s="36" t="s">
        <v>48</v>
      </c>
      <c r="R45123" s="36" t="s">
        <v>48</v>
      </c>
    </row>
    <row r="45124">
      <c r="H45124" s="50"/>
      <c r="I45124" s="50"/>
      <c r="O45124" s="36" t="s">
        <v>48</v>
      </c>
      <c r="R45124" s="36" t="s">
        <v>48</v>
      </c>
    </row>
    <row r="45125">
      <c r="H45125" s="50"/>
      <c r="I45125" s="50"/>
      <c r="O45125" s="36" t="s">
        <v>48</v>
      </c>
      <c r="R45125" s="36" t="s">
        <v>48</v>
      </c>
    </row>
    <row r="45126">
      <c r="H45126" s="50"/>
      <c r="I45126" s="50"/>
      <c r="O45126" s="36" t="s">
        <v>48</v>
      </c>
      <c r="R45126" s="36" t="s">
        <v>48</v>
      </c>
    </row>
    <row r="45127">
      <c r="H45127" s="50"/>
      <c r="I45127" s="50"/>
      <c r="O45127" s="36" t="s">
        <v>48</v>
      </c>
      <c r="R45127" s="36" t="s">
        <v>48</v>
      </c>
    </row>
    <row r="45128">
      <c r="H45128" s="50"/>
      <c r="I45128" s="50"/>
      <c r="O45128" s="36" t="s">
        <v>48</v>
      </c>
      <c r="R45128" s="36" t="s">
        <v>48</v>
      </c>
    </row>
    <row r="45129">
      <c r="H45129" s="50"/>
      <c r="I45129" s="50"/>
      <c r="O45129" s="36" t="s">
        <v>48</v>
      </c>
      <c r="R45129" s="36" t="s">
        <v>48</v>
      </c>
    </row>
    <row r="45130">
      <c r="H45130" s="50"/>
      <c r="I45130" s="50"/>
      <c r="O45130" s="36" t="s">
        <v>48</v>
      </c>
      <c r="R45130" s="36" t="s">
        <v>48</v>
      </c>
    </row>
    <row r="45131">
      <c r="H45131" s="50"/>
      <c r="I45131" s="50"/>
      <c r="O45131" s="36" t="s">
        <v>48</v>
      </c>
      <c r="R45131" s="36" t="s">
        <v>48</v>
      </c>
    </row>
    <row r="45132">
      <c r="H45132" s="50"/>
      <c r="I45132" s="50"/>
      <c r="O45132" s="36" t="s">
        <v>48</v>
      </c>
      <c r="R45132" s="36" t="s">
        <v>48</v>
      </c>
    </row>
    <row r="45133">
      <c r="H45133" s="50"/>
      <c r="I45133" s="50"/>
      <c r="O45133" s="36" t="s">
        <v>48</v>
      </c>
      <c r="R45133" s="36" t="s">
        <v>48</v>
      </c>
    </row>
    <row r="45134">
      <c r="H45134" s="50"/>
      <c r="I45134" s="50"/>
      <c r="O45134" s="36" t="s">
        <v>48</v>
      </c>
      <c r="R45134" s="36" t="s">
        <v>48</v>
      </c>
    </row>
    <row r="45135">
      <c r="H45135" s="50"/>
      <c r="I45135" s="50"/>
      <c r="O45135" s="36" t="s">
        <v>48</v>
      </c>
      <c r="R45135" s="36" t="s">
        <v>48</v>
      </c>
    </row>
    <row r="45136">
      <c r="H45136" s="50"/>
      <c r="I45136" s="50"/>
      <c r="O45136" s="36" t="s">
        <v>48</v>
      </c>
      <c r="R45136" s="36" t="s">
        <v>48</v>
      </c>
    </row>
    <row r="45137">
      <c r="H45137" s="50"/>
      <c r="I45137" s="50"/>
      <c r="O45137" s="36" t="s">
        <v>48</v>
      </c>
      <c r="R45137" s="36" t="s">
        <v>48</v>
      </c>
    </row>
    <row r="45138">
      <c r="H45138" s="50"/>
      <c r="I45138" s="50"/>
      <c r="O45138" s="36" t="s">
        <v>48</v>
      </c>
      <c r="R45138" s="36" t="s">
        <v>48</v>
      </c>
    </row>
    <row r="45139">
      <c r="H45139" s="50"/>
      <c r="I45139" s="50"/>
      <c r="O45139" s="36" t="s">
        <v>48</v>
      </c>
      <c r="R45139" s="36" t="s">
        <v>48</v>
      </c>
    </row>
    <row r="45140">
      <c r="H45140" s="50"/>
      <c r="I45140" s="50"/>
      <c r="O45140" s="36" t="s">
        <v>48</v>
      </c>
      <c r="R45140" s="36" t="s">
        <v>48</v>
      </c>
    </row>
    <row r="45141">
      <c r="H45141" s="50"/>
      <c r="I45141" s="50"/>
      <c r="O45141" s="36" t="s">
        <v>48</v>
      </c>
      <c r="R45141" s="36" t="s">
        <v>48</v>
      </c>
    </row>
    <row r="45142">
      <c r="H45142" s="50"/>
      <c r="I45142" s="50"/>
      <c r="O45142" s="36" t="s">
        <v>48</v>
      </c>
      <c r="R45142" s="36" t="s">
        <v>48</v>
      </c>
    </row>
    <row r="45143">
      <c r="H45143" s="50"/>
      <c r="I45143" s="50"/>
      <c r="O45143" s="36" t="s">
        <v>48</v>
      </c>
      <c r="R45143" s="36" t="s">
        <v>48</v>
      </c>
    </row>
    <row r="45144">
      <c r="H45144" s="50"/>
      <c r="I45144" s="50"/>
      <c r="O45144" s="36" t="s">
        <v>48</v>
      </c>
      <c r="R45144" s="36" t="s">
        <v>48</v>
      </c>
    </row>
    <row r="45145">
      <c r="H45145" s="50"/>
      <c r="I45145" s="50"/>
      <c r="O45145" s="36" t="s">
        <v>48</v>
      </c>
      <c r="R45145" s="36" t="s">
        <v>48</v>
      </c>
    </row>
    <row r="45146">
      <c r="H45146" s="50"/>
      <c r="I45146" s="50"/>
      <c r="O45146" s="36" t="s">
        <v>48</v>
      </c>
      <c r="R45146" s="36" t="s">
        <v>48</v>
      </c>
    </row>
    <row r="45147">
      <c r="H45147" s="50"/>
      <c r="I45147" s="50"/>
      <c r="O45147" s="36" t="s">
        <v>48</v>
      </c>
      <c r="R45147" s="36" t="s">
        <v>48</v>
      </c>
    </row>
    <row r="45148">
      <c r="H45148" s="50"/>
      <c r="I45148" s="50"/>
      <c r="O45148" s="36" t="s">
        <v>48</v>
      </c>
      <c r="R45148" s="36" t="s">
        <v>48</v>
      </c>
    </row>
    <row r="45149">
      <c r="H45149" s="50"/>
      <c r="I45149" s="50"/>
      <c r="O45149" s="36" t="s">
        <v>48</v>
      </c>
      <c r="R45149" s="36" t="s">
        <v>48</v>
      </c>
    </row>
    <row r="45150">
      <c r="H45150" s="50"/>
      <c r="I45150" s="50"/>
      <c r="O45150" s="36" t="s">
        <v>48</v>
      </c>
      <c r="R45150" s="36" t="s">
        <v>48</v>
      </c>
    </row>
    <row r="45151">
      <c r="H45151" s="50"/>
      <c r="I45151" s="50"/>
      <c r="O45151" s="36" t="s">
        <v>48</v>
      </c>
      <c r="R45151" s="36" t="s">
        <v>48</v>
      </c>
    </row>
    <row r="45152">
      <c r="H45152" s="50"/>
      <c r="I45152" s="50"/>
      <c r="O45152" s="36" t="s">
        <v>48</v>
      </c>
      <c r="R45152" s="36" t="s">
        <v>48</v>
      </c>
    </row>
    <row r="45153">
      <c r="H45153" s="50"/>
      <c r="I45153" s="50"/>
      <c r="O45153" s="36" t="s">
        <v>48</v>
      </c>
      <c r="R45153" s="36" t="s">
        <v>48</v>
      </c>
    </row>
    <row r="45154">
      <c r="H45154" s="50"/>
      <c r="I45154" s="50"/>
      <c r="O45154" s="36" t="s">
        <v>48</v>
      </c>
      <c r="R45154" s="36" t="s">
        <v>48</v>
      </c>
    </row>
    <row r="45155">
      <c r="H45155" s="50"/>
      <c r="I45155" s="50"/>
      <c r="O45155" s="36" t="s">
        <v>48</v>
      </c>
      <c r="R45155" s="36" t="s">
        <v>48</v>
      </c>
    </row>
    <row r="45156">
      <c r="H45156" s="50"/>
      <c r="I45156" s="50"/>
      <c r="O45156" s="36" t="s">
        <v>48</v>
      </c>
      <c r="R45156" s="36" t="s">
        <v>48</v>
      </c>
    </row>
    <row r="45157">
      <c r="H45157" s="50"/>
      <c r="I45157" s="50"/>
      <c r="O45157" s="36" t="s">
        <v>48</v>
      </c>
      <c r="R45157" s="36" t="s">
        <v>48</v>
      </c>
    </row>
    <row r="45158">
      <c r="H45158" s="50"/>
      <c r="I45158" s="50"/>
      <c r="O45158" s="36" t="s">
        <v>48</v>
      </c>
      <c r="R45158" s="36" t="s">
        <v>48</v>
      </c>
    </row>
    <row r="45159">
      <c r="H45159" s="50"/>
      <c r="I45159" s="50"/>
      <c r="O45159" s="36" t="s">
        <v>48</v>
      </c>
      <c r="R45159" s="36" t="s">
        <v>48</v>
      </c>
    </row>
    <row r="45160">
      <c r="H45160" s="50"/>
      <c r="I45160" s="50"/>
      <c r="O45160" s="36" t="s">
        <v>48</v>
      </c>
      <c r="R45160" s="36" t="s">
        <v>48</v>
      </c>
    </row>
    <row r="45161">
      <c r="H45161" s="50"/>
      <c r="I45161" s="50"/>
      <c r="O45161" s="36" t="s">
        <v>48</v>
      </c>
      <c r="R45161" s="36" t="s">
        <v>48</v>
      </c>
    </row>
    <row r="45162">
      <c r="H45162" s="50"/>
      <c r="I45162" s="50"/>
      <c r="O45162" s="36" t="s">
        <v>48</v>
      </c>
      <c r="R45162" s="36" t="s">
        <v>48</v>
      </c>
    </row>
    <row r="45163">
      <c r="H45163" s="50"/>
      <c r="I45163" s="50"/>
      <c r="O45163" s="36" t="s">
        <v>48</v>
      </c>
      <c r="R45163" s="36" t="s">
        <v>48</v>
      </c>
    </row>
    <row r="45164">
      <c r="H45164" s="50"/>
      <c r="I45164" s="50"/>
      <c r="O45164" s="36" t="s">
        <v>48</v>
      </c>
      <c r="R45164" s="36" t="s">
        <v>48</v>
      </c>
    </row>
    <row r="45165">
      <c r="H45165" s="50"/>
      <c r="I45165" s="50"/>
      <c r="O45165" s="36" t="s">
        <v>48</v>
      </c>
      <c r="R45165" s="36" t="s">
        <v>48</v>
      </c>
    </row>
    <row r="45166">
      <c r="H45166" s="50"/>
      <c r="I45166" s="50"/>
      <c r="O45166" s="36" t="s">
        <v>48</v>
      </c>
      <c r="R45166" s="36" t="s">
        <v>48</v>
      </c>
    </row>
    <row r="45167">
      <c r="H45167" s="50"/>
      <c r="I45167" s="50"/>
      <c r="O45167" s="36" t="s">
        <v>48</v>
      </c>
      <c r="R45167" s="36" t="s">
        <v>48</v>
      </c>
    </row>
    <row r="45168">
      <c r="H45168" s="50"/>
      <c r="I45168" s="50"/>
      <c r="O45168" s="36" t="s">
        <v>48</v>
      </c>
      <c r="R45168" s="36" t="s">
        <v>48</v>
      </c>
    </row>
    <row r="45169">
      <c r="H45169" s="50"/>
      <c r="I45169" s="50"/>
      <c r="O45169" s="36" t="s">
        <v>48</v>
      </c>
      <c r="R45169" s="36" t="s">
        <v>48</v>
      </c>
    </row>
    <row r="45170">
      <c r="H45170" s="50"/>
      <c r="I45170" s="50"/>
      <c r="O45170" s="36" t="s">
        <v>48</v>
      </c>
      <c r="R45170" s="36" t="s">
        <v>48</v>
      </c>
    </row>
    <row r="45171">
      <c r="H45171" s="50"/>
      <c r="I45171" s="50"/>
      <c r="O45171" s="36" t="s">
        <v>48</v>
      </c>
      <c r="R45171" s="36" t="s">
        <v>48</v>
      </c>
    </row>
    <row r="45172">
      <c r="H45172" s="50"/>
      <c r="I45172" s="50"/>
      <c r="O45172" s="36" t="s">
        <v>48</v>
      </c>
      <c r="R45172" s="36" t="s">
        <v>48</v>
      </c>
    </row>
    <row r="45173">
      <c r="H45173" s="50"/>
      <c r="I45173" s="50"/>
      <c r="O45173" s="36" t="s">
        <v>48</v>
      </c>
      <c r="R45173" s="36" t="s">
        <v>48</v>
      </c>
    </row>
    <row r="45174">
      <c r="H45174" s="50"/>
      <c r="I45174" s="50"/>
      <c r="O45174" s="36" t="s">
        <v>48</v>
      </c>
      <c r="R45174" s="36" t="s">
        <v>48</v>
      </c>
    </row>
    <row r="45175">
      <c r="H45175" s="50"/>
      <c r="I45175" s="50"/>
      <c r="O45175" s="36" t="s">
        <v>48</v>
      </c>
      <c r="R45175" s="36" t="s">
        <v>48</v>
      </c>
    </row>
    <row r="45176">
      <c r="H45176" s="50"/>
      <c r="I45176" s="50"/>
      <c r="O45176" s="36" t="s">
        <v>48</v>
      </c>
      <c r="R45176" s="36" t="s">
        <v>48</v>
      </c>
    </row>
    <row r="45177">
      <c r="H45177" s="50"/>
      <c r="I45177" s="50"/>
      <c r="O45177" s="36" t="s">
        <v>48</v>
      </c>
      <c r="R45177" s="36" t="s">
        <v>48</v>
      </c>
    </row>
    <row r="45178">
      <c r="H45178" s="50"/>
      <c r="I45178" s="50"/>
      <c r="O45178" s="36" t="s">
        <v>48</v>
      </c>
      <c r="R45178" s="36" t="s">
        <v>48</v>
      </c>
    </row>
    <row r="45179">
      <c r="H45179" s="50"/>
      <c r="I45179" s="50"/>
      <c r="O45179" s="36" t="s">
        <v>48</v>
      </c>
      <c r="R45179" s="36" t="s">
        <v>48</v>
      </c>
    </row>
    <row r="45180">
      <c r="H45180" s="50"/>
      <c r="I45180" s="50"/>
      <c r="O45180" s="36" t="s">
        <v>48</v>
      </c>
      <c r="R45180" s="36" t="s">
        <v>48</v>
      </c>
    </row>
    <row r="45181">
      <c r="H45181" s="50"/>
      <c r="I45181" s="50"/>
      <c r="O45181" s="36" t="s">
        <v>48</v>
      </c>
      <c r="R45181" s="36" t="s">
        <v>48</v>
      </c>
    </row>
    <row r="45182">
      <c r="H45182" s="50"/>
      <c r="I45182" s="50"/>
      <c r="O45182" s="36" t="s">
        <v>48</v>
      </c>
      <c r="R45182" s="36" t="s">
        <v>48</v>
      </c>
    </row>
    <row r="45183">
      <c r="H45183" s="50"/>
      <c r="I45183" s="50"/>
      <c r="O45183" s="36" t="s">
        <v>48</v>
      </c>
      <c r="R45183" s="36" t="s">
        <v>48</v>
      </c>
    </row>
    <row r="45184">
      <c r="H45184" s="50"/>
      <c r="I45184" s="50"/>
      <c r="O45184" s="36" t="s">
        <v>48</v>
      </c>
      <c r="R45184" s="36" t="s">
        <v>48</v>
      </c>
    </row>
    <row r="45185">
      <c r="H45185" s="50"/>
      <c r="I45185" s="50"/>
      <c r="O45185" s="36" t="s">
        <v>48</v>
      </c>
      <c r="R45185" s="36" t="s">
        <v>48</v>
      </c>
    </row>
    <row r="45186">
      <c r="H45186" s="50"/>
      <c r="I45186" s="50"/>
      <c r="O45186" s="36" t="s">
        <v>48</v>
      </c>
      <c r="R45186" s="36" t="s">
        <v>48</v>
      </c>
    </row>
    <row r="45187">
      <c r="H45187" s="50"/>
      <c r="I45187" s="50"/>
      <c r="O45187" s="36" t="s">
        <v>48</v>
      </c>
      <c r="R45187" s="36" t="s">
        <v>48</v>
      </c>
    </row>
    <row r="45188">
      <c r="H45188" s="50"/>
      <c r="I45188" s="50"/>
      <c r="O45188" s="36" t="s">
        <v>48</v>
      </c>
      <c r="R45188" s="36" t="s">
        <v>48</v>
      </c>
    </row>
    <row r="45189">
      <c r="H45189" s="50"/>
      <c r="I45189" s="50"/>
      <c r="O45189" s="36" t="s">
        <v>48</v>
      </c>
      <c r="R45189" s="36" t="s">
        <v>48</v>
      </c>
    </row>
    <row r="45190">
      <c r="H45190" s="50"/>
      <c r="I45190" s="50"/>
      <c r="O45190" s="36" t="s">
        <v>48</v>
      </c>
      <c r="R45190" s="36" t="s">
        <v>48</v>
      </c>
    </row>
    <row r="45191">
      <c r="H45191" s="50"/>
      <c r="I45191" s="50"/>
      <c r="O45191" s="36" t="s">
        <v>48</v>
      </c>
      <c r="R45191" s="36" t="s">
        <v>48</v>
      </c>
    </row>
    <row r="45192">
      <c r="H45192" s="50"/>
      <c r="I45192" s="50"/>
      <c r="O45192" s="36" t="s">
        <v>48</v>
      </c>
      <c r="R45192" s="36" t="s">
        <v>48</v>
      </c>
    </row>
    <row r="45193">
      <c r="H45193" s="50"/>
      <c r="I45193" s="50"/>
      <c r="O45193" s="36" t="s">
        <v>48</v>
      </c>
      <c r="R45193" s="36" t="s">
        <v>48</v>
      </c>
    </row>
    <row r="45194">
      <c r="H45194" s="50"/>
      <c r="I45194" s="50"/>
      <c r="O45194" s="36" t="s">
        <v>48</v>
      </c>
      <c r="R45194" s="36" t="s">
        <v>48</v>
      </c>
    </row>
    <row r="45195">
      <c r="H45195" s="50"/>
      <c r="I45195" s="50"/>
      <c r="O45195" s="36" t="s">
        <v>48</v>
      </c>
      <c r="R45195" s="36" t="s">
        <v>48</v>
      </c>
    </row>
    <row r="45196">
      <c r="H45196" s="50"/>
      <c r="I45196" s="50"/>
      <c r="O45196" s="36" t="s">
        <v>48</v>
      </c>
      <c r="R45196" s="36" t="s">
        <v>48</v>
      </c>
    </row>
    <row r="45197">
      <c r="H45197" s="50"/>
      <c r="I45197" s="50"/>
      <c r="O45197" s="36" t="s">
        <v>48</v>
      </c>
      <c r="R45197" s="36" t="s">
        <v>48</v>
      </c>
    </row>
    <row r="45198">
      <c r="H45198" s="50"/>
      <c r="I45198" s="50"/>
      <c r="O45198" s="36" t="s">
        <v>48</v>
      </c>
      <c r="R45198" s="36" t="s">
        <v>48</v>
      </c>
    </row>
    <row r="45199">
      <c r="H45199" s="50"/>
      <c r="I45199" s="50"/>
      <c r="O45199" s="36" t="s">
        <v>48</v>
      </c>
      <c r="R45199" s="36" t="s">
        <v>48</v>
      </c>
    </row>
    <row r="45200">
      <c r="H45200" s="50"/>
      <c r="I45200" s="50"/>
      <c r="O45200" s="36" t="s">
        <v>48</v>
      </c>
      <c r="R45200" s="36" t="s">
        <v>48</v>
      </c>
    </row>
    <row r="45201">
      <c r="H45201" s="50"/>
      <c r="I45201" s="50"/>
      <c r="O45201" s="36" t="s">
        <v>48</v>
      </c>
      <c r="R45201" s="36" t="s">
        <v>48</v>
      </c>
    </row>
    <row r="45202">
      <c r="H45202" s="50"/>
      <c r="I45202" s="50"/>
      <c r="O45202" s="36" t="s">
        <v>48</v>
      </c>
      <c r="R45202" s="36" t="s">
        <v>48</v>
      </c>
    </row>
    <row r="45203">
      <c r="H45203" s="50"/>
      <c r="I45203" s="50"/>
      <c r="O45203" s="36" t="s">
        <v>48</v>
      </c>
      <c r="R45203" s="36" t="s">
        <v>48</v>
      </c>
    </row>
    <row r="45204">
      <c r="H45204" s="50"/>
      <c r="I45204" s="50"/>
      <c r="O45204" s="36" t="s">
        <v>48</v>
      </c>
      <c r="R45204" s="36" t="s">
        <v>48</v>
      </c>
    </row>
    <row r="45205">
      <c r="H45205" s="50"/>
      <c r="I45205" s="50"/>
      <c r="O45205" s="36" t="s">
        <v>48</v>
      </c>
      <c r="R45205" s="36" t="s">
        <v>48</v>
      </c>
    </row>
    <row r="45206">
      <c r="H45206" s="50"/>
      <c r="I45206" s="50"/>
      <c r="O45206" s="36" t="s">
        <v>48</v>
      </c>
      <c r="R45206" s="36" t="s">
        <v>48</v>
      </c>
    </row>
    <row r="45207">
      <c r="H45207" s="50"/>
      <c r="I45207" s="50"/>
      <c r="O45207" s="36" t="s">
        <v>48</v>
      </c>
      <c r="R45207" s="36" t="s">
        <v>48</v>
      </c>
    </row>
    <row r="45208">
      <c r="H45208" s="50"/>
      <c r="I45208" s="50"/>
      <c r="O45208" s="36" t="s">
        <v>48</v>
      </c>
      <c r="R45208" s="36" t="s">
        <v>48</v>
      </c>
    </row>
    <row r="45209">
      <c r="H45209" s="50"/>
      <c r="I45209" s="50"/>
      <c r="O45209" s="36" t="s">
        <v>48</v>
      </c>
      <c r="R45209" s="36" t="s">
        <v>48</v>
      </c>
    </row>
    <row r="45210">
      <c r="H45210" s="50"/>
      <c r="I45210" s="50"/>
      <c r="O45210" s="36" t="s">
        <v>48</v>
      </c>
      <c r="R45210" s="36" t="s">
        <v>48</v>
      </c>
    </row>
    <row r="45211">
      <c r="H45211" s="50"/>
      <c r="I45211" s="50"/>
      <c r="O45211" s="36" t="s">
        <v>48</v>
      </c>
      <c r="R45211" s="36" t="s">
        <v>48</v>
      </c>
    </row>
    <row r="45212">
      <c r="H45212" s="50"/>
      <c r="I45212" s="50"/>
      <c r="O45212" s="36" t="s">
        <v>48</v>
      </c>
      <c r="R45212" s="36" t="s">
        <v>48</v>
      </c>
    </row>
    <row r="45213">
      <c r="H45213" s="50"/>
      <c r="I45213" s="50"/>
      <c r="O45213" s="36" t="s">
        <v>48</v>
      </c>
      <c r="R45213" s="36" t="s">
        <v>48</v>
      </c>
    </row>
    <row r="45214">
      <c r="H45214" s="50"/>
      <c r="I45214" s="50"/>
      <c r="O45214" s="36" t="s">
        <v>48</v>
      </c>
      <c r="R45214" s="36" t="s">
        <v>48</v>
      </c>
    </row>
    <row r="45215">
      <c r="H45215" s="50"/>
      <c r="I45215" s="50"/>
      <c r="O45215" s="36" t="s">
        <v>48</v>
      </c>
      <c r="R45215" s="36" t="s">
        <v>48</v>
      </c>
    </row>
    <row r="45216">
      <c r="H45216" s="50"/>
      <c r="I45216" s="50"/>
      <c r="O45216" s="36" t="s">
        <v>48</v>
      </c>
      <c r="R45216" s="36" t="s">
        <v>48</v>
      </c>
    </row>
    <row r="45217">
      <c r="H45217" s="50"/>
      <c r="I45217" s="50"/>
      <c r="O45217" s="36" t="s">
        <v>48</v>
      </c>
      <c r="R45217" s="36" t="s">
        <v>48</v>
      </c>
    </row>
    <row r="45218">
      <c r="H45218" s="50"/>
      <c r="I45218" s="50"/>
      <c r="O45218" s="36" t="s">
        <v>48</v>
      </c>
      <c r="R45218" s="36" t="s">
        <v>48</v>
      </c>
    </row>
    <row r="45219">
      <c r="H45219" s="50"/>
      <c r="I45219" s="50"/>
      <c r="O45219" s="36" t="s">
        <v>48</v>
      </c>
      <c r="R45219" s="36" t="s">
        <v>48</v>
      </c>
    </row>
    <row r="45220">
      <c r="H45220" s="50"/>
      <c r="I45220" s="50"/>
      <c r="O45220" s="36" t="s">
        <v>48</v>
      </c>
      <c r="R45220" s="36" t="s">
        <v>48</v>
      </c>
    </row>
    <row r="45221">
      <c r="H45221" s="50"/>
      <c r="I45221" s="50"/>
      <c r="O45221" s="36" t="s">
        <v>48</v>
      </c>
      <c r="R45221" s="36" t="s">
        <v>48</v>
      </c>
    </row>
    <row r="45222">
      <c r="H45222" s="50"/>
      <c r="I45222" s="50"/>
      <c r="O45222" s="36" t="s">
        <v>48</v>
      </c>
      <c r="R45222" s="36" t="s">
        <v>48</v>
      </c>
    </row>
    <row r="45223">
      <c r="H45223" s="50"/>
      <c r="I45223" s="50"/>
      <c r="O45223" s="36" t="s">
        <v>48</v>
      </c>
      <c r="R45223" s="36" t="s">
        <v>48</v>
      </c>
    </row>
    <row r="45224">
      <c r="H45224" s="50"/>
      <c r="I45224" s="50"/>
      <c r="O45224" s="36" t="s">
        <v>48</v>
      </c>
      <c r="R45224" s="36" t="s">
        <v>48</v>
      </c>
    </row>
    <row r="45225">
      <c r="H45225" s="50"/>
      <c r="I45225" s="50"/>
      <c r="O45225" s="36" t="s">
        <v>48</v>
      </c>
      <c r="R45225" s="36" t="s">
        <v>48</v>
      </c>
    </row>
    <row r="45226">
      <c r="H45226" s="50"/>
      <c r="I45226" s="50"/>
      <c r="O45226" s="36" t="s">
        <v>48</v>
      </c>
      <c r="R45226" s="36" t="s">
        <v>48</v>
      </c>
    </row>
    <row r="45227">
      <c r="H45227" s="50"/>
      <c r="I45227" s="50"/>
      <c r="O45227" s="36" t="s">
        <v>48</v>
      </c>
      <c r="R45227" s="36" t="s">
        <v>48</v>
      </c>
    </row>
    <row r="45228">
      <c r="H45228" s="50"/>
      <c r="I45228" s="50"/>
      <c r="O45228" s="36" t="s">
        <v>48</v>
      </c>
      <c r="R45228" s="36" t="s">
        <v>48</v>
      </c>
    </row>
    <row r="45229">
      <c r="H45229" s="50"/>
      <c r="I45229" s="50"/>
      <c r="O45229" s="36" t="s">
        <v>48</v>
      </c>
      <c r="R45229" s="36" t="s">
        <v>48</v>
      </c>
    </row>
    <row r="45230">
      <c r="H45230" s="50"/>
      <c r="I45230" s="50"/>
      <c r="O45230" s="36" t="s">
        <v>48</v>
      </c>
      <c r="R45230" s="36" t="s">
        <v>48</v>
      </c>
    </row>
    <row r="45231">
      <c r="H45231" s="50"/>
      <c r="I45231" s="50"/>
      <c r="O45231" s="36" t="s">
        <v>48</v>
      </c>
      <c r="R45231" s="36" t="s">
        <v>48</v>
      </c>
    </row>
    <row r="45232">
      <c r="H45232" s="50"/>
      <c r="I45232" s="50"/>
      <c r="O45232" s="36" t="s">
        <v>48</v>
      </c>
      <c r="R45232" s="36" t="s">
        <v>48</v>
      </c>
    </row>
    <row r="45233">
      <c r="H45233" s="50"/>
      <c r="I45233" s="50"/>
      <c r="O45233" s="36" t="s">
        <v>48</v>
      </c>
      <c r="R45233" s="36" t="s">
        <v>48</v>
      </c>
    </row>
    <row r="45234">
      <c r="H45234" s="50"/>
      <c r="I45234" s="50"/>
      <c r="O45234" s="36" t="s">
        <v>48</v>
      </c>
      <c r="R45234" s="36" t="s">
        <v>48</v>
      </c>
    </row>
    <row r="45235">
      <c r="H45235" s="50"/>
      <c r="I45235" s="50"/>
      <c r="O45235" s="36" t="s">
        <v>48</v>
      </c>
      <c r="R45235" s="36" t="s">
        <v>48</v>
      </c>
    </row>
    <row r="45236">
      <c r="H45236" s="50"/>
      <c r="I45236" s="50"/>
      <c r="O45236" s="36" t="s">
        <v>48</v>
      </c>
      <c r="R45236" s="36" t="s">
        <v>48</v>
      </c>
    </row>
    <row r="45237">
      <c r="H45237" s="50"/>
      <c r="I45237" s="50"/>
      <c r="O45237" s="36" t="s">
        <v>48</v>
      </c>
      <c r="R45237" s="36" t="s">
        <v>48</v>
      </c>
    </row>
    <row r="45238">
      <c r="H45238" s="50"/>
      <c r="I45238" s="50"/>
      <c r="O45238" s="36" t="s">
        <v>48</v>
      </c>
      <c r="R45238" s="36" t="s">
        <v>48</v>
      </c>
    </row>
    <row r="45239">
      <c r="H45239" s="50"/>
      <c r="I45239" s="50"/>
      <c r="O45239" s="36" t="s">
        <v>48</v>
      </c>
      <c r="R45239" s="36" t="s">
        <v>48</v>
      </c>
    </row>
    <row r="45240">
      <c r="H45240" s="50"/>
      <c r="I45240" s="50"/>
      <c r="O45240" s="36" t="s">
        <v>48</v>
      </c>
      <c r="R45240" s="36" t="s">
        <v>48</v>
      </c>
    </row>
    <row r="45241">
      <c r="H45241" s="50"/>
      <c r="I45241" s="50"/>
      <c r="O45241" s="36" t="s">
        <v>48</v>
      </c>
      <c r="R45241" s="36" t="s">
        <v>48</v>
      </c>
    </row>
    <row r="45242">
      <c r="H45242" s="50"/>
      <c r="I45242" s="50"/>
      <c r="O45242" s="36" t="s">
        <v>48</v>
      </c>
      <c r="R45242" s="36" t="s">
        <v>48</v>
      </c>
    </row>
    <row r="45243">
      <c r="H45243" s="50"/>
      <c r="I45243" s="50"/>
      <c r="O45243" s="36" t="s">
        <v>48</v>
      </c>
      <c r="R45243" s="36" t="s">
        <v>48</v>
      </c>
    </row>
    <row r="45244">
      <c r="H45244" s="50"/>
      <c r="I45244" s="50"/>
      <c r="O45244" s="36" t="s">
        <v>48</v>
      </c>
      <c r="R45244" s="36" t="s">
        <v>48</v>
      </c>
    </row>
    <row r="45245">
      <c r="H45245" s="50"/>
      <c r="I45245" s="50"/>
      <c r="O45245" s="36" t="s">
        <v>48</v>
      </c>
      <c r="R45245" s="36" t="s">
        <v>48</v>
      </c>
    </row>
    <row r="45246">
      <c r="H45246" s="50"/>
      <c r="I45246" s="50"/>
      <c r="O45246" s="36" t="s">
        <v>48</v>
      </c>
      <c r="R45246" s="36" t="s">
        <v>48</v>
      </c>
    </row>
    <row r="45247">
      <c r="H45247" s="50"/>
      <c r="I45247" s="50"/>
      <c r="O45247" s="36" t="s">
        <v>48</v>
      </c>
      <c r="R45247" s="36" t="s">
        <v>48</v>
      </c>
    </row>
    <row r="45248">
      <c r="H45248" s="50"/>
      <c r="I45248" s="50"/>
      <c r="O45248" s="36" t="s">
        <v>48</v>
      </c>
      <c r="R45248" s="36" t="s">
        <v>48</v>
      </c>
    </row>
    <row r="45249">
      <c r="H45249" s="50"/>
      <c r="I45249" s="50"/>
      <c r="O45249" s="36" t="s">
        <v>48</v>
      </c>
      <c r="R45249" s="36" t="s">
        <v>48</v>
      </c>
    </row>
    <row r="45250">
      <c r="H45250" s="50"/>
      <c r="I45250" s="50"/>
      <c r="O45250" s="36" t="s">
        <v>48</v>
      </c>
      <c r="R45250" s="36" t="s">
        <v>48</v>
      </c>
    </row>
    <row r="45251">
      <c r="H45251" s="50"/>
      <c r="I45251" s="50"/>
      <c r="O45251" s="36" t="s">
        <v>48</v>
      </c>
      <c r="R45251" s="36" t="s">
        <v>48</v>
      </c>
    </row>
    <row r="45252">
      <c r="H45252" s="50"/>
      <c r="I45252" s="50"/>
      <c r="O45252" s="36" t="s">
        <v>48</v>
      </c>
      <c r="R45252" s="36" t="s">
        <v>48</v>
      </c>
    </row>
    <row r="45253">
      <c r="H45253" s="50"/>
      <c r="I45253" s="50"/>
      <c r="O45253" s="36" t="s">
        <v>48</v>
      </c>
      <c r="R45253" s="36" t="s">
        <v>48</v>
      </c>
    </row>
    <row r="45254">
      <c r="H45254" s="50"/>
      <c r="I45254" s="50"/>
      <c r="O45254" s="36" t="s">
        <v>48</v>
      </c>
      <c r="R45254" s="36" t="s">
        <v>48</v>
      </c>
    </row>
    <row r="45255">
      <c r="H45255" s="50"/>
      <c r="I45255" s="50"/>
      <c r="O45255" s="36" t="s">
        <v>48</v>
      </c>
      <c r="R45255" s="36" t="s">
        <v>48</v>
      </c>
    </row>
    <row r="45256">
      <c r="H45256" s="50"/>
      <c r="I45256" s="50"/>
      <c r="O45256" s="36" t="s">
        <v>48</v>
      </c>
      <c r="R45256" s="36" t="s">
        <v>48</v>
      </c>
    </row>
    <row r="45257">
      <c r="H45257" s="50"/>
      <c r="I45257" s="50"/>
      <c r="O45257" s="36" t="s">
        <v>48</v>
      </c>
      <c r="R45257" s="36" t="s">
        <v>48</v>
      </c>
    </row>
    <row r="45258">
      <c r="H45258" s="50"/>
      <c r="I45258" s="50"/>
      <c r="O45258" s="36" t="s">
        <v>48</v>
      </c>
      <c r="R45258" s="36" t="s">
        <v>48</v>
      </c>
    </row>
    <row r="45259">
      <c r="H45259" s="50"/>
      <c r="I45259" s="50"/>
      <c r="O45259" s="36" t="s">
        <v>48</v>
      </c>
      <c r="R45259" s="36" t="s">
        <v>48</v>
      </c>
    </row>
    <row r="45260">
      <c r="H45260" s="50"/>
      <c r="I45260" s="50"/>
      <c r="O45260" s="36" t="s">
        <v>48</v>
      </c>
      <c r="R45260" s="36" t="s">
        <v>48</v>
      </c>
    </row>
    <row r="45261">
      <c r="H45261" s="50"/>
      <c r="I45261" s="50"/>
      <c r="O45261" s="36" t="s">
        <v>48</v>
      </c>
      <c r="R45261" s="36" t="s">
        <v>48</v>
      </c>
    </row>
    <row r="45262">
      <c r="H45262" s="50"/>
      <c r="I45262" s="50"/>
      <c r="O45262" s="36" t="s">
        <v>48</v>
      </c>
      <c r="R45262" s="36" t="s">
        <v>48</v>
      </c>
    </row>
    <row r="45263">
      <c r="H45263" s="50"/>
      <c r="I45263" s="50"/>
      <c r="O45263" s="36" t="s">
        <v>48</v>
      </c>
      <c r="R45263" s="36" t="s">
        <v>48</v>
      </c>
    </row>
    <row r="45264">
      <c r="H45264" s="50"/>
      <c r="I45264" s="50"/>
      <c r="O45264" s="36" t="s">
        <v>48</v>
      </c>
      <c r="R45264" s="36" t="s">
        <v>48</v>
      </c>
    </row>
    <row r="45265">
      <c r="H45265" s="50"/>
      <c r="I45265" s="50"/>
      <c r="O45265" s="36" t="s">
        <v>48</v>
      </c>
      <c r="R45265" s="36" t="s">
        <v>48</v>
      </c>
    </row>
    <row r="45266">
      <c r="H45266" s="50"/>
      <c r="I45266" s="50"/>
      <c r="O45266" s="36" t="s">
        <v>48</v>
      </c>
      <c r="R45266" s="36" t="s">
        <v>48</v>
      </c>
    </row>
    <row r="45267">
      <c r="H45267" s="50"/>
      <c r="I45267" s="50"/>
      <c r="O45267" s="36" t="s">
        <v>48</v>
      </c>
      <c r="R45267" s="36" t="s">
        <v>48</v>
      </c>
    </row>
    <row r="45268">
      <c r="H45268" s="50"/>
      <c r="I45268" s="50"/>
      <c r="O45268" s="36" t="s">
        <v>48</v>
      </c>
      <c r="R45268" s="36" t="s">
        <v>48</v>
      </c>
    </row>
    <row r="45269">
      <c r="H45269" s="50"/>
      <c r="I45269" s="50"/>
      <c r="O45269" s="36" t="s">
        <v>48</v>
      </c>
      <c r="R45269" s="36" t="s">
        <v>48</v>
      </c>
    </row>
    <row r="45270">
      <c r="H45270" s="50"/>
      <c r="I45270" s="50"/>
      <c r="O45270" s="36" t="s">
        <v>48</v>
      </c>
      <c r="R45270" s="36" t="s">
        <v>48</v>
      </c>
    </row>
    <row r="45271">
      <c r="H45271" s="50"/>
      <c r="I45271" s="50"/>
      <c r="O45271" s="36" t="s">
        <v>48</v>
      </c>
      <c r="R45271" s="36" t="s">
        <v>48</v>
      </c>
    </row>
    <row r="45272">
      <c r="H45272" s="50"/>
      <c r="I45272" s="50"/>
      <c r="O45272" s="36" t="s">
        <v>48</v>
      </c>
      <c r="R45272" s="36" t="s">
        <v>48</v>
      </c>
    </row>
    <row r="45273">
      <c r="H45273" s="50"/>
      <c r="I45273" s="50"/>
      <c r="O45273" s="36" t="s">
        <v>48</v>
      </c>
      <c r="R45273" s="36" t="s">
        <v>48</v>
      </c>
    </row>
    <row r="45274">
      <c r="H45274" s="50"/>
      <c r="I45274" s="50"/>
      <c r="O45274" s="36" t="s">
        <v>48</v>
      </c>
      <c r="R45274" s="36" t="s">
        <v>48</v>
      </c>
    </row>
    <row r="45275">
      <c r="H45275" s="50"/>
      <c r="I45275" s="50"/>
      <c r="O45275" s="36" t="s">
        <v>48</v>
      </c>
      <c r="R45275" s="36" t="s">
        <v>48</v>
      </c>
    </row>
    <row r="45276">
      <c r="H45276" s="50"/>
      <c r="I45276" s="50"/>
      <c r="O45276" s="36" t="s">
        <v>48</v>
      </c>
      <c r="R45276" s="36" t="s">
        <v>48</v>
      </c>
    </row>
    <row r="45277">
      <c r="H45277" s="50"/>
      <c r="I45277" s="50"/>
      <c r="O45277" s="36" t="s">
        <v>48</v>
      </c>
      <c r="R45277" s="36" t="s">
        <v>48</v>
      </c>
    </row>
    <row r="45278">
      <c r="H45278" s="50"/>
      <c r="I45278" s="50"/>
      <c r="O45278" s="36" t="s">
        <v>48</v>
      </c>
      <c r="R45278" s="36" t="s">
        <v>48</v>
      </c>
    </row>
    <row r="45279">
      <c r="H45279" s="50"/>
      <c r="I45279" s="50"/>
      <c r="O45279" s="36" t="s">
        <v>48</v>
      </c>
      <c r="R45279" s="36" t="s">
        <v>48</v>
      </c>
    </row>
    <row r="45280">
      <c r="H45280" s="50"/>
      <c r="I45280" s="50"/>
      <c r="O45280" s="36" t="s">
        <v>48</v>
      </c>
      <c r="R45280" s="36" t="s">
        <v>48</v>
      </c>
    </row>
    <row r="45281">
      <c r="H45281" s="50"/>
      <c r="I45281" s="50"/>
      <c r="O45281" s="36" t="s">
        <v>48</v>
      </c>
      <c r="R45281" s="36" t="s">
        <v>48</v>
      </c>
    </row>
    <row r="45282">
      <c r="H45282" s="50"/>
      <c r="I45282" s="50"/>
      <c r="O45282" s="36" t="s">
        <v>48</v>
      </c>
      <c r="R45282" s="36" t="s">
        <v>48</v>
      </c>
    </row>
    <row r="45283">
      <c r="H45283" s="50"/>
      <c r="I45283" s="50"/>
      <c r="O45283" s="36" t="s">
        <v>48</v>
      </c>
      <c r="R45283" s="36" t="s">
        <v>48</v>
      </c>
    </row>
    <row r="45284">
      <c r="H45284" s="50"/>
      <c r="I45284" s="50"/>
      <c r="O45284" s="36" t="s">
        <v>48</v>
      </c>
      <c r="R45284" s="36" t="s">
        <v>48</v>
      </c>
    </row>
    <row r="45285">
      <c r="H45285" s="50"/>
      <c r="I45285" s="50"/>
      <c r="O45285" s="36" t="s">
        <v>48</v>
      </c>
      <c r="R45285" s="36" t="s">
        <v>48</v>
      </c>
    </row>
    <row r="45286">
      <c r="H45286" s="50"/>
      <c r="I45286" s="50"/>
      <c r="O45286" s="36" t="s">
        <v>48</v>
      </c>
      <c r="R45286" s="36" t="s">
        <v>48</v>
      </c>
    </row>
    <row r="45287">
      <c r="H45287" s="50"/>
      <c r="I45287" s="50"/>
      <c r="O45287" s="36" t="s">
        <v>48</v>
      </c>
      <c r="R45287" s="36" t="s">
        <v>48</v>
      </c>
    </row>
    <row r="45288">
      <c r="H45288" s="50"/>
      <c r="I45288" s="50"/>
      <c r="O45288" s="36" t="s">
        <v>48</v>
      </c>
      <c r="R45288" s="36" t="s">
        <v>48</v>
      </c>
    </row>
    <row r="45289">
      <c r="H45289" s="50"/>
      <c r="I45289" s="50"/>
      <c r="O45289" s="36" t="s">
        <v>48</v>
      </c>
      <c r="R45289" s="36" t="s">
        <v>48</v>
      </c>
    </row>
    <row r="45290">
      <c r="H45290" s="50"/>
      <c r="I45290" s="50"/>
      <c r="O45290" s="36" t="s">
        <v>48</v>
      </c>
      <c r="R45290" s="36" t="s">
        <v>48</v>
      </c>
    </row>
    <row r="45291">
      <c r="H45291" s="50"/>
      <c r="I45291" s="50"/>
      <c r="O45291" s="36" t="s">
        <v>48</v>
      </c>
      <c r="R45291" s="36" t="s">
        <v>48</v>
      </c>
    </row>
    <row r="45292">
      <c r="H45292" s="50"/>
      <c r="I45292" s="50"/>
      <c r="O45292" s="36" t="s">
        <v>48</v>
      </c>
      <c r="R45292" s="36" t="s">
        <v>48</v>
      </c>
    </row>
    <row r="45293">
      <c r="H45293" s="50"/>
      <c r="I45293" s="50"/>
      <c r="O45293" s="36" t="s">
        <v>48</v>
      </c>
      <c r="R45293" s="36" t="s">
        <v>48</v>
      </c>
    </row>
    <row r="45294">
      <c r="H45294" s="50"/>
      <c r="I45294" s="50"/>
      <c r="O45294" s="36" t="s">
        <v>48</v>
      </c>
      <c r="R45294" s="36" t="s">
        <v>48</v>
      </c>
    </row>
    <row r="45295">
      <c r="H45295" s="50"/>
      <c r="I45295" s="50"/>
      <c r="O45295" s="36" t="s">
        <v>48</v>
      </c>
      <c r="R45295" s="36" t="s">
        <v>48</v>
      </c>
    </row>
    <row r="45296">
      <c r="H45296" s="50"/>
      <c r="I45296" s="50"/>
      <c r="O45296" s="36" t="s">
        <v>48</v>
      </c>
      <c r="R45296" s="36" t="s">
        <v>48</v>
      </c>
    </row>
    <row r="45297">
      <c r="H45297" s="50"/>
      <c r="I45297" s="50"/>
      <c r="O45297" s="36" t="s">
        <v>48</v>
      </c>
      <c r="R45297" s="36" t="s">
        <v>48</v>
      </c>
    </row>
    <row r="45298">
      <c r="H45298" s="50"/>
      <c r="I45298" s="50"/>
      <c r="O45298" s="36" t="s">
        <v>48</v>
      </c>
      <c r="R45298" s="36" t="s">
        <v>48</v>
      </c>
    </row>
    <row r="45299">
      <c r="H45299" s="50"/>
      <c r="I45299" s="50"/>
      <c r="O45299" s="36" t="s">
        <v>48</v>
      </c>
      <c r="R45299" s="36" t="s">
        <v>48</v>
      </c>
    </row>
    <row r="45300">
      <c r="H45300" s="50"/>
      <c r="I45300" s="50"/>
      <c r="O45300" s="36" t="s">
        <v>48</v>
      </c>
      <c r="R45300" s="36" t="s">
        <v>48</v>
      </c>
    </row>
    <row r="45301">
      <c r="H45301" s="50"/>
      <c r="I45301" s="50"/>
      <c r="O45301" s="36" t="s">
        <v>48</v>
      </c>
      <c r="R45301" s="36" t="s">
        <v>48</v>
      </c>
    </row>
    <row r="45302">
      <c r="H45302" s="50"/>
      <c r="I45302" s="50"/>
      <c r="O45302" s="36" t="s">
        <v>48</v>
      </c>
      <c r="R45302" s="36" t="s">
        <v>48</v>
      </c>
    </row>
    <row r="45303">
      <c r="H45303" s="50"/>
      <c r="I45303" s="50"/>
      <c r="O45303" s="36" t="s">
        <v>48</v>
      </c>
      <c r="R45303" s="36" t="s">
        <v>48</v>
      </c>
    </row>
    <row r="45304">
      <c r="H45304" s="50"/>
      <c r="I45304" s="50"/>
      <c r="O45304" s="36" t="s">
        <v>48</v>
      </c>
      <c r="R45304" s="36" t="s">
        <v>48</v>
      </c>
    </row>
    <row r="45305">
      <c r="H45305" s="50"/>
      <c r="I45305" s="50"/>
      <c r="O45305" s="36" t="s">
        <v>48</v>
      </c>
      <c r="R45305" s="36" t="s">
        <v>48</v>
      </c>
    </row>
    <row r="45306">
      <c r="H45306" s="50"/>
      <c r="I45306" s="50"/>
      <c r="O45306" s="36" t="s">
        <v>48</v>
      </c>
      <c r="R45306" s="36" t="s">
        <v>48</v>
      </c>
    </row>
    <row r="45307">
      <c r="H45307" s="50"/>
      <c r="I45307" s="50"/>
      <c r="O45307" s="36" t="s">
        <v>48</v>
      </c>
      <c r="R45307" s="36" t="s">
        <v>48</v>
      </c>
    </row>
    <row r="45308">
      <c r="H45308" s="50"/>
      <c r="I45308" s="50"/>
      <c r="O45308" s="36" t="s">
        <v>48</v>
      </c>
      <c r="R45308" s="36" t="s">
        <v>48</v>
      </c>
    </row>
    <row r="45309">
      <c r="H45309" s="50"/>
      <c r="I45309" s="50"/>
      <c r="O45309" s="36" t="s">
        <v>48</v>
      </c>
      <c r="R45309" s="36" t="s">
        <v>48</v>
      </c>
    </row>
    <row r="45310">
      <c r="H45310" s="50"/>
      <c r="I45310" s="50"/>
      <c r="O45310" s="36" t="s">
        <v>48</v>
      </c>
      <c r="R45310" s="36" t="s">
        <v>48</v>
      </c>
    </row>
    <row r="45311">
      <c r="H45311" s="50"/>
      <c r="I45311" s="50"/>
      <c r="O45311" s="36" t="s">
        <v>48</v>
      </c>
      <c r="R45311" s="36" t="s">
        <v>48</v>
      </c>
    </row>
    <row r="45312">
      <c r="H45312" s="50"/>
      <c r="I45312" s="50"/>
      <c r="O45312" s="36" t="s">
        <v>48</v>
      </c>
      <c r="R45312" s="36" t="s">
        <v>48</v>
      </c>
    </row>
    <row r="45313">
      <c r="H45313" s="50"/>
      <c r="I45313" s="50"/>
      <c r="O45313" s="36" t="s">
        <v>48</v>
      </c>
      <c r="R45313" s="36" t="s">
        <v>48</v>
      </c>
    </row>
    <row r="45314">
      <c r="H45314" s="50"/>
      <c r="I45314" s="50"/>
      <c r="O45314" s="36" t="s">
        <v>48</v>
      </c>
      <c r="R45314" s="36" t="s">
        <v>48</v>
      </c>
    </row>
    <row r="45315">
      <c r="H45315" s="50"/>
      <c r="I45315" s="50"/>
      <c r="O45315" s="36" t="s">
        <v>48</v>
      </c>
      <c r="R45315" s="36" t="s">
        <v>48</v>
      </c>
    </row>
    <row r="45316">
      <c r="H45316" s="50"/>
      <c r="I45316" s="50"/>
      <c r="O45316" s="36" t="s">
        <v>48</v>
      </c>
      <c r="R45316" s="36" t="s">
        <v>48</v>
      </c>
    </row>
    <row r="45317">
      <c r="H45317" s="50"/>
      <c r="I45317" s="50"/>
      <c r="O45317" s="36" t="s">
        <v>48</v>
      </c>
      <c r="R45317" s="36" t="s">
        <v>48</v>
      </c>
    </row>
    <row r="45318">
      <c r="H45318" s="50"/>
      <c r="I45318" s="50"/>
      <c r="O45318" s="36" t="s">
        <v>48</v>
      </c>
      <c r="R45318" s="36" t="s">
        <v>48</v>
      </c>
    </row>
    <row r="45319">
      <c r="H45319" s="50"/>
      <c r="I45319" s="50"/>
      <c r="O45319" s="36" t="s">
        <v>48</v>
      </c>
      <c r="R45319" s="36" t="s">
        <v>48</v>
      </c>
    </row>
    <row r="45320">
      <c r="H45320" s="50"/>
      <c r="I45320" s="50"/>
      <c r="O45320" s="36" t="s">
        <v>48</v>
      </c>
      <c r="R45320" s="36" t="s">
        <v>48</v>
      </c>
    </row>
    <row r="45321">
      <c r="H45321" s="50"/>
      <c r="I45321" s="50"/>
      <c r="O45321" s="36" t="s">
        <v>48</v>
      </c>
      <c r="R45321" s="36" t="s">
        <v>48</v>
      </c>
    </row>
    <row r="45322">
      <c r="H45322" s="50"/>
      <c r="I45322" s="50"/>
      <c r="O45322" s="36" t="s">
        <v>48</v>
      </c>
      <c r="R45322" s="36" t="s">
        <v>48</v>
      </c>
    </row>
    <row r="45323">
      <c r="H45323" s="50"/>
      <c r="I45323" s="50"/>
      <c r="O45323" s="36" t="s">
        <v>48</v>
      </c>
      <c r="R45323" s="36" t="s">
        <v>48</v>
      </c>
    </row>
    <row r="45324">
      <c r="H45324" s="50"/>
      <c r="I45324" s="50"/>
      <c r="O45324" s="36" t="s">
        <v>48</v>
      </c>
      <c r="R45324" s="36" t="s">
        <v>48</v>
      </c>
    </row>
    <row r="45325">
      <c r="H45325" s="50"/>
      <c r="I45325" s="50"/>
      <c r="O45325" s="36" t="s">
        <v>48</v>
      </c>
      <c r="R45325" s="36" t="s">
        <v>48</v>
      </c>
    </row>
    <row r="45326">
      <c r="H45326" s="50"/>
      <c r="I45326" s="50"/>
      <c r="O45326" s="36" t="s">
        <v>48</v>
      </c>
      <c r="R45326" s="36" t="s">
        <v>48</v>
      </c>
    </row>
    <row r="45327">
      <c r="H45327" s="50"/>
      <c r="I45327" s="50"/>
      <c r="O45327" s="36" t="s">
        <v>48</v>
      </c>
      <c r="R45327" s="36" t="s">
        <v>48</v>
      </c>
    </row>
    <row r="45328">
      <c r="H45328" s="50"/>
      <c r="I45328" s="50"/>
      <c r="O45328" s="36" t="s">
        <v>48</v>
      </c>
      <c r="R45328" s="36" t="s">
        <v>48</v>
      </c>
    </row>
    <row r="45329">
      <c r="H45329" s="50"/>
      <c r="I45329" s="50"/>
      <c r="O45329" s="36" t="s">
        <v>48</v>
      </c>
      <c r="R45329" s="36" t="s">
        <v>48</v>
      </c>
    </row>
    <row r="45330">
      <c r="H45330" s="50"/>
      <c r="I45330" s="50"/>
      <c r="O45330" s="36" t="s">
        <v>48</v>
      </c>
      <c r="R45330" s="36" t="s">
        <v>48</v>
      </c>
    </row>
    <row r="45331">
      <c r="H45331" s="50"/>
      <c r="I45331" s="50"/>
      <c r="O45331" s="36" t="s">
        <v>48</v>
      </c>
      <c r="R45331" s="36" t="s">
        <v>48</v>
      </c>
    </row>
    <row r="45332">
      <c r="H45332" s="50"/>
      <c r="I45332" s="50"/>
      <c r="O45332" s="36" t="s">
        <v>48</v>
      </c>
      <c r="R45332" s="36" t="s">
        <v>48</v>
      </c>
    </row>
    <row r="45333">
      <c r="H45333" s="50"/>
      <c r="I45333" s="50"/>
      <c r="O45333" s="36" t="s">
        <v>48</v>
      </c>
      <c r="R45333" s="36" t="s">
        <v>48</v>
      </c>
    </row>
    <row r="45334">
      <c r="H45334" s="50"/>
      <c r="I45334" s="50"/>
      <c r="O45334" s="36" t="s">
        <v>48</v>
      </c>
      <c r="R45334" s="36" t="s">
        <v>48</v>
      </c>
    </row>
    <row r="45335">
      <c r="H45335" s="50"/>
      <c r="I45335" s="50"/>
      <c r="O45335" s="36" t="s">
        <v>48</v>
      </c>
      <c r="R45335" s="36" t="s">
        <v>48</v>
      </c>
    </row>
    <row r="45336">
      <c r="H45336" s="50"/>
      <c r="I45336" s="50"/>
      <c r="O45336" s="36" t="s">
        <v>48</v>
      </c>
      <c r="R45336" s="36" t="s">
        <v>48</v>
      </c>
    </row>
    <row r="45337">
      <c r="H45337" s="50"/>
      <c r="I45337" s="50"/>
      <c r="O45337" s="36" t="s">
        <v>48</v>
      </c>
      <c r="R45337" s="36" t="s">
        <v>48</v>
      </c>
    </row>
    <row r="45338">
      <c r="H45338" s="50"/>
      <c r="I45338" s="50"/>
      <c r="O45338" s="36" t="s">
        <v>48</v>
      </c>
      <c r="R45338" s="36" t="s">
        <v>48</v>
      </c>
    </row>
    <row r="45339">
      <c r="H45339" s="50"/>
      <c r="I45339" s="50"/>
      <c r="O45339" s="36" t="s">
        <v>48</v>
      </c>
      <c r="R45339" s="36" t="s">
        <v>48</v>
      </c>
    </row>
    <row r="45340">
      <c r="H45340" s="50"/>
      <c r="I45340" s="50"/>
      <c r="O45340" s="36" t="s">
        <v>48</v>
      </c>
      <c r="R45340" s="36" t="s">
        <v>48</v>
      </c>
    </row>
    <row r="45341">
      <c r="H45341" s="50"/>
      <c r="I45341" s="50"/>
      <c r="O45341" s="36" t="s">
        <v>48</v>
      </c>
      <c r="R45341" s="36" t="s">
        <v>48</v>
      </c>
    </row>
    <row r="45342">
      <c r="H45342" s="50"/>
      <c r="I45342" s="50"/>
      <c r="O45342" s="36" t="s">
        <v>48</v>
      </c>
      <c r="R45342" s="36" t="s">
        <v>48</v>
      </c>
    </row>
    <row r="45343">
      <c r="H45343" s="50"/>
      <c r="I45343" s="50"/>
      <c r="O45343" s="36" t="s">
        <v>48</v>
      </c>
      <c r="R45343" s="36" t="s">
        <v>48</v>
      </c>
    </row>
    <row r="45344">
      <c r="H45344" s="50"/>
      <c r="I45344" s="50"/>
      <c r="O45344" s="36" t="s">
        <v>48</v>
      </c>
      <c r="R45344" s="36" t="s">
        <v>48</v>
      </c>
    </row>
    <row r="45345">
      <c r="H45345" s="50"/>
      <c r="I45345" s="50"/>
      <c r="O45345" s="36" t="s">
        <v>48</v>
      </c>
      <c r="R45345" s="36" t="s">
        <v>48</v>
      </c>
    </row>
    <row r="45346">
      <c r="H45346" s="50"/>
      <c r="I45346" s="50"/>
      <c r="O45346" s="36" t="s">
        <v>48</v>
      </c>
      <c r="R45346" s="36" t="s">
        <v>48</v>
      </c>
    </row>
    <row r="45347">
      <c r="H45347" s="50"/>
      <c r="I45347" s="50"/>
      <c r="O45347" s="36" t="s">
        <v>48</v>
      </c>
      <c r="R45347" s="36" t="s">
        <v>48</v>
      </c>
    </row>
    <row r="45348">
      <c r="H45348" s="50"/>
      <c r="I45348" s="50"/>
      <c r="O45348" s="36" t="s">
        <v>48</v>
      </c>
      <c r="R45348" s="36" t="s">
        <v>48</v>
      </c>
    </row>
    <row r="45349">
      <c r="H45349" s="50"/>
      <c r="I45349" s="50"/>
      <c r="O45349" s="36" t="s">
        <v>48</v>
      </c>
      <c r="R45349" s="36" t="s">
        <v>48</v>
      </c>
    </row>
    <row r="45350">
      <c r="H45350" s="50"/>
      <c r="I45350" s="50"/>
      <c r="O45350" s="36" t="s">
        <v>48</v>
      </c>
      <c r="R45350" s="36" t="s">
        <v>48</v>
      </c>
    </row>
    <row r="45351">
      <c r="H45351" s="50"/>
      <c r="I45351" s="50"/>
      <c r="O45351" s="36" t="s">
        <v>48</v>
      </c>
      <c r="R45351" s="36" t="s">
        <v>48</v>
      </c>
    </row>
    <row r="45352">
      <c r="H45352" s="50"/>
      <c r="I45352" s="50"/>
      <c r="O45352" s="36" t="s">
        <v>48</v>
      </c>
      <c r="R45352" s="36" t="s">
        <v>48</v>
      </c>
    </row>
    <row r="45353">
      <c r="H45353" s="50"/>
      <c r="I45353" s="50"/>
      <c r="O45353" s="36" t="s">
        <v>48</v>
      </c>
      <c r="R45353" s="36" t="s">
        <v>48</v>
      </c>
    </row>
    <row r="45354">
      <c r="H45354" s="50"/>
      <c r="I45354" s="50"/>
      <c r="O45354" s="36" t="s">
        <v>48</v>
      </c>
      <c r="R45354" s="36" t="s">
        <v>48</v>
      </c>
    </row>
    <row r="45355">
      <c r="H45355" s="50"/>
      <c r="I45355" s="50"/>
      <c r="O45355" s="36" t="s">
        <v>48</v>
      </c>
      <c r="R45355" s="36" t="s">
        <v>48</v>
      </c>
    </row>
    <row r="45356">
      <c r="H45356" s="50"/>
      <c r="I45356" s="50"/>
      <c r="O45356" s="36" t="s">
        <v>48</v>
      </c>
      <c r="R45356" s="36" t="s">
        <v>48</v>
      </c>
    </row>
    <row r="45357">
      <c r="H45357" s="50"/>
      <c r="I45357" s="50"/>
      <c r="O45357" s="36" t="s">
        <v>48</v>
      </c>
      <c r="R45357" s="36" t="s">
        <v>48</v>
      </c>
    </row>
    <row r="45358">
      <c r="H45358" s="50"/>
      <c r="I45358" s="50"/>
      <c r="O45358" s="36" t="s">
        <v>48</v>
      </c>
      <c r="R45358" s="36" t="s">
        <v>48</v>
      </c>
    </row>
    <row r="45359">
      <c r="H45359" s="50"/>
      <c r="I45359" s="50"/>
      <c r="O45359" s="36" t="s">
        <v>48</v>
      </c>
      <c r="R45359" s="36" t="s">
        <v>48</v>
      </c>
    </row>
    <row r="45360">
      <c r="H45360" s="50"/>
      <c r="I45360" s="50"/>
      <c r="O45360" s="36" t="s">
        <v>48</v>
      </c>
      <c r="R45360" s="36" t="s">
        <v>48</v>
      </c>
    </row>
    <row r="45361">
      <c r="H45361" s="50"/>
      <c r="I45361" s="50"/>
      <c r="O45361" s="36" t="s">
        <v>48</v>
      </c>
      <c r="R45361" s="36" t="s">
        <v>48</v>
      </c>
    </row>
    <row r="45362">
      <c r="H45362" s="50"/>
      <c r="I45362" s="50"/>
      <c r="O45362" s="36" t="s">
        <v>48</v>
      </c>
      <c r="R45362" s="36" t="s">
        <v>48</v>
      </c>
    </row>
    <row r="45363">
      <c r="H45363" s="50"/>
      <c r="I45363" s="50"/>
      <c r="O45363" s="36" t="s">
        <v>48</v>
      </c>
      <c r="R45363" s="36" t="s">
        <v>48</v>
      </c>
    </row>
    <row r="45364">
      <c r="H45364" s="50"/>
      <c r="I45364" s="50"/>
      <c r="O45364" s="36" t="s">
        <v>48</v>
      </c>
      <c r="R45364" s="36" t="s">
        <v>48</v>
      </c>
    </row>
    <row r="45365">
      <c r="H45365" s="50"/>
      <c r="I45365" s="50"/>
      <c r="O45365" s="36" t="s">
        <v>48</v>
      </c>
      <c r="R45365" s="36" t="s">
        <v>48</v>
      </c>
    </row>
    <row r="45366">
      <c r="H45366" s="50"/>
      <c r="I45366" s="50"/>
      <c r="O45366" s="36" t="s">
        <v>48</v>
      </c>
      <c r="R45366" s="36" t="s">
        <v>48</v>
      </c>
    </row>
    <row r="45367">
      <c r="H45367" s="50"/>
      <c r="I45367" s="50"/>
      <c r="O45367" s="36" t="s">
        <v>48</v>
      </c>
      <c r="R45367" s="36" t="s">
        <v>48</v>
      </c>
    </row>
    <row r="45368">
      <c r="H45368" s="50"/>
      <c r="I45368" s="50"/>
      <c r="O45368" s="36" t="s">
        <v>48</v>
      </c>
      <c r="R45368" s="36" t="s">
        <v>48</v>
      </c>
    </row>
    <row r="45369">
      <c r="H45369" s="50"/>
      <c r="I45369" s="50"/>
      <c r="O45369" s="36" t="s">
        <v>48</v>
      </c>
      <c r="R45369" s="36" t="s">
        <v>48</v>
      </c>
    </row>
    <row r="45370">
      <c r="H45370" s="50"/>
      <c r="I45370" s="50"/>
      <c r="O45370" s="36" t="s">
        <v>48</v>
      </c>
      <c r="R45370" s="36" t="s">
        <v>48</v>
      </c>
    </row>
    <row r="45371">
      <c r="H45371" s="50"/>
      <c r="I45371" s="50"/>
      <c r="O45371" s="36" t="s">
        <v>48</v>
      </c>
      <c r="R45371" s="36" t="s">
        <v>48</v>
      </c>
    </row>
    <row r="45372">
      <c r="H45372" s="50"/>
      <c r="I45372" s="50"/>
      <c r="O45372" s="36" t="s">
        <v>48</v>
      </c>
      <c r="R45372" s="36" t="s">
        <v>48</v>
      </c>
    </row>
    <row r="45373">
      <c r="H45373" s="50"/>
      <c r="I45373" s="50"/>
      <c r="O45373" s="36" t="s">
        <v>48</v>
      </c>
      <c r="R45373" s="36" t="s">
        <v>48</v>
      </c>
    </row>
    <row r="45374">
      <c r="H45374" s="50"/>
      <c r="I45374" s="50"/>
      <c r="O45374" s="36" t="s">
        <v>48</v>
      </c>
      <c r="R45374" s="36" t="s">
        <v>48</v>
      </c>
    </row>
    <row r="45375">
      <c r="H45375" s="50"/>
      <c r="I45375" s="50"/>
      <c r="O45375" s="36" t="s">
        <v>48</v>
      </c>
      <c r="R45375" s="36" t="s">
        <v>48</v>
      </c>
    </row>
    <row r="45376">
      <c r="H45376" s="50"/>
      <c r="I45376" s="50"/>
      <c r="O45376" s="36" t="s">
        <v>48</v>
      </c>
      <c r="R45376" s="36" t="s">
        <v>48</v>
      </c>
    </row>
    <row r="45377">
      <c r="H45377" s="50"/>
      <c r="I45377" s="50"/>
      <c r="O45377" s="36" t="s">
        <v>48</v>
      </c>
      <c r="R45377" s="36" t="s">
        <v>48</v>
      </c>
    </row>
    <row r="45378">
      <c r="H45378" s="50"/>
      <c r="I45378" s="50"/>
      <c r="O45378" s="36" t="s">
        <v>48</v>
      </c>
      <c r="R45378" s="36" t="s">
        <v>48</v>
      </c>
    </row>
    <row r="45379">
      <c r="H45379" s="50"/>
      <c r="I45379" s="50"/>
      <c r="O45379" s="36" t="s">
        <v>48</v>
      </c>
      <c r="R45379" s="36" t="s">
        <v>48</v>
      </c>
    </row>
    <row r="45380">
      <c r="H45380" s="50"/>
      <c r="I45380" s="50"/>
      <c r="O45380" s="36" t="s">
        <v>48</v>
      </c>
      <c r="R45380" s="36" t="s">
        <v>48</v>
      </c>
    </row>
    <row r="45381">
      <c r="H45381" s="50"/>
      <c r="I45381" s="50"/>
      <c r="O45381" s="36" t="s">
        <v>48</v>
      </c>
      <c r="R45381" s="36" t="s">
        <v>48</v>
      </c>
    </row>
    <row r="45382">
      <c r="H45382" s="50"/>
      <c r="I45382" s="50"/>
      <c r="O45382" s="36" t="s">
        <v>48</v>
      </c>
      <c r="R45382" s="36" t="s">
        <v>48</v>
      </c>
    </row>
    <row r="45383">
      <c r="H45383" s="50"/>
      <c r="I45383" s="50"/>
      <c r="O45383" s="36" t="s">
        <v>48</v>
      </c>
      <c r="R45383" s="36" t="s">
        <v>48</v>
      </c>
    </row>
    <row r="45384">
      <c r="H45384" s="50"/>
      <c r="I45384" s="50"/>
      <c r="O45384" s="36" t="s">
        <v>48</v>
      </c>
      <c r="R45384" s="36" t="s">
        <v>48</v>
      </c>
    </row>
    <row r="45385">
      <c r="H45385" s="50"/>
      <c r="I45385" s="50"/>
      <c r="O45385" s="36" t="s">
        <v>48</v>
      </c>
      <c r="R45385" s="36" t="s">
        <v>48</v>
      </c>
    </row>
    <row r="45386">
      <c r="H45386" s="50"/>
      <c r="I45386" s="50"/>
      <c r="O45386" s="36" t="s">
        <v>48</v>
      </c>
      <c r="R45386" s="36" t="s">
        <v>48</v>
      </c>
    </row>
    <row r="45387">
      <c r="H45387" s="50"/>
      <c r="I45387" s="50"/>
      <c r="O45387" s="36" t="s">
        <v>48</v>
      </c>
      <c r="R45387" s="36" t="s">
        <v>48</v>
      </c>
    </row>
    <row r="45388">
      <c r="H45388" s="50"/>
      <c r="I45388" s="50"/>
      <c r="O45388" s="36" t="s">
        <v>48</v>
      </c>
      <c r="R45388" s="36" t="s">
        <v>48</v>
      </c>
    </row>
    <row r="45389">
      <c r="H45389" s="50"/>
      <c r="I45389" s="50"/>
      <c r="O45389" s="36" t="s">
        <v>48</v>
      </c>
      <c r="R45389" s="36" t="s">
        <v>48</v>
      </c>
    </row>
    <row r="45390">
      <c r="H45390" s="50"/>
      <c r="I45390" s="50"/>
      <c r="O45390" s="36" t="s">
        <v>48</v>
      </c>
      <c r="R45390" s="36" t="s">
        <v>48</v>
      </c>
    </row>
    <row r="45391">
      <c r="H45391" s="50"/>
      <c r="I45391" s="50"/>
      <c r="O45391" s="36" t="s">
        <v>48</v>
      </c>
      <c r="R45391" s="36" t="s">
        <v>48</v>
      </c>
    </row>
    <row r="45392">
      <c r="H45392" s="50"/>
      <c r="I45392" s="50"/>
      <c r="O45392" s="36" t="s">
        <v>48</v>
      </c>
      <c r="R45392" s="36" t="s">
        <v>48</v>
      </c>
    </row>
    <row r="45393">
      <c r="H45393" s="50"/>
      <c r="I45393" s="50"/>
      <c r="O45393" s="36" t="s">
        <v>48</v>
      </c>
      <c r="R45393" s="36" t="s">
        <v>48</v>
      </c>
    </row>
    <row r="45394">
      <c r="H45394" s="50"/>
      <c r="I45394" s="50"/>
      <c r="O45394" s="36" t="s">
        <v>48</v>
      </c>
      <c r="R45394" s="36" t="s">
        <v>48</v>
      </c>
    </row>
    <row r="45395">
      <c r="H45395" s="50"/>
      <c r="I45395" s="50"/>
      <c r="O45395" s="36" t="s">
        <v>48</v>
      </c>
      <c r="R45395" s="36" t="s">
        <v>48</v>
      </c>
    </row>
    <row r="45396">
      <c r="H45396" s="50"/>
      <c r="I45396" s="50"/>
      <c r="O45396" s="36" t="s">
        <v>48</v>
      </c>
      <c r="R45396" s="36" t="s">
        <v>48</v>
      </c>
    </row>
    <row r="45397">
      <c r="H45397" s="50"/>
      <c r="I45397" s="50"/>
      <c r="O45397" s="36" t="s">
        <v>48</v>
      </c>
      <c r="R45397" s="36" t="s">
        <v>48</v>
      </c>
    </row>
    <row r="45398">
      <c r="H45398" s="50"/>
      <c r="I45398" s="50"/>
      <c r="O45398" s="36" t="s">
        <v>48</v>
      </c>
      <c r="R45398" s="36" t="s">
        <v>48</v>
      </c>
    </row>
    <row r="45399">
      <c r="H45399" s="50"/>
      <c r="I45399" s="50"/>
      <c r="O45399" s="36" t="s">
        <v>48</v>
      </c>
      <c r="R45399" s="36" t="s">
        <v>48</v>
      </c>
    </row>
    <row r="45400">
      <c r="H45400" s="50"/>
      <c r="I45400" s="50"/>
      <c r="O45400" s="36" t="s">
        <v>48</v>
      </c>
      <c r="R45400" s="36" t="s">
        <v>48</v>
      </c>
    </row>
    <row r="45401">
      <c r="H45401" s="50"/>
      <c r="I45401" s="50"/>
      <c r="O45401" s="36" t="s">
        <v>48</v>
      </c>
      <c r="R45401" s="36" t="s">
        <v>48</v>
      </c>
    </row>
    <row r="45402">
      <c r="H45402" s="50"/>
      <c r="I45402" s="50"/>
      <c r="O45402" s="36" t="s">
        <v>48</v>
      </c>
      <c r="R45402" s="36" t="s">
        <v>48</v>
      </c>
    </row>
    <row r="45403">
      <c r="H45403" s="50"/>
      <c r="I45403" s="50"/>
      <c r="O45403" s="36" t="s">
        <v>48</v>
      </c>
      <c r="R45403" s="36" t="s">
        <v>48</v>
      </c>
    </row>
    <row r="45404">
      <c r="H45404" s="50"/>
      <c r="I45404" s="50"/>
      <c r="O45404" s="36" t="s">
        <v>48</v>
      </c>
      <c r="R45404" s="36" t="s">
        <v>48</v>
      </c>
    </row>
    <row r="45405">
      <c r="H45405" s="50"/>
      <c r="I45405" s="50"/>
      <c r="O45405" s="36" t="s">
        <v>48</v>
      </c>
      <c r="R45405" s="36" t="s">
        <v>48</v>
      </c>
    </row>
    <row r="45406">
      <c r="H45406" s="50"/>
      <c r="I45406" s="50"/>
      <c r="O45406" s="36" t="s">
        <v>48</v>
      </c>
      <c r="R45406" s="36" t="s">
        <v>48</v>
      </c>
    </row>
    <row r="45407">
      <c r="H45407" s="50"/>
      <c r="I45407" s="50"/>
      <c r="O45407" s="36" t="s">
        <v>48</v>
      </c>
      <c r="R45407" s="36" t="s">
        <v>48</v>
      </c>
    </row>
    <row r="45408">
      <c r="H45408" s="50"/>
      <c r="I45408" s="50"/>
      <c r="O45408" s="36" t="s">
        <v>48</v>
      </c>
      <c r="R45408" s="36" t="s">
        <v>48</v>
      </c>
    </row>
    <row r="45409">
      <c r="H45409" s="50"/>
      <c r="I45409" s="50"/>
      <c r="O45409" s="36" t="s">
        <v>48</v>
      </c>
      <c r="R45409" s="36" t="s">
        <v>48</v>
      </c>
    </row>
    <row r="45410">
      <c r="H45410" s="50"/>
      <c r="I45410" s="50"/>
      <c r="O45410" s="36" t="s">
        <v>48</v>
      </c>
      <c r="R45410" s="36" t="s">
        <v>48</v>
      </c>
    </row>
    <row r="45411">
      <c r="H45411" s="50"/>
      <c r="I45411" s="50"/>
      <c r="O45411" s="36" t="s">
        <v>48</v>
      </c>
      <c r="R45411" s="36" t="s">
        <v>48</v>
      </c>
    </row>
    <row r="45412">
      <c r="H45412" s="50"/>
      <c r="I45412" s="50"/>
      <c r="O45412" s="36" t="s">
        <v>48</v>
      </c>
      <c r="R45412" s="36" t="s">
        <v>48</v>
      </c>
    </row>
    <row r="45413">
      <c r="H45413" s="50"/>
      <c r="I45413" s="50"/>
      <c r="O45413" s="36" t="s">
        <v>48</v>
      </c>
      <c r="R45413" s="36" t="s">
        <v>48</v>
      </c>
    </row>
    <row r="45414">
      <c r="H45414" s="50"/>
      <c r="I45414" s="50"/>
      <c r="O45414" s="36" t="s">
        <v>48</v>
      </c>
      <c r="R45414" s="36" t="s">
        <v>48</v>
      </c>
    </row>
    <row r="45415">
      <c r="H45415" s="50"/>
      <c r="I45415" s="50"/>
      <c r="O45415" s="36" t="s">
        <v>48</v>
      </c>
      <c r="R45415" s="36" t="s">
        <v>48</v>
      </c>
    </row>
    <row r="45416">
      <c r="H45416" s="50"/>
      <c r="I45416" s="50"/>
      <c r="O45416" s="36" t="s">
        <v>48</v>
      </c>
      <c r="R45416" s="36" t="s">
        <v>48</v>
      </c>
    </row>
    <row r="45417">
      <c r="H45417" s="50"/>
      <c r="I45417" s="50"/>
      <c r="O45417" s="36" t="s">
        <v>48</v>
      </c>
      <c r="R45417" s="36" t="s">
        <v>48</v>
      </c>
    </row>
    <row r="45418">
      <c r="H45418" s="50"/>
      <c r="I45418" s="50"/>
      <c r="O45418" s="36" t="s">
        <v>48</v>
      </c>
      <c r="R45418" s="36" t="s">
        <v>48</v>
      </c>
    </row>
    <row r="45419">
      <c r="H45419" s="50"/>
      <c r="I45419" s="50"/>
      <c r="O45419" s="36" t="s">
        <v>48</v>
      </c>
      <c r="R45419" s="36" t="s">
        <v>48</v>
      </c>
    </row>
    <row r="45420">
      <c r="H45420" s="50"/>
      <c r="I45420" s="50"/>
      <c r="O45420" s="36" t="s">
        <v>48</v>
      </c>
      <c r="R45420" s="36" t="s">
        <v>48</v>
      </c>
    </row>
    <row r="45421">
      <c r="H45421" s="50"/>
      <c r="I45421" s="50"/>
      <c r="O45421" s="36" t="s">
        <v>48</v>
      </c>
      <c r="R45421" s="36" t="s">
        <v>48</v>
      </c>
    </row>
    <row r="45422">
      <c r="H45422" s="50"/>
      <c r="I45422" s="50"/>
      <c r="O45422" s="36" t="s">
        <v>48</v>
      </c>
      <c r="R45422" s="36" t="s">
        <v>48</v>
      </c>
    </row>
    <row r="45423">
      <c r="H45423" s="50"/>
      <c r="I45423" s="50"/>
      <c r="O45423" s="36" t="s">
        <v>48</v>
      </c>
      <c r="R45423" s="36" t="s">
        <v>48</v>
      </c>
    </row>
    <row r="45424">
      <c r="H45424" s="50"/>
      <c r="I45424" s="50"/>
      <c r="O45424" s="36" t="s">
        <v>48</v>
      </c>
      <c r="R45424" s="36" t="s">
        <v>48</v>
      </c>
    </row>
    <row r="45425">
      <c r="H45425" s="50"/>
      <c r="I45425" s="50"/>
      <c r="O45425" s="36" t="s">
        <v>48</v>
      </c>
      <c r="R45425" s="36" t="s">
        <v>48</v>
      </c>
    </row>
    <row r="45426">
      <c r="H45426" s="50"/>
      <c r="I45426" s="50"/>
      <c r="O45426" s="36" t="s">
        <v>48</v>
      </c>
      <c r="R45426" s="36" t="s">
        <v>48</v>
      </c>
    </row>
    <row r="45427">
      <c r="H45427" s="50"/>
      <c r="I45427" s="50"/>
      <c r="O45427" s="36" t="s">
        <v>48</v>
      </c>
      <c r="R45427" s="36" t="s">
        <v>48</v>
      </c>
    </row>
    <row r="45428">
      <c r="H45428" s="50"/>
      <c r="I45428" s="50"/>
      <c r="O45428" s="36" t="s">
        <v>48</v>
      </c>
      <c r="R45428" s="36" t="s">
        <v>48</v>
      </c>
    </row>
    <row r="45429">
      <c r="H45429" s="50"/>
      <c r="I45429" s="50"/>
      <c r="O45429" s="36" t="s">
        <v>48</v>
      </c>
      <c r="R45429" s="36" t="s">
        <v>48</v>
      </c>
    </row>
    <row r="45430">
      <c r="H45430" s="50"/>
      <c r="I45430" s="50"/>
      <c r="O45430" s="36" t="s">
        <v>48</v>
      </c>
      <c r="R45430" s="36" t="s">
        <v>48</v>
      </c>
    </row>
    <row r="45431">
      <c r="H45431" s="50"/>
      <c r="I45431" s="50"/>
      <c r="O45431" s="36" t="s">
        <v>48</v>
      </c>
      <c r="R45431" s="36" t="s">
        <v>48</v>
      </c>
    </row>
    <row r="45432">
      <c r="H45432" s="50"/>
      <c r="I45432" s="50"/>
      <c r="O45432" s="36" t="s">
        <v>48</v>
      </c>
      <c r="R45432" s="36" t="s">
        <v>48</v>
      </c>
    </row>
    <row r="45433">
      <c r="H45433" s="50"/>
      <c r="I45433" s="50"/>
      <c r="O45433" s="36" t="s">
        <v>48</v>
      </c>
      <c r="R45433" s="36" t="s">
        <v>48</v>
      </c>
    </row>
    <row r="45434">
      <c r="H45434" s="50"/>
      <c r="I45434" s="50"/>
      <c r="O45434" s="36" t="s">
        <v>48</v>
      </c>
      <c r="R45434" s="36" t="s">
        <v>48</v>
      </c>
    </row>
    <row r="45435">
      <c r="H45435" s="50"/>
      <c r="I45435" s="50"/>
      <c r="O45435" s="36" t="s">
        <v>48</v>
      </c>
      <c r="R45435" s="36" t="s">
        <v>48</v>
      </c>
    </row>
    <row r="45436">
      <c r="H45436" s="50"/>
      <c r="I45436" s="50"/>
      <c r="O45436" s="36" t="s">
        <v>48</v>
      </c>
      <c r="R45436" s="36" t="s">
        <v>48</v>
      </c>
    </row>
    <row r="45437">
      <c r="H45437" s="50"/>
      <c r="I45437" s="50"/>
      <c r="O45437" s="36" t="s">
        <v>48</v>
      </c>
      <c r="R45437" s="36" t="s">
        <v>48</v>
      </c>
    </row>
    <row r="45438">
      <c r="H45438" s="50"/>
      <c r="I45438" s="50"/>
      <c r="O45438" s="36" t="s">
        <v>48</v>
      </c>
      <c r="R45438" s="36" t="s">
        <v>48</v>
      </c>
    </row>
    <row r="45439">
      <c r="H45439" s="50"/>
      <c r="I45439" s="50"/>
      <c r="O45439" s="36" t="s">
        <v>48</v>
      </c>
      <c r="R45439" s="36" t="s">
        <v>48</v>
      </c>
    </row>
    <row r="45440">
      <c r="H45440" s="50"/>
      <c r="I45440" s="50"/>
      <c r="O45440" s="36" t="s">
        <v>48</v>
      </c>
      <c r="R45440" s="36" t="s">
        <v>48</v>
      </c>
    </row>
    <row r="45441">
      <c r="H45441" s="50"/>
      <c r="I45441" s="50"/>
      <c r="O45441" s="36" t="s">
        <v>48</v>
      </c>
      <c r="R45441" s="36" t="s">
        <v>48</v>
      </c>
    </row>
    <row r="45442">
      <c r="H45442" s="50"/>
      <c r="I45442" s="50"/>
      <c r="O45442" s="36" t="s">
        <v>48</v>
      </c>
      <c r="R45442" s="36" t="s">
        <v>48</v>
      </c>
    </row>
    <row r="45443">
      <c r="H45443" s="50"/>
      <c r="I45443" s="50"/>
      <c r="O45443" s="36" t="s">
        <v>48</v>
      </c>
      <c r="R45443" s="36" t="s">
        <v>48</v>
      </c>
    </row>
    <row r="45444">
      <c r="H45444" s="50"/>
      <c r="I45444" s="50"/>
      <c r="O45444" s="36" t="s">
        <v>48</v>
      </c>
      <c r="R45444" s="36" t="s">
        <v>48</v>
      </c>
    </row>
    <row r="45445">
      <c r="H45445" s="50"/>
      <c r="I45445" s="50"/>
      <c r="O45445" s="36" t="s">
        <v>48</v>
      </c>
      <c r="R45445" s="36" t="s">
        <v>48</v>
      </c>
    </row>
    <row r="45446">
      <c r="H45446" s="50"/>
      <c r="I45446" s="50"/>
      <c r="O45446" s="36" t="s">
        <v>48</v>
      </c>
      <c r="R45446" s="36" t="s">
        <v>48</v>
      </c>
    </row>
    <row r="45447">
      <c r="H45447" s="50"/>
      <c r="I45447" s="50"/>
      <c r="O45447" s="36" t="s">
        <v>48</v>
      </c>
      <c r="R45447" s="36" t="s">
        <v>48</v>
      </c>
    </row>
    <row r="45448">
      <c r="H45448" s="50"/>
      <c r="I45448" s="50"/>
      <c r="O45448" s="36" t="s">
        <v>48</v>
      </c>
      <c r="R45448" s="36" t="s">
        <v>48</v>
      </c>
    </row>
    <row r="45449">
      <c r="H45449" s="50"/>
      <c r="I45449" s="50"/>
      <c r="O45449" s="36" t="s">
        <v>48</v>
      </c>
      <c r="R45449" s="36" t="s">
        <v>48</v>
      </c>
    </row>
    <row r="45450">
      <c r="H45450" s="50"/>
      <c r="I45450" s="50"/>
      <c r="O45450" s="36" t="s">
        <v>48</v>
      </c>
      <c r="R45450" s="36" t="s">
        <v>48</v>
      </c>
    </row>
    <row r="45451">
      <c r="H45451" s="50"/>
      <c r="I45451" s="50"/>
      <c r="O45451" s="36" t="s">
        <v>48</v>
      </c>
      <c r="R45451" s="36" t="s">
        <v>48</v>
      </c>
    </row>
    <row r="45452">
      <c r="H45452" s="50"/>
      <c r="I45452" s="50"/>
      <c r="O45452" s="36" t="s">
        <v>48</v>
      </c>
      <c r="R45452" s="36" t="s">
        <v>48</v>
      </c>
    </row>
    <row r="45453">
      <c r="H45453" s="50"/>
      <c r="I45453" s="50"/>
      <c r="O45453" s="36" t="s">
        <v>48</v>
      </c>
      <c r="R45453" s="36" t="s">
        <v>48</v>
      </c>
    </row>
    <row r="45454">
      <c r="H45454" s="50"/>
      <c r="I45454" s="50"/>
      <c r="O45454" s="36" t="s">
        <v>48</v>
      </c>
      <c r="R45454" s="36" t="s">
        <v>48</v>
      </c>
    </row>
    <row r="45455">
      <c r="H45455" s="50"/>
      <c r="I45455" s="50"/>
      <c r="O45455" s="36" t="s">
        <v>48</v>
      </c>
      <c r="R45455" s="36" t="s">
        <v>48</v>
      </c>
    </row>
    <row r="45456">
      <c r="H45456" s="50"/>
      <c r="I45456" s="50"/>
      <c r="O45456" s="36" t="s">
        <v>48</v>
      </c>
      <c r="R45456" s="36" t="s">
        <v>48</v>
      </c>
    </row>
    <row r="45457">
      <c r="H45457" s="50"/>
      <c r="I45457" s="50"/>
      <c r="O45457" s="36" t="s">
        <v>48</v>
      </c>
      <c r="R45457" s="36" t="s">
        <v>48</v>
      </c>
    </row>
    <row r="45458">
      <c r="H45458" s="50"/>
      <c r="I45458" s="50"/>
      <c r="O45458" s="36" t="s">
        <v>48</v>
      </c>
      <c r="R45458" s="36" t="s">
        <v>48</v>
      </c>
    </row>
    <row r="45459">
      <c r="H45459" s="50"/>
      <c r="I45459" s="50"/>
      <c r="O45459" s="36" t="s">
        <v>48</v>
      </c>
      <c r="R45459" s="36" t="s">
        <v>48</v>
      </c>
    </row>
    <row r="45460">
      <c r="H45460" s="50"/>
      <c r="I45460" s="50"/>
      <c r="O45460" s="36" t="s">
        <v>48</v>
      </c>
      <c r="R45460" s="36" t="s">
        <v>48</v>
      </c>
    </row>
    <row r="45461">
      <c r="H45461" s="50"/>
      <c r="I45461" s="50"/>
      <c r="O45461" s="36" t="s">
        <v>48</v>
      </c>
      <c r="R45461" s="36" t="s">
        <v>48</v>
      </c>
    </row>
    <row r="45462">
      <c r="H45462" s="50"/>
      <c r="I45462" s="50"/>
      <c r="O45462" s="36" t="s">
        <v>48</v>
      </c>
      <c r="R45462" s="36" t="s">
        <v>48</v>
      </c>
    </row>
    <row r="45463">
      <c r="H45463" s="50"/>
      <c r="I45463" s="50"/>
      <c r="O45463" s="36" t="s">
        <v>48</v>
      </c>
      <c r="R45463" s="36" t="s">
        <v>48</v>
      </c>
    </row>
    <row r="45464">
      <c r="H45464" s="50"/>
      <c r="I45464" s="50"/>
      <c r="O45464" s="36" t="s">
        <v>48</v>
      </c>
      <c r="R45464" s="36" t="s">
        <v>48</v>
      </c>
    </row>
    <row r="45465">
      <c r="H45465" s="50"/>
      <c r="I45465" s="50"/>
      <c r="O45465" s="36" t="s">
        <v>48</v>
      </c>
      <c r="R45465" s="36" t="s">
        <v>48</v>
      </c>
    </row>
    <row r="45466">
      <c r="H45466" s="50"/>
      <c r="I45466" s="50"/>
      <c r="O45466" s="36" t="s">
        <v>48</v>
      </c>
      <c r="R45466" s="36" t="s">
        <v>48</v>
      </c>
    </row>
    <row r="45467">
      <c r="H45467" s="50"/>
      <c r="I45467" s="50"/>
      <c r="O45467" s="36" t="s">
        <v>48</v>
      </c>
      <c r="R45467" s="36" t="s">
        <v>48</v>
      </c>
    </row>
    <row r="45468">
      <c r="H45468" s="50"/>
      <c r="I45468" s="50"/>
      <c r="O45468" s="36" t="s">
        <v>48</v>
      </c>
      <c r="R45468" s="36" t="s">
        <v>48</v>
      </c>
    </row>
    <row r="45469">
      <c r="H45469" s="50"/>
      <c r="I45469" s="50"/>
      <c r="O45469" s="36" t="s">
        <v>48</v>
      </c>
      <c r="R45469" s="36" t="s">
        <v>48</v>
      </c>
    </row>
    <row r="45470">
      <c r="H45470" s="50"/>
      <c r="I45470" s="50"/>
      <c r="O45470" s="36" t="s">
        <v>48</v>
      </c>
      <c r="R45470" s="36" t="s">
        <v>48</v>
      </c>
    </row>
    <row r="45471">
      <c r="H45471" s="50"/>
      <c r="I45471" s="50"/>
      <c r="O45471" s="36" t="s">
        <v>48</v>
      </c>
      <c r="R45471" s="36" t="s">
        <v>48</v>
      </c>
    </row>
    <row r="45472">
      <c r="H45472" s="50"/>
      <c r="I45472" s="50"/>
      <c r="O45472" s="36" t="s">
        <v>48</v>
      </c>
      <c r="R45472" s="36" t="s">
        <v>48</v>
      </c>
    </row>
    <row r="45473">
      <c r="H45473" s="50"/>
      <c r="I45473" s="50"/>
      <c r="O45473" s="36" t="s">
        <v>48</v>
      </c>
      <c r="R45473" s="36" t="s">
        <v>48</v>
      </c>
    </row>
    <row r="45474">
      <c r="H45474" s="50"/>
      <c r="I45474" s="50"/>
      <c r="O45474" s="36" t="s">
        <v>48</v>
      </c>
      <c r="R45474" s="36" t="s">
        <v>48</v>
      </c>
    </row>
    <row r="45475">
      <c r="H45475" s="50"/>
      <c r="I45475" s="50"/>
      <c r="O45475" s="36" t="s">
        <v>48</v>
      </c>
      <c r="R45475" s="36" t="s">
        <v>48</v>
      </c>
    </row>
    <row r="45476">
      <c r="H45476" s="50"/>
      <c r="I45476" s="50"/>
      <c r="O45476" s="36" t="s">
        <v>48</v>
      </c>
      <c r="R45476" s="36" t="s">
        <v>48</v>
      </c>
    </row>
    <row r="45477">
      <c r="H45477" s="50"/>
      <c r="I45477" s="50"/>
      <c r="O45477" s="36" t="s">
        <v>48</v>
      </c>
      <c r="R45477" s="36" t="s">
        <v>48</v>
      </c>
    </row>
    <row r="45478">
      <c r="H45478" s="50"/>
      <c r="I45478" s="50"/>
      <c r="O45478" s="36" t="s">
        <v>48</v>
      </c>
      <c r="R45478" s="36" t="s">
        <v>48</v>
      </c>
    </row>
    <row r="45479">
      <c r="H45479" s="50"/>
      <c r="I45479" s="50"/>
      <c r="O45479" s="36" t="s">
        <v>48</v>
      </c>
      <c r="R45479" s="36" t="s">
        <v>48</v>
      </c>
    </row>
    <row r="45480">
      <c r="H45480" s="50"/>
      <c r="I45480" s="50"/>
      <c r="O45480" s="36" t="s">
        <v>48</v>
      </c>
      <c r="R45480" s="36" t="s">
        <v>48</v>
      </c>
    </row>
    <row r="45481">
      <c r="H45481" s="50"/>
      <c r="I45481" s="50"/>
      <c r="O45481" s="36" t="s">
        <v>48</v>
      </c>
      <c r="R45481" s="36" t="s">
        <v>48</v>
      </c>
    </row>
    <row r="45482">
      <c r="H45482" s="50"/>
      <c r="I45482" s="50"/>
      <c r="O45482" s="36" t="s">
        <v>48</v>
      </c>
      <c r="R45482" s="36" t="s">
        <v>48</v>
      </c>
    </row>
    <row r="45483">
      <c r="H45483" s="50"/>
      <c r="I45483" s="50"/>
      <c r="O45483" s="36" t="s">
        <v>48</v>
      </c>
      <c r="R45483" s="36" t="s">
        <v>48</v>
      </c>
    </row>
    <row r="45484">
      <c r="H45484" s="50"/>
      <c r="I45484" s="50"/>
      <c r="O45484" s="36" t="s">
        <v>48</v>
      </c>
      <c r="R45484" s="36" t="s">
        <v>48</v>
      </c>
    </row>
    <row r="45485">
      <c r="H45485" s="50"/>
      <c r="I45485" s="50"/>
      <c r="O45485" s="36" t="s">
        <v>48</v>
      </c>
      <c r="R45485" s="36" t="s">
        <v>48</v>
      </c>
    </row>
    <row r="45486">
      <c r="H45486" s="50"/>
      <c r="I45486" s="50"/>
      <c r="O45486" s="36" t="s">
        <v>48</v>
      </c>
      <c r="R45486" s="36" t="s">
        <v>48</v>
      </c>
    </row>
    <row r="45487">
      <c r="H45487" s="50"/>
      <c r="I45487" s="50"/>
      <c r="O45487" s="36" t="s">
        <v>48</v>
      </c>
      <c r="R45487" s="36" t="s">
        <v>48</v>
      </c>
    </row>
    <row r="45488">
      <c r="H45488" s="50"/>
      <c r="I45488" s="50"/>
      <c r="O45488" s="36" t="s">
        <v>48</v>
      </c>
      <c r="R45488" s="36" t="s">
        <v>48</v>
      </c>
    </row>
    <row r="45489">
      <c r="H45489" s="50"/>
      <c r="I45489" s="50"/>
      <c r="O45489" s="36" t="s">
        <v>48</v>
      </c>
      <c r="R45489" s="36" t="s">
        <v>48</v>
      </c>
    </row>
    <row r="45490">
      <c r="H45490" s="50"/>
      <c r="I45490" s="50"/>
      <c r="O45490" s="36" t="s">
        <v>48</v>
      </c>
      <c r="R45490" s="36" t="s">
        <v>48</v>
      </c>
    </row>
    <row r="45491">
      <c r="H45491" s="50"/>
      <c r="I45491" s="50"/>
      <c r="O45491" s="36" t="s">
        <v>48</v>
      </c>
      <c r="R45491" s="36" t="s">
        <v>48</v>
      </c>
    </row>
    <row r="45492">
      <c r="H45492" s="50"/>
      <c r="I45492" s="50"/>
      <c r="O45492" s="36" t="s">
        <v>48</v>
      </c>
      <c r="R45492" s="36" t="s">
        <v>48</v>
      </c>
    </row>
    <row r="45493">
      <c r="H45493" s="50"/>
      <c r="I45493" s="50"/>
      <c r="O45493" s="36" t="s">
        <v>48</v>
      </c>
      <c r="R45493" s="36" t="s">
        <v>48</v>
      </c>
    </row>
    <row r="45494">
      <c r="H45494" s="50"/>
      <c r="I45494" s="50"/>
      <c r="O45494" s="36" t="s">
        <v>48</v>
      </c>
      <c r="R45494" s="36" t="s">
        <v>48</v>
      </c>
    </row>
    <row r="45495">
      <c r="H45495" s="50"/>
      <c r="I45495" s="50"/>
      <c r="O45495" s="36" t="s">
        <v>48</v>
      </c>
      <c r="R45495" s="36" t="s">
        <v>48</v>
      </c>
    </row>
    <row r="45496">
      <c r="H45496" s="50"/>
      <c r="I45496" s="50"/>
      <c r="O45496" s="36" t="s">
        <v>48</v>
      </c>
      <c r="R45496" s="36" t="s">
        <v>48</v>
      </c>
    </row>
    <row r="45497">
      <c r="H45497" s="50"/>
      <c r="I45497" s="50"/>
      <c r="O45497" s="36" t="s">
        <v>48</v>
      </c>
      <c r="R45497" s="36" t="s">
        <v>48</v>
      </c>
    </row>
    <row r="45498">
      <c r="H45498" s="50"/>
      <c r="I45498" s="50"/>
      <c r="O45498" s="36" t="s">
        <v>48</v>
      </c>
      <c r="R45498" s="36" t="s">
        <v>48</v>
      </c>
    </row>
    <row r="45499">
      <c r="H45499" s="50"/>
      <c r="I45499" s="50"/>
      <c r="O45499" s="36" t="s">
        <v>48</v>
      </c>
      <c r="R45499" s="36" t="s">
        <v>48</v>
      </c>
    </row>
    <row r="45500">
      <c r="H45500" s="50"/>
      <c r="I45500" s="50"/>
      <c r="O45500" s="36" t="s">
        <v>48</v>
      </c>
      <c r="R45500" s="36" t="s">
        <v>48</v>
      </c>
    </row>
    <row r="45501">
      <c r="H45501" s="50"/>
      <c r="I45501" s="50"/>
      <c r="O45501" s="36" t="s">
        <v>48</v>
      </c>
      <c r="R45501" s="36" t="s">
        <v>48</v>
      </c>
    </row>
    <row r="45502">
      <c r="H45502" s="50"/>
      <c r="I45502" s="50"/>
      <c r="O45502" s="36" t="s">
        <v>48</v>
      </c>
      <c r="R45502" s="36" t="s">
        <v>48</v>
      </c>
    </row>
    <row r="45503">
      <c r="H45503" s="50"/>
      <c r="I45503" s="50"/>
      <c r="O45503" s="36" t="s">
        <v>48</v>
      </c>
      <c r="R45503" s="36" t="s">
        <v>48</v>
      </c>
    </row>
    <row r="45504">
      <c r="H45504" s="50"/>
      <c r="I45504" s="50"/>
      <c r="O45504" s="36" t="s">
        <v>48</v>
      </c>
      <c r="R45504" s="36" t="s">
        <v>48</v>
      </c>
    </row>
    <row r="45505">
      <c r="H45505" s="50"/>
      <c r="I45505" s="50"/>
      <c r="O45505" s="36" t="s">
        <v>48</v>
      </c>
      <c r="R45505" s="36" t="s">
        <v>48</v>
      </c>
    </row>
    <row r="45506">
      <c r="H45506" s="50"/>
      <c r="I45506" s="50"/>
      <c r="O45506" s="36" t="s">
        <v>48</v>
      </c>
      <c r="R45506" s="36" t="s">
        <v>48</v>
      </c>
    </row>
    <row r="45507">
      <c r="H45507" s="50"/>
      <c r="I45507" s="50"/>
      <c r="O45507" s="36" t="s">
        <v>48</v>
      </c>
      <c r="R45507" s="36" t="s">
        <v>48</v>
      </c>
    </row>
    <row r="45508">
      <c r="H45508" s="50"/>
      <c r="I45508" s="50"/>
      <c r="O45508" s="36" t="s">
        <v>48</v>
      </c>
      <c r="R45508" s="36" t="s">
        <v>48</v>
      </c>
    </row>
    <row r="45509">
      <c r="H45509" s="50"/>
      <c r="I45509" s="50"/>
      <c r="O45509" s="36" t="s">
        <v>48</v>
      </c>
      <c r="R45509" s="36" t="s">
        <v>48</v>
      </c>
    </row>
    <row r="45510">
      <c r="H45510" s="50"/>
      <c r="I45510" s="50"/>
      <c r="O45510" s="36" t="s">
        <v>48</v>
      </c>
      <c r="R45510" s="36" t="s">
        <v>48</v>
      </c>
    </row>
    <row r="45511">
      <c r="H45511" s="50"/>
      <c r="I45511" s="50"/>
      <c r="O45511" s="36" t="s">
        <v>48</v>
      </c>
      <c r="R45511" s="36" t="s">
        <v>48</v>
      </c>
    </row>
    <row r="45512">
      <c r="H45512" s="50"/>
      <c r="I45512" s="50"/>
      <c r="O45512" s="36" t="s">
        <v>48</v>
      </c>
      <c r="R45512" s="36" t="s">
        <v>48</v>
      </c>
    </row>
    <row r="45513">
      <c r="H45513" s="50"/>
      <c r="I45513" s="50"/>
      <c r="O45513" s="36" t="s">
        <v>48</v>
      </c>
      <c r="R45513" s="36" t="s">
        <v>48</v>
      </c>
    </row>
    <row r="45514">
      <c r="H45514" s="50"/>
      <c r="I45514" s="50"/>
      <c r="O45514" s="36" t="s">
        <v>48</v>
      </c>
      <c r="R45514" s="36" t="s">
        <v>48</v>
      </c>
    </row>
    <row r="45515">
      <c r="H45515" s="50"/>
      <c r="I45515" s="50"/>
      <c r="O45515" s="36" t="s">
        <v>48</v>
      </c>
      <c r="R45515" s="36" t="s">
        <v>48</v>
      </c>
    </row>
    <row r="45516">
      <c r="H45516" s="50"/>
      <c r="I45516" s="50"/>
      <c r="O45516" s="36" t="s">
        <v>48</v>
      </c>
      <c r="R45516" s="36" t="s">
        <v>48</v>
      </c>
    </row>
    <row r="45517">
      <c r="H45517" s="50"/>
      <c r="I45517" s="50"/>
      <c r="O45517" s="36" t="s">
        <v>48</v>
      </c>
      <c r="R45517" s="36" t="s">
        <v>48</v>
      </c>
    </row>
    <row r="45518">
      <c r="H45518" s="50"/>
      <c r="I45518" s="50"/>
      <c r="O45518" s="36" t="s">
        <v>48</v>
      </c>
      <c r="R45518" s="36" t="s">
        <v>48</v>
      </c>
    </row>
    <row r="45519">
      <c r="H45519" s="50"/>
      <c r="I45519" s="50"/>
      <c r="O45519" s="36" t="s">
        <v>48</v>
      </c>
      <c r="R45519" s="36" t="s">
        <v>48</v>
      </c>
    </row>
    <row r="45520">
      <c r="H45520" s="50"/>
      <c r="I45520" s="50"/>
      <c r="O45520" s="36" t="s">
        <v>48</v>
      </c>
      <c r="R45520" s="36" t="s">
        <v>48</v>
      </c>
    </row>
    <row r="45521">
      <c r="H45521" s="50"/>
      <c r="I45521" s="50"/>
      <c r="O45521" s="36" t="s">
        <v>48</v>
      </c>
      <c r="R45521" s="36" t="s">
        <v>48</v>
      </c>
    </row>
    <row r="45522">
      <c r="H45522" s="50"/>
      <c r="I45522" s="50"/>
      <c r="O45522" s="36" t="s">
        <v>48</v>
      </c>
      <c r="R45522" s="36" t="s">
        <v>48</v>
      </c>
    </row>
    <row r="45523">
      <c r="H45523" s="50"/>
      <c r="I45523" s="50"/>
      <c r="O45523" s="36" t="s">
        <v>48</v>
      </c>
      <c r="R45523" s="36" t="s">
        <v>48</v>
      </c>
    </row>
    <row r="45524">
      <c r="H45524" s="50"/>
      <c r="I45524" s="50"/>
      <c r="O45524" s="36" t="s">
        <v>48</v>
      </c>
      <c r="R45524" s="36" t="s">
        <v>48</v>
      </c>
    </row>
    <row r="45525">
      <c r="H45525" s="50"/>
      <c r="I45525" s="50"/>
      <c r="O45525" s="36" t="s">
        <v>48</v>
      </c>
      <c r="R45525" s="36" t="s">
        <v>48</v>
      </c>
    </row>
    <row r="45526">
      <c r="H45526" s="50"/>
      <c r="I45526" s="50"/>
      <c r="O45526" s="36" t="s">
        <v>48</v>
      </c>
      <c r="R45526" s="36" t="s">
        <v>48</v>
      </c>
    </row>
    <row r="45527">
      <c r="H45527" s="50"/>
      <c r="I45527" s="50"/>
      <c r="O45527" s="36" t="s">
        <v>48</v>
      </c>
      <c r="R45527" s="36" t="s">
        <v>48</v>
      </c>
    </row>
    <row r="45528">
      <c r="H45528" s="50"/>
      <c r="I45528" s="50"/>
      <c r="O45528" s="36" t="s">
        <v>48</v>
      </c>
      <c r="R45528" s="36" t="s">
        <v>48</v>
      </c>
    </row>
    <row r="45529">
      <c r="H45529" s="50"/>
      <c r="I45529" s="50"/>
      <c r="O45529" s="36" t="s">
        <v>48</v>
      </c>
      <c r="R45529" s="36" t="s">
        <v>48</v>
      </c>
    </row>
    <row r="45530">
      <c r="H45530" s="50"/>
      <c r="I45530" s="50"/>
      <c r="O45530" s="36" t="s">
        <v>48</v>
      </c>
      <c r="R45530" s="36" t="s">
        <v>48</v>
      </c>
    </row>
    <row r="45531">
      <c r="H45531" s="50"/>
      <c r="I45531" s="50"/>
      <c r="O45531" s="36" t="s">
        <v>48</v>
      </c>
      <c r="R45531" s="36" t="s">
        <v>48</v>
      </c>
    </row>
    <row r="45532">
      <c r="H45532" s="50"/>
      <c r="I45532" s="50"/>
      <c r="O45532" s="36" t="s">
        <v>48</v>
      </c>
      <c r="R45532" s="36" t="s">
        <v>48</v>
      </c>
    </row>
    <row r="45533">
      <c r="H45533" s="50"/>
      <c r="I45533" s="50"/>
      <c r="O45533" s="36" t="s">
        <v>48</v>
      </c>
      <c r="R45533" s="36" t="s">
        <v>48</v>
      </c>
    </row>
    <row r="45534">
      <c r="H45534" s="50"/>
      <c r="I45534" s="50"/>
      <c r="O45534" s="36" t="s">
        <v>48</v>
      </c>
      <c r="R45534" s="36" t="s">
        <v>48</v>
      </c>
    </row>
    <row r="45535">
      <c r="H45535" s="50"/>
      <c r="I45535" s="50"/>
      <c r="O45535" s="36" t="s">
        <v>48</v>
      </c>
      <c r="R45535" s="36" t="s">
        <v>48</v>
      </c>
    </row>
    <row r="45536">
      <c r="H45536" s="50"/>
      <c r="I45536" s="50"/>
      <c r="O45536" s="36" t="s">
        <v>48</v>
      </c>
      <c r="R45536" s="36" t="s">
        <v>48</v>
      </c>
    </row>
    <row r="45537">
      <c r="H45537" s="50"/>
      <c r="I45537" s="50"/>
      <c r="O45537" s="36" t="s">
        <v>48</v>
      </c>
      <c r="R45537" s="36" t="s">
        <v>48</v>
      </c>
    </row>
    <row r="45538">
      <c r="H45538" s="50"/>
      <c r="I45538" s="50"/>
      <c r="O45538" s="36" t="s">
        <v>48</v>
      </c>
      <c r="R45538" s="36" t="s">
        <v>48</v>
      </c>
    </row>
    <row r="45539">
      <c r="H45539" s="50"/>
      <c r="I45539" s="50"/>
      <c r="O45539" s="36" t="s">
        <v>48</v>
      </c>
      <c r="R45539" s="36" t="s">
        <v>48</v>
      </c>
    </row>
    <row r="45540">
      <c r="H45540" s="50"/>
      <c r="I45540" s="50"/>
      <c r="O45540" s="36" t="s">
        <v>48</v>
      </c>
      <c r="R45540" s="36" t="s">
        <v>48</v>
      </c>
    </row>
    <row r="45541">
      <c r="H45541" s="50"/>
      <c r="I45541" s="50"/>
      <c r="O45541" s="36" t="s">
        <v>48</v>
      </c>
      <c r="R45541" s="36" t="s">
        <v>48</v>
      </c>
    </row>
    <row r="45542">
      <c r="H45542" s="50"/>
      <c r="I45542" s="50"/>
      <c r="O45542" s="36" t="s">
        <v>48</v>
      </c>
      <c r="R45542" s="36" t="s">
        <v>48</v>
      </c>
    </row>
    <row r="45543">
      <c r="H45543" s="50"/>
      <c r="I45543" s="50"/>
      <c r="O45543" s="36" t="s">
        <v>48</v>
      </c>
      <c r="R45543" s="36" t="s">
        <v>48</v>
      </c>
    </row>
    <row r="45544">
      <c r="H45544" s="50"/>
      <c r="I45544" s="50"/>
      <c r="O45544" s="36" t="s">
        <v>48</v>
      </c>
      <c r="R45544" s="36" t="s">
        <v>48</v>
      </c>
    </row>
    <row r="45545">
      <c r="H45545" s="50"/>
      <c r="I45545" s="50"/>
      <c r="O45545" s="36" t="s">
        <v>48</v>
      </c>
      <c r="R45545" s="36" t="s">
        <v>48</v>
      </c>
    </row>
    <row r="45546">
      <c r="H45546" s="50"/>
      <c r="I45546" s="50"/>
      <c r="O45546" s="36" t="s">
        <v>48</v>
      </c>
      <c r="R45546" s="36" t="s">
        <v>48</v>
      </c>
    </row>
    <row r="45547">
      <c r="H45547" s="50"/>
      <c r="I45547" s="50"/>
      <c r="O45547" s="36" t="s">
        <v>48</v>
      </c>
      <c r="R45547" s="36" t="s">
        <v>48</v>
      </c>
    </row>
    <row r="45548">
      <c r="H45548" s="50"/>
      <c r="I45548" s="50"/>
      <c r="O45548" s="36" t="s">
        <v>48</v>
      </c>
      <c r="R45548" s="36" t="s">
        <v>48</v>
      </c>
    </row>
    <row r="45549">
      <c r="H45549" s="50"/>
      <c r="I45549" s="50"/>
      <c r="O45549" s="36" t="s">
        <v>48</v>
      </c>
      <c r="R45549" s="36" t="s">
        <v>48</v>
      </c>
    </row>
    <row r="45550">
      <c r="H45550" s="50"/>
      <c r="I45550" s="50"/>
      <c r="O45550" s="36" t="s">
        <v>48</v>
      </c>
      <c r="R45550" s="36" t="s">
        <v>48</v>
      </c>
    </row>
    <row r="45551">
      <c r="H45551" s="50"/>
      <c r="I45551" s="50"/>
      <c r="O45551" s="36" t="s">
        <v>48</v>
      </c>
      <c r="R45551" s="36" t="s">
        <v>48</v>
      </c>
    </row>
    <row r="45552">
      <c r="H45552" s="50"/>
      <c r="I45552" s="50"/>
      <c r="O45552" s="36" t="s">
        <v>48</v>
      </c>
      <c r="R45552" s="36" t="s">
        <v>48</v>
      </c>
    </row>
    <row r="45553">
      <c r="H45553" s="50"/>
      <c r="I45553" s="50"/>
      <c r="O45553" s="36" t="s">
        <v>48</v>
      </c>
      <c r="R45553" s="36" t="s">
        <v>48</v>
      </c>
    </row>
    <row r="45554">
      <c r="H45554" s="50"/>
      <c r="I45554" s="50"/>
      <c r="O45554" s="36" t="s">
        <v>48</v>
      </c>
      <c r="R45554" s="36" t="s">
        <v>48</v>
      </c>
    </row>
    <row r="45555">
      <c r="H45555" s="50"/>
      <c r="I45555" s="50"/>
      <c r="O45555" s="36" t="s">
        <v>48</v>
      </c>
      <c r="R45555" s="36" t="s">
        <v>48</v>
      </c>
    </row>
    <row r="45556">
      <c r="H45556" s="50"/>
      <c r="I45556" s="50"/>
      <c r="O45556" s="36" t="s">
        <v>48</v>
      </c>
      <c r="R45556" s="36" t="s">
        <v>48</v>
      </c>
    </row>
    <row r="45557">
      <c r="H45557" s="50"/>
      <c r="I45557" s="50"/>
      <c r="O45557" s="36" t="s">
        <v>48</v>
      </c>
      <c r="R45557" s="36" t="s">
        <v>48</v>
      </c>
    </row>
    <row r="45558">
      <c r="H45558" s="50"/>
      <c r="I45558" s="50"/>
      <c r="O45558" s="36" t="s">
        <v>48</v>
      </c>
      <c r="R45558" s="36" t="s">
        <v>48</v>
      </c>
    </row>
    <row r="45559">
      <c r="H45559" s="50"/>
      <c r="I45559" s="50"/>
      <c r="O45559" s="36" t="s">
        <v>48</v>
      </c>
      <c r="R45559" s="36" t="s">
        <v>48</v>
      </c>
    </row>
    <row r="45560">
      <c r="H45560" s="50"/>
      <c r="I45560" s="50"/>
      <c r="O45560" s="36" t="s">
        <v>48</v>
      </c>
      <c r="R45560" s="36" t="s">
        <v>48</v>
      </c>
    </row>
    <row r="45561">
      <c r="H45561" s="50"/>
      <c r="I45561" s="50"/>
      <c r="O45561" s="36" t="s">
        <v>48</v>
      </c>
      <c r="R45561" s="36" t="s">
        <v>48</v>
      </c>
    </row>
    <row r="45562">
      <c r="H45562" s="50"/>
      <c r="I45562" s="50"/>
      <c r="O45562" s="36" t="s">
        <v>48</v>
      </c>
      <c r="R45562" s="36" t="s">
        <v>48</v>
      </c>
    </row>
    <row r="45563">
      <c r="H45563" s="50"/>
      <c r="I45563" s="50"/>
      <c r="O45563" s="36" t="s">
        <v>48</v>
      </c>
      <c r="R45563" s="36" t="s">
        <v>48</v>
      </c>
    </row>
    <row r="45564">
      <c r="H45564" s="50"/>
      <c r="I45564" s="50"/>
      <c r="O45564" s="36" t="s">
        <v>48</v>
      </c>
      <c r="R45564" s="36" t="s">
        <v>48</v>
      </c>
    </row>
    <row r="45565">
      <c r="H45565" s="50"/>
      <c r="I45565" s="50"/>
      <c r="O45565" s="36" t="s">
        <v>48</v>
      </c>
      <c r="R45565" s="36" t="s">
        <v>48</v>
      </c>
    </row>
    <row r="45566">
      <c r="H45566" s="50"/>
      <c r="I45566" s="50"/>
      <c r="O45566" s="36" t="s">
        <v>48</v>
      </c>
      <c r="R45566" s="36" t="s">
        <v>48</v>
      </c>
    </row>
    <row r="45567">
      <c r="H45567" s="50"/>
      <c r="I45567" s="50"/>
      <c r="O45567" s="36" t="s">
        <v>48</v>
      </c>
      <c r="R45567" s="36" t="s">
        <v>48</v>
      </c>
    </row>
    <row r="45568">
      <c r="H45568" s="50"/>
      <c r="I45568" s="50"/>
      <c r="O45568" s="36" t="s">
        <v>48</v>
      </c>
      <c r="R45568" s="36" t="s">
        <v>48</v>
      </c>
    </row>
    <row r="45569">
      <c r="H45569" s="50"/>
      <c r="I45569" s="50"/>
      <c r="O45569" s="36" t="s">
        <v>48</v>
      </c>
      <c r="R45569" s="36" t="s">
        <v>48</v>
      </c>
    </row>
    <row r="45570">
      <c r="H45570" s="50"/>
      <c r="I45570" s="50"/>
      <c r="O45570" s="36" t="s">
        <v>48</v>
      </c>
      <c r="R45570" s="36" t="s">
        <v>48</v>
      </c>
    </row>
    <row r="45571">
      <c r="H45571" s="50"/>
      <c r="I45571" s="50"/>
      <c r="O45571" s="36" t="s">
        <v>48</v>
      </c>
      <c r="R45571" s="36" t="s">
        <v>48</v>
      </c>
    </row>
    <row r="45572">
      <c r="H45572" s="50"/>
      <c r="I45572" s="50"/>
      <c r="O45572" s="36" t="s">
        <v>48</v>
      </c>
      <c r="R45572" s="36" t="s">
        <v>48</v>
      </c>
    </row>
    <row r="45573">
      <c r="H45573" s="50"/>
      <c r="I45573" s="50"/>
      <c r="O45573" s="36" t="s">
        <v>48</v>
      </c>
      <c r="R45573" s="36" t="s">
        <v>48</v>
      </c>
    </row>
    <row r="45574">
      <c r="H45574" s="50"/>
      <c r="I45574" s="50"/>
      <c r="O45574" s="36" t="s">
        <v>48</v>
      </c>
      <c r="R45574" s="36" t="s">
        <v>48</v>
      </c>
    </row>
    <row r="45575">
      <c r="H45575" s="50"/>
      <c r="I45575" s="50"/>
      <c r="O45575" s="36" t="s">
        <v>48</v>
      </c>
      <c r="R45575" s="36" t="s">
        <v>48</v>
      </c>
    </row>
    <row r="45576">
      <c r="H45576" s="50"/>
      <c r="I45576" s="50"/>
      <c r="O45576" s="36" t="s">
        <v>48</v>
      </c>
      <c r="R45576" s="36" t="s">
        <v>48</v>
      </c>
    </row>
    <row r="45577">
      <c r="H45577" s="50"/>
      <c r="I45577" s="50"/>
      <c r="O45577" s="36" t="s">
        <v>48</v>
      </c>
      <c r="R45577" s="36" t="s">
        <v>48</v>
      </c>
    </row>
    <row r="45578">
      <c r="H45578" s="50"/>
      <c r="I45578" s="50"/>
      <c r="O45578" s="36" t="s">
        <v>48</v>
      </c>
      <c r="R45578" s="36" t="s">
        <v>48</v>
      </c>
    </row>
    <row r="45579">
      <c r="H45579" s="50"/>
      <c r="I45579" s="50"/>
      <c r="O45579" s="36" t="s">
        <v>48</v>
      </c>
      <c r="R45579" s="36" t="s">
        <v>48</v>
      </c>
    </row>
    <row r="45580">
      <c r="H45580" s="50"/>
      <c r="I45580" s="50"/>
      <c r="O45580" s="36" t="s">
        <v>48</v>
      </c>
      <c r="R45580" s="36" t="s">
        <v>48</v>
      </c>
    </row>
    <row r="45581">
      <c r="H45581" s="50"/>
      <c r="I45581" s="50"/>
      <c r="O45581" s="36" t="s">
        <v>48</v>
      </c>
      <c r="R45581" s="36" t="s">
        <v>48</v>
      </c>
    </row>
    <row r="45582">
      <c r="H45582" s="50"/>
      <c r="I45582" s="50"/>
      <c r="O45582" s="36" t="s">
        <v>48</v>
      </c>
      <c r="R45582" s="36" t="s">
        <v>48</v>
      </c>
    </row>
    <row r="45583">
      <c r="H45583" s="50"/>
      <c r="I45583" s="50"/>
      <c r="O45583" s="36" t="s">
        <v>48</v>
      </c>
      <c r="R45583" s="36" t="s">
        <v>48</v>
      </c>
    </row>
    <row r="45584">
      <c r="H45584" s="50"/>
      <c r="I45584" s="50"/>
      <c r="O45584" s="36" t="s">
        <v>48</v>
      </c>
      <c r="R45584" s="36" t="s">
        <v>48</v>
      </c>
    </row>
    <row r="45585">
      <c r="H45585" s="50"/>
      <c r="I45585" s="50"/>
      <c r="O45585" s="36" t="s">
        <v>48</v>
      </c>
      <c r="R45585" s="36" t="s">
        <v>48</v>
      </c>
    </row>
    <row r="45586">
      <c r="H45586" s="50"/>
      <c r="I45586" s="50"/>
      <c r="O45586" s="36" t="s">
        <v>48</v>
      </c>
      <c r="R45586" s="36" t="s">
        <v>48</v>
      </c>
    </row>
    <row r="45587">
      <c r="H45587" s="50"/>
      <c r="I45587" s="50"/>
      <c r="O45587" s="36" t="s">
        <v>48</v>
      </c>
      <c r="R45587" s="36" t="s">
        <v>48</v>
      </c>
    </row>
    <row r="45588">
      <c r="H45588" s="50"/>
      <c r="I45588" s="50"/>
      <c r="O45588" s="36" t="s">
        <v>48</v>
      </c>
      <c r="R45588" s="36" t="s">
        <v>48</v>
      </c>
    </row>
    <row r="45589">
      <c r="H45589" s="50"/>
      <c r="I45589" s="50"/>
      <c r="O45589" s="36" t="s">
        <v>48</v>
      </c>
      <c r="R45589" s="36" t="s">
        <v>48</v>
      </c>
    </row>
    <row r="45590">
      <c r="H45590" s="50"/>
      <c r="I45590" s="50"/>
      <c r="O45590" s="36" t="s">
        <v>48</v>
      </c>
      <c r="R45590" s="36" t="s">
        <v>48</v>
      </c>
    </row>
    <row r="45591">
      <c r="H45591" s="50"/>
      <c r="I45591" s="50"/>
      <c r="O45591" s="36" t="s">
        <v>48</v>
      </c>
      <c r="R45591" s="36" t="s">
        <v>48</v>
      </c>
    </row>
    <row r="45592">
      <c r="H45592" s="50"/>
      <c r="I45592" s="50"/>
      <c r="O45592" s="36" t="s">
        <v>48</v>
      </c>
      <c r="R45592" s="36" t="s">
        <v>48</v>
      </c>
    </row>
    <row r="45593">
      <c r="H45593" s="50"/>
      <c r="I45593" s="50"/>
      <c r="O45593" s="36" t="s">
        <v>48</v>
      </c>
      <c r="R45593" s="36" t="s">
        <v>48</v>
      </c>
    </row>
    <row r="45594">
      <c r="H45594" s="50"/>
      <c r="I45594" s="50"/>
      <c r="O45594" s="36" t="s">
        <v>48</v>
      </c>
      <c r="R45594" s="36" t="s">
        <v>48</v>
      </c>
    </row>
    <row r="45595">
      <c r="H45595" s="50"/>
      <c r="I45595" s="50"/>
      <c r="O45595" s="36" t="s">
        <v>48</v>
      </c>
      <c r="R45595" s="36" t="s">
        <v>48</v>
      </c>
    </row>
    <row r="45596">
      <c r="H45596" s="50"/>
      <c r="I45596" s="50"/>
      <c r="O45596" s="36" t="s">
        <v>48</v>
      </c>
      <c r="R45596" s="36" t="s">
        <v>48</v>
      </c>
    </row>
    <row r="45597">
      <c r="H45597" s="50"/>
      <c r="I45597" s="50"/>
      <c r="O45597" s="36" t="s">
        <v>48</v>
      </c>
      <c r="R45597" s="36" t="s">
        <v>48</v>
      </c>
    </row>
    <row r="45598">
      <c r="H45598" s="50"/>
      <c r="I45598" s="50"/>
      <c r="O45598" s="36" t="s">
        <v>48</v>
      </c>
      <c r="R45598" s="36" t="s">
        <v>48</v>
      </c>
    </row>
    <row r="45599">
      <c r="H45599" s="50"/>
      <c r="I45599" s="50"/>
      <c r="O45599" s="36" t="s">
        <v>48</v>
      </c>
      <c r="R45599" s="36" t="s">
        <v>48</v>
      </c>
    </row>
    <row r="45600">
      <c r="H45600" s="50"/>
      <c r="I45600" s="50"/>
      <c r="O45600" s="36" t="s">
        <v>48</v>
      </c>
      <c r="R45600" s="36" t="s">
        <v>48</v>
      </c>
    </row>
    <row r="45601">
      <c r="H45601" s="50"/>
      <c r="I45601" s="50"/>
      <c r="O45601" s="36" t="s">
        <v>48</v>
      </c>
      <c r="R45601" s="36" t="s">
        <v>48</v>
      </c>
    </row>
    <row r="45602">
      <c r="H45602" s="50"/>
      <c r="I45602" s="50"/>
      <c r="O45602" s="36" t="s">
        <v>48</v>
      </c>
      <c r="R45602" s="36" t="s">
        <v>48</v>
      </c>
    </row>
    <row r="45603">
      <c r="H45603" s="50"/>
      <c r="I45603" s="50"/>
      <c r="O45603" s="36" t="s">
        <v>48</v>
      </c>
      <c r="R45603" s="36" t="s">
        <v>48</v>
      </c>
    </row>
    <row r="45604">
      <c r="H45604" s="50"/>
      <c r="I45604" s="50"/>
      <c r="O45604" s="36" t="s">
        <v>48</v>
      </c>
      <c r="R45604" s="36" t="s">
        <v>48</v>
      </c>
    </row>
    <row r="45605">
      <c r="H45605" s="50"/>
      <c r="I45605" s="50"/>
      <c r="O45605" s="36" t="s">
        <v>48</v>
      </c>
      <c r="R45605" s="36" t="s">
        <v>48</v>
      </c>
    </row>
    <row r="45606">
      <c r="H45606" s="50"/>
      <c r="I45606" s="50"/>
      <c r="O45606" s="36" t="s">
        <v>48</v>
      </c>
      <c r="R45606" s="36" t="s">
        <v>48</v>
      </c>
    </row>
    <row r="45607">
      <c r="H45607" s="50"/>
      <c r="I45607" s="50"/>
      <c r="O45607" s="36" t="s">
        <v>48</v>
      </c>
      <c r="R45607" s="36" t="s">
        <v>48</v>
      </c>
    </row>
    <row r="45608">
      <c r="H45608" s="50"/>
      <c r="I45608" s="50"/>
      <c r="O45608" s="36" t="s">
        <v>48</v>
      </c>
      <c r="R45608" s="36" t="s">
        <v>48</v>
      </c>
    </row>
    <row r="45609">
      <c r="H45609" s="50"/>
      <c r="I45609" s="50"/>
      <c r="O45609" s="36" t="s">
        <v>48</v>
      </c>
      <c r="R45609" s="36" t="s">
        <v>48</v>
      </c>
    </row>
    <row r="45610">
      <c r="H45610" s="50"/>
      <c r="I45610" s="50"/>
      <c r="O45610" s="36" t="s">
        <v>48</v>
      </c>
      <c r="R45610" s="36" t="s">
        <v>48</v>
      </c>
    </row>
    <row r="45611">
      <c r="H45611" s="50"/>
      <c r="I45611" s="50"/>
      <c r="O45611" s="36" t="s">
        <v>48</v>
      </c>
      <c r="R45611" s="36" t="s">
        <v>48</v>
      </c>
    </row>
    <row r="45612">
      <c r="H45612" s="50"/>
      <c r="I45612" s="50"/>
      <c r="O45612" s="36" t="s">
        <v>48</v>
      </c>
      <c r="R45612" s="36" t="s">
        <v>48</v>
      </c>
    </row>
    <row r="45613">
      <c r="H45613" s="50"/>
      <c r="I45613" s="50"/>
      <c r="O45613" s="36" t="s">
        <v>48</v>
      </c>
      <c r="R45613" s="36" t="s">
        <v>48</v>
      </c>
    </row>
    <row r="45614">
      <c r="H45614" s="50"/>
      <c r="I45614" s="50"/>
      <c r="O45614" s="36" t="s">
        <v>48</v>
      </c>
      <c r="R45614" s="36" t="s">
        <v>48</v>
      </c>
    </row>
    <row r="45615">
      <c r="H45615" s="50"/>
      <c r="I45615" s="50"/>
      <c r="O45615" s="36" t="s">
        <v>48</v>
      </c>
      <c r="R45615" s="36" t="s">
        <v>48</v>
      </c>
    </row>
    <row r="45616">
      <c r="H45616" s="50"/>
      <c r="I45616" s="50"/>
      <c r="O45616" s="36" t="s">
        <v>48</v>
      </c>
      <c r="R45616" s="36" t="s">
        <v>48</v>
      </c>
    </row>
    <row r="45617">
      <c r="H45617" s="50"/>
      <c r="I45617" s="50"/>
      <c r="O45617" s="36" t="s">
        <v>48</v>
      </c>
      <c r="R45617" s="36" t="s">
        <v>48</v>
      </c>
    </row>
    <row r="45618">
      <c r="H45618" s="50"/>
      <c r="I45618" s="50"/>
      <c r="O45618" s="36" t="s">
        <v>48</v>
      </c>
      <c r="R45618" s="36" t="s">
        <v>48</v>
      </c>
    </row>
    <row r="45619">
      <c r="H45619" s="50"/>
      <c r="I45619" s="50"/>
      <c r="O45619" s="36" t="s">
        <v>48</v>
      </c>
      <c r="R45619" s="36" t="s">
        <v>48</v>
      </c>
    </row>
    <row r="45620">
      <c r="H45620" s="50"/>
      <c r="I45620" s="50"/>
      <c r="O45620" s="36" t="s">
        <v>48</v>
      </c>
      <c r="R45620" s="36" t="s">
        <v>48</v>
      </c>
    </row>
    <row r="45621">
      <c r="H45621" s="50"/>
      <c r="I45621" s="50"/>
      <c r="O45621" s="36" t="s">
        <v>48</v>
      </c>
      <c r="R45621" s="36" t="s">
        <v>48</v>
      </c>
    </row>
    <row r="45622">
      <c r="H45622" s="50"/>
      <c r="I45622" s="50"/>
      <c r="O45622" s="36" t="s">
        <v>48</v>
      </c>
      <c r="R45622" s="36" t="s">
        <v>48</v>
      </c>
    </row>
    <row r="45623">
      <c r="H45623" s="50"/>
      <c r="I45623" s="50"/>
      <c r="O45623" s="36" t="s">
        <v>48</v>
      </c>
      <c r="R45623" s="36" t="s">
        <v>48</v>
      </c>
    </row>
    <row r="45624">
      <c r="H45624" s="50"/>
      <c r="I45624" s="50"/>
      <c r="O45624" s="36" t="s">
        <v>48</v>
      </c>
      <c r="R45624" s="36" t="s">
        <v>48</v>
      </c>
    </row>
    <row r="45625">
      <c r="H45625" s="50"/>
      <c r="I45625" s="50"/>
      <c r="O45625" s="36" t="s">
        <v>48</v>
      </c>
      <c r="R45625" s="36" t="s">
        <v>48</v>
      </c>
    </row>
    <row r="45626">
      <c r="H45626" s="50"/>
      <c r="I45626" s="50"/>
      <c r="O45626" s="36" t="s">
        <v>48</v>
      </c>
      <c r="R45626" s="36" t="s">
        <v>48</v>
      </c>
    </row>
    <row r="45627">
      <c r="H45627" s="50"/>
      <c r="I45627" s="50"/>
      <c r="O45627" s="36" t="s">
        <v>48</v>
      </c>
      <c r="R45627" s="36" t="s">
        <v>48</v>
      </c>
    </row>
    <row r="45628">
      <c r="H45628" s="50"/>
      <c r="I45628" s="50"/>
      <c r="O45628" s="36" t="s">
        <v>48</v>
      </c>
      <c r="R45628" s="36" t="s">
        <v>48</v>
      </c>
    </row>
    <row r="45629">
      <c r="H45629" s="50"/>
      <c r="I45629" s="50"/>
      <c r="O45629" s="36" t="s">
        <v>48</v>
      </c>
      <c r="R45629" s="36" t="s">
        <v>48</v>
      </c>
    </row>
    <row r="45630">
      <c r="H45630" s="50"/>
      <c r="I45630" s="50"/>
      <c r="O45630" s="36" t="s">
        <v>48</v>
      </c>
      <c r="R45630" s="36" t="s">
        <v>48</v>
      </c>
    </row>
    <row r="45631">
      <c r="H45631" s="50"/>
      <c r="I45631" s="50"/>
      <c r="O45631" s="36" t="s">
        <v>48</v>
      </c>
      <c r="R45631" s="36" t="s">
        <v>48</v>
      </c>
    </row>
    <row r="45632">
      <c r="H45632" s="50"/>
      <c r="I45632" s="50"/>
      <c r="O45632" s="36" t="s">
        <v>48</v>
      </c>
      <c r="R45632" s="36" t="s">
        <v>48</v>
      </c>
    </row>
    <row r="45633">
      <c r="H45633" s="50"/>
      <c r="I45633" s="50"/>
      <c r="O45633" s="36" t="s">
        <v>48</v>
      </c>
      <c r="R45633" s="36" t="s">
        <v>48</v>
      </c>
    </row>
    <row r="45634">
      <c r="H45634" s="50"/>
      <c r="I45634" s="50"/>
      <c r="O45634" s="36" t="s">
        <v>48</v>
      </c>
      <c r="R45634" s="36" t="s">
        <v>48</v>
      </c>
    </row>
    <row r="45635">
      <c r="H45635" s="50"/>
      <c r="I45635" s="50"/>
      <c r="O45635" s="36" t="s">
        <v>48</v>
      </c>
      <c r="R45635" s="36" t="s">
        <v>48</v>
      </c>
    </row>
    <row r="45636">
      <c r="H45636" s="50"/>
      <c r="I45636" s="50"/>
      <c r="O45636" s="36" t="s">
        <v>48</v>
      </c>
      <c r="R45636" s="36" t="s">
        <v>48</v>
      </c>
    </row>
    <row r="45637">
      <c r="H45637" s="50"/>
      <c r="I45637" s="50"/>
      <c r="O45637" s="36" t="s">
        <v>48</v>
      </c>
      <c r="R45637" s="36" t="s">
        <v>48</v>
      </c>
    </row>
    <row r="45638">
      <c r="H45638" s="50"/>
      <c r="I45638" s="50"/>
      <c r="O45638" s="36" t="s">
        <v>48</v>
      </c>
      <c r="R45638" s="36" t="s">
        <v>48</v>
      </c>
    </row>
    <row r="45639">
      <c r="H45639" s="50"/>
      <c r="I45639" s="50"/>
      <c r="O45639" s="36" t="s">
        <v>48</v>
      </c>
      <c r="R45639" s="36" t="s">
        <v>48</v>
      </c>
    </row>
    <row r="45640">
      <c r="H45640" s="50"/>
      <c r="I45640" s="50"/>
      <c r="O45640" s="36" t="s">
        <v>48</v>
      </c>
      <c r="R45640" s="36" t="s">
        <v>48</v>
      </c>
    </row>
    <row r="45641">
      <c r="H45641" s="50"/>
      <c r="I45641" s="50"/>
      <c r="O45641" s="36" t="s">
        <v>48</v>
      </c>
      <c r="R45641" s="36" t="s">
        <v>48</v>
      </c>
    </row>
    <row r="45642">
      <c r="H45642" s="50"/>
      <c r="I45642" s="50"/>
      <c r="O45642" s="36" t="s">
        <v>48</v>
      </c>
      <c r="R45642" s="36" t="s">
        <v>48</v>
      </c>
    </row>
    <row r="45643">
      <c r="H45643" s="50"/>
      <c r="I45643" s="50"/>
      <c r="O45643" s="36" t="s">
        <v>48</v>
      </c>
      <c r="R45643" s="36" t="s">
        <v>48</v>
      </c>
    </row>
    <row r="45644">
      <c r="H45644" s="50"/>
      <c r="I45644" s="50"/>
      <c r="O45644" s="36" t="s">
        <v>48</v>
      </c>
      <c r="R45644" s="36" t="s">
        <v>48</v>
      </c>
    </row>
    <row r="45645">
      <c r="H45645" s="50"/>
      <c r="I45645" s="50"/>
      <c r="O45645" s="36" t="s">
        <v>48</v>
      </c>
      <c r="R45645" s="36" t="s">
        <v>48</v>
      </c>
    </row>
    <row r="45646">
      <c r="H45646" s="50"/>
      <c r="I45646" s="50"/>
      <c r="O45646" s="36" t="s">
        <v>48</v>
      </c>
      <c r="R45646" s="36" t="s">
        <v>48</v>
      </c>
    </row>
    <row r="45647">
      <c r="H45647" s="50"/>
      <c r="I45647" s="50"/>
      <c r="O45647" s="36" t="s">
        <v>48</v>
      </c>
      <c r="R45647" s="36" t="s">
        <v>48</v>
      </c>
    </row>
    <row r="45648">
      <c r="H45648" s="50"/>
      <c r="I45648" s="50"/>
      <c r="O45648" s="36" t="s">
        <v>48</v>
      </c>
      <c r="R45648" s="36" t="s">
        <v>48</v>
      </c>
    </row>
    <row r="45649">
      <c r="H45649" s="50"/>
      <c r="I45649" s="50"/>
      <c r="O45649" s="36" t="s">
        <v>48</v>
      </c>
      <c r="R45649" s="36" t="s">
        <v>48</v>
      </c>
    </row>
    <row r="45650">
      <c r="H45650" s="50"/>
      <c r="I45650" s="50"/>
      <c r="O45650" s="36" t="s">
        <v>48</v>
      </c>
      <c r="R45650" s="36" t="s">
        <v>48</v>
      </c>
    </row>
    <row r="45651">
      <c r="H45651" s="50"/>
      <c r="I45651" s="50"/>
      <c r="O45651" s="36" t="s">
        <v>48</v>
      </c>
      <c r="R45651" s="36" t="s">
        <v>48</v>
      </c>
    </row>
    <row r="45652">
      <c r="H45652" s="50"/>
      <c r="I45652" s="50"/>
      <c r="O45652" s="36" t="s">
        <v>48</v>
      </c>
      <c r="R45652" s="36" t="s">
        <v>48</v>
      </c>
    </row>
    <row r="45653">
      <c r="H45653" s="50"/>
      <c r="I45653" s="50"/>
      <c r="O45653" s="36" t="s">
        <v>48</v>
      </c>
      <c r="R45653" s="36" t="s">
        <v>48</v>
      </c>
    </row>
    <row r="45654">
      <c r="H45654" s="50"/>
      <c r="I45654" s="50"/>
      <c r="O45654" s="36" t="s">
        <v>48</v>
      </c>
      <c r="R45654" s="36" t="s">
        <v>48</v>
      </c>
    </row>
    <row r="45655">
      <c r="H45655" s="50"/>
      <c r="I45655" s="50"/>
      <c r="O45655" s="36" t="s">
        <v>48</v>
      </c>
      <c r="R45655" s="36" t="s">
        <v>48</v>
      </c>
    </row>
    <row r="45656">
      <c r="H45656" s="50"/>
      <c r="I45656" s="50"/>
      <c r="O45656" s="36" t="s">
        <v>48</v>
      </c>
      <c r="R45656" s="36" t="s">
        <v>48</v>
      </c>
    </row>
    <row r="45657">
      <c r="H45657" s="50"/>
      <c r="I45657" s="50"/>
      <c r="O45657" s="36" t="s">
        <v>48</v>
      </c>
      <c r="R45657" s="36" t="s">
        <v>48</v>
      </c>
    </row>
    <row r="45658">
      <c r="H45658" s="50"/>
      <c r="I45658" s="50"/>
      <c r="O45658" s="36" t="s">
        <v>48</v>
      </c>
      <c r="R45658" s="36" t="s">
        <v>48</v>
      </c>
    </row>
    <row r="45659">
      <c r="H45659" s="50"/>
      <c r="I45659" s="50"/>
      <c r="O45659" s="36" t="s">
        <v>48</v>
      </c>
      <c r="R45659" s="36" t="s">
        <v>48</v>
      </c>
    </row>
    <row r="45660">
      <c r="H45660" s="50"/>
      <c r="I45660" s="50"/>
      <c r="O45660" s="36" t="s">
        <v>48</v>
      </c>
      <c r="R45660" s="36" t="s">
        <v>48</v>
      </c>
    </row>
    <row r="45661">
      <c r="H45661" s="50"/>
      <c r="I45661" s="50"/>
      <c r="O45661" s="36" t="s">
        <v>48</v>
      </c>
      <c r="R45661" s="36" t="s">
        <v>48</v>
      </c>
    </row>
    <row r="45662">
      <c r="H45662" s="50"/>
      <c r="I45662" s="50"/>
      <c r="O45662" s="36" t="s">
        <v>48</v>
      </c>
      <c r="R45662" s="36" t="s">
        <v>48</v>
      </c>
    </row>
    <row r="45663">
      <c r="H45663" s="50"/>
      <c r="I45663" s="50"/>
      <c r="O45663" s="36" t="s">
        <v>48</v>
      </c>
      <c r="R45663" s="36" t="s">
        <v>48</v>
      </c>
    </row>
    <row r="45664">
      <c r="H45664" s="50"/>
      <c r="I45664" s="50"/>
      <c r="O45664" s="36" t="s">
        <v>48</v>
      </c>
      <c r="R45664" s="36" t="s">
        <v>48</v>
      </c>
    </row>
    <row r="45665">
      <c r="H45665" s="50"/>
      <c r="I45665" s="50"/>
      <c r="O45665" s="36" t="s">
        <v>48</v>
      </c>
      <c r="R45665" s="36" t="s">
        <v>48</v>
      </c>
    </row>
    <row r="45666">
      <c r="H45666" s="50"/>
      <c r="I45666" s="50"/>
      <c r="O45666" s="36" t="s">
        <v>48</v>
      </c>
      <c r="R45666" s="36" t="s">
        <v>48</v>
      </c>
    </row>
    <row r="45667">
      <c r="H45667" s="50"/>
      <c r="I45667" s="50"/>
      <c r="O45667" s="36" t="s">
        <v>48</v>
      </c>
      <c r="R45667" s="36" t="s">
        <v>48</v>
      </c>
    </row>
    <row r="45668">
      <c r="H45668" s="50"/>
      <c r="I45668" s="50"/>
      <c r="O45668" s="36" t="s">
        <v>48</v>
      </c>
      <c r="R45668" s="36" t="s">
        <v>48</v>
      </c>
    </row>
    <row r="45669">
      <c r="H45669" s="50"/>
      <c r="I45669" s="50"/>
      <c r="O45669" s="36" t="s">
        <v>48</v>
      </c>
      <c r="R45669" s="36" t="s">
        <v>48</v>
      </c>
    </row>
    <row r="45670">
      <c r="H45670" s="50"/>
      <c r="I45670" s="50"/>
      <c r="O45670" s="36" t="s">
        <v>48</v>
      </c>
      <c r="R45670" s="36" t="s">
        <v>48</v>
      </c>
    </row>
    <row r="45671">
      <c r="H45671" s="50"/>
      <c r="I45671" s="50"/>
      <c r="O45671" s="36" t="s">
        <v>48</v>
      </c>
      <c r="R45671" s="36" t="s">
        <v>48</v>
      </c>
    </row>
    <row r="45672">
      <c r="H45672" s="50"/>
      <c r="I45672" s="50"/>
      <c r="O45672" s="36" t="s">
        <v>48</v>
      </c>
      <c r="R45672" s="36" t="s">
        <v>48</v>
      </c>
    </row>
    <row r="45673">
      <c r="H45673" s="50"/>
      <c r="I45673" s="50"/>
      <c r="O45673" s="36" t="s">
        <v>48</v>
      </c>
      <c r="R45673" s="36" t="s">
        <v>48</v>
      </c>
    </row>
    <row r="45674">
      <c r="H45674" s="50"/>
      <c r="I45674" s="50"/>
      <c r="O45674" s="36" t="s">
        <v>48</v>
      </c>
      <c r="R45674" s="36" t="s">
        <v>48</v>
      </c>
    </row>
    <row r="45675">
      <c r="H45675" s="50"/>
      <c r="I45675" s="50"/>
      <c r="O45675" s="36" t="s">
        <v>48</v>
      </c>
      <c r="R45675" s="36" t="s">
        <v>48</v>
      </c>
    </row>
    <row r="45676">
      <c r="H45676" s="50"/>
      <c r="I45676" s="50"/>
      <c r="O45676" s="36" t="s">
        <v>48</v>
      </c>
      <c r="R45676" s="36" t="s">
        <v>48</v>
      </c>
    </row>
    <row r="45677">
      <c r="H45677" s="50"/>
      <c r="I45677" s="50"/>
      <c r="O45677" s="36" t="s">
        <v>48</v>
      </c>
      <c r="R45677" s="36" t="s">
        <v>48</v>
      </c>
    </row>
    <row r="45678">
      <c r="H45678" s="50"/>
      <c r="I45678" s="50"/>
      <c r="O45678" s="36" t="s">
        <v>48</v>
      </c>
      <c r="R45678" s="36" t="s">
        <v>48</v>
      </c>
    </row>
    <row r="45679">
      <c r="H45679" s="50"/>
      <c r="I45679" s="50"/>
      <c r="O45679" s="36" t="s">
        <v>48</v>
      </c>
      <c r="R45679" s="36" t="s">
        <v>48</v>
      </c>
    </row>
    <row r="45680">
      <c r="H45680" s="50"/>
      <c r="I45680" s="50"/>
      <c r="O45680" s="36" t="s">
        <v>48</v>
      </c>
      <c r="R45680" s="36" t="s">
        <v>48</v>
      </c>
    </row>
    <row r="45681">
      <c r="H45681" s="50"/>
      <c r="I45681" s="50"/>
      <c r="O45681" s="36" t="s">
        <v>48</v>
      </c>
      <c r="R45681" s="36" t="s">
        <v>48</v>
      </c>
    </row>
    <row r="45682">
      <c r="H45682" s="50"/>
      <c r="I45682" s="50"/>
      <c r="O45682" s="36" t="s">
        <v>48</v>
      </c>
      <c r="R45682" s="36" t="s">
        <v>48</v>
      </c>
    </row>
    <row r="45683">
      <c r="H45683" s="50"/>
      <c r="I45683" s="50"/>
      <c r="O45683" s="36" t="s">
        <v>48</v>
      </c>
      <c r="R45683" s="36" t="s">
        <v>48</v>
      </c>
    </row>
    <row r="45684">
      <c r="H45684" s="50"/>
      <c r="I45684" s="50"/>
      <c r="O45684" s="36" t="s">
        <v>48</v>
      </c>
      <c r="R45684" s="36" t="s">
        <v>48</v>
      </c>
    </row>
    <row r="45685">
      <c r="H45685" s="50"/>
      <c r="I45685" s="50"/>
      <c r="O45685" s="36" t="s">
        <v>48</v>
      </c>
      <c r="R45685" s="36" t="s">
        <v>48</v>
      </c>
    </row>
    <row r="45686">
      <c r="H45686" s="50"/>
      <c r="I45686" s="50"/>
      <c r="O45686" s="36" t="s">
        <v>48</v>
      </c>
      <c r="R45686" s="36" t="s">
        <v>48</v>
      </c>
    </row>
    <row r="45687">
      <c r="H45687" s="50"/>
      <c r="I45687" s="50"/>
      <c r="O45687" s="36" t="s">
        <v>48</v>
      </c>
      <c r="R45687" s="36" t="s">
        <v>48</v>
      </c>
    </row>
    <row r="45688">
      <c r="H45688" s="50"/>
      <c r="I45688" s="50"/>
      <c r="O45688" s="36" t="s">
        <v>48</v>
      </c>
      <c r="R45688" s="36" t="s">
        <v>48</v>
      </c>
    </row>
    <row r="45689">
      <c r="H45689" s="50"/>
      <c r="I45689" s="50"/>
      <c r="O45689" s="36" t="s">
        <v>48</v>
      </c>
      <c r="R45689" s="36" t="s">
        <v>48</v>
      </c>
    </row>
    <row r="45690">
      <c r="H45690" s="50"/>
      <c r="I45690" s="50"/>
      <c r="O45690" s="36" t="s">
        <v>48</v>
      </c>
      <c r="R45690" s="36" t="s">
        <v>48</v>
      </c>
    </row>
    <row r="45691">
      <c r="H45691" s="50"/>
      <c r="I45691" s="50"/>
      <c r="O45691" s="36" t="s">
        <v>48</v>
      </c>
      <c r="R45691" s="36" t="s">
        <v>48</v>
      </c>
    </row>
    <row r="45692">
      <c r="H45692" s="50"/>
      <c r="I45692" s="50"/>
      <c r="O45692" s="36" t="s">
        <v>48</v>
      </c>
      <c r="R45692" s="36" t="s">
        <v>48</v>
      </c>
    </row>
    <row r="45693">
      <c r="H45693" s="50"/>
      <c r="I45693" s="50"/>
      <c r="O45693" s="36" t="s">
        <v>48</v>
      </c>
      <c r="R45693" s="36" t="s">
        <v>48</v>
      </c>
    </row>
    <row r="45694">
      <c r="H45694" s="50"/>
      <c r="I45694" s="50"/>
      <c r="O45694" s="36" t="s">
        <v>48</v>
      </c>
      <c r="R45694" s="36" t="s">
        <v>48</v>
      </c>
    </row>
    <row r="45695">
      <c r="H45695" s="50"/>
      <c r="I45695" s="50"/>
      <c r="O45695" s="36" t="s">
        <v>48</v>
      </c>
      <c r="R45695" s="36" t="s">
        <v>48</v>
      </c>
    </row>
    <row r="45696">
      <c r="H45696" s="50"/>
      <c r="I45696" s="50"/>
      <c r="O45696" s="36" t="s">
        <v>48</v>
      </c>
      <c r="R45696" s="36" t="s">
        <v>48</v>
      </c>
    </row>
    <row r="45697">
      <c r="H45697" s="50"/>
      <c r="I45697" s="50"/>
      <c r="O45697" s="36" t="s">
        <v>48</v>
      </c>
      <c r="R45697" s="36" t="s">
        <v>48</v>
      </c>
    </row>
    <row r="45698">
      <c r="H45698" s="50"/>
      <c r="I45698" s="50"/>
      <c r="O45698" s="36" t="s">
        <v>48</v>
      </c>
      <c r="R45698" s="36" t="s">
        <v>48</v>
      </c>
    </row>
    <row r="45699">
      <c r="H45699" s="50"/>
      <c r="I45699" s="50"/>
      <c r="O45699" s="36" t="s">
        <v>48</v>
      </c>
      <c r="R45699" s="36" t="s">
        <v>48</v>
      </c>
    </row>
    <row r="45700">
      <c r="H45700" s="50"/>
      <c r="I45700" s="50"/>
      <c r="O45700" s="36" t="s">
        <v>48</v>
      </c>
      <c r="R45700" s="36" t="s">
        <v>48</v>
      </c>
    </row>
    <row r="45701">
      <c r="H45701" s="50"/>
      <c r="I45701" s="50"/>
      <c r="O45701" s="36" t="s">
        <v>48</v>
      </c>
      <c r="R45701" s="36" t="s">
        <v>48</v>
      </c>
    </row>
    <row r="45702">
      <c r="H45702" s="50"/>
      <c r="I45702" s="50"/>
      <c r="O45702" s="36" t="s">
        <v>48</v>
      </c>
      <c r="R45702" s="36" t="s">
        <v>48</v>
      </c>
    </row>
    <row r="45703">
      <c r="H45703" s="50"/>
      <c r="I45703" s="50"/>
      <c r="O45703" s="36" t="s">
        <v>48</v>
      </c>
      <c r="R45703" s="36" t="s">
        <v>48</v>
      </c>
    </row>
    <row r="45704">
      <c r="H45704" s="50"/>
      <c r="I45704" s="50"/>
      <c r="O45704" s="36" t="s">
        <v>48</v>
      </c>
      <c r="R45704" s="36" t="s">
        <v>48</v>
      </c>
    </row>
    <row r="45705">
      <c r="H45705" s="50"/>
      <c r="I45705" s="50"/>
      <c r="O45705" s="36" t="s">
        <v>48</v>
      </c>
      <c r="R45705" s="36" t="s">
        <v>48</v>
      </c>
    </row>
    <row r="45706">
      <c r="H45706" s="50"/>
      <c r="I45706" s="50"/>
      <c r="O45706" s="36" t="s">
        <v>48</v>
      </c>
      <c r="R45706" s="36" t="s">
        <v>48</v>
      </c>
    </row>
    <row r="45707">
      <c r="H45707" s="50"/>
      <c r="I45707" s="50"/>
      <c r="O45707" s="36" t="s">
        <v>48</v>
      </c>
      <c r="R45707" s="36" t="s">
        <v>48</v>
      </c>
    </row>
    <row r="45708">
      <c r="H45708" s="50"/>
      <c r="I45708" s="50"/>
      <c r="O45708" s="36" t="s">
        <v>48</v>
      </c>
      <c r="R45708" s="36" t="s">
        <v>48</v>
      </c>
    </row>
    <row r="45709">
      <c r="H45709" s="50"/>
      <c r="I45709" s="50"/>
      <c r="O45709" s="36" t="s">
        <v>48</v>
      </c>
      <c r="R45709" s="36" t="s">
        <v>48</v>
      </c>
    </row>
    <row r="45710">
      <c r="H45710" s="50"/>
      <c r="I45710" s="50"/>
      <c r="O45710" s="36" t="s">
        <v>48</v>
      </c>
      <c r="R45710" s="36" t="s">
        <v>48</v>
      </c>
    </row>
    <row r="45711">
      <c r="H45711" s="50"/>
      <c r="I45711" s="50"/>
      <c r="O45711" s="36" t="s">
        <v>48</v>
      </c>
      <c r="R45711" s="36" t="s">
        <v>48</v>
      </c>
    </row>
    <row r="45712">
      <c r="H45712" s="50"/>
      <c r="I45712" s="50"/>
      <c r="O45712" s="36" t="s">
        <v>48</v>
      </c>
      <c r="R45712" s="36" t="s">
        <v>48</v>
      </c>
    </row>
    <row r="45713">
      <c r="H45713" s="50"/>
      <c r="I45713" s="50"/>
      <c r="O45713" s="36" t="s">
        <v>48</v>
      </c>
      <c r="R45713" s="36" t="s">
        <v>48</v>
      </c>
    </row>
    <row r="45714">
      <c r="H45714" s="50"/>
      <c r="I45714" s="50"/>
      <c r="O45714" s="36" t="s">
        <v>48</v>
      </c>
      <c r="R45714" s="36" t="s">
        <v>48</v>
      </c>
    </row>
    <row r="45715">
      <c r="H45715" s="50"/>
      <c r="I45715" s="50"/>
      <c r="O45715" s="36" t="s">
        <v>48</v>
      </c>
      <c r="R45715" s="36" t="s">
        <v>48</v>
      </c>
    </row>
    <row r="45716">
      <c r="H45716" s="50"/>
      <c r="I45716" s="50"/>
      <c r="O45716" s="36" t="s">
        <v>48</v>
      </c>
      <c r="R45716" s="36" t="s">
        <v>48</v>
      </c>
    </row>
    <row r="45717">
      <c r="H45717" s="50"/>
      <c r="I45717" s="50"/>
      <c r="O45717" s="36" t="s">
        <v>48</v>
      </c>
      <c r="R45717" s="36" t="s">
        <v>48</v>
      </c>
    </row>
    <row r="45718">
      <c r="H45718" s="50"/>
      <c r="I45718" s="50"/>
      <c r="O45718" s="36" t="s">
        <v>48</v>
      </c>
      <c r="R45718" s="36" t="s">
        <v>48</v>
      </c>
    </row>
    <row r="45719">
      <c r="H45719" s="50"/>
      <c r="I45719" s="50"/>
      <c r="O45719" s="36" t="s">
        <v>48</v>
      </c>
      <c r="R45719" s="36" t="s">
        <v>48</v>
      </c>
    </row>
    <row r="45720">
      <c r="H45720" s="50"/>
      <c r="I45720" s="50"/>
      <c r="O45720" s="36" t="s">
        <v>48</v>
      </c>
      <c r="R45720" s="36" t="s">
        <v>48</v>
      </c>
    </row>
    <row r="45721">
      <c r="H45721" s="50"/>
      <c r="I45721" s="50"/>
      <c r="O45721" s="36" t="s">
        <v>48</v>
      </c>
      <c r="R45721" s="36" t="s">
        <v>48</v>
      </c>
    </row>
    <row r="45722">
      <c r="H45722" s="50"/>
      <c r="I45722" s="50"/>
      <c r="O45722" s="36" t="s">
        <v>48</v>
      </c>
      <c r="R45722" s="36" t="s">
        <v>48</v>
      </c>
    </row>
    <row r="45723">
      <c r="H45723" s="50"/>
      <c r="I45723" s="50"/>
      <c r="O45723" s="36" t="s">
        <v>48</v>
      </c>
      <c r="R45723" s="36" t="s">
        <v>48</v>
      </c>
    </row>
    <row r="45724">
      <c r="H45724" s="50"/>
      <c r="I45724" s="50"/>
      <c r="O45724" s="36" t="s">
        <v>48</v>
      </c>
      <c r="R45724" s="36" t="s">
        <v>48</v>
      </c>
    </row>
    <row r="45725">
      <c r="H45725" s="50"/>
      <c r="I45725" s="50"/>
      <c r="O45725" s="36" t="s">
        <v>48</v>
      </c>
      <c r="R45725" s="36" t="s">
        <v>48</v>
      </c>
    </row>
    <row r="45726">
      <c r="H45726" s="50"/>
      <c r="I45726" s="50"/>
      <c r="O45726" s="36" t="s">
        <v>48</v>
      </c>
      <c r="R45726" s="36" t="s">
        <v>48</v>
      </c>
    </row>
    <row r="45727">
      <c r="H45727" s="50"/>
      <c r="I45727" s="50"/>
      <c r="O45727" s="36" t="s">
        <v>48</v>
      </c>
      <c r="R45727" s="36" t="s">
        <v>48</v>
      </c>
    </row>
    <row r="45728">
      <c r="H45728" s="50"/>
      <c r="I45728" s="50"/>
      <c r="O45728" s="36" t="s">
        <v>48</v>
      </c>
      <c r="R45728" s="36" t="s">
        <v>48</v>
      </c>
    </row>
    <row r="45729">
      <c r="H45729" s="50"/>
      <c r="I45729" s="50"/>
      <c r="O45729" s="36" t="s">
        <v>48</v>
      </c>
      <c r="R45729" s="36" t="s">
        <v>48</v>
      </c>
    </row>
    <row r="45730">
      <c r="H45730" s="50"/>
      <c r="I45730" s="50"/>
      <c r="O45730" s="36" t="s">
        <v>48</v>
      </c>
      <c r="R45730" s="36" t="s">
        <v>48</v>
      </c>
    </row>
    <row r="45731">
      <c r="H45731" s="50"/>
      <c r="I45731" s="50"/>
      <c r="O45731" s="36" t="s">
        <v>48</v>
      </c>
      <c r="R45731" s="36" t="s">
        <v>48</v>
      </c>
    </row>
    <row r="45732">
      <c r="H45732" s="50"/>
      <c r="I45732" s="50"/>
      <c r="O45732" s="36" t="s">
        <v>48</v>
      </c>
      <c r="R45732" s="36" t="s">
        <v>48</v>
      </c>
    </row>
    <row r="45733">
      <c r="H45733" s="50"/>
      <c r="I45733" s="50"/>
      <c r="O45733" s="36" t="s">
        <v>48</v>
      </c>
      <c r="R45733" s="36" t="s">
        <v>48</v>
      </c>
    </row>
    <row r="45734">
      <c r="H45734" s="50"/>
      <c r="I45734" s="50"/>
      <c r="O45734" s="36" t="s">
        <v>48</v>
      </c>
      <c r="R45734" s="36" t="s">
        <v>48</v>
      </c>
    </row>
    <row r="45735">
      <c r="H45735" s="50"/>
      <c r="I45735" s="50"/>
      <c r="O45735" s="36" t="s">
        <v>48</v>
      </c>
      <c r="R45735" s="36" t="s">
        <v>48</v>
      </c>
    </row>
    <row r="45736">
      <c r="H45736" s="50"/>
      <c r="I45736" s="50"/>
      <c r="O45736" s="36" t="s">
        <v>48</v>
      </c>
      <c r="R45736" s="36" t="s">
        <v>48</v>
      </c>
    </row>
    <row r="45737">
      <c r="H45737" s="50"/>
      <c r="I45737" s="50"/>
      <c r="O45737" s="36" t="s">
        <v>48</v>
      </c>
      <c r="R45737" s="36" t="s">
        <v>48</v>
      </c>
    </row>
    <row r="45738">
      <c r="H45738" s="50"/>
      <c r="I45738" s="50"/>
      <c r="O45738" s="36" t="s">
        <v>48</v>
      </c>
      <c r="R45738" s="36" t="s">
        <v>48</v>
      </c>
    </row>
    <row r="45739">
      <c r="H45739" s="50"/>
      <c r="I45739" s="50"/>
      <c r="O45739" s="36" t="s">
        <v>48</v>
      </c>
      <c r="R45739" s="36" t="s">
        <v>48</v>
      </c>
    </row>
    <row r="45740">
      <c r="H45740" s="50"/>
      <c r="I45740" s="50"/>
      <c r="O45740" s="36" t="s">
        <v>48</v>
      </c>
      <c r="R45740" s="36" t="s">
        <v>48</v>
      </c>
    </row>
    <row r="45741">
      <c r="H45741" s="50"/>
      <c r="I45741" s="50"/>
      <c r="O45741" s="36" t="s">
        <v>48</v>
      </c>
      <c r="R45741" s="36" t="s">
        <v>48</v>
      </c>
    </row>
    <row r="45742">
      <c r="H45742" s="50"/>
      <c r="I45742" s="50"/>
      <c r="O45742" s="36" t="s">
        <v>48</v>
      </c>
      <c r="R45742" s="36" t="s">
        <v>48</v>
      </c>
    </row>
    <row r="45743">
      <c r="H45743" s="50"/>
      <c r="I45743" s="50"/>
      <c r="O45743" s="36" t="s">
        <v>48</v>
      </c>
      <c r="R45743" s="36" t="s">
        <v>48</v>
      </c>
    </row>
    <row r="45744">
      <c r="H45744" s="50"/>
      <c r="I45744" s="50"/>
      <c r="O45744" s="36" t="s">
        <v>48</v>
      </c>
      <c r="R45744" s="36" t="s">
        <v>48</v>
      </c>
    </row>
    <row r="45745">
      <c r="H45745" s="50"/>
      <c r="I45745" s="50"/>
      <c r="O45745" s="36" t="s">
        <v>48</v>
      </c>
      <c r="R45745" s="36" t="s">
        <v>48</v>
      </c>
    </row>
    <row r="45746">
      <c r="H45746" s="50"/>
      <c r="I45746" s="50"/>
      <c r="O45746" s="36" t="s">
        <v>48</v>
      </c>
      <c r="R45746" s="36" t="s">
        <v>48</v>
      </c>
    </row>
    <row r="45747">
      <c r="H45747" s="50"/>
      <c r="I45747" s="50"/>
      <c r="O45747" s="36" t="s">
        <v>48</v>
      </c>
      <c r="R45747" s="36" t="s">
        <v>48</v>
      </c>
    </row>
    <row r="45748">
      <c r="H45748" s="50"/>
      <c r="I45748" s="50"/>
      <c r="O45748" s="36" t="s">
        <v>48</v>
      </c>
      <c r="R45748" s="36" t="s">
        <v>48</v>
      </c>
    </row>
    <row r="45749">
      <c r="H45749" s="50"/>
      <c r="I45749" s="50"/>
      <c r="O45749" s="36" t="s">
        <v>48</v>
      </c>
      <c r="R45749" s="36" t="s">
        <v>48</v>
      </c>
    </row>
    <row r="45750">
      <c r="H45750" s="50"/>
      <c r="I45750" s="50"/>
      <c r="O45750" s="36" t="s">
        <v>48</v>
      </c>
      <c r="R45750" s="36" t="s">
        <v>48</v>
      </c>
    </row>
    <row r="45751">
      <c r="H45751" s="50"/>
      <c r="I45751" s="50"/>
      <c r="O45751" s="36" t="s">
        <v>48</v>
      </c>
      <c r="R45751" s="36" t="s">
        <v>48</v>
      </c>
    </row>
    <row r="45752">
      <c r="H45752" s="50"/>
      <c r="I45752" s="50"/>
      <c r="O45752" s="36" t="s">
        <v>48</v>
      </c>
      <c r="R45752" s="36" t="s">
        <v>48</v>
      </c>
    </row>
    <row r="45753">
      <c r="H45753" s="50"/>
      <c r="I45753" s="50"/>
      <c r="O45753" s="36" t="s">
        <v>48</v>
      </c>
      <c r="R45753" s="36" t="s">
        <v>48</v>
      </c>
    </row>
    <row r="45754">
      <c r="H45754" s="50"/>
      <c r="I45754" s="50"/>
      <c r="O45754" s="36" t="s">
        <v>48</v>
      </c>
      <c r="R45754" s="36" t="s">
        <v>48</v>
      </c>
    </row>
    <row r="45755">
      <c r="H45755" s="50"/>
      <c r="I45755" s="50"/>
      <c r="O45755" s="36" t="s">
        <v>48</v>
      </c>
      <c r="R45755" s="36" t="s">
        <v>48</v>
      </c>
    </row>
    <row r="45756">
      <c r="H45756" s="50"/>
      <c r="I45756" s="50"/>
      <c r="O45756" s="36" t="s">
        <v>48</v>
      </c>
      <c r="R45756" s="36" t="s">
        <v>48</v>
      </c>
    </row>
    <row r="45757">
      <c r="H45757" s="50"/>
      <c r="I45757" s="50"/>
      <c r="O45757" s="36" t="s">
        <v>48</v>
      </c>
      <c r="R45757" s="36" t="s">
        <v>48</v>
      </c>
    </row>
    <row r="45758">
      <c r="H45758" s="50"/>
      <c r="I45758" s="50"/>
      <c r="O45758" s="36" t="s">
        <v>48</v>
      </c>
      <c r="R45758" s="36" t="s">
        <v>48</v>
      </c>
    </row>
    <row r="45759">
      <c r="H45759" s="50"/>
      <c r="I45759" s="50"/>
      <c r="O45759" s="36" t="s">
        <v>48</v>
      </c>
      <c r="R45759" s="36" t="s">
        <v>48</v>
      </c>
    </row>
    <row r="45760">
      <c r="H45760" s="50"/>
      <c r="I45760" s="50"/>
      <c r="O45760" s="36" t="s">
        <v>48</v>
      </c>
      <c r="R45760" s="36" t="s">
        <v>48</v>
      </c>
    </row>
    <row r="45761">
      <c r="H45761" s="50"/>
      <c r="I45761" s="50"/>
      <c r="O45761" s="36" t="s">
        <v>48</v>
      </c>
      <c r="R45761" s="36" t="s">
        <v>48</v>
      </c>
    </row>
    <row r="45762">
      <c r="H45762" s="50"/>
      <c r="I45762" s="50"/>
      <c r="O45762" s="36" t="s">
        <v>48</v>
      </c>
      <c r="R45762" s="36" t="s">
        <v>48</v>
      </c>
    </row>
    <row r="45763">
      <c r="H45763" s="50"/>
      <c r="I45763" s="50"/>
      <c r="O45763" s="36" t="s">
        <v>48</v>
      </c>
      <c r="R45763" s="36" t="s">
        <v>48</v>
      </c>
    </row>
    <row r="45764">
      <c r="H45764" s="50"/>
      <c r="I45764" s="50"/>
      <c r="O45764" s="36" t="s">
        <v>48</v>
      </c>
      <c r="R45764" s="36" t="s">
        <v>48</v>
      </c>
    </row>
    <row r="45765">
      <c r="H45765" s="50"/>
      <c r="I45765" s="50"/>
      <c r="O45765" s="36" t="s">
        <v>48</v>
      </c>
      <c r="R45765" s="36" t="s">
        <v>48</v>
      </c>
    </row>
    <row r="45766">
      <c r="H45766" s="50"/>
      <c r="I45766" s="50"/>
      <c r="O45766" s="36" t="s">
        <v>48</v>
      </c>
      <c r="R45766" s="36" t="s">
        <v>48</v>
      </c>
    </row>
    <row r="45767">
      <c r="H45767" s="50"/>
      <c r="I45767" s="50"/>
      <c r="O45767" s="36" t="s">
        <v>48</v>
      </c>
      <c r="R45767" s="36" t="s">
        <v>48</v>
      </c>
    </row>
    <row r="45768">
      <c r="H45768" s="50"/>
      <c r="I45768" s="50"/>
      <c r="O45768" s="36" t="s">
        <v>48</v>
      </c>
      <c r="R45768" s="36" t="s">
        <v>48</v>
      </c>
    </row>
    <row r="45769">
      <c r="H45769" s="50"/>
      <c r="I45769" s="50"/>
      <c r="O45769" s="36" t="s">
        <v>48</v>
      </c>
      <c r="R45769" s="36" t="s">
        <v>48</v>
      </c>
    </row>
    <row r="45770">
      <c r="H45770" s="50"/>
      <c r="I45770" s="50"/>
      <c r="O45770" s="36" t="s">
        <v>48</v>
      </c>
      <c r="R45770" s="36" t="s">
        <v>48</v>
      </c>
    </row>
    <row r="45771">
      <c r="H45771" s="50"/>
      <c r="I45771" s="50"/>
      <c r="O45771" s="36" t="s">
        <v>48</v>
      </c>
      <c r="R45771" s="36" t="s">
        <v>48</v>
      </c>
    </row>
    <row r="45772">
      <c r="H45772" s="50"/>
      <c r="I45772" s="50"/>
      <c r="O45772" s="36" t="s">
        <v>48</v>
      </c>
      <c r="R45772" s="36" t="s">
        <v>48</v>
      </c>
    </row>
    <row r="45773">
      <c r="H45773" s="50"/>
      <c r="I45773" s="50"/>
      <c r="O45773" s="36" t="s">
        <v>48</v>
      </c>
      <c r="R45773" s="36" t="s">
        <v>48</v>
      </c>
    </row>
    <row r="45774">
      <c r="H45774" s="50"/>
      <c r="I45774" s="50"/>
      <c r="O45774" s="36" t="s">
        <v>48</v>
      </c>
      <c r="R45774" s="36" t="s">
        <v>48</v>
      </c>
    </row>
    <row r="45775">
      <c r="H45775" s="50"/>
      <c r="I45775" s="50"/>
      <c r="O45775" s="36" t="s">
        <v>48</v>
      </c>
      <c r="R45775" s="36" t="s">
        <v>48</v>
      </c>
    </row>
    <row r="45776">
      <c r="H45776" s="50"/>
      <c r="I45776" s="50"/>
      <c r="O45776" s="36" t="s">
        <v>48</v>
      </c>
      <c r="R45776" s="36" t="s">
        <v>48</v>
      </c>
    </row>
    <row r="45777">
      <c r="H45777" s="50"/>
      <c r="I45777" s="50"/>
      <c r="O45777" s="36" t="s">
        <v>48</v>
      </c>
      <c r="R45777" s="36" t="s">
        <v>48</v>
      </c>
    </row>
    <row r="45778">
      <c r="H45778" s="50"/>
      <c r="I45778" s="50"/>
      <c r="O45778" s="36" t="s">
        <v>48</v>
      </c>
      <c r="R45778" s="36" t="s">
        <v>48</v>
      </c>
    </row>
    <row r="45779">
      <c r="H45779" s="50"/>
      <c r="I45779" s="50"/>
      <c r="O45779" s="36" t="s">
        <v>48</v>
      </c>
      <c r="R45779" s="36" t="s">
        <v>48</v>
      </c>
    </row>
    <row r="45780">
      <c r="H45780" s="50"/>
      <c r="I45780" s="50"/>
      <c r="O45780" s="36" t="s">
        <v>48</v>
      </c>
      <c r="R45780" s="36" t="s">
        <v>48</v>
      </c>
    </row>
    <row r="45781">
      <c r="H45781" s="50"/>
      <c r="I45781" s="50"/>
      <c r="O45781" s="36" t="s">
        <v>48</v>
      </c>
      <c r="R45781" s="36" t="s">
        <v>48</v>
      </c>
    </row>
    <row r="45782">
      <c r="H45782" s="50"/>
      <c r="I45782" s="50"/>
      <c r="O45782" s="36" t="s">
        <v>48</v>
      </c>
      <c r="R45782" s="36" t="s">
        <v>48</v>
      </c>
    </row>
    <row r="45783">
      <c r="H45783" s="50"/>
      <c r="I45783" s="50"/>
      <c r="O45783" s="36" t="s">
        <v>48</v>
      </c>
      <c r="R45783" s="36" t="s">
        <v>48</v>
      </c>
    </row>
    <row r="45784">
      <c r="H45784" s="50"/>
      <c r="I45784" s="50"/>
      <c r="O45784" s="36" t="s">
        <v>48</v>
      </c>
      <c r="R45784" s="36" t="s">
        <v>48</v>
      </c>
    </row>
    <row r="45785">
      <c r="H45785" s="50"/>
      <c r="I45785" s="50"/>
      <c r="O45785" s="36" t="s">
        <v>48</v>
      </c>
      <c r="R45785" s="36" t="s">
        <v>48</v>
      </c>
    </row>
    <row r="45786">
      <c r="H45786" s="50"/>
      <c r="I45786" s="50"/>
      <c r="O45786" s="36" t="s">
        <v>48</v>
      </c>
      <c r="R45786" s="36" t="s">
        <v>48</v>
      </c>
    </row>
    <row r="45787">
      <c r="H45787" s="50"/>
      <c r="I45787" s="50"/>
      <c r="O45787" s="36" t="s">
        <v>48</v>
      </c>
      <c r="R45787" s="36" t="s">
        <v>48</v>
      </c>
    </row>
    <row r="45788">
      <c r="H45788" s="50"/>
      <c r="I45788" s="50"/>
      <c r="O45788" s="36" t="s">
        <v>48</v>
      </c>
      <c r="R45788" s="36" t="s">
        <v>48</v>
      </c>
    </row>
    <row r="45789">
      <c r="H45789" s="50"/>
      <c r="I45789" s="50"/>
      <c r="O45789" s="36" t="s">
        <v>48</v>
      </c>
      <c r="R45789" s="36" t="s">
        <v>48</v>
      </c>
    </row>
    <row r="45790">
      <c r="H45790" s="50"/>
      <c r="I45790" s="50"/>
      <c r="O45790" s="36" t="s">
        <v>48</v>
      </c>
      <c r="R45790" s="36" t="s">
        <v>48</v>
      </c>
    </row>
    <row r="45791">
      <c r="H45791" s="50"/>
      <c r="I45791" s="50"/>
      <c r="O45791" s="36" t="s">
        <v>48</v>
      </c>
      <c r="R45791" s="36" t="s">
        <v>48</v>
      </c>
    </row>
    <row r="45792">
      <c r="H45792" s="50"/>
      <c r="I45792" s="50"/>
      <c r="O45792" s="36" t="s">
        <v>48</v>
      </c>
      <c r="R45792" s="36" t="s">
        <v>48</v>
      </c>
    </row>
    <row r="45793">
      <c r="H45793" s="50"/>
      <c r="I45793" s="50"/>
      <c r="O45793" s="36" t="s">
        <v>48</v>
      </c>
      <c r="R45793" s="36" t="s">
        <v>48</v>
      </c>
    </row>
    <row r="45794">
      <c r="H45794" s="50"/>
      <c r="I45794" s="50"/>
      <c r="O45794" s="36" t="s">
        <v>48</v>
      </c>
      <c r="R45794" s="36" t="s">
        <v>48</v>
      </c>
    </row>
    <row r="45795">
      <c r="H45795" s="50"/>
      <c r="I45795" s="50"/>
      <c r="O45795" s="36" t="s">
        <v>48</v>
      </c>
      <c r="R45795" s="36" t="s">
        <v>48</v>
      </c>
    </row>
    <row r="45796">
      <c r="H45796" s="50"/>
      <c r="I45796" s="50"/>
      <c r="O45796" s="36" t="s">
        <v>48</v>
      </c>
      <c r="R45796" s="36" t="s">
        <v>48</v>
      </c>
    </row>
    <row r="45797">
      <c r="H45797" s="50"/>
      <c r="I45797" s="50"/>
      <c r="O45797" s="36" t="s">
        <v>48</v>
      </c>
      <c r="R45797" s="36" t="s">
        <v>48</v>
      </c>
    </row>
    <row r="45798">
      <c r="H45798" s="50"/>
      <c r="I45798" s="50"/>
      <c r="O45798" s="36" t="s">
        <v>48</v>
      </c>
      <c r="R45798" s="36" t="s">
        <v>48</v>
      </c>
    </row>
    <row r="45799">
      <c r="H45799" s="50"/>
      <c r="I45799" s="50"/>
      <c r="O45799" s="36" t="s">
        <v>48</v>
      </c>
      <c r="R45799" s="36" t="s">
        <v>48</v>
      </c>
    </row>
    <row r="45800">
      <c r="H45800" s="50"/>
      <c r="I45800" s="50"/>
      <c r="O45800" s="36" t="s">
        <v>48</v>
      </c>
      <c r="R45800" s="36" t="s">
        <v>48</v>
      </c>
    </row>
    <row r="45801">
      <c r="H45801" s="50"/>
      <c r="I45801" s="50"/>
      <c r="O45801" s="36" t="s">
        <v>48</v>
      </c>
      <c r="R45801" s="36" t="s">
        <v>48</v>
      </c>
    </row>
    <row r="45802">
      <c r="H45802" s="50"/>
      <c r="I45802" s="50"/>
      <c r="O45802" s="36" t="s">
        <v>48</v>
      </c>
      <c r="R45802" s="36" t="s">
        <v>48</v>
      </c>
    </row>
    <row r="45803">
      <c r="H45803" s="50"/>
      <c r="I45803" s="50"/>
      <c r="O45803" s="36" t="s">
        <v>48</v>
      </c>
      <c r="R45803" s="36" t="s">
        <v>48</v>
      </c>
    </row>
    <row r="45804">
      <c r="H45804" s="50"/>
      <c r="I45804" s="50"/>
      <c r="O45804" s="36" t="s">
        <v>48</v>
      </c>
      <c r="R45804" s="36" t="s">
        <v>48</v>
      </c>
    </row>
    <row r="45805">
      <c r="H45805" s="50"/>
      <c r="I45805" s="50"/>
      <c r="O45805" s="36" t="s">
        <v>48</v>
      </c>
      <c r="R45805" s="36" t="s">
        <v>48</v>
      </c>
    </row>
    <row r="45806">
      <c r="H45806" s="50"/>
      <c r="I45806" s="50"/>
      <c r="O45806" s="36" t="s">
        <v>48</v>
      </c>
      <c r="R45806" s="36" t="s">
        <v>48</v>
      </c>
    </row>
    <row r="45807">
      <c r="H45807" s="50"/>
      <c r="I45807" s="50"/>
      <c r="O45807" s="36" t="s">
        <v>48</v>
      </c>
      <c r="R45807" s="36" t="s">
        <v>48</v>
      </c>
    </row>
    <row r="45808">
      <c r="H45808" s="50"/>
      <c r="I45808" s="50"/>
      <c r="O45808" s="36" t="s">
        <v>48</v>
      </c>
      <c r="R45808" s="36" t="s">
        <v>48</v>
      </c>
    </row>
    <row r="45809">
      <c r="H45809" s="50"/>
      <c r="I45809" s="50"/>
      <c r="O45809" s="36" t="s">
        <v>48</v>
      </c>
      <c r="R45809" s="36" t="s">
        <v>48</v>
      </c>
    </row>
    <row r="45810">
      <c r="H45810" s="50"/>
      <c r="I45810" s="50"/>
      <c r="O45810" s="36" t="s">
        <v>48</v>
      </c>
      <c r="R45810" s="36" t="s">
        <v>48</v>
      </c>
    </row>
    <row r="45811">
      <c r="H45811" s="50"/>
      <c r="I45811" s="50"/>
      <c r="O45811" s="36" t="s">
        <v>48</v>
      </c>
      <c r="R45811" s="36" t="s">
        <v>48</v>
      </c>
    </row>
    <row r="45812">
      <c r="H45812" s="50"/>
      <c r="I45812" s="50"/>
      <c r="O45812" s="36" t="s">
        <v>48</v>
      </c>
      <c r="R45812" s="36" t="s">
        <v>48</v>
      </c>
    </row>
    <row r="45813">
      <c r="H45813" s="50"/>
      <c r="I45813" s="50"/>
      <c r="O45813" s="36" t="s">
        <v>48</v>
      </c>
      <c r="R45813" s="36" t="s">
        <v>48</v>
      </c>
    </row>
    <row r="45814">
      <c r="H45814" s="50"/>
      <c r="I45814" s="50"/>
      <c r="O45814" s="36" t="s">
        <v>48</v>
      </c>
      <c r="R45814" s="36" t="s">
        <v>48</v>
      </c>
    </row>
    <row r="45815">
      <c r="H45815" s="50"/>
      <c r="I45815" s="50"/>
      <c r="O45815" s="36" t="s">
        <v>48</v>
      </c>
      <c r="R45815" s="36" t="s">
        <v>48</v>
      </c>
    </row>
    <row r="45816">
      <c r="H45816" s="50"/>
      <c r="I45816" s="50"/>
      <c r="O45816" s="36" t="s">
        <v>48</v>
      </c>
      <c r="R45816" s="36" t="s">
        <v>48</v>
      </c>
    </row>
    <row r="45817">
      <c r="H45817" s="50"/>
      <c r="I45817" s="50"/>
      <c r="O45817" s="36" t="s">
        <v>48</v>
      </c>
      <c r="R45817" s="36" t="s">
        <v>48</v>
      </c>
    </row>
    <row r="45818">
      <c r="H45818" s="50"/>
      <c r="I45818" s="50"/>
      <c r="O45818" s="36" t="s">
        <v>48</v>
      </c>
      <c r="R45818" s="36" t="s">
        <v>48</v>
      </c>
    </row>
    <row r="45819">
      <c r="H45819" s="50"/>
      <c r="I45819" s="50"/>
      <c r="O45819" s="36" t="s">
        <v>48</v>
      </c>
      <c r="R45819" s="36" t="s">
        <v>48</v>
      </c>
    </row>
    <row r="45820">
      <c r="H45820" s="50"/>
      <c r="I45820" s="50"/>
      <c r="O45820" s="36" t="s">
        <v>48</v>
      </c>
      <c r="R45820" s="36" t="s">
        <v>48</v>
      </c>
    </row>
    <row r="45821">
      <c r="H45821" s="50"/>
      <c r="I45821" s="50"/>
      <c r="O45821" s="36" t="s">
        <v>48</v>
      </c>
      <c r="R45821" s="36" t="s">
        <v>48</v>
      </c>
    </row>
    <row r="45822">
      <c r="H45822" s="50"/>
      <c r="I45822" s="50"/>
      <c r="O45822" s="36" t="s">
        <v>48</v>
      </c>
      <c r="R45822" s="36" t="s">
        <v>48</v>
      </c>
    </row>
    <row r="45823">
      <c r="H45823" s="50"/>
      <c r="I45823" s="50"/>
      <c r="O45823" s="36" t="s">
        <v>48</v>
      </c>
      <c r="R45823" s="36" t="s">
        <v>48</v>
      </c>
    </row>
    <row r="45824">
      <c r="H45824" s="50"/>
      <c r="I45824" s="50"/>
      <c r="O45824" s="36" t="s">
        <v>48</v>
      </c>
      <c r="R45824" s="36" t="s">
        <v>48</v>
      </c>
    </row>
    <row r="45825">
      <c r="H45825" s="50"/>
      <c r="I45825" s="50"/>
      <c r="O45825" s="36" t="s">
        <v>48</v>
      </c>
      <c r="R45825" s="36" t="s">
        <v>48</v>
      </c>
    </row>
    <row r="45826">
      <c r="H45826" s="50"/>
      <c r="I45826" s="50"/>
      <c r="O45826" s="36" t="s">
        <v>48</v>
      </c>
      <c r="R45826" s="36" t="s">
        <v>48</v>
      </c>
    </row>
    <row r="45827">
      <c r="H45827" s="50"/>
      <c r="I45827" s="50"/>
      <c r="O45827" s="36" t="s">
        <v>48</v>
      </c>
      <c r="R45827" s="36" t="s">
        <v>48</v>
      </c>
    </row>
    <row r="45828">
      <c r="H45828" s="50"/>
      <c r="I45828" s="50"/>
      <c r="O45828" s="36" t="s">
        <v>48</v>
      </c>
      <c r="R45828" s="36" t="s">
        <v>48</v>
      </c>
    </row>
    <row r="45829">
      <c r="H45829" s="50"/>
      <c r="I45829" s="50"/>
      <c r="O45829" s="36" t="s">
        <v>48</v>
      </c>
      <c r="R45829" s="36" t="s">
        <v>48</v>
      </c>
    </row>
    <row r="45830">
      <c r="H45830" s="50"/>
      <c r="I45830" s="50"/>
      <c r="O45830" s="36" t="s">
        <v>48</v>
      </c>
      <c r="R45830" s="36" t="s">
        <v>48</v>
      </c>
    </row>
    <row r="45831">
      <c r="H45831" s="50"/>
      <c r="I45831" s="50"/>
      <c r="O45831" s="36" t="s">
        <v>48</v>
      </c>
      <c r="R45831" s="36" t="s">
        <v>48</v>
      </c>
    </row>
    <row r="45832">
      <c r="H45832" s="50"/>
      <c r="I45832" s="50"/>
      <c r="O45832" s="36" t="s">
        <v>48</v>
      </c>
      <c r="R45832" s="36" t="s">
        <v>48</v>
      </c>
    </row>
    <row r="45833">
      <c r="H45833" s="50"/>
      <c r="I45833" s="50"/>
      <c r="O45833" s="36" t="s">
        <v>48</v>
      </c>
      <c r="R45833" s="36" t="s">
        <v>48</v>
      </c>
    </row>
    <row r="45834">
      <c r="H45834" s="50"/>
      <c r="I45834" s="50"/>
      <c r="O45834" s="36" t="s">
        <v>48</v>
      </c>
      <c r="R45834" s="36" t="s">
        <v>48</v>
      </c>
    </row>
    <row r="45835">
      <c r="H45835" s="50"/>
      <c r="I45835" s="50"/>
      <c r="O45835" s="36" t="s">
        <v>48</v>
      </c>
      <c r="R45835" s="36" t="s">
        <v>48</v>
      </c>
    </row>
    <row r="45836">
      <c r="H45836" s="50"/>
      <c r="I45836" s="50"/>
      <c r="O45836" s="36" t="s">
        <v>48</v>
      </c>
      <c r="R45836" s="36" t="s">
        <v>48</v>
      </c>
    </row>
    <row r="45837">
      <c r="H45837" s="50"/>
      <c r="I45837" s="50"/>
      <c r="O45837" s="36" t="s">
        <v>48</v>
      </c>
      <c r="R45837" s="36" t="s">
        <v>48</v>
      </c>
    </row>
    <row r="45838">
      <c r="H45838" s="50"/>
      <c r="I45838" s="50"/>
      <c r="O45838" s="36" t="s">
        <v>48</v>
      </c>
      <c r="R45838" s="36" t="s">
        <v>48</v>
      </c>
    </row>
    <row r="45839">
      <c r="H45839" s="50"/>
      <c r="I45839" s="50"/>
      <c r="O45839" s="36" t="s">
        <v>48</v>
      </c>
      <c r="R45839" s="36" t="s">
        <v>48</v>
      </c>
    </row>
    <row r="45840">
      <c r="H45840" s="50"/>
      <c r="I45840" s="50"/>
      <c r="O45840" s="36" t="s">
        <v>48</v>
      </c>
      <c r="R45840" s="36" t="s">
        <v>48</v>
      </c>
    </row>
    <row r="45841">
      <c r="H45841" s="50"/>
      <c r="I45841" s="50"/>
      <c r="O45841" s="36" t="s">
        <v>48</v>
      </c>
      <c r="R45841" s="36" t="s">
        <v>48</v>
      </c>
    </row>
    <row r="45842">
      <c r="H45842" s="50"/>
      <c r="I45842" s="50"/>
      <c r="O45842" s="36" t="s">
        <v>48</v>
      </c>
      <c r="R45842" s="36" t="s">
        <v>48</v>
      </c>
    </row>
    <row r="45843">
      <c r="H45843" s="50"/>
      <c r="I45843" s="50"/>
      <c r="O45843" s="36" t="s">
        <v>48</v>
      </c>
      <c r="R45843" s="36" t="s">
        <v>48</v>
      </c>
    </row>
    <row r="45844">
      <c r="H45844" s="50"/>
      <c r="I45844" s="50"/>
      <c r="O45844" s="36" t="s">
        <v>48</v>
      </c>
      <c r="R45844" s="36" t="s">
        <v>48</v>
      </c>
    </row>
    <row r="45845">
      <c r="H45845" s="50"/>
      <c r="I45845" s="50"/>
      <c r="O45845" s="36" t="s">
        <v>48</v>
      </c>
      <c r="R45845" s="36" t="s">
        <v>48</v>
      </c>
    </row>
    <row r="45846">
      <c r="H45846" s="50"/>
      <c r="I45846" s="50"/>
      <c r="O45846" s="36" t="s">
        <v>48</v>
      </c>
      <c r="R45846" s="36" t="s">
        <v>48</v>
      </c>
    </row>
    <row r="45847">
      <c r="H45847" s="50"/>
      <c r="I45847" s="50"/>
      <c r="O45847" s="36" t="s">
        <v>48</v>
      </c>
      <c r="R45847" s="36" t="s">
        <v>48</v>
      </c>
    </row>
    <row r="45848">
      <c r="H45848" s="50"/>
      <c r="I45848" s="50"/>
      <c r="O45848" s="36" t="s">
        <v>48</v>
      </c>
      <c r="R45848" s="36" t="s">
        <v>48</v>
      </c>
    </row>
    <row r="45849">
      <c r="H45849" s="50"/>
      <c r="I45849" s="50"/>
      <c r="O45849" s="36" t="s">
        <v>48</v>
      </c>
      <c r="R45849" s="36" t="s">
        <v>48</v>
      </c>
    </row>
    <row r="45850">
      <c r="H45850" s="50"/>
      <c r="I45850" s="50"/>
      <c r="O45850" s="36" t="s">
        <v>48</v>
      </c>
      <c r="R45850" s="36" t="s">
        <v>48</v>
      </c>
    </row>
    <row r="45851">
      <c r="H45851" s="50"/>
      <c r="I45851" s="50"/>
      <c r="O45851" s="36" t="s">
        <v>48</v>
      </c>
      <c r="R45851" s="36" t="s">
        <v>48</v>
      </c>
    </row>
    <row r="45852">
      <c r="H45852" s="50"/>
      <c r="I45852" s="50"/>
      <c r="O45852" s="36" t="s">
        <v>48</v>
      </c>
      <c r="R45852" s="36" t="s">
        <v>48</v>
      </c>
    </row>
    <row r="45853">
      <c r="H45853" s="50"/>
      <c r="I45853" s="50"/>
      <c r="O45853" s="36" t="s">
        <v>48</v>
      </c>
      <c r="R45853" s="36" t="s">
        <v>48</v>
      </c>
    </row>
    <row r="45854">
      <c r="H45854" s="50"/>
      <c r="I45854" s="50"/>
      <c r="O45854" s="36" t="s">
        <v>48</v>
      </c>
      <c r="R45854" s="36" t="s">
        <v>48</v>
      </c>
    </row>
    <row r="45855">
      <c r="H45855" s="50"/>
      <c r="I45855" s="50"/>
      <c r="O45855" s="36" t="s">
        <v>48</v>
      </c>
      <c r="R45855" s="36" t="s">
        <v>48</v>
      </c>
    </row>
    <row r="45856">
      <c r="H45856" s="50"/>
      <c r="I45856" s="50"/>
      <c r="O45856" s="36" t="s">
        <v>48</v>
      </c>
      <c r="R45856" s="36" t="s">
        <v>48</v>
      </c>
    </row>
    <row r="45857">
      <c r="H45857" s="50"/>
      <c r="I45857" s="50"/>
      <c r="O45857" s="36" t="s">
        <v>48</v>
      </c>
      <c r="R45857" s="36" t="s">
        <v>48</v>
      </c>
    </row>
    <row r="45858">
      <c r="H45858" s="50"/>
      <c r="I45858" s="50"/>
      <c r="O45858" s="36" t="s">
        <v>48</v>
      </c>
      <c r="R45858" s="36" t="s">
        <v>48</v>
      </c>
    </row>
    <row r="45859">
      <c r="H45859" s="50"/>
      <c r="I45859" s="50"/>
      <c r="O45859" s="36" t="s">
        <v>48</v>
      </c>
      <c r="R45859" s="36" t="s">
        <v>48</v>
      </c>
    </row>
    <row r="45860">
      <c r="H45860" s="50"/>
      <c r="I45860" s="50"/>
      <c r="O45860" s="36" t="s">
        <v>48</v>
      </c>
      <c r="R45860" s="36" t="s">
        <v>48</v>
      </c>
    </row>
    <row r="45861">
      <c r="H45861" s="50"/>
      <c r="I45861" s="50"/>
      <c r="O45861" s="36" t="s">
        <v>48</v>
      </c>
      <c r="R45861" s="36" t="s">
        <v>48</v>
      </c>
    </row>
    <row r="45862">
      <c r="H45862" s="50"/>
      <c r="I45862" s="50"/>
      <c r="O45862" s="36" t="s">
        <v>48</v>
      </c>
      <c r="R45862" s="36" t="s">
        <v>48</v>
      </c>
    </row>
    <row r="45863">
      <c r="H45863" s="50"/>
      <c r="I45863" s="50"/>
      <c r="O45863" s="36" t="s">
        <v>48</v>
      </c>
      <c r="R45863" s="36" t="s">
        <v>48</v>
      </c>
    </row>
    <row r="45864">
      <c r="H45864" s="50"/>
      <c r="I45864" s="50"/>
      <c r="O45864" s="36" t="s">
        <v>48</v>
      </c>
      <c r="R45864" s="36" t="s">
        <v>48</v>
      </c>
    </row>
    <row r="45865">
      <c r="H45865" s="50"/>
      <c r="I45865" s="50"/>
      <c r="O45865" s="36" t="s">
        <v>48</v>
      </c>
      <c r="R45865" s="36" t="s">
        <v>48</v>
      </c>
    </row>
    <row r="45866">
      <c r="H45866" s="50"/>
      <c r="I45866" s="50"/>
      <c r="O45866" s="36" t="s">
        <v>48</v>
      </c>
      <c r="R45866" s="36" t="s">
        <v>48</v>
      </c>
    </row>
    <row r="45867">
      <c r="H45867" s="50"/>
      <c r="I45867" s="50"/>
      <c r="O45867" s="36" t="s">
        <v>48</v>
      </c>
      <c r="R45867" s="36" t="s">
        <v>48</v>
      </c>
    </row>
    <row r="45868">
      <c r="H45868" s="50"/>
      <c r="I45868" s="50"/>
      <c r="O45868" s="36" t="s">
        <v>48</v>
      </c>
      <c r="R45868" s="36" t="s">
        <v>48</v>
      </c>
    </row>
    <row r="45869">
      <c r="H45869" s="50"/>
      <c r="I45869" s="50"/>
      <c r="O45869" s="36" t="s">
        <v>48</v>
      </c>
      <c r="R45869" s="36" t="s">
        <v>48</v>
      </c>
    </row>
    <row r="45870">
      <c r="H45870" s="50"/>
      <c r="I45870" s="50"/>
      <c r="O45870" s="36" t="s">
        <v>48</v>
      </c>
      <c r="R45870" s="36" t="s">
        <v>48</v>
      </c>
    </row>
    <row r="45871">
      <c r="H45871" s="50"/>
      <c r="I45871" s="50"/>
      <c r="O45871" s="36" t="s">
        <v>48</v>
      </c>
      <c r="R45871" s="36" t="s">
        <v>48</v>
      </c>
    </row>
    <row r="45872">
      <c r="H45872" s="50"/>
      <c r="I45872" s="50"/>
      <c r="O45872" s="36" t="s">
        <v>48</v>
      </c>
      <c r="R45872" s="36" t="s">
        <v>48</v>
      </c>
    </row>
    <row r="45873">
      <c r="H45873" s="50"/>
      <c r="I45873" s="50"/>
      <c r="O45873" s="36" t="s">
        <v>48</v>
      </c>
      <c r="R45873" s="36" t="s">
        <v>48</v>
      </c>
    </row>
    <row r="45874">
      <c r="H45874" s="50"/>
      <c r="I45874" s="50"/>
      <c r="O45874" s="36" t="s">
        <v>48</v>
      </c>
      <c r="R45874" s="36" t="s">
        <v>48</v>
      </c>
    </row>
    <row r="45875">
      <c r="H45875" s="50"/>
      <c r="I45875" s="50"/>
      <c r="O45875" s="36" t="s">
        <v>48</v>
      </c>
      <c r="R45875" s="36" t="s">
        <v>48</v>
      </c>
    </row>
    <row r="45876">
      <c r="H45876" s="50"/>
      <c r="I45876" s="50"/>
      <c r="O45876" s="36" t="s">
        <v>48</v>
      </c>
      <c r="R45876" s="36" t="s">
        <v>48</v>
      </c>
    </row>
    <row r="45877">
      <c r="H45877" s="50"/>
      <c r="I45877" s="50"/>
      <c r="O45877" s="36" t="s">
        <v>48</v>
      </c>
      <c r="R45877" s="36" t="s">
        <v>48</v>
      </c>
    </row>
    <row r="45878">
      <c r="H45878" s="50"/>
      <c r="I45878" s="50"/>
      <c r="O45878" s="36" t="s">
        <v>48</v>
      </c>
      <c r="R45878" s="36" t="s">
        <v>48</v>
      </c>
    </row>
    <row r="45879">
      <c r="H45879" s="50"/>
      <c r="I45879" s="50"/>
      <c r="O45879" s="36" t="s">
        <v>48</v>
      </c>
      <c r="R45879" s="36" t="s">
        <v>48</v>
      </c>
    </row>
    <row r="45880">
      <c r="H45880" s="50"/>
      <c r="I45880" s="50"/>
      <c r="O45880" s="36" t="s">
        <v>48</v>
      </c>
      <c r="R45880" s="36" t="s">
        <v>48</v>
      </c>
    </row>
    <row r="45881">
      <c r="H45881" s="50"/>
      <c r="I45881" s="50"/>
      <c r="O45881" s="36" t="s">
        <v>48</v>
      </c>
      <c r="R45881" s="36" t="s">
        <v>48</v>
      </c>
    </row>
    <row r="45882">
      <c r="H45882" s="50"/>
      <c r="I45882" s="50"/>
      <c r="O45882" s="36" t="s">
        <v>48</v>
      </c>
      <c r="R45882" s="36" t="s">
        <v>48</v>
      </c>
    </row>
    <row r="45883">
      <c r="H45883" s="50"/>
      <c r="I45883" s="50"/>
      <c r="O45883" s="36" t="s">
        <v>48</v>
      </c>
      <c r="R45883" s="36" t="s">
        <v>48</v>
      </c>
    </row>
    <row r="45884">
      <c r="H45884" s="50"/>
      <c r="I45884" s="50"/>
      <c r="O45884" s="36" t="s">
        <v>48</v>
      </c>
      <c r="R45884" s="36" t="s">
        <v>48</v>
      </c>
    </row>
    <row r="45885">
      <c r="H45885" s="50"/>
      <c r="I45885" s="50"/>
      <c r="O45885" s="36" t="s">
        <v>48</v>
      </c>
      <c r="R45885" s="36" t="s">
        <v>48</v>
      </c>
    </row>
    <row r="45886">
      <c r="H45886" s="50"/>
      <c r="I45886" s="50"/>
      <c r="O45886" s="36" t="s">
        <v>48</v>
      </c>
      <c r="R45886" s="36" t="s">
        <v>48</v>
      </c>
    </row>
    <row r="45887">
      <c r="H45887" s="50"/>
      <c r="I45887" s="50"/>
      <c r="O45887" s="36" t="s">
        <v>48</v>
      </c>
      <c r="R45887" s="36" t="s">
        <v>48</v>
      </c>
    </row>
    <row r="45888">
      <c r="H45888" s="50"/>
      <c r="I45888" s="50"/>
      <c r="O45888" s="36" t="s">
        <v>48</v>
      </c>
      <c r="R45888" s="36" t="s">
        <v>48</v>
      </c>
    </row>
    <row r="45889">
      <c r="H45889" s="50"/>
      <c r="I45889" s="50"/>
      <c r="O45889" s="36" t="s">
        <v>48</v>
      </c>
      <c r="R45889" s="36" t="s">
        <v>48</v>
      </c>
    </row>
    <row r="45890">
      <c r="H45890" s="50"/>
      <c r="I45890" s="50"/>
      <c r="O45890" s="36" t="s">
        <v>48</v>
      </c>
      <c r="R45890" s="36" t="s">
        <v>48</v>
      </c>
    </row>
    <row r="45891">
      <c r="H45891" s="50"/>
      <c r="I45891" s="50"/>
      <c r="O45891" s="36" t="s">
        <v>48</v>
      </c>
      <c r="R45891" s="36" t="s">
        <v>48</v>
      </c>
    </row>
    <row r="45892">
      <c r="H45892" s="50"/>
      <c r="I45892" s="50"/>
      <c r="O45892" s="36" t="s">
        <v>48</v>
      </c>
      <c r="R45892" s="36" t="s">
        <v>48</v>
      </c>
    </row>
    <row r="45893">
      <c r="H45893" s="50"/>
      <c r="I45893" s="50"/>
      <c r="O45893" s="36" t="s">
        <v>48</v>
      </c>
      <c r="R45893" s="36" t="s">
        <v>48</v>
      </c>
    </row>
    <row r="45894">
      <c r="H45894" s="50"/>
      <c r="I45894" s="50"/>
      <c r="O45894" s="36" t="s">
        <v>48</v>
      </c>
      <c r="R45894" s="36" t="s">
        <v>48</v>
      </c>
    </row>
    <row r="45895">
      <c r="H45895" s="50"/>
      <c r="I45895" s="50"/>
      <c r="O45895" s="36" t="s">
        <v>48</v>
      </c>
      <c r="R45895" s="36" t="s">
        <v>48</v>
      </c>
    </row>
    <row r="45896">
      <c r="H45896" s="50"/>
      <c r="I45896" s="50"/>
      <c r="O45896" s="36" t="s">
        <v>48</v>
      </c>
      <c r="R45896" s="36" t="s">
        <v>48</v>
      </c>
    </row>
    <row r="45897">
      <c r="H45897" s="50"/>
      <c r="I45897" s="50"/>
      <c r="O45897" s="36" t="s">
        <v>48</v>
      </c>
      <c r="R45897" s="36" t="s">
        <v>48</v>
      </c>
    </row>
    <row r="45898">
      <c r="H45898" s="50"/>
      <c r="I45898" s="50"/>
      <c r="O45898" s="36" t="s">
        <v>48</v>
      </c>
      <c r="R45898" s="36" t="s">
        <v>48</v>
      </c>
    </row>
    <row r="45899">
      <c r="H45899" s="50"/>
      <c r="I45899" s="50"/>
      <c r="O45899" s="36" t="s">
        <v>48</v>
      </c>
      <c r="R45899" s="36" t="s">
        <v>48</v>
      </c>
    </row>
    <row r="45900">
      <c r="H45900" s="50"/>
      <c r="I45900" s="50"/>
      <c r="O45900" s="36" t="s">
        <v>48</v>
      </c>
      <c r="R45900" s="36" t="s">
        <v>48</v>
      </c>
    </row>
    <row r="45901">
      <c r="H45901" s="50"/>
      <c r="I45901" s="50"/>
      <c r="O45901" s="36" t="s">
        <v>48</v>
      </c>
      <c r="R45901" s="36" t="s">
        <v>48</v>
      </c>
    </row>
    <row r="45902">
      <c r="H45902" s="50"/>
      <c r="I45902" s="50"/>
      <c r="O45902" s="36" t="s">
        <v>48</v>
      </c>
      <c r="R45902" s="36" t="s">
        <v>48</v>
      </c>
    </row>
    <row r="45903">
      <c r="H45903" s="50"/>
      <c r="I45903" s="50"/>
      <c r="O45903" s="36" t="s">
        <v>48</v>
      </c>
      <c r="R45903" s="36" t="s">
        <v>48</v>
      </c>
    </row>
    <row r="45904">
      <c r="H45904" s="50"/>
      <c r="I45904" s="50"/>
      <c r="O45904" s="36" t="s">
        <v>48</v>
      </c>
      <c r="R45904" s="36" t="s">
        <v>48</v>
      </c>
    </row>
    <row r="45905">
      <c r="H45905" s="50"/>
      <c r="I45905" s="50"/>
      <c r="O45905" s="36" t="s">
        <v>48</v>
      </c>
      <c r="R45905" s="36" t="s">
        <v>48</v>
      </c>
    </row>
    <row r="45906">
      <c r="H45906" s="50"/>
      <c r="I45906" s="50"/>
      <c r="O45906" s="36" t="s">
        <v>48</v>
      </c>
      <c r="R45906" s="36" t="s">
        <v>48</v>
      </c>
    </row>
    <row r="45907">
      <c r="H45907" s="50"/>
      <c r="I45907" s="50"/>
      <c r="O45907" s="36" t="s">
        <v>48</v>
      </c>
      <c r="R45907" s="36" t="s">
        <v>48</v>
      </c>
    </row>
    <row r="45908">
      <c r="H45908" s="50"/>
      <c r="I45908" s="50"/>
      <c r="O45908" s="36" t="s">
        <v>48</v>
      </c>
      <c r="R45908" s="36" t="s">
        <v>48</v>
      </c>
    </row>
    <row r="45909">
      <c r="H45909" s="50"/>
      <c r="I45909" s="50"/>
      <c r="O45909" s="36" t="s">
        <v>48</v>
      </c>
      <c r="R45909" s="36" t="s">
        <v>48</v>
      </c>
    </row>
    <row r="45910">
      <c r="H45910" s="50"/>
      <c r="I45910" s="50"/>
      <c r="O45910" s="36" t="s">
        <v>48</v>
      </c>
      <c r="R45910" s="36" t="s">
        <v>48</v>
      </c>
    </row>
    <row r="45911">
      <c r="H45911" s="50"/>
      <c r="I45911" s="50"/>
      <c r="O45911" s="36" t="s">
        <v>48</v>
      </c>
      <c r="R45911" s="36" t="s">
        <v>48</v>
      </c>
    </row>
    <row r="45912">
      <c r="H45912" s="50"/>
      <c r="I45912" s="50"/>
      <c r="O45912" s="36" t="s">
        <v>48</v>
      </c>
      <c r="R45912" s="36" t="s">
        <v>48</v>
      </c>
    </row>
    <row r="45913">
      <c r="H45913" s="50"/>
      <c r="I45913" s="50"/>
      <c r="O45913" s="36" t="s">
        <v>48</v>
      </c>
      <c r="R45913" s="36" t="s">
        <v>48</v>
      </c>
    </row>
    <row r="45914">
      <c r="H45914" s="50"/>
      <c r="I45914" s="50"/>
      <c r="O45914" s="36" t="s">
        <v>48</v>
      </c>
      <c r="R45914" s="36" t="s">
        <v>48</v>
      </c>
    </row>
    <row r="45915">
      <c r="H45915" s="50"/>
      <c r="I45915" s="50"/>
      <c r="O45915" s="36" t="s">
        <v>48</v>
      </c>
      <c r="R45915" s="36" t="s">
        <v>48</v>
      </c>
    </row>
    <row r="45916">
      <c r="H45916" s="50"/>
      <c r="I45916" s="50"/>
      <c r="O45916" s="36" t="s">
        <v>48</v>
      </c>
      <c r="R45916" s="36" t="s">
        <v>48</v>
      </c>
    </row>
    <row r="45917">
      <c r="H45917" s="50"/>
      <c r="I45917" s="50"/>
      <c r="O45917" s="36" t="s">
        <v>48</v>
      </c>
      <c r="R45917" s="36" t="s">
        <v>48</v>
      </c>
    </row>
    <row r="45918">
      <c r="H45918" s="50"/>
      <c r="I45918" s="50"/>
      <c r="O45918" s="36" t="s">
        <v>48</v>
      </c>
      <c r="R45918" s="36" t="s">
        <v>48</v>
      </c>
    </row>
    <row r="45919">
      <c r="H45919" s="50"/>
      <c r="I45919" s="50"/>
      <c r="O45919" s="36" t="s">
        <v>48</v>
      </c>
      <c r="R45919" s="36" t="s">
        <v>48</v>
      </c>
    </row>
    <row r="45920">
      <c r="H45920" s="50"/>
      <c r="I45920" s="50"/>
      <c r="O45920" s="36" t="s">
        <v>48</v>
      </c>
      <c r="R45920" s="36" t="s">
        <v>48</v>
      </c>
    </row>
    <row r="45921">
      <c r="H45921" s="50"/>
      <c r="I45921" s="50"/>
      <c r="O45921" s="36" t="s">
        <v>48</v>
      </c>
      <c r="R45921" s="36" t="s">
        <v>48</v>
      </c>
    </row>
    <row r="45922">
      <c r="H45922" s="50"/>
      <c r="I45922" s="50"/>
      <c r="O45922" s="36" t="s">
        <v>48</v>
      </c>
      <c r="R45922" s="36" t="s">
        <v>48</v>
      </c>
    </row>
    <row r="45923">
      <c r="H45923" s="50"/>
      <c r="I45923" s="50"/>
      <c r="O45923" s="36" t="s">
        <v>48</v>
      </c>
      <c r="R45923" s="36" t="s">
        <v>48</v>
      </c>
    </row>
    <row r="45924">
      <c r="H45924" s="50"/>
      <c r="I45924" s="50"/>
      <c r="O45924" s="36" t="s">
        <v>48</v>
      </c>
      <c r="R45924" s="36" t="s">
        <v>48</v>
      </c>
    </row>
    <row r="45925">
      <c r="H45925" s="50"/>
      <c r="I45925" s="50"/>
      <c r="O45925" s="36" t="s">
        <v>48</v>
      </c>
      <c r="R45925" s="36" t="s">
        <v>48</v>
      </c>
    </row>
    <row r="45926">
      <c r="H45926" s="50"/>
      <c r="I45926" s="50"/>
      <c r="O45926" s="36" t="s">
        <v>48</v>
      </c>
      <c r="R45926" s="36" t="s">
        <v>48</v>
      </c>
    </row>
    <row r="45927">
      <c r="H45927" s="50"/>
      <c r="I45927" s="50"/>
      <c r="O45927" s="36" t="s">
        <v>48</v>
      </c>
      <c r="R45927" s="36" t="s">
        <v>48</v>
      </c>
    </row>
    <row r="45928">
      <c r="H45928" s="50"/>
      <c r="I45928" s="50"/>
      <c r="O45928" s="36" t="s">
        <v>48</v>
      </c>
      <c r="R45928" s="36" t="s">
        <v>48</v>
      </c>
    </row>
    <row r="45929">
      <c r="H45929" s="50"/>
      <c r="I45929" s="50"/>
      <c r="O45929" s="36" t="s">
        <v>48</v>
      </c>
      <c r="R45929" s="36" t="s">
        <v>48</v>
      </c>
    </row>
    <row r="45930">
      <c r="H45930" s="50"/>
      <c r="I45930" s="50"/>
      <c r="O45930" s="36" t="s">
        <v>48</v>
      </c>
      <c r="R45930" s="36" t="s">
        <v>48</v>
      </c>
    </row>
    <row r="45931">
      <c r="H45931" s="50"/>
      <c r="I45931" s="50"/>
      <c r="O45931" s="36" t="s">
        <v>48</v>
      </c>
      <c r="R45931" s="36" t="s">
        <v>48</v>
      </c>
    </row>
    <row r="45932">
      <c r="H45932" s="50"/>
      <c r="I45932" s="50"/>
      <c r="O45932" s="36" t="s">
        <v>48</v>
      </c>
      <c r="R45932" s="36" t="s">
        <v>48</v>
      </c>
    </row>
    <row r="45933">
      <c r="H45933" s="50"/>
      <c r="I45933" s="50"/>
      <c r="O45933" s="36" t="s">
        <v>48</v>
      </c>
      <c r="R45933" s="36" t="s">
        <v>48</v>
      </c>
    </row>
    <row r="45934">
      <c r="H45934" s="50"/>
      <c r="I45934" s="50"/>
      <c r="O45934" s="36" t="s">
        <v>48</v>
      </c>
      <c r="R45934" s="36" t="s">
        <v>48</v>
      </c>
    </row>
    <row r="45935">
      <c r="H45935" s="50"/>
      <c r="I45935" s="50"/>
      <c r="O45935" s="36" t="s">
        <v>48</v>
      </c>
      <c r="R45935" s="36" t="s">
        <v>48</v>
      </c>
    </row>
    <row r="45936">
      <c r="H45936" s="50"/>
      <c r="I45936" s="50"/>
      <c r="O45936" s="36" t="s">
        <v>48</v>
      </c>
      <c r="R45936" s="36" t="s">
        <v>48</v>
      </c>
    </row>
    <row r="45937">
      <c r="H45937" s="50"/>
      <c r="I45937" s="50"/>
      <c r="O45937" s="36" t="s">
        <v>48</v>
      </c>
      <c r="R45937" s="36" t="s">
        <v>48</v>
      </c>
    </row>
    <row r="45938">
      <c r="H45938" s="50"/>
      <c r="I45938" s="50"/>
      <c r="O45938" s="36" t="s">
        <v>48</v>
      </c>
      <c r="R45938" s="36" t="s">
        <v>48</v>
      </c>
    </row>
    <row r="45939">
      <c r="H45939" s="50"/>
      <c r="I45939" s="50"/>
      <c r="O45939" s="36" t="s">
        <v>48</v>
      </c>
      <c r="R45939" s="36" t="s">
        <v>48</v>
      </c>
    </row>
    <row r="45940">
      <c r="H45940" s="50"/>
      <c r="I45940" s="50"/>
      <c r="O45940" s="36" t="s">
        <v>48</v>
      </c>
      <c r="R45940" s="36" t="s">
        <v>48</v>
      </c>
    </row>
    <row r="45941">
      <c r="H45941" s="50"/>
      <c r="I45941" s="50"/>
      <c r="O45941" s="36" t="s">
        <v>48</v>
      </c>
      <c r="R45941" s="36" t="s">
        <v>48</v>
      </c>
    </row>
    <row r="45942">
      <c r="H45942" s="50"/>
      <c r="I45942" s="50"/>
      <c r="O45942" s="36" t="s">
        <v>48</v>
      </c>
      <c r="R45942" s="36" t="s">
        <v>48</v>
      </c>
    </row>
    <row r="45943">
      <c r="H45943" s="50"/>
      <c r="I45943" s="50"/>
      <c r="O45943" s="36" t="s">
        <v>48</v>
      </c>
      <c r="R45943" s="36" t="s">
        <v>48</v>
      </c>
    </row>
    <row r="45944">
      <c r="H45944" s="50"/>
      <c r="I45944" s="50"/>
      <c r="O45944" s="36" t="s">
        <v>48</v>
      </c>
      <c r="R45944" s="36" t="s">
        <v>48</v>
      </c>
    </row>
    <row r="45945">
      <c r="H45945" s="50"/>
      <c r="I45945" s="50"/>
      <c r="O45945" s="36" t="s">
        <v>48</v>
      </c>
      <c r="R45945" s="36" t="s">
        <v>48</v>
      </c>
    </row>
    <row r="45946">
      <c r="H45946" s="50"/>
      <c r="I45946" s="50"/>
      <c r="O45946" s="36" t="s">
        <v>48</v>
      </c>
      <c r="R45946" s="36" t="s">
        <v>48</v>
      </c>
    </row>
    <row r="45947">
      <c r="H45947" s="50"/>
      <c r="I45947" s="50"/>
      <c r="O45947" s="36" t="s">
        <v>48</v>
      </c>
      <c r="R45947" s="36" t="s">
        <v>48</v>
      </c>
    </row>
    <row r="45948">
      <c r="H45948" s="50"/>
      <c r="I45948" s="50"/>
      <c r="O45948" s="36" t="s">
        <v>48</v>
      </c>
      <c r="R45948" s="36" t="s">
        <v>48</v>
      </c>
    </row>
    <row r="45949">
      <c r="H45949" s="50"/>
      <c r="I45949" s="50"/>
      <c r="O45949" s="36" t="s">
        <v>48</v>
      </c>
      <c r="R45949" s="36" t="s">
        <v>48</v>
      </c>
    </row>
    <row r="45950">
      <c r="H45950" s="50"/>
      <c r="I45950" s="50"/>
      <c r="O45950" s="36" t="s">
        <v>48</v>
      </c>
      <c r="R45950" s="36" t="s">
        <v>48</v>
      </c>
    </row>
    <row r="45951">
      <c r="H45951" s="50"/>
      <c r="I45951" s="50"/>
      <c r="O45951" s="36" t="s">
        <v>48</v>
      </c>
      <c r="R45951" s="36" t="s">
        <v>48</v>
      </c>
    </row>
    <row r="45952">
      <c r="H45952" s="50"/>
      <c r="I45952" s="50"/>
      <c r="O45952" s="36" t="s">
        <v>48</v>
      </c>
      <c r="R45952" s="36" t="s">
        <v>48</v>
      </c>
    </row>
    <row r="45953">
      <c r="H45953" s="50"/>
      <c r="I45953" s="50"/>
      <c r="O45953" s="36" t="s">
        <v>48</v>
      </c>
      <c r="R45953" s="36" t="s">
        <v>48</v>
      </c>
    </row>
    <row r="45954">
      <c r="H45954" s="50"/>
      <c r="I45954" s="50"/>
      <c r="O45954" s="36" t="s">
        <v>48</v>
      </c>
      <c r="R45954" s="36" t="s">
        <v>48</v>
      </c>
    </row>
    <row r="45955">
      <c r="H45955" s="50"/>
      <c r="I45955" s="50"/>
      <c r="O45955" s="36" t="s">
        <v>48</v>
      </c>
      <c r="R45955" s="36" t="s">
        <v>48</v>
      </c>
    </row>
    <row r="45956">
      <c r="H45956" s="50"/>
      <c r="I45956" s="50"/>
      <c r="O45956" s="36" t="s">
        <v>48</v>
      </c>
      <c r="R45956" s="36" t="s">
        <v>48</v>
      </c>
    </row>
    <row r="45957">
      <c r="H45957" s="50"/>
      <c r="I45957" s="50"/>
      <c r="O45957" s="36" t="s">
        <v>48</v>
      </c>
      <c r="R45957" s="36" t="s">
        <v>48</v>
      </c>
    </row>
    <row r="45958">
      <c r="H45958" s="50"/>
      <c r="I45958" s="50"/>
      <c r="O45958" s="36" t="s">
        <v>48</v>
      </c>
      <c r="R45958" s="36" t="s">
        <v>48</v>
      </c>
    </row>
    <row r="45959">
      <c r="H45959" s="50"/>
      <c r="I45959" s="50"/>
      <c r="O45959" s="36" t="s">
        <v>48</v>
      </c>
      <c r="R45959" s="36" t="s">
        <v>48</v>
      </c>
    </row>
    <row r="45960">
      <c r="H45960" s="50"/>
      <c r="I45960" s="50"/>
      <c r="O45960" s="36" t="s">
        <v>48</v>
      </c>
      <c r="R45960" s="36" t="s">
        <v>48</v>
      </c>
    </row>
    <row r="45961">
      <c r="H45961" s="50"/>
      <c r="I45961" s="50"/>
      <c r="O45961" s="36" t="s">
        <v>48</v>
      </c>
      <c r="R45961" s="36" t="s">
        <v>48</v>
      </c>
    </row>
    <row r="45962">
      <c r="H45962" s="50"/>
      <c r="I45962" s="50"/>
      <c r="O45962" s="36" t="s">
        <v>48</v>
      </c>
      <c r="R45962" s="36" t="s">
        <v>48</v>
      </c>
    </row>
    <row r="45963">
      <c r="H45963" s="50"/>
      <c r="I45963" s="50"/>
      <c r="O45963" s="36" t="s">
        <v>48</v>
      </c>
      <c r="R45963" s="36" t="s">
        <v>48</v>
      </c>
    </row>
    <row r="45964">
      <c r="H45964" s="50"/>
      <c r="I45964" s="50"/>
      <c r="O45964" s="36" t="s">
        <v>48</v>
      </c>
      <c r="R45964" s="36" t="s">
        <v>48</v>
      </c>
    </row>
    <row r="45965">
      <c r="H45965" s="50"/>
      <c r="I45965" s="50"/>
      <c r="O45965" s="36" t="s">
        <v>48</v>
      </c>
      <c r="R45965" s="36" t="s">
        <v>48</v>
      </c>
    </row>
    <row r="45966">
      <c r="H45966" s="50"/>
      <c r="I45966" s="50"/>
      <c r="O45966" s="36" t="s">
        <v>48</v>
      </c>
      <c r="R45966" s="36" t="s">
        <v>48</v>
      </c>
    </row>
    <row r="45967">
      <c r="H45967" s="50"/>
      <c r="I45967" s="50"/>
      <c r="O45967" s="36" t="s">
        <v>48</v>
      </c>
      <c r="R45967" s="36" t="s">
        <v>48</v>
      </c>
    </row>
    <row r="45968">
      <c r="H45968" s="50"/>
      <c r="I45968" s="50"/>
      <c r="O45968" s="36" t="s">
        <v>48</v>
      </c>
      <c r="R45968" s="36" t="s">
        <v>48</v>
      </c>
    </row>
    <row r="45969">
      <c r="H45969" s="50"/>
      <c r="I45969" s="50"/>
      <c r="O45969" s="36" t="s">
        <v>48</v>
      </c>
      <c r="R45969" s="36" t="s">
        <v>48</v>
      </c>
    </row>
    <row r="45970">
      <c r="H45970" s="50"/>
      <c r="I45970" s="50"/>
      <c r="O45970" s="36" t="s">
        <v>48</v>
      </c>
      <c r="R45970" s="36" t="s">
        <v>48</v>
      </c>
    </row>
    <row r="45971">
      <c r="H45971" s="50"/>
      <c r="I45971" s="50"/>
      <c r="O45971" s="36" t="s">
        <v>48</v>
      </c>
      <c r="R45971" s="36" t="s">
        <v>48</v>
      </c>
    </row>
    <row r="45972">
      <c r="H45972" s="50"/>
      <c r="I45972" s="50"/>
      <c r="O45972" s="36" t="s">
        <v>48</v>
      </c>
      <c r="R45972" s="36" t="s">
        <v>48</v>
      </c>
    </row>
    <row r="45973">
      <c r="H45973" s="50"/>
      <c r="I45973" s="50"/>
      <c r="O45973" s="36" t="s">
        <v>48</v>
      </c>
      <c r="R45973" s="36" t="s">
        <v>48</v>
      </c>
    </row>
    <row r="45974">
      <c r="H45974" s="50"/>
      <c r="I45974" s="50"/>
      <c r="O45974" s="36" t="s">
        <v>48</v>
      </c>
      <c r="R45974" s="36" t="s">
        <v>48</v>
      </c>
    </row>
    <row r="45975">
      <c r="H45975" s="50"/>
      <c r="I45975" s="50"/>
      <c r="O45975" s="36" t="s">
        <v>48</v>
      </c>
      <c r="R45975" s="36" t="s">
        <v>48</v>
      </c>
    </row>
    <row r="45976">
      <c r="H45976" s="50"/>
      <c r="I45976" s="50"/>
      <c r="O45976" s="36" t="s">
        <v>48</v>
      </c>
      <c r="R45976" s="36" t="s">
        <v>48</v>
      </c>
    </row>
    <row r="45977">
      <c r="H45977" s="50"/>
      <c r="I45977" s="50"/>
      <c r="O45977" s="36" t="s">
        <v>48</v>
      </c>
      <c r="R45977" s="36" t="s">
        <v>48</v>
      </c>
    </row>
    <row r="45978">
      <c r="H45978" s="50"/>
      <c r="I45978" s="50"/>
      <c r="O45978" s="36" t="s">
        <v>48</v>
      </c>
      <c r="R45978" s="36" t="s">
        <v>48</v>
      </c>
    </row>
    <row r="45979">
      <c r="H45979" s="50"/>
      <c r="I45979" s="50"/>
      <c r="O45979" s="36" t="s">
        <v>48</v>
      </c>
      <c r="R45979" s="36" t="s">
        <v>48</v>
      </c>
    </row>
    <row r="45980">
      <c r="H45980" s="50"/>
      <c r="I45980" s="50"/>
      <c r="O45980" s="36" t="s">
        <v>48</v>
      </c>
      <c r="R45980" s="36" t="s">
        <v>48</v>
      </c>
    </row>
    <row r="45981">
      <c r="H45981" s="50"/>
      <c r="I45981" s="50"/>
      <c r="O45981" s="36" t="s">
        <v>48</v>
      </c>
      <c r="R45981" s="36" t="s">
        <v>48</v>
      </c>
    </row>
    <row r="45982">
      <c r="H45982" s="50"/>
      <c r="I45982" s="50"/>
      <c r="O45982" s="36" t="s">
        <v>48</v>
      </c>
      <c r="R45982" s="36" t="s">
        <v>48</v>
      </c>
    </row>
    <row r="45983">
      <c r="H45983" s="50"/>
      <c r="I45983" s="50"/>
      <c r="O45983" s="36" t="s">
        <v>48</v>
      </c>
      <c r="R45983" s="36" t="s">
        <v>48</v>
      </c>
    </row>
    <row r="45984">
      <c r="H45984" s="50"/>
      <c r="I45984" s="50"/>
      <c r="O45984" s="36" t="s">
        <v>48</v>
      </c>
      <c r="R45984" s="36" t="s">
        <v>48</v>
      </c>
    </row>
    <row r="45985">
      <c r="H45985" s="50"/>
      <c r="I45985" s="50"/>
      <c r="O45985" s="36" t="s">
        <v>48</v>
      </c>
      <c r="R45985" s="36" t="s">
        <v>48</v>
      </c>
    </row>
    <row r="45986">
      <c r="H45986" s="50"/>
      <c r="I45986" s="50"/>
      <c r="O45986" s="36" t="s">
        <v>48</v>
      </c>
      <c r="R45986" s="36" t="s">
        <v>48</v>
      </c>
    </row>
    <row r="45987">
      <c r="H45987" s="50"/>
      <c r="I45987" s="50"/>
      <c r="O45987" s="36" t="s">
        <v>48</v>
      </c>
      <c r="R45987" s="36" t="s">
        <v>48</v>
      </c>
    </row>
    <row r="45988">
      <c r="H45988" s="50"/>
      <c r="I45988" s="50"/>
      <c r="O45988" s="36" t="s">
        <v>48</v>
      </c>
      <c r="R45988" s="36" t="s">
        <v>48</v>
      </c>
    </row>
    <row r="45989">
      <c r="H45989" s="50"/>
      <c r="I45989" s="50"/>
      <c r="O45989" s="36" t="s">
        <v>48</v>
      </c>
      <c r="R45989" s="36" t="s">
        <v>48</v>
      </c>
    </row>
    <row r="45990">
      <c r="H45990" s="50"/>
      <c r="I45990" s="50"/>
      <c r="O45990" s="36" t="s">
        <v>48</v>
      </c>
      <c r="R45990" s="36" t="s">
        <v>48</v>
      </c>
    </row>
    <row r="45991">
      <c r="H45991" s="50"/>
      <c r="I45991" s="50"/>
      <c r="O45991" s="36" t="s">
        <v>48</v>
      </c>
      <c r="R45991" s="36" t="s">
        <v>48</v>
      </c>
    </row>
    <row r="45992">
      <c r="H45992" s="50"/>
      <c r="I45992" s="50"/>
      <c r="O45992" s="36" t="s">
        <v>48</v>
      </c>
      <c r="R45992" s="36" t="s">
        <v>48</v>
      </c>
    </row>
    <row r="45993">
      <c r="H45993" s="50"/>
      <c r="I45993" s="50"/>
      <c r="O45993" s="36" t="s">
        <v>48</v>
      </c>
      <c r="R45993" s="36" t="s">
        <v>48</v>
      </c>
    </row>
    <row r="45994">
      <c r="H45994" s="50"/>
      <c r="I45994" s="50"/>
      <c r="O45994" s="36" t="s">
        <v>48</v>
      </c>
      <c r="R45994" s="36" t="s">
        <v>48</v>
      </c>
    </row>
    <row r="45995">
      <c r="H45995" s="50"/>
      <c r="I45995" s="50"/>
      <c r="O45995" s="36" t="s">
        <v>48</v>
      </c>
      <c r="R45995" s="36" t="s">
        <v>48</v>
      </c>
    </row>
    <row r="45996">
      <c r="H45996" s="50"/>
      <c r="I45996" s="50"/>
      <c r="O45996" s="36" t="s">
        <v>48</v>
      </c>
      <c r="R45996" s="36" t="s">
        <v>48</v>
      </c>
    </row>
    <row r="45997">
      <c r="H45997" s="50"/>
      <c r="I45997" s="50"/>
      <c r="O45997" s="36" t="s">
        <v>48</v>
      </c>
      <c r="R45997" s="36" t="s">
        <v>48</v>
      </c>
    </row>
    <row r="45998">
      <c r="H45998" s="50"/>
      <c r="I45998" s="50"/>
      <c r="O45998" s="36" t="s">
        <v>48</v>
      </c>
      <c r="R45998" s="36" t="s">
        <v>48</v>
      </c>
    </row>
    <row r="45999">
      <c r="H45999" s="50"/>
      <c r="I45999" s="50"/>
      <c r="O45999" s="36" t="s">
        <v>48</v>
      </c>
      <c r="R45999" s="36" t="s">
        <v>48</v>
      </c>
    </row>
    <row r="46000">
      <c r="H46000" s="50"/>
      <c r="I46000" s="50"/>
      <c r="O46000" s="36" t="s">
        <v>48</v>
      </c>
      <c r="R46000" s="36" t="s">
        <v>48</v>
      </c>
    </row>
    <row r="46001">
      <c r="H46001" s="50"/>
      <c r="I46001" s="50"/>
      <c r="O46001" s="36" t="s">
        <v>48</v>
      </c>
      <c r="R46001" s="36" t="s">
        <v>48</v>
      </c>
    </row>
    <row r="46002">
      <c r="H46002" s="50"/>
      <c r="I46002" s="50"/>
      <c r="O46002" s="36" t="s">
        <v>48</v>
      </c>
      <c r="R46002" s="36" t="s">
        <v>48</v>
      </c>
    </row>
    <row r="46003">
      <c r="H46003" s="50"/>
      <c r="I46003" s="50"/>
      <c r="O46003" s="36" t="s">
        <v>48</v>
      </c>
      <c r="R46003" s="36" t="s">
        <v>48</v>
      </c>
    </row>
    <row r="46004">
      <c r="H46004" s="50"/>
      <c r="I46004" s="50"/>
      <c r="O46004" s="36" t="s">
        <v>48</v>
      </c>
      <c r="R46004" s="36" t="s">
        <v>48</v>
      </c>
    </row>
    <row r="46005">
      <c r="H46005" s="50"/>
      <c r="I46005" s="50"/>
      <c r="O46005" s="36" t="s">
        <v>48</v>
      </c>
      <c r="R46005" s="36" t="s">
        <v>48</v>
      </c>
    </row>
    <row r="46006">
      <c r="H46006" s="50"/>
      <c r="I46006" s="50"/>
      <c r="O46006" s="36" t="s">
        <v>48</v>
      </c>
      <c r="R46006" s="36" t="s">
        <v>48</v>
      </c>
    </row>
    <row r="46007">
      <c r="H46007" s="50"/>
      <c r="I46007" s="50"/>
      <c r="O46007" s="36" t="s">
        <v>48</v>
      </c>
      <c r="R46007" s="36" t="s">
        <v>48</v>
      </c>
    </row>
    <row r="46008">
      <c r="H46008" s="50"/>
      <c r="I46008" s="50"/>
      <c r="O46008" s="36" t="s">
        <v>48</v>
      </c>
      <c r="R46008" s="36" t="s">
        <v>48</v>
      </c>
    </row>
    <row r="46009">
      <c r="H46009" s="50"/>
      <c r="I46009" s="50"/>
      <c r="O46009" s="36" t="s">
        <v>48</v>
      </c>
      <c r="R46009" s="36" t="s">
        <v>48</v>
      </c>
    </row>
    <row r="46010">
      <c r="H46010" s="50"/>
      <c r="I46010" s="50"/>
      <c r="O46010" s="36" t="s">
        <v>48</v>
      </c>
      <c r="R46010" s="36" t="s">
        <v>48</v>
      </c>
    </row>
    <row r="46011">
      <c r="H46011" s="50"/>
      <c r="I46011" s="50"/>
      <c r="O46011" s="36" t="s">
        <v>48</v>
      </c>
      <c r="R46011" s="36" t="s">
        <v>48</v>
      </c>
    </row>
    <row r="46012">
      <c r="H46012" s="50"/>
      <c r="I46012" s="50"/>
      <c r="O46012" s="36" t="s">
        <v>48</v>
      </c>
      <c r="R46012" s="36" t="s">
        <v>48</v>
      </c>
    </row>
    <row r="46013">
      <c r="H46013" s="50"/>
      <c r="I46013" s="50"/>
      <c r="O46013" s="36" t="s">
        <v>48</v>
      </c>
      <c r="R46013" s="36" t="s">
        <v>48</v>
      </c>
    </row>
    <row r="46014">
      <c r="H46014" s="50"/>
      <c r="I46014" s="50"/>
      <c r="O46014" s="36" t="s">
        <v>48</v>
      </c>
      <c r="R46014" s="36" t="s">
        <v>48</v>
      </c>
    </row>
    <row r="46015">
      <c r="H46015" s="50"/>
      <c r="I46015" s="50"/>
      <c r="O46015" s="36" t="s">
        <v>48</v>
      </c>
      <c r="R46015" s="36" t="s">
        <v>48</v>
      </c>
    </row>
    <row r="46016">
      <c r="H46016" s="50"/>
      <c r="I46016" s="50"/>
      <c r="O46016" s="36" t="s">
        <v>48</v>
      </c>
      <c r="R46016" s="36" t="s">
        <v>48</v>
      </c>
    </row>
    <row r="46017">
      <c r="H46017" s="50"/>
      <c r="I46017" s="50"/>
      <c r="O46017" s="36" t="s">
        <v>48</v>
      </c>
      <c r="R46017" s="36" t="s">
        <v>48</v>
      </c>
    </row>
    <row r="46018">
      <c r="H46018" s="50"/>
      <c r="I46018" s="50"/>
      <c r="O46018" s="36" t="s">
        <v>48</v>
      </c>
      <c r="R46018" s="36" t="s">
        <v>48</v>
      </c>
    </row>
    <row r="46019">
      <c r="H46019" s="50"/>
      <c r="I46019" s="50"/>
      <c r="O46019" s="36" t="s">
        <v>48</v>
      </c>
      <c r="R46019" s="36" t="s">
        <v>48</v>
      </c>
    </row>
    <row r="46020">
      <c r="H46020" s="50"/>
      <c r="I46020" s="50"/>
      <c r="O46020" s="36" t="s">
        <v>48</v>
      </c>
      <c r="R46020" s="36" t="s">
        <v>48</v>
      </c>
    </row>
    <row r="46021">
      <c r="H46021" s="50"/>
      <c r="I46021" s="50"/>
      <c r="O46021" s="36" t="s">
        <v>48</v>
      </c>
      <c r="R46021" s="36" t="s">
        <v>48</v>
      </c>
    </row>
    <row r="46022">
      <c r="H46022" s="50"/>
      <c r="I46022" s="50"/>
      <c r="O46022" s="36" t="s">
        <v>48</v>
      </c>
      <c r="R46022" s="36" t="s">
        <v>48</v>
      </c>
    </row>
    <row r="46023">
      <c r="H46023" s="50"/>
      <c r="I46023" s="50"/>
      <c r="O46023" s="36" t="s">
        <v>48</v>
      </c>
      <c r="R46023" s="36" t="s">
        <v>48</v>
      </c>
    </row>
    <row r="46024">
      <c r="H46024" s="50"/>
      <c r="I46024" s="50"/>
      <c r="O46024" s="36" t="s">
        <v>48</v>
      </c>
      <c r="R46024" s="36" t="s">
        <v>48</v>
      </c>
    </row>
    <row r="46025">
      <c r="H46025" s="50"/>
      <c r="I46025" s="50"/>
      <c r="O46025" s="36" t="s">
        <v>48</v>
      </c>
      <c r="R46025" s="36" t="s">
        <v>48</v>
      </c>
    </row>
    <row r="46026">
      <c r="H46026" s="50"/>
      <c r="I46026" s="50"/>
      <c r="O46026" s="36" t="s">
        <v>48</v>
      </c>
      <c r="R46026" s="36" t="s">
        <v>48</v>
      </c>
    </row>
    <row r="46027">
      <c r="H46027" s="50"/>
      <c r="I46027" s="50"/>
      <c r="O46027" s="36" t="s">
        <v>48</v>
      </c>
      <c r="R46027" s="36" t="s">
        <v>48</v>
      </c>
    </row>
    <row r="46028">
      <c r="H46028" s="50"/>
      <c r="I46028" s="50"/>
      <c r="O46028" s="36" t="s">
        <v>48</v>
      </c>
      <c r="R46028" s="36" t="s">
        <v>48</v>
      </c>
    </row>
    <row r="46029">
      <c r="H46029" s="50"/>
      <c r="I46029" s="50"/>
      <c r="O46029" s="36" t="s">
        <v>48</v>
      </c>
      <c r="R46029" s="36" t="s">
        <v>48</v>
      </c>
    </row>
    <row r="46030">
      <c r="H46030" s="50"/>
      <c r="I46030" s="50"/>
      <c r="O46030" s="36" t="s">
        <v>48</v>
      </c>
      <c r="R46030" s="36" t="s">
        <v>48</v>
      </c>
    </row>
    <row r="46031">
      <c r="H46031" s="50"/>
      <c r="I46031" s="50"/>
      <c r="O46031" s="36" t="s">
        <v>48</v>
      </c>
      <c r="R46031" s="36" t="s">
        <v>48</v>
      </c>
    </row>
    <row r="46032">
      <c r="H46032" s="50"/>
      <c r="I46032" s="50"/>
      <c r="O46032" s="36" t="s">
        <v>48</v>
      </c>
      <c r="R46032" s="36" t="s">
        <v>48</v>
      </c>
    </row>
    <row r="46033">
      <c r="H46033" s="50"/>
      <c r="I46033" s="50"/>
      <c r="O46033" s="36" t="s">
        <v>48</v>
      </c>
      <c r="R46033" s="36" t="s">
        <v>48</v>
      </c>
    </row>
    <row r="46034">
      <c r="H46034" s="50"/>
      <c r="I46034" s="50"/>
      <c r="O46034" s="36" t="s">
        <v>48</v>
      </c>
      <c r="R46034" s="36" t="s">
        <v>48</v>
      </c>
    </row>
    <row r="46035">
      <c r="H46035" s="50"/>
      <c r="I46035" s="50"/>
      <c r="O46035" s="36" t="s">
        <v>48</v>
      </c>
      <c r="R46035" s="36" t="s">
        <v>48</v>
      </c>
    </row>
    <row r="46036">
      <c r="H46036" s="50"/>
      <c r="I46036" s="50"/>
      <c r="O46036" s="36" t="s">
        <v>48</v>
      </c>
      <c r="R46036" s="36" t="s">
        <v>48</v>
      </c>
    </row>
    <row r="46037">
      <c r="H46037" s="50"/>
      <c r="I46037" s="50"/>
      <c r="O46037" s="36" t="s">
        <v>48</v>
      </c>
      <c r="R46037" s="36" t="s">
        <v>48</v>
      </c>
    </row>
    <row r="46038">
      <c r="H46038" s="50"/>
      <c r="I46038" s="50"/>
      <c r="O46038" s="36" t="s">
        <v>48</v>
      </c>
      <c r="R46038" s="36" t="s">
        <v>48</v>
      </c>
    </row>
    <row r="46039">
      <c r="H46039" s="50"/>
      <c r="I46039" s="50"/>
      <c r="O46039" s="36" t="s">
        <v>48</v>
      </c>
      <c r="R46039" s="36" t="s">
        <v>48</v>
      </c>
    </row>
    <row r="46040">
      <c r="H46040" s="50"/>
      <c r="I46040" s="50"/>
      <c r="O46040" s="36" t="s">
        <v>48</v>
      </c>
      <c r="R46040" s="36" t="s">
        <v>48</v>
      </c>
    </row>
    <row r="46041">
      <c r="H46041" s="50"/>
      <c r="I46041" s="50"/>
      <c r="O46041" s="36" t="s">
        <v>48</v>
      </c>
      <c r="R46041" s="36" t="s">
        <v>48</v>
      </c>
    </row>
    <row r="46042">
      <c r="H46042" s="50"/>
      <c r="I46042" s="50"/>
      <c r="O46042" s="36" t="s">
        <v>48</v>
      </c>
      <c r="R46042" s="36" t="s">
        <v>48</v>
      </c>
    </row>
    <row r="46043">
      <c r="H46043" s="50"/>
      <c r="I46043" s="50"/>
      <c r="O46043" s="36" t="s">
        <v>48</v>
      </c>
      <c r="R46043" s="36" t="s">
        <v>48</v>
      </c>
    </row>
    <row r="46044">
      <c r="H46044" s="50"/>
      <c r="I46044" s="50"/>
      <c r="O46044" s="36" t="s">
        <v>48</v>
      </c>
      <c r="R46044" s="36" t="s">
        <v>48</v>
      </c>
    </row>
    <row r="46045">
      <c r="H46045" s="50"/>
      <c r="I46045" s="50"/>
      <c r="O46045" s="36" t="s">
        <v>48</v>
      </c>
      <c r="R46045" s="36" t="s">
        <v>48</v>
      </c>
    </row>
    <row r="46046">
      <c r="H46046" s="50"/>
      <c r="I46046" s="50"/>
      <c r="O46046" s="36" t="s">
        <v>48</v>
      </c>
      <c r="R46046" s="36" t="s">
        <v>48</v>
      </c>
    </row>
    <row r="46047">
      <c r="H46047" s="50"/>
      <c r="I46047" s="50"/>
      <c r="O46047" s="36" t="s">
        <v>48</v>
      </c>
      <c r="R46047" s="36" t="s">
        <v>48</v>
      </c>
    </row>
    <row r="46048">
      <c r="H46048" s="50"/>
      <c r="I46048" s="50"/>
      <c r="O46048" s="36" t="s">
        <v>48</v>
      </c>
      <c r="R46048" s="36" t="s">
        <v>48</v>
      </c>
    </row>
    <row r="46049">
      <c r="H46049" s="50"/>
      <c r="I46049" s="50"/>
      <c r="O46049" s="36" t="s">
        <v>48</v>
      </c>
      <c r="R46049" s="36" t="s">
        <v>48</v>
      </c>
    </row>
    <row r="46050">
      <c r="H46050" s="50"/>
      <c r="I46050" s="50"/>
      <c r="O46050" s="36" t="s">
        <v>48</v>
      </c>
      <c r="R46050" s="36" t="s">
        <v>48</v>
      </c>
    </row>
    <row r="46051">
      <c r="H46051" s="50"/>
      <c r="I46051" s="50"/>
      <c r="O46051" s="36" t="s">
        <v>48</v>
      </c>
      <c r="R46051" s="36" t="s">
        <v>48</v>
      </c>
    </row>
    <row r="46052">
      <c r="H46052" s="50"/>
      <c r="I46052" s="50"/>
      <c r="O46052" s="36" t="s">
        <v>48</v>
      </c>
      <c r="R46052" s="36" t="s">
        <v>48</v>
      </c>
    </row>
    <row r="46053">
      <c r="H46053" s="50"/>
      <c r="I46053" s="50"/>
      <c r="O46053" s="36" t="s">
        <v>48</v>
      </c>
      <c r="R46053" s="36" t="s">
        <v>48</v>
      </c>
    </row>
    <row r="46054">
      <c r="H46054" s="50"/>
      <c r="I46054" s="50"/>
      <c r="O46054" s="36" t="s">
        <v>48</v>
      </c>
      <c r="R46054" s="36" t="s">
        <v>48</v>
      </c>
    </row>
    <row r="46055">
      <c r="H46055" s="50"/>
      <c r="I46055" s="50"/>
      <c r="O46055" s="36" t="s">
        <v>48</v>
      </c>
      <c r="R46055" s="36" t="s">
        <v>48</v>
      </c>
    </row>
    <row r="46056">
      <c r="H46056" s="50"/>
      <c r="I46056" s="50"/>
      <c r="O46056" s="36" t="s">
        <v>48</v>
      </c>
      <c r="R46056" s="36" t="s">
        <v>48</v>
      </c>
    </row>
    <row r="46057">
      <c r="H46057" s="50"/>
      <c r="I46057" s="50"/>
      <c r="O46057" s="36" t="s">
        <v>48</v>
      </c>
      <c r="R46057" s="36" t="s">
        <v>48</v>
      </c>
    </row>
    <row r="46058">
      <c r="H46058" s="50"/>
      <c r="I46058" s="50"/>
      <c r="O46058" s="36" t="s">
        <v>48</v>
      </c>
      <c r="R46058" s="36" t="s">
        <v>48</v>
      </c>
    </row>
    <row r="46059">
      <c r="H46059" s="50"/>
      <c r="I46059" s="50"/>
      <c r="O46059" s="36" t="s">
        <v>48</v>
      </c>
      <c r="R46059" s="36" t="s">
        <v>48</v>
      </c>
    </row>
    <row r="46060">
      <c r="H46060" s="50"/>
      <c r="I46060" s="50"/>
      <c r="O46060" s="36" t="s">
        <v>48</v>
      </c>
      <c r="R46060" s="36" t="s">
        <v>48</v>
      </c>
    </row>
    <row r="46061">
      <c r="H46061" s="50"/>
      <c r="I46061" s="50"/>
      <c r="O46061" s="36" t="s">
        <v>48</v>
      </c>
      <c r="R46061" s="36" t="s">
        <v>48</v>
      </c>
    </row>
    <row r="46062">
      <c r="H46062" s="50"/>
      <c r="I46062" s="50"/>
      <c r="O46062" s="36" t="s">
        <v>48</v>
      </c>
      <c r="R46062" s="36" t="s">
        <v>48</v>
      </c>
    </row>
    <row r="46063">
      <c r="H46063" s="50"/>
      <c r="I46063" s="50"/>
      <c r="O46063" s="36" t="s">
        <v>48</v>
      </c>
      <c r="R46063" s="36" t="s">
        <v>48</v>
      </c>
    </row>
    <row r="46064">
      <c r="H46064" s="50"/>
      <c r="I46064" s="50"/>
      <c r="O46064" s="36" t="s">
        <v>48</v>
      </c>
      <c r="R46064" s="36" t="s">
        <v>48</v>
      </c>
    </row>
    <row r="46065">
      <c r="H46065" s="50"/>
      <c r="I46065" s="50"/>
      <c r="O46065" s="36" t="s">
        <v>48</v>
      </c>
      <c r="R46065" s="36" t="s">
        <v>48</v>
      </c>
    </row>
    <row r="46066">
      <c r="H46066" s="50"/>
      <c r="I46066" s="50"/>
      <c r="O46066" s="36" t="s">
        <v>48</v>
      </c>
      <c r="R46066" s="36" t="s">
        <v>48</v>
      </c>
    </row>
    <row r="46067">
      <c r="H46067" s="50"/>
      <c r="I46067" s="50"/>
      <c r="O46067" s="36" t="s">
        <v>48</v>
      </c>
      <c r="R46067" s="36" t="s">
        <v>48</v>
      </c>
    </row>
    <row r="46068">
      <c r="H46068" s="50"/>
      <c r="I46068" s="50"/>
      <c r="O46068" s="36" t="s">
        <v>48</v>
      </c>
      <c r="R46068" s="36" t="s">
        <v>48</v>
      </c>
    </row>
    <row r="46069">
      <c r="H46069" s="50"/>
      <c r="I46069" s="50"/>
      <c r="O46069" s="36" t="s">
        <v>48</v>
      </c>
      <c r="R46069" s="36" t="s">
        <v>48</v>
      </c>
    </row>
    <row r="46070">
      <c r="H46070" s="50"/>
      <c r="I46070" s="50"/>
      <c r="O46070" s="36" t="s">
        <v>48</v>
      </c>
      <c r="R46070" s="36" t="s">
        <v>48</v>
      </c>
    </row>
    <row r="46071">
      <c r="H46071" s="50"/>
      <c r="I46071" s="50"/>
      <c r="O46071" s="36" t="s">
        <v>48</v>
      </c>
      <c r="R46071" s="36" t="s">
        <v>48</v>
      </c>
    </row>
    <row r="46072">
      <c r="H46072" s="50"/>
      <c r="I46072" s="50"/>
      <c r="O46072" s="36" t="s">
        <v>48</v>
      </c>
      <c r="R46072" s="36" t="s">
        <v>48</v>
      </c>
    </row>
    <row r="46073">
      <c r="H46073" s="50"/>
      <c r="I46073" s="50"/>
      <c r="O46073" s="36" t="s">
        <v>48</v>
      </c>
      <c r="R46073" s="36" t="s">
        <v>48</v>
      </c>
    </row>
    <row r="46074">
      <c r="H46074" s="50"/>
      <c r="I46074" s="50"/>
      <c r="O46074" s="36" t="s">
        <v>48</v>
      </c>
      <c r="R46074" s="36" t="s">
        <v>48</v>
      </c>
    </row>
    <row r="46075">
      <c r="H46075" s="50"/>
      <c r="I46075" s="50"/>
      <c r="O46075" s="36" t="s">
        <v>48</v>
      </c>
      <c r="R46075" s="36" t="s">
        <v>48</v>
      </c>
    </row>
    <row r="46076">
      <c r="H46076" s="50"/>
      <c r="I46076" s="50"/>
      <c r="O46076" s="36" t="s">
        <v>48</v>
      </c>
      <c r="R46076" s="36" t="s">
        <v>48</v>
      </c>
    </row>
    <row r="46077">
      <c r="H46077" s="50"/>
      <c r="I46077" s="50"/>
      <c r="O46077" s="36" t="s">
        <v>48</v>
      </c>
      <c r="R46077" s="36" t="s">
        <v>48</v>
      </c>
    </row>
    <row r="46078">
      <c r="H46078" s="50"/>
      <c r="I46078" s="50"/>
      <c r="O46078" s="36" t="s">
        <v>48</v>
      </c>
      <c r="R46078" s="36" t="s">
        <v>48</v>
      </c>
    </row>
    <row r="46079">
      <c r="H46079" s="50"/>
      <c r="I46079" s="50"/>
      <c r="O46079" s="36" t="s">
        <v>48</v>
      </c>
      <c r="R46079" s="36" t="s">
        <v>48</v>
      </c>
    </row>
    <row r="46080">
      <c r="H46080" s="50"/>
      <c r="I46080" s="50"/>
      <c r="O46080" s="36" t="s">
        <v>48</v>
      </c>
      <c r="R46080" s="36" t="s">
        <v>48</v>
      </c>
    </row>
    <row r="46081">
      <c r="H46081" s="50"/>
      <c r="I46081" s="50"/>
      <c r="O46081" s="36" t="s">
        <v>48</v>
      </c>
      <c r="R46081" s="36" t="s">
        <v>48</v>
      </c>
    </row>
    <row r="46082">
      <c r="H46082" s="50"/>
      <c r="I46082" s="50"/>
      <c r="O46082" s="36" t="s">
        <v>48</v>
      </c>
      <c r="R46082" s="36" t="s">
        <v>48</v>
      </c>
    </row>
    <row r="46083">
      <c r="H46083" s="50"/>
      <c r="I46083" s="50"/>
      <c r="O46083" s="36" t="s">
        <v>48</v>
      </c>
      <c r="R46083" s="36" t="s">
        <v>48</v>
      </c>
    </row>
    <row r="46084">
      <c r="H46084" s="50"/>
      <c r="I46084" s="50"/>
      <c r="O46084" s="36" t="s">
        <v>48</v>
      </c>
      <c r="R46084" s="36" t="s">
        <v>48</v>
      </c>
    </row>
    <row r="46085">
      <c r="H46085" s="50"/>
      <c r="I46085" s="50"/>
      <c r="O46085" s="36" t="s">
        <v>48</v>
      </c>
      <c r="R46085" s="36" t="s">
        <v>48</v>
      </c>
    </row>
    <row r="46086">
      <c r="H46086" s="50"/>
      <c r="I46086" s="50"/>
      <c r="O46086" s="36" t="s">
        <v>48</v>
      </c>
      <c r="R46086" s="36" t="s">
        <v>48</v>
      </c>
    </row>
    <row r="46087">
      <c r="H46087" s="50"/>
      <c r="I46087" s="50"/>
      <c r="O46087" s="36" t="s">
        <v>48</v>
      </c>
      <c r="R46087" s="36" t="s">
        <v>48</v>
      </c>
    </row>
    <row r="46088">
      <c r="H46088" s="50"/>
      <c r="I46088" s="50"/>
      <c r="O46088" s="36" t="s">
        <v>48</v>
      </c>
      <c r="R46088" s="36" t="s">
        <v>48</v>
      </c>
    </row>
    <row r="46089">
      <c r="H46089" s="50"/>
      <c r="I46089" s="50"/>
      <c r="O46089" s="36" t="s">
        <v>48</v>
      </c>
      <c r="R46089" s="36" t="s">
        <v>48</v>
      </c>
    </row>
    <row r="46090">
      <c r="H46090" s="50"/>
      <c r="I46090" s="50"/>
      <c r="O46090" s="36" t="s">
        <v>48</v>
      </c>
      <c r="R46090" s="36" t="s">
        <v>48</v>
      </c>
    </row>
    <row r="46091">
      <c r="H46091" s="50"/>
      <c r="I46091" s="50"/>
      <c r="O46091" s="36" t="s">
        <v>48</v>
      </c>
      <c r="R46091" s="36" t="s">
        <v>48</v>
      </c>
    </row>
    <row r="46092">
      <c r="H46092" s="50"/>
      <c r="I46092" s="50"/>
      <c r="O46092" s="36" t="s">
        <v>48</v>
      </c>
      <c r="R46092" s="36" t="s">
        <v>48</v>
      </c>
    </row>
    <row r="46093">
      <c r="H46093" s="50"/>
      <c r="I46093" s="50"/>
      <c r="O46093" s="36" t="s">
        <v>48</v>
      </c>
      <c r="R46093" s="36" t="s">
        <v>48</v>
      </c>
    </row>
    <row r="46094">
      <c r="H46094" s="50"/>
      <c r="I46094" s="50"/>
      <c r="O46094" s="36" t="s">
        <v>48</v>
      </c>
      <c r="R46094" s="36" t="s">
        <v>48</v>
      </c>
    </row>
    <row r="46095">
      <c r="H46095" s="50"/>
      <c r="I46095" s="50"/>
      <c r="O46095" s="36" t="s">
        <v>48</v>
      </c>
      <c r="R46095" s="36" t="s">
        <v>48</v>
      </c>
    </row>
    <row r="46096">
      <c r="H46096" s="50"/>
      <c r="I46096" s="50"/>
      <c r="O46096" s="36" t="s">
        <v>48</v>
      </c>
      <c r="R46096" s="36" t="s">
        <v>48</v>
      </c>
    </row>
    <row r="46097">
      <c r="H46097" s="50"/>
      <c r="I46097" s="50"/>
      <c r="O46097" s="36" t="s">
        <v>48</v>
      </c>
      <c r="R46097" s="36" t="s">
        <v>48</v>
      </c>
    </row>
    <row r="46098">
      <c r="H46098" s="50"/>
      <c r="I46098" s="50"/>
      <c r="O46098" s="36" t="s">
        <v>48</v>
      </c>
      <c r="R46098" s="36" t="s">
        <v>48</v>
      </c>
    </row>
    <row r="46099">
      <c r="H46099" s="50"/>
      <c r="I46099" s="50"/>
      <c r="O46099" s="36" t="s">
        <v>48</v>
      </c>
      <c r="R46099" s="36" t="s">
        <v>48</v>
      </c>
    </row>
    <row r="46100">
      <c r="H46100" s="50"/>
      <c r="I46100" s="50"/>
      <c r="O46100" s="36" t="s">
        <v>48</v>
      </c>
      <c r="R46100" s="36" t="s">
        <v>48</v>
      </c>
    </row>
    <row r="46101">
      <c r="H46101" s="50"/>
      <c r="I46101" s="50"/>
      <c r="O46101" s="36" t="s">
        <v>48</v>
      </c>
      <c r="R46101" s="36" t="s">
        <v>48</v>
      </c>
    </row>
    <row r="46102">
      <c r="H46102" s="50"/>
      <c r="I46102" s="50"/>
      <c r="O46102" s="36" t="s">
        <v>48</v>
      </c>
      <c r="R46102" s="36" t="s">
        <v>48</v>
      </c>
    </row>
    <row r="46103">
      <c r="H46103" s="50"/>
      <c r="I46103" s="50"/>
      <c r="O46103" s="36" t="s">
        <v>48</v>
      </c>
      <c r="R46103" s="36" t="s">
        <v>48</v>
      </c>
    </row>
    <row r="46104">
      <c r="H46104" s="50"/>
      <c r="I46104" s="50"/>
      <c r="O46104" s="36" t="s">
        <v>48</v>
      </c>
      <c r="R46104" s="36" t="s">
        <v>48</v>
      </c>
    </row>
    <row r="46105">
      <c r="H46105" s="50"/>
      <c r="I46105" s="50"/>
      <c r="O46105" s="36" t="s">
        <v>48</v>
      </c>
      <c r="R46105" s="36" t="s">
        <v>48</v>
      </c>
    </row>
    <row r="46106">
      <c r="H46106" s="50"/>
      <c r="I46106" s="50"/>
      <c r="O46106" s="36" t="s">
        <v>48</v>
      </c>
      <c r="R46106" s="36" t="s">
        <v>48</v>
      </c>
    </row>
    <row r="46107">
      <c r="H46107" s="50"/>
      <c r="I46107" s="50"/>
      <c r="O46107" s="36" t="s">
        <v>48</v>
      </c>
      <c r="R46107" s="36" t="s">
        <v>48</v>
      </c>
    </row>
    <row r="46108">
      <c r="H46108" s="50"/>
      <c r="I46108" s="50"/>
      <c r="O46108" s="36" t="s">
        <v>48</v>
      </c>
      <c r="R46108" s="36" t="s">
        <v>48</v>
      </c>
    </row>
    <row r="46109">
      <c r="H46109" s="50"/>
      <c r="I46109" s="50"/>
      <c r="O46109" s="36" t="s">
        <v>48</v>
      </c>
      <c r="R46109" s="36" t="s">
        <v>48</v>
      </c>
    </row>
    <row r="46110">
      <c r="H46110" s="50"/>
      <c r="I46110" s="50"/>
      <c r="O46110" s="36" t="s">
        <v>48</v>
      </c>
      <c r="R46110" s="36" t="s">
        <v>48</v>
      </c>
    </row>
    <row r="46111">
      <c r="H46111" s="50"/>
      <c r="I46111" s="50"/>
      <c r="O46111" s="36" t="s">
        <v>48</v>
      </c>
      <c r="R46111" s="36" t="s">
        <v>48</v>
      </c>
    </row>
    <row r="46112">
      <c r="H46112" s="50"/>
      <c r="I46112" s="50"/>
      <c r="O46112" s="36" t="s">
        <v>48</v>
      </c>
      <c r="R46112" s="36" t="s">
        <v>48</v>
      </c>
    </row>
    <row r="46113">
      <c r="H46113" s="50"/>
      <c r="I46113" s="50"/>
      <c r="O46113" s="36" t="s">
        <v>48</v>
      </c>
      <c r="R46113" s="36" t="s">
        <v>48</v>
      </c>
    </row>
    <row r="46114">
      <c r="H46114" s="50"/>
      <c r="I46114" s="50"/>
      <c r="O46114" s="36" t="s">
        <v>48</v>
      </c>
      <c r="R46114" s="36" t="s">
        <v>48</v>
      </c>
    </row>
    <row r="46115">
      <c r="H46115" s="50"/>
      <c r="I46115" s="50"/>
      <c r="O46115" s="36" t="s">
        <v>48</v>
      </c>
      <c r="R46115" s="36" t="s">
        <v>48</v>
      </c>
    </row>
    <row r="46116">
      <c r="H46116" s="50"/>
      <c r="I46116" s="50"/>
      <c r="O46116" s="36" t="s">
        <v>48</v>
      </c>
      <c r="R46116" s="36" t="s">
        <v>48</v>
      </c>
    </row>
    <row r="46117">
      <c r="H46117" s="50"/>
      <c r="I46117" s="50"/>
      <c r="O46117" s="36" t="s">
        <v>48</v>
      </c>
      <c r="R46117" s="36" t="s">
        <v>48</v>
      </c>
    </row>
    <row r="46118">
      <c r="H46118" s="50"/>
      <c r="I46118" s="50"/>
      <c r="O46118" s="36" t="s">
        <v>48</v>
      </c>
      <c r="R46118" s="36" t="s">
        <v>48</v>
      </c>
    </row>
    <row r="46119">
      <c r="H46119" s="50"/>
      <c r="I46119" s="50"/>
      <c r="O46119" s="36" t="s">
        <v>48</v>
      </c>
      <c r="R46119" s="36" t="s">
        <v>48</v>
      </c>
    </row>
    <row r="46120">
      <c r="H46120" s="50"/>
      <c r="I46120" s="50"/>
      <c r="O46120" s="36" t="s">
        <v>48</v>
      </c>
      <c r="R46120" s="36" t="s">
        <v>48</v>
      </c>
    </row>
    <row r="46121">
      <c r="H46121" s="50"/>
      <c r="I46121" s="50"/>
      <c r="O46121" s="36" t="s">
        <v>48</v>
      </c>
      <c r="R46121" s="36" t="s">
        <v>48</v>
      </c>
    </row>
    <row r="46122">
      <c r="H46122" s="50"/>
      <c r="I46122" s="50"/>
      <c r="O46122" s="36" t="s">
        <v>48</v>
      </c>
      <c r="R46122" s="36" t="s">
        <v>48</v>
      </c>
    </row>
    <row r="46123">
      <c r="H46123" s="50"/>
      <c r="I46123" s="50"/>
      <c r="O46123" s="36" t="s">
        <v>48</v>
      </c>
      <c r="R46123" s="36" t="s">
        <v>48</v>
      </c>
    </row>
    <row r="46124">
      <c r="H46124" s="50"/>
      <c r="I46124" s="50"/>
      <c r="O46124" s="36" t="s">
        <v>48</v>
      </c>
      <c r="R46124" s="36" t="s">
        <v>48</v>
      </c>
    </row>
    <row r="46125">
      <c r="H46125" s="50"/>
      <c r="I46125" s="50"/>
      <c r="O46125" s="36" t="s">
        <v>48</v>
      </c>
      <c r="R46125" s="36" t="s">
        <v>48</v>
      </c>
    </row>
    <row r="46126">
      <c r="H46126" s="50"/>
      <c r="I46126" s="50"/>
      <c r="O46126" s="36" t="s">
        <v>48</v>
      </c>
      <c r="R46126" s="36" t="s">
        <v>48</v>
      </c>
    </row>
    <row r="46127">
      <c r="H46127" s="50"/>
      <c r="I46127" s="50"/>
      <c r="O46127" s="36" t="s">
        <v>48</v>
      </c>
      <c r="R46127" s="36" t="s">
        <v>48</v>
      </c>
    </row>
    <row r="46128">
      <c r="H46128" s="50"/>
      <c r="I46128" s="50"/>
      <c r="O46128" s="36" t="s">
        <v>48</v>
      </c>
      <c r="R46128" s="36" t="s">
        <v>48</v>
      </c>
    </row>
    <row r="46129">
      <c r="H46129" s="50"/>
      <c r="I46129" s="50"/>
      <c r="O46129" s="36" t="s">
        <v>48</v>
      </c>
      <c r="R46129" s="36" t="s">
        <v>48</v>
      </c>
    </row>
    <row r="46130">
      <c r="H46130" s="50"/>
      <c r="I46130" s="50"/>
      <c r="O46130" s="36" t="s">
        <v>48</v>
      </c>
      <c r="R46130" s="36" t="s">
        <v>48</v>
      </c>
    </row>
    <row r="46131">
      <c r="H46131" s="50"/>
      <c r="I46131" s="50"/>
      <c r="O46131" s="36" t="s">
        <v>48</v>
      </c>
      <c r="R46131" s="36" t="s">
        <v>48</v>
      </c>
    </row>
    <row r="46132">
      <c r="H46132" s="50"/>
      <c r="I46132" s="50"/>
      <c r="O46132" s="36" t="s">
        <v>48</v>
      </c>
      <c r="R46132" s="36" t="s">
        <v>48</v>
      </c>
    </row>
    <row r="46133">
      <c r="H46133" s="50"/>
      <c r="I46133" s="50"/>
      <c r="O46133" s="36" t="s">
        <v>48</v>
      </c>
      <c r="R46133" s="36" t="s">
        <v>48</v>
      </c>
    </row>
    <row r="46134">
      <c r="H46134" s="50"/>
      <c r="I46134" s="50"/>
      <c r="O46134" s="36" t="s">
        <v>48</v>
      </c>
      <c r="R46134" s="36" t="s">
        <v>48</v>
      </c>
    </row>
    <row r="46135">
      <c r="H46135" s="50"/>
      <c r="I46135" s="50"/>
      <c r="O46135" s="36" t="s">
        <v>48</v>
      </c>
      <c r="R46135" s="36" t="s">
        <v>48</v>
      </c>
    </row>
    <row r="46136">
      <c r="H46136" s="50"/>
      <c r="I46136" s="50"/>
      <c r="O46136" s="36" t="s">
        <v>48</v>
      </c>
      <c r="R46136" s="36" t="s">
        <v>48</v>
      </c>
    </row>
    <row r="46137">
      <c r="H46137" s="50"/>
      <c r="I46137" s="50"/>
      <c r="O46137" s="36" t="s">
        <v>48</v>
      </c>
      <c r="R46137" s="36" t="s">
        <v>48</v>
      </c>
    </row>
    <row r="46138">
      <c r="H46138" s="50"/>
      <c r="I46138" s="50"/>
      <c r="O46138" s="36" t="s">
        <v>48</v>
      </c>
      <c r="R46138" s="36" t="s">
        <v>48</v>
      </c>
    </row>
    <row r="46139">
      <c r="H46139" s="50"/>
      <c r="I46139" s="50"/>
      <c r="O46139" s="36" t="s">
        <v>48</v>
      </c>
      <c r="R46139" s="36" t="s">
        <v>48</v>
      </c>
    </row>
    <row r="46140">
      <c r="H46140" s="50"/>
      <c r="I46140" s="50"/>
      <c r="O46140" s="36" t="s">
        <v>48</v>
      </c>
      <c r="R46140" s="36" t="s">
        <v>48</v>
      </c>
    </row>
    <row r="46141">
      <c r="H46141" s="50"/>
      <c r="I46141" s="50"/>
      <c r="O46141" s="36" t="s">
        <v>48</v>
      </c>
      <c r="R46141" s="36" t="s">
        <v>48</v>
      </c>
    </row>
    <row r="46142">
      <c r="H46142" s="50"/>
      <c r="I46142" s="50"/>
      <c r="O46142" s="36" t="s">
        <v>48</v>
      </c>
      <c r="R46142" s="36" t="s">
        <v>48</v>
      </c>
    </row>
    <row r="46143">
      <c r="H46143" s="50"/>
      <c r="I46143" s="50"/>
      <c r="O46143" s="36" t="s">
        <v>48</v>
      </c>
      <c r="R46143" s="36" t="s">
        <v>48</v>
      </c>
    </row>
    <row r="46144">
      <c r="H46144" s="50"/>
      <c r="I46144" s="50"/>
      <c r="O46144" s="36" t="s">
        <v>48</v>
      </c>
      <c r="R46144" s="36" t="s">
        <v>48</v>
      </c>
    </row>
    <row r="46145">
      <c r="H46145" s="50"/>
      <c r="I46145" s="50"/>
      <c r="O46145" s="36" t="s">
        <v>48</v>
      </c>
      <c r="R46145" s="36" t="s">
        <v>48</v>
      </c>
    </row>
    <row r="46146">
      <c r="H46146" s="50"/>
      <c r="I46146" s="50"/>
      <c r="O46146" s="36" t="s">
        <v>48</v>
      </c>
      <c r="R46146" s="36" t="s">
        <v>48</v>
      </c>
    </row>
    <row r="46147">
      <c r="H46147" s="50"/>
      <c r="I46147" s="50"/>
      <c r="O46147" s="36" t="s">
        <v>48</v>
      </c>
      <c r="R46147" s="36" t="s">
        <v>48</v>
      </c>
    </row>
    <row r="46148">
      <c r="H46148" s="50"/>
      <c r="I46148" s="50"/>
      <c r="O46148" s="36" t="s">
        <v>48</v>
      </c>
      <c r="R46148" s="36" t="s">
        <v>48</v>
      </c>
    </row>
    <row r="46149">
      <c r="H46149" s="50"/>
      <c r="I46149" s="50"/>
      <c r="O46149" s="36" t="s">
        <v>48</v>
      </c>
      <c r="R46149" s="36" t="s">
        <v>48</v>
      </c>
    </row>
    <row r="46150">
      <c r="H46150" s="50"/>
      <c r="I46150" s="50"/>
      <c r="O46150" s="36" t="s">
        <v>48</v>
      </c>
      <c r="R46150" s="36" t="s">
        <v>48</v>
      </c>
    </row>
    <row r="46151">
      <c r="H46151" s="50"/>
      <c r="I46151" s="50"/>
      <c r="O46151" s="36" t="s">
        <v>48</v>
      </c>
      <c r="R46151" s="36" t="s">
        <v>48</v>
      </c>
    </row>
    <row r="46152">
      <c r="H46152" s="50"/>
      <c r="I46152" s="50"/>
      <c r="O46152" s="36" t="s">
        <v>48</v>
      </c>
      <c r="R46152" s="36" t="s">
        <v>48</v>
      </c>
    </row>
    <row r="46153">
      <c r="H46153" s="50"/>
      <c r="I46153" s="50"/>
      <c r="O46153" s="36" t="s">
        <v>48</v>
      </c>
      <c r="R46153" s="36" t="s">
        <v>48</v>
      </c>
    </row>
    <row r="46154">
      <c r="H46154" s="50"/>
      <c r="I46154" s="50"/>
      <c r="O46154" s="36" t="s">
        <v>48</v>
      </c>
      <c r="R46154" s="36" t="s">
        <v>48</v>
      </c>
    </row>
    <row r="46155">
      <c r="H46155" s="50"/>
      <c r="I46155" s="50"/>
      <c r="O46155" s="36" t="s">
        <v>48</v>
      </c>
      <c r="R46155" s="36" t="s">
        <v>48</v>
      </c>
    </row>
    <row r="46156">
      <c r="H46156" s="50"/>
      <c r="I46156" s="50"/>
      <c r="O46156" s="36" t="s">
        <v>48</v>
      </c>
      <c r="R46156" s="36" t="s">
        <v>48</v>
      </c>
    </row>
    <row r="46157">
      <c r="H46157" s="50"/>
      <c r="I46157" s="50"/>
      <c r="O46157" s="36" t="s">
        <v>48</v>
      </c>
      <c r="R46157" s="36" t="s">
        <v>48</v>
      </c>
    </row>
    <row r="46158">
      <c r="H46158" s="50"/>
      <c r="I46158" s="50"/>
      <c r="O46158" s="36" t="s">
        <v>48</v>
      </c>
      <c r="R46158" s="36" t="s">
        <v>48</v>
      </c>
    </row>
    <row r="46159">
      <c r="H46159" s="50"/>
      <c r="I46159" s="50"/>
      <c r="O46159" s="36" t="s">
        <v>48</v>
      </c>
      <c r="R46159" s="36" t="s">
        <v>48</v>
      </c>
    </row>
    <row r="46160">
      <c r="H46160" s="50"/>
      <c r="I46160" s="50"/>
      <c r="O46160" s="36" t="s">
        <v>48</v>
      </c>
      <c r="R46160" s="36" t="s">
        <v>48</v>
      </c>
    </row>
    <row r="46161">
      <c r="H46161" s="50"/>
      <c r="I46161" s="50"/>
      <c r="O46161" s="36" t="s">
        <v>48</v>
      </c>
      <c r="R46161" s="36" t="s">
        <v>48</v>
      </c>
    </row>
    <row r="46162">
      <c r="H46162" s="50"/>
      <c r="I46162" s="50"/>
      <c r="O46162" s="36" t="s">
        <v>48</v>
      </c>
      <c r="R46162" s="36" t="s">
        <v>48</v>
      </c>
    </row>
    <row r="46163">
      <c r="H46163" s="50"/>
      <c r="I46163" s="50"/>
      <c r="O46163" s="36" t="s">
        <v>48</v>
      </c>
      <c r="R46163" s="36" t="s">
        <v>48</v>
      </c>
    </row>
    <row r="46164">
      <c r="H46164" s="50"/>
      <c r="I46164" s="50"/>
      <c r="O46164" s="36" t="s">
        <v>48</v>
      </c>
      <c r="R46164" s="36" t="s">
        <v>48</v>
      </c>
    </row>
    <row r="46165">
      <c r="H46165" s="50"/>
      <c r="I46165" s="50"/>
      <c r="O46165" s="36" t="s">
        <v>48</v>
      </c>
      <c r="R46165" s="36" t="s">
        <v>48</v>
      </c>
    </row>
    <row r="46166">
      <c r="H46166" s="50"/>
      <c r="I46166" s="50"/>
      <c r="O46166" s="36" t="s">
        <v>48</v>
      </c>
      <c r="R46166" s="36" t="s">
        <v>48</v>
      </c>
    </row>
    <row r="46167">
      <c r="H46167" s="50"/>
      <c r="I46167" s="50"/>
      <c r="O46167" s="36" t="s">
        <v>48</v>
      </c>
      <c r="R46167" s="36" t="s">
        <v>48</v>
      </c>
    </row>
    <row r="46168">
      <c r="H46168" s="50"/>
      <c r="I46168" s="50"/>
      <c r="O46168" s="36" t="s">
        <v>48</v>
      </c>
      <c r="R46168" s="36" t="s">
        <v>48</v>
      </c>
    </row>
    <row r="46169">
      <c r="H46169" s="50"/>
      <c r="I46169" s="50"/>
      <c r="O46169" s="36" t="s">
        <v>48</v>
      </c>
      <c r="R46169" s="36" t="s">
        <v>48</v>
      </c>
    </row>
    <row r="46170">
      <c r="H46170" s="50"/>
      <c r="I46170" s="50"/>
      <c r="O46170" s="36" t="s">
        <v>48</v>
      </c>
      <c r="R46170" s="36" t="s">
        <v>48</v>
      </c>
    </row>
    <row r="46171">
      <c r="H46171" s="50"/>
      <c r="I46171" s="50"/>
      <c r="O46171" s="36" t="s">
        <v>48</v>
      </c>
      <c r="R46171" s="36" t="s">
        <v>48</v>
      </c>
    </row>
    <row r="46172">
      <c r="H46172" s="50"/>
      <c r="I46172" s="50"/>
      <c r="O46172" s="36" t="s">
        <v>48</v>
      </c>
      <c r="R46172" s="36" t="s">
        <v>48</v>
      </c>
    </row>
    <row r="46173">
      <c r="H46173" s="50"/>
      <c r="I46173" s="50"/>
      <c r="O46173" s="36" t="s">
        <v>48</v>
      </c>
      <c r="R46173" s="36" t="s">
        <v>48</v>
      </c>
    </row>
    <row r="46174">
      <c r="H46174" s="50"/>
      <c r="I46174" s="50"/>
      <c r="O46174" s="36" t="s">
        <v>48</v>
      </c>
      <c r="R46174" s="36" t="s">
        <v>48</v>
      </c>
    </row>
    <row r="46175">
      <c r="H46175" s="50"/>
      <c r="I46175" s="50"/>
      <c r="O46175" s="36" t="s">
        <v>48</v>
      </c>
      <c r="R46175" s="36" t="s">
        <v>48</v>
      </c>
    </row>
    <row r="46176">
      <c r="H46176" s="50"/>
      <c r="I46176" s="50"/>
      <c r="O46176" s="36" t="s">
        <v>48</v>
      </c>
      <c r="R46176" s="36" t="s">
        <v>48</v>
      </c>
    </row>
    <row r="46177">
      <c r="H46177" s="50"/>
      <c r="I46177" s="50"/>
      <c r="O46177" s="36" t="s">
        <v>48</v>
      </c>
      <c r="R46177" s="36" t="s">
        <v>48</v>
      </c>
    </row>
    <row r="46178">
      <c r="H46178" s="50"/>
      <c r="I46178" s="50"/>
      <c r="O46178" s="36" t="s">
        <v>48</v>
      </c>
      <c r="R46178" s="36" t="s">
        <v>48</v>
      </c>
    </row>
    <row r="46179">
      <c r="H46179" s="50"/>
      <c r="I46179" s="50"/>
      <c r="O46179" s="36" t="s">
        <v>48</v>
      </c>
      <c r="R46179" s="36" t="s">
        <v>48</v>
      </c>
    </row>
    <row r="46180">
      <c r="H46180" s="50"/>
      <c r="I46180" s="50"/>
      <c r="O46180" s="36" t="s">
        <v>48</v>
      </c>
      <c r="R46180" s="36" t="s">
        <v>48</v>
      </c>
    </row>
    <row r="46181">
      <c r="H46181" s="50"/>
      <c r="I46181" s="50"/>
      <c r="O46181" s="36" t="s">
        <v>48</v>
      </c>
      <c r="R46181" s="36" t="s">
        <v>48</v>
      </c>
    </row>
    <row r="46182">
      <c r="H46182" s="50"/>
      <c r="I46182" s="50"/>
      <c r="O46182" s="36" t="s">
        <v>48</v>
      </c>
      <c r="R46182" s="36" t="s">
        <v>48</v>
      </c>
    </row>
    <row r="46183">
      <c r="H46183" s="50"/>
      <c r="I46183" s="50"/>
      <c r="O46183" s="36" t="s">
        <v>48</v>
      </c>
      <c r="R46183" s="36" t="s">
        <v>48</v>
      </c>
    </row>
    <row r="46184">
      <c r="H46184" s="50"/>
      <c r="I46184" s="50"/>
      <c r="O46184" s="36" t="s">
        <v>48</v>
      </c>
      <c r="R46184" s="36" t="s">
        <v>48</v>
      </c>
    </row>
    <row r="46185">
      <c r="H46185" s="50"/>
      <c r="I46185" s="50"/>
      <c r="O46185" s="36" t="s">
        <v>48</v>
      </c>
      <c r="R46185" s="36" t="s">
        <v>48</v>
      </c>
    </row>
    <row r="46186">
      <c r="H46186" s="50"/>
      <c r="I46186" s="50"/>
      <c r="O46186" s="36" t="s">
        <v>48</v>
      </c>
      <c r="R46186" s="36" t="s">
        <v>48</v>
      </c>
    </row>
    <row r="46187">
      <c r="H46187" s="50"/>
      <c r="I46187" s="50"/>
      <c r="O46187" s="36" t="s">
        <v>48</v>
      </c>
      <c r="R46187" s="36" t="s">
        <v>48</v>
      </c>
    </row>
    <row r="46188">
      <c r="H46188" s="50"/>
      <c r="I46188" s="50"/>
      <c r="O46188" s="36" t="s">
        <v>48</v>
      </c>
      <c r="R46188" s="36" t="s">
        <v>48</v>
      </c>
    </row>
    <row r="46189">
      <c r="H46189" s="50"/>
      <c r="I46189" s="50"/>
      <c r="O46189" s="36" t="s">
        <v>48</v>
      </c>
      <c r="R46189" s="36" t="s">
        <v>48</v>
      </c>
    </row>
    <row r="46190">
      <c r="H46190" s="50"/>
      <c r="I46190" s="50"/>
      <c r="O46190" s="36" t="s">
        <v>48</v>
      </c>
      <c r="R46190" s="36" t="s">
        <v>48</v>
      </c>
    </row>
    <row r="46191">
      <c r="H46191" s="50"/>
      <c r="I46191" s="50"/>
      <c r="O46191" s="36" t="s">
        <v>48</v>
      </c>
      <c r="R46191" s="36" t="s">
        <v>48</v>
      </c>
    </row>
    <row r="46192">
      <c r="H46192" s="50"/>
      <c r="I46192" s="50"/>
      <c r="O46192" s="36" t="s">
        <v>48</v>
      </c>
      <c r="R46192" s="36" t="s">
        <v>48</v>
      </c>
    </row>
    <row r="46193">
      <c r="H46193" s="50"/>
      <c r="I46193" s="50"/>
      <c r="O46193" s="36" t="s">
        <v>48</v>
      </c>
      <c r="R46193" s="36" t="s">
        <v>48</v>
      </c>
    </row>
    <row r="46194">
      <c r="H46194" s="50"/>
      <c r="I46194" s="50"/>
      <c r="O46194" s="36" t="s">
        <v>48</v>
      </c>
      <c r="R46194" s="36" t="s">
        <v>48</v>
      </c>
    </row>
    <row r="46195">
      <c r="H46195" s="50"/>
      <c r="I46195" s="50"/>
      <c r="O46195" s="36" t="s">
        <v>48</v>
      </c>
      <c r="R46195" s="36" t="s">
        <v>48</v>
      </c>
    </row>
    <row r="46196">
      <c r="H46196" s="50"/>
      <c r="I46196" s="50"/>
      <c r="O46196" s="36" t="s">
        <v>48</v>
      </c>
      <c r="R46196" s="36" t="s">
        <v>48</v>
      </c>
    </row>
    <row r="46197">
      <c r="H46197" s="50"/>
      <c r="I46197" s="50"/>
      <c r="O46197" s="36" t="s">
        <v>48</v>
      </c>
      <c r="R46197" s="36" t="s">
        <v>48</v>
      </c>
    </row>
    <row r="46198">
      <c r="H46198" s="50"/>
      <c r="I46198" s="50"/>
      <c r="O46198" s="36" t="s">
        <v>48</v>
      </c>
      <c r="R46198" s="36" t="s">
        <v>48</v>
      </c>
    </row>
    <row r="46199">
      <c r="H46199" s="50"/>
      <c r="I46199" s="50"/>
      <c r="O46199" s="36" t="s">
        <v>48</v>
      </c>
      <c r="R46199" s="36" t="s">
        <v>48</v>
      </c>
    </row>
    <row r="46200">
      <c r="H46200" s="50"/>
      <c r="I46200" s="50"/>
      <c r="O46200" s="36" t="s">
        <v>48</v>
      </c>
      <c r="R46200" s="36" t="s">
        <v>48</v>
      </c>
    </row>
    <row r="46201">
      <c r="H46201" s="50"/>
      <c r="I46201" s="50"/>
      <c r="O46201" s="36" t="s">
        <v>48</v>
      </c>
      <c r="R46201" s="36" t="s">
        <v>48</v>
      </c>
    </row>
    <row r="46202">
      <c r="H46202" s="50"/>
      <c r="I46202" s="50"/>
      <c r="O46202" s="36" t="s">
        <v>48</v>
      </c>
      <c r="R46202" s="36" t="s">
        <v>48</v>
      </c>
    </row>
    <row r="46203">
      <c r="H46203" s="50"/>
      <c r="I46203" s="50"/>
      <c r="O46203" s="36" t="s">
        <v>48</v>
      </c>
      <c r="R46203" s="36" t="s">
        <v>48</v>
      </c>
    </row>
    <row r="46204">
      <c r="H46204" s="50"/>
      <c r="I46204" s="50"/>
      <c r="O46204" s="36" t="s">
        <v>48</v>
      </c>
      <c r="R46204" s="36" t="s">
        <v>48</v>
      </c>
    </row>
    <row r="46205">
      <c r="H46205" s="50"/>
      <c r="I46205" s="50"/>
      <c r="O46205" s="36" t="s">
        <v>48</v>
      </c>
      <c r="R46205" s="36" t="s">
        <v>48</v>
      </c>
    </row>
    <row r="46206">
      <c r="H46206" s="50"/>
      <c r="I46206" s="50"/>
      <c r="O46206" s="36" t="s">
        <v>48</v>
      </c>
      <c r="R46206" s="36" t="s">
        <v>48</v>
      </c>
    </row>
    <row r="46207">
      <c r="H46207" s="50"/>
      <c r="I46207" s="50"/>
      <c r="O46207" s="36" t="s">
        <v>48</v>
      </c>
      <c r="R46207" s="36" t="s">
        <v>48</v>
      </c>
    </row>
    <row r="46208">
      <c r="H46208" s="50"/>
      <c r="I46208" s="50"/>
      <c r="O46208" s="36" t="s">
        <v>48</v>
      </c>
      <c r="R46208" s="36" t="s">
        <v>48</v>
      </c>
    </row>
    <row r="46209">
      <c r="H46209" s="50"/>
      <c r="I46209" s="50"/>
      <c r="O46209" s="36" t="s">
        <v>48</v>
      </c>
      <c r="R46209" s="36" t="s">
        <v>48</v>
      </c>
    </row>
    <row r="46210">
      <c r="H46210" s="50"/>
      <c r="I46210" s="50"/>
      <c r="O46210" s="36" t="s">
        <v>48</v>
      </c>
      <c r="R46210" s="36" t="s">
        <v>48</v>
      </c>
    </row>
    <row r="46211">
      <c r="H46211" s="50"/>
      <c r="I46211" s="50"/>
      <c r="O46211" s="36" t="s">
        <v>48</v>
      </c>
      <c r="R46211" s="36" t="s">
        <v>48</v>
      </c>
    </row>
    <row r="46212">
      <c r="H46212" s="50"/>
      <c r="I46212" s="50"/>
      <c r="O46212" s="36" t="s">
        <v>48</v>
      </c>
      <c r="R46212" s="36" t="s">
        <v>48</v>
      </c>
    </row>
    <row r="46213">
      <c r="H46213" s="50"/>
      <c r="I46213" s="50"/>
      <c r="O46213" s="36" t="s">
        <v>48</v>
      </c>
      <c r="R46213" s="36" t="s">
        <v>48</v>
      </c>
    </row>
    <row r="46214">
      <c r="H46214" s="50"/>
      <c r="I46214" s="50"/>
      <c r="O46214" s="36" t="s">
        <v>48</v>
      </c>
      <c r="R46214" s="36" t="s">
        <v>48</v>
      </c>
    </row>
    <row r="46215">
      <c r="H46215" s="50"/>
      <c r="I46215" s="50"/>
      <c r="O46215" s="36" t="s">
        <v>48</v>
      </c>
      <c r="R46215" s="36" t="s">
        <v>48</v>
      </c>
    </row>
    <row r="46216">
      <c r="H46216" s="50"/>
      <c r="I46216" s="50"/>
      <c r="O46216" s="36" t="s">
        <v>48</v>
      </c>
      <c r="R46216" s="36" t="s">
        <v>48</v>
      </c>
    </row>
    <row r="46217">
      <c r="H46217" s="50"/>
      <c r="I46217" s="50"/>
      <c r="O46217" s="36" t="s">
        <v>48</v>
      </c>
      <c r="R46217" s="36" t="s">
        <v>48</v>
      </c>
    </row>
    <row r="46218">
      <c r="H46218" s="50"/>
      <c r="I46218" s="50"/>
      <c r="O46218" s="36" t="s">
        <v>48</v>
      </c>
      <c r="R46218" s="36" t="s">
        <v>48</v>
      </c>
    </row>
    <row r="46219">
      <c r="H46219" s="50"/>
      <c r="I46219" s="50"/>
      <c r="O46219" s="36" t="s">
        <v>48</v>
      </c>
      <c r="R46219" s="36" t="s">
        <v>48</v>
      </c>
    </row>
    <row r="46220">
      <c r="H46220" s="50"/>
      <c r="I46220" s="50"/>
      <c r="O46220" s="36" t="s">
        <v>48</v>
      </c>
      <c r="R46220" s="36" t="s">
        <v>48</v>
      </c>
    </row>
    <row r="46221">
      <c r="H46221" s="50"/>
      <c r="I46221" s="50"/>
      <c r="O46221" s="36" t="s">
        <v>48</v>
      </c>
      <c r="R46221" s="36" t="s">
        <v>48</v>
      </c>
    </row>
    <row r="46222">
      <c r="H46222" s="50"/>
      <c r="I46222" s="50"/>
      <c r="O46222" s="36" t="s">
        <v>48</v>
      </c>
      <c r="R46222" s="36" t="s">
        <v>48</v>
      </c>
    </row>
    <row r="46223">
      <c r="H46223" s="50"/>
      <c r="I46223" s="50"/>
      <c r="O46223" s="36" t="s">
        <v>48</v>
      </c>
      <c r="R46223" s="36" t="s">
        <v>48</v>
      </c>
    </row>
    <row r="46224">
      <c r="H46224" s="50"/>
      <c r="I46224" s="50"/>
      <c r="O46224" s="36" t="s">
        <v>48</v>
      </c>
      <c r="R46224" s="36" t="s">
        <v>48</v>
      </c>
    </row>
    <row r="46225">
      <c r="H46225" s="50"/>
      <c r="I46225" s="50"/>
      <c r="O46225" s="36" t="s">
        <v>48</v>
      </c>
      <c r="R46225" s="36" t="s">
        <v>48</v>
      </c>
    </row>
    <row r="46226">
      <c r="H46226" s="50"/>
      <c r="I46226" s="50"/>
      <c r="O46226" s="36" t="s">
        <v>48</v>
      </c>
      <c r="R46226" s="36" t="s">
        <v>48</v>
      </c>
    </row>
    <row r="46227">
      <c r="H46227" s="50"/>
      <c r="I46227" s="50"/>
      <c r="O46227" s="36" t="s">
        <v>48</v>
      </c>
      <c r="R46227" s="36" t="s">
        <v>48</v>
      </c>
    </row>
    <row r="46228">
      <c r="H46228" s="50"/>
      <c r="I46228" s="50"/>
      <c r="O46228" s="36" t="s">
        <v>48</v>
      </c>
      <c r="R46228" s="36" t="s">
        <v>48</v>
      </c>
    </row>
    <row r="46229">
      <c r="H46229" s="50"/>
      <c r="I46229" s="50"/>
      <c r="O46229" s="36" t="s">
        <v>48</v>
      </c>
      <c r="R46229" s="36" t="s">
        <v>48</v>
      </c>
    </row>
    <row r="46230">
      <c r="H46230" s="50"/>
      <c r="I46230" s="50"/>
      <c r="O46230" s="36" t="s">
        <v>48</v>
      </c>
      <c r="R46230" s="36" t="s">
        <v>48</v>
      </c>
    </row>
    <row r="46231">
      <c r="H46231" s="50"/>
      <c r="I46231" s="50"/>
      <c r="O46231" s="36" t="s">
        <v>48</v>
      </c>
      <c r="R46231" s="36" t="s">
        <v>48</v>
      </c>
    </row>
    <row r="46232">
      <c r="H46232" s="50"/>
      <c r="I46232" s="50"/>
      <c r="O46232" s="36" t="s">
        <v>48</v>
      </c>
      <c r="R46232" s="36" t="s">
        <v>48</v>
      </c>
    </row>
    <row r="46233">
      <c r="H46233" s="50"/>
      <c r="I46233" s="50"/>
      <c r="O46233" s="36" t="s">
        <v>48</v>
      </c>
      <c r="R46233" s="36" t="s">
        <v>48</v>
      </c>
    </row>
    <row r="46234">
      <c r="H46234" s="50"/>
      <c r="I46234" s="50"/>
      <c r="O46234" s="36" t="s">
        <v>48</v>
      </c>
      <c r="R46234" s="36" t="s">
        <v>48</v>
      </c>
    </row>
    <row r="46235">
      <c r="H46235" s="50"/>
      <c r="I46235" s="50"/>
      <c r="O46235" s="36" t="s">
        <v>48</v>
      </c>
      <c r="R46235" s="36" t="s">
        <v>48</v>
      </c>
    </row>
    <row r="46236">
      <c r="H46236" s="50"/>
      <c r="I46236" s="50"/>
      <c r="O46236" s="36" t="s">
        <v>48</v>
      </c>
      <c r="R46236" s="36" t="s">
        <v>48</v>
      </c>
    </row>
    <row r="46237">
      <c r="H46237" s="50"/>
      <c r="I46237" s="50"/>
      <c r="O46237" s="36" t="s">
        <v>48</v>
      </c>
      <c r="R46237" s="36" t="s">
        <v>48</v>
      </c>
    </row>
    <row r="46238">
      <c r="H46238" s="50"/>
      <c r="I46238" s="50"/>
      <c r="O46238" s="36" t="s">
        <v>48</v>
      </c>
      <c r="R46238" s="36" t="s">
        <v>48</v>
      </c>
    </row>
    <row r="46239">
      <c r="H46239" s="50"/>
      <c r="I46239" s="50"/>
      <c r="O46239" s="36" t="s">
        <v>48</v>
      </c>
      <c r="R46239" s="36" t="s">
        <v>48</v>
      </c>
    </row>
    <row r="46240">
      <c r="H46240" s="50"/>
      <c r="I46240" s="50"/>
      <c r="O46240" s="36" t="s">
        <v>48</v>
      </c>
      <c r="R46240" s="36" t="s">
        <v>48</v>
      </c>
    </row>
    <row r="46241">
      <c r="H46241" s="50"/>
      <c r="I46241" s="50"/>
      <c r="O46241" s="36" t="s">
        <v>48</v>
      </c>
      <c r="R46241" s="36" t="s">
        <v>48</v>
      </c>
    </row>
    <row r="46242">
      <c r="H46242" s="50"/>
      <c r="I46242" s="50"/>
      <c r="O46242" s="36" t="s">
        <v>48</v>
      </c>
      <c r="R46242" s="36" t="s">
        <v>48</v>
      </c>
    </row>
    <row r="46243">
      <c r="H46243" s="50"/>
      <c r="I46243" s="50"/>
      <c r="O46243" s="36" t="s">
        <v>48</v>
      </c>
      <c r="R46243" s="36" t="s">
        <v>48</v>
      </c>
    </row>
    <row r="46244">
      <c r="H46244" s="50"/>
      <c r="I46244" s="50"/>
      <c r="O46244" s="36" t="s">
        <v>48</v>
      </c>
      <c r="R46244" s="36" t="s">
        <v>48</v>
      </c>
    </row>
    <row r="46245">
      <c r="H46245" s="50"/>
      <c r="I46245" s="50"/>
      <c r="O46245" s="36" t="s">
        <v>48</v>
      </c>
      <c r="R46245" s="36" t="s">
        <v>48</v>
      </c>
    </row>
    <row r="46246">
      <c r="H46246" s="50"/>
      <c r="I46246" s="50"/>
      <c r="O46246" s="36" t="s">
        <v>48</v>
      </c>
      <c r="R46246" s="36" t="s">
        <v>48</v>
      </c>
    </row>
    <row r="46247">
      <c r="H46247" s="50"/>
      <c r="I46247" s="50"/>
      <c r="O46247" s="36" t="s">
        <v>48</v>
      </c>
      <c r="R46247" s="36" t="s">
        <v>48</v>
      </c>
    </row>
    <row r="46248">
      <c r="H46248" s="50"/>
      <c r="I46248" s="50"/>
      <c r="O46248" s="36" t="s">
        <v>48</v>
      </c>
      <c r="R46248" s="36" t="s">
        <v>48</v>
      </c>
    </row>
    <row r="46249">
      <c r="H46249" s="50"/>
      <c r="I46249" s="50"/>
      <c r="O46249" s="36" t="s">
        <v>48</v>
      </c>
      <c r="R46249" s="36" t="s">
        <v>48</v>
      </c>
    </row>
    <row r="46250">
      <c r="H46250" s="50"/>
      <c r="I46250" s="50"/>
      <c r="O46250" s="36" t="s">
        <v>48</v>
      </c>
      <c r="R46250" s="36" t="s">
        <v>48</v>
      </c>
    </row>
    <row r="46251">
      <c r="H46251" s="50"/>
      <c r="I46251" s="50"/>
      <c r="O46251" s="36" t="s">
        <v>48</v>
      </c>
      <c r="R46251" s="36" t="s">
        <v>48</v>
      </c>
    </row>
    <row r="46252">
      <c r="H46252" s="50"/>
      <c r="I46252" s="50"/>
      <c r="O46252" s="36" t="s">
        <v>48</v>
      </c>
      <c r="R46252" s="36" t="s">
        <v>48</v>
      </c>
    </row>
    <row r="46253">
      <c r="H46253" s="50"/>
      <c r="I46253" s="50"/>
      <c r="O46253" s="36" t="s">
        <v>48</v>
      </c>
      <c r="R46253" s="36" t="s">
        <v>48</v>
      </c>
    </row>
    <row r="46254">
      <c r="H46254" s="50"/>
      <c r="I46254" s="50"/>
      <c r="O46254" s="36" t="s">
        <v>48</v>
      </c>
      <c r="R46254" s="36" t="s">
        <v>48</v>
      </c>
    </row>
    <row r="46255">
      <c r="H46255" s="50"/>
      <c r="I46255" s="50"/>
      <c r="O46255" s="36" t="s">
        <v>48</v>
      </c>
      <c r="R46255" s="36" t="s">
        <v>48</v>
      </c>
    </row>
    <row r="46256">
      <c r="H46256" s="50"/>
      <c r="I46256" s="50"/>
      <c r="O46256" s="36" t="s">
        <v>48</v>
      </c>
      <c r="R46256" s="36" t="s">
        <v>48</v>
      </c>
    </row>
    <row r="46257">
      <c r="H46257" s="50"/>
      <c r="I46257" s="50"/>
      <c r="O46257" s="36" t="s">
        <v>48</v>
      </c>
      <c r="R46257" s="36" t="s">
        <v>48</v>
      </c>
    </row>
    <row r="46258">
      <c r="H46258" s="50"/>
      <c r="I46258" s="50"/>
      <c r="O46258" s="36" t="s">
        <v>48</v>
      </c>
      <c r="R46258" s="36" t="s">
        <v>48</v>
      </c>
    </row>
    <row r="46259">
      <c r="H46259" s="50"/>
      <c r="I46259" s="50"/>
      <c r="O46259" s="36" t="s">
        <v>48</v>
      </c>
      <c r="R46259" s="36" t="s">
        <v>48</v>
      </c>
    </row>
    <row r="46260">
      <c r="H46260" s="50"/>
      <c r="I46260" s="50"/>
      <c r="O46260" s="36" t="s">
        <v>48</v>
      </c>
      <c r="R46260" s="36" t="s">
        <v>48</v>
      </c>
    </row>
    <row r="46261">
      <c r="H46261" s="50"/>
      <c r="I46261" s="50"/>
      <c r="O46261" s="36" t="s">
        <v>48</v>
      </c>
      <c r="R46261" s="36" t="s">
        <v>48</v>
      </c>
    </row>
    <row r="46262">
      <c r="H46262" s="50"/>
      <c r="I46262" s="50"/>
      <c r="O46262" s="36" t="s">
        <v>48</v>
      </c>
      <c r="R46262" s="36" t="s">
        <v>48</v>
      </c>
    </row>
    <row r="46263">
      <c r="H46263" s="50"/>
      <c r="I46263" s="50"/>
      <c r="O46263" s="36" t="s">
        <v>48</v>
      </c>
      <c r="R46263" s="36" t="s">
        <v>48</v>
      </c>
    </row>
    <row r="46264">
      <c r="H46264" s="50"/>
      <c r="I46264" s="50"/>
      <c r="O46264" s="36" t="s">
        <v>48</v>
      </c>
      <c r="R46264" s="36" t="s">
        <v>48</v>
      </c>
    </row>
    <row r="46265">
      <c r="H46265" s="50"/>
      <c r="I46265" s="50"/>
      <c r="O46265" s="36" t="s">
        <v>48</v>
      </c>
      <c r="R46265" s="36" t="s">
        <v>48</v>
      </c>
    </row>
    <row r="46266">
      <c r="H46266" s="50"/>
      <c r="I46266" s="50"/>
      <c r="O46266" s="36" t="s">
        <v>48</v>
      </c>
      <c r="R46266" s="36" t="s">
        <v>48</v>
      </c>
    </row>
    <row r="46267">
      <c r="H46267" s="50"/>
      <c r="I46267" s="50"/>
      <c r="O46267" s="36" t="s">
        <v>48</v>
      </c>
      <c r="R46267" s="36" t="s">
        <v>48</v>
      </c>
    </row>
    <row r="46268">
      <c r="H46268" s="50"/>
      <c r="I46268" s="50"/>
      <c r="O46268" s="36" t="s">
        <v>48</v>
      </c>
      <c r="R46268" s="36" t="s">
        <v>48</v>
      </c>
    </row>
    <row r="46269">
      <c r="H46269" s="50"/>
      <c r="I46269" s="50"/>
      <c r="O46269" s="36" t="s">
        <v>48</v>
      </c>
      <c r="R46269" s="36" t="s">
        <v>48</v>
      </c>
    </row>
    <row r="46270">
      <c r="H46270" s="50"/>
      <c r="I46270" s="50"/>
      <c r="O46270" s="36" t="s">
        <v>48</v>
      </c>
      <c r="R46270" s="36" t="s">
        <v>48</v>
      </c>
    </row>
    <row r="46271">
      <c r="H46271" s="50"/>
      <c r="I46271" s="50"/>
      <c r="O46271" s="36" t="s">
        <v>48</v>
      </c>
      <c r="R46271" s="36" t="s">
        <v>48</v>
      </c>
    </row>
    <row r="46272">
      <c r="H46272" s="50"/>
      <c r="I46272" s="50"/>
      <c r="O46272" s="36" t="s">
        <v>48</v>
      </c>
      <c r="R46272" s="36" t="s">
        <v>48</v>
      </c>
    </row>
    <row r="46273">
      <c r="H46273" s="50"/>
      <c r="I46273" s="50"/>
      <c r="O46273" s="36" t="s">
        <v>48</v>
      </c>
      <c r="R46273" s="36" t="s">
        <v>48</v>
      </c>
    </row>
    <row r="46274">
      <c r="H46274" s="50"/>
      <c r="I46274" s="50"/>
      <c r="O46274" s="36" t="s">
        <v>48</v>
      </c>
      <c r="R46274" s="36" t="s">
        <v>48</v>
      </c>
    </row>
    <row r="46275">
      <c r="H46275" s="50"/>
      <c r="I46275" s="50"/>
      <c r="O46275" s="36" t="s">
        <v>48</v>
      </c>
      <c r="R46275" s="36" t="s">
        <v>48</v>
      </c>
    </row>
    <row r="46276">
      <c r="H46276" s="50"/>
      <c r="I46276" s="50"/>
      <c r="O46276" s="36" t="s">
        <v>48</v>
      </c>
      <c r="R46276" s="36" t="s">
        <v>48</v>
      </c>
    </row>
    <row r="46277">
      <c r="H46277" s="50"/>
      <c r="I46277" s="50"/>
      <c r="O46277" s="36" t="s">
        <v>48</v>
      </c>
      <c r="R46277" s="36" t="s">
        <v>48</v>
      </c>
    </row>
    <row r="46278">
      <c r="H46278" s="50"/>
      <c r="I46278" s="50"/>
      <c r="O46278" s="36" t="s">
        <v>48</v>
      </c>
      <c r="R46278" s="36" t="s">
        <v>48</v>
      </c>
    </row>
    <row r="46279">
      <c r="H46279" s="50"/>
      <c r="I46279" s="50"/>
      <c r="O46279" s="36" t="s">
        <v>48</v>
      </c>
      <c r="R46279" s="36" t="s">
        <v>48</v>
      </c>
    </row>
    <row r="46280">
      <c r="H46280" s="50"/>
      <c r="I46280" s="50"/>
      <c r="O46280" s="36" t="s">
        <v>48</v>
      </c>
      <c r="R46280" s="36" t="s">
        <v>48</v>
      </c>
    </row>
    <row r="46281">
      <c r="H46281" s="50"/>
      <c r="I46281" s="50"/>
      <c r="O46281" s="36" t="s">
        <v>48</v>
      </c>
      <c r="R46281" s="36" t="s">
        <v>48</v>
      </c>
    </row>
    <row r="46282">
      <c r="H46282" s="50"/>
      <c r="I46282" s="50"/>
      <c r="O46282" s="36" t="s">
        <v>48</v>
      </c>
      <c r="R46282" s="36" t="s">
        <v>48</v>
      </c>
    </row>
    <row r="46283">
      <c r="H46283" s="50"/>
      <c r="I46283" s="50"/>
      <c r="O46283" s="36" t="s">
        <v>48</v>
      </c>
      <c r="R46283" s="36" t="s">
        <v>48</v>
      </c>
    </row>
    <row r="46284">
      <c r="H46284" s="50"/>
      <c r="I46284" s="50"/>
      <c r="O46284" s="36" t="s">
        <v>48</v>
      </c>
      <c r="R46284" s="36" t="s">
        <v>48</v>
      </c>
    </row>
    <row r="46285">
      <c r="H46285" s="50"/>
      <c r="I46285" s="50"/>
      <c r="O46285" s="36" t="s">
        <v>48</v>
      </c>
      <c r="R46285" s="36" t="s">
        <v>48</v>
      </c>
    </row>
    <row r="46286">
      <c r="H46286" s="50"/>
      <c r="I46286" s="50"/>
      <c r="O46286" s="36" t="s">
        <v>48</v>
      </c>
      <c r="R46286" s="36" t="s">
        <v>48</v>
      </c>
    </row>
    <row r="46287">
      <c r="H46287" s="50"/>
      <c r="I46287" s="50"/>
      <c r="O46287" s="36" t="s">
        <v>48</v>
      </c>
      <c r="R46287" s="36" t="s">
        <v>48</v>
      </c>
    </row>
    <row r="46288">
      <c r="H46288" s="50"/>
      <c r="I46288" s="50"/>
      <c r="O46288" s="36" t="s">
        <v>48</v>
      </c>
      <c r="R46288" s="36" t="s">
        <v>48</v>
      </c>
    </row>
    <row r="46289">
      <c r="H46289" s="50"/>
      <c r="I46289" s="50"/>
      <c r="O46289" s="36" t="s">
        <v>48</v>
      </c>
      <c r="R46289" s="36" t="s">
        <v>48</v>
      </c>
    </row>
    <row r="46290">
      <c r="H46290" s="50"/>
      <c r="I46290" s="50"/>
      <c r="O46290" s="36" t="s">
        <v>48</v>
      </c>
      <c r="R46290" s="36" t="s">
        <v>48</v>
      </c>
    </row>
    <row r="46291">
      <c r="H46291" s="50"/>
      <c r="I46291" s="50"/>
      <c r="O46291" s="36" t="s">
        <v>48</v>
      </c>
      <c r="R46291" s="36" t="s">
        <v>48</v>
      </c>
    </row>
    <row r="46292">
      <c r="H46292" s="50"/>
      <c r="I46292" s="50"/>
      <c r="O46292" s="36" t="s">
        <v>48</v>
      </c>
      <c r="R46292" s="36" t="s">
        <v>48</v>
      </c>
    </row>
    <row r="46293">
      <c r="H46293" s="50"/>
      <c r="I46293" s="50"/>
      <c r="O46293" s="36" t="s">
        <v>48</v>
      </c>
      <c r="R46293" s="36" t="s">
        <v>48</v>
      </c>
    </row>
    <row r="46294">
      <c r="H46294" s="50"/>
      <c r="I46294" s="50"/>
      <c r="O46294" s="36" t="s">
        <v>48</v>
      </c>
      <c r="R46294" s="36" t="s">
        <v>48</v>
      </c>
    </row>
    <row r="46295">
      <c r="H46295" s="50"/>
      <c r="I46295" s="50"/>
      <c r="O46295" s="36" t="s">
        <v>48</v>
      </c>
      <c r="R46295" s="36" t="s">
        <v>48</v>
      </c>
    </row>
    <row r="46296">
      <c r="H46296" s="50"/>
      <c r="I46296" s="50"/>
      <c r="O46296" s="36" t="s">
        <v>48</v>
      </c>
      <c r="R46296" s="36" t="s">
        <v>48</v>
      </c>
    </row>
    <row r="46297">
      <c r="H46297" s="50"/>
      <c r="I46297" s="50"/>
      <c r="O46297" s="36" t="s">
        <v>48</v>
      </c>
      <c r="R46297" s="36" t="s">
        <v>48</v>
      </c>
    </row>
    <row r="46298">
      <c r="H46298" s="50"/>
      <c r="I46298" s="50"/>
      <c r="O46298" s="36" t="s">
        <v>48</v>
      </c>
      <c r="R46298" s="36" t="s">
        <v>48</v>
      </c>
    </row>
    <row r="46299">
      <c r="H46299" s="50"/>
      <c r="I46299" s="50"/>
      <c r="O46299" s="36" t="s">
        <v>48</v>
      </c>
      <c r="R46299" s="36" t="s">
        <v>48</v>
      </c>
    </row>
    <row r="46300">
      <c r="H46300" s="50"/>
      <c r="I46300" s="50"/>
      <c r="O46300" s="36" t="s">
        <v>48</v>
      </c>
      <c r="R46300" s="36" t="s">
        <v>48</v>
      </c>
    </row>
    <row r="46301">
      <c r="H46301" s="50"/>
      <c r="I46301" s="50"/>
      <c r="O46301" s="36" t="s">
        <v>48</v>
      </c>
      <c r="R46301" s="36" t="s">
        <v>48</v>
      </c>
    </row>
    <row r="46302">
      <c r="H46302" s="50"/>
      <c r="I46302" s="50"/>
      <c r="O46302" s="36" t="s">
        <v>48</v>
      </c>
      <c r="R46302" s="36" t="s">
        <v>48</v>
      </c>
    </row>
    <row r="46303">
      <c r="H46303" s="50"/>
      <c r="I46303" s="50"/>
      <c r="O46303" s="36" t="s">
        <v>48</v>
      </c>
      <c r="R46303" s="36" t="s">
        <v>48</v>
      </c>
    </row>
    <row r="46304">
      <c r="H46304" s="50"/>
      <c r="I46304" s="50"/>
      <c r="O46304" s="36" t="s">
        <v>48</v>
      </c>
      <c r="R46304" s="36" t="s">
        <v>48</v>
      </c>
    </row>
    <row r="46305">
      <c r="H46305" s="50"/>
      <c r="I46305" s="50"/>
      <c r="O46305" s="36" t="s">
        <v>48</v>
      </c>
      <c r="R46305" s="36" t="s">
        <v>48</v>
      </c>
    </row>
    <row r="46306">
      <c r="H46306" s="50"/>
      <c r="I46306" s="50"/>
      <c r="O46306" s="36" t="s">
        <v>48</v>
      </c>
      <c r="R46306" s="36" t="s">
        <v>48</v>
      </c>
    </row>
    <row r="46307">
      <c r="H46307" s="50"/>
      <c r="I46307" s="50"/>
      <c r="O46307" s="36" t="s">
        <v>48</v>
      </c>
      <c r="R46307" s="36" t="s">
        <v>48</v>
      </c>
    </row>
    <row r="46308">
      <c r="H46308" s="50"/>
      <c r="I46308" s="50"/>
      <c r="O46308" s="36" t="s">
        <v>48</v>
      </c>
      <c r="R46308" s="36" t="s">
        <v>48</v>
      </c>
    </row>
    <row r="46309">
      <c r="H46309" s="50"/>
      <c r="I46309" s="50"/>
      <c r="O46309" s="36" t="s">
        <v>48</v>
      </c>
      <c r="R46309" s="36" t="s">
        <v>48</v>
      </c>
    </row>
    <row r="46310">
      <c r="H46310" s="50"/>
      <c r="I46310" s="50"/>
      <c r="O46310" s="36" t="s">
        <v>48</v>
      </c>
      <c r="R46310" s="36" t="s">
        <v>48</v>
      </c>
    </row>
    <row r="46311">
      <c r="H46311" s="50"/>
      <c r="I46311" s="50"/>
      <c r="O46311" s="36" t="s">
        <v>48</v>
      </c>
      <c r="R46311" s="36" t="s">
        <v>48</v>
      </c>
    </row>
    <row r="46312">
      <c r="H46312" s="50"/>
      <c r="I46312" s="50"/>
      <c r="O46312" s="36" t="s">
        <v>48</v>
      </c>
      <c r="R46312" s="36" t="s">
        <v>48</v>
      </c>
    </row>
    <row r="46313">
      <c r="H46313" s="50"/>
      <c r="I46313" s="50"/>
      <c r="O46313" s="36" t="s">
        <v>48</v>
      </c>
      <c r="R46313" s="36" t="s">
        <v>48</v>
      </c>
    </row>
    <row r="46314">
      <c r="H46314" s="50"/>
      <c r="I46314" s="50"/>
      <c r="O46314" s="36" t="s">
        <v>48</v>
      </c>
      <c r="R46314" s="36" t="s">
        <v>48</v>
      </c>
    </row>
    <row r="46315">
      <c r="H46315" s="50"/>
      <c r="I46315" s="50"/>
      <c r="O46315" s="36" t="s">
        <v>48</v>
      </c>
      <c r="R46315" s="36" t="s">
        <v>48</v>
      </c>
    </row>
    <row r="46316">
      <c r="H46316" s="50"/>
      <c r="I46316" s="50"/>
      <c r="O46316" s="36" t="s">
        <v>48</v>
      </c>
      <c r="R46316" s="36" t="s">
        <v>48</v>
      </c>
    </row>
    <row r="46317">
      <c r="H46317" s="50"/>
      <c r="I46317" s="50"/>
      <c r="O46317" s="36" t="s">
        <v>48</v>
      </c>
      <c r="R46317" s="36" t="s">
        <v>48</v>
      </c>
    </row>
    <row r="46318">
      <c r="H46318" s="50"/>
      <c r="I46318" s="50"/>
      <c r="O46318" s="36" t="s">
        <v>48</v>
      </c>
      <c r="R46318" s="36" t="s">
        <v>48</v>
      </c>
    </row>
    <row r="46319">
      <c r="H46319" s="50"/>
      <c r="I46319" s="50"/>
      <c r="O46319" s="36" t="s">
        <v>48</v>
      </c>
      <c r="R46319" s="36" t="s">
        <v>48</v>
      </c>
    </row>
    <row r="46320">
      <c r="H46320" s="50"/>
      <c r="I46320" s="50"/>
      <c r="O46320" s="36" t="s">
        <v>48</v>
      </c>
      <c r="R46320" s="36" t="s">
        <v>48</v>
      </c>
    </row>
    <row r="46321">
      <c r="H46321" s="50"/>
      <c r="I46321" s="50"/>
      <c r="O46321" s="36" t="s">
        <v>48</v>
      </c>
      <c r="R46321" s="36" t="s">
        <v>48</v>
      </c>
    </row>
    <row r="46322">
      <c r="H46322" s="50"/>
      <c r="I46322" s="50"/>
      <c r="O46322" s="36" t="s">
        <v>48</v>
      </c>
      <c r="R46322" s="36" t="s">
        <v>48</v>
      </c>
    </row>
    <row r="46323">
      <c r="H46323" s="50"/>
      <c r="I46323" s="50"/>
      <c r="O46323" s="36" t="s">
        <v>48</v>
      </c>
      <c r="R46323" s="36" t="s">
        <v>48</v>
      </c>
    </row>
    <row r="46324">
      <c r="H46324" s="50"/>
      <c r="I46324" s="50"/>
      <c r="O46324" s="36" t="s">
        <v>48</v>
      </c>
      <c r="R46324" s="36" t="s">
        <v>48</v>
      </c>
    </row>
    <row r="46325">
      <c r="H46325" s="50"/>
      <c r="I46325" s="50"/>
      <c r="O46325" s="36" t="s">
        <v>48</v>
      </c>
      <c r="R46325" s="36" t="s">
        <v>48</v>
      </c>
    </row>
    <row r="46326">
      <c r="H46326" s="50"/>
      <c r="I46326" s="50"/>
      <c r="O46326" s="36" t="s">
        <v>48</v>
      </c>
      <c r="R46326" s="36" t="s">
        <v>48</v>
      </c>
    </row>
    <row r="46327">
      <c r="H46327" s="50"/>
      <c r="I46327" s="50"/>
      <c r="O46327" s="36" t="s">
        <v>48</v>
      </c>
      <c r="R46327" s="36" t="s">
        <v>48</v>
      </c>
    </row>
    <row r="46328">
      <c r="H46328" s="50"/>
      <c r="I46328" s="50"/>
      <c r="O46328" s="36" t="s">
        <v>48</v>
      </c>
      <c r="R46328" s="36" t="s">
        <v>48</v>
      </c>
    </row>
    <row r="46329">
      <c r="H46329" s="50"/>
      <c r="I46329" s="50"/>
      <c r="O46329" s="36" t="s">
        <v>48</v>
      </c>
      <c r="R46329" s="36" t="s">
        <v>48</v>
      </c>
    </row>
    <row r="46330">
      <c r="H46330" s="50"/>
      <c r="I46330" s="50"/>
      <c r="O46330" s="36" t="s">
        <v>48</v>
      </c>
      <c r="R46330" s="36" t="s">
        <v>48</v>
      </c>
    </row>
    <row r="46331">
      <c r="H46331" s="50"/>
      <c r="I46331" s="50"/>
      <c r="O46331" s="36" t="s">
        <v>48</v>
      </c>
      <c r="R46331" s="36" t="s">
        <v>48</v>
      </c>
    </row>
    <row r="46332">
      <c r="H46332" s="50"/>
      <c r="I46332" s="50"/>
      <c r="O46332" s="36" t="s">
        <v>48</v>
      </c>
      <c r="R46332" s="36" t="s">
        <v>48</v>
      </c>
    </row>
    <row r="46333">
      <c r="H46333" s="50"/>
      <c r="I46333" s="50"/>
      <c r="O46333" s="36" t="s">
        <v>48</v>
      </c>
      <c r="R46333" s="36" t="s">
        <v>48</v>
      </c>
    </row>
    <row r="46334">
      <c r="H46334" s="50"/>
      <c r="I46334" s="50"/>
      <c r="O46334" s="36" t="s">
        <v>48</v>
      </c>
      <c r="R46334" s="36" t="s">
        <v>48</v>
      </c>
    </row>
    <row r="46335">
      <c r="H46335" s="50"/>
      <c r="I46335" s="50"/>
      <c r="O46335" s="36" t="s">
        <v>48</v>
      </c>
      <c r="R46335" s="36" t="s">
        <v>48</v>
      </c>
    </row>
    <row r="46336">
      <c r="H46336" s="50"/>
      <c r="I46336" s="50"/>
      <c r="O46336" s="36" t="s">
        <v>48</v>
      </c>
      <c r="R46336" s="36" t="s">
        <v>48</v>
      </c>
    </row>
    <row r="46337">
      <c r="H46337" s="50"/>
      <c r="I46337" s="50"/>
      <c r="O46337" s="36" t="s">
        <v>48</v>
      </c>
      <c r="R46337" s="36" t="s">
        <v>48</v>
      </c>
    </row>
    <row r="46338">
      <c r="H46338" s="50"/>
      <c r="I46338" s="50"/>
      <c r="O46338" s="36" t="s">
        <v>48</v>
      </c>
      <c r="R46338" s="36" t="s">
        <v>48</v>
      </c>
    </row>
    <row r="46339">
      <c r="H46339" s="50"/>
      <c r="I46339" s="50"/>
      <c r="O46339" s="36" t="s">
        <v>48</v>
      </c>
      <c r="R46339" s="36" t="s">
        <v>48</v>
      </c>
    </row>
    <row r="46340">
      <c r="H46340" s="50"/>
      <c r="I46340" s="50"/>
      <c r="O46340" s="36" t="s">
        <v>48</v>
      </c>
      <c r="R46340" s="36" t="s">
        <v>48</v>
      </c>
    </row>
    <row r="46341">
      <c r="H46341" s="50"/>
      <c r="I46341" s="50"/>
      <c r="O46341" s="36" t="s">
        <v>48</v>
      </c>
      <c r="R46341" s="36" t="s">
        <v>48</v>
      </c>
    </row>
    <row r="46342">
      <c r="H46342" s="50"/>
      <c r="I46342" s="50"/>
      <c r="O46342" s="36" t="s">
        <v>48</v>
      </c>
      <c r="R46342" s="36" t="s">
        <v>48</v>
      </c>
    </row>
    <row r="46343">
      <c r="H46343" s="50"/>
      <c r="I46343" s="50"/>
      <c r="O46343" s="36" t="s">
        <v>48</v>
      </c>
      <c r="R46343" s="36" t="s">
        <v>48</v>
      </c>
    </row>
    <row r="46344">
      <c r="H46344" s="50"/>
      <c r="I46344" s="50"/>
      <c r="O46344" s="36" t="s">
        <v>48</v>
      </c>
      <c r="R46344" s="36" t="s">
        <v>48</v>
      </c>
    </row>
    <row r="46345">
      <c r="H46345" s="50"/>
      <c r="I46345" s="50"/>
      <c r="O46345" s="36" t="s">
        <v>48</v>
      </c>
      <c r="R46345" s="36" t="s">
        <v>48</v>
      </c>
    </row>
    <row r="46346">
      <c r="H46346" s="50"/>
      <c r="I46346" s="50"/>
      <c r="O46346" s="36" t="s">
        <v>48</v>
      </c>
      <c r="R46346" s="36" t="s">
        <v>48</v>
      </c>
    </row>
    <row r="46347">
      <c r="H46347" s="50"/>
      <c r="I46347" s="50"/>
      <c r="O46347" s="36" t="s">
        <v>48</v>
      </c>
      <c r="R46347" s="36" t="s">
        <v>48</v>
      </c>
    </row>
    <row r="46348">
      <c r="H46348" s="50"/>
      <c r="I46348" s="50"/>
      <c r="O46348" s="36" t="s">
        <v>48</v>
      </c>
      <c r="R46348" s="36" t="s">
        <v>48</v>
      </c>
    </row>
    <row r="46349">
      <c r="H46349" s="50"/>
      <c r="I46349" s="50"/>
      <c r="O46349" s="36" t="s">
        <v>48</v>
      </c>
      <c r="R46349" s="36" t="s">
        <v>48</v>
      </c>
    </row>
    <row r="46350">
      <c r="H46350" s="50"/>
      <c r="I46350" s="50"/>
      <c r="O46350" s="36" t="s">
        <v>48</v>
      </c>
      <c r="R46350" s="36" t="s">
        <v>48</v>
      </c>
    </row>
    <row r="46351">
      <c r="H46351" s="50"/>
      <c r="I46351" s="50"/>
      <c r="O46351" s="36" t="s">
        <v>48</v>
      </c>
      <c r="R46351" s="36" t="s">
        <v>48</v>
      </c>
    </row>
    <row r="46352">
      <c r="H46352" s="50"/>
      <c r="I46352" s="50"/>
      <c r="O46352" s="36" t="s">
        <v>48</v>
      </c>
      <c r="R46352" s="36" t="s">
        <v>48</v>
      </c>
    </row>
    <row r="46353">
      <c r="H46353" s="50"/>
      <c r="I46353" s="50"/>
      <c r="O46353" s="36" t="s">
        <v>48</v>
      </c>
      <c r="R46353" s="36" t="s">
        <v>48</v>
      </c>
    </row>
    <row r="46354">
      <c r="H46354" s="50"/>
      <c r="I46354" s="50"/>
      <c r="O46354" s="36" t="s">
        <v>48</v>
      </c>
      <c r="R46354" s="36" t="s">
        <v>48</v>
      </c>
    </row>
    <row r="46355">
      <c r="H46355" s="50"/>
      <c r="I46355" s="50"/>
      <c r="O46355" s="36" t="s">
        <v>48</v>
      </c>
      <c r="R46355" s="36" t="s">
        <v>48</v>
      </c>
    </row>
    <row r="46356">
      <c r="H46356" s="50"/>
      <c r="I46356" s="50"/>
      <c r="O46356" s="36" t="s">
        <v>48</v>
      </c>
      <c r="R46356" s="36" t="s">
        <v>48</v>
      </c>
    </row>
    <row r="46357">
      <c r="H46357" s="50"/>
      <c r="I46357" s="50"/>
      <c r="O46357" s="36" t="s">
        <v>48</v>
      </c>
      <c r="R46357" s="36" t="s">
        <v>48</v>
      </c>
    </row>
    <row r="46358">
      <c r="H46358" s="50"/>
      <c r="I46358" s="50"/>
      <c r="O46358" s="36" t="s">
        <v>48</v>
      </c>
      <c r="R46358" s="36" t="s">
        <v>48</v>
      </c>
    </row>
    <row r="46359">
      <c r="H46359" s="50"/>
      <c r="I46359" s="50"/>
      <c r="O46359" s="36" t="s">
        <v>48</v>
      </c>
      <c r="R46359" s="36" t="s">
        <v>48</v>
      </c>
    </row>
    <row r="46360">
      <c r="H46360" s="50"/>
      <c r="I46360" s="50"/>
      <c r="O46360" s="36" t="s">
        <v>48</v>
      </c>
      <c r="R46360" s="36" t="s">
        <v>48</v>
      </c>
    </row>
    <row r="46361">
      <c r="H46361" s="50"/>
      <c r="I46361" s="50"/>
      <c r="O46361" s="36" t="s">
        <v>48</v>
      </c>
      <c r="R46361" s="36" t="s">
        <v>48</v>
      </c>
    </row>
    <row r="46362">
      <c r="H46362" s="50"/>
      <c r="I46362" s="50"/>
      <c r="O46362" s="36" t="s">
        <v>48</v>
      </c>
      <c r="R46362" s="36" t="s">
        <v>48</v>
      </c>
    </row>
    <row r="46363">
      <c r="H46363" s="50"/>
      <c r="I46363" s="50"/>
      <c r="O46363" s="36" t="s">
        <v>48</v>
      </c>
      <c r="R46363" s="36" t="s">
        <v>48</v>
      </c>
    </row>
    <row r="46364">
      <c r="H46364" s="50"/>
      <c r="I46364" s="50"/>
      <c r="O46364" s="36" t="s">
        <v>48</v>
      </c>
      <c r="R46364" s="36" t="s">
        <v>48</v>
      </c>
    </row>
    <row r="46365">
      <c r="H46365" s="50"/>
      <c r="I46365" s="50"/>
      <c r="O46365" s="36" t="s">
        <v>48</v>
      </c>
      <c r="R46365" s="36" t="s">
        <v>48</v>
      </c>
    </row>
    <row r="46366">
      <c r="H46366" s="50"/>
      <c r="I46366" s="50"/>
      <c r="O46366" s="36" t="s">
        <v>48</v>
      </c>
      <c r="R46366" s="36" t="s">
        <v>48</v>
      </c>
    </row>
    <row r="46367">
      <c r="H46367" s="50"/>
      <c r="I46367" s="50"/>
      <c r="O46367" s="36" t="s">
        <v>48</v>
      </c>
      <c r="R46367" s="36" t="s">
        <v>48</v>
      </c>
    </row>
    <row r="46368">
      <c r="H46368" s="50"/>
      <c r="I46368" s="50"/>
      <c r="O46368" s="36" t="s">
        <v>48</v>
      </c>
      <c r="R46368" s="36" t="s">
        <v>48</v>
      </c>
    </row>
    <row r="46369">
      <c r="H46369" s="50"/>
      <c r="I46369" s="50"/>
      <c r="O46369" s="36" t="s">
        <v>48</v>
      </c>
      <c r="R46369" s="36" t="s">
        <v>48</v>
      </c>
    </row>
    <row r="46370">
      <c r="H46370" s="50"/>
      <c r="I46370" s="50"/>
      <c r="O46370" s="36" t="s">
        <v>48</v>
      </c>
      <c r="R46370" s="36" t="s">
        <v>48</v>
      </c>
    </row>
    <row r="46371">
      <c r="H46371" s="50"/>
      <c r="I46371" s="50"/>
      <c r="O46371" s="36" t="s">
        <v>48</v>
      </c>
      <c r="R46371" s="36" t="s">
        <v>48</v>
      </c>
    </row>
    <row r="46372">
      <c r="H46372" s="50"/>
      <c r="I46372" s="50"/>
      <c r="O46372" s="36" t="s">
        <v>48</v>
      </c>
      <c r="R46372" s="36" t="s">
        <v>48</v>
      </c>
    </row>
    <row r="46373">
      <c r="H46373" s="50"/>
      <c r="I46373" s="50"/>
      <c r="O46373" s="36" t="s">
        <v>48</v>
      </c>
      <c r="R46373" s="36" t="s">
        <v>48</v>
      </c>
    </row>
    <row r="46374">
      <c r="H46374" s="50"/>
      <c r="I46374" s="50"/>
      <c r="O46374" s="36" t="s">
        <v>48</v>
      </c>
      <c r="R46374" s="36" t="s">
        <v>48</v>
      </c>
    </row>
    <row r="46375">
      <c r="H46375" s="50"/>
      <c r="I46375" s="50"/>
      <c r="O46375" s="36" t="s">
        <v>48</v>
      </c>
      <c r="R46375" s="36" t="s">
        <v>48</v>
      </c>
    </row>
    <row r="46376">
      <c r="H46376" s="50"/>
      <c r="I46376" s="50"/>
      <c r="O46376" s="36" t="s">
        <v>48</v>
      </c>
      <c r="R46376" s="36" t="s">
        <v>48</v>
      </c>
    </row>
    <row r="46377">
      <c r="H46377" s="50"/>
      <c r="I46377" s="50"/>
      <c r="O46377" s="36" t="s">
        <v>48</v>
      </c>
      <c r="R46377" s="36" t="s">
        <v>48</v>
      </c>
    </row>
    <row r="46378">
      <c r="H46378" s="50"/>
      <c r="I46378" s="50"/>
      <c r="O46378" s="36" t="s">
        <v>48</v>
      </c>
      <c r="R46378" s="36" t="s">
        <v>48</v>
      </c>
    </row>
    <row r="46379">
      <c r="H46379" s="50"/>
      <c r="I46379" s="50"/>
      <c r="O46379" s="36" t="s">
        <v>48</v>
      </c>
      <c r="R46379" s="36" t="s">
        <v>48</v>
      </c>
    </row>
    <row r="46380">
      <c r="H46380" s="50"/>
      <c r="I46380" s="50"/>
      <c r="O46380" s="36" t="s">
        <v>48</v>
      </c>
      <c r="R46380" s="36" t="s">
        <v>48</v>
      </c>
    </row>
    <row r="46381">
      <c r="H46381" s="50"/>
      <c r="I46381" s="50"/>
      <c r="O46381" s="36" t="s">
        <v>48</v>
      </c>
      <c r="R46381" s="36" t="s">
        <v>48</v>
      </c>
    </row>
    <row r="46382">
      <c r="H46382" s="50"/>
      <c r="I46382" s="50"/>
      <c r="O46382" s="36" t="s">
        <v>48</v>
      </c>
      <c r="R46382" s="36" t="s">
        <v>48</v>
      </c>
    </row>
    <row r="46383">
      <c r="H46383" s="50"/>
      <c r="I46383" s="50"/>
      <c r="O46383" s="36" t="s">
        <v>48</v>
      </c>
      <c r="R46383" s="36" t="s">
        <v>48</v>
      </c>
    </row>
    <row r="46384">
      <c r="H46384" s="50"/>
      <c r="I46384" s="50"/>
      <c r="O46384" s="36" t="s">
        <v>48</v>
      </c>
      <c r="R46384" s="36" t="s">
        <v>48</v>
      </c>
    </row>
    <row r="46385">
      <c r="H46385" s="50"/>
      <c r="I46385" s="50"/>
      <c r="O46385" s="36" t="s">
        <v>48</v>
      </c>
      <c r="R46385" s="36" t="s">
        <v>48</v>
      </c>
    </row>
    <row r="46386">
      <c r="H46386" s="50"/>
      <c r="I46386" s="50"/>
      <c r="O46386" s="36" t="s">
        <v>48</v>
      </c>
      <c r="R46386" s="36" t="s">
        <v>48</v>
      </c>
    </row>
    <row r="46387">
      <c r="H46387" s="50"/>
      <c r="I46387" s="50"/>
      <c r="O46387" s="36" t="s">
        <v>48</v>
      </c>
      <c r="R46387" s="36" t="s">
        <v>48</v>
      </c>
    </row>
    <row r="46388">
      <c r="H46388" s="50"/>
      <c r="I46388" s="50"/>
      <c r="O46388" s="36" t="s">
        <v>48</v>
      </c>
      <c r="R46388" s="36" t="s">
        <v>48</v>
      </c>
    </row>
    <row r="46389">
      <c r="H46389" s="50"/>
      <c r="I46389" s="50"/>
      <c r="O46389" s="36" t="s">
        <v>48</v>
      </c>
      <c r="R46389" s="36" t="s">
        <v>48</v>
      </c>
    </row>
    <row r="46390">
      <c r="H46390" s="50"/>
      <c r="I46390" s="50"/>
      <c r="O46390" s="36" t="s">
        <v>48</v>
      </c>
      <c r="R46390" s="36" t="s">
        <v>48</v>
      </c>
    </row>
    <row r="46391">
      <c r="H46391" s="50"/>
      <c r="I46391" s="50"/>
      <c r="O46391" s="36" t="s">
        <v>48</v>
      </c>
      <c r="R46391" s="36" t="s">
        <v>48</v>
      </c>
    </row>
    <row r="46392">
      <c r="H46392" s="50"/>
      <c r="I46392" s="50"/>
      <c r="O46392" s="36" t="s">
        <v>48</v>
      </c>
      <c r="R46392" s="36" t="s">
        <v>48</v>
      </c>
    </row>
    <row r="46393">
      <c r="H46393" s="50"/>
      <c r="I46393" s="50"/>
      <c r="O46393" s="36" t="s">
        <v>48</v>
      </c>
      <c r="R46393" s="36" t="s">
        <v>48</v>
      </c>
    </row>
    <row r="46394">
      <c r="H46394" s="50"/>
      <c r="I46394" s="50"/>
      <c r="O46394" s="36" t="s">
        <v>48</v>
      </c>
      <c r="R46394" s="36" t="s">
        <v>48</v>
      </c>
    </row>
    <row r="46395">
      <c r="H46395" s="50"/>
      <c r="I46395" s="50"/>
      <c r="O46395" s="36" t="s">
        <v>48</v>
      </c>
      <c r="R46395" s="36" t="s">
        <v>48</v>
      </c>
    </row>
    <row r="46396">
      <c r="H46396" s="50"/>
      <c r="I46396" s="50"/>
      <c r="O46396" s="36" t="s">
        <v>48</v>
      </c>
      <c r="R46396" s="36" t="s">
        <v>48</v>
      </c>
    </row>
    <row r="46397">
      <c r="H46397" s="50"/>
      <c r="I46397" s="50"/>
      <c r="O46397" s="36" t="s">
        <v>48</v>
      </c>
      <c r="R46397" s="36" t="s">
        <v>48</v>
      </c>
    </row>
    <row r="46398">
      <c r="H46398" s="50"/>
      <c r="I46398" s="50"/>
      <c r="O46398" s="36" t="s">
        <v>48</v>
      </c>
      <c r="R46398" s="36" t="s">
        <v>48</v>
      </c>
    </row>
    <row r="46399">
      <c r="H46399" s="50"/>
      <c r="I46399" s="50"/>
      <c r="O46399" s="36" t="s">
        <v>48</v>
      </c>
      <c r="R46399" s="36" t="s">
        <v>48</v>
      </c>
    </row>
    <row r="46400">
      <c r="H46400" s="50"/>
      <c r="I46400" s="50"/>
      <c r="O46400" s="36" t="s">
        <v>48</v>
      </c>
      <c r="R46400" s="36" t="s">
        <v>48</v>
      </c>
    </row>
    <row r="46401">
      <c r="H46401" s="50"/>
      <c r="I46401" s="50"/>
      <c r="O46401" s="36" t="s">
        <v>48</v>
      </c>
      <c r="R46401" s="36" t="s">
        <v>48</v>
      </c>
    </row>
    <row r="46402">
      <c r="H46402" s="50"/>
      <c r="I46402" s="50"/>
      <c r="O46402" s="36" t="s">
        <v>48</v>
      </c>
      <c r="R46402" s="36" t="s">
        <v>48</v>
      </c>
    </row>
    <row r="46403">
      <c r="H46403" s="50"/>
      <c r="I46403" s="50"/>
      <c r="O46403" s="36" t="s">
        <v>48</v>
      </c>
      <c r="R46403" s="36" t="s">
        <v>48</v>
      </c>
    </row>
    <row r="46404">
      <c r="H46404" s="50"/>
      <c r="I46404" s="50"/>
      <c r="O46404" s="36" t="s">
        <v>48</v>
      </c>
      <c r="R46404" s="36" t="s">
        <v>48</v>
      </c>
    </row>
    <row r="46405">
      <c r="H46405" s="50"/>
      <c r="I46405" s="50"/>
      <c r="O46405" s="36" t="s">
        <v>48</v>
      </c>
      <c r="R46405" s="36" t="s">
        <v>48</v>
      </c>
    </row>
    <row r="46406">
      <c r="H46406" s="50"/>
      <c r="I46406" s="50"/>
      <c r="O46406" s="36" t="s">
        <v>48</v>
      </c>
      <c r="R46406" s="36" t="s">
        <v>48</v>
      </c>
    </row>
    <row r="46407">
      <c r="H46407" s="50"/>
      <c r="I46407" s="50"/>
      <c r="O46407" s="36" t="s">
        <v>48</v>
      </c>
      <c r="R46407" s="36" t="s">
        <v>48</v>
      </c>
    </row>
    <row r="46408">
      <c r="H46408" s="50"/>
      <c r="I46408" s="50"/>
      <c r="O46408" s="36" t="s">
        <v>48</v>
      </c>
      <c r="R46408" s="36" t="s">
        <v>48</v>
      </c>
    </row>
    <row r="46409">
      <c r="H46409" s="50"/>
      <c r="I46409" s="50"/>
      <c r="O46409" s="36" t="s">
        <v>48</v>
      </c>
      <c r="R46409" s="36" t="s">
        <v>48</v>
      </c>
    </row>
    <row r="46410">
      <c r="H46410" s="50"/>
      <c r="I46410" s="50"/>
      <c r="O46410" s="36" t="s">
        <v>48</v>
      </c>
      <c r="R46410" s="36" t="s">
        <v>48</v>
      </c>
    </row>
    <row r="46411">
      <c r="H46411" s="50"/>
      <c r="I46411" s="50"/>
      <c r="O46411" s="36" t="s">
        <v>48</v>
      </c>
      <c r="R46411" s="36" t="s">
        <v>48</v>
      </c>
    </row>
    <row r="46412">
      <c r="H46412" s="50"/>
      <c r="I46412" s="50"/>
      <c r="O46412" s="36" t="s">
        <v>48</v>
      </c>
      <c r="R46412" s="36" t="s">
        <v>48</v>
      </c>
    </row>
    <row r="46413">
      <c r="H46413" s="50"/>
      <c r="I46413" s="50"/>
      <c r="O46413" s="36" t="s">
        <v>48</v>
      </c>
      <c r="R46413" s="36" t="s">
        <v>48</v>
      </c>
    </row>
    <row r="46414">
      <c r="H46414" s="50"/>
      <c r="I46414" s="50"/>
      <c r="O46414" s="36" t="s">
        <v>48</v>
      </c>
      <c r="R46414" s="36" t="s">
        <v>48</v>
      </c>
    </row>
    <row r="46415">
      <c r="H46415" s="50"/>
      <c r="I46415" s="50"/>
      <c r="O46415" s="36" t="s">
        <v>48</v>
      </c>
      <c r="R46415" s="36" t="s">
        <v>48</v>
      </c>
    </row>
    <row r="46416">
      <c r="H46416" s="50"/>
      <c r="I46416" s="50"/>
      <c r="O46416" s="36" t="s">
        <v>48</v>
      </c>
      <c r="R46416" s="36" t="s">
        <v>48</v>
      </c>
    </row>
    <row r="46417">
      <c r="H46417" s="50"/>
      <c r="I46417" s="50"/>
      <c r="O46417" s="36" t="s">
        <v>48</v>
      </c>
      <c r="R46417" s="36" t="s">
        <v>48</v>
      </c>
    </row>
    <row r="46418">
      <c r="H46418" s="50"/>
      <c r="I46418" s="50"/>
      <c r="O46418" s="36" t="s">
        <v>48</v>
      </c>
      <c r="R46418" s="36" t="s">
        <v>48</v>
      </c>
    </row>
    <row r="46419">
      <c r="H46419" s="50"/>
      <c r="I46419" s="50"/>
      <c r="O46419" s="36" t="s">
        <v>48</v>
      </c>
      <c r="R46419" s="36" t="s">
        <v>48</v>
      </c>
    </row>
    <row r="46420">
      <c r="H46420" s="50"/>
      <c r="I46420" s="50"/>
      <c r="O46420" s="36" t="s">
        <v>48</v>
      </c>
      <c r="R46420" s="36" t="s">
        <v>48</v>
      </c>
    </row>
    <row r="46421">
      <c r="H46421" s="50"/>
      <c r="I46421" s="50"/>
      <c r="O46421" s="36" t="s">
        <v>48</v>
      </c>
      <c r="R46421" s="36" t="s">
        <v>48</v>
      </c>
    </row>
    <row r="46422">
      <c r="H46422" s="50"/>
      <c r="I46422" s="50"/>
      <c r="O46422" s="36" t="s">
        <v>48</v>
      </c>
      <c r="R46422" s="36" t="s">
        <v>48</v>
      </c>
    </row>
    <row r="46423">
      <c r="H46423" s="50"/>
      <c r="I46423" s="50"/>
      <c r="O46423" s="36" t="s">
        <v>48</v>
      </c>
      <c r="R46423" s="36" t="s">
        <v>48</v>
      </c>
    </row>
    <row r="46424">
      <c r="H46424" s="50"/>
      <c r="I46424" s="50"/>
      <c r="O46424" s="36" t="s">
        <v>48</v>
      </c>
      <c r="R46424" s="36" t="s">
        <v>48</v>
      </c>
    </row>
    <row r="46425">
      <c r="H46425" s="50"/>
      <c r="I46425" s="50"/>
      <c r="O46425" s="36" t="s">
        <v>48</v>
      </c>
      <c r="R46425" s="36" t="s">
        <v>48</v>
      </c>
    </row>
    <row r="46426">
      <c r="H46426" s="50"/>
      <c r="I46426" s="50"/>
      <c r="O46426" s="36" t="s">
        <v>48</v>
      </c>
      <c r="R46426" s="36" t="s">
        <v>48</v>
      </c>
    </row>
    <row r="46427">
      <c r="H46427" s="50"/>
      <c r="I46427" s="50"/>
      <c r="O46427" s="36" t="s">
        <v>48</v>
      </c>
      <c r="R46427" s="36" t="s">
        <v>48</v>
      </c>
    </row>
    <row r="46428">
      <c r="H46428" s="50"/>
      <c r="I46428" s="50"/>
      <c r="O46428" s="36" t="s">
        <v>48</v>
      </c>
      <c r="R46428" s="36" t="s">
        <v>48</v>
      </c>
    </row>
    <row r="46429">
      <c r="H46429" s="50"/>
      <c r="I46429" s="50"/>
      <c r="O46429" s="36" t="s">
        <v>48</v>
      </c>
      <c r="R46429" s="36" t="s">
        <v>48</v>
      </c>
    </row>
    <row r="46430">
      <c r="H46430" s="50"/>
      <c r="I46430" s="50"/>
      <c r="O46430" s="36" t="s">
        <v>48</v>
      </c>
      <c r="R46430" s="36" t="s">
        <v>48</v>
      </c>
    </row>
    <row r="46431">
      <c r="H46431" s="50"/>
      <c r="I46431" s="50"/>
      <c r="O46431" s="36" t="s">
        <v>48</v>
      </c>
      <c r="R46431" s="36" t="s">
        <v>48</v>
      </c>
    </row>
    <row r="46432">
      <c r="H46432" s="50"/>
      <c r="I46432" s="50"/>
      <c r="O46432" s="36" t="s">
        <v>48</v>
      </c>
      <c r="R46432" s="36" t="s">
        <v>48</v>
      </c>
    </row>
    <row r="46433">
      <c r="H46433" s="50"/>
      <c r="I46433" s="50"/>
      <c r="O46433" s="36" t="s">
        <v>48</v>
      </c>
      <c r="R46433" s="36" t="s">
        <v>48</v>
      </c>
    </row>
    <row r="46434">
      <c r="H46434" s="50"/>
      <c r="I46434" s="50"/>
      <c r="O46434" s="36" t="s">
        <v>48</v>
      </c>
      <c r="R46434" s="36" t="s">
        <v>48</v>
      </c>
    </row>
    <row r="46435">
      <c r="H46435" s="50"/>
      <c r="I46435" s="50"/>
      <c r="O46435" s="36" t="s">
        <v>48</v>
      </c>
      <c r="R46435" s="36" t="s">
        <v>48</v>
      </c>
    </row>
    <row r="46436">
      <c r="H46436" s="50"/>
      <c r="I46436" s="50"/>
      <c r="O46436" s="36" t="s">
        <v>48</v>
      </c>
      <c r="R46436" s="36" t="s">
        <v>48</v>
      </c>
    </row>
    <row r="46437">
      <c r="H46437" s="50"/>
      <c r="I46437" s="50"/>
      <c r="O46437" s="36" t="s">
        <v>48</v>
      </c>
      <c r="R46437" s="36" t="s">
        <v>48</v>
      </c>
    </row>
    <row r="46438">
      <c r="H46438" s="50"/>
      <c r="I46438" s="50"/>
      <c r="O46438" s="36" t="s">
        <v>48</v>
      </c>
      <c r="R46438" s="36" t="s">
        <v>48</v>
      </c>
    </row>
    <row r="46439">
      <c r="H46439" s="50"/>
      <c r="I46439" s="50"/>
      <c r="O46439" s="36" t="s">
        <v>48</v>
      </c>
      <c r="R46439" s="36" t="s">
        <v>48</v>
      </c>
    </row>
    <row r="46440">
      <c r="H46440" s="50"/>
      <c r="I46440" s="50"/>
      <c r="O46440" s="36" t="s">
        <v>48</v>
      </c>
      <c r="R46440" s="36" t="s">
        <v>48</v>
      </c>
    </row>
    <row r="46441">
      <c r="H46441" s="50"/>
      <c r="I46441" s="50"/>
      <c r="O46441" s="36" t="s">
        <v>48</v>
      </c>
      <c r="R46441" s="36" t="s">
        <v>48</v>
      </c>
    </row>
    <row r="46442">
      <c r="H46442" s="50"/>
      <c r="I46442" s="50"/>
      <c r="O46442" s="36" t="s">
        <v>48</v>
      </c>
      <c r="R46442" s="36" t="s">
        <v>48</v>
      </c>
    </row>
    <row r="46443">
      <c r="H46443" s="50"/>
      <c r="I46443" s="50"/>
      <c r="O46443" s="36" t="s">
        <v>48</v>
      </c>
      <c r="R46443" s="36" t="s">
        <v>48</v>
      </c>
    </row>
    <row r="46444">
      <c r="H46444" s="50"/>
      <c r="I46444" s="50"/>
      <c r="O46444" s="36" t="s">
        <v>48</v>
      </c>
      <c r="R46444" s="36" t="s">
        <v>48</v>
      </c>
    </row>
    <row r="46445">
      <c r="H46445" s="50"/>
      <c r="I46445" s="50"/>
      <c r="O46445" s="36" t="s">
        <v>48</v>
      </c>
      <c r="R46445" s="36" t="s">
        <v>48</v>
      </c>
    </row>
    <row r="46446">
      <c r="H46446" s="50"/>
      <c r="I46446" s="50"/>
      <c r="O46446" s="36" t="s">
        <v>48</v>
      </c>
      <c r="R46446" s="36" t="s">
        <v>48</v>
      </c>
    </row>
    <row r="46447">
      <c r="H46447" s="50"/>
      <c r="I46447" s="50"/>
      <c r="O46447" s="36" t="s">
        <v>48</v>
      </c>
      <c r="R46447" s="36" t="s">
        <v>48</v>
      </c>
    </row>
    <row r="46448">
      <c r="H46448" s="50"/>
      <c r="I46448" s="50"/>
      <c r="O46448" s="36" t="s">
        <v>48</v>
      </c>
      <c r="R46448" s="36" t="s">
        <v>48</v>
      </c>
    </row>
    <row r="46449">
      <c r="H46449" s="50"/>
      <c r="I46449" s="50"/>
      <c r="O46449" s="36" t="s">
        <v>48</v>
      </c>
      <c r="R46449" s="36" t="s">
        <v>48</v>
      </c>
    </row>
    <row r="46450">
      <c r="H46450" s="50"/>
      <c r="I46450" s="50"/>
      <c r="O46450" s="36" t="s">
        <v>48</v>
      </c>
      <c r="R46450" s="36" t="s">
        <v>48</v>
      </c>
    </row>
    <row r="46451">
      <c r="H46451" s="50"/>
      <c r="I46451" s="50"/>
      <c r="O46451" s="36" t="s">
        <v>48</v>
      </c>
      <c r="R46451" s="36" t="s">
        <v>48</v>
      </c>
    </row>
    <row r="46452">
      <c r="H46452" s="50"/>
      <c r="I46452" s="50"/>
      <c r="O46452" s="36" t="s">
        <v>48</v>
      </c>
      <c r="R46452" s="36" t="s">
        <v>48</v>
      </c>
    </row>
    <row r="46453">
      <c r="H46453" s="50"/>
      <c r="I46453" s="50"/>
      <c r="O46453" s="36" t="s">
        <v>48</v>
      </c>
      <c r="R46453" s="36" t="s">
        <v>48</v>
      </c>
    </row>
    <row r="46454">
      <c r="H46454" s="50"/>
      <c r="I46454" s="50"/>
      <c r="O46454" s="36" t="s">
        <v>48</v>
      </c>
      <c r="R46454" s="36" t="s">
        <v>48</v>
      </c>
    </row>
    <row r="46455">
      <c r="H46455" s="50"/>
      <c r="I46455" s="50"/>
      <c r="O46455" s="36" t="s">
        <v>48</v>
      </c>
      <c r="R46455" s="36" t="s">
        <v>48</v>
      </c>
    </row>
    <row r="46456">
      <c r="H46456" s="50"/>
      <c r="I46456" s="50"/>
      <c r="O46456" s="36" t="s">
        <v>48</v>
      </c>
      <c r="R46456" s="36" t="s">
        <v>48</v>
      </c>
    </row>
    <row r="46457">
      <c r="H46457" s="50"/>
      <c r="I46457" s="50"/>
      <c r="O46457" s="36" t="s">
        <v>48</v>
      </c>
      <c r="R46457" s="36" t="s">
        <v>48</v>
      </c>
    </row>
    <row r="46458">
      <c r="H46458" s="50"/>
      <c r="I46458" s="50"/>
      <c r="O46458" s="36" t="s">
        <v>48</v>
      </c>
      <c r="R46458" s="36" t="s">
        <v>48</v>
      </c>
    </row>
    <row r="46459">
      <c r="H46459" s="50"/>
      <c r="I46459" s="50"/>
      <c r="O46459" s="36" t="s">
        <v>48</v>
      </c>
      <c r="R46459" s="36" t="s">
        <v>48</v>
      </c>
    </row>
    <row r="46460">
      <c r="H46460" s="50"/>
      <c r="I46460" s="50"/>
      <c r="O46460" s="36" t="s">
        <v>48</v>
      </c>
      <c r="R46460" s="36" t="s">
        <v>48</v>
      </c>
    </row>
    <row r="46461">
      <c r="H46461" s="50"/>
      <c r="I46461" s="50"/>
      <c r="O46461" s="36" t="s">
        <v>48</v>
      </c>
      <c r="R46461" s="36" t="s">
        <v>48</v>
      </c>
    </row>
    <row r="46462">
      <c r="H46462" s="50"/>
      <c r="I46462" s="50"/>
      <c r="O46462" s="36" t="s">
        <v>48</v>
      </c>
      <c r="R46462" s="36" t="s">
        <v>48</v>
      </c>
    </row>
    <row r="46463">
      <c r="H46463" s="50"/>
      <c r="I46463" s="50"/>
      <c r="O46463" s="36" t="s">
        <v>48</v>
      </c>
      <c r="R46463" s="36" t="s">
        <v>48</v>
      </c>
    </row>
    <row r="46464">
      <c r="H46464" s="50"/>
      <c r="I46464" s="50"/>
      <c r="O46464" s="36" t="s">
        <v>48</v>
      </c>
      <c r="R46464" s="36" t="s">
        <v>48</v>
      </c>
    </row>
    <row r="46465">
      <c r="H46465" s="50"/>
      <c r="I46465" s="50"/>
      <c r="O46465" s="36" t="s">
        <v>48</v>
      </c>
      <c r="R46465" s="36" t="s">
        <v>48</v>
      </c>
    </row>
    <row r="46466">
      <c r="H46466" s="50"/>
      <c r="I46466" s="50"/>
      <c r="O46466" s="36" t="s">
        <v>48</v>
      </c>
      <c r="R46466" s="36" t="s">
        <v>48</v>
      </c>
    </row>
    <row r="46467">
      <c r="H46467" s="50"/>
      <c r="I46467" s="50"/>
      <c r="O46467" s="36" t="s">
        <v>48</v>
      </c>
      <c r="R46467" s="36" t="s">
        <v>48</v>
      </c>
    </row>
    <row r="46468">
      <c r="H46468" s="50"/>
      <c r="I46468" s="50"/>
      <c r="O46468" s="36" t="s">
        <v>48</v>
      </c>
      <c r="R46468" s="36" t="s">
        <v>48</v>
      </c>
    </row>
    <row r="46469">
      <c r="H46469" s="50"/>
      <c r="I46469" s="50"/>
      <c r="O46469" s="36" t="s">
        <v>48</v>
      </c>
      <c r="R46469" s="36" t="s">
        <v>48</v>
      </c>
    </row>
    <row r="46470">
      <c r="H46470" s="50"/>
      <c r="I46470" s="50"/>
      <c r="O46470" s="36" t="s">
        <v>48</v>
      </c>
      <c r="R46470" s="36" t="s">
        <v>48</v>
      </c>
    </row>
    <row r="46471">
      <c r="H46471" s="50"/>
      <c r="I46471" s="50"/>
      <c r="O46471" s="36" t="s">
        <v>48</v>
      </c>
      <c r="R46471" s="36" t="s">
        <v>48</v>
      </c>
    </row>
    <row r="46472">
      <c r="H46472" s="50"/>
      <c r="I46472" s="50"/>
      <c r="O46472" s="36" t="s">
        <v>48</v>
      </c>
      <c r="R46472" s="36" t="s">
        <v>48</v>
      </c>
    </row>
    <row r="46473">
      <c r="H46473" s="50"/>
      <c r="I46473" s="50"/>
      <c r="O46473" s="36" t="s">
        <v>48</v>
      </c>
      <c r="R46473" s="36" t="s">
        <v>48</v>
      </c>
    </row>
    <row r="46474">
      <c r="H46474" s="50"/>
      <c r="I46474" s="50"/>
      <c r="O46474" s="36" t="s">
        <v>48</v>
      </c>
      <c r="R46474" s="36" t="s">
        <v>48</v>
      </c>
    </row>
    <row r="46475">
      <c r="H46475" s="50"/>
      <c r="I46475" s="50"/>
      <c r="O46475" s="36" t="s">
        <v>48</v>
      </c>
      <c r="R46475" s="36" t="s">
        <v>48</v>
      </c>
    </row>
    <row r="46476">
      <c r="H46476" s="50"/>
      <c r="I46476" s="50"/>
      <c r="O46476" s="36" t="s">
        <v>48</v>
      </c>
      <c r="R46476" s="36" t="s">
        <v>48</v>
      </c>
    </row>
    <row r="46477">
      <c r="H46477" s="50"/>
      <c r="I46477" s="50"/>
      <c r="O46477" s="36" t="s">
        <v>48</v>
      </c>
      <c r="R46477" s="36" t="s">
        <v>48</v>
      </c>
    </row>
    <row r="46478">
      <c r="H46478" s="50"/>
      <c r="I46478" s="50"/>
      <c r="O46478" s="36" t="s">
        <v>48</v>
      </c>
      <c r="R46478" s="36" t="s">
        <v>48</v>
      </c>
    </row>
    <row r="46479">
      <c r="H46479" s="50"/>
      <c r="I46479" s="50"/>
      <c r="O46479" s="36" t="s">
        <v>48</v>
      </c>
      <c r="R46479" s="36" t="s">
        <v>48</v>
      </c>
    </row>
    <row r="46480">
      <c r="H46480" s="50"/>
      <c r="I46480" s="50"/>
      <c r="O46480" s="36" t="s">
        <v>48</v>
      </c>
      <c r="R46480" s="36" t="s">
        <v>48</v>
      </c>
    </row>
    <row r="46481">
      <c r="H46481" s="50"/>
      <c r="I46481" s="50"/>
      <c r="O46481" s="36" t="s">
        <v>48</v>
      </c>
      <c r="R46481" s="36" t="s">
        <v>48</v>
      </c>
    </row>
    <row r="46482">
      <c r="H46482" s="50"/>
      <c r="I46482" s="50"/>
      <c r="O46482" s="36" t="s">
        <v>48</v>
      </c>
      <c r="R46482" s="36" t="s">
        <v>48</v>
      </c>
    </row>
    <row r="46483">
      <c r="H46483" s="50"/>
      <c r="I46483" s="50"/>
      <c r="O46483" s="36" t="s">
        <v>48</v>
      </c>
      <c r="R46483" s="36" t="s">
        <v>48</v>
      </c>
    </row>
    <row r="46484">
      <c r="H46484" s="50"/>
      <c r="I46484" s="50"/>
      <c r="O46484" s="36" t="s">
        <v>48</v>
      </c>
      <c r="R46484" s="36" t="s">
        <v>48</v>
      </c>
    </row>
    <row r="46485">
      <c r="H46485" s="50"/>
      <c r="I46485" s="50"/>
      <c r="O46485" s="36" t="s">
        <v>48</v>
      </c>
      <c r="R46485" s="36" t="s">
        <v>48</v>
      </c>
    </row>
    <row r="46486">
      <c r="H46486" s="50"/>
      <c r="I46486" s="50"/>
      <c r="O46486" s="36" t="s">
        <v>48</v>
      </c>
      <c r="R46486" s="36" t="s">
        <v>48</v>
      </c>
    </row>
    <row r="46487">
      <c r="H46487" s="50"/>
      <c r="I46487" s="50"/>
      <c r="O46487" s="36" t="s">
        <v>48</v>
      </c>
      <c r="R46487" s="36" t="s">
        <v>48</v>
      </c>
    </row>
    <row r="46488">
      <c r="H46488" s="50"/>
      <c r="I46488" s="50"/>
      <c r="O46488" s="36" t="s">
        <v>48</v>
      </c>
      <c r="R46488" s="36" t="s">
        <v>48</v>
      </c>
    </row>
    <row r="46489">
      <c r="H46489" s="50"/>
      <c r="I46489" s="50"/>
      <c r="O46489" s="36" t="s">
        <v>48</v>
      </c>
      <c r="R46489" s="36" t="s">
        <v>48</v>
      </c>
    </row>
    <row r="46490">
      <c r="H46490" s="50"/>
      <c r="I46490" s="50"/>
      <c r="O46490" s="36" t="s">
        <v>48</v>
      </c>
      <c r="R46490" s="36" t="s">
        <v>48</v>
      </c>
    </row>
    <row r="46491">
      <c r="H46491" s="50"/>
      <c r="I46491" s="50"/>
      <c r="O46491" s="36" t="s">
        <v>48</v>
      </c>
      <c r="R46491" s="36" t="s">
        <v>48</v>
      </c>
    </row>
    <row r="46492">
      <c r="H46492" s="50"/>
      <c r="I46492" s="50"/>
      <c r="O46492" s="36" t="s">
        <v>48</v>
      </c>
      <c r="R46492" s="36" t="s">
        <v>48</v>
      </c>
    </row>
    <row r="46493">
      <c r="H46493" s="50"/>
      <c r="I46493" s="50"/>
      <c r="O46493" s="36" t="s">
        <v>48</v>
      </c>
      <c r="R46493" s="36" t="s">
        <v>48</v>
      </c>
    </row>
    <row r="46494">
      <c r="H46494" s="50"/>
      <c r="I46494" s="50"/>
      <c r="O46494" s="36" t="s">
        <v>48</v>
      </c>
      <c r="R46494" s="36" t="s">
        <v>48</v>
      </c>
    </row>
    <row r="46495">
      <c r="H46495" s="50"/>
      <c r="I46495" s="50"/>
      <c r="O46495" s="36" t="s">
        <v>48</v>
      </c>
      <c r="R46495" s="36" t="s">
        <v>48</v>
      </c>
    </row>
    <row r="46496">
      <c r="H46496" s="50"/>
      <c r="I46496" s="50"/>
      <c r="O46496" s="36" t="s">
        <v>48</v>
      </c>
      <c r="R46496" s="36" t="s">
        <v>48</v>
      </c>
    </row>
    <row r="46497">
      <c r="H46497" s="50"/>
      <c r="I46497" s="50"/>
      <c r="O46497" s="36" t="s">
        <v>48</v>
      </c>
      <c r="R46497" s="36" t="s">
        <v>48</v>
      </c>
    </row>
    <row r="46498">
      <c r="H46498" s="50"/>
      <c r="I46498" s="50"/>
      <c r="O46498" s="36" t="s">
        <v>48</v>
      </c>
      <c r="R46498" s="36" t="s">
        <v>48</v>
      </c>
    </row>
    <row r="46499">
      <c r="H46499" s="50"/>
      <c r="I46499" s="50"/>
      <c r="O46499" s="36" t="s">
        <v>48</v>
      </c>
      <c r="R46499" s="36" t="s">
        <v>48</v>
      </c>
    </row>
    <row r="46500">
      <c r="H46500" s="50"/>
      <c r="I46500" s="50"/>
      <c r="O46500" s="36" t="s">
        <v>48</v>
      </c>
      <c r="R46500" s="36" t="s">
        <v>48</v>
      </c>
    </row>
    <row r="46501">
      <c r="H46501" s="50"/>
      <c r="I46501" s="50"/>
      <c r="O46501" s="36" t="s">
        <v>48</v>
      </c>
      <c r="R46501" s="36" t="s">
        <v>48</v>
      </c>
    </row>
    <row r="46502">
      <c r="H46502" s="50"/>
      <c r="I46502" s="50"/>
      <c r="O46502" s="36" t="s">
        <v>48</v>
      </c>
      <c r="R46502" s="36" t="s">
        <v>48</v>
      </c>
    </row>
    <row r="46503">
      <c r="H46503" s="50"/>
      <c r="I46503" s="50"/>
      <c r="O46503" s="36" t="s">
        <v>48</v>
      </c>
      <c r="R46503" s="36" t="s">
        <v>48</v>
      </c>
    </row>
    <row r="46504">
      <c r="H46504" s="50"/>
      <c r="I46504" s="50"/>
      <c r="O46504" s="36" t="s">
        <v>48</v>
      </c>
      <c r="R46504" s="36" t="s">
        <v>48</v>
      </c>
    </row>
    <row r="46505">
      <c r="H46505" s="50"/>
      <c r="I46505" s="50"/>
      <c r="O46505" s="36" t="s">
        <v>48</v>
      </c>
      <c r="R46505" s="36" t="s">
        <v>48</v>
      </c>
    </row>
    <row r="46506">
      <c r="H46506" s="50"/>
      <c r="I46506" s="50"/>
      <c r="O46506" s="36" t="s">
        <v>48</v>
      </c>
      <c r="R46506" s="36" t="s">
        <v>48</v>
      </c>
    </row>
    <row r="46507">
      <c r="H46507" s="50"/>
      <c r="I46507" s="50"/>
      <c r="O46507" s="36" t="s">
        <v>48</v>
      </c>
      <c r="R46507" s="36" t="s">
        <v>48</v>
      </c>
    </row>
    <row r="46508">
      <c r="H46508" s="50"/>
      <c r="I46508" s="50"/>
      <c r="O46508" s="36" t="s">
        <v>48</v>
      </c>
      <c r="R46508" s="36" t="s">
        <v>48</v>
      </c>
    </row>
    <row r="46509">
      <c r="H46509" s="50"/>
      <c r="I46509" s="50"/>
      <c r="O46509" s="36" t="s">
        <v>48</v>
      </c>
      <c r="R46509" s="36" t="s">
        <v>48</v>
      </c>
    </row>
    <row r="46510">
      <c r="H46510" s="50"/>
      <c r="I46510" s="50"/>
      <c r="O46510" s="36" t="s">
        <v>48</v>
      </c>
      <c r="R46510" s="36" t="s">
        <v>48</v>
      </c>
    </row>
    <row r="46511">
      <c r="H46511" s="50"/>
      <c r="I46511" s="50"/>
      <c r="O46511" s="36" t="s">
        <v>48</v>
      </c>
      <c r="R46511" s="36" t="s">
        <v>48</v>
      </c>
    </row>
    <row r="46512">
      <c r="H46512" s="50"/>
      <c r="I46512" s="50"/>
      <c r="O46512" s="36" t="s">
        <v>48</v>
      </c>
      <c r="R46512" s="36" t="s">
        <v>48</v>
      </c>
    </row>
    <row r="46513">
      <c r="H46513" s="50"/>
      <c r="I46513" s="50"/>
      <c r="O46513" s="36" t="s">
        <v>48</v>
      </c>
      <c r="R46513" s="36" t="s">
        <v>48</v>
      </c>
    </row>
    <row r="46514">
      <c r="H46514" s="50"/>
      <c r="I46514" s="50"/>
      <c r="O46514" s="36" t="s">
        <v>48</v>
      </c>
      <c r="R46514" s="36" t="s">
        <v>48</v>
      </c>
    </row>
    <row r="46515">
      <c r="H46515" s="50"/>
      <c r="I46515" s="50"/>
      <c r="O46515" s="36" t="s">
        <v>48</v>
      </c>
      <c r="R46515" s="36" t="s">
        <v>48</v>
      </c>
    </row>
    <row r="46516">
      <c r="H46516" s="50"/>
      <c r="I46516" s="50"/>
      <c r="O46516" s="36" t="s">
        <v>48</v>
      </c>
      <c r="R46516" s="36" t="s">
        <v>48</v>
      </c>
    </row>
    <row r="46517">
      <c r="H46517" s="50"/>
      <c r="I46517" s="50"/>
      <c r="O46517" s="36" t="s">
        <v>48</v>
      </c>
      <c r="R46517" s="36" t="s">
        <v>48</v>
      </c>
    </row>
    <row r="46518">
      <c r="H46518" s="50"/>
      <c r="I46518" s="50"/>
      <c r="O46518" s="36" t="s">
        <v>48</v>
      </c>
      <c r="R46518" s="36" t="s">
        <v>48</v>
      </c>
    </row>
    <row r="46519">
      <c r="H46519" s="50"/>
      <c r="I46519" s="50"/>
      <c r="O46519" s="36" t="s">
        <v>48</v>
      </c>
      <c r="R46519" s="36" t="s">
        <v>48</v>
      </c>
    </row>
    <row r="46520">
      <c r="H46520" s="50"/>
      <c r="I46520" s="50"/>
      <c r="O46520" s="36" t="s">
        <v>48</v>
      </c>
      <c r="R46520" s="36" t="s">
        <v>48</v>
      </c>
    </row>
    <row r="46521">
      <c r="H46521" s="50"/>
      <c r="I46521" s="50"/>
      <c r="O46521" s="36" t="s">
        <v>48</v>
      </c>
      <c r="R46521" s="36" t="s">
        <v>48</v>
      </c>
    </row>
    <row r="46522">
      <c r="H46522" s="50"/>
      <c r="I46522" s="50"/>
      <c r="O46522" s="36" t="s">
        <v>48</v>
      </c>
      <c r="R46522" s="36" t="s">
        <v>48</v>
      </c>
    </row>
    <row r="46523">
      <c r="H46523" s="50"/>
      <c r="I46523" s="50"/>
      <c r="O46523" s="36" t="s">
        <v>48</v>
      </c>
      <c r="R46523" s="36" t="s">
        <v>48</v>
      </c>
    </row>
    <row r="46524">
      <c r="H46524" s="50"/>
      <c r="I46524" s="50"/>
      <c r="O46524" s="36" t="s">
        <v>48</v>
      </c>
      <c r="R46524" s="36" t="s">
        <v>48</v>
      </c>
    </row>
    <row r="46525">
      <c r="H46525" s="50"/>
      <c r="I46525" s="50"/>
      <c r="O46525" s="36" t="s">
        <v>48</v>
      </c>
      <c r="R46525" s="36" t="s">
        <v>48</v>
      </c>
    </row>
    <row r="46526">
      <c r="H46526" s="50"/>
      <c r="I46526" s="50"/>
      <c r="O46526" s="36" t="s">
        <v>48</v>
      </c>
      <c r="R46526" s="36" t="s">
        <v>48</v>
      </c>
    </row>
    <row r="46527">
      <c r="H46527" s="50"/>
      <c r="I46527" s="50"/>
      <c r="O46527" s="36" t="s">
        <v>48</v>
      </c>
      <c r="R46527" s="36" t="s">
        <v>48</v>
      </c>
    </row>
    <row r="46528">
      <c r="H46528" s="50"/>
      <c r="I46528" s="50"/>
      <c r="O46528" s="36" t="s">
        <v>48</v>
      </c>
      <c r="R46528" s="36" t="s">
        <v>48</v>
      </c>
    </row>
    <row r="46529">
      <c r="H46529" s="50"/>
      <c r="I46529" s="50"/>
      <c r="O46529" s="36" t="s">
        <v>48</v>
      </c>
      <c r="R46529" s="36" t="s">
        <v>48</v>
      </c>
    </row>
    <row r="46530">
      <c r="H46530" s="50"/>
      <c r="I46530" s="50"/>
      <c r="O46530" s="36" t="s">
        <v>48</v>
      </c>
      <c r="R46530" s="36" t="s">
        <v>48</v>
      </c>
    </row>
    <row r="46531">
      <c r="H46531" s="50"/>
      <c r="I46531" s="50"/>
      <c r="O46531" s="36" t="s">
        <v>48</v>
      </c>
      <c r="R46531" s="36" t="s">
        <v>48</v>
      </c>
    </row>
    <row r="46532">
      <c r="H46532" s="50"/>
      <c r="I46532" s="50"/>
      <c r="O46532" s="36" t="s">
        <v>48</v>
      </c>
      <c r="R46532" s="36" t="s">
        <v>48</v>
      </c>
    </row>
    <row r="46533">
      <c r="H46533" s="50"/>
      <c r="I46533" s="50"/>
      <c r="O46533" s="36" t="s">
        <v>48</v>
      </c>
      <c r="R46533" s="36" t="s">
        <v>48</v>
      </c>
    </row>
    <row r="46534">
      <c r="H46534" s="50"/>
      <c r="I46534" s="50"/>
      <c r="O46534" s="36" t="s">
        <v>48</v>
      </c>
      <c r="R46534" s="36" t="s">
        <v>48</v>
      </c>
    </row>
    <row r="46535">
      <c r="H46535" s="50"/>
      <c r="I46535" s="50"/>
      <c r="O46535" s="36" t="s">
        <v>48</v>
      </c>
      <c r="R46535" s="36" t="s">
        <v>48</v>
      </c>
    </row>
    <row r="46536">
      <c r="H46536" s="50"/>
      <c r="I46536" s="50"/>
      <c r="O46536" s="36" t="s">
        <v>48</v>
      </c>
      <c r="R46536" s="36" t="s">
        <v>48</v>
      </c>
    </row>
    <row r="46537">
      <c r="H46537" s="50"/>
      <c r="I46537" s="50"/>
      <c r="O46537" s="36" t="s">
        <v>48</v>
      </c>
      <c r="R46537" s="36" t="s">
        <v>48</v>
      </c>
    </row>
    <row r="46538">
      <c r="H46538" s="50"/>
      <c r="I46538" s="50"/>
      <c r="O46538" s="36" t="s">
        <v>48</v>
      </c>
      <c r="R46538" s="36" t="s">
        <v>48</v>
      </c>
    </row>
    <row r="46539">
      <c r="H46539" s="50"/>
      <c r="I46539" s="50"/>
      <c r="O46539" s="36" t="s">
        <v>48</v>
      </c>
      <c r="R46539" s="36" t="s">
        <v>48</v>
      </c>
    </row>
    <row r="46540">
      <c r="H46540" s="50"/>
      <c r="I46540" s="50"/>
      <c r="O46540" s="36" t="s">
        <v>48</v>
      </c>
      <c r="R46540" s="36" t="s">
        <v>48</v>
      </c>
    </row>
    <row r="46541">
      <c r="H46541" s="50"/>
      <c r="I46541" s="50"/>
      <c r="O46541" s="36" t="s">
        <v>48</v>
      </c>
      <c r="R46541" s="36" t="s">
        <v>48</v>
      </c>
    </row>
    <row r="46542">
      <c r="H46542" s="50"/>
      <c r="I46542" s="50"/>
      <c r="O46542" s="36" t="s">
        <v>48</v>
      </c>
      <c r="R46542" s="36" t="s">
        <v>48</v>
      </c>
    </row>
    <row r="46543">
      <c r="H46543" s="50"/>
      <c r="I46543" s="50"/>
      <c r="O46543" s="36" t="s">
        <v>48</v>
      </c>
      <c r="R46543" s="36" t="s">
        <v>48</v>
      </c>
    </row>
    <row r="46544">
      <c r="H46544" s="50"/>
      <c r="I46544" s="50"/>
      <c r="O46544" s="36" t="s">
        <v>48</v>
      </c>
      <c r="R46544" s="36" t="s">
        <v>48</v>
      </c>
    </row>
    <row r="46545">
      <c r="H46545" s="50"/>
      <c r="I46545" s="50"/>
      <c r="O46545" s="36" t="s">
        <v>48</v>
      </c>
      <c r="R46545" s="36" t="s">
        <v>48</v>
      </c>
    </row>
    <row r="46546">
      <c r="H46546" s="50"/>
      <c r="I46546" s="50"/>
      <c r="O46546" s="36" t="s">
        <v>48</v>
      </c>
      <c r="R46546" s="36" t="s">
        <v>48</v>
      </c>
    </row>
    <row r="46547">
      <c r="H46547" s="50"/>
      <c r="I46547" s="50"/>
      <c r="O46547" s="36" t="s">
        <v>48</v>
      </c>
      <c r="R46547" s="36" t="s">
        <v>48</v>
      </c>
    </row>
    <row r="46548">
      <c r="H46548" s="50"/>
      <c r="I46548" s="50"/>
      <c r="O46548" s="36" t="s">
        <v>48</v>
      </c>
      <c r="R46548" s="36" t="s">
        <v>48</v>
      </c>
    </row>
    <row r="46549">
      <c r="H46549" s="50"/>
      <c r="I46549" s="50"/>
      <c r="O46549" s="36" t="s">
        <v>48</v>
      </c>
      <c r="R46549" s="36" t="s">
        <v>48</v>
      </c>
    </row>
    <row r="46550">
      <c r="H46550" s="50"/>
      <c r="I46550" s="50"/>
      <c r="O46550" s="36" t="s">
        <v>48</v>
      </c>
      <c r="R46550" s="36" t="s">
        <v>48</v>
      </c>
    </row>
    <row r="46551">
      <c r="H46551" s="50"/>
      <c r="I46551" s="50"/>
      <c r="O46551" s="36" t="s">
        <v>48</v>
      </c>
      <c r="R46551" s="36" t="s">
        <v>48</v>
      </c>
    </row>
    <row r="46552">
      <c r="H46552" s="50"/>
      <c r="I46552" s="50"/>
      <c r="O46552" s="36" t="s">
        <v>48</v>
      </c>
      <c r="R46552" s="36" t="s">
        <v>48</v>
      </c>
    </row>
    <row r="46553">
      <c r="H46553" s="50"/>
      <c r="I46553" s="50"/>
      <c r="O46553" s="36" t="s">
        <v>48</v>
      </c>
      <c r="R46553" s="36" t="s">
        <v>48</v>
      </c>
    </row>
    <row r="46554">
      <c r="H46554" s="50"/>
      <c r="I46554" s="50"/>
      <c r="O46554" s="36" t="s">
        <v>48</v>
      </c>
      <c r="R46554" s="36" t="s">
        <v>48</v>
      </c>
    </row>
    <row r="46555">
      <c r="H46555" s="50"/>
      <c r="I46555" s="50"/>
      <c r="O46555" s="36" t="s">
        <v>48</v>
      </c>
      <c r="R46555" s="36" t="s">
        <v>48</v>
      </c>
    </row>
    <row r="46556">
      <c r="H46556" s="50"/>
      <c r="I46556" s="50"/>
      <c r="O46556" s="36" t="s">
        <v>48</v>
      </c>
      <c r="R46556" s="36" t="s">
        <v>48</v>
      </c>
    </row>
    <row r="46557">
      <c r="H46557" s="50"/>
      <c r="I46557" s="50"/>
      <c r="O46557" s="36" t="s">
        <v>48</v>
      </c>
      <c r="R46557" s="36" t="s">
        <v>48</v>
      </c>
    </row>
    <row r="46558">
      <c r="H46558" s="50"/>
      <c r="I46558" s="50"/>
      <c r="O46558" s="36" t="s">
        <v>48</v>
      </c>
      <c r="R46558" s="36" t="s">
        <v>48</v>
      </c>
    </row>
    <row r="46559">
      <c r="H46559" s="50"/>
      <c r="I46559" s="50"/>
      <c r="O46559" s="36" t="s">
        <v>48</v>
      </c>
      <c r="R46559" s="36" t="s">
        <v>48</v>
      </c>
    </row>
    <row r="46560">
      <c r="H46560" s="50"/>
      <c r="I46560" s="50"/>
      <c r="O46560" s="36" t="s">
        <v>48</v>
      </c>
      <c r="R46560" s="36" t="s">
        <v>48</v>
      </c>
    </row>
    <row r="46561">
      <c r="H46561" s="50"/>
      <c r="I46561" s="50"/>
      <c r="O46561" s="36" t="s">
        <v>48</v>
      </c>
      <c r="R46561" s="36" t="s">
        <v>48</v>
      </c>
    </row>
    <row r="46562">
      <c r="H46562" s="50"/>
      <c r="I46562" s="50"/>
      <c r="O46562" s="36" t="s">
        <v>48</v>
      </c>
      <c r="R46562" s="36" t="s">
        <v>48</v>
      </c>
    </row>
    <row r="46563">
      <c r="H46563" s="50"/>
      <c r="I46563" s="50"/>
      <c r="O46563" s="36" t="s">
        <v>48</v>
      </c>
      <c r="R46563" s="36" t="s">
        <v>48</v>
      </c>
    </row>
    <row r="46564">
      <c r="H46564" s="50"/>
      <c r="I46564" s="50"/>
      <c r="O46564" s="36" t="s">
        <v>48</v>
      </c>
      <c r="R46564" s="36" t="s">
        <v>48</v>
      </c>
    </row>
    <row r="46565">
      <c r="H46565" s="50"/>
      <c r="I46565" s="50"/>
      <c r="O46565" s="36" t="s">
        <v>48</v>
      </c>
      <c r="R46565" s="36" t="s">
        <v>48</v>
      </c>
    </row>
    <row r="46566">
      <c r="H46566" s="50"/>
      <c r="I46566" s="50"/>
      <c r="O46566" s="36" t="s">
        <v>48</v>
      </c>
      <c r="R46566" s="36" t="s">
        <v>48</v>
      </c>
    </row>
    <row r="46567">
      <c r="H46567" s="50"/>
      <c r="I46567" s="50"/>
      <c r="O46567" s="36" t="s">
        <v>48</v>
      </c>
      <c r="R46567" s="36" t="s">
        <v>48</v>
      </c>
    </row>
    <row r="46568">
      <c r="H46568" s="50"/>
      <c r="I46568" s="50"/>
      <c r="O46568" s="36" t="s">
        <v>48</v>
      </c>
      <c r="R46568" s="36" t="s">
        <v>48</v>
      </c>
    </row>
    <row r="46569">
      <c r="H46569" s="50"/>
      <c r="I46569" s="50"/>
      <c r="O46569" s="36" t="s">
        <v>48</v>
      </c>
      <c r="R46569" s="36" t="s">
        <v>48</v>
      </c>
    </row>
    <row r="46570">
      <c r="H46570" s="50"/>
      <c r="I46570" s="50"/>
      <c r="O46570" s="36" t="s">
        <v>48</v>
      </c>
      <c r="R46570" s="36" t="s">
        <v>48</v>
      </c>
    </row>
    <row r="46571">
      <c r="H46571" s="50"/>
      <c r="I46571" s="50"/>
      <c r="O46571" s="36" t="s">
        <v>48</v>
      </c>
      <c r="R46571" s="36" t="s">
        <v>48</v>
      </c>
    </row>
    <row r="46572">
      <c r="H46572" s="50"/>
      <c r="I46572" s="50"/>
      <c r="O46572" s="36" t="s">
        <v>48</v>
      </c>
      <c r="R46572" s="36" t="s">
        <v>48</v>
      </c>
    </row>
    <row r="46573">
      <c r="H46573" s="50"/>
      <c r="I46573" s="50"/>
      <c r="O46573" s="36" t="s">
        <v>48</v>
      </c>
      <c r="R46573" s="36" t="s">
        <v>48</v>
      </c>
    </row>
    <row r="46574">
      <c r="H46574" s="50"/>
      <c r="I46574" s="50"/>
      <c r="O46574" s="36" t="s">
        <v>48</v>
      </c>
      <c r="R46574" s="36" t="s">
        <v>48</v>
      </c>
    </row>
    <row r="46575">
      <c r="H46575" s="50"/>
      <c r="I46575" s="50"/>
      <c r="O46575" s="36" t="s">
        <v>48</v>
      </c>
      <c r="R46575" s="36" t="s">
        <v>48</v>
      </c>
    </row>
    <row r="46576">
      <c r="H46576" s="50"/>
      <c r="I46576" s="50"/>
      <c r="O46576" s="36" t="s">
        <v>48</v>
      </c>
      <c r="R46576" s="36" t="s">
        <v>48</v>
      </c>
    </row>
    <row r="46577">
      <c r="H46577" s="50"/>
      <c r="I46577" s="50"/>
      <c r="O46577" s="36" t="s">
        <v>48</v>
      </c>
      <c r="R46577" s="36" t="s">
        <v>48</v>
      </c>
    </row>
    <row r="46578">
      <c r="H46578" s="50"/>
      <c r="I46578" s="50"/>
      <c r="O46578" s="36" t="s">
        <v>48</v>
      </c>
      <c r="R46578" s="36" t="s">
        <v>48</v>
      </c>
    </row>
    <row r="46579">
      <c r="H46579" s="50"/>
      <c r="I46579" s="50"/>
      <c r="O46579" s="36" t="s">
        <v>48</v>
      </c>
      <c r="R46579" s="36" t="s">
        <v>48</v>
      </c>
    </row>
    <row r="46580">
      <c r="H46580" s="50"/>
      <c r="I46580" s="50"/>
      <c r="O46580" s="36" t="s">
        <v>48</v>
      </c>
      <c r="R46580" s="36" t="s">
        <v>48</v>
      </c>
    </row>
    <row r="46581">
      <c r="H46581" s="50"/>
      <c r="I46581" s="50"/>
      <c r="O46581" s="36" t="s">
        <v>48</v>
      </c>
      <c r="R46581" s="36" t="s">
        <v>48</v>
      </c>
    </row>
    <row r="46582">
      <c r="H46582" s="50"/>
      <c r="I46582" s="50"/>
      <c r="O46582" s="36" t="s">
        <v>48</v>
      </c>
      <c r="R46582" s="36" t="s">
        <v>48</v>
      </c>
    </row>
    <row r="46583">
      <c r="H46583" s="50"/>
      <c r="I46583" s="50"/>
      <c r="O46583" s="36" t="s">
        <v>48</v>
      </c>
      <c r="R46583" s="36" t="s">
        <v>48</v>
      </c>
    </row>
    <row r="46584">
      <c r="H46584" s="50"/>
      <c r="I46584" s="50"/>
      <c r="O46584" s="36" t="s">
        <v>48</v>
      </c>
      <c r="R46584" s="36" t="s">
        <v>48</v>
      </c>
    </row>
    <row r="46585">
      <c r="H46585" s="50"/>
      <c r="I46585" s="50"/>
      <c r="O46585" s="36" t="s">
        <v>48</v>
      </c>
      <c r="R46585" s="36" t="s">
        <v>48</v>
      </c>
    </row>
    <row r="46586">
      <c r="H46586" s="50"/>
      <c r="I46586" s="50"/>
      <c r="O46586" s="36" t="s">
        <v>48</v>
      </c>
      <c r="R46586" s="36" t="s">
        <v>48</v>
      </c>
    </row>
    <row r="46587">
      <c r="H46587" s="50"/>
      <c r="I46587" s="50"/>
      <c r="O46587" s="36" t="s">
        <v>48</v>
      </c>
      <c r="R46587" s="36" t="s">
        <v>48</v>
      </c>
    </row>
    <row r="46588">
      <c r="H46588" s="50"/>
      <c r="I46588" s="50"/>
      <c r="O46588" s="36" t="s">
        <v>48</v>
      </c>
      <c r="R46588" s="36" t="s">
        <v>48</v>
      </c>
    </row>
    <row r="46589">
      <c r="H46589" s="50"/>
      <c r="I46589" s="50"/>
      <c r="O46589" s="36" t="s">
        <v>48</v>
      </c>
      <c r="R46589" s="36" t="s">
        <v>48</v>
      </c>
    </row>
    <row r="46590">
      <c r="H46590" s="50"/>
      <c r="I46590" s="50"/>
      <c r="O46590" s="36" t="s">
        <v>48</v>
      </c>
      <c r="R46590" s="36" t="s">
        <v>48</v>
      </c>
    </row>
    <row r="46591">
      <c r="H46591" s="50"/>
      <c r="I46591" s="50"/>
      <c r="O46591" s="36" t="s">
        <v>48</v>
      </c>
      <c r="R46591" s="36" t="s">
        <v>48</v>
      </c>
    </row>
    <row r="46592">
      <c r="H46592" s="50"/>
      <c r="I46592" s="50"/>
      <c r="O46592" s="36" t="s">
        <v>48</v>
      </c>
      <c r="R46592" s="36" t="s">
        <v>48</v>
      </c>
    </row>
    <row r="46593">
      <c r="H46593" s="50"/>
      <c r="I46593" s="50"/>
      <c r="O46593" s="36" t="s">
        <v>48</v>
      </c>
      <c r="R46593" s="36" t="s">
        <v>48</v>
      </c>
    </row>
    <row r="46594">
      <c r="H46594" s="50"/>
      <c r="I46594" s="50"/>
      <c r="O46594" s="36" t="s">
        <v>48</v>
      </c>
      <c r="R46594" s="36" t="s">
        <v>48</v>
      </c>
    </row>
    <row r="46595">
      <c r="H46595" s="50"/>
      <c r="I46595" s="50"/>
      <c r="O46595" s="36" t="s">
        <v>48</v>
      </c>
      <c r="R46595" s="36" t="s">
        <v>48</v>
      </c>
    </row>
    <row r="46596">
      <c r="H46596" s="50"/>
      <c r="I46596" s="50"/>
      <c r="O46596" s="36" t="s">
        <v>48</v>
      </c>
      <c r="R46596" s="36" t="s">
        <v>48</v>
      </c>
    </row>
    <row r="46597">
      <c r="H46597" s="50"/>
      <c r="I46597" s="50"/>
      <c r="O46597" s="36" t="s">
        <v>48</v>
      </c>
      <c r="R46597" s="36" t="s">
        <v>48</v>
      </c>
    </row>
    <row r="46598">
      <c r="H46598" s="50"/>
      <c r="I46598" s="50"/>
      <c r="O46598" s="36" t="s">
        <v>48</v>
      </c>
      <c r="R46598" s="36" t="s">
        <v>48</v>
      </c>
    </row>
    <row r="46599">
      <c r="H46599" s="50"/>
      <c r="I46599" s="50"/>
      <c r="O46599" s="36" t="s">
        <v>48</v>
      </c>
      <c r="R46599" s="36" t="s">
        <v>48</v>
      </c>
    </row>
    <row r="46600">
      <c r="H46600" s="50"/>
      <c r="I46600" s="50"/>
      <c r="O46600" s="36" t="s">
        <v>48</v>
      </c>
      <c r="R46600" s="36" t="s">
        <v>48</v>
      </c>
    </row>
    <row r="46601">
      <c r="H46601" s="50"/>
      <c r="I46601" s="50"/>
      <c r="O46601" s="36" t="s">
        <v>48</v>
      </c>
      <c r="R46601" s="36" t="s">
        <v>48</v>
      </c>
    </row>
    <row r="46602">
      <c r="H46602" s="50"/>
      <c r="I46602" s="50"/>
      <c r="O46602" s="36" t="s">
        <v>48</v>
      </c>
      <c r="R46602" s="36" t="s">
        <v>48</v>
      </c>
    </row>
    <row r="46603">
      <c r="H46603" s="50"/>
      <c r="I46603" s="50"/>
      <c r="O46603" s="36" t="s">
        <v>48</v>
      </c>
      <c r="R46603" s="36" t="s">
        <v>48</v>
      </c>
    </row>
    <row r="46604">
      <c r="H46604" s="50"/>
      <c r="I46604" s="50"/>
      <c r="O46604" s="36" t="s">
        <v>48</v>
      </c>
      <c r="R46604" s="36" t="s">
        <v>48</v>
      </c>
    </row>
    <row r="46605">
      <c r="H46605" s="50"/>
      <c r="I46605" s="50"/>
      <c r="O46605" s="36" t="s">
        <v>48</v>
      </c>
      <c r="R46605" s="36" t="s">
        <v>48</v>
      </c>
    </row>
    <row r="46606">
      <c r="H46606" s="50"/>
      <c r="I46606" s="50"/>
      <c r="O46606" s="36" t="s">
        <v>48</v>
      </c>
      <c r="R46606" s="36" t="s">
        <v>48</v>
      </c>
    </row>
    <row r="46607">
      <c r="H46607" s="50"/>
      <c r="I46607" s="50"/>
      <c r="O46607" s="36" t="s">
        <v>48</v>
      </c>
      <c r="R46607" s="36" t="s">
        <v>48</v>
      </c>
    </row>
    <row r="46608">
      <c r="H46608" s="50"/>
      <c r="I46608" s="50"/>
      <c r="O46608" s="36" t="s">
        <v>48</v>
      </c>
      <c r="R46608" s="36" t="s">
        <v>48</v>
      </c>
    </row>
    <row r="46609">
      <c r="H46609" s="50"/>
      <c r="I46609" s="50"/>
      <c r="O46609" s="36" t="s">
        <v>48</v>
      </c>
      <c r="R46609" s="36" t="s">
        <v>48</v>
      </c>
    </row>
    <row r="46610">
      <c r="H46610" s="50"/>
      <c r="I46610" s="50"/>
      <c r="O46610" s="36" t="s">
        <v>48</v>
      </c>
      <c r="R46610" s="36" t="s">
        <v>48</v>
      </c>
    </row>
    <row r="46611">
      <c r="H46611" s="50"/>
      <c r="I46611" s="50"/>
      <c r="O46611" s="36" t="s">
        <v>48</v>
      </c>
      <c r="R46611" s="36" t="s">
        <v>48</v>
      </c>
    </row>
    <row r="46612">
      <c r="H46612" s="50"/>
      <c r="I46612" s="50"/>
      <c r="O46612" s="36" t="s">
        <v>48</v>
      </c>
      <c r="R46612" s="36" t="s">
        <v>48</v>
      </c>
    </row>
    <row r="46613">
      <c r="H46613" s="50"/>
      <c r="I46613" s="50"/>
      <c r="O46613" s="36" t="s">
        <v>48</v>
      </c>
      <c r="R46613" s="36" t="s">
        <v>48</v>
      </c>
    </row>
    <row r="46614">
      <c r="H46614" s="50"/>
      <c r="I46614" s="50"/>
      <c r="O46614" s="36" t="s">
        <v>48</v>
      </c>
      <c r="R46614" s="36" t="s">
        <v>48</v>
      </c>
    </row>
    <row r="46615">
      <c r="H46615" s="50"/>
      <c r="I46615" s="50"/>
      <c r="O46615" s="36" t="s">
        <v>48</v>
      </c>
      <c r="R46615" s="36" t="s">
        <v>48</v>
      </c>
    </row>
    <row r="46616">
      <c r="H46616" s="50"/>
      <c r="I46616" s="50"/>
      <c r="O46616" s="36" t="s">
        <v>48</v>
      </c>
      <c r="R46616" s="36" t="s">
        <v>48</v>
      </c>
    </row>
    <row r="46617">
      <c r="H46617" s="50"/>
      <c r="I46617" s="50"/>
      <c r="O46617" s="36" t="s">
        <v>48</v>
      </c>
      <c r="R46617" s="36" t="s">
        <v>48</v>
      </c>
    </row>
    <row r="46618">
      <c r="H46618" s="50"/>
      <c r="I46618" s="50"/>
      <c r="O46618" s="36" t="s">
        <v>48</v>
      </c>
      <c r="R46618" s="36" t="s">
        <v>48</v>
      </c>
    </row>
    <row r="46619">
      <c r="H46619" s="50"/>
      <c r="I46619" s="50"/>
      <c r="O46619" s="36" t="s">
        <v>48</v>
      </c>
      <c r="R46619" s="36" t="s">
        <v>48</v>
      </c>
    </row>
    <row r="46620">
      <c r="H46620" s="50"/>
      <c r="I46620" s="50"/>
      <c r="O46620" s="36" t="s">
        <v>48</v>
      </c>
      <c r="R46620" s="36" t="s">
        <v>48</v>
      </c>
    </row>
    <row r="46621">
      <c r="H46621" s="50"/>
      <c r="I46621" s="50"/>
      <c r="O46621" s="36" t="s">
        <v>48</v>
      </c>
      <c r="R46621" s="36" t="s">
        <v>48</v>
      </c>
    </row>
    <row r="46622">
      <c r="H46622" s="50"/>
      <c r="I46622" s="50"/>
      <c r="O46622" s="36" t="s">
        <v>48</v>
      </c>
      <c r="R46622" s="36" t="s">
        <v>48</v>
      </c>
    </row>
    <row r="46623">
      <c r="H46623" s="50"/>
      <c r="I46623" s="50"/>
      <c r="O46623" s="36" t="s">
        <v>48</v>
      </c>
      <c r="R46623" s="36" t="s">
        <v>48</v>
      </c>
    </row>
    <row r="46624">
      <c r="H46624" s="50"/>
      <c r="I46624" s="50"/>
      <c r="O46624" s="36" t="s">
        <v>48</v>
      </c>
      <c r="R46624" s="36" t="s">
        <v>48</v>
      </c>
    </row>
    <row r="46625">
      <c r="H46625" s="50"/>
      <c r="I46625" s="50"/>
      <c r="O46625" s="36" t="s">
        <v>48</v>
      </c>
      <c r="R46625" s="36" t="s">
        <v>48</v>
      </c>
    </row>
    <row r="46626">
      <c r="H46626" s="50"/>
      <c r="I46626" s="50"/>
      <c r="O46626" s="36" t="s">
        <v>48</v>
      </c>
      <c r="R46626" s="36" t="s">
        <v>48</v>
      </c>
    </row>
    <row r="46627">
      <c r="H46627" s="50"/>
      <c r="I46627" s="50"/>
      <c r="O46627" s="36" t="s">
        <v>48</v>
      </c>
      <c r="R46627" s="36" t="s">
        <v>48</v>
      </c>
    </row>
    <row r="46628">
      <c r="H46628" s="50"/>
      <c r="I46628" s="50"/>
      <c r="O46628" s="36" t="s">
        <v>48</v>
      </c>
      <c r="R46628" s="36" t="s">
        <v>48</v>
      </c>
    </row>
    <row r="46629">
      <c r="H46629" s="50"/>
      <c r="I46629" s="50"/>
      <c r="O46629" s="36" t="s">
        <v>48</v>
      </c>
      <c r="R46629" s="36" t="s">
        <v>48</v>
      </c>
    </row>
    <row r="46630">
      <c r="H46630" s="50"/>
      <c r="I46630" s="50"/>
      <c r="O46630" s="36" t="s">
        <v>48</v>
      </c>
      <c r="R46630" s="36" t="s">
        <v>48</v>
      </c>
    </row>
    <row r="46631">
      <c r="H46631" s="50"/>
      <c r="I46631" s="50"/>
      <c r="O46631" s="36" t="s">
        <v>48</v>
      </c>
      <c r="R46631" s="36" t="s">
        <v>48</v>
      </c>
    </row>
    <row r="46632">
      <c r="H46632" s="50"/>
      <c r="I46632" s="50"/>
      <c r="O46632" s="36" t="s">
        <v>48</v>
      </c>
      <c r="R46632" s="36" t="s">
        <v>48</v>
      </c>
    </row>
    <row r="46633">
      <c r="H46633" s="50"/>
      <c r="I46633" s="50"/>
      <c r="O46633" s="36" t="s">
        <v>48</v>
      </c>
      <c r="R46633" s="36" t="s">
        <v>48</v>
      </c>
    </row>
    <row r="46634">
      <c r="H46634" s="50"/>
      <c r="I46634" s="50"/>
      <c r="O46634" s="36" t="s">
        <v>48</v>
      </c>
      <c r="R46634" s="36" t="s">
        <v>48</v>
      </c>
    </row>
    <row r="46635">
      <c r="H46635" s="50"/>
      <c r="I46635" s="50"/>
      <c r="O46635" s="36" t="s">
        <v>48</v>
      </c>
      <c r="R46635" s="36" t="s">
        <v>48</v>
      </c>
    </row>
    <row r="46636">
      <c r="H46636" s="50"/>
      <c r="I46636" s="50"/>
      <c r="O46636" s="36" t="s">
        <v>48</v>
      </c>
      <c r="R46636" s="36" t="s">
        <v>48</v>
      </c>
    </row>
    <row r="46637">
      <c r="H46637" s="50"/>
      <c r="I46637" s="50"/>
      <c r="O46637" s="36" t="s">
        <v>48</v>
      </c>
      <c r="R46637" s="36" t="s">
        <v>48</v>
      </c>
    </row>
    <row r="46638">
      <c r="H46638" s="50"/>
      <c r="I46638" s="50"/>
      <c r="O46638" s="36" t="s">
        <v>48</v>
      </c>
      <c r="R46638" s="36" t="s">
        <v>48</v>
      </c>
    </row>
    <row r="46639">
      <c r="H46639" s="50"/>
      <c r="I46639" s="50"/>
      <c r="O46639" s="36" t="s">
        <v>48</v>
      </c>
      <c r="R46639" s="36" t="s">
        <v>48</v>
      </c>
    </row>
    <row r="46640">
      <c r="H46640" s="50"/>
      <c r="I46640" s="50"/>
      <c r="O46640" s="36" t="s">
        <v>48</v>
      </c>
      <c r="R46640" s="36" t="s">
        <v>48</v>
      </c>
    </row>
    <row r="46641">
      <c r="H46641" s="50"/>
      <c r="I46641" s="50"/>
      <c r="O46641" s="36" t="s">
        <v>48</v>
      </c>
      <c r="R46641" s="36" t="s">
        <v>48</v>
      </c>
    </row>
    <row r="46642">
      <c r="H46642" s="50"/>
      <c r="I46642" s="50"/>
      <c r="O46642" s="36" t="s">
        <v>48</v>
      </c>
      <c r="R46642" s="36" t="s">
        <v>48</v>
      </c>
    </row>
    <row r="46643">
      <c r="H46643" s="50"/>
      <c r="I46643" s="50"/>
      <c r="O46643" s="36" t="s">
        <v>48</v>
      </c>
      <c r="R46643" s="36" t="s">
        <v>48</v>
      </c>
    </row>
    <row r="46644">
      <c r="H46644" s="50"/>
      <c r="I46644" s="50"/>
      <c r="O46644" s="36" t="s">
        <v>48</v>
      </c>
      <c r="R46644" s="36" t="s">
        <v>48</v>
      </c>
    </row>
    <row r="46645">
      <c r="H46645" s="50"/>
      <c r="I46645" s="50"/>
      <c r="O46645" s="36" t="s">
        <v>48</v>
      </c>
      <c r="R46645" s="36" t="s">
        <v>48</v>
      </c>
    </row>
    <row r="46646">
      <c r="H46646" s="50"/>
      <c r="I46646" s="50"/>
      <c r="O46646" s="36" t="s">
        <v>48</v>
      </c>
      <c r="R46646" s="36" t="s">
        <v>48</v>
      </c>
    </row>
    <row r="46647">
      <c r="H46647" s="50"/>
      <c r="I46647" s="50"/>
      <c r="O46647" s="36" t="s">
        <v>48</v>
      </c>
      <c r="R46647" s="36" t="s">
        <v>48</v>
      </c>
    </row>
    <row r="46648">
      <c r="H46648" s="50"/>
      <c r="I46648" s="50"/>
      <c r="O46648" s="36" t="s">
        <v>48</v>
      </c>
      <c r="R46648" s="36" t="s">
        <v>48</v>
      </c>
    </row>
    <row r="46649">
      <c r="H46649" s="50"/>
      <c r="I46649" s="50"/>
      <c r="O46649" s="36" t="s">
        <v>48</v>
      </c>
      <c r="R46649" s="36" t="s">
        <v>48</v>
      </c>
    </row>
    <row r="46650">
      <c r="H46650" s="50"/>
      <c r="I46650" s="50"/>
      <c r="O46650" s="36" t="s">
        <v>48</v>
      </c>
      <c r="R46650" s="36" t="s">
        <v>48</v>
      </c>
    </row>
    <row r="46651">
      <c r="H46651" s="50"/>
      <c r="I46651" s="50"/>
      <c r="O46651" s="36" t="s">
        <v>48</v>
      </c>
      <c r="R46651" s="36" t="s">
        <v>48</v>
      </c>
    </row>
    <row r="46652">
      <c r="H46652" s="50"/>
      <c r="I46652" s="50"/>
      <c r="O46652" s="36" t="s">
        <v>48</v>
      </c>
      <c r="R46652" s="36" t="s">
        <v>48</v>
      </c>
    </row>
    <row r="46653">
      <c r="H46653" s="50"/>
      <c r="I46653" s="50"/>
      <c r="O46653" s="36" t="s">
        <v>48</v>
      </c>
      <c r="R46653" s="36" t="s">
        <v>48</v>
      </c>
    </row>
    <row r="46654">
      <c r="H46654" s="50"/>
      <c r="I46654" s="50"/>
      <c r="O46654" s="36" t="s">
        <v>48</v>
      </c>
      <c r="R46654" s="36" t="s">
        <v>48</v>
      </c>
    </row>
    <row r="46655">
      <c r="H46655" s="50"/>
      <c r="I46655" s="50"/>
      <c r="O46655" s="36" t="s">
        <v>48</v>
      </c>
      <c r="R46655" s="36" t="s">
        <v>48</v>
      </c>
    </row>
    <row r="46656">
      <c r="H46656" s="50"/>
      <c r="I46656" s="50"/>
      <c r="O46656" s="36" t="s">
        <v>48</v>
      </c>
      <c r="R46656" s="36" t="s">
        <v>48</v>
      </c>
    </row>
    <row r="46657">
      <c r="H46657" s="50"/>
      <c r="I46657" s="50"/>
      <c r="O46657" s="36" t="s">
        <v>48</v>
      </c>
      <c r="R46657" s="36" t="s">
        <v>48</v>
      </c>
    </row>
    <row r="46658">
      <c r="H46658" s="50"/>
      <c r="I46658" s="50"/>
      <c r="O46658" s="36" t="s">
        <v>48</v>
      </c>
      <c r="R46658" s="36" t="s">
        <v>48</v>
      </c>
    </row>
    <row r="46659">
      <c r="H46659" s="50"/>
      <c r="I46659" s="50"/>
      <c r="O46659" s="36" t="s">
        <v>48</v>
      </c>
      <c r="R46659" s="36" t="s">
        <v>48</v>
      </c>
    </row>
    <row r="46660">
      <c r="H46660" s="50"/>
      <c r="I46660" s="50"/>
      <c r="O46660" s="36" t="s">
        <v>48</v>
      </c>
      <c r="R46660" s="36" t="s">
        <v>48</v>
      </c>
    </row>
    <row r="46661">
      <c r="H46661" s="50"/>
      <c r="I46661" s="50"/>
      <c r="O46661" s="36" t="s">
        <v>48</v>
      </c>
      <c r="R46661" s="36" t="s">
        <v>48</v>
      </c>
    </row>
    <row r="46662">
      <c r="H46662" s="50"/>
      <c r="I46662" s="50"/>
      <c r="O46662" s="36" t="s">
        <v>48</v>
      </c>
      <c r="R46662" s="36" t="s">
        <v>48</v>
      </c>
    </row>
    <row r="46663">
      <c r="H46663" s="50"/>
      <c r="I46663" s="50"/>
      <c r="O46663" s="36" t="s">
        <v>48</v>
      </c>
      <c r="R46663" s="36" t="s">
        <v>48</v>
      </c>
    </row>
    <row r="46664">
      <c r="H46664" s="50"/>
      <c r="I46664" s="50"/>
      <c r="O46664" s="36" t="s">
        <v>48</v>
      </c>
      <c r="R46664" s="36" t="s">
        <v>48</v>
      </c>
    </row>
    <row r="46665">
      <c r="H46665" s="50"/>
      <c r="I46665" s="50"/>
      <c r="O46665" s="36" t="s">
        <v>48</v>
      </c>
      <c r="R46665" s="36" t="s">
        <v>48</v>
      </c>
    </row>
    <row r="46666">
      <c r="H46666" s="50"/>
      <c r="I46666" s="50"/>
      <c r="O46666" s="36" t="s">
        <v>48</v>
      </c>
      <c r="R46666" s="36" t="s">
        <v>48</v>
      </c>
    </row>
    <row r="46667">
      <c r="H46667" s="50"/>
      <c r="I46667" s="50"/>
      <c r="O46667" s="36" t="s">
        <v>48</v>
      </c>
      <c r="R46667" s="36" t="s">
        <v>48</v>
      </c>
    </row>
    <row r="46668">
      <c r="H46668" s="50"/>
      <c r="I46668" s="50"/>
      <c r="O46668" s="36" t="s">
        <v>48</v>
      </c>
      <c r="R46668" s="36" t="s">
        <v>48</v>
      </c>
    </row>
    <row r="46669">
      <c r="H46669" s="50"/>
      <c r="I46669" s="50"/>
      <c r="O46669" s="36" t="s">
        <v>48</v>
      </c>
      <c r="R46669" s="36" t="s">
        <v>48</v>
      </c>
    </row>
    <row r="46670">
      <c r="H46670" s="50"/>
      <c r="I46670" s="50"/>
      <c r="O46670" s="36" t="s">
        <v>48</v>
      </c>
      <c r="R46670" s="36" t="s">
        <v>48</v>
      </c>
    </row>
    <row r="46671">
      <c r="H46671" s="50"/>
      <c r="I46671" s="50"/>
      <c r="O46671" s="36" t="s">
        <v>48</v>
      </c>
      <c r="R46671" s="36" t="s">
        <v>48</v>
      </c>
    </row>
    <row r="46672">
      <c r="H46672" s="50"/>
      <c r="I46672" s="50"/>
      <c r="O46672" s="36" t="s">
        <v>48</v>
      </c>
      <c r="R46672" s="36" t="s">
        <v>48</v>
      </c>
    </row>
    <row r="46673">
      <c r="H46673" s="50"/>
      <c r="I46673" s="50"/>
      <c r="O46673" s="36" t="s">
        <v>48</v>
      </c>
      <c r="R46673" s="36" t="s">
        <v>48</v>
      </c>
    </row>
    <row r="46674">
      <c r="H46674" s="50"/>
      <c r="I46674" s="50"/>
      <c r="O46674" s="36" t="s">
        <v>48</v>
      </c>
      <c r="R46674" s="36" t="s">
        <v>48</v>
      </c>
    </row>
    <row r="46675">
      <c r="H46675" s="50"/>
      <c r="I46675" s="50"/>
      <c r="O46675" s="36" t="s">
        <v>48</v>
      </c>
      <c r="R46675" s="36" t="s">
        <v>48</v>
      </c>
    </row>
    <row r="46676">
      <c r="H46676" s="50"/>
      <c r="I46676" s="50"/>
      <c r="O46676" s="36" t="s">
        <v>48</v>
      </c>
      <c r="R46676" s="36" t="s">
        <v>48</v>
      </c>
    </row>
    <row r="46677">
      <c r="H46677" s="50"/>
      <c r="I46677" s="50"/>
      <c r="O46677" s="36" t="s">
        <v>48</v>
      </c>
      <c r="R46677" s="36" t="s">
        <v>48</v>
      </c>
    </row>
    <row r="46678">
      <c r="H46678" s="50"/>
      <c r="I46678" s="50"/>
      <c r="O46678" s="36" t="s">
        <v>48</v>
      </c>
      <c r="R46678" s="36" t="s">
        <v>48</v>
      </c>
    </row>
    <row r="46679">
      <c r="H46679" s="50"/>
      <c r="I46679" s="50"/>
      <c r="O46679" s="36" t="s">
        <v>48</v>
      </c>
      <c r="R46679" s="36" t="s">
        <v>48</v>
      </c>
    </row>
    <row r="46680">
      <c r="H46680" s="50"/>
      <c r="I46680" s="50"/>
      <c r="O46680" s="36" t="s">
        <v>48</v>
      </c>
      <c r="R46680" s="36" t="s">
        <v>48</v>
      </c>
    </row>
    <row r="46681">
      <c r="H46681" s="50"/>
      <c r="I46681" s="50"/>
      <c r="O46681" s="36" t="s">
        <v>48</v>
      </c>
      <c r="R46681" s="36" t="s">
        <v>48</v>
      </c>
    </row>
    <row r="46682">
      <c r="H46682" s="50"/>
      <c r="I46682" s="50"/>
      <c r="O46682" s="36" t="s">
        <v>48</v>
      </c>
      <c r="R46682" s="36" t="s">
        <v>48</v>
      </c>
    </row>
    <row r="46683">
      <c r="H46683" s="50"/>
      <c r="I46683" s="50"/>
      <c r="O46683" s="36" t="s">
        <v>48</v>
      </c>
      <c r="R46683" s="36" t="s">
        <v>48</v>
      </c>
    </row>
    <row r="46684">
      <c r="H46684" s="50"/>
      <c r="I46684" s="50"/>
      <c r="O46684" s="36" t="s">
        <v>48</v>
      </c>
      <c r="R46684" s="36" t="s">
        <v>48</v>
      </c>
    </row>
    <row r="46685">
      <c r="H46685" s="50"/>
      <c r="I46685" s="50"/>
      <c r="O46685" s="36" t="s">
        <v>48</v>
      </c>
      <c r="R46685" s="36" t="s">
        <v>48</v>
      </c>
    </row>
    <row r="46686">
      <c r="H46686" s="50"/>
      <c r="I46686" s="50"/>
      <c r="O46686" s="36" t="s">
        <v>48</v>
      </c>
      <c r="R46686" s="36" t="s">
        <v>48</v>
      </c>
    </row>
    <row r="46687">
      <c r="H46687" s="50"/>
      <c r="I46687" s="50"/>
      <c r="O46687" s="36" t="s">
        <v>48</v>
      </c>
      <c r="R46687" s="36" t="s">
        <v>48</v>
      </c>
    </row>
    <row r="46688">
      <c r="H46688" s="50"/>
      <c r="I46688" s="50"/>
      <c r="O46688" s="36" t="s">
        <v>48</v>
      </c>
      <c r="R46688" s="36" t="s">
        <v>48</v>
      </c>
    </row>
    <row r="46689">
      <c r="H46689" s="50"/>
      <c r="I46689" s="50"/>
      <c r="O46689" s="36" t="s">
        <v>48</v>
      </c>
      <c r="R46689" s="36" t="s">
        <v>48</v>
      </c>
    </row>
    <row r="46690">
      <c r="H46690" s="50"/>
      <c r="I46690" s="50"/>
      <c r="O46690" s="36" t="s">
        <v>48</v>
      </c>
      <c r="R46690" s="36" t="s">
        <v>48</v>
      </c>
    </row>
    <row r="46691">
      <c r="H46691" s="50"/>
      <c r="I46691" s="50"/>
      <c r="O46691" s="36" t="s">
        <v>48</v>
      </c>
      <c r="R46691" s="36" t="s">
        <v>48</v>
      </c>
    </row>
    <row r="46692">
      <c r="H46692" s="50"/>
      <c r="I46692" s="50"/>
      <c r="O46692" s="36" t="s">
        <v>48</v>
      </c>
      <c r="R46692" s="36" t="s">
        <v>48</v>
      </c>
    </row>
    <row r="46693">
      <c r="H46693" s="50"/>
      <c r="I46693" s="50"/>
      <c r="O46693" s="36" t="s">
        <v>48</v>
      </c>
      <c r="R46693" s="36" t="s">
        <v>48</v>
      </c>
    </row>
    <row r="46694">
      <c r="H46694" s="50"/>
      <c r="I46694" s="50"/>
      <c r="O46694" s="36" t="s">
        <v>48</v>
      </c>
      <c r="R46694" s="36" t="s">
        <v>48</v>
      </c>
    </row>
    <row r="46695">
      <c r="H46695" s="50"/>
      <c r="I46695" s="50"/>
      <c r="O46695" s="36" t="s">
        <v>48</v>
      </c>
      <c r="R46695" s="36" t="s">
        <v>48</v>
      </c>
    </row>
    <row r="46696">
      <c r="H46696" s="50"/>
      <c r="I46696" s="50"/>
      <c r="O46696" s="36" t="s">
        <v>48</v>
      </c>
      <c r="R46696" s="36" t="s">
        <v>48</v>
      </c>
    </row>
    <row r="46697">
      <c r="H46697" s="50"/>
      <c r="I46697" s="50"/>
      <c r="O46697" s="36" t="s">
        <v>48</v>
      </c>
      <c r="R46697" s="36" t="s">
        <v>48</v>
      </c>
    </row>
    <row r="46698">
      <c r="H46698" s="50"/>
      <c r="I46698" s="50"/>
      <c r="O46698" s="36" t="s">
        <v>48</v>
      </c>
      <c r="R46698" s="36" t="s">
        <v>48</v>
      </c>
    </row>
    <row r="46699">
      <c r="H46699" s="50"/>
      <c r="I46699" s="50"/>
      <c r="O46699" s="36" t="s">
        <v>48</v>
      </c>
      <c r="R46699" s="36" t="s">
        <v>48</v>
      </c>
    </row>
    <row r="46700">
      <c r="H46700" s="50"/>
      <c r="I46700" s="50"/>
      <c r="O46700" s="36" t="s">
        <v>48</v>
      </c>
      <c r="R46700" s="36" t="s">
        <v>48</v>
      </c>
    </row>
    <row r="46701">
      <c r="H46701" s="50"/>
      <c r="I46701" s="50"/>
      <c r="O46701" s="36" t="s">
        <v>48</v>
      </c>
      <c r="R46701" s="36" t="s">
        <v>48</v>
      </c>
    </row>
    <row r="46702">
      <c r="H46702" s="50"/>
      <c r="I46702" s="50"/>
      <c r="O46702" s="36" t="s">
        <v>48</v>
      </c>
      <c r="R46702" s="36" t="s">
        <v>48</v>
      </c>
    </row>
    <row r="46703">
      <c r="H46703" s="50"/>
      <c r="I46703" s="50"/>
      <c r="O46703" s="36" t="s">
        <v>48</v>
      </c>
      <c r="R46703" s="36" t="s">
        <v>48</v>
      </c>
    </row>
    <row r="46704">
      <c r="H46704" s="50"/>
      <c r="I46704" s="50"/>
      <c r="O46704" s="36" t="s">
        <v>48</v>
      </c>
      <c r="R46704" s="36" t="s">
        <v>48</v>
      </c>
    </row>
    <row r="46705">
      <c r="H46705" s="50"/>
      <c r="I46705" s="50"/>
      <c r="O46705" s="36" t="s">
        <v>48</v>
      </c>
      <c r="R46705" s="36" t="s">
        <v>48</v>
      </c>
    </row>
    <row r="46706">
      <c r="H46706" s="50"/>
      <c r="I46706" s="50"/>
      <c r="O46706" s="36" t="s">
        <v>48</v>
      </c>
      <c r="R46706" s="36" t="s">
        <v>48</v>
      </c>
    </row>
    <row r="46707">
      <c r="H46707" s="50"/>
      <c r="I46707" s="50"/>
      <c r="O46707" s="36" t="s">
        <v>48</v>
      </c>
      <c r="R46707" s="36" t="s">
        <v>48</v>
      </c>
    </row>
    <row r="46708">
      <c r="H46708" s="50"/>
      <c r="I46708" s="50"/>
      <c r="O46708" s="36" t="s">
        <v>48</v>
      </c>
      <c r="R46708" s="36" t="s">
        <v>48</v>
      </c>
    </row>
    <row r="46709">
      <c r="H46709" s="50"/>
      <c r="I46709" s="50"/>
      <c r="O46709" s="36" t="s">
        <v>48</v>
      </c>
      <c r="R46709" s="36" t="s">
        <v>48</v>
      </c>
    </row>
    <row r="46710">
      <c r="H46710" s="50"/>
      <c r="I46710" s="50"/>
      <c r="O46710" s="36" t="s">
        <v>48</v>
      </c>
      <c r="R46710" s="36" t="s">
        <v>48</v>
      </c>
    </row>
    <row r="46711">
      <c r="H46711" s="50"/>
      <c r="I46711" s="50"/>
      <c r="O46711" s="36" t="s">
        <v>48</v>
      </c>
      <c r="R46711" s="36" t="s">
        <v>48</v>
      </c>
    </row>
    <row r="46712">
      <c r="H46712" s="50"/>
      <c r="I46712" s="50"/>
      <c r="O46712" s="36" t="s">
        <v>48</v>
      </c>
      <c r="R46712" s="36" t="s">
        <v>48</v>
      </c>
    </row>
    <row r="46713">
      <c r="H46713" s="50"/>
      <c r="I46713" s="50"/>
      <c r="O46713" s="36" t="s">
        <v>48</v>
      </c>
      <c r="R46713" s="36" t="s">
        <v>48</v>
      </c>
    </row>
    <row r="46714">
      <c r="H46714" s="50"/>
      <c r="I46714" s="50"/>
      <c r="O46714" s="36" t="s">
        <v>48</v>
      </c>
      <c r="R46714" s="36" t="s">
        <v>48</v>
      </c>
    </row>
    <row r="46715">
      <c r="H46715" s="50"/>
      <c r="I46715" s="50"/>
      <c r="O46715" s="36" t="s">
        <v>48</v>
      </c>
      <c r="R46715" s="36" t="s">
        <v>48</v>
      </c>
    </row>
    <row r="46716">
      <c r="H46716" s="50"/>
      <c r="I46716" s="50"/>
      <c r="O46716" s="36" t="s">
        <v>48</v>
      </c>
      <c r="R46716" s="36" t="s">
        <v>48</v>
      </c>
    </row>
    <row r="46717">
      <c r="H46717" s="50"/>
      <c r="I46717" s="50"/>
      <c r="O46717" s="36" t="s">
        <v>48</v>
      </c>
      <c r="R46717" s="36" t="s">
        <v>48</v>
      </c>
    </row>
    <row r="46718">
      <c r="H46718" s="50"/>
      <c r="I46718" s="50"/>
      <c r="O46718" s="36" t="s">
        <v>48</v>
      </c>
      <c r="R46718" s="36" t="s">
        <v>48</v>
      </c>
    </row>
    <row r="46719">
      <c r="H46719" s="50"/>
      <c r="I46719" s="50"/>
      <c r="O46719" s="36" t="s">
        <v>48</v>
      </c>
      <c r="R46719" s="36" t="s">
        <v>48</v>
      </c>
    </row>
    <row r="46720">
      <c r="H46720" s="50"/>
      <c r="I46720" s="50"/>
      <c r="O46720" s="36" t="s">
        <v>48</v>
      </c>
      <c r="R46720" s="36" t="s">
        <v>48</v>
      </c>
    </row>
    <row r="46721">
      <c r="H46721" s="50"/>
      <c r="I46721" s="50"/>
      <c r="O46721" s="36" t="s">
        <v>48</v>
      </c>
      <c r="R46721" s="36" t="s">
        <v>48</v>
      </c>
    </row>
    <row r="46722">
      <c r="H46722" s="50"/>
      <c r="I46722" s="50"/>
      <c r="O46722" s="36" t="s">
        <v>48</v>
      </c>
      <c r="R46722" s="36" t="s">
        <v>48</v>
      </c>
    </row>
    <row r="46723">
      <c r="H46723" s="50"/>
      <c r="I46723" s="50"/>
      <c r="O46723" s="36" t="s">
        <v>48</v>
      </c>
      <c r="R46723" s="36" t="s">
        <v>48</v>
      </c>
    </row>
    <row r="46724">
      <c r="H46724" s="50"/>
      <c r="I46724" s="50"/>
      <c r="O46724" s="36" t="s">
        <v>48</v>
      </c>
      <c r="R46724" s="36" t="s">
        <v>48</v>
      </c>
    </row>
    <row r="46725">
      <c r="H46725" s="50"/>
      <c r="I46725" s="50"/>
      <c r="O46725" s="36" t="s">
        <v>48</v>
      </c>
      <c r="R46725" s="36" t="s">
        <v>48</v>
      </c>
    </row>
    <row r="46726">
      <c r="H46726" s="50"/>
      <c r="I46726" s="50"/>
      <c r="O46726" s="36" t="s">
        <v>48</v>
      </c>
      <c r="R46726" s="36" t="s">
        <v>48</v>
      </c>
    </row>
    <row r="46727">
      <c r="H46727" s="50"/>
      <c r="I46727" s="50"/>
      <c r="O46727" s="36" t="s">
        <v>48</v>
      </c>
      <c r="R46727" s="36" t="s">
        <v>48</v>
      </c>
    </row>
    <row r="46728">
      <c r="H46728" s="50"/>
      <c r="I46728" s="50"/>
      <c r="O46728" s="36" t="s">
        <v>48</v>
      </c>
      <c r="R46728" s="36" t="s">
        <v>48</v>
      </c>
    </row>
    <row r="46729">
      <c r="H46729" s="50"/>
      <c r="I46729" s="50"/>
      <c r="O46729" s="36" t="s">
        <v>48</v>
      </c>
      <c r="R46729" s="36" t="s">
        <v>48</v>
      </c>
    </row>
    <row r="46730">
      <c r="H46730" s="50"/>
      <c r="I46730" s="50"/>
      <c r="O46730" s="36" t="s">
        <v>48</v>
      </c>
      <c r="R46730" s="36" t="s">
        <v>48</v>
      </c>
    </row>
    <row r="46731">
      <c r="H46731" s="50"/>
      <c r="I46731" s="50"/>
      <c r="O46731" s="36" t="s">
        <v>48</v>
      </c>
      <c r="R46731" s="36" t="s">
        <v>48</v>
      </c>
    </row>
    <row r="46732">
      <c r="H46732" s="50"/>
      <c r="I46732" s="50"/>
      <c r="O46732" s="36" t="s">
        <v>48</v>
      </c>
      <c r="R46732" s="36" t="s">
        <v>48</v>
      </c>
    </row>
    <row r="46733">
      <c r="H46733" s="50"/>
      <c r="I46733" s="50"/>
      <c r="O46733" s="36" t="s">
        <v>48</v>
      </c>
      <c r="R46733" s="36" t="s">
        <v>48</v>
      </c>
    </row>
    <row r="46734">
      <c r="H46734" s="50"/>
      <c r="I46734" s="50"/>
      <c r="O46734" s="36" t="s">
        <v>48</v>
      </c>
      <c r="R46734" s="36" t="s">
        <v>48</v>
      </c>
    </row>
    <row r="46735">
      <c r="H46735" s="50"/>
      <c r="I46735" s="50"/>
      <c r="O46735" s="36" t="s">
        <v>48</v>
      </c>
      <c r="R46735" s="36" t="s">
        <v>48</v>
      </c>
    </row>
    <row r="46736">
      <c r="H46736" s="50"/>
      <c r="I46736" s="50"/>
      <c r="O46736" s="36" t="s">
        <v>48</v>
      </c>
      <c r="R46736" s="36" t="s">
        <v>48</v>
      </c>
    </row>
    <row r="46737">
      <c r="H46737" s="50"/>
      <c r="I46737" s="50"/>
      <c r="O46737" s="36" t="s">
        <v>48</v>
      </c>
      <c r="R46737" s="36" t="s">
        <v>48</v>
      </c>
    </row>
    <row r="46738">
      <c r="H46738" s="50"/>
      <c r="I46738" s="50"/>
      <c r="O46738" s="36" t="s">
        <v>48</v>
      </c>
      <c r="R46738" s="36" t="s">
        <v>48</v>
      </c>
    </row>
    <row r="46739">
      <c r="H46739" s="50"/>
      <c r="I46739" s="50"/>
      <c r="O46739" s="36" t="s">
        <v>48</v>
      </c>
      <c r="R46739" s="36" t="s">
        <v>48</v>
      </c>
    </row>
    <row r="46740">
      <c r="H46740" s="50"/>
      <c r="I46740" s="50"/>
      <c r="O46740" s="36" t="s">
        <v>48</v>
      </c>
      <c r="R46740" s="36" t="s">
        <v>48</v>
      </c>
    </row>
    <row r="46741">
      <c r="H46741" s="50"/>
      <c r="I46741" s="50"/>
      <c r="O46741" s="36" t="s">
        <v>48</v>
      </c>
      <c r="R46741" s="36" t="s">
        <v>48</v>
      </c>
    </row>
    <row r="46742">
      <c r="H46742" s="50"/>
      <c r="I46742" s="50"/>
      <c r="O46742" s="36" t="s">
        <v>48</v>
      </c>
      <c r="R46742" s="36" t="s">
        <v>48</v>
      </c>
    </row>
    <row r="46743">
      <c r="H46743" s="50"/>
      <c r="I46743" s="50"/>
      <c r="O46743" s="36" t="s">
        <v>48</v>
      </c>
      <c r="R46743" s="36" t="s">
        <v>48</v>
      </c>
    </row>
    <row r="46744">
      <c r="H46744" s="50"/>
      <c r="I46744" s="50"/>
      <c r="O46744" s="36" t="s">
        <v>48</v>
      </c>
      <c r="R46744" s="36" t="s">
        <v>48</v>
      </c>
    </row>
    <row r="46745">
      <c r="H46745" s="50"/>
      <c r="I46745" s="50"/>
      <c r="O46745" s="36" t="s">
        <v>48</v>
      </c>
      <c r="R46745" s="36" t="s">
        <v>48</v>
      </c>
    </row>
    <row r="46746">
      <c r="H46746" s="50"/>
      <c r="I46746" s="50"/>
      <c r="O46746" s="36" t="s">
        <v>48</v>
      </c>
      <c r="R46746" s="36" t="s">
        <v>48</v>
      </c>
    </row>
    <row r="46747">
      <c r="H46747" s="50"/>
      <c r="I46747" s="50"/>
      <c r="O46747" s="36" t="s">
        <v>48</v>
      </c>
      <c r="R46747" s="36" t="s">
        <v>48</v>
      </c>
    </row>
    <row r="46748">
      <c r="H46748" s="50"/>
      <c r="I46748" s="50"/>
      <c r="O46748" s="36" t="s">
        <v>48</v>
      </c>
      <c r="R46748" s="36" t="s">
        <v>48</v>
      </c>
    </row>
    <row r="46749">
      <c r="H46749" s="50"/>
      <c r="I46749" s="50"/>
      <c r="O46749" s="36" t="s">
        <v>48</v>
      </c>
      <c r="R46749" s="36" t="s">
        <v>48</v>
      </c>
    </row>
    <row r="46750">
      <c r="H46750" s="50"/>
      <c r="I46750" s="50"/>
      <c r="O46750" s="36" t="s">
        <v>48</v>
      </c>
      <c r="R46750" s="36" t="s">
        <v>48</v>
      </c>
    </row>
    <row r="46751">
      <c r="H46751" s="50"/>
      <c r="I46751" s="50"/>
      <c r="O46751" s="36" t="s">
        <v>48</v>
      </c>
      <c r="R46751" s="36" t="s">
        <v>48</v>
      </c>
    </row>
    <row r="46752">
      <c r="H46752" s="50"/>
      <c r="I46752" s="50"/>
      <c r="O46752" s="36" t="s">
        <v>48</v>
      </c>
      <c r="R46752" s="36" t="s">
        <v>48</v>
      </c>
    </row>
    <row r="46753">
      <c r="H46753" s="50"/>
      <c r="I46753" s="50"/>
      <c r="O46753" s="36" t="s">
        <v>48</v>
      </c>
      <c r="R46753" s="36" t="s">
        <v>48</v>
      </c>
    </row>
    <row r="46754">
      <c r="H46754" s="50"/>
      <c r="I46754" s="50"/>
      <c r="O46754" s="36" t="s">
        <v>48</v>
      </c>
      <c r="R46754" s="36" t="s">
        <v>48</v>
      </c>
    </row>
    <row r="46755">
      <c r="H46755" s="50"/>
      <c r="I46755" s="50"/>
      <c r="O46755" s="36" t="s">
        <v>48</v>
      </c>
      <c r="R46755" s="36" t="s">
        <v>48</v>
      </c>
    </row>
    <row r="46756">
      <c r="H46756" s="50"/>
      <c r="I46756" s="50"/>
      <c r="O46756" s="36" t="s">
        <v>48</v>
      </c>
      <c r="R46756" s="36" t="s">
        <v>48</v>
      </c>
    </row>
    <row r="46757">
      <c r="H46757" s="50"/>
      <c r="I46757" s="50"/>
      <c r="O46757" s="36" t="s">
        <v>48</v>
      </c>
      <c r="R46757" s="36" t="s">
        <v>48</v>
      </c>
    </row>
    <row r="46758">
      <c r="H46758" s="50"/>
      <c r="I46758" s="50"/>
      <c r="O46758" s="36" t="s">
        <v>48</v>
      </c>
      <c r="R46758" s="36" t="s">
        <v>48</v>
      </c>
    </row>
    <row r="46759">
      <c r="H46759" s="50"/>
      <c r="I46759" s="50"/>
      <c r="O46759" s="36" t="s">
        <v>48</v>
      </c>
      <c r="R46759" s="36" t="s">
        <v>48</v>
      </c>
    </row>
    <row r="46760">
      <c r="H46760" s="50"/>
      <c r="I46760" s="50"/>
      <c r="O46760" s="36" t="s">
        <v>48</v>
      </c>
      <c r="R46760" s="36" t="s">
        <v>48</v>
      </c>
    </row>
    <row r="46761">
      <c r="H46761" s="50"/>
      <c r="I46761" s="50"/>
      <c r="O46761" s="36" t="s">
        <v>48</v>
      </c>
      <c r="R46761" s="36" t="s">
        <v>48</v>
      </c>
    </row>
    <row r="46762">
      <c r="H46762" s="50"/>
      <c r="I46762" s="50"/>
      <c r="O46762" s="36" t="s">
        <v>48</v>
      </c>
      <c r="R46762" s="36" t="s">
        <v>48</v>
      </c>
    </row>
    <row r="46763">
      <c r="H46763" s="50"/>
      <c r="I46763" s="50"/>
      <c r="O46763" s="36" t="s">
        <v>48</v>
      </c>
      <c r="R46763" s="36" t="s">
        <v>48</v>
      </c>
    </row>
    <row r="46764">
      <c r="H46764" s="50"/>
      <c r="I46764" s="50"/>
      <c r="O46764" s="36" t="s">
        <v>48</v>
      </c>
      <c r="R46764" s="36" t="s">
        <v>48</v>
      </c>
    </row>
    <row r="46765">
      <c r="H46765" s="50"/>
      <c r="I46765" s="50"/>
      <c r="O46765" s="36" t="s">
        <v>48</v>
      </c>
      <c r="R46765" s="36" t="s">
        <v>48</v>
      </c>
    </row>
    <row r="46766">
      <c r="H46766" s="50"/>
      <c r="I46766" s="50"/>
      <c r="O46766" s="36" t="s">
        <v>48</v>
      </c>
      <c r="R46766" s="36" t="s">
        <v>48</v>
      </c>
    </row>
    <row r="46767">
      <c r="H46767" s="50"/>
      <c r="I46767" s="50"/>
      <c r="O46767" s="36" t="s">
        <v>48</v>
      </c>
      <c r="R46767" s="36" t="s">
        <v>48</v>
      </c>
    </row>
    <row r="46768">
      <c r="H46768" s="50"/>
      <c r="I46768" s="50"/>
      <c r="O46768" s="36" t="s">
        <v>48</v>
      </c>
      <c r="R46768" s="36" t="s">
        <v>48</v>
      </c>
    </row>
    <row r="46769">
      <c r="H46769" s="50"/>
      <c r="I46769" s="50"/>
      <c r="O46769" s="36" t="s">
        <v>48</v>
      </c>
      <c r="R46769" s="36" t="s">
        <v>48</v>
      </c>
    </row>
    <row r="46770">
      <c r="H46770" s="50"/>
      <c r="I46770" s="50"/>
      <c r="O46770" s="36" t="s">
        <v>48</v>
      </c>
      <c r="R46770" s="36" t="s">
        <v>48</v>
      </c>
    </row>
    <row r="46771">
      <c r="H46771" s="50"/>
      <c r="I46771" s="50"/>
      <c r="O46771" s="36" t="s">
        <v>48</v>
      </c>
      <c r="R46771" s="36" t="s">
        <v>48</v>
      </c>
    </row>
    <row r="46772">
      <c r="H46772" s="50"/>
      <c r="I46772" s="50"/>
      <c r="O46772" s="36" t="s">
        <v>48</v>
      </c>
      <c r="R46772" s="36" t="s">
        <v>48</v>
      </c>
    </row>
    <row r="46773">
      <c r="H46773" s="50"/>
      <c r="I46773" s="50"/>
      <c r="O46773" s="36" t="s">
        <v>48</v>
      </c>
      <c r="R46773" s="36" t="s">
        <v>48</v>
      </c>
    </row>
    <row r="46774">
      <c r="H46774" s="50"/>
      <c r="I46774" s="50"/>
      <c r="O46774" s="36" t="s">
        <v>48</v>
      </c>
      <c r="R46774" s="36" t="s">
        <v>48</v>
      </c>
    </row>
    <row r="46775">
      <c r="H46775" s="50"/>
      <c r="I46775" s="50"/>
      <c r="O46775" s="36" t="s">
        <v>48</v>
      </c>
      <c r="R46775" s="36" t="s">
        <v>48</v>
      </c>
    </row>
    <row r="46776">
      <c r="H46776" s="50"/>
      <c r="I46776" s="50"/>
      <c r="O46776" s="36" t="s">
        <v>48</v>
      </c>
      <c r="R46776" s="36" t="s">
        <v>48</v>
      </c>
    </row>
    <row r="46777">
      <c r="H46777" s="50"/>
      <c r="I46777" s="50"/>
      <c r="O46777" s="36" t="s">
        <v>48</v>
      </c>
      <c r="R46777" s="36" t="s">
        <v>48</v>
      </c>
    </row>
    <row r="46778">
      <c r="H46778" s="50"/>
      <c r="I46778" s="50"/>
      <c r="O46778" s="36" t="s">
        <v>48</v>
      </c>
      <c r="R46778" s="36" t="s">
        <v>48</v>
      </c>
    </row>
    <row r="46779">
      <c r="H46779" s="50"/>
      <c r="I46779" s="50"/>
      <c r="O46779" s="36" t="s">
        <v>48</v>
      </c>
      <c r="R46779" s="36" t="s">
        <v>48</v>
      </c>
    </row>
    <row r="46780">
      <c r="H46780" s="50"/>
      <c r="I46780" s="50"/>
      <c r="O46780" s="36" t="s">
        <v>48</v>
      </c>
      <c r="R46780" s="36" t="s">
        <v>48</v>
      </c>
    </row>
    <row r="46781">
      <c r="H46781" s="50"/>
      <c r="I46781" s="50"/>
      <c r="O46781" s="36" t="s">
        <v>48</v>
      </c>
      <c r="R46781" s="36" t="s">
        <v>48</v>
      </c>
    </row>
    <row r="46782">
      <c r="H46782" s="50"/>
      <c r="I46782" s="50"/>
      <c r="O46782" s="36" t="s">
        <v>48</v>
      </c>
      <c r="R46782" s="36" t="s">
        <v>48</v>
      </c>
    </row>
    <row r="46783">
      <c r="H46783" s="50"/>
      <c r="I46783" s="50"/>
      <c r="O46783" s="36" t="s">
        <v>48</v>
      </c>
      <c r="R46783" s="36" t="s">
        <v>48</v>
      </c>
    </row>
    <row r="46784">
      <c r="H46784" s="50"/>
      <c r="I46784" s="50"/>
      <c r="O46784" s="36" t="s">
        <v>48</v>
      </c>
      <c r="R46784" s="36" t="s">
        <v>48</v>
      </c>
    </row>
    <row r="46785">
      <c r="H46785" s="50"/>
      <c r="I46785" s="50"/>
      <c r="O46785" s="36" t="s">
        <v>48</v>
      </c>
      <c r="R46785" s="36" t="s">
        <v>48</v>
      </c>
    </row>
    <row r="46786">
      <c r="H46786" s="50"/>
      <c r="I46786" s="50"/>
      <c r="O46786" s="36" t="s">
        <v>48</v>
      </c>
      <c r="R46786" s="36" t="s">
        <v>48</v>
      </c>
    </row>
    <row r="46787">
      <c r="H46787" s="50"/>
      <c r="I46787" s="50"/>
      <c r="O46787" s="36" t="s">
        <v>48</v>
      </c>
      <c r="R46787" s="36" t="s">
        <v>48</v>
      </c>
    </row>
    <row r="46788">
      <c r="H46788" s="50"/>
      <c r="I46788" s="50"/>
      <c r="O46788" s="36" t="s">
        <v>48</v>
      </c>
      <c r="R46788" s="36" t="s">
        <v>48</v>
      </c>
    </row>
    <row r="46789">
      <c r="H46789" s="50"/>
      <c r="I46789" s="50"/>
      <c r="O46789" s="36" t="s">
        <v>48</v>
      </c>
      <c r="R46789" s="36" t="s">
        <v>48</v>
      </c>
    </row>
    <row r="46790">
      <c r="H46790" s="50"/>
      <c r="I46790" s="50"/>
      <c r="O46790" s="36" t="s">
        <v>48</v>
      </c>
      <c r="R46790" s="36" t="s">
        <v>48</v>
      </c>
    </row>
    <row r="46791">
      <c r="H46791" s="50"/>
      <c r="I46791" s="50"/>
      <c r="O46791" s="36" t="s">
        <v>48</v>
      </c>
      <c r="R46791" s="36" t="s">
        <v>48</v>
      </c>
    </row>
    <row r="46792">
      <c r="H46792" s="50"/>
      <c r="I46792" s="50"/>
      <c r="O46792" s="36" t="s">
        <v>48</v>
      </c>
      <c r="R46792" s="36" t="s">
        <v>48</v>
      </c>
    </row>
    <row r="46793">
      <c r="H46793" s="50"/>
      <c r="I46793" s="50"/>
      <c r="O46793" s="36" t="s">
        <v>48</v>
      </c>
      <c r="R46793" s="36" t="s">
        <v>48</v>
      </c>
    </row>
    <row r="46794">
      <c r="H46794" s="50"/>
      <c r="I46794" s="50"/>
      <c r="O46794" s="36" t="s">
        <v>48</v>
      </c>
      <c r="R46794" s="36" t="s">
        <v>48</v>
      </c>
    </row>
    <row r="46795">
      <c r="H46795" s="50"/>
      <c r="I46795" s="50"/>
      <c r="O46795" s="36" t="s">
        <v>48</v>
      </c>
      <c r="R46795" s="36" t="s">
        <v>48</v>
      </c>
    </row>
    <row r="46796">
      <c r="H46796" s="50"/>
      <c r="I46796" s="50"/>
      <c r="O46796" s="36" t="s">
        <v>48</v>
      </c>
      <c r="R46796" s="36" t="s">
        <v>48</v>
      </c>
    </row>
    <row r="46797">
      <c r="H46797" s="50"/>
      <c r="I46797" s="50"/>
      <c r="O46797" s="36" t="s">
        <v>48</v>
      </c>
      <c r="R46797" s="36" t="s">
        <v>48</v>
      </c>
    </row>
    <row r="46798">
      <c r="H46798" s="50"/>
      <c r="I46798" s="50"/>
      <c r="O46798" s="36" t="s">
        <v>48</v>
      </c>
      <c r="R46798" s="36" t="s">
        <v>48</v>
      </c>
    </row>
    <row r="46799">
      <c r="H46799" s="50"/>
      <c r="I46799" s="50"/>
      <c r="O46799" s="36" t="s">
        <v>48</v>
      </c>
      <c r="R46799" s="36" t="s">
        <v>48</v>
      </c>
    </row>
    <row r="46800">
      <c r="H46800" s="50"/>
      <c r="I46800" s="50"/>
      <c r="O46800" s="36" t="s">
        <v>48</v>
      </c>
      <c r="R46800" s="36" t="s">
        <v>48</v>
      </c>
    </row>
    <row r="46801">
      <c r="H46801" s="50"/>
      <c r="I46801" s="50"/>
      <c r="O46801" s="36" t="s">
        <v>48</v>
      </c>
      <c r="R46801" s="36" t="s">
        <v>48</v>
      </c>
    </row>
    <row r="46802">
      <c r="H46802" s="50"/>
      <c r="I46802" s="50"/>
      <c r="O46802" s="36" t="s">
        <v>48</v>
      </c>
      <c r="R46802" s="36" t="s">
        <v>48</v>
      </c>
    </row>
    <row r="46803">
      <c r="H46803" s="50"/>
      <c r="I46803" s="50"/>
      <c r="O46803" s="36" t="s">
        <v>48</v>
      </c>
      <c r="R46803" s="36" t="s">
        <v>48</v>
      </c>
    </row>
    <row r="46804">
      <c r="H46804" s="50"/>
      <c r="I46804" s="50"/>
      <c r="O46804" s="36" t="s">
        <v>48</v>
      </c>
      <c r="R46804" s="36" t="s">
        <v>48</v>
      </c>
    </row>
    <row r="46805">
      <c r="H46805" s="50"/>
      <c r="I46805" s="50"/>
      <c r="O46805" s="36" t="s">
        <v>48</v>
      </c>
      <c r="R46805" s="36" t="s">
        <v>48</v>
      </c>
    </row>
    <row r="46806">
      <c r="H46806" s="50"/>
      <c r="I46806" s="50"/>
      <c r="O46806" s="36" t="s">
        <v>48</v>
      </c>
      <c r="R46806" s="36" t="s">
        <v>48</v>
      </c>
    </row>
    <row r="46807">
      <c r="H46807" s="50"/>
      <c r="I46807" s="50"/>
      <c r="O46807" s="36" t="s">
        <v>48</v>
      </c>
      <c r="R46807" s="36" t="s">
        <v>48</v>
      </c>
    </row>
    <row r="46808">
      <c r="H46808" s="50"/>
      <c r="I46808" s="50"/>
      <c r="O46808" s="36" t="s">
        <v>48</v>
      </c>
      <c r="R46808" s="36" t="s">
        <v>48</v>
      </c>
    </row>
    <row r="46809">
      <c r="H46809" s="50"/>
      <c r="I46809" s="50"/>
      <c r="O46809" s="36" t="s">
        <v>48</v>
      </c>
      <c r="R46809" s="36" t="s">
        <v>48</v>
      </c>
    </row>
    <row r="46810">
      <c r="H46810" s="50"/>
      <c r="I46810" s="50"/>
      <c r="O46810" s="36" t="s">
        <v>48</v>
      </c>
      <c r="R46810" s="36" t="s">
        <v>48</v>
      </c>
    </row>
    <row r="46811">
      <c r="H46811" s="50"/>
      <c r="I46811" s="50"/>
      <c r="O46811" s="36" t="s">
        <v>48</v>
      </c>
      <c r="R46811" s="36" t="s">
        <v>48</v>
      </c>
    </row>
    <row r="46812">
      <c r="H46812" s="50"/>
      <c r="I46812" s="50"/>
      <c r="O46812" s="36" t="s">
        <v>48</v>
      </c>
      <c r="R46812" s="36" t="s">
        <v>48</v>
      </c>
    </row>
    <row r="46813">
      <c r="H46813" s="50"/>
      <c r="I46813" s="50"/>
      <c r="O46813" s="36" t="s">
        <v>48</v>
      </c>
      <c r="R46813" s="36" t="s">
        <v>48</v>
      </c>
    </row>
    <row r="46814">
      <c r="H46814" s="50"/>
      <c r="I46814" s="50"/>
      <c r="O46814" s="36" t="s">
        <v>48</v>
      </c>
      <c r="R46814" s="36" t="s">
        <v>48</v>
      </c>
    </row>
    <row r="46815">
      <c r="H46815" s="50"/>
      <c r="I46815" s="50"/>
      <c r="O46815" s="36" t="s">
        <v>48</v>
      </c>
      <c r="R46815" s="36" t="s">
        <v>48</v>
      </c>
    </row>
    <row r="46816">
      <c r="H46816" s="50"/>
      <c r="I46816" s="50"/>
      <c r="O46816" s="36" t="s">
        <v>48</v>
      </c>
      <c r="R46816" s="36" t="s">
        <v>48</v>
      </c>
    </row>
    <row r="46817">
      <c r="H46817" s="50"/>
      <c r="I46817" s="50"/>
      <c r="O46817" s="36" t="s">
        <v>48</v>
      </c>
      <c r="R46817" s="36" t="s">
        <v>48</v>
      </c>
    </row>
    <row r="46818">
      <c r="H46818" s="50"/>
      <c r="I46818" s="50"/>
      <c r="O46818" s="36" t="s">
        <v>48</v>
      </c>
      <c r="R46818" s="36" t="s">
        <v>48</v>
      </c>
    </row>
    <row r="46819">
      <c r="H46819" s="50"/>
      <c r="I46819" s="50"/>
      <c r="O46819" s="36" t="s">
        <v>48</v>
      </c>
      <c r="R46819" s="36" t="s">
        <v>48</v>
      </c>
    </row>
    <row r="46820">
      <c r="H46820" s="50"/>
      <c r="I46820" s="50"/>
      <c r="O46820" s="36" t="s">
        <v>48</v>
      </c>
      <c r="R46820" s="36" t="s">
        <v>48</v>
      </c>
    </row>
    <row r="46821">
      <c r="H46821" s="50"/>
      <c r="I46821" s="50"/>
      <c r="O46821" s="36" t="s">
        <v>48</v>
      </c>
      <c r="R46821" s="36" t="s">
        <v>48</v>
      </c>
    </row>
    <row r="46822">
      <c r="H46822" s="50"/>
      <c r="I46822" s="50"/>
      <c r="O46822" s="36" t="s">
        <v>48</v>
      </c>
      <c r="R46822" s="36" t="s">
        <v>48</v>
      </c>
    </row>
    <row r="46823">
      <c r="H46823" s="50"/>
      <c r="I46823" s="50"/>
      <c r="O46823" s="36" t="s">
        <v>48</v>
      </c>
      <c r="R46823" s="36" t="s">
        <v>48</v>
      </c>
    </row>
    <row r="46824">
      <c r="H46824" s="50"/>
      <c r="I46824" s="50"/>
      <c r="O46824" s="36" t="s">
        <v>48</v>
      </c>
      <c r="R46824" s="36" t="s">
        <v>48</v>
      </c>
    </row>
    <row r="46825">
      <c r="H46825" s="50"/>
      <c r="I46825" s="50"/>
      <c r="O46825" s="36" t="s">
        <v>48</v>
      </c>
      <c r="R46825" s="36" t="s">
        <v>48</v>
      </c>
    </row>
    <row r="46826">
      <c r="H46826" s="50"/>
      <c r="I46826" s="50"/>
      <c r="O46826" s="36" t="s">
        <v>48</v>
      </c>
      <c r="R46826" s="36" t="s">
        <v>48</v>
      </c>
    </row>
    <row r="46827">
      <c r="H46827" s="50"/>
      <c r="I46827" s="50"/>
      <c r="O46827" s="36" t="s">
        <v>48</v>
      </c>
      <c r="R46827" s="36" t="s">
        <v>48</v>
      </c>
    </row>
    <row r="46828">
      <c r="H46828" s="50"/>
      <c r="I46828" s="50"/>
      <c r="O46828" s="36" t="s">
        <v>48</v>
      </c>
      <c r="R46828" s="36" t="s">
        <v>48</v>
      </c>
    </row>
    <row r="46829">
      <c r="H46829" s="50"/>
      <c r="I46829" s="50"/>
      <c r="O46829" s="36" t="s">
        <v>48</v>
      </c>
      <c r="R46829" s="36" t="s">
        <v>48</v>
      </c>
    </row>
    <row r="46830">
      <c r="H46830" s="50"/>
      <c r="I46830" s="50"/>
      <c r="O46830" s="36" t="s">
        <v>48</v>
      </c>
      <c r="R46830" s="36" t="s">
        <v>48</v>
      </c>
    </row>
    <row r="46831">
      <c r="H46831" s="50"/>
      <c r="I46831" s="50"/>
      <c r="O46831" s="36" t="s">
        <v>48</v>
      </c>
      <c r="R46831" s="36" t="s">
        <v>48</v>
      </c>
    </row>
    <row r="46832">
      <c r="H46832" s="50"/>
      <c r="I46832" s="50"/>
      <c r="O46832" s="36" t="s">
        <v>48</v>
      </c>
      <c r="R46832" s="36" t="s">
        <v>48</v>
      </c>
    </row>
    <row r="46833">
      <c r="H46833" s="50"/>
      <c r="I46833" s="50"/>
      <c r="O46833" s="36" t="s">
        <v>48</v>
      </c>
      <c r="R46833" s="36" t="s">
        <v>48</v>
      </c>
    </row>
    <row r="46834">
      <c r="H46834" s="50"/>
      <c r="I46834" s="50"/>
      <c r="O46834" s="36" t="s">
        <v>48</v>
      </c>
      <c r="R46834" s="36" t="s">
        <v>48</v>
      </c>
    </row>
    <row r="46835">
      <c r="H46835" s="50"/>
      <c r="I46835" s="50"/>
      <c r="O46835" s="36" t="s">
        <v>48</v>
      </c>
      <c r="R46835" s="36" t="s">
        <v>48</v>
      </c>
    </row>
    <row r="46836">
      <c r="H46836" s="50"/>
      <c r="I46836" s="50"/>
      <c r="O46836" s="36" t="s">
        <v>48</v>
      </c>
      <c r="R46836" s="36" t="s">
        <v>48</v>
      </c>
    </row>
    <row r="46837">
      <c r="H46837" s="50"/>
      <c r="I46837" s="50"/>
      <c r="O46837" s="36" t="s">
        <v>48</v>
      </c>
      <c r="R46837" s="36" t="s">
        <v>48</v>
      </c>
    </row>
    <row r="46838">
      <c r="H46838" s="50"/>
      <c r="I46838" s="50"/>
      <c r="O46838" s="36" t="s">
        <v>48</v>
      </c>
      <c r="R46838" s="36" t="s">
        <v>48</v>
      </c>
    </row>
    <row r="46839">
      <c r="H46839" s="50"/>
      <c r="I46839" s="50"/>
      <c r="O46839" s="36" t="s">
        <v>48</v>
      </c>
      <c r="R46839" s="36" t="s">
        <v>48</v>
      </c>
    </row>
    <row r="46840">
      <c r="H46840" s="50"/>
      <c r="I46840" s="50"/>
      <c r="O46840" s="36" t="s">
        <v>48</v>
      </c>
      <c r="R46840" s="36" t="s">
        <v>48</v>
      </c>
    </row>
    <row r="46841">
      <c r="H46841" s="50"/>
      <c r="I46841" s="50"/>
      <c r="O46841" s="36" t="s">
        <v>48</v>
      </c>
      <c r="R46841" s="36" t="s">
        <v>48</v>
      </c>
    </row>
    <row r="46842">
      <c r="H46842" s="50"/>
      <c r="I46842" s="50"/>
      <c r="O46842" s="36" t="s">
        <v>48</v>
      </c>
      <c r="R46842" s="36" t="s">
        <v>48</v>
      </c>
    </row>
    <row r="46843">
      <c r="H46843" s="50"/>
      <c r="I46843" s="50"/>
      <c r="O46843" s="36" t="s">
        <v>48</v>
      </c>
      <c r="R46843" s="36" t="s">
        <v>48</v>
      </c>
    </row>
    <row r="46844">
      <c r="H46844" s="50"/>
      <c r="I46844" s="50"/>
      <c r="O46844" s="36" t="s">
        <v>48</v>
      </c>
      <c r="R46844" s="36" t="s">
        <v>48</v>
      </c>
    </row>
    <row r="46845">
      <c r="H46845" s="50"/>
      <c r="I46845" s="50"/>
      <c r="O46845" s="36" t="s">
        <v>48</v>
      </c>
      <c r="R46845" s="36" t="s">
        <v>48</v>
      </c>
    </row>
    <row r="46846">
      <c r="H46846" s="50"/>
      <c r="I46846" s="50"/>
      <c r="O46846" s="36" t="s">
        <v>48</v>
      </c>
      <c r="R46846" s="36" t="s">
        <v>48</v>
      </c>
    </row>
    <row r="46847">
      <c r="H46847" s="50"/>
      <c r="I46847" s="50"/>
      <c r="O46847" s="36" t="s">
        <v>48</v>
      </c>
      <c r="R46847" s="36" t="s">
        <v>48</v>
      </c>
    </row>
    <row r="46848">
      <c r="H46848" s="50"/>
      <c r="I46848" s="50"/>
      <c r="O46848" s="36" t="s">
        <v>48</v>
      </c>
      <c r="R46848" s="36" t="s">
        <v>48</v>
      </c>
    </row>
    <row r="46849">
      <c r="H46849" s="50"/>
      <c r="I46849" s="50"/>
      <c r="O46849" s="36" t="s">
        <v>48</v>
      </c>
      <c r="R46849" s="36" t="s">
        <v>48</v>
      </c>
    </row>
    <row r="46850">
      <c r="H46850" s="50"/>
      <c r="I46850" s="50"/>
      <c r="O46850" s="36" t="s">
        <v>48</v>
      </c>
      <c r="R46850" s="36" t="s">
        <v>48</v>
      </c>
    </row>
    <row r="46851">
      <c r="H46851" s="50"/>
      <c r="I46851" s="50"/>
      <c r="O46851" s="36" t="s">
        <v>48</v>
      </c>
      <c r="R46851" s="36" t="s">
        <v>48</v>
      </c>
    </row>
    <row r="46852">
      <c r="H46852" s="50"/>
      <c r="I46852" s="50"/>
      <c r="O46852" s="36" t="s">
        <v>48</v>
      </c>
      <c r="R46852" s="36" t="s">
        <v>48</v>
      </c>
    </row>
    <row r="46853">
      <c r="H46853" s="50"/>
      <c r="I46853" s="50"/>
      <c r="O46853" s="36" t="s">
        <v>48</v>
      </c>
      <c r="R46853" s="36" t="s">
        <v>48</v>
      </c>
    </row>
    <row r="46854">
      <c r="H46854" s="50"/>
      <c r="I46854" s="50"/>
      <c r="O46854" s="36" t="s">
        <v>48</v>
      </c>
      <c r="R46854" s="36" t="s">
        <v>48</v>
      </c>
    </row>
    <row r="46855">
      <c r="H46855" s="50"/>
      <c r="I46855" s="50"/>
      <c r="O46855" s="36" t="s">
        <v>48</v>
      </c>
      <c r="R46855" s="36" t="s">
        <v>48</v>
      </c>
    </row>
    <row r="46856">
      <c r="H46856" s="50"/>
      <c r="I46856" s="50"/>
      <c r="O46856" s="36" t="s">
        <v>48</v>
      </c>
      <c r="R46856" s="36" t="s">
        <v>48</v>
      </c>
    </row>
    <row r="46857">
      <c r="H46857" s="50"/>
      <c r="I46857" s="50"/>
      <c r="O46857" s="36" t="s">
        <v>48</v>
      </c>
      <c r="R46857" s="36" t="s">
        <v>48</v>
      </c>
    </row>
    <row r="46858">
      <c r="H46858" s="50"/>
      <c r="I46858" s="50"/>
      <c r="O46858" s="36" t="s">
        <v>48</v>
      </c>
      <c r="R46858" s="36" t="s">
        <v>48</v>
      </c>
    </row>
    <row r="46859">
      <c r="H46859" s="50"/>
      <c r="I46859" s="50"/>
      <c r="O46859" s="36" t="s">
        <v>48</v>
      </c>
      <c r="R46859" s="36" t="s">
        <v>48</v>
      </c>
    </row>
    <row r="46860">
      <c r="H46860" s="50"/>
      <c r="I46860" s="50"/>
      <c r="O46860" s="36" t="s">
        <v>48</v>
      </c>
      <c r="R46860" s="36" t="s">
        <v>48</v>
      </c>
    </row>
    <row r="46861">
      <c r="H46861" s="50"/>
      <c r="I46861" s="50"/>
      <c r="O46861" s="36" t="s">
        <v>48</v>
      </c>
      <c r="R46861" s="36" t="s">
        <v>48</v>
      </c>
    </row>
    <row r="46862">
      <c r="H46862" s="50"/>
      <c r="I46862" s="50"/>
      <c r="O46862" s="36" t="s">
        <v>48</v>
      </c>
      <c r="R46862" s="36" t="s">
        <v>48</v>
      </c>
    </row>
    <row r="46863">
      <c r="H46863" s="50"/>
      <c r="I46863" s="50"/>
      <c r="O46863" s="36" t="s">
        <v>48</v>
      </c>
      <c r="R46863" s="36" t="s">
        <v>48</v>
      </c>
    </row>
    <row r="46864">
      <c r="H46864" s="50"/>
      <c r="I46864" s="50"/>
      <c r="O46864" s="36" t="s">
        <v>48</v>
      </c>
      <c r="R46864" s="36" t="s">
        <v>48</v>
      </c>
    </row>
    <row r="46865">
      <c r="H46865" s="50"/>
      <c r="I46865" s="50"/>
      <c r="O46865" s="36" t="s">
        <v>48</v>
      </c>
      <c r="R46865" s="36" t="s">
        <v>48</v>
      </c>
    </row>
    <row r="46866">
      <c r="H46866" s="50"/>
      <c r="I46866" s="50"/>
      <c r="O46866" s="36" t="s">
        <v>48</v>
      </c>
      <c r="R46866" s="36" t="s">
        <v>48</v>
      </c>
    </row>
    <row r="46867">
      <c r="H46867" s="50"/>
      <c r="I46867" s="50"/>
      <c r="O46867" s="36" t="s">
        <v>48</v>
      </c>
      <c r="R46867" s="36" t="s">
        <v>48</v>
      </c>
    </row>
    <row r="46868">
      <c r="H46868" s="50"/>
      <c r="I46868" s="50"/>
      <c r="O46868" s="36" t="s">
        <v>48</v>
      </c>
      <c r="R46868" s="36" t="s">
        <v>48</v>
      </c>
    </row>
    <row r="46869">
      <c r="H46869" s="50"/>
      <c r="I46869" s="50"/>
      <c r="O46869" s="36" t="s">
        <v>48</v>
      </c>
      <c r="R46869" s="36" t="s">
        <v>48</v>
      </c>
    </row>
    <row r="46870">
      <c r="H46870" s="50"/>
      <c r="I46870" s="50"/>
      <c r="O46870" s="36" t="s">
        <v>48</v>
      </c>
      <c r="R46870" s="36" t="s">
        <v>48</v>
      </c>
    </row>
    <row r="46871">
      <c r="H46871" s="50"/>
      <c r="I46871" s="50"/>
      <c r="O46871" s="36" t="s">
        <v>48</v>
      </c>
      <c r="R46871" s="36" t="s">
        <v>48</v>
      </c>
    </row>
    <row r="46872">
      <c r="H46872" s="50"/>
      <c r="I46872" s="50"/>
      <c r="O46872" s="36" t="s">
        <v>48</v>
      </c>
      <c r="R46872" s="36" t="s">
        <v>48</v>
      </c>
    </row>
    <row r="46873">
      <c r="H46873" s="50"/>
      <c r="I46873" s="50"/>
      <c r="O46873" s="36" t="s">
        <v>48</v>
      </c>
      <c r="R46873" s="36" t="s">
        <v>48</v>
      </c>
    </row>
    <row r="46874">
      <c r="H46874" s="50"/>
      <c r="I46874" s="50"/>
      <c r="O46874" s="36" t="s">
        <v>48</v>
      </c>
      <c r="R46874" s="36" t="s">
        <v>48</v>
      </c>
    </row>
    <row r="46875">
      <c r="H46875" s="50"/>
      <c r="I46875" s="50"/>
      <c r="O46875" s="36" t="s">
        <v>48</v>
      </c>
      <c r="R46875" s="36" t="s">
        <v>48</v>
      </c>
    </row>
    <row r="46876">
      <c r="H46876" s="50"/>
      <c r="I46876" s="50"/>
      <c r="O46876" s="36" t="s">
        <v>48</v>
      </c>
      <c r="R46876" s="36" t="s">
        <v>48</v>
      </c>
    </row>
    <row r="46877">
      <c r="H46877" s="50"/>
      <c r="I46877" s="50"/>
      <c r="O46877" s="36" t="s">
        <v>48</v>
      </c>
      <c r="R46877" s="36" t="s">
        <v>48</v>
      </c>
    </row>
    <row r="46878">
      <c r="H46878" s="50"/>
      <c r="I46878" s="50"/>
      <c r="O46878" s="36" t="s">
        <v>48</v>
      </c>
      <c r="R46878" s="36" t="s">
        <v>48</v>
      </c>
    </row>
    <row r="46879">
      <c r="H46879" s="50"/>
      <c r="I46879" s="50"/>
      <c r="O46879" s="36" t="s">
        <v>48</v>
      </c>
      <c r="R46879" s="36" t="s">
        <v>48</v>
      </c>
    </row>
    <row r="46880">
      <c r="H46880" s="50"/>
      <c r="I46880" s="50"/>
      <c r="O46880" s="36" t="s">
        <v>48</v>
      </c>
      <c r="R46880" s="36" t="s">
        <v>48</v>
      </c>
    </row>
    <row r="46881">
      <c r="H46881" s="50"/>
      <c r="I46881" s="50"/>
      <c r="O46881" s="36" t="s">
        <v>48</v>
      </c>
      <c r="R46881" s="36" t="s">
        <v>48</v>
      </c>
    </row>
    <row r="46882">
      <c r="H46882" s="50"/>
      <c r="I46882" s="50"/>
      <c r="O46882" s="36" t="s">
        <v>48</v>
      </c>
      <c r="R46882" s="36" t="s">
        <v>48</v>
      </c>
    </row>
    <row r="46883">
      <c r="H46883" s="50"/>
      <c r="I46883" s="50"/>
      <c r="O46883" s="36" t="s">
        <v>48</v>
      </c>
      <c r="R46883" s="36" t="s">
        <v>48</v>
      </c>
    </row>
    <row r="46884">
      <c r="H46884" s="50"/>
      <c r="I46884" s="50"/>
      <c r="O46884" s="36" t="s">
        <v>48</v>
      </c>
      <c r="R46884" s="36" t="s">
        <v>48</v>
      </c>
    </row>
    <row r="46885">
      <c r="H46885" s="50"/>
      <c r="I46885" s="50"/>
      <c r="O46885" s="36" t="s">
        <v>48</v>
      </c>
      <c r="R46885" s="36" t="s">
        <v>48</v>
      </c>
    </row>
    <row r="46886">
      <c r="H46886" s="50"/>
      <c r="I46886" s="50"/>
      <c r="O46886" s="36" t="s">
        <v>48</v>
      </c>
      <c r="R46886" s="36" t="s">
        <v>48</v>
      </c>
    </row>
    <row r="46887">
      <c r="H46887" s="50"/>
      <c r="I46887" s="50"/>
      <c r="O46887" s="36" t="s">
        <v>48</v>
      </c>
      <c r="R46887" s="36" t="s">
        <v>48</v>
      </c>
    </row>
    <row r="46888">
      <c r="H46888" s="50"/>
      <c r="I46888" s="50"/>
      <c r="O46888" s="36" t="s">
        <v>48</v>
      </c>
      <c r="R46888" s="36" t="s">
        <v>48</v>
      </c>
    </row>
    <row r="46889">
      <c r="H46889" s="50"/>
      <c r="I46889" s="50"/>
      <c r="O46889" s="36" t="s">
        <v>48</v>
      </c>
      <c r="R46889" s="36" t="s">
        <v>48</v>
      </c>
    </row>
    <row r="46890">
      <c r="H46890" s="50"/>
      <c r="I46890" s="50"/>
      <c r="O46890" s="36" t="s">
        <v>48</v>
      </c>
      <c r="R46890" s="36" t="s">
        <v>48</v>
      </c>
    </row>
    <row r="46891">
      <c r="H46891" s="50"/>
      <c r="I46891" s="50"/>
      <c r="O46891" s="36" t="s">
        <v>48</v>
      </c>
      <c r="R46891" s="36" t="s">
        <v>48</v>
      </c>
    </row>
    <row r="46892">
      <c r="H46892" s="50"/>
      <c r="I46892" s="50"/>
      <c r="O46892" s="36" t="s">
        <v>48</v>
      </c>
      <c r="R46892" s="36" t="s">
        <v>48</v>
      </c>
    </row>
    <row r="46893">
      <c r="H46893" s="50"/>
      <c r="I46893" s="50"/>
      <c r="O46893" s="36" t="s">
        <v>48</v>
      </c>
      <c r="R46893" s="36" t="s">
        <v>48</v>
      </c>
    </row>
    <row r="46894">
      <c r="H46894" s="50"/>
      <c r="I46894" s="50"/>
      <c r="O46894" s="36" t="s">
        <v>48</v>
      </c>
      <c r="R46894" s="36" t="s">
        <v>48</v>
      </c>
    </row>
    <row r="46895">
      <c r="H46895" s="50"/>
      <c r="I46895" s="50"/>
      <c r="O46895" s="36" t="s">
        <v>48</v>
      </c>
      <c r="R46895" s="36" t="s">
        <v>48</v>
      </c>
    </row>
    <row r="46896">
      <c r="H46896" s="50"/>
      <c r="I46896" s="50"/>
      <c r="O46896" s="36" t="s">
        <v>48</v>
      </c>
      <c r="R46896" s="36" t="s">
        <v>48</v>
      </c>
    </row>
    <row r="46897">
      <c r="H46897" s="50"/>
      <c r="I46897" s="50"/>
      <c r="O46897" s="36" t="s">
        <v>48</v>
      </c>
      <c r="R46897" s="36" t="s">
        <v>48</v>
      </c>
    </row>
    <row r="46898">
      <c r="H46898" s="50"/>
      <c r="I46898" s="50"/>
      <c r="O46898" s="36" t="s">
        <v>48</v>
      </c>
      <c r="R46898" s="36" t="s">
        <v>48</v>
      </c>
    </row>
    <row r="46899">
      <c r="H46899" s="50"/>
      <c r="I46899" s="50"/>
      <c r="O46899" s="36" t="s">
        <v>48</v>
      </c>
      <c r="R46899" s="36" t="s">
        <v>48</v>
      </c>
    </row>
    <row r="46900">
      <c r="H46900" s="50"/>
      <c r="I46900" s="50"/>
      <c r="O46900" s="36" t="s">
        <v>48</v>
      </c>
      <c r="R46900" s="36" t="s">
        <v>48</v>
      </c>
    </row>
    <row r="46901">
      <c r="H46901" s="50"/>
      <c r="I46901" s="50"/>
      <c r="O46901" s="36" t="s">
        <v>48</v>
      </c>
      <c r="R46901" s="36" t="s">
        <v>48</v>
      </c>
    </row>
    <row r="46902">
      <c r="H46902" s="50"/>
      <c r="I46902" s="50"/>
      <c r="O46902" s="36" t="s">
        <v>48</v>
      </c>
      <c r="R46902" s="36" t="s">
        <v>48</v>
      </c>
    </row>
    <row r="46903">
      <c r="H46903" s="50"/>
      <c r="I46903" s="50"/>
      <c r="O46903" s="36" t="s">
        <v>48</v>
      </c>
      <c r="R46903" s="36" t="s">
        <v>48</v>
      </c>
    </row>
    <row r="46904">
      <c r="H46904" s="50"/>
      <c r="I46904" s="50"/>
      <c r="O46904" s="36" t="s">
        <v>48</v>
      </c>
      <c r="R46904" s="36" t="s">
        <v>48</v>
      </c>
    </row>
    <row r="46905">
      <c r="H46905" s="50"/>
      <c r="I46905" s="50"/>
      <c r="O46905" s="36" t="s">
        <v>48</v>
      </c>
      <c r="R46905" s="36" t="s">
        <v>48</v>
      </c>
    </row>
    <row r="46906">
      <c r="H46906" s="50"/>
      <c r="I46906" s="50"/>
      <c r="O46906" s="36" t="s">
        <v>48</v>
      </c>
      <c r="R46906" s="36" t="s">
        <v>48</v>
      </c>
    </row>
    <row r="46907">
      <c r="H46907" s="50"/>
      <c r="I46907" s="50"/>
      <c r="O46907" s="36" t="s">
        <v>48</v>
      </c>
      <c r="R46907" s="36" t="s">
        <v>48</v>
      </c>
    </row>
    <row r="46908">
      <c r="H46908" s="50"/>
      <c r="I46908" s="50"/>
      <c r="O46908" s="36" t="s">
        <v>48</v>
      </c>
      <c r="R46908" s="36" t="s">
        <v>48</v>
      </c>
    </row>
    <row r="46909">
      <c r="H46909" s="50"/>
      <c r="I46909" s="50"/>
      <c r="O46909" s="36" t="s">
        <v>48</v>
      </c>
      <c r="R46909" s="36" t="s">
        <v>48</v>
      </c>
    </row>
    <row r="46910">
      <c r="H46910" s="50"/>
      <c r="I46910" s="50"/>
      <c r="O46910" s="36" t="s">
        <v>48</v>
      </c>
      <c r="R46910" s="36" t="s">
        <v>48</v>
      </c>
    </row>
    <row r="46911">
      <c r="H46911" s="50"/>
      <c r="I46911" s="50"/>
      <c r="O46911" s="36" t="s">
        <v>48</v>
      </c>
      <c r="R46911" s="36" t="s">
        <v>48</v>
      </c>
    </row>
    <row r="46912">
      <c r="H46912" s="50"/>
      <c r="I46912" s="50"/>
      <c r="O46912" s="36" t="s">
        <v>48</v>
      </c>
      <c r="R46912" s="36" t="s">
        <v>48</v>
      </c>
    </row>
    <row r="46913">
      <c r="H46913" s="50"/>
      <c r="I46913" s="50"/>
      <c r="O46913" s="36" t="s">
        <v>48</v>
      </c>
      <c r="R46913" s="36" t="s">
        <v>48</v>
      </c>
    </row>
    <row r="46914">
      <c r="H46914" s="50"/>
      <c r="I46914" s="50"/>
      <c r="O46914" s="36" t="s">
        <v>48</v>
      </c>
      <c r="R46914" s="36" t="s">
        <v>48</v>
      </c>
    </row>
    <row r="46915">
      <c r="H46915" s="50"/>
      <c r="I46915" s="50"/>
      <c r="O46915" s="36" t="s">
        <v>48</v>
      </c>
      <c r="R46915" s="36" t="s">
        <v>48</v>
      </c>
    </row>
    <row r="46916">
      <c r="H46916" s="50"/>
      <c r="I46916" s="50"/>
      <c r="O46916" s="36" t="s">
        <v>48</v>
      </c>
      <c r="R46916" s="36" t="s">
        <v>48</v>
      </c>
    </row>
    <row r="46917">
      <c r="H46917" s="50"/>
      <c r="I46917" s="50"/>
      <c r="O46917" s="36" t="s">
        <v>48</v>
      </c>
      <c r="R46917" s="36" t="s">
        <v>48</v>
      </c>
    </row>
    <row r="46918">
      <c r="H46918" s="50"/>
      <c r="I46918" s="50"/>
      <c r="O46918" s="36" t="s">
        <v>48</v>
      </c>
      <c r="R46918" s="36" t="s">
        <v>48</v>
      </c>
    </row>
    <row r="46919">
      <c r="H46919" s="50"/>
      <c r="I46919" s="50"/>
      <c r="O46919" s="36" t="s">
        <v>48</v>
      </c>
      <c r="R46919" s="36" t="s">
        <v>48</v>
      </c>
    </row>
    <row r="46920">
      <c r="H46920" s="50"/>
      <c r="I46920" s="50"/>
      <c r="O46920" s="36" t="s">
        <v>48</v>
      </c>
      <c r="R46920" s="36" t="s">
        <v>48</v>
      </c>
    </row>
    <row r="46921">
      <c r="H46921" s="50"/>
      <c r="I46921" s="50"/>
      <c r="O46921" s="36" t="s">
        <v>48</v>
      </c>
      <c r="R46921" s="36" t="s">
        <v>48</v>
      </c>
    </row>
    <row r="46922">
      <c r="H46922" s="50"/>
      <c r="I46922" s="50"/>
      <c r="O46922" s="36" t="s">
        <v>48</v>
      </c>
      <c r="R46922" s="36" t="s">
        <v>48</v>
      </c>
    </row>
    <row r="46923">
      <c r="H46923" s="50"/>
      <c r="I46923" s="50"/>
      <c r="O46923" s="36" t="s">
        <v>48</v>
      </c>
      <c r="R46923" s="36" t="s">
        <v>48</v>
      </c>
    </row>
    <row r="46924">
      <c r="H46924" s="50"/>
      <c r="I46924" s="50"/>
      <c r="O46924" s="36" t="s">
        <v>48</v>
      </c>
      <c r="R46924" s="36" t="s">
        <v>48</v>
      </c>
    </row>
    <row r="46925">
      <c r="H46925" s="50"/>
      <c r="I46925" s="50"/>
      <c r="O46925" s="36" t="s">
        <v>48</v>
      </c>
      <c r="R46925" s="36" t="s">
        <v>48</v>
      </c>
    </row>
    <row r="46926">
      <c r="H46926" s="50"/>
      <c r="I46926" s="50"/>
      <c r="O46926" s="36" t="s">
        <v>48</v>
      </c>
      <c r="R46926" s="36" t="s">
        <v>48</v>
      </c>
    </row>
    <row r="46927">
      <c r="H46927" s="50"/>
      <c r="I46927" s="50"/>
      <c r="O46927" s="36" t="s">
        <v>48</v>
      </c>
      <c r="R46927" s="36" t="s">
        <v>48</v>
      </c>
    </row>
    <row r="46928">
      <c r="H46928" s="50"/>
      <c r="I46928" s="50"/>
      <c r="O46928" s="36" t="s">
        <v>48</v>
      </c>
      <c r="R46928" s="36" t="s">
        <v>48</v>
      </c>
    </row>
    <row r="46929">
      <c r="H46929" s="50"/>
      <c r="I46929" s="50"/>
      <c r="O46929" s="36" t="s">
        <v>48</v>
      </c>
      <c r="R46929" s="36" t="s">
        <v>48</v>
      </c>
    </row>
    <row r="46930">
      <c r="H46930" s="50"/>
      <c r="I46930" s="50"/>
      <c r="O46930" s="36" t="s">
        <v>48</v>
      </c>
      <c r="R46930" s="36" t="s">
        <v>48</v>
      </c>
    </row>
    <row r="46931">
      <c r="H46931" s="50"/>
      <c r="I46931" s="50"/>
      <c r="O46931" s="36" t="s">
        <v>48</v>
      </c>
      <c r="R46931" s="36" t="s">
        <v>48</v>
      </c>
    </row>
    <row r="46932">
      <c r="H46932" s="50"/>
      <c r="I46932" s="50"/>
      <c r="O46932" s="36" t="s">
        <v>48</v>
      </c>
      <c r="R46932" s="36" t="s">
        <v>48</v>
      </c>
    </row>
    <row r="46933">
      <c r="H46933" s="50"/>
      <c r="I46933" s="50"/>
      <c r="O46933" s="36" t="s">
        <v>48</v>
      </c>
      <c r="R46933" s="36" t="s">
        <v>48</v>
      </c>
    </row>
    <row r="46934">
      <c r="H46934" s="50"/>
      <c r="I46934" s="50"/>
      <c r="O46934" s="36" t="s">
        <v>48</v>
      </c>
      <c r="R46934" s="36" t="s">
        <v>48</v>
      </c>
    </row>
    <row r="46935">
      <c r="H46935" s="50"/>
      <c r="I46935" s="50"/>
      <c r="O46935" s="36" t="s">
        <v>48</v>
      </c>
      <c r="R46935" s="36" t="s">
        <v>48</v>
      </c>
    </row>
    <row r="46936">
      <c r="H46936" s="50"/>
      <c r="I46936" s="50"/>
      <c r="O46936" s="36" t="s">
        <v>48</v>
      </c>
      <c r="R46936" s="36" t="s">
        <v>48</v>
      </c>
    </row>
    <row r="46937">
      <c r="H46937" s="50"/>
      <c r="I46937" s="50"/>
      <c r="O46937" s="36" t="s">
        <v>48</v>
      </c>
      <c r="R46937" s="36" t="s">
        <v>48</v>
      </c>
    </row>
    <row r="46938">
      <c r="H46938" s="50"/>
      <c r="I46938" s="50"/>
      <c r="O46938" s="36" t="s">
        <v>48</v>
      </c>
      <c r="R46938" s="36" t="s">
        <v>48</v>
      </c>
    </row>
    <row r="46939">
      <c r="H46939" s="50"/>
      <c r="I46939" s="50"/>
      <c r="O46939" s="36" t="s">
        <v>48</v>
      </c>
      <c r="R46939" s="36" t="s">
        <v>48</v>
      </c>
    </row>
    <row r="46940">
      <c r="H46940" s="50"/>
      <c r="I46940" s="50"/>
      <c r="O46940" s="36" t="s">
        <v>48</v>
      </c>
      <c r="R46940" s="36" t="s">
        <v>48</v>
      </c>
    </row>
    <row r="46941">
      <c r="H46941" s="50"/>
      <c r="I46941" s="50"/>
      <c r="O46941" s="36" t="s">
        <v>48</v>
      </c>
      <c r="R46941" s="36" t="s">
        <v>48</v>
      </c>
    </row>
    <row r="46942">
      <c r="H46942" s="50"/>
      <c r="I46942" s="50"/>
      <c r="O46942" s="36" t="s">
        <v>48</v>
      </c>
      <c r="R46942" s="36" t="s">
        <v>48</v>
      </c>
    </row>
    <row r="46943">
      <c r="H46943" s="50"/>
      <c r="I46943" s="50"/>
      <c r="O46943" s="36" t="s">
        <v>48</v>
      </c>
      <c r="R46943" s="36" t="s">
        <v>48</v>
      </c>
    </row>
    <row r="46944">
      <c r="H46944" s="50"/>
      <c r="I46944" s="50"/>
      <c r="O46944" s="36" t="s">
        <v>48</v>
      </c>
      <c r="R46944" s="36" t="s">
        <v>48</v>
      </c>
    </row>
    <row r="46945">
      <c r="H46945" s="50"/>
      <c r="I46945" s="50"/>
      <c r="O46945" s="36" t="s">
        <v>48</v>
      </c>
      <c r="R46945" s="36" t="s">
        <v>48</v>
      </c>
    </row>
    <row r="46946">
      <c r="H46946" s="50"/>
      <c r="I46946" s="50"/>
      <c r="O46946" s="36" t="s">
        <v>48</v>
      </c>
      <c r="R46946" s="36" t="s">
        <v>48</v>
      </c>
    </row>
    <row r="46947">
      <c r="H46947" s="50"/>
      <c r="I46947" s="50"/>
      <c r="O46947" s="36" t="s">
        <v>48</v>
      </c>
      <c r="R46947" s="36" t="s">
        <v>48</v>
      </c>
    </row>
    <row r="46948">
      <c r="H46948" s="50"/>
      <c r="I46948" s="50"/>
      <c r="O46948" s="36" t="s">
        <v>48</v>
      </c>
      <c r="R46948" s="36" t="s">
        <v>48</v>
      </c>
    </row>
    <row r="46949">
      <c r="H46949" s="50"/>
      <c r="I46949" s="50"/>
      <c r="O46949" s="36" t="s">
        <v>48</v>
      </c>
      <c r="R46949" s="36" t="s">
        <v>48</v>
      </c>
    </row>
    <row r="46950">
      <c r="H46950" s="50"/>
      <c r="I46950" s="50"/>
      <c r="O46950" s="36" t="s">
        <v>48</v>
      </c>
      <c r="R46950" s="36" t="s">
        <v>48</v>
      </c>
    </row>
    <row r="46951">
      <c r="H46951" s="50"/>
      <c r="I46951" s="50"/>
      <c r="O46951" s="36" t="s">
        <v>48</v>
      </c>
      <c r="R46951" s="36" t="s">
        <v>48</v>
      </c>
    </row>
    <row r="46952">
      <c r="H46952" s="50"/>
      <c r="I46952" s="50"/>
      <c r="O46952" s="36" t="s">
        <v>48</v>
      </c>
      <c r="R46952" s="36" t="s">
        <v>48</v>
      </c>
    </row>
    <row r="46953">
      <c r="H46953" s="50"/>
      <c r="I46953" s="50"/>
      <c r="O46953" s="36" t="s">
        <v>48</v>
      </c>
      <c r="R46953" s="36" t="s">
        <v>48</v>
      </c>
    </row>
    <row r="46954">
      <c r="H46954" s="50"/>
      <c r="I46954" s="50"/>
      <c r="O46954" s="36" t="s">
        <v>48</v>
      </c>
      <c r="R46954" s="36" t="s">
        <v>48</v>
      </c>
    </row>
    <row r="46955">
      <c r="H46955" s="50"/>
      <c r="I46955" s="50"/>
      <c r="O46955" s="36" t="s">
        <v>48</v>
      </c>
      <c r="R46955" s="36" t="s">
        <v>48</v>
      </c>
    </row>
    <row r="46956">
      <c r="H46956" s="50"/>
      <c r="I46956" s="50"/>
      <c r="O46956" s="36" t="s">
        <v>48</v>
      </c>
      <c r="R46956" s="36" t="s">
        <v>48</v>
      </c>
    </row>
    <row r="46957">
      <c r="H46957" s="50"/>
      <c r="I46957" s="50"/>
      <c r="O46957" s="36" t="s">
        <v>48</v>
      </c>
      <c r="R46957" s="36" t="s">
        <v>48</v>
      </c>
    </row>
    <row r="46958">
      <c r="H46958" s="50"/>
      <c r="I46958" s="50"/>
      <c r="O46958" s="36" t="s">
        <v>48</v>
      </c>
      <c r="R46958" s="36" t="s">
        <v>48</v>
      </c>
    </row>
    <row r="46959">
      <c r="H46959" s="50"/>
      <c r="I46959" s="50"/>
      <c r="O46959" s="36" t="s">
        <v>48</v>
      </c>
      <c r="R46959" s="36" t="s">
        <v>48</v>
      </c>
    </row>
    <row r="46960">
      <c r="H46960" s="50"/>
      <c r="I46960" s="50"/>
      <c r="O46960" s="36" t="s">
        <v>48</v>
      </c>
      <c r="R46960" s="36" t="s">
        <v>48</v>
      </c>
    </row>
    <row r="46961">
      <c r="H46961" s="50"/>
      <c r="I46961" s="50"/>
      <c r="O46961" s="36" t="s">
        <v>48</v>
      </c>
      <c r="R46961" s="36" t="s">
        <v>48</v>
      </c>
    </row>
    <row r="46962">
      <c r="H46962" s="50"/>
      <c r="I46962" s="50"/>
      <c r="O46962" s="36" t="s">
        <v>48</v>
      </c>
      <c r="R46962" s="36" t="s">
        <v>48</v>
      </c>
    </row>
    <row r="46963">
      <c r="H46963" s="50"/>
      <c r="I46963" s="50"/>
      <c r="O46963" s="36" t="s">
        <v>48</v>
      </c>
      <c r="R46963" s="36" t="s">
        <v>48</v>
      </c>
    </row>
    <row r="46964">
      <c r="H46964" s="50"/>
      <c r="I46964" s="50"/>
      <c r="O46964" s="36" t="s">
        <v>48</v>
      </c>
      <c r="R46964" s="36" t="s">
        <v>48</v>
      </c>
    </row>
    <row r="46965">
      <c r="H46965" s="50"/>
      <c r="I46965" s="50"/>
      <c r="O46965" s="36" t="s">
        <v>48</v>
      </c>
      <c r="R46965" s="36" t="s">
        <v>48</v>
      </c>
    </row>
    <row r="46966">
      <c r="H46966" s="50"/>
      <c r="I46966" s="50"/>
      <c r="O46966" s="36" t="s">
        <v>48</v>
      </c>
      <c r="R46966" s="36" t="s">
        <v>48</v>
      </c>
    </row>
    <row r="46967">
      <c r="H46967" s="50"/>
      <c r="I46967" s="50"/>
      <c r="O46967" s="36" t="s">
        <v>48</v>
      </c>
      <c r="R46967" s="36" t="s">
        <v>48</v>
      </c>
    </row>
    <row r="46968">
      <c r="H46968" s="50"/>
      <c r="I46968" s="50"/>
      <c r="O46968" s="36" t="s">
        <v>48</v>
      </c>
      <c r="R46968" s="36" t="s">
        <v>48</v>
      </c>
    </row>
    <row r="46969">
      <c r="H46969" s="50"/>
      <c r="I46969" s="50"/>
      <c r="O46969" s="36" t="s">
        <v>48</v>
      </c>
      <c r="R46969" s="36" t="s">
        <v>48</v>
      </c>
    </row>
    <row r="46970">
      <c r="H46970" s="50"/>
      <c r="I46970" s="50"/>
      <c r="O46970" s="36" t="s">
        <v>48</v>
      </c>
      <c r="R46970" s="36" t="s">
        <v>48</v>
      </c>
    </row>
    <row r="46971">
      <c r="H46971" s="50"/>
      <c r="I46971" s="50"/>
      <c r="O46971" s="36" t="s">
        <v>48</v>
      </c>
      <c r="R46971" s="36" t="s">
        <v>48</v>
      </c>
    </row>
    <row r="46972">
      <c r="H46972" s="50"/>
      <c r="I46972" s="50"/>
      <c r="O46972" s="36" t="s">
        <v>48</v>
      </c>
      <c r="R46972" s="36" t="s">
        <v>48</v>
      </c>
    </row>
    <row r="46973">
      <c r="H46973" s="50"/>
      <c r="I46973" s="50"/>
      <c r="O46973" s="36" t="s">
        <v>48</v>
      </c>
      <c r="R46973" s="36" t="s">
        <v>48</v>
      </c>
    </row>
    <row r="46974">
      <c r="H46974" s="50"/>
      <c r="I46974" s="50"/>
      <c r="O46974" s="36" t="s">
        <v>48</v>
      </c>
      <c r="R46974" s="36" t="s">
        <v>48</v>
      </c>
    </row>
    <row r="46975">
      <c r="H46975" s="50"/>
      <c r="I46975" s="50"/>
      <c r="O46975" s="36" t="s">
        <v>48</v>
      </c>
      <c r="R46975" s="36" t="s">
        <v>48</v>
      </c>
    </row>
    <row r="46976">
      <c r="H46976" s="50"/>
      <c r="I46976" s="50"/>
      <c r="O46976" s="36" t="s">
        <v>48</v>
      </c>
      <c r="R46976" s="36" t="s">
        <v>48</v>
      </c>
    </row>
    <row r="46977">
      <c r="H46977" s="50"/>
      <c r="I46977" s="50"/>
      <c r="O46977" s="36" t="s">
        <v>48</v>
      </c>
      <c r="R46977" s="36" t="s">
        <v>48</v>
      </c>
    </row>
    <row r="46978">
      <c r="H46978" s="50"/>
      <c r="I46978" s="50"/>
      <c r="O46978" s="36" t="s">
        <v>48</v>
      </c>
      <c r="R46978" s="36" t="s">
        <v>48</v>
      </c>
    </row>
    <row r="46979">
      <c r="H46979" s="50"/>
      <c r="I46979" s="50"/>
      <c r="O46979" s="36" t="s">
        <v>48</v>
      </c>
      <c r="R46979" s="36" t="s">
        <v>48</v>
      </c>
    </row>
    <row r="46980">
      <c r="H46980" s="50"/>
      <c r="I46980" s="50"/>
      <c r="O46980" s="36" t="s">
        <v>48</v>
      </c>
      <c r="R46980" s="36" t="s">
        <v>48</v>
      </c>
    </row>
    <row r="46981">
      <c r="H46981" s="50"/>
      <c r="I46981" s="50"/>
      <c r="O46981" s="36" t="s">
        <v>48</v>
      </c>
      <c r="R46981" s="36" t="s">
        <v>48</v>
      </c>
    </row>
    <row r="46982">
      <c r="H46982" s="50"/>
      <c r="I46982" s="50"/>
      <c r="O46982" s="36" t="s">
        <v>48</v>
      </c>
      <c r="R46982" s="36" t="s">
        <v>48</v>
      </c>
    </row>
    <row r="46983">
      <c r="H46983" s="50"/>
      <c r="I46983" s="50"/>
      <c r="O46983" s="36" t="s">
        <v>48</v>
      </c>
      <c r="R46983" s="36" t="s">
        <v>48</v>
      </c>
    </row>
    <row r="46984">
      <c r="H46984" s="50"/>
      <c r="I46984" s="50"/>
      <c r="O46984" s="36" t="s">
        <v>48</v>
      </c>
      <c r="R46984" s="36" t="s">
        <v>48</v>
      </c>
    </row>
    <row r="46985">
      <c r="H46985" s="50"/>
      <c r="I46985" s="50"/>
      <c r="O46985" s="36" t="s">
        <v>48</v>
      </c>
      <c r="R46985" s="36" t="s">
        <v>48</v>
      </c>
    </row>
    <row r="46986">
      <c r="H46986" s="50"/>
      <c r="I46986" s="50"/>
      <c r="O46986" s="36" t="s">
        <v>48</v>
      </c>
      <c r="R46986" s="36" t="s">
        <v>48</v>
      </c>
    </row>
    <row r="46987">
      <c r="H46987" s="50"/>
      <c r="I46987" s="50"/>
      <c r="O46987" s="36" t="s">
        <v>48</v>
      </c>
      <c r="R46987" s="36" t="s">
        <v>48</v>
      </c>
    </row>
    <row r="46988">
      <c r="H46988" s="50"/>
      <c r="I46988" s="50"/>
      <c r="O46988" s="36" t="s">
        <v>48</v>
      </c>
      <c r="R46988" s="36" t="s">
        <v>48</v>
      </c>
    </row>
    <row r="46989">
      <c r="H46989" s="50"/>
      <c r="I46989" s="50"/>
      <c r="O46989" s="36" t="s">
        <v>48</v>
      </c>
      <c r="R46989" s="36" t="s">
        <v>48</v>
      </c>
    </row>
    <row r="46990">
      <c r="H46990" s="50"/>
      <c r="I46990" s="50"/>
      <c r="O46990" s="36" t="s">
        <v>48</v>
      </c>
      <c r="R46990" s="36" t="s">
        <v>48</v>
      </c>
    </row>
    <row r="46991">
      <c r="H46991" s="50"/>
      <c r="I46991" s="50"/>
      <c r="O46991" s="36" t="s">
        <v>48</v>
      </c>
      <c r="R46991" s="36" t="s">
        <v>48</v>
      </c>
    </row>
    <row r="46992">
      <c r="H46992" s="50"/>
      <c r="I46992" s="50"/>
      <c r="O46992" s="36" t="s">
        <v>48</v>
      </c>
      <c r="R46992" s="36" t="s">
        <v>48</v>
      </c>
    </row>
    <row r="46993">
      <c r="H46993" s="50"/>
      <c r="I46993" s="50"/>
      <c r="O46993" s="36" t="s">
        <v>48</v>
      </c>
      <c r="R46993" s="36" t="s">
        <v>48</v>
      </c>
    </row>
    <row r="46994">
      <c r="H46994" s="50"/>
      <c r="I46994" s="50"/>
      <c r="O46994" s="36" t="s">
        <v>48</v>
      </c>
      <c r="R46994" s="36" t="s">
        <v>48</v>
      </c>
    </row>
    <row r="46995">
      <c r="H46995" s="50"/>
      <c r="I46995" s="50"/>
      <c r="O46995" s="36" t="s">
        <v>48</v>
      </c>
      <c r="R46995" s="36" t="s">
        <v>48</v>
      </c>
    </row>
    <row r="46996">
      <c r="H46996" s="50"/>
      <c r="I46996" s="50"/>
      <c r="O46996" s="36" t="s">
        <v>48</v>
      </c>
      <c r="R46996" s="36" t="s">
        <v>48</v>
      </c>
    </row>
    <row r="46997">
      <c r="H46997" s="50"/>
      <c r="I46997" s="50"/>
      <c r="O46997" s="36" t="s">
        <v>48</v>
      </c>
      <c r="R46997" s="36" t="s">
        <v>48</v>
      </c>
    </row>
    <row r="46998">
      <c r="H46998" s="50"/>
      <c r="I46998" s="50"/>
      <c r="O46998" s="36" t="s">
        <v>48</v>
      </c>
      <c r="R46998" s="36" t="s">
        <v>48</v>
      </c>
    </row>
    <row r="46999">
      <c r="H46999" s="50"/>
      <c r="I46999" s="50"/>
      <c r="O46999" s="36" t="s">
        <v>48</v>
      </c>
      <c r="R46999" s="36" t="s">
        <v>48</v>
      </c>
    </row>
    <row r="47000">
      <c r="H47000" s="50"/>
      <c r="I47000" s="50"/>
      <c r="O47000" s="36" t="s">
        <v>48</v>
      </c>
      <c r="R47000" s="36" t="s">
        <v>48</v>
      </c>
    </row>
    <row r="47001">
      <c r="H47001" s="50"/>
      <c r="I47001" s="50"/>
      <c r="O47001" s="36" t="s">
        <v>48</v>
      </c>
      <c r="R47001" s="36" t="s">
        <v>48</v>
      </c>
    </row>
    <row r="47002">
      <c r="H47002" s="50"/>
      <c r="I47002" s="50"/>
      <c r="O47002" s="36" t="s">
        <v>48</v>
      </c>
      <c r="R47002" s="36" t="s">
        <v>48</v>
      </c>
    </row>
    <row r="47003">
      <c r="H47003" s="50"/>
      <c r="I47003" s="50"/>
      <c r="O47003" s="36" t="s">
        <v>48</v>
      </c>
      <c r="R47003" s="36" t="s">
        <v>48</v>
      </c>
    </row>
    <row r="47004">
      <c r="H47004" s="50"/>
      <c r="I47004" s="50"/>
      <c r="O47004" s="36" t="s">
        <v>48</v>
      </c>
      <c r="R47004" s="36" t="s">
        <v>48</v>
      </c>
    </row>
    <row r="47005">
      <c r="H47005" s="50"/>
      <c r="I47005" s="50"/>
      <c r="O47005" s="36" t="s">
        <v>48</v>
      </c>
      <c r="R47005" s="36" t="s">
        <v>48</v>
      </c>
    </row>
    <row r="47006">
      <c r="H47006" s="50"/>
      <c r="I47006" s="50"/>
      <c r="O47006" s="36" t="s">
        <v>48</v>
      </c>
      <c r="R47006" s="36" t="s">
        <v>48</v>
      </c>
    </row>
    <row r="47007">
      <c r="H47007" s="50"/>
      <c r="I47007" s="50"/>
      <c r="O47007" s="36" t="s">
        <v>48</v>
      </c>
      <c r="R47007" s="36" t="s">
        <v>48</v>
      </c>
    </row>
    <row r="47008">
      <c r="H47008" s="50"/>
      <c r="I47008" s="50"/>
      <c r="O47008" s="36" t="s">
        <v>48</v>
      </c>
      <c r="R47008" s="36" t="s">
        <v>48</v>
      </c>
    </row>
    <row r="47009">
      <c r="H47009" s="50"/>
      <c r="I47009" s="50"/>
      <c r="O47009" s="36" t="s">
        <v>48</v>
      </c>
      <c r="R47009" s="36" t="s">
        <v>48</v>
      </c>
    </row>
    <row r="47010">
      <c r="H47010" s="50"/>
      <c r="I47010" s="50"/>
      <c r="O47010" s="36" t="s">
        <v>48</v>
      </c>
      <c r="R47010" s="36" t="s">
        <v>48</v>
      </c>
    </row>
    <row r="47011">
      <c r="H47011" s="50"/>
      <c r="I47011" s="50"/>
      <c r="O47011" s="36" t="s">
        <v>48</v>
      </c>
      <c r="R47011" s="36" t="s">
        <v>48</v>
      </c>
    </row>
    <row r="47012">
      <c r="H47012" s="50"/>
      <c r="I47012" s="50"/>
      <c r="O47012" s="36" t="s">
        <v>48</v>
      </c>
      <c r="R47012" s="36" t="s">
        <v>48</v>
      </c>
    </row>
    <row r="47013">
      <c r="H47013" s="50"/>
      <c r="I47013" s="50"/>
      <c r="O47013" s="36" t="s">
        <v>48</v>
      </c>
      <c r="R47013" s="36" t="s">
        <v>48</v>
      </c>
    </row>
    <row r="47014">
      <c r="H47014" s="50"/>
      <c r="I47014" s="50"/>
      <c r="O47014" s="36" t="s">
        <v>48</v>
      </c>
      <c r="R47014" s="36" t="s">
        <v>48</v>
      </c>
    </row>
    <row r="47015">
      <c r="H47015" s="50"/>
      <c r="I47015" s="50"/>
      <c r="O47015" s="36" t="s">
        <v>48</v>
      </c>
      <c r="R47015" s="36" t="s">
        <v>48</v>
      </c>
    </row>
    <row r="47016">
      <c r="H47016" s="50"/>
      <c r="I47016" s="50"/>
      <c r="O47016" s="36" t="s">
        <v>48</v>
      </c>
      <c r="R47016" s="36" t="s">
        <v>48</v>
      </c>
    </row>
    <row r="47017">
      <c r="H47017" s="50"/>
      <c r="I47017" s="50"/>
      <c r="O47017" s="36" t="s">
        <v>48</v>
      </c>
      <c r="R47017" s="36" t="s">
        <v>48</v>
      </c>
    </row>
    <row r="47018">
      <c r="H47018" s="50"/>
      <c r="I47018" s="50"/>
      <c r="O47018" s="36" t="s">
        <v>48</v>
      </c>
      <c r="R47018" s="36" t="s">
        <v>48</v>
      </c>
    </row>
    <row r="47019">
      <c r="H47019" s="50"/>
      <c r="I47019" s="50"/>
      <c r="O47019" s="36" t="s">
        <v>48</v>
      </c>
      <c r="R47019" s="36" t="s">
        <v>48</v>
      </c>
    </row>
    <row r="47020">
      <c r="H47020" s="50"/>
      <c r="I47020" s="50"/>
      <c r="O47020" s="36" t="s">
        <v>48</v>
      </c>
      <c r="R47020" s="36" t="s">
        <v>48</v>
      </c>
    </row>
    <row r="47021">
      <c r="H47021" s="50"/>
      <c r="I47021" s="50"/>
      <c r="O47021" s="36" t="s">
        <v>48</v>
      </c>
      <c r="R47021" s="36" t="s">
        <v>48</v>
      </c>
    </row>
    <row r="47022">
      <c r="H47022" s="50"/>
      <c r="I47022" s="50"/>
      <c r="O47022" s="36" t="s">
        <v>48</v>
      </c>
      <c r="R47022" s="36" t="s">
        <v>48</v>
      </c>
    </row>
    <row r="47023">
      <c r="H47023" s="50"/>
      <c r="I47023" s="50"/>
      <c r="O47023" s="36" t="s">
        <v>48</v>
      </c>
      <c r="R47023" s="36" t="s">
        <v>48</v>
      </c>
    </row>
    <row r="47024">
      <c r="H47024" s="50"/>
      <c r="I47024" s="50"/>
      <c r="O47024" s="36" t="s">
        <v>48</v>
      </c>
      <c r="R47024" s="36" t="s">
        <v>48</v>
      </c>
    </row>
    <row r="47025">
      <c r="H47025" s="50"/>
      <c r="I47025" s="50"/>
      <c r="O47025" s="36" t="s">
        <v>48</v>
      </c>
      <c r="R47025" s="36" t="s">
        <v>48</v>
      </c>
    </row>
    <row r="47026">
      <c r="H47026" s="50"/>
      <c r="I47026" s="50"/>
      <c r="O47026" s="36" t="s">
        <v>48</v>
      </c>
      <c r="R47026" s="36" t="s">
        <v>48</v>
      </c>
    </row>
    <row r="47027">
      <c r="H47027" s="50"/>
      <c r="I47027" s="50"/>
      <c r="O47027" s="36" t="s">
        <v>48</v>
      </c>
      <c r="R47027" s="36" t="s">
        <v>48</v>
      </c>
    </row>
    <row r="47028">
      <c r="H47028" s="50"/>
      <c r="I47028" s="50"/>
      <c r="O47028" s="36" t="s">
        <v>48</v>
      </c>
      <c r="R47028" s="36" t="s">
        <v>48</v>
      </c>
    </row>
    <row r="47029">
      <c r="H47029" s="50"/>
      <c r="I47029" s="50"/>
      <c r="O47029" s="36" t="s">
        <v>48</v>
      </c>
      <c r="R47029" s="36" t="s">
        <v>48</v>
      </c>
    </row>
    <row r="47030">
      <c r="H47030" s="50"/>
      <c r="I47030" s="50"/>
      <c r="O47030" s="36" t="s">
        <v>48</v>
      </c>
      <c r="R47030" s="36" t="s">
        <v>48</v>
      </c>
    </row>
    <row r="47031">
      <c r="H47031" s="50"/>
      <c r="I47031" s="50"/>
      <c r="O47031" s="36" t="s">
        <v>48</v>
      </c>
      <c r="R47031" s="36" t="s">
        <v>48</v>
      </c>
    </row>
    <row r="47032">
      <c r="H47032" s="50"/>
      <c r="I47032" s="50"/>
      <c r="O47032" s="36" t="s">
        <v>48</v>
      </c>
      <c r="R47032" s="36" t="s">
        <v>48</v>
      </c>
    </row>
    <row r="47033">
      <c r="H47033" s="50"/>
      <c r="I47033" s="50"/>
      <c r="O47033" s="36" t="s">
        <v>48</v>
      </c>
      <c r="R47033" s="36" t="s">
        <v>48</v>
      </c>
    </row>
    <row r="47034">
      <c r="H47034" s="50"/>
      <c r="I47034" s="50"/>
      <c r="O47034" s="36" t="s">
        <v>48</v>
      </c>
      <c r="R47034" s="36" t="s">
        <v>48</v>
      </c>
    </row>
    <row r="47035">
      <c r="H47035" s="50"/>
      <c r="I47035" s="50"/>
      <c r="O47035" s="36" t="s">
        <v>48</v>
      </c>
      <c r="R47035" s="36" t="s">
        <v>48</v>
      </c>
    </row>
    <row r="47036">
      <c r="H47036" s="50"/>
      <c r="I47036" s="50"/>
      <c r="O47036" s="36" t="s">
        <v>48</v>
      </c>
      <c r="R47036" s="36" t="s">
        <v>48</v>
      </c>
    </row>
    <row r="47037">
      <c r="H47037" s="50"/>
      <c r="I47037" s="50"/>
      <c r="O47037" s="36" t="s">
        <v>48</v>
      </c>
      <c r="R47037" s="36" t="s">
        <v>48</v>
      </c>
    </row>
    <row r="47038">
      <c r="H47038" s="50"/>
      <c r="I47038" s="50"/>
      <c r="O47038" s="36" t="s">
        <v>48</v>
      </c>
      <c r="R47038" s="36" t="s">
        <v>48</v>
      </c>
    </row>
    <row r="47039">
      <c r="H47039" s="50"/>
      <c r="I47039" s="50"/>
      <c r="O47039" s="36" t="s">
        <v>48</v>
      </c>
      <c r="R47039" s="36" t="s">
        <v>48</v>
      </c>
    </row>
    <row r="47040">
      <c r="H47040" s="50"/>
      <c r="I47040" s="50"/>
      <c r="O47040" s="36" t="s">
        <v>48</v>
      </c>
      <c r="R47040" s="36" t="s">
        <v>48</v>
      </c>
    </row>
    <row r="47041">
      <c r="H47041" s="50"/>
      <c r="I47041" s="50"/>
      <c r="O47041" s="36" t="s">
        <v>48</v>
      </c>
      <c r="R47041" s="36" t="s">
        <v>48</v>
      </c>
    </row>
    <row r="47042">
      <c r="H47042" s="50"/>
      <c r="I47042" s="50"/>
      <c r="O47042" s="36" t="s">
        <v>48</v>
      </c>
      <c r="R47042" s="36" t="s">
        <v>48</v>
      </c>
    </row>
    <row r="47043">
      <c r="H47043" s="50"/>
      <c r="I47043" s="50"/>
      <c r="O47043" s="36" t="s">
        <v>48</v>
      </c>
      <c r="R47043" s="36" t="s">
        <v>48</v>
      </c>
    </row>
    <row r="47044">
      <c r="H47044" s="50"/>
      <c r="I47044" s="50"/>
      <c r="O47044" s="36" t="s">
        <v>48</v>
      </c>
      <c r="R47044" s="36" t="s">
        <v>48</v>
      </c>
    </row>
    <row r="47045">
      <c r="H47045" s="50"/>
      <c r="I47045" s="50"/>
      <c r="O47045" s="36" t="s">
        <v>48</v>
      </c>
      <c r="R47045" s="36" t="s">
        <v>48</v>
      </c>
    </row>
    <row r="47046">
      <c r="H47046" s="50"/>
      <c r="I47046" s="50"/>
      <c r="O47046" s="36" t="s">
        <v>48</v>
      </c>
      <c r="R47046" s="36" t="s">
        <v>48</v>
      </c>
    </row>
    <row r="47047">
      <c r="H47047" s="50"/>
      <c r="I47047" s="50"/>
      <c r="O47047" s="36" t="s">
        <v>48</v>
      </c>
      <c r="R47047" s="36" t="s">
        <v>48</v>
      </c>
    </row>
    <row r="47048">
      <c r="H47048" s="50"/>
      <c r="I47048" s="50"/>
      <c r="O47048" s="36" t="s">
        <v>48</v>
      </c>
      <c r="R47048" s="36" t="s">
        <v>48</v>
      </c>
    </row>
    <row r="47049">
      <c r="H47049" s="50"/>
      <c r="I47049" s="50"/>
      <c r="O47049" s="36" t="s">
        <v>48</v>
      </c>
      <c r="R47049" s="36" t="s">
        <v>48</v>
      </c>
    </row>
    <row r="47050">
      <c r="H47050" s="50"/>
      <c r="I47050" s="50"/>
      <c r="O47050" s="36" t="s">
        <v>48</v>
      </c>
      <c r="R47050" s="36" t="s">
        <v>48</v>
      </c>
    </row>
    <row r="47051">
      <c r="H47051" s="50"/>
      <c r="I47051" s="50"/>
      <c r="O47051" s="36" t="s">
        <v>48</v>
      </c>
      <c r="R47051" s="36" t="s">
        <v>48</v>
      </c>
    </row>
    <row r="47052">
      <c r="H47052" s="50"/>
      <c r="I47052" s="50"/>
      <c r="O47052" s="36" t="s">
        <v>48</v>
      </c>
      <c r="R47052" s="36" t="s">
        <v>48</v>
      </c>
    </row>
    <row r="47053">
      <c r="H47053" s="50"/>
      <c r="I47053" s="50"/>
      <c r="O47053" s="36" t="s">
        <v>48</v>
      </c>
      <c r="R47053" s="36" t="s">
        <v>48</v>
      </c>
    </row>
    <row r="47054">
      <c r="H47054" s="50"/>
      <c r="I47054" s="50"/>
      <c r="O47054" s="36" t="s">
        <v>48</v>
      </c>
      <c r="R47054" s="36" t="s">
        <v>48</v>
      </c>
    </row>
    <row r="47055">
      <c r="H47055" s="50"/>
      <c r="I47055" s="50"/>
      <c r="O47055" s="36" t="s">
        <v>48</v>
      </c>
      <c r="R47055" s="36" t="s">
        <v>48</v>
      </c>
    </row>
    <row r="47056">
      <c r="H47056" s="50"/>
      <c r="I47056" s="50"/>
      <c r="O47056" s="36" t="s">
        <v>48</v>
      </c>
      <c r="R47056" s="36" t="s">
        <v>48</v>
      </c>
    </row>
    <row r="47057">
      <c r="H47057" s="50"/>
      <c r="I47057" s="50"/>
      <c r="O47057" s="36" t="s">
        <v>48</v>
      </c>
      <c r="R47057" s="36" t="s">
        <v>48</v>
      </c>
    </row>
    <row r="47058">
      <c r="H47058" s="50"/>
      <c r="I47058" s="50"/>
      <c r="O47058" s="36" t="s">
        <v>48</v>
      </c>
      <c r="R47058" s="36" t="s">
        <v>48</v>
      </c>
    </row>
    <row r="47059">
      <c r="H47059" s="50"/>
      <c r="I47059" s="50"/>
      <c r="O47059" s="36" t="s">
        <v>48</v>
      </c>
      <c r="R47059" s="36" t="s">
        <v>48</v>
      </c>
    </row>
    <row r="47060">
      <c r="H47060" s="50"/>
      <c r="I47060" s="50"/>
      <c r="O47060" s="36" t="s">
        <v>48</v>
      </c>
      <c r="R47060" s="36" t="s">
        <v>48</v>
      </c>
    </row>
    <row r="47061">
      <c r="H47061" s="50"/>
      <c r="I47061" s="50"/>
      <c r="O47061" s="36" t="s">
        <v>48</v>
      </c>
      <c r="R47061" s="36" t="s">
        <v>48</v>
      </c>
    </row>
    <row r="47062">
      <c r="H47062" s="50"/>
      <c r="I47062" s="50"/>
      <c r="O47062" s="36" t="s">
        <v>48</v>
      </c>
      <c r="R47062" s="36" t="s">
        <v>48</v>
      </c>
    </row>
    <row r="47063">
      <c r="H47063" s="50"/>
      <c r="I47063" s="50"/>
      <c r="O47063" s="36" t="s">
        <v>48</v>
      </c>
      <c r="R47063" s="36" t="s">
        <v>48</v>
      </c>
    </row>
    <row r="47064">
      <c r="H47064" s="50"/>
      <c r="I47064" s="50"/>
      <c r="O47064" s="36" t="s">
        <v>48</v>
      </c>
      <c r="R47064" s="36" t="s">
        <v>48</v>
      </c>
    </row>
    <row r="47065">
      <c r="H47065" s="50"/>
      <c r="I47065" s="50"/>
      <c r="O47065" s="36" t="s">
        <v>48</v>
      </c>
      <c r="R47065" s="36" t="s">
        <v>48</v>
      </c>
    </row>
    <row r="47066">
      <c r="H47066" s="50"/>
      <c r="I47066" s="50"/>
      <c r="O47066" s="36" t="s">
        <v>48</v>
      </c>
      <c r="R47066" s="36" t="s">
        <v>48</v>
      </c>
    </row>
    <row r="47067">
      <c r="H47067" s="50"/>
      <c r="I47067" s="50"/>
      <c r="O47067" s="36" t="s">
        <v>48</v>
      </c>
      <c r="R47067" s="36" t="s">
        <v>48</v>
      </c>
    </row>
    <row r="47068">
      <c r="H47068" s="50"/>
      <c r="I47068" s="50"/>
      <c r="O47068" s="36" t="s">
        <v>48</v>
      </c>
      <c r="R47068" s="36" t="s">
        <v>48</v>
      </c>
    </row>
    <row r="47069">
      <c r="H47069" s="50"/>
      <c r="I47069" s="50"/>
      <c r="O47069" s="36" t="s">
        <v>48</v>
      </c>
      <c r="R47069" s="36" t="s">
        <v>48</v>
      </c>
    </row>
    <row r="47070">
      <c r="H47070" s="50"/>
      <c r="I47070" s="50"/>
      <c r="O47070" s="36" t="s">
        <v>48</v>
      </c>
      <c r="R47070" s="36" t="s">
        <v>48</v>
      </c>
    </row>
    <row r="47071">
      <c r="H47071" s="50"/>
      <c r="I47071" s="50"/>
      <c r="O47071" s="36" t="s">
        <v>48</v>
      </c>
      <c r="R47071" s="36" t="s">
        <v>48</v>
      </c>
    </row>
    <row r="47072">
      <c r="H47072" s="50"/>
      <c r="I47072" s="50"/>
      <c r="O47072" s="36" t="s">
        <v>48</v>
      </c>
      <c r="R47072" s="36" t="s">
        <v>48</v>
      </c>
    </row>
    <row r="47073">
      <c r="H47073" s="50"/>
      <c r="I47073" s="50"/>
      <c r="O47073" s="36" t="s">
        <v>48</v>
      </c>
      <c r="R47073" s="36" t="s">
        <v>48</v>
      </c>
    </row>
    <row r="47074">
      <c r="H47074" s="50"/>
      <c r="I47074" s="50"/>
      <c r="O47074" s="36" t="s">
        <v>48</v>
      </c>
      <c r="R47074" s="36" t="s">
        <v>48</v>
      </c>
    </row>
    <row r="47075">
      <c r="H47075" s="50"/>
      <c r="I47075" s="50"/>
      <c r="O47075" s="36" t="s">
        <v>48</v>
      </c>
      <c r="R47075" s="36" t="s">
        <v>48</v>
      </c>
    </row>
    <row r="47076">
      <c r="H47076" s="50"/>
      <c r="I47076" s="50"/>
      <c r="O47076" s="36" t="s">
        <v>48</v>
      </c>
      <c r="R47076" s="36" t="s">
        <v>48</v>
      </c>
    </row>
    <row r="47077">
      <c r="H47077" s="50"/>
      <c r="I47077" s="50"/>
      <c r="O47077" s="36" t="s">
        <v>48</v>
      </c>
      <c r="R47077" s="36" t="s">
        <v>48</v>
      </c>
    </row>
    <row r="47078">
      <c r="H47078" s="50"/>
      <c r="I47078" s="50"/>
      <c r="O47078" s="36" t="s">
        <v>48</v>
      </c>
      <c r="R47078" s="36" t="s">
        <v>48</v>
      </c>
    </row>
    <row r="47079">
      <c r="H47079" s="50"/>
      <c r="I47079" s="50"/>
      <c r="O47079" s="36" t="s">
        <v>48</v>
      </c>
      <c r="R47079" s="36" t="s">
        <v>48</v>
      </c>
    </row>
    <row r="47080">
      <c r="H47080" s="50"/>
      <c r="I47080" s="50"/>
      <c r="O47080" s="36" t="s">
        <v>48</v>
      </c>
      <c r="R47080" s="36" t="s">
        <v>48</v>
      </c>
    </row>
    <row r="47081">
      <c r="H47081" s="50"/>
      <c r="I47081" s="50"/>
      <c r="O47081" s="36" t="s">
        <v>48</v>
      </c>
      <c r="R47081" s="36" t="s">
        <v>48</v>
      </c>
    </row>
    <row r="47082">
      <c r="H47082" s="50"/>
      <c r="I47082" s="50"/>
      <c r="O47082" s="36" t="s">
        <v>48</v>
      </c>
      <c r="R47082" s="36" t="s">
        <v>48</v>
      </c>
    </row>
    <row r="47083">
      <c r="H47083" s="50"/>
      <c r="I47083" s="50"/>
      <c r="O47083" s="36" t="s">
        <v>48</v>
      </c>
      <c r="R47083" s="36" t="s">
        <v>48</v>
      </c>
    </row>
    <row r="47084">
      <c r="H47084" s="50"/>
      <c r="I47084" s="50"/>
      <c r="O47084" s="36" t="s">
        <v>48</v>
      </c>
      <c r="R47084" s="36" t="s">
        <v>48</v>
      </c>
    </row>
    <row r="47085">
      <c r="H47085" s="50"/>
      <c r="I47085" s="50"/>
      <c r="O47085" s="36" t="s">
        <v>48</v>
      </c>
      <c r="R47085" s="36" t="s">
        <v>48</v>
      </c>
    </row>
    <row r="47086">
      <c r="H47086" s="50"/>
      <c r="I47086" s="50"/>
      <c r="O47086" s="36" t="s">
        <v>48</v>
      </c>
      <c r="R47086" s="36" t="s">
        <v>48</v>
      </c>
    </row>
    <row r="47087">
      <c r="H47087" s="50"/>
      <c r="I47087" s="50"/>
      <c r="O47087" s="36" t="s">
        <v>48</v>
      </c>
      <c r="R47087" s="36" t="s">
        <v>48</v>
      </c>
    </row>
    <row r="47088">
      <c r="H47088" s="50"/>
      <c r="I47088" s="50"/>
      <c r="O47088" s="36" t="s">
        <v>48</v>
      </c>
      <c r="R47088" s="36" t="s">
        <v>48</v>
      </c>
    </row>
    <row r="47089">
      <c r="H47089" s="50"/>
      <c r="I47089" s="50"/>
      <c r="O47089" s="36" t="s">
        <v>48</v>
      </c>
      <c r="R47089" s="36" t="s">
        <v>48</v>
      </c>
    </row>
    <row r="47090">
      <c r="H47090" s="50"/>
      <c r="I47090" s="50"/>
      <c r="O47090" s="36" t="s">
        <v>48</v>
      </c>
      <c r="R47090" s="36" t="s">
        <v>48</v>
      </c>
    </row>
    <row r="47091">
      <c r="H47091" s="50"/>
      <c r="I47091" s="50"/>
      <c r="O47091" s="36" t="s">
        <v>48</v>
      </c>
      <c r="R47091" s="36" t="s">
        <v>48</v>
      </c>
    </row>
    <row r="47092">
      <c r="H47092" s="50"/>
      <c r="I47092" s="50"/>
      <c r="O47092" s="36" t="s">
        <v>48</v>
      </c>
      <c r="R47092" s="36" t="s">
        <v>48</v>
      </c>
    </row>
    <row r="47093">
      <c r="H47093" s="50"/>
      <c r="I47093" s="50"/>
      <c r="O47093" s="36" t="s">
        <v>48</v>
      </c>
      <c r="R47093" s="36" t="s">
        <v>48</v>
      </c>
    </row>
    <row r="47094">
      <c r="H47094" s="50"/>
      <c r="I47094" s="50"/>
      <c r="O47094" s="36" t="s">
        <v>48</v>
      </c>
      <c r="R47094" s="36" t="s">
        <v>48</v>
      </c>
    </row>
    <row r="47095">
      <c r="H47095" s="50"/>
      <c r="I47095" s="50"/>
      <c r="O47095" s="36" t="s">
        <v>48</v>
      </c>
      <c r="R47095" s="36" t="s">
        <v>48</v>
      </c>
    </row>
    <row r="47096">
      <c r="H47096" s="50"/>
      <c r="I47096" s="50"/>
      <c r="O47096" s="36" t="s">
        <v>48</v>
      </c>
      <c r="R47096" s="36" t="s">
        <v>48</v>
      </c>
    </row>
    <row r="47097">
      <c r="H47097" s="50"/>
      <c r="I47097" s="50"/>
      <c r="O47097" s="36" t="s">
        <v>48</v>
      </c>
      <c r="R47097" s="36" t="s">
        <v>48</v>
      </c>
    </row>
    <row r="47098">
      <c r="H47098" s="50"/>
      <c r="I47098" s="50"/>
      <c r="O47098" s="36" t="s">
        <v>48</v>
      </c>
      <c r="R47098" s="36" t="s">
        <v>48</v>
      </c>
    </row>
    <row r="47099">
      <c r="H47099" s="50"/>
      <c r="I47099" s="50"/>
      <c r="O47099" s="36" t="s">
        <v>48</v>
      </c>
      <c r="R47099" s="36" t="s">
        <v>48</v>
      </c>
    </row>
    <row r="47100">
      <c r="H47100" s="50"/>
      <c r="I47100" s="50"/>
      <c r="O47100" s="36" t="s">
        <v>48</v>
      </c>
      <c r="R47100" s="36" t="s">
        <v>48</v>
      </c>
    </row>
    <row r="47101">
      <c r="H47101" s="50"/>
      <c r="I47101" s="50"/>
      <c r="O47101" s="36" t="s">
        <v>48</v>
      </c>
      <c r="R47101" s="36" t="s">
        <v>48</v>
      </c>
    </row>
    <row r="47102">
      <c r="H47102" s="50"/>
      <c r="I47102" s="50"/>
      <c r="O47102" s="36" t="s">
        <v>48</v>
      </c>
      <c r="R47102" s="36" t="s">
        <v>48</v>
      </c>
    </row>
    <row r="47103">
      <c r="H47103" s="50"/>
      <c r="I47103" s="50"/>
      <c r="O47103" s="36" t="s">
        <v>48</v>
      </c>
      <c r="R47103" s="36" t="s">
        <v>48</v>
      </c>
    </row>
    <row r="47104">
      <c r="H47104" s="50"/>
      <c r="I47104" s="50"/>
      <c r="O47104" s="36" t="s">
        <v>48</v>
      </c>
      <c r="R47104" s="36" t="s">
        <v>48</v>
      </c>
    </row>
    <row r="47105">
      <c r="H47105" s="50"/>
      <c r="I47105" s="50"/>
      <c r="O47105" s="36" t="s">
        <v>48</v>
      </c>
      <c r="R47105" s="36" t="s">
        <v>48</v>
      </c>
    </row>
    <row r="47106">
      <c r="H47106" s="50"/>
      <c r="I47106" s="50"/>
      <c r="O47106" s="36" t="s">
        <v>48</v>
      </c>
      <c r="R47106" s="36" t="s">
        <v>48</v>
      </c>
    </row>
    <row r="47107">
      <c r="H47107" s="50"/>
      <c r="I47107" s="50"/>
      <c r="O47107" s="36" t="s">
        <v>48</v>
      </c>
      <c r="R47107" s="36" t="s">
        <v>48</v>
      </c>
    </row>
    <row r="47108">
      <c r="H47108" s="50"/>
      <c r="I47108" s="50"/>
      <c r="O47108" s="36" t="s">
        <v>48</v>
      </c>
      <c r="R47108" s="36" t="s">
        <v>48</v>
      </c>
    </row>
    <row r="47109">
      <c r="H47109" s="50"/>
      <c r="I47109" s="50"/>
      <c r="O47109" s="36" t="s">
        <v>48</v>
      </c>
      <c r="R47109" s="36" t="s">
        <v>48</v>
      </c>
    </row>
    <row r="47110">
      <c r="H47110" s="50"/>
      <c r="I47110" s="50"/>
      <c r="O47110" s="36" t="s">
        <v>48</v>
      </c>
      <c r="R47110" s="36" t="s">
        <v>48</v>
      </c>
    </row>
    <row r="47111">
      <c r="H47111" s="50"/>
      <c r="I47111" s="50"/>
      <c r="O47111" s="36" t="s">
        <v>48</v>
      </c>
      <c r="R47111" s="36" t="s">
        <v>48</v>
      </c>
    </row>
    <row r="47112">
      <c r="H47112" s="50"/>
      <c r="I47112" s="50"/>
      <c r="O47112" s="36" t="s">
        <v>48</v>
      </c>
      <c r="R47112" s="36" t="s">
        <v>48</v>
      </c>
    </row>
    <row r="47113">
      <c r="H47113" s="50"/>
      <c r="I47113" s="50"/>
      <c r="O47113" s="36" t="s">
        <v>48</v>
      </c>
      <c r="R47113" s="36" t="s">
        <v>48</v>
      </c>
    </row>
    <row r="47114">
      <c r="H47114" s="50"/>
      <c r="I47114" s="50"/>
      <c r="O47114" s="36" t="s">
        <v>48</v>
      </c>
      <c r="R47114" s="36" t="s">
        <v>48</v>
      </c>
    </row>
    <row r="47115">
      <c r="H47115" s="50"/>
      <c r="I47115" s="50"/>
      <c r="O47115" s="36" t="s">
        <v>48</v>
      </c>
      <c r="R47115" s="36" t="s">
        <v>48</v>
      </c>
    </row>
    <row r="47116">
      <c r="H47116" s="50"/>
      <c r="I47116" s="50"/>
      <c r="O47116" s="36" t="s">
        <v>48</v>
      </c>
      <c r="R47116" s="36" t="s">
        <v>48</v>
      </c>
    </row>
    <row r="47117">
      <c r="H47117" s="50"/>
      <c r="I47117" s="50"/>
      <c r="O47117" s="36" t="s">
        <v>48</v>
      </c>
      <c r="R47117" s="36" t="s">
        <v>48</v>
      </c>
    </row>
    <row r="47118">
      <c r="H47118" s="50"/>
      <c r="I47118" s="50"/>
      <c r="O47118" s="36" t="s">
        <v>48</v>
      </c>
      <c r="R47118" s="36" t="s">
        <v>48</v>
      </c>
    </row>
    <row r="47119">
      <c r="H47119" s="50"/>
      <c r="I47119" s="50"/>
      <c r="O47119" s="36" t="s">
        <v>48</v>
      </c>
      <c r="R47119" s="36" t="s">
        <v>48</v>
      </c>
    </row>
    <row r="47120">
      <c r="H47120" s="50"/>
      <c r="I47120" s="50"/>
      <c r="O47120" s="36" t="s">
        <v>48</v>
      </c>
      <c r="R47120" s="36" t="s">
        <v>48</v>
      </c>
    </row>
    <row r="47121">
      <c r="H47121" s="50"/>
      <c r="I47121" s="50"/>
      <c r="O47121" s="36" t="s">
        <v>48</v>
      </c>
      <c r="R47121" s="36" t="s">
        <v>48</v>
      </c>
    </row>
    <row r="47122">
      <c r="H47122" s="50"/>
      <c r="I47122" s="50"/>
      <c r="O47122" s="36" t="s">
        <v>48</v>
      </c>
      <c r="R47122" s="36" t="s">
        <v>48</v>
      </c>
    </row>
    <row r="47123">
      <c r="H47123" s="50"/>
      <c r="I47123" s="50"/>
      <c r="O47123" s="36" t="s">
        <v>48</v>
      </c>
      <c r="R47123" s="36" t="s">
        <v>48</v>
      </c>
    </row>
    <row r="47124">
      <c r="H47124" s="50"/>
      <c r="I47124" s="50"/>
      <c r="O47124" s="36" t="s">
        <v>48</v>
      </c>
      <c r="R47124" s="36" t="s">
        <v>48</v>
      </c>
    </row>
    <row r="47125">
      <c r="H47125" s="50"/>
      <c r="I47125" s="50"/>
      <c r="O47125" s="36" t="s">
        <v>48</v>
      </c>
      <c r="R47125" s="36" t="s">
        <v>48</v>
      </c>
    </row>
    <row r="47126">
      <c r="H47126" s="50"/>
      <c r="I47126" s="50"/>
      <c r="O47126" s="36" t="s">
        <v>48</v>
      </c>
      <c r="R47126" s="36" t="s">
        <v>48</v>
      </c>
    </row>
    <row r="47127">
      <c r="H47127" s="50"/>
      <c r="I47127" s="50"/>
      <c r="O47127" s="36" t="s">
        <v>48</v>
      </c>
      <c r="R47127" s="36" t="s">
        <v>48</v>
      </c>
    </row>
    <row r="47128">
      <c r="H47128" s="50"/>
      <c r="I47128" s="50"/>
      <c r="O47128" s="36" t="s">
        <v>48</v>
      </c>
      <c r="R47128" s="36" t="s">
        <v>48</v>
      </c>
    </row>
    <row r="47129">
      <c r="H47129" s="50"/>
      <c r="I47129" s="50"/>
      <c r="O47129" s="36" t="s">
        <v>48</v>
      </c>
      <c r="R47129" s="36" t="s">
        <v>48</v>
      </c>
    </row>
    <row r="47130">
      <c r="H47130" s="50"/>
      <c r="I47130" s="50"/>
      <c r="O47130" s="36" t="s">
        <v>48</v>
      </c>
      <c r="R47130" s="36" t="s">
        <v>48</v>
      </c>
    </row>
    <row r="47131">
      <c r="H47131" s="50"/>
      <c r="I47131" s="50"/>
      <c r="O47131" s="36" t="s">
        <v>48</v>
      </c>
      <c r="R47131" s="36" t="s">
        <v>48</v>
      </c>
    </row>
    <row r="47132">
      <c r="H47132" s="50"/>
      <c r="I47132" s="50"/>
      <c r="O47132" s="36" t="s">
        <v>48</v>
      </c>
      <c r="R47132" s="36" t="s">
        <v>48</v>
      </c>
    </row>
    <row r="47133">
      <c r="H47133" s="50"/>
      <c r="I47133" s="50"/>
      <c r="O47133" s="36" t="s">
        <v>48</v>
      </c>
      <c r="R47133" s="36" t="s">
        <v>48</v>
      </c>
    </row>
    <row r="47134">
      <c r="H47134" s="50"/>
      <c r="I47134" s="50"/>
      <c r="O47134" s="36" t="s">
        <v>48</v>
      </c>
      <c r="R47134" s="36" t="s">
        <v>48</v>
      </c>
    </row>
    <row r="47135">
      <c r="H47135" s="50"/>
      <c r="I47135" s="50"/>
      <c r="O47135" s="36" t="s">
        <v>48</v>
      </c>
      <c r="R47135" s="36" t="s">
        <v>48</v>
      </c>
    </row>
    <row r="47136">
      <c r="H47136" s="50"/>
      <c r="I47136" s="50"/>
      <c r="O47136" s="36" t="s">
        <v>48</v>
      </c>
      <c r="R47136" s="36" t="s">
        <v>48</v>
      </c>
    </row>
    <row r="47137">
      <c r="H47137" s="50"/>
      <c r="I47137" s="50"/>
      <c r="O47137" s="36" t="s">
        <v>48</v>
      </c>
      <c r="R47137" s="36" t="s">
        <v>48</v>
      </c>
    </row>
    <row r="47138">
      <c r="H47138" s="50"/>
      <c r="I47138" s="50"/>
      <c r="O47138" s="36" t="s">
        <v>48</v>
      </c>
      <c r="R47138" s="36" t="s">
        <v>48</v>
      </c>
    </row>
    <row r="47139">
      <c r="H47139" s="50"/>
      <c r="I47139" s="50"/>
      <c r="O47139" s="36" t="s">
        <v>48</v>
      </c>
      <c r="R47139" s="36" t="s">
        <v>48</v>
      </c>
    </row>
    <row r="47140">
      <c r="H47140" s="50"/>
      <c r="I47140" s="50"/>
      <c r="O47140" s="36" t="s">
        <v>48</v>
      </c>
      <c r="R47140" s="36" t="s">
        <v>48</v>
      </c>
    </row>
    <row r="47141">
      <c r="H47141" s="50"/>
      <c r="I47141" s="50"/>
      <c r="O47141" s="36" t="s">
        <v>48</v>
      </c>
      <c r="R47141" s="36" t="s">
        <v>48</v>
      </c>
    </row>
    <row r="47142">
      <c r="H47142" s="50"/>
      <c r="I47142" s="50"/>
      <c r="O47142" s="36" t="s">
        <v>48</v>
      </c>
      <c r="R47142" s="36" t="s">
        <v>48</v>
      </c>
    </row>
    <row r="47143">
      <c r="H47143" s="50"/>
      <c r="I47143" s="50"/>
      <c r="O47143" s="36" t="s">
        <v>48</v>
      </c>
      <c r="R47143" s="36" t="s">
        <v>48</v>
      </c>
    </row>
    <row r="47144">
      <c r="H47144" s="50"/>
      <c r="I47144" s="50"/>
      <c r="O47144" s="36" t="s">
        <v>48</v>
      </c>
      <c r="R47144" s="36" t="s">
        <v>48</v>
      </c>
    </row>
    <row r="47145">
      <c r="H47145" s="50"/>
      <c r="I47145" s="50"/>
      <c r="O47145" s="36" t="s">
        <v>48</v>
      </c>
      <c r="R47145" s="36" t="s">
        <v>48</v>
      </c>
    </row>
    <row r="47146">
      <c r="H47146" s="50"/>
      <c r="I47146" s="50"/>
      <c r="O47146" s="36" t="s">
        <v>48</v>
      </c>
      <c r="R47146" s="36" t="s">
        <v>48</v>
      </c>
    </row>
    <row r="47147">
      <c r="H47147" s="50"/>
      <c r="I47147" s="50"/>
      <c r="O47147" s="36" t="s">
        <v>48</v>
      </c>
      <c r="R47147" s="36" t="s">
        <v>48</v>
      </c>
    </row>
    <row r="47148">
      <c r="H47148" s="50"/>
      <c r="I47148" s="50"/>
      <c r="O47148" s="36" t="s">
        <v>48</v>
      </c>
      <c r="R47148" s="36" t="s">
        <v>48</v>
      </c>
    </row>
    <row r="47149">
      <c r="H47149" s="50"/>
      <c r="I47149" s="50"/>
      <c r="O47149" s="36" t="s">
        <v>48</v>
      </c>
      <c r="R47149" s="36" t="s">
        <v>48</v>
      </c>
    </row>
    <row r="47150">
      <c r="H47150" s="50"/>
      <c r="I47150" s="50"/>
      <c r="O47150" s="36" t="s">
        <v>48</v>
      </c>
      <c r="R47150" s="36" t="s">
        <v>48</v>
      </c>
    </row>
    <row r="47151">
      <c r="H47151" s="50"/>
      <c r="I47151" s="50"/>
      <c r="O47151" s="36" t="s">
        <v>48</v>
      </c>
      <c r="R47151" s="36" t="s">
        <v>48</v>
      </c>
    </row>
    <row r="47152">
      <c r="H47152" s="50"/>
      <c r="I47152" s="50"/>
      <c r="O47152" s="36" t="s">
        <v>48</v>
      </c>
      <c r="R47152" s="36" t="s">
        <v>48</v>
      </c>
    </row>
    <row r="47153">
      <c r="H47153" s="50"/>
      <c r="I47153" s="50"/>
      <c r="O47153" s="36" t="s">
        <v>48</v>
      </c>
      <c r="R47153" s="36" t="s">
        <v>48</v>
      </c>
    </row>
    <row r="47154">
      <c r="H47154" s="50"/>
      <c r="I47154" s="50"/>
      <c r="O47154" s="36" t="s">
        <v>48</v>
      </c>
      <c r="R47154" s="36" t="s">
        <v>48</v>
      </c>
    </row>
    <row r="47155">
      <c r="H47155" s="50"/>
      <c r="I47155" s="50"/>
      <c r="O47155" s="36" t="s">
        <v>48</v>
      </c>
      <c r="R47155" s="36" t="s">
        <v>48</v>
      </c>
    </row>
    <row r="47156">
      <c r="H47156" s="50"/>
      <c r="I47156" s="50"/>
      <c r="O47156" s="36" t="s">
        <v>48</v>
      </c>
      <c r="R47156" s="36" t="s">
        <v>48</v>
      </c>
    </row>
    <row r="47157">
      <c r="H47157" s="50"/>
      <c r="I47157" s="50"/>
      <c r="O47157" s="36" t="s">
        <v>48</v>
      </c>
      <c r="R47157" s="36" t="s">
        <v>48</v>
      </c>
    </row>
    <row r="47158">
      <c r="H47158" s="50"/>
      <c r="I47158" s="50"/>
      <c r="O47158" s="36" t="s">
        <v>48</v>
      </c>
      <c r="R47158" s="36" t="s">
        <v>48</v>
      </c>
    </row>
    <row r="47159">
      <c r="H47159" s="50"/>
      <c r="I47159" s="50"/>
      <c r="O47159" s="36" t="s">
        <v>48</v>
      </c>
      <c r="R47159" s="36" t="s">
        <v>48</v>
      </c>
    </row>
    <row r="47160">
      <c r="H47160" s="50"/>
      <c r="I47160" s="50"/>
      <c r="O47160" s="36" t="s">
        <v>48</v>
      </c>
      <c r="R47160" s="36" t="s">
        <v>48</v>
      </c>
    </row>
    <row r="47161">
      <c r="H47161" s="50"/>
      <c r="I47161" s="50"/>
      <c r="O47161" s="36" t="s">
        <v>48</v>
      </c>
      <c r="R47161" s="36" t="s">
        <v>48</v>
      </c>
    </row>
    <row r="47162">
      <c r="H47162" s="50"/>
      <c r="I47162" s="50"/>
      <c r="O47162" s="36" t="s">
        <v>48</v>
      </c>
      <c r="R47162" s="36" t="s">
        <v>48</v>
      </c>
    </row>
    <row r="47163">
      <c r="H47163" s="50"/>
      <c r="I47163" s="50"/>
      <c r="O47163" s="36" t="s">
        <v>48</v>
      </c>
      <c r="R47163" s="36" t="s">
        <v>48</v>
      </c>
    </row>
    <row r="47164">
      <c r="H47164" s="50"/>
      <c r="I47164" s="50"/>
      <c r="O47164" s="36" t="s">
        <v>48</v>
      </c>
      <c r="R47164" s="36" t="s">
        <v>48</v>
      </c>
    </row>
    <row r="47165">
      <c r="H47165" s="50"/>
      <c r="I47165" s="50"/>
      <c r="O47165" s="36" t="s">
        <v>48</v>
      </c>
      <c r="R47165" s="36" t="s">
        <v>48</v>
      </c>
    </row>
    <row r="47166">
      <c r="H47166" s="50"/>
      <c r="I47166" s="50"/>
      <c r="O47166" s="36" t="s">
        <v>48</v>
      </c>
      <c r="R47166" s="36" t="s">
        <v>48</v>
      </c>
    </row>
    <row r="47167">
      <c r="H47167" s="50"/>
      <c r="I47167" s="50"/>
      <c r="O47167" s="36" t="s">
        <v>48</v>
      </c>
      <c r="R47167" s="36" t="s">
        <v>48</v>
      </c>
    </row>
    <row r="47168">
      <c r="H47168" s="50"/>
      <c r="I47168" s="50"/>
      <c r="O47168" s="36" t="s">
        <v>48</v>
      </c>
      <c r="R47168" s="36" t="s">
        <v>48</v>
      </c>
    </row>
    <row r="47169">
      <c r="H47169" s="50"/>
      <c r="I47169" s="50"/>
      <c r="O47169" s="36" t="s">
        <v>48</v>
      </c>
      <c r="R47169" s="36" t="s">
        <v>48</v>
      </c>
    </row>
    <row r="47170">
      <c r="H47170" s="50"/>
      <c r="I47170" s="50"/>
      <c r="O47170" s="36" t="s">
        <v>48</v>
      </c>
      <c r="R47170" s="36" t="s">
        <v>48</v>
      </c>
    </row>
    <row r="47171">
      <c r="H47171" s="50"/>
      <c r="I47171" s="50"/>
      <c r="O47171" s="36" t="s">
        <v>48</v>
      </c>
      <c r="R47171" s="36" t="s">
        <v>48</v>
      </c>
    </row>
    <row r="47172">
      <c r="H47172" s="50"/>
      <c r="I47172" s="50"/>
      <c r="O47172" s="36" t="s">
        <v>48</v>
      </c>
      <c r="R47172" s="36" t="s">
        <v>48</v>
      </c>
    </row>
    <row r="47173">
      <c r="H47173" s="50"/>
      <c r="I47173" s="50"/>
      <c r="O47173" s="36" t="s">
        <v>48</v>
      </c>
      <c r="R47173" s="36" t="s">
        <v>48</v>
      </c>
    </row>
    <row r="47174">
      <c r="H47174" s="50"/>
      <c r="I47174" s="50"/>
      <c r="O47174" s="36" t="s">
        <v>48</v>
      </c>
      <c r="R47174" s="36" t="s">
        <v>48</v>
      </c>
    </row>
    <row r="47175">
      <c r="H47175" s="50"/>
      <c r="I47175" s="50"/>
      <c r="O47175" s="36" t="s">
        <v>48</v>
      </c>
      <c r="R47175" s="36" t="s">
        <v>48</v>
      </c>
    </row>
    <row r="47176">
      <c r="H47176" s="50"/>
      <c r="I47176" s="50"/>
      <c r="O47176" s="36" t="s">
        <v>48</v>
      </c>
      <c r="R47176" s="36" t="s">
        <v>48</v>
      </c>
    </row>
    <row r="47177">
      <c r="H47177" s="50"/>
      <c r="I47177" s="50"/>
      <c r="O47177" s="36" t="s">
        <v>48</v>
      </c>
      <c r="R47177" s="36" t="s">
        <v>48</v>
      </c>
    </row>
    <row r="47178">
      <c r="H47178" s="50"/>
      <c r="I47178" s="50"/>
      <c r="O47178" s="36" t="s">
        <v>48</v>
      </c>
      <c r="R47178" s="36" t="s">
        <v>48</v>
      </c>
    </row>
    <row r="47179">
      <c r="H47179" s="50"/>
      <c r="I47179" s="50"/>
      <c r="O47179" s="36" t="s">
        <v>48</v>
      </c>
      <c r="R47179" s="36" t="s">
        <v>48</v>
      </c>
    </row>
    <row r="47180">
      <c r="H47180" s="50"/>
      <c r="I47180" s="50"/>
      <c r="O47180" s="36" t="s">
        <v>48</v>
      </c>
      <c r="R47180" s="36" t="s">
        <v>48</v>
      </c>
    </row>
    <row r="47181">
      <c r="H47181" s="50"/>
      <c r="I47181" s="50"/>
      <c r="O47181" s="36" t="s">
        <v>48</v>
      </c>
      <c r="R47181" s="36" t="s">
        <v>48</v>
      </c>
    </row>
    <row r="47182">
      <c r="H47182" s="50"/>
      <c r="I47182" s="50"/>
      <c r="O47182" s="36" t="s">
        <v>48</v>
      </c>
      <c r="R47182" s="36" t="s">
        <v>48</v>
      </c>
    </row>
    <row r="47183">
      <c r="H47183" s="50"/>
      <c r="I47183" s="50"/>
      <c r="O47183" s="36" t="s">
        <v>48</v>
      </c>
      <c r="R47183" s="36" t="s">
        <v>48</v>
      </c>
    </row>
    <row r="47184">
      <c r="H47184" s="50"/>
      <c r="I47184" s="50"/>
      <c r="O47184" s="36" t="s">
        <v>48</v>
      </c>
      <c r="R47184" s="36" t="s">
        <v>48</v>
      </c>
    </row>
    <row r="47185">
      <c r="H47185" s="50"/>
      <c r="I47185" s="50"/>
      <c r="O47185" s="36" t="s">
        <v>48</v>
      </c>
      <c r="R47185" s="36" t="s">
        <v>48</v>
      </c>
    </row>
    <row r="47186">
      <c r="H47186" s="50"/>
      <c r="I47186" s="50"/>
      <c r="O47186" s="36" t="s">
        <v>48</v>
      </c>
      <c r="R47186" s="36" t="s">
        <v>48</v>
      </c>
    </row>
    <row r="47187">
      <c r="H47187" s="50"/>
      <c r="I47187" s="50"/>
      <c r="O47187" s="36" t="s">
        <v>48</v>
      </c>
      <c r="R47187" s="36" t="s">
        <v>48</v>
      </c>
    </row>
    <row r="47188">
      <c r="H47188" s="50"/>
      <c r="I47188" s="50"/>
      <c r="O47188" s="36" t="s">
        <v>48</v>
      </c>
      <c r="R47188" s="36" t="s">
        <v>48</v>
      </c>
    </row>
    <row r="47189">
      <c r="H47189" s="50"/>
      <c r="I47189" s="50"/>
      <c r="O47189" s="36" t="s">
        <v>48</v>
      </c>
      <c r="R47189" s="36" t="s">
        <v>48</v>
      </c>
    </row>
    <row r="47190">
      <c r="H47190" s="50"/>
      <c r="I47190" s="50"/>
      <c r="O47190" s="36" t="s">
        <v>48</v>
      </c>
      <c r="R47190" s="36" t="s">
        <v>48</v>
      </c>
    </row>
    <row r="47191">
      <c r="H47191" s="50"/>
      <c r="I47191" s="50"/>
      <c r="O47191" s="36" t="s">
        <v>48</v>
      </c>
      <c r="R47191" s="36" t="s">
        <v>48</v>
      </c>
    </row>
    <row r="47192">
      <c r="H47192" s="50"/>
      <c r="I47192" s="50"/>
      <c r="O47192" s="36" t="s">
        <v>48</v>
      </c>
      <c r="R47192" s="36" t="s">
        <v>48</v>
      </c>
    </row>
    <row r="47193">
      <c r="H47193" s="50"/>
      <c r="I47193" s="50"/>
      <c r="O47193" s="36" t="s">
        <v>48</v>
      </c>
      <c r="R47193" s="36" t="s">
        <v>48</v>
      </c>
    </row>
    <row r="47194">
      <c r="H47194" s="50"/>
      <c r="I47194" s="50"/>
      <c r="O47194" s="36" t="s">
        <v>48</v>
      </c>
      <c r="R47194" s="36" t="s">
        <v>48</v>
      </c>
    </row>
    <row r="47195">
      <c r="H47195" s="50"/>
      <c r="I47195" s="50"/>
      <c r="O47195" s="36" t="s">
        <v>48</v>
      </c>
      <c r="R47195" s="36" t="s">
        <v>48</v>
      </c>
    </row>
    <row r="47196">
      <c r="H47196" s="50"/>
      <c r="I47196" s="50"/>
      <c r="O47196" s="36" t="s">
        <v>48</v>
      </c>
      <c r="R47196" s="36" t="s">
        <v>48</v>
      </c>
    </row>
    <row r="47197">
      <c r="H47197" s="50"/>
      <c r="I47197" s="50"/>
      <c r="O47197" s="36" t="s">
        <v>48</v>
      </c>
      <c r="R47197" s="36" t="s">
        <v>48</v>
      </c>
    </row>
    <row r="47198">
      <c r="H47198" s="50"/>
      <c r="I47198" s="50"/>
      <c r="O47198" s="36" t="s">
        <v>48</v>
      </c>
      <c r="R47198" s="36" t="s">
        <v>48</v>
      </c>
    </row>
    <row r="47199">
      <c r="H47199" s="50"/>
      <c r="I47199" s="50"/>
      <c r="O47199" s="36" t="s">
        <v>48</v>
      </c>
      <c r="R47199" s="36" t="s">
        <v>48</v>
      </c>
    </row>
    <row r="47200">
      <c r="H47200" s="50"/>
      <c r="I47200" s="50"/>
      <c r="O47200" s="36" t="s">
        <v>48</v>
      </c>
      <c r="R47200" s="36" t="s">
        <v>48</v>
      </c>
    </row>
    <row r="47201">
      <c r="H47201" s="50"/>
      <c r="I47201" s="50"/>
      <c r="O47201" s="36" t="s">
        <v>48</v>
      </c>
      <c r="R47201" s="36" t="s">
        <v>48</v>
      </c>
    </row>
    <row r="47202">
      <c r="H47202" s="50"/>
      <c r="I47202" s="50"/>
      <c r="O47202" s="36" t="s">
        <v>48</v>
      </c>
      <c r="R47202" s="36" t="s">
        <v>48</v>
      </c>
    </row>
    <row r="47203">
      <c r="H47203" s="50"/>
      <c r="I47203" s="50"/>
      <c r="O47203" s="36" t="s">
        <v>48</v>
      </c>
      <c r="R47203" s="36" t="s">
        <v>48</v>
      </c>
    </row>
    <row r="47204">
      <c r="H47204" s="50"/>
      <c r="I47204" s="50"/>
      <c r="O47204" s="36" t="s">
        <v>48</v>
      </c>
      <c r="R47204" s="36" t="s">
        <v>48</v>
      </c>
    </row>
    <row r="47205">
      <c r="H47205" s="50"/>
      <c r="I47205" s="50"/>
      <c r="O47205" s="36" t="s">
        <v>48</v>
      </c>
      <c r="R47205" s="36" t="s">
        <v>48</v>
      </c>
    </row>
    <row r="47206">
      <c r="H47206" s="50"/>
      <c r="I47206" s="50"/>
      <c r="O47206" s="36" t="s">
        <v>48</v>
      </c>
      <c r="R47206" s="36" t="s">
        <v>48</v>
      </c>
    </row>
    <row r="47207">
      <c r="H47207" s="50"/>
      <c r="I47207" s="50"/>
      <c r="O47207" s="36" t="s">
        <v>48</v>
      </c>
      <c r="R47207" s="36" t="s">
        <v>48</v>
      </c>
    </row>
    <row r="47208">
      <c r="H47208" s="50"/>
      <c r="I47208" s="50"/>
      <c r="O47208" s="36" t="s">
        <v>48</v>
      </c>
      <c r="R47208" s="36" t="s">
        <v>48</v>
      </c>
    </row>
    <row r="47209">
      <c r="H47209" s="50"/>
      <c r="I47209" s="50"/>
      <c r="O47209" s="36" t="s">
        <v>48</v>
      </c>
      <c r="R47209" s="36" t="s">
        <v>48</v>
      </c>
    </row>
    <row r="47210">
      <c r="H47210" s="50"/>
      <c r="I47210" s="50"/>
      <c r="O47210" s="36" t="s">
        <v>48</v>
      </c>
      <c r="R47210" s="36" t="s">
        <v>48</v>
      </c>
    </row>
    <row r="47211">
      <c r="H47211" s="50"/>
      <c r="I47211" s="50"/>
      <c r="O47211" s="36" t="s">
        <v>48</v>
      </c>
      <c r="R47211" s="36" t="s">
        <v>48</v>
      </c>
    </row>
    <row r="47212">
      <c r="H47212" s="50"/>
      <c r="I47212" s="50"/>
      <c r="O47212" s="36" t="s">
        <v>48</v>
      </c>
      <c r="R47212" s="36" t="s">
        <v>48</v>
      </c>
    </row>
    <row r="47213">
      <c r="H47213" s="50"/>
      <c r="I47213" s="50"/>
      <c r="O47213" s="36" t="s">
        <v>48</v>
      </c>
      <c r="R47213" s="36" t="s">
        <v>48</v>
      </c>
    </row>
    <row r="47214">
      <c r="H47214" s="50"/>
      <c r="I47214" s="50"/>
      <c r="O47214" s="36" t="s">
        <v>48</v>
      </c>
      <c r="R47214" s="36" t="s">
        <v>48</v>
      </c>
    </row>
    <row r="47215">
      <c r="H47215" s="50"/>
      <c r="I47215" s="50"/>
      <c r="O47215" s="36" t="s">
        <v>48</v>
      </c>
      <c r="R47215" s="36" t="s">
        <v>48</v>
      </c>
    </row>
    <row r="47216">
      <c r="H47216" s="50"/>
      <c r="I47216" s="50"/>
      <c r="O47216" s="36" t="s">
        <v>48</v>
      </c>
      <c r="R47216" s="36" t="s">
        <v>48</v>
      </c>
    </row>
    <row r="47217">
      <c r="H47217" s="50"/>
      <c r="I47217" s="50"/>
      <c r="O47217" s="36" t="s">
        <v>48</v>
      </c>
      <c r="R47217" s="36" t="s">
        <v>48</v>
      </c>
    </row>
    <row r="47218">
      <c r="H47218" s="50"/>
      <c r="I47218" s="50"/>
      <c r="O47218" s="36" t="s">
        <v>48</v>
      </c>
      <c r="R47218" s="36" t="s">
        <v>48</v>
      </c>
    </row>
    <row r="47219">
      <c r="H47219" s="50"/>
      <c r="I47219" s="50"/>
      <c r="O47219" s="36" t="s">
        <v>48</v>
      </c>
      <c r="R47219" s="36" t="s">
        <v>48</v>
      </c>
    </row>
    <row r="47220">
      <c r="H47220" s="50"/>
      <c r="I47220" s="50"/>
      <c r="O47220" s="36" t="s">
        <v>48</v>
      </c>
      <c r="R47220" s="36" t="s">
        <v>48</v>
      </c>
    </row>
    <row r="47221">
      <c r="H47221" s="50"/>
      <c r="I47221" s="50"/>
      <c r="O47221" s="36" t="s">
        <v>48</v>
      </c>
      <c r="R47221" s="36" t="s">
        <v>48</v>
      </c>
    </row>
    <row r="47222">
      <c r="H47222" s="50"/>
      <c r="I47222" s="50"/>
      <c r="O47222" s="36" t="s">
        <v>48</v>
      </c>
      <c r="R47222" s="36" t="s">
        <v>48</v>
      </c>
    </row>
    <row r="47223">
      <c r="H47223" s="50"/>
      <c r="I47223" s="50"/>
      <c r="O47223" s="36" t="s">
        <v>48</v>
      </c>
      <c r="R47223" s="36" t="s">
        <v>48</v>
      </c>
    </row>
    <row r="47224">
      <c r="H47224" s="50"/>
      <c r="I47224" s="50"/>
      <c r="O47224" s="36" t="s">
        <v>48</v>
      </c>
      <c r="R47224" s="36" t="s">
        <v>48</v>
      </c>
    </row>
    <row r="47225">
      <c r="H47225" s="50"/>
      <c r="I47225" s="50"/>
      <c r="O47225" s="36" t="s">
        <v>48</v>
      </c>
      <c r="R47225" s="36" t="s">
        <v>48</v>
      </c>
    </row>
    <row r="47226">
      <c r="H47226" s="50"/>
      <c r="I47226" s="50"/>
      <c r="O47226" s="36" t="s">
        <v>48</v>
      </c>
      <c r="R47226" s="36" t="s">
        <v>48</v>
      </c>
    </row>
    <row r="47227">
      <c r="H47227" s="50"/>
      <c r="I47227" s="50"/>
      <c r="O47227" s="36" t="s">
        <v>48</v>
      </c>
      <c r="R47227" s="36" t="s">
        <v>48</v>
      </c>
    </row>
    <row r="47228">
      <c r="H47228" s="50"/>
      <c r="I47228" s="50"/>
      <c r="O47228" s="36" t="s">
        <v>48</v>
      </c>
      <c r="R47228" s="36" t="s">
        <v>48</v>
      </c>
    </row>
    <row r="47229">
      <c r="H47229" s="50"/>
      <c r="I47229" s="50"/>
      <c r="O47229" s="36" t="s">
        <v>48</v>
      </c>
      <c r="R47229" s="36" t="s">
        <v>48</v>
      </c>
    </row>
    <row r="47230">
      <c r="H47230" s="50"/>
      <c r="I47230" s="50"/>
      <c r="O47230" s="36" t="s">
        <v>48</v>
      </c>
      <c r="R47230" s="36" t="s">
        <v>48</v>
      </c>
    </row>
    <row r="47231">
      <c r="H47231" s="50"/>
      <c r="I47231" s="50"/>
      <c r="O47231" s="36" t="s">
        <v>48</v>
      </c>
      <c r="R47231" s="36" t="s">
        <v>48</v>
      </c>
    </row>
    <row r="47232">
      <c r="H47232" s="50"/>
      <c r="I47232" s="50"/>
      <c r="O47232" s="36" t="s">
        <v>48</v>
      </c>
      <c r="R47232" s="36" t="s">
        <v>48</v>
      </c>
    </row>
    <row r="47233">
      <c r="H47233" s="50"/>
      <c r="I47233" s="50"/>
      <c r="O47233" s="36" t="s">
        <v>48</v>
      </c>
      <c r="R47233" s="36" t="s">
        <v>48</v>
      </c>
    </row>
    <row r="47234">
      <c r="H47234" s="50"/>
      <c r="I47234" s="50"/>
      <c r="O47234" s="36" t="s">
        <v>48</v>
      </c>
      <c r="R47234" s="36" t="s">
        <v>48</v>
      </c>
    </row>
    <row r="47235">
      <c r="H47235" s="50"/>
      <c r="I47235" s="50"/>
      <c r="O47235" s="36" t="s">
        <v>48</v>
      </c>
      <c r="R47235" s="36" t="s">
        <v>48</v>
      </c>
    </row>
    <row r="47236">
      <c r="H47236" s="50"/>
      <c r="I47236" s="50"/>
      <c r="O47236" s="36" t="s">
        <v>48</v>
      </c>
      <c r="R47236" s="36" t="s">
        <v>48</v>
      </c>
    </row>
    <row r="47237">
      <c r="H47237" s="50"/>
      <c r="I47237" s="50"/>
      <c r="O47237" s="36" t="s">
        <v>48</v>
      </c>
      <c r="R47237" s="36" t="s">
        <v>48</v>
      </c>
    </row>
    <row r="47238">
      <c r="H47238" s="50"/>
      <c r="I47238" s="50"/>
      <c r="O47238" s="36" t="s">
        <v>48</v>
      </c>
      <c r="R47238" s="36" t="s">
        <v>48</v>
      </c>
    </row>
    <row r="47239">
      <c r="H47239" s="50"/>
      <c r="I47239" s="50"/>
      <c r="O47239" s="36" t="s">
        <v>48</v>
      </c>
      <c r="R47239" s="36" t="s">
        <v>48</v>
      </c>
    </row>
    <row r="47240">
      <c r="H47240" s="50"/>
      <c r="I47240" s="50"/>
      <c r="O47240" s="36" t="s">
        <v>48</v>
      </c>
      <c r="R47240" s="36" t="s">
        <v>48</v>
      </c>
    </row>
    <row r="47241">
      <c r="H47241" s="50"/>
      <c r="I47241" s="50"/>
      <c r="O47241" s="36" t="s">
        <v>48</v>
      </c>
      <c r="R47241" s="36" t="s">
        <v>48</v>
      </c>
    </row>
    <row r="47242">
      <c r="H47242" s="50"/>
      <c r="I47242" s="50"/>
      <c r="O47242" s="36" t="s">
        <v>48</v>
      </c>
      <c r="R47242" s="36" t="s">
        <v>48</v>
      </c>
    </row>
    <row r="47243">
      <c r="H47243" s="50"/>
      <c r="I47243" s="50"/>
      <c r="O47243" s="36" t="s">
        <v>48</v>
      </c>
      <c r="R47243" s="36" t="s">
        <v>48</v>
      </c>
    </row>
    <row r="47244">
      <c r="H47244" s="50"/>
      <c r="I47244" s="50"/>
      <c r="O47244" s="36" t="s">
        <v>48</v>
      </c>
      <c r="R47244" s="36" t="s">
        <v>48</v>
      </c>
    </row>
    <row r="47245">
      <c r="H47245" s="50"/>
      <c r="I47245" s="50"/>
      <c r="O47245" s="36" t="s">
        <v>48</v>
      </c>
      <c r="R47245" s="36" t="s">
        <v>48</v>
      </c>
    </row>
    <row r="47246">
      <c r="H47246" s="50"/>
      <c r="I47246" s="50"/>
      <c r="O47246" s="36" t="s">
        <v>48</v>
      </c>
      <c r="R47246" s="36" t="s">
        <v>48</v>
      </c>
    </row>
    <row r="47247">
      <c r="H47247" s="50"/>
      <c r="I47247" s="50"/>
      <c r="O47247" s="36" t="s">
        <v>48</v>
      </c>
      <c r="R47247" s="36" t="s">
        <v>48</v>
      </c>
    </row>
    <row r="47248">
      <c r="H47248" s="50"/>
      <c r="I47248" s="50"/>
      <c r="O47248" s="36" t="s">
        <v>48</v>
      </c>
      <c r="R47248" s="36" t="s">
        <v>48</v>
      </c>
    </row>
    <row r="47249">
      <c r="H47249" s="50"/>
      <c r="I47249" s="50"/>
      <c r="O47249" s="36" t="s">
        <v>48</v>
      </c>
      <c r="R47249" s="36" t="s">
        <v>48</v>
      </c>
    </row>
    <row r="47250">
      <c r="H47250" s="50"/>
      <c r="I47250" s="50"/>
      <c r="O47250" s="36" t="s">
        <v>48</v>
      </c>
      <c r="R47250" s="36" t="s">
        <v>48</v>
      </c>
    </row>
    <row r="47251">
      <c r="H47251" s="50"/>
      <c r="I47251" s="50"/>
      <c r="O47251" s="36" t="s">
        <v>48</v>
      </c>
      <c r="R47251" s="36" t="s">
        <v>48</v>
      </c>
    </row>
    <row r="47252">
      <c r="H47252" s="50"/>
      <c r="I47252" s="50"/>
      <c r="O47252" s="36" t="s">
        <v>48</v>
      </c>
      <c r="R47252" s="36" t="s">
        <v>48</v>
      </c>
    </row>
    <row r="47253">
      <c r="H47253" s="50"/>
      <c r="I47253" s="50"/>
      <c r="O47253" s="36" t="s">
        <v>48</v>
      </c>
      <c r="R47253" s="36" t="s">
        <v>48</v>
      </c>
    </row>
    <row r="47254">
      <c r="H47254" s="50"/>
      <c r="I47254" s="50"/>
      <c r="O47254" s="36" t="s">
        <v>48</v>
      </c>
      <c r="R47254" s="36" t="s">
        <v>48</v>
      </c>
    </row>
    <row r="47255">
      <c r="H47255" s="50"/>
      <c r="I47255" s="50"/>
      <c r="O47255" s="36" t="s">
        <v>48</v>
      </c>
      <c r="R47255" s="36" t="s">
        <v>48</v>
      </c>
    </row>
    <row r="47256">
      <c r="H47256" s="50"/>
      <c r="I47256" s="50"/>
      <c r="O47256" s="36" t="s">
        <v>48</v>
      </c>
      <c r="R47256" s="36" t="s">
        <v>48</v>
      </c>
    </row>
    <row r="47257">
      <c r="H47257" s="50"/>
      <c r="I47257" s="50"/>
      <c r="O47257" s="36" t="s">
        <v>48</v>
      </c>
      <c r="R47257" s="36" t="s">
        <v>48</v>
      </c>
    </row>
    <row r="47258">
      <c r="H47258" s="50"/>
      <c r="I47258" s="50"/>
      <c r="O47258" s="36" t="s">
        <v>48</v>
      </c>
      <c r="R47258" s="36" t="s">
        <v>48</v>
      </c>
    </row>
    <row r="47259">
      <c r="H47259" s="50"/>
      <c r="I47259" s="50"/>
      <c r="O47259" s="36" t="s">
        <v>48</v>
      </c>
      <c r="R47259" s="36" t="s">
        <v>48</v>
      </c>
    </row>
    <row r="47260">
      <c r="H47260" s="50"/>
      <c r="I47260" s="50"/>
      <c r="O47260" s="36" t="s">
        <v>48</v>
      </c>
      <c r="R47260" s="36" t="s">
        <v>48</v>
      </c>
    </row>
    <row r="47261">
      <c r="H47261" s="50"/>
      <c r="I47261" s="50"/>
      <c r="O47261" s="36" t="s">
        <v>48</v>
      </c>
      <c r="R47261" s="36" t="s">
        <v>48</v>
      </c>
    </row>
    <row r="47262">
      <c r="H47262" s="50"/>
      <c r="I47262" s="50"/>
      <c r="O47262" s="36" t="s">
        <v>48</v>
      </c>
      <c r="R47262" s="36" t="s">
        <v>48</v>
      </c>
    </row>
    <row r="47263">
      <c r="H47263" s="50"/>
      <c r="I47263" s="50"/>
      <c r="O47263" s="36" t="s">
        <v>48</v>
      </c>
      <c r="R47263" s="36" t="s">
        <v>48</v>
      </c>
    </row>
    <row r="47264">
      <c r="H47264" s="50"/>
      <c r="I47264" s="50"/>
      <c r="O47264" s="36" t="s">
        <v>48</v>
      </c>
      <c r="R47264" s="36" t="s">
        <v>48</v>
      </c>
    </row>
    <row r="47265">
      <c r="H47265" s="50"/>
      <c r="I47265" s="50"/>
      <c r="O47265" s="36" t="s">
        <v>48</v>
      </c>
      <c r="R47265" s="36" t="s">
        <v>48</v>
      </c>
    </row>
    <row r="47266">
      <c r="H47266" s="50"/>
      <c r="I47266" s="50"/>
      <c r="O47266" s="36" t="s">
        <v>48</v>
      </c>
      <c r="R47266" s="36" t="s">
        <v>48</v>
      </c>
    </row>
    <row r="47267">
      <c r="H47267" s="50"/>
      <c r="I47267" s="50"/>
      <c r="O47267" s="36" t="s">
        <v>48</v>
      </c>
      <c r="R47267" s="36" t="s">
        <v>48</v>
      </c>
    </row>
    <row r="47268">
      <c r="H47268" s="50"/>
      <c r="I47268" s="50"/>
      <c r="O47268" s="36" t="s">
        <v>48</v>
      </c>
      <c r="R47268" s="36" t="s">
        <v>48</v>
      </c>
    </row>
    <row r="47269">
      <c r="H47269" s="50"/>
      <c r="I47269" s="50"/>
      <c r="O47269" s="36" t="s">
        <v>48</v>
      </c>
      <c r="R47269" s="36" t="s">
        <v>48</v>
      </c>
    </row>
    <row r="47270">
      <c r="H47270" s="50"/>
      <c r="I47270" s="50"/>
      <c r="O47270" s="36" t="s">
        <v>48</v>
      </c>
      <c r="R47270" s="36" t="s">
        <v>48</v>
      </c>
    </row>
    <row r="47271">
      <c r="H47271" s="50"/>
      <c r="I47271" s="50"/>
      <c r="O47271" s="36" t="s">
        <v>48</v>
      </c>
      <c r="R47271" s="36" t="s">
        <v>48</v>
      </c>
    </row>
    <row r="47272">
      <c r="H47272" s="50"/>
      <c r="I47272" s="50"/>
      <c r="O47272" s="36" t="s">
        <v>48</v>
      </c>
      <c r="R47272" s="36" t="s">
        <v>48</v>
      </c>
    </row>
    <row r="47273">
      <c r="H47273" s="50"/>
      <c r="I47273" s="50"/>
      <c r="O47273" s="36" t="s">
        <v>48</v>
      </c>
      <c r="R47273" s="36" t="s">
        <v>48</v>
      </c>
    </row>
    <row r="47274">
      <c r="H47274" s="50"/>
      <c r="I47274" s="50"/>
      <c r="O47274" s="36" t="s">
        <v>48</v>
      </c>
      <c r="R47274" s="36" t="s">
        <v>48</v>
      </c>
    </row>
    <row r="47275">
      <c r="H47275" s="50"/>
      <c r="I47275" s="50"/>
      <c r="O47275" s="36" t="s">
        <v>48</v>
      </c>
      <c r="R47275" s="36" t="s">
        <v>48</v>
      </c>
    </row>
    <row r="47276">
      <c r="H47276" s="50"/>
      <c r="I47276" s="50"/>
      <c r="O47276" s="36" t="s">
        <v>48</v>
      </c>
      <c r="R47276" s="36" t="s">
        <v>48</v>
      </c>
    </row>
    <row r="47277">
      <c r="H47277" s="50"/>
      <c r="I47277" s="50"/>
      <c r="O47277" s="36" t="s">
        <v>48</v>
      </c>
      <c r="R47277" s="36" t="s">
        <v>48</v>
      </c>
    </row>
    <row r="47278">
      <c r="H47278" s="50"/>
      <c r="I47278" s="50"/>
      <c r="O47278" s="36" t="s">
        <v>48</v>
      </c>
      <c r="R47278" s="36" t="s">
        <v>48</v>
      </c>
    </row>
    <row r="47279">
      <c r="H47279" s="50"/>
      <c r="I47279" s="50"/>
      <c r="O47279" s="36" t="s">
        <v>48</v>
      </c>
      <c r="R47279" s="36" t="s">
        <v>48</v>
      </c>
    </row>
    <row r="47280">
      <c r="H47280" s="50"/>
      <c r="I47280" s="50"/>
      <c r="O47280" s="36" t="s">
        <v>48</v>
      </c>
      <c r="R47280" s="36" t="s">
        <v>48</v>
      </c>
    </row>
    <row r="47281">
      <c r="H47281" s="50"/>
      <c r="I47281" s="50"/>
      <c r="O47281" s="36" t="s">
        <v>48</v>
      </c>
      <c r="R47281" s="36" t="s">
        <v>48</v>
      </c>
    </row>
    <row r="47282">
      <c r="H47282" s="50"/>
      <c r="I47282" s="50"/>
      <c r="O47282" s="36" t="s">
        <v>48</v>
      </c>
      <c r="R47282" s="36" t="s">
        <v>48</v>
      </c>
    </row>
    <row r="47283">
      <c r="H47283" s="50"/>
      <c r="I47283" s="50"/>
      <c r="O47283" s="36" t="s">
        <v>48</v>
      </c>
      <c r="R47283" s="36" t="s">
        <v>48</v>
      </c>
    </row>
    <row r="47284">
      <c r="H47284" s="50"/>
      <c r="I47284" s="50"/>
      <c r="O47284" s="36" t="s">
        <v>48</v>
      </c>
      <c r="R47284" s="36" t="s">
        <v>48</v>
      </c>
    </row>
    <row r="47285">
      <c r="H47285" s="50"/>
      <c r="I47285" s="50"/>
      <c r="O47285" s="36" t="s">
        <v>48</v>
      </c>
      <c r="R47285" s="36" t="s">
        <v>48</v>
      </c>
    </row>
    <row r="47286">
      <c r="H47286" s="50"/>
      <c r="I47286" s="50"/>
      <c r="O47286" s="36" t="s">
        <v>48</v>
      </c>
      <c r="R47286" s="36" t="s">
        <v>48</v>
      </c>
    </row>
    <row r="47287">
      <c r="H47287" s="50"/>
      <c r="I47287" s="50"/>
      <c r="O47287" s="36" t="s">
        <v>48</v>
      </c>
      <c r="R47287" s="36" t="s">
        <v>48</v>
      </c>
    </row>
    <row r="47288">
      <c r="H47288" s="50"/>
      <c r="I47288" s="50"/>
      <c r="O47288" s="36" t="s">
        <v>48</v>
      </c>
      <c r="R47288" s="36" t="s">
        <v>48</v>
      </c>
    </row>
    <row r="47289">
      <c r="H47289" s="50"/>
      <c r="I47289" s="50"/>
      <c r="O47289" s="36" t="s">
        <v>48</v>
      </c>
      <c r="R47289" s="36" t="s">
        <v>48</v>
      </c>
    </row>
    <row r="47290">
      <c r="H47290" s="50"/>
      <c r="I47290" s="50"/>
      <c r="O47290" s="36" t="s">
        <v>48</v>
      </c>
      <c r="R47290" s="36" t="s">
        <v>48</v>
      </c>
    </row>
    <row r="47291">
      <c r="H47291" s="50"/>
      <c r="I47291" s="50"/>
      <c r="O47291" s="36" t="s">
        <v>48</v>
      </c>
      <c r="R47291" s="36" t="s">
        <v>48</v>
      </c>
    </row>
    <row r="47292">
      <c r="H47292" s="50"/>
      <c r="I47292" s="50"/>
      <c r="O47292" s="36" t="s">
        <v>48</v>
      </c>
      <c r="R47292" s="36" t="s">
        <v>48</v>
      </c>
    </row>
    <row r="47293">
      <c r="H47293" s="50"/>
      <c r="I47293" s="50"/>
      <c r="O47293" s="36" t="s">
        <v>48</v>
      </c>
      <c r="R47293" s="36" t="s">
        <v>48</v>
      </c>
    </row>
    <row r="47294">
      <c r="H47294" s="50"/>
      <c r="I47294" s="50"/>
      <c r="O47294" s="36" t="s">
        <v>48</v>
      </c>
      <c r="R47294" s="36" t="s">
        <v>48</v>
      </c>
    </row>
    <row r="47295">
      <c r="H47295" s="50"/>
      <c r="I47295" s="50"/>
      <c r="O47295" s="36" t="s">
        <v>48</v>
      </c>
      <c r="R47295" s="36" t="s">
        <v>48</v>
      </c>
    </row>
    <row r="47296">
      <c r="H47296" s="50"/>
      <c r="I47296" s="50"/>
      <c r="O47296" s="36" t="s">
        <v>48</v>
      </c>
      <c r="R47296" s="36" t="s">
        <v>48</v>
      </c>
    </row>
    <row r="47297">
      <c r="H47297" s="50"/>
      <c r="I47297" s="50"/>
      <c r="O47297" s="36" t="s">
        <v>48</v>
      </c>
      <c r="R47297" s="36" t="s">
        <v>48</v>
      </c>
    </row>
    <row r="47298">
      <c r="H47298" s="50"/>
      <c r="I47298" s="50"/>
      <c r="O47298" s="36" t="s">
        <v>48</v>
      </c>
      <c r="R47298" s="36" t="s">
        <v>48</v>
      </c>
    </row>
    <row r="47299">
      <c r="H47299" s="50"/>
      <c r="I47299" s="50"/>
      <c r="O47299" s="36" t="s">
        <v>48</v>
      </c>
      <c r="R47299" s="36" t="s">
        <v>48</v>
      </c>
    </row>
    <row r="47300">
      <c r="H47300" s="50"/>
      <c r="I47300" s="50"/>
      <c r="O47300" s="36" t="s">
        <v>48</v>
      </c>
      <c r="R47300" s="36" t="s">
        <v>48</v>
      </c>
    </row>
    <row r="47301">
      <c r="H47301" s="50"/>
      <c r="I47301" s="50"/>
      <c r="O47301" s="36" t="s">
        <v>48</v>
      </c>
      <c r="R47301" s="36" t="s">
        <v>48</v>
      </c>
    </row>
    <row r="47302">
      <c r="H47302" s="50"/>
      <c r="I47302" s="50"/>
      <c r="O47302" s="36" t="s">
        <v>48</v>
      </c>
      <c r="R47302" s="36" t="s">
        <v>48</v>
      </c>
    </row>
    <row r="47303">
      <c r="H47303" s="50"/>
      <c r="I47303" s="50"/>
      <c r="O47303" s="36" t="s">
        <v>48</v>
      </c>
      <c r="R47303" s="36" t="s">
        <v>48</v>
      </c>
    </row>
    <row r="47304">
      <c r="H47304" s="50"/>
      <c r="I47304" s="50"/>
      <c r="O47304" s="36" t="s">
        <v>48</v>
      </c>
      <c r="R47304" s="36" t="s">
        <v>48</v>
      </c>
    </row>
    <row r="47305">
      <c r="H47305" s="50"/>
      <c r="I47305" s="50"/>
      <c r="O47305" s="36" t="s">
        <v>48</v>
      </c>
      <c r="R47305" s="36" t="s">
        <v>48</v>
      </c>
    </row>
    <row r="47306">
      <c r="H47306" s="50"/>
      <c r="I47306" s="50"/>
      <c r="O47306" s="36" t="s">
        <v>48</v>
      </c>
      <c r="R47306" s="36" t="s">
        <v>48</v>
      </c>
    </row>
    <row r="47307">
      <c r="H47307" s="50"/>
      <c r="I47307" s="50"/>
      <c r="O47307" s="36" t="s">
        <v>48</v>
      </c>
      <c r="R47307" s="36" t="s">
        <v>48</v>
      </c>
    </row>
    <row r="47308">
      <c r="H47308" s="50"/>
      <c r="I47308" s="50"/>
      <c r="O47308" s="36" t="s">
        <v>48</v>
      </c>
      <c r="R47308" s="36" t="s">
        <v>48</v>
      </c>
    </row>
    <row r="47309">
      <c r="H47309" s="50"/>
      <c r="I47309" s="50"/>
      <c r="O47309" s="36" t="s">
        <v>48</v>
      </c>
      <c r="R47309" s="36" t="s">
        <v>48</v>
      </c>
    </row>
    <row r="47310">
      <c r="H47310" s="50"/>
      <c r="I47310" s="50"/>
      <c r="O47310" s="36" t="s">
        <v>48</v>
      </c>
      <c r="R47310" s="36" t="s">
        <v>48</v>
      </c>
    </row>
    <row r="47311">
      <c r="H47311" s="50"/>
      <c r="I47311" s="50"/>
      <c r="O47311" s="36" t="s">
        <v>48</v>
      </c>
      <c r="R47311" s="36" t="s">
        <v>48</v>
      </c>
    </row>
    <row r="47312">
      <c r="H47312" s="50"/>
      <c r="I47312" s="50"/>
      <c r="O47312" s="36" t="s">
        <v>48</v>
      </c>
      <c r="R47312" s="36" t="s">
        <v>48</v>
      </c>
    </row>
    <row r="47313">
      <c r="H47313" s="50"/>
      <c r="I47313" s="50"/>
      <c r="O47313" s="36" t="s">
        <v>48</v>
      </c>
      <c r="R47313" s="36" t="s">
        <v>48</v>
      </c>
    </row>
    <row r="47314">
      <c r="H47314" s="50"/>
      <c r="I47314" s="50"/>
      <c r="O47314" s="36" t="s">
        <v>48</v>
      </c>
      <c r="R47314" s="36" t="s">
        <v>48</v>
      </c>
    </row>
    <row r="47315">
      <c r="H47315" s="50"/>
      <c r="I47315" s="50"/>
      <c r="O47315" s="36" t="s">
        <v>48</v>
      </c>
      <c r="R47315" s="36" t="s">
        <v>48</v>
      </c>
    </row>
    <row r="47316">
      <c r="H47316" s="50"/>
      <c r="I47316" s="50"/>
      <c r="O47316" s="36" t="s">
        <v>48</v>
      </c>
      <c r="R47316" s="36" t="s">
        <v>48</v>
      </c>
    </row>
    <row r="47317">
      <c r="H47317" s="50"/>
      <c r="I47317" s="50"/>
      <c r="O47317" s="36" t="s">
        <v>48</v>
      </c>
      <c r="R47317" s="36" t="s">
        <v>48</v>
      </c>
    </row>
    <row r="47318">
      <c r="H47318" s="50"/>
      <c r="I47318" s="50"/>
      <c r="O47318" s="36" t="s">
        <v>48</v>
      </c>
      <c r="R47318" s="36" t="s">
        <v>48</v>
      </c>
    </row>
    <row r="47319">
      <c r="H47319" s="50"/>
      <c r="I47319" s="50"/>
      <c r="O47319" s="36" t="s">
        <v>48</v>
      </c>
      <c r="R47319" s="36" t="s">
        <v>48</v>
      </c>
    </row>
    <row r="47320">
      <c r="H47320" s="50"/>
      <c r="I47320" s="50"/>
      <c r="O47320" s="36" t="s">
        <v>48</v>
      </c>
      <c r="R47320" s="36" t="s">
        <v>48</v>
      </c>
    </row>
    <row r="47321">
      <c r="H47321" s="50"/>
      <c r="I47321" s="50"/>
      <c r="O47321" s="36" t="s">
        <v>48</v>
      </c>
      <c r="R47321" s="36" t="s">
        <v>48</v>
      </c>
    </row>
    <row r="47322">
      <c r="H47322" s="50"/>
      <c r="I47322" s="50"/>
      <c r="O47322" s="36" t="s">
        <v>48</v>
      </c>
      <c r="R47322" s="36" t="s">
        <v>48</v>
      </c>
    </row>
    <row r="47323">
      <c r="H47323" s="50"/>
      <c r="I47323" s="50"/>
      <c r="O47323" s="36" t="s">
        <v>48</v>
      </c>
      <c r="R47323" s="36" t="s">
        <v>48</v>
      </c>
    </row>
    <row r="47324">
      <c r="H47324" s="50"/>
      <c r="I47324" s="50"/>
      <c r="O47324" s="36" t="s">
        <v>48</v>
      </c>
      <c r="R47324" s="36" t="s">
        <v>48</v>
      </c>
    </row>
    <row r="47325">
      <c r="H47325" s="50"/>
      <c r="I47325" s="50"/>
      <c r="O47325" s="36" t="s">
        <v>48</v>
      </c>
      <c r="R47325" s="36" t="s">
        <v>48</v>
      </c>
    </row>
    <row r="47326">
      <c r="H47326" s="50"/>
      <c r="I47326" s="50"/>
      <c r="O47326" s="36" t="s">
        <v>48</v>
      </c>
      <c r="R47326" s="36" t="s">
        <v>48</v>
      </c>
    </row>
    <row r="47327">
      <c r="H47327" s="50"/>
      <c r="I47327" s="50"/>
      <c r="O47327" s="36" t="s">
        <v>48</v>
      </c>
      <c r="R47327" s="36" t="s">
        <v>48</v>
      </c>
    </row>
    <row r="47328">
      <c r="H47328" s="50"/>
      <c r="I47328" s="50"/>
      <c r="O47328" s="36" t="s">
        <v>48</v>
      </c>
      <c r="R47328" s="36" t="s">
        <v>48</v>
      </c>
    </row>
    <row r="47329">
      <c r="H47329" s="50"/>
      <c r="I47329" s="50"/>
      <c r="O47329" s="36" t="s">
        <v>48</v>
      </c>
      <c r="R47329" s="36" t="s">
        <v>48</v>
      </c>
    </row>
    <row r="47330">
      <c r="H47330" s="50"/>
      <c r="I47330" s="50"/>
      <c r="O47330" s="36" t="s">
        <v>48</v>
      </c>
      <c r="R47330" s="36" t="s">
        <v>48</v>
      </c>
    </row>
    <row r="47331">
      <c r="H47331" s="50"/>
      <c r="I47331" s="50"/>
      <c r="O47331" s="36" t="s">
        <v>48</v>
      </c>
      <c r="R47331" s="36" t="s">
        <v>48</v>
      </c>
    </row>
    <row r="47332">
      <c r="H47332" s="50"/>
      <c r="I47332" s="50"/>
      <c r="O47332" s="36" t="s">
        <v>48</v>
      </c>
      <c r="R47332" s="36" t="s">
        <v>48</v>
      </c>
    </row>
    <row r="47333">
      <c r="H47333" s="50"/>
      <c r="I47333" s="50"/>
      <c r="O47333" s="36" t="s">
        <v>48</v>
      </c>
      <c r="R47333" s="36" t="s">
        <v>48</v>
      </c>
    </row>
    <row r="47334">
      <c r="H47334" s="50"/>
      <c r="I47334" s="50"/>
      <c r="O47334" s="36" t="s">
        <v>48</v>
      </c>
      <c r="R47334" s="36" t="s">
        <v>48</v>
      </c>
    </row>
    <row r="47335">
      <c r="H47335" s="50"/>
      <c r="I47335" s="50"/>
      <c r="O47335" s="36" t="s">
        <v>48</v>
      </c>
      <c r="R47335" s="36" t="s">
        <v>48</v>
      </c>
    </row>
    <row r="47336">
      <c r="H47336" s="50"/>
      <c r="I47336" s="50"/>
      <c r="O47336" s="36" t="s">
        <v>48</v>
      </c>
      <c r="R47336" s="36" t="s">
        <v>48</v>
      </c>
    </row>
    <row r="47337">
      <c r="H47337" s="50"/>
      <c r="I47337" s="50"/>
      <c r="O47337" s="36" t="s">
        <v>48</v>
      </c>
      <c r="R47337" s="36" t="s">
        <v>48</v>
      </c>
    </row>
    <row r="47338">
      <c r="H47338" s="50"/>
      <c r="I47338" s="50"/>
      <c r="O47338" s="36" t="s">
        <v>48</v>
      </c>
      <c r="R47338" s="36" t="s">
        <v>48</v>
      </c>
    </row>
    <row r="47339">
      <c r="H47339" s="50"/>
      <c r="I47339" s="50"/>
      <c r="O47339" s="36" t="s">
        <v>48</v>
      </c>
      <c r="R47339" s="36" t="s">
        <v>48</v>
      </c>
    </row>
    <row r="47340">
      <c r="H47340" s="50"/>
      <c r="I47340" s="50"/>
      <c r="O47340" s="36" t="s">
        <v>48</v>
      </c>
      <c r="R47340" s="36" t="s">
        <v>48</v>
      </c>
    </row>
    <row r="47341">
      <c r="H47341" s="50"/>
      <c r="I47341" s="50"/>
      <c r="O47341" s="36" t="s">
        <v>48</v>
      </c>
      <c r="R47341" s="36" t="s">
        <v>48</v>
      </c>
    </row>
    <row r="47342">
      <c r="H47342" s="50"/>
      <c r="I47342" s="50"/>
      <c r="O47342" s="36" t="s">
        <v>48</v>
      </c>
      <c r="R47342" s="36" t="s">
        <v>48</v>
      </c>
    </row>
    <row r="47343">
      <c r="H47343" s="50"/>
      <c r="I47343" s="50"/>
      <c r="O47343" s="36" t="s">
        <v>48</v>
      </c>
      <c r="R47343" s="36" t="s">
        <v>48</v>
      </c>
    </row>
    <row r="47344">
      <c r="H47344" s="50"/>
      <c r="I47344" s="50"/>
      <c r="O47344" s="36" t="s">
        <v>48</v>
      </c>
      <c r="R47344" s="36" t="s">
        <v>48</v>
      </c>
    </row>
    <row r="47345">
      <c r="H47345" s="50"/>
      <c r="I47345" s="50"/>
      <c r="O47345" s="36" t="s">
        <v>48</v>
      </c>
      <c r="R47345" s="36" t="s">
        <v>48</v>
      </c>
    </row>
    <row r="47346">
      <c r="H47346" s="50"/>
      <c r="I47346" s="50"/>
      <c r="O47346" s="36" t="s">
        <v>48</v>
      </c>
      <c r="R47346" s="36" t="s">
        <v>48</v>
      </c>
    </row>
    <row r="47347">
      <c r="H47347" s="50"/>
      <c r="I47347" s="50"/>
      <c r="O47347" s="36" t="s">
        <v>48</v>
      </c>
      <c r="R47347" s="36" t="s">
        <v>48</v>
      </c>
    </row>
    <row r="47348">
      <c r="H47348" s="50"/>
      <c r="I47348" s="50"/>
      <c r="O47348" s="36" t="s">
        <v>48</v>
      </c>
      <c r="R47348" s="36" t="s">
        <v>48</v>
      </c>
    </row>
    <row r="47349">
      <c r="H47349" s="50"/>
      <c r="I47349" s="50"/>
      <c r="O47349" s="36" t="s">
        <v>48</v>
      </c>
      <c r="R47349" s="36" t="s">
        <v>48</v>
      </c>
    </row>
    <row r="47350">
      <c r="H47350" s="50"/>
      <c r="I47350" s="50"/>
      <c r="O47350" s="36" t="s">
        <v>48</v>
      </c>
      <c r="R47350" s="36" t="s">
        <v>48</v>
      </c>
    </row>
    <row r="47351">
      <c r="H47351" s="50"/>
      <c r="I47351" s="50"/>
      <c r="O47351" s="36" t="s">
        <v>48</v>
      </c>
      <c r="R47351" s="36" t="s">
        <v>48</v>
      </c>
    </row>
    <row r="47352">
      <c r="H47352" s="50"/>
      <c r="I47352" s="50"/>
      <c r="O47352" s="36" t="s">
        <v>48</v>
      </c>
      <c r="R47352" s="36" t="s">
        <v>48</v>
      </c>
    </row>
    <row r="47353">
      <c r="H47353" s="50"/>
      <c r="I47353" s="50"/>
      <c r="O47353" s="36" t="s">
        <v>48</v>
      </c>
      <c r="R47353" s="36" t="s">
        <v>48</v>
      </c>
    </row>
    <row r="47354">
      <c r="H47354" s="50"/>
      <c r="I47354" s="50"/>
      <c r="O47354" s="36" t="s">
        <v>48</v>
      </c>
      <c r="R47354" s="36" t="s">
        <v>48</v>
      </c>
    </row>
    <row r="47355">
      <c r="H47355" s="50"/>
      <c r="I47355" s="50"/>
      <c r="O47355" s="36" t="s">
        <v>48</v>
      </c>
      <c r="R47355" s="36" t="s">
        <v>48</v>
      </c>
    </row>
    <row r="47356">
      <c r="H47356" s="50"/>
      <c r="I47356" s="50"/>
      <c r="O47356" s="36" t="s">
        <v>48</v>
      </c>
      <c r="R47356" s="36" t="s">
        <v>48</v>
      </c>
    </row>
    <row r="47357">
      <c r="H47357" s="50"/>
      <c r="I47357" s="50"/>
      <c r="O47357" s="36" t="s">
        <v>48</v>
      </c>
      <c r="R47357" s="36" t="s">
        <v>48</v>
      </c>
    </row>
    <row r="47358">
      <c r="H47358" s="50"/>
      <c r="I47358" s="50"/>
      <c r="O47358" s="36" t="s">
        <v>48</v>
      </c>
      <c r="R47358" s="36" t="s">
        <v>48</v>
      </c>
    </row>
    <row r="47359">
      <c r="H47359" s="50"/>
      <c r="I47359" s="50"/>
      <c r="O47359" s="36" t="s">
        <v>48</v>
      </c>
      <c r="R47359" s="36" t="s">
        <v>48</v>
      </c>
    </row>
    <row r="47360">
      <c r="H47360" s="50"/>
      <c r="I47360" s="50"/>
      <c r="O47360" s="36" t="s">
        <v>48</v>
      </c>
      <c r="R47360" s="36" t="s">
        <v>48</v>
      </c>
    </row>
    <row r="47361">
      <c r="H47361" s="50"/>
      <c r="I47361" s="50"/>
      <c r="O47361" s="36" t="s">
        <v>48</v>
      </c>
      <c r="R47361" s="36" t="s">
        <v>48</v>
      </c>
    </row>
    <row r="47362">
      <c r="H47362" s="50"/>
      <c r="I47362" s="50"/>
      <c r="O47362" s="36" t="s">
        <v>48</v>
      </c>
      <c r="R47362" s="36" t="s">
        <v>48</v>
      </c>
    </row>
    <row r="47363">
      <c r="H47363" s="50"/>
      <c r="I47363" s="50"/>
      <c r="O47363" s="36" t="s">
        <v>48</v>
      </c>
      <c r="R47363" s="36" t="s">
        <v>48</v>
      </c>
    </row>
    <row r="47364">
      <c r="H47364" s="50"/>
      <c r="I47364" s="50"/>
      <c r="O47364" s="36" t="s">
        <v>48</v>
      </c>
      <c r="R47364" s="36" t="s">
        <v>48</v>
      </c>
    </row>
    <row r="47365">
      <c r="H47365" s="50"/>
      <c r="I47365" s="50"/>
      <c r="O47365" s="36" t="s">
        <v>48</v>
      </c>
      <c r="R47365" s="36" t="s">
        <v>48</v>
      </c>
    </row>
    <row r="47366">
      <c r="H47366" s="50"/>
      <c r="I47366" s="50"/>
      <c r="O47366" s="36" t="s">
        <v>48</v>
      </c>
      <c r="R47366" s="36" t="s">
        <v>48</v>
      </c>
    </row>
    <row r="47367">
      <c r="H47367" s="50"/>
      <c r="I47367" s="50"/>
      <c r="O47367" s="36" t="s">
        <v>48</v>
      </c>
      <c r="R47367" s="36" t="s">
        <v>48</v>
      </c>
    </row>
    <row r="47368">
      <c r="H47368" s="50"/>
      <c r="I47368" s="50"/>
      <c r="O47368" s="36" t="s">
        <v>48</v>
      </c>
      <c r="R47368" s="36" t="s">
        <v>48</v>
      </c>
    </row>
    <row r="47369">
      <c r="H47369" s="50"/>
      <c r="I47369" s="50"/>
      <c r="O47369" s="36" t="s">
        <v>48</v>
      </c>
      <c r="R47369" s="36" t="s">
        <v>48</v>
      </c>
    </row>
    <row r="47370">
      <c r="H47370" s="50"/>
      <c r="I47370" s="50"/>
      <c r="O47370" s="36" t="s">
        <v>48</v>
      </c>
      <c r="R47370" s="36" t="s">
        <v>48</v>
      </c>
    </row>
    <row r="47371">
      <c r="H47371" s="50"/>
      <c r="I47371" s="50"/>
      <c r="O47371" s="36" t="s">
        <v>48</v>
      </c>
      <c r="R47371" s="36" t="s">
        <v>48</v>
      </c>
    </row>
    <row r="47372">
      <c r="H47372" s="50"/>
      <c r="I47372" s="50"/>
      <c r="O47372" s="36" t="s">
        <v>48</v>
      </c>
      <c r="R47372" s="36" t="s">
        <v>48</v>
      </c>
    </row>
    <row r="47373">
      <c r="H47373" s="50"/>
      <c r="I47373" s="50"/>
      <c r="O47373" s="36" t="s">
        <v>48</v>
      </c>
      <c r="R47373" s="36" t="s">
        <v>48</v>
      </c>
    </row>
    <row r="47374">
      <c r="H47374" s="50"/>
      <c r="I47374" s="50"/>
      <c r="O47374" s="36" t="s">
        <v>48</v>
      </c>
      <c r="R47374" s="36" t="s">
        <v>48</v>
      </c>
    </row>
    <row r="47375">
      <c r="H47375" s="50"/>
      <c r="I47375" s="50"/>
      <c r="O47375" s="36" t="s">
        <v>48</v>
      </c>
      <c r="R47375" s="36" t="s">
        <v>48</v>
      </c>
    </row>
    <row r="47376">
      <c r="H47376" s="50"/>
      <c r="I47376" s="50"/>
      <c r="O47376" s="36" t="s">
        <v>48</v>
      </c>
      <c r="R47376" s="36" t="s">
        <v>48</v>
      </c>
    </row>
    <row r="47377">
      <c r="H47377" s="50"/>
      <c r="I47377" s="50"/>
      <c r="O47377" s="36" t="s">
        <v>48</v>
      </c>
      <c r="R47377" s="36" t="s">
        <v>48</v>
      </c>
    </row>
    <row r="47378">
      <c r="H47378" s="50"/>
      <c r="I47378" s="50"/>
      <c r="O47378" s="36" t="s">
        <v>48</v>
      </c>
      <c r="R47378" s="36" t="s">
        <v>48</v>
      </c>
    </row>
    <row r="47379">
      <c r="H47379" s="50"/>
      <c r="I47379" s="50"/>
      <c r="O47379" s="36" t="s">
        <v>48</v>
      </c>
      <c r="R47379" s="36" t="s">
        <v>48</v>
      </c>
    </row>
    <row r="47380">
      <c r="H47380" s="50"/>
      <c r="I47380" s="50"/>
      <c r="O47380" s="36" t="s">
        <v>48</v>
      </c>
      <c r="R47380" s="36" t="s">
        <v>48</v>
      </c>
    </row>
    <row r="47381">
      <c r="H47381" s="50"/>
      <c r="I47381" s="50"/>
      <c r="O47381" s="36" t="s">
        <v>48</v>
      </c>
      <c r="R47381" s="36" t="s">
        <v>48</v>
      </c>
    </row>
    <row r="47382">
      <c r="H47382" s="50"/>
      <c r="I47382" s="50"/>
      <c r="O47382" s="36" t="s">
        <v>48</v>
      </c>
      <c r="R47382" s="36" t="s">
        <v>48</v>
      </c>
    </row>
    <row r="47383">
      <c r="H47383" s="50"/>
      <c r="I47383" s="50"/>
      <c r="O47383" s="36" t="s">
        <v>48</v>
      </c>
      <c r="R47383" s="36" t="s">
        <v>48</v>
      </c>
    </row>
    <row r="47384">
      <c r="H47384" s="50"/>
      <c r="I47384" s="50"/>
      <c r="O47384" s="36" t="s">
        <v>48</v>
      </c>
      <c r="R47384" s="36" t="s">
        <v>48</v>
      </c>
    </row>
    <row r="47385">
      <c r="H47385" s="50"/>
      <c r="I47385" s="50"/>
      <c r="O47385" s="36" t="s">
        <v>48</v>
      </c>
      <c r="R47385" s="36" t="s">
        <v>48</v>
      </c>
    </row>
    <row r="47386">
      <c r="H47386" s="50"/>
      <c r="I47386" s="50"/>
      <c r="O47386" s="36" t="s">
        <v>48</v>
      </c>
      <c r="R47386" s="36" t="s">
        <v>48</v>
      </c>
    </row>
    <row r="47387">
      <c r="H47387" s="50"/>
      <c r="I47387" s="50"/>
      <c r="O47387" s="36" t="s">
        <v>48</v>
      </c>
      <c r="R47387" s="36" t="s">
        <v>48</v>
      </c>
    </row>
    <row r="47388">
      <c r="H47388" s="50"/>
      <c r="I47388" s="50"/>
      <c r="O47388" s="36" t="s">
        <v>48</v>
      </c>
      <c r="R47388" s="36" t="s">
        <v>48</v>
      </c>
    </row>
    <row r="47389">
      <c r="H47389" s="50"/>
      <c r="I47389" s="50"/>
      <c r="O47389" s="36" t="s">
        <v>48</v>
      </c>
      <c r="R47389" s="36" t="s">
        <v>48</v>
      </c>
    </row>
    <row r="47390">
      <c r="H47390" s="50"/>
      <c r="I47390" s="50"/>
      <c r="O47390" s="36" t="s">
        <v>48</v>
      </c>
      <c r="R47390" s="36" t="s">
        <v>48</v>
      </c>
    </row>
    <row r="47391">
      <c r="H47391" s="50"/>
      <c r="I47391" s="50"/>
      <c r="O47391" s="36" t="s">
        <v>48</v>
      </c>
      <c r="R47391" s="36" t="s">
        <v>48</v>
      </c>
    </row>
    <row r="47392">
      <c r="H47392" s="50"/>
      <c r="I47392" s="50"/>
      <c r="O47392" s="36" t="s">
        <v>48</v>
      </c>
      <c r="R47392" s="36" t="s">
        <v>48</v>
      </c>
    </row>
    <row r="47393">
      <c r="H47393" s="50"/>
      <c r="I47393" s="50"/>
      <c r="O47393" s="36" t="s">
        <v>48</v>
      </c>
      <c r="R47393" s="36" t="s">
        <v>48</v>
      </c>
    </row>
    <row r="47394">
      <c r="H47394" s="50"/>
      <c r="I47394" s="50"/>
      <c r="O47394" s="36" t="s">
        <v>48</v>
      </c>
      <c r="R47394" s="36" t="s">
        <v>48</v>
      </c>
    </row>
    <row r="47395">
      <c r="H47395" s="50"/>
      <c r="I47395" s="50"/>
      <c r="O47395" s="36" t="s">
        <v>48</v>
      </c>
      <c r="R47395" s="36" t="s">
        <v>48</v>
      </c>
    </row>
    <row r="47396">
      <c r="H47396" s="50"/>
      <c r="I47396" s="50"/>
      <c r="O47396" s="36" t="s">
        <v>48</v>
      </c>
      <c r="R47396" s="36" t="s">
        <v>48</v>
      </c>
    </row>
    <row r="47397">
      <c r="H47397" s="50"/>
      <c r="I47397" s="50"/>
      <c r="O47397" s="36" t="s">
        <v>48</v>
      </c>
      <c r="R47397" s="36" t="s">
        <v>48</v>
      </c>
    </row>
    <row r="47398">
      <c r="H47398" s="50"/>
      <c r="I47398" s="50"/>
      <c r="O47398" s="36" t="s">
        <v>48</v>
      </c>
      <c r="R47398" s="36" t="s">
        <v>48</v>
      </c>
    </row>
    <row r="47399">
      <c r="H47399" s="50"/>
      <c r="I47399" s="50"/>
      <c r="O47399" s="36" t="s">
        <v>48</v>
      </c>
      <c r="R47399" s="36" t="s">
        <v>48</v>
      </c>
    </row>
    <row r="47400">
      <c r="H47400" s="50"/>
      <c r="I47400" s="50"/>
      <c r="O47400" s="36" t="s">
        <v>48</v>
      </c>
      <c r="R47400" s="36" t="s">
        <v>48</v>
      </c>
    </row>
    <row r="47401">
      <c r="H47401" s="50"/>
      <c r="I47401" s="50"/>
      <c r="O47401" s="36" t="s">
        <v>48</v>
      </c>
      <c r="R47401" s="36" t="s">
        <v>48</v>
      </c>
    </row>
    <row r="47402">
      <c r="H47402" s="50"/>
      <c r="I47402" s="50"/>
      <c r="O47402" s="36" t="s">
        <v>48</v>
      </c>
      <c r="R47402" s="36" t="s">
        <v>48</v>
      </c>
    </row>
    <row r="47403">
      <c r="H47403" s="50"/>
      <c r="I47403" s="50"/>
      <c r="O47403" s="36" t="s">
        <v>48</v>
      </c>
      <c r="R47403" s="36" t="s">
        <v>48</v>
      </c>
    </row>
    <row r="47404">
      <c r="H47404" s="50"/>
      <c r="I47404" s="50"/>
      <c r="O47404" s="36" t="s">
        <v>48</v>
      </c>
      <c r="R47404" s="36" t="s">
        <v>48</v>
      </c>
    </row>
    <row r="47405">
      <c r="H47405" s="50"/>
      <c r="I47405" s="50"/>
      <c r="O47405" s="36" t="s">
        <v>48</v>
      </c>
      <c r="R47405" s="36" t="s">
        <v>48</v>
      </c>
    </row>
    <row r="47406">
      <c r="H47406" s="50"/>
      <c r="I47406" s="50"/>
      <c r="O47406" s="36" t="s">
        <v>48</v>
      </c>
      <c r="R47406" s="36" t="s">
        <v>48</v>
      </c>
    </row>
    <row r="47407">
      <c r="H47407" s="50"/>
      <c r="I47407" s="50"/>
      <c r="O47407" s="36" t="s">
        <v>48</v>
      </c>
      <c r="R47407" s="36" t="s">
        <v>48</v>
      </c>
    </row>
    <row r="47408">
      <c r="H47408" s="50"/>
      <c r="I47408" s="50"/>
      <c r="O47408" s="36" t="s">
        <v>48</v>
      </c>
      <c r="R47408" s="36" t="s">
        <v>48</v>
      </c>
    </row>
    <row r="47409">
      <c r="H47409" s="50"/>
      <c r="I47409" s="50"/>
      <c r="O47409" s="36" t="s">
        <v>48</v>
      </c>
      <c r="R47409" s="36" t="s">
        <v>48</v>
      </c>
    </row>
    <row r="47410">
      <c r="H47410" s="50"/>
      <c r="I47410" s="50"/>
      <c r="O47410" s="36" t="s">
        <v>48</v>
      </c>
      <c r="R47410" s="36" t="s">
        <v>48</v>
      </c>
    </row>
    <row r="47411">
      <c r="H47411" s="50"/>
      <c r="I47411" s="50"/>
      <c r="O47411" s="36" t="s">
        <v>48</v>
      </c>
      <c r="R47411" s="36" t="s">
        <v>48</v>
      </c>
    </row>
    <row r="47412">
      <c r="H47412" s="50"/>
      <c r="I47412" s="50"/>
      <c r="O47412" s="36" t="s">
        <v>48</v>
      </c>
      <c r="R47412" s="36" t="s">
        <v>48</v>
      </c>
    </row>
    <row r="47413">
      <c r="H47413" s="50"/>
      <c r="I47413" s="50"/>
      <c r="O47413" s="36" t="s">
        <v>48</v>
      </c>
      <c r="R47413" s="36" t="s">
        <v>48</v>
      </c>
    </row>
    <row r="47414">
      <c r="H47414" s="50"/>
      <c r="I47414" s="50"/>
      <c r="O47414" s="36" t="s">
        <v>48</v>
      </c>
      <c r="R47414" s="36" t="s">
        <v>48</v>
      </c>
    </row>
    <row r="47415">
      <c r="H47415" s="50"/>
      <c r="I47415" s="50"/>
      <c r="O47415" s="36" t="s">
        <v>48</v>
      </c>
      <c r="R47415" s="36" t="s">
        <v>48</v>
      </c>
    </row>
    <row r="47416">
      <c r="H47416" s="50"/>
      <c r="I47416" s="50"/>
      <c r="O47416" s="36" t="s">
        <v>48</v>
      </c>
      <c r="R47416" s="36" t="s">
        <v>48</v>
      </c>
    </row>
    <row r="47417">
      <c r="H47417" s="50"/>
      <c r="I47417" s="50"/>
      <c r="O47417" s="36" t="s">
        <v>48</v>
      </c>
      <c r="R47417" s="36" t="s">
        <v>48</v>
      </c>
    </row>
    <row r="47418">
      <c r="H47418" s="50"/>
      <c r="I47418" s="50"/>
      <c r="O47418" s="36" t="s">
        <v>48</v>
      </c>
      <c r="R47418" s="36" t="s">
        <v>48</v>
      </c>
    </row>
    <row r="47419">
      <c r="H47419" s="50"/>
      <c r="I47419" s="50"/>
      <c r="O47419" s="36" t="s">
        <v>48</v>
      </c>
      <c r="R47419" s="36" t="s">
        <v>48</v>
      </c>
    </row>
    <row r="47420">
      <c r="H47420" s="50"/>
      <c r="I47420" s="50"/>
      <c r="O47420" s="36" t="s">
        <v>48</v>
      </c>
      <c r="R47420" s="36" t="s">
        <v>48</v>
      </c>
    </row>
    <row r="47421">
      <c r="H47421" s="50"/>
      <c r="I47421" s="50"/>
      <c r="O47421" s="36" t="s">
        <v>48</v>
      </c>
      <c r="R47421" s="36" t="s">
        <v>48</v>
      </c>
    </row>
    <row r="47422">
      <c r="H47422" s="50"/>
      <c r="I47422" s="50"/>
      <c r="O47422" s="36" t="s">
        <v>48</v>
      </c>
      <c r="R47422" s="36" t="s">
        <v>48</v>
      </c>
    </row>
    <row r="47423">
      <c r="H47423" s="50"/>
      <c r="I47423" s="50"/>
      <c r="O47423" s="36" t="s">
        <v>48</v>
      </c>
      <c r="R47423" s="36" t="s">
        <v>48</v>
      </c>
    </row>
    <row r="47424">
      <c r="H47424" s="50"/>
      <c r="I47424" s="50"/>
      <c r="O47424" s="36" t="s">
        <v>48</v>
      </c>
      <c r="R47424" s="36" t="s">
        <v>48</v>
      </c>
    </row>
    <row r="47425">
      <c r="H47425" s="50"/>
      <c r="I47425" s="50"/>
      <c r="O47425" s="36" t="s">
        <v>48</v>
      </c>
      <c r="R47425" s="36" t="s">
        <v>48</v>
      </c>
    </row>
    <row r="47426">
      <c r="H47426" s="50"/>
      <c r="I47426" s="50"/>
      <c r="O47426" s="36" t="s">
        <v>48</v>
      </c>
      <c r="R47426" s="36" t="s">
        <v>48</v>
      </c>
    </row>
    <row r="47427">
      <c r="H47427" s="50"/>
      <c r="I47427" s="50"/>
      <c r="O47427" s="36" t="s">
        <v>48</v>
      </c>
      <c r="R47427" s="36" t="s">
        <v>48</v>
      </c>
    </row>
    <row r="47428">
      <c r="H47428" s="50"/>
      <c r="I47428" s="50"/>
      <c r="O47428" s="36" t="s">
        <v>48</v>
      </c>
      <c r="R47428" s="36" t="s">
        <v>48</v>
      </c>
    </row>
    <row r="47429">
      <c r="H47429" s="50"/>
      <c r="I47429" s="50"/>
      <c r="O47429" s="36" t="s">
        <v>48</v>
      </c>
      <c r="R47429" s="36" t="s">
        <v>48</v>
      </c>
    </row>
    <row r="47430">
      <c r="H47430" s="50"/>
      <c r="I47430" s="50"/>
      <c r="O47430" s="36" t="s">
        <v>48</v>
      </c>
      <c r="R47430" s="36" t="s">
        <v>48</v>
      </c>
    </row>
    <row r="47431">
      <c r="H47431" s="50"/>
      <c r="I47431" s="50"/>
      <c r="O47431" s="36" t="s">
        <v>48</v>
      </c>
      <c r="R47431" s="36" t="s">
        <v>48</v>
      </c>
    </row>
    <row r="47432">
      <c r="H47432" s="50"/>
      <c r="I47432" s="50"/>
      <c r="O47432" s="36" t="s">
        <v>48</v>
      </c>
      <c r="R47432" s="36" t="s">
        <v>48</v>
      </c>
    </row>
    <row r="47433">
      <c r="H47433" s="50"/>
      <c r="I47433" s="50"/>
      <c r="O47433" s="36" t="s">
        <v>48</v>
      </c>
      <c r="R47433" s="36" t="s">
        <v>48</v>
      </c>
    </row>
    <row r="47434">
      <c r="H47434" s="50"/>
      <c r="I47434" s="50"/>
      <c r="O47434" s="36" t="s">
        <v>48</v>
      </c>
      <c r="R47434" s="36" t="s">
        <v>48</v>
      </c>
    </row>
    <row r="47435">
      <c r="H47435" s="50"/>
      <c r="I47435" s="50"/>
      <c r="O47435" s="36" t="s">
        <v>48</v>
      </c>
      <c r="R47435" s="36" t="s">
        <v>48</v>
      </c>
    </row>
    <row r="47436">
      <c r="H47436" s="50"/>
      <c r="I47436" s="50"/>
      <c r="O47436" s="36" t="s">
        <v>48</v>
      </c>
      <c r="R47436" s="36" t="s">
        <v>48</v>
      </c>
    </row>
    <row r="47437">
      <c r="H47437" s="50"/>
      <c r="I47437" s="50"/>
      <c r="O47437" s="36" t="s">
        <v>48</v>
      </c>
      <c r="R47437" s="36" t="s">
        <v>48</v>
      </c>
    </row>
    <row r="47438">
      <c r="H47438" s="50"/>
      <c r="I47438" s="50"/>
      <c r="O47438" s="36" t="s">
        <v>48</v>
      </c>
      <c r="R47438" s="36" t="s">
        <v>48</v>
      </c>
    </row>
    <row r="47439">
      <c r="H47439" s="50"/>
      <c r="I47439" s="50"/>
      <c r="O47439" s="36" t="s">
        <v>48</v>
      </c>
      <c r="R47439" s="36" t="s">
        <v>48</v>
      </c>
    </row>
    <row r="47440">
      <c r="H47440" s="50"/>
      <c r="I47440" s="50"/>
      <c r="O47440" s="36" t="s">
        <v>48</v>
      </c>
      <c r="R47440" s="36" t="s">
        <v>48</v>
      </c>
    </row>
    <row r="47441">
      <c r="H47441" s="50"/>
      <c r="I47441" s="50"/>
      <c r="O47441" s="36" t="s">
        <v>48</v>
      </c>
      <c r="R47441" s="36" t="s">
        <v>48</v>
      </c>
    </row>
    <row r="47442">
      <c r="H47442" s="50"/>
      <c r="I47442" s="50"/>
      <c r="O47442" s="36" t="s">
        <v>48</v>
      </c>
      <c r="R47442" s="36" t="s">
        <v>48</v>
      </c>
    </row>
    <row r="47443">
      <c r="H47443" s="50"/>
      <c r="I47443" s="50"/>
      <c r="O47443" s="36" t="s">
        <v>48</v>
      </c>
      <c r="R47443" s="36" t="s">
        <v>48</v>
      </c>
    </row>
    <row r="47444">
      <c r="H47444" s="50"/>
      <c r="I47444" s="50"/>
      <c r="O47444" s="36" t="s">
        <v>48</v>
      </c>
      <c r="R47444" s="36" t="s">
        <v>48</v>
      </c>
    </row>
    <row r="47445">
      <c r="H47445" s="50"/>
      <c r="I47445" s="50"/>
      <c r="O47445" s="36" t="s">
        <v>48</v>
      </c>
      <c r="R47445" s="36" t="s">
        <v>48</v>
      </c>
    </row>
    <row r="47446">
      <c r="H47446" s="50"/>
      <c r="I47446" s="50"/>
      <c r="O47446" s="36" t="s">
        <v>48</v>
      </c>
      <c r="R47446" s="36" t="s">
        <v>48</v>
      </c>
    </row>
    <row r="47447">
      <c r="H47447" s="50"/>
      <c r="I47447" s="50"/>
      <c r="O47447" s="36" t="s">
        <v>48</v>
      </c>
      <c r="R47447" s="36" t="s">
        <v>48</v>
      </c>
    </row>
    <row r="47448">
      <c r="H47448" s="50"/>
      <c r="I47448" s="50"/>
      <c r="O47448" s="36" t="s">
        <v>48</v>
      </c>
      <c r="R47448" s="36" t="s">
        <v>48</v>
      </c>
    </row>
    <row r="47449">
      <c r="H47449" s="50"/>
      <c r="I47449" s="50"/>
      <c r="O47449" s="36" t="s">
        <v>48</v>
      </c>
      <c r="R47449" s="36" t="s">
        <v>48</v>
      </c>
    </row>
    <row r="47450">
      <c r="H47450" s="50"/>
      <c r="I47450" s="50"/>
      <c r="O47450" s="36" t="s">
        <v>48</v>
      </c>
      <c r="R47450" s="36" t="s">
        <v>48</v>
      </c>
    </row>
    <row r="47451">
      <c r="H47451" s="50"/>
      <c r="I47451" s="50"/>
      <c r="O47451" s="36" t="s">
        <v>48</v>
      </c>
      <c r="R47451" s="36" t="s">
        <v>48</v>
      </c>
    </row>
    <row r="47452">
      <c r="H47452" s="50"/>
      <c r="I47452" s="50"/>
      <c r="O47452" s="36" t="s">
        <v>48</v>
      </c>
      <c r="R47452" s="36" t="s">
        <v>48</v>
      </c>
    </row>
    <row r="47453">
      <c r="H47453" s="50"/>
      <c r="I47453" s="50"/>
      <c r="O47453" s="36" t="s">
        <v>48</v>
      </c>
      <c r="R47453" s="36" t="s">
        <v>48</v>
      </c>
    </row>
    <row r="47454">
      <c r="H47454" s="50"/>
      <c r="I47454" s="50"/>
      <c r="O47454" s="36" t="s">
        <v>48</v>
      </c>
      <c r="R47454" s="36" t="s">
        <v>48</v>
      </c>
    </row>
    <row r="47455">
      <c r="H47455" s="50"/>
      <c r="I47455" s="50"/>
      <c r="O47455" s="36" t="s">
        <v>48</v>
      </c>
      <c r="R47455" s="36" t="s">
        <v>48</v>
      </c>
    </row>
    <row r="47456">
      <c r="H47456" s="50"/>
      <c r="I47456" s="50"/>
      <c r="O47456" s="36" t="s">
        <v>48</v>
      </c>
      <c r="R47456" s="36" t="s">
        <v>48</v>
      </c>
    </row>
    <row r="47457">
      <c r="H47457" s="50"/>
      <c r="I47457" s="50"/>
      <c r="O47457" s="36" t="s">
        <v>48</v>
      </c>
      <c r="R47457" s="36" t="s">
        <v>48</v>
      </c>
    </row>
    <row r="47458">
      <c r="H47458" s="50"/>
      <c r="I47458" s="50"/>
      <c r="O47458" s="36" t="s">
        <v>48</v>
      </c>
      <c r="R47458" s="36" t="s">
        <v>48</v>
      </c>
    </row>
    <row r="47459">
      <c r="H47459" s="50"/>
      <c r="I47459" s="50"/>
      <c r="O47459" s="36" t="s">
        <v>48</v>
      </c>
      <c r="R47459" s="36" t="s">
        <v>48</v>
      </c>
    </row>
    <row r="47460">
      <c r="H47460" s="50"/>
      <c r="I47460" s="50"/>
      <c r="O47460" s="36" t="s">
        <v>48</v>
      </c>
      <c r="R47460" s="36" t="s">
        <v>48</v>
      </c>
    </row>
    <row r="47461">
      <c r="H47461" s="50"/>
      <c r="I47461" s="50"/>
      <c r="O47461" s="36" t="s">
        <v>48</v>
      </c>
      <c r="R47461" s="36" t="s">
        <v>48</v>
      </c>
    </row>
    <row r="47462">
      <c r="H47462" s="50"/>
      <c r="I47462" s="50"/>
      <c r="O47462" s="36" t="s">
        <v>48</v>
      </c>
      <c r="R47462" s="36" t="s">
        <v>48</v>
      </c>
    </row>
    <row r="47463">
      <c r="H47463" s="50"/>
      <c r="I47463" s="50"/>
      <c r="O47463" s="36" t="s">
        <v>48</v>
      </c>
      <c r="R47463" s="36" t="s">
        <v>48</v>
      </c>
    </row>
    <row r="47464">
      <c r="H47464" s="50"/>
      <c r="I47464" s="50"/>
      <c r="O47464" s="36" t="s">
        <v>48</v>
      </c>
      <c r="R47464" s="36" t="s">
        <v>48</v>
      </c>
    </row>
    <row r="47465">
      <c r="H47465" s="50"/>
      <c r="I47465" s="50"/>
      <c r="O47465" s="36" t="s">
        <v>48</v>
      </c>
      <c r="R47465" s="36" t="s">
        <v>48</v>
      </c>
    </row>
    <row r="47466">
      <c r="H47466" s="50"/>
      <c r="I47466" s="50"/>
      <c r="O47466" s="36" t="s">
        <v>48</v>
      </c>
      <c r="R47466" s="36" t="s">
        <v>48</v>
      </c>
    </row>
    <row r="47467">
      <c r="H47467" s="50"/>
      <c r="I47467" s="50"/>
      <c r="O47467" s="36" t="s">
        <v>48</v>
      </c>
      <c r="R47467" s="36" t="s">
        <v>48</v>
      </c>
    </row>
    <row r="47468">
      <c r="H47468" s="50"/>
      <c r="I47468" s="50"/>
      <c r="O47468" s="36" t="s">
        <v>48</v>
      </c>
      <c r="R47468" s="36" t="s">
        <v>48</v>
      </c>
    </row>
    <row r="47469">
      <c r="H47469" s="50"/>
      <c r="I47469" s="50"/>
      <c r="O47469" s="36" t="s">
        <v>48</v>
      </c>
      <c r="R47469" s="36" t="s">
        <v>48</v>
      </c>
    </row>
    <row r="47470">
      <c r="H47470" s="50"/>
      <c r="I47470" s="50"/>
      <c r="O47470" s="36" t="s">
        <v>48</v>
      </c>
      <c r="R47470" s="36" t="s">
        <v>48</v>
      </c>
    </row>
    <row r="47471">
      <c r="H47471" s="50"/>
      <c r="I47471" s="50"/>
      <c r="O47471" s="36" t="s">
        <v>48</v>
      </c>
      <c r="R47471" s="36" t="s">
        <v>48</v>
      </c>
    </row>
    <row r="47472">
      <c r="H47472" s="50"/>
      <c r="I47472" s="50"/>
      <c r="O47472" s="36" t="s">
        <v>48</v>
      </c>
      <c r="R47472" s="36" t="s">
        <v>48</v>
      </c>
    </row>
    <row r="47473">
      <c r="H47473" s="50"/>
      <c r="I47473" s="50"/>
      <c r="O47473" s="36" t="s">
        <v>48</v>
      </c>
      <c r="R47473" s="36" t="s">
        <v>48</v>
      </c>
    </row>
    <row r="47474">
      <c r="H47474" s="50"/>
      <c r="I47474" s="50"/>
      <c r="O47474" s="36" t="s">
        <v>48</v>
      </c>
      <c r="R47474" s="36" t="s">
        <v>48</v>
      </c>
    </row>
    <row r="47475">
      <c r="H47475" s="50"/>
      <c r="I47475" s="50"/>
      <c r="O47475" s="36" t="s">
        <v>48</v>
      </c>
      <c r="R47475" s="36" t="s">
        <v>48</v>
      </c>
    </row>
    <row r="47476">
      <c r="H47476" s="50"/>
      <c r="I47476" s="50"/>
      <c r="O47476" s="36" t="s">
        <v>48</v>
      </c>
      <c r="R47476" s="36" t="s">
        <v>48</v>
      </c>
    </row>
    <row r="47477">
      <c r="H47477" s="50"/>
      <c r="I47477" s="50"/>
      <c r="O47477" s="36" t="s">
        <v>48</v>
      </c>
      <c r="R47477" s="36" t="s">
        <v>48</v>
      </c>
    </row>
    <row r="47478">
      <c r="H47478" s="50"/>
      <c r="I47478" s="50"/>
      <c r="O47478" s="36" t="s">
        <v>48</v>
      </c>
      <c r="R47478" s="36" t="s">
        <v>48</v>
      </c>
    </row>
    <row r="47479">
      <c r="H47479" s="50"/>
      <c r="I47479" s="50"/>
      <c r="O47479" s="36" t="s">
        <v>48</v>
      </c>
      <c r="R47479" s="36" t="s">
        <v>48</v>
      </c>
    </row>
    <row r="47480">
      <c r="H47480" s="50"/>
      <c r="I47480" s="50"/>
      <c r="O47480" s="36" t="s">
        <v>48</v>
      </c>
      <c r="R47480" s="36" t="s">
        <v>48</v>
      </c>
    </row>
    <row r="47481">
      <c r="H47481" s="50"/>
      <c r="I47481" s="50"/>
      <c r="O47481" s="36" t="s">
        <v>48</v>
      </c>
      <c r="R47481" s="36" t="s">
        <v>48</v>
      </c>
    </row>
    <row r="47482">
      <c r="H47482" s="50"/>
      <c r="I47482" s="50"/>
      <c r="O47482" s="36" t="s">
        <v>48</v>
      </c>
      <c r="R47482" s="36" t="s">
        <v>48</v>
      </c>
    </row>
    <row r="47483">
      <c r="H47483" s="50"/>
      <c r="I47483" s="50"/>
      <c r="O47483" s="36" t="s">
        <v>48</v>
      </c>
      <c r="R47483" s="36" t="s">
        <v>48</v>
      </c>
    </row>
    <row r="47484">
      <c r="H47484" s="50"/>
      <c r="I47484" s="50"/>
      <c r="O47484" s="36" t="s">
        <v>48</v>
      </c>
      <c r="R47484" s="36" t="s">
        <v>48</v>
      </c>
    </row>
    <row r="47485">
      <c r="H47485" s="50"/>
      <c r="I47485" s="50"/>
      <c r="O47485" s="36" t="s">
        <v>48</v>
      </c>
      <c r="R47485" s="36" t="s">
        <v>48</v>
      </c>
    </row>
    <row r="47486">
      <c r="H47486" s="50"/>
      <c r="I47486" s="50"/>
      <c r="O47486" s="36" t="s">
        <v>48</v>
      </c>
      <c r="R47486" s="36" t="s">
        <v>48</v>
      </c>
    </row>
    <row r="47487">
      <c r="H47487" s="50"/>
      <c r="I47487" s="50"/>
      <c r="O47487" s="36" t="s">
        <v>48</v>
      </c>
      <c r="R47487" s="36" t="s">
        <v>48</v>
      </c>
    </row>
    <row r="47488">
      <c r="H47488" s="50"/>
      <c r="I47488" s="50"/>
      <c r="O47488" s="36" t="s">
        <v>48</v>
      </c>
      <c r="R47488" s="36" t="s">
        <v>48</v>
      </c>
    </row>
    <row r="47489">
      <c r="H47489" s="50"/>
      <c r="I47489" s="50"/>
      <c r="O47489" s="36" t="s">
        <v>48</v>
      </c>
      <c r="R47489" s="36" t="s">
        <v>48</v>
      </c>
    </row>
    <row r="47490">
      <c r="H47490" s="50"/>
      <c r="I47490" s="50"/>
      <c r="O47490" s="36" t="s">
        <v>48</v>
      </c>
      <c r="R47490" s="36" t="s">
        <v>48</v>
      </c>
    </row>
    <row r="47491">
      <c r="H47491" s="50"/>
      <c r="I47491" s="50"/>
      <c r="O47491" s="36" t="s">
        <v>48</v>
      </c>
      <c r="R47491" s="36" t="s">
        <v>48</v>
      </c>
    </row>
    <row r="47492">
      <c r="H47492" s="50"/>
      <c r="I47492" s="50"/>
      <c r="O47492" s="36" t="s">
        <v>48</v>
      </c>
      <c r="R47492" s="36" t="s">
        <v>48</v>
      </c>
    </row>
    <row r="47493">
      <c r="H47493" s="50"/>
      <c r="I47493" s="50"/>
      <c r="O47493" s="36" t="s">
        <v>48</v>
      </c>
      <c r="R47493" s="36" t="s">
        <v>48</v>
      </c>
    </row>
    <row r="47494">
      <c r="H47494" s="50"/>
      <c r="I47494" s="50"/>
      <c r="O47494" s="36" t="s">
        <v>48</v>
      </c>
      <c r="R47494" s="36" t="s">
        <v>48</v>
      </c>
    </row>
    <row r="47495">
      <c r="H47495" s="50"/>
      <c r="I47495" s="50"/>
      <c r="O47495" s="36" t="s">
        <v>48</v>
      </c>
      <c r="R47495" s="36" t="s">
        <v>48</v>
      </c>
    </row>
    <row r="47496">
      <c r="H47496" s="50"/>
      <c r="I47496" s="50"/>
      <c r="O47496" s="36" t="s">
        <v>48</v>
      </c>
      <c r="R47496" s="36" t="s">
        <v>48</v>
      </c>
    </row>
    <row r="47497">
      <c r="H47497" s="50"/>
      <c r="I47497" s="50"/>
      <c r="O47497" s="36" t="s">
        <v>48</v>
      </c>
      <c r="R47497" s="36" t="s">
        <v>48</v>
      </c>
    </row>
    <row r="47498">
      <c r="H47498" s="50"/>
      <c r="I47498" s="50"/>
      <c r="O47498" s="36" t="s">
        <v>48</v>
      </c>
      <c r="R47498" s="36" t="s">
        <v>48</v>
      </c>
    </row>
    <row r="47499">
      <c r="H47499" s="50"/>
      <c r="I47499" s="50"/>
      <c r="O47499" s="36" t="s">
        <v>48</v>
      </c>
      <c r="R47499" s="36" t="s">
        <v>48</v>
      </c>
    </row>
    <row r="47500">
      <c r="H47500" s="50"/>
      <c r="I47500" s="50"/>
      <c r="O47500" s="36" t="s">
        <v>48</v>
      </c>
      <c r="R47500" s="36" t="s">
        <v>48</v>
      </c>
    </row>
    <row r="47501">
      <c r="H47501" s="50"/>
      <c r="I47501" s="50"/>
      <c r="O47501" s="36" t="s">
        <v>48</v>
      </c>
      <c r="R47501" s="36" t="s">
        <v>48</v>
      </c>
    </row>
    <row r="47502">
      <c r="H47502" s="50"/>
      <c r="I47502" s="50"/>
      <c r="O47502" s="36" t="s">
        <v>48</v>
      </c>
      <c r="R47502" s="36" t="s">
        <v>48</v>
      </c>
    </row>
    <row r="47503">
      <c r="H47503" s="50"/>
      <c r="I47503" s="50"/>
      <c r="O47503" s="36" t="s">
        <v>48</v>
      </c>
      <c r="R47503" s="36" t="s">
        <v>48</v>
      </c>
    </row>
    <row r="47504">
      <c r="H47504" s="50"/>
      <c r="I47504" s="50"/>
      <c r="O47504" s="36" t="s">
        <v>48</v>
      </c>
      <c r="R47504" s="36" t="s">
        <v>48</v>
      </c>
    </row>
    <row r="47505">
      <c r="H47505" s="50"/>
      <c r="I47505" s="50"/>
      <c r="O47505" s="36" t="s">
        <v>48</v>
      </c>
      <c r="R47505" s="36" t="s">
        <v>48</v>
      </c>
    </row>
    <row r="47506">
      <c r="H47506" s="50"/>
      <c r="I47506" s="50"/>
      <c r="O47506" s="36" t="s">
        <v>48</v>
      </c>
      <c r="R47506" s="36" t="s">
        <v>48</v>
      </c>
    </row>
    <row r="47507">
      <c r="H47507" s="50"/>
      <c r="I47507" s="50"/>
      <c r="O47507" s="36" t="s">
        <v>48</v>
      </c>
      <c r="R47507" s="36" t="s">
        <v>48</v>
      </c>
    </row>
    <row r="47508">
      <c r="H47508" s="50"/>
      <c r="I47508" s="50"/>
      <c r="O47508" s="36" t="s">
        <v>48</v>
      </c>
      <c r="R47508" s="36" t="s">
        <v>48</v>
      </c>
    </row>
    <row r="47509">
      <c r="H47509" s="50"/>
      <c r="I47509" s="50"/>
      <c r="O47509" s="36" t="s">
        <v>48</v>
      </c>
      <c r="R47509" s="36" t="s">
        <v>48</v>
      </c>
    </row>
    <row r="47510">
      <c r="H47510" s="50"/>
      <c r="I47510" s="50"/>
      <c r="O47510" s="36" t="s">
        <v>48</v>
      </c>
      <c r="R47510" s="36" t="s">
        <v>48</v>
      </c>
    </row>
    <row r="47511">
      <c r="H47511" s="50"/>
      <c r="I47511" s="50"/>
      <c r="O47511" s="36" t="s">
        <v>48</v>
      </c>
      <c r="R47511" s="36" t="s">
        <v>48</v>
      </c>
    </row>
    <row r="47512">
      <c r="H47512" s="50"/>
      <c r="I47512" s="50"/>
      <c r="O47512" s="36" t="s">
        <v>48</v>
      </c>
      <c r="R47512" s="36" t="s">
        <v>48</v>
      </c>
    </row>
    <row r="47513">
      <c r="H47513" s="50"/>
      <c r="I47513" s="50"/>
      <c r="O47513" s="36" t="s">
        <v>48</v>
      </c>
      <c r="R47513" s="36" t="s">
        <v>48</v>
      </c>
    </row>
    <row r="47514">
      <c r="H47514" s="50"/>
      <c r="I47514" s="50"/>
      <c r="O47514" s="36" t="s">
        <v>48</v>
      </c>
      <c r="R47514" s="36" t="s">
        <v>48</v>
      </c>
    </row>
    <row r="47515">
      <c r="H47515" s="50"/>
      <c r="I47515" s="50"/>
      <c r="O47515" s="36" t="s">
        <v>48</v>
      </c>
      <c r="R47515" s="36" t="s">
        <v>48</v>
      </c>
    </row>
    <row r="47516">
      <c r="H47516" s="50"/>
      <c r="I47516" s="50"/>
      <c r="O47516" s="36" t="s">
        <v>48</v>
      </c>
      <c r="R47516" s="36" t="s">
        <v>48</v>
      </c>
    </row>
    <row r="47517">
      <c r="H47517" s="50"/>
      <c r="I47517" s="50"/>
      <c r="O47517" s="36" t="s">
        <v>48</v>
      </c>
      <c r="R47517" s="36" t="s">
        <v>48</v>
      </c>
    </row>
    <row r="47518">
      <c r="H47518" s="50"/>
      <c r="I47518" s="50"/>
      <c r="O47518" s="36" t="s">
        <v>48</v>
      </c>
      <c r="R47518" s="36" t="s">
        <v>48</v>
      </c>
    </row>
    <row r="47519">
      <c r="H47519" s="50"/>
      <c r="I47519" s="50"/>
      <c r="O47519" s="36" t="s">
        <v>48</v>
      </c>
      <c r="R47519" s="36" t="s">
        <v>48</v>
      </c>
    </row>
    <row r="47520">
      <c r="H47520" s="50"/>
      <c r="I47520" s="50"/>
      <c r="O47520" s="36" t="s">
        <v>48</v>
      </c>
      <c r="R47520" s="36" t="s">
        <v>48</v>
      </c>
    </row>
    <row r="47521">
      <c r="H47521" s="50"/>
      <c r="I47521" s="50"/>
      <c r="O47521" s="36" t="s">
        <v>48</v>
      </c>
      <c r="R47521" s="36" t="s">
        <v>48</v>
      </c>
    </row>
    <row r="47522">
      <c r="H47522" s="50"/>
      <c r="I47522" s="50"/>
      <c r="O47522" s="36" t="s">
        <v>48</v>
      </c>
      <c r="R47522" s="36" t="s">
        <v>48</v>
      </c>
    </row>
    <row r="47523">
      <c r="H47523" s="50"/>
      <c r="I47523" s="50"/>
      <c r="O47523" s="36" t="s">
        <v>48</v>
      </c>
      <c r="R47523" s="36" t="s">
        <v>48</v>
      </c>
    </row>
    <row r="47524">
      <c r="H47524" s="50"/>
      <c r="I47524" s="50"/>
      <c r="O47524" s="36" t="s">
        <v>48</v>
      </c>
      <c r="R47524" s="36" t="s">
        <v>48</v>
      </c>
    </row>
    <row r="47525">
      <c r="H47525" s="50"/>
      <c r="I47525" s="50"/>
      <c r="O47525" s="36" t="s">
        <v>48</v>
      </c>
      <c r="R47525" s="36" t="s">
        <v>48</v>
      </c>
    </row>
    <row r="47526">
      <c r="H47526" s="50"/>
      <c r="I47526" s="50"/>
      <c r="O47526" s="36" t="s">
        <v>48</v>
      </c>
      <c r="R47526" s="36" t="s">
        <v>48</v>
      </c>
    </row>
    <row r="47527">
      <c r="H47527" s="50"/>
      <c r="I47527" s="50"/>
      <c r="O47527" s="36" t="s">
        <v>48</v>
      </c>
      <c r="R47527" s="36" t="s">
        <v>48</v>
      </c>
    </row>
    <row r="47528">
      <c r="H47528" s="50"/>
      <c r="I47528" s="50"/>
      <c r="O47528" s="36" t="s">
        <v>48</v>
      </c>
      <c r="R47528" s="36" t="s">
        <v>48</v>
      </c>
    </row>
    <row r="47529">
      <c r="H47529" s="50"/>
      <c r="I47529" s="50"/>
      <c r="O47529" s="36" t="s">
        <v>48</v>
      </c>
      <c r="R47529" s="36" t="s">
        <v>48</v>
      </c>
    </row>
    <row r="47530">
      <c r="H47530" s="50"/>
      <c r="I47530" s="50"/>
      <c r="O47530" s="36" t="s">
        <v>48</v>
      </c>
      <c r="R47530" s="36" t="s">
        <v>48</v>
      </c>
    </row>
    <row r="47531">
      <c r="H47531" s="50"/>
      <c r="I47531" s="50"/>
      <c r="O47531" s="36" t="s">
        <v>48</v>
      </c>
      <c r="R47531" s="36" t="s">
        <v>48</v>
      </c>
    </row>
    <row r="47532">
      <c r="H47532" s="50"/>
      <c r="I47532" s="50"/>
      <c r="O47532" s="36" t="s">
        <v>48</v>
      </c>
      <c r="R47532" s="36" t="s">
        <v>48</v>
      </c>
    </row>
    <row r="47533">
      <c r="H47533" s="50"/>
      <c r="I47533" s="50"/>
      <c r="O47533" s="36" t="s">
        <v>48</v>
      </c>
      <c r="R47533" s="36" t="s">
        <v>48</v>
      </c>
    </row>
    <row r="47534">
      <c r="H47534" s="50"/>
      <c r="I47534" s="50"/>
      <c r="O47534" s="36" t="s">
        <v>48</v>
      </c>
      <c r="R47534" s="36" t="s">
        <v>48</v>
      </c>
    </row>
    <row r="47535">
      <c r="H47535" s="50"/>
      <c r="I47535" s="50"/>
      <c r="O47535" s="36" t="s">
        <v>48</v>
      </c>
      <c r="R47535" s="36" t="s">
        <v>48</v>
      </c>
    </row>
    <row r="47536">
      <c r="H47536" s="50"/>
      <c r="I47536" s="50"/>
      <c r="O47536" s="36" t="s">
        <v>48</v>
      </c>
      <c r="R47536" s="36" t="s">
        <v>48</v>
      </c>
    </row>
    <row r="47537">
      <c r="H47537" s="50"/>
      <c r="I47537" s="50"/>
      <c r="O47537" s="36" t="s">
        <v>48</v>
      </c>
      <c r="R47537" s="36" t="s">
        <v>48</v>
      </c>
    </row>
    <row r="47538">
      <c r="H47538" s="50"/>
      <c r="I47538" s="50"/>
      <c r="O47538" s="36" t="s">
        <v>48</v>
      </c>
      <c r="R47538" s="36" t="s">
        <v>48</v>
      </c>
    </row>
    <row r="47539">
      <c r="H47539" s="50"/>
      <c r="I47539" s="50"/>
      <c r="O47539" s="36" t="s">
        <v>48</v>
      </c>
      <c r="R47539" s="36" t="s">
        <v>48</v>
      </c>
    </row>
    <row r="47540">
      <c r="H47540" s="50"/>
      <c r="I47540" s="50"/>
      <c r="O47540" s="36" t="s">
        <v>48</v>
      </c>
      <c r="R47540" s="36" t="s">
        <v>48</v>
      </c>
    </row>
    <row r="47541">
      <c r="H47541" s="50"/>
      <c r="I47541" s="50"/>
      <c r="O47541" s="36" t="s">
        <v>48</v>
      </c>
      <c r="R47541" s="36" t="s">
        <v>48</v>
      </c>
    </row>
    <row r="47542">
      <c r="H47542" s="50"/>
      <c r="I47542" s="50"/>
      <c r="O47542" s="36" t="s">
        <v>48</v>
      </c>
      <c r="R47542" s="36" t="s">
        <v>48</v>
      </c>
    </row>
    <row r="47543">
      <c r="H47543" s="50"/>
      <c r="I47543" s="50"/>
      <c r="O47543" s="36" t="s">
        <v>48</v>
      </c>
      <c r="R47543" s="36" t="s">
        <v>48</v>
      </c>
    </row>
    <row r="47544">
      <c r="H47544" s="50"/>
      <c r="I47544" s="50"/>
      <c r="O47544" s="36" t="s">
        <v>48</v>
      </c>
      <c r="R47544" s="36" t="s">
        <v>48</v>
      </c>
    </row>
    <row r="47545">
      <c r="H47545" s="50"/>
      <c r="I47545" s="50"/>
      <c r="O47545" s="36" t="s">
        <v>48</v>
      </c>
      <c r="R47545" s="36" t="s">
        <v>48</v>
      </c>
    </row>
    <row r="47546">
      <c r="H47546" s="50"/>
      <c r="I47546" s="50"/>
      <c r="O47546" s="36" t="s">
        <v>48</v>
      </c>
      <c r="R47546" s="36" t="s">
        <v>48</v>
      </c>
    </row>
    <row r="47547">
      <c r="H47547" s="50"/>
      <c r="I47547" s="50"/>
      <c r="O47547" s="36" t="s">
        <v>48</v>
      </c>
      <c r="R47547" s="36" t="s">
        <v>48</v>
      </c>
    </row>
    <row r="47548">
      <c r="H47548" s="50"/>
      <c r="I47548" s="50"/>
      <c r="O47548" s="36" t="s">
        <v>48</v>
      </c>
      <c r="R47548" s="36" t="s">
        <v>48</v>
      </c>
    </row>
    <row r="47549">
      <c r="H47549" s="50"/>
      <c r="I47549" s="50"/>
      <c r="O47549" s="36" t="s">
        <v>48</v>
      </c>
      <c r="R47549" s="36" t="s">
        <v>48</v>
      </c>
    </row>
    <row r="47550">
      <c r="H47550" s="50"/>
      <c r="I47550" s="50"/>
      <c r="O47550" s="36" t="s">
        <v>48</v>
      </c>
      <c r="R47550" s="36" t="s">
        <v>48</v>
      </c>
    </row>
    <row r="47551">
      <c r="H47551" s="50"/>
      <c r="I47551" s="50"/>
      <c r="O47551" s="36" t="s">
        <v>48</v>
      </c>
      <c r="R47551" s="36" t="s">
        <v>48</v>
      </c>
    </row>
    <row r="47552">
      <c r="H47552" s="50"/>
      <c r="I47552" s="50"/>
      <c r="O47552" s="36" t="s">
        <v>48</v>
      </c>
      <c r="R47552" s="36" t="s">
        <v>48</v>
      </c>
    </row>
    <row r="47553">
      <c r="H47553" s="50"/>
      <c r="I47553" s="50"/>
      <c r="O47553" s="36" t="s">
        <v>48</v>
      </c>
      <c r="R47553" s="36" t="s">
        <v>48</v>
      </c>
    </row>
    <row r="47554">
      <c r="H47554" s="50"/>
      <c r="I47554" s="50"/>
      <c r="O47554" s="36" t="s">
        <v>48</v>
      </c>
      <c r="R47554" s="36" t="s">
        <v>48</v>
      </c>
    </row>
    <row r="47555">
      <c r="H47555" s="50"/>
      <c r="I47555" s="50"/>
      <c r="O47555" s="36" t="s">
        <v>48</v>
      </c>
      <c r="R47555" s="36" t="s">
        <v>48</v>
      </c>
    </row>
    <row r="47556">
      <c r="H47556" s="50"/>
      <c r="I47556" s="50"/>
      <c r="O47556" s="36" t="s">
        <v>48</v>
      </c>
      <c r="R47556" s="36" t="s">
        <v>48</v>
      </c>
    </row>
    <row r="47557">
      <c r="H47557" s="50"/>
      <c r="I47557" s="50"/>
      <c r="O47557" s="36" t="s">
        <v>48</v>
      </c>
      <c r="R47557" s="36" t="s">
        <v>48</v>
      </c>
    </row>
    <row r="47558">
      <c r="H47558" s="50"/>
      <c r="I47558" s="50"/>
      <c r="O47558" s="36" t="s">
        <v>48</v>
      </c>
      <c r="R47558" s="36" t="s">
        <v>48</v>
      </c>
    </row>
    <row r="47559">
      <c r="H47559" s="50"/>
      <c r="I47559" s="50"/>
      <c r="O47559" s="36" t="s">
        <v>48</v>
      </c>
      <c r="R47559" s="36" t="s">
        <v>48</v>
      </c>
    </row>
    <row r="47560">
      <c r="H47560" s="50"/>
      <c r="I47560" s="50"/>
      <c r="O47560" s="36" t="s">
        <v>48</v>
      </c>
      <c r="R47560" s="36" t="s">
        <v>48</v>
      </c>
    </row>
    <row r="47561">
      <c r="H47561" s="50"/>
      <c r="I47561" s="50"/>
      <c r="O47561" s="36" t="s">
        <v>48</v>
      </c>
      <c r="R47561" s="36" t="s">
        <v>48</v>
      </c>
    </row>
    <row r="47562">
      <c r="H47562" s="50"/>
      <c r="I47562" s="50"/>
      <c r="O47562" s="36" t="s">
        <v>48</v>
      </c>
      <c r="R47562" s="36" t="s">
        <v>48</v>
      </c>
    </row>
    <row r="47563">
      <c r="H47563" s="50"/>
      <c r="I47563" s="50"/>
      <c r="O47563" s="36" t="s">
        <v>48</v>
      </c>
      <c r="R47563" s="36" t="s">
        <v>48</v>
      </c>
    </row>
    <row r="47564">
      <c r="H47564" s="50"/>
      <c r="I47564" s="50"/>
      <c r="O47564" s="36" t="s">
        <v>48</v>
      </c>
      <c r="R47564" s="36" t="s">
        <v>48</v>
      </c>
    </row>
    <row r="47565">
      <c r="H47565" s="50"/>
      <c r="I47565" s="50"/>
      <c r="O47565" s="36" t="s">
        <v>48</v>
      </c>
      <c r="R47565" s="36" t="s">
        <v>48</v>
      </c>
    </row>
    <row r="47566">
      <c r="H47566" s="50"/>
      <c r="I47566" s="50"/>
      <c r="O47566" s="36" t="s">
        <v>48</v>
      </c>
      <c r="R47566" s="36" t="s">
        <v>48</v>
      </c>
    </row>
    <row r="47567">
      <c r="H47567" s="50"/>
      <c r="I47567" s="50"/>
      <c r="O47567" s="36" t="s">
        <v>48</v>
      </c>
      <c r="R47567" s="36" t="s">
        <v>48</v>
      </c>
    </row>
    <row r="47568">
      <c r="H47568" s="50"/>
      <c r="I47568" s="50"/>
      <c r="O47568" s="36" t="s">
        <v>48</v>
      </c>
      <c r="R47568" s="36" t="s">
        <v>48</v>
      </c>
    </row>
    <row r="47569">
      <c r="H47569" s="50"/>
      <c r="I47569" s="50"/>
      <c r="O47569" s="36" t="s">
        <v>48</v>
      </c>
      <c r="R47569" s="36" t="s">
        <v>48</v>
      </c>
    </row>
    <row r="47570">
      <c r="H47570" s="50"/>
      <c r="I47570" s="50"/>
      <c r="O47570" s="36" t="s">
        <v>48</v>
      </c>
      <c r="R47570" s="36" t="s">
        <v>48</v>
      </c>
    </row>
    <row r="47571">
      <c r="H47571" s="50"/>
      <c r="I47571" s="50"/>
      <c r="O47571" s="36" t="s">
        <v>48</v>
      </c>
      <c r="R47571" s="36" t="s">
        <v>48</v>
      </c>
    </row>
    <row r="47572">
      <c r="H47572" s="50"/>
      <c r="I47572" s="50"/>
      <c r="O47572" s="36" t="s">
        <v>48</v>
      </c>
      <c r="R47572" s="36" t="s">
        <v>48</v>
      </c>
    </row>
    <row r="47573">
      <c r="H47573" s="50"/>
      <c r="I47573" s="50"/>
      <c r="O47573" s="36" t="s">
        <v>48</v>
      </c>
      <c r="R47573" s="36" t="s">
        <v>48</v>
      </c>
    </row>
    <row r="47574">
      <c r="H47574" s="50"/>
      <c r="I47574" s="50"/>
      <c r="O47574" s="36" t="s">
        <v>48</v>
      </c>
      <c r="R47574" s="36" t="s">
        <v>48</v>
      </c>
    </row>
    <row r="47575">
      <c r="H47575" s="50"/>
      <c r="I47575" s="50"/>
      <c r="O47575" s="36" t="s">
        <v>48</v>
      </c>
      <c r="R47575" s="36" t="s">
        <v>48</v>
      </c>
    </row>
    <row r="47576">
      <c r="H47576" s="50"/>
      <c r="I47576" s="50"/>
      <c r="O47576" s="36" t="s">
        <v>48</v>
      </c>
      <c r="R47576" s="36" t="s">
        <v>48</v>
      </c>
    </row>
    <row r="47577">
      <c r="H47577" s="50"/>
      <c r="I47577" s="50"/>
      <c r="O47577" s="36" t="s">
        <v>48</v>
      </c>
      <c r="R47577" s="36" t="s">
        <v>48</v>
      </c>
    </row>
    <row r="47578">
      <c r="H47578" s="50"/>
      <c r="I47578" s="50"/>
      <c r="O47578" s="36" t="s">
        <v>48</v>
      </c>
      <c r="R47578" s="36" t="s">
        <v>48</v>
      </c>
    </row>
    <row r="47579">
      <c r="H47579" s="50"/>
      <c r="I47579" s="50"/>
      <c r="O47579" s="36" t="s">
        <v>48</v>
      </c>
      <c r="R47579" s="36" t="s">
        <v>48</v>
      </c>
    </row>
    <row r="47580">
      <c r="H47580" s="50"/>
      <c r="I47580" s="50"/>
      <c r="O47580" s="36" t="s">
        <v>48</v>
      </c>
      <c r="R47580" s="36" t="s">
        <v>48</v>
      </c>
    </row>
    <row r="47581">
      <c r="H47581" s="50"/>
      <c r="I47581" s="50"/>
      <c r="O47581" s="36" t="s">
        <v>48</v>
      </c>
      <c r="R47581" s="36" t="s">
        <v>48</v>
      </c>
    </row>
    <row r="47582">
      <c r="H47582" s="50"/>
      <c r="I47582" s="50"/>
      <c r="O47582" s="36" t="s">
        <v>48</v>
      </c>
      <c r="R47582" s="36" t="s">
        <v>48</v>
      </c>
    </row>
    <row r="47583">
      <c r="H47583" s="50"/>
      <c r="I47583" s="50"/>
      <c r="O47583" s="36" t="s">
        <v>48</v>
      </c>
      <c r="R47583" s="36" t="s">
        <v>48</v>
      </c>
    </row>
    <row r="47584">
      <c r="H47584" s="50"/>
      <c r="I47584" s="50"/>
      <c r="O47584" s="36" t="s">
        <v>48</v>
      </c>
      <c r="R47584" s="36" t="s">
        <v>48</v>
      </c>
    </row>
    <row r="47585">
      <c r="H47585" s="50"/>
      <c r="I47585" s="50"/>
      <c r="O47585" s="36" t="s">
        <v>48</v>
      </c>
      <c r="R47585" s="36" t="s">
        <v>48</v>
      </c>
    </row>
    <row r="47586">
      <c r="H47586" s="50"/>
      <c r="I47586" s="50"/>
      <c r="O47586" s="36" t="s">
        <v>48</v>
      </c>
      <c r="R47586" s="36" t="s">
        <v>48</v>
      </c>
    </row>
    <row r="47587">
      <c r="H47587" s="50"/>
      <c r="I47587" s="50"/>
      <c r="O47587" s="36" t="s">
        <v>48</v>
      </c>
      <c r="R47587" s="36" t="s">
        <v>48</v>
      </c>
    </row>
    <row r="47588">
      <c r="H47588" s="50"/>
      <c r="I47588" s="50"/>
      <c r="O47588" s="36" t="s">
        <v>48</v>
      </c>
      <c r="R47588" s="36" t="s">
        <v>48</v>
      </c>
    </row>
    <row r="47589">
      <c r="H47589" s="50"/>
      <c r="I47589" s="50"/>
      <c r="O47589" s="36" t="s">
        <v>48</v>
      </c>
      <c r="R47589" s="36" t="s">
        <v>48</v>
      </c>
    </row>
    <row r="47590">
      <c r="H47590" s="50"/>
      <c r="I47590" s="50"/>
      <c r="O47590" s="36" t="s">
        <v>48</v>
      </c>
      <c r="R47590" s="36" t="s">
        <v>48</v>
      </c>
    </row>
    <row r="47591">
      <c r="H47591" s="50"/>
      <c r="I47591" s="50"/>
      <c r="O47591" s="36" t="s">
        <v>48</v>
      </c>
      <c r="R47591" s="36" t="s">
        <v>48</v>
      </c>
    </row>
    <row r="47592">
      <c r="H47592" s="50"/>
      <c r="I47592" s="50"/>
      <c r="O47592" s="36" t="s">
        <v>48</v>
      </c>
      <c r="R47592" s="36" t="s">
        <v>48</v>
      </c>
    </row>
    <row r="47593">
      <c r="H47593" s="50"/>
      <c r="I47593" s="50"/>
      <c r="O47593" s="36" t="s">
        <v>48</v>
      </c>
      <c r="R47593" s="36" t="s">
        <v>48</v>
      </c>
    </row>
    <row r="47594">
      <c r="H47594" s="50"/>
      <c r="I47594" s="50"/>
      <c r="O47594" s="36" t="s">
        <v>48</v>
      </c>
      <c r="R47594" s="36" t="s">
        <v>48</v>
      </c>
    </row>
    <row r="47595">
      <c r="H47595" s="50"/>
      <c r="I47595" s="50"/>
      <c r="O47595" s="36" t="s">
        <v>48</v>
      </c>
      <c r="R47595" s="36" t="s">
        <v>48</v>
      </c>
    </row>
    <row r="47596">
      <c r="H47596" s="50"/>
      <c r="I47596" s="50"/>
      <c r="O47596" s="36" t="s">
        <v>48</v>
      </c>
      <c r="R47596" s="36" t="s">
        <v>48</v>
      </c>
    </row>
    <row r="47597">
      <c r="H47597" s="50"/>
      <c r="I47597" s="50"/>
      <c r="O47597" s="36" t="s">
        <v>48</v>
      </c>
      <c r="R47597" s="36" t="s">
        <v>48</v>
      </c>
    </row>
    <row r="47598">
      <c r="H47598" s="50"/>
      <c r="I47598" s="50"/>
      <c r="O47598" s="36" t="s">
        <v>48</v>
      </c>
      <c r="R47598" s="36" t="s">
        <v>48</v>
      </c>
    </row>
    <row r="47599">
      <c r="H47599" s="50"/>
      <c r="I47599" s="50"/>
      <c r="O47599" s="36" t="s">
        <v>48</v>
      </c>
      <c r="R47599" s="36" t="s">
        <v>48</v>
      </c>
    </row>
    <row r="47600">
      <c r="H47600" s="50"/>
      <c r="I47600" s="50"/>
      <c r="O47600" s="36" t="s">
        <v>48</v>
      </c>
      <c r="R47600" s="36" t="s">
        <v>48</v>
      </c>
    </row>
    <row r="47601">
      <c r="H47601" s="50"/>
      <c r="I47601" s="50"/>
      <c r="O47601" s="36" t="s">
        <v>48</v>
      </c>
      <c r="R47601" s="36" t="s">
        <v>48</v>
      </c>
    </row>
    <row r="47602">
      <c r="H47602" s="50"/>
      <c r="I47602" s="50"/>
      <c r="O47602" s="36" t="s">
        <v>48</v>
      </c>
      <c r="R47602" s="36" t="s">
        <v>48</v>
      </c>
    </row>
    <row r="47603">
      <c r="H47603" s="50"/>
      <c r="I47603" s="50"/>
      <c r="O47603" s="36" t="s">
        <v>48</v>
      </c>
      <c r="R47603" s="36" t="s">
        <v>48</v>
      </c>
    </row>
    <row r="47604">
      <c r="H47604" s="50"/>
      <c r="I47604" s="50"/>
      <c r="O47604" s="36" t="s">
        <v>48</v>
      </c>
      <c r="R47604" s="36" t="s">
        <v>48</v>
      </c>
    </row>
    <row r="47605">
      <c r="H47605" s="50"/>
      <c r="I47605" s="50"/>
      <c r="O47605" s="36" t="s">
        <v>48</v>
      </c>
      <c r="R47605" s="36" t="s">
        <v>48</v>
      </c>
    </row>
    <row r="47606">
      <c r="H47606" s="50"/>
      <c r="I47606" s="50"/>
      <c r="O47606" s="36" t="s">
        <v>48</v>
      </c>
      <c r="R47606" s="36" t="s">
        <v>48</v>
      </c>
    </row>
    <row r="47607">
      <c r="H47607" s="50"/>
      <c r="I47607" s="50"/>
      <c r="O47607" s="36" t="s">
        <v>48</v>
      </c>
      <c r="R47607" s="36" t="s">
        <v>48</v>
      </c>
    </row>
    <row r="47608">
      <c r="H47608" s="50"/>
      <c r="I47608" s="50"/>
      <c r="O47608" s="36" t="s">
        <v>48</v>
      </c>
      <c r="R47608" s="36" t="s">
        <v>48</v>
      </c>
    </row>
    <row r="47609">
      <c r="H47609" s="50"/>
      <c r="I47609" s="50"/>
      <c r="O47609" s="36" t="s">
        <v>48</v>
      </c>
      <c r="R47609" s="36" t="s">
        <v>48</v>
      </c>
    </row>
    <row r="47610">
      <c r="H47610" s="50"/>
      <c r="I47610" s="50"/>
      <c r="O47610" s="36" t="s">
        <v>48</v>
      </c>
      <c r="R47610" s="36" t="s">
        <v>48</v>
      </c>
    </row>
    <row r="47611">
      <c r="H47611" s="50"/>
      <c r="I47611" s="50"/>
      <c r="O47611" s="36" t="s">
        <v>48</v>
      </c>
      <c r="R47611" s="36" t="s">
        <v>48</v>
      </c>
    </row>
    <row r="47612">
      <c r="H47612" s="50"/>
      <c r="I47612" s="50"/>
      <c r="O47612" s="36" t="s">
        <v>48</v>
      </c>
      <c r="R47612" s="36" t="s">
        <v>48</v>
      </c>
    </row>
    <row r="47613">
      <c r="H47613" s="50"/>
      <c r="I47613" s="50"/>
      <c r="O47613" s="36" t="s">
        <v>48</v>
      </c>
      <c r="R47613" s="36" t="s">
        <v>48</v>
      </c>
    </row>
    <row r="47614">
      <c r="H47614" s="50"/>
      <c r="I47614" s="50"/>
      <c r="O47614" s="36" t="s">
        <v>48</v>
      </c>
      <c r="R47614" s="36" t="s">
        <v>48</v>
      </c>
    </row>
    <row r="47615">
      <c r="H47615" s="50"/>
      <c r="I47615" s="50"/>
      <c r="O47615" s="36" t="s">
        <v>48</v>
      </c>
      <c r="R47615" s="36" t="s">
        <v>48</v>
      </c>
    </row>
    <row r="47616">
      <c r="H47616" s="50"/>
      <c r="I47616" s="50"/>
      <c r="O47616" s="36" t="s">
        <v>48</v>
      </c>
      <c r="R47616" s="36" t="s">
        <v>48</v>
      </c>
    </row>
    <row r="47617">
      <c r="H47617" s="50"/>
      <c r="I47617" s="50"/>
      <c r="O47617" s="36" t="s">
        <v>48</v>
      </c>
      <c r="R47617" s="36" t="s">
        <v>48</v>
      </c>
    </row>
    <row r="47618">
      <c r="H47618" s="50"/>
      <c r="I47618" s="50"/>
      <c r="O47618" s="36" t="s">
        <v>48</v>
      </c>
      <c r="R47618" s="36" t="s">
        <v>48</v>
      </c>
    </row>
    <row r="47619">
      <c r="H47619" s="50"/>
      <c r="I47619" s="50"/>
      <c r="O47619" s="36" t="s">
        <v>48</v>
      </c>
      <c r="R47619" s="36" t="s">
        <v>48</v>
      </c>
    </row>
    <row r="47620">
      <c r="H47620" s="50"/>
      <c r="I47620" s="50"/>
      <c r="O47620" s="36" t="s">
        <v>48</v>
      </c>
      <c r="R47620" s="36" t="s">
        <v>48</v>
      </c>
    </row>
    <row r="47621">
      <c r="H47621" s="50"/>
      <c r="I47621" s="50"/>
      <c r="O47621" s="36" t="s">
        <v>48</v>
      </c>
      <c r="R47621" s="36" t="s">
        <v>48</v>
      </c>
    </row>
    <row r="47622">
      <c r="H47622" s="50"/>
      <c r="I47622" s="50"/>
      <c r="O47622" s="36" t="s">
        <v>48</v>
      </c>
      <c r="R47622" s="36" t="s">
        <v>48</v>
      </c>
    </row>
    <row r="47623">
      <c r="H47623" s="50"/>
      <c r="I47623" s="50"/>
      <c r="O47623" s="36" t="s">
        <v>48</v>
      </c>
      <c r="R47623" s="36" t="s">
        <v>48</v>
      </c>
    </row>
    <row r="47624">
      <c r="H47624" s="50"/>
      <c r="I47624" s="50"/>
      <c r="O47624" s="36" t="s">
        <v>48</v>
      </c>
      <c r="R47624" s="36" t="s">
        <v>48</v>
      </c>
    </row>
    <row r="47625">
      <c r="H47625" s="50"/>
      <c r="I47625" s="50"/>
      <c r="O47625" s="36" t="s">
        <v>48</v>
      </c>
      <c r="R47625" s="36" t="s">
        <v>48</v>
      </c>
    </row>
    <row r="47626">
      <c r="H47626" s="50"/>
      <c r="I47626" s="50"/>
      <c r="O47626" s="36" t="s">
        <v>48</v>
      </c>
      <c r="R47626" s="36" t="s">
        <v>48</v>
      </c>
    </row>
    <row r="47627">
      <c r="H47627" s="50"/>
      <c r="I47627" s="50"/>
      <c r="O47627" s="36" t="s">
        <v>48</v>
      </c>
      <c r="R47627" s="36" t="s">
        <v>48</v>
      </c>
    </row>
    <row r="47628">
      <c r="H47628" s="50"/>
      <c r="I47628" s="50"/>
      <c r="O47628" s="36" t="s">
        <v>48</v>
      </c>
      <c r="R47628" s="36" t="s">
        <v>48</v>
      </c>
    </row>
    <row r="47629">
      <c r="H47629" s="50"/>
      <c r="I47629" s="50"/>
      <c r="O47629" s="36" t="s">
        <v>48</v>
      </c>
      <c r="R47629" s="36" t="s">
        <v>48</v>
      </c>
    </row>
    <row r="47630">
      <c r="H47630" s="50"/>
      <c r="I47630" s="50"/>
      <c r="O47630" s="36" t="s">
        <v>48</v>
      </c>
      <c r="R47630" s="36" t="s">
        <v>48</v>
      </c>
    </row>
    <row r="47631">
      <c r="H47631" s="50"/>
      <c r="I47631" s="50"/>
      <c r="O47631" s="36" t="s">
        <v>48</v>
      </c>
      <c r="R47631" s="36" t="s">
        <v>48</v>
      </c>
    </row>
    <row r="47632">
      <c r="H47632" s="50"/>
      <c r="I47632" s="50"/>
      <c r="O47632" s="36" t="s">
        <v>48</v>
      </c>
      <c r="R47632" s="36" t="s">
        <v>48</v>
      </c>
    </row>
    <row r="47633">
      <c r="H47633" s="50"/>
      <c r="I47633" s="50"/>
      <c r="O47633" s="36" t="s">
        <v>48</v>
      </c>
      <c r="R47633" s="36" t="s">
        <v>48</v>
      </c>
    </row>
    <row r="47634">
      <c r="H47634" s="50"/>
      <c r="I47634" s="50"/>
      <c r="O47634" s="36" t="s">
        <v>48</v>
      </c>
      <c r="R47634" s="36" t="s">
        <v>48</v>
      </c>
    </row>
    <row r="47635">
      <c r="H47635" s="50"/>
      <c r="I47635" s="50"/>
      <c r="O47635" s="36" t="s">
        <v>48</v>
      </c>
      <c r="R47635" s="36" t="s">
        <v>48</v>
      </c>
    </row>
    <row r="47636">
      <c r="H47636" s="50"/>
      <c r="I47636" s="50"/>
      <c r="O47636" s="36" t="s">
        <v>48</v>
      </c>
      <c r="R47636" s="36" t="s">
        <v>48</v>
      </c>
    </row>
    <row r="47637">
      <c r="H47637" s="50"/>
      <c r="I47637" s="50"/>
      <c r="O47637" s="36" t="s">
        <v>48</v>
      </c>
      <c r="R47637" s="36" t="s">
        <v>48</v>
      </c>
    </row>
    <row r="47638">
      <c r="H47638" s="50"/>
      <c r="I47638" s="50"/>
      <c r="O47638" s="36" t="s">
        <v>48</v>
      </c>
      <c r="R47638" s="36" t="s">
        <v>48</v>
      </c>
    </row>
    <row r="47639">
      <c r="H47639" s="50"/>
      <c r="I47639" s="50"/>
      <c r="O47639" s="36" t="s">
        <v>48</v>
      </c>
      <c r="R47639" s="36" t="s">
        <v>48</v>
      </c>
    </row>
    <row r="47640">
      <c r="H47640" s="50"/>
      <c r="I47640" s="50"/>
      <c r="O47640" s="36" t="s">
        <v>48</v>
      </c>
      <c r="R47640" s="36" t="s">
        <v>48</v>
      </c>
    </row>
    <row r="47641">
      <c r="H47641" s="50"/>
      <c r="I47641" s="50"/>
      <c r="O47641" s="36" t="s">
        <v>48</v>
      </c>
      <c r="R47641" s="36" t="s">
        <v>48</v>
      </c>
    </row>
    <row r="47642">
      <c r="H47642" s="50"/>
      <c r="I47642" s="50"/>
      <c r="O47642" s="36" t="s">
        <v>48</v>
      </c>
      <c r="R47642" s="36" t="s">
        <v>48</v>
      </c>
    </row>
    <row r="47643">
      <c r="H47643" s="50"/>
      <c r="I47643" s="50"/>
      <c r="O47643" s="36" t="s">
        <v>48</v>
      </c>
      <c r="R47643" s="36" t="s">
        <v>48</v>
      </c>
    </row>
    <row r="47644">
      <c r="H47644" s="50"/>
      <c r="I47644" s="50"/>
      <c r="O47644" s="36" t="s">
        <v>48</v>
      </c>
      <c r="R47644" s="36" t="s">
        <v>48</v>
      </c>
    </row>
    <row r="47645">
      <c r="H47645" s="50"/>
      <c r="I47645" s="50"/>
      <c r="O47645" s="36" t="s">
        <v>48</v>
      </c>
      <c r="R47645" s="36" t="s">
        <v>48</v>
      </c>
    </row>
    <row r="47646">
      <c r="H47646" s="50"/>
      <c r="I47646" s="50"/>
      <c r="O47646" s="36" t="s">
        <v>48</v>
      </c>
      <c r="R47646" s="36" t="s">
        <v>48</v>
      </c>
    </row>
    <row r="47647">
      <c r="H47647" s="50"/>
      <c r="I47647" s="50"/>
      <c r="O47647" s="36" t="s">
        <v>48</v>
      </c>
      <c r="R47647" s="36" t="s">
        <v>48</v>
      </c>
    </row>
    <row r="47648">
      <c r="H47648" s="50"/>
      <c r="I47648" s="50"/>
      <c r="O47648" s="36" t="s">
        <v>48</v>
      </c>
      <c r="R47648" s="36" t="s">
        <v>48</v>
      </c>
    </row>
    <row r="47649">
      <c r="H47649" s="50"/>
      <c r="I47649" s="50"/>
      <c r="O47649" s="36" t="s">
        <v>48</v>
      </c>
      <c r="R47649" s="36" t="s">
        <v>48</v>
      </c>
    </row>
    <row r="47650">
      <c r="H47650" s="50"/>
      <c r="I47650" s="50"/>
      <c r="O47650" s="36" t="s">
        <v>48</v>
      </c>
      <c r="R47650" s="36" t="s">
        <v>48</v>
      </c>
    </row>
    <row r="47651">
      <c r="H47651" s="50"/>
      <c r="I47651" s="50"/>
      <c r="O47651" s="36" t="s">
        <v>48</v>
      </c>
      <c r="R47651" s="36" t="s">
        <v>48</v>
      </c>
    </row>
    <row r="47652">
      <c r="H47652" s="50"/>
      <c r="I47652" s="50"/>
      <c r="O47652" s="36" t="s">
        <v>48</v>
      </c>
      <c r="R47652" s="36" t="s">
        <v>48</v>
      </c>
    </row>
    <row r="47653">
      <c r="H47653" s="50"/>
      <c r="I47653" s="50"/>
      <c r="O47653" s="36" t="s">
        <v>48</v>
      </c>
      <c r="R47653" s="36" t="s">
        <v>48</v>
      </c>
    </row>
    <row r="47654">
      <c r="H47654" s="50"/>
      <c r="I47654" s="50"/>
      <c r="O47654" s="36" t="s">
        <v>48</v>
      </c>
      <c r="R47654" s="36" t="s">
        <v>48</v>
      </c>
    </row>
    <row r="47655">
      <c r="H47655" s="50"/>
      <c r="I47655" s="50"/>
      <c r="O47655" s="36" t="s">
        <v>48</v>
      </c>
      <c r="R47655" s="36" t="s">
        <v>48</v>
      </c>
    </row>
    <row r="47656">
      <c r="H47656" s="50"/>
      <c r="I47656" s="50"/>
      <c r="O47656" s="36" t="s">
        <v>48</v>
      </c>
      <c r="R47656" s="36" t="s">
        <v>48</v>
      </c>
    </row>
    <row r="47657">
      <c r="H47657" s="50"/>
      <c r="I47657" s="50"/>
      <c r="O47657" s="36" t="s">
        <v>48</v>
      </c>
      <c r="R47657" s="36" t="s">
        <v>48</v>
      </c>
    </row>
    <row r="47658">
      <c r="H47658" s="50"/>
      <c r="I47658" s="50"/>
      <c r="O47658" s="36" t="s">
        <v>48</v>
      </c>
      <c r="R47658" s="36" t="s">
        <v>48</v>
      </c>
    </row>
    <row r="47659">
      <c r="H47659" s="50"/>
      <c r="I47659" s="50"/>
      <c r="O47659" s="36" t="s">
        <v>48</v>
      </c>
      <c r="R47659" s="36" t="s">
        <v>48</v>
      </c>
    </row>
    <row r="47660">
      <c r="H47660" s="50"/>
      <c r="I47660" s="50"/>
      <c r="O47660" s="36" t="s">
        <v>48</v>
      </c>
      <c r="R47660" s="36" t="s">
        <v>48</v>
      </c>
    </row>
    <row r="47661">
      <c r="H47661" s="50"/>
      <c r="I47661" s="50"/>
      <c r="O47661" s="36" t="s">
        <v>48</v>
      </c>
      <c r="R47661" s="36" t="s">
        <v>48</v>
      </c>
    </row>
    <row r="47662">
      <c r="H47662" s="50"/>
      <c r="I47662" s="50"/>
      <c r="O47662" s="36" t="s">
        <v>48</v>
      </c>
      <c r="R47662" s="36" t="s">
        <v>48</v>
      </c>
    </row>
    <row r="47663">
      <c r="H47663" s="50"/>
      <c r="I47663" s="50"/>
      <c r="O47663" s="36" t="s">
        <v>48</v>
      </c>
      <c r="R47663" s="36" t="s">
        <v>48</v>
      </c>
    </row>
    <row r="47664">
      <c r="H47664" s="50"/>
      <c r="I47664" s="50"/>
      <c r="O47664" s="36" t="s">
        <v>48</v>
      </c>
      <c r="R47664" s="36" t="s">
        <v>48</v>
      </c>
    </row>
    <row r="47665">
      <c r="H47665" s="50"/>
      <c r="I47665" s="50"/>
      <c r="O47665" s="36" t="s">
        <v>48</v>
      </c>
      <c r="R47665" s="36" t="s">
        <v>48</v>
      </c>
    </row>
    <row r="47666">
      <c r="H47666" s="50"/>
      <c r="I47666" s="50"/>
      <c r="O47666" s="36" t="s">
        <v>48</v>
      </c>
      <c r="R47666" s="36" t="s">
        <v>48</v>
      </c>
    </row>
    <row r="47667">
      <c r="H47667" s="50"/>
      <c r="I47667" s="50"/>
      <c r="O47667" s="36" t="s">
        <v>48</v>
      </c>
      <c r="R47667" s="36" t="s">
        <v>48</v>
      </c>
    </row>
    <row r="47668">
      <c r="H47668" s="50"/>
      <c r="I47668" s="50"/>
      <c r="O47668" s="36" t="s">
        <v>48</v>
      </c>
      <c r="R47668" s="36" t="s">
        <v>48</v>
      </c>
    </row>
    <row r="47669">
      <c r="H47669" s="50"/>
      <c r="I47669" s="50"/>
      <c r="O47669" s="36" t="s">
        <v>48</v>
      </c>
      <c r="R47669" s="36" t="s">
        <v>48</v>
      </c>
    </row>
    <row r="47670">
      <c r="H47670" s="50"/>
      <c r="I47670" s="50"/>
      <c r="O47670" s="36" t="s">
        <v>48</v>
      </c>
      <c r="R47670" s="36" t="s">
        <v>48</v>
      </c>
    </row>
    <row r="47671">
      <c r="H47671" s="50"/>
      <c r="I47671" s="50"/>
      <c r="O47671" s="36" t="s">
        <v>48</v>
      </c>
      <c r="R47671" s="36" t="s">
        <v>48</v>
      </c>
    </row>
    <row r="47672">
      <c r="H47672" s="50"/>
      <c r="I47672" s="50"/>
      <c r="O47672" s="36" t="s">
        <v>48</v>
      </c>
      <c r="R47672" s="36" t="s">
        <v>48</v>
      </c>
    </row>
    <row r="47673">
      <c r="H47673" s="50"/>
      <c r="I47673" s="50"/>
      <c r="O47673" s="36" t="s">
        <v>48</v>
      </c>
      <c r="R47673" s="36" t="s">
        <v>48</v>
      </c>
    </row>
    <row r="47674">
      <c r="H47674" s="50"/>
      <c r="I47674" s="50"/>
      <c r="O47674" s="36" t="s">
        <v>48</v>
      </c>
      <c r="R47674" s="36" t="s">
        <v>48</v>
      </c>
    </row>
    <row r="47675">
      <c r="H47675" s="50"/>
      <c r="I47675" s="50"/>
      <c r="O47675" s="36" t="s">
        <v>48</v>
      </c>
      <c r="R47675" s="36" t="s">
        <v>48</v>
      </c>
    </row>
    <row r="47676">
      <c r="H47676" s="50"/>
      <c r="I47676" s="50"/>
      <c r="O47676" s="36" t="s">
        <v>48</v>
      </c>
      <c r="R47676" s="36" t="s">
        <v>48</v>
      </c>
    </row>
    <row r="47677">
      <c r="H47677" s="50"/>
      <c r="I47677" s="50"/>
      <c r="O47677" s="36" t="s">
        <v>48</v>
      </c>
      <c r="R47677" s="36" t="s">
        <v>48</v>
      </c>
    </row>
    <row r="47678">
      <c r="H47678" s="50"/>
      <c r="I47678" s="50"/>
      <c r="O47678" s="36" t="s">
        <v>48</v>
      </c>
      <c r="R47678" s="36" t="s">
        <v>48</v>
      </c>
    </row>
    <row r="47679">
      <c r="H47679" s="50"/>
      <c r="I47679" s="50"/>
      <c r="O47679" s="36" t="s">
        <v>48</v>
      </c>
      <c r="R47679" s="36" t="s">
        <v>48</v>
      </c>
    </row>
    <row r="47680">
      <c r="H47680" s="50"/>
      <c r="I47680" s="50"/>
      <c r="O47680" s="36" t="s">
        <v>48</v>
      </c>
      <c r="R47680" s="36" t="s">
        <v>48</v>
      </c>
    </row>
    <row r="47681">
      <c r="H47681" s="50"/>
      <c r="I47681" s="50"/>
      <c r="O47681" s="36" t="s">
        <v>48</v>
      </c>
      <c r="R47681" s="36" t="s">
        <v>48</v>
      </c>
    </row>
    <row r="47682">
      <c r="H47682" s="50"/>
      <c r="I47682" s="50"/>
      <c r="O47682" s="36" t="s">
        <v>48</v>
      </c>
      <c r="R47682" s="36" t="s">
        <v>48</v>
      </c>
    </row>
    <row r="47683">
      <c r="H47683" s="50"/>
      <c r="I47683" s="50"/>
      <c r="O47683" s="36" t="s">
        <v>48</v>
      </c>
      <c r="R47683" s="36" t="s">
        <v>48</v>
      </c>
    </row>
    <row r="47684">
      <c r="H47684" s="50"/>
      <c r="I47684" s="50"/>
      <c r="O47684" s="36" t="s">
        <v>48</v>
      </c>
      <c r="R47684" s="36" t="s">
        <v>48</v>
      </c>
    </row>
    <row r="47685">
      <c r="H47685" s="50"/>
      <c r="I47685" s="50"/>
      <c r="O47685" s="36" t="s">
        <v>48</v>
      </c>
      <c r="R47685" s="36" t="s">
        <v>48</v>
      </c>
    </row>
    <row r="47686">
      <c r="H47686" s="50"/>
      <c r="I47686" s="50"/>
      <c r="O47686" s="36" t="s">
        <v>48</v>
      </c>
      <c r="R47686" s="36" t="s">
        <v>48</v>
      </c>
    </row>
    <row r="47687">
      <c r="H47687" s="50"/>
      <c r="I47687" s="50"/>
      <c r="O47687" s="36" t="s">
        <v>48</v>
      </c>
      <c r="R47687" s="36" t="s">
        <v>48</v>
      </c>
    </row>
    <row r="47688">
      <c r="H47688" s="50"/>
      <c r="I47688" s="50"/>
      <c r="O47688" s="36" t="s">
        <v>48</v>
      </c>
      <c r="R47688" s="36" t="s">
        <v>48</v>
      </c>
    </row>
    <row r="47689">
      <c r="H47689" s="50"/>
      <c r="I47689" s="50"/>
      <c r="O47689" s="36" t="s">
        <v>48</v>
      </c>
      <c r="R47689" s="36" t="s">
        <v>48</v>
      </c>
    </row>
    <row r="47690">
      <c r="H47690" s="50"/>
      <c r="I47690" s="50"/>
      <c r="O47690" s="36" t="s">
        <v>48</v>
      </c>
      <c r="R47690" s="36" t="s">
        <v>48</v>
      </c>
    </row>
    <row r="47691">
      <c r="H47691" s="50"/>
      <c r="I47691" s="50"/>
      <c r="O47691" s="36" t="s">
        <v>48</v>
      </c>
      <c r="R47691" s="36" t="s">
        <v>48</v>
      </c>
    </row>
    <row r="47692">
      <c r="H47692" s="50"/>
      <c r="I47692" s="50"/>
      <c r="O47692" s="36" t="s">
        <v>48</v>
      </c>
      <c r="R47692" s="36" t="s">
        <v>48</v>
      </c>
    </row>
    <row r="47693">
      <c r="H47693" s="50"/>
      <c r="I47693" s="50"/>
      <c r="O47693" s="36" t="s">
        <v>48</v>
      </c>
      <c r="R47693" s="36" t="s">
        <v>48</v>
      </c>
    </row>
    <row r="47694">
      <c r="H47694" s="50"/>
      <c r="I47694" s="50"/>
      <c r="O47694" s="36" t="s">
        <v>48</v>
      </c>
      <c r="R47694" s="36" t="s">
        <v>48</v>
      </c>
    </row>
    <row r="47695">
      <c r="H47695" s="50"/>
      <c r="I47695" s="50"/>
      <c r="O47695" s="36" t="s">
        <v>48</v>
      </c>
      <c r="R47695" s="36" t="s">
        <v>48</v>
      </c>
    </row>
    <row r="47696">
      <c r="H47696" s="50"/>
      <c r="I47696" s="50"/>
      <c r="O47696" s="36" t="s">
        <v>48</v>
      </c>
      <c r="R47696" s="36" t="s">
        <v>48</v>
      </c>
    </row>
    <row r="47697">
      <c r="H47697" s="50"/>
      <c r="I47697" s="50"/>
      <c r="O47697" s="36" t="s">
        <v>48</v>
      </c>
      <c r="R47697" s="36" t="s">
        <v>48</v>
      </c>
    </row>
    <row r="47698">
      <c r="H47698" s="50"/>
      <c r="I47698" s="50"/>
      <c r="O47698" s="36" t="s">
        <v>48</v>
      </c>
      <c r="R47698" s="36" t="s">
        <v>48</v>
      </c>
    </row>
    <row r="47699">
      <c r="H47699" s="50"/>
      <c r="I47699" s="50"/>
      <c r="O47699" s="36" t="s">
        <v>48</v>
      </c>
      <c r="R47699" s="36" t="s">
        <v>48</v>
      </c>
    </row>
    <row r="47700">
      <c r="H47700" s="50"/>
      <c r="I47700" s="50"/>
      <c r="O47700" s="36" t="s">
        <v>48</v>
      </c>
      <c r="R47700" s="36" t="s">
        <v>48</v>
      </c>
    </row>
    <row r="47701">
      <c r="H47701" s="50"/>
      <c r="I47701" s="50"/>
      <c r="O47701" s="36" t="s">
        <v>48</v>
      </c>
      <c r="R47701" s="36" t="s">
        <v>48</v>
      </c>
    </row>
    <row r="47702">
      <c r="H47702" s="50"/>
      <c r="I47702" s="50"/>
      <c r="O47702" s="36" t="s">
        <v>48</v>
      </c>
      <c r="R47702" s="36" t="s">
        <v>48</v>
      </c>
    </row>
    <row r="47703">
      <c r="H47703" s="50"/>
      <c r="I47703" s="50"/>
      <c r="O47703" s="36" t="s">
        <v>48</v>
      </c>
      <c r="R47703" s="36" t="s">
        <v>48</v>
      </c>
    </row>
    <row r="47704">
      <c r="H47704" s="50"/>
      <c r="I47704" s="50"/>
      <c r="O47704" s="36" t="s">
        <v>48</v>
      </c>
      <c r="R47704" s="36" t="s">
        <v>48</v>
      </c>
    </row>
    <row r="47705">
      <c r="H47705" s="50"/>
      <c r="I47705" s="50"/>
      <c r="O47705" s="36" t="s">
        <v>48</v>
      </c>
      <c r="R47705" s="36" t="s">
        <v>48</v>
      </c>
    </row>
    <row r="47706">
      <c r="H47706" s="50"/>
      <c r="I47706" s="50"/>
      <c r="O47706" s="36" t="s">
        <v>48</v>
      </c>
      <c r="R47706" s="36" t="s">
        <v>48</v>
      </c>
    </row>
    <row r="47707">
      <c r="H47707" s="50"/>
      <c r="I47707" s="50"/>
      <c r="O47707" s="36" t="s">
        <v>48</v>
      </c>
      <c r="R47707" s="36" t="s">
        <v>48</v>
      </c>
    </row>
    <row r="47708">
      <c r="H47708" s="50"/>
      <c r="I47708" s="50"/>
      <c r="O47708" s="36" t="s">
        <v>48</v>
      </c>
      <c r="R47708" s="36" t="s">
        <v>48</v>
      </c>
    </row>
    <row r="47709">
      <c r="H47709" s="50"/>
      <c r="I47709" s="50"/>
      <c r="O47709" s="36" t="s">
        <v>48</v>
      </c>
      <c r="R47709" s="36" t="s">
        <v>48</v>
      </c>
    </row>
    <row r="47710">
      <c r="H47710" s="50"/>
      <c r="I47710" s="50"/>
      <c r="O47710" s="36" t="s">
        <v>48</v>
      </c>
      <c r="R47710" s="36" t="s">
        <v>48</v>
      </c>
    </row>
    <row r="47711">
      <c r="H47711" s="50"/>
      <c r="I47711" s="50"/>
      <c r="O47711" s="36" t="s">
        <v>48</v>
      </c>
      <c r="R47711" s="36" t="s">
        <v>48</v>
      </c>
    </row>
    <row r="47712">
      <c r="H47712" s="50"/>
      <c r="I47712" s="50"/>
      <c r="O47712" s="36" t="s">
        <v>48</v>
      </c>
      <c r="R47712" s="36" t="s">
        <v>48</v>
      </c>
    </row>
    <row r="47713">
      <c r="H47713" s="50"/>
      <c r="I47713" s="50"/>
      <c r="O47713" s="36" t="s">
        <v>48</v>
      </c>
      <c r="R47713" s="36" t="s">
        <v>48</v>
      </c>
    </row>
    <row r="47714">
      <c r="H47714" s="50"/>
      <c r="I47714" s="50"/>
      <c r="O47714" s="36" t="s">
        <v>48</v>
      </c>
      <c r="R47714" s="36" t="s">
        <v>48</v>
      </c>
    </row>
    <row r="47715">
      <c r="H47715" s="50"/>
      <c r="I47715" s="50"/>
      <c r="O47715" s="36" t="s">
        <v>48</v>
      </c>
      <c r="R47715" s="36" t="s">
        <v>48</v>
      </c>
    </row>
    <row r="47716">
      <c r="H47716" s="50"/>
      <c r="I47716" s="50"/>
      <c r="O47716" s="36" t="s">
        <v>48</v>
      </c>
      <c r="R47716" s="36" t="s">
        <v>48</v>
      </c>
    </row>
    <row r="47717">
      <c r="H47717" s="50"/>
      <c r="I47717" s="50"/>
      <c r="O47717" s="36" t="s">
        <v>48</v>
      </c>
      <c r="R47717" s="36" t="s">
        <v>48</v>
      </c>
    </row>
    <row r="47718">
      <c r="H47718" s="50"/>
      <c r="I47718" s="50"/>
      <c r="O47718" s="36" t="s">
        <v>48</v>
      </c>
      <c r="R47718" s="36" t="s">
        <v>48</v>
      </c>
    </row>
    <row r="47719">
      <c r="H47719" s="50"/>
      <c r="I47719" s="50"/>
      <c r="O47719" s="36" t="s">
        <v>48</v>
      </c>
      <c r="R47719" s="36" t="s">
        <v>48</v>
      </c>
    </row>
    <row r="47720">
      <c r="H47720" s="50"/>
      <c r="I47720" s="50"/>
      <c r="O47720" s="36" t="s">
        <v>48</v>
      </c>
      <c r="R47720" s="36" t="s">
        <v>48</v>
      </c>
    </row>
    <row r="47721">
      <c r="H47721" s="50"/>
      <c r="I47721" s="50"/>
      <c r="O47721" s="36" t="s">
        <v>48</v>
      </c>
      <c r="R47721" s="36" t="s">
        <v>48</v>
      </c>
    </row>
    <row r="47722">
      <c r="H47722" s="50"/>
      <c r="I47722" s="50"/>
      <c r="O47722" s="36" t="s">
        <v>48</v>
      </c>
      <c r="R47722" s="36" t="s">
        <v>48</v>
      </c>
    </row>
    <row r="47723">
      <c r="H47723" s="50"/>
      <c r="I47723" s="50"/>
      <c r="O47723" s="36" t="s">
        <v>48</v>
      </c>
      <c r="R47723" s="36" t="s">
        <v>48</v>
      </c>
    </row>
    <row r="47724">
      <c r="H47724" s="50"/>
      <c r="I47724" s="50"/>
      <c r="O47724" s="36" t="s">
        <v>48</v>
      </c>
      <c r="R47724" s="36" t="s">
        <v>48</v>
      </c>
    </row>
    <row r="47725">
      <c r="H47725" s="50"/>
      <c r="I47725" s="50"/>
      <c r="O47725" s="36" t="s">
        <v>48</v>
      </c>
      <c r="R47725" s="36" t="s">
        <v>48</v>
      </c>
    </row>
    <row r="47726">
      <c r="H47726" s="50"/>
      <c r="I47726" s="50"/>
      <c r="O47726" s="36" t="s">
        <v>48</v>
      </c>
      <c r="R47726" s="36" t="s">
        <v>48</v>
      </c>
    </row>
    <row r="47727">
      <c r="H47727" s="50"/>
      <c r="I47727" s="50"/>
      <c r="O47727" s="36" t="s">
        <v>48</v>
      </c>
      <c r="R47727" s="36" t="s">
        <v>48</v>
      </c>
    </row>
    <row r="47728">
      <c r="H47728" s="50"/>
      <c r="I47728" s="50"/>
      <c r="O47728" s="36" t="s">
        <v>48</v>
      </c>
      <c r="R47728" s="36" t="s">
        <v>48</v>
      </c>
    </row>
    <row r="47729">
      <c r="H47729" s="50"/>
      <c r="I47729" s="50"/>
      <c r="O47729" s="36" t="s">
        <v>48</v>
      </c>
      <c r="R47729" s="36" t="s">
        <v>48</v>
      </c>
    </row>
    <row r="47730">
      <c r="H47730" s="50"/>
      <c r="I47730" s="50"/>
      <c r="O47730" s="36" t="s">
        <v>48</v>
      </c>
      <c r="R47730" s="36" t="s">
        <v>48</v>
      </c>
    </row>
    <row r="47731">
      <c r="H47731" s="50"/>
      <c r="I47731" s="50"/>
      <c r="O47731" s="36" t="s">
        <v>48</v>
      </c>
      <c r="R47731" s="36" t="s">
        <v>48</v>
      </c>
    </row>
    <row r="47732">
      <c r="H47732" s="50"/>
      <c r="I47732" s="50"/>
      <c r="O47732" s="36" t="s">
        <v>48</v>
      </c>
      <c r="R47732" s="36" t="s">
        <v>48</v>
      </c>
    </row>
    <row r="47733">
      <c r="H47733" s="50"/>
      <c r="I47733" s="50"/>
      <c r="O47733" s="36" t="s">
        <v>48</v>
      </c>
      <c r="R47733" s="36" t="s">
        <v>48</v>
      </c>
    </row>
    <row r="47734">
      <c r="H47734" s="50"/>
      <c r="I47734" s="50"/>
      <c r="O47734" s="36" t="s">
        <v>48</v>
      </c>
      <c r="R47734" s="36" t="s">
        <v>48</v>
      </c>
    </row>
    <row r="47735">
      <c r="H47735" s="50"/>
      <c r="I47735" s="50"/>
      <c r="O47735" s="36" t="s">
        <v>48</v>
      </c>
      <c r="R47735" s="36" t="s">
        <v>48</v>
      </c>
    </row>
    <row r="47736">
      <c r="H47736" s="50"/>
      <c r="I47736" s="50"/>
      <c r="O47736" s="36" t="s">
        <v>48</v>
      </c>
      <c r="R47736" s="36" t="s">
        <v>48</v>
      </c>
    </row>
    <row r="47737">
      <c r="H47737" s="50"/>
      <c r="I47737" s="50"/>
      <c r="O47737" s="36" t="s">
        <v>48</v>
      </c>
      <c r="R47737" s="36" t="s">
        <v>48</v>
      </c>
    </row>
    <row r="47738">
      <c r="H47738" s="50"/>
      <c r="I47738" s="50"/>
      <c r="O47738" s="36" t="s">
        <v>48</v>
      </c>
      <c r="R47738" s="36" t="s">
        <v>48</v>
      </c>
    </row>
    <row r="47739">
      <c r="H47739" s="50"/>
      <c r="I47739" s="50"/>
      <c r="O47739" s="36" t="s">
        <v>48</v>
      </c>
      <c r="R47739" s="36" t="s">
        <v>48</v>
      </c>
    </row>
    <row r="47740">
      <c r="H47740" s="50"/>
      <c r="I47740" s="50"/>
      <c r="O47740" s="36" t="s">
        <v>48</v>
      </c>
      <c r="R47740" s="36" t="s">
        <v>48</v>
      </c>
    </row>
    <row r="47741">
      <c r="H47741" s="50"/>
      <c r="I47741" s="50"/>
      <c r="O47741" s="36" t="s">
        <v>48</v>
      </c>
      <c r="R47741" s="36" t="s">
        <v>48</v>
      </c>
    </row>
    <row r="47742">
      <c r="H47742" s="50"/>
      <c r="I47742" s="50"/>
      <c r="O47742" s="36" t="s">
        <v>48</v>
      </c>
      <c r="R47742" s="36" t="s">
        <v>48</v>
      </c>
    </row>
    <row r="47743">
      <c r="H47743" s="50"/>
      <c r="I47743" s="50"/>
      <c r="O47743" s="36" t="s">
        <v>48</v>
      </c>
      <c r="R47743" s="36" t="s">
        <v>48</v>
      </c>
    </row>
    <row r="47744">
      <c r="H47744" s="50"/>
      <c r="I47744" s="50"/>
      <c r="O47744" s="36" t="s">
        <v>48</v>
      </c>
      <c r="R47744" s="36" t="s">
        <v>48</v>
      </c>
    </row>
    <row r="47745">
      <c r="H47745" s="50"/>
      <c r="I47745" s="50"/>
      <c r="O47745" s="36" t="s">
        <v>48</v>
      </c>
      <c r="R47745" s="36" t="s">
        <v>48</v>
      </c>
    </row>
    <row r="47746">
      <c r="H47746" s="50"/>
      <c r="I47746" s="50"/>
      <c r="O47746" s="36" t="s">
        <v>48</v>
      </c>
      <c r="R47746" s="36" t="s">
        <v>48</v>
      </c>
    </row>
    <row r="47747">
      <c r="H47747" s="50"/>
      <c r="I47747" s="50"/>
      <c r="O47747" s="36" t="s">
        <v>48</v>
      </c>
      <c r="R47747" s="36" t="s">
        <v>48</v>
      </c>
    </row>
    <row r="47748">
      <c r="H47748" s="50"/>
      <c r="I47748" s="50"/>
      <c r="O47748" s="36" t="s">
        <v>48</v>
      </c>
      <c r="R47748" s="36" t="s">
        <v>48</v>
      </c>
    </row>
    <row r="47749">
      <c r="H47749" s="50"/>
      <c r="I47749" s="50"/>
      <c r="O47749" s="36" t="s">
        <v>48</v>
      </c>
      <c r="R47749" s="36" t="s">
        <v>48</v>
      </c>
    </row>
    <row r="47750">
      <c r="H47750" s="50"/>
      <c r="I47750" s="50"/>
      <c r="O47750" s="36" t="s">
        <v>48</v>
      </c>
      <c r="R47750" s="36" t="s">
        <v>48</v>
      </c>
    </row>
    <row r="47751">
      <c r="H47751" s="50"/>
      <c r="I47751" s="50"/>
      <c r="O47751" s="36" t="s">
        <v>48</v>
      </c>
      <c r="R47751" s="36" t="s">
        <v>48</v>
      </c>
    </row>
    <row r="47752">
      <c r="H47752" s="50"/>
      <c r="I47752" s="50"/>
      <c r="O47752" s="36" t="s">
        <v>48</v>
      </c>
      <c r="R47752" s="36" t="s">
        <v>48</v>
      </c>
    </row>
    <row r="47753">
      <c r="H47753" s="50"/>
      <c r="I47753" s="50"/>
      <c r="O47753" s="36" t="s">
        <v>48</v>
      </c>
      <c r="R47753" s="36" t="s">
        <v>48</v>
      </c>
    </row>
    <row r="47754">
      <c r="H47754" s="50"/>
      <c r="I47754" s="50"/>
      <c r="O47754" s="36" t="s">
        <v>48</v>
      </c>
      <c r="R47754" s="36" t="s">
        <v>48</v>
      </c>
    </row>
    <row r="47755">
      <c r="H47755" s="50"/>
      <c r="I47755" s="50"/>
      <c r="O47755" s="36" t="s">
        <v>48</v>
      </c>
      <c r="R47755" s="36" t="s">
        <v>48</v>
      </c>
    </row>
    <row r="47756">
      <c r="H47756" s="50"/>
      <c r="I47756" s="50"/>
      <c r="O47756" s="36" t="s">
        <v>48</v>
      </c>
      <c r="R47756" s="36" t="s">
        <v>48</v>
      </c>
    </row>
    <row r="47757">
      <c r="H47757" s="50"/>
      <c r="I47757" s="50"/>
      <c r="O47757" s="36" t="s">
        <v>48</v>
      </c>
      <c r="R47757" s="36" t="s">
        <v>48</v>
      </c>
    </row>
    <row r="47758">
      <c r="H47758" s="50"/>
      <c r="I47758" s="50"/>
      <c r="O47758" s="36" t="s">
        <v>48</v>
      </c>
      <c r="R47758" s="36" t="s">
        <v>48</v>
      </c>
    </row>
    <row r="47759">
      <c r="H47759" s="50"/>
      <c r="I47759" s="50"/>
      <c r="O47759" s="36" t="s">
        <v>48</v>
      </c>
      <c r="R47759" s="36" t="s">
        <v>48</v>
      </c>
    </row>
    <row r="47760">
      <c r="H47760" s="50"/>
      <c r="I47760" s="50"/>
      <c r="O47760" s="36" t="s">
        <v>48</v>
      </c>
      <c r="R47760" s="36" t="s">
        <v>48</v>
      </c>
    </row>
    <row r="47761">
      <c r="H47761" s="50"/>
      <c r="I47761" s="50"/>
      <c r="O47761" s="36" t="s">
        <v>48</v>
      </c>
      <c r="R47761" s="36" t="s">
        <v>48</v>
      </c>
    </row>
    <row r="47762">
      <c r="H47762" s="50"/>
      <c r="I47762" s="50"/>
      <c r="O47762" s="36" t="s">
        <v>48</v>
      </c>
      <c r="R47762" s="36" t="s">
        <v>48</v>
      </c>
    </row>
    <row r="47763">
      <c r="H47763" s="50"/>
      <c r="I47763" s="50"/>
      <c r="O47763" s="36" t="s">
        <v>48</v>
      </c>
      <c r="R47763" s="36" t="s">
        <v>48</v>
      </c>
    </row>
    <row r="47764">
      <c r="H47764" s="50"/>
      <c r="I47764" s="50"/>
      <c r="O47764" s="36" t="s">
        <v>48</v>
      </c>
      <c r="R47764" s="36" t="s">
        <v>48</v>
      </c>
    </row>
    <row r="47765">
      <c r="H47765" s="50"/>
      <c r="I47765" s="50"/>
      <c r="O47765" s="36" t="s">
        <v>48</v>
      </c>
      <c r="R47765" s="36" t="s">
        <v>48</v>
      </c>
    </row>
    <row r="47766">
      <c r="H47766" s="50"/>
      <c r="I47766" s="50"/>
      <c r="O47766" s="36" t="s">
        <v>48</v>
      </c>
      <c r="R47766" s="36" t="s">
        <v>48</v>
      </c>
    </row>
    <row r="47767">
      <c r="H47767" s="50"/>
      <c r="I47767" s="50"/>
      <c r="O47767" s="36" t="s">
        <v>48</v>
      </c>
      <c r="R47767" s="36" t="s">
        <v>48</v>
      </c>
    </row>
    <row r="47768">
      <c r="H47768" s="50"/>
      <c r="I47768" s="50"/>
      <c r="O47768" s="36" t="s">
        <v>48</v>
      </c>
      <c r="R47768" s="36" t="s">
        <v>48</v>
      </c>
    </row>
    <row r="47769">
      <c r="H47769" s="50"/>
      <c r="I47769" s="50"/>
      <c r="O47769" s="36" t="s">
        <v>48</v>
      </c>
      <c r="R47769" s="36" t="s">
        <v>48</v>
      </c>
    </row>
    <row r="47770">
      <c r="H47770" s="50"/>
      <c r="I47770" s="50"/>
      <c r="O47770" s="36" t="s">
        <v>48</v>
      </c>
      <c r="R47770" s="36" t="s">
        <v>48</v>
      </c>
    </row>
    <row r="47771">
      <c r="H47771" s="50"/>
      <c r="I47771" s="50"/>
      <c r="O47771" s="36" t="s">
        <v>48</v>
      </c>
      <c r="R47771" s="36" t="s">
        <v>48</v>
      </c>
    </row>
    <row r="47772">
      <c r="H47772" s="50"/>
      <c r="I47772" s="50"/>
      <c r="O47772" s="36" t="s">
        <v>48</v>
      </c>
      <c r="R47772" s="36" t="s">
        <v>48</v>
      </c>
    </row>
    <row r="47773">
      <c r="H47773" s="50"/>
      <c r="I47773" s="50"/>
      <c r="O47773" s="36" t="s">
        <v>48</v>
      </c>
      <c r="R47773" s="36" t="s">
        <v>48</v>
      </c>
    </row>
    <row r="47774">
      <c r="H47774" s="50"/>
      <c r="I47774" s="50"/>
      <c r="O47774" s="36" t="s">
        <v>48</v>
      </c>
      <c r="R47774" s="36" t="s">
        <v>48</v>
      </c>
    </row>
    <row r="47775">
      <c r="H47775" s="50"/>
      <c r="I47775" s="50"/>
      <c r="O47775" s="36" t="s">
        <v>48</v>
      </c>
      <c r="R47775" s="36" t="s">
        <v>48</v>
      </c>
    </row>
    <row r="47776">
      <c r="H47776" s="50"/>
      <c r="I47776" s="50"/>
      <c r="O47776" s="36" t="s">
        <v>48</v>
      </c>
      <c r="R47776" s="36" t="s">
        <v>48</v>
      </c>
    </row>
    <row r="47777">
      <c r="H47777" s="50"/>
      <c r="I47777" s="50"/>
      <c r="O47777" s="36" t="s">
        <v>48</v>
      </c>
      <c r="R47777" s="36" t="s">
        <v>48</v>
      </c>
    </row>
    <row r="47778">
      <c r="H47778" s="50"/>
      <c r="I47778" s="50"/>
      <c r="O47778" s="36" t="s">
        <v>48</v>
      </c>
      <c r="R47778" s="36" t="s">
        <v>48</v>
      </c>
    </row>
    <row r="47779">
      <c r="H47779" s="50"/>
      <c r="I47779" s="50"/>
      <c r="O47779" s="36" t="s">
        <v>48</v>
      </c>
      <c r="R47779" s="36" t="s">
        <v>48</v>
      </c>
    </row>
    <row r="47780">
      <c r="H47780" s="50"/>
      <c r="I47780" s="50"/>
      <c r="O47780" s="36" t="s">
        <v>48</v>
      </c>
      <c r="R47780" s="36" t="s">
        <v>48</v>
      </c>
    </row>
    <row r="47781">
      <c r="H47781" s="50"/>
      <c r="I47781" s="50"/>
      <c r="O47781" s="36" t="s">
        <v>48</v>
      </c>
      <c r="R47781" s="36" t="s">
        <v>48</v>
      </c>
    </row>
    <row r="47782">
      <c r="H47782" s="50"/>
      <c r="I47782" s="50"/>
      <c r="O47782" s="36" t="s">
        <v>48</v>
      </c>
      <c r="R47782" s="36" t="s">
        <v>48</v>
      </c>
    </row>
    <row r="47783">
      <c r="H47783" s="50"/>
      <c r="I47783" s="50"/>
      <c r="O47783" s="36" t="s">
        <v>48</v>
      </c>
      <c r="R47783" s="36" t="s">
        <v>48</v>
      </c>
    </row>
    <row r="47784">
      <c r="H47784" s="50"/>
      <c r="I47784" s="50"/>
      <c r="O47784" s="36" t="s">
        <v>48</v>
      </c>
      <c r="R47784" s="36" t="s">
        <v>48</v>
      </c>
    </row>
    <row r="47785">
      <c r="H47785" s="50"/>
      <c r="I47785" s="50"/>
      <c r="O47785" s="36" t="s">
        <v>48</v>
      </c>
      <c r="R47785" s="36" t="s">
        <v>48</v>
      </c>
    </row>
    <row r="47786">
      <c r="H47786" s="50"/>
      <c r="I47786" s="50"/>
      <c r="O47786" s="36" t="s">
        <v>48</v>
      </c>
      <c r="R47786" s="36" t="s">
        <v>48</v>
      </c>
    </row>
    <row r="47787">
      <c r="H47787" s="50"/>
      <c r="I47787" s="50"/>
      <c r="O47787" s="36" t="s">
        <v>48</v>
      </c>
      <c r="R47787" s="36" t="s">
        <v>48</v>
      </c>
    </row>
    <row r="47788">
      <c r="H47788" s="50"/>
      <c r="I47788" s="50"/>
      <c r="O47788" s="36" t="s">
        <v>48</v>
      </c>
      <c r="R47788" s="36" t="s">
        <v>48</v>
      </c>
    </row>
    <row r="47789">
      <c r="H47789" s="50"/>
      <c r="I47789" s="50"/>
      <c r="O47789" s="36" t="s">
        <v>48</v>
      </c>
      <c r="R47789" s="36" t="s">
        <v>48</v>
      </c>
    </row>
    <row r="47790">
      <c r="H47790" s="50"/>
      <c r="I47790" s="50"/>
      <c r="O47790" s="36" t="s">
        <v>48</v>
      </c>
      <c r="R47790" s="36" t="s">
        <v>48</v>
      </c>
    </row>
    <row r="47791">
      <c r="H47791" s="50"/>
      <c r="I47791" s="50"/>
      <c r="O47791" s="36" t="s">
        <v>48</v>
      </c>
      <c r="R47791" s="36" t="s">
        <v>48</v>
      </c>
    </row>
    <row r="47792">
      <c r="H47792" s="50"/>
      <c r="I47792" s="50"/>
      <c r="O47792" s="36" t="s">
        <v>48</v>
      </c>
      <c r="R47792" s="36" t="s">
        <v>48</v>
      </c>
    </row>
    <row r="47793">
      <c r="H47793" s="50"/>
      <c r="I47793" s="50"/>
      <c r="O47793" s="36" t="s">
        <v>48</v>
      </c>
      <c r="R47793" s="36" t="s">
        <v>48</v>
      </c>
    </row>
    <row r="47794">
      <c r="H47794" s="50"/>
      <c r="I47794" s="50"/>
      <c r="O47794" s="36" t="s">
        <v>48</v>
      </c>
      <c r="R47794" s="36" t="s">
        <v>48</v>
      </c>
    </row>
    <row r="47795">
      <c r="H47795" s="50"/>
      <c r="I47795" s="50"/>
      <c r="O47795" s="36" t="s">
        <v>48</v>
      </c>
      <c r="R47795" s="36" t="s">
        <v>48</v>
      </c>
    </row>
    <row r="47796">
      <c r="H47796" s="50"/>
      <c r="I47796" s="50"/>
      <c r="O47796" s="36" t="s">
        <v>48</v>
      </c>
      <c r="R47796" s="36" t="s">
        <v>48</v>
      </c>
    </row>
    <row r="47797">
      <c r="H47797" s="50"/>
      <c r="I47797" s="50"/>
      <c r="O47797" s="36" t="s">
        <v>48</v>
      </c>
      <c r="R47797" s="36" t="s">
        <v>48</v>
      </c>
    </row>
    <row r="47798">
      <c r="H47798" s="50"/>
      <c r="I47798" s="50"/>
      <c r="O47798" s="36" t="s">
        <v>48</v>
      </c>
      <c r="R47798" s="36" t="s">
        <v>48</v>
      </c>
    </row>
    <row r="47799">
      <c r="H47799" s="50"/>
      <c r="I47799" s="50"/>
      <c r="O47799" s="36" t="s">
        <v>48</v>
      </c>
      <c r="R47799" s="36" t="s">
        <v>48</v>
      </c>
    </row>
    <row r="47800">
      <c r="H47800" s="50"/>
      <c r="I47800" s="50"/>
      <c r="O47800" s="36" t="s">
        <v>48</v>
      </c>
      <c r="R47800" s="36" t="s">
        <v>48</v>
      </c>
    </row>
    <row r="47801">
      <c r="H47801" s="50"/>
      <c r="I47801" s="50"/>
      <c r="O47801" s="36" t="s">
        <v>48</v>
      </c>
      <c r="R47801" s="36" t="s">
        <v>48</v>
      </c>
    </row>
    <row r="47802">
      <c r="H47802" s="50"/>
      <c r="I47802" s="50"/>
      <c r="O47802" s="36" t="s">
        <v>48</v>
      </c>
      <c r="R47802" s="36" t="s">
        <v>48</v>
      </c>
    </row>
    <row r="47803">
      <c r="H47803" s="50"/>
      <c r="I47803" s="50"/>
      <c r="O47803" s="36" t="s">
        <v>48</v>
      </c>
      <c r="R47803" s="36" t="s">
        <v>48</v>
      </c>
    </row>
    <row r="47804">
      <c r="H47804" s="50"/>
      <c r="I47804" s="50"/>
      <c r="O47804" s="36" t="s">
        <v>48</v>
      </c>
      <c r="R47804" s="36" t="s">
        <v>48</v>
      </c>
    </row>
    <row r="47805">
      <c r="H47805" s="50"/>
      <c r="I47805" s="50"/>
      <c r="O47805" s="36" t="s">
        <v>48</v>
      </c>
      <c r="R47805" s="36" t="s">
        <v>48</v>
      </c>
    </row>
    <row r="47806">
      <c r="H47806" s="50"/>
      <c r="I47806" s="50"/>
      <c r="O47806" s="36" t="s">
        <v>48</v>
      </c>
      <c r="R47806" s="36" t="s">
        <v>48</v>
      </c>
    </row>
    <row r="47807">
      <c r="H47807" s="50"/>
      <c r="I47807" s="50"/>
      <c r="O47807" s="36" t="s">
        <v>48</v>
      </c>
      <c r="R47807" s="36" t="s">
        <v>48</v>
      </c>
    </row>
    <row r="47808">
      <c r="H47808" s="50"/>
      <c r="I47808" s="50"/>
      <c r="O47808" s="36" t="s">
        <v>48</v>
      </c>
      <c r="R47808" s="36" t="s">
        <v>48</v>
      </c>
    </row>
    <row r="47809">
      <c r="H47809" s="50"/>
      <c r="I47809" s="50"/>
      <c r="O47809" s="36" t="s">
        <v>48</v>
      </c>
      <c r="R47809" s="36" t="s">
        <v>48</v>
      </c>
    </row>
    <row r="47810">
      <c r="H47810" s="50"/>
      <c r="I47810" s="50"/>
      <c r="O47810" s="36" t="s">
        <v>48</v>
      </c>
      <c r="R47810" s="36" t="s">
        <v>48</v>
      </c>
    </row>
    <row r="47811">
      <c r="H47811" s="50"/>
      <c r="I47811" s="50"/>
      <c r="O47811" s="36" t="s">
        <v>48</v>
      </c>
      <c r="R47811" s="36" t="s">
        <v>48</v>
      </c>
    </row>
    <row r="47812">
      <c r="H47812" s="50"/>
      <c r="I47812" s="50"/>
      <c r="O47812" s="36" t="s">
        <v>48</v>
      </c>
      <c r="R47812" s="36" t="s">
        <v>48</v>
      </c>
    </row>
    <row r="47813">
      <c r="H47813" s="50"/>
      <c r="I47813" s="50"/>
      <c r="O47813" s="36" t="s">
        <v>48</v>
      </c>
      <c r="R47813" s="36" t="s">
        <v>48</v>
      </c>
    </row>
    <row r="47814">
      <c r="H47814" s="50"/>
      <c r="I47814" s="50"/>
      <c r="O47814" s="36" t="s">
        <v>48</v>
      </c>
      <c r="R47814" s="36" t="s">
        <v>48</v>
      </c>
    </row>
    <row r="47815">
      <c r="H47815" s="50"/>
      <c r="I47815" s="50"/>
      <c r="O47815" s="36" t="s">
        <v>48</v>
      </c>
      <c r="R47815" s="36" t="s">
        <v>48</v>
      </c>
    </row>
    <row r="47816">
      <c r="H47816" s="50"/>
      <c r="I47816" s="50"/>
      <c r="O47816" s="36" t="s">
        <v>48</v>
      </c>
      <c r="R47816" s="36" t="s">
        <v>48</v>
      </c>
    </row>
    <row r="47817">
      <c r="H47817" s="50"/>
      <c r="I47817" s="50"/>
      <c r="O47817" s="36" t="s">
        <v>48</v>
      </c>
      <c r="R47817" s="36" t="s">
        <v>48</v>
      </c>
    </row>
    <row r="47818">
      <c r="H47818" s="50"/>
      <c r="I47818" s="50"/>
      <c r="O47818" s="36" t="s">
        <v>48</v>
      </c>
      <c r="R47818" s="36" t="s">
        <v>48</v>
      </c>
    </row>
    <row r="47819">
      <c r="H47819" s="50"/>
      <c r="I47819" s="50"/>
      <c r="O47819" s="36" t="s">
        <v>48</v>
      </c>
      <c r="R47819" s="36" t="s">
        <v>48</v>
      </c>
    </row>
    <row r="47820">
      <c r="H47820" s="50"/>
      <c r="I47820" s="50"/>
      <c r="O47820" s="36" t="s">
        <v>48</v>
      </c>
      <c r="R47820" s="36" t="s">
        <v>48</v>
      </c>
    </row>
    <row r="47821">
      <c r="H47821" s="50"/>
      <c r="I47821" s="50"/>
      <c r="O47821" s="36" t="s">
        <v>48</v>
      </c>
      <c r="R47821" s="36" t="s">
        <v>48</v>
      </c>
    </row>
    <row r="47822">
      <c r="H47822" s="50"/>
      <c r="I47822" s="50"/>
      <c r="O47822" s="36" t="s">
        <v>48</v>
      </c>
      <c r="R47822" s="36" t="s">
        <v>48</v>
      </c>
    </row>
    <row r="47823">
      <c r="H47823" s="50"/>
      <c r="I47823" s="50"/>
      <c r="O47823" s="36" t="s">
        <v>48</v>
      </c>
      <c r="R47823" s="36" t="s">
        <v>48</v>
      </c>
    </row>
    <row r="47824">
      <c r="H47824" s="50"/>
      <c r="I47824" s="50"/>
      <c r="O47824" s="36" t="s">
        <v>48</v>
      </c>
      <c r="R47824" s="36" t="s">
        <v>48</v>
      </c>
    </row>
    <row r="47825">
      <c r="H47825" s="50"/>
      <c r="I47825" s="50"/>
      <c r="O47825" s="36" t="s">
        <v>48</v>
      </c>
      <c r="R47825" s="36" t="s">
        <v>48</v>
      </c>
    </row>
    <row r="47826">
      <c r="H47826" s="50"/>
      <c r="I47826" s="50"/>
      <c r="O47826" s="36" t="s">
        <v>48</v>
      </c>
      <c r="R47826" s="36" t="s">
        <v>48</v>
      </c>
    </row>
    <row r="47827">
      <c r="H47827" s="50"/>
      <c r="I47827" s="50"/>
      <c r="O47827" s="36" t="s">
        <v>48</v>
      </c>
      <c r="R47827" s="36" t="s">
        <v>48</v>
      </c>
    </row>
    <row r="47828">
      <c r="H47828" s="50"/>
      <c r="I47828" s="50"/>
      <c r="O47828" s="36" t="s">
        <v>48</v>
      </c>
      <c r="R47828" s="36" t="s">
        <v>48</v>
      </c>
    </row>
    <row r="47829">
      <c r="H47829" s="50"/>
      <c r="I47829" s="50"/>
      <c r="O47829" s="36" t="s">
        <v>48</v>
      </c>
      <c r="R47829" s="36" t="s">
        <v>48</v>
      </c>
    </row>
    <row r="47830">
      <c r="H47830" s="50"/>
      <c r="I47830" s="50"/>
      <c r="O47830" s="36" t="s">
        <v>48</v>
      </c>
      <c r="R47830" s="36" t="s">
        <v>48</v>
      </c>
    </row>
    <row r="47831">
      <c r="H47831" s="50"/>
      <c r="I47831" s="50"/>
      <c r="O47831" s="36" t="s">
        <v>48</v>
      </c>
      <c r="R47831" s="36" t="s">
        <v>48</v>
      </c>
    </row>
    <row r="47832">
      <c r="H47832" s="50"/>
      <c r="I47832" s="50"/>
      <c r="O47832" s="36" t="s">
        <v>48</v>
      </c>
      <c r="R47832" s="36" t="s">
        <v>48</v>
      </c>
    </row>
    <row r="47833">
      <c r="H47833" s="50"/>
      <c r="I47833" s="50"/>
      <c r="O47833" s="36" t="s">
        <v>48</v>
      </c>
      <c r="R47833" s="36" t="s">
        <v>48</v>
      </c>
    </row>
    <row r="47834">
      <c r="H47834" s="50"/>
      <c r="I47834" s="50"/>
      <c r="O47834" s="36" t="s">
        <v>48</v>
      </c>
      <c r="R47834" s="36" t="s">
        <v>48</v>
      </c>
    </row>
    <row r="47835">
      <c r="H47835" s="50"/>
      <c r="I47835" s="50"/>
      <c r="O47835" s="36" t="s">
        <v>48</v>
      </c>
      <c r="R47835" s="36" t="s">
        <v>48</v>
      </c>
    </row>
    <row r="47836">
      <c r="H47836" s="50"/>
      <c r="I47836" s="50"/>
      <c r="O47836" s="36" t="s">
        <v>48</v>
      </c>
      <c r="R47836" s="36" t="s">
        <v>48</v>
      </c>
    </row>
    <row r="47837">
      <c r="H47837" s="50"/>
      <c r="I47837" s="50"/>
      <c r="O47837" s="36" t="s">
        <v>48</v>
      </c>
      <c r="R47837" s="36" t="s">
        <v>48</v>
      </c>
    </row>
    <row r="47838">
      <c r="H47838" s="50"/>
      <c r="I47838" s="50"/>
      <c r="O47838" s="36" t="s">
        <v>48</v>
      </c>
      <c r="R47838" s="36" t="s">
        <v>48</v>
      </c>
    </row>
    <row r="47839">
      <c r="H47839" s="50"/>
      <c r="I47839" s="50"/>
      <c r="O47839" s="36" t="s">
        <v>48</v>
      </c>
      <c r="R47839" s="36" t="s">
        <v>48</v>
      </c>
    </row>
    <row r="47840">
      <c r="H47840" s="50"/>
      <c r="I47840" s="50"/>
      <c r="O47840" s="36" t="s">
        <v>48</v>
      </c>
      <c r="R47840" s="36" t="s">
        <v>48</v>
      </c>
    </row>
    <row r="47841">
      <c r="H47841" s="50"/>
      <c r="I47841" s="50"/>
      <c r="O47841" s="36" t="s">
        <v>48</v>
      </c>
      <c r="R47841" s="36" t="s">
        <v>48</v>
      </c>
    </row>
    <row r="47842">
      <c r="H47842" s="50"/>
      <c r="I47842" s="50"/>
      <c r="O47842" s="36" t="s">
        <v>48</v>
      </c>
      <c r="R47842" s="36" t="s">
        <v>48</v>
      </c>
    </row>
    <row r="47843">
      <c r="H47843" s="50"/>
      <c r="I47843" s="50"/>
      <c r="O47843" s="36" t="s">
        <v>48</v>
      </c>
      <c r="R47843" s="36" t="s">
        <v>48</v>
      </c>
    </row>
    <row r="47844">
      <c r="H47844" s="50"/>
      <c r="I47844" s="50"/>
      <c r="O47844" s="36" t="s">
        <v>48</v>
      </c>
      <c r="R47844" s="36" t="s">
        <v>48</v>
      </c>
    </row>
    <row r="47845">
      <c r="H47845" s="50"/>
      <c r="I47845" s="50"/>
      <c r="O47845" s="36" t="s">
        <v>48</v>
      </c>
      <c r="R47845" s="36" t="s">
        <v>48</v>
      </c>
    </row>
    <row r="47846">
      <c r="H47846" s="50"/>
      <c r="I47846" s="50"/>
      <c r="O47846" s="36" t="s">
        <v>48</v>
      </c>
      <c r="R47846" s="36" t="s">
        <v>48</v>
      </c>
    </row>
    <row r="47847">
      <c r="H47847" s="50"/>
      <c r="I47847" s="50"/>
      <c r="O47847" s="36" t="s">
        <v>48</v>
      </c>
      <c r="R47847" s="36" t="s">
        <v>48</v>
      </c>
    </row>
    <row r="47848">
      <c r="H47848" s="50"/>
      <c r="I47848" s="50"/>
      <c r="O47848" s="36" t="s">
        <v>48</v>
      </c>
      <c r="R47848" s="36" t="s">
        <v>48</v>
      </c>
    </row>
    <row r="47849">
      <c r="H47849" s="50"/>
      <c r="I47849" s="50"/>
      <c r="O47849" s="36" t="s">
        <v>48</v>
      </c>
      <c r="R47849" s="36" t="s">
        <v>48</v>
      </c>
    </row>
    <row r="47850">
      <c r="H47850" s="50"/>
      <c r="I47850" s="50"/>
      <c r="O47850" s="36" t="s">
        <v>48</v>
      </c>
      <c r="R47850" s="36" t="s">
        <v>48</v>
      </c>
    </row>
    <row r="47851">
      <c r="H47851" s="50"/>
      <c r="I47851" s="50"/>
      <c r="O47851" s="36" t="s">
        <v>48</v>
      </c>
      <c r="R47851" s="36" t="s">
        <v>48</v>
      </c>
    </row>
    <row r="47852">
      <c r="H47852" s="50"/>
      <c r="I47852" s="50"/>
      <c r="O47852" s="36" t="s">
        <v>48</v>
      </c>
      <c r="R47852" s="36" t="s">
        <v>48</v>
      </c>
    </row>
    <row r="47853">
      <c r="H47853" s="50"/>
      <c r="I47853" s="50"/>
      <c r="O47853" s="36" t="s">
        <v>48</v>
      </c>
      <c r="R47853" s="36" t="s">
        <v>48</v>
      </c>
    </row>
    <row r="47854">
      <c r="H47854" s="50"/>
      <c r="I47854" s="50"/>
      <c r="O47854" s="36" t="s">
        <v>48</v>
      </c>
      <c r="R47854" s="36" t="s">
        <v>48</v>
      </c>
    </row>
    <row r="47855">
      <c r="H47855" s="50"/>
      <c r="I47855" s="50"/>
      <c r="O47855" s="36" t="s">
        <v>48</v>
      </c>
      <c r="R47855" s="36" t="s">
        <v>48</v>
      </c>
    </row>
    <row r="47856">
      <c r="H47856" s="50"/>
      <c r="I47856" s="50"/>
      <c r="O47856" s="36" t="s">
        <v>48</v>
      </c>
      <c r="R47856" s="36" t="s">
        <v>48</v>
      </c>
    </row>
    <row r="47857">
      <c r="H47857" s="50"/>
      <c r="I47857" s="50"/>
      <c r="O47857" s="36" t="s">
        <v>48</v>
      </c>
      <c r="R47857" s="36" t="s">
        <v>48</v>
      </c>
    </row>
    <row r="47858">
      <c r="H47858" s="50"/>
      <c r="I47858" s="50"/>
      <c r="O47858" s="36" t="s">
        <v>48</v>
      </c>
      <c r="R47858" s="36" t="s">
        <v>48</v>
      </c>
    </row>
    <row r="47859">
      <c r="H47859" s="50"/>
      <c r="I47859" s="50"/>
      <c r="O47859" s="36" t="s">
        <v>48</v>
      </c>
      <c r="R47859" s="36" t="s">
        <v>48</v>
      </c>
    </row>
    <row r="47860">
      <c r="H47860" s="50"/>
      <c r="I47860" s="50"/>
      <c r="O47860" s="36" t="s">
        <v>48</v>
      </c>
      <c r="R47860" s="36" t="s">
        <v>48</v>
      </c>
    </row>
    <row r="47861">
      <c r="H47861" s="50"/>
      <c r="I47861" s="50"/>
      <c r="O47861" s="36" t="s">
        <v>48</v>
      </c>
      <c r="R47861" s="36" t="s">
        <v>48</v>
      </c>
    </row>
    <row r="47862">
      <c r="H47862" s="50"/>
      <c r="I47862" s="50"/>
      <c r="O47862" s="36" t="s">
        <v>48</v>
      </c>
      <c r="R47862" s="36" t="s">
        <v>48</v>
      </c>
    </row>
    <row r="47863">
      <c r="H47863" s="50"/>
      <c r="I47863" s="50"/>
      <c r="O47863" s="36" t="s">
        <v>48</v>
      </c>
      <c r="R47863" s="36" t="s">
        <v>48</v>
      </c>
    </row>
    <row r="47864">
      <c r="H47864" s="50"/>
      <c r="I47864" s="50"/>
      <c r="O47864" s="36" t="s">
        <v>48</v>
      </c>
      <c r="R47864" s="36" t="s">
        <v>48</v>
      </c>
    </row>
    <row r="47865">
      <c r="H47865" s="50"/>
      <c r="I47865" s="50"/>
      <c r="O47865" s="36" t="s">
        <v>48</v>
      </c>
      <c r="R47865" s="36" t="s">
        <v>48</v>
      </c>
    </row>
    <row r="47866">
      <c r="H47866" s="50"/>
      <c r="I47866" s="50"/>
      <c r="O47866" s="36" t="s">
        <v>48</v>
      </c>
      <c r="R47866" s="36" t="s">
        <v>48</v>
      </c>
    </row>
    <row r="47867">
      <c r="H47867" s="50"/>
      <c r="I47867" s="50"/>
      <c r="O47867" s="36" t="s">
        <v>48</v>
      </c>
      <c r="R47867" s="36" t="s">
        <v>48</v>
      </c>
    </row>
    <row r="47868">
      <c r="H47868" s="50"/>
      <c r="I47868" s="50"/>
      <c r="O47868" s="36" t="s">
        <v>48</v>
      </c>
      <c r="R47868" s="36" t="s">
        <v>48</v>
      </c>
    </row>
    <row r="47869">
      <c r="H47869" s="50"/>
      <c r="I47869" s="50"/>
      <c r="O47869" s="36" t="s">
        <v>48</v>
      </c>
      <c r="R47869" s="36" t="s">
        <v>48</v>
      </c>
    </row>
    <row r="47870">
      <c r="H47870" s="50"/>
      <c r="I47870" s="50"/>
      <c r="O47870" s="36" t="s">
        <v>48</v>
      </c>
      <c r="R47870" s="36" t="s">
        <v>48</v>
      </c>
    </row>
    <row r="47871">
      <c r="H47871" s="50"/>
      <c r="I47871" s="50"/>
      <c r="O47871" s="36" t="s">
        <v>48</v>
      </c>
      <c r="R47871" s="36" t="s">
        <v>48</v>
      </c>
    </row>
    <row r="47872">
      <c r="H47872" s="50"/>
      <c r="I47872" s="50"/>
      <c r="O47872" s="36" t="s">
        <v>48</v>
      </c>
      <c r="R47872" s="36" t="s">
        <v>48</v>
      </c>
    </row>
    <row r="47873">
      <c r="H47873" s="50"/>
      <c r="I47873" s="50"/>
      <c r="O47873" s="36" t="s">
        <v>48</v>
      </c>
      <c r="R47873" s="36" t="s">
        <v>48</v>
      </c>
    </row>
    <row r="47874">
      <c r="H47874" s="50"/>
      <c r="I47874" s="50"/>
      <c r="O47874" s="36" t="s">
        <v>48</v>
      </c>
      <c r="R47874" s="36" t="s">
        <v>48</v>
      </c>
    </row>
    <row r="47875">
      <c r="H47875" s="50"/>
      <c r="I47875" s="50"/>
      <c r="O47875" s="36" t="s">
        <v>48</v>
      </c>
      <c r="R47875" s="36" t="s">
        <v>48</v>
      </c>
    </row>
    <row r="47876">
      <c r="H47876" s="50"/>
      <c r="I47876" s="50"/>
      <c r="O47876" s="36" t="s">
        <v>48</v>
      </c>
      <c r="R47876" s="36" t="s">
        <v>48</v>
      </c>
    </row>
    <row r="47877">
      <c r="H47877" s="50"/>
      <c r="I47877" s="50"/>
      <c r="O47877" s="36" t="s">
        <v>48</v>
      </c>
      <c r="R47877" s="36" t="s">
        <v>48</v>
      </c>
    </row>
    <row r="47878">
      <c r="H47878" s="50"/>
      <c r="I47878" s="50"/>
      <c r="O47878" s="36" t="s">
        <v>48</v>
      </c>
      <c r="R47878" s="36" t="s">
        <v>48</v>
      </c>
    </row>
    <row r="47879">
      <c r="H47879" s="50"/>
      <c r="I47879" s="50"/>
      <c r="O47879" s="36" t="s">
        <v>48</v>
      </c>
      <c r="R47879" s="36" t="s">
        <v>48</v>
      </c>
    </row>
    <row r="47880">
      <c r="H47880" s="50"/>
      <c r="I47880" s="50"/>
      <c r="O47880" s="36" t="s">
        <v>48</v>
      </c>
      <c r="R47880" s="36" t="s">
        <v>48</v>
      </c>
    </row>
    <row r="47881">
      <c r="H47881" s="50"/>
      <c r="I47881" s="50"/>
      <c r="O47881" s="36" t="s">
        <v>48</v>
      </c>
      <c r="R47881" s="36" t="s">
        <v>48</v>
      </c>
    </row>
    <row r="47882">
      <c r="H47882" s="50"/>
      <c r="I47882" s="50"/>
      <c r="O47882" s="36" t="s">
        <v>48</v>
      </c>
      <c r="R47882" s="36" t="s">
        <v>48</v>
      </c>
    </row>
    <row r="47883">
      <c r="H47883" s="50"/>
      <c r="I47883" s="50"/>
      <c r="O47883" s="36" t="s">
        <v>48</v>
      </c>
      <c r="R47883" s="36" t="s">
        <v>48</v>
      </c>
    </row>
    <row r="47884">
      <c r="H47884" s="50"/>
      <c r="I47884" s="50"/>
      <c r="O47884" s="36" t="s">
        <v>48</v>
      </c>
      <c r="R47884" s="36" t="s">
        <v>48</v>
      </c>
    </row>
    <row r="47885">
      <c r="H47885" s="50"/>
      <c r="I47885" s="50"/>
      <c r="O47885" s="36" t="s">
        <v>48</v>
      </c>
      <c r="R47885" s="36" t="s">
        <v>48</v>
      </c>
    </row>
    <row r="47886">
      <c r="H47886" s="50"/>
      <c r="I47886" s="50"/>
      <c r="O47886" s="36" t="s">
        <v>48</v>
      </c>
      <c r="R47886" s="36" t="s">
        <v>48</v>
      </c>
    </row>
    <row r="47887">
      <c r="H47887" s="50"/>
      <c r="I47887" s="50"/>
      <c r="O47887" s="36" t="s">
        <v>48</v>
      </c>
      <c r="R47887" s="36" t="s">
        <v>48</v>
      </c>
    </row>
    <row r="47888">
      <c r="H47888" s="50"/>
      <c r="I47888" s="50"/>
      <c r="O47888" s="36" t="s">
        <v>48</v>
      </c>
      <c r="R47888" s="36" t="s">
        <v>48</v>
      </c>
    </row>
    <row r="47889">
      <c r="H47889" s="50"/>
      <c r="I47889" s="50"/>
      <c r="O47889" s="36" t="s">
        <v>48</v>
      </c>
      <c r="R47889" s="36" t="s">
        <v>48</v>
      </c>
    </row>
    <row r="47890">
      <c r="H47890" s="50"/>
      <c r="I47890" s="50"/>
      <c r="O47890" s="36" t="s">
        <v>48</v>
      </c>
      <c r="R47890" s="36" t="s">
        <v>48</v>
      </c>
    </row>
    <row r="47891">
      <c r="H47891" s="50"/>
      <c r="I47891" s="50"/>
      <c r="O47891" s="36" t="s">
        <v>48</v>
      </c>
      <c r="R47891" s="36" t="s">
        <v>48</v>
      </c>
    </row>
    <row r="47892">
      <c r="H47892" s="50"/>
      <c r="I47892" s="50"/>
      <c r="O47892" s="36" t="s">
        <v>48</v>
      </c>
      <c r="R47892" s="36" t="s">
        <v>48</v>
      </c>
    </row>
    <row r="47893">
      <c r="H47893" s="50"/>
      <c r="I47893" s="50"/>
      <c r="O47893" s="36" t="s">
        <v>48</v>
      </c>
      <c r="R47893" s="36" t="s">
        <v>48</v>
      </c>
    </row>
    <row r="47894">
      <c r="H47894" s="50"/>
      <c r="I47894" s="50"/>
      <c r="O47894" s="36" t="s">
        <v>48</v>
      </c>
      <c r="R47894" s="36" t="s">
        <v>48</v>
      </c>
    </row>
    <row r="47895">
      <c r="H47895" s="50"/>
      <c r="I47895" s="50"/>
      <c r="O47895" s="36" t="s">
        <v>48</v>
      </c>
      <c r="R47895" s="36" t="s">
        <v>48</v>
      </c>
    </row>
    <row r="47896">
      <c r="H47896" s="50"/>
      <c r="I47896" s="50"/>
      <c r="O47896" s="36" t="s">
        <v>48</v>
      </c>
      <c r="R47896" s="36" t="s">
        <v>48</v>
      </c>
    </row>
    <row r="47897">
      <c r="H47897" s="50"/>
      <c r="I47897" s="50"/>
      <c r="O47897" s="36" t="s">
        <v>48</v>
      </c>
      <c r="R47897" s="36" t="s">
        <v>48</v>
      </c>
    </row>
    <row r="47898">
      <c r="H47898" s="50"/>
      <c r="I47898" s="50"/>
      <c r="O47898" s="36" t="s">
        <v>48</v>
      </c>
      <c r="R47898" s="36" t="s">
        <v>48</v>
      </c>
    </row>
    <row r="47899">
      <c r="H47899" s="50"/>
      <c r="I47899" s="50"/>
      <c r="O47899" s="36" t="s">
        <v>48</v>
      </c>
      <c r="R47899" s="36" t="s">
        <v>48</v>
      </c>
    </row>
    <row r="47900">
      <c r="H47900" s="50"/>
      <c r="I47900" s="50"/>
      <c r="O47900" s="36" t="s">
        <v>48</v>
      </c>
      <c r="R47900" s="36" t="s">
        <v>48</v>
      </c>
    </row>
    <row r="47901">
      <c r="H47901" s="50"/>
      <c r="I47901" s="50"/>
      <c r="O47901" s="36" t="s">
        <v>48</v>
      </c>
      <c r="R47901" s="36" t="s">
        <v>48</v>
      </c>
    </row>
    <row r="47902">
      <c r="H47902" s="50"/>
      <c r="I47902" s="50"/>
      <c r="O47902" s="36" t="s">
        <v>48</v>
      </c>
      <c r="R47902" s="36" t="s">
        <v>48</v>
      </c>
    </row>
    <row r="47903">
      <c r="H47903" s="50"/>
      <c r="I47903" s="50"/>
      <c r="O47903" s="36" t="s">
        <v>48</v>
      </c>
      <c r="R47903" s="36" t="s">
        <v>48</v>
      </c>
    </row>
    <row r="47904">
      <c r="H47904" s="50"/>
      <c r="I47904" s="50"/>
      <c r="O47904" s="36" t="s">
        <v>48</v>
      </c>
      <c r="R47904" s="36" t="s">
        <v>48</v>
      </c>
    </row>
    <row r="47905">
      <c r="H47905" s="50"/>
      <c r="I47905" s="50"/>
      <c r="O47905" s="36" t="s">
        <v>48</v>
      </c>
      <c r="R47905" s="36" t="s">
        <v>48</v>
      </c>
    </row>
    <row r="47906">
      <c r="H47906" s="50"/>
      <c r="I47906" s="50"/>
      <c r="O47906" s="36" t="s">
        <v>48</v>
      </c>
      <c r="R47906" s="36" t="s">
        <v>48</v>
      </c>
    </row>
    <row r="47907">
      <c r="H47907" s="50"/>
      <c r="I47907" s="50"/>
      <c r="O47907" s="36" t="s">
        <v>48</v>
      </c>
      <c r="R47907" s="36" t="s">
        <v>48</v>
      </c>
    </row>
    <row r="47908">
      <c r="H47908" s="50"/>
      <c r="I47908" s="50"/>
      <c r="O47908" s="36" t="s">
        <v>48</v>
      </c>
      <c r="R47908" s="36" t="s">
        <v>48</v>
      </c>
    </row>
    <row r="47909">
      <c r="H47909" s="50"/>
      <c r="I47909" s="50"/>
      <c r="O47909" s="36" t="s">
        <v>48</v>
      </c>
      <c r="R47909" s="36" t="s">
        <v>48</v>
      </c>
    </row>
    <row r="47910">
      <c r="H47910" s="50"/>
      <c r="I47910" s="50"/>
      <c r="O47910" s="36" t="s">
        <v>48</v>
      </c>
      <c r="R47910" s="36" t="s">
        <v>48</v>
      </c>
    </row>
    <row r="47911">
      <c r="H47911" s="50"/>
      <c r="I47911" s="50"/>
      <c r="O47911" s="36" t="s">
        <v>48</v>
      </c>
      <c r="R47911" s="36" t="s">
        <v>48</v>
      </c>
    </row>
    <row r="47912">
      <c r="H47912" s="50"/>
      <c r="I47912" s="50"/>
      <c r="O47912" s="36" t="s">
        <v>48</v>
      </c>
      <c r="R47912" s="36" t="s">
        <v>48</v>
      </c>
    </row>
    <row r="47913">
      <c r="H47913" s="50"/>
      <c r="I47913" s="50"/>
      <c r="O47913" s="36" t="s">
        <v>48</v>
      </c>
      <c r="R47913" s="36" t="s">
        <v>48</v>
      </c>
    </row>
    <row r="47914">
      <c r="H47914" s="50"/>
      <c r="I47914" s="50"/>
      <c r="O47914" s="36" t="s">
        <v>48</v>
      </c>
      <c r="R47914" s="36" t="s">
        <v>48</v>
      </c>
    </row>
    <row r="47915">
      <c r="H47915" s="50"/>
      <c r="I47915" s="50"/>
      <c r="O47915" s="36" t="s">
        <v>48</v>
      </c>
      <c r="R47915" s="36" t="s">
        <v>48</v>
      </c>
    </row>
    <row r="47916">
      <c r="H47916" s="50"/>
      <c r="I47916" s="50"/>
      <c r="O47916" s="36" t="s">
        <v>48</v>
      </c>
      <c r="R47916" s="36" t="s">
        <v>48</v>
      </c>
    </row>
    <row r="47917">
      <c r="H47917" s="50"/>
      <c r="I47917" s="50"/>
      <c r="O47917" s="36" t="s">
        <v>48</v>
      </c>
      <c r="R47917" s="36" t="s">
        <v>48</v>
      </c>
    </row>
    <row r="47918">
      <c r="H47918" s="50"/>
      <c r="I47918" s="50"/>
      <c r="O47918" s="36" t="s">
        <v>48</v>
      </c>
      <c r="R47918" s="36" t="s">
        <v>48</v>
      </c>
    </row>
    <row r="47919">
      <c r="H47919" s="50"/>
      <c r="I47919" s="50"/>
      <c r="O47919" s="36" t="s">
        <v>48</v>
      </c>
      <c r="R47919" s="36" t="s">
        <v>48</v>
      </c>
    </row>
    <row r="47920">
      <c r="H47920" s="50"/>
      <c r="I47920" s="50"/>
      <c r="O47920" s="36" t="s">
        <v>48</v>
      </c>
      <c r="R47920" s="36" t="s">
        <v>48</v>
      </c>
    </row>
    <row r="47921">
      <c r="H47921" s="50"/>
      <c r="I47921" s="50"/>
      <c r="O47921" s="36" t="s">
        <v>48</v>
      </c>
      <c r="R47921" s="36" t="s">
        <v>48</v>
      </c>
    </row>
    <row r="47922">
      <c r="H47922" s="50"/>
      <c r="I47922" s="50"/>
      <c r="O47922" s="36" t="s">
        <v>48</v>
      </c>
      <c r="R47922" s="36" t="s">
        <v>48</v>
      </c>
    </row>
    <row r="47923">
      <c r="H47923" s="50"/>
      <c r="I47923" s="50"/>
      <c r="O47923" s="36" t="s">
        <v>48</v>
      </c>
      <c r="R47923" s="36" t="s">
        <v>48</v>
      </c>
    </row>
    <row r="47924">
      <c r="H47924" s="50"/>
      <c r="I47924" s="50"/>
      <c r="O47924" s="36" t="s">
        <v>48</v>
      </c>
      <c r="R47924" s="36" t="s">
        <v>48</v>
      </c>
    </row>
    <row r="47925">
      <c r="H47925" s="50"/>
      <c r="I47925" s="50"/>
      <c r="O47925" s="36" t="s">
        <v>48</v>
      </c>
      <c r="R47925" s="36" t="s">
        <v>48</v>
      </c>
    </row>
    <row r="47926">
      <c r="H47926" s="50"/>
      <c r="I47926" s="50"/>
      <c r="O47926" s="36" t="s">
        <v>48</v>
      </c>
      <c r="R47926" s="36" t="s">
        <v>48</v>
      </c>
    </row>
    <row r="47927">
      <c r="H47927" s="50"/>
      <c r="I47927" s="50"/>
      <c r="O47927" s="36" t="s">
        <v>48</v>
      </c>
      <c r="R47927" s="36" t="s">
        <v>48</v>
      </c>
    </row>
    <row r="47928">
      <c r="H47928" s="50"/>
      <c r="I47928" s="50"/>
      <c r="O47928" s="36" t="s">
        <v>48</v>
      </c>
      <c r="R47928" s="36" t="s">
        <v>48</v>
      </c>
    </row>
    <row r="47929">
      <c r="H47929" s="50"/>
      <c r="I47929" s="50"/>
      <c r="O47929" s="36" t="s">
        <v>48</v>
      </c>
      <c r="R47929" s="36" t="s">
        <v>48</v>
      </c>
    </row>
    <row r="47930">
      <c r="H47930" s="50"/>
      <c r="I47930" s="50"/>
      <c r="O47930" s="36" t="s">
        <v>48</v>
      </c>
      <c r="R47930" s="36" t="s">
        <v>48</v>
      </c>
    </row>
    <row r="47931">
      <c r="H47931" s="50"/>
      <c r="I47931" s="50"/>
      <c r="O47931" s="36" t="s">
        <v>48</v>
      </c>
      <c r="R47931" s="36" t="s">
        <v>48</v>
      </c>
    </row>
    <row r="47932">
      <c r="H47932" s="50"/>
      <c r="I47932" s="50"/>
      <c r="O47932" s="36" t="s">
        <v>48</v>
      </c>
      <c r="R47932" s="36" t="s">
        <v>48</v>
      </c>
    </row>
    <row r="47933">
      <c r="H47933" s="50"/>
      <c r="I47933" s="50"/>
      <c r="O47933" s="36" t="s">
        <v>48</v>
      </c>
      <c r="R47933" s="36" t="s">
        <v>48</v>
      </c>
    </row>
    <row r="47934">
      <c r="H47934" s="50"/>
      <c r="I47934" s="50"/>
      <c r="O47934" s="36" t="s">
        <v>48</v>
      </c>
      <c r="R47934" s="36" t="s">
        <v>48</v>
      </c>
    </row>
    <row r="47935">
      <c r="H47935" s="50"/>
      <c r="I47935" s="50"/>
      <c r="O47935" s="36" t="s">
        <v>48</v>
      </c>
      <c r="R47935" s="36" t="s">
        <v>48</v>
      </c>
    </row>
    <row r="47936">
      <c r="H47936" s="50"/>
      <c r="I47936" s="50"/>
      <c r="O47936" s="36" t="s">
        <v>48</v>
      </c>
      <c r="R47936" s="36" t="s">
        <v>48</v>
      </c>
    </row>
    <row r="47937">
      <c r="H47937" s="50"/>
      <c r="I47937" s="50"/>
      <c r="O47937" s="36" t="s">
        <v>48</v>
      </c>
      <c r="R47937" s="36" t="s">
        <v>48</v>
      </c>
    </row>
    <row r="47938">
      <c r="H47938" s="50"/>
      <c r="I47938" s="50"/>
      <c r="O47938" s="36" t="s">
        <v>48</v>
      </c>
      <c r="R47938" s="36" t="s">
        <v>48</v>
      </c>
    </row>
    <row r="47939">
      <c r="H47939" s="50"/>
      <c r="I47939" s="50"/>
      <c r="O47939" s="36" t="s">
        <v>48</v>
      </c>
      <c r="R47939" s="36" t="s">
        <v>48</v>
      </c>
    </row>
    <row r="47940">
      <c r="H47940" s="50"/>
      <c r="I47940" s="50"/>
      <c r="O47940" s="36" t="s">
        <v>48</v>
      </c>
      <c r="R47940" s="36" t="s">
        <v>48</v>
      </c>
    </row>
    <row r="47941">
      <c r="H47941" s="50"/>
      <c r="I47941" s="50"/>
      <c r="O47941" s="36" t="s">
        <v>48</v>
      </c>
      <c r="R47941" s="36" t="s">
        <v>48</v>
      </c>
    </row>
    <row r="47942">
      <c r="H47942" s="50"/>
      <c r="I47942" s="50"/>
      <c r="O47942" s="36" t="s">
        <v>48</v>
      </c>
      <c r="R47942" s="36" t="s">
        <v>48</v>
      </c>
    </row>
    <row r="47943">
      <c r="H47943" s="50"/>
      <c r="I47943" s="50"/>
      <c r="O47943" s="36" t="s">
        <v>48</v>
      </c>
      <c r="R47943" s="36" t="s">
        <v>48</v>
      </c>
    </row>
    <row r="47944">
      <c r="H47944" s="50"/>
      <c r="I47944" s="50"/>
      <c r="O47944" s="36" t="s">
        <v>48</v>
      </c>
      <c r="R47944" s="36" t="s">
        <v>48</v>
      </c>
    </row>
    <row r="47945">
      <c r="H47945" s="50"/>
      <c r="I47945" s="50"/>
      <c r="O47945" s="36" t="s">
        <v>48</v>
      </c>
      <c r="R47945" s="36" t="s">
        <v>48</v>
      </c>
    </row>
    <row r="47946">
      <c r="H47946" s="50"/>
      <c r="I47946" s="50"/>
      <c r="O47946" s="36" t="s">
        <v>48</v>
      </c>
      <c r="R47946" s="36" t="s">
        <v>48</v>
      </c>
    </row>
    <row r="47947">
      <c r="H47947" s="50"/>
      <c r="I47947" s="50"/>
      <c r="O47947" s="36" t="s">
        <v>48</v>
      </c>
      <c r="R47947" s="36" t="s">
        <v>48</v>
      </c>
    </row>
    <row r="47948">
      <c r="H47948" s="50"/>
      <c r="I47948" s="50"/>
      <c r="O47948" s="36" t="s">
        <v>48</v>
      </c>
      <c r="R47948" s="36" t="s">
        <v>48</v>
      </c>
    </row>
    <row r="47949">
      <c r="H47949" s="50"/>
      <c r="I47949" s="50"/>
      <c r="O47949" s="36" t="s">
        <v>48</v>
      </c>
      <c r="R47949" s="36" t="s">
        <v>48</v>
      </c>
    </row>
    <row r="47950">
      <c r="H47950" s="50"/>
      <c r="I47950" s="50"/>
      <c r="O47950" s="36" t="s">
        <v>48</v>
      </c>
      <c r="R47950" s="36" t="s">
        <v>48</v>
      </c>
    </row>
    <row r="47951">
      <c r="H47951" s="50"/>
      <c r="I47951" s="50"/>
      <c r="O47951" s="36" t="s">
        <v>48</v>
      </c>
      <c r="R47951" s="36" t="s">
        <v>48</v>
      </c>
    </row>
    <row r="47952">
      <c r="H47952" s="50"/>
      <c r="I47952" s="50"/>
      <c r="O47952" s="36" t="s">
        <v>48</v>
      </c>
      <c r="R47952" s="36" t="s">
        <v>48</v>
      </c>
    </row>
    <row r="47953">
      <c r="H47953" s="50"/>
      <c r="I47953" s="50"/>
      <c r="O47953" s="36" t="s">
        <v>48</v>
      </c>
      <c r="R47953" s="36" t="s">
        <v>48</v>
      </c>
    </row>
    <row r="47954">
      <c r="H47954" s="50"/>
      <c r="I47954" s="50"/>
      <c r="O47954" s="36" t="s">
        <v>48</v>
      </c>
      <c r="R47954" s="36" t="s">
        <v>48</v>
      </c>
    </row>
    <row r="47955">
      <c r="H47955" s="50"/>
      <c r="I47955" s="50"/>
      <c r="O47955" s="36" t="s">
        <v>48</v>
      </c>
      <c r="R47955" s="36" t="s">
        <v>48</v>
      </c>
    </row>
    <row r="47956">
      <c r="H47956" s="50"/>
      <c r="I47956" s="50"/>
      <c r="O47956" s="36" t="s">
        <v>48</v>
      </c>
      <c r="R47956" s="36" t="s">
        <v>48</v>
      </c>
    </row>
    <row r="47957">
      <c r="H47957" s="50"/>
      <c r="I47957" s="50"/>
      <c r="O47957" s="36" t="s">
        <v>48</v>
      </c>
      <c r="R47957" s="36" t="s">
        <v>48</v>
      </c>
    </row>
    <row r="47958">
      <c r="H47958" s="50"/>
      <c r="I47958" s="50"/>
      <c r="O47958" s="36" t="s">
        <v>48</v>
      </c>
      <c r="R47958" s="36" t="s">
        <v>48</v>
      </c>
    </row>
    <row r="47959">
      <c r="H47959" s="50"/>
      <c r="I47959" s="50"/>
      <c r="O47959" s="36" t="s">
        <v>48</v>
      </c>
      <c r="R47959" s="36" t="s">
        <v>48</v>
      </c>
    </row>
    <row r="47960">
      <c r="H47960" s="50"/>
      <c r="I47960" s="50"/>
      <c r="O47960" s="36" t="s">
        <v>48</v>
      </c>
      <c r="R47960" s="36" t="s">
        <v>48</v>
      </c>
    </row>
    <row r="47961">
      <c r="H47961" s="50"/>
      <c r="I47961" s="50"/>
      <c r="O47961" s="36" t="s">
        <v>48</v>
      </c>
      <c r="R47961" s="36" t="s">
        <v>48</v>
      </c>
    </row>
    <row r="47962">
      <c r="H47962" s="50"/>
      <c r="I47962" s="50"/>
      <c r="O47962" s="36" t="s">
        <v>48</v>
      </c>
      <c r="R47962" s="36" t="s">
        <v>48</v>
      </c>
    </row>
    <row r="47963">
      <c r="H47963" s="50"/>
      <c r="I47963" s="50"/>
      <c r="O47963" s="36" t="s">
        <v>48</v>
      </c>
      <c r="R47963" s="36" t="s">
        <v>48</v>
      </c>
    </row>
    <row r="47964">
      <c r="H47964" s="50"/>
      <c r="I47964" s="50"/>
      <c r="O47964" s="36" t="s">
        <v>48</v>
      </c>
      <c r="R47964" s="36" t="s">
        <v>48</v>
      </c>
    </row>
    <row r="47965">
      <c r="H47965" s="50"/>
      <c r="I47965" s="50"/>
      <c r="O47965" s="36" t="s">
        <v>48</v>
      </c>
      <c r="R47965" s="36" t="s">
        <v>48</v>
      </c>
    </row>
    <row r="47966">
      <c r="H47966" s="50"/>
      <c r="I47966" s="50"/>
      <c r="O47966" s="36" t="s">
        <v>48</v>
      </c>
      <c r="R47966" s="36" t="s">
        <v>48</v>
      </c>
    </row>
    <row r="47967">
      <c r="H47967" s="50"/>
      <c r="I47967" s="50"/>
      <c r="O47967" s="36" t="s">
        <v>48</v>
      </c>
      <c r="R47967" s="36" t="s">
        <v>48</v>
      </c>
    </row>
    <row r="47968">
      <c r="H47968" s="50"/>
      <c r="I47968" s="50"/>
      <c r="O47968" s="36" t="s">
        <v>48</v>
      </c>
      <c r="R47968" s="36" t="s">
        <v>48</v>
      </c>
    </row>
    <row r="47969">
      <c r="H47969" s="50"/>
      <c r="I47969" s="50"/>
      <c r="O47969" s="36" t="s">
        <v>48</v>
      </c>
      <c r="R47969" s="36" t="s">
        <v>48</v>
      </c>
    </row>
    <row r="47970">
      <c r="H47970" s="50"/>
      <c r="I47970" s="50"/>
      <c r="O47970" s="36" t="s">
        <v>48</v>
      </c>
      <c r="R47970" s="36" t="s">
        <v>48</v>
      </c>
    </row>
    <row r="47971">
      <c r="H47971" s="50"/>
      <c r="I47971" s="50"/>
      <c r="O47971" s="36" t="s">
        <v>48</v>
      </c>
      <c r="R47971" s="36" t="s">
        <v>48</v>
      </c>
    </row>
    <row r="47972">
      <c r="H47972" s="50"/>
      <c r="I47972" s="50"/>
      <c r="O47972" s="36" t="s">
        <v>48</v>
      </c>
      <c r="R47972" s="36" t="s">
        <v>48</v>
      </c>
    </row>
    <row r="47973">
      <c r="H47973" s="50"/>
      <c r="I47973" s="50"/>
      <c r="O47973" s="36" t="s">
        <v>48</v>
      </c>
      <c r="R47973" s="36" t="s">
        <v>48</v>
      </c>
    </row>
    <row r="47974">
      <c r="H47974" s="50"/>
      <c r="I47974" s="50"/>
      <c r="O47974" s="36" t="s">
        <v>48</v>
      </c>
      <c r="R47974" s="36" t="s">
        <v>48</v>
      </c>
    </row>
    <row r="47975">
      <c r="H47975" s="50"/>
      <c r="I47975" s="50"/>
      <c r="O47975" s="36" t="s">
        <v>48</v>
      </c>
      <c r="R47975" s="36" t="s">
        <v>48</v>
      </c>
    </row>
    <row r="47976">
      <c r="H47976" s="50"/>
      <c r="I47976" s="50"/>
      <c r="O47976" s="36" t="s">
        <v>48</v>
      </c>
      <c r="R47976" s="36" t="s">
        <v>48</v>
      </c>
    </row>
    <row r="47977">
      <c r="H47977" s="50"/>
      <c r="I47977" s="50"/>
      <c r="O47977" s="36" t="s">
        <v>48</v>
      </c>
      <c r="R47977" s="36" t="s">
        <v>48</v>
      </c>
    </row>
    <row r="47978">
      <c r="H47978" s="50"/>
      <c r="I47978" s="50"/>
      <c r="O47978" s="36" t="s">
        <v>48</v>
      </c>
      <c r="R47978" s="36" t="s">
        <v>48</v>
      </c>
    </row>
    <row r="47979">
      <c r="H47979" s="50"/>
      <c r="I47979" s="50"/>
      <c r="O47979" s="36" t="s">
        <v>48</v>
      </c>
      <c r="R47979" s="36" t="s">
        <v>48</v>
      </c>
    </row>
    <row r="47980">
      <c r="H47980" s="50"/>
      <c r="I47980" s="50"/>
      <c r="O47980" s="36" t="s">
        <v>48</v>
      </c>
      <c r="R47980" s="36" t="s">
        <v>48</v>
      </c>
    </row>
    <row r="47981">
      <c r="H47981" s="50"/>
      <c r="I47981" s="50"/>
      <c r="O47981" s="36" t="s">
        <v>48</v>
      </c>
      <c r="R47981" s="36" t="s">
        <v>48</v>
      </c>
    </row>
    <row r="47982">
      <c r="H47982" s="50"/>
      <c r="I47982" s="50"/>
      <c r="O47982" s="36" t="s">
        <v>48</v>
      </c>
      <c r="R47982" s="36" t="s">
        <v>48</v>
      </c>
    </row>
    <row r="47983">
      <c r="H47983" s="50"/>
      <c r="I47983" s="50"/>
      <c r="O47983" s="36" t="s">
        <v>48</v>
      </c>
      <c r="R47983" s="36" t="s">
        <v>48</v>
      </c>
    </row>
    <row r="47984">
      <c r="H47984" s="50"/>
      <c r="I47984" s="50"/>
      <c r="O47984" s="36" t="s">
        <v>48</v>
      </c>
      <c r="R47984" s="36" t="s">
        <v>48</v>
      </c>
    </row>
    <row r="47985">
      <c r="H47985" s="50"/>
      <c r="I47985" s="50"/>
      <c r="O47985" s="36" t="s">
        <v>48</v>
      </c>
      <c r="R47985" s="36" t="s">
        <v>48</v>
      </c>
    </row>
    <row r="47986">
      <c r="H47986" s="50"/>
      <c r="I47986" s="50"/>
      <c r="O47986" s="36" t="s">
        <v>48</v>
      </c>
      <c r="R47986" s="36" t="s">
        <v>48</v>
      </c>
    </row>
    <row r="47987">
      <c r="H47987" s="50"/>
      <c r="I47987" s="50"/>
      <c r="O47987" s="36" t="s">
        <v>48</v>
      </c>
      <c r="R47987" s="36" t="s">
        <v>48</v>
      </c>
    </row>
    <row r="47988">
      <c r="H47988" s="50"/>
      <c r="I47988" s="50"/>
      <c r="O47988" s="36" t="s">
        <v>48</v>
      </c>
      <c r="R47988" s="36" t="s">
        <v>48</v>
      </c>
    </row>
    <row r="47989">
      <c r="H47989" s="50"/>
      <c r="I47989" s="50"/>
      <c r="O47989" s="36" t="s">
        <v>48</v>
      </c>
      <c r="R47989" s="36" t="s">
        <v>48</v>
      </c>
    </row>
    <row r="47990">
      <c r="H47990" s="50"/>
      <c r="I47990" s="50"/>
      <c r="O47990" s="36" t="s">
        <v>48</v>
      </c>
      <c r="R47990" s="36" t="s">
        <v>48</v>
      </c>
    </row>
    <row r="47991">
      <c r="H47991" s="50"/>
      <c r="I47991" s="50"/>
      <c r="O47991" s="36" t="s">
        <v>48</v>
      </c>
      <c r="R47991" s="36" t="s">
        <v>48</v>
      </c>
    </row>
    <row r="47992">
      <c r="H47992" s="50"/>
      <c r="I47992" s="50"/>
      <c r="O47992" s="36" t="s">
        <v>48</v>
      </c>
      <c r="R47992" s="36" t="s">
        <v>48</v>
      </c>
    </row>
    <row r="47993">
      <c r="H47993" s="50"/>
      <c r="I47993" s="50"/>
      <c r="O47993" s="36" t="s">
        <v>48</v>
      </c>
      <c r="R47993" s="36" t="s">
        <v>48</v>
      </c>
    </row>
    <row r="47994">
      <c r="H47994" s="50"/>
      <c r="I47994" s="50"/>
      <c r="O47994" s="36" t="s">
        <v>48</v>
      </c>
      <c r="R47994" s="36" t="s">
        <v>48</v>
      </c>
    </row>
    <row r="47995">
      <c r="H47995" s="50"/>
      <c r="I47995" s="50"/>
      <c r="O47995" s="36" t="s">
        <v>48</v>
      </c>
      <c r="R47995" s="36" t="s">
        <v>48</v>
      </c>
    </row>
    <row r="47996">
      <c r="H47996" s="50"/>
      <c r="I47996" s="50"/>
      <c r="O47996" s="36" t="s">
        <v>48</v>
      </c>
      <c r="R47996" s="36" t="s">
        <v>48</v>
      </c>
    </row>
    <row r="47997">
      <c r="H47997" s="50"/>
      <c r="I47997" s="50"/>
      <c r="O47997" s="36" t="s">
        <v>48</v>
      </c>
      <c r="R47997" s="36" t="s">
        <v>48</v>
      </c>
    </row>
    <row r="47998">
      <c r="H47998" s="50"/>
      <c r="I47998" s="50"/>
      <c r="O47998" s="36" t="s">
        <v>48</v>
      </c>
      <c r="R47998" s="36" t="s">
        <v>48</v>
      </c>
    </row>
    <row r="47999">
      <c r="H47999" s="50"/>
      <c r="I47999" s="50"/>
      <c r="O47999" s="36" t="s">
        <v>48</v>
      </c>
      <c r="R47999" s="36" t="s">
        <v>48</v>
      </c>
    </row>
    <row r="48000">
      <c r="H48000" s="50"/>
      <c r="I48000" s="50"/>
      <c r="O48000" s="36" t="s">
        <v>48</v>
      </c>
      <c r="R48000" s="36" t="s">
        <v>48</v>
      </c>
    </row>
    <row r="48001">
      <c r="H48001" s="50"/>
      <c r="I48001" s="50"/>
      <c r="O48001" s="36" t="s">
        <v>48</v>
      </c>
      <c r="R48001" s="36" t="s">
        <v>48</v>
      </c>
    </row>
    <row r="48002">
      <c r="H48002" s="50"/>
      <c r="I48002" s="50"/>
      <c r="O48002" s="36" t="s">
        <v>48</v>
      </c>
      <c r="R48002" s="36" t="s">
        <v>48</v>
      </c>
    </row>
    <row r="48003">
      <c r="H48003" s="50"/>
      <c r="I48003" s="50"/>
      <c r="O48003" s="36" t="s">
        <v>48</v>
      </c>
      <c r="R48003" s="36" t="s">
        <v>48</v>
      </c>
    </row>
    <row r="48004">
      <c r="H48004" s="50"/>
      <c r="I48004" s="50"/>
      <c r="O48004" s="36" t="s">
        <v>48</v>
      </c>
      <c r="R48004" s="36" t="s">
        <v>48</v>
      </c>
    </row>
    <row r="48005">
      <c r="H48005" s="50"/>
      <c r="I48005" s="50"/>
      <c r="O48005" s="36" t="s">
        <v>48</v>
      </c>
      <c r="R48005" s="36" t="s">
        <v>48</v>
      </c>
    </row>
    <row r="48006">
      <c r="H48006" s="50"/>
      <c r="I48006" s="50"/>
      <c r="O48006" s="36" t="s">
        <v>48</v>
      </c>
      <c r="R48006" s="36" t="s">
        <v>48</v>
      </c>
    </row>
    <row r="48007">
      <c r="H48007" s="50"/>
      <c r="I48007" s="50"/>
      <c r="O48007" s="36" t="s">
        <v>48</v>
      </c>
      <c r="R48007" s="36" t="s">
        <v>48</v>
      </c>
    </row>
    <row r="48008">
      <c r="H48008" s="50"/>
      <c r="I48008" s="50"/>
      <c r="O48008" s="36" t="s">
        <v>48</v>
      </c>
      <c r="R48008" s="36" t="s">
        <v>48</v>
      </c>
    </row>
    <row r="48009">
      <c r="H48009" s="50"/>
      <c r="I48009" s="50"/>
      <c r="O48009" s="36" t="s">
        <v>48</v>
      </c>
      <c r="R48009" s="36" t="s">
        <v>48</v>
      </c>
    </row>
    <row r="48010">
      <c r="H48010" s="50"/>
      <c r="I48010" s="50"/>
      <c r="O48010" s="36" t="s">
        <v>48</v>
      </c>
      <c r="R48010" s="36" t="s">
        <v>48</v>
      </c>
    </row>
    <row r="48011">
      <c r="H48011" s="50"/>
      <c r="I48011" s="50"/>
      <c r="O48011" s="36" t="s">
        <v>48</v>
      </c>
      <c r="R48011" s="36" t="s">
        <v>48</v>
      </c>
    </row>
    <row r="48012">
      <c r="H48012" s="50"/>
      <c r="I48012" s="50"/>
      <c r="O48012" s="36" t="s">
        <v>48</v>
      </c>
      <c r="R48012" s="36" t="s">
        <v>48</v>
      </c>
    </row>
    <row r="48013">
      <c r="H48013" s="50"/>
      <c r="I48013" s="50"/>
      <c r="O48013" s="36" t="s">
        <v>48</v>
      </c>
      <c r="R48013" s="36" t="s">
        <v>48</v>
      </c>
    </row>
    <row r="48014">
      <c r="H48014" s="50"/>
      <c r="I48014" s="50"/>
      <c r="O48014" s="36" t="s">
        <v>48</v>
      </c>
      <c r="R48014" s="36" t="s">
        <v>48</v>
      </c>
    </row>
    <row r="48015">
      <c r="H48015" s="50"/>
      <c r="I48015" s="50"/>
      <c r="O48015" s="36" t="s">
        <v>48</v>
      </c>
      <c r="R48015" s="36" t="s">
        <v>48</v>
      </c>
    </row>
    <row r="48016">
      <c r="H48016" s="50"/>
      <c r="I48016" s="50"/>
      <c r="O48016" s="36" t="s">
        <v>48</v>
      </c>
      <c r="R48016" s="36" t="s">
        <v>48</v>
      </c>
    </row>
    <row r="48017">
      <c r="H48017" s="50"/>
      <c r="I48017" s="50"/>
      <c r="O48017" s="36" t="s">
        <v>48</v>
      </c>
      <c r="R48017" s="36" t="s">
        <v>48</v>
      </c>
    </row>
    <row r="48018">
      <c r="H48018" s="50"/>
      <c r="I48018" s="50"/>
      <c r="O48018" s="36" t="s">
        <v>48</v>
      </c>
      <c r="R48018" s="36" t="s">
        <v>48</v>
      </c>
    </row>
    <row r="48019">
      <c r="H48019" s="50"/>
      <c r="I48019" s="50"/>
      <c r="O48019" s="36" t="s">
        <v>48</v>
      </c>
      <c r="R48019" s="36" t="s">
        <v>48</v>
      </c>
    </row>
    <row r="48020">
      <c r="H48020" s="50"/>
      <c r="I48020" s="50"/>
      <c r="O48020" s="36" t="s">
        <v>48</v>
      </c>
      <c r="R48020" s="36" t="s">
        <v>48</v>
      </c>
    </row>
    <row r="48021">
      <c r="H48021" s="50"/>
      <c r="I48021" s="50"/>
      <c r="O48021" s="36" t="s">
        <v>48</v>
      </c>
      <c r="R48021" s="36" t="s">
        <v>48</v>
      </c>
    </row>
    <row r="48022">
      <c r="H48022" s="50"/>
      <c r="I48022" s="50"/>
      <c r="O48022" s="36" t="s">
        <v>48</v>
      </c>
      <c r="R48022" s="36" t="s">
        <v>48</v>
      </c>
    </row>
    <row r="48023">
      <c r="H48023" s="50"/>
      <c r="I48023" s="50"/>
      <c r="O48023" s="36" t="s">
        <v>48</v>
      </c>
      <c r="R48023" s="36" t="s">
        <v>48</v>
      </c>
    </row>
    <row r="48024">
      <c r="H48024" s="50"/>
      <c r="I48024" s="50"/>
      <c r="O48024" s="36" t="s">
        <v>48</v>
      </c>
      <c r="R48024" s="36" t="s">
        <v>48</v>
      </c>
    </row>
    <row r="48025">
      <c r="H48025" s="50"/>
      <c r="I48025" s="50"/>
      <c r="O48025" s="36" t="s">
        <v>48</v>
      </c>
      <c r="R48025" s="36" t="s">
        <v>48</v>
      </c>
    </row>
    <row r="48026">
      <c r="H48026" s="50"/>
      <c r="I48026" s="50"/>
      <c r="O48026" s="36" t="s">
        <v>48</v>
      </c>
      <c r="R48026" s="36" t="s">
        <v>48</v>
      </c>
    </row>
    <row r="48027">
      <c r="H48027" s="50"/>
      <c r="I48027" s="50"/>
      <c r="O48027" s="36" t="s">
        <v>48</v>
      </c>
      <c r="R48027" s="36" t="s">
        <v>48</v>
      </c>
    </row>
    <row r="48028">
      <c r="H48028" s="50"/>
      <c r="I48028" s="50"/>
      <c r="O48028" s="36" t="s">
        <v>48</v>
      </c>
      <c r="R48028" s="36" t="s">
        <v>48</v>
      </c>
    </row>
    <row r="48029">
      <c r="H48029" s="50"/>
      <c r="I48029" s="50"/>
      <c r="O48029" s="36" t="s">
        <v>48</v>
      </c>
      <c r="R48029" s="36" t="s">
        <v>48</v>
      </c>
    </row>
    <row r="48030">
      <c r="H48030" s="50"/>
      <c r="I48030" s="50"/>
      <c r="O48030" s="36" t="s">
        <v>48</v>
      </c>
      <c r="R48030" s="36" t="s">
        <v>48</v>
      </c>
    </row>
    <row r="48031">
      <c r="H48031" s="50"/>
      <c r="I48031" s="50"/>
      <c r="O48031" s="36" t="s">
        <v>48</v>
      </c>
      <c r="R48031" s="36" t="s">
        <v>48</v>
      </c>
    </row>
    <row r="48032">
      <c r="H48032" s="50"/>
      <c r="I48032" s="50"/>
      <c r="O48032" s="36" t="s">
        <v>48</v>
      </c>
      <c r="R48032" s="36" t="s">
        <v>48</v>
      </c>
    </row>
    <row r="48033">
      <c r="H48033" s="50"/>
      <c r="I48033" s="50"/>
      <c r="O48033" s="36" t="s">
        <v>48</v>
      </c>
      <c r="R48033" s="36" t="s">
        <v>48</v>
      </c>
    </row>
    <row r="48034">
      <c r="H48034" s="50"/>
      <c r="I48034" s="50"/>
      <c r="O48034" s="36" t="s">
        <v>48</v>
      </c>
      <c r="R48034" s="36" t="s">
        <v>48</v>
      </c>
    </row>
    <row r="48035">
      <c r="H48035" s="50"/>
      <c r="I48035" s="50"/>
      <c r="O48035" s="36" t="s">
        <v>48</v>
      </c>
      <c r="R48035" s="36" t="s">
        <v>48</v>
      </c>
    </row>
    <row r="48036">
      <c r="H48036" s="50"/>
      <c r="I48036" s="50"/>
      <c r="O48036" s="36" t="s">
        <v>48</v>
      </c>
      <c r="R48036" s="36" t="s">
        <v>48</v>
      </c>
    </row>
    <row r="48037">
      <c r="H48037" s="50"/>
      <c r="I48037" s="50"/>
      <c r="O48037" s="36" t="s">
        <v>48</v>
      </c>
      <c r="R48037" s="36" t="s">
        <v>48</v>
      </c>
    </row>
    <row r="48038">
      <c r="H48038" s="50"/>
      <c r="I48038" s="50"/>
      <c r="O48038" s="36" t="s">
        <v>48</v>
      </c>
      <c r="R48038" s="36" t="s">
        <v>48</v>
      </c>
    </row>
    <row r="48039">
      <c r="H48039" s="50"/>
      <c r="I48039" s="50"/>
      <c r="O48039" s="36" t="s">
        <v>48</v>
      </c>
      <c r="R48039" s="36" t="s">
        <v>48</v>
      </c>
    </row>
    <row r="48040">
      <c r="H48040" s="50"/>
      <c r="I48040" s="50"/>
      <c r="O48040" s="36" t="s">
        <v>48</v>
      </c>
      <c r="R48040" s="36" t="s">
        <v>48</v>
      </c>
    </row>
    <row r="48041">
      <c r="H48041" s="50"/>
      <c r="I48041" s="50"/>
      <c r="O48041" s="36" t="s">
        <v>48</v>
      </c>
      <c r="R48041" s="36" t="s">
        <v>48</v>
      </c>
    </row>
    <row r="48042">
      <c r="H48042" s="50"/>
      <c r="I48042" s="50"/>
      <c r="O48042" s="36" t="s">
        <v>48</v>
      </c>
      <c r="R48042" s="36" t="s">
        <v>48</v>
      </c>
    </row>
    <row r="48043">
      <c r="H48043" s="50"/>
      <c r="I48043" s="50"/>
      <c r="O48043" s="36" t="s">
        <v>48</v>
      </c>
      <c r="R48043" s="36" t="s">
        <v>48</v>
      </c>
    </row>
    <row r="48044">
      <c r="H48044" s="50"/>
      <c r="I48044" s="50"/>
      <c r="O48044" s="36" t="s">
        <v>48</v>
      </c>
      <c r="R48044" s="36" t="s">
        <v>48</v>
      </c>
    </row>
    <row r="48045">
      <c r="H48045" s="50"/>
      <c r="I48045" s="50"/>
      <c r="O48045" s="36" t="s">
        <v>48</v>
      </c>
      <c r="R48045" s="36" t="s">
        <v>48</v>
      </c>
    </row>
    <row r="48046">
      <c r="H48046" s="50"/>
      <c r="I48046" s="50"/>
      <c r="O48046" s="36" t="s">
        <v>48</v>
      </c>
      <c r="R48046" s="36" t="s">
        <v>48</v>
      </c>
    </row>
    <row r="48047">
      <c r="H48047" s="50"/>
      <c r="I48047" s="50"/>
      <c r="O48047" s="36" t="s">
        <v>48</v>
      </c>
      <c r="R48047" s="36" t="s">
        <v>48</v>
      </c>
    </row>
    <row r="48048">
      <c r="H48048" s="50"/>
      <c r="I48048" s="50"/>
      <c r="O48048" s="36" t="s">
        <v>48</v>
      </c>
      <c r="R48048" s="36" t="s">
        <v>48</v>
      </c>
    </row>
    <row r="48049">
      <c r="H48049" s="50"/>
      <c r="I48049" s="50"/>
      <c r="O48049" s="36" t="s">
        <v>48</v>
      </c>
      <c r="R48049" s="36" t="s">
        <v>48</v>
      </c>
    </row>
    <row r="48050">
      <c r="H48050" s="50"/>
      <c r="I48050" s="50"/>
      <c r="O48050" s="36" t="s">
        <v>48</v>
      </c>
      <c r="R48050" s="36" t="s">
        <v>48</v>
      </c>
    </row>
    <row r="48051">
      <c r="H48051" s="50"/>
      <c r="I48051" s="50"/>
      <c r="O48051" s="36" t="s">
        <v>48</v>
      </c>
      <c r="R48051" s="36" t="s">
        <v>48</v>
      </c>
    </row>
    <row r="48052">
      <c r="H48052" s="50"/>
      <c r="I48052" s="50"/>
      <c r="O48052" s="36" t="s">
        <v>48</v>
      </c>
      <c r="R48052" s="36" t="s">
        <v>48</v>
      </c>
    </row>
    <row r="48053">
      <c r="H48053" s="50"/>
      <c r="I48053" s="50"/>
      <c r="O48053" s="36" t="s">
        <v>48</v>
      </c>
      <c r="R48053" s="36" t="s">
        <v>48</v>
      </c>
    </row>
    <row r="48054">
      <c r="H48054" s="50"/>
      <c r="I48054" s="50"/>
      <c r="O48054" s="36" t="s">
        <v>48</v>
      </c>
      <c r="R48054" s="36" t="s">
        <v>48</v>
      </c>
    </row>
    <row r="48055">
      <c r="H48055" s="50"/>
      <c r="I48055" s="50"/>
      <c r="O48055" s="36" t="s">
        <v>48</v>
      </c>
      <c r="R48055" s="36" t="s">
        <v>48</v>
      </c>
    </row>
    <row r="48056">
      <c r="H48056" s="50"/>
      <c r="I48056" s="50"/>
      <c r="O48056" s="36" t="s">
        <v>48</v>
      </c>
      <c r="R48056" s="36" t="s">
        <v>48</v>
      </c>
    </row>
    <row r="48057">
      <c r="H48057" s="50"/>
      <c r="I48057" s="50"/>
      <c r="O48057" s="36" t="s">
        <v>48</v>
      </c>
      <c r="R48057" s="36" t="s">
        <v>48</v>
      </c>
    </row>
    <row r="48058">
      <c r="H48058" s="50"/>
      <c r="I48058" s="50"/>
      <c r="O48058" s="36" t="s">
        <v>48</v>
      </c>
      <c r="R48058" s="36" t="s">
        <v>48</v>
      </c>
    </row>
    <row r="48059">
      <c r="H48059" s="50"/>
      <c r="I48059" s="50"/>
      <c r="O48059" s="36" t="s">
        <v>48</v>
      </c>
      <c r="R48059" s="36" t="s">
        <v>48</v>
      </c>
    </row>
    <row r="48060">
      <c r="H48060" s="50"/>
      <c r="I48060" s="50"/>
      <c r="O48060" s="36" t="s">
        <v>48</v>
      </c>
      <c r="R48060" s="36" t="s">
        <v>48</v>
      </c>
    </row>
    <row r="48061">
      <c r="H48061" s="50"/>
      <c r="I48061" s="50"/>
      <c r="O48061" s="36" t="s">
        <v>48</v>
      </c>
      <c r="R48061" s="36" t="s">
        <v>48</v>
      </c>
    </row>
    <row r="48062">
      <c r="H48062" s="50"/>
      <c r="I48062" s="50"/>
      <c r="O48062" s="36" t="s">
        <v>48</v>
      </c>
      <c r="R48062" s="36" t="s">
        <v>48</v>
      </c>
    </row>
    <row r="48063">
      <c r="H48063" s="50"/>
      <c r="I48063" s="50"/>
      <c r="O48063" s="36" t="s">
        <v>48</v>
      </c>
      <c r="R48063" s="36" t="s">
        <v>48</v>
      </c>
    </row>
    <row r="48064">
      <c r="H48064" s="50"/>
      <c r="I48064" s="50"/>
      <c r="O48064" s="36" t="s">
        <v>48</v>
      </c>
      <c r="R48064" s="36" t="s">
        <v>48</v>
      </c>
    </row>
    <row r="48065">
      <c r="H48065" s="50"/>
      <c r="I48065" s="50"/>
      <c r="O48065" s="36" t="s">
        <v>48</v>
      </c>
      <c r="R48065" s="36" t="s">
        <v>48</v>
      </c>
    </row>
    <row r="48066">
      <c r="H48066" s="50"/>
      <c r="I48066" s="50"/>
      <c r="O48066" s="36" t="s">
        <v>48</v>
      </c>
      <c r="R48066" s="36" t="s">
        <v>48</v>
      </c>
    </row>
    <row r="48067">
      <c r="H48067" s="50"/>
      <c r="I48067" s="50"/>
      <c r="O48067" s="36" t="s">
        <v>48</v>
      </c>
      <c r="R48067" s="36" t="s">
        <v>48</v>
      </c>
    </row>
    <row r="48068">
      <c r="H48068" s="50"/>
      <c r="I48068" s="50"/>
      <c r="O48068" s="36" t="s">
        <v>48</v>
      </c>
      <c r="R48068" s="36" t="s">
        <v>48</v>
      </c>
    </row>
    <row r="48069">
      <c r="H48069" s="50"/>
      <c r="I48069" s="50"/>
      <c r="O48069" s="36" t="s">
        <v>48</v>
      </c>
      <c r="R48069" s="36" t="s">
        <v>48</v>
      </c>
    </row>
    <row r="48070">
      <c r="H48070" s="50"/>
      <c r="I48070" s="50"/>
      <c r="O48070" s="36" t="s">
        <v>48</v>
      </c>
      <c r="R48070" s="36" t="s">
        <v>48</v>
      </c>
    </row>
    <row r="48071">
      <c r="H48071" s="50"/>
      <c r="I48071" s="50"/>
      <c r="O48071" s="36" t="s">
        <v>48</v>
      </c>
      <c r="R48071" s="36" t="s">
        <v>48</v>
      </c>
    </row>
    <row r="48072">
      <c r="H48072" s="50"/>
      <c r="I48072" s="50"/>
      <c r="O48072" s="36" t="s">
        <v>48</v>
      </c>
      <c r="R48072" s="36" t="s">
        <v>48</v>
      </c>
    </row>
    <row r="48073">
      <c r="H48073" s="50"/>
      <c r="I48073" s="50"/>
      <c r="O48073" s="36" t="s">
        <v>48</v>
      </c>
      <c r="R48073" s="36" t="s">
        <v>48</v>
      </c>
    </row>
    <row r="48074">
      <c r="H48074" s="50"/>
      <c r="I48074" s="50"/>
      <c r="O48074" s="36" t="s">
        <v>48</v>
      </c>
      <c r="R48074" s="36" t="s">
        <v>48</v>
      </c>
    </row>
    <row r="48075">
      <c r="H48075" s="50"/>
      <c r="I48075" s="50"/>
      <c r="O48075" s="36" t="s">
        <v>48</v>
      </c>
      <c r="R48075" s="36" t="s">
        <v>48</v>
      </c>
    </row>
    <row r="48076">
      <c r="H48076" s="50"/>
      <c r="I48076" s="50"/>
      <c r="O48076" s="36" t="s">
        <v>48</v>
      </c>
      <c r="R48076" s="36" t="s">
        <v>48</v>
      </c>
    </row>
    <row r="48077">
      <c r="H48077" s="50"/>
      <c r="I48077" s="50"/>
      <c r="O48077" s="36" t="s">
        <v>48</v>
      </c>
      <c r="R48077" s="36" t="s">
        <v>48</v>
      </c>
    </row>
    <row r="48078">
      <c r="H48078" s="50"/>
      <c r="I48078" s="50"/>
      <c r="O48078" s="36" t="s">
        <v>48</v>
      </c>
      <c r="R48078" s="36" t="s">
        <v>48</v>
      </c>
    </row>
    <row r="48079">
      <c r="H48079" s="50"/>
      <c r="I48079" s="50"/>
      <c r="O48079" s="36" t="s">
        <v>48</v>
      </c>
      <c r="R48079" s="36" t="s">
        <v>48</v>
      </c>
    </row>
    <row r="48080">
      <c r="H48080" s="50"/>
      <c r="I48080" s="50"/>
      <c r="O48080" s="36" t="s">
        <v>48</v>
      </c>
      <c r="R48080" s="36" t="s">
        <v>48</v>
      </c>
    </row>
    <row r="48081">
      <c r="H48081" s="50"/>
      <c r="I48081" s="50"/>
      <c r="O48081" s="36" t="s">
        <v>48</v>
      </c>
      <c r="R48081" s="36" t="s">
        <v>48</v>
      </c>
    </row>
    <row r="48082">
      <c r="H48082" s="50"/>
      <c r="I48082" s="50"/>
      <c r="O48082" s="36" t="s">
        <v>48</v>
      </c>
      <c r="R48082" s="36" t="s">
        <v>48</v>
      </c>
    </row>
    <row r="48083">
      <c r="H48083" s="50"/>
      <c r="I48083" s="50"/>
      <c r="O48083" s="36" t="s">
        <v>48</v>
      </c>
      <c r="R48083" s="36" t="s">
        <v>48</v>
      </c>
    </row>
    <row r="48084">
      <c r="H48084" s="50"/>
      <c r="I48084" s="50"/>
      <c r="O48084" s="36" t="s">
        <v>48</v>
      </c>
      <c r="R48084" s="36" t="s">
        <v>48</v>
      </c>
    </row>
    <row r="48085">
      <c r="H48085" s="50"/>
      <c r="I48085" s="50"/>
      <c r="O48085" s="36" t="s">
        <v>48</v>
      </c>
      <c r="R48085" s="36" t="s">
        <v>48</v>
      </c>
    </row>
    <row r="48086">
      <c r="H48086" s="50"/>
      <c r="I48086" s="50"/>
      <c r="O48086" s="36" t="s">
        <v>48</v>
      </c>
      <c r="R48086" s="36" t="s">
        <v>48</v>
      </c>
    </row>
    <row r="48087">
      <c r="H48087" s="50"/>
      <c r="I48087" s="50"/>
      <c r="O48087" s="36" t="s">
        <v>48</v>
      </c>
      <c r="R48087" s="36" t="s">
        <v>48</v>
      </c>
    </row>
    <row r="48088">
      <c r="H48088" s="50"/>
      <c r="I48088" s="50"/>
      <c r="O48088" s="36" t="s">
        <v>48</v>
      </c>
      <c r="R48088" s="36" t="s">
        <v>48</v>
      </c>
    </row>
    <row r="48089">
      <c r="H48089" s="50"/>
      <c r="I48089" s="50"/>
      <c r="O48089" s="36" t="s">
        <v>48</v>
      </c>
      <c r="R48089" s="36" t="s">
        <v>48</v>
      </c>
    </row>
    <row r="48090">
      <c r="H48090" s="50"/>
      <c r="I48090" s="50"/>
      <c r="O48090" s="36" t="s">
        <v>48</v>
      </c>
      <c r="R48090" s="36" t="s">
        <v>48</v>
      </c>
    </row>
    <row r="48091">
      <c r="H48091" s="50"/>
      <c r="I48091" s="50"/>
      <c r="O48091" s="36" t="s">
        <v>48</v>
      </c>
      <c r="R48091" s="36" t="s">
        <v>48</v>
      </c>
    </row>
    <row r="48092">
      <c r="H48092" s="50"/>
      <c r="I48092" s="50"/>
      <c r="O48092" s="36" t="s">
        <v>48</v>
      </c>
      <c r="R48092" s="36" t="s">
        <v>48</v>
      </c>
    </row>
    <row r="48093">
      <c r="H48093" s="50"/>
      <c r="I48093" s="50"/>
      <c r="O48093" s="36" t="s">
        <v>48</v>
      </c>
      <c r="R48093" s="36" t="s">
        <v>48</v>
      </c>
    </row>
    <row r="48094">
      <c r="H48094" s="50"/>
      <c r="I48094" s="50"/>
      <c r="O48094" s="36" t="s">
        <v>48</v>
      </c>
      <c r="R48094" s="36" t="s">
        <v>48</v>
      </c>
    </row>
    <row r="48095">
      <c r="H48095" s="50"/>
      <c r="I48095" s="50"/>
      <c r="O48095" s="36" t="s">
        <v>48</v>
      </c>
      <c r="R48095" s="36" t="s">
        <v>48</v>
      </c>
    </row>
    <row r="48096">
      <c r="H48096" s="50"/>
      <c r="I48096" s="50"/>
      <c r="O48096" s="36" t="s">
        <v>48</v>
      </c>
      <c r="R48096" s="36" t="s">
        <v>48</v>
      </c>
    </row>
    <row r="48097">
      <c r="H48097" s="50"/>
      <c r="I48097" s="50"/>
      <c r="O48097" s="36" t="s">
        <v>48</v>
      </c>
      <c r="R48097" s="36" t="s">
        <v>48</v>
      </c>
    </row>
    <row r="48098">
      <c r="H48098" s="50"/>
      <c r="I48098" s="50"/>
      <c r="O48098" s="36" t="s">
        <v>48</v>
      </c>
      <c r="R48098" s="36" t="s">
        <v>48</v>
      </c>
    </row>
    <row r="48099">
      <c r="H48099" s="50"/>
      <c r="I48099" s="50"/>
      <c r="O48099" s="36" t="s">
        <v>48</v>
      </c>
      <c r="R48099" s="36" t="s">
        <v>48</v>
      </c>
    </row>
    <row r="48100">
      <c r="H48100" s="50"/>
      <c r="I48100" s="50"/>
      <c r="O48100" s="36" t="s">
        <v>48</v>
      </c>
      <c r="R48100" s="36" t="s">
        <v>48</v>
      </c>
    </row>
    <row r="48101">
      <c r="H48101" s="50"/>
      <c r="I48101" s="50"/>
      <c r="O48101" s="36" t="s">
        <v>48</v>
      </c>
      <c r="R48101" s="36" t="s">
        <v>48</v>
      </c>
    </row>
    <row r="48102">
      <c r="H48102" s="50"/>
      <c r="I48102" s="50"/>
      <c r="O48102" s="36" t="s">
        <v>48</v>
      </c>
      <c r="R48102" s="36" t="s">
        <v>48</v>
      </c>
    </row>
    <row r="48103">
      <c r="H48103" s="50"/>
      <c r="I48103" s="50"/>
      <c r="O48103" s="36" t="s">
        <v>48</v>
      </c>
      <c r="R48103" s="36" t="s">
        <v>48</v>
      </c>
    </row>
    <row r="48104">
      <c r="H48104" s="50"/>
      <c r="I48104" s="50"/>
      <c r="O48104" s="36" t="s">
        <v>48</v>
      </c>
      <c r="R48104" s="36" t="s">
        <v>48</v>
      </c>
    </row>
    <row r="48105">
      <c r="H48105" s="50"/>
      <c r="I48105" s="50"/>
      <c r="O48105" s="36" t="s">
        <v>48</v>
      </c>
      <c r="R48105" s="36" t="s">
        <v>48</v>
      </c>
    </row>
    <row r="48106">
      <c r="H48106" s="50"/>
      <c r="I48106" s="50"/>
      <c r="O48106" s="36" t="s">
        <v>48</v>
      </c>
      <c r="R48106" s="36" t="s">
        <v>48</v>
      </c>
    </row>
    <row r="48107">
      <c r="H48107" s="50"/>
      <c r="I48107" s="50"/>
      <c r="O48107" s="36" t="s">
        <v>48</v>
      </c>
      <c r="R48107" s="36" t="s">
        <v>48</v>
      </c>
    </row>
    <row r="48108">
      <c r="H48108" s="50"/>
      <c r="I48108" s="50"/>
      <c r="O48108" s="36" t="s">
        <v>48</v>
      </c>
      <c r="R48108" s="36" t="s">
        <v>48</v>
      </c>
    </row>
    <row r="48109">
      <c r="H48109" s="50"/>
      <c r="I48109" s="50"/>
      <c r="O48109" s="36" t="s">
        <v>48</v>
      </c>
      <c r="R48109" s="36" t="s">
        <v>48</v>
      </c>
    </row>
    <row r="48110">
      <c r="H48110" s="50"/>
      <c r="I48110" s="50"/>
      <c r="O48110" s="36" t="s">
        <v>48</v>
      </c>
      <c r="R48110" s="36" t="s">
        <v>48</v>
      </c>
    </row>
    <row r="48111">
      <c r="H48111" s="50"/>
      <c r="I48111" s="50"/>
      <c r="O48111" s="36" t="s">
        <v>48</v>
      </c>
      <c r="R48111" s="36" t="s">
        <v>48</v>
      </c>
    </row>
    <row r="48112">
      <c r="H48112" s="50"/>
      <c r="I48112" s="50"/>
      <c r="O48112" s="36" t="s">
        <v>48</v>
      </c>
      <c r="R48112" s="36" t="s">
        <v>48</v>
      </c>
    </row>
    <row r="48113">
      <c r="H48113" s="50"/>
      <c r="I48113" s="50"/>
      <c r="O48113" s="36" t="s">
        <v>48</v>
      </c>
      <c r="R48113" s="36" t="s">
        <v>48</v>
      </c>
    </row>
    <row r="48114">
      <c r="H48114" s="50"/>
      <c r="I48114" s="50"/>
      <c r="O48114" s="36" t="s">
        <v>48</v>
      </c>
      <c r="R48114" s="36" t="s">
        <v>48</v>
      </c>
    </row>
    <row r="48115">
      <c r="H48115" s="50"/>
      <c r="I48115" s="50"/>
      <c r="O48115" s="36" t="s">
        <v>48</v>
      </c>
      <c r="R48115" s="36" t="s">
        <v>48</v>
      </c>
    </row>
    <row r="48116">
      <c r="H48116" s="50"/>
      <c r="I48116" s="50"/>
      <c r="O48116" s="36" t="s">
        <v>48</v>
      </c>
      <c r="R48116" s="36" t="s">
        <v>48</v>
      </c>
    </row>
    <row r="48117">
      <c r="H48117" s="50"/>
      <c r="I48117" s="50"/>
      <c r="O48117" s="36" t="s">
        <v>48</v>
      </c>
      <c r="R48117" s="36" t="s">
        <v>48</v>
      </c>
    </row>
    <row r="48118">
      <c r="H48118" s="50"/>
      <c r="I48118" s="50"/>
      <c r="O48118" s="36" t="s">
        <v>48</v>
      </c>
      <c r="R48118" s="36" t="s">
        <v>48</v>
      </c>
    </row>
    <row r="48119">
      <c r="H48119" s="50"/>
      <c r="I48119" s="50"/>
      <c r="O48119" s="36" t="s">
        <v>48</v>
      </c>
      <c r="R48119" s="36" t="s">
        <v>48</v>
      </c>
    </row>
    <row r="48120">
      <c r="H48120" s="50"/>
      <c r="I48120" s="50"/>
      <c r="O48120" s="36" t="s">
        <v>48</v>
      </c>
      <c r="R48120" s="36" t="s">
        <v>48</v>
      </c>
    </row>
    <row r="48121">
      <c r="H48121" s="50"/>
      <c r="I48121" s="50"/>
      <c r="O48121" s="36" t="s">
        <v>48</v>
      </c>
      <c r="R48121" s="36" t="s">
        <v>48</v>
      </c>
    </row>
    <row r="48122">
      <c r="H48122" s="50"/>
      <c r="I48122" s="50"/>
      <c r="O48122" s="36" t="s">
        <v>48</v>
      </c>
      <c r="R48122" s="36" t="s">
        <v>48</v>
      </c>
    </row>
    <row r="48123">
      <c r="H48123" s="50"/>
      <c r="I48123" s="50"/>
      <c r="O48123" s="36" t="s">
        <v>48</v>
      </c>
      <c r="R48123" s="36" t="s">
        <v>48</v>
      </c>
    </row>
    <row r="48124">
      <c r="H48124" s="50"/>
      <c r="I48124" s="50"/>
      <c r="O48124" s="36" t="s">
        <v>48</v>
      </c>
      <c r="R48124" s="36" t="s">
        <v>48</v>
      </c>
    </row>
    <row r="48125">
      <c r="H48125" s="50"/>
      <c r="I48125" s="50"/>
      <c r="O48125" s="36" t="s">
        <v>48</v>
      </c>
      <c r="R48125" s="36" t="s">
        <v>48</v>
      </c>
    </row>
    <row r="48126">
      <c r="H48126" s="50"/>
      <c r="I48126" s="50"/>
      <c r="O48126" s="36" t="s">
        <v>48</v>
      </c>
      <c r="R48126" s="36" t="s">
        <v>48</v>
      </c>
    </row>
    <row r="48127">
      <c r="H48127" s="50"/>
      <c r="I48127" s="50"/>
      <c r="O48127" s="36" t="s">
        <v>48</v>
      </c>
      <c r="R48127" s="36" t="s">
        <v>48</v>
      </c>
    </row>
    <row r="48128">
      <c r="H48128" s="50"/>
      <c r="I48128" s="50"/>
      <c r="O48128" s="36" t="s">
        <v>48</v>
      </c>
      <c r="R48128" s="36" t="s">
        <v>48</v>
      </c>
    </row>
    <row r="48129">
      <c r="H48129" s="50"/>
      <c r="I48129" s="50"/>
      <c r="O48129" s="36" t="s">
        <v>48</v>
      </c>
      <c r="R48129" s="36" t="s">
        <v>48</v>
      </c>
    </row>
    <row r="48130">
      <c r="H48130" s="50"/>
      <c r="I48130" s="50"/>
      <c r="O48130" s="36" t="s">
        <v>48</v>
      </c>
      <c r="R48130" s="36" t="s">
        <v>48</v>
      </c>
    </row>
    <row r="48131">
      <c r="H48131" s="50"/>
      <c r="I48131" s="50"/>
      <c r="O48131" s="36" t="s">
        <v>48</v>
      </c>
      <c r="R48131" s="36" t="s">
        <v>48</v>
      </c>
    </row>
    <row r="48132">
      <c r="H48132" s="50"/>
      <c r="I48132" s="50"/>
      <c r="O48132" s="36" t="s">
        <v>48</v>
      </c>
      <c r="R48132" s="36" t="s">
        <v>48</v>
      </c>
    </row>
    <row r="48133">
      <c r="H48133" s="50"/>
      <c r="I48133" s="50"/>
      <c r="O48133" s="36" t="s">
        <v>48</v>
      </c>
      <c r="R48133" s="36" t="s">
        <v>48</v>
      </c>
    </row>
    <row r="48134">
      <c r="H48134" s="50"/>
      <c r="I48134" s="50"/>
      <c r="O48134" s="36" t="s">
        <v>48</v>
      </c>
      <c r="R48134" s="36" t="s">
        <v>48</v>
      </c>
    </row>
    <row r="48135">
      <c r="H48135" s="50"/>
      <c r="I48135" s="50"/>
      <c r="O48135" s="36" t="s">
        <v>48</v>
      </c>
      <c r="R48135" s="36" t="s">
        <v>48</v>
      </c>
    </row>
    <row r="48136">
      <c r="H48136" s="50"/>
      <c r="I48136" s="50"/>
      <c r="O48136" s="36" t="s">
        <v>48</v>
      </c>
      <c r="R48136" s="36" t="s">
        <v>48</v>
      </c>
    </row>
    <row r="48137">
      <c r="H48137" s="50"/>
      <c r="I48137" s="50"/>
      <c r="O48137" s="36" t="s">
        <v>48</v>
      </c>
      <c r="R48137" s="36" t="s">
        <v>48</v>
      </c>
    </row>
    <row r="48138">
      <c r="H48138" s="50"/>
      <c r="I48138" s="50"/>
      <c r="O48138" s="36" t="s">
        <v>48</v>
      </c>
      <c r="R48138" s="36" t="s">
        <v>48</v>
      </c>
    </row>
    <row r="48139">
      <c r="H48139" s="50"/>
      <c r="I48139" s="50"/>
      <c r="O48139" s="36" t="s">
        <v>48</v>
      </c>
      <c r="R48139" s="36" t="s">
        <v>48</v>
      </c>
    </row>
    <row r="48140">
      <c r="H48140" s="50"/>
      <c r="I48140" s="50"/>
      <c r="O48140" s="36" t="s">
        <v>48</v>
      </c>
      <c r="R48140" s="36" t="s">
        <v>48</v>
      </c>
    </row>
    <row r="48141">
      <c r="H48141" s="50"/>
      <c r="I48141" s="50"/>
      <c r="O48141" s="36" t="s">
        <v>48</v>
      </c>
      <c r="R48141" s="36" t="s">
        <v>48</v>
      </c>
    </row>
    <row r="48142">
      <c r="H48142" s="50"/>
      <c r="I48142" s="50"/>
      <c r="O48142" s="36" t="s">
        <v>48</v>
      </c>
      <c r="R48142" s="36" t="s">
        <v>48</v>
      </c>
    </row>
    <row r="48143">
      <c r="H48143" s="50"/>
      <c r="I48143" s="50"/>
      <c r="O48143" s="36" t="s">
        <v>48</v>
      </c>
      <c r="R48143" s="36" t="s">
        <v>48</v>
      </c>
    </row>
    <row r="48144">
      <c r="H48144" s="50"/>
      <c r="I48144" s="50"/>
      <c r="O48144" s="36" t="s">
        <v>48</v>
      </c>
      <c r="R48144" s="36" t="s">
        <v>48</v>
      </c>
    </row>
    <row r="48145">
      <c r="H48145" s="50"/>
      <c r="I48145" s="50"/>
      <c r="O48145" s="36" t="s">
        <v>48</v>
      </c>
      <c r="R48145" s="36" t="s">
        <v>48</v>
      </c>
    </row>
    <row r="48146">
      <c r="H48146" s="50"/>
      <c r="I48146" s="50"/>
      <c r="O48146" s="36" t="s">
        <v>48</v>
      </c>
      <c r="R48146" s="36" t="s">
        <v>48</v>
      </c>
    </row>
    <row r="48147">
      <c r="H48147" s="50"/>
      <c r="I48147" s="50"/>
      <c r="O48147" s="36" t="s">
        <v>48</v>
      </c>
      <c r="R48147" s="36" t="s">
        <v>48</v>
      </c>
    </row>
    <row r="48148">
      <c r="H48148" s="50"/>
      <c r="I48148" s="50"/>
      <c r="O48148" s="36" t="s">
        <v>48</v>
      </c>
      <c r="R48148" s="36" t="s">
        <v>48</v>
      </c>
    </row>
    <row r="48149">
      <c r="H48149" s="50"/>
      <c r="I48149" s="50"/>
      <c r="O48149" s="36" t="s">
        <v>48</v>
      </c>
      <c r="R48149" s="36" t="s">
        <v>48</v>
      </c>
    </row>
    <row r="48150">
      <c r="H48150" s="50"/>
      <c r="I48150" s="50"/>
      <c r="O48150" s="36" t="s">
        <v>48</v>
      </c>
      <c r="R48150" s="36" t="s">
        <v>48</v>
      </c>
    </row>
    <row r="48151">
      <c r="H48151" s="50"/>
      <c r="I48151" s="50"/>
      <c r="O48151" s="36" t="s">
        <v>48</v>
      </c>
      <c r="R48151" s="36" t="s">
        <v>48</v>
      </c>
    </row>
    <row r="48152">
      <c r="H48152" s="50"/>
      <c r="I48152" s="50"/>
      <c r="O48152" s="36" t="s">
        <v>48</v>
      </c>
      <c r="R48152" s="36" t="s">
        <v>48</v>
      </c>
    </row>
    <row r="48153">
      <c r="H48153" s="50"/>
      <c r="I48153" s="50"/>
      <c r="O48153" s="36" t="s">
        <v>48</v>
      </c>
      <c r="R48153" s="36" t="s">
        <v>48</v>
      </c>
    </row>
    <row r="48154">
      <c r="H48154" s="50"/>
      <c r="I48154" s="50"/>
      <c r="O48154" s="36" t="s">
        <v>48</v>
      </c>
      <c r="R48154" s="36" t="s">
        <v>48</v>
      </c>
    </row>
    <row r="48155">
      <c r="H48155" s="50"/>
      <c r="I48155" s="50"/>
      <c r="O48155" s="36" t="s">
        <v>48</v>
      </c>
      <c r="R48155" s="36" t="s">
        <v>48</v>
      </c>
    </row>
    <row r="48156">
      <c r="H48156" s="50"/>
      <c r="I48156" s="50"/>
      <c r="O48156" s="36" t="s">
        <v>48</v>
      </c>
      <c r="R48156" s="36" t="s">
        <v>48</v>
      </c>
    </row>
    <row r="48157">
      <c r="H48157" s="50"/>
      <c r="I48157" s="50"/>
      <c r="O48157" s="36" t="s">
        <v>48</v>
      </c>
      <c r="R48157" s="36" t="s">
        <v>48</v>
      </c>
    </row>
    <row r="48158">
      <c r="H48158" s="50"/>
      <c r="I48158" s="50"/>
      <c r="O48158" s="36" t="s">
        <v>48</v>
      </c>
      <c r="R48158" s="36" t="s">
        <v>48</v>
      </c>
    </row>
    <row r="48159">
      <c r="H48159" s="50"/>
      <c r="I48159" s="50"/>
      <c r="O48159" s="36" t="s">
        <v>48</v>
      </c>
      <c r="R48159" s="36" t="s">
        <v>48</v>
      </c>
    </row>
    <row r="48160">
      <c r="H48160" s="50"/>
      <c r="I48160" s="50"/>
      <c r="O48160" s="36" t="s">
        <v>48</v>
      </c>
      <c r="R48160" s="36" t="s">
        <v>48</v>
      </c>
    </row>
    <row r="48161">
      <c r="H48161" s="50"/>
      <c r="I48161" s="50"/>
      <c r="O48161" s="36" t="s">
        <v>48</v>
      </c>
      <c r="R48161" s="36" t="s">
        <v>48</v>
      </c>
    </row>
    <row r="48162">
      <c r="H48162" s="50"/>
      <c r="I48162" s="50"/>
      <c r="O48162" s="36" t="s">
        <v>48</v>
      </c>
      <c r="R48162" s="36" t="s">
        <v>48</v>
      </c>
    </row>
    <row r="48163">
      <c r="H48163" s="50"/>
      <c r="I48163" s="50"/>
      <c r="O48163" s="36" t="s">
        <v>48</v>
      </c>
      <c r="R48163" s="36" t="s">
        <v>48</v>
      </c>
    </row>
    <row r="48164">
      <c r="H48164" s="50"/>
      <c r="I48164" s="50"/>
      <c r="O48164" s="36" t="s">
        <v>48</v>
      </c>
      <c r="R48164" s="36" t="s">
        <v>48</v>
      </c>
    </row>
    <row r="48165">
      <c r="H48165" s="50"/>
      <c r="I48165" s="50"/>
      <c r="O48165" s="36" t="s">
        <v>48</v>
      </c>
      <c r="R48165" s="36" t="s">
        <v>48</v>
      </c>
    </row>
    <row r="48166">
      <c r="H48166" s="50"/>
      <c r="I48166" s="50"/>
      <c r="O48166" s="36" t="s">
        <v>48</v>
      </c>
      <c r="R48166" s="36" t="s">
        <v>48</v>
      </c>
    </row>
    <row r="48167">
      <c r="H48167" s="50"/>
      <c r="I48167" s="50"/>
      <c r="O48167" s="36" t="s">
        <v>48</v>
      </c>
      <c r="R48167" s="36" t="s">
        <v>48</v>
      </c>
    </row>
    <row r="48168">
      <c r="H48168" s="50"/>
      <c r="I48168" s="50"/>
      <c r="O48168" s="36" t="s">
        <v>48</v>
      </c>
      <c r="R48168" s="36" t="s">
        <v>48</v>
      </c>
    </row>
    <row r="48169">
      <c r="H48169" s="50"/>
      <c r="I48169" s="50"/>
      <c r="O48169" s="36" t="s">
        <v>48</v>
      </c>
      <c r="R48169" s="36" t="s">
        <v>48</v>
      </c>
    </row>
    <row r="48170">
      <c r="H48170" s="50"/>
      <c r="I48170" s="50"/>
      <c r="O48170" s="36" t="s">
        <v>48</v>
      </c>
      <c r="R48170" s="36" t="s">
        <v>48</v>
      </c>
    </row>
    <row r="48171">
      <c r="H48171" s="50"/>
      <c r="I48171" s="50"/>
      <c r="O48171" s="36" t="s">
        <v>48</v>
      </c>
      <c r="R48171" s="36" t="s">
        <v>48</v>
      </c>
    </row>
    <row r="48172">
      <c r="H48172" s="50"/>
      <c r="I48172" s="50"/>
      <c r="O48172" s="36" t="s">
        <v>48</v>
      </c>
      <c r="R48172" s="36" t="s">
        <v>48</v>
      </c>
    </row>
    <row r="48173">
      <c r="H48173" s="50"/>
      <c r="I48173" s="50"/>
      <c r="O48173" s="36" t="s">
        <v>48</v>
      </c>
      <c r="R48173" s="36" t="s">
        <v>48</v>
      </c>
    </row>
    <row r="48174">
      <c r="H48174" s="50"/>
      <c r="I48174" s="50"/>
      <c r="O48174" s="36" t="s">
        <v>48</v>
      </c>
      <c r="R48174" s="36" t="s">
        <v>48</v>
      </c>
    </row>
    <row r="48175">
      <c r="H48175" s="50"/>
      <c r="I48175" s="50"/>
      <c r="O48175" s="36" t="s">
        <v>48</v>
      </c>
      <c r="R48175" s="36" t="s">
        <v>48</v>
      </c>
    </row>
    <row r="48176">
      <c r="H48176" s="50"/>
      <c r="I48176" s="50"/>
      <c r="O48176" s="36" t="s">
        <v>48</v>
      </c>
      <c r="R48176" s="36" t="s">
        <v>48</v>
      </c>
    </row>
    <row r="48177">
      <c r="H48177" s="50"/>
      <c r="I48177" s="50"/>
      <c r="O48177" s="36" t="s">
        <v>48</v>
      </c>
      <c r="R48177" s="36" t="s">
        <v>48</v>
      </c>
    </row>
    <row r="48178">
      <c r="H48178" s="50"/>
      <c r="I48178" s="50"/>
      <c r="O48178" s="36" t="s">
        <v>48</v>
      </c>
      <c r="R48178" s="36" t="s">
        <v>48</v>
      </c>
    </row>
    <row r="48179">
      <c r="H48179" s="50"/>
      <c r="I48179" s="50"/>
      <c r="O48179" s="36" t="s">
        <v>48</v>
      </c>
      <c r="R48179" s="36" t="s">
        <v>48</v>
      </c>
    </row>
    <row r="48180">
      <c r="H48180" s="50"/>
      <c r="I48180" s="50"/>
      <c r="O48180" s="36" t="s">
        <v>48</v>
      </c>
      <c r="R48180" s="36" t="s">
        <v>48</v>
      </c>
    </row>
    <row r="48181">
      <c r="H48181" s="50"/>
      <c r="I48181" s="50"/>
      <c r="O48181" s="36" t="s">
        <v>48</v>
      </c>
      <c r="R48181" s="36" t="s">
        <v>48</v>
      </c>
    </row>
    <row r="48182">
      <c r="H48182" s="50"/>
      <c r="I48182" s="50"/>
      <c r="O48182" s="36" t="s">
        <v>48</v>
      </c>
      <c r="R48182" s="36" t="s">
        <v>48</v>
      </c>
    </row>
    <row r="48183">
      <c r="H48183" s="50"/>
      <c r="I48183" s="50"/>
      <c r="O48183" s="36" t="s">
        <v>48</v>
      </c>
      <c r="R48183" s="36" t="s">
        <v>48</v>
      </c>
    </row>
    <row r="48184">
      <c r="H48184" s="50"/>
      <c r="I48184" s="50"/>
      <c r="O48184" s="36" t="s">
        <v>48</v>
      </c>
      <c r="R48184" s="36" t="s">
        <v>48</v>
      </c>
    </row>
    <row r="48185">
      <c r="H48185" s="50"/>
      <c r="I48185" s="50"/>
      <c r="O48185" s="36" t="s">
        <v>48</v>
      </c>
      <c r="R48185" s="36" t="s">
        <v>48</v>
      </c>
    </row>
    <row r="48186">
      <c r="H48186" s="50"/>
      <c r="I48186" s="50"/>
      <c r="O48186" s="36" t="s">
        <v>48</v>
      </c>
      <c r="R48186" s="36" t="s">
        <v>48</v>
      </c>
    </row>
    <row r="48187">
      <c r="H48187" s="50"/>
      <c r="I48187" s="50"/>
      <c r="O48187" s="36" t="s">
        <v>48</v>
      </c>
      <c r="R48187" s="36" t="s">
        <v>48</v>
      </c>
    </row>
    <row r="48188">
      <c r="H48188" s="50"/>
      <c r="I48188" s="50"/>
      <c r="O48188" s="36" t="s">
        <v>48</v>
      </c>
      <c r="R48188" s="36" t="s">
        <v>48</v>
      </c>
    </row>
    <row r="48189">
      <c r="H48189" s="50"/>
      <c r="I48189" s="50"/>
      <c r="O48189" s="36" t="s">
        <v>48</v>
      </c>
      <c r="R48189" s="36" t="s">
        <v>48</v>
      </c>
    </row>
    <row r="48190">
      <c r="H48190" s="50"/>
      <c r="I48190" s="50"/>
      <c r="O48190" s="36" t="s">
        <v>48</v>
      </c>
      <c r="R48190" s="36" t="s">
        <v>48</v>
      </c>
    </row>
    <row r="48191">
      <c r="H48191" s="50"/>
      <c r="I48191" s="50"/>
      <c r="O48191" s="36" t="s">
        <v>48</v>
      </c>
      <c r="R48191" s="36" t="s">
        <v>48</v>
      </c>
    </row>
    <row r="48192">
      <c r="H48192" s="50"/>
      <c r="I48192" s="50"/>
      <c r="O48192" s="36" t="s">
        <v>48</v>
      </c>
      <c r="R48192" s="36" t="s">
        <v>48</v>
      </c>
    </row>
    <row r="48193">
      <c r="H48193" s="50"/>
      <c r="I48193" s="50"/>
      <c r="O48193" s="36" t="s">
        <v>48</v>
      </c>
      <c r="R48193" s="36" t="s">
        <v>48</v>
      </c>
    </row>
    <row r="48194">
      <c r="H48194" s="50"/>
      <c r="I48194" s="50"/>
      <c r="O48194" s="36" t="s">
        <v>48</v>
      </c>
      <c r="R48194" s="36" t="s">
        <v>48</v>
      </c>
    </row>
    <row r="48195">
      <c r="H48195" s="50"/>
      <c r="I48195" s="50"/>
      <c r="O48195" s="36" t="s">
        <v>48</v>
      </c>
      <c r="R48195" s="36" t="s">
        <v>48</v>
      </c>
    </row>
    <row r="48196">
      <c r="H48196" s="50"/>
      <c r="I48196" s="50"/>
      <c r="O48196" s="36" t="s">
        <v>48</v>
      </c>
      <c r="R48196" s="36" t="s">
        <v>48</v>
      </c>
    </row>
    <row r="48197">
      <c r="H48197" s="50"/>
      <c r="I48197" s="50"/>
      <c r="O48197" s="36" t="s">
        <v>48</v>
      </c>
      <c r="R48197" s="36" t="s">
        <v>48</v>
      </c>
    </row>
    <row r="48198">
      <c r="H48198" s="50"/>
      <c r="I48198" s="50"/>
      <c r="O48198" s="36" t="s">
        <v>48</v>
      </c>
      <c r="R48198" s="36" t="s">
        <v>48</v>
      </c>
    </row>
    <row r="48199">
      <c r="H48199" s="50"/>
      <c r="I48199" s="50"/>
      <c r="O48199" s="36" t="s">
        <v>48</v>
      </c>
      <c r="R48199" s="36" t="s">
        <v>48</v>
      </c>
    </row>
    <row r="48200">
      <c r="H48200" s="50"/>
      <c r="I48200" s="50"/>
      <c r="O48200" s="36" t="s">
        <v>48</v>
      </c>
      <c r="R48200" s="36" t="s">
        <v>48</v>
      </c>
    </row>
    <row r="48201">
      <c r="H48201" s="50"/>
      <c r="I48201" s="50"/>
      <c r="O48201" s="36" t="s">
        <v>48</v>
      </c>
      <c r="R48201" s="36" t="s">
        <v>48</v>
      </c>
    </row>
    <row r="48202">
      <c r="H48202" s="50"/>
      <c r="I48202" s="50"/>
      <c r="O48202" s="36" t="s">
        <v>48</v>
      </c>
      <c r="R48202" s="36" t="s">
        <v>48</v>
      </c>
    </row>
    <row r="48203">
      <c r="H48203" s="50"/>
      <c r="I48203" s="50"/>
      <c r="O48203" s="36" t="s">
        <v>48</v>
      </c>
      <c r="R48203" s="36" t="s">
        <v>48</v>
      </c>
    </row>
    <row r="48204">
      <c r="H48204" s="50"/>
      <c r="I48204" s="50"/>
      <c r="O48204" s="36" t="s">
        <v>48</v>
      </c>
      <c r="R48204" s="36" t="s">
        <v>48</v>
      </c>
    </row>
    <row r="48205">
      <c r="H48205" s="50"/>
      <c r="I48205" s="50"/>
      <c r="O48205" s="36" t="s">
        <v>48</v>
      </c>
      <c r="R48205" s="36" t="s">
        <v>48</v>
      </c>
    </row>
    <row r="48206">
      <c r="H48206" s="50"/>
      <c r="I48206" s="50"/>
      <c r="O48206" s="36" t="s">
        <v>48</v>
      </c>
      <c r="R48206" s="36" t="s">
        <v>48</v>
      </c>
    </row>
    <row r="48207">
      <c r="H48207" s="50"/>
      <c r="I48207" s="50"/>
      <c r="O48207" s="36" t="s">
        <v>48</v>
      </c>
      <c r="R48207" s="36" t="s">
        <v>48</v>
      </c>
    </row>
    <row r="48208">
      <c r="H48208" s="50"/>
      <c r="I48208" s="50"/>
      <c r="O48208" s="36" t="s">
        <v>48</v>
      </c>
      <c r="R48208" s="36" t="s">
        <v>48</v>
      </c>
    </row>
    <row r="48209">
      <c r="H48209" s="50"/>
      <c r="I48209" s="50"/>
      <c r="O48209" s="36" t="s">
        <v>48</v>
      </c>
      <c r="R48209" s="36" t="s">
        <v>48</v>
      </c>
    </row>
    <row r="48210">
      <c r="H48210" s="50"/>
      <c r="I48210" s="50"/>
      <c r="O48210" s="36" t="s">
        <v>48</v>
      </c>
      <c r="R48210" s="36" t="s">
        <v>48</v>
      </c>
    </row>
    <row r="48211">
      <c r="H48211" s="50"/>
      <c r="I48211" s="50"/>
      <c r="O48211" s="36" t="s">
        <v>48</v>
      </c>
      <c r="R48211" s="36" t="s">
        <v>48</v>
      </c>
    </row>
    <row r="48212">
      <c r="H48212" s="50"/>
      <c r="I48212" s="50"/>
      <c r="O48212" s="36" t="s">
        <v>48</v>
      </c>
      <c r="R48212" s="36" t="s">
        <v>48</v>
      </c>
    </row>
    <row r="48213">
      <c r="H48213" s="50"/>
      <c r="I48213" s="50"/>
      <c r="O48213" s="36" t="s">
        <v>48</v>
      </c>
      <c r="R48213" s="36" t="s">
        <v>48</v>
      </c>
    </row>
    <row r="48214">
      <c r="H48214" s="50"/>
      <c r="I48214" s="50"/>
      <c r="O48214" s="36" t="s">
        <v>48</v>
      </c>
      <c r="R48214" s="36" t="s">
        <v>48</v>
      </c>
    </row>
    <row r="48215">
      <c r="H48215" s="50"/>
      <c r="I48215" s="50"/>
      <c r="O48215" s="36" t="s">
        <v>48</v>
      </c>
      <c r="R48215" s="36" t="s">
        <v>48</v>
      </c>
    </row>
    <row r="48216">
      <c r="H48216" s="50"/>
      <c r="I48216" s="50"/>
      <c r="O48216" s="36" t="s">
        <v>48</v>
      </c>
      <c r="R48216" s="36" t="s">
        <v>48</v>
      </c>
    </row>
    <row r="48217">
      <c r="H48217" s="50"/>
      <c r="I48217" s="50"/>
      <c r="O48217" s="36" t="s">
        <v>48</v>
      </c>
      <c r="R48217" s="36" t="s">
        <v>48</v>
      </c>
    </row>
    <row r="48218">
      <c r="H48218" s="50"/>
      <c r="I48218" s="50"/>
      <c r="O48218" s="36" t="s">
        <v>48</v>
      </c>
      <c r="R48218" s="36" t="s">
        <v>48</v>
      </c>
    </row>
    <row r="48219">
      <c r="H48219" s="50"/>
      <c r="I48219" s="50"/>
      <c r="O48219" s="36" t="s">
        <v>48</v>
      </c>
      <c r="R48219" s="36" t="s">
        <v>48</v>
      </c>
    </row>
    <row r="48220">
      <c r="H48220" s="50"/>
      <c r="I48220" s="50"/>
      <c r="O48220" s="36" t="s">
        <v>48</v>
      </c>
      <c r="R48220" s="36" t="s">
        <v>48</v>
      </c>
    </row>
    <row r="48221">
      <c r="H48221" s="50"/>
      <c r="I48221" s="50"/>
      <c r="O48221" s="36" t="s">
        <v>48</v>
      </c>
      <c r="R48221" s="36" t="s">
        <v>48</v>
      </c>
    </row>
    <row r="48222">
      <c r="H48222" s="50"/>
      <c r="I48222" s="50"/>
      <c r="O48222" s="36" t="s">
        <v>48</v>
      </c>
      <c r="R48222" s="36" t="s">
        <v>48</v>
      </c>
    </row>
    <row r="48223">
      <c r="H48223" s="50"/>
      <c r="I48223" s="50"/>
      <c r="O48223" s="36" t="s">
        <v>48</v>
      </c>
      <c r="R48223" s="36" t="s">
        <v>48</v>
      </c>
    </row>
    <row r="48224">
      <c r="H48224" s="50"/>
      <c r="I48224" s="50"/>
      <c r="O48224" s="36" t="s">
        <v>48</v>
      </c>
      <c r="R48224" s="36" t="s">
        <v>48</v>
      </c>
    </row>
    <row r="48225">
      <c r="H48225" s="50"/>
      <c r="I48225" s="50"/>
      <c r="O48225" s="36" t="s">
        <v>48</v>
      </c>
      <c r="R48225" s="36" t="s">
        <v>48</v>
      </c>
    </row>
    <row r="48226">
      <c r="H48226" s="50"/>
      <c r="I48226" s="50"/>
      <c r="O48226" s="36" t="s">
        <v>48</v>
      </c>
      <c r="R48226" s="36" t="s">
        <v>48</v>
      </c>
    </row>
    <row r="48227">
      <c r="H48227" s="50"/>
      <c r="I48227" s="50"/>
      <c r="O48227" s="36" t="s">
        <v>48</v>
      </c>
      <c r="R48227" s="36" t="s">
        <v>48</v>
      </c>
    </row>
    <row r="48228">
      <c r="H48228" s="50"/>
      <c r="I48228" s="50"/>
      <c r="O48228" s="36" t="s">
        <v>48</v>
      </c>
      <c r="R48228" s="36" t="s">
        <v>48</v>
      </c>
    </row>
    <row r="48229">
      <c r="H48229" s="50"/>
      <c r="I48229" s="50"/>
      <c r="O48229" s="36" t="s">
        <v>48</v>
      </c>
      <c r="R48229" s="36" t="s">
        <v>48</v>
      </c>
    </row>
    <row r="48230">
      <c r="H48230" s="50"/>
      <c r="I48230" s="50"/>
      <c r="O48230" s="36" t="s">
        <v>48</v>
      </c>
      <c r="R48230" s="36" t="s">
        <v>48</v>
      </c>
    </row>
    <row r="48231">
      <c r="H48231" s="50"/>
      <c r="I48231" s="50"/>
      <c r="O48231" s="36" t="s">
        <v>48</v>
      </c>
      <c r="R48231" s="36" t="s">
        <v>48</v>
      </c>
    </row>
    <row r="48232">
      <c r="H48232" s="50"/>
      <c r="I48232" s="50"/>
      <c r="O48232" s="36" t="s">
        <v>48</v>
      </c>
      <c r="R48232" s="36" t="s">
        <v>48</v>
      </c>
    </row>
    <row r="48233">
      <c r="H48233" s="50"/>
      <c r="I48233" s="50"/>
      <c r="O48233" s="36" t="s">
        <v>48</v>
      </c>
      <c r="R48233" s="36" t="s">
        <v>48</v>
      </c>
    </row>
    <row r="48234">
      <c r="H48234" s="50"/>
      <c r="I48234" s="50"/>
      <c r="O48234" s="36" t="s">
        <v>48</v>
      </c>
      <c r="R48234" s="36" t="s">
        <v>48</v>
      </c>
    </row>
    <row r="48235">
      <c r="H48235" s="50"/>
      <c r="I48235" s="50"/>
      <c r="O48235" s="36" t="s">
        <v>48</v>
      </c>
      <c r="R48235" s="36" t="s">
        <v>48</v>
      </c>
    </row>
    <row r="48236">
      <c r="H48236" s="50"/>
      <c r="I48236" s="50"/>
      <c r="O48236" s="36" t="s">
        <v>48</v>
      </c>
      <c r="R48236" s="36" t="s">
        <v>48</v>
      </c>
    </row>
    <row r="48237">
      <c r="H48237" s="50"/>
      <c r="I48237" s="50"/>
      <c r="O48237" s="36" t="s">
        <v>48</v>
      </c>
      <c r="R48237" s="36" t="s">
        <v>48</v>
      </c>
    </row>
    <row r="48238">
      <c r="H48238" s="50"/>
      <c r="I48238" s="50"/>
      <c r="O48238" s="36" t="s">
        <v>48</v>
      </c>
      <c r="R48238" s="36" t="s">
        <v>48</v>
      </c>
    </row>
    <row r="48239">
      <c r="H48239" s="50"/>
      <c r="I48239" s="50"/>
      <c r="O48239" s="36" t="s">
        <v>48</v>
      </c>
      <c r="R48239" s="36" t="s">
        <v>48</v>
      </c>
    </row>
    <row r="48240">
      <c r="H48240" s="50"/>
      <c r="I48240" s="50"/>
      <c r="O48240" s="36" t="s">
        <v>48</v>
      </c>
      <c r="R48240" s="36" t="s">
        <v>48</v>
      </c>
    </row>
    <row r="48241">
      <c r="H48241" s="50"/>
      <c r="I48241" s="50"/>
      <c r="O48241" s="36" t="s">
        <v>48</v>
      </c>
      <c r="R48241" s="36" t="s">
        <v>48</v>
      </c>
    </row>
    <row r="48242">
      <c r="H48242" s="50"/>
      <c r="I48242" s="50"/>
      <c r="O48242" s="36" t="s">
        <v>48</v>
      </c>
      <c r="R48242" s="36" t="s">
        <v>48</v>
      </c>
    </row>
    <row r="48243">
      <c r="H48243" s="50"/>
      <c r="I48243" s="50"/>
      <c r="O48243" s="36" t="s">
        <v>48</v>
      </c>
      <c r="R48243" s="36" t="s">
        <v>48</v>
      </c>
    </row>
    <row r="48244">
      <c r="H48244" s="50"/>
      <c r="I48244" s="50"/>
      <c r="O48244" s="36" t="s">
        <v>48</v>
      </c>
      <c r="R48244" s="36" t="s">
        <v>48</v>
      </c>
    </row>
    <row r="48245">
      <c r="H48245" s="50"/>
      <c r="I48245" s="50"/>
      <c r="O48245" s="36" t="s">
        <v>48</v>
      </c>
      <c r="R48245" s="36" t="s">
        <v>48</v>
      </c>
    </row>
    <row r="48246">
      <c r="H48246" s="50"/>
      <c r="I48246" s="50"/>
      <c r="O48246" s="36" t="s">
        <v>48</v>
      </c>
      <c r="R48246" s="36" t="s">
        <v>48</v>
      </c>
    </row>
    <row r="48247">
      <c r="H48247" s="50"/>
      <c r="I48247" s="50"/>
      <c r="O48247" s="36" t="s">
        <v>48</v>
      </c>
      <c r="R48247" s="36" t="s">
        <v>48</v>
      </c>
    </row>
    <row r="48248">
      <c r="H48248" s="50"/>
      <c r="I48248" s="50"/>
      <c r="O48248" s="36" t="s">
        <v>48</v>
      </c>
      <c r="R48248" s="36" t="s">
        <v>48</v>
      </c>
    </row>
    <row r="48249">
      <c r="H48249" s="50"/>
      <c r="I48249" s="50"/>
      <c r="O48249" s="36" t="s">
        <v>48</v>
      </c>
      <c r="R48249" s="36" t="s">
        <v>48</v>
      </c>
    </row>
    <row r="48250">
      <c r="H48250" s="50"/>
      <c r="I48250" s="50"/>
      <c r="O48250" s="36" t="s">
        <v>48</v>
      </c>
      <c r="R48250" s="36" t="s">
        <v>48</v>
      </c>
    </row>
    <row r="48251">
      <c r="H48251" s="50"/>
      <c r="I48251" s="50"/>
      <c r="O48251" s="36" t="s">
        <v>48</v>
      </c>
      <c r="R48251" s="36" t="s">
        <v>48</v>
      </c>
    </row>
    <row r="48252">
      <c r="H48252" s="50"/>
      <c r="I48252" s="50"/>
      <c r="O48252" s="36" t="s">
        <v>48</v>
      </c>
      <c r="R48252" s="36" t="s">
        <v>48</v>
      </c>
    </row>
    <row r="48253">
      <c r="H48253" s="50"/>
      <c r="I48253" s="50"/>
      <c r="O48253" s="36" t="s">
        <v>48</v>
      </c>
      <c r="R48253" s="36" t="s">
        <v>48</v>
      </c>
    </row>
    <row r="48254">
      <c r="H48254" s="50"/>
      <c r="I48254" s="50"/>
      <c r="O48254" s="36" t="s">
        <v>48</v>
      </c>
      <c r="R48254" s="36" t="s">
        <v>48</v>
      </c>
    </row>
    <row r="48255">
      <c r="H48255" s="50"/>
      <c r="I48255" s="50"/>
      <c r="O48255" s="36" t="s">
        <v>48</v>
      </c>
      <c r="R48255" s="36" t="s">
        <v>48</v>
      </c>
    </row>
    <row r="48256">
      <c r="H48256" s="50"/>
      <c r="I48256" s="50"/>
      <c r="O48256" s="36" t="s">
        <v>48</v>
      </c>
      <c r="R48256" s="36" t="s">
        <v>48</v>
      </c>
    </row>
    <row r="48257">
      <c r="H48257" s="50"/>
      <c r="I48257" s="50"/>
      <c r="O48257" s="36" t="s">
        <v>48</v>
      </c>
      <c r="R48257" s="36" t="s">
        <v>48</v>
      </c>
    </row>
    <row r="48258">
      <c r="H48258" s="50"/>
      <c r="I48258" s="50"/>
      <c r="O48258" s="36" t="s">
        <v>48</v>
      </c>
      <c r="R48258" s="36" t="s">
        <v>48</v>
      </c>
    </row>
    <row r="48259">
      <c r="H48259" s="50"/>
      <c r="I48259" s="50"/>
      <c r="O48259" s="36" t="s">
        <v>48</v>
      </c>
      <c r="R48259" s="36" t="s">
        <v>48</v>
      </c>
    </row>
    <row r="48260">
      <c r="H48260" s="50"/>
      <c r="I48260" s="50"/>
      <c r="O48260" s="36" t="s">
        <v>48</v>
      </c>
      <c r="R48260" s="36" t="s">
        <v>48</v>
      </c>
    </row>
    <row r="48261">
      <c r="H48261" s="50"/>
      <c r="I48261" s="50"/>
      <c r="O48261" s="36" t="s">
        <v>48</v>
      </c>
      <c r="R48261" s="36" t="s">
        <v>48</v>
      </c>
    </row>
    <row r="48262">
      <c r="H48262" s="50"/>
      <c r="I48262" s="50"/>
      <c r="O48262" s="36" t="s">
        <v>48</v>
      </c>
      <c r="R48262" s="36" t="s">
        <v>48</v>
      </c>
    </row>
    <row r="48263">
      <c r="H48263" s="50"/>
      <c r="I48263" s="50"/>
      <c r="O48263" s="36" t="s">
        <v>48</v>
      </c>
      <c r="R48263" s="36" t="s">
        <v>48</v>
      </c>
    </row>
    <row r="48264">
      <c r="H48264" s="50"/>
      <c r="I48264" s="50"/>
      <c r="O48264" s="36" t="s">
        <v>48</v>
      </c>
      <c r="R48264" s="36" t="s">
        <v>48</v>
      </c>
    </row>
    <row r="48265">
      <c r="H48265" s="50"/>
      <c r="I48265" s="50"/>
      <c r="O48265" s="36" t="s">
        <v>48</v>
      </c>
      <c r="R48265" s="36" t="s">
        <v>48</v>
      </c>
    </row>
    <row r="48266">
      <c r="H48266" s="50"/>
      <c r="I48266" s="50"/>
      <c r="O48266" s="36" t="s">
        <v>48</v>
      </c>
      <c r="R48266" s="36" t="s">
        <v>48</v>
      </c>
    </row>
    <row r="48267">
      <c r="H48267" s="50"/>
      <c r="I48267" s="50"/>
      <c r="O48267" s="36" t="s">
        <v>48</v>
      </c>
      <c r="R48267" s="36" t="s">
        <v>48</v>
      </c>
    </row>
    <row r="48268">
      <c r="H48268" s="50"/>
      <c r="I48268" s="50"/>
      <c r="O48268" s="36" t="s">
        <v>48</v>
      </c>
      <c r="R48268" s="36" t="s">
        <v>48</v>
      </c>
    </row>
    <row r="48269">
      <c r="H48269" s="50"/>
      <c r="I48269" s="50"/>
      <c r="O48269" s="36" t="s">
        <v>48</v>
      </c>
      <c r="R48269" s="36" t="s">
        <v>48</v>
      </c>
    </row>
    <row r="48270">
      <c r="H48270" s="50"/>
      <c r="I48270" s="50"/>
      <c r="O48270" s="36" t="s">
        <v>48</v>
      </c>
      <c r="R48270" s="36" t="s">
        <v>48</v>
      </c>
    </row>
    <row r="48271">
      <c r="H48271" s="50"/>
      <c r="I48271" s="50"/>
      <c r="O48271" s="36" t="s">
        <v>48</v>
      </c>
      <c r="R48271" s="36" t="s">
        <v>48</v>
      </c>
    </row>
    <row r="48272">
      <c r="H48272" s="50"/>
      <c r="I48272" s="50"/>
      <c r="O48272" s="36" t="s">
        <v>48</v>
      </c>
      <c r="R48272" s="36" t="s">
        <v>48</v>
      </c>
    </row>
    <row r="48273">
      <c r="H48273" s="50"/>
      <c r="I48273" s="50"/>
      <c r="O48273" s="36" t="s">
        <v>48</v>
      </c>
      <c r="R48273" s="36" t="s">
        <v>48</v>
      </c>
    </row>
    <row r="48274">
      <c r="H48274" s="50"/>
      <c r="I48274" s="50"/>
      <c r="O48274" s="36" t="s">
        <v>48</v>
      </c>
      <c r="R48274" s="36" t="s">
        <v>48</v>
      </c>
    </row>
    <row r="48275">
      <c r="H48275" s="50"/>
      <c r="I48275" s="50"/>
      <c r="O48275" s="36" t="s">
        <v>48</v>
      </c>
      <c r="R48275" s="36" t="s">
        <v>48</v>
      </c>
    </row>
    <row r="48276">
      <c r="H48276" s="50"/>
      <c r="I48276" s="50"/>
      <c r="O48276" s="36" t="s">
        <v>48</v>
      </c>
      <c r="R48276" s="36" t="s">
        <v>48</v>
      </c>
    </row>
    <row r="48277">
      <c r="H48277" s="50"/>
      <c r="I48277" s="50"/>
      <c r="O48277" s="36" t="s">
        <v>48</v>
      </c>
      <c r="R48277" s="36" t="s">
        <v>48</v>
      </c>
    </row>
    <row r="48278">
      <c r="H48278" s="50"/>
      <c r="I48278" s="50"/>
      <c r="O48278" s="36" t="s">
        <v>48</v>
      </c>
      <c r="R48278" s="36" t="s">
        <v>48</v>
      </c>
    </row>
    <row r="48279">
      <c r="H48279" s="50"/>
      <c r="I48279" s="50"/>
      <c r="O48279" s="36" t="s">
        <v>48</v>
      </c>
      <c r="R48279" s="36" t="s">
        <v>48</v>
      </c>
    </row>
    <row r="48280">
      <c r="H48280" s="50"/>
      <c r="I48280" s="50"/>
      <c r="O48280" s="36" t="s">
        <v>48</v>
      </c>
      <c r="R48280" s="36" t="s">
        <v>48</v>
      </c>
    </row>
    <row r="48281">
      <c r="H48281" s="50"/>
      <c r="I48281" s="50"/>
      <c r="O48281" s="36" t="s">
        <v>48</v>
      </c>
      <c r="R48281" s="36" t="s">
        <v>48</v>
      </c>
    </row>
    <row r="48282">
      <c r="H48282" s="50"/>
      <c r="I48282" s="50"/>
      <c r="O48282" s="36" t="s">
        <v>48</v>
      </c>
      <c r="R48282" s="36" t="s">
        <v>48</v>
      </c>
    </row>
    <row r="48283">
      <c r="H48283" s="50"/>
      <c r="I48283" s="50"/>
      <c r="O48283" s="36" t="s">
        <v>48</v>
      </c>
      <c r="R48283" s="36" t="s">
        <v>48</v>
      </c>
    </row>
    <row r="48284">
      <c r="H48284" s="50"/>
      <c r="I48284" s="50"/>
      <c r="O48284" s="36" t="s">
        <v>48</v>
      </c>
      <c r="R48284" s="36" t="s">
        <v>48</v>
      </c>
    </row>
    <row r="48285">
      <c r="H48285" s="50"/>
      <c r="I48285" s="50"/>
      <c r="O48285" s="36" t="s">
        <v>48</v>
      </c>
      <c r="R48285" s="36" t="s">
        <v>48</v>
      </c>
    </row>
    <row r="48286">
      <c r="H48286" s="50"/>
      <c r="I48286" s="50"/>
      <c r="O48286" s="36" t="s">
        <v>48</v>
      </c>
      <c r="R48286" s="36" t="s">
        <v>48</v>
      </c>
    </row>
    <row r="48287">
      <c r="H48287" s="50"/>
      <c r="I48287" s="50"/>
      <c r="O48287" s="36" t="s">
        <v>48</v>
      </c>
      <c r="R48287" s="36" t="s">
        <v>48</v>
      </c>
    </row>
    <row r="48288">
      <c r="H48288" s="50"/>
      <c r="I48288" s="50"/>
      <c r="O48288" s="36" t="s">
        <v>48</v>
      </c>
      <c r="R48288" s="36" t="s">
        <v>48</v>
      </c>
    </row>
    <row r="48289">
      <c r="H48289" s="50"/>
      <c r="I48289" s="50"/>
      <c r="O48289" s="36" t="s">
        <v>48</v>
      </c>
      <c r="R48289" s="36" t="s">
        <v>48</v>
      </c>
    </row>
    <row r="48290">
      <c r="H48290" s="50"/>
      <c r="I48290" s="50"/>
      <c r="O48290" s="36" t="s">
        <v>48</v>
      </c>
      <c r="R48290" s="36" t="s">
        <v>48</v>
      </c>
    </row>
    <row r="48291">
      <c r="H48291" s="50"/>
      <c r="I48291" s="50"/>
      <c r="O48291" s="36" t="s">
        <v>48</v>
      </c>
      <c r="R48291" s="36" t="s">
        <v>48</v>
      </c>
    </row>
    <row r="48292">
      <c r="H48292" s="50"/>
      <c r="I48292" s="50"/>
      <c r="O48292" s="36" t="s">
        <v>48</v>
      </c>
      <c r="R48292" s="36" t="s">
        <v>48</v>
      </c>
    </row>
    <row r="48293">
      <c r="H48293" s="50"/>
      <c r="I48293" s="50"/>
      <c r="O48293" s="36" t="s">
        <v>48</v>
      </c>
      <c r="R48293" s="36" t="s">
        <v>48</v>
      </c>
    </row>
    <row r="48294">
      <c r="H48294" s="50"/>
      <c r="I48294" s="50"/>
      <c r="O48294" s="36" t="s">
        <v>48</v>
      </c>
      <c r="R48294" s="36" t="s">
        <v>48</v>
      </c>
    </row>
    <row r="48295">
      <c r="H48295" s="50"/>
      <c r="I48295" s="50"/>
      <c r="O48295" s="36" t="s">
        <v>48</v>
      </c>
      <c r="R48295" s="36" t="s">
        <v>48</v>
      </c>
    </row>
    <row r="48296">
      <c r="H48296" s="50"/>
      <c r="I48296" s="50"/>
      <c r="O48296" s="36" t="s">
        <v>48</v>
      </c>
      <c r="R48296" s="36" t="s">
        <v>48</v>
      </c>
    </row>
    <row r="48297">
      <c r="H48297" s="50"/>
      <c r="I48297" s="50"/>
      <c r="O48297" s="36" t="s">
        <v>48</v>
      </c>
      <c r="R48297" s="36" t="s">
        <v>48</v>
      </c>
    </row>
    <row r="48298">
      <c r="H48298" s="50"/>
      <c r="I48298" s="50"/>
      <c r="O48298" s="36" t="s">
        <v>48</v>
      </c>
      <c r="R48298" s="36" t="s">
        <v>48</v>
      </c>
    </row>
    <row r="48299">
      <c r="H48299" s="50"/>
      <c r="I48299" s="50"/>
      <c r="O48299" s="36" t="s">
        <v>48</v>
      </c>
      <c r="R48299" s="36" t="s">
        <v>48</v>
      </c>
    </row>
    <row r="48300">
      <c r="H48300" s="50"/>
      <c r="I48300" s="50"/>
      <c r="O48300" s="36" t="s">
        <v>48</v>
      </c>
      <c r="R48300" s="36" t="s">
        <v>48</v>
      </c>
    </row>
    <row r="48301">
      <c r="H48301" s="50"/>
      <c r="I48301" s="50"/>
      <c r="O48301" s="36" t="s">
        <v>48</v>
      </c>
      <c r="R48301" s="36" t="s">
        <v>48</v>
      </c>
    </row>
    <row r="48302">
      <c r="H48302" s="50"/>
      <c r="I48302" s="50"/>
      <c r="O48302" s="36" t="s">
        <v>48</v>
      </c>
      <c r="R48302" s="36" t="s">
        <v>48</v>
      </c>
    </row>
    <row r="48303">
      <c r="H48303" s="50"/>
      <c r="I48303" s="50"/>
      <c r="O48303" s="36" t="s">
        <v>48</v>
      </c>
      <c r="R48303" s="36" t="s">
        <v>48</v>
      </c>
    </row>
    <row r="48304">
      <c r="H48304" s="50"/>
      <c r="I48304" s="50"/>
      <c r="O48304" s="36" t="s">
        <v>48</v>
      </c>
      <c r="R48304" s="36" t="s">
        <v>48</v>
      </c>
    </row>
    <row r="48305">
      <c r="H48305" s="50"/>
      <c r="I48305" s="50"/>
      <c r="O48305" s="36" t="s">
        <v>48</v>
      </c>
      <c r="R48305" s="36" t="s">
        <v>48</v>
      </c>
    </row>
    <row r="48306">
      <c r="H48306" s="50"/>
      <c r="I48306" s="50"/>
      <c r="O48306" s="36" t="s">
        <v>48</v>
      </c>
      <c r="R48306" s="36" t="s">
        <v>48</v>
      </c>
    </row>
    <row r="48307">
      <c r="H48307" s="50"/>
      <c r="I48307" s="50"/>
      <c r="O48307" s="36" t="s">
        <v>48</v>
      </c>
      <c r="R48307" s="36" t="s">
        <v>48</v>
      </c>
    </row>
    <row r="48308">
      <c r="H48308" s="50"/>
      <c r="I48308" s="50"/>
      <c r="O48308" s="36" t="s">
        <v>48</v>
      </c>
      <c r="R48308" s="36" t="s">
        <v>48</v>
      </c>
    </row>
    <row r="48309">
      <c r="H48309" s="50"/>
      <c r="I48309" s="50"/>
      <c r="O48309" s="36" t="s">
        <v>48</v>
      </c>
      <c r="R48309" s="36" t="s">
        <v>48</v>
      </c>
    </row>
    <row r="48310">
      <c r="H48310" s="50"/>
      <c r="I48310" s="50"/>
      <c r="O48310" s="36" t="s">
        <v>48</v>
      </c>
      <c r="R48310" s="36" t="s">
        <v>48</v>
      </c>
    </row>
    <row r="48311">
      <c r="H48311" s="50"/>
      <c r="I48311" s="50"/>
      <c r="O48311" s="36" t="s">
        <v>48</v>
      </c>
      <c r="R48311" s="36" t="s">
        <v>48</v>
      </c>
    </row>
    <row r="48312">
      <c r="H48312" s="50"/>
      <c r="I48312" s="50"/>
      <c r="O48312" s="36" t="s">
        <v>48</v>
      </c>
      <c r="R48312" s="36" t="s">
        <v>48</v>
      </c>
    </row>
    <row r="48313">
      <c r="H48313" s="50"/>
      <c r="I48313" s="50"/>
      <c r="O48313" s="36" t="s">
        <v>48</v>
      </c>
      <c r="R48313" s="36" t="s">
        <v>48</v>
      </c>
    </row>
    <row r="48314">
      <c r="H48314" s="50"/>
      <c r="I48314" s="50"/>
      <c r="O48314" s="36" t="s">
        <v>48</v>
      </c>
      <c r="R48314" s="36" t="s">
        <v>48</v>
      </c>
    </row>
    <row r="48315">
      <c r="H48315" s="50"/>
      <c r="I48315" s="50"/>
      <c r="O48315" s="36" t="s">
        <v>48</v>
      </c>
      <c r="R48315" s="36" t="s">
        <v>48</v>
      </c>
    </row>
    <row r="48316">
      <c r="H48316" s="50"/>
      <c r="I48316" s="50"/>
      <c r="O48316" s="36" t="s">
        <v>48</v>
      </c>
      <c r="R48316" s="36" t="s">
        <v>48</v>
      </c>
    </row>
    <row r="48317">
      <c r="H48317" s="50"/>
      <c r="I48317" s="50"/>
      <c r="O48317" s="36" t="s">
        <v>48</v>
      </c>
      <c r="R48317" s="36" t="s">
        <v>48</v>
      </c>
    </row>
    <row r="48318">
      <c r="H48318" s="50"/>
      <c r="I48318" s="50"/>
      <c r="O48318" s="36" t="s">
        <v>48</v>
      </c>
      <c r="R48318" s="36" t="s">
        <v>48</v>
      </c>
    </row>
    <row r="48319">
      <c r="H48319" s="50"/>
      <c r="I48319" s="50"/>
      <c r="O48319" s="36" t="s">
        <v>48</v>
      </c>
      <c r="R48319" s="36" t="s">
        <v>48</v>
      </c>
    </row>
    <row r="48320">
      <c r="H48320" s="50"/>
      <c r="I48320" s="50"/>
      <c r="O48320" s="36" t="s">
        <v>48</v>
      </c>
      <c r="R48320" s="36" t="s">
        <v>48</v>
      </c>
    </row>
    <row r="48321">
      <c r="H48321" s="50"/>
      <c r="I48321" s="50"/>
      <c r="O48321" s="36" t="s">
        <v>48</v>
      </c>
      <c r="R48321" s="36" t="s">
        <v>48</v>
      </c>
    </row>
    <row r="48322">
      <c r="H48322" s="50"/>
      <c r="I48322" s="50"/>
      <c r="O48322" s="36" t="s">
        <v>48</v>
      </c>
      <c r="R48322" s="36" t="s">
        <v>48</v>
      </c>
    </row>
    <row r="48323">
      <c r="H48323" s="50"/>
      <c r="I48323" s="50"/>
      <c r="O48323" s="36" t="s">
        <v>48</v>
      </c>
      <c r="R48323" s="36" t="s">
        <v>48</v>
      </c>
    </row>
    <row r="48324">
      <c r="H48324" s="50"/>
      <c r="I48324" s="50"/>
      <c r="O48324" s="36" t="s">
        <v>48</v>
      </c>
      <c r="R48324" s="36" t="s">
        <v>48</v>
      </c>
    </row>
    <row r="48325">
      <c r="H48325" s="50"/>
      <c r="I48325" s="50"/>
      <c r="O48325" s="36" t="s">
        <v>48</v>
      </c>
      <c r="R48325" s="36" t="s">
        <v>48</v>
      </c>
    </row>
    <row r="48326">
      <c r="H48326" s="50"/>
      <c r="I48326" s="50"/>
      <c r="O48326" s="36" t="s">
        <v>48</v>
      </c>
      <c r="R48326" s="36" t="s">
        <v>48</v>
      </c>
    </row>
    <row r="48327">
      <c r="H48327" s="50"/>
      <c r="I48327" s="50"/>
      <c r="O48327" s="36" t="s">
        <v>48</v>
      </c>
      <c r="R48327" s="36" t="s">
        <v>48</v>
      </c>
    </row>
    <row r="48328">
      <c r="H48328" s="50"/>
      <c r="I48328" s="50"/>
      <c r="O48328" s="36" t="s">
        <v>48</v>
      </c>
      <c r="R48328" s="36" t="s">
        <v>48</v>
      </c>
    </row>
    <row r="48329">
      <c r="H48329" s="50"/>
      <c r="I48329" s="50"/>
      <c r="O48329" s="36" t="s">
        <v>48</v>
      </c>
      <c r="R48329" s="36" t="s">
        <v>48</v>
      </c>
    </row>
    <row r="48330">
      <c r="H48330" s="50"/>
      <c r="I48330" s="50"/>
      <c r="O48330" s="36" t="s">
        <v>48</v>
      </c>
      <c r="R48330" s="36" t="s">
        <v>48</v>
      </c>
    </row>
    <row r="48331">
      <c r="H48331" s="50"/>
      <c r="I48331" s="50"/>
      <c r="O48331" s="36" t="s">
        <v>48</v>
      </c>
      <c r="R48331" s="36" t="s">
        <v>48</v>
      </c>
    </row>
    <row r="48332">
      <c r="H48332" s="50"/>
      <c r="I48332" s="50"/>
      <c r="O48332" s="36" t="s">
        <v>48</v>
      </c>
      <c r="R48332" s="36" t="s">
        <v>48</v>
      </c>
    </row>
    <row r="48333">
      <c r="H48333" s="50"/>
      <c r="I48333" s="50"/>
      <c r="O48333" s="36" t="s">
        <v>48</v>
      </c>
      <c r="R48333" s="36" t="s">
        <v>48</v>
      </c>
    </row>
    <row r="48334">
      <c r="H48334" s="50"/>
      <c r="I48334" s="50"/>
      <c r="O48334" s="36" t="s">
        <v>48</v>
      </c>
      <c r="R48334" s="36" t="s">
        <v>48</v>
      </c>
    </row>
    <row r="48335">
      <c r="H48335" s="50"/>
      <c r="I48335" s="50"/>
      <c r="O48335" s="36" t="s">
        <v>48</v>
      </c>
      <c r="R48335" s="36" t="s">
        <v>48</v>
      </c>
    </row>
    <row r="48336">
      <c r="H48336" s="50"/>
      <c r="I48336" s="50"/>
      <c r="O48336" s="36" t="s">
        <v>48</v>
      </c>
      <c r="R48336" s="36" t="s">
        <v>48</v>
      </c>
    </row>
    <row r="48337">
      <c r="H48337" s="50"/>
      <c r="I48337" s="50"/>
      <c r="O48337" s="36" t="s">
        <v>48</v>
      </c>
      <c r="R48337" s="36" t="s">
        <v>48</v>
      </c>
    </row>
    <row r="48338">
      <c r="H48338" s="50"/>
      <c r="I48338" s="50"/>
      <c r="O48338" s="36" t="s">
        <v>48</v>
      </c>
      <c r="R48338" s="36" t="s">
        <v>48</v>
      </c>
    </row>
    <row r="48339">
      <c r="H48339" s="50"/>
      <c r="I48339" s="50"/>
      <c r="O48339" s="36" t="s">
        <v>48</v>
      </c>
      <c r="R48339" s="36" t="s">
        <v>48</v>
      </c>
    </row>
    <row r="48340">
      <c r="H48340" s="50"/>
      <c r="I48340" s="50"/>
      <c r="O48340" s="36" t="s">
        <v>48</v>
      </c>
      <c r="R48340" s="36" t="s">
        <v>48</v>
      </c>
    </row>
    <row r="48341">
      <c r="H48341" s="50"/>
      <c r="I48341" s="50"/>
      <c r="O48341" s="36" t="s">
        <v>48</v>
      </c>
      <c r="R48341" s="36" t="s">
        <v>48</v>
      </c>
    </row>
    <row r="48342">
      <c r="H48342" s="50"/>
      <c r="I48342" s="50"/>
      <c r="O48342" s="36" t="s">
        <v>48</v>
      </c>
      <c r="R48342" s="36" t="s">
        <v>48</v>
      </c>
    </row>
    <row r="48343">
      <c r="H48343" s="50"/>
      <c r="I48343" s="50"/>
      <c r="O48343" s="36" t="s">
        <v>48</v>
      </c>
      <c r="R48343" s="36" t="s">
        <v>48</v>
      </c>
    </row>
    <row r="48344">
      <c r="H48344" s="50"/>
      <c r="I48344" s="50"/>
      <c r="O48344" s="36" t="s">
        <v>48</v>
      </c>
      <c r="R48344" s="36" t="s">
        <v>48</v>
      </c>
    </row>
    <row r="48345">
      <c r="H48345" s="50"/>
      <c r="I48345" s="50"/>
      <c r="O48345" s="36" t="s">
        <v>48</v>
      </c>
      <c r="R48345" s="36" t="s">
        <v>48</v>
      </c>
    </row>
    <row r="48346">
      <c r="H48346" s="50"/>
      <c r="I48346" s="50"/>
      <c r="O48346" s="36" t="s">
        <v>48</v>
      </c>
      <c r="R48346" s="36" t="s">
        <v>48</v>
      </c>
    </row>
    <row r="48347">
      <c r="H48347" s="50"/>
      <c r="I48347" s="50"/>
      <c r="O48347" s="36" t="s">
        <v>48</v>
      </c>
      <c r="R48347" s="36" t="s">
        <v>48</v>
      </c>
    </row>
    <row r="48348">
      <c r="H48348" s="50"/>
      <c r="I48348" s="50"/>
      <c r="O48348" s="36" t="s">
        <v>48</v>
      </c>
      <c r="R48348" s="36" t="s">
        <v>48</v>
      </c>
    </row>
    <row r="48349">
      <c r="H48349" s="50"/>
      <c r="I48349" s="50"/>
      <c r="O48349" s="36" t="s">
        <v>48</v>
      </c>
      <c r="R48349" s="36" t="s">
        <v>48</v>
      </c>
    </row>
    <row r="48350">
      <c r="H48350" s="50"/>
      <c r="I48350" s="50"/>
      <c r="O48350" s="36" t="s">
        <v>48</v>
      </c>
      <c r="R48350" s="36" t="s">
        <v>48</v>
      </c>
    </row>
    <row r="48351">
      <c r="H48351" s="50"/>
      <c r="I48351" s="50"/>
      <c r="O48351" s="36" t="s">
        <v>48</v>
      </c>
      <c r="R48351" s="36" t="s">
        <v>48</v>
      </c>
    </row>
    <row r="48352">
      <c r="H48352" s="50"/>
      <c r="I48352" s="50"/>
      <c r="O48352" s="36" t="s">
        <v>48</v>
      </c>
      <c r="R48352" s="36" t="s">
        <v>48</v>
      </c>
    </row>
    <row r="48353">
      <c r="H48353" s="50"/>
      <c r="I48353" s="50"/>
      <c r="O48353" s="36" t="s">
        <v>48</v>
      </c>
      <c r="R48353" s="36" t="s">
        <v>48</v>
      </c>
    </row>
    <row r="48354">
      <c r="H48354" s="50"/>
      <c r="I48354" s="50"/>
      <c r="O48354" s="36" t="s">
        <v>48</v>
      </c>
      <c r="R48354" s="36" t="s">
        <v>48</v>
      </c>
    </row>
    <row r="48355">
      <c r="H48355" s="50"/>
      <c r="I48355" s="50"/>
      <c r="O48355" s="36" t="s">
        <v>48</v>
      </c>
      <c r="R48355" s="36" t="s">
        <v>48</v>
      </c>
    </row>
    <row r="48356">
      <c r="H48356" s="50"/>
      <c r="I48356" s="50"/>
      <c r="O48356" s="36" t="s">
        <v>48</v>
      </c>
      <c r="R48356" s="36" t="s">
        <v>48</v>
      </c>
    </row>
    <row r="48357">
      <c r="H48357" s="50"/>
      <c r="I48357" s="50"/>
      <c r="O48357" s="36" t="s">
        <v>48</v>
      </c>
      <c r="R48357" s="36" t="s">
        <v>48</v>
      </c>
    </row>
    <row r="48358">
      <c r="H48358" s="50"/>
      <c r="I48358" s="50"/>
      <c r="O48358" s="36" t="s">
        <v>48</v>
      </c>
      <c r="R48358" s="36" t="s">
        <v>48</v>
      </c>
    </row>
    <row r="48359">
      <c r="H48359" s="50"/>
      <c r="I48359" s="50"/>
      <c r="O48359" s="36" t="s">
        <v>48</v>
      </c>
      <c r="R48359" s="36" t="s">
        <v>48</v>
      </c>
    </row>
    <row r="48360">
      <c r="H48360" s="50"/>
      <c r="I48360" s="50"/>
      <c r="O48360" s="36" t="s">
        <v>48</v>
      </c>
      <c r="R48360" s="36" t="s">
        <v>48</v>
      </c>
    </row>
    <row r="48361">
      <c r="H48361" s="50"/>
      <c r="I48361" s="50"/>
      <c r="O48361" s="36" t="s">
        <v>48</v>
      </c>
      <c r="R48361" s="36" t="s">
        <v>48</v>
      </c>
    </row>
    <row r="48362">
      <c r="H48362" s="50"/>
      <c r="I48362" s="50"/>
      <c r="O48362" s="36" t="s">
        <v>48</v>
      </c>
      <c r="R48362" s="36" t="s">
        <v>48</v>
      </c>
    </row>
    <row r="48363">
      <c r="H48363" s="50"/>
      <c r="I48363" s="50"/>
      <c r="O48363" s="36" t="s">
        <v>48</v>
      </c>
      <c r="R48363" s="36" t="s">
        <v>48</v>
      </c>
    </row>
    <row r="48364">
      <c r="H48364" s="50"/>
      <c r="I48364" s="50"/>
      <c r="O48364" s="36" t="s">
        <v>48</v>
      </c>
      <c r="R48364" s="36" t="s">
        <v>48</v>
      </c>
    </row>
    <row r="48365">
      <c r="H48365" s="50"/>
      <c r="I48365" s="50"/>
      <c r="O48365" s="36" t="s">
        <v>48</v>
      </c>
      <c r="R48365" s="36" t="s">
        <v>48</v>
      </c>
    </row>
    <row r="48366">
      <c r="H48366" s="50"/>
      <c r="I48366" s="50"/>
      <c r="O48366" s="36" t="s">
        <v>48</v>
      </c>
      <c r="R48366" s="36" t="s">
        <v>48</v>
      </c>
    </row>
    <row r="48367">
      <c r="H48367" s="50"/>
      <c r="I48367" s="50"/>
      <c r="O48367" s="36" t="s">
        <v>48</v>
      </c>
      <c r="R48367" s="36" t="s">
        <v>48</v>
      </c>
    </row>
    <row r="48368">
      <c r="H48368" s="50"/>
      <c r="I48368" s="50"/>
      <c r="O48368" s="36" t="s">
        <v>48</v>
      </c>
      <c r="R48368" s="36" t="s">
        <v>48</v>
      </c>
    </row>
    <row r="48369">
      <c r="H48369" s="50"/>
      <c r="I48369" s="50"/>
      <c r="O48369" s="36" t="s">
        <v>48</v>
      </c>
      <c r="R48369" s="36" t="s">
        <v>48</v>
      </c>
    </row>
    <row r="48370">
      <c r="H48370" s="50"/>
      <c r="I48370" s="50"/>
      <c r="O48370" s="36" t="s">
        <v>48</v>
      </c>
      <c r="R48370" s="36" t="s">
        <v>48</v>
      </c>
    </row>
    <row r="48371">
      <c r="H48371" s="50"/>
      <c r="I48371" s="50"/>
      <c r="O48371" s="36" t="s">
        <v>48</v>
      </c>
      <c r="R48371" s="36" t="s">
        <v>48</v>
      </c>
    </row>
    <row r="48372">
      <c r="H48372" s="50"/>
      <c r="I48372" s="50"/>
      <c r="O48372" s="36" t="s">
        <v>48</v>
      </c>
      <c r="R48372" s="36" t="s">
        <v>48</v>
      </c>
    </row>
    <row r="48373">
      <c r="H48373" s="50"/>
      <c r="I48373" s="50"/>
      <c r="O48373" s="36" t="s">
        <v>48</v>
      </c>
      <c r="R48373" s="36" t="s">
        <v>48</v>
      </c>
    </row>
    <row r="48374">
      <c r="H48374" s="50"/>
      <c r="I48374" s="50"/>
      <c r="O48374" s="36" t="s">
        <v>48</v>
      </c>
      <c r="R48374" s="36" t="s">
        <v>48</v>
      </c>
    </row>
    <row r="48375">
      <c r="H48375" s="50"/>
      <c r="I48375" s="50"/>
      <c r="O48375" s="36" t="s">
        <v>48</v>
      </c>
      <c r="R48375" s="36" t="s">
        <v>48</v>
      </c>
    </row>
    <row r="48376">
      <c r="H48376" s="50"/>
      <c r="I48376" s="50"/>
      <c r="O48376" s="36" t="s">
        <v>48</v>
      </c>
      <c r="R48376" s="36" t="s">
        <v>48</v>
      </c>
    </row>
    <row r="48377">
      <c r="H48377" s="50"/>
      <c r="I48377" s="50"/>
      <c r="O48377" s="36" t="s">
        <v>48</v>
      </c>
      <c r="R48377" s="36" t="s">
        <v>48</v>
      </c>
    </row>
    <row r="48378">
      <c r="H48378" s="50"/>
      <c r="I48378" s="50"/>
      <c r="O48378" s="36" t="s">
        <v>48</v>
      </c>
      <c r="R48378" s="36" t="s">
        <v>48</v>
      </c>
    </row>
    <row r="48379">
      <c r="H48379" s="50"/>
      <c r="I48379" s="50"/>
      <c r="O48379" s="36" t="s">
        <v>48</v>
      </c>
      <c r="R48379" s="36" t="s">
        <v>48</v>
      </c>
    </row>
    <row r="48380">
      <c r="H48380" s="50"/>
      <c r="I48380" s="50"/>
      <c r="O48380" s="36" t="s">
        <v>48</v>
      </c>
      <c r="R48380" s="36" t="s">
        <v>48</v>
      </c>
    </row>
    <row r="48381">
      <c r="H48381" s="50"/>
      <c r="I48381" s="50"/>
      <c r="O48381" s="36" t="s">
        <v>48</v>
      </c>
      <c r="R48381" s="36" t="s">
        <v>48</v>
      </c>
    </row>
    <row r="48382">
      <c r="H48382" s="50"/>
      <c r="I48382" s="50"/>
      <c r="O48382" s="36" t="s">
        <v>48</v>
      </c>
      <c r="R48382" s="36" t="s">
        <v>48</v>
      </c>
    </row>
    <row r="48383">
      <c r="H48383" s="50"/>
      <c r="I48383" s="50"/>
      <c r="O48383" s="36" t="s">
        <v>48</v>
      </c>
      <c r="R48383" s="36" t="s">
        <v>48</v>
      </c>
    </row>
    <row r="48384">
      <c r="H48384" s="50"/>
      <c r="I48384" s="50"/>
      <c r="O48384" s="36" t="s">
        <v>48</v>
      </c>
      <c r="R48384" s="36" t="s">
        <v>48</v>
      </c>
    </row>
    <row r="48385">
      <c r="H48385" s="50"/>
      <c r="I48385" s="50"/>
      <c r="O48385" s="36" t="s">
        <v>48</v>
      </c>
      <c r="R48385" s="36" t="s">
        <v>48</v>
      </c>
    </row>
    <row r="48386">
      <c r="H48386" s="50"/>
      <c r="I48386" s="50"/>
      <c r="O48386" s="36" t="s">
        <v>48</v>
      </c>
      <c r="R48386" s="36" t="s">
        <v>48</v>
      </c>
    </row>
    <row r="48387">
      <c r="H48387" s="50"/>
      <c r="I48387" s="50"/>
      <c r="O48387" s="36" t="s">
        <v>48</v>
      </c>
      <c r="R48387" s="36" t="s">
        <v>48</v>
      </c>
    </row>
    <row r="48388">
      <c r="H48388" s="50"/>
      <c r="I48388" s="50"/>
      <c r="O48388" s="36" t="s">
        <v>48</v>
      </c>
      <c r="R48388" s="36" t="s">
        <v>48</v>
      </c>
    </row>
    <row r="48389">
      <c r="H48389" s="50"/>
      <c r="I48389" s="50"/>
      <c r="O48389" s="36" t="s">
        <v>48</v>
      </c>
      <c r="R48389" s="36" t="s">
        <v>48</v>
      </c>
    </row>
    <row r="48390">
      <c r="H48390" s="50"/>
      <c r="I48390" s="50"/>
      <c r="O48390" s="36" t="s">
        <v>48</v>
      </c>
      <c r="R48390" s="36" t="s">
        <v>48</v>
      </c>
    </row>
    <row r="48391">
      <c r="H48391" s="50"/>
      <c r="I48391" s="50"/>
      <c r="O48391" s="36" t="s">
        <v>48</v>
      </c>
      <c r="R48391" s="36" t="s">
        <v>48</v>
      </c>
    </row>
    <row r="48392">
      <c r="H48392" s="50"/>
      <c r="I48392" s="50"/>
      <c r="O48392" s="36" t="s">
        <v>48</v>
      </c>
      <c r="R48392" s="36" t="s">
        <v>48</v>
      </c>
    </row>
    <row r="48393">
      <c r="H48393" s="50"/>
      <c r="I48393" s="50"/>
      <c r="O48393" s="36" t="s">
        <v>48</v>
      </c>
      <c r="R48393" s="36" t="s">
        <v>48</v>
      </c>
    </row>
    <row r="48394">
      <c r="H48394" s="50"/>
      <c r="I48394" s="50"/>
      <c r="O48394" s="36" t="s">
        <v>48</v>
      </c>
      <c r="R48394" s="36" t="s">
        <v>48</v>
      </c>
    </row>
    <row r="48395">
      <c r="H48395" s="50"/>
      <c r="I48395" s="50"/>
      <c r="O48395" s="36" t="s">
        <v>48</v>
      </c>
      <c r="R48395" s="36" t="s">
        <v>48</v>
      </c>
    </row>
    <row r="48396">
      <c r="H48396" s="50"/>
      <c r="I48396" s="50"/>
      <c r="O48396" s="36" t="s">
        <v>48</v>
      </c>
      <c r="R48396" s="36" t="s">
        <v>48</v>
      </c>
    </row>
    <row r="48397">
      <c r="H48397" s="50"/>
      <c r="I48397" s="50"/>
      <c r="O48397" s="36" t="s">
        <v>48</v>
      </c>
      <c r="R48397" s="36" t="s">
        <v>48</v>
      </c>
    </row>
    <row r="48398">
      <c r="H48398" s="50"/>
      <c r="I48398" s="50"/>
      <c r="O48398" s="36" t="s">
        <v>48</v>
      </c>
      <c r="R48398" s="36" t="s">
        <v>48</v>
      </c>
    </row>
    <row r="48399">
      <c r="H48399" s="50"/>
      <c r="I48399" s="50"/>
      <c r="O48399" s="36" t="s">
        <v>48</v>
      </c>
      <c r="R48399" s="36" t="s">
        <v>48</v>
      </c>
    </row>
    <row r="48400">
      <c r="H48400" s="50"/>
      <c r="I48400" s="50"/>
      <c r="O48400" s="36" t="s">
        <v>48</v>
      </c>
      <c r="R48400" s="36" t="s">
        <v>48</v>
      </c>
    </row>
    <row r="48401">
      <c r="H48401" s="50"/>
      <c r="I48401" s="50"/>
      <c r="O48401" s="36" t="s">
        <v>48</v>
      </c>
      <c r="R48401" s="36" t="s">
        <v>48</v>
      </c>
    </row>
    <row r="48402">
      <c r="H48402" s="50"/>
      <c r="I48402" s="50"/>
      <c r="O48402" s="36" t="s">
        <v>48</v>
      </c>
      <c r="R48402" s="36" t="s">
        <v>48</v>
      </c>
    </row>
    <row r="48403">
      <c r="H48403" s="50"/>
      <c r="I48403" s="50"/>
      <c r="O48403" s="36" t="s">
        <v>48</v>
      </c>
      <c r="R48403" s="36" t="s">
        <v>48</v>
      </c>
    </row>
    <row r="48404">
      <c r="H48404" s="50"/>
      <c r="I48404" s="50"/>
      <c r="O48404" s="36" t="s">
        <v>48</v>
      </c>
      <c r="R48404" s="36" t="s">
        <v>48</v>
      </c>
    </row>
    <row r="48405">
      <c r="H48405" s="50"/>
      <c r="I48405" s="50"/>
      <c r="O48405" s="36" t="s">
        <v>48</v>
      </c>
      <c r="R48405" s="36" t="s">
        <v>48</v>
      </c>
    </row>
    <row r="48406">
      <c r="H48406" s="50"/>
      <c r="I48406" s="50"/>
      <c r="O48406" s="36" t="s">
        <v>48</v>
      </c>
      <c r="R48406" s="36" t="s">
        <v>48</v>
      </c>
    </row>
    <row r="48407">
      <c r="H48407" s="50"/>
      <c r="I48407" s="50"/>
      <c r="O48407" s="36" t="s">
        <v>48</v>
      </c>
      <c r="R48407" s="36" t="s">
        <v>48</v>
      </c>
    </row>
    <row r="48408">
      <c r="H48408" s="50"/>
      <c r="I48408" s="50"/>
      <c r="O48408" s="36" t="s">
        <v>48</v>
      </c>
      <c r="R48408" s="36" t="s">
        <v>48</v>
      </c>
    </row>
    <row r="48409">
      <c r="H48409" s="50"/>
      <c r="I48409" s="50"/>
      <c r="O48409" s="36" t="s">
        <v>48</v>
      </c>
      <c r="R48409" s="36" t="s">
        <v>48</v>
      </c>
    </row>
    <row r="48410">
      <c r="H48410" s="50"/>
      <c r="I48410" s="50"/>
      <c r="O48410" s="36" t="s">
        <v>48</v>
      </c>
      <c r="R48410" s="36" t="s">
        <v>48</v>
      </c>
    </row>
    <row r="48411">
      <c r="H48411" s="50"/>
      <c r="I48411" s="50"/>
      <c r="O48411" s="36" t="s">
        <v>48</v>
      </c>
      <c r="R48411" s="36" t="s">
        <v>48</v>
      </c>
    </row>
    <row r="48412">
      <c r="H48412" s="50"/>
      <c r="I48412" s="50"/>
      <c r="O48412" s="36" t="s">
        <v>48</v>
      </c>
      <c r="R48412" s="36" t="s">
        <v>48</v>
      </c>
    </row>
    <row r="48413">
      <c r="H48413" s="50"/>
      <c r="I48413" s="50"/>
      <c r="O48413" s="36" t="s">
        <v>48</v>
      </c>
      <c r="R48413" s="36" t="s">
        <v>48</v>
      </c>
    </row>
    <row r="48414">
      <c r="H48414" s="50"/>
      <c r="I48414" s="50"/>
      <c r="O48414" s="36" t="s">
        <v>48</v>
      </c>
      <c r="R48414" s="36" t="s">
        <v>48</v>
      </c>
    </row>
    <row r="48415">
      <c r="H48415" s="50"/>
      <c r="I48415" s="50"/>
      <c r="O48415" s="36" t="s">
        <v>48</v>
      </c>
      <c r="R48415" s="36" t="s">
        <v>48</v>
      </c>
    </row>
    <row r="48416">
      <c r="H48416" s="50"/>
      <c r="I48416" s="50"/>
      <c r="O48416" s="36" t="s">
        <v>48</v>
      </c>
      <c r="R48416" s="36" t="s">
        <v>48</v>
      </c>
    </row>
    <row r="48417">
      <c r="H48417" s="50"/>
      <c r="I48417" s="50"/>
      <c r="O48417" s="36" t="s">
        <v>48</v>
      </c>
      <c r="R48417" s="36" t="s">
        <v>48</v>
      </c>
    </row>
    <row r="48418">
      <c r="H48418" s="50"/>
      <c r="I48418" s="50"/>
      <c r="O48418" s="36" t="s">
        <v>48</v>
      </c>
      <c r="R48418" s="36" t="s">
        <v>48</v>
      </c>
    </row>
    <row r="48419">
      <c r="H48419" s="50"/>
      <c r="I48419" s="50"/>
      <c r="O48419" s="36" t="s">
        <v>48</v>
      </c>
      <c r="R48419" s="36" t="s">
        <v>48</v>
      </c>
    </row>
    <row r="48420">
      <c r="H48420" s="50"/>
      <c r="I48420" s="50"/>
      <c r="O48420" s="36" t="s">
        <v>48</v>
      </c>
      <c r="R48420" s="36" t="s">
        <v>48</v>
      </c>
    </row>
    <row r="48421">
      <c r="H48421" s="50"/>
      <c r="I48421" s="50"/>
      <c r="O48421" s="36" t="s">
        <v>48</v>
      </c>
      <c r="R48421" s="36" t="s">
        <v>48</v>
      </c>
    </row>
    <row r="48422">
      <c r="H48422" s="50"/>
      <c r="I48422" s="50"/>
      <c r="O48422" s="36" t="s">
        <v>48</v>
      </c>
      <c r="R48422" s="36" t="s">
        <v>48</v>
      </c>
    </row>
    <row r="48423">
      <c r="H48423" s="50"/>
      <c r="I48423" s="50"/>
      <c r="O48423" s="36" t="s">
        <v>48</v>
      </c>
      <c r="R48423" s="36" t="s">
        <v>48</v>
      </c>
    </row>
    <row r="48424">
      <c r="H48424" s="50"/>
      <c r="I48424" s="50"/>
      <c r="O48424" s="36" t="s">
        <v>48</v>
      </c>
      <c r="R48424" s="36" t="s">
        <v>48</v>
      </c>
    </row>
    <row r="48425">
      <c r="H48425" s="50"/>
      <c r="I48425" s="50"/>
      <c r="O48425" s="36" t="s">
        <v>48</v>
      </c>
      <c r="R48425" s="36" t="s">
        <v>48</v>
      </c>
    </row>
    <row r="48426">
      <c r="H48426" s="50"/>
      <c r="I48426" s="50"/>
      <c r="O48426" s="36" t="s">
        <v>48</v>
      </c>
      <c r="R48426" s="36" t="s">
        <v>48</v>
      </c>
    </row>
    <row r="48427">
      <c r="H48427" s="50"/>
      <c r="I48427" s="50"/>
      <c r="O48427" s="36" t="s">
        <v>48</v>
      </c>
      <c r="R48427" s="36" t="s">
        <v>48</v>
      </c>
    </row>
    <row r="48428">
      <c r="H48428" s="50"/>
      <c r="I48428" s="50"/>
      <c r="O48428" s="36" t="s">
        <v>48</v>
      </c>
      <c r="R48428" s="36" t="s">
        <v>48</v>
      </c>
    </row>
    <row r="48429">
      <c r="H48429" s="50"/>
      <c r="I48429" s="50"/>
      <c r="O48429" s="36" t="s">
        <v>48</v>
      </c>
      <c r="R48429" s="36" t="s">
        <v>48</v>
      </c>
    </row>
    <row r="48430">
      <c r="H48430" s="50"/>
      <c r="I48430" s="50"/>
      <c r="O48430" s="36" t="s">
        <v>48</v>
      </c>
      <c r="R48430" s="36" t="s">
        <v>48</v>
      </c>
    </row>
    <row r="48431">
      <c r="H48431" s="50"/>
      <c r="I48431" s="50"/>
      <c r="O48431" s="36" t="s">
        <v>48</v>
      </c>
      <c r="R48431" s="36" t="s">
        <v>48</v>
      </c>
    </row>
    <row r="48432">
      <c r="H48432" s="50"/>
      <c r="I48432" s="50"/>
      <c r="O48432" s="36" t="s">
        <v>48</v>
      </c>
      <c r="R48432" s="36" t="s">
        <v>48</v>
      </c>
    </row>
    <row r="48433">
      <c r="H48433" s="50"/>
      <c r="I48433" s="50"/>
      <c r="O48433" s="36" t="s">
        <v>48</v>
      </c>
      <c r="R48433" s="36" t="s">
        <v>48</v>
      </c>
    </row>
    <row r="48434">
      <c r="H48434" s="50"/>
      <c r="I48434" s="50"/>
      <c r="O48434" s="36" t="s">
        <v>48</v>
      </c>
      <c r="R48434" s="36" t="s">
        <v>48</v>
      </c>
    </row>
    <row r="48435">
      <c r="H48435" s="50"/>
      <c r="I48435" s="50"/>
      <c r="O48435" s="36" t="s">
        <v>48</v>
      </c>
      <c r="R48435" s="36" t="s">
        <v>48</v>
      </c>
    </row>
    <row r="48436">
      <c r="H48436" s="50"/>
      <c r="I48436" s="50"/>
      <c r="O48436" s="36" t="s">
        <v>48</v>
      </c>
      <c r="R48436" s="36" t="s">
        <v>48</v>
      </c>
    </row>
    <row r="48437">
      <c r="H48437" s="50"/>
      <c r="I48437" s="50"/>
      <c r="O48437" s="36" t="s">
        <v>48</v>
      </c>
      <c r="R48437" s="36" t="s">
        <v>48</v>
      </c>
    </row>
    <row r="48438">
      <c r="H48438" s="50"/>
      <c r="I48438" s="50"/>
      <c r="O48438" s="36" t="s">
        <v>48</v>
      </c>
      <c r="R48438" s="36" t="s">
        <v>48</v>
      </c>
    </row>
    <row r="48439">
      <c r="H48439" s="50"/>
      <c r="I48439" s="50"/>
      <c r="O48439" s="36" t="s">
        <v>48</v>
      </c>
      <c r="R48439" s="36" t="s">
        <v>48</v>
      </c>
    </row>
    <row r="48440">
      <c r="H48440" s="50"/>
      <c r="I48440" s="50"/>
      <c r="O48440" s="36" t="s">
        <v>48</v>
      </c>
      <c r="R48440" s="36" t="s">
        <v>48</v>
      </c>
    </row>
    <row r="48441">
      <c r="H48441" s="50"/>
      <c r="I48441" s="50"/>
      <c r="O48441" s="36" t="s">
        <v>48</v>
      </c>
      <c r="R48441" s="36" t="s">
        <v>48</v>
      </c>
    </row>
    <row r="48442">
      <c r="H48442" s="50"/>
      <c r="I48442" s="50"/>
      <c r="O48442" s="36" t="s">
        <v>48</v>
      </c>
      <c r="R48442" s="36" t="s">
        <v>48</v>
      </c>
    </row>
    <row r="48443">
      <c r="H48443" s="50"/>
      <c r="I48443" s="50"/>
      <c r="O48443" s="36" t="s">
        <v>48</v>
      </c>
      <c r="R48443" s="36" t="s">
        <v>48</v>
      </c>
    </row>
    <row r="48444">
      <c r="H48444" s="50"/>
      <c r="I48444" s="50"/>
      <c r="O48444" s="36" t="s">
        <v>48</v>
      </c>
      <c r="R48444" s="36" t="s">
        <v>48</v>
      </c>
    </row>
    <row r="48445">
      <c r="H48445" s="50"/>
      <c r="I48445" s="50"/>
      <c r="O48445" s="36" t="s">
        <v>48</v>
      </c>
      <c r="R48445" s="36" t="s">
        <v>48</v>
      </c>
    </row>
    <row r="48446">
      <c r="H48446" s="50"/>
      <c r="I48446" s="50"/>
      <c r="O48446" s="36" t="s">
        <v>48</v>
      </c>
      <c r="R48446" s="36" t="s">
        <v>48</v>
      </c>
    </row>
    <row r="48447">
      <c r="H48447" s="50"/>
      <c r="I48447" s="50"/>
      <c r="O48447" s="36" t="s">
        <v>48</v>
      </c>
      <c r="R48447" s="36" t="s">
        <v>48</v>
      </c>
    </row>
    <row r="48448">
      <c r="H48448" s="50"/>
      <c r="I48448" s="50"/>
      <c r="O48448" s="36" t="s">
        <v>48</v>
      </c>
      <c r="R48448" s="36" t="s">
        <v>48</v>
      </c>
    </row>
    <row r="48449">
      <c r="H48449" s="50"/>
      <c r="I48449" s="50"/>
      <c r="O48449" s="36" t="s">
        <v>48</v>
      </c>
      <c r="R48449" s="36" t="s">
        <v>48</v>
      </c>
    </row>
    <row r="48450">
      <c r="H48450" s="50"/>
      <c r="I48450" s="50"/>
      <c r="O48450" s="36" t="s">
        <v>48</v>
      </c>
      <c r="R48450" s="36" t="s">
        <v>48</v>
      </c>
    </row>
    <row r="48451">
      <c r="H48451" s="50"/>
      <c r="I48451" s="50"/>
      <c r="O48451" s="36" t="s">
        <v>48</v>
      </c>
      <c r="R48451" s="36" t="s">
        <v>48</v>
      </c>
    </row>
    <row r="48452">
      <c r="H48452" s="50"/>
      <c r="I48452" s="50"/>
      <c r="O48452" s="36" t="s">
        <v>48</v>
      </c>
      <c r="R48452" s="36" t="s">
        <v>48</v>
      </c>
    </row>
    <row r="48453">
      <c r="H48453" s="50"/>
      <c r="I48453" s="50"/>
      <c r="O48453" s="36" t="s">
        <v>48</v>
      </c>
      <c r="R48453" s="36" t="s">
        <v>48</v>
      </c>
    </row>
    <row r="48454">
      <c r="H48454" s="50"/>
      <c r="I48454" s="50"/>
      <c r="O48454" s="36" t="s">
        <v>48</v>
      </c>
      <c r="R48454" s="36" t="s">
        <v>48</v>
      </c>
    </row>
    <row r="48455">
      <c r="H48455" s="50"/>
      <c r="I48455" s="50"/>
      <c r="O48455" s="36" t="s">
        <v>48</v>
      </c>
      <c r="R48455" s="36" t="s">
        <v>48</v>
      </c>
    </row>
    <row r="48456">
      <c r="H48456" s="50"/>
      <c r="I48456" s="50"/>
      <c r="O48456" s="36" t="s">
        <v>48</v>
      </c>
      <c r="R48456" s="36" t="s">
        <v>48</v>
      </c>
    </row>
    <row r="48457">
      <c r="H48457" s="50"/>
      <c r="I48457" s="50"/>
      <c r="O48457" s="36" t="s">
        <v>48</v>
      </c>
      <c r="R48457" s="36" t="s">
        <v>48</v>
      </c>
    </row>
    <row r="48458">
      <c r="H48458" s="50"/>
      <c r="I48458" s="50"/>
      <c r="O48458" s="36" t="s">
        <v>48</v>
      </c>
      <c r="R48458" s="36" t="s">
        <v>48</v>
      </c>
    </row>
    <row r="48459">
      <c r="H48459" s="50"/>
      <c r="I48459" s="50"/>
      <c r="O48459" s="36" t="s">
        <v>48</v>
      </c>
      <c r="R48459" s="36" t="s">
        <v>48</v>
      </c>
    </row>
    <row r="48460">
      <c r="H48460" s="50"/>
      <c r="I48460" s="50"/>
      <c r="O48460" s="36" t="s">
        <v>48</v>
      </c>
      <c r="R48460" s="36" t="s">
        <v>48</v>
      </c>
    </row>
    <row r="48461">
      <c r="H48461" s="50"/>
      <c r="I48461" s="50"/>
      <c r="O48461" s="36" t="s">
        <v>48</v>
      </c>
      <c r="R48461" s="36" t="s">
        <v>48</v>
      </c>
    </row>
    <row r="48462">
      <c r="H48462" s="50"/>
      <c r="I48462" s="50"/>
      <c r="O48462" s="36" t="s">
        <v>48</v>
      </c>
      <c r="R48462" s="36" t="s">
        <v>48</v>
      </c>
    </row>
    <row r="48463">
      <c r="H48463" s="50"/>
      <c r="I48463" s="50"/>
      <c r="O48463" s="36" t="s">
        <v>48</v>
      </c>
      <c r="R48463" s="36" t="s">
        <v>48</v>
      </c>
    </row>
    <row r="48464">
      <c r="H48464" s="50"/>
      <c r="I48464" s="50"/>
      <c r="O48464" s="36" t="s">
        <v>48</v>
      </c>
      <c r="R48464" s="36" t="s">
        <v>48</v>
      </c>
    </row>
    <row r="48465">
      <c r="H48465" s="50"/>
      <c r="I48465" s="50"/>
      <c r="O48465" s="36" t="s">
        <v>48</v>
      </c>
      <c r="R48465" s="36" t="s">
        <v>48</v>
      </c>
    </row>
    <row r="48466">
      <c r="H48466" s="50"/>
      <c r="I48466" s="50"/>
      <c r="O48466" s="36" t="s">
        <v>48</v>
      </c>
      <c r="R48466" s="36" t="s">
        <v>48</v>
      </c>
    </row>
    <row r="48467">
      <c r="H48467" s="50"/>
      <c r="I48467" s="50"/>
      <c r="O48467" s="36" t="s">
        <v>48</v>
      </c>
      <c r="R48467" s="36" t="s">
        <v>48</v>
      </c>
    </row>
    <row r="48468">
      <c r="H48468" s="50"/>
      <c r="I48468" s="50"/>
      <c r="O48468" s="36" t="s">
        <v>48</v>
      </c>
      <c r="R48468" s="36" t="s">
        <v>48</v>
      </c>
    </row>
    <row r="48469">
      <c r="H48469" s="50"/>
      <c r="I48469" s="50"/>
      <c r="O48469" s="36" t="s">
        <v>48</v>
      </c>
      <c r="R48469" s="36" t="s">
        <v>48</v>
      </c>
    </row>
    <row r="48470">
      <c r="H48470" s="50"/>
      <c r="I48470" s="50"/>
      <c r="O48470" s="36" t="s">
        <v>48</v>
      </c>
      <c r="R48470" s="36" t="s">
        <v>48</v>
      </c>
    </row>
    <row r="48471">
      <c r="H48471" s="50"/>
      <c r="I48471" s="50"/>
      <c r="O48471" s="36" t="s">
        <v>48</v>
      </c>
      <c r="R48471" s="36" t="s">
        <v>48</v>
      </c>
    </row>
    <row r="48472">
      <c r="H48472" s="50"/>
      <c r="I48472" s="50"/>
      <c r="O48472" s="36" t="s">
        <v>48</v>
      </c>
      <c r="R48472" s="36" t="s">
        <v>48</v>
      </c>
    </row>
    <row r="48473">
      <c r="H48473" s="50"/>
      <c r="I48473" s="50"/>
      <c r="O48473" s="36" t="s">
        <v>48</v>
      </c>
      <c r="R48473" s="36" t="s">
        <v>48</v>
      </c>
    </row>
    <row r="48474">
      <c r="H48474" s="50"/>
      <c r="I48474" s="50"/>
      <c r="O48474" s="36" t="s">
        <v>48</v>
      </c>
      <c r="R48474" s="36" t="s">
        <v>48</v>
      </c>
    </row>
    <row r="48475">
      <c r="H48475" s="50"/>
      <c r="I48475" s="50"/>
      <c r="O48475" s="36" t="s">
        <v>48</v>
      </c>
      <c r="R48475" s="36" t="s">
        <v>48</v>
      </c>
    </row>
    <row r="48476">
      <c r="H48476" s="50"/>
      <c r="I48476" s="50"/>
      <c r="O48476" s="36" t="s">
        <v>48</v>
      </c>
      <c r="R48476" s="36" t="s">
        <v>48</v>
      </c>
    </row>
    <row r="48477">
      <c r="H48477" s="50"/>
      <c r="I48477" s="50"/>
      <c r="O48477" s="36" t="s">
        <v>48</v>
      </c>
      <c r="R48477" s="36" t="s">
        <v>48</v>
      </c>
    </row>
    <row r="48478">
      <c r="H48478" s="50"/>
      <c r="I48478" s="50"/>
      <c r="O48478" s="36" t="s">
        <v>48</v>
      </c>
      <c r="R48478" s="36" t="s">
        <v>48</v>
      </c>
    </row>
    <row r="48479">
      <c r="H48479" s="50"/>
      <c r="I48479" s="50"/>
      <c r="O48479" s="36" t="s">
        <v>48</v>
      </c>
      <c r="R48479" s="36" t="s">
        <v>48</v>
      </c>
    </row>
    <row r="48480">
      <c r="H48480" s="50"/>
      <c r="I48480" s="50"/>
      <c r="O48480" s="36" t="s">
        <v>48</v>
      </c>
      <c r="R48480" s="36" t="s">
        <v>48</v>
      </c>
    </row>
    <row r="48481">
      <c r="H48481" s="50"/>
      <c r="I48481" s="50"/>
      <c r="O48481" s="36" t="s">
        <v>48</v>
      </c>
      <c r="R48481" s="36" t="s">
        <v>48</v>
      </c>
    </row>
    <row r="48482">
      <c r="H48482" s="50"/>
      <c r="I48482" s="50"/>
      <c r="O48482" s="36" t="s">
        <v>48</v>
      </c>
      <c r="R48482" s="36" t="s">
        <v>48</v>
      </c>
    </row>
    <row r="48483">
      <c r="H48483" s="50"/>
      <c r="I48483" s="50"/>
      <c r="O48483" s="36" t="s">
        <v>48</v>
      </c>
      <c r="R48483" s="36" t="s">
        <v>48</v>
      </c>
    </row>
    <row r="48484">
      <c r="H48484" s="50"/>
      <c r="I48484" s="50"/>
      <c r="O48484" s="36" t="s">
        <v>48</v>
      </c>
      <c r="R48484" s="36" t="s">
        <v>48</v>
      </c>
    </row>
    <row r="48485">
      <c r="H48485" s="50"/>
      <c r="I48485" s="50"/>
      <c r="O48485" s="36" t="s">
        <v>48</v>
      </c>
      <c r="R48485" s="36" t="s">
        <v>48</v>
      </c>
    </row>
    <row r="48486">
      <c r="H48486" s="50"/>
      <c r="I48486" s="50"/>
      <c r="O48486" s="36" t="s">
        <v>48</v>
      </c>
      <c r="R48486" s="36" t="s">
        <v>48</v>
      </c>
    </row>
    <row r="48487">
      <c r="H48487" s="50"/>
      <c r="I48487" s="50"/>
      <c r="O48487" s="36" t="s">
        <v>48</v>
      </c>
      <c r="R48487" s="36" t="s">
        <v>48</v>
      </c>
    </row>
    <row r="48488">
      <c r="H48488" s="50"/>
      <c r="I48488" s="50"/>
      <c r="O48488" s="36" t="s">
        <v>48</v>
      </c>
      <c r="R48488" s="36" t="s">
        <v>48</v>
      </c>
    </row>
    <row r="48489">
      <c r="H48489" s="50"/>
      <c r="I48489" s="50"/>
      <c r="O48489" s="36" t="s">
        <v>48</v>
      </c>
      <c r="R48489" s="36" t="s">
        <v>48</v>
      </c>
    </row>
    <row r="48490">
      <c r="H48490" s="50"/>
      <c r="I48490" s="50"/>
      <c r="O48490" s="36" t="s">
        <v>48</v>
      </c>
      <c r="R48490" s="36" t="s">
        <v>48</v>
      </c>
    </row>
    <row r="48491">
      <c r="H48491" s="50"/>
      <c r="I48491" s="50"/>
      <c r="O48491" s="36" t="s">
        <v>48</v>
      </c>
      <c r="R48491" s="36" t="s">
        <v>48</v>
      </c>
    </row>
    <row r="48492">
      <c r="H48492" s="50"/>
      <c r="I48492" s="50"/>
      <c r="O48492" s="36" t="s">
        <v>48</v>
      </c>
      <c r="R48492" s="36" t="s">
        <v>48</v>
      </c>
    </row>
    <row r="48493">
      <c r="H48493" s="50"/>
      <c r="I48493" s="50"/>
      <c r="O48493" s="36" t="s">
        <v>48</v>
      </c>
      <c r="R48493" s="36" t="s">
        <v>48</v>
      </c>
    </row>
    <row r="48494">
      <c r="H48494" s="50"/>
      <c r="I48494" s="50"/>
      <c r="O48494" s="36" t="s">
        <v>48</v>
      </c>
      <c r="R48494" s="36" t="s">
        <v>48</v>
      </c>
    </row>
    <row r="48495">
      <c r="H48495" s="50"/>
      <c r="I48495" s="50"/>
      <c r="O48495" s="36" t="s">
        <v>48</v>
      </c>
      <c r="R48495" s="36" t="s">
        <v>48</v>
      </c>
    </row>
    <row r="48496">
      <c r="H48496" s="50"/>
      <c r="I48496" s="50"/>
      <c r="O48496" s="36" t="s">
        <v>48</v>
      </c>
      <c r="R48496" s="36" t="s">
        <v>48</v>
      </c>
    </row>
    <row r="48497">
      <c r="H48497" s="50"/>
      <c r="I48497" s="50"/>
      <c r="O48497" s="36" t="s">
        <v>48</v>
      </c>
      <c r="R48497" s="36" t="s">
        <v>48</v>
      </c>
    </row>
    <row r="48498">
      <c r="H48498" s="50"/>
      <c r="I48498" s="50"/>
      <c r="O48498" s="36" t="s">
        <v>48</v>
      </c>
      <c r="R48498" s="36" t="s">
        <v>48</v>
      </c>
    </row>
    <row r="48499">
      <c r="H48499" s="50"/>
      <c r="I48499" s="50"/>
      <c r="O48499" s="36" t="s">
        <v>48</v>
      </c>
      <c r="R48499" s="36" t="s">
        <v>48</v>
      </c>
    </row>
    <row r="48500">
      <c r="H48500" s="50"/>
      <c r="I48500" s="50"/>
      <c r="O48500" s="36" t="s">
        <v>48</v>
      </c>
      <c r="R48500" s="36" t="s">
        <v>48</v>
      </c>
    </row>
    <row r="48501">
      <c r="H48501" s="50"/>
      <c r="I48501" s="50"/>
      <c r="O48501" s="36" t="s">
        <v>48</v>
      </c>
      <c r="R48501" s="36" t="s">
        <v>48</v>
      </c>
    </row>
    <row r="48502">
      <c r="H48502" s="50"/>
      <c r="I48502" s="50"/>
      <c r="O48502" s="36" t="s">
        <v>48</v>
      </c>
      <c r="R48502" s="36" t="s">
        <v>48</v>
      </c>
    </row>
    <row r="48503">
      <c r="H48503" s="50"/>
      <c r="I48503" s="50"/>
      <c r="O48503" s="36" t="s">
        <v>48</v>
      </c>
      <c r="R48503" s="36" t="s">
        <v>48</v>
      </c>
    </row>
    <row r="48504">
      <c r="H48504" s="50"/>
      <c r="I48504" s="50"/>
      <c r="O48504" s="36" t="s">
        <v>48</v>
      </c>
      <c r="R48504" s="36" t="s">
        <v>48</v>
      </c>
    </row>
    <row r="48505">
      <c r="H48505" s="50"/>
      <c r="I48505" s="50"/>
      <c r="O48505" s="36" t="s">
        <v>48</v>
      </c>
      <c r="R48505" s="36" t="s">
        <v>48</v>
      </c>
    </row>
    <row r="48506">
      <c r="H48506" s="50"/>
      <c r="I48506" s="50"/>
      <c r="O48506" s="36" t="s">
        <v>48</v>
      </c>
      <c r="R48506" s="36" t="s">
        <v>48</v>
      </c>
    </row>
    <row r="48507">
      <c r="H48507" s="50"/>
      <c r="I48507" s="50"/>
      <c r="O48507" s="36" t="s">
        <v>48</v>
      </c>
      <c r="R48507" s="36" t="s">
        <v>48</v>
      </c>
    </row>
    <row r="48508">
      <c r="H48508" s="50"/>
      <c r="I48508" s="50"/>
      <c r="O48508" s="36" t="s">
        <v>48</v>
      </c>
      <c r="R48508" s="36" t="s">
        <v>48</v>
      </c>
    </row>
    <row r="48509">
      <c r="H48509" s="50"/>
      <c r="I48509" s="50"/>
      <c r="O48509" s="36" t="s">
        <v>48</v>
      </c>
      <c r="R48509" s="36" t="s">
        <v>48</v>
      </c>
    </row>
    <row r="48510">
      <c r="H48510" s="50"/>
      <c r="I48510" s="50"/>
      <c r="O48510" s="36" t="s">
        <v>48</v>
      </c>
      <c r="R48510" s="36" t="s">
        <v>48</v>
      </c>
    </row>
    <row r="48511">
      <c r="H48511" s="50"/>
      <c r="I48511" s="50"/>
      <c r="O48511" s="36" t="s">
        <v>48</v>
      </c>
      <c r="R48511" s="36" t="s">
        <v>48</v>
      </c>
    </row>
    <row r="48512">
      <c r="H48512" s="50"/>
      <c r="I48512" s="50"/>
      <c r="O48512" s="36" t="s">
        <v>48</v>
      </c>
      <c r="R48512" s="36" t="s">
        <v>48</v>
      </c>
    </row>
    <row r="48513">
      <c r="H48513" s="50"/>
      <c r="I48513" s="50"/>
      <c r="O48513" s="36" t="s">
        <v>48</v>
      </c>
      <c r="R48513" s="36" t="s">
        <v>48</v>
      </c>
    </row>
    <row r="48514">
      <c r="H48514" s="50"/>
      <c r="I48514" s="50"/>
      <c r="O48514" s="36" t="s">
        <v>48</v>
      </c>
      <c r="R48514" s="36" t="s">
        <v>48</v>
      </c>
    </row>
    <row r="48515">
      <c r="H48515" s="50"/>
      <c r="I48515" s="50"/>
      <c r="O48515" s="36" t="s">
        <v>48</v>
      </c>
      <c r="R48515" s="36" t="s">
        <v>48</v>
      </c>
    </row>
    <row r="48516">
      <c r="H48516" s="50"/>
      <c r="I48516" s="50"/>
      <c r="O48516" s="36" t="s">
        <v>48</v>
      </c>
      <c r="R48516" s="36" t="s">
        <v>48</v>
      </c>
    </row>
    <row r="48517">
      <c r="H48517" s="50"/>
      <c r="I48517" s="50"/>
      <c r="O48517" s="36" t="s">
        <v>48</v>
      </c>
      <c r="R48517" s="36" t="s">
        <v>48</v>
      </c>
    </row>
    <row r="48518">
      <c r="H48518" s="50"/>
      <c r="I48518" s="50"/>
      <c r="O48518" s="36" t="s">
        <v>48</v>
      </c>
      <c r="R48518" s="36" t="s">
        <v>48</v>
      </c>
    </row>
    <row r="48519">
      <c r="H48519" s="50"/>
      <c r="I48519" s="50"/>
      <c r="O48519" s="36" t="s">
        <v>48</v>
      </c>
      <c r="R48519" s="36" t="s">
        <v>48</v>
      </c>
    </row>
    <row r="48520">
      <c r="H48520" s="50"/>
      <c r="I48520" s="50"/>
      <c r="O48520" s="36" t="s">
        <v>48</v>
      </c>
      <c r="R48520" s="36" t="s">
        <v>48</v>
      </c>
    </row>
    <row r="48521">
      <c r="H48521" s="50"/>
      <c r="I48521" s="50"/>
      <c r="O48521" s="36" t="s">
        <v>48</v>
      </c>
      <c r="R48521" s="36" t="s">
        <v>48</v>
      </c>
    </row>
    <row r="48522">
      <c r="H48522" s="50"/>
      <c r="I48522" s="50"/>
      <c r="O48522" s="36" t="s">
        <v>48</v>
      </c>
      <c r="R48522" s="36" t="s">
        <v>48</v>
      </c>
    </row>
    <row r="48523">
      <c r="H48523" s="50"/>
      <c r="I48523" s="50"/>
      <c r="O48523" s="36" t="s">
        <v>48</v>
      </c>
      <c r="R48523" s="36" t="s">
        <v>48</v>
      </c>
    </row>
    <row r="48524">
      <c r="H48524" s="50"/>
      <c r="I48524" s="50"/>
      <c r="O48524" s="36" t="s">
        <v>48</v>
      </c>
      <c r="R48524" s="36" t="s">
        <v>48</v>
      </c>
    </row>
    <row r="48525">
      <c r="H48525" s="50"/>
      <c r="I48525" s="50"/>
      <c r="O48525" s="36" t="s">
        <v>48</v>
      </c>
      <c r="R48525" s="36" t="s">
        <v>48</v>
      </c>
    </row>
    <row r="48526">
      <c r="H48526" s="50"/>
      <c r="I48526" s="50"/>
      <c r="O48526" s="36" t="s">
        <v>48</v>
      </c>
      <c r="R48526" s="36" t="s">
        <v>48</v>
      </c>
    </row>
    <row r="48527">
      <c r="H48527" s="50"/>
      <c r="I48527" s="50"/>
      <c r="O48527" s="36" t="s">
        <v>48</v>
      </c>
      <c r="R48527" s="36" t="s">
        <v>48</v>
      </c>
    </row>
    <row r="48528">
      <c r="H48528" s="50"/>
      <c r="I48528" s="50"/>
      <c r="O48528" s="36" t="s">
        <v>48</v>
      </c>
      <c r="R48528" s="36" t="s">
        <v>48</v>
      </c>
    </row>
    <row r="48529">
      <c r="H48529" s="50"/>
      <c r="I48529" s="50"/>
      <c r="O48529" s="36" t="s">
        <v>48</v>
      </c>
      <c r="R48529" s="36" t="s">
        <v>48</v>
      </c>
    </row>
    <row r="48530">
      <c r="H48530" s="50"/>
      <c r="I48530" s="50"/>
      <c r="O48530" s="36" t="s">
        <v>48</v>
      </c>
      <c r="R48530" s="36" t="s">
        <v>48</v>
      </c>
    </row>
    <row r="48531">
      <c r="H48531" s="50"/>
      <c r="I48531" s="50"/>
      <c r="O48531" s="36" t="s">
        <v>48</v>
      </c>
      <c r="R48531" s="36" t="s">
        <v>48</v>
      </c>
    </row>
    <row r="48532">
      <c r="H48532" s="50"/>
      <c r="I48532" s="50"/>
      <c r="O48532" s="36" t="s">
        <v>48</v>
      </c>
      <c r="R48532" s="36" t="s">
        <v>48</v>
      </c>
    </row>
    <row r="48533">
      <c r="H48533" s="50"/>
      <c r="I48533" s="50"/>
      <c r="O48533" s="36" t="s">
        <v>48</v>
      </c>
      <c r="R48533" s="36" t="s">
        <v>48</v>
      </c>
    </row>
    <row r="48534">
      <c r="H48534" s="50"/>
      <c r="I48534" s="50"/>
      <c r="O48534" s="36" t="s">
        <v>48</v>
      </c>
      <c r="R48534" s="36" t="s">
        <v>48</v>
      </c>
    </row>
    <row r="48535">
      <c r="H48535" s="50"/>
      <c r="I48535" s="50"/>
      <c r="O48535" s="36" t="s">
        <v>48</v>
      </c>
      <c r="R48535" s="36" t="s">
        <v>48</v>
      </c>
    </row>
    <row r="48536">
      <c r="H48536" s="50"/>
      <c r="I48536" s="50"/>
      <c r="O48536" s="36" t="s">
        <v>48</v>
      </c>
      <c r="R48536" s="36" t="s">
        <v>48</v>
      </c>
    </row>
    <row r="48537">
      <c r="H48537" s="50"/>
      <c r="I48537" s="50"/>
      <c r="O48537" s="36" t="s">
        <v>48</v>
      </c>
      <c r="R48537" s="36" t="s">
        <v>48</v>
      </c>
    </row>
    <row r="48538">
      <c r="H48538" s="50"/>
      <c r="I48538" s="50"/>
      <c r="O48538" s="36" t="s">
        <v>48</v>
      </c>
      <c r="R48538" s="36" t="s">
        <v>48</v>
      </c>
    </row>
    <row r="48539">
      <c r="H48539" s="50"/>
      <c r="I48539" s="50"/>
      <c r="O48539" s="36" t="s">
        <v>48</v>
      </c>
      <c r="R48539" s="36" t="s">
        <v>48</v>
      </c>
    </row>
    <row r="48540">
      <c r="H48540" s="50"/>
      <c r="I48540" s="50"/>
      <c r="O48540" s="36" t="s">
        <v>48</v>
      </c>
      <c r="R48540" s="36" t="s">
        <v>48</v>
      </c>
    </row>
    <row r="48541">
      <c r="H48541" s="50"/>
      <c r="I48541" s="50"/>
      <c r="O48541" s="36" t="s">
        <v>48</v>
      </c>
      <c r="R48541" s="36" t="s">
        <v>48</v>
      </c>
    </row>
    <row r="48542">
      <c r="H48542" s="50"/>
      <c r="I48542" s="50"/>
      <c r="O48542" s="36" t="s">
        <v>48</v>
      </c>
      <c r="R48542" s="36" t="s">
        <v>48</v>
      </c>
    </row>
    <row r="48543">
      <c r="H48543" s="50"/>
      <c r="I48543" s="50"/>
      <c r="O48543" s="36" t="s">
        <v>48</v>
      </c>
      <c r="R48543" s="36" t="s">
        <v>48</v>
      </c>
    </row>
    <row r="48544">
      <c r="H48544" s="50"/>
      <c r="I48544" s="50"/>
      <c r="O48544" s="36" t="s">
        <v>48</v>
      </c>
      <c r="R48544" s="36" t="s">
        <v>48</v>
      </c>
    </row>
    <row r="48545">
      <c r="H48545" s="50"/>
      <c r="I48545" s="50"/>
      <c r="O48545" s="36" t="s">
        <v>48</v>
      </c>
      <c r="R48545" s="36" t="s">
        <v>48</v>
      </c>
    </row>
    <row r="48546">
      <c r="H48546" s="50"/>
      <c r="I48546" s="50"/>
      <c r="O48546" s="36" t="s">
        <v>48</v>
      </c>
      <c r="R48546" s="36" t="s">
        <v>48</v>
      </c>
    </row>
    <row r="48547">
      <c r="H48547" s="50"/>
      <c r="I48547" s="50"/>
      <c r="O48547" s="36" t="s">
        <v>48</v>
      </c>
      <c r="R48547" s="36" t="s">
        <v>48</v>
      </c>
    </row>
    <row r="48548">
      <c r="H48548" s="50"/>
      <c r="I48548" s="50"/>
      <c r="O48548" s="36" t="s">
        <v>48</v>
      </c>
      <c r="R48548" s="36" t="s">
        <v>48</v>
      </c>
    </row>
    <row r="48549">
      <c r="H48549" s="50"/>
      <c r="I48549" s="50"/>
      <c r="O48549" s="36" t="s">
        <v>48</v>
      </c>
      <c r="R48549" s="36" t="s">
        <v>48</v>
      </c>
    </row>
    <row r="48550">
      <c r="H48550" s="50"/>
      <c r="I48550" s="50"/>
      <c r="O48550" s="36" t="s">
        <v>48</v>
      </c>
      <c r="R48550" s="36" t="s">
        <v>48</v>
      </c>
    </row>
    <row r="48551">
      <c r="H48551" s="50"/>
      <c r="I48551" s="50"/>
      <c r="O48551" s="36" t="s">
        <v>48</v>
      </c>
      <c r="R48551" s="36" t="s">
        <v>48</v>
      </c>
    </row>
    <row r="48552">
      <c r="H48552" s="50"/>
      <c r="I48552" s="50"/>
      <c r="O48552" s="36" t="s">
        <v>48</v>
      </c>
      <c r="R48552" s="36" t="s">
        <v>48</v>
      </c>
    </row>
    <row r="48553">
      <c r="H48553" s="50"/>
      <c r="I48553" s="50"/>
      <c r="O48553" s="36" t="s">
        <v>48</v>
      </c>
      <c r="R48553" s="36" t="s">
        <v>48</v>
      </c>
    </row>
    <row r="48554">
      <c r="H48554" s="50"/>
      <c r="I48554" s="50"/>
      <c r="O48554" s="36" t="s">
        <v>48</v>
      </c>
      <c r="R48554" s="36" t="s">
        <v>48</v>
      </c>
    </row>
    <row r="48555">
      <c r="H48555" s="50"/>
      <c r="I48555" s="50"/>
      <c r="O48555" s="36" t="s">
        <v>48</v>
      </c>
      <c r="R48555" s="36" t="s">
        <v>48</v>
      </c>
    </row>
    <row r="48556">
      <c r="H48556" s="50"/>
      <c r="I48556" s="50"/>
      <c r="O48556" s="36" t="s">
        <v>48</v>
      </c>
      <c r="R48556" s="36" t="s">
        <v>48</v>
      </c>
    </row>
    <row r="48557">
      <c r="H48557" s="50"/>
      <c r="I48557" s="50"/>
      <c r="O48557" s="36" t="s">
        <v>48</v>
      </c>
      <c r="R48557" s="36" t="s">
        <v>48</v>
      </c>
    </row>
    <row r="48558">
      <c r="H48558" s="50"/>
      <c r="I48558" s="50"/>
      <c r="O48558" s="36" t="s">
        <v>48</v>
      </c>
      <c r="R48558" s="36" t="s">
        <v>48</v>
      </c>
    </row>
    <row r="48559">
      <c r="H48559" s="50"/>
      <c r="I48559" s="50"/>
      <c r="O48559" s="36" t="s">
        <v>48</v>
      </c>
      <c r="R48559" s="36" t="s">
        <v>48</v>
      </c>
    </row>
    <row r="48560">
      <c r="H48560" s="50"/>
      <c r="I48560" s="50"/>
      <c r="O48560" s="36" t="s">
        <v>48</v>
      </c>
      <c r="R48560" s="36" t="s">
        <v>48</v>
      </c>
    </row>
    <row r="48561">
      <c r="H48561" s="50"/>
      <c r="I48561" s="50"/>
      <c r="O48561" s="36" t="s">
        <v>48</v>
      </c>
      <c r="R48561" s="36" t="s">
        <v>48</v>
      </c>
    </row>
    <row r="48562">
      <c r="H48562" s="50"/>
      <c r="I48562" s="50"/>
      <c r="O48562" s="36" t="s">
        <v>48</v>
      </c>
      <c r="R48562" s="36" t="s">
        <v>48</v>
      </c>
    </row>
    <row r="48563">
      <c r="H48563" s="50"/>
      <c r="I48563" s="50"/>
      <c r="O48563" s="36" t="s">
        <v>48</v>
      </c>
      <c r="R48563" s="36" t="s">
        <v>48</v>
      </c>
    </row>
    <row r="48564">
      <c r="H48564" s="50"/>
      <c r="I48564" s="50"/>
      <c r="O48564" s="36" t="s">
        <v>48</v>
      </c>
      <c r="R48564" s="36" t="s">
        <v>48</v>
      </c>
    </row>
    <row r="48565">
      <c r="H48565" s="50"/>
      <c r="I48565" s="50"/>
      <c r="O48565" s="36" t="s">
        <v>48</v>
      </c>
      <c r="R48565" s="36" t="s">
        <v>48</v>
      </c>
    </row>
    <row r="48566">
      <c r="H48566" s="50"/>
      <c r="I48566" s="50"/>
      <c r="O48566" s="36" t="s">
        <v>48</v>
      </c>
      <c r="R48566" s="36" t="s">
        <v>48</v>
      </c>
    </row>
    <row r="48567">
      <c r="H48567" s="50"/>
      <c r="I48567" s="50"/>
      <c r="O48567" s="36" t="s">
        <v>48</v>
      </c>
      <c r="R48567" s="36" t="s">
        <v>48</v>
      </c>
    </row>
    <row r="48568">
      <c r="H48568" s="50"/>
      <c r="I48568" s="50"/>
      <c r="O48568" s="36" t="s">
        <v>48</v>
      </c>
      <c r="R48568" s="36" t="s">
        <v>48</v>
      </c>
    </row>
    <row r="48569">
      <c r="H48569" s="50"/>
      <c r="I48569" s="50"/>
      <c r="O48569" s="36" t="s">
        <v>48</v>
      </c>
      <c r="R48569" s="36" t="s">
        <v>48</v>
      </c>
    </row>
    <row r="48570">
      <c r="H48570" s="50"/>
      <c r="I48570" s="50"/>
      <c r="O48570" s="36" t="s">
        <v>48</v>
      </c>
      <c r="R48570" s="36" t="s">
        <v>48</v>
      </c>
    </row>
    <row r="48571">
      <c r="H48571" s="50"/>
      <c r="I48571" s="50"/>
      <c r="O48571" s="36" t="s">
        <v>48</v>
      </c>
      <c r="R48571" s="36" t="s">
        <v>48</v>
      </c>
    </row>
    <row r="48572">
      <c r="H48572" s="50"/>
      <c r="I48572" s="50"/>
      <c r="O48572" s="36" t="s">
        <v>48</v>
      </c>
      <c r="R48572" s="36" t="s">
        <v>48</v>
      </c>
    </row>
    <row r="48573">
      <c r="H48573" s="50"/>
      <c r="I48573" s="50"/>
      <c r="O48573" s="36" t="s">
        <v>48</v>
      </c>
      <c r="R48573" s="36" t="s">
        <v>48</v>
      </c>
    </row>
    <row r="48574">
      <c r="H48574" s="50"/>
      <c r="I48574" s="50"/>
      <c r="O48574" s="36" t="s">
        <v>48</v>
      </c>
      <c r="R48574" s="36" t="s">
        <v>48</v>
      </c>
    </row>
    <row r="48575">
      <c r="H48575" s="50"/>
      <c r="I48575" s="50"/>
      <c r="O48575" s="36" t="s">
        <v>48</v>
      </c>
      <c r="R48575" s="36" t="s">
        <v>48</v>
      </c>
    </row>
    <row r="48576">
      <c r="H48576" s="50"/>
      <c r="I48576" s="50"/>
      <c r="O48576" s="36" t="s">
        <v>48</v>
      </c>
      <c r="R48576" s="36" t="s">
        <v>48</v>
      </c>
    </row>
    <row r="48577">
      <c r="H48577" s="50"/>
      <c r="I48577" s="50"/>
      <c r="O48577" s="36" t="s">
        <v>48</v>
      </c>
      <c r="R48577" s="36" t="s">
        <v>48</v>
      </c>
    </row>
    <row r="48578">
      <c r="H48578" s="50"/>
      <c r="I48578" s="50"/>
      <c r="O48578" s="36" t="s">
        <v>48</v>
      </c>
      <c r="R48578" s="36" t="s">
        <v>48</v>
      </c>
    </row>
    <row r="48579">
      <c r="H48579" s="50"/>
      <c r="I48579" s="50"/>
      <c r="O48579" s="36" t="s">
        <v>48</v>
      </c>
      <c r="R48579" s="36" t="s">
        <v>48</v>
      </c>
    </row>
    <row r="48580">
      <c r="H48580" s="50"/>
      <c r="I48580" s="50"/>
      <c r="O48580" s="36" t="s">
        <v>48</v>
      </c>
      <c r="R48580" s="36" t="s">
        <v>48</v>
      </c>
    </row>
    <row r="48581">
      <c r="H48581" s="50"/>
      <c r="I48581" s="50"/>
      <c r="O48581" s="36" t="s">
        <v>48</v>
      </c>
      <c r="R48581" s="36" t="s">
        <v>48</v>
      </c>
    </row>
    <row r="48582">
      <c r="H48582" s="50"/>
      <c r="I48582" s="50"/>
      <c r="O48582" s="36" t="s">
        <v>48</v>
      </c>
      <c r="R48582" s="36" t="s">
        <v>48</v>
      </c>
    </row>
    <row r="48583">
      <c r="H48583" s="50"/>
      <c r="I48583" s="50"/>
      <c r="O48583" s="36" t="s">
        <v>48</v>
      </c>
      <c r="R48583" s="36" t="s">
        <v>48</v>
      </c>
    </row>
    <row r="48584">
      <c r="H48584" s="50"/>
      <c r="I48584" s="50"/>
      <c r="O48584" s="36" t="s">
        <v>48</v>
      </c>
      <c r="R48584" s="36" t="s">
        <v>48</v>
      </c>
    </row>
    <row r="48585">
      <c r="H48585" s="50"/>
      <c r="I48585" s="50"/>
      <c r="O48585" s="36" t="s">
        <v>48</v>
      </c>
      <c r="R48585" s="36" t="s">
        <v>48</v>
      </c>
    </row>
    <row r="48586">
      <c r="H48586" s="50"/>
      <c r="I48586" s="50"/>
      <c r="O48586" s="36" t="s">
        <v>48</v>
      </c>
      <c r="R48586" s="36" t="s">
        <v>48</v>
      </c>
    </row>
    <row r="48587">
      <c r="H48587" s="50"/>
      <c r="I48587" s="50"/>
      <c r="O48587" s="36" t="s">
        <v>48</v>
      </c>
      <c r="R48587" s="36" t="s">
        <v>48</v>
      </c>
    </row>
    <row r="48588">
      <c r="H48588" s="50"/>
      <c r="I48588" s="50"/>
      <c r="O48588" s="36" t="s">
        <v>48</v>
      </c>
      <c r="R48588" s="36" t="s">
        <v>48</v>
      </c>
    </row>
    <row r="48589">
      <c r="H48589" s="50"/>
      <c r="I48589" s="50"/>
      <c r="O48589" s="36" t="s">
        <v>48</v>
      </c>
      <c r="R48589" s="36" t="s">
        <v>48</v>
      </c>
    </row>
    <row r="48590">
      <c r="H48590" s="50"/>
      <c r="I48590" s="50"/>
      <c r="O48590" s="36" t="s">
        <v>48</v>
      </c>
      <c r="R48590" s="36" t="s">
        <v>48</v>
      </c>
    </row>
    <row r="48591">
      <c r="H48591" s="50"/>
      <c r="I48591" s="50"/>
      <c r="O48591" s="36" t="s">
        <v>48</v>
      </c>
      <c r="R48591" s="36" t="s">
        <v>48</v>
      </c>
    </row>
    <row r="48592">
      <c r="H48592" s="50"/>
      <c r="I48592" s="50"/>
      <c r="O48592" s="36" t="s">
        <v>48</v>
      </c>
      <c r="R48592" s="36" t="s">
        <v>48</v>
      </c>
    </row>
    <row r="48593">
      <c r="H48593" s="50"/>
      <c r="I48593" s="50"/>
      <c r="O48593" s="36" t="s">
        <v>48</v>
      </c>
      <c r="R48593" s="36" t="s">
        <v>48</v>
      </c>
    </row>
    <row r="48594">
      <c r="H48594" s="50"/>
      <c r="I48594" s="50"/>
      <c r="O48594" s="36" t="s">
        <v>48</v>
      </c>
      <c r="R48594" s="36" t="s">
        <v>48</v>
      </c>
    </row>
    <row r="48595">
      <c r="H48595" s="50"/>
      <c r="I48595" s="50"/>
      <c r="O48595" s="36" t="s">
        <v>48</v>
      </c>
      <c r="R48595" s="36" t="s">
        <v>48</v>
      </c>
    </row>
    <row r="48596">
      <c r="H48596" s="50"/>
      <c r="I48596" s="50"/>
      <c r="O48596" s="36" t="s">
        <v>48</v>
      </c>
      <c r="R48596" s="36" t="s">
        <v>48</v>
      </c>
    </row>
    <row r="48597">
      <c r="H48597" s="50"/>
      <c r="I48597" s="50"/>
      <c r="O48597" s="36" t="s">
        <v>48</v>
      </c>
      <c r="R48597" s="36" t="s">
        <v>48</v>
      </c>
    </row>
    <row r="48598">
      <c r="H48598" s="50"/>
      <c r="I48598" s="50"/>
      <c r="O48598" s="36" t="s">
        <v>48</v>
      </c>
      <c r="R48598" s="36" t="s">
        <v>48</v>
      </c>
    </row>
    <row r="48599">
      <c r="H48599" s="50"/>
      <c r="I48599" s="50"/>
      <c r="O48599" s="36" t="s">
        <v>48</v>
      </c>
      <c r="R48599" s="36" t="s">
        <v>48</v>
      </c>
    </row>
    <row r="48600">
      <c r="H48600" s="50"/>
      <c r="I48600" s="50"/>
      <c r="O48600" s="36" t="s">
        <v>48</v>
      </c>
      <c r="R48600" s="36" t="s">
        <v>48</v>
      </c>
    </row>
    <row r="48601">
      <c r="H48601" s="50"/>
      <c r="I48601" s="50"/>
      <c r="O48601" s="36" t="s">
        <v>48</v>
      </c>
      <c r="R48601" s="36" t="s">
        <v>48</v>
      </c>
    </row>
    <row r="48602">
      <c r="H48602" s="50"/>
      <c r="I48602" s="50"/>
      <c r="O48602" s="36" t="s">
        <v>48</v>
      </c>
      <c r="R48602" s="36" t="s">
        <v>48</v>
      </c>
    </row>
    <row r="48603">
      <c r="H48603" s="50"/>
      <c r="I48603" s="50"/>
      <c r="O48603" s="36" t="s">
        <v>48</v>
      </c>
      <c r="R48603" s="36" t="s">
        <v>48</v>
      </c>
    </row>
    <row r="48604">
      <c r="H48604" s="50"/>
      <c r="I48604" s="50"/>
      <c r="O48604" s="36" t="s">
        <v>48</v>
      </c>
      <c r="R48604" s="36" t="s">
        <v>48</v>
      </c>
    </row>
    <row r="48605">
      <c r="H48605" s="50"/>
      <c r="I48605" s="50"/>
      <c r="O48605" s="36" t="s">
        <v>48</v>
      </c>
      <c r="R48605" s="36" t="s">
        <v>48</v>
      </c>
    </row>
    <row r="48606">
      <c r="H48606" s="50"/>
      <c r="I48606" s="50"/>
      <c r="O48606" s="36" t="s">
        <v>48</v>
      </c>
      <c r="R48606" s="36" t="s">
        <v>48</v>
      </c>
    </row>
    <row r="48607">
      <c r="H48607" s="50"/>
      <c r="I48607" s="50"/>
      <c r="O48607" s="36" t="s">
        <v>48</v>
      </c>
      <c r="R48607" s="36" t="s">
        <v>48</v>
      </c>
    </row>
    <row r="48608">
      <c r="H48608" s="50"/>
      <c r="I48608" s="50"/>
      <c r="O48608" s="36" t="s">
        <v>48</v>
      </c>
      <c r="R48608" s="36" t="s">
        <v>48</v>
      </c>
    </row>
    <row r="48609">
      <c r="H48609" s="50"/>
      <c r="I48609" s="50"/>
      <c r="O48609" s="36" t="s">
        <v>48</v>
      </c>
      <c r="R48609" s="36" t="s">
        <v>48</v>
      </c>
    </row>
    <row r="48610">
      <c r="H48610" s="50"/>
      <c r="I48610" s="50"/>
      <c r="O48610" s="36" t="s">
        <v>48</v>
      </c>
      <c r="R48610" s="36" t="s">
        <v>48</v>
      </c>
    </row>
    <row r="48611">
      <c r="H48611" s="50"/>
      <c r="I48611" s="50"/>
      <c r="O48611" s="36" t="s">
        <v>48</v>
      </c>
      <c r="R48611" s="36" t="s">
        <v>48</v>
      </c>
    </row>
    <row r="48612">
      <c r="H48612" s="50"/>
      <c r="I48612" s="50"/>
      <c r="O48612" s="36" t="s">
        <v>48</v>
      </c>
      <c r="R48612" s="36" t="s">
        <v>48</v>
      </c>
    </row>
    <row r="48613">
      <c r="H48613" s="50"/>
      <c r="I48613" s="50"/>
      <c r="O48613" s="36" t="s">
        <v>48</v>
      </c>
      <c r="R48613" s="36" t="s">
        <v>48</v>
      </c>
    </row>
    <row r="48614">
      <c r="H48614" s="50"/>
      <c r="I48614" s="50"/>
      <c r="O48614" s="36" t="s">
        <v>48</v>
      </c>
      <c r="R48614" s="36" t="s">
        <v>48</v>
      </c>
    </row>
    <row r="48615">
      <c r="H48615" s="50"/>
      <c r="I48615" s="50"/>
      <c r="O48615" s="36" t="s">
        <v>48</v>
      </c>
      <c r="R48615" s="36" t="s">
        <v>48</v>
      </c>
    </row>
    <row r="48616">
      <c r="H48616" s="50"/>
      <c r="I48616" s="50"/>
      <c r="O48616" s="36" t="s">
        <v>48</v>
      </c>
      <c r="R48616" s="36" t="s">
        <v>48</v>
      </c>
    </row>
    <row r="48617">
      <c r="H48617" s="50"/>
      <c r="I48617" s="50"/>
      <c r="O48617" s="36" t="s">
        <v>48</v>
      </c>
      <c r="R48617" s="36" t="s">
        <v>48</v>
      </c>
    </row>
    <row r="48618">
      <c r="H48618" s="50"/>
      <c r="I48618" s="50"/>
      <c r="O48618" s="36" t="s">
        <v>48</v>
      </c>
      <c r="R48618" s="36" t="s">
        <v>48</v>
      </c>
    </row>
    <row r="48619">
      <c r="H48619" s="50"/>
      <c r="I48619" s="50"/>
      <c r="O48619" s="36" t="s">
        <v>48</v>
      </c>
      <c r="R48619" s="36" t="s">
        <v>48</v>
      </c>
    </row>
    <row r="48620">
      <c r="H48620" s="50"/>
      <c r="I48620" s="50"/>
      <c r="O48620" s="36" t="s">
        <v>48</v>
      </c>
      <c r="R48620" s="36" t="s">
        <v>48</v>
      </c>
    </row>
    <row r="48621">
      <c r="H48621" s="50"/>
      <c r="I48621" s="50"/>
      <c r="O48621" s="36" t="s">
        <v>48</v>
      </c>
      <c r="R48621" s="36" t="s">
        <v>48</v>
      </c>
    </row>
    <row r="48622">
      <c r="H48622" s="50"/>
      <c r="I48622" s="50"/>
      <c r="O48622" s="36" t="s">
        <v>48</v>
      </c>
      <c r="R48622" s="36" t="s">
        <v>48</v>
      </c>
    </row>
    <row r="48623">
      <c r="H48623" s="50"/>
      <c r="I48623" s="50"/>
      <c r="O48623" s="36" t="s">
        <v>48</v>
      </c>
      <c r="R48623" s="36" t="s">
        <v>48</v>
      </c>
    </row>
    <row r="48624">
      <c r="H48624" s="50"/>
      <c r="I48624" s="50"/>
      <c r="O48624" s="36" t="s">
        <v>48</v>
      </c>
      <c r="R48624" s="36" t="s">
        <v>48</v>
      </c>
    </row>
    <row r="48625">
      <c r="H48625" s="50"/>
      <c r="I48625" s="50"/>
      <c r="O48625" s="36" t="s">
        <v>48</v>
      </c>
      <c r="R48625" s="36" t="s">
        <v>48</v>
      </c>
    </row>
    <row r="48626">
      <c r="H48626" s="50"/>
      <c r="I48626" s="50"/>
      <c r="O48626" s="36" t="s">
        <v>48</v>
      </c>
      <c r="R48626" s="36" t="s">
        <v>48</v>
      </c>
    </row>
    <row r="48627">
      <c r="H48627" s="50"/>
      <c r="I48627" s="50"/>
      <c r="O48627" s="36" t="s">
        <v>48</v>
      </c>
      <c r="R48627" s="36" t="s">
        <v>48</v>
      </c>
    </row>
    <row r="48628">
      <c r="H48628" s="50"/>
      <c r="I48628" s="50"/>
      <c r="O48628" s="36" t="s">
        <v>48</v>
      </c>
      <c r="R48628" s="36" t="s">
        <v>48</v>
      </c>
    </row>
    <row r="48629">
      <c r="H48629" s="50"/>
      <c r="I48629" s="50"/>
      <c r="O48629" s="36" t="s">
        <v>48</v>
      </c>
      <c r="R48629" s="36" t="s">
        <v>48</v>
      </c>
    </row>
    <row r="48630">
      <c r="H48630" s="50"/>
      <c r="I48630" s="50"/>
      <c r="O48630" s="36" t="s">
        <v>48</v>
      </c>
      <c r="R48630" s="36" t="s">
        <v>48</v>
      </c>
    </row>
    <row r="48631">
      <c r="H48631" s="50"/>
      <c r="I48631" s="50"/>
      <c r="O48631" s="36" t="s">
        <v>48</v>
      </c>
      <c r="R48631" s="36" t="s">
        <v>48</v>
      </c>
    </row>
    <row r="48632">
      <c r="H48632" s="50"/>
      <c r="I48632" s="50"/>
      <c r="O48632" s="36" t="s">
        <v>48</v>
      </c>
      <c r="R48632" s="36" t="s">
        <v>48</v>
      </c>
    </row>
    <row r="48633">
      <c r="H48633" s="50"/>
      <c r="I48633" s="50"/>
      <c r="O48633" s="36" t="s">
        <v>48</v>
      </c>
      <c r="R48633" s="36" t="s">
        <v>48</v>
      </c>
    </row>
    <row r="48634">
      <c r="H48634" s="50"/>
      <c r="I48634" s="50"/>
      <c r="O48634" s="36" t="s">
        <v>48</v>
      </c>
      <c r="R48634" s="36" t="s">
        <v>48</v>
      </c>
    </row>
    <row r="48635">
      <c r="H48635" s="50"/>
      <c r="I48635" s="50"/>
      <c r="O48635" s="36" t="s">
        <v>48</v>
      </c>
      <c r="R48635" s="36" t="s">
        <v>48</v>
      </c>
    </row>
    <row r="48636">
      <c r="H48636" s="50"/>
      <c r="I48636" s="50"/>
      <c r="O48636" s="36" t="s">
        <v>48</v>
      </c>
      <c r="R48636" s="36" t="s">
        <v>48</v>
      </c>
    </row>
    <row r="48637">
      <c r="H48637" s="50"/>
      <c r="I48637" s="50"/>
      <c r="O48637" s="36" t="s">
        <v>48</v>
      </c>
      <c r="R48637" s="36" t="s">
        <v>48</v>
      </c>
    </row>
    <row r="48638">
      <c r="H48638" s="50"/>
      <c r="I48638" s="50"/>
      <c r="O48638" s="36" t="s">
        <v>48</v>
      </c>
      <c r="R48638" s="36" t="s">
        <v>48</v>
      </c>
    </row>
    <row r="48639">
      <c r="H48639" s="50"/>
      <c r="I48639" s="50"/>
      <c r="O48639" s="36" t="s">
        <v>48</v>
      </c>
      <c r="R48639" s="36" t="s">
        <v>48</v>
      </c>
    </row>
    <row r="48640">
      <c r="H48640" s="50"/>
      <c r="I48640" s="50"/>
      <c r="O48640" s="36" t="s">
        <v>48</v>
      </c>
      <c r="R48640" s="36" t="s">
        <v>48</v>
      </c>
    </row>
    <row r="48641">
      <c r="H48641" s="50"/>
      <c r="I48641" s="50"/>
      <c r="O48641" s="36" t="s">
        <v>48</v>
      </c>
      <c r="R48641" s="36" t="s">
        <v>48</v>
      </c>
    </row>
    <row r="48642">
      <c r="H48642" s="50"/>
      <c r="I48642" s="50"/>
      <c r="O48642" s="36" t="s">
        <v>48</v>
      </c>
      <c r="R48642" s="36" t="s">
        <v>48</v>
      </c>
    </row>
    <row r="48643">
      <c r="H48643" s="50"/>
      <c r="I48643" s="50"/>
      <c r="O48643" s="36" t="s">
        <v>48</v>
      </c>
      <c r="R48643" s="36" t="s">
        <v>48</v>
      </c>
    </row>
    <row r="48644">
      <c r="H48644" s="50"/>
      <c r="I48644" s="50"/>
      <c r="O48644" s="36" t="s">
        <v>48</v>
      </c>
      <c r="R48644" s="36" t="s">
        <v>48</v>
      </c>
    </row>
    <row r="48645">
      <c r="H48645" s="50"/>
      <c r="I48645" s="50"/>
      <c r="O48645" s="36" t="s">
        <v>48</v>
      </c>
      <c r="R48645" s="36" t="s">
        <v>48</v>
      </c>
    </row>
    <row r="48646">
      <c r="H48646" s="50"/>
      <c r="I48646" s="50"/>
      <c r="O48646" s="36" t="s">
        <v>48</v>
      </c>
      <c r="R48646" s="36" t="s">
        <v>48</v>
      </c>
    </row>
    <row r="48647">
      <c r="H48647" s="50"/>
      <c r="I48647" s="50"/>
      <c r="O48647" s="36" t="s">
        <v>48</v>
      </c>
      <c r="R48647" s="36" t="s">
        <v>48</v>
      </c>
    </row>
    <row r="48648">
      <c r="H48648" s="50"/>
      <c r="I48648" s="50"/>
      <c r="O48648" s="36" t="s">
        <v>48</v>
      </c>
      <c r="R48648" s="36" t="s">
        <v>48</v>
      </c>
    </row>
    <row r="48649">
      <c r="H48649" s="50"/>
      <c r="I48649" s="50"/>
      <c r="O48649" s="36" t="s">
        <v>48</v>
      </c>
      <c r="R48649" s="36" t="s">
        <v>48</v>
      </c>
    </row>
    <row r="48650">
      <c r="H48650" s="50"/>
      <c r="I48650" s="50"/>
      <c r="O48650" s="36" t="s">
        <v>48</v>
      </c>
      <c r="R48650" s="36" t="s">
        <v>48</v>
      </c>
    </row>
    <row r="48651">
      <c r="H48651" s="50"/>
      <c r="I48651" s="50"/>
      <c r="O48651" s="36" t="s">
        <v>48</v>
      </c>
      <c r="R48651" s="36" t="s">
        <v>48</v>
      </c>
    </row>
    <row r="48652">
      <c r="H48652" s="50"/>
      <c r="I48652" s="50"/>
      <c r="O48652" s="36" t="s">
        <v>48</v>
      </c>
      <c r="R48652" s="36" t="s">
        <v>48</v>
      </c>
    </row>
    <row r="48653">
      <c r="H48653" s="50"/>
      <c r="I48653" s="50"/>
      <c r="O48653" s="36" t="s">
        <v>48</v>
      </c>
      <c r="R48653" s="36" t="s">
        <v>48</v>
      </c>
    </row>
    <row r="48654">
      <c r="H48654" s="50"/>
      <c r="I48654" s="50"/>
      <c r="O48654" s="36" t="s">
        <v>48</v>
      </c>
      <c r="R48654" s="36" t="s">
        <v>48</v>
      </c>
    </row>
    <row r="48655">
      <c r="H48655" s="50"/>
      <c r="I48655" s="50"/>
      <c r="O48655" s="36" t="s">
        <v>48</v>
      </c>
      <c r="R48655" s="36" t="s">
        <v>48</v>
      </c>
    </row>
    <row r="48656">
      <c r="H48656" s="50"/>
      <c r="I48656" s="50"/>
      <c r="O48656" s="36" t="s">
        <v>48</v>
      </c>
      <c r="R48656" s="36" t="s">
        <v>48</v>
      </c>
    </row>
    <row r="48657">
      <c r="H48657" s="50"/>
      <c r="I48657" s="50"/>
      <c r="O48657" s="36" t="s">
        <v>48</v>
      </c>
      <c r="R48657" s="36" t="s">
        <v>48</v>
      </c>
    </row>
    <row r="48658">
      <c r="H48658" s="50"/>
      <c r="I48658" s="50"/>
      <c r="O48658" s="36" t="s">
        <v>48</v>
      </c>
      <c r="R48658" s="36" t="s">
        <v>48</v>
      </c>
    </row>
    <row r="48659">
      <c r="H48659" s="50"/>
      <c r="I48659" s="50"/>
      <c r="O48659" s="36" t="s">
        <v>48</v>
      </c>
      <c r="R48659" s="36" t="s">
        <v>48</v>
      </c>
    </row>
    <row r="48660">
      <c r="H48660" s="50"/>
      <c r="I48660" s="50"/>
      <c r="O48660" s="36" t="s">
        <v>48</v>
      </c>
      <c r="R48660" s="36" t="s">
        <v>48</v>
      </c>
    </row>
    <row r="48661">
      <c r="H48661" s="50"/>
      <c r="I48661" s="50"/>
      <c r="O48661" s="36" t="s">
        <v>48</v>
      </c>
      <c r="R48661" s="36" t="s">
        <v>48</v>
      </c>
    </row>
    <row r="48662">
      <c r="H48662" s="50"/>
      <c r="I48662" s="50"/>
      <c r="O48662" s="36" t="s">
        <v>48</v>
      </c>
      <c r="R48662" s="36" t="s">
        <v>48</v>
      </c>
    </row>
    <row r="48663">
      <c r="H48663" s="50"/>
      <c r="I48663" s="50"/>
      <c r="O48663" s="36" t="s">
        <v>48</v>
      </c>
      <c r="R48663" s="36" t="s">
        <v>48</v>
      </c>
    </row>
    <row r="48664">
      <c r="H48664" s="50"/>
      <c r="I48664" s="50"/>
      <c r="O48664" s="36" t="s">
        <v>48</v>
      </c>
      <c r="R48664" s="36" t="s">
        <v>48</v>
      </c>
    </row>
    <row r="48665">
      <c r="H48665" s="50"/>
      <c r="I48665" s="50"/>
      <c r="O48665" s="36" t="s">
        <v>48</v>
      </c>
      <c r="R48665" s="36" t="s">
        <v>48</v>
      </c>
    </row>
    <row r="48666">
      <c r="H48666" s="50"/>
      <c r="I48666" s="50"/>
      <c r="O48666" s="36" t="s">
        <v>48</v>
      </c>
      <c r="R48666" s="36" t="s">
        <v>48</v>
      </c>
    </row>
    <row r="48667">
      <c r="H48667" s="50"/>
      <c r="I48667" s="50"/>
      <c r="O48667" s="36" t="s">
        <v>48</v>
      </c>
      <c r="R48667" s="36" t="s">
        <v>48</v>
      </c>
    </row>
    <row r="48668">
      <c r="H48668" s="50"/>
      <c r="I48668" s="50"/>
      <c r="O48668" s="36" t="s">
        <v>48</v>
      </c>
      <c r="R48668" s="36" t="s">
        <v>48</v>
      </c>
    </row>
    <row r="48669">
      <c r="H48669" s="50"/>
      <c r="I48669" s="50"/>
      <c r="O48669" s="36" t="s">
        <v>48</v>
      </c>
      <c r="R48669" s="36" t="s">
        <v>48</v>
      </c>
    </row>
    <row r="48670">
      <c r="H48670" s="50"/>
      <c r="I48670" s="50"/>
      <c r="O48670" s="36" t="s">
        <v>48</v>
      </c>
      <c r="R48670" s="36" t="s">
        <v>48</v>
      </c>
    </row>
    <row r="48671">
      <c r="H48671" s="50"/>
      <c r="I48671" s="50"/>
      <c r="O48671" s="36" t="s">
        <v>48</v>
      </c>
      <c r="R48671" s="36" t="s">
        <v>48</v>
      </c>
    </row>
    <row r="48672">
      <c r="H48672" s="50"/>
      <c r="I48672" s="50"/>
      <c r="O48672" s="36" t="s">
        <v>48</v>
      </c>
      <c r="R48672" s="36" t="s">
        <v>48</v>
      </c>
    </row>
    <row r="48673">
      <c r="H48673" s="50"/>
      <c r="I48673" s="50"/>
      <c r="O48673" s="36" t="s">
        <v>48</v>
      </c>
      <c r="R48673" s="36" t="s">
        <v>48</v>
      </c>
    </row>
    <row r="48674">
      <c r="H48674" s="50"/>
      <c r="I48674" s="50"/>
      <c r="O48674" s="36" t="s">
        <v>48</v>
      </c>
      <c r="R48674" s="36" t="s">
        <v>48</v>
      </c>
    </row>
    <row r="48675">
      <c r="H48675" s="50"/>
      <c r="I48675" s="50"/>
      <c r="O48675" s="36" t="s">
        <v>48</v>
      </c>
      <c r="R48675" s="36" t="s">
        <v>48</v>
      </c>
    </row>
    <row r="48676">
      <c r="H48676" s="50"/>
      <c r="I48676" s="50"/>
      <c r="O48676" s="36" t="s">
        <v>48</v>
      </c>
      <c r="R48676" s="36" t="s">
        <v>48</v>
      </c>
    </row>
    <row r="48677">
      <c r="H48677" s="50"/>
      <c r="I48677" s="50"/>
      <c r="O48677" s="36" t="s">
        <v>48</v>
      </c>
      <c r="R48677" s="36" t="s">
        <v>48</v>
      </c>
    </row>
    <row r="48678">
      <c r="H48678" s="50"/>
      <c r="I48678" s="50"/>
      <c r="O48678" s="36" t="s">
        <v>48</v>
      </c>
      <c r="R48678" s="36" t="s">
        <v>48</v>
      </c>
    </row>
    <row r="48679">
      <c r="H48679" s="50"/>
      <c r="I48679" s="50"/>
      <c r="O48679" s="36" t="s">
        <v>48</v>
      </c>
      <c r="R48679" s="36" t="s">
        <v>48</v>
      </c>
    </row>
    <row r="48680">
      <c r="H48680" s="50"/>
      <c r="I48680" s="50"/>
      <c r="O48680" s="36" t="s">
        <v>48</v>
      </c>
      <c r="R48680" s="36" t="s">
        <v>48</v>
      </c>
    </row>
    <row r="48681">
      <c r="H48681" s="50"/>
      <c r="I48681" s="50"/>
      <c r="O48681" s="36" t="s">
        <v>48</v>
      </c>
      <c r="R48681" s="36" t="s">
        <v>48</v>
      </c>
    </row>
    <row r="48682">
      <c r="H48682" s="50"/>
      <c r="I48682" s="50"/>
      <c r="O48682" s="36" t="s">
        <v>48</v>
      </c>
      <c r="R48682" s="36" t="s">
        <v>48</v>
      </c>
    </row>
    <row r="48683">
      <c r="H48683" s="50"/>
      <c r="I48683" s="50"/>
      <c r="O48683" s="36" t="s">
        <v>48</v>
      </c>
      <c r="R48683" s="36" t="s">
        <v>48</v>
      </c>
    </row>
    <row r="48684">
      <c r="H48684" s="50"/>
      <c r="I48684" s="50"/>
      <c r="O48684" s="36" t="s">
        <v>48</v>
      </c>
      <c r="R48684" s="36" t="s">
        <v>48</v>
      </c>
    </row>
    <row r="48685">
      <c r="H48685" s="50"/>
      <c r="I48685" s="50"/>
      <c r="O48685" s="36" t="s">
        <v>48</v>
      </c>
      <c r="R48685" s="36" t="s">
        <v>48</v>
      </c>
    </row>
    <row r="48686">
      <c r="H48686" s="50"/>
      <c r="I48686" s="50"/>
      <c r="O48686" s="36" t="s">
        <v>48</v>
      </c>
      <c r="R48686" s="36" t="s">
        <v>48</v>
      </c>
    </row>
    <row r="48687">
      <c r="H48687" s="50"/>
      <c r="I48687" s="50"/>
      <c r="O48687" s="36" t="s">
        <v>48</v>
      </c>
      <c r="R48687" s="36" t="s">
        <v>48</v>
      </c>
    </row>
    <row r="48688">
      <c r="H48688" s="50"/>
      <c r="I48688" s="50"/>
      <c r="O48688" s="36" t="s">
        <v>48</v>
      </c>
      <c r="R48688" s="36" t="s">
        <v>48</v>
      </c>
    </row>
    <row r="48689">
      <c r="H48689" s="50"/>
      <c r="I48689" s="50"/>
      <c r="O48689" s="36" t="s">
        <v>48</v>
      </c>
      <c r="R48689" s="36" t="s">
        <v>48</v>
      </c>
    </row>
    <row r="48690">
      <c r="H48690" s="50"/>
      <c r="I48690" s="50"/>
      <c r="O48690" s="36" t="s">
        <v>48</v>
      </c>
      <c r="R48690" s="36" t="s">
        <v>48</v>
      </c>
    </row>
    <row r="48691">
      <c r="H48691" s="50"/>
      <c r="I48691" s="50"/>
      <c r="O48691" s="36" t="s">
        <v>48</v>
      </c>
      <c r="R48691" s="36" t="s">
        <v>48</v>
      </c>
    </row>
    <row r="48692">
      <c r="H48692" s="50"/>
      <c r="I48692" s="50"/>
      <c r="O48692" s="36" t="s">
        <v>48</v>
      </c>
      <c r="R48692" s="36" t="s">
        <v>48</v>
      </c>
    </row>
    <row r="48693">
      <c r="H48693" s="50"/>
      <c r="I48693" s="50"/>
      <c r="O48693" s="36" t="s">
        <v>48</v>
      </c>
      <c r="R48693" s="36" t="s">
        <v>48</v>
      </c>
    </row>
    <row r="48694">
      <c r="H48694" s="50"/>
      <c r="I48694" s="50"/>
      <c r="O48694" s="36" t="s">
        <v>48</v>
      </c>
      <c r="R48694" s="36" t="s">
        <v>48</v>
      </c>
    </row>
    <row r="48695">
      <c r="H48695" s="50"/>
      <c r="I48695" s="50"/>
      <c r="O48695" s="36" t="s">
        <v>48</v>
      </c>
      <c r="R48695" s="36" t="s">
        <v>48</v>
      </c>
    </row>
    <row r="48696">
      <c r="H48696" s="50"/>
      <c r="I48696" s="50"/>
      <c r="O48696" s="36" t="s">
        <v>48</v>
      </c>
      <c r="R48696" s="36" t="s">
        <v>48</v>
      </c>
    </row>
    <row r="48697">
      <c r="H48697" s="50"/>
      <c r="I48697" s="50"/>
      <c r="O48697" s="36" t="s">
        <v>48</v>
      </c>
      <c r="R48697" s="36" t="s">
        <v>48</v>
      </c>
    </row>
    <row r="48698">
      <c r="H48698" s="50"/>
      <c r="I48698" s="50"/>
      <c r="O48698" s="36" t="s">
        <v>48</v>
      </c>
      <c r="R48698" s="36" t="s">
        <v>48</v>
      </c>
    </row>
    <row r="48699">
      <c r="H48699" s="50"/>
      <c r="I48699" s="50"/>
      <c r="O48699" s="36" t="s">
        <v>48</v>
      </c>
      <c r="R48699" s="36" t="s">
        <v>48</v>
      </c>
    </row>
    <row r="48700">
      <c r="H48700" s="50"/>
      <c r="I48700" s="50"/>
      <c r="O48700" s="36" t="s">
        <v>48</v>
      </c>
      <c r="R48700" s="36" t="s">
        <v>48</v>
      </c>
    </row>
    <row r="48701">
      <c r="H48701" s="50"/>
      <c r="I48701" s="50"/>
      <c r="O48701" s="36" t="s">
        <v>48</v>
      </c>
      <c r="R48701" s="36" t="s">
        <v>48</v>
      </c>
    </row>
    <row r="48702">
      <c r="H48702" s="50"/>
      <c r="I48702" s="50"/>
      <c r="O48702" s="36" t="s">
        <v>48</v>
      </c>
      <c r="R48702" s="36" t="s">
        <v>48</v>
      </c>
    </row>
    <row r="48703">
      <c r="H48703" s="50"/>
      <c r="I48703" s="50"/>
      <c r="O48703" s="36" t="s">
        <v>48</v>
      </c>
      <c r="R48703" s="36" t="s">
        <v>48</v>
      </c>
    </row>
    <row r="48704">
      <c r="H48704" s="50"/>
      <c r="I48704" s="50"/>
      <c r="O48704" s="36" t="s">
        <v>48</v>
      </c>
      <c r="R48704" s="36" t="s">
        <v>48</v>
      </c>
    </row>
    <row r="48705">
      <c r="H48705" s="50"/>
      <c r="I48705" s="50"/>
      <c r="O48705" s="36" t="s">
        <v>48</v>
      </c>
      <c r="R48705" s="36" t="s">
        <v>48</v>
      </c>
    </row>
    <row r="48706">
      <c r="H48706" s="50"/>
      <c r="I48706" s="50"/>
      <c r="O48706" s="36" t="s">
        <v>48</v>
      </c>
      <c r="R48706" s="36" t="s">
        <v>48</v>
      </c>
    </row>
    <row r="48707">
      <c r="H48707" s="50"/>
      <c r="I48707" s="50"/>
      <c r="O48707" s="36" t="s">
        <v>48</v>
      </c>
      <c r="R48707" s="36" t="s">
        <v>48</v>
      </c>
    </row>
    <row r="48708">
      <c r="H48708" s="50"/>
      <c r="I48708" s="50"/>
      <c r="O48708" s="36" t="s">
        <v>48</v>
      </c>
      <c r="R48708" s="36" t="s">
        <v>48</v>
      </c>
    </row>
    <row r="48709">
      <c r="H48709" s="50"/>
      <c r="I48709" s="50"/>
      <c r="O48709" s="36" t="s">
        <v>48</v>
      </c>
      <c r="R48709" s="36" t="s">
        <v>48</v>
      </c>
    </row>
    <row r="48710">
      <c r="H48710" s="50"/>
      <c r="I48710" s="50"/>
      <c r="O48710" s="36" t="s">
        <v>48</v>
      </c>
      <c r="R48710" s="36" t="s">
        <v>48</v>
      </c>
    </row>
    <row r="48711">
      <c r="H48711" s="50"/>
      <c r="I48711" s="50"/>
      <c r="O48711" s="36" t="s">
        <v>48</v>
      </c>
      <c r="R48711" s="36" t="s">
        <v>48</v>
      </c>
    </row>
    <row r="48712">
      <c r="H48712" s="50"/>
      <c r="I48712" s="50"/>
      <c r="O48712" s="36" t="s">
        <v>48</v>
      </c>
      <c r="R48712" s="36" t="s">
        <v>48</v>
      </c>
    </row>
    <row r="48713">
      <c r="H48713" s="50"/>
      <c r="I48713" s="50"/>
      <c r="O48713" s="36" t="s">
        <v>48</v>
      </c>
      <c r="R48713" s="36" t="s">
        <v>48</v>
      </c>
    </row>
    <row r="48714">
      <c r="H48714" s="50"/>
      <c r="I48714" s="50"/>
      <c r="O48714" s="36" t="s">
        <v>48</v>
      </c>
      <c r="R48714" s="36" t="s">
        <v>48</v>
      </c>
    </row>
    <row r="48715">
      <c r="H48715" s="50"/>
      <c r="I48715" s="50"/>
      <c r="O48715" s="36" t="s">
        <v>48</v>
      </c>
      <c r="R48715" s="36" t="s">
        <v>48</v>
      </c>
    </row>
    <row r="48716">
      <c r="H48716" s="50"/>
      <c r="I48716" s="50"/>
      <c r="O48716" s="36" t="s">
        <v>48</v>
      </c>
      <c r="R48716" s="36" t="s">
        <v>48</v>
      </c>
    </row>
    <row r="48717">
      <c r="H48717" s="50"/>
      <c r="I48717" s="50"/>
      <c r="O48717" s="36" t="s">
        <v>48</v>
      </c>
      <c r="R48717" s="36" t="s">
        <v>48</v>
      </c>
    </row>
    <row r="48718">
      <c r="H48718" s="50"/>
      <c r="I48718" s="50"/>
      <c r="O48718" s="36" t="s">
        <v>48</v>
      </c>
      <c r="R48718" s="36" t="s">
        <v>48</v>
      </c>
    </row>
    <row r="48719">
      <c r="H48719" s="50"/>
      <c r="I48719" s="50"/>
      <c r="O48719" s="36" t="s">
        <v>48</v>
      </c>
      <c r="R48719" s="36" t="s">
        <v>48</v>
      </c>
    </row>
    <row r="48720">
      <c r="H48720" s="50"/>
      <c r="I48720" s="50"/>
      <c r="O48720" s="36" t="s">
        <v>48</v>
      </c>
      <c r="R48720" s="36" t="s">
        <v>48</v>
      </c>
    </row>
    <row r="48721">
      <c r="H48721" s="50"/>
      <c r="I48721" s="50"/>
      <c r="O48721" s="36" t="s">
        <v>48</v>
      </c>
      <c r="R48721" s="36" t="s">
        <v>48</v>
      </c>
    </row>
    <row r="48722">
      <c r="H48722" s="50"/>
      <c r="I48722" s="50"/>
      <c r="O48722" s="36" t="s">
        <v>48</v>
      </c>
      <c r="R48722" s="36" t="s">
        <v>48</v>
      </c>
    </row>
    <row r="48723">
      <c r="H48723" s="50"/>
      <c r="I48723" s="50"/>
      <c r="O48723" s="36" t="s">
        <v>48</v>
      </c>
      <c r="R48723" s="36" t="s">
        <v>48</v>
      </c>
    </row>
    <row r="48724">
      <c r="H48724" s="50"/>
      <c r="I48724" s="50"/>
      <c r="O48724" s="36" t="s">
        <v>48</v>
      </c>
      <c r="R48724" s="36" t="s">
        <v>48</v>
      </c>
    </row>
    <row r="48725">
      <c r="H48725" s="50"/>
      <c r="I48725" s="50"/>
      <c r="O48725" s="36" t="s">
        <v>48</v>
      </c>
      <c r="R48725" s="36" t="s">
        <v>48</v>
      </c>
    </row>
    <row r="48726">
      <c r="H48726" s="50"/>
      <c r="I48726" s="50"/>
      <c r="O48726" s="36" t="s">
        <v>48</v>
      </c>
      <c r="R48726" s="36" t="s">
        <v>48</v>
      </c>
    </row>
    <row r="48727">
      <c r="H48727" s="50"/>
      <c r="I48727" s="50"/>
      <c r="O48727" s="36" t="s">
        <v>48</v>
      </c>
      <c r="R48727" s="36" t="s">
        <v>48</v>
      </c>
    </row>
    <row r="48728">
      <c r="H48728" s="50"/>
      <c r="I48728" s="50"/>
      <c r="O48728" s="36" t="s">
        <v>48</v>
      </c>
      <c r="R48728" s="36" t="s">
        <v>48</v>
      </c>
    </row>
    <row r="48729">
      <c r="H48729" s="50"/>
      <c r="I48729" s="50"/>
      <c r="O48729" s="36" t="s">
        <v>48</v>
      </c>
      <c r="R48729" s="36" t="s">
        <v>48</v>
      </c>
    </row>
    <row r="48730">
      <c r="H48730" s="50"/>
      <c r="I48730" s="50"/>
      <c r="O48730" s="36" t="s">
        <v>48</v>
      </c>
      <c r="R48730" s="36" t="s">
        <v>48</v>
      </c>
    </row>
    <row r="48731">
      <c r="H48731" s="50"/>
      <c r="I48731" s="50"/>
      <c r="O48731" s="36" t="s">
        <v>48</v>
      </c>
      <c r="R48731" s="36" t="s">
        <v>48</v>
      </c>
    </row>
    <row r="48732">
      <c r="H48732" s="50"/>
      <c r="I48732" s="50"/>
      <c r="O48732" s="36" t="s">
        <v>48</v>
      </c>
      <c r="R48732" s="36" t="s">
        <v>48</v>
      </c>
    </row>
    <row r="48733">
      <c r="H48733" s="50"/>
      <c r="I48733" s="50"/>
      <c r="O48733" s="36" t="s">
        <v>48</v>
      </c>
      <c r="R48733" s="36" t="s">
        <v>48</v>
      </c>
    </row>
    <row r="48734">
      <c r="H48734" s="50"/>
      <c r="I48734" s="50"/>
      <c r="O48734" s="36" t="s">
        <v>48</v>
      </c>
      <c r="R48734" s="36" t="s">
        <v>48</v>
      </c>
    </row>
    <row r="48735">
      <c r="H48735" s="50"/>
      <c r="I48735" s="50"/>
      <c r="O48735" s="36" t="s">
        <v>48</v>
      </c>
      <c r="R48735" s="36" t="s">
        <v>48</v>
      </c>
    </row>
    <row r="48736">
      <c r="H48736" s="50"/>
      <c r="I48736" s="50"/>
      <c r="O48736" s="36" t="s">
        <v>48</v>
      </c>
      <c r="R48736" s="36" t="s">
        <v>48</v>
      </c>
    </row>
    <row r="48737">
      <c r="H48737" s="50"/>
      <c r="I48737" s="50"/>
      <c r="O48737" s="36" t="s">
        <v>48</v>
      </c>
      <c r="R48737" s="36" t="s">
        <v>48</v>
      </c>
    </row>
    <row r="48738">
      <c r="H48738" s="50"/>
      <c r="I48738" s="50"/>
      <c r="O48738" s="36" t="s">
        <v>48</v>
      </c>
      <c r="R48738" s="36" t="s">
        <v>48</v>
      </c>
    </row>
    <row r="48739">
      <c r="H48739" s="50"/>
      <c r="I48739" s="50"/>
      <c r="O48739" s="36" t="s">
        <v>48</v>
      </c>
      <c r="R48739" s="36" t="s">
        <v>48</v>
      </c>
    </row>
    <row r="48740">
      <c r="H48740" s="50"/>
      <c r="I48740" s="50"/>
      <c r="O48740" s="36" t="s">
        <v>48</v>
      </c>
      <c r="R48740" s="36" t="s">
        <v>48</v>
      </c>
    </row>
    <row r="48741">
      <c r="H48741" s="50"/>
      <c r="I48741" s="50"/>
      <c r="O48741" s="36" t="s">
        <v>48</v>
      </c>
      <c r="R48741" s="36" t="s">
        <v>48</v>
      </c>
    </row>
    <row r="48742">
      <c r="H48742" s="50"/>
      <c r="I48742" s="50"/>
      <c r="O48742" s="36" t="s">
        <v>48</v>
      </c>
      <c r="R48742" s="36" t="s">
        <v>48</v>
      </c>
    </row>
    <row r="48743">
      <c r="H48743" s="50"/>
      <c r="I48743" s="50"/>
      <c r="O48743" s="36" t="s">
        <v>48</v>
      </c>
      <c r="R48743" s="36" t="s">
        <v>48</v>
      </c>
    </row>
    <row r="48744">
      <c r="H48744" s="50"/>
      <c r="I48744" s="50"/>
      <c r="O48744" s="36" t="s">
        <v>48</v>
      </c>
      <c r="R48744" s="36" t="s">
        <v>48</v>
      </c>
    </row>
    <row r="48745">
      <c r="H48745" s="50"/>
      <c r="I48745" s="50"/>
      <c r="O48745" s="36" t="s">
        <v>48</v>
      </c>
      <c r="R48745" s="36" t="s">
        <v>48</v>
      </c>
    </row>
    <row r="48746">
      <c r="H48746" s="50"/>
      <c r="I48746" s="50"/>
      <c r="O48746" s="36" t="s">
        <v>48</v>
      </c>
      <c r="R48746" s="36" t="s">
        <v>48</v>
      </c>
    </row>
    <row r="48747">
      <c r="H48747" s="50"/>
      <c r="I48747" s="50"/>
      <c r="O48747" s="36" t="s">
        <v>48</v>
      </c>
      <c r="R48747" s="36" t="s">
        <v>48</v>
      </c>
    </row>
    <row r="48748">
      <c r="H48748" s="50"/>
      <c r="I48748" s="50"/>
      <c r="O48748" s="36" t="s">
        <v>48</v>
      </c>
      <c r="R48748" s="36" t="s">
        <v>48</v>
      </c>
    </row>
    <row r="48749">
      <c r="H48749" s="50"/>
      <c r="I48749" s="50"/>
      <c r="O48749" s="36" t="s">
        <v>48</v>
      </c>
      <c r="R48749" s="36" t="s">
        <v>48</v>
      </c>
    </row>
    <row r="48750">
      <c r="H48750" s="50"/>
      <c r="I48750" s="50"/>
      <c r="O48750" s="36" t="s">
        <v>48</v>
      </c>
      <c r="R48750" s="36" t="s">
        <v>48</v>
      </c>
    </row>
    <row r="48751">
      <c r="H48751" s="50"/>
      <c r="I48751" s="50"/>
      <c r="O48751" s="36" t="s">
        <v>48</v>
      </c>
      <c r="R48751" s="36" t="s">
        <v>48</v>
      </c>
    </row>
    <row r="48752">
      <c r="H48752" s="50"/>
      <c r="I48752" s="50"/>
      <c r="O48752" s="36" t="s">
        <v>48</v>
      </c>
      <c r="R48752" s="36" t="s">
        <v>48</v>
      </c>
    </row>
    <row r="48753">
      <c r="H48753" s="50"/>
      <c r="I48753" s="50"/>
      <c r="O48753" s="36" t="s">
        <v>48</v>
      </c>
      <c r="R48753" s="36" t="s">
        <v>48</v>
      </c>
    </row>
    <row r="48754">
      <c r="H48754" s="50"/>
      <c r="I48754" s="50"/>
      <c r="O48754" s="36" t="s">
        <v>48</v>
      </c>
      <c r="R48754" s="36" t="s">
        <v>48</v>
      </c>
    </row>
    <row r="48755">
      <c r="H48755" s="50"/>
      <c r="I48755" s="50"/>
      <c r="O48755" s="36" t="s">
        <v>48</v>
      </c>
      <c r="R48755" s="36" t="s">
        <v>48</v>
      </c>
    </row>
    <row r="48756">
      <c r="H48756" s="50"/>
      <c r="I48756" s="50"/>
      <c r="O48756" s="36" t="s">
        <v>48</v>
      </c>
      <c r="R48756" s="36" t="s">
        <v>48</v>
      </c>
    </row>
    <row r="48757">
      <c r="H48757" s="50"/>
      <c r="I48757" s="50"/>
      <c r="O48757" s="36" t="s">
        <v>48</v>
      </c>
      <c r="R48757" s="36" t="s">
        <v>48</v>
      </c>
    </row>
    <row r="48758">
      <c r="H48758" s="50"/>
      <c r="I48758" s="50"/>
      <c r="O48758" s="36" t="s">
        <v>48</v>
      </c>
      <c r="R48758" s="36" t="s">
        <v>48</v>
      </c>
    </row>
    <row r="48759">
      <c r="H48759" s="50"/>
      <c r="I48759" s="50"/>
      <c r="O48759" s="36" t="s">
        <v>48</v>
      </c>
      <c r="R48759" s="36" t="s">
        <v>48</v>
      </c>
    </row>
    <row r="48760">
      <c r="H48760" s="50"/>
      <c r="I48760" s="50"/>
      <c r="O48760" s="36" t="s">
        <v>48</v>
      </c>
      <c r="R48760" s="36" t="s">
        <v>48</v>
      </c>
    </row>
    <row r="48761">
      <c r="H48761" s="50"/>
      <c r="I48761" s="50"/>
      <c r="O48761" s="36" t="s">
        <v>48</v>
      </c>
      <c r="R48761" s="36" t="s">
        <v>48</v>
      </c>
    </row>
    <row r="48762">
      <c r="H48762" s="50"/>
      <c r="I48762" s="50"/>
      <c r="O48762" s="36" t="s">
        <v>48</v>
      </c>
      <c r="R48762" s="36" t="s">
        <v>48</v>
      </c>
    </row>
    <row r="48763">
      <c r="H48763" s="50"/>
      <c r="I48763" s="50"/>
      <c r="O48763" s="36" t="s">
        <v>48</v>
      </c>
      <c r="R48763" s="36" t="s">
        <v>48</v>
      </c>
    </row>
    <row r="48764">
      <c r="H48764" s="50"/>
      <c r="I48764" s="50"/>
      <c r="O48764" s="36" t="s">
        <v>48</v>
      </c>
      <c r="R48764" s="36" t="s">
        <v>48</v>
      </c>
    </row>
    <row r="48765">
      <c r="H48765" s="50"/>
      <c r="I48765" s="50"/>
      <c r="O48765" s="36" t="s">
        <v>48</v>
      </c>
      <c r="R48765" s="36" t="s">
        <v>48</v>
      </c>
    </row>
    <row r="48766">
      <c r="H48766" s="50"/>
      <c r="I48766" s="50"/>
      <c r="O48766" s="36" t="s">
        <v>48</v>
      </c>
      <c r="R48766" s="36" t="s">
        <v>48</v>
      </c>
    </row>
    <row r="48767">
      <c r="H48767" s="50"/>
      <c r="I48767" s="50"/>
      <c r="O48767" s="36" t="s">
        <v>48</v>
      </c>
      <c r="R48767" s="36" t="s">
        <v>48</v>
      </c>
    </row>
    <row r="48768">
      <c r="H48768" s="50"/>
      <c r="I48768" s="50"/>
      <c r="O48768" s="36" t="s">
        <v>48</v>
      </c>
      <c r="R48768" s="36" t="s">
        <v>48</v>
      </c>
    </row>
    <row r="48769">
      <c r="H48769" s="50"/>
      <c r="I48769" s="50"/>
      <c r="O48769" s="36" t="s">
        <v>48</v>
      </c>
      <c r="R48769" s="36" t="s">
        <v>48</v>
      </c>
    </row>
    <row r="48770">
      <c r="H48770" s="50"/>
      <c r="I48770" s="50"/>
      <c r="O48770" s="36" t="s">
        <v>48</v>
      </c>
      <c r="R48770" s="36" t="s">
        <v>48</v>
      </c>
    </row>
    <row r="48771">
      <c r="H48771" s="50"/>
      <c r="I48771" s="50"/>
      <c r="O48771" s="36" t="s">
        <v>48</v>
      </c>
      <c r="R48771" s="36" t="s">
        <v>48</v>
      </c>
    </row>
    <row r="48772">
      <c r="H48772" s="50"/>
      <c r="I48772" s="50"/>
      <c r="O48772" s="36" t="s">
        <v>48</v>
      </c>
      <c r="R48772" s="36" t="s">
        <v>48</v>
      </c>
    </row>
    <row r="48773">
      <c r="H48773" s="50"/>
      <c r="I48773" s="50"/>
      <c r="O48773" s="36" t="s">
        <v>48</v>
      </c>
      <c r="R48773" s="36" t="s">
        <v>48</v>
      </c>
    </row>
    <row r="48774">
      <c r="H48774" s="50"/>
      <c r="I48774" s="50"/>
      <c r="O48774" s="36" t="s">
        <v>48</v>
      </c>
      <c r="R48774" s="36" t="s">
        <v>48</v>
      </c>
    </row>
    <row r="48775">
      <c r="H48775" s="50"/>
      <c r="I48775" s="50"/>
      <c r="O48775" s="36" t="s">
        <v>48</v>
      </c>
      <c r="R48775" s="36" t="s">
        <v>48</v>
      </c>
    </row>
    <row r="48776">
      <c r="H48776" s="50"/>
      <c r="I48776" s="50"/>
      <c r="O48776" s="36" t="s">
        <v>48</v>
      </c>
      <c r="R48776" s="36" t="s">
        <v>48</v>
      </c>
    </row>
    <row r="48777">
      <c r="H48777" s="50"/>
      <c r="I48777" s="50"/>
      <c r="O48777" s="36" t="s">
        <v>48</v>
      </c>
      <c r="R48777" s="36" t="s">
        <v>48</v>
      </c>
    </row>
    <row r="48778">
      <c r="H48778" s="50"/>
      <c r="I48778" s="50"/>
      <c r="O48778" s="36" t="s">
        <v>48</v>
      </c>
      <c r="R48778" s="36" t="s">
        <v>48</v>
      </c>
    </row>
    <row r="48779">
      <c r="H48779" s="50"/>
      <c r="I48779" s="50"/>
      <c r="O48779" s="36" t="s">
        <v>48</v>
      </c>
      <c r="R48779" s="36" t="s">
        <v>48</v>
      </c>
    </row>
    <row r="48780">
      <c r="H48780" s="50"/>
      <c r="I48780" s="50"/>
      <c r="O48780" s="36" t="s">
        <v>48</v>
      </c>
      <c r="R48780" s="36" t="s">
        <v>48</v>
      </c>
    </row>
    <row r="48781">
      <c r="H48781" s="50"/>
      <c r="I48781" s="50"/>
      <c r="O48781" s="36" t="s">
        <v>48</v>
      </c>
      <c r="R48781" s="36" t="s">
        <v>48</v>
      </c>
    </row>
    <row r="48782">
      <c r="H48782" s="50"/>
      <c r="I48782" s="50"/>
      <c r="O48782" s="36" t="s">
        <v>48</v>
      </c>
      <c r="R48782" s="36" t="s">
        <v>48</v>
      </c>
    </row>
    <row r="48783">
      <c r="H48783" s="50"/>
      <c r="I48783" s="50"/>
      <c r="O48783" s="36" t="s">
        <v>48</v>
      </c>
      <c r="R48783" s="36" t="s">
        <v>48</v>
      </c>
    </row>
    <row r="48784">
      <c r="H48784" s="50"/>
      <c r="I48784" s="50"/>
      <c r="O48784" s="36" t="s">
        <v>48</v>
      </c>
      <c r="R48784" s="36" t="s">
        <v>48</v>
      </c>
    </row>
    <row r="48785">
      <c r="H48785" s="50"/>
      <c r="I48785" s="50"/>
      <c r="O48785" s="36" t="s">
        <v>48</v>
      </c>
      <c r="R48785" s="36" t="s">
        <v>48</v>
      </c>
    </row>
    <row r="48786">
      <c r="H48786" s="50"/>
      <c r="I48786" s="50"/>
      <c r="O48786" s="36" t="s">
        <v>48</v>
      </c>
      <c r="R48786" s="36" t="s">
        <v>48</v>
      </c>
    </row>
    <row r="48787">
      <c r="H48787" s="50"/>
      <c r="I48787" s="50"/>
      <c r="O48787" s="36" t="s">
        <v>48</v>
      </c>
      <c r="R48787" s="36" t="s">
        <v>48</v>
      </c>
    </row>
    <row r="48788">
      <c r="H48788" s="50"/>
      <c r="I48788" s="50"/>
      <c r="O48788" s="36" t="s">
        <v>48</v>
      </c>
      <c r="R48788" s="36" t="s">
        <v>48</v>
      </c>
    </row>
    <row r="48789">
      <c r="H48789" s="50"/>
      <c r="I48789" s="50"/>
      <c r="O48789" s="36" t="s">
        <v>48</v>
      </c>
      <c r="R48789" s="36" t="s">
        <v>48</v>
      </c>
    </row>
    <row r="48790">
      <c r="H48790" s="50"/>
      <c r="I48790" s="50"/>
      <c r="O48790" s="36" t="s">
        <v>48</v>
      </c>
      <c r="R48790" s="36" t="s">
        <v>48</v>
      </c>
    </row>
    <row r="48791">
      <c r="H48791" s="50"/>
      <c r="I48791" s="50"/>
      <c r="O48791" s="36" t="s">
        <v>48</v>
      </c>
      <c r="R48791" s="36" t="s">
        <v>48</v>
      </c>
    </row>
    <row r="48792">
      <c r="H48792" s="50"/>
      <c r="I48792" s="50"/>
      <c r="O48792" s="36" t="s">
        <v>48</v>
      </c>
      <c r="R48792" s="36" t="s">
        <v>48</v>
      </c>
    </row>
    <row r="48793">
      <c r="H48793" s="50"/>
      <c r="I48793" s="50"/>
      <c r="O48793" s="36" t="s">
        <v>48</v>
      </c>
      <c r="R48793" s="36" t="s">
        <v>48</v>
      </c>
    </row>
    <row r="48794">
      <c r="H48794" s="50"/>
      <c r="I48794" s="50"/>
      <c r="O48794" s="36" t="s">
        <v>48</v>
      </c>
      <c r="R48794" s="36" t="s">
        <v>48</v>
      </c>
    </row>
    <row r="48795">
      <c r="H48795" s="50"/>
      <c r="I48795" s="50"/>
      <c r="O48795" s="36" t="s">
        <v>48</v>
      </c>
      <c r="R48795" s="36" t="s">
        <v>48</v>
      </c>
    </row>
    <row r="48796">
      <c r="H48796" s="50"/>
      <c r="I48796" s="50"/>
      <c r="O48796" s="36" t="s">
        <v>48</v>
      </c>
      <c r="R48796" s="36" t="s">
        <v>48</v>
      </c>
    </row>
    <row r="48797">
      <c r="H48797" s="50"/>
      <c r="I48797" s="50"/>
      <c r="O48797" s="36" t="s">
        <v>48</v>
      </c>
      <c r="R48797" s="36" t="s">
        <v>48</v>
      </c>
    </row>
    <row r="48798">
      <c r="H48798" s="50"/>
      <c r="I48798" s="50"/>
      <c r="O48798" s="36" t="s">
        <v>48</v>
      </c>
      <c r="R48798" s="36" t="s">
        <v>48</v>
      </c>
    </row>
    <row r="48799">
      <c r="H48799" s="50"/>
      <c r="I48799" s="50"/>
      <c r="O48799" s="36" t="s">
        <v>48</v>
      </c>
      <c r="R48799" s="36" t="s">
        <v>48</v>
      </c>
    </row>
    <row r="48800">
      <c r="H48800" s="50"/>
      <c r="I48800" s="50"/>
      <c r="O48800" s="36" t="s">
        <v>48</v>
      </c>
      <c r="R48800" s="36" t="s">
        <v>48</v>
      </c>
    </row>
    <row r="48801">
      <c r="H48801" s="50"/>
      <c r="I48801" s="50"/>
      <c r="O48801" s="36" t="s">
        <v>48</v>
      </c>
      <c r="R48801" s="36" t="s">
        <v>48</v>
      </c>
    </row>
    <row r="48802">
      <c r="H48802" s="50"/>
      <c r="I48802" s="50"/>
      <c r="O48802" s="36" t="s">
        <v>48</v>
      </c>
      <c r="R48802" s="36" t="s">
        <v>48</v>
      </c>
    </row>
    <row r="48803">
      <c r="H48803" s="50"/>
      <c r="I48803" s="50"/>
      <c r="O48803" s="36" t="s">
        <v>48</v>
      </c>
      <c r="R48803" s="36" t="s">
        <v>48</v>
      </c>
    </row>
    <row r="48804">
      <c r="H48804" s="50"/>
      <c r="I48804" s="50"/>
      <c r="O48804" s="36" t="s">
        <v>48</v>
      </c>
      <c r="R48804" s="36" t="s">
        <v>48</v>
      </c>
    </row>
    <row r="48805">
      <c r="H48805" s="50"/>
      <c r="I48805" s="50"/>
      <c r="O48805" s="36" t="s">
        <v>48</v>
      </c>
      <c r="R48805" s="36" t="s">
        <v>48</v>
      </c>
    </row>
    <row r="48806">
      <c r="H48806" s="50"/>
      <c r="I48806" s="50"/>
      <c r="O48806" s="36" t="s">
        <v>48</v>
      </c>
      <c r="R48806" s="36" t="s">
        <v>48</v>
      </c>
    </row>
    <row r="48807">
      <c r="H48807" s="50"/>
      <c r="I48807" s="50"/>
      <c r="O48807" s="36" t="s">
        <v>48</v>
      </c>
      <c r="R48807" s="36" t="s">
        <v>48</v>
      </c>
    </row>
    <row r="48808">
      <c r="H48808" s="50"/>
      <c r="I48808" s="50"/>
      <c r="O48808" s="36" t="s">
        <v>48</v>
      </c>
      <c r="R48808" s="36" t="s">
        <v>48</v>
      </c>
    </row>
    <row r="48809">
      <c r="H48809" s="50"/>
      <c r="I48809" s="50"/>
      <c r="O48809" s="36" t="s">
        <v>48</v>
      </c>
      <c r="R48809" s="36" t="s">
        <v>48</v>
      </c>
    </row>
    <row r="48810">
      <c r="H48810" s="50"/>
      <c r="I48810" s="50"/>
      <c r="O48810" s="36" t="s">
        <v>48</v>
      </c>
      <c r="R48810" s="36" t="s">
        <v>48</v>
      </c>
    </row>
    <row r="48811">
      <c r="H48811" s="50"/>
      <c r="I48811" s="50"/>
      <c r="O48811" s="36" t="s">
        <v>48</v>
      </c>
      <c r="R48811" s="36" t="s">
        <v>48</v>
      </c>
    </row>
    <row r="48812">
      <c r="H48812" s="50"/>
      <c r="I48812" s="50"/>
      <c r="O48812" s="36" t="s">
        <v>48</v>
      </c>
      <c r="R48812" s="36" t="s">
        <v>48</v>
      </c>
    </row>
    <row r="48813">
      <c r="H48813" s="50"/>
      <c r="I48813" s="50"/>
      <c r="O48813" s="36" t="s">
        <v>48</v>
      </c>
      <c r="R48813" s="36" t="s">
        <v>48</v>
      </c>
    </row>
    <row r="48814">
      <c r="H48814" s="50"/>
      <c r="I48814" s="50"/>
      <c r="O48814" s="36" t="s">
        <v>48</v>
      </c>
      <c r="R48814" s="36" t="s">
        <v>48</v>
      </c>
    </row>
    <row r="48815">
      <c r="H48815" s="50"/>
      <c r="I48815" s="50"/>
      <c r="O48815" s="36" t="s">
        <v>48</v>
      </c>
      <c r="R48815" s="36" t="s">
        <v>48</v>
      </c>
    </row>
    <row r="48816">
      <c r="H48816" s="50"/>
      <c r="I48816" s="50"/>
      <c r="O48816" s="36" t="s">
        <v>48</v>
      </c>
      <c r="R48816" s="36" t="s">
        <v>48</v>
      </c>
    </row>
    <row r="48817">
      <c r="H48817" s="50"/>
      <c r="I48817" s="50"/>
      <c r="O48817" s="36" t="s">
        <v>48</v>
      </c>
      <c r="R48817" s="36" t="s">
        <v>48</v>
      </c>
    </row>
    <row r="48818">
      <c r="H48818" s="50"/>
      <c r="I48818" s="50"/>
      <c r="O48818" s="36" t="s">
        <v>48</v>
      </c>
      <c r="R48818" s="36" t="s">
        <v>48</v>
      </c>
    </row>
    <row r="48819">
      <c r="H48819" s="50"/>
      <c r="I48819" s="50"/>
      <c r="O48819" s="36" t="s">
        <v>48</v>
      </c>
      <c r="R48819" s="36" t="s">
        <v>48</v>
      </c>
    </row>
    <row r="48820">
      <c r="H48820" s="50"/>
      <c r="I48820" s="50"/>
      <c r="O48820" s="36" t="s">
        <v>48</v>
      </c>
      <c r="R48820" s="36" t="s">
        <v>48</v>
      </c>
    </row>
    <row r="48821">
      <c r="H48821" s="50"/>
      <c r="I48821" s="50"/>
      <c r="O48821" s="36" t="s">
        <v>48</v>
      </c>
      <c r="R48821" s="36" t="s">
        <v>48</v>
      </c>
    </row>
    <row r="48822">
      <c r="H48822" s="50"/>
      <c r="I48822" s="50"/>
      <c r="O48822" s="36" t="s">
        <v>48</v>
      </c>
      <c r="R48822" s="36" t="s">
        <v>48</v>
      </c>
    </row>
    <row r="48823">
      <c r="H48823" s="50"/>
      <c r="I48823" s="50"/>
      <c r="O48823" s="36" t="s">
        <v>48</v>
      </c>
      <c r="R48823" s="36" t="s">
        <v>48</v>
      </c>
    </row>
    <row r="48824">
      <c r="H48824" s="50"/>
      <c r="I48824" s="50"/>
      <c r="O48824" s="36" t="s">
        <v>48</v>
      </c>
      <c r="R48824" s="36" t="s">
        <v>48</v>
      </c>
    </row>
    <row r="48825">
      <c r="H48825" s="50"/>
      <c r="I48825" s="50"/>
      <c r="O48825" s="36" t="s">
        <v>48</v>
      </c>
      <c r="R48825" s="36" t="s">
        <v>48</v>
      </c>
    </row>
    <row r="48826">
      <c r="H48826" s="50"/>
      <c r="I48826" s="50"/>
      <c r="O48826" s="36" t="s">
        <v>48</v>
      </c>
      <c r="R48826" s="36" t="s">
        <v>48</v>
      </c>
    </row>
    <row r="48827">
      <c r="H48827" s="50"/>
      <c r="I48827" s="50"/>
      <c r="O48827" s="36" t="s">
        <v>48</v>
      </c>
      <c r="R48827" s="36" t="s">
        <v>48</v>
      </c>
    </row>
    <row r="48828">
      <c r="H48828" s="50"/>
      <c r="I48828" s="50"/>
      <c r="O48828" s="36" t="s">
        <v>48</v>
      </c>
      <c r="R48828" s="36" t="s">
        <v>48</v>
      </c>
    </row>
    <row r="48829">
      <c r="H48829" s="50"/>
      <c r="I48829" s="50"/>
      <c r="O48829" s="36" t="s">
        <v>48</v>
      </c>
      <c r="R48829" s="36" t="s">
        <v>48</v>
      </c>
    </row>
    <row r="48830">
      <c r="H48830" s="50"/>
      <c r="I48830" s="50"/>
      <c r="O48830" s="36" t="s">
        <v>48</v>
      </c>
      <c r="R48830" s="36" t="s">
        <v>48</v>
      </c>
    </row>
    <row r="48831">
      <c r="H48831" s="50"/>
      <c r="I48831" s="50"/>
      <c r="O48831" s="36" t="s">
        <v>48</v>
      </c>
      <c r="R48831" s="36" t="s">
        <v>48</v>
      </c>
    </row>
    <row r="48832">
      <c r="H48832" s="50"/>
      <c r="I48832" s="50"/>
      <c r="O48832" s="36" t="s">
        <v>48</v>
      </c>
      <c r="R48832" s="36" t="s">
        <v>48</v>
      </c>
    </row>
    <row r="48833">
      <c r="H48833" s="50"/>
      <c r="I48833" s="50"/>
      <c r="O48833" s="36" t="s">
        <v>48</v>
      </c>
      <c r="R48833" s="36" t="s">
        <v>48</v>
      </c>
    </row>
    <row r="48834">
      <c r="H48834" s="50"/>
      <c r="I48834" s="50"/>
      <c r="O48834" s="36" t="s">
        <v>48</v>
      </c>
      <c r="R48834" s="36" t="s">
        <v>48</v>
      </c>
    </row>
    <row r="48835">
      <c r="H48835" s="50"/>
      <c r="I48835" s="50"/>
      <c r="O48835" s="36" t="s">
        <v>48</v>
      </c>
      <c r="R48835" s="36" t="s">
        <v>48</v>
      </c>
    </row>
    <row r="48836">
      <c r="H48836" s="50"/>
      <c r="I48836" s="50"/>
      <c r="O48836" s="36" t="s">
        <v>48</v>
      </c>
      <c r="R48836" s="36" t="s">
        <v>48</v>
      </c>
    </row>
    <row r="48837">
      <c r="H48837" s="50"/>
      <c r="I48837" s="50"/>
      <c r="O48837" s="36" t="s">
        <v>48</v>
      </c>
      <c r="R48837" s="36" t="s">
        <v>48</v>
      </c>
    </row>
    <row r="48838">
      <c r="H48838" s="50"/>
      <c r="I48838" s="50"/>
      <c r="O48838" s="36" t="s">
        <v>48</v>
      </c>
      <c r="R48838" s="36" t="s">
        <v>48</v>
      </c>
    </row>
    <row r="48839">
      <c r="H48839" s="50"/>
      <c r="I48839" s="50"/>
      <c r="O48839" s="36" t="s">
        <v>48</v>
      </c>
      <c r="R48839" s="36" t="s">
        <v>48</v>
      </c>
    </row>
    <row r="48840">
      <c r="H48840" s="50"/>
      <c r="I48840" s="50"/>
      <c r="O48840" s="36" t="s">
        <v>48</v>
      </c>
      <c r="R48840" s="36" t="s">
        <v>48</v>
      </c>
    </row>
    <row r="48841">
      <c r="H48841" s="50"/>
      <c r="I48841" s="50"/>
      <c r="O48841" s="36" t="s">
        <v>48</v>
      </c>
      <c r="R48841" s="36" t="s">
        <v>48</v>
      </c>
    </row>
    <row r="48842">
      <c r="H48842" s="50"/>
      <c r="I48842" s="50"/>
      <c r="O48842" s="36" t="s">
        <v>48</v>
      </c>
      <c r="R48842" s="36" t="s">
        <v>48</v>
      </c>
    </row>
    <row r="48843">
      <c r="H48843" s="50"/>
      <c r="I48843" s="50"/>
      <c r="O48843" s="36" t="s">
        <v>48</v>
      </c>
      <c r="R48843" s="36" t="s">
        <v>48</v>
      </c>
    </row>
    <row r="48844">
      <c r="H48844" s="50"/>
      <c r="I48844" s="50"/>
      <c r="O48844" s="36" t="s">
        <v>48</v>
      </c>
      <c r="R48844" s="36" t="s">
        <v>48</v>
      </c>
    </row>
    <row r="48845">
      <c r="H48845" s="50"/>
      <c r="I48845" s="50"/>
      <c r="O48845" s="36" t="s">
        <v>48</v>
      </c>
      <c r="R48845" s="36" t="s">
        <v>48</v>
      </c>
    </row>
    <row r="48846">
      <c r="H48846" s="50"/>
      <c r="I48846" s="50"/>
      <c r="O48846" s="36" t="s">
        <v>48</v>
      </c>
      <c r="R48846" s="36" t="s">
        <v>48</v>
      </c>
    </row>
    <row r="48847">
      <c r="H48847" s="50"/>
      <c r="I48847" s="50"/>
      <c r="O48847" s="36" t="s">
        <v>48</v>
      </c>
      <c r="R48847" s="36" t="s">
        <v>48</v>
      </c>
    </row>
    <row r="48848">
      <c r="H48848" s="50"/>
      <c r="I48848" s="50"/>
      <c r="O48848" s="36" t="s">
        <v>48</v>
      </c>
      <c r="R48848" s="36" t="s">
        <v>48</v>
      </c>
    </row>
    <row r="48849">
      <c r="H48849" s="50"/>
      <c r="I48849" s="50"/>
      <c r="O48849" s="36" t="s">
        <v>48</v>
      </c>
      <c r="R48849" s="36" t="s">
        <v>48</v>
      </c>
    </row>
    <row r="48850">
      <c r="H48850" s="50"/>
      <c r="I48850" s="50"/>
      <c r="O48850" s="36" t="s">
        <v>48</v>
      </c>
      <c r="R48850" s="36" t="s">
        <v>48</v>
      </c>
    </row>
    <row r="48851">
      <c r="H48851" s="50"/>
      <c r="I48851" s="50"/>
      <c r="O48851" s="36" t="s">
        <v>48</v>
      </c>
      <c r="R48851" s="36" t="s">
        <v>48</v>
      </c>
    </row>
    <row r="48852">
      <c r="H48852" s="50"/>
      <c r="I48852" s="50"/>
      <c r="O48852" s="36" t="s">
        <v>48</v>
      </c>
      <c r="R48852" s="36" t="s">
        <v>48</v>
      </c>
    </row>
    <row r="48853">
      <c r="H48853" s="50"/>
      <c r="I48853" s="50"/>
      <c r="O48853" s="36" t="s">
        <v>48</v>
      </c>
      <c r="R48853" s="36" t="s">
        <v>48</v>
      </c>
    </row>
    <row r="48854">
      <c r="H48854" s="50"/>
      <c r="I48854" s="50"/>
      <c r="O48854" s="36" t="s">
        <v>48</v>
      </c>
      <c r="R48854" s="36" t="s">
        <v>48</v>
      </c>
    </row>
    <row r="48855">
      <c r="H48855" s="50"/>
      <c r="I48855" s="50"/>
      <c r="O48855" s="36" t="s">
        <v>48</v>
      </c>
      <c r="R48855" s="36" t="s">
        <v>48</v>
      </c>
    </row>
    <row r="48856">
      <c r="H48856" s="50"/>
      <c r="I48856" s="50"/>
      <c r="O48856" s="36" t="s">
        <v>48</v>
      </c>
      <c r="R48856" s="36" t="s">
        <v>48</v>
      </c>
    </row>
    <row r="48857">
      <c r="H48857" s="50"/>
      <c r="I48857" s="50"/>
      <c r="O48857" s="36" t="s">
        <v>48</v>
      </c>
      <c r="R48857" s="36" t="s">
        <v>48</v>
      </c>
    </row>
    <row r="48858">
      <c r="H48858" s="50"/>
      <c r="I48858" s="50"/>
      <c r="O48858" s="36" t="s">
        <v>48</v>
      </c>
      <c r="R48858" s="36" t="s">
        <v>48</v>
      </c>
    </row>
    <row r="48859">
      <c r="H48859" s="50"/>
      <c r="I48859" s="50"/>
      <c r="O48859" s="36" t="s">
        <v>48</v>
      </c>
      <c r="R48859" s="36" t="s">
        <v>48</v>
      </c>
    </row>
    <row r="48860">
      <c r="H48860" s="50"/>
      <c r="I48860" s="50"/>
      <c r="O48860" s="36" t="s">
        <v>48</v>
      </c>
      <c r="R48860" s="36" t="s">
        <v>48</v>
      </c>
    </row>
    <row r="48861">
      <c r="H48861" s="50"/>
      <c r="I48861" s="50"/>
      <c r="O48861" s="36" t="s">
        <v>48</v>
      </c>
      <c r="R48861" s="36" t="s">
        <v>48</v>
      </c>
    </row>
    <row r="48862">
      <c r="H48862" s="50"/>
      <c r="I48862" s="50"/>
      <c r="O48862" s="36" t="s">
        <v>48</v>
      </c>
      <c r="R48862" s="36" t="s">
        <v>48</v>
      </c>
    </row>
    <row r="48863">
      <c r="H48863" s="50"/>
      <c r="I48863" s="50"/>
      <c r="O48863" s="36" t="s">
        <v>48</v>
      </c>
      <c r="R48863" s="36" t="s">
        <v>48</v>
      </c>
    </row>
    <row r="48864">
      <c r="H48864" s="50"/>
      <c r="I48864" s="50"/>
      <c r="O48864" s="36" t="s">
        <v>48</v>
      </c>
      <c r="R48864" s="36" t="s">
        <v>48</v>
      </c>
    </row>
    <row r="48865">
      <c r="H48865" s="50"/>
      <c r="I48865" s="50"/>
      <c r="O48865" s="36" t="s">
        <v>48</v>
      </c>
      <c r="R48865" s="36" t="s">
        <v>48</v>
      </c>
    </row>
    <row r="48866">
      <c r="H48866" s="50"/>
      <c r="I48866" s="50"/>
      <c r="O48866" s="36" t="s">
        <v>48</v>
      </c>
      <c r="R48866" s="36" t="s">
        <v>48</v>
      </c>
    </row>
    <row r="48867">
      <c r="H48867" s="50"/>
      <c r="I48867" s="50"/>
      <c r="O48867" s="36" t="s">
        <v>48</v>
      </c>
      <c r="R48867" s="36" t="s">
        <v>48</v>
      </c>
    </row>
    <row r="48868">
      <c r="H48868" s="50"/>
      <c r="I48868" s="50"/>
      <c r="O48868" s="36" t="s">
        <v>48</v>
      </c>
      <c r="R48868" s="36" t="s">
        <v>48</v>
      </c>
    </row>
    <row r="48869">
      <c r="H48869" s="50"/>
      <c r="I48869" s="50"/>
      <c r="O48869" s="36" t="s">
        <v>48</v>
      </c>
      <c r="R48869" s="36" t="s">
        <v>48</v>
      </c>
    </row>
    <row r="48870">
      <c r="H48870" s="50"/>
      <c r="I48870" s="50"/>
      <c r="O48870" s="36" t="s">
        <v>48</v>
      </c>
      <c r="R48870" s="36" t="s">
        <v>48</v>
      </c>
    </row>
    <row r="48871">
      <c r="H48871" s="50"/>
      <c r="I48871" s="50"/>
      <c r="O48871" s="36" t="s">
        <v>48</v>
      </c>
      <c r="R48871" s="36" t="s">
        <v>48</v>
      </c>
    </row>
    <row r="48872">
      <c r="H48872" s="50"/>
      <c r="I48872" s="50"/>
      <c r="O48872" s="36" t="s">
        <v>48</v>
      </c>
      <c r="R48872" s="36" t="s">
        <v>48</v>
      </c>
    </row>
    <row r="48873">
      <c r="H48873" s="50"/>
      <c r="I48873" s="50"/>
      <c r="O48873" s="36" t="s">
        <v>48</v>
      </c>
      <c r="R48873" s="36" t="s">
        <v>48</v>
      </c>
    </row>
    <row r="48874">
      <c r="H48874" s="50"/>
      <c r="I48874" s="50"/>
      <c r="O48874" s="36" t="s">
        <v>48</v>
      </c>
      <c r="R48874" s="36" t="s">
        <v>48</v>
      </c>
    </row>
    <row r="48875">
      <c r="H48875" s="50"/>
      <c r="I48875" s="50"/>
      <c r="O48875" s="36" t="s">
        <v>48</v>
      </c>
      <c r="R48875" s="36" t="s">
        <v>48</v>
      </c>
    </row>
    <row r="48876">
      <c r="H48876" s="50"/>
      <c r="I48876" s="50"/>
      <c r="O48876" s="36" t="s">
        <v>48</v>
      </c>
      <c r="R48876" s="36" t="s">
        <v>48</v>
      </c>
    </row>
    <row r="48877">
      <c r="H48877" s="50"/>
      <c r="I48877" s="50"/>
      <c r="O48877" s="36" t="s">
        <v>48</v>
      </c>
      <c r="R48877" s="36" t="s">
        <v>48</v>
      </c>
    </row>
    <row r="48878">
      <c r="H48878" s="50"/>
      <c r="I48878" s="50"/>
      <c r="O48878" s="36" t="s">
        <v>48</v>
      </c>
      <c r="R48878" s="36" t="s">
        <v>48</v>
      </c>
    </row>
    <row r="48879">
      <c r="H48879" s="50"/>
      <c r="I48879" s="50"/>
      <c r="O48879" s="36" t="s">
        <v>48</v>
      </c>
      <c r="R48879" s="36" t="s">
        <v>48</v>
      </c>
    </row>
    <row r="48880">
      <c r="H48880" s="50"/>
      <c r="I48880" s="50"/>
      <c r="O48880" s="36" t="s">
        <v>48</v>
      </c>
      <c r="R48880" s="36" t="s">
        <v>48</v>
      </c>
    </row>
    <row r="48881">
      <c r="H48881" s="50"/>
      <c r="I48881" s="50"/>
      <c r="O48881" s="36" t="s">
        <v>48</v>
      </c>
      <c r="R48881" s="36" t="s">
        <v>48</v>
      </c>
    </row>
    <row r="48882">
      <c r="H48882" s="50"/>
      <c r="I48882" s="50"/>
      <c r="O48882" s="36" t="s">
        <v>48</v>
      </c>
      <c r="R48882" s="36" t="s">
        <v>48</v>
      </c>
    </row>
    <row r="48883">
      <c r="H48883" s="50"/>
      <c r="I48883" s="50"/>
      <c r="O48883" s="36" t="s">
        <v>48</v>
      </c>
      <c r="R48883" s="36" t="s">
        <v>48</v>
      </c>
    </row>
    <row r="48884">
      <c r="H48884" s="50"/>
      <c r="I48884" s="50"/>
      <c r="O48884" s="36" t="s">
        <v>48</v>
      </c>
      <c r="R48884" s="36" t="s">
        <v>48</v>
      </c>
    </row>
    <row r="48885">
      <c r="H48885" s="50"/>
      <c r="I48885" s="50"/>
      <c r="O48885" s="36" t="s">
        <v>48</v>
      </c>
      <c r="R48885" s="36" t="s">
        <v>48</v>
      </c>
    </row>
    <row r="48886">
      <c r="H48886" s="50"/>
      <c r="I48886" s="50"/>
      <c r="O48886" s="36" t="s">
        <v>48</v>
      </c>
      <c r="R48886" s="36" t="s">
        <v>48</v>
      </c>
    </row>
    <row r="48887">
      <c r="H48887" s="50"/>
      <c r="I48887" s="50"/>
      <c r="O48887" s="36" t="s">
        <v>48</v>
      </c>
      <c r="R48887" s="36" t="s">
        <v>48</v>
      </c>
    </row>
    <row r="48888">
      <c r="H48888" s="50"/>
      <c r="I48888" s="50"/>
      <c r="O48888" s="36" t="s">
        <v>48</v>
      </c>
      <c r="R48888" s="36" t="s">
        <v>48</v>
      </c>
    </row>
    <row r="48889">
      <c r="H48889" s="50"/>
      <c r="I48889" s="50"/>
      <c r="O48889" s="36" t="s">
        <v>48</v>
      </c>
      <c r="R48889" s="36" t="s">
        <v>48</v>
      </c>
    </row>
    <row r="48890">
      <c r="H48890" s="50"/>
      <c r="I48890" s="50"/>
      <c r="O48890" s="36" t="s">
        <v>48</v>
      </c>
      <c r="R48890" s="36" t="s">
        <v>48</v>
      </c>
    </row>
    <row r="48891">
      <c r="H48891" s="50"/>
      <c r="I48891" s="50"/>
      <c r="O48891" s="36" t="s">
        <v>48</v>
      </c>
      <c r="R48891" s="36" t="s">
        <v>48</v>
      </c>
    </row>
    <row r="48892">
      <c r="H48892" s="50"/>
      <c r="I48892" s="50"/>
      <c r="O48892" s="36" t="s">
        <v>48</v>
      </c>
      <c r="R48892" s="36" t="s">
        <v>48</v>
      </c>
    </row>
    <row r="48893">
      <c r="H48893" s="50"/>
      <c r="I48893" s="50"/>
      <c r="O48893" s="36" t="s">
        <v>48</v>
      </c>
      <c r="R48893" s="36" t="s">
        <v>48</v>
      </c>
    </row>
    <row r="48894">
      <c r="H48894" s="50"/>
      <c r="I48894" s="50"/>
      <c r="O48894" s="36" t="s">
        <v>48</v>
      </c>
      <c r="R48894" s="36" t="s">
        <v>48</v>
      </c>
    </row>
    <row r="48895">
      <c r="H48895" s="50"/>
      <c r="I48895" s="50"/>
      <c r="O48895" s="36" t="s">
        <v>48</v>
      </c>
      <c r="R48895" s="36" t="s">
        <v>48</v>
      </c>
    </row>
    <row r="48896">
      <c r="H48896" s="50"/>
      <c r="I48896" s="50"/>
      <c r="O48896" s="36" t="s">
        <v>48</v>
      </c>
      <c r="R48896" s="36" t="s">
        <v>48</v>
      </c>
    </row>
    <row r="48897">
      <c r="H48897" s="50"/>
      <c r="I48897" s="50"/>
      <c r="O48897" s="36" t="s">
        <v>48</v>
      </c>
      <c r="R48897" s="36" t="s">
        <v>48</v>
      </c>
    </row>
    <row r="48898">
      <c r="H48898" s="50"/>
      <c r="I48898" s="50"/>
      <c r="O48898" s="36" t="s">
        <v>48</v>
      </c>
      <c r="R48898" s="36" t="s">
        <v>48</v>
      </c>
    </row>
    <row r="48899">
      <c r="H48899" s="50"/>
      <c r="I48899" s="50"/>
      <c r="O48899" s="36" t="s">
        <v>48</v>
      </c>
      <c r="R48899" s="36" t="s">
        <v>48</v>
      </c>
    </row>
    <row r="48900">
      <c r="H48900" s="50"/>
      <c r="I48900" s="50"/>
      <c r="O48900" s="36" t="s">
        <v>48</v>
      </c>
      <c r="R48900" s="36" t="s">
        <v>48</v>
      </c>
    </row>
    <row r="48901">
      <c r="H48901" s="50"/>
      <c r="I48901" s="50"/>
      <c r="O48901" s="36" t="s">
        <v>48</v>
      </c>
      <c r="R48901" s="36" t="s">
        <v>48</v>
      </c>
    </row>
    <row r="48902">
      <c r="H48902" s="50"/>
      <c r="I48902" s="50"/>
      <c r="O48902" s="36" t="s">
        <v>48</v>
      </c>
      <c r="R48902" s="36" t="s">
        <v>48</v>
      </c>
    </row>
    <row r="48903">
      <c r="H48903" s="50"/>
      <c r="I48903" s="50"/>
      <c r="O48903" s="36" t="s">
        <v>48</v>
      </c>
      <c r="R48903" s="36" t="s">
        <v>48</v>
      </c>
    </row>
    <row r="48904">
      <c r="H48904" s="50"/>
      <c r="I48904" s="50"/>
      <c r="O48904" s="36" t="s">
        <v>48</v>
      </c>
      <c r="R48904" s="36" t="s">
        <v>48</v>
      </c>
    </row>
    <row r="48905">
      <c r="H48905" s="50"/>
      <c r="I48905" s="50"/>
      <c r="O48905" s="36" t="s">
        <v>48</v>
      </c>
      <c r="R48905" s="36" t="s">
        <v>48</v>
      </c>
    </row>
    <row r="48906">
      <c r="H48906" s="50"/>
      <c r="I48906" s="50"/>
      <c r="O48906" s="36" t="s">
        <v>48</v>
      </c>
      <c r="R48906" s="36" t="s">
        <v>48</v>
      </c>
    </row>
    <row r="48907">
      <c r="H48907" s="50"/>
      <c r="I48907" s="50"/>
      <c r="O48907" s="36" t="s">
        <v>48</v>
      </c>
      <c r="R48907" s="36" t="s">
        <v>48</v>
      </c>
    </row>
    <row r="48908">
      <c r="H48908" s="50"/>
      <c r="I48908" s="50"/>
      <c r="O48908" s="36" t="s">
        <v>48</v>
      </c>
      <c r="R48908" s="36" t="s">
        <v>48</v>
      </c>
    </row>
    <row r="48909">
      <c r="H48909" s="50"/>
      <c r="I48909" s="50"/>
      <c r="O48909" s="36" t="s">
        <v>48</v>
      </c>
      <c r="R48909" s="36" t="s">
        <v>48</v>
      </c>
    </row>
    <row r="48910">
      <c r="H48910" s="50"/>
      <c r="I48910" s="50"/>
      <c r="O48910" s="36" t="s">
        <v>48</v>
      </c>
      <c r="R48910" s="36" t="s">
        <v>48</v>
      </c>
    </row>
    <row r="48911">
      <c r="H48911" s="50"/>
      <c r="I48911" s="50"/>
      <c r="O48911" s="36" t="s">
        <v>48</v>
      </c>
      <c r="R48911" s="36" t="s">
        <v>48</v>
      </c>
    </row>
    <row r="48912">
      <c r="H48912" s="50"/>
      <c r="I48912" s="50"/>
      <c r="O48912" s="36" t="s">
        <v>48</v>
      </c>
      <c r="R48912" s="36" t="s">
        <v>48</v>
      </c>
    </row>
    <row r="48913">
      <c r="H48913" s="50"/>
      <c r="I48913" s="50"/>
      <c r="O48913" s="36" t="s">
        <v>48</v>
      </c>
      <c r="R48913" s="36" t="s">
        <v>48</v>
      </c>
    </row>
    <row r="48914">
      <c r="H48914" s="50"/>
      <c r="I48914" s="50"/>
      <c r="O48914" s="36" t="s">
        <v>48</v>
      </c>
      <c r="R48914" s="36" t="s">
        <v>48</v>
      </c>
    </row>
    <row r="48915">
      <c r="H48915" s="50"/>
      <c r="I48915" s="50"/>
      <c r="O48915" s="36" t="s">
        <v>48</v>
      </c>
      <c r="R48915" s="36" t="s">
        <v>48</v>
      </c>
    </row>
    <row r="48916">
      <c r="H48916" s="50"/>
      <c r="I48916" s="50"/>
      <c r="O48916" s="36" t="s">
        <v>48</v>
      </c>
      <c r="R48916" s="36" t="s">
        <v>48</v>
      </c>
    </row>
    <row r="48917">
      <c r="H48917" s="50"/>
      <c r="I48917" s="50"/>
      <c r="O48917" s="36" t="s">
        <v>48</v>
      </c>
      <c r="R48917" s="36" t="s">
        <v>48</v>
      </c>
    </row>
    <row r="48918">
      <c r="H48918" s="50"/>
      <c r="I48918" s="50"/>
      <c r="O48918" s="36" t="s">
        <v>48</v>
      </c>
      <c r="R48918" s="36" t="s">
        <v>48</v>
      </c>
    </row>
    <row r="48919">
      <c r="H48919" s="50"/>
      <c r="I48919" s="50"/>
      <c r="O48919" s="36" t="s">
        <v>48</v>
      </c>
      <c r="R48919" s="36" t="s">
        <v>48</v>
      </c>
    </row>
    <row r="48920">
      <c r="H48920" s="50"/>
      <c r="I48920" s="50"/>
      <c r="O48920" s="36" t="s">
        <v>48</v>
      </c>
      <c r="R48920" s="36" t="s">
        <v>48</v>
      </c>
    </row>
    <row r="48921">
      <c r="H48921" s="50"/>
      <c r="I48921" s="50"/>
      <c r="O48921" s="36" t="s">
        <v>48</v>
      </c>
      <c r="R48921" s="36" t="s">
        <v>48</v>
      </c>
    </row>
    <row r="48922">
      <c r="H48922" s="50"/>
      <c r="I48922" s="50"/>
      <c r="O48922" s="36" t="s">
        <v>48</v>
      </c>
      <c r="R48922" s="36" t="s">
        <v>48</v>
      </c>
    </row>
    <row r="48923">
      <c r="H48923" s="50"/>
      <c r="I48923" s="50"/>
      <c r="O48923" s="36" t="s">
        <v>48</v>
      </c>
      <c r="R48923" s="36" t="s">
        <v>48</v>
      </c>
    </row>
    <row r="48924">
      <c r="H48924" s="50"/>
      <c r="I48924" s="50"/>
      <c r="O48924" s="36" t="s">
        <v>48</v>
      </c>
      <c r="R48924" s="36" t="s">
        <v>48</v>
      </c>
    </row>
    <row r="48925">
      <c r="H48925" s="50"/>
      <c r="I48925" s="50"/>
      <c r="O48925" s="36" t="s">
        <v>48</v>
      </c>
      <c r="R48925" s="36" t="s">
        <v>48</v>
      </c>
    </row>
    <row r="48926">
      <c r="H48926" s="50"/>
      <c r="I48926" s="50"/>
      <c r="O48926" s="36" t="s">
        <v>48</v>
      </c>
      <c r="R48926" s="36" t="s">
        <v>48</v>
      </c>
    </row>
    <row r="48927">
      <c r="H48927" s="50"/>
      <c r="I48927" s="50"/>
      <c r="O48927" s="36" t="s">
        <v>48</v>
      </c>
      <c r="R48927" s="36" t="s">
        <v>48</v>
      </c>
    </row>
    <row r="48928">
      <c r="H48928" s="50"/>
      <c r="I48928" s="50"/>
      <c r="O48928" s="36" t="s">
        <v>48</v>
      </c>
      <c r="R48928" s="36" t="s">
        <v>48</v>
      </c>
    </row>
    <row r="48929">
      <c r="H48929" s="50"/>
      <c r="I48929" s="50"/>
      <c r="O48929" s="36" t="s">
        <v>48</v>
      </c>
      <c r="R48929" s="36" t="s">
        <v>48</v>
      </c>
    </row>
    <row r="48930">
      <c r="H48930" s="50"/>
      <c r="I48930" s="50"/>
      <c r="O48930" s="36" t="s">
        <v>48</v>
      </c>
      <c r="R48930" s="36" t="s">
        <v>48</v>
      </c>
    </row>
    <row r="48931">
      <c r="H48931" s="50"/>
      <c r="I48931" s="50"/>
      <c r="O48931" s="36" t="s">
        <v>48</v>
      </c>
      <c r="R48931" s="36" t="s">
        <v>48</v>
      </c>
    </row>
    <row r="48932">
      <c r="H48932" s="50"/>
      <c r="I48932" s="50"/>
      <c r="O48932" s="36" t="s">
        <v>48</v>
      </c>
      <c r="R48932" s="36" t="s">
        <v>48</v>
      </c>
    </row>
    <row r="48933">
      <c r="H48933" s="50"/>
      <c r="I48933" s="50"/>
      <c r="O48933" s="36" t="s">
        <v>48</v>
      </c>
      <c r="R48933" s="36" t="s">
        <v>48</v>
      </c>
    </row>
    <row r="48934">
      <c r="H48934" s="50"/>
      <c r="I48934" s="50"/>
      <c r="O48934" s="36" t="s">
        <v>48</v>
      </c>
      <c r="R48934" s="36" t="s">
        <v>48</v>
      </c>
    </row>
    <row r="48935">
      <c r="H48935" s="50"/>
      <c r="I48935" s="50"/>
      <c r="O48935" s="36" t="s">
        <v>48</v>
      </c>
      <c r="R48935" s="36" t="s">
        <v>48</v>
      </c>
    </row>
    <row r="48936">
      <c r="H48936" s="50"/>
      <c r="I48936" s="50"/>
      <c r="O48936" s="36" t="s">
        <v>48</v>
      </c>
      <c r="R48936" s="36" t="s">
        <v>48</v>
      </c>
    </row>
    <row r="48937">
      <c r="H48937" s="50"/>
      <c r="I48937" s="50"/>
      <c r="O48937" s="36" t="s">
        <v>48</v>
      </c>
      <c r="R48937" s="36" t="s">
        <v>48</v>
      </c>
    </row>
    <row r="48938">
      <c r="H48938" s="50"/>
      <c r="I48938" s="50"/>
      <c r="O48938" s="36" t="s">
        <v>48</v>
      </c>
      <c r="R48938" s="36" t="s">
        <v>48</v>
      </c>
    </row>
    <row r="48939">
      <c r="H48939" s="50"/>
      <c r="I48939" s="50"/>
      <c r="O48939" s="36" t="s">
        <v>48</v>
      </c>
      <c r="R48939" s="36" t="s">
        <v>48</v>
      </c>
    </row>
    <row r="48940">
      <c r="H48940" s="50"/>
      <c r="I48940" s="50"/>
      <c r="O48940" s="36" t="s">
        <v>48</v>
      </c>
      <c r="R48940" s="36" t="s">
        <v>48</v>
      </c>
    </row>
    <row r="48941">
      <c r="H48941" s="50"/>
      <c r="I48941" s="50"/>
      <c r="O48941" s="36" t="s">
        <v>48</v>
      </c>
      <c r="R48941" s="36" t="s">
        <v>48</v>
      </c>
    </row>
    <row r="48942">
      <c r="H48942" s="50"/>
      <c r="I48942" s="50"/>
      <c r="O48942" s="36" t="s">
        <v>48</v>
      </c>
      <c r="R48942" s="36" t="s">
        <v>48</v>
      </c>
    </row>
    <row r="48943">
      <c r="H48943" s="50"/>
      <c r="I48943" s="50"/>
      <c r="O48943" s="36" t="s">
        <v>48</v>
      </c>
      <c r="R48943" s="36" t="s">
        <v>48</v>
      </c>
    </row>
    <row r="48944">
      <c r="H48944" s="50"/>
      <c r="I48944" s="50"/>
      <c r="O48944" s="36" t="s">
        <v>48</v>
      </c>
      <c r="R48944" s="36" t="s">
        <v>48</v>
      </c>
    </row>
    <row r="48945">
      <c r="H48945" s="50"/>
      <c r="I48945" s="50"/>
      <c r="O48945" s="36" t="s">
        <v>48</v>
      </c>
      <c r="R48945" s="36" t="s">
        <v>48</v>
      </c>
    </row>
    <row r="48946">
      <c r="H48946" s="50"/>
      <c r="I48946" s="50"/>
      <c r="O48946" s="36" t="s">
        <v>48</v>
      </c>
      <c r="R48946" s="36" t="s">
        <v>48</v>
      </c>
    </row>
    <row r="48947">
      <c r="H48947" s="50"/>
      <c r="I48947" s="50"/>
      <c r="O48947" s="36" t="s">
        <v>48</v>
      </c>
      <c r="R48947" s="36" t="s">
        <v>48</v>
      </c>
    </row>
    <row r="48948">
      <c r="H48948" s="50"/>
      <c r="I48948" s="50"/>
      <c r="O48948" s="36" t="s">
        <v>48</v>
      </c>
      <c r="R48948" s="36" t="s">
        <v>48</v>
      </c>
    </row>
    <row r="48949">
      <c r="H48949" s="50"/>
      <c r="I48949" s="50"/>
      <c r="O48949" s="36" t="s">
        <v>48</v>
      </c>
      <c r="R48949" s="36" t="s">
        <v>48</v>
      </c>
    </row>
    <row r="48950">
      <c r="H48950" s="50"/>
      <c r="I48950" s="50"/>
      <c r="O48950" s="36" t="s">
        <v>48</v>
      </c>
      <c r="R48950" s="36" t="s">
        <v>48</v>
      </c>
    </row>
    <row r="48951">
      <c r="H48951" s="50"/>
      <c r="I48951" s="50"/>
      <c r="O48951" s="36" t="s">
        <v>48</v>
      </c>
      <c r="R48951" s="36" t="s">
        <v>48</v>
      </c>
    </row>
    <row r="48952">
      <c r="H48952" s="50"/>
      <c r="I48952" s="50"/>
      <c r="O48952" s="36" t="s">
        <v>48</v>
      </c>
      <c r="R48952" s="36" t="s">
        <v>48</v>
      </c>
    </row>
    <row r="48953">
      <c r="H48953" s="50"/>
      <c r="I48953" s="50"/>
      <c r="O48953" s="36" t="s">
        <v>48</v>
      </c>
      <c r="R48953" s="36" t="s">
        <v>48</v>
      </c>
    </row>
    <row r="48954">
      <c r="H48954" s="50"/>
      <c r="I48954" s="50"/>
      <c r="O48954" s="36" t="s">
        <v>48</v>
      </c>
      <c r="R48954" s="36" t="s">
        <v>48</v>
      </c>
    </row>
    <row r="48955">
      <c r="H48955" s="50"/>
      <c r="I48955" s="50"/>
      <c r="O48955" s="36" t="s">
        <v>48</v>
      </c>
      <c r="R48955" s="36" t="s">
        <v>48</v>
      </c>
    </row>
    <row r="48956">
      <c r="H48956" s="50"/>
      <c r="I48956" s="50"/>
      <c r="O48956" s="36" t="s">
        <v>48</v>
      </c>
      <c r="R48956" s="36" t="s">
        <v>48</v>
      </c>
    </row>
    <row r="48957">
      <c r="H48957" s="50"/>
      <c r="I48957" s="50"/>
      <c r="O48957" s="36" t="s">
        <v>48</v>
      </c>
      <c r="R48957" s="36" t="s">
        <v>48</v>
      </c>
    </row>
    <row r="48958">
      <c r="H48958" s="50"/>
      <c r="I48958" s="50"/>
      <c r="O48958" s="36" t="s">
        <v>48</v>
      </c>
      <c r="R48958" s="36" t="s">
        <v>48</v>
      </c>
    </row>
    <row r="48959">
      <c r="H48959" s="50"/>
      <c r="I48959" s="50"/>
      <c r="O48959" s="36" t="s">
        <v>48</v>
      </c>
      <c r="R48959" s="36" t="s">
        <v>48</v>
      </c>
    </row>
    <row r="48960">
      <c r="H48960" s="50"/>
      <c r="I48960" s="50"/>
      <c r="O48960" s="36" t="s">
        <v>48</v>
      </c>
      <c r="R48960" s="36" t="s">
        <v>48</v>
      </c>
    </row>
    <row r="48961">
      <c r="H48961" s="50"/>
      <c r="I48961" s="50"/>
      <c r="O48961" s="36" t="s">
        <v>48</v>
      </c>
      <c r="R48961" s="36" t="s">
        <v>48</v>
      </c>
    </row>
    <row r="48962">
      <c r="H48962" s="50"/>
      <c r="I48962" s="50"/>
      <c r="O48962" s="36" t="s">
        <v>48</v>
      </c>
      <c r="R48962" s="36" t="s">
        <v>48</v>
      </c>
    </row>
    <row r="48963">
      <c r="H48963" s="50"/>
      <c r="I48963" s="50"/>
      <c r="O48963" s="36" t="s">
        <v>48</v>
      </c>
      <c r="R48963" s="36" t="s">
        <v>48</v>
      </c>
    </row>
    <row r="48964">
      <c r="H48964" s="50"/>
      <c r="I48964" s="50"/>
      <c r="O48964" s="36" t="s">
        <v>48</v>
      </c>
      <c r="R48964" s="36" t="s">
        <v>48</v>
      </c>
    </row>
    <row r="48965">
      <c r="H48965" s="50"/>
      <c r="I48965" s="50"/>
      <c r="O48965" s="36" t="s">
        <v>48</v>
      </c>
      <c r="R48965" s="36" t="s">
        <v>48</v>
      </c>
    </row>
    <row r="48966">
      <c r="H48966" s="50"/>
      <c r="I48966" s="50"/>
      <c r="O48966" s="36" t="s">
        <v>48</v>
      </c>
      <c r="R48966" s="36" t="s">
        <v>48</v>
      </c>
    </row>
    <row r="48967">
      <c r="H48967" s="50"/>
      <c r="I48967" s="50"/>
      <c r="O48967" s="36" t="s">
        <v>48</v>
      </c>
      <c r="R48967" s="36" t="s">
        <v>48</v>
      </c>
    </row>
    <row r="48968">
      <c r="H48968" s="50"/>
      <c r="I48968" s="50"/>
      <c r="O48968" s="36" t="s">
        <v>48</v>
      </c>
      <c r="R48968" s="36" t="s">
        <v>48</v>
      </c>
    </row>
    <row r="48969">
      <c r="H48969" s="50"/>
      <c r="I48969" s="50"/>
      <c r="O48969" s="36" t="s">
        <v>48</v>
      </c>
      <c r="R48969" s="36" t="s">
        <v>48</v>
      </c>
    </row>
    <row r="48970">
      <c r="H48970" s="50"/>
      <c r="I48970" s="50"/>
      <c r="O48970" s="36" t="s">
        <v>48</v>
      </c>
      <c r="R48970" s="36" t="s">
        <v>48</v>
      </c>
    </row>
    <row r="48971">
      <c r="H48971" s="50"/>
      <c r="I48971" s="50"/>
      <c r="O48971" s="36" t="s">
        <v>48</v>
      </c>
      <c r="R48971" s="36" t="s">
        <v>48</v>
      </c>
    </row>
    <row r="48972">
      <c r="H48972" s="50"/>
      <c r="I48972" s="50"/>
      <c r="O48972" s="36" t="s">
        <v>48</v>
      </c>
      <c r="R48972" s="36" t="s">
        <v>48</v>
      </c>
    </row>
    <row r="48973">
      <c r="H48973" s="50"/>
      <c r="I48973" s="50"/>
      <c r="O48973" s="36" t="s">
        <v>48</v>
      </c>
      <c r="R48973" s="36" t="s">
        <v>48</v>
      </c>
    </row>
    <row r="48974">
      <c r="H48974" s="50"/>
      <c r="I48974" s="50"/>
      <c r="O48974" s="36" t="s">
        <v>48</v>
      </c>
      <c r="R48974" s="36" t="s">
        <v>48</v>
      </c>
    </row>
    <row r="48975">
      <c r="H48975" s="50"/>
      <c r="I48975" s="50"/>
      <c r="O48975" s="36" t="s">
        <v>48</v>
      </c>
      <c r="R48975" s="36" t="s">
        <v>48</v>
      </c>
    </row>
    <row r="48976">
      <c r="H48976" s="50"/>
      <c r="I48976" s="50"/>
      <c r="O48976" s="36" t="s">
        <v>48</v>
      </c>
      <c r="R48976" s="36" t="s">
        <v>48</v>
      </c>
    </row>
    <row r="48977">
      <c r="H48977" s="50"/>
      <c r="I48977" s="50"/>
      <c r="O48977" s="36" t="s">
        <v>48</v>
      </c>
      <c r="R48977" s="36" t="s">
        <v>48</v>
      </c>
    </row>
    <row r="48978">
      <c r="H48978" s="50"/>
      <c r="I48978" s="50"/>
      <c r="O48978" s="36" t="s">
        <v>48</v>
      </c>
      <c r="R48978" s="36" t="s">
        <v>48</v>
      </c>
    </row>
    <row r="48979">
      <c r="H48979" s="50"/>
      <c r="I48979" s="50"/>
      <c r="O48979" s="36" t="s">
        <v>48</v>
      </c>
      <c r="R48979" s="36" t="s">
        <v>48</v>
      </c>
    </row>
    <row r="48980">
      <c r="H48980" s="50"/>
      <c r="I48980" s="50"/>
      <c r="O48980" s="36" t="s">
        <v>48</v>
      </c>
      <c r="R48980" s="36" t="s">
        <v>48</v>
      </c>
    </row>
    <row r="48981">
      <c r="H48981" s="50"/>
      <c r="I48981" s="50"/>
      <c r="O48981" s="36" t="s">
        <v>48</v>
      </c>
      <c r="R48981" s="36" t="s">
        <v>48</v>
      </c>
    </row>
    <row r="48982">
      <c r="H48982" s="50"/>
      <c r="I48982" s="50"/>
      <c r="O48982" s="36" t="s">
        <v>48</v>
      </c>
      <c r="R48982" s="36" t="s">
        <v>48</v>
      </c>
    </row>
    <row r="48983">
      <c r="H48983" s="50"/>
      <c r="I48983" s="50"/>
      <c r="O48983" s="36" t="s">
        <v>48</v>
      </c>
      <c r="R48983" s="36" t="s">
        <v>48</v>
      </c>
    </row>
    <row r="48984">
      <c r="H48984" s="50"/>
      <c r="I48984" s="50"/>
      <c r="O48984" s="36" t="s">
        <v>48</v>
      </c>
      <c r="R48984" s="36" t="s">
        <v>48</v>
      </c>
    </row>
    <row r="48985">
      <c r="H48985" s="50"/>
      <c r="I48985" s="50"/>
      <c r="O48985" s="36" t="s">
        <v>48</v>
      </c>
      <c r="R48985" s="36" t="s">
        <v>48</v>
      </c>
    </row>
    <row r="48986">
      <c r="H48986" s="50"/>
      <c r="I48986" s="50"/>
      <c r="O48986" s="36" t="s">
        <v>48</v>
      </c>
      <c r="R48986" s="36" t="s">
        <v>48</v>
      </c>
    </row>
    <row r="48987">
      <c r="H48987" s="50"/>
      <c r="I48987" s="50"/>
      <c r="O48987" s="36" t="s">
        <v>48</v>
      </c>
      <c r="R48987" s="36" t="s">
        <v>48</v>
      </c>
    </row>
    <row r="48988">
      <c r="H48988" s="50"/>
      <c r="I48988" s="50"/>
      <c r="O48988" s="36" t="s">
        <v>48</v>
      </c>
      <c r="R48988" s="36" t="s">
        <v>48</v>
      </c>
    </row>
    <row r="48989">
      <c r="H48989" s="50"/>
      <c r="I48989" s="50"/>
      <c r="O48989" s="36" t="s">
        <v>48</v>
      </c>
      <c r="R48989" s="36" t="s">
        <v>48</v>
      </c>
    </row>
    <row r="48990">
      <c r="H48990" s="50"/>
      <c r="I48990" s="50"/>
      <c r="O48990" s="36" t="s">
        <v>48</v>
      </c>
      <c r="R48990" s="36" t="s">
        <v>48</v>
      </c>
    </row>
    <row r="48991">
      <c r="H48991" s="50"/>
      <c r="I48991" s="50"/>
      <c r="O48991" s="36" t="s">
        <v>48</v>
      </c>
      <c r="R48991" s="36" t="s">
        <v>48</v>
      </c>
    </row>
    <row r="48992">
      <c r="H48992" s="50"/>
      <c r="I48992" s="50"/>
      <c r="O48992" s="36" t="s">
        <v>48</v>
      </c>
      <c r="R48992" s="36" t="s">
        <v>48</v>
      </c>
    </row>
    <row r="48993">
      <c r="H48993" s="50"/>
      <c r="I48993" s="50"/>
      <c r="O48993" s="36" t="s">
        <v>48</v>
      </c>
      <c r="R48993" s="36" t="s">
        <v>48</v>
      </c>
    </row>
    <row r="48994">
      <c r="H48994" s="50"/>
      <c r="I48994" s="50"/>
      <c r="O48994" s="36" t="s">
        <v>48</v>
      </c>
      <c r="R48994" s="36" t="s">
        <v>48</v>
      </c>
    </row>
    <row r="48995">
      <c r="H48995" s="50"/>
      <c r="I48995" s="50"/>
      <c r="O48995" s="36" t="s">
        <v>48</v>
      </c>
      <c r="R48995" s="36" t="s">
        <v>48</v>
      </c>
    </row>
    <row r="48996">
      <c r="H48996" s="50"/>
      <c r="I48996" s="50"/>
      <c r="O48996" s="36" t="s">
        <v>48</v>
      </c>
      <c r="R48996" s="36" t="s">
        <v>48</v>
      </c>
    </row>
    <row r="48997">
      <c r="H48997" s="50"/>
      <c r="I48997" s="50"/>
      <c r="O48997" s="36" t="s">
        <v>48</v>
      </c>
      <c r="R48997" s="36" t="s">
        <v>48</v>
      </c>
    </row>
    <row r="48998">
      <c r="H48998" s="50"/>
      <c r="I48998" s="50"/>
      <c r="O48998" s="36" t="s">
        <v>48</v>
      </c>
      <c r="R48998" s="36" t="s">
        <v>48</v>
      </c>
    </row>
    <row r="48999">
      <c r="H48999" s="50"/>
      <c r="I48999" s="50"/>
      <c r="O48999" s="36" t="s">
        <v>48</v>
      </c>
      <c r="R48999" s="36" t="s">
        <v>48</v>
      </c>
    </row>
    <row r="49000">
      <c r="H49000" s="50"/>
      <c r="I49000" s="50"/>
      <c r="O49000" s="36" t="s">
        <v>48</v>
      </c>
      <c r="R49000" s="36" t="s">
        <v>48</v>
      </c>
    </row>
    <row r="49001">
      <c r="H49001" s="50"/>
      <c r="I49001" s="50"/>
      <c r="O49001" s="36" t="s">
        <v>48</v>
      </c>
      <c r="R49001" s="36" t="s">
        <v>48</v>
      </c>
    </row>
    <row r="49002">
      <c r="H49002" s="50"/>
      <c r="I49002" s="50"/>
      <c r="O49002" s="36" t="s">
        <v>48</v>
      </c>
      <c r="R49002" s="36" t="s">
        <v>48</v>
      </c>
    </row>
    <row r="49003">
      <c r="H49003" s="50"/>
      <c r="I49003" s="50"/>
      <c r="O49003" s="36" t="s">
        <v>48</v>
      </c>
      <c r="R49003" s="36" t="s">
        <v>48</v>
      </c>
    </row>
    <row r="49004">
      <c r="H49004" s="50"/>
      <c r="I49004" s="50"/>
      <c r="O49004" s="36" t="s">
        <v>48</v>
      </c>
      <c r="R49004" s="36" t="s">
        <v>48</v>
      </c>
    </row>
    <row r="49005">
      <c r="H49005" s="50"/>
      <c r="I49005" s="50"/>
      <c r="O49005" s="36" t="s">
        <v>48</v>
      </c>
      <c r="R49005" s="36" t="s">
        <v>48</v>
      </c>
    </row>
    <row r="49006">
      <c r="H49006" s="50"/>
      <c r="I49006" s="50"/>
      <c r="O49006" s="36" t="s">
        <v>48</v>
      </c>
      <c r="R49006" s="36" t="s">
        <v>48</v>
      </c>
    </row>
    <row r="49007">
      <c r="H49007" s="50"/>
      <c r="I49007" s="50"/>
      <c r="O49007" s="36" t="s">
        <v>48</v>
      </c>
      <c r="R49007" s="36" t="s">
        <v>48</v>
      </c>
    </row>
    <row r="49008">
      <c r="H49008" s="50"/>
      <c r="I49008" s="50"/>
      <c r="O49008" s="36" t="s">
        <v>48</v>
      </c>
      <c r="R49008" s="36" t="s">
        <v>48</v>
      </c>
    </row>
    <row r="49009">
      <c r="H49009" s="50"/>
      <c r="I49009" s="50"/>
      <c r="O49009" s="36" t="s">
        <v>48</v>
      </c>
      <c r="R49009" s="36" t="s">
        <v>48</v>
      </c>
    </row>
    <row r="49010">
      <c r="H49010" s="50"/>
      <c r="I49010" s="50"/>
      <c r="O49010" s="36" t="s">
        <v>48</v>
      </c>
      <c r="R49010" s="36" t="s">
        <v>48</v>
      </c>
    </row>
    <row r="49011">
      <c r="H49011" s="50"/>
      <c r="I49011" s="50"/>
      <c r="O49011" s="36" t="s">
        <v>48</v>
      </c>
      <c r="R49011" s="36" t="s">
        <v>48</v>
      </c>
    </row>
    <row r="49012">
      <c r="H49012" s="50"/>
      <c r="I49012" s="50"/>
      <c r="O49012" s="36" t="s">
        <v>48</v>
      </c>
      <c r="R49012" s="36" t="s">
        <v>48</v>
      </c>
    </row>
    <row r="49013">
      <c r="H49013" s="50"/>
      <c r="I49013" s="50"/>
      <c r="O49013" s="36" t="s">
        <v>48</v>
      </c>
      <c r="R49013" s="36" t="s">
        <v>48</v>
      </c>
    </row>
    <row r="49014">
      <c r="H49014" s="50"/>
      <c r="I49014" s="50"/>
      <c r="O49014" s="36" t="s">
        <v>48</v>
      </c>
      <c r="R49014" s="36" t="s">
        <v>48</v>
      </c>
    </row>
    <row r="49015">
      <c r="H49015" s="50"/>
      <c r="I49015" s="50"/>
      <c r="O49015" s="36" t="s">
        <v>48</v>
      </c>
      <c r="R49015" s="36" t="s">
        <v>48</v>
      </c>
    </row>
    <row r="49016">
      <c r="H49016" s="50"/>
      <c r="I49016" s="50"/>
      <c r="O49016" s="36" t="s">
        <v>48</v>
      </c>
      <c r="R49016" s="36" t="s">
        <v>48</v>
      </c>
    </row>
    <row r="49017">
      <c r="H49017" s="50"/>
      <c r="I49017" s="50"/>
      <c r="O49017" s="36" t="s">
        <v>48</v>
      </c>
      <c r="R49017" s="36" t="s">
        <v>48</v>
      </c>
    </row>
    <row r="49018">
      <c r="H49018" s="50"/>
      <c r="I49018" s="50"/>
      <c r="O49018" s="36" t="s">
        <v>48</v>
      </c>
      <c r="R49018" s="36" t="s">
        <v>48</v>
      </c>
    </row>
    <row r="49019">
      <c r="H49019" s="50"/>
      <c r="I49019" s="50"/>
      <c r="O49019" s="36" t="s">
        <v>48</v>
      </c>
      <c r="R49019" s="36" t="s">
        <v>48</v>
      </c>
    </row>
    <row r="49020">
      <c r="H49020" s="50"/>
      <c r="I49020" s="50"/>
      <c r="O49020" s="36" t="s">
        <v>48</v>
      </c>
      <c r="R49020" s="36" t="s">
        <v>48</v>
      </c>
    </row>
    <row r="49021">
      <c r="H49021" s="50"/>
      <c r="I49021" s="50"/>
      <c r="O49021" s="36" t="s">
        <v>48</v>
      </c>
      <c r="R49021" s="36" t="s">
        <v>48</v>
      </c>
    </row>
    <row r="49022">
      <c r="H49022" s="50"/>
      <c r="I49022" s="50"/>
      <c r="O49022" s="36" t="s">
        <v>48</v>
      </c>
      <c r="R49022" s="36" t="s">
        <v>48</v>
      </c>
    </row>
    <row r="49023">
      <c r="H49023" s="50"/>
      <c r="I49023" s="50"/>
      <c r="O49023" s="36" t="s">
        <v>48</v>
      </c>
      <c r="R49023" s="36" t="s">
        <v>48</v>
      </c>
    </row>
    <row r="49024">
      <c r="H49024" s="50"/>
      <c r="I49024" s="50"/>
      <c r="O49024" s="36" t="s">
        <v>48</v>
      </c>
      <c r="R49024" s="36" t="s">
        <v>48</v>
      </c>
    </row>
    <row r="49025">
      <c r="H49025" s="50"/>
      <c r="I49025" s="50"/>
      <c r="O49025" s="36" t="s">
        <v>48</v>
      </c>
      <c r="R49025" s="36" t="s">
        <v>48</v>
      </c>
    </row>
    <row r="49026">
      <c r="H49026" s="50"/>
      <c r="I49026" s="50"/>
      <c r="O49026" s="36" t="s">
        <v>48</v>
      </c>
      <c r="R49026" s="36" t="s">
        <v>48</v>
      </c>
    </row>
    <row r="49027">
      <c r="H49027" s="50"/>
      <c r="I49027" s="50"/>
      <c r="O49027" s="36" t="s">
        <v>48</v>
      </c>
      <c r="R49027" s="36" t="s">
        <v>48</v>
      </c>
    </row>
    <row r="49028">
      <c r="H49028" s="50"/>
      <c r="I49028" s="50"/>
      <c r="O49028" s="36" t="s">
        <v>48</v>
      </c>
      <c r="R49028" s="36" t="s">
        <v>48</v>
      </c>
    </row>
    <row r="49029">
      <c r="H49029" s="50"/>
      <c r="I49029" s="50"/>
      <c r="O49029" s="36" t="s">
        <v>48</v>
      </c>
      <c r="R49029" s="36" t="s">
        <v>48</v>
      </c>
    </row>
    <row r="49030">
      <c r="H49030" s="50"/>
      <c r="I49030" s="50"/>
      <c r="O49030" s="36" t="s">
        <v>48</v>
      </c>
      <c r="R49030" s="36" t="s">
        <v>48</v>
      </c>
    </row>
    <row r="49031">
      <c r="H49031" s="50"/>
      <c r="I49031" s="50"/>
      <c r="O49031" s="36" t="s">
        <v>48</v>
      </c>
      <c r="R49031" s="36" t="s">
        <v>48</v>
      </c>
    </row>
    <row r="49032">
      <c r="H49032" s="50"/>
      <c r="I49032" s="50"/>
      <c r="O49032" s="36" t="s">
        <v>48</v>
      </c>
      <c r="R49032" s="36" t="s">
        <v>48</v>
      </c>
    </row>
    <row r="49033">
      <c r="H49033" s="50"/>
      <c r="I49033" s="50"/>
      <c r="O49033" s="36" t="s">
        <v>48</v>
      </c>
      <c r="R49033" s="36" t="s">
        <v>48</v>
      </c>
    </row>
    <row r="49034">
      <c r="H49034" s="50"/>
      <c r="I49034" s="50"/>
      <c r="O49034" s="36" t="s">
        <v>48</v>
      </c>
      <c r="R49034" s="36" t="s">
        <v>48</v>
      </c>
    </row>
    <row r="49035">
      <c r="H49035" s="50"/>
      <c r="I49035" s="50"/>
      <c r="O49035" s="36" t="s">
        <v>48</v>
      </c>
      <c r="R49035" s="36" t="s">
        <v>48</v>
      </c>
    </row>
    <row r="49036">
      <c r="H49036" s="50"/>
      <c r="I49036" s="50"/>
      <c r="O49036" s="36" t="s">
        <v>48</v>
      </c>
      <c r="R49036" s="36" t="s">
        <v>48</v>
      </c>
    </row>
    <row r="49037">
      <c r="H49037" s="50"/>
      <c r="I49037" s="50"/>
      <c r="O49037" s="36" t="s">
        <v>48</v>
      </c>
      <c r="R49037" s="36" t="s">
        <v>48</v>
      </c>
    </row>
    <row r="49038">
      <c r="H49038" s="50"/>
      <c r="I49038" s="50"/>
      <c r="O49038" s="36" t="s">
        <v>48</v>
      </c>
      <c r="R49038" s="36" t="s">
        <v>48</v>
      </c>
    </row>
    <row r="49039">
      <c r="H49039" s="50"/>
      <c r="I49039" s="50"/>
      <c r="O49039" s="36" t="s">
        <v>48</v>
      </c>
      <c r="R49039" s="36" t="s">
        <v>48</v>
      </c>
    </row>
    <row r="49040">
      <c r="H49040" s="50"/>
      <c r="I49040" s="50"/>
      <c r="O49040" s="36" t="s">
        <v>48</v>
      </c>
      <c r="R49040" s="36" t="s">
        <v>48</v>
      </c>
    </row>
    <row r="49041">
      <c r="H49041" s="50"/>
      <c r="I49041" s="50"/>
      <c r="O49041" s="36" t="s">
        <v>48</v>
      </c>
      <c r="R49041" s="36" t="s">
        <v>48</v>
      </c>
    </row>
    <row r="49042">
      <c r="H49042" s="50"/>
      <c r="I49042" s="50"/>
      <c r="O49042" s="36" t="s">
        <v>48</v>
      </c>
      <c r="R49042" s="36" t="s">
        <v>48</v>
      </c>
    </row>
    <row r="49043">
      <c r="H49043" s="50"/>
      <c r="I49043" s="50"/>
      <c r="O49043" s="36" t="s">
        <v>48</v>
      </c>
      <c r="R49043" s="36" t="s">
        <v>48</v>
      </c>
    </row>
    <row r="49044">
      <c r="H49044" s="50"/>
      <c r="I49044" s="50"/>
      <c r="O49044" s="36" t="s">
        <v>48</v>
      </c>
      <c r="R49044" s="36" t="s">
        <v>48</v>
      </c>
    </row>
    <row r="49045">
      <c r="H49045" s="50"/>
      <c r="I49045" s="50"/>
      <c r="O49045" s="36" t="s">
        <v>48</v>
      </c>
      <c r="R49045" s="36" t="s">
        <v>48</v>
      </c>
    </row>
    <row r="49046">
      <c r="H49046" s="50"/>
      <c r="I49046" s="50"/>
      <c r="O49046" s="36" t="s">
        <v>48</v>
      </c>
      <c r="R49046" s="36" t="s">
        <v>48</v>
      </c>
    </row>
    <row r="49047">
      <c r="H49047" s="50"/>
      <c r="I49047" s="50"/>
      <c r="O49047" s="36" t="s">
        <v>48</v>
      </c>
      <c r="R49047" s="36" t="s">
        <v>48</v>
      </c>
    </row>
    <row r="49048">
      <c r="H49048" s="50"/>
      <c r="I49048" s="50"/>
      <c r="O49048" s="36" t="s">
        <v>48</v>
      </c>
      <c r="R49048" s="36" t="s">
        <v>48</v>
      </c>
    </row>
    <row r="49049">
      <c r="H49049" s="50"/>
      <c r="I49049" s="50"/>
      <c r="O49049" s="36" t="s">
        <v>48</v>
      </c>
      <c r="R49049" s="36" t="s">
        <v>48</v>
      </c>
    </row>
    <row r="49050">
      <c r="H49050" s="50"/>
      <c r="I49050" s="50"/>
      <c r="O49050" s="36" t="s">
        <v>48</v>
      </c>
      <c r="R49050" s="36" t="s">
        <v>48</v>
      </c>
    </row>
    <row r="49051">
      <c r="H49051" s="50"/>
      <c r="I49051" s="50"/>
      <c r="O49051" s="36" t="s">
        <v>48</v>
      </c>
      <c r="R49051" s="36" t="s">
        <v>48</v>
      </c>
    </row>
    <row r="49052">
      <c r="H49052" s="50"/>
      <c r="I49052" s="50"/>
      <c r="O49052" s="36" t="s">
        <v>48</v>
      </c>
      <c r="R49052" s="36" t="s">
        <v>48</v>
      </c>
    </row>
    <row r="49053">
      <c r="H49053" s="50"/>
      <c r="I49053" s="50"/>
      <c r="O49053" s="36" t="s">
        <v>48</v>
      </c>
      <c r="R49053" s="36" t="s">
        <v>48</v>
      </c>
    </row>
    <row r="49054">
      <c r="H49054" s="50"/>
      <c r="I49054" s="50"/>
      <c r="O49054" s="36" t="s">
        <v>48</v>
      </c>
      <c r="R49054" s="36" t="s">
        <v>48</v>
      </c>
    </row>
    <row r="49055">
      <c r="H49055" s="50"/>
      <c r="I49055" s="50"/>
      <c r="O49055" s="36" t="s">
        <v>48</v>
      </c>
      <c r="R49055" s="36" t="s">
        <v>48</v>
      </c>
    </row>
    <row r="49056">
      <c r="H49056" s="50"/>
      <c r="I49056" s="50"/>
      <c r="O49056" s="36" t="s">
        <v>48</v>
      </c>
      <c r="R49056" s="36" t="s">
        <v>48</v>
      </c>
    </row>
    <row r="49057">
      <c r="H49057" s="50"/>
      <c r="I49057" s="50"/>
      <c r="O49057" s="36" t="s">
        <v>48</v>
      </c>
      <c r="R49057" s="36" t="s">
        <v>48</v>
      </c>
    </row>
    <row r="49058">
      <c r="H49058" s="50"/>
      <c r="I49058" s="50"/>
      <c r="O49058" s="36" t="s">
        <v>48</v>
      </c>
      <c r="R49058" s="36" t="s">
        <v>48</v>
      </c>
    </row>
    <row r="49059">
      <c r="H49059" s="50"/>
      <c r="I49059" s="50"/>
      <c r="O49059" s="36" t="s">
        <v>48</v>
      </c>
      <c r="R49059" s="36" t="s">
        <v>48</v>
      </c>
    </row>
    <row r="49060">
      <c r="H49060" s="50"/>
      <c r="I49060" s="50"/>
      <c r="O49060" s="36" t="s">
        <v>48</v>
      </c>
      <c r="R49060" s="36" t="s">
        <v>48</v>
      </c>
    </row>
    <row r="49061">
      <c r="H49061" s="50"/>
      <c r="I49061" s="50"/>
      <c r="O49061" s="36" t="s">
        <v>48</v>
      </c>
      <c r="R49061" s="36" t="s">
        <v>48</v>
      </c>
    </row>
    <row r="49062">
      <c r="H49062" s="50"/>
      <c r="I49062" s="50"/>
      <c r="O49062" s="36" t="s">
        <v>48</v>
      </c>
      <c r="R49062" s="36" t="s">
        <v>48</v>
      </c>
    </row>
    <row r="49063">
      <c r="H49063" s="50"/>
      <c r="I49063" s="50"/>
      <c r="O49063" s="36" t="s">
        <v>48</v>
      </c>
      <c r="R49063" s="36" t="s">
        <v>48</v>
      </c>
    </row>
    <row r="49064">
      <c r="H49064" s="50"/>
      <c r="I49064" s="50"/>
      <c r="O49064" s="36" t="s">
        <v>48</v>
      </c>
      <c r="R49064" s="36" t="s">
        <v>48</v>
      </c>
    </row>
    <row r="49065">
      <c r="H49065" s="50"/>
      <c r="I49065" s="50"/>
      <c r="O49065" s="36" t="s">
        <v>48</v>
      </c>
      <c r="R49065" s="36" t="s">
        <v>48</v>
      </c>
    </row>
    <row r="49066">
      <c r="H49066" s="50"/>
      <c r="I49066" s="50"/>
      <c r="O49066" s="36" t="s">
        <v>48</v>
      </c>
      <c r="R49066" s="36" t="s">
        <v>48</v>
      </c>
    </row>
    <row r="49067">
      <c r="H49067" s="50"/>
      <c r="I49067" s="50"/>
      <c r="O49067" s="36" t="s">
        <v>48</v>
      </c>
      <c r="R49067" s="36" t="s">
        <v>48</v>
      </c>
    </row>
    <row r="49068">
      <c r="H49068" s="50"/>
      <c r="I49068" s="50"/>
      <c r="O49068" s="36" t="s">
        <v>48</v>
      </c>
      <c r="R49068" s="36" t="s">
        <v>48</v>
      </c>
    </row>
    <row r="49069">
      <c r="H49069" s="50"/>
      <c r="I49069" s="50"/>
      <c r="O49069" s="36" t="s">
        <v>48</v>
      </c>
      <c r="R49069" s="36" t="s">
        <v>48</v>
      </c>
    </row>
    <row r="49070">
      <c r="H49070" s="50"/>
      <c r="I49070" s="50"/>
      <c r="O49070" s="36" t="s">
        <v>48</v>
      </c>
      <c r="R49070" s="36" t="s">
        <v>48</v>
      </c>
    </row>
    <row r="49071">
      <c r="H49071" s="50"/>
      <c r="I49071" s="50"/>
      <c r="O49071" s="36" t="s">
        <v>48</v>
      </c>
      <c r="R49071" s="36" t="s">
        <v>48</v>
      </c>
    </row>
    <row r="49072">
      <c r="H49072" s="50"/>
      <c r="I49072" s="50"/>
      <c r="O49072" s="36" t="s">
        <v>48</v>
      </c>
      <c r="R49072" s="36" t="s">
        <v>48</v>
      </c>
    </row>
    <row r="49073">
      <c r="H49073" s="50"/>
      <c r="I49073" s="50"/>
      <c r="O49073" s="36" t="s">
        <v>48</v>
      </c>
      <c r="R49073" s="36" t="s">
        <v>48</v>
      </c>
    </row>
    <row r="49074">
      <c r="H49074" s="50"/>
      <c r="I49074" s="50"/>
      <c r="O49074" s="36" t="s">
        <v>48</v>
      </c>
      <c r="R49074" s="36" t="s">
        <v>48</v>
      </c>
    </row>
    <row r="49075">
      <c r="H49075" s="50"/>
      <c r="I49075" s="50"/>
      <c r="O49075" s="36" t="s">
        <v>48</v>
      </c>
      <c r="R49075" s="36" t="s">
        <v>48</v>
      </c>
    </row>
    <row r="49076">
      <c r="H49076" s="50"/>
      <c r="I49076" s="50"/>
      <c r="O49076" s="36" t="s">
        <v>48</v>
      </c>
      <c r="R49076" s="36" t="s">
        <v>48</v>
      </c>
    </row>
    <row r="49077">
      <c r="H49077" s="50"/>
      <c r="I49077" s="50"/>
      <c r="O49077" s="36" t="s">
        <v>48</v>
      </c>
      <c r="R49077" s="36" t="s">
        <v>48</v>
      </c>
    </row>
    <row r="49078">
      <c r="H49078" s="50"/>
      <c r="I49078" s="50"/>
      <c r="O49078" s="36" t="s">
        <v>48</v>
      </c>
      <c r="R49078" s="36" t="s">
        <v>48</v>
      </c>
    </row>
    <row r="49079">
      <c r="H49079" s="50"/>
      <c r="I49079" s="50"/>
      <c r="O49079" s="36" t="s">
        <v>48</v>
      </c>
      <c r="R49079" s="36" t="s">
        <v>48</v>
      </c>
    </row>
    <row r="49080">
      <c r="H49080" s="50"/>
      <c r="I49080" s="50"/>
      <c r="O49080" s="36" t="s">
        <v>48</v>
      </c>
      <c r="R49080" s="36" t="s">
        <v>48</v>
      </c>
    </row>
    <row r="49081">
      <c r="H49081" s="50"/>
      <c r="I49081" s="50"/>
      <c r="O49081" s="36" t="s">
        <v>48</v>
      </c>
      <c r="R49081" s="36" t="s">
        <v>48</v>
      </c>
    </row>
    <row r="49082">
      <c r="H49082" s="50"/>
      <c r="I49082" s="50"/>
      <c r="O49082" s="36" t="s">
        <v>48</v>
      </c>
      <c r="R49082" s="36" t="s">
        <v>48</v>
      </c>
    </row>
    <row r="49083">
      <c r="H49083" s="50"/>
      <c r="I49083" s="50"/>
      <c r="O49083" s="36" t="s">
        <v>48</v>
      </c>
      <c r="R49083" s="36" t="s">
        <v>48</v>
      </c>
    </row>
    <row r="49084">
      <c r="H49084" s="50"/>
      <c r="I49084" s="50"/>
      <c r="O49084" s="36" t="s">
        <v>48</v>
      </c>
      <c r="R49084" s="36" t="s">
        <v>48</v>
      </c>
    </row>
    <row r="49085">
      <c r="H49085" s="50"/>
      <c r="I49085" s="50"/>
      <c r="O49085" s="36" t="s">
        <v>48</v>
      </c>
      <c r="R49085" s="36" t="s">
        <v>48</v>
      </c>
    </row>
    <row r="49086">
      <c r="H49086" s="50"/>
      <c r="I49086" s="50"/>
      <c r="O49086" s="36" t="s">
        <v>48</v>
      </c>
      <c r="R49086" s="36" t="s">
        <v>48</v>
      </c>
    </row>
    <row r="49087">
      <c r="H49087" s="50"/>
      <c r="I49087" s="50"/>
      <c r="O49087" s="36" t="s">
        <v>48</v>
      </c>
      <c r="R49087" s="36" t="s">
        <v>48</v>
      </c>
    </row>
    <row r="49088">
      <c r="H49088" s="50"/>
      <c r="I49088" s="50"/>
      <c r="O49088" s="36" t="s">
        <v>48</v>
      </c>
      <c r="R49088" s="36" t="s">
        <v>48</v>
      </c>
    </row>
    <row r="49089">
      <c r="H49089" s="50"/>
      <c r="I49089" s="50"/>
      <c r="O49089" s="36" t="s">
        <v>48</v>
      </c>
      <c r="R49089" s="36" t="s">
        <v>48</v>
      </c>
    </row>
    <row r="49090">
      <c r="H49090" s="50"/>
      <c r="I49090" s="50"/>
      <c r="O49090" s="36" t="s">
        <v>48</v>
      </c>
      <c r="R49090" s="36" t="s">
        <v>48</v>
      </c>
    </row>
    <row r="49091">
      <c r="H49091" s="50"/>
      <c r="I49091" s="50"/>
      <c r="O49091" s="36" t="s">
        <v>48</v>
      </c>
      <c r="R49091" s="36" t="s">
        <v>48</v>
      </c>
    </row>
    <row r="49092">
      <c r="H49092" s="50"/>
      <c r="I49092" s="50"/>
      <c r="O49092" s="36" t="s">
        <v>48</v>
      </c>
      <c r="R49092" s="36" t="s">
        <v>48</v>
      </c>
    </row>
    <row r="49093">
      <c r="H49093" s="50"/>
      <c r="I49093" s="50"/>
      <c r="O49093" s="36" t="s">
        <v>48</v>
      </c>
      <c r="R49093" s="36" t="s">
        <v>48</v>
      </c>
    </row>
    <row r="49094">
      <c r="H49094" s="50"/>
      <c r="I49094" s="50"/>
      <c r="O49094" s="36" t="s">
        <v>48</v>
      </c>
      <c r="R49094" s="36" t="s">
        <v>48</v>
      </c>
    </row>
    <row r="49095">
      <c r="H49095" s="50"/>
      <c r="I49095" s="50"/>
      <c r="O49095" s="36" t="s">
        <v>48</v>
      </c>
      <c r="R49095" s="36" t="s">
        <v>48</v>
      </c>
    </row>
    <row r="49096">
      <c r="H49096" s="50"/>
      <c r="I49096" s="50"/>
      <c r="O49096" s="36" t="s">
        <v>48</v>
      </c>
      <c r="R49096" s="36" t="s">
        <v>48</v>
      </c>
    </row>
    <row r="49097">
      <c r="H49097" s="50"/>
      <c r="I49097" s="50"/>
      <c r="O49097" s="36" t="s">
        <v>48</v>
      </c>
      <c r="R49097" s="36" t="s">
        <v>48</v>
      </c>
    </row>
    <row r="49098">
      <c r="H49098" s="50"/>
      <c r="I49098" s="50"/>
      <c r="O49098" s="36" t="s">
        <v>48</v>
      </c>
      <c r="R49098" s="36" t="s">
        <v>48</v>
      </c>
    </row>
    <row r="49099">
      <c r="H49099" s="50"/>
      <c r="I49099" s="50"/>
      <c r="O49099" s="36" t="s">
        <v>48</v>
      </c>
      <c r="R49099" s="36" t="s">
        <v>48</v>
      </c>
    </row>
    <row r="49100">
      <c r="H49100" s="50"/>
      <c r="I49100" s="50"/>
      <c r="O49100" s="36" t="s">
        <v>48</v>
      </c>
      <c r="R49100" s="36" t="s">
        <v>48</v>
      </c>
    </row>
    <row r="49101">
      <c r="H49101" s="50"/>
      <c r="I49101" s="50"/>
      <c r="O49101" s="36" t="s">
        <v>48</v>
      </c>
      <c r="R49101" s="36" t="s">
        <v>48</v>
      </c>
    </row>
    <row r="49102">
      <c r="H49102" s="50"/>
      <c r="I49102" s="50"/>
      <c r="O49102" s="36" t="s">
        <v>48</v>
      </c>
      <c r="R49102" s="36" t="s">
        <v>48</v>
      </c>
    </row>
    <row r="49103">
      <c r="H49103" s="50"/>
      <c r="I49103" s="50"/>
      <c r="O49103" s="36" t="s">
        <v>48</v>
      </c>
      <c r="R49103" s="36" t="s">
        <v>48</v>
      </c>
    </row>
    <row r="49104">
      <c r="H49104" s="50"/>
      <c r="I49104" s="50"/>
      <c r="O49104" s="36" t="s">
        <v>48</v>
      </c>
      <c r="R49104" s="36" t="s">
        <v>48</v>
      </c>
    </row>
    <row r="49105">
      <c r="H49105" s="50"/>
      <c r="I49105" s="50"/>
      <c r="O49105" s="36" t="s">
        <v>48</v>
      </c>
      <c r="R49105" s="36" t="s">
        <v>48</v>
      </c>
    </row>
    <row r="49106">
      <c r="H49106" s="50"/>
      <c r="I49106" s="50"/>
      <c r="O49106" s="36" t="s">
        <v>48</v>
      </c>
      <c r="R49106" s="36" t="s">
        <v>48</v>
      </c>
    </row>
    <row r="49107">
      <c r="H49107" s="50"/>
      <c r="I49107" s="50"/>
      <c r="O49107" s="36" t="s">
        <v>48</v>
      </c>
      <c r="R49107" s="36" t="s">
        <v>48</v>
      </c>
    </row>
    <row r="49108">
      <c r="H49108" s="50"/>
      <c r="I49108" s="50"/>
      <c r="O49108" s="36" t="s">
        <v>48</v>
      </c>
      <c r="R49108" s="36" t="s">
        <v>48</v>
      </c>
    </row>
    <row r="49109">
      <c r="H49109" s="50"/>
      <c r="I49109" s="50"/>
      <c r="O49109" s="36" t="s">
        <v>48</v>
      </c>
      <c r="R49109" s="36" t="s">
        <v>48</v>
      </c>
    </row>
    <row r="49110">
      <c r="H49110" s="50"/>
      <c r="I49110" s="50"/>
      <c r="O49110" s="36" t="s">
        <v>48</v>
      </c>
      <c r="R49110" s="36" t="s">
        <v>48</v>
      </c>
    </row>
    <row r="49111">
      <c r="H49111" s="50"/>
      <c r="I49111" s="50"/>
      <c r="O49111" s="36" t="s">
        <v>48</v>
      </c>
      <c r="R49111" s="36" t="s">
        <v>48</v>
      </c>
    </row>
    <row r="49112">
      <c r="H49112" s="50"/>
      <c r="I49112" s="50"/>
      <c r="O49112" s="36" t="s">
        <v>48</v>
      </c>
      <c r="R49112" s="36" t="s">
        <v>48</v>
      </c>
    </row>
    <row r="49113">
      <c r="H49113" s="50"/>
      <c r="I49113" s="50"/>
      <c r="O49113" s="36" t="s">
        <v>48</v>
      </c>
      <c r="R49113" s="36" t="s">
        <v>48</v>
      </c>
    </row>
    <row r="49114">
      <c r="H49114" s="50"/>
      <c r="I49114" s="50"/>
      <c r="O49114" s="36" t="s">
        <v>48</v>
      </c>
      <c r="R49114" s="36" t="s">
        <v>48</v>
      </c>
    </row>
    <row r="49115">
      <c r="H49115" s="50"/>
      <c r="I49115" s="50"/>
      <c r="O49115" s="36" t="s">
        <v>48</v>
      </c>
      <c r="R49115" s="36" t="s">
        <v>48</v>
      </c>
    </row>
    <row r="49116">
      <c r="H49116" s="50"/>
      <c r="I49116" s="50"/>
      <c r="O49116" s="36" t="s">
        <v>48</v>
      </c>
      <c r="R49116" s="36" t="s">
        <v>48</v>
      </c>
    </row>
    <row r="49117">
      <c r="H49117" s="50"/>
      <c r="I49117" s="50"/>
      <c r="O49117" s="36" t="s">
        <v>48</v>
      </c>
      <c r="R49117" s="36" t="s">
        <v>48</v>
      </c>
    </row>
    <row r="49118">
      <c r="H49118" s="50"/>
      <c r="I49118" s="50"/>
      <c r="O49118" s="36" t="s">
        <v>48</v>
      </c>
      <c r="R49118" s="36" t="s">
        <v>48</v>
      </c>
    </row>
    <row r="49119">
      <c r="H49119" s="50"/>
      <c r="I49119" s="50"/>
      <c r="O49119" s="36" t="s">
        <v>48</v>
      </c>
      <c r="R49119" s="36" t="s">
        <v>48</v>
      </c>
    </row>
    <row r="49120">
      <c r="H49120" s="50"/>
      <c r="I49120" s="50"/>
      <c r="O49120" s="36" t="s">
        <v>48</v>
      </c>
      <c r="R49120" s="36" t="s">
        <v>48</v>
      </c>
    </row>
    <row r="49121">
      <c r="H49121" s="50"/>
      <c r="I49121" s="50"/>
      <c r="O49121" s="36" t="s">
        <v>48</v>
      </c>
      <c r="R49121" s="36" t="s">
        <v>48</v>
      </c>
    </row>
    <row r="49122">
      <c r="H49122" s="50"/>
      <c r="I49122" s="50"/>
      <c r="O49122" s="36" t="s">
        <v>48</v>
      </c>
      <c r="R49122" s="36" t="s">
        <v>48</v>
      </c>
    </row>
    <row r="49123">
      <c r="H49123" s="50"/>
      <c r="I49123" s="50"/>
      <c r="O49123" s="36" t="s">
        <v>48</v>
      </c>
      <c r="R49123" s="36" t="s">
        <v>48</v>
      </c>
    </row>
    <row r="49124">
      <c r="H49124" s="50"/>
      <c r="I49124" s="50"/>
      <c r="O49124" s="36" t="s">
        <v>48</v>
      </c>
      <c r="R49124" s="36" t="s">
        <v>48</v>
      </c>
    </row>
    <row r="49125">
      <c r="H49125" s="50"/>
      <c r="I49125" s="50"/>
      <c r="O49125" s="36" t="s">
        <v>48</v>
      </c>
      <c r="R49125" s="36" t="s">
        <v>48</v>
      </c>
    </row>
    <row r="49126">
      <c r="H49126" s="50"/>
      <c r="I49126" s="50"/>
      <c r="O49126" s="36" t="s">
        <v>48</v>
      </c>
      <c r="R49126" s="36" t="s">
        <v>48</v>
      </c>
    </row>
    <row r="49127">
      <c r="H49127" s="50"/>
      <c r="I49127" s="50"/>
      <c r="O49127" s="36" t="s">
        <v>48</v>
      </c>
      <c r="R49127" s="36" t="s">
        <v>48</v>
      </c>
    </row>
    <row r="49128">
      <c r="H49128" s="50"/>
      <c r="I49128" s="50"/>
      <c r="O49128" s="36" t="s">
        <v>48</v>
      </c>
      <c r="R49128" s="36" t="s">
        <v>48</v>
      </c>
    </row>
    <row r="49129">
      <c r="H49129" s="50"/>
      <c r="I49129" s="50"/>
      <c r="O49129" s="36" t="s">
        <v>48</v>
      </c>
      <c r="R49129" s="36" t="s">
        <v>48</v>
      </c>
    </row>
    <row r="49130">
      <c r="H49130" s="50"/>
      <c r="I49130" s="50"/>
      <c r="O49130" s="36" t="s">
        <v>48</v>
      </c>
      <c r="R49130" s="36" t="s">
        <v>48</v>
      </c>
    </row>
    <row r="49131">
      <c r="H49131" s="50"/>
      <c r="I49131" s="50"/>
      <c r="O49131" s="36" t="s">
        <v>48</v>
      </c>
      <c r="R49131" s="36" t="s">
        <v>48</v>
      </c>
    </row>
    <row r="49132">
      <c r="H49132" s="50"/>
      <c r="I49132" s="50"/>
      <c r="O49132" s="36" t="s">
        <v>48</v>
      </c>
      <c r="R49132" s="36" t="s">
        <v>48</v>
      </c>
    </row>
    <row r="49133">
      <c r="H49133" s="50"/>
      <c r="I49133" s="50"/>
      <c r="O49133" s="36" t="s">
        <v>48</v>
      </c>
      <c r="R49133" s="36" t="s">
        <v>48</v>
      </c>
    </row>
    <row r="49134">
      <c r="H49134" s="50"/>
      <c r="I49134" s="50"/>
      <c r="O49134" s="36" t="s">
        <v>48</v>
      </c>
      <c r="R49134" s="36" t="s">
        <v>48</v>
      </c>
    </row>
    <row r="49135">
      <c r="H49135" s="50"/>
      <c r="I49135" s="50"/>
      <c r="O49135" s="36" t="s">
        <v>48</v>
      </c>
      <c r="R49135" s="36" t="s">
        <v>48</v>
      </c>
    </row>
    <row r="49136">
      <c r="H49136" s="50"/>
      <c r="I49136" s="50"/>
      <c r="O49136" s="36" t="s">
        <v>48</v>
      </c>
      <c r="R49136" s="36" t="s">
        <v>48</v>
      </c>
    </row>
    <row r="49137">
      <c r="H49137" s="50"/>
      <c r="I49137" s="50"/>
      <c r="O49137" s="36" t="s">
        <v>48</v>
      </c>
      <c r="R49137" s="36" t="s">
        <v>48</v>
      </c>
    </row>
    <row r="49138">
      <c r="H49138" s="50"/>
      <c r="I49138" s="50"/>
      <c r="O49138" s="36" t="s">
        <v>48</v>
      </c>
      <c r="R49138" s="36" t="s">
        <v>48</v>
      </c>
    </row>
    <row r="49139">
      <c r="H49139" s="50"/>
      <c r="I49139" s="50"/>
      <c r="O49139" s="36" t="s">
        <v>48</v>
      </c>
      <c r="R49139" s="36" t="s">
        <v>48</v>
      </c>
    </row>
    <row r="49140">
      <c r="H49140" s="50"/>
      <c r="I49140" s="50"/>
      <c r="O49140" s="36" t="s">
        <v>48</v>
      </c>
      <c r="R49140" s="36" t="s">
        <v>48</v>
      </c>
    </row>
    <row r="49141">
      <c r="H49141" s="50"/>
      <c r="I49141" s="50"/>
      <c r="O49141" s="36" t="s">
        <v>48</v>
      </c>
      <c r="R49141" s="36" t="s">
        <v>48</v>
      </c>
    </row>
    <row r="49142">
      <c r="H49142" s="50"/>
      <c r="I49142" s="50"/>
      <c r="O49142" s="36" t="s">
        <v>48</v>
      </c>
      <c r="R49142" s="36" t="s">
        <v>48</v>
      </c>
    </row>
    <row r="49143">
      <c r="H49143" s="50"/>
      <c r="I49143" s="50"/>
      <c r="O49143" s="36" t="s">
        <v>48</v>
      </c>
      <c r="R49143" s="36" t="s">
        <v>48</v>
      </c>
    </row>
    <row r="49144">
      <c r="H49144" s="50"/>
      <c r="I49144" s="50"/>
      <c r="O49144" s="36" t="s">
        <v>48</v>
      </c>
      <c r="R49144" s="36" t="s">
        <v>48</v>
      </c>
    </row>
    <row r="49145">
      <c r="H49145" s="50"/>
      <c r="I49145" s="50"/>
      <c r="O49145" s="36" t="s">
        <v>48</v>
      </c>
      <c r="R49145" s="36" t="s">
        <v>48</v>
      </c>
    </row>
    <row r="49146">
      <c r="H49146" s="50"/>
      <c r="I49146" s="50"/>
      <c r="O49146" s="36" t="s">
        <v>48</v>
      </c>
      <c r="R49146" s="36" t="s">
        <v>48</v>
      </c>
    </row>
    <row r="49147">
      <c r="H49147" s="50"/>
      <c r="I49147" s="50"/>
      <c r="O49147" s="36" t="s">
        <v>48</v>
      </c>
      <c r="R49147" s="36" t="s">
        <v>48</v>
      </c>
    </row>
    <row r="49148">
      <c r="H49148" s="50"/>
      <c r="I49148" s="50"/>
      <c r="O49148" s="36" t="s">
        <v>48</v>
      </c>
      <c r="R49148" s="36" t="s">
        <v>48</v>
      </c>
    </row>
    <row r="49149">
      <c r="H49149" s="50"/>
      <c r="I49149" s="50"/>
      <c r="O49149" s="36" t="s">
        <v>48</v>
      </c>
      <c r="R49149" s="36" t="s">
        <v>48</v>
      </c>
    </row>
    <row r="49150">
      <c r="H49150" s="50"/>
      <c r="I49150" s="50"/>
      <c r="O49150" s="36" t="s">
        <v>48</v>
      </c>
      <c r="R49150" s="36" t="s">
        <v>48</v>
      </c>
    </row>
    <row r="49151">
      <c r="H49151" s="50"/>
      <c r="I49151" s="50"/>
      <c r="O49151" s="36" t="s">
        <v>48</v>
      </c>
      <c r="R49151" s="36" t="s">
        <v>48</v>
      </c>
    </row>
    <row r="49152">
      <c r="H49152" s="50"/>
      <c r="I49152" s="50"/>
      <c r="O49152" s="36" t="s">
        <v>48</v>
      </c>
      <c r="R49152" s="36" t="s">
        <v>48</v>
      </c>
    </row>
    <row r="49153">
      <c r="H49153" s="50"/>
      <c r="I49153" s="50"/>
      <c r="O49153" s="36" t="s">
        <v>48</v>
      </c>
      <c r="R49153" s="36" t="s">
        <v>48</v>
      </c>
    </row>
    <row r="49154">
      <c r="H49154" s="50"/>
      <c r="I49154" s="50"/>
      <c r="O49154" s="36" t="s">
        <v>48</v>
      </c>
      <c r="R49154" s="36" t="s">
        <v>48</v>
      </c>
    </row>
    <row r="49155">
      <c r="H49155" s="50"/>
      <c r="I49155" s="50"/>
      <c r="O49155" s="36" t="s">
        <v>48</v>
      </c>
      <c r="R49155" s="36" t="s">
        <v>48</v>
      </c>
    </row>
    <row r="49156">
      <c r="H49156" s="50"/>
      <c r="I49156" s="50"/>
      <c r="O49156" s="36" t="s">
        <v>48</v>
      </c>
      <c r="R49156" s="36" t="s">
        <v>48</v>
      </c>
    </row>
    <row r="49157">
      <c r="H49157" s="50"/>
      <c r="I49157" s="50"/>
      <c r="O49157" s="36" t="s">
        <v>48</v>
      </c>
      <c r="R49157" s="36" t="s">
        <v>48</v>
      </c>
    </row>
    <row r="49158">
      <c r="H49158" s="50"/>
      <c r="I49158" s="50"/>
      <c r="O49158" s="36" t="s">
        <v>48</v>
      </c>
      <c r="R49158" s="36" t="s">
        <v>48</v>
      </c>
    </row>
    <row r="49159">
      <c r="H49159" s="50"/>
      <c r="I49159" s="50"/>
      <c r="O49159" s="36" t="s">
        <v>48</v>
      </c>
      <c r="R49159" s="36" t="s">
        <v>48</v>
      </c>
    </row>
    <row r="49160">
      <c r="H49160" s="50"/>
      <c r="I49160" s="50"/>
      <c r="O49160" s="36" t="s">
        <v>48</v>
      </c>
      <c r="R49160" s="36" t="s">
        <v>48</v>
      </c>
    </row>
    <row r="49161">
      <c r="H49161" s="50"/>
      <c r="I49161" s="50"/>
      <c r="O49161" s="36" t="s">
        <v>48</v>
      </c>
      <c r="R49161" s="36" t="s">
        <v>48</v>
      </c>
    </row>
    <row r="49162">
      <c r="H49162" s="50"/>
      <c r="I49162" s="50"/>
      <c r="O49162" s="36" t="s">
        <v>48</v>
      </c>
      <c r="R49162" s="36" t="s">
        <v>48</v>
      </c>
    </row>
    <row r="49163">
      <c r="H49163" s="50"/>
      <c r="I49163" s="50"/>
      <c r="O49163" s="36" t="s">
        <v>48</v>
      </c>
      <c r="R49163" s="36" t="s">
        <v>48</v>
      </c>
    </row>
    <row r="49164">
      <c r="H49164" s="50"/>
      <c r="I49164" s="50"/>
      <c r="O49164" s="36" t="s">
        <v>48</v>
      </c>
      <c r="R49164" s="36" t="s">
        <v>48</v>
      </c>
    </row>
    <row r="49165">
      <c r="H49165" s="50"/>
      <c r="I49165" s="50"/>
      <c r="O49165" s="36" t="s">
        <v>48</v>
      </c>
      <c r="R49165" s="36" t="s">
        <v>48</v>
      </c>
    </row>
    <row r="49166">
      <c r="H49166" s="50"/>
      <c r="I49166" s="50"/>
      <c r="O49166" s="36" t="s">
        <v>48</v>
      </c>
      <c r="R49166" s="36" t="s">
        <v>48</v>
      </c>
    </row>
    <row r="49167">
      <c r="H49167" s="50"/>
      <c r="I49167" s="50"/>
      <c r="O49167" s="36" t="s">
        <v>48</v>
      </c>
      <c r="R49167" s="36" t="s">
        <v>48</v>
      </c>
    </row>
    <row r="49168">
      <c r="H49168" s="50"/>
      <c r="I49168" s="50"/>
      <c r="O49168" s="36" t="s">
        <v>48</v>
      </c>
      <c r="R49168" s="36" t="s">
        <v>48</v>
      </c>
    </row>
    <row r="49169">
      <c r="H49169" s="50"/>
      <c r="I49169" s="50"/>
      <c r="O49169" s="36" t="s">
        <v>48</v>
      </c>
      <c r="R49169" s="36" t="s">
        <v>48</v>
      </c>
    </row>
    <row r="49170">
      <c r="H49170" s="50"/>
      <c r="I49170" s="50"/>
      <c r="O49170" s="36" t="s">
        <v>48</v>
      </c>
      <c r="R49170" s="36" t="s">
        <v>48</v>
      </c>
    </row>
    <row r="49171">
      <c r="H49171" s="50"/>
      <c r="I49171" s="50"/>
      <c r="O49171" s="36" t="s">
        <v>48</v>
      </c>
      <c r="R49171" s="36" t="s">
        <v>48</v>
      </c>
    </row>
    <row r="49172">
      <c r="H49172" s="50"/>
      <c r="I49172" s="50"/>
      <c r="O49172" s="36" t="s">
        <v>48</v>
      </c>
      <c r="R49172" s="36" t="s">
        <v>48</v>
      </c>
    </row>
    <row r="49173">
      <c r="H49173" s="50"/>
      <c r="I49173" s="50"/>
      <c r="O49173" s="36" t="s">
        <v>48</v>
      </c>
      <c r="R49173" s="36" t="s">
        <v>48</v>
      </c>
    </row>
    <row r="49174">
      <c r="H49174" s="50"/>
      <c r="I49174" s="50"/>
      <c r="O49174" s="36" t="s">
        <v>48</v>
      </c>
      <c r="R49174" s="36" t="s">
        <v>48</v>
      </c>
    </row>
    <row r="49175">
      <c r="H49175" s="50"/>
      <c r="I49175" s="50"/>
      <c r="O49175" s="36" t="s">
        <v>48</v>
      </c>
      <c r="R49175" s="36" t="s">
        <v>48</v>
      </c>
    </row>
    <row r="49176">
      <c r="H49176" s="50"/>
      <c r="I49176" s="50"/>
      <c r="O49176" s="36" t="s">
        <v>48</v>
      </c>
      <c r="R49176" s="36" t="s">
        <v>48</v>
      </c>
    </row>
    <row r="49177">
      <c r="H49177" s="50"/>
      <c r="I49177" s="50"/>
      <c r="O49177" s="36" t="s">
        <v>48</v>
      </c>
      <c r="R49177" s="36" t="s">
        <v>48</v>
      </c>
    </row>
    <row r="49178">
      <c r="H49178" s="50"/>
      <c r="I49178" s="50"/>
      <c r="O49178" s="36" t="s">
        <v>48</v>
      </c>
      <c r="R49178" s="36" t="s">
        <v>48</v>
      </c>
    </row>
    <row r="49179">
      <c r="H49179" s="50"/>
      <c r="I49179" s="50"/>
      <c r="O49179" s="36" t="s">
        <v>48</v>
      </c>
      <c r="R49179" s="36" t="s">
        <v>48</v>
      </c>
    </row>
    <row r="49180">
      <c r="H49180" s="50"/>
      <c r="I49180" s="50"/>
      <c r="O49180" s="36" t="s">
        <v>48</v>
      </c>
      <c r="R49180" s="36" t="s">
        <v>48</v>
      </c>
    </row>
    <row r="49181">
      <c r="H49181" s="50"/>
      <c r="I49181" s="50"/>
      <c r="O49181" s="36" t="s">
        <v>48</v>
      </c>
      <c r="R49181" s="36" t="s">
        <v>48</v>
      </c>
    </row>
    <row r="49182">
      <c r="H49182" s="50"/>
      <c r="I49182" s="50"/>
      <c r="O49182" s="36" t="s">
        <v>48</v>
      </c>
      <c r="R49182" s="36" t="s">
        <v>48</v>
      </c>
    </row>
    <row r="49183">
      <c r="H49183" s="50"/>
      <c r="I49183" s="50"/>
      <c r="O49183" s="36" t="s">
        <v>48</v>
      </c>
      <c r="R49183" s="36" t="s">
        <v>48</v>
      </c>
    </row>
    <row r="49184">
      <c r="H49184" s="50"/>
      <c r="I49184" s="50"/>
      <c r="O49184" s="36" t="s">
        <v>48</v>
      </c>
      <c r="R49184" s="36" t="s">
        <v>48</v>
      </c>
    </row>
    <row r="49185">
      <c r="H49185" s="50"/>
      <c r="I49185" s="50"/>
      <c r="O49185" s="36" t="s">
        <v>48</v>
      </c>
      <c r="R49185" s="36" t="s">
        <v>48</v>
      </c>
    </row>
    <row r="49186">
      <c r="H49186" s="50"/>
      <c r="I49186" s="50"/>
      <c r="O49186" s="36" t="s">
        <v>48</v>
      </c>
      <c r="R49186" s="36" t="s">
        <v>48</v>
      </c>
    </row>
    <row r="49187">
      <c r="H49187" s="50"/>
      <c r="I49187" s="50"/>
      <c r="O49187" s="36" t="s">
        <v>48</v>
      </c>
      <c r="R49187" s="36" t="s">
        <v>48</v>
      </c>
    </row>
    <row r="49188">
      <c r="H49188" s="50"/>
      <c r="I49188" s="50"/>
      <c r="O49188" s="36" t="s">
        <v>48</v>
      </c>
      <c r="R49188" s="36" t="s">
        <v>48</v>
      </c>
    </row>
    <row r="49189">
      <c r="H49189" s="50"/>
      <c r="I49189" s="50"/>
      <c r="O49189" s="36" t="s">
        <v>48</v>
      </c>
      <c r="R49189" s="36" t="s">
        <v>48</v>
      </c>
    </row>
    <row r="49190">
      <c r="H49190" s="50"/>
      <c r="I49190" s="50"/>
      <c r="O49190" s="36" t="s">
        <v>48</v>
      </c>
      <c r="R49190" s="36" t="s">
        <v>48</v>
      </c>
    </row>
    <row r="49191">
      <c r="H49191" s="50"/>
      <c r="I49191" s="50"/>
      <c r="O49191" s="36" t="s">
        <v>48</v>
      </c>
      <c r="R49191" s="36" t="s">
        <v>48</v>
      </c>
    </row>
    <row r="49192">
      <c r="H49192" s="50"/>
      <c r="I49192" s="50"/>
      <c r="O49192" s="36" t="s">
        <v>48</v>
      </c>
      <c r="R49192" s="36" t="s">
        <v>48</v>
      </c>
    </row>
    <row r="49193">
      <c r="H49193" s="50"/>
      <c r="I49193" s="50"/>
      <c r="O49193" s="36" t="s">
        <v>48</v>
      </c>
      <c r="R49193" s="36" t="s">
        <v>48</v>
      </c>
    </row>
    <row r="49194">
      <c r="H49194" s="50"/>
      <c r="I49194" s="50"/>
      <c r="O49194" s="36" t="s">
        <v>48</v>
      </c>
      <c r="R49194" s="36" t="s">
        <v>48</v>
      </c>
    </row>
    <row r="49195">
      <c r="H49195" s="50"/>
      <c r="I49195" s="50"/>
      <c r="O49195" s="36" t="s">
        <v>48</v>
      </c>
      <c r="R49195" s="36" t="s">
        <v>48</v>
      </c>
    </row>
    <row r="49196">
      <c r="H49196" s="50"/>
      <c r="I49196" s="50"/>
      <c r="O49196" s="36" t="s">
        <v>48</v>
      </c>
      <c r="R49196" s="36" t="s">
        <v>48</v>
      </c>
    </row>
    <row r="49197">
      <c r="H49197" s="50"/>
      <c r="I49197" s="50"/>
      <c r="O49197" s="36" t="s">
        <v>48</v>
      </c>
      <c r="R49197" s="36" t="s">
        <v>48</v>
      </c>
    </row>
    <row r="49198">
      <c r="H49198" s="50"/>
      <c r="I49198" s="50"/>
      <c r="O49198" s="36" t="s">
        <v>48</v>
      </c>
      <c r="R49198" s="36" t="s">
        <v>48</v>
      </c>
    </row>
    <row r="49199">
      <c r="H49199" s="50"/>
      <c r="I49199" s="50"/>
      <c r="O49199" s="36" t="s">
        <v>48</v>
      </c>
      <c r="R49199" s="36" t="s">
        <v>48</v>
      </c>
    </row>
    <row r="49200">
      <c r="H49200" s="50"/>
      <c r="I49200" s="50"/>
      <c r="O49200" s="36" t="s">
        <v>48</v>
      </c>
      <c r="R49200" s="36" t="s">
        <v>48</v>
      </c>
    </row>
    <row r="49201">
      <c r="H49201" s="50"/>
      <c r="I49201" s="50"/>
      <c r="O49201" s="36" t="s">
        <v>48</v>
      </c>
      <c r="R49201" s="36" t="s">
        <v>48</v>
      </c>
    </row>
    <row r="49202">
      <c r="H49202" s="50"/>
      <c r="I49202" s="50"/>
      <c r="O49202" s="36" t="s">
        <v>48</v>
      </c>
      <c r="R49202" s="36" t="s">
        <v>48</v>
      </c>
    </row>
    <row r="49203">
      <c r="H49203" s="50"/>
      <c r="I49203" s="50"/>
      <c r="O49203" s="36" t="s">
        <v>48</v>
      </c>
      <c r="R49203" s="36" t="s">
        <v>48</v>
      </c>
    </row>
    <row r="49204">
      <c r="H49204" s="50"/>
      <c r="I49204" s="50"/>
      <c r="O49204" s="36" t="s">
        <v>48</v>
      </c>
      <c r="R49204" s="36" t="s">
        <v>48</v>
      </c>
    </row>
    <row r="49205">
      <c r="H49205" s="50"/>
      <c r="I49205" s="50"/>
      <c r="O49205" s="36" t="s">
        <v>48</v>
      </c>
      <c r="R49205" s="36" t="s">
        <v>48</v>
      </c>
    </row>
    <row r="49206">
      <c r="H49206" s="50"/>
      <c r="I49206" s="50"/>
      <c r="O49206" s="36" t="s">
        <v>48</v>
      </c>
      <c r="R49206" s="36" t="s">
        <v>48</v>
      </c>
    </row>
    <row r="49207">
      <c r="H49207" s="50"/>
      <c r="I49207" s="50"/>
      <c r="O49207" s="36" t="s">
        <v>48</v>
      </c>
      <c r="R49207" s="36" t="s">
        <v>48</v>
      </c>
    </row>
    <row r="49208">
      <c r="H49208" s="50"/>
      <c r="I49208" s="50"/>
      <c r="O49208" s="36" t="s">
        <v>48</v>
      </c>
      <c r="R49208" s="36" t="s">
        <v>48</v>
      </c>
    </row>
    <row r="49209">
      <c r="H49209" s="50"/>
      <c r="I49209" s="50"/>
      <c r="O49209" s="36" t="s">
        <v>48</v>
      </c>
      <c r="R49209" s="36" t="s">
        <v>48</v>
      </c>
    </row>
    <row r="49210">
      <c r="H49210" s="50"/>
      <c r="I49210" s="50"/>
      <c r="O49210" s="36" t="s">
        <v>48</v>
      </c>
      <c r="R49210" s="36" t="s">
        <v>48</v>
      </c>
    </row>
    <row r="49211">
      <c r="H49211" s="50"/>
      <c r="I49211" s="50"/>
      <c r="O49211" s="36" t="s">
        <v>48</v>
      </c>
      <c r="R49211" s="36" t="s">
        <v>48</v>
      </c>
    </row>
    <row r="49212">
      <c r="H49212" s="50"/>
      <c r="I49212" s="50"/>
      <c r="O49212" s="36" t="s">
        <v>48</v>
      </c>
      <c r="R49212" s="36" t="s">
        <v>48</v>
      </c>
    </row>
    <row r="49213">
      <c r="H49213" s="50"/>
      <c r="I49213" s="50"/>
      <c r="O49213" s="36" t="s">
        <v>48</v>
      </c>
      <c r="R49213" s="36" t="s">
        <v>48</v>
      </c>
    </row>
    <row r="49214">
      <c r="H49214" s="50"/>
      <c r="I49214" s="50"/>
      <c r="O49214" s="36" t="s">
        <v>48</v>
      </c>
      <c r="R49214" s="36" t="s">
        <v>48</v>
      </c>
    </row>
    <row r="49215">
      <c r="H49215" s="50"/>
      <c r="I49215" s="50"/>
      <c r="O49215" s="36" t="s">
        <v>48</v>
      </c>
      <c r="R49215" s="36" t="s">
        <v>48</v>
      </c>
    </row>
    <row r="49216">
      <c r="H49216" s="50"/>
      <c r="I49216" s="50"/>
      <c r="O49216" s="36" t="s">
        <v>48</v>
      </c>
      <c r="R49216" s="36" t="s">
        <v>48</v>
      </c>
    </row>
    <row r="49217">
      <c r="H49217" s="50"/>
      <c r="I49217" s="50"/>
      <c r="O49217" s="36" t="s">
        <v>48</v>
      </c>
      <c r="R49217" s="36" t="s">
        <v>48</v>
      </c>
    </row>
    <row r="49218">
      <c r="H49218" s="50"/>
      <c r="I49218" s="50"/>
      <c r="O49218" s="36" t="s">
        <v>48</v>
      </c>
      <c r="R49218" s="36" t="s">
        <v>48</v>
      </c>
    </row>
    <row r="49219">
      <c r="H49219" s="50"/>
      <c r="I49219" s="50"/>
      <c r="O49219" s="36" t="s">
        <v>48</v>
      </c>
      <c r="R49219" s="36" t="s">
        <v>48</v>
      </c>
    </row>
    <row r="49220">
      <c r="H49220" s="50"/>
      <c r="I49220" s="50"/>
      <c r="O49220" s="36" t="s">
        <v>48</v>
      </c>
      <c r="R49220" s="36" t="s">
        <v>48</v>
      </c>
    </row>
    <row r="49221">
      <c r="H49221" s="50"/>
      <c r="I49221" s="50"/>
      <c r="O49221" s="36" t="s">
        <v>48</v>
      </c>
      <c r="R49221" s="36" t="s">
        <v>48</v>
      </c>
    </row>
    <row r="49222">
      <c r="H49222" s="50"/>
      <c r="I49222" s="50"/>
      <c r="O49222" s="36" t="s">
        <v>48</v>
      </c>
      <c r="R49222" s="36" t="s">
        <v>48</v>
      </c>
    </row>
    <row r="49223">
      <c r="H49223" s="50"/>
      <c r="I49223" s="50"/>
      <c r="O49223" s="36" t="s">
        <v>48</v>
      </c>
      <c r="R49223" s="36" t="s">
        <v>48</v>
      </c>
    </row>
    <row r="49224">
      <c r="H49224" s="50"/>
      <c r="I49224" s="50"/>
      <c r="O49224" s="36" t="s">
        <v>48</v>
      </c>
      <c r="R49224" s="36" t="s">
        <v>48</v>
      </c>
    </row>
    <row r="49225">
      <c r="H49225" s="50"/>
      <c r="I49225" s="50"/>
      <c r="O49225" s="36" t="s">
        <v>48</v>
      </c>
      <c r="R49225" s="36" t="s">
        <v>48</v>
      </c>
    </row>
    <row r="49226">
      <c r="H49226" s="50"/>
      <c r="I49226" s="50"/>
      <c r="O49226" s="36" t="s">
        <v>48</v>
      </c>
      <c r="R49226" s="36" t="s">
        <v>48</v>
      </c>
    </row>
    <row r="49227">
      <c r="H49227" s="50"/>
      <c r="I49227" s="50"/>
      <c r="O49227" s="36" t="s">
        <v>48</v>
      </c>
      <c r="R49227" s="36" t="s">
        <v>48</v>
      </c>
    </row>
    <row r="49228">
      <c r="H49228" s="50"/>
      <c r="I49228" s="50"/>
      <c r="O49228" s="36" t="s">
        <v>48</v>
      </c>
      <c r="R49228" s="36" t="s">
        <v>48</v>
      </c>
    </row>
    <row r="49229">
      <c r="H49229" s="50"/>
      <c r="I49229" s="50"/>
      <c r="O49229" s="36" t="s">
        <v>48</v>
      </c>
      <c r="R49229" s="36" t="s">
        <v>48</v>
      </c>
    </row>
    <row r="49230">
      <c r="H49230" s="50"/>
      <c r="I49230" s="50"/>
      <c r="O49230" s="36" t="s">
        <v>48</v>
      </c>
      <c r="R49230" s="36" t="s">
        <v>48</v>
      </c>
    </row>
    <row r="49231">
      <c r="H49231" s="50"/>
      <c r="I49231" s="50"/>
      <c r="O49231" s="36" t="s">
        <v>48</v>
      </c>
      <c r="R49231" s="36" t="s">
        <v>48</v>
      </c>
    </row>
    <row r="49232">
      <c r="H49232" s="50"/>
      <c r="I49232" s="50"/>
      <c r="O49232" s="36" t="s">
        <v>48</v>
      </c>
      <c r="R49232" s="36" t="s">
        <v>48</v>
      </c>
    </row>
    <row r="49233">
      <c r="H49233" s="50"/>
      <c r="I49233" s="50"/>
      <c r="O49233" s="36" t="s">
        <v>48</v>
      </c>
      <c r="R49233" s="36" t="s">
        <v>48</v>
      </c>
    </row>
    <row r="49234">
      <c r="H49234" s="50"/>
      <c r="I49234" s="50"/>
      <c r="O49234" s="36" t="s">
        <v>48</v>
      </c>
      <c r="R49234" s="36" t="s">
        <v>48</v>
      </c>
    </row>
    <row r="49235">
      <c r="H49235" s="50"/>
      <c r="I49235" s="50"/>
      <c r="O49235" s="36" t="s">
        <v>48</v>
      </c>
      <c r="R49235" s="36" t="s">
        <v>48</v>
      </c>
    </row>
    <row r="49236">
      <c r="H49236" s="50"/>
      <c r="I49236" s="50"/>
      <c r="O49236" s="36" t="s">
        <v>48</v>
      </c>
      <c r="R49236" s="36" t="s">
        <v>48</v>
      </c>
    </row>
    <row r="49237">
      <c r="H49237" s="50"/>
      <c r="I49237" s="50"/>
      <c r="O49237" s="36" t="s">
        <v>48</v>
      </c>
      <c r="R49237" s="36" t="s">
        <v>48</v>
      </c>
    </row>
    <row r="49238">
      <c r="H49238" s="50"/>
      <c r="I49238" s="50"/>
      <c r="O49238" s="36" t="s">
        <v>48</v>
      </c>
      <c r="R49238" s="36" t="s">
        <v>48</v>
      </c>
    </row>
    <row r="49239">
      <c r="H49239" s="50"/>
      <c r="I49239" s="50"/>
      <c r="O49239" s="36" t="s">
        <v>48</v>
      </c>
      <c r="R49239" s="36" t="s">
        <v>48</v>
      </c>
    </row>
    <row r="49240">
      <c r="H49240" s="50"/>
      <c r="I49240" s="50"/>
      <c r="O49240" s="36" t="s">
        <v>48</v>
      </c>
      <c r="R49240" s="36" t="s">
        <v>48</v>
      </c>
    </row>
    <row r="49241">
      <c r="H49241" s="50"/>
      <c r="I49241" s="50"/>
      <c r="O49241" s="36" t="s">
        <v>48</v>
      </c>
      <c r="R49241" s="36" t="s">
        <v>48</v>
      </c>
    </row>
    <row r="49242">
      <c r="H49242" s="50"/>
      <c r="I49242" s="50"/>
      <c r="O49242" s="36" t="s">
        <v>48</v>
      </c>
      <c r="R49242" s="36" t="s">
        <v>48</v>
      </c>
    </row>
    <row r="49243">
      <c r="H49243" s="50"/>
      <c r="I49243" s="50"/>
      <c r="O49243" s="36" t="s">
        <v>48</v>
      </c>
      <c r="R49243" s="36" t="s">
        <v>48</v>
      </c>
    </row>
    <row r="49244">
      <c r="H49244" s="50"/>
      <c r="I49244" s="50"/>
      <c r="O49244" s="36" t="s">
        <v>48</v>
      </c>
      <c r="R49244" s="36" t="s">
        <v>48</v>
      </c>
    </row>
    <row r="49245">
      <c r="H49245" s="50"/>
      <c r="I49245" s="50"/>
      <c r="O49245" s="36" t="s">
        <v>48</v>
      </c>
      <c r="R49245" s="36" t="s">
        <v>48</v>
      </c>
    </row>
    <row r="49246">
      <c r="H49246" s="50"/>
      <c r="I49246" s="50"/>
      <c r="O49246" s="36" t="s">
        <v>48</v>
      </c>
      <c r="R49246" s="36" t="s">
        <v>48</v>
      </c>
    </row>
    <row r="49247">
      <c r="H49247" s="50"/>
      <c r="I49247" s="50"/>
      <c r="O49247" s="36" t="s">
        <v>48</v>
      </c>
      <c r="R49247" s="36" t="s">
        <v>48</v>
      </c>
    </row>
    <row r="49248">
      <c r="H49248" s="50"/>
      <c r="I49248" s="50"/>
      <c r="O49248" s="36" t="s">
        <v>48</v>
      </c>
      <c r="R49248" s="36" t="s">
        <v>48</v>
      </c>
    </row>
    <row r="49249">
      <c r="H49249" s="50"/>
      <c r="I49249" s="50"/>
      <c r="O49249" s="36" t="s">
        <v>48</v>
      </c>
      <c r="R49249" s="36" t="s">
        <v>48</v>
      </c>
    </row>
    <row r="49250">
      <c r="H49250" s="50"/>
      <c r="I49250" s="50"/>
      <c r="O49250" s="36" t="s">
        <v>48</v>
      </c>
      <c r="R49250" s="36" t="s">
        <v>48</v>
      </c>
    </row>
    <row r="49251">
      <c r="H49251" s="50"/>
      <c r="I49251" s="50"/>
      <c r="O49251" s="36" t="s">
        <v>48</v>
      </c>
      <c r="R49251" s="36" t="s">
        <v>48</v>
      </c>
    </row>
    <row r="49252">
      <c r="H49252" s="50"/>
      <c r="I49252" s="50"/>
      <c r="O49252" s="36" t="s">
        <v>48</v>
      </c>
      <c r="R49252" s="36" t="s">
        <v>48</v>
      </c>
    </row>
    <row r="49253">
      <c r="H49253" s="50"/>
      <c r="I49253" s="50"/>
      <c r="O49253" s="36" t="s">
        <v>48</v>
      </c>
      <c r="R49253" s="36" t="s">
        <v>48</v>
      </c>
    </row>
    <row r="49254">
      <c r="H49254" s="50"/>
      <c r="I49254" s="50"/>
      <c r="O49254" s="36" t="s">
        <v>48</v>
      </c>
      <c r="R49254" s="36" t="s">
        <v>48</v>
      </c>
    </row>
    <row r="49255">
      <c r="H49255" s="50"/>
      <c r="I49255" s="50"/>
      <c r="O49255" s="36" t="s">
        <v>48</v>
      </c>
      <c r="R49255" s="36" t="s">
        <v>48</v>
      </c>
    </row>
    <row r="49256">
      <c r="H49256" s="50"/>
      <c r="I49256" s="50"/>
      <c r="O49256" s="36" t="s">
        <v>48</v>
      </c>
      <c r="R49256" s="36" t="s">
        <v>48</v>
      </c>
    </row>
    <row r="49257">
      <c r="H49257" s="50"/>
      <c r="I49257" s="50"/>
      <c r="O49257" s="36" t="s">
        <v>48</v>
      </c>
      <c r="R49257" s="36" t="s">
        <v>48</v>
      </c>
    </row>
    <row r="49258">
      <c r="H49258" s="50"/>
      <c r="I49258" s="50"/>
      <c r="O49258" s="36" t="s">
        <v>48</v>
      </c>
      <c r="R49258" s="36" t="s">
        <v>48</v>
      </c>
    </row>
    <row r="49259">
      <c r="H49259" s="50"/>
      <c r="I49259" s="50"/>
      <c r="O49259" s="36" t="s">
        <v>48</v>
      </c>
      <c r="R49259" s="36" t="s">
        <v>48</v>
      </c>
    </row>
    <row r="49260">
      <c r="H49260" s="50"/>
      <c r="I49260" s="50"/>
      <c r="O49260" s="36" t="s">
        <v>48</v>
      </c>
      <c r="R49260" s="36" t="s">
        <v>48</v>
      </c>
    </row>
    <row r="49261">
      <c r="H49261" s="50"/>
      <c r="I49261" s="50"/>
      <c r="O49261" s="36" t="s">
        <v>48</v>
      </c>
      <c r="R49261" s="36" t="s">
        <v>48</v>
      </c>
    </row>
    <row r="49262">
      <c r="H49262" s="50"/>
      <c r="I49262" s="50"/>
      <c r="O49262" s="36" t="s">
        <v>48</v>
      </c>
      <c r="R49262" s="36" t="s">
        <v>48</v>
      </c>
    </row>
    <row r="49263">
      <c r="H49263" s="50"/>
      <c r="I49263" s="50"/>
      <c r="O49263" s="36" t="s">
        <v>48</v>
      </c>
      <c r="R49263" s="36" t="s">
        <v>48</v>
      </c>
    </row>
    <row r="49264">
      <c r="H49264" s="50"/>
      <c r="I49264" s="50"/>
      <c r="O49264" s="36" t="s">
        <v>48</v>
      </c>
      <c r="R49264" s="36" t="s">
        <v>48</v>
      </c>
    </row>
    <row r="49265">
      <c r="H49265" s="50"/>
      <c r="I49265" s="50"/>
      <c r="O49265" s="36" t="s">
        <v>48</v>
      </c>
      <c r="R49265" s="36" t="s">
        <v>48</v>
      </c>
    </row>
    <row r="49266">
      <c r="H49266" s="50"/>
      <c r="I49266" s="50"/>
      <c r="O49266" s="36" t="s">
        <v>48</v>
      </c>
      <c r="R49266" s="36" t="s">
        <v>48</v>
      </c>
    </row>
    <row r="49267">
      <c r="H49267" s="50"/>
      <c r="I49267" s="50"/>
      <c r="O49267" s="36" t="s">
        <v>48</v>
      </c>
      <c r="R49267" s="36" t="s">
        <v>48</v>
      </c>
    </row>
    <row r="49268">
      <c r="H49268" s="50"/>
      <c r="I49268" s="50"/>
      <c r="O49268" s="36" t="s">
        <v>48</v>
      </c>
      <c r="R49268" s="36" t="s">
        <v>48</v>
      </c>
    </row>
    <row r="49269">
      <c r="H49269" s="50"/>
      <c r="I49269" s="50"/>
      <c r="O49269" s="36" t="s">
        <v>48</v>
      </c>
      <c r="R49269" s="36" t="s">
        <v>48</v>
      </c>
    </row>
    <row r="49270">
      <c r="H49270" s="50"/>
      <c r="I49270" s="50"/>
      <c r="O49270" s="36" t="s">
        <v>48</v>
      </c>
      <c r="R49270" s="36" t="s">
        <v>48</v>
      </c>
    </row>
    <row r="49271">
      <c r="H49271" s="50"/>
      <c r="I49271" s="50"/>
      <c r="O49271" s="36" t="s">
        <v>48</v>
      </c>
      <c r="R49271" s="36" t="s">
        <v>48</v>
      </c>
    </row>
    <row r="49272">
      <c r="H49272" s="50"/>
      <c r="I49272" s="50"/>
      <c r="O49272" s="36" t="s">
        <v>48</v>
      </c>
      <c r="R49272" s="36" t="s">
        <v>48</v>
      </c>
    </row>
    <row r="49273">
      <c r="H49273" s="50"/>
      <c r="I49273" s="50"/>
      <c r="O49273" s="36" t="s">
        <v>48</v>
      </c>
      <c r="R49273" s="36" t="s">
        <v>48</v>
      </c>
    </row>
    <row r="49274">
      <c r="H49274" s="50"/>
      <c r="I49274" s="50"/>
      <c r="O49274" s="36" t="s">
        <v>48</v>
      </c>
      <c r="R49274" s="36" t="s">
        <v>48</v>
      </c>
    </row>
    <row r="49275">
      <c r="H49275" s="50"/>
      <c r="I49275" s="50"/>
      <c r="O49275" s="36" t="s">
        <v>48</v>
      </c>
      <c r="R49275" s="36" t="s">
        <v>48</v>
      </c>
    </row>
    <row r="49276">
      <c r="H49276" s="50"/>
      <c r="I49276" s="50"/>
      <c r="O49276" s="36" t="s">
        <v>48</v>
      </c>
      <c r="R49276" s="36" t="s">
        <v>48</v>
      </c>
    </row>
    <row r="49277">
      <c r="H49277" s="50"/>
      <c r="I49277" s="50"/>
      <c r="O49277" s="36" t="s">
        <v>48</v>
      </c>
      <c r="R49277" s="36" t="s">
        <v>48</v>
      </c>
    </row>
    <row r="49278">
      <c r="H49278" s="50"/>
      <c r="I49278" s="50"/>
      <c r="O49278" s="36" t="s">
        <v>48</v>
      </c>
      <c r="R49278" s="36" t="s">
        <v>48</v>
      </c>
    </row>
    <row r="49279">
      <c r="H49279" s="50"/>
      <c r="I49279" s="50"/>
      <c r="O49279" s="36" t="s">
        <v>48</v>
      </c>
      <c r="R49279" s="36" t="s">
        <v>48</v>
      </c>
    </row>
    <row r="49280">
      <c r="H49280" s="50"/>
      <c r="I49280" s="50"/>
      <c r="O49280" s="36" t="s">
        <v>48</v>
      </c>
      <c r="R49280" s="36" t="s">
        <v>48</v>
      </c>
    </row>
    <row r="49281">
      <c r="H49281" s="50"/>
      <c r="I49281" s="50"/>
      <c r="O49281" s="36" t="s">
        <v>48</v>
      </c>
      <c r="R49281" s="36" t="s">
        <v>48</v>
      </c>
    </row>
    <row r="49282">
      <c r="H49282" s="50"/>
      <c r="I49282" s="50"/>
      <c r="O49282" s="36" t="s">
        <v>48</v>
      </c>
      <c r="R49282" s="36" t="s">
        <v>48</v>
      </c>
    </row>
    <row r="49283">
      <c r="H49283" s="50"/>
      <c r="I49283" s="50"/>
      <c r="O49283" s="36" t="s">
        <v>48</v>
      </c>
      <c r="R49283" s="36" t="s">
        <v>48</v>
      </c>
    </row>
    <row r="49284">
      <c r="H49284" s="50"/>
      <c r="I49284" s="50"/>
      <c r="O49284" s="36" t="s">
        <v>48</v>
      </c>
      <c r="R49284" s="36" t="s">
        <v>48</v>
      </c>
    </row>
    <row r="49285">
      <c r="H49285" s="50"/>
      <c r="I49285" s="50"/>
      <c r="O49285" s="36" t="s">
        <v>48</v>
      </c>
      <c r="R49285" s="36" t="s">
        <v>48</v>
      </c>
    </row>
    <row r="49286">
      <c r="H49286" s="50"/>
      <c r="I49286" s="50"/>
      <c r="O49286" s="36" t="s">
        <v>48</v>
      </c>
      <c r="R49286" s="36" t="s">
        <v>48</v>
      </c>
    </row>
    <row r="49287">
      <c r="H49287" s="50"/>
      <c r="I49287" s="50"/>
      <c r="O49287" s="36" t="s">
        <v>48</v>
      </c>
      <c r="R49287" s="36" t="s">
        <v>48</v>
      </c>
    </row>
    <row r="49288">
      <c r="H49288" s="50"/>
      <c r="I49288" s="50"/>
      <c r="O49288" s="36" t="s">
        <v>48</v>
      </c>
      <c r="R49288" s="36" t="s">
        <v>48</v>
      </c>
    </row>
    <row r="49289">
      <c r="H49289" s="50"/>
      <c r="I49289" s="50"/>
      <c r="O49289" s="36" t="s">
        <v>48</v>
      </c>
      <c r="R49289" s="36" t="s">
        <v>48</v>
      </c>
    </row>
    <row r="49290">
      <c r="H49290" s="50"/>
      <c r="I49290" s="50"/>
      <c r="O49290" s="36" t="s">
        <v>48</v>
      </c>
      <c r="R49290" s="36" t="s">
        <v>48</v>
      </c>
    </row>
    <row r="49291">
      <c r="H49291" s="50"/>
      <c r="I49291" s="50"/>
      <c r="O49291" s="36" t="s">
        <v>48</v>
      </c>
      <c r="R49291" s="36" t="s">
        <v>48</v>
      </c>
    </row>
    <row r="49292">
      <c r="H49292" s="50"/>
      <c r="I49292" s="50"/>
      <c r="O49292" s="36" t="s">
        <v>48</v>
      </c>
      <c r="R49292" s="36" t="s">
        <v>48</v>
      </c>
    </row>
    <row r="49293">
      <c r="H49293" s="50"/>
      <c r="I49293" s="50"/>
      <c r="O49293" s="36" t="s">
        <v>48</v>
      </c>
      <c r="R49293" s="36" t="s">
        <v>48</v>
      </c>
    </row>
    <row r="49294">
      <c r="H49294" s="50"/>
      <c r="I49294" s="50"/>
      <c r="O49294" s="36" t="s">
        <v>48</v>
      </c>
      <c r="R49294" s="36" t="s">
        <v>48</v>
      </c>
    </row>
    <row r="49295">
      <c r="H49295" s="50"/>
      <c r="I49295" s="50"/>
      <c r="O49295" s="36" t="s">
        <v>48</v>
      </c>
      <c r="R49295" s="36" t="s">
        <v>48</v>
      </c>
    </row>
    <row r="49296">
      <c r="H49296" s="50"/>
      <c r="I49296" s="50"/>
      <c r="O49296" s="36" t="s">
        <v>48</v>
      </c>
      <c r="R49296" s="36" t="s">
        <v>48</v>
      </c>
    </row>
    <row r="49297">
      <c r="H49297" s="50"/>
      <c r="I49297" s="50"/>
      <c r="O49297" s="36" t="s">
        <v>48</v>
      </c>
      <c r="R49297" s="36" t="s">
        <v>48</v>
      </c>
    </row>
    <row r="49298">
      <c r="H49298" s="50"/>
      <c r="I49298" s="50"/>
      <c r="O49298" s="36" t="s">
        <v>48</v>
      </c>
      <c r="R49298" s="36" t="s">
        <v>48</v>
      </c>
    </row>
    <row r="49299">
      <c r="H49299" s="50"/>
      <c r="I49299" s="50"/>
      <c r="O49299" s="36" t="s">
        <v>48</v>
      </c>
      <c r="R49299" s="36" t="s">
        <v>48</v>
      </c>
    </row>
    <row r="49300">
      <c r="H49300" s="50"/>
      <c r="I49300" s="50"/>
      <c r="O49300" s="36" t="s">
        <v>48</v>
      </c>
      <c r="R49300" s="36" t="s">
        <v>48</v>
      </c>
    </row>
    <row r="49301">
      <c r="H49301" s="50"/>
      <c r="I49301" s="50"/>
      <c r="O49301" s="36" t="s">
        <v>48</v>
      </c>
      <c r="R49301" s="36" t="s">
        <v>48</v>
      </c>
    </row>
    <row r="49302">
      <c r="H49302" s="50"/>
      <c r="I49302" s="50"/>
      <c r="O49302" s="36" t="s">
        <v>48</v>
      </c>
      <c r="R49302" s="36" t="s">
        <v>48</v>
      </c>
    </row>
    <row r="49303">
      <c r="H49303" s="50"/>
      <c r="I49303" s="50"/>
      <c r="O49303" s="36" t="s">
        <v>48</v>
      </c>
      <c r="R49303" s="36" t="s">
        <v>48</v>
      </c>
    </row>
    <row r="49304">
      <c r="H49304" s="50"/>
      <c r="I49304" s="50"/>
      <c r="O49304" s="36" t="s">
        <v>48</v>
      </c>
      <c r="R49304" s="36" t="s">
        <v>48</v>
      </c>
    </row>
    <row r="49305">
      <c r="H49305" s="50"/>
      <c r="I49305" s="50"/>
      <c r="O49305" s="36" t="s">
        <v>48</v>
      </c>
      <c r="R49305" s="36" t="s">
        <v>48</v>
      </c>
    </row>
    <row r="49306">
      <c r="H49306" s="50"/>
      <c r="I49306" s="50"/>
      <c r="O49306" s="36" t="s">
        <v>48</v>
      </c>
      <c r="R49306" s="36" t="s">
        <v>48</v>
      </c>
    </row>
    <row r="49307">
      <c r="H49307" s="50"/>
      <c r="I49307" s="50"/>
      <c r="O49307" s="36" t="s">
        <v>48</v>
      </c>
      <c r="R49307" s="36" t="s">
        <v>48</v>
      </c>
    </row>
    <row r="49308">
      <c r="H49308" s="50"/>
      <c r="I49308" s="50"/>
      <c r="O49308" s="36" t="s">
        <v>48</v>
      </c>
      <c r="R49308" s="36" t="s">
        <v>48</v>
      </c>
    </row>
    <row r="49309">
      <c r="H49309" s="50"/>
      <c r="I49309" s="50"/>
      <c r="O49309" s="36" t="s">
        <v>48</v>
      </c>
      <c r="R49309" s="36" t="s">
        <v>48</v>
      </c>
    </row>
    <row r="49310">
      <c r="H49310" s="50"/>
      <c r="I49310" s="50"/>
      <c r="O49310" s="36" t="s">
        <v>48</v>
      </c>
      <c r="R49310" s="36" t="s">
        <v>48</v>
      </c>
    </row>
    <row r="49311">
      <c r="H49311" s="50"/>
      <c r="I49311" s="50"/>
      <c r="O49311" s="36" t="s">
        <v>48</v>
      </c>
      <c r="R49311" s="36" t="s">
        <v>48</v>
      </c>
    </row>
    <row r="49312">
      <c r="H49312" s="50"/>
      <c r="I49312" s="50"/>
      <c r="O49312" s="36" t="s">
        <v>48</v>
      </c>
      <c r="R49312" s="36" t="s">
        <v>48</v>
      </c>
    </row>
    <row r="49313">
      <c r="H49313" s="50"/>
      <c r="I49313" s="50"/>
      <c r="O49313" s="36" t="s">
        <v>48</v>
      </c>
      <c r="R49313" s="36" t="s">
        <v>48</v>
      </c>
    </row>
    <row r="49314">
      <c r="H49314" s="50"/>
      <c r="I49314" s="50"/>
      <c r="O49314" s="36" t="s">
        <v>48</v>
      </c>
      <c r="R49314" s="36" t="s">
        <v>48</v>
      </c>
    </row>
    <row r="49315">
      <c r="H49315" s="50"/>
      <c r="I49315" s="50"/>
      <c r="O49315" s="36" t="s">
        <v>48</v>
      </c>
      <c r="R49315" s="36" t="s">
        <v>48</v>
      </c>
    </row>
    <row r="49316">
      <c r="H49316" s="50"/>
      <c r="I49316" s="50"/>
      <c r="O49316" s="36" t="s">
        <v>48</v>
      </c>
      <c r="R49316" s="36" t="s">
        <v>48</v>
      </c>
    </row>
    <row r="49317">
      <c r="H49317" s="50"/>
      <c r="I49317" s="50"/>
      <c r="O49317" s="36" t="s">
        <v>48</v>
      </c>
      <c r="R49317" s="36" t="s">
        <v>48</v>
      </c>
    </row>
    <row r="49318">
      <c r="H49318" s="50"/>
      <c r="I49318" s="50"/>
      <c r="O49318" s="36" t="s">
        <v>48</v>
      </c>
      <c r="R49318" s="36" t="s">
        <v>48</v>
      </c>
    </row>
    <row r="49319">
      <c r="H49319" s="50"/>
      <c r="I49319" s="50"/>
      <c r="O49319" s="36" t="s">
        <v>48</v>
      </c>
      <c r="R49319" s="36" t="s">
        <v>48</v>
      </c>
    </row>
    <row r="49320">
      <c r="H49320" s="50"/>
      <c r="I49320" s="50"/>
      <c r="O49320" s="36" t="s">
        <v>48</v>
      </c>
      <c r="R49320" s="36" t="s">
        <v>48</v>
      </c>
    </row>
    <row r="49321">
      <c r="H49321" s="50"/>
      <c r="I49321" s="50"/>
      <c r="O49321" s="36" t="s">
        <v>48</v>
      </c>
      <c r="R49321" s="36" t="s">
        <v>48</v>
      </c>
    </row>
    <row r="49322">
      <c r="H49322" s="50"/>
      <c r="I49322" s="50"/>
      <c r="O49322" s="36" t="s">
        <v>48</v>
      </c>
      <c r="R49322" s="36" t="s">
        <v>48</v>
      </c>
    </row>
    <row r="49323">
      <c r="H49323" s="50"/>
      <c r="I49323" s="50"/>
      <c r="O49323" s="36" t="s">
        <v>48</v>
      </c>
      <c r="R49323" s="36" t="s">
        <v>48</v>
      </c>
    </row>
    <row r="49324">
      <c r="H49324" s="50"/>
      <c r="I49324" s="50"/>
      <c r="O49324" s="36" t="s">
        <v>48</v>
      </c>
      <c r="R49324" s="36" t="s">
        <v>48</v>
      </c>
    </row>
    <row r="49325">
      <c r="H49325" s="50"/>
      <c r="I49325" s="50"/>
      <c r="O49325" s="36" t="s">
        <v>48</v>
      </c>
      <c r="R49325" s="36" t="s">
        <v>48</v>
      </c>
    </row>
    <row r="49326">
      <c r="H49326" s="50"/>
      <c r="I49326" s="50"/>
      <c r="O49326" s="36" t="s">
        <v>48</v>
      </c>
      <c r="R49326" s="36" t="s">
        <v>48</v>
      </c>
    </row>
    <row r="49327">
      <c r="H49327" s="50"/>
      <c r="I49327" s="50"/>
      <c r="O49327" s="36" t="s">
        <v>48</v>
      </c>
      <c r="R49327" s="36" t="s">
        <v>48</v>
      </c>
    </row>
    <row r="49328">
      <c r="H49328" s="50"/>
      <c r="I49328" s="50"/>
      <c r="O49328" s="36" t="s">
        <v>48</v>
      </c>
      <c r="R49328" s="36" t="s">
        <v>48</v>
      </c>
    </row>
    <row r="49329">
      <c r="H49329" s="50"/>
      <c r="I49329" s="50"/>
      <c r="O49329" s="36" t="s">
        <v>48</v>
      </c>
      <c r="R49329" s="36" t="s">
        <v>48</v>
      </c>
    </row>
    <row r="49330">
      <c r="H49330" s="50"/>
      <c r="I49330" s="50"/>
      <c r="O49330" s="36" t="s">
        <v>48</v>
      </c>
      <c r="R49330" s="36" t="s">
        <v>48</v>
      </c>
    </row>
    <row r="49331">
      <c r="H49331" s="50"/>
      <c r="I49331" s="50"/>
      <c r="O49331" s="36" t="s">
        <v>48</v>
      </c>
      <c r="R49331" s="36" t="s">
        <v>48</v>
      </c>
    </row>
    <row r="49332">
      <c r="H49332" s="50"/>
      <c r="I49332" s="50"/>
      <c r="O49332" s="36" t="s">
        <v>48</v>
      </c>
      <c r="R49332" s="36" t="s">
        <v>48</v>
      </c>
    </row>
    <row r="49333">
      <c r="H49333" s="50"/>
      <c r="I49333" s="50"/>
      <c r="O49333" s="36" t="s">
        <v>48</v>
      </c>
      <c r="R49333" s="36" t="s">
        <v>48</v>
      </c>
    </row>
    <row r="49334">
      <c r="H49334" s="50"/>
      <c r="I49334" s="50"/>
      <c r="O49334" s="36" t="s">
        <v>48</v>
      </c>
      <c r="R49334" s="36" t="s">
        <v>48</v>
      </c>
    </row>
    <row r="49335">
      <c r="H49335" s="50"/>
      <c r="I49335" s="50"/>
      <c r="O49335" s="36" t="s">
        <v>48</v>
      </c>
      <c r="R49335" s="36" t="s">
        <v>48</v>
      </c>
    </row>
    <row r="49336">
      <c r="H49336" s="50"/>
      <c r="I49336" s="50"/>
      <c r="O49336" s="36" t="s">
        <v>48</v>
      </c>
      <c r="R49336" s="36" t="s">
        <v>48</v>
      </c>
    </row>
    <row r="49337">
      <c r="H49337" s="50"/>
      <c r="I49337" s="50"/>
      <c r="O49337" s="36" t="s">
        <v>48</v>
      </c>
      <c r="R49337" s="36" t="s">
        <v>48</v>
      </c>
    </row>
    <row r="49338">
      <c r="H49338" s="50"/>
      <c r="I49338" s="50"/>
      <c r="O49338" s="36" t="s">
        <v>48</v>
      </c>
      <c r="R49338" s="36" t="s">
        <v>48</v>
      </c>
    </row>
    <row r="49339">
      <c r="H49339" s="50"/>
      <c r="I49339" s="50"/>
      <c r="O49339" s="36" t="s">
        <v>48</v>
      </c>
      <c r="R49339" s="36" t="s">
        <v>48</v>
      </c>
    </row>
    <row r="49340">
      <c r="H49340" s="50"/>
      <c r="I49340" s="50"/>
      <c r="O49340" s="36" t="s">
        <v>48</v>
      </c>
      <c r="R49340" s="36" t="s">
        <v>48</v>
      </c>
    </row>
    <row r="49341">
      <c r="H49341" s="50"/>
      <c r="I49341" s="50"/>
      <c r="O49341" s="36" t="s">
        <v>48</v>
      </c>
      <c r="R49341" s="36" t="s">
        <v>48</v>
      </c>
    </row>
    <row r="49342">
      <c r="H49342" s="50"/>
      <c r="I49342" s="50"/>
      <c r="O49342" s="36" t="s">
        <v>48</v>
      </c>
      <c r="R49342" s="36" t="s">
        <v>48</v>
      </c>
    </row>
    <row r="49343">
      <c r="H49343" s="50"/>
      <c r="I49343" s="50"/>
      <c r="O49343" s="36" t="s">
        <v>48</v>
      </c>
      <c r="R49343" s="36" t="s">
        <v>48</v>
      </c>
    </row>
    <row r="49344">
      <c r="H49344" s="50"/>
      <c r="I49344" s="50"/>
      <c r="O49344" s="36" t="s">
        <v>48</v>
      </c>
      <c r="R49344" s="36" t="s">
        <v>48</v>
      </c>
    </row>
    <row r="49345">
      <c r="H49345" s="50"/>
      <c r="I49345" s="50"/>
      <c r="O49345" s="36" t="s">
        <v>48</v>
      </c>
      <c r="R49345" s="36" t="s">
        <v>48</v>
      </c>
    </row>
    <row r="49346">
      <c r="H49346" s="50"/>
      <c r="I49346" s="50"/>
      <c r="O49346" s="36" t="s">
        <v>48</v>
      </c>
      <c r="R49346" s="36" t="s">
        <v>48</v>
      </c>
    </row>
    <row r="49347">
      <c r="H49347" s="50"/>
      <c r="I49347" s="50"/>
      <c r="O49347" s="36" t="s">
        <v>48</v>
      </c>
      <c r="R49347" s="36" t="s">
        <v>48</v>
      </c>
    </row>
    <row r="49348">
      <c r="H49348" s="50"/>
      <c r="I49348" s="50"/>
      <c r="O49348" s="36" t="s">
        <v>48</v>
      </c>
      <c r="R49348" s="36" t="s">
        <v>48</v>
      </c>
    </row>
    <row r="49349">
      <c r="H49349" s="50"/>
      <c r="I49349" s="50"/>
      <c r="O49349" s="36" t="s">
        <v>48</v>
      </c>
      <c r="R49349" s="36" t="s">
        <v>48</v>
      </c>
    </row>
    <row r="49350">
      <c r="H49350" s="50"/>
      <c r="I49350" s="50"/>
      <c r="O49350" s="36" t="s">
        <v>48</v>
      </c>
      <c r="R49350" s="36" t="s">
        <v>48</v>
      </c>
    </row>
    <row r="49351">
      <c r="H49351" s="50"/>
      <c r="I49351" s="50"/>
      <c r="O49351" s="36" t="s">
        <v>48</v>
      </c>
      <c r="R49351" s="36" t="s">
        <v>48</v>
      </c>
    </row>
    <row r="49352">
      <c r="H49352" s="50"/>
      <c r="I49352" s="50"/>
      <c r="O49352" s="36" t="s">
        <v>48</v>
      </c>
      <c r="R49352" s="36" t="s">
        <v>48</v>
      </c>
    </row>
    <row r="49353">
      <c r="H49353" s="50"/>
      <c r="I49353" s="50"/>
      <c r="O49353" s="36" t="s">
        <v>48</v>
      </c>
      <c r="R49353" s="36" t="s">
        <v>48</v>
      </c>
    </row>
    <row r="49354">
      <c r="H49354" s="50"/>
      <c r="I49354" s="50"/>
      <c r="O49354" s="36" t="s">
        <v>48</v>
      </c>
      <c r="R49354" s="36" t="s">
        <v>48</v>
      </c>
    </row>
    <row r="49355">
      <c r="H49355" s="50"/>
      <c r="I49355" s="50"/>
      <c r="O49355" s="36" t="s">
        <v>48</v>
      </c>
      <c r="R49355" s="36" t="s">
        <v>48</v>
      </c>
    </row>
    <row r="49356">
      <c r="H49356" s="50"/>
      <c r="I49356" s="50"/>
      <c r="O49356" s="36" t="s">
        <v>48</v>
      </c>
      <c r="R49356" s="36" t="s">
        <v>48</v>
      </c>
    </row>
    <row r="49357">
      <c r="H49357" s="50"/>
      <c r="I49357" s="50"/>
      <c r="O49357" s="36" t="s">
        <v>48</v>
      </c>
      <c r="R49357" s="36" t="s">
        <v>48</v>
      </c>
    </row>
    <row r="49358">
      <c r="H49358" s="50"/>
      <c r="I49358" s="50"/>
      <c r="O49358" s="36" t="s">
        <v>48</v>
      </c>
      <c r="R49358" s="36" t="s">
        <v>48</v>
      </c>
    </row>
    <row r="49359">
      <c r="H49359" s="50"/>
      <c r="I49359" s="50"/>
      <c r="O49359" s="36" t="s">
        <v>48</v>
      </c>
      <c r="R49359" s="36" t="s">
        <v>48</v>
      </c>
    </row>
    <row r="49360">
      <c r="H49360" s="50"/>
      <c r="I49360" s="50"/>
      <c r="O49360" s="36" t="s">
        <v>48</v>
      </c>
      <c r="R49360" s="36" t="s">
        <v>48</v>
      </c>
    </row>
    <row r="49361">
      <c r="H49361" s="50"/>
      <c r="I49361" s="50"/>
      <c r="O49361" s="36" t="s">
        <v>48</v>
      </c>
      <c r="R49361" s="36" t="s">
        <v>48</v>
      </c>
    </row>
    <row r="49362">
      <c r="H49362" s="50"/>
      <c r="I49362" s="50"/>
      <c r="O49362" s="36" t="s">
        <v>48</v>
      </c>
      <c r="R49362" s="36" t="s">
        <v>48</v>
      </c>
    </row>
    <row r="49363">
      <c r="H49363" s="50"/>
      <c r="I49363" s="50"/>
      <c r="O49363" s="36" t="s">
        <v>48</v>
      </c>
      <c r="R49363" s="36" t="s">
        <v>48</v>
      </c>
    </row>
    <row r="49364">
      <c r="H49364" s="50"/>
      <c r="I49364" s="50"/>
      <c r="O49364" s="36" t="s">
        <v>48</v>
      </c>
      <c r="R49364" s="36" t="s">
        <v>48</v>
      </c>
    </row>
    <row r="49365">
      <c r="H49365" s="50"/>
      <c r="I49365" s="50"/>
      <c r="O49365" s="36" t="s">
        <v>48</v>
      </c>
      <c r="R49365" s="36" t="s">
        <v>48</v>
      </c>
    </row>
    <row r="49366">
      <c r="H49366" s="50"/>
      <c r="I49366" s="50"/>
      <c r="O49366" s="36" t="s">
        <v>48</v>
      </c>
      <c r="R49366" s="36" t="s">
        <v>48</v>
      </c>
    </row>
    <row r="49367">
      <c r="H49367" s="50"/>
      <c r="I49367" s="50"/>
      <c r="O49367" s="36" t="s">
        <v>48</v>
      </c>
      <c r="R49367" s="36" t="s">
        <v>48</v>
      </c>
    </row>
    <row r="49368">
      <c r="H49368" s="50"/>
      <c r="I49368" s="50"/>
      <c r="O49368" s="36" t="s">
        <v>48</v>
      </c>
      <c r="R49368" s="36" t="s">
        <v>48</v>
      </c>
    </row>
    <row r="49369">
      <c r="H49369" s="50"/>
      <c r="I49369" s="50"/>
      <c r="O49369" s="36" t="s">
        <v>48</v>
      </c>
      <c r="R49369" s="36" t="s">
        <v>48</v>
      </c>
    </row>
    <row r="49370">
      <c r="H49370" s="50"/>
      <c r="I49370" s="50"/>
      <c r="O49370" s="36" t="s">
        <v>48</v>
      </c>
      <c r="R49370" s="36" t="s">
        <v>48</v>
      </c>
    </row>
    <row r="49371">
      <c r="H49371" s="50"/>
      <c r="I49371" s="50"/>
      <c r="O49371" s="36" t="s">
        <v>48</v>
      </c>
      <c r="R49371" s="36" t="s">
        <v>48</v>
      </c>
    </row>
    <row r="49372">
      <c r="H49372" s="50"/>
      <c r="I49372" s="50"/>
      <c r="O49372" s="36" t="s">
        <v>48</v>
      </c>
      <c r="R49372" s="36" t="s">
        <v>48</v>
      </c>
    </row>
    <row r="49373">
      <c r="H49373" s="50"/>
      <c r="I49373" s="50"/>
      <c r="O49373" s="36" t="s">
        <v>48</v>
      </c>
      <c r="R49373" s="36" t="s">
        <v>48</v>
      </c>
    </row>
    <row r="49374">
      <c r="H49374" s="50"/>
      <c r="I49374" s="50"/>
      <c r="O49374" s="36" t="s">
        <v>48</v>
      </c>
      <c r="R49374" s="36" t="s">
        <v>48</v>
      </c>
    </row>
    <row r="49375">
      <c r="H49375" s="50"/>
      <c r="I49375" s="50"/>
      <c r="O49375" s="36" t="s">
        <v>48</v>
      </c>
      <c r="R49375" s="36" t="s">
        <v>48</v>
      </c>
    </row>
    <row r="49376">
      <c r="H49376" s="50"/>
      <c r="I49376" s="50"/>
      <c r="O49376" s="36" t="s">
        <v>48</v>
      </c>
      <c r="R49376" s="36" t="s">
        <v>48</v>
      </c>
    </row>
    <row r="49377">
      <c r="H49377" s="50"/>
      <c r="I49377" s="50"/>
      <c r="O49377" s="36" t="s">
        <v>48</v>
      </c>
      <c r="R49377" s="36" t="s">
        <v>48</v>
      </c>
    </row>
    <row r="49378">
      <c r="H49378" s="50"/>
      <c r="I49378" s="50"/>
      <c r="O49378" s="36" t="s">
        <v>48</v>
      </c>
      <c r="R49378" s="36" t="s">
        <v>48</v>
      </c>
    </row>
    <row r="49379">
      <c r="H49379" s="50"/>
      <c r="I49379" s="50"/>
      <c r="O49379" s="36" t="s">
        <v>48</v>
      </c>
      <c r="R49379" s="36" t="s">
        <v>48</v>
      </c>
    </row>
    <row r="49380">
      <c r="H49380" s="50"/>
      <c r="I49380" s="50"/>
      <c r="O49380" s="36" t="s">
        <v>48</v>
      </c>
      <c r="R49380" s="36" t="s">
        <v>48</v>
      </c>
    </row>
    <row r="49381">
      <c r="H49381" s="50"/>
      <c r="I49381" s="50"/>
      <c r="O49381" s="36" t="s">
        <v>48</v>
      </c>
      <c r="R49381" s="36" t="s">
        <v>48</v>
      </c>
    </row>
    <row r="49382">
      <c r="H49382" s="50"/>
      <c r="I49382" s="50"/>
      <c r="O49382" s="36" t="s">
        <v>48</v>
      </c>
      <c r="R49382" s="36" t="s">
        <v>48</v>
      </c>
    </row>
    <row r="49383">
      <c r="H49383" s="50"/>
      <c r="I49383" s="50"/>
      <c r="O49383" s="36" t="s">
        <v>48</v>
      </c>
      <c r="R49383" s="36" t="s">
        <v>48</v>
      </c>
    </row>
    <row r="49384">
      <c r="H49384" s="50"/>
      <c r="I49384" s="50"/>
      <c r="O49384" s="36" t="s">
        <v>48</v>
      </c>
      <c r="R49384" s="36" t="s">
        <v>48</v>
      </c>
    </row>
    <row r="49385">
      <c r="H49385" s="50"/>
      <c r="I49385" s="50"/>
      <c r="O49385" s="36" t="s">
        <v>48</v>
      </c>
      <c r="R49385" s="36" t="s">
        <v>48</v>
      </c>
    </row>
    <row r="49386">
      <c r="H49386" s="50"/>
      <c r="I49386" s="50"/>
      <c r="O49386" s="36" t="s">
        <v>48</v>
      </c>
      <c r="R49386" s="36" t="s">
        <v>48</v>
      </c>
    </row>
    <row r="49387">
      <c r="H49387" s="50"/>
      <c r="I49387" s="50"/>
      <c r="O49387" s="36" t="s">
        <v>48</v>
      </c>
      <c r="R49387" s="36" t="s">
        <v>48</v>
      </c>
    </row>
    <row r="49388">
      <c r="H49388" s="50"/>
      <c r="I49388" s="50"/>
      <c r="O49388" s="36" t="s">
        <v>48</v>
      </c>
      <c r="R49388" s="36" t="s">
        <v>48</v>
      </c>
    </row>
    <row r="49389">
      <c r="H49389" s="50"/>
      <c r="I49389" s="50"/>
      <c r="O49389" s="36" t="s">
        <v>48</v>
      </c>
      <c r="R49389" s="36" t="s">
        <v>48</v>
      </c>
    </row>
    <row r="49390">
      <c r="H49390" s="50"/>
      <c r="I49390" s="50"/>
      <c r="O49390" s="36" t="s">
        <v>48</v>
      </c>
      <c r="R49390" s="36" t="s">
        <v>48</v>
      </c>
    </row>
    <row r="49391">
      <c r="H49391" s="50"/>
      <c r="I49391" s="50"/>
      <c r="O49391" s="36" t="s">
        <v>48</v>
      </c>
      <c r="R49391" s="36" t="s">
        <v>48</v>
      </c>
    </row>
    <row r="49392">
      <c r="H49392" s="50"/>
      <c r="I49392" s="50"/>
      <c r="O49392" s="36" t="s">
        <v>48</v>
      </c>
      <c r="R49392" s="36" t="s">
        <v>48</v>
      </c>
    </row>
    <row r="49393">
      <c r="H49393" s="50"/>
      <c r="I49393" s="50"/>
      <c r="O49393" s="36" t="s">
        <v>48</v>
      </c>
      <c r="R49393" s="36" t="s">
        <v>48</v>
      </c>
    </row>
    <row r="49394">
      <c r="H49394" s="50"/>
      <c r="I49394" s="50"/>
      <c r="O49394" s="36" t="s">
        <v>48</v>
      </c>
      <c r="R49394" s="36" t="s">
        <v>48</v>
      </c>
    </row>
    <row r="49395">
      <c r="H49395" s="50"/>
      <c r="I49395" s="50"/>
      <c r="O49395" s="36" t="s">
        <v>48</v>
      </c>
      <c r="R49395" s="36" t="s">
        <v>48</v>
      </c>
    </row>
    <row r="49396">
      <c r="H49396" s="50"/>
      <c r="I49396" s="50"/>
      <c r="O49396" s="36" t="s">
        <v>48</v>
      </c>
      <c r="R49396" s="36" t="s">
        <v>48</v>
      </c>
    </row>
    <row r="49397">
      <c r="H49397" s="50"/>
      <c r="I49397" s="50"/>
      <c r="O49397" s="36" t="s">
        <v>48</v>
      </c>
      <c r="R49397" s="36" t="s">
        <v>48</v>
      </c>
    </row>
    <row r="49398">
      <c r="H49398" s="50"/>
      <c r="I49398" s="50"/>
      <c r="O49398" s="36" t="s">
        <v>48</v>
      </c>
      <c r="R49398" s="36" t="s">
        <v>48</v>
      </c>
    </row>
    <row r="49399">
      <c r="H49399" s="50"/>
      <c r="I49399" s="50"/>
      <c r="O49399" s="36" t="s">
        <v>48</v>
      </c>
      <c r="R49399" s="36" t="s">
        <v>48</v>
      </c>
    </row>
    <row r="49400">
      <c r="H49400" s="50"/>
      <c r="I49400" s="50"/>
      <c r="O49400" s="36" t="s">
        <v>48</v>
      </c>
      <c r="R49400" s="36" t="s">
        <v>48</v>
      </c>
    </row>
    <row r="49401">
      <c r="H49401" s="50"/>
      <c r="I49401" s="50"/>
      <c r="O49401" s="36" t="s">
        <v>48</v>
      </c>
      <c r="R49401" s="36" t="s">
        <v>48</v>
      </c>
    </row>
    <row r="49402">
      <c r="H49402" s="50"/>
      <c r="I49402" s="50"/>
      <c r="O49402" s="36" t="s">
        <v>48</v>
      </c>
      <c r="R49402" s="36" t="s">
        <v>48</v>
      </c>
    </row>
    <row r="49403">
      <c r="H49403" s="50"/>
      <c r="I49403" s="50"/>
      <c r="O49403" s="36" t="s">
        <v>48</v>
      </c>
      <c r="R49403" s="36" t="s">
        <v>48</v>
      </c>
    </row>
    <row r="49404">
      <c r="H49404" s="50"/>
      <c r="I49404" s="50"/>
      <c r="O49404" s="36" t="s">
        <v>48</v>
      </c>
      <c r="R49404" s="36" t="s">
        <v>48</v>
      </c>
    </row>
    <row r="49405">
      <c r="H49405" s="50"/>
      <c r="I49405" s="50"/>
      <c r="O49405" s="36" t="s">
        <v>48</v>
      </c>
      <c r="R49405" s="36" t="s">
        <v>48</v>
      </c>
    </row>
    <row r="49406">
      <c r="H49406" s="50"/>
      <c r="I49406" s="50"/>
      <c r="O49406" s="36" t="s">
        <v>48</v>
      </c>
      <c r="R49406" s="36" t="s">
        <v>48</v>
      </c>
    </row>
    <row r="49407">
      <c r="H49407" s="50"/>
      <c r="I49407" s="50"/>
      <c r="O49407" s="36" t="s">
        <v>48</v>
      </c>
      <c r="R49407" s="36" t="s">
        <v>48</v>
      </c>
    </row>
    <row r="49408">
      <c r="H49408" s="50"/>
      <c r="I49408" s="50"/>
      <c r="O49408" s="36" t="s">
        <v>48</v>
      </c>
      <c r="R49408" s="36" t="s">
        <v>48</v>
      </c>
    </row>
    <row r="49409">
      <c r="H49409" s="50"/>
      <c r="I49409" s="50"/>
      <c r="O49409" s="36" t="s">
        <v>48</v>
      </c>
      <c r="R49409" s="36" t="s">
        <v>48</v>
      </c>
    </row>
    <row r="49410">
      <c r="H49410" s="50"/>
      <c r="I49410" s="50"/>
      <c r="O49410" s="36" t="s">
        <v>48</v>
      </c>
      <c r="R49410" s="36" t="s">
        <v>48</v>
      </c>
    </row>
    <row r="49411">
      <c r="H49411" s="50"/>
      <c r="I49411" s="50"/>
      <c r="O49411" s="36" t="s">
        <v>48</v>
      </c>
      <c r="R49411" s="36" t="s">
        <v>48</v>
      </c>
    </row>
    <row r="49412">
      <c r="H49412" s="50"/>
      <c r="I49412" s="50"/>
      <c r="O49412" s="36" t="s">
        <v>48</v>
      </c>
      <c r="R49412" s="36" t="s">
        <v>48</v>
      </c>
    </row>
    <row r="49413">
      <c r="H49413" s="50"/>
      <c r="I49413" s="50"/>
      <c r="O49413" s="36" t="s">
        <v>48</v>
      </c>
      <c r="R49413" s="36" t="s">
        <v>48</v>
      </c>
    </row>
    <row r="49414">
      <c r="H49414" s="50"/>
      <c r="I49414" s="50"/>
      <c r="O49414" s="36" t="s">
        <v>48</v>
      </c>
      <c r="R49414" s="36" t="s">
        <v>48</v>
      </c>
    </row>
    <row r="49415">
      <c r="H49415" s="50"/>
      <c r="I49415" s="50"/>
      <c r="O49415" s="36" t="s">
        <v>48</v>
      </c>
      <c r="R49415" s="36" t="s">
        <v>48</v>
      </c>
    </row>
    <row r="49416">
      <c r="H49416" s="50"/>
      <c r="I49416" s="50"/>
      <c r="O49416" s="36" t="s">
        <v>48</v>
      </c>
      <c r="R49416" s="36" t="s">
        <v>48</v>
      </c>
    </row>
    <row r="49417">
      <c r="H49417" s="50"/>
      <c r="I49417" s="50"/>
      <c r="O49417" s="36" t="s">
        <v>48</v>
      </c>
      <c r="R49417" s="36" t="s">
        <v>48</v>
      </c>
    </row>
    <row r="49418">
      <c r="H49418" s="50"/>
      <c r="I49418" s="50"/>
      <c r="O49418" s="36" t="s">
        <v>48</v>
      </c>
      <c r="R49418" s="36" t="s">
        <v>48</v>
      </c>
    </row>
    <row r="49419">
      <c r="H49419" s="50"/>
      <c r="I49419" s="50"/>
      <c r="O49419" s="36" t="s">
        <v>48</v>
      </c>
      <c r="R49419" s="36" t="s">
        <v>48</v>
      </c>
    </row>
    <row r="49420">
      <c r="H49420" s="50"/>
      <c r="I49420" s="50"/>
      <c r="O49420" s="36" t="s">
        <v>48</v>
      </c>
      <c r="R49420" s="36" t="s">
        <v>48</v>
      </c>
    </row>
    <row r="49421">
      <c r="H49421" s="50"/>
      <c r="I49421" s="50"/>
      <c r="O49421" s="36" t="s">
        <v>48</v>
      </c>
      <c r="R49421" s="36" t="s">
        <v>48</v>
      </c>
    </row>
    <row r="49422">
      <c r="H49422" s="50"/>
      <c r="I49422" s="50"/>
      <c r="O49422" s="36" t="s">
        <v>48</v>
      </c>
      <c r="R49422" s="36" t="s">
        <v>48</v>
      </c>
    </row>
    <row r="49423">
      <c r="H49423" s="50"/>
      <c r="I49423" s="50"/>
      <c r="O49423" s="36" t="s">
        <v>48</v>
      </c>
      <c r="R49423" s="36" t="s">
        <v>48</v>
      </c>
    </row>
    <row r="49424">
      <c r="H49424" s="50"/>
      <c r="I49424" s="50"/>
      <c r="O49424" s="36" t="s">
        <v>48</v>
      </c>
      <c r="R49424" s="36" t="s">
        <v>48</v>
      </c>
    </row>
    <row r="49425">
      <c r="H49425" s="50"/>
      <c r="I49425" s="50"/>
      <c r="O49425" s="36" t="s">
        <v>48</v>
      </c>
      <c r="R49425" s="36" t="s">
        <v>48</v>
      </c>
    </row>
    <row r="49426">
      <c r="H49426" s="50"/>
      <c r="I49426" s="50"/>
      <c r="O49426" s="36" t="s">
        <v>48</v>
      </c>
      <c r="R49426" s="36" t="s">
        <v>48</v>
      </c>
    </row>
    <row r="49427">
      <c r="H49427" s="50"/>
      <c r="I49427" s="50"/>
      <c r="O49427" s="36" t="s">
        <v>48</v>
      </c>
      <c r="R49427" s="36" t="s">
        <v>48</v>
      </c>
    </row>
    <row r="49428">
      <c r="H49428" s="50"/>
      <c r="I49428" s="50"/>
      <c r="O49428" s="36" t="s">
        <v>48</v>
      </c>
      <c r="R49428" s="36" t="s">
        <v>48</v>
      </c>
    </row>
    <row r="49429">
      <c r="H49429" s="50"/>
      <c r="I49429" s="50"/>
      <c r="O49429" s="36" t="s">
        <v>48</v>
      </c>
      <c r="R49429" s="36" t="s">
        <v>48</v>
      </c>
    </row>
    <row r="49430">
      <c r="H49430" s="50"/>
      <c r="I49430" s="50"/>
      <c r="O49430" s="36" t="s">
        <v>48</v>
      </c>
      <c r="R49430" s="36" t="s">
        <v>48</v>
      </c>
    </row>
    <row r="49431">
      <c r="H49431" s="50"/>
      <c r="I49431" s="50"/>
      <c r="O49431" s="36" t="s">
        <v>48</v>
      </c>
      <c r="R49431" s="36" t="s">
        <v>48</v>
      </c>
    </row>
    <row r="49432">
      <c r="H49432" s="50"/>
      <c r="I49432" s="50"/>
      <c r="O49432" s="36" t="s">
        <v>48</v>
      </c>
      <c r="R49432" s="36" t="s">
        <v>48</v>
      </c>
    </row>
    <row r="49433">
      <c r="H49433" s="50"/>
      <c r="I49433" s="50"/>
      <c r="O49433" s="36" t="s">
        <v>48</v>
      </c>
      <c r="R49433" s="36" t="s">
        <v>48</v>
      </c>
    </row>
    <row r="49434">
      <c r="H49434" s="50"/>
      <c r="I49434" s="50"/>
      <c r="O49434" s="36" t="s">
        <v>48</v>
      </c>
      <c r="R49434" s="36" t="s">
        <v>48</v>
      </c>
    </row>
    <row r="49435">
      <c r="H49435" s="50"/>
      <c r="I49435" s="50"/>
      <c r="O49435" s="36" t="s">
        <v>48</v>
      </c>
      <c r="R49435" s="36" t="s">
        <v>48</v>
      </c>
    </row>
    <row r="49436">
      <c r="H49436" s="50"/>
      <c r="I49436" s="50"/>
      <c r="O49436" s="36" t="s">
        <v>48</v>
      </c>
      <c r="R49436" s="36" t="s">
        <v>48</v>
      </c>
    </row>
    <row r="49437">
      <c r="H49437" s="50"/>
      <c r="I49437" s="50"/>
      <c r="O49437" s="36" t="s">
        <v>48</v>
      </c>
      <c r="R49437" s="36" t="s">
        <v>48</v>
      </c>
    </row>
    <row r="49438">
      <c r="H49438" s="50"/>
      <c r="I49438" s="50"/>
      <c r="O49438" s="36" t="s">
        <v>48</v>
      </c>
      <c r="R49438" s="36" t="s">
        <v>48</v>
      </c>
    </row>
    <row r="49439">
      <c r="H49439" s="50"/>
      <c r="I49439" s="50"/>
      <c r="O49439" s="36" t="s">
        <v>48</v>
      </c>
      <c r="R49439" s="36" t="s">
        <v>48</v>
      </c>
    </row>
    <row r="49440">
      <c r="H49440" s="50"/>
      <c r="I49440" s="50"/>
      <c r="O49440" s="36" t="s">
        <v>48</v>
      </c>
      <c r="R49440" s="36" t="s">
        <v>48</v>
      </c>
    </row>
    <row r="49441">
      <c r="H49441" s="50"/>
      <c r="I49441" s="50"/>
      <c r="O49441" s="36" t="s">
        <v>48</v>
      </c>
      <c r="R49441" s="36" t="s">
        <v>48</v>
      </c>
    </row>
    <row r="49442">
      <c r="H49442" s="50"/>
      <c r="I49442" s="50"/>
      <c r="O49442" s="36" t="s">
        <v>48</v>
      </c>
      <c r="R49442" s="36" t="s">
        <v>48</v>
      </c>
    </row>
    <row r="49443">
      <c r="H49443" s="50"/>
      <c r="I49443" s="50"/>
      <c r="O49443" s="36" t="s">
        <v>48</v>
      </c>
      <c r="R49443" s="36" t="s">
        <v>48</v>
      </c>
    </row>
    <row r="49444">
      <c r="H49444" s="50"/>
      <c r="I49444" s="50"/>
      <c r="O49444" s="36" t="s">
        <v>48</v>
      </c>
      <c r="R49444" s="36" t="s">
        <v>48</v>
      </c>
    </row>
    <row r="49445">
      <c r="H49445" s="50"/>
      <c r="I49445" s="50"/>
      <c r="O49445" s="36" t="s">
        <v>48</v>
      </c>
      <c r="R49445" s="36" t="s">
        <v>48</v>
      </c>
    </row>
    <row r="49446">
      <c r="H49446" s="50"/>
      <c r="I49446" s="50"/>
      <c r="O49446" s="36" t="s">
        <v>48</v>
      </c>
      <c r="R49446" s="36" t="s">
        <v>48</v>
      </c>
    </row>
    <row r="49447">
      <c r="H49447" s="50"/>
      <c r="I49447" s="50"/>
      <c r="O49447" s="36" t="s">
        <v>48</v>
      </c>
      <c r="R49447" s="36" t="s">
        <v>48</v>
      </c>
    </row>
    <row r="49448">
      <c r="H49448" s="50"/>
      <c r="I49448" s="50"/>
      <c r="O49448" s="36" t="s">
        <v>48</v>
      </c>
      <c r="R49448" s="36" t="s">
        <v>48</v>
      </c>
    </row>
    <row r="49449">
      <c r="H49449" s="50"/>
      <c r="I49449" s="50"/>
      <c r="O49449" s="36" t="s">
        <v>48</v>
      </c>
      <c r="R49449" s="36" t="s">
        <v>48</v>
      </c>
    </row>
    <row r="49450">
      <c r="H49450" s="50"/>
      <c r="I49450" s="50"/>
      <c r="O49450" s="36" t="s">
        <v>48</v>
      </c>
      <c r="R49450" s="36" t="s">
        <v>48</v>
      </c>
    </row>
    <row r="49451">
      <c r="H49451" s="50"/>
      <c r="I49451" s="50"/>
      <c r="O49451" s="36" t="s">
        <v>48</v>
      </c>
      <c r="R49451" s="36" t="s">
        <v>48</v>
      </c>
    </row>
    <row r="49452">
      <c r="H49452" s="50"/>
      <c r="I49452" s="50"/>
      <c r="O49452" s="36" t="s">
        <v>48</v>
      </c>
      <c r="R49452" s="36" t="s">
        <v>48</v>
      </c>
    </row>
    <row r="49453">
      <c r="H49453" s="50"/>
      <c r="I49453" s="50"/>
      <c r="O49453" s="36" t="s">
        <v>48</v>
      </c>
      <c r="R49453" s="36" t="s">
        <v>48</v>
      </c>
    </row>
    <row r="49454">
      <c r="H49454" s="50"/>
      <c r="I49454" s="50"/>
      <c r="O49454" s="36" t="s">
        <v>48</v>
      </c>
      <c r="R49454" s="36" t="s">
        <v>48</v>
      </c>
    </row>
    <row r="49455">
      <c r="H49455" s="50"/>
      <c r="I49455" s="50"/>
      <c r="O49455" s="36" t="s">
        <v>48</v>
      </c>
      <c r="R49455" s="36" t="s">
        <v>48</v>
      </c>
    </row>
    <row r="49456">
      <c r="H49456" s="50"/>
      <c r="I49456" s="50"/>
      <c r="O49456" s="36" t="s">
        <v>48</v>
      </c>
      <c r="R49456" s="36" t="s">
        <v>48</v>
      </c>
    </row>
    <row r="49457">
      <c r="H49457" s="50"/>
      <c r="I49457" s="50"/>
      <c r="O49457" s="36" t="s">
        <v>48</v>
      </c>
      <c r="R49457" s="36" t="s">
        <v>48</v>
      </c>
    </row>
    <row r="49458">
      <c r="H49458" s="50"/>
      <c r="I49458" s="50"/>
      <c r="O49458" s="36" t="s">
        <v>48</v>
      </c>
      <c r="R49458" s="36" t="s">
        <v>48</v>
      </c>
    </row>
    <row r="49459">
      <c r="H49459" s="50"/>
      <c r="I49459" s="50"/>
      <c r="O49459" s="36" t="s">
        <v>48</v>
      </c>
      <c r="R49459" s="36" t="s">
        <v>48</v>
      </c>
    </row>
    <row r="49460">
      <c r="H49460" s="50"/>
      <c r="I49460" s="50"/>
      <c r="O49460" s="36" t="s">
        <v>48</v>
      </c>
      <c r="R49460" s="36" t="s">
        <v>48</v>
      </c>
    </row>
    <row r="49461">
      <c r="H49461" s="50"/>
      <c r="I49461" s="50"/>
      <c r="O49461" s="36" t="s">
        <v>48</v>
      </c>
      <c r="R49461" s="36" t="s">
        <v>48</v>
      </c>
    </row>
    <row r="49462">
      <c r="H49462" s="50"/>
      <c r="I49462" s="50"/>
      <c r="O49462" s="36" t="s">
        <v>48</v>
      </c>
      <c r="R49462" s="36" t="s">
        <v>48</v>
      </c>
    </row>
    <row r="49463">
      <c r="H49463" s="50"/>
      <c r="I49463" s="50"/>
      <c r="O49463" s="36" t="s">
        <v>48</v>
      </c>
      <c r="R49463" s="36" t="s">
        <v>48</v>
      </c>
    </row>
    <row r="49464">
      <c r="H49464" s="50"/>
      <c r="I49464" s="50"/>
      <c r="O49464" s="36" t="s">
        <v>48</v>
      </c>
      <c r="R49464" s="36" t="s">
        <v>48</v>
      </c>
    </row>
    <row r="49465">
      <c r="H49465" s="50"/>
      <c r="I49465" s="50"/>
      <c r="O49465" s="36" t="s">
        <v>48</v>
      </c>
      <c r="R49465" s="36" t="s">
        <v>48</v>
      </c>
    </row>
    <row r="49466">
      <c r="H49466" s="50"/>
      <c r="I49466" s="50"/>
      <c r="O49466" s="36" t="s">
        <v>48</v>
      </c>
      <c r="R49466" s="36" t="s">
        <v>48</v>
      </c>
    </row>
    <row r="49467">
      <c r="H49467" s="50"/>
      <c r="I49467" s="50"/>
      <c r="O49467" s="36" t="s">
        <v>48</v>
      </c>
      <c r="R49467" s="36" t="s">
        <v>48</v>
      </c>
    </row>
    <row r="49468">
      <c r="H49468" s="50"/>
      <c r="I49468" s="50"/>
      <c r="O49468" s="36" t="s">
        <v>48</v>
      </c>
      <c r="R49468" s="36" t="s">
        <v>48</v>
      </c>
    </row>
    <row r="49469">
      <c r="H49469" s="50"/>
      <c r="I49469" s="50"/>
      <c r="O49469" s="36" t="s">
        <v>48</v>
      </c>
      <c r="R49469" s="36" t="s">
        <v>48</v>
      </c>
    </row>
    <row r="49470">
      <c r="H49470" s="50"/>
      <c r="I49470" s="50"/>
      <c r="O49470" s="36" t="s">
        <v>48</v>
      </c>
      <c r="R49470" s="36" t="s">
        <v>48</v>
      </c>
    </row>
    <row r="49471">
      <c r="H49471" s="50"/>
      <c r="I49471" s="50"/>
      <c r="O49471" s="36" t="s">
        <v>48</v>
      </c>
      <c r="R49471" s="36" t="s">
        <v>48</v>
      </c>
    </row>
    <row r="49472">
      <c r="H49472" s="50"/>
      <c r="I49472" s="50"/>
      <c r="O49472" s="36" t="s">
        <v>48</v>
      </c>
      <c r="R49472" s="36" t="s">
        <v>48</v>
      </c>
    </row>
    <row r="49473">
      <c r="H49473" s="50"/>
      <c r="I49473" s="50"/>
      <c r="O49473" s="36" t="s">
        <v>48</v>
      </c>
      <c r="R49473" s="36" t="s">
        <v>48</v>
      </c>
    </row>
    <row r="49474">
      <c r="H49474" s="50"/>
      <c r="I49474" s="50"/>
      <c r="O49474" s="36" t="s">
        <v>48</v>
      </c>
      <c r="R49474" s="36" t="s">
        <v>48</v>
      </c>
    </row>
    <row r="49475">
      <c r="H49475" s="50"/>
      <c r="I49475" s="50"/>
      <c r="O49475" s="36" t="s">
        <v>48</v>
      </c>
      <c r="R49475" s="36" t="s">
        <v>48</v>
      </c>
    </row>
    <row r="49476">
      <c r="H49476" s="50"/>
      <c r="I49476" s="50"/>
      <c r="O49476" s="36" t="s">
        <v>48</v>
      </c>
      <c r="R49476" s="36" t="s">
        <v>48</v>
      </c>
    </row>
    <row r="49477">
      <c r="H49477" s="50"/>
      <c r="I49477" s="50"/>
      <c r="O49477" s="36" t="s">
        <v>48</v>
      </c>
      <c r="R49477" s="36" t="s">
        <v>48</v>
      </c>
    </row>
    <row r="49478">
      <c r="H49478" s="50"/>
      <c r="I49478" s="50"/>
      <c r="O49478" s="36" t="s">
        <v>48</v>
      </c>
      <c r="R49478" s="36" t="s">
        <v>48</v>
      </c>
    </row>
    <row r="49479">
      <c r="H49479" s="50"/>
      <c r="I49479" s="50"/>
      <c r="O49479" s="36" t="s">
        <v>48</v>
      </c>
      <c r="R49479" s="36" t="s">
        <v>48</v>
      </c>
    </row>
    <row r="49480">
      <c r="H49480" s="50"/>
      <c r="I49480" s="50"/>
      <c r="O49480" s="36" t="s">
        <v>48</v>
      </c>
      <c r="R49480" s="36" t="s">
        <v>48</v>
      </c>
    </row>
    <row r="49481">
      <c r="H49481" s="50"/>
      <c r="I49481" s="50"/>
      <c r="O49481" s="36" t="s">
        <v>48</v>
      </c>
      <c r="R49481" s="36" t="s">
        <v>48</v>
      </c>
    </row>
    <row r="49482">
      <c r="H49482" s="50"/>
      <c r="I49482" s="50"/>
      <c r="O49482" s="36" t="s">
        <v>48</v>
      </c>
      <c r="R49482" s="36" t="s">
        <v>48</v>
      </c>
    </row>
    <row r="49483">
      <c r="H49483" s="50"/>
      <c r="I49483" s="50"/>
      <c r="O49483" s="36" t="s">
        <v>48</v>
      </c>
      <c r="R49483" s="36" t="s">
        <v>48</v>
      </c>
    </row>
    <row r="49484">
      <c r="H49484" s="50"/>
      <c r="I49484" s="50"/>
      <c r="O49484" s="36" t="s">
        <v>48</v>
      </c>
      <c r="R49484" s="36" t="s">
        <v>48</v>
      </c>
    </row>
    <row r="49485">
      <c r="H49485" s="50"/>
      <c r="I49485" s="50"/>
      <c r="O49485" s="36" t="s">
        <v>48</v>
      </c>
      <c r="R49485" s="36" t="s">
        <v>48</v>
      </c>
    </row>
    <row r="49486">
      <c r="H49486" s="50"/>
      <c r="I49486" s="50"/>
      <c r="O49486" s="36" t="s">
        <v>48</v>
      </c>
      <c r="R49486" s="36" t="s">
        <v>48</v>
      </c>
    </row>
    <row r="49487">
      <c r="H49487" s="50"/>
      <c r="I49487" s="50"/>
      <c r="O49487" s="36" t="s">
        <v>48</v>
      </c>
      <c r="R49487" s="36" t="s">
        <v>48</v>
      </c>
    </row>
    <row r="49488">
      <c r="H49488" s="50"/>
      <c r="I49488" s="50"/>
      <c r="O49488" s="36" t="s">
        <v>48</v>
      </c>
      <c r="R49488" s="36" t="s">
        <v>48</v>
      </c>
    </row>
    <row r="49489">
      <c r="H49489" s="50"/>
      <c r="I49489" s="50"/>
      <c r="O49489" s="36" t="s">
        <v>48</v>
      </c>
      <c r="R49489" s="36" t="s">
        <v>48</v>
      </c>
    </row>
    <row r="49490">
      <c r="H49490" s="50"/>
      <c r="I49490" s="50"/>
      <c r="O49490" s="36" t="s">
        <v>48</v>
      </c>
      <c r="R49490" s="36" t="s">
        <v>48</v>
      </c>
    </row>
    <row r="49491">
      <c r="H49491" s="50"/>
      <c r="I49491" s="50"/>
      <c r="O49491" s="36" t="s">
        <v>48</v>
      </c>
      <c r="R49491" s="36" t="s">
        <v>48</v>
      </c>
    </row>
    <row r="49492">
      <c r="H49492" s="50"/>
      <c r="I49492" s="50"/>
      <c r="O49492" s="36" t="s">
        <v>48</v>
      </c>
      <c r="R49492" s="36" t="s">
        <v>48</v>
      </c>
    </row>
    <row r="49493">
      <c r="H49493" s="50"/>
      <c r="I49493" s="50"/>
      <c r="O49493" s="36" t="s">
        <v>48</v>
      </c>
      <c r="R49493" s="36" t="s">
        <v>48</v>
      </c>
    </row>
    <row r="49494">
      <c r="H49494" s="50"/>
      <c r="I49494" s="50"/>
      <c r="O49494" s="36" t="s">
        <v>48</v>
      </c>
      <c r="R49494" s="36" t="s">
        <v>48</v>
      </c>
    </row>
    <row r="49495">
      <c r="H49495" s="50"/>
      <c r="I49495" s="50"/>
      <c r="O49495" s="36" t="s">
        <v>48</v>
      </c>
      <c r="R49495" s="36" t="s">
        <v>48</v>
      </c>
    </row>
    <row r="49496">
      <c r="H49496" s="50"/>
      <c r="I49496" s="50"/>
      <c r="O49496" s="36" t="s">
        <v>48</v>
      </c>
      <c r="R49496" s="36" t="s">
        <v>48</v>
      </c>
    </row>
    <row r="49497">
      <c r="H49497" s="50"/>
      <c r="I49497" s="50"/>
      <c r="O49497" s="36" t="s">
        <v>48</v>
      </c>
      <c r="R49497" s="36" t="s">
        <v>48</v>
      </c>
    </row>
    <row r="49498">
      <c r="H49498" s="50"/>
      <c r="I49498" s="50"/>
      <c r="O49498" s="36" t="s">
        <v>48</v>
      </c>
      <c r="R49498" s="36" t="s">
        <v>48</v>
      </c>
    </row>
    <row r="49499">
      <c r="H49499" s="50"/>
      <c r="I49499" s="50"/>
      <c r="O49499" s="36" t="s">
        <v>48</v>
      </c>
      <c r="R49499" s="36" t="s">
        <v>48</v>
      </c>
    </row>
    <row r="49500">
      <c r="H49500" s="50"/>
      <c r="I49500" s="50"/>
      <c r="O49500" s="36" t="s">
        <v>48</v>
      </c>
      <c r="R49500" s="36" t="s">
        <v>48</v>
      </c>
    </row>
    <row r="49501">
      <c r="H49501" s="50"/>
      <c r="I49501" s="50"/>
      <c r="O49501" s="36" t="s">
        <v>48</v>
      </c>
      <c r="R49501" s="36" t="s">
        <v>48</v>
      </c>
    </row>
    <row r="49502">
      <c r="H49502" s="50"/>
      <c r="I49502" s="50"/>
      <c r="O49502" s="36" t="s">
        <v>48</v>
      </c>
      <c r="R49502" s="36" t="s">
        <v>48</v>
      </c>
    </row>
    <row r="49503">
      <c r="H49503" s="50"/>
      <c r="I49503" s="50"/>
      <c r="O49503" s="36" t="s">
        <v>48</v>
      </c>
      <c r="R49503" s="36" t="s">
        <v>48</v>
      </c>
    </row>
    <row r="49504">
      <c r="H49504" s="50"/>
      <c r="I49504" s="50"/>
      <c r="O49504" s="36" t="s">
        <v>48</v>
      </c>
      <c r="R49504" s="36" t="s">
        <v>48</v>
      </c>
    </row>
    <row r="49505">
      <c r="H49505" s="50"/>
      <c r="I49505" s="50"/>
      <c r="O49505" s="36" t="s">
        <v>48</v>
      </c>
      <c r="R49505" s="36" t="s">
        <v>48</v>
      </c>
    </row>
    <row r="49506">
      <c r="H49506" s="50"/>
      <c r="I49506" s="50"/>
      <c r="O49506" s="36" t="s">
        <v>48</v>
      </c>
      <c r="R49506" s="36" t="s">
        <v>48</v>
      </c>
    </row>
    <row r="49507">
      <c r="H49507" s="50"/>
      <c r="I49507" s="50"/>
      <c r="O49507" s="36" t="s">
        <v>48</v>
      </c>
      <c r="R49507" s="36" t="s">
        <v>48</v>
      </c>
    </row>
    <row r="49508">
      <c r="H49508" s="50"/>
      <c r="I49508" s="50"/>
      <c r="O49508" s="36" t="s">
        <v>48</v>
      </c>
      <c r="R49508" s="36" t="s">
        <v>48</v>
      </c>
    </row>
    <row r="49509">
      <c r="H49509" s="50"/>
      <c r="I49509" s="50"/>
      <c r="O49509" s="36" t="s">
        <v>48</v>
      </c>
      <c r="R49509" s="36" t="s">
        <v>48</v>
      </c>
    </row>
    <row r="49510">
      <c r="H49510" s="50"/>
      <c r="I49510" s="50"/>
      <c r="O49510" s="36" t="s">
        <v>48</v>
      </c>
      <c r="R49510" s="36" t="s">
        <v>48</v>
      </c>
    </row>
    <row r="49511">
      <c r="H49511" s="50"/>
      <c r="I49511" s="50"/>
      <c r="O49511" s="36" t="s">
        <v>48</v>
      </c>
      <c r="R49511" s="36" t="s">
        <v>48</v>
      </c>
    </row>
    <row r="49512">
      <c r="H49512" s="50"/>
      <c r="I49512" s="50"/>
      <c r="O49512" s="36" t="s">
        <v>48</v>
      </c>
      <c r="R49512" s="36" t="s">
        <v>48</v>
      </c>
    </row>
    <row r="49513">
      <c r="H49513" s="50"/>
      <c r="I49513" s="50"/>
      <c r="O49513" s="36" t="s">
        <v>48</v>
      </c>
      <c r="R49513" s="36" t="s">
        <v>48</v>
      </c>
    </row>
    <row r="49514">
      <c r="H49514" s="50"/>
      <c r="I49514" s="50"/>
      <c r="O49514" s="36" t="s">
        <v>48</v>
      </c>
      <c r="R49514" s="36" t="s">
        <v>48</v>
      </c>
    </row>
    <row r="49515">
      <c r="H49515" s="50"/>
      <c r="I49515" s="50"/>
      <c r="O49515" s="36" t="s">
        <v>48</v>
      </c>
      <c r="R49515" s="36" t="s">
        <v>48</v>
      </c>
    </row>
    <row r="49516">
      <c r="H49516" s="50"/>
      <c r="I49516" s="50"/>
      <c r="O49516" s="36" t="s">
        <v>48</v>
      </c>
      <c r="R49516" s="36" t="s">
        <v>48</v>
      </c>
    </row>
    <row r="49517">
      <c r="H49517" s="50"/>
      <c r="I49517" s="50"/>
      <c r="O49517" s="36" t="s">
        <v>48</v>
      </c>
      <c r="R49517" s="36" t="s">
        <v>48</v>
      </c>
    </row>
    <row r="49518">
      <c r="H49518" s="50"/>
      <c r="I49518" s="50"/>
      <c r="O49518" s="36" t="s">
        <v>48</v>
      </c>
      <c r="R49518" s="36" t="s">
        <v>48</v>
      </c>
    </row>
    <row r="49519">
      <c r="H49519" s="50"/>
      <c r="I49519" s="50"/>
      <c r="O49519" s="36" t="s">
        <v>48</v>
      </c>
      <c r="R49519" s="36" t="s">
        <v>48</v>
      </c>
    </row>
    <row r="49520">
      <c r="H49520" s="50"/>
      <c r="I49520" s="50"/>
      <c r="O49520" s="36" t="s">
        <v>48</v>
      </c>
      <c r="R49520" s="36" t="s">
        <v>48</v>
      </c>
    </row>
    <row r="49521">
      <c r="H49521" s="50"/>
      <c r="I49521" s="50"/>
      <c r="O49521" s="36" t="s">
        <v>48</v>
      </c>
      <c r="R49521" s="36" t="s">
        <v>48</v>
      </c>
    </row>
    <row r="49522">
      <c r="H49522" s="50"/>
      <c r="I49522" s="50"/>
      <c r="O49522" s="36" t="s">
        <v>48</v>
      </c>
      <c r="R49522" s="36" t="s">
        <v>48</v>
      </c>
    </row>
    <row r="49523">
      <c r="H49523" s="50"/>
      <c r="I49523" s="50"/>
      <c r="O49523" s="36" t="s">
        <v>48</v>
      </c>
      <c r="R49523" s="36" t="s">
        <v>48</v>
      </c>
    </row>
    <row r="49524">
      <c r="H49524" s="50"/>
      <c r="I49524" s="50"/>
      <c r="O49524" s="36" t="s">
        <v>48</v>
      </c>
      <c r="R49524" s="36" t="s">
        <v>48</v>
      </c>
    </row>
    <row r="49525">
      <c r="H49525" s="50"/>
      <c r="I49525" s="50"/>
      <c r="O49525" s="36" t="s">
        <v>48</v>
      </c>
      <c r="R49525" s="36" t="s">
        <v>48</v>
      </c>
    </row>
    <row r="49526">
      <c r="H49526" s="50"/>
      <c r="I49526" s="50"/>
      <c r="O49526" s="36" t="s">
        <v>48</v>
      </c>
      <c r="R49526" s="36" t="s">
        <v>48</v>
      </c>
    </row>
    <row r="49527">
      <c r="H49527" s="50"/>
      <c r="I49527" s="50"/>
      <c r="O49527" s="36" t="s">
        <v>48</v>
      </c>
      <c r="R49527" s="36" t="s">
        <v>48</v>
      </c>
    </row>
    <row r="49528">
      <c r="H49528" s="50"/>
      <c r="I49528" s="50"/>
      <c r="O49528" s="36" t="s">
        <v>48</v>
      </c>
      <c r="R49528" s="36" t="s">
        <v>48</v>
      </c>
    </row>
    <row r="49529">
      <c r="H49529" s="50"/>
      <c r="I49529" s="50"/>
      <c r="O49529" s="36" t="s">
        <v>48</v>
      </c>
      <c r="R49529" s="36" t="s">
        <v>48</v>
      </c>
    </row>
    <row r="49530">
      <c r="H49530" s="50"/>
      <c r="I49530" s="50"/>
      <c r="O49530" s="36" t="s">
        <v>48</v>
      </c>
      <c r="R49530" s="36" t="s">
        <v>48</v>
      </c>
    </row>
    <row r="49531">
      <c r="H49531" s="50"/>
      <c r="I49531" s="50"/>
      <c r="O49531" s="36" t="s">
        <v>48</v>
      </c>
      <c r="R49531" s="36" t="s">
        <v>48</v>
      </c>
    </row>
    <row r="49532">
      <c r="H49532" s="50"/>
      <c r="I49532" s="50"/>
      <c r="O49532" s="36" t="s">
        <v>48</v>
      </c>
      <c r="R49532" s="36" t="s">
        <v>48</v>
      </c>
    </row>
    <row r="49533">
      <c r="H49533" s="50"/>
      <c r="I49533" s="50"/>
      <c r="O49533" s="36" t="s">
        <v>48</v>
      </c>
      <c r="R49533" s="36" t="s">
        <v>48</v>
      </c>
    </row>
    <row r="49534">
      <c r="H49534" s="50"/>
      <c r="I49534" s="50"/>
      <c r="O49534" s="36" t="s">
        <v>48</v>
      </c>
      <c r="R49534" s="36" t="s">
        <v>48</v>
      </c>
    </row>
    <row r="49535">
      <c r="H49535" s="50"/>
      <c r="I49535" s="50"/>
      <c r="O49535" s="36" t="s">
        <v>48</v>
      </c>
      <c r="R49535" s="36" t="s">
        <v>48</v>
      </c>
    </row>
    <row r="49536">
      <c r="H49536" s="50"/>
      <c r="I49536" s="50"/>
      <c r="O49536" s="36" t="s">
        <v>48</v>
      </c>
      <c r="R49536" s="36" t="s">
        <v>48</v>
      </c>
    </row>
    <row r="49537">
      <c r="H49537" s="50"/>
      <c r="I49537" s="50"/>
      <c r="O49537" s="36" t="s">
        <v>48</v>
      </c>
      <c r="R49537" s="36" t="s">
        <v>48</v>
      </c>
    </row>
    <row r="49538">
      <c r="H49538" s="50"/>
      <c r="I49538" s="50"/>
      <c r="O49538" s="36" t="s">
        <v>48</v>
      </c>
      <c r="R49538" s="36" t="s">
        <v>48</v>
      </c>
    </row>
    <row r="49539">
      <c r="H49539" s="50"/>
      <c r="I49539" s="50"/>
      <c r="O49539" s="36" t="s">
        <v>48</v>
      </c>
      <c r="R49539" s="36" t="s">
        <v>48</v>
      </c>
    </row>
    <row r="49540">
      <c r="H49540" s="50"/>
      <c r="I49540" s="50"/>
      <c r="O49540" s="36" t="s">
        <v>48</v>
      </c>
      <c r="R49540" s="36" t="s">
        <v>48</v>
      </c>
    </row>
    <row r="49541">
      <c r="H49541" s="50"/>
      <c r="I49541" s="50"/>
      <c r="O49541" s="36" t="s">
        <v>48</v>
      </c>
      <c r="R49541" s="36" t="s">
        <v>48</v>
      </c>
    </row>
    <row r="49542">
      <c r="H49542" s="50"/>
      <c r="I49542" s="50"/>
      <c r="O49542" s="36" t="s">
        <v>48</v>
      </c>
      <c r="R49542" s="36" t="s">
        <v>48</v>
      </c>
    </row>
    <row r="49543">
      <c r="H49543" s="50"/>
      <c r="I49543" s="50"/>
      <c r="O49543" s="36" t="s">
        <v>48</v>
      </c>
      <c r="R49543" s="36" t="s">
        <v>48</v>
      </c>
    </row>
    <row r="49544">
      <c r="H49544" s="50"/>
      <c r="I49544" s="50"/>
      <c r="O49544" s="36" t="s">
        <v>48</v>
      </c>
      <c r="R49544" s="36" t="s">
        <v>48</v>
      </c>
    </row>
    <row r="49545">
      <c r="H49545" s="50"/>
      <c r="I49545" s="50"/>
      <c r="O49545" s="36" t="s">
        <v>48</v>
      </c>
      <c r="R49545" s="36" t="s">
        <v>48</v>
      </c>
    </row>
    <row r="49546">
      <c r="H49546" s="50"/>
      <c r="I49546" s="50"/>
      <c r="O49546" s="36" t="s">
        <v>48</v>
      </c>
      <c r="R49546" s="36" t="s">
        <v>48</v>
      </c>
    </row>
    <row r="49547">
      <c r="H49547" s="50"/>
      <c r="I49547" s="50"/>
      <c r="O49547" s="36" t="s">
        <v>48</v>
      </c>
      <c r="R49547" s="36" t="s">
        <v>48</v>
      </c>
    </row>
    <row r="49548">
      <c r="H49548" s="50"/>
      <c r="I49548" s="50"/>
      <c r="O49548" s="36" t="s">
        <v>48</v>
      </c>
      <c r="R49548" s="36" t="s">
        <v>48</v>
      </c>
    </row>
    <row r="49549">
      <c r="H49549" s="50"/>
      <c r="I49549" s="50"/>
      <c r="O49549" s="36" t="s">
        <v>48</v>
      </c>
      <c r="R49549" s="36" t="s">
        <v>48</v>
      </c>
    </row>
    <row r="49550">
      <c r="H49550" s="50"/>
      <c r="I49550" s="50"/>
      <c r="O49550" s="36" t="s">
        <v>48</v>
      </c>
      <c r="R49550" s="36" t="s">
        <v>48</v>
      </c>
    </row>
    <row r="49551">
      <c r="H49551" s="50"/>
      <c r="I49551" s="50"/>
      <c r="O49551" s="36" t="s">
        <v>48</v>
      </c>
      <c r="R49551" s="36" t="s">
        <v>48</v>
      </c>
    </row>
    <row r="49552">
      <c r="H49552" s="50"/>
      <c r="I49552" s="50"/>
      <c r="O49552" s="36" t="s">
        <v>48</v>
      </c>
      <c r="R49552" s="36" t="s">
        <v>48</v>
      </c>
    </row>
    <row r="49553">
      <c r="H49553" s="50"/>
      <c r="I49553" s="50"/>
      <c r="O49553" s="36" t="s">
        <v>48</v>
      </c>
      <c r="R49553" s="36" t="s">
        <v>48</v>
      </c>
    </row>
    <row r="49554">
      <c r="H49554" s="50"/>
      <c r="I49554" s="50"/>
      <c r="O49554" s="36" t="s">
        <v>48</v>
      </c>
      <c r="R49554" s="36" t="s">
        <v>48</v>
      </c>
    </row>
    <row r="49555">
      <c r="H49555" s="50"/>
      <c r="I49555" s="50"/>
      <c r="O49555" s="36" t="s">
        <v>48</v>
      </c>
      <c r="R49555" s="36" t="s">
        <v>48</v>
      </c>
    </row>
    <row r="49556">
      <c r="H49556" s="50"/>
      <c r="I49556" s="50"/>
      <c r="O49556" s="36" t="s">
        <v>48</v>
      </c>
      <c r="R49556" s="36" t="s">
        <v>48</v>
      </c>
    </row>
    <row r="49557">
      <c r="H49557" s="50"/>
      <c r="I49557" s="50"/>
      <c r="O49557" s="36" t="s">
        <v>48</v>
      </c>
      <c r="R49557" s="36" t="s">
        <v>48</v>
      </c>
    </row>
    <row r="49558">
      <c r="H49558" s="50"/>
      <c r="I49558" s="50"/>
      <c r="O49558" s="36" t="s">
        <v>48</v>
      </c>
      <c r="R49558" s="36" t="s">
        <v>48</v>
      </c>
    </row>
    <row r="49559">
      <c r="H49559" s="50"/>
      <c r="I49559" s="50"/>
      <c r="O49559" s="36" t="s">
        <v>48</v>
      </c>
      <c r="R49559" s="36" t="s">
        <v>48</v>
      </c>
    </row>
    <row r="49560">
      <c r="H49560" s="50"/>
      <c r="I49560" s="50"/>
      <c r="O49560" s="36" t="s">
        <v>48</v>
      </c>
      <c r="R49560" s="36" t="s">
        <v>48</v>
      </c>
    </row>
    <row r="49561">
      <c r="H49561" s="50"/>
      <c r="I49561" s="50"/>
      <c r="O49561" s="36" t="s">
        <v>48</v>
      </c>
      <c r="R49561" s="36" t="s">
        <v>48</v>
      </c>
    </row>
    <row r="49562">
      <c r="H49562" s="50"/>
      <c r="I49562" s="50"/>
      <c r="O49562" s="36" t="s">
        <v>48</v>
      </c>
      <c r="R49562" s="36" t="s">
        <v>48</v>
      </c>
    </row>
    <row r="49563">
      <c r="H49563" s="50"/>
      <c r="I49563" s="50"/>
      <c r="O49563" s="36" t="s">
        <v>48</v>
      </c>
      <c r="R49563" s="36" t="s">
        <v>48</v>
      </c>
    </row>
    <row r="49564">
      <c r="H49564" s="50"/>
      <c r="I49564" s="50"/>
      <c r="O49564" s="36" t="s">
        <v>48</v>
      </c>
      <c r="R49564" s="36" t="s">
        <v>48</v>
      </c>
    </row>
    <row r="49565">
      <c r="H49565" s="50"/>
      <c r="I49565" s="50"/>
      <c r="O49565" s="36" t="s">
        <v>48</v>
      </c>
      <c r="R49565" s="36" t="s">
        <v>48</v>
      </c>
    </row>
    <row r="49566">
      <c r="H49566" s="50"/>
      <c r="I49566" s="50"/>
      <c r="O49566" s="36" t="s">
        <v>48</v>
      </c>
      <c r="R49566" s="36" t="s">
        <v>48</v>
      </c>
    </row>
    <row r="49567">
      <c r="H49567" s="50"/>
      <c r="I49567" s="50"/>
      <c r="O49567" s="36" t="s">
        <v>48</v>
      </c>
      <c r="R49567" s="36" t="s">
        <v>48</v>
      </c>
    </row>
    <row r="49568">
      <c r="H49568" s="50"/>
      <c r="I49568" s="50"/>
      <c r="O49568" s="36" t="s">
        <v>48</v>
      </c>
      <c r="R49568" s="36" t="s">
        <v>48</v>
      </c>
    </row>
    <row r="49569">
      <c r="H49569" s="50"/>
      <c r="I49569" s="50"/>
      <c r="O49569" s="36" t="s">
        <v>48</v>
      </c>
      <c r="R49569" s="36" t="s">
        <v>48</v>
      </c>
    </row>
    <row r="49570">
      <c r="H49570" s="50"/>
      <c r="I49570" s="50"/>
      <c r="O49570" s="36" t="s">
        <v>48</v>
      </c>
      <c r="R49570" s="36" t="s">
        <v>48</v>
      </c>
    </row>
    <row r="49571">
      <c r="H49571" s="50"/>
      <c r="I49571" s="50"/>
      <c r="O49571" s="36" t="s">
        <v>48</v>
      </c>
      <c r="R49571" s="36" t="s">
        <v>48</v>
      </c>
    </row>
    <row r="49572">
      <c r="H49572" s="50"/>
      <c r="I49572" s="50"/>
      <c r="O49572" s="36" t="s">
        <v>48</v>
      </c>
      <c r="R49572" s="36" t="s">
        <v>48</v>
      </c>
    </row>
    <row r="49573">
      <c r="H49573" s="50"/>
      <c r="I49573" s="50"/>
      <c r="O49573" s="36" t="s">
        <v>48</v>
      </c>
      <c r="R49573" s="36" t="s">
        <v>48</v>
      </c>
    </row>
    <row r="49574">
      <c r="H49574" s="50"/>
      <c r="I49574" s="50"/>
      <c r="O49574" s="36" t="s">
        <v>48</v>
      </c>
      <c r="R49574" s="36" t="s">
        <v>48</v>
      </c>
    </row>
    <row r="49575">
      <c r="H49575" s="50"/>
      <c r="I49575" s="50"/>
      <c r="O49575" s="36" t="s">
        <v>48</v>
      </c>
      <c r="R49575" s="36" t="s">
        <v>48</v>
      </c>
    </row>
    <row r="49576">
      <c r="H49576" s="50"/>
      <c r="I49576" s="50"/>
      <c r="O49576" s="36" t="s">
        <v>48</v>
      </c>
      <c r="R49576" s="36" t="s">
        <v>48</v>
      </c>
    </row>
    <row r="49577">
      <c r="H49577" s="50"/>
      <c r="I49577" s="50"/>
      <c r="O49577" s="36" t="s">
        <v>48</v>
      </c>
      <c r="R49577" s="36" t="s">
        <v>48</v>
      </c>
    </row>
    <row r="49578">
      <c r="H49578" s="50"/>
      <c r="I49578" s="50"/>
      <c r="O49578" s="36" t="s">
        <v>48</v>
      </c>
      <c r="R49578" s="36" t="s">
        <v>48</v>
      </c>
    </row>
    <row r="49579">
      <c r="H49579" s="50"/>
      <c r="I49579" s="50"/>
      <c r="O49579" s="36" t="s">
        <v>48</v>
      </c>
      <c r="R49579" s="36" t="s">
        <v>48</v>
      </c>
    </row>
    <row r="49580">
      <c r="H49580" s="50"/>
      <c r="I49580" s="50"/>
      <c r="O49580" s="36" t="s">
        <v>48</v>
      </c>
      <c r="R49580" s="36" t="s">
        <v>48</v>
      </c>
    </row>
    <row r="49581">
      <c r="H49581" s="50"/>
      <c r="I49581" s="50"/>
      <c r="O49581" s="36" t="s">
        <v>48</v>
      </c>
      <c r="R49581" s="36" t="s">
        <v>48</v>
      </c>
    </row>
    <row r="49582">
      <c r="H49582" s="50"/>
      <c r="I49582" s="50"/>
      <c r="O49582" s="36" t="s">
        <v>48</v>
      </c>
      <c r="R49582" s="36" t="s">
        <v>48</v>
      </c>
    </row>
    <row r="49583">
      <c r="H49583" s="50"/>
      <c r="I49583" s="50"/>
      <c r="O49583" s="36" t="s">
        <v>48</v>
      </c>
      <c r="R49583" s="36" t="s">
        <v>48</v>
      </c>
    </row>
    <row r="49584">
      <c r="H49584" s="50"/>
      <c r="I49584" s="50"/>
      <c r="O49584" s="36" t="s">
        <v>48</v>
      </c>
      <c r="R49584" s="36" t="s">
        <v>48</v>
      </c>
    </row>
    <row r="49585">
      <c r="H49585" s="50"/>
      <c r="I49585" s="50"/>
      <c r="O49585" s="36" t="s">
        <v>48</v>
      </c>
      <c r="R49585" s="36" t="s">
        <v>48</v>
      </c>
    </row>
    <row r="49586">
      <c r="H49586" s="50"/>
      <c r="I49586" s="50"/>
      <c r="O49586" s="36" t="s">
        <v>48</v>
      </c>
      <c r="R49586" s="36" t="s">
        <v>48</v>
      </c>
    </row>
    <row r="49587">
      <c r="H49587" s="50"/>
      <c r="I49587" s="50"/>
      <c r="O49587" s="36" t="s">
        <v>48</v>
      </c>
      <c r="R49587" s="36" t="s">
        <v>48</v>
      </c>
    </row>
    <row r="49588">
      <c r="H49588" s="50"/>
      <c r="I49588" s="50"/>
      <c r="O49588" s="36" t="s">
        <v>48</v>
      </c>
      <c r="R49588" s="36" t="s">
        <v>48</v>
      </c>
    </row>
    <row r="49589">
      <c r="H49589" s="50"/>
      <c r="I49589" s="50"/>
      <c r="O49589" s="36" t="s">
        <v>48</v>
      </c>
      <c r="R49589" s="36" t="s">
        <v>48</v>
      </c>
    </row>
    <row r="49590">
      <c r="H49590" s="50"/>
      <c r="I49590" s="50"/>
      <c r="O49590" s="36" t="s">
        <v>48</v>
      </c>
      <c r="R49590" s="36" t="s">
        <v>48</v>
      </c>
    </row>
    <row r="49591">
      <c r="H49591" s="50"/>
      <c r="I49591" s="50"/>
      <c r="O49591" s="36" t="s">
        <v>48</v>
      </c>
      <c r="R49591" s="36" t="s">
        <v>48</v>
      </c>
    </row>
    <row r="49592">
      <c r="H49592" s="50"/>
      <c r="I49592" s="50"/>
      <c r="O49592" s="36" t="s">
        <v>48</v>
      </c>
      <c r="R49592" s="36" t="s">
        <v>48</v>
      </c>
    </row>
    <row r="49593">
      <c r="H49593" s="50"/>
      <c r="I49593" s="50"/>
      <c r="O49593" s="36" t="s">
        <v>48</v>
      </c>
      <c r="R49593" s="36" t="s">
        <v>48</v>
      </c>
    </row>
    <row r="49594">
      <c r="H49594" s="50"/>
      <c r="I49594" s="50"/>
      <c r="O49594" s="36" t="s">
        <v>48</v>
      </c>
      <c r="R49594" s="36" t="s">
        <v>48</v>
      </c>
    </row>
    <row r="49595">
      <c r="H49595" s="50"/>
      <c r="I49595" s="50"/>
      <c r="O49595" s="36" t="s">
        <v>48</v>
      </c>
      <c r="R49595" s="36" t="s">
        <v>48</v>
      </c>
    </row>
    <row r="49596">
      <c r="H49596" s="50"/>
      <c r="I49596" s="50"/>
      <c r="O49596" s="36" t="s">
        <v>48</v>
      </c>
      <c r="R49596" s="36" t="s">
        <v>48</v>
      </c>
    </row>
    <row r="49597">
      <c r="H49597" s="50"/>
      <c r="I49597" s="50"/>
      <c r="O49597" s="36" t="s">
        <v>48</v>
      </c>
      <c r="R49597" s="36" t="s">
        <v>48</v>
      </c>
    </row>
    <row r="49598">
      <c r="H49598" s="50"/>
      <c r="I49598" s="50"/>
      <c r="O49598" s="36" t="s">
        <v>48</v>
      </c>
      <c r="R49598" s="36" t="s">
        <v>48</v>
      </c>
    </row>
    <row r="49599">
      <c r="H49599" s="50"/>
      <c r="I49599" s="50"/>
      <c r="O49599" s="36" t="s">
        <v>48</v>
      </c>
      <c r="R49599" s="36" t="s">
        <v>48</v>
      </c>
    </row>
    <row r="49600">
      <c r="H49600" s="50"/>
      <c r="I49600" s="50"/>
      <c r="O49600" s="36" t="s">
        <v>48</v>
      </c>
      <c r="R49600" s="36" t="s">
        <v>48</v>
      </c>
    </row>
    <row r="49601">
      <c r="H49601" s="50"/>
      <c r="I49601" s="50"/>
      <c r="O49601" s="36" t="s">
        <v>48</v>
      </c>
      <c r="R49601" s="36" t="s">
        <v>48</v>
      </c>
    </row>
    <row r="49602">
      <c r="H49602" s="50"/>
      <c r="I49602" s="50"/>
      <c r="O49602" s="36" t="s">
        <v>48</v>
      </c>
      <c r="R49602" s="36" t="s">
        <v>48</v>
      </c>
    </row>
    <row r="49603">
      <c r="H49603" s="50"/>
      <c r="I49603" s="50"/>
      <c r="O49603" s="36" t="s">
        <v>48</v>
      </c>
      <c r="R49603" s="36" t="s">
        <v>48</v>
      </c>
    </row>
    <row r="49604">
      <c r="H49604" s="50"/>
      <c r="I49604" s="50"/>
      <c r="O49604" s="36" t="s">
        <v>48</v>
      </c>
      <c r="R49604" s="36" t="s">
        <v>48</v>
      </c>
    </row>
    <row r="49605">
      <c r="H49605" s="50"/>
      <c r="I49605" s="50"/>
      <c r="O49605" s="36" t="s">
        <v>48</v>
      </c>
      <c r="R49605" s="36" t="s">
        <v>48</v>
      </c>
    </row>
    <row r="49606">
      <c r="H49606" s="50"/>
      <c r="I49606" s="50"/>
      <c r="O49606" s="36" t="s">
        <v>48</v>
      </c>
      <c r="R49606" s="36" t="s">
        <v>48</v>
      </c>
    </row>
    <row r="49607">
      <c r="H49607" s="50"/>
      <c r="I49607" s="50"/>
      <c r="O49607" s="36" t="s">
        <v>48</v>
      </c>
      <c r="R49607" s="36" t="s">
        <v>48</v>
      </c>
    </row>
    <row r="49608">
      <c r="H49608" s="50"/>
      <c r="I49608" s="50"/>
      <c r="O49608" s="36" t="s">
        <v>48</v>
      </c>
      <c r="R49608" s="36" t="s">
        <v>48</v>
      </c>
    </row>
    <row r="49609">
      <c r="H49609" s="50"/>
      <c r="I49609" s="50"/>
      <c r="O49609" s="36" t="s">
        <v>48</v>
      </c>
      <c r="R49609" s="36" t="s">
        <v>48</v>
      </c>
    </row>
    <row r="49610">
      <c r="H49610" s="50"/>
      <c r="I49610" s="50"/>
      <c r="O49610" s="36" t="s">
        <v>48</v>
      </c>
      <c r="R49610" s="36" t="s">
        <v>48</v>
      </c>
    </row>
    <row r="49611">
      <c r="H49611" s="50"/>
      <c r="I49611" s="50"/>
      <c r="O49611" s="36" t="s">
        <v>48</v>
      </c>
      <c r="R49611" s="36" t="s">
        <v>48</v>
      </c>
    </row>
    <row r="49612">
      <c r="H49612" s="50"/>
      <c r="I49612" s="50"/>
      <c r="O49612" s="36" t="s">
        <v>48</v>
      </c>
      <c r="R49612" s="36" t="s">
        <v>48</v>
      </c>
    </row>
    <row r="49613">
      <c r="H49613" s="50"/>
      <c r="I49613" s="50"/>
      <c r="O49613" s="36" t="s">
        <v>48</v>
      </c>
      <c r="R49613" s="36" t="s">
        <v>48</v>
      </c>
    </row>
    <row r="49614">
      <c r="H49614" s="50"/>
      <c r="I49614" s="50"/>
      <c r="O49614" s="36" t="s">
        <v>48</v>
      </c>
      <c r="R49614" s="36" t="s">
        <v>48</v>
      </c>
    </row>
    <row r="49615">
      <c r="H49615" s="50"/>
      <c r="I49615" s="50"/>
      <c r="O49615" s="36" t="s">
        <v>48</v>
      </c>
      <c r="R49615" s="36" t="s">
        <v>48</v>
      </c>
    </row>
    <row r="49616">
      <c r="H49616" s="50"/>
      <c r="I49616" s="50"/>
      <c r="O49616" s="36" t="s">
        <v>48</v>
      </c>
      <c r="R49616" s="36" t="s">
        <v>48</v>
      </c>
    </row>
    <row r="49617">
      <c r="H49617" s="50"/>
      <c r="I49617" s="50"/>
      <c r="O49617" s="36" t="s">
        <v>48</v>
      </c>
      <c r="R49617" s="36" t="s">
        <v>48</v>
      </c>
    </row>
    <row r="49618">
      <c r="H49618" s="50"/>
      <c r="I49618" s="50"/>
      <c r="O49618" s="36" t="s">
        <v>48</v>
      </c>
      <c r="R49618" s="36" t="s">
        <v>48</v>
      </c>
    </row>
    <row r="49619">
      <c r="H49619" s="50"/>
      <c r="I49619" s="50"/>
      <c r="O49619" s="36" t="s">
        <v>48</v>
      </c>
      <c r="R49619" s="36" t="s">
        <v>48</v>
      </c>
    </row>
    <row r="49620">
      <c r="H49620" s="50"/>
      <c r="I49620" s="50"/>
      <c r="O49620" s="36" t="s">
        <v>48</v>
      </c>
      <c r="R49620" s="36" t="s">
        <v>48</v>
      </c>
    </row>
    <row r="49621">
      <c r="H49621" s="50"/>
      <c r="I49621" s="50"/>
      <c r="O49621" s="36" t="s">
        <v>48</v>
      </c>
      <c r="R49621" s="36" t="s">
        <v>48</v>
      </c>
    </row>
    <row r="49622">
      <c r="H49622" s="50"/>
      <c r="I49622" s="50"/>
      <c r="O49622" s="36" t="s">
        <v>48</v>
      </c>
      <c r="R49622" s="36" t="s">
        <v>48</v>
      </c>
    </row>
    <row r="49623">
      <c r="H49623" s="50"/>
      <c r="I49623" s="50"/>
      <c r="O49623" s="36" t="s">
        <v>48</v>
      </c>
      <c r="R49623" s="36" t="s">
        <v>48</v>
      </c>
    </row>
    <row r="49624">
      <c r="H49624" s="50"/>
      <c r="I49624" s="50"/>
      <c r="O49624" s="36" t="s">
        <v>48</v>
      </c>
      <c r="R49624" s="36" t="s">
        <v>48</v>
      </c>
    </row>
    <row r="49625">
      <c r="H49625" s="50"/>
      <c r="I49625" s="50"/>
      <c r="O49625" s="36" t="s">
        <v>48</v>
      </c>
      <c r="R49625" s="36" t="s">
        <v>48</v>
      </c>
    </row>
    <row r="49626">
      <c r="H49626" s="50"/>
      <c r="I49626" s="50"/>
      <c r="O49626" s="36" t="s">
        <v>48</v>
      </c>
      <c r="R49626" s="36" t="s">
        <v>48</v>
      </c>
    </row>
    <row r="49627">
      <c r="H49627" s="50"/>
      <c r="I49627" s="50"/>
      <c r="O49627" s="36" t="s">
        <v>48</v>
      </c>
      <c r="R49627" s="36" t="s">
        <v>48</v>
      </c>
    </row>
    <row r="49628">
      <c r="H49628" s="50"/>
      <c r="I49628" s="50"/>
      <c r="O49628" s="36" t="s">
        <v>48</v>
      </c>
      <c r="R49628" s="36" t="s">
        <v>48</v>
      </c>
    </row>
    <row r="49629">
      <c r="H49629" s="50"/>
      <c r="I49629" s="50"/>
      <c r="O49629" s="36" t="s">
        <v>48</v>
      </c>
      <c r="R49629" s="36" t="s">
        <v>48</v>
      </c>
    </row>
    <row r="49630">
      <c r="H49630" s="50"/>
      <c r="I49630" s="50"/>
      <c r="O49630" s="36" t="s">
        <v>48</v>
      </c>
      <c r="R49630" s="36" t="s">
        <v>48</v>
      </c>
    </row>
    <row r="49631">
      <c r="H49631" s="50"/>
      <c r="I49631" s="50"/>
      <c r="O49631" s="36" t="s">
        <v>48</v>
      </c>
      <c r="R49631" s="36" t="s">
        <v>48</v>
      </c>
    </row>
    <row r="49632">
      <c r="H49632" s="50"/>
      <c r="I49632" s="50"/>
      <c r="O49632" s="36" t="s">
        <v>48</v>
      </c>
      <c r="R49632" s="36" t="s">
        <v>48</v>
      </c>
    </row>
    <row r="49633">
      <c r="H49633" s="50"/>
      <c r="I49633" s="50"/>
      <c r="O49633" s="36" t="s">
        <v>48</v>
      </c>
      <c r="R49633" s="36" t="s">
        <v>48</v>
      </c>
    </row>
    <row r="49634">
      <c r="H49634" s="50"/>
      <c r="I49634" s="50"/>
      <c r="O49634" s="36" t="s">
        <v>48</v>
      </c>
      <c r="R49634" s="36" t="s">
        <v>48</v>
      </c>
    </row>
    <row r="49635">
      <c r="H49635" s="50"/>
      <c r="I49635" s="50"/>
      <c r="O49635" s="36" t="s">
        <v>48</v>
      </c>
      <c r="R49635" s="36" t="s">
        <v>48</v>
      </c>
    </row>
    <row r="49636">
      <c r="H49636" s="50"/>
      <c r="I49636" s="50"/>
      <c r="O49636" s="36" t="s">
        <v>48</v>
      </c>
      <c r="R49636" s="36" t="s">
        <v>48</v>
      </c>
    </row>
    <row r="49637">
      <c r="H49637" s="50"/>
      <c r="I49637" s="50"/>
      <c r="O49637" s="36" t="s">
        <v>48</v>
      </c>
      <c r="R49637" s="36" t="s">
        <v>48</v>
      </c>
    </row>
    <row r="49638">
      <c r="H49638" s="50"/>
      <c r="I49638" s="50"/>
      <c r="O49638" s="36" t="s">
        <v>48</v>
      </c>
      <c r="R49638" s="36" t="s">
        <v>48</v>
      </c>
    </row>
    <row r="49639">
      <c r="H49639" s="50"/>
      <c r="I49639" s="50"/>
      <c r="O49639" s="36" t="s">
        <v>48</v>
      </c>
      <c r="R49639" s="36" t="s">
        <v>48</v>
      </c>
    </row>
    <row r="49640">
      <c r="H49640" s="50"/>
      <c r="I49640" s="50"/>
      <c r="O49640" s="36" t="s">
        <v>48</v>
      </c>
      <c r="R49640" s="36" t="s">
        <v>48</v>
      </c>
    </row>
    <row r="49641">
      <c r="H49641" s="50"/>
      <c r="I49641" s="50"/>
      <c r="O49641" s="36" t="s">
        <v>48</v>
      </c>
      <c r="R49641" s="36" t="s">
        <v>48</v>
      </c>
    </row>
    <row r="49642">
      <c r="H49642" s="50"/>
      <c r="I49642" s="50"/>
      <c r="O49642" s="36" t="s">
        <v>48</v>
      </c>
      <c r="R49642" s="36" t="s">
        <v>48</v>
      </c>
    </row>
    <row r="49643">
      <c r="H49643" s="50"/>
      <c r="I49643" s="50"/>
      <c r="O49643" s="36" t="s">
        <v>48</v>
      </c>
      <c r="R49643" s="36" t="s">
        <v>48</v>
      </c>
    </row>
    <row r="49644">
      <c r="H49644" s="50"/>
      <c r="I49644" s="50"/>
      <c r="O49644" s="36" t="s">
        <v>48</v>
      </c>
      <c r="R49644" s="36" t="s">
        <v>48</v>
      </c>
    </row>
    <row r="49645">
      <c r="H49645" s="50"/>
      <c r="I49645" s="50"/>
      <c r="O49645" s="36" t="s">
        <v>48</v>
      </c>
      <c r="R49645" s="36" t="s">
        <v>48</v>
      </c>
    </row>
    <row r="49646">
      <c r="H49646" s="50"/>
      <c r="I49646" s="50"/>
      <c r="O49646" s="36" t="s">
        <v>48</v>
      </c>
      <c r="R49646" s="36" t="s">
        <v>48</v>
      </c>
    </row>
    <row r="49647">
      <c r="H49647" s="50"/>
      <c r="I49647" s="50"/>
      <c r="O49647" s="36" t="s">
        <v>48</v>
      </c>
      <c r="R49647" s="36" t="s">
        <v>48</v>
      </c>
    </row>
    <row r="49648">
      <c r="H49648" s="50"/>
      <c r="I49648" s="50"/>
      <c r="O49648" s="36" t="s">
        <v>48</v>
      </c>
      <c r="R49648" s="36" t="s">
        <v>48</v>
      </c>
    </row>
    <row r="49649">
      <c r="H49649" s="50"/>
      <c r="I49649" s="50"/>
      <c r="O49649" s="36" t="s">
        <v>48</v>
      </c>
      <c r="R49649" s="36" t="s">
        <v>48</v>
      </c>
    </row>
    <row r="49650">
      <c r="H49650" s="50"/>
      <c r="I49650" s="50"/>
      <c r="O49650" s="36" t="s">
        <v>48</v>
      </c>
      <c r="R49650" s="36" t="s">
        <v>48</v>
      </c>
    </row>
    <row r="49651">
      <c r="H49651" s="50"/>
      <c r="I49651" s="50"/>
      <c r="O49651" s="36" t="s">
        <v>48</v>
      </c>
      <c r="R49651" s="36" t="s">
        <v>48</v>
      </c>
    </row>
    <row r="49652">
      <c r="H49652" s="50"/>
      <c r="I49652" s="50"/>
      <c r="O49652" s="36" t="s">
        <v>48</v>
      </c>
      <c r="R49652" s="36" t="s">
        <v>48</v>
      </c>
    </row>
    <row r="49653">
      <c r="H49653" s="50"/>
      <c r="I49653" s="50"/>
      <c r="O49653" s="36" t="s">
        <v>48</v>
      </c>
      <c r="R49653" s="36" t="s">
        <v>48</v>
      </c>
    </row>
    <row r="49654">
      <c r="H49654" s="50"/>
      <c r="I49654" s="50"/>
      <c r="O49654" s="36" t="s">
        <v>48</v>
      </c>
      <c r="R49654" s="36" t="s">
        <v>48</v>
      </c>
    </row>
    <row r="49655">
      <c r="H49655" s="50"/>
      <c r="I49655" s="50"/>
      <c r="O49655" s="36" t="s">
        <v>48</v>
      </c>
      <c r="R49655" s="36" t="s">
        <v>48</v>
      </c>
    </row>
    <row r="49656">
      <c r="H49656" s="50"/>
      <c r="I49656" s="50"/>
      <c r="O49656" s="36" t="s">
        <v>48</v>
      </c>
      <c r="R49656" s="36" t="s">
        <v>48</v>
      </c>
    </row>
    <row r="49657">
      <c r="H49657" s="50"/>
      <c r="I49657" s="50"/>
      <c r="O49657" s="36" t="s">
        <v>48</v>
      </c>
      <c r="R49657" s="36" t="s">
        <v>48</v>
      </c>
    </row>
    <row r="49658">
      <c r="H49658" s="50"/>
      <c r="I49658" s="50"/>
      <c r="O49658" s="36" t="s">
        <v>48</v>
      </c>
      <c r="R49658" s="36" t="s">
        <v>48</v>
      </c>
    </row>
    <row r="49659">
      <c r="H49659" s="50"/>
      <c r="I49659" s="50"/>
      <c r="O49659" s="36" t="s">
        <v>48</v>
      </c>
      <c r="R49659" s="36" t="s">
        <v>48</v>
      </c>
    </row>
    <row r="49660">
      <c r="H49660" s="50"/>
      <c r="I49660" s="50"/>
      <c r="O49660" s="36" t="s">
        <v>48</v>
      </c>
      <c r="R49660" s="36" t="s">
        <v>48</v>
      </c>
    </row>
    <row r="49661">
      <c r="H49661" s="50"/>
      <c r="I49661" s="50"/>
      <c r="O49661" s="36" t="s">
        <v>48</v>
      </c>
      <c r="R49661" s="36" t="s">
        <v>48</v>
      </c>
    </row>
    <row r="49662">
      <c r="H49662" s="50"/>
      <c r="I49662" s="50"/>
      <c r="O49662" s="36" t="s">
        <v>48</v>
      </c>
      <c r="R49662" s="36" t="s">
        <v>48</v>
      </c>
    </row>
    <row r="49663">
      <c r="H49663" s="50"/>
      <c r="I49663" s="50"/>
      <c r="O49663" s="36" t="s">
        <v>48</v>
      </c>
      <c r="R49663" s="36" t="s">
        <v>48</v>
      </c>
    </row>
    <row r="49664">
      <c r="H49664" s="50"/>
      <c r="I49664" s="50"/>
      <c r="O49664" s="36" t="s">
        <v>48</v>
      </c>
      <c r="R49664" s="36" t="s">
        <v>48</v>
      </c>
    </row>
    <row r="49665">
      <c r="H49665" s="50"/>
      <c r="I49665" s="50"/>
      <c r="O49665" s="36" t="s">
        <v>48</v>
      </c>
      <c r="R49665" s="36" t="s">
        <v>48</v>
      </c>
    </row>
    <row r="49666">
      <c r="H49666" s="50"/>
      <c r="I49666" s="50"/>
      <c r="O49666" s="36" t="s">
        <v>48</v>
      </c>
      <c r="R49666" s="36" t="s">
        <v>48</v>
      </c>
    </row>
    <row r="49667">
      <c r="H49667" s="50"/>
      <c r="I49667" s="50"/>
      <c r="O49667" s="36" t="s">
        <v>48</v>
      </c>
      <c r="R49667" s="36" t="s">
        <v>48</v>
      </c>
    </row>
    <row r="49668">
      <c r="H49668" s="50"/>
      <c r="I49668" s="50"/>
      <c r="O49668" s="36" t="s">
        <v>48</v>
      </c>
      <c r="R49668" s="36" t="s">
        <v>48</v>
      </c>
    </row>
    <row r="49669">
      <c r="H49669" s="50"/>
      <c r="I49669" s="50"/>
      <c r="O49669" s="36" t="s">
        <v>48</v>
      </c>
      <c r="R49669" s="36" t="s">
        <v>48</v>
      </c>
    </row>
    <row r="49670">
      <c r="H49670" s="50"/>
      <c r="I49670" s="50"/>
      <c r="O49670" s="36" t="s">
        <v>48</v>
      </c>
      <c r="R49670" s="36" t="s">
        <v>48</v>
      </c>
    </row>
    <row r="49671">
      <c r="H49671" s="50"/>
      <c r="I49671" s="50"/>
      <c r="O49671" s="36" t="s">
        <v>48</v>
      </c>
      <c r="R49671" s="36" t="s">
        <v>48</v>
      </c>
    </row>
    <row r="49672">
      <c r="H49672" s="50"/>
      <c r="I49672" s="50"/>
      <c r="O49672" s="36" t="s">
        <v>48</v>
      </c>
      <c r="R49672" s="36" t="s">
        <v>48</v>
      </c>
    </row>
    <row r="49673">
      <c r="H49673" s="50"/>
      <c r="I49673" s="50"/>
      <c r="O49673" s="36" t="s">
        <v>48</v>
      </c>
      <c r="R49673" s="36" t="s">
        <v>48</v>
      </c>
    </row>
    <row r="49674">
      <c r="H49674" s="50"/>
      <c r="I49674" s="50"/>
      <c r="O49674" s="36" t="s">
        <v>48</v>
      </c>
      <c r="R49674" s="36" t="s">
        <v>48</v>
      </c>
    </row>
    <row r="49675">
      <c r="H49675" s="50"/>
      <c r="I49675" s="50"/>
      <c r="O49675" s="36" t="s">
        <v>48</v>
      </c>
      <c r="R49675" s="36" t="s">
        <v>48</v>
      </c>
    </row>
    <row r="49676">
      <c r="H49676" s="50"/>
      <c r="I49676" s="50"/>
      <c r="O49676" s="36" t="s">
        <v>48</v>
      </c>
      <c r="R49676" s="36" t="s">
        <v>48</v>
      </c>
    </row>
    <row r="49677">
      <c r="H49677" s="50"/>
      <c r="I49677" s="50"/>
      <c r="O49677" s="36" t="s">
        <v>48</v>
      </c>
      <c r="R49677" s="36" t="s">
        <v>48</v>
      </c>
    </row>
    <row r="49678">
      <c r="H49678" s="50"/>
      <c r="I49678" s="50"/>
      <c r="O49678" s="36" t="s">
        <v>48</v>
      </c>
      <c r="R49678" s="36" t="s">
        <v>48</v>
      </c>
    </row>
    <row r="49679">
      <c r="H49679" s="50"/>
      <c r="I49679" s="50"/>
      <c r="O49679" s="36" t="s">
        <v>48</v>
      </c>
      <c r="R49679" s="36" t="s">
        <v>48</v>
      </c>
    </row>
    <row r="49680">
      <c r="H49680" s="50"/>
      <c r="I49680" s="50"/>
      <c r="O49680" s="36" t="s">
        <v>48</v>
      </c>
      <c r="R49680" s="36" t="s">
        <v>48</v>
      </c>
    </row>
    <row r="49681">
      <c r="H49681" s="50"/>
      <c r="I49681" s="50"/>
      <c r="O49681" s="36" t="s">
        <v>48</v>
      </c>
      <c r="R49681" s="36" t="s">
        <v>48</v>
      </c>
    </row>
    <row r="49682">
      <c r="H49682" s="50"/>
      <c r="I49682" s="50"/>
      <c r="O49682" s="36" t="s">
        <v>48</v>
      </c>
      <c r="R49682" s="36" t="s">
        <v>48</v>
      </c>
    </row>
    <row r="49683">
      <c r="H49683" s="50"/>
      <c r="I49683" s="50"/>
      <c r="O49683" s="36" t="s">
        <v>48</v>
      </c>
      <c r="R49683" s="36" t="s">
        <v>48</v>
      </c>
    </row>
    <row r="49684">
      <c r="H49684" s="50"/>
      <c r="I49684" s="50"/>
      <c r="O49684" s="36" t="s">
        <v>48</v>
      </c>
      <c r="R49684" s="36" t="s">
        <v>48</v>
      </c>
    </row>
    <row r="49685">
      <c r="H49685" s="50"/>
      <c r="I49685" s="50"/>
      <c r="O49685" s="36" t="s">
        <v>48</v>
      </c>
      <c r="R49685" s="36" t="s">
        <v>48</v>
      </c>
    </row>
    <row r="49686">
      <c r="H49686" s="50"/>
      <c r="I49686" s="50"/>
      <c r="O49686" s="36" t="s">
        <v>48</v>
      </c>
      <c r="R49686" s="36" t="s">
        <v>48</v>
      </c>
    </row>
    <row r="49687">
      <c r="H49687" s="50"/>
      <c r="I49687" s="50"/>
      <c r="O49687" s="36" t="s">
        <v>48</v>
      </c>
      <c r="R49687" s="36" t="s">
        <v>48</v>
      </c>
    </row>
    <row r="49688">
      <c r="H49688" s="50"/>
      <c r="I49688" s="50"/>
      <c r="O49688" s="36" t="s">
        <v>48</v>
      </c>
      <c r="R49688" s="36" t="s">
        <v>48</v>
      </c>
    </row>
    <row r="49689">
      <c r="H49689" s="50"/>
      <c r="I49689" s="50"/>
      <c r="O49689" s="36" t="s">
        <v>48</v>
      </c>
      <c r="R49689" s="36" t="s">
        <v>48</v>
      </c>
    </row>
    <row r="49690">
      <c r="H49690" s="50"/>
      <c r="I49690" s="50"/>
      <c r="O49690" s="36" t="s">
        <v>48</v>
      </c>
      <c r="R49690" s="36" t="s">
        <v>48</v>
      </c>
    </row>
    <row r="49691">
      <c r="H49691" s="50"/>
      <c r="I49691" s="50"/>
      <c r="O49691" s="36" t="s">
        <v>48</v>
      </c>
      <c r="R49691" s="36" t="s">
        <v>48</v>
      </c>
    </row>
    <row r="49692">
      <c r="H49692" s="50"/>
      <c r="I49692" s="50"/>
      <c r="O49692" s="36" t="s">
        <v>48</v>
      </c>
      <c r="R49692" s="36" t="s">
        <v>48</v>
      </c>
    </row>
    <row r="49693">
      <c r="H49693" s="50"/>
      <c r="I49693" s="50"/>
      <c r="O49693" s="36" t="s">
        <v>48</v>
      </c>
      <c r="R49693" s="36" t="s">
        <v>48</v>
      </c>
    </row>
    <row r="49694">
      <c r="H49694" s="50"/>
      <c r="I49694" s="50"/>
      <c r="O49694" s="36" t="s">
        <v>48</v>
      </c>
      <c r="R49694" s="36" t="s">
        <v>48</v>
      </c>
    </row>
    <row r="49695">
      <c r="H49695" s="50"/>
      <c r="I49695" s="50"/>
      <c r="O49695" s="36" t="s">
        <v>48</v>
      </c>
      <c r="R49695" s="36" t="s">
        <v>48</v>
      </c>
    </row>
    <row r="49696">
      <c r="H49696" s="50"/>
      <c r="I49696" s="50"/>
      <c r="O49696" s="36" t="s">
        <v>48</v>
      </c>
      <c r="R49696" s="36" t="s">
        <v>48</v>
      </c>
    </row>
    <row r="49697">
      <c r="H49697" s="50"/>
      <c r="I49697" s="50"/>
      <c r="O49697" s="36" t="s">
        <v>48</v>
      </c>
      <c r="R49697" s="36" t="s">
        <v>48</v>
      </c>
    </row>
    <row r="49698">
      <c r="H49698" s="50"/>
      <c r="I49698" s="50"/>
      <c r="O49698" s="36" t="s">
        <v>48</v>
      </c>
      <c r="R49698" s="36" t="s">
        <v>48</v>
      </c>
    </row>
    <row r="49699">
      <c r="H49699" s="50"/>
      <c r="I49699" s="50"/>
      <c r="O49699" s="36" t="s">
        <v>48</v>
      </c>
      <c r="R49699" s="36" t="s">
        <v>48</v>
      </c>
    </row>
    <row r="49700">
      <c r="H49700" s="50"/>
      <c r="I49700" s="50"/>
      <c r="O49700" s="36" t="s">
        <v>48</v>
      </c>
      <c r="R49700" s="36" t="s">
        <v>48</v>
      </c>
    </row>
    <row r="49701">
      <c r="H49701" s="50"/>
      <c r="I49701" s="50"/>
      <c r="O49701" s="36" t="s">
        <v>48</v>
      </c>
      <c r="R49701" s="36" t="s">
        <v>48</v>
      </c>
    </row>
    <row r="49702">
      <c r="H49702" s="50"/>
      <c r="I49702" s="50"/>
      <c r="O49702" s="36" t="s">
        <v>48</v>
      </c>
      <c r="R49702" s="36" t="s">
        <v>48</v>
      </c>
    </row>
    <row r="49703">
      <c r="H49703" s="50"/>
      <c r="I49703" s="50"/>
      <c r="O49703" s="36" t="s">
        <v>48</v>
      </c>
      <c r="R49703" s="36" t="s">
        <v>48</v>
      </c>
    </row>
    <row r="49704">
      <c r="H49704" s="50"/>
      <c r="I49704" s="50"/>
      <c r="O49704" s="36" t="s">
        <v>48</v>
      </c>
      <c r="R49704" s="36" t="s">
        <v>48</v>
      </c>
    </row>
    <row r="49705">
      <c r="H49705" s="50"/>
      <c r="I49705" s="50"/>
      <c r="O49705" s="36" t="s">
        <v>48</v>
      </c>
      <c r="R49705" s="36" t="s">
        <v>48</v>
      </c>
    </row>
    <row r="49706">
      <c r="H49706" s="50"/>
      <c r="I49706" s="50"/>
      <c r="O49706" s="36" t="s">
        <v>48</v>
      </c>
      <c r="R49706" s="36" t="s">
        <v>48</v>
      </c>
    </row>
    <row r="49707">
      <c r="H49707" s="50"/>
      <c r="I49707" s="50"/>
      <c r="O49707" s="36" t="s">
        <v>48</v>
      </c>
      <c r="R49707" s="36" t="s">
        <v>48</v>
      </c>
    </row>
    <row r="49708">
      <c r="H49708" s="50"/>
      <c r="I49708" s="50"/>
      <c r="O49708" s="36" t="s">
        <v>48</v>
      </c>
      <c r="R49708" s="36" t="s">
        <v>48</v>
      </c>
    </row>
    <row r="49709">
      <c r="H49709" s="50"/>
      <c r="I49709" s="50"/>
      <c r="O49709" s="36" t="s">
        <v>48</v>
      </c>
      <c r="R49709" s="36" t="s">
        <v>48</v>
      </c>
    </row>
    <row r="49710">
      <c r="H49710" s="50"/>
      <c r="I49710" s="50"/>
      <c r="O49710" s="36" t="s">
        <v>48</v>
      </c>
      <c r="R49710" s="36" t="s">
        <v>48</v>
      </c>
    </row>
    <row r="49711">
      <c r="H49711" s="50"/>
      <c r="I49711" s="50"/>
      <c r="O49711" s="36" t="s">
        <v>48</v>
      </c>
      <c r="R49711" s="36" t="s">
        <v>48</v>
      </c>
    </row>
    <row r="49712">
      <c r="H49712" s="50"/>
      <c r="I49712" s="50"/>
      <c r="O49712" s="36" t="s">
        <v>48</v>
      </c>
      <c r="R49712" s="36" t="s">
        <v>48</v>
      </c>
    </row>
    <row r="49713">
      <c r="H49713" s="50"/>
      <c r="I49713" s="50"/>
      <c r="O49713" s="36" t="s">
        <v>48</v>
      </c>
      <c r="R49713" s="36" t="s">
        <v>48</v>
      </c>
    </row>
    <row r="49714">
      <c r="H49714" s="50"/>
      <c r="I49714" s="50"/>
      <c r="O49714" s="36" t="s">
        <v>48</v>
      </c>
      <c r="R49714" s="36" t="s">
        <v>48</v>
      </c>
    </row>
    <row r="49715">
      <c r="H49715" s="50"/>
      <c r="I49715" s="50"/>
      <c r="O49715" s="36" t="s">
        <v>48</v>
      </c>
      <c r="R49715" s="36" t="s">
        <v>48</v>
      </c>
    </row>
    <row r="49716">
      <c r="H49716" s="50"/>
      <c r="I49716" s="50"/>
      <c r="O49716" s="36" t="s">
        <v>48</v>
      </c>
      <c r="R49716" s="36" t="s">
        <v>48</v>
      </c>
    </row>
    <row r="49717">
      <c r="H49717" s="50"/>
      <c r="I49717" s="50"/>
      <c r="O49717" s="36" t="s">
        <v>48</v>
      </c>
      <c r="R49717" s="36" t="s">
        <v>48</v>
      </c>
    </row>
    <row r="49718">
      <c r="H49718" s="50"/>
      <c r="I49718" s="50"/>
      <c r="O49718" s="36" t="s">
        <v>48</v>
      </c>
      <c r="R49718" s="36" t="s">
        <v>48</v>
      </c>
    </row>
    <row r="49719">
      <c r="H49719" s="50"/>
      <c r="I49719" s="50"/>
      <c r="O49719" s="36" t="s">
        <v>48</v>
      </c>
      <c r="R49719" s="36" t="s">
        <v>48</v>
      </c>
    </row>
    <row r="49720">
      <c r="H49720" s="50"/>
      <c r="I49720" s="50"/>
      <c r="O49720" s="36" t="s">
        <v>48</v>
      </c>
      <c r="R49720" s="36" t="s">
        <v>48</v>
      </c>
    </row>
    <row r="49721">
      <c r="H49721" s="50"/>
      <c r="I49721" s="50"/>
      <c r="O49721" s="36" t="s">
        <v>48</v>
      </c>
      <c r="R49721" s="36" t="s">
        <v>48</v>
      </c>
    </row>
    <row r="49722">
      <c r="H49722" s="50"/>
      <c r="I49722" s="50"/>
      <c r="O49722" s="36" t="s">
        <v>48</v>
      </c>
      <c r="R49722" s="36" t="s">
        <v>48</v>
      </c>
    </row>
    <row r="49723">
      <c r="H49723" s="50"/>
      <c r="I49723" s="50"/>
      <c r="O49723" s="36" t="s">
        <v>48</v>
      </c>
      <c r="R49723" s="36" t="s">
        <v>48</v>
      </c>
    </row>
    <row r="49724">
      <c r="H49724" s="50"/>
      <c r="I49724" s="50"/>
      <c r="O49724" s="36" t="s">
        <v>48</v>
      </c>
      <c r="R49724" s="36" t="s">
        <v>48</v>
      </c>
    </row>
    <row r="49725">
      <c r="H49725" s="50"/>
      <c r="I49725" s="50"/>
      <c r="O49725" s="36" t="s">
        <v>48</v>
      </c>
      <c r="R49725" s="36" t="s">
        <v>48</v>
      </c>
    </row>
    <row r="49726">
      <c r="H49726" s="50"/>
      <c r="I49726" s="50"/>
      <c r="O49726" s="36" t="s">
        <v>48</v>
      </c>
      <c r="R49726" s="36" t="s">
        <v>48</v>
      </c>
    </row>
    <row r="49727">
      <c r="H49727" s="50"/>
      <c r="I49727" s="50"/>
      <c r="O49727" s="36" t="s">
        <v>48</v>
      </c>
      <c r="R49727" s="36" t="s">
        <v>48</v>
      </c>
    </row>
    <row r="49728">
      <c r="H49728" s="50"/>
      <c r="I49728" s="50"/>
      <c r="O49728" s="36" t="s">
        <v>48</v>
      </c>
      <c r="R49728" s="36" t="s">
        <v>48</v>
      </c>
    </row>
    <row r="49729">
      <c r="H49729" s="50"/>
      <c r="I49729" s="50"/>
      <c r="O49729" s="36" t="s">
        <v>48</v>
      </c>
      <c r="R49729" s="36" t="s">
        <v>48</v>
      </c>
    </row>
    <row r="49730">
      <c r="H49730" s="50"/>
      <c r="I49730" s="50"/>
      <c r="O49730" s="36" t="s">
        <v>48</v>
      </c>
      <c r="R49730" s="36" t="s">
        <v>48</v>
      </c>
    </row>
    <row r="49731">
      <c r="H49731" s="50"/>
      <c r="I49731" s="50"/>
      <c r="O49731" s="36" t="s">
        <v>48</v>
      </c>
      <c r="R49731" s="36" t="s">
        <v>48</v>
      </c>
    </row>
    <row r="49732">
      <c r="H49732" s="50"/>
      <c r="I49732" s="50"/>
      <c r="O49732" s="36" t="s">
        <v>48</v>
      </c>
      <c r="R49732" s="36" t="s">
        <v>48</v>
      </c>
    </row>
    <row r="49733">
      <c r="H49733" s="50"/>
      <c r="I49733" s="50"/>
      <c r="O49733" s="36" t="s">
        <v>48</v>
      </c>
      <c r="R49733" s="36" t="s">
        <v>48</v>
      </c>
    </row>
    <row r="49734">
      <c r="H49734" s="50"/>
      <c r="I49734" s="50"/>
      <c r="O49734" s="36" t="s">
        <v>48</v>
      </c>
      <c r="R49734" s="36" t="s">
        <v>48</v>
      </c>
    </row>
    <row r="49735">
      <c r="H49735" s="50"/>
      <c r="I49735" s="50"/>
      <c r="O49735" s="36" t="s">
        <v>48</v>
      </c>
      <c r="R49735" s="36" t="s">
        <v>48</v>
      </c>
    </row>
    <row r="49736">
      <c r="H49736" s="50"/>
      <c r="I49736" s="50"/>
      <c r="O49736" s="36" t="s">
        <v>48</v>
      </c>
      <c r="R49736" s="36" t="s">
        <v>48</v>
      </c>
    </row>
    <row r="49737">
      <c r="H49737" s="50"/>
      <c r="I49737" s="50"/>
      <c r="O49737" s="36" t="s">
        <v>48</v>
      </c>
      <c r="R49737" s="36" t="s">
        <v>48</v>
      </c>
    </row>
    <row r="49738">
      <c r="H49738" s="50"/>
      <c r="I49738" s="50"/>
      <c r="O49738" s="36" t="s">
        <v>48</v>
      </c>
      <c r="R49738" s="36" t="s">
        <v>48</v>
      </c>
    </row>
    <row r="49739">
      <c r="H49739" s="50"/>
      <c r="I49739" s="50"/>
      <c r="O49739" s="36" t="s">
        <v>48</v>
      </c>
      <c r="R49739" s="36" t="s">
        <v>48</v>
      </c>
    </row>
    <row r="49740">
      <c r="H49740" s="50"/>
      <c r="I49740" s="50"/>
      <c r="O49740" s="36" t="s">
        <v>48</v>
      </c>
      <c r="R49740" s="36" t="s">
        <v>48</v>
      </c>
    </row>
    <row r="49741">
      <c r="H49741" s="50"/>
      <c r="I49741" s="50"/>
      <c r="O49741" s="36" t="s">
        <v>48</v>
      </c>
      <c r="R49741" s="36" t="s">
        <v>48</v>
      </c>
    </row>
    <row r="49742">
      <c r="H49742" s="50"/>
      <c r="I49742" s="50"/>
      <c r="O49742" s="36" t="s">
        <v>48</v>
      </c>
      <c r="R49742" s="36" t="s">
        <v>48</v>
      </c>
    </row>
    <row r="49743">
      <c r="H49743" s="50"/>
      <c r="I49743" s="50"/>
      <c r="O49743" s="36" t="s">
        <v>48</v>
      </c>
      <c r="R49743" s="36" t="s">
        <v>48</v>
      </c>
    </row>
    <row r="49744">
      <c r="H49744" s="50"/>
      <c r="I49744" s="50"/>
      <c r="O49744" s="36" t="s">
        <v>48</v>
      </c>
      <c r="R49744" s="36" t="s">
        <v>48</v>
      </c>
    </row>
    <row r="49745">
      <c r="H49745" s="50"/>
      <c r="I49745" s="50"/>
      <c r="O49745" s="36" t="s">
        <v>48</v>
      </c>
      <c r="R49745" s="36" t="s">
        <v>48</v>
      </c>
    </row>
    <row r="49746">
      <c r="H49746" s="50"/>
      <c r="I49746" s="50"/>
      <c r="O49746" s="36" t="s">
        <v>48</v>
      </c>
      <c r="R49746" s="36" t="s">
        <v>48</v>
      </c>
    </row>
    <row r="49747">
      <c r="H49747" s="50"/>
      <c r="I49747" s="50"/>
      <c r="O49747" s="36" t="s">
        <v>48</v>
      </c>
      <c r="R49747" s="36" t="s">
        <v>48</v>
      </c>
    </row>
    <row r="49748">
      <c r="H49748" s="50"/>
      <c r="I49748" s="50"/>
      <c r="O49748" s="36" t="s">
        <v>48</v>
      </c>
      <c r="R49748" s="36" t="s">
        <v>48</v>
      </c>
    </row>
    <row r="49749">
      <c r="H49749" s="50"/>
      <c r="I49749" s="50"/>
      <c r="O49749" s="36" t="s">
        <v>48</v>
      </c>
      <c r="R49749" s="36" t="s">
        <v>48</v>
      </c>
    </row>
    <row r="49750">
      <c r="H49750" s="50"/>
      <c r="I49750" s="50"/>
      <c r="O49750" s="36" t="s">
        <v>48</v>
      </c>
      <c r="R49750" s="36" t="s">
        <v>48</v>
      </c>
    </row>
    <row r="49751">
      <c r="H49751" s="50"/>
      <c r="I49751" s="50"/>
      <c r="O49751" s="36" t="s">
        <v>48</v>
      </c>
      <c r="R49751" s="36" t="s">
        <v>48</v>
      </c>
    </row>
    <row r="49752">
      <c r="H49752" s="50"/>
      <c r="I49752" s="50"/>
      <c r="O49752" s="36" t="s">
        <v>48</v>
      </c>
      <c r="R49752" s="36" t="s">
        <v>48</v>
      </c>
    </row>
    <row r="49753">
      <c r="H49753" s="50"/>
      <c r="I49753" s="50"/>
      <c r="O49753" s="36" t="s">
        <v>48</v>
      </c>
      <c r="R49753" s="36" t="s">
        <v>48</v>
      </c>
    </row>
    <row r="49754">
      <c r="H49754" s="50"/>
      <c r="I49754" s="50"/>
      <c r="O49754" s="36" t="s">
        <v>48</v>
      </c>
      <c r="R49754" s="36" t="s">
        <v>48</v>
      </c>
    </row>
    <row r="49755">
      <c r="H49755" s="50"/>
      <c r="I49755" s="50"/>
      <c r="O49755" s="36" t="s">
        <v>48</v>
      </c>
      <c r="R49755" s="36" t="s">
        <v>48</v>
      </c>
    </row>
    <row r="49756">
      <c r="H49756" s="50"/>
      <c r="I49756" s="50"/>
      <c r="O49756" s="36" t="s">
        <v>48</v>
      </c>
      <c r="R49756" s="36" t="s">
        <v>48</v>
      </c>
    </row>
    <row r="49757">
      <c r="H49757" s="50"/>
      <c r="I49757" s="50"/>
      <c r="O49757" s="36" t="s">
        <v>48</v>
      </c>
      <c r="R49757" s="36" t="s">
        <v>48</v>
      </c>
    </row>
    <row r="49758">
      <c r="H49758" s="50"/>
      <c r="I49758" s="50"/>
      <c r="O49758" s="36" t="s">
        <v>48</v>
      </c>
      <c r="R49758" s="36" t="s">
        <v>48</v>
      </c>
    </row>
    <row r="49759">
      <c r="H49759" s="50"/>
      <c r="I49759" s="50"/>
      <c r="O49759" s="36" t="s">
        <v>48</v>
      </c>
      <c r="R49759" s="36" t="s">
        <v>48</v>
      </c>
    </row>
    <row r="49760">
      <c r="H49760" s="50"/>
      <c r="I49760" s="50"/>
      <c r="O49760" s="36" t="s">
        <v>48</v>
      </c>
      <c r="R49760" s="36" t="s">
        <v>48</v>
      </c>
    </row>
    <row r="49761">
      <c r="H49761" s="50"/>
      <c r="I49761" s="50"/>
      <c r="O49761" s="36" t="s">
        <v>48</v>
      </c>
      <c r="R49761" s="36" t="s">
        <v>48</v>
      </c>
    </row>
    <row r="49762">
      <c r="H49762" s="50"/>
      <c r="I49762" s="50"/>
      <c r="O49762" s="36" t="s">
        <v>48</v>
      </c>
      <c r="R49762" s="36" t="s">
        <v>48</v>
      </c>
    </row>
    <row r="49763">
      <c r="H49763" s="50"/>
      <c r="I49763" s="50"/>
      <c r="O49763" s="36" t="s">
        <v>48</v>
      </c>
      <c r="R49763" s="36" t="s">
        <v>48</v>
      </c>
    </row>
    <row r="49764">
      <c r="H49764" s="50"/>
      <c r="I49764" s="50"/>
      <c r="O49764" s="36" t="s">
        <v>48</v>
      </c>
      <c r="R49764" s="36" t="s">
        <v>48</v>
      </c>
    </row>
    <row r="49765">
      <c r="H49765" s="50"/>
      <c r="I49765" s="50"/>
      <c r="O49765" s="36" t="s">
        <v>48</v>
      </c>
      <c r="R49765" s="36" t="s">
        <v>48</v>
      </c>
    </row>
    <row r="49766">
      <c r="H49766" s="50"/>
      <c r="I49766" s="50"/>
      <c r="O49766" s="36" t="s">
        <v>48</v>
      </c>
      <c r="R49766" s="36" t="s">
        <v>48</v>
      </c>
    </row>
    <row r="49767">
      <c r="H49767" s="50"/>
      <c r="I49767" s="50"/>
      <c r="O49767" s="36" t="s">
        <v>48</v>
      </c>
      <c r="R49767" s="36" t="s">
        <v>48</v>
      </c>
    </row>
    <row r="49768">
      <c r="H49768" s="50"/>
      <c r="I49768" s="50"/>
      <c r="O49768" s="36" t="s">
        <v>48</v>
      </c>
      <c r="R49768" s="36" t="s">
        <v>48</v>
      </c>
    </row>
    <row r="49769">
      <c r="H49769" s="50"/>
      <c r="I49769" s="50"/>
      <c r="O49769" s="36" t="s">
        <v>48</v>
      </c>
      <c r="R49769" s="36" t="s">
        <v>48</v>
      </c>
    </row>
    <row r="49770">
      <c r="H49770" s="50"/>
      <c r="I49770" s="50"/>
      <c r="O49770" s="36" t="s">
        <v>48</v>
      </c>
      <c r="R49770" s="36" t="s">
        <v>48</v>
      </c>
    </row>
    <row r="49771">
      <c r="H49771" s="50"/>
      <c r="I49771" s="50"/>
      <c r="O49771" s="36" t="s">
        <v>48</v>
      </c>
      <c r="R49771" s="36" t="s">
        <v>48</v>
      </c>
    </row>
    <row r="49772">
      <c r="H49772" s="50"/>
      <c r="I49772" s="50"/>
      <c r="O49772" s="36" t="s">
        <v>48</v>
      </c>
      <c r="R49772" s="36" t="s">
        <v>48</v>
      </c>
    </row>
    <row r="49773">
      <c r="H49773" s="50"/>
      <c r="I49773" s="50"/>
      <c r="O49773" s="36" t="s">
        <v>48</v>
      </c>
      <c r="R49773" s="36" t="s">
        <v>48</v>
      </c>
    </row>
    <row r="49774">
      <c r="H49774" s="50"/>
      <c r="I49774" s="50"/>
      <c r="O49774" s="36" t="s">
        <v>48</v>
      </c>
      <c r="R49774" s="36" t="s">
        <v>48</v>
      </c>
    </row>
    <row r="49775">
      <c r="H49775" s="50"/>
      <c r="I49775" s="50"/>
      <c r="O49775" s="36" t="s">
        <v>48</v>
      </c>
      <c r="R49775" s="36" t="s">
        <v>48</v>
      </c>
    </row>
    <row r="49776">
      <c r="H49776" s="50"/>
      <c r="I49776" s="50"/>
      <c r="O49776" s="36" t="s">
        <v>48</v>
      </c>
      <c r="R49776" s="36" t="s">
        <v>48</v>
      </c>
    </row>
    <row r="49777">
      <c r="H49777" s="50"/>
      <c r="I49777" s="50"/>
      <c r="O49777" s="36" t="s">
        <v>48</v>
      </c>
      <c r="R49777" s="36" t="s">
        <v>48</v>
      </c>
    </row>
    <row r="49778">
      <c r="H49778" s="50"/>
      <c r="I49778" s="50"/>
      <c r="O49778" s="36" t="s">
        <v>48</v>
      </c>
      <c r="R49778" s="36" t="s">
        <v>48</v>
      </c>
    </row>
    <row r="49779">
      <c r="H49779" s="50"/>
      <c r="I49779" s="50"/>
      <c r="O49779" s="36" t="s">
        <v>48</v>
      </c>
      <c r="R49779" s="36" t="s">
        <v>48</v>
      </c>
    </row>
    <row r="49780">
      <c r="H49780" s="50"/>
      <c r="I49780" s="50"/>
      <c r="O49780" s="36" t="s">
        <v>48</v>
      </c>
      <c r="R49780" s="36" t="s">
        <v>48</v>
      </c>
    </row>
    <row r="49781">
      <c r="H49781" s="50"/>
      <c r="I49781" s="50"/>
      <c r="O49781" s="36" t="s">
        <v>48</v>
      </c>
      <c r="R49781" s="36" t="s">
        <v>48</v>
      </c>
    </row>
    <row r="49782">
      <c r="H49782" s="50"/>
      <c r="I49782" s="50"/>
      <c r="O49782" s="36" t="s">
        <v>48</v>
      </c>
      <c r="R49782" s="36" t="s">
        <v>48</v>
      </c>
    </row>
    <row r="49783">
      <c r="H49783" s="50"/>
      <c r="I49783" s="50"/>
      <c r="O49783" s="36" t="s">
        <v>48</v>
      </c>
      <c r="R49783" s="36" t="s">
        <v>48</v>
      </c>
    </row>
    <row r="49784">
      <c r="H49784" s="50"/>
      <c r="I49784" s="50"/>
      <c r="O49784" s="36" t="s">
        <v>48</v>
      </c>
      <c r="R49784" s="36" t="s">
        <v>48</v>
      </c>
    </row>
    <row r="49785">
      <c r="H49785" s="50"/>
      <c r="I49785" s="50"/>
      <c r="O49785" s="36" t="s">
        <v>48</v>
      </c>
      <c r="R49785" s="36" t="s">
        <v>48</v>
      </c>
    </row>
    <row r="49786">
      <c r="H49786" s="50"/>
      <c r="I49786" s="50"/>
      <c r="O49786" s="36" t="s">
        <v>48</v>
      </c>
      <c r="R49786" s="36" t="s">
        <v>48</v>
      </c>
    </row>
    <row r="49787">
      <c r="H49787" s="50"/>
      <c r="I49787" s="50"/>
      <c r="O49787" s="36" t="s">
        <v>48</v>
      </c>
      <c r="R49787" s="36" t="s">
        <v>48</v>
      </c>
    </row>
    <row r="49788">
      <c r="H49788" s="50"/>
      <c r="I49788" s="50"/>
      <c r="O49788" s="36" t="s">
        <v>48</v>
      </c>
      <c r="R49788" s="36" t="s">
        <v>48</v>
      </c>
    </row>
    <row r="49789">
      <c r="H49789" s="50"/>
      <c r="I49789" s="50"/>
      <c r="O49789" s="36" t="s">
        <v>48</v>
      </c>
      <c r="R49789" s="36" t="s">
        <v>48</v>
      </c>
    </row>
    <row r="49790">
      <c r="H49790" s="50"/>
      <c r="I49790" s="50"/>
      <c r="O49790" s="36" t="s">
        <v>48</v>
      </c>
      <c r="R49790" s="36" t="s">
        <v>48</v>
      </c>
    </row>
    <row r="49791">
      <c r="H49791" s="50"/>
      <c r="I49791" s="50"/>
      <c r="O49791" s="36" t="s">
        <v>48</v>
      </c>
      <c r="R49791" s="36" t="s">
        <v>48</v>
      </c>
    </row>
    <row r="49792">
      <c r="H49792" s="50"/>
      <c r="I49792" s="50"/>
      <c r="O49792" s="36" t="s">
        <v>48</v>
      </c>
      <c r="R49792" s="36" t="s">
        <v>48</v>
      </c>
    </row>
    <row r="49793">
      <c r="H49793" s="50"/>
      <c r="I49793" s="50"/>
      <c r="O49793" s="36" t="s">
        <v>48</v>
      </c>
      <c r="R49793" s="36" t="s">
        <v>48</v>
      </c>
    </row>
    <row r="49794">
      <c r="H49794" s="50"/>
      <c r="I49794" s="50"/>
      <c r="O49794" s="36" t="s">
        <v>48</v>
      </c>
      <c r="R49794" s="36" t="s">
        <v>48</v>
      </c>
    </row>
    <row r="49795">
      <c r="H49795" s="50"/>
      <c r="I49795" s="50"/>
      <c r="O49795" s="36" t="s">
        <v>48</v>
      </c>
      <c r="R49795" s="36" t="s">
        <v>48</v>
      </c>
    </row>
    <row r="49796">
      <c r="H49796" s="50"/>
      <c r="I49796" s="50"/>
      <c r="O49796" s="36" t="s">
        <v>48</v>
      </c>
      <c r="R49796" s="36" t="s">
        <v>48</v>
      </c>
    </row>
    <row r="49797">
      <c r="H49797" s="50"/>
      <c r="I49797" s="50"/>
      <c r="O49797" s="36" t="s">
        <v>48</v>
      </c>
      <c r="R49797" s="36" t="s">
        <v>48</v>
      </c>
    </row>
    <row r="49798">
      <c r="H49798" s="50"/>
      <c r="I49798" s="50"/>
      <c r="O49798" s="36" t="s">
        <v>48</v>
      </c>
      <c r="R49798" s="36" t="s">
        <v>48</v>
      </c>
    </row>
    <row r="49799">
      <c r="H49799" s="50"/>
      <c r="I49799" s="50"/>
      <c r="O49799" s="36" t="s">
        <v>48</v>
      </c>
      <c r="R49799" s="36" t="s">
        <v>48</v>
      </c>
    </row>
    <row r="49800">
      <c r="H49800" s="50"/>
      <c r="I49800" s="50"/>
      <c r="O49800" s="36" t="s">
        <v>48</v>
      </c>
      <c r="R49800" s="36" t="s">
        <v>48</v>
      </c>
    </row>
    <row r="49801">
      <c r="H49801" s="50"/>
      <c r="I49801" s="50"/>
      <c r="O49801" s="36" t="s">
        <v>48</v>
      </c>
      <c r="R49801" s="36" t="s">
        <v>48</v>
      </c>
    </row>
    <row r="49802">
      <c r="H49802" s="50"/>
      <c r="I49802" s="50"/>
      <c r="O49802" s="36" t="s">
        <v>48</v>
      </c>
      <c r="R49802" s="36" t="s">
        <v>48</v>
      </c>
    </row>
    <row r="49803">
      <c r="H49803" s="50"/>
      <c r="I49803" s="50"/>
      <c r="O49803" s="36" t="s">
        <v>48</v>
      </c>
      <c r="R49803" s="36" t="s">
        <v>48</v>
      </c>
    </row>
    <row r="49804">
      <c r="H49804" s="50"/>
      <c r="I49804" s="50"/>
      <c r="O49804" s="36" t="s">
        <v>48</v>
      </c>
      <c r="R49804" s="36" t="s">
        <v>48</v>
      </c>
    </row>
    <row r="49805">
      <c r="H49805" s="50"/>
      <c r="I49805" s="50"/>
      <c r="O49805" s="36" t="s">
        <v>48</v>
      </c>
      <c r="R49805" s="36" t="s">
        <v>48</v>
      </c>
    </row>
    <row r="49806">
      <c r="H49806" s="50"/>
      <c r="I49806" s="50"/>
      <c r="O49806" s="36" t="s">
        <v>48</v>
      </c>
      <c r="R49806" s="36" t="s">
        <v>48</v>
      </c>
    </row>
    <row r="49807">
      <c r="H49807" s="50"/>
      <c r="I49807" s="50"/>
      <c r="O49807" s="36" t="s">
        <v>48</v>
      </c>
      <c r="R49807" s="36" t="s">
        <v>48</v>
      </c>
    </row>
    <row r="49808">
      <c r="H49808" s="50"/>
      <c r="I49808" s="50"/>
      <c r="O49808" s="36" t="s">
        <v>48</v>
      </c>
      <c r="R49808" s="36" t="s">
        <v>48</v>
      </c>
    </row>
    <row r="49809">
      <c r="H49809" s="50"/>
      <c r="I49809" s="50"/>
      <c r="O49809" s="36" t="s">
        <v>48</v>
      </c>
      <c r="R49809" s="36" t="s">
        <v>48</v>
      </c>
    </row>
    <row r="49810">
      <c r="H49810" s="50"/>
      <c r="I49810" s="50"/>
      <c r="O49810" s="36" t="s">
        <v>48</v>
      </c>
      <c r="R49810" s="36" t="s">
        <v>48</v>
      </c>
    </row>
    <row r="49811">
      <c r="H49811" s="50"/>
      <c r="I49811" s="50"/>
      <c r="O49811" s="36" t="s">
        <v>48</v>
      </c>
      <c r="R49811" s="36" t="s">
        <v>48</v>
      </c>
    </row>
    <row r="49812">
      <c r="H49812" s="50"/>
      <c r="I49812" s="50"/>
      <c r="O49812" s="36" t="s">
        <v>48</v>
      </c>
      <c r="R49812" s="36" t="s">
        <v>48</v>
      </c>
    </row>
    <row r="49813">
      <c r="H49813" s="50"/>
      <c r="I49813" s="50"/>
      <c r="O49813" s="36" t="s">
        <v>48</v>
      </c>
      <c r="R49813" s="36" t="s">
        <v>48</v>
      </c>
    </row>
    <row r="49814">
      <c r="H49814" s="50"/>
      <c r="I49814" s="50"/>
      <c r="O49814" s="36" t="s">
        <v>48</v>
      </c>
      <c r="R49814" s="36" t="s">
        <v>48</v>
      </c>
    </row>
    <row r="49815">
      <c r="H49815" s="50"/>
      <c r="I49815" s="50"/>
      <c r="O49815" s="36" t="s">
        <v>48</v>
      </c>
      <c r="R49815" s="36" t="s">
        <v>48</v>
      </c>
    </row>
    <row r="49816">
      <c r="H49816" s="50"/>
      <c r="I49816" s="50"/>
      <c r="O49816" s="36" t="s">
        <v>48</v>
      </c>
      <c r="R49816" s="36" t="s">
        <v>48</v>
      </c>
    </row>
    <row r="49817">
      <c r="H49817" s="50"/>
      <c r="I49817" s="50"/>
      <c r="O49817" s="36" t="s">
        <v>48</v>
      </c>
      <c r="R49817" s="36" t="s">
        <v>48</v>
      </c>
    </row>
    <row r="49818">
      <c r="H49818" s="50"/>
      <c r="I49818" s="50"/>
      <c r="O49818" s="36" t="s">
        <v>48</v>
      </c>
      <c r="R49818" s="36" t="s">
        <v>48</v>
      </c>
    </row>
    <row r="49819">
      <c r="H49819" s="50"/>
      <c r="I49819" s="50"/>
      <c r="O49819" s="36" t="s">
        <v>48</v>
      </c>
      <c r="R49819" s="36" t="s">
        <v>48</v>
      </c>
    </row>
    <row r="49820">
      <c r="H49820" s="50"/>
      <c r="I49820" s="50"/>
      <c r="O49820" s="36" t="s">
        <v>48</v>
      </c>
      <c r="R49820" s="36" t="s">
        <v>48</v>
      </c>
    </row>
    <row r="49821">
      <c r="H49821" s="50"/>
      <c r="I49821" s="50"/>
      <c r="O49821" s="36" t="s">
        <v>48</v>
      </c>
      <c r="R49821" s="36" t="s">
        <v>48</v>
      </c>
    </row>
    <row r="49822">
      <c r="H49822" s="50"/>
      <c r="I49822" s="50"/>
      <c r="O49822" s="36" t="s">
        <v>48</v>
      </c>
      <c r="R49822" s="36" t="s">
        <v>48</v>
      </c>
    </row>
    <row r="49823">
      <c r="H49823" s="50"/>
      <c r="I49823" s="50"/>
      <c r="O49823" s="36" t="s">
        <v>48</v>
      </c>
      <c r="R49823" s="36" t="s">
        <v>48</v>
      </c>
    </row>
    <row r="49824">
      <c r="H49824" s="50"/>
      <c r="I49824" s="50"/>
      <c r="O49824" s="36" t="s">
        <v>48</v>
      </c>
      <c r="R49824" s="36" t="s">
        <v>48</v>
      </c>
    </row>
    <row r="49825">
      <c r="H49825" s="50"/>
      <c r="I49825" s="50"/>
      <c r="O49825" s="36" t="s">
        <v>48</v>
      </c>
      <c r="R49825" s="36" t="s">
        <v>48</v>
      </c>
    </row>
    <row r="49826">
      <c r="H49826" s="50"/>
      <c r="I49826" s="50"/>
      <c r="O49826" s="36" t="s">
        <v>48</v>
      </c>
      <c r="R49826" s="36" t="s">
        <v>48</v>
      </c>
    </row>
    <row r="49827">
      <c r="H49827" s="50"/>
      <c r="I49827" s="50"/>
      <c r="O49827" s="36" t="s">
        <v>48</v>
      </c>
      <c r="R49827" s="36" t="s">
        <v>48</v>
      </c>
    </row>
    <row r="49828">
      <c r="H49828" s="50"/>
      <c r="I49828" s="50"/>
      <c r="O49828" s="36" t="s">
        <v>48</v>
      </c>
      <c r="R49828" s="36" t="s">
        <v>48</v>
      </c>
    </row>
    <row r="49829">
      <c r="H49829" s="50"/>
      <c r="I49829" s="50"/>
      <c r="O49829" s="36" t="s">
        <v>48</v>
      </c>
      <c r="R49829" s="36" t="s">
        <v>48</v>
      </c>
    </row>
    <row r="49830">
      <c r="H49830" s="50"/>
      <c r="I49830" s="50"/>
      <c r="O49830" s="36" t="s">
        <v>48</v>
      </c>
      <c r="R49830" s="36" t="s">
        <v>48</v>
      </c>
    </row>
    <row r="49831">
      <c r="H49831" s="50"/>
      <c r="I49831" s="50"/>
      <c r="O49831" s="36" t="s">
        <v>48</v>
      </c>
      <c r="R49831" s="36" t="s">
        <v>48</v>
      </c>
    </row>
    <row r="49832">
      <c r="H49832" s="50"/>
      <c r="I49832" s="50"/>
      <c r="O49832" s="36" t="s">
        <v>48</v>
      </c>
      <c r="R49832" s="36" t="s">
        <v>48</v>
      </c>
    </row>
    <row r="49833">
      <c r="H49833" s="50"/>
      <c r="I49833" s="50"/>
      <c r="O49833" s="36" t="s">
        <v>48</v>
      </c>
      <c r="R49833" s="36" t="s">
        <v>48</v>
      </c>
    </row>
    <row r="49834">
      <c r="H49834" s="50"/>
      <c r="I49834" s="50"/>
      <c r="O49834" s="36" t="s">
        <v>48</v>
      </c>
      <c r="R49834" s="36" t="s">
        <v>48</v>
      </c>
    </row>
    <row r="49835">
      <c r="H49835" s="50"/>
      <c r="I49835" s="50"/>
      <c r="O49835" s="36" t="s">
        <v>48</v>
      </c>
      <c r="R49835" s="36" t="s">
        <v>48</v>
      </c>
    </row>
    <row r="49836">
      <c r="H49836" s="50"/>
      <c r="I49836" s="50"/>
      <c r="O49836" s="36" t="s">
        <v>48</v>
      </c>
      <c r="R49836" s="36" t="s">
        <v>48</v>
      </c>
    </row>
    <row r="49837">
      <c r="H49837" s="50"/>
      <c r="I49837" s="50"/>
      <c r="O49837" s="36" t="s">
        <v>48</v>
      </c>
      <c r="R49837" s="36" t="s">
        <v>48</v>
      </c>
    </row>
    <row r="49838">
      <c r="H49838" s="50"/>
      <c r="I49838" s="50"/>
      <c r="O49838" s="36" t="s">
        <v>48</v>
      </c>
      <c r="R49838" s="36" t="s">
        <v>48</v>
      </c>
    </row>
    <row r="49839">
      <c r="H49839" s="50"/>
      <c r="I49839" s="50"/>
      <c r="O49839" s="36" t="s">
        <v>48</v>
      </c>
      <c r="R49839" s="36" t="s">
        <v>48</v>
      </c>
    </row>
    <row r="49840">
      <c r="H49840" s="50"/>
      <c r="I49840" s="50"/>
      <c r="O49840" s="36" t="s">
        <v>48</v>
      </c>
      <c r="R49840" s="36" t="s">
        <v>48</v>
      </c>
    </row>
    <row r="49841">
      <c r="H49841" s="50"/>
      <c r="I49841" s="50"/>
      <c r="O49841" s="36" t="s">
        <v>48</v>
      </c>
      <c r="R49841" s="36" t="s">
        <v>48</v>
      </c>
    </row>
    <row r="49842">
      <c r="H49842" s="50"/>
      <c r="I49842" s="50"/>
      <c r="O49842" s="36" t="s">
        <v>48</v>
      </c>
      <c r="R49842" s="36" t="s">
        <v>48</v>
      </c>
    </row>
    <row r="49843">
      <c r="H49843" s="50"/>
      <c r="I49843" s="50"/>
      <c r="O49843" s="36" t="s">
        <v>48</v>
      </c>
      <c r="R49843" s="36" t="s">
        <v>48</v>
      </c>
    </row>
    <row r="49844">
      <c r="H49844" s="50"/>
      <c r="I49844" s="50"/>
      <c r="O49844" s="36" t="s">
        <v>48</v>
      </c>
      <c r="R49844" s="36" t="s">
        <v>48</v>
      </c>
    </row>
    <row r="49845">
      <c r="H49845" s="50"/>
      <c r="I49845" s="50"/>
      <c r="O49845" s="36" t="s">
        <v>48</v>
      </c>
      <c r="R49845" s="36" t="s">
        <v>48</v>
      </c>
    </row>
    <row r="49846">
      <c r="H49846" s="50"/>
      <c r="I49846" s="50"/>
      <c r="O49846" s="36" t="s">
        <v>48</v>
      </c>
      <c r="R49846" s="36" t="s">
        <v>48</v>
      </c>
    </row>
    <row r="49847">
      <c r="H49847" s="50"/>
      <c r="I49847" s="50"/>
      <c r="O49847" s="36" t="s">
        <v>48</v>
      </c>
      <c r="R49847" s="36" t="s">
        <v>48</v>
      </c>
    </row>
    <row r="49848">
      <c r="H49848" s="50"/>
      <c r="I49848" s="50"/>
      <c r="O49848" s="36" t="s">
        <v>48</v>
      </c>
      <c r="R49848" s="36" t="s">
        <v>48</v>
      </c>
    </row>
    <row r="49849">
      <c r="H49849" s="50"/>
      <c r="I49849" s="50"/>
      <c r="O49849" s="36" t="s">
        <v>48</v>
      </c>
      <c r="R49849" s="36" t="s">
        <v>48</v>
      </c>
    </row>
    <row r="49850">
      <c r="H49850" s="50"/>
      <c r="I49850" s="50"/>
      <c r="O49850" s="36" t="s">
        <v>48</v>
      </c>
      <c r="R49850" s="36" t="s">
        <v>48</v>
      </c>
    </row>
    <row r="49851">
      <c r="H49851" s="50"/>
      <c r="I49851" s="50"/>
      <c r="O49851" s="36" t="s">
        <v>48</v>
      </c>
      <c r="R49851" s="36" t="s">
        <v>48</v>
      </c>
    </row>
    <row r="49852">
      <c r="H49852" s="50"/>
      <c r="I49852" s="50"/>
      <c r="O49852" s="36" t="s">
        <v>48</v>
      </c>
      <c r="R49852" s="36" t="s">
        <v>48</v>
      </c>
    </row>
    <row r="49853">
      <c r="H49853" s="50"/>
      <c r="I49853" s="50"/>
      <c r="O49853" s="36" t="s">
        <v>48</v>
      </c>
      <c r="R49853" s="36" t="s">
        <v>48</v>
      </c>
    </row>
    <row r="49854">
      <c r="H49854" s="50"/>
      <c r="I49854" s="50"/>
      <c r="O49854" s="36" t="s">
        <v>48</v>
      </c>
      <c r="R49854" s="36" t="s">
        <v>48</v>
      </c>
    </row>
    <row r="49855">
      <c r="H49855" s="50"/>
      <c r="I49855" s="50"/>
      <c r="O49855" s="36" t="s">
        <v>48</v>
      </c>
      <c r="R49855" s="36" t="s">
        <v>48</v>
      </c>
    </row>
    <row r="49856">
      <c r="H49856" s="50"/>
      <c r="I49856" s="50"/>
      <c r="O49856" s="36" t="s">
        <v>48</v>
      </c>
      <c r="R49856" s="36" t="s">
        <v>48</v>
      </c>
    </row>
    <row r="49857">
      <c r="H49857" s="50"/>
      <c r="I49857" s="50"/>
      <c r="O49857" s="36" t="s">
        <v>48</v>
      </c>
      <c r="R49857" s="36" t="s">
        <v>48</v>
      </c>
    </row>
    <row r="49858">
      <c r="H49858" s="50"/>
      <c r="I49858" s="50"/>
      <c r="O49858" s="36" t="s">
        <v>48</v>
      </c>
      <c r="R49858" s="36" t="s">
        <v>48</v>
      </c>
    </row>
    <row r="49859">
      <c r="H49859" s="50"/>
      <c r="I49859" s="50"/>
      <c r="O49859" s="36" t="s">
        <v>48</v>
      </c>
      <c r="R49859" s="36" t="s">
        <v>48</v>
      </c>
    </row>
    <row r="49860">
      <c r="H49860" s="50"/>
      <c r="I49860" s="50"/>
      <c r="O49860" s="36" t="s">
        <v>48</v>
      </c>
      <c r="R49860" s="36" t="s">
        <v>48</v>
      </c>
    </row>
    <row r="49861">
      <c r="H49861" s="50"/>
      <c r="I49861" s="50"/>
      <c r="O49861" s="36" t="s">
        <v>48</v>
      </c>
      <c r="R49861" s="36" t="s">
        <v>48</v>
      </c>
    </row>
    <row r="49862">
      <c r="H49862" s="50"/>
      <c r="I49862" s="50"/>
      <c r="O49862" s="36" t="s">
        <v>48</v>
      </c>
      <c r="R49862" s="36" t="s">
        <v>48</v>
      </c>
    </row>
    <row r="49863">
      <c r="H49863" s="50"/>
      <c r="I49863" s="50"/>
      <c r="O49863" s="36" t="s">
        <v>48</v>
      </c>
      <c r="R49863" s="36" t="s">
        <v>48</v>
      </c>
    </row>
    <row r="49864">
      <c r="H49864" s="50"/>
      <c r="I49864" s="50"/>
      <c r="O49864" s="36" t="s">
        <v>48</v>
      </c>
      <c r="R49864" s="36" t="s">
        <v>48</v>
      </c>
    </row>
    <row r="49865">
      <c r="H49865" s="50"/>
      <c r="I49865" s="50"/>
      <c r="O49865" s="36" t="s">
        <v>48</v>
      </c>
      <c r="R49865" s="36" t="s">
        <v>48</v>
      </c>
    </row>
    <row r="49866">
      <c r="H49866" s="50"/>
      <c r="I49866" s="50"/>
      <c r="O49866" s="36" t="s">
        <v>48</v>
      </c>
      <c r="R49866" s="36" t="s">
        <v>48</v>
      </c>
    </row>
    <row r="49867">
      <c r="H49867" s="50"/>
      <c r="I49867" s="50"/>
      <c r="O49867" s="36" t="s">
        <v>48</v>
      </c>
      <c r="R49867" s="36" t="s">
        <v>48</v>
      </c>
    </row>
    <row r="49868">
      <c r="H49868" s="50"/>
      <c r="I49868" s="50"/>
      <c r="O49868" s="36" t="s">
        <v>48</v>
      </c>
      <c r="R49868" s="36" t="s">
        <v>48</v>
      </c>
    </row>
    <row r="49869">
      <c r="H49869" s="50"/>
      <c r="I49869" s="50"/>
      <c r="O49869" s="36" t="s">
        <v>48</v>
      </c>
      <c r="R49869" s="36" t="s">
        <v>48</v>
      </c>
    </row>
    <row r="49870">
      <c r="H49870" s="50"/>
      <c r="I49870" s="50"/>
      <c r="O49870" s="36" t="s">
        <v>48</v>
      </c>
      <c r="R49870" s="36" t="s">
        <v>48</v>
      </c>
    </row>
    <row r="49871">
      <c r="H49871" s="50"/>
      <c r="I49871" s="50"/>
      <c r="O49871" s="36" t="s">
        <v>48</v>
      </c>
      <c r="R49871" s="36" t="s">
        <v>48</v>
      </c>
    </row>
    <row r="49872">
      <c r="H49872" s="50"/>
      <c r="I49872" s="50"/>
      <c r="O49872" s="36" t="s">
        <v>48</v>
      </c>
      <c r="R49872" s="36" t="s">
        <v>48</v>
      </c>
    </row>
    <row r="49873">
      <c r="H49873" s="50"/>
      <c r="I49873" s="50"/>
      <c r="O49873" s="36" t="s">
        <v>48</v>
      </c>
      <c r="R49873" s="36" t="s">
        <v>48</v>
      </c>
    </row>
    <row r="49874">
      <c r="H49874" s="50"/>
      <c r="I49874" s="50"/>
      <c r="O49874" s="36" t="s">
        <v>48</v>
      </c>
      <c r="R49874" s="36" t="s">
        <v>48</v>
      </c>
    </row>
    <row r="49875">
      <c r="H49875" s="50"/>
      <c r="I49875" s="50"/>
      <c r="O49875" s="36" t="s">
        <v>48</v>
      </c>
      <c r="R49875" s="36" t="s">
        <v>48</v>
      </c>
    </row>
    <row r="49876">
      <c r="H49876" s="50"/>
      <c r="I49876" s="50"/>
      <c r="O49876" s="36" t="s">
        <v>48</v>
      </c>
      <c r="R49876" s="36" t="s">
        <v>48</v>
      </c>
    </row>
    <row r="49877">
      <c r="H49877" s="50"/>
      <c r="I49877" s="50"/>
      <c r="O49877" s="36" t="s">
        <v>48</v>
      </c>
      <c r="R49877" s="36" t="s">
        <v>48</v>
      </c>
    </row>
    <row r="49878">
      <c r="H49878" s="50"/>
      <c r="I49878" s="50"/>
      <c r="O49878" s="36" t="s">
        <v>48</v>
      </c>
      <c r="R49878" s="36" t="s">
        <v>48</v>
      </c>
    </row>
    <row r="49879">
      <c r="H49879" s="50"/>
      <c r="I49879" s="50"/>
      <c r="O49879" s="36" t="s">
        <v>48</v>
      </c>
      <c r="R49879" s="36" t="s">
        <v>48</v>
      </c>
    </row>
    <row r="49880">
      <c r="H49880" s="50"/>
      <c r="I49880" s="50"/>
      <c r="O49880" s="36" t="s">
        <v>48</v>
      </c>
      <c r="R49880" s="36" t="s">
        <v>48</v>
      </c>
    </row>
    <row r="49881">
      <c r="H49881" s="50"/>
      <c r="I49881" s="50"/>
      <c r="O49881" s="36" t="s">
        <v>48</v>
      </c>
      <c r="R49881" s="36" t="s">
        <v>48</v>
      </c>
    </row>
    <row r="49882">
      <c r="H49882" s="50"/>
      <c r="I49882" s="50"/>
      <c r="O49882" s="36" t="s">
        <v>48</v>
      </c>
      <c r="R49882" s="36" t="s">
        <v>48</v>
      </c>
    </row>
    <row r="49883">
      <c r="H49883" s="50"/>
      <c r="I49883" s="50"/>
      <c r="O49883" s="36" t="s">
        <v>48</v>
      </c>
      <c r="R49883" s="36" t="s">
        <v>48</v>
      </c>
    </row>
    <row r="49884">
      <c r="H49884" s="50"/>
      <c r="I49884" s="50"/>
      <c r="O49884" s="36" t="s">
        <v>48</v>
      </c>
      <c r="R49884" s="36" t="s">
        <v>48</v>
      </c>
    </row>
    <row r="49885">
      <c r="H49885" s="50"/>
      <c r="I49885" s="50"/>
      <c r="O49885" s="36" t="s">
        <v>48</v>
      </c>
      <c r="R49885" s="36" t="s">
        <v>48</v>
      </c>
    </row>
    <row r="49886">
      <c r="H49886" s="50"/>
      <c r="I49886" s="50"/>
      <c r="O49886" s="36" t="s">
        <v>48</v>
      </c>
      <c r="R49886" s="36" t="s">
        <v>48</v>
      </c>
    </row>
    <row r="49887">
      <c r="H49887" s="50"/>
      <c r="I49887" s="50"/>
      <c r="O49887" s="36" t="s">
        <v>48</v>
      </c>
      <c r="R49887" s="36" t="s">
        <v>48</v>
      </c>
    </row>
    <row r="49888">
      <c r="H49888" s="50"/>
      <c r="I49888" s="50"/>
      <c r="O49888" s="36" t="s">
        <v>48</v>
      </c>
      <c r="R49888" s="36" t="s">
        <v>48</v>
      </c>
    </row>
    <row r="49889">
      <c r="H49889" s="50"/>
      <c r="I49889" s="50"/>
      <c r="O49889" s="36" t="s">
        <v>48</v>
      </c>
      <c r="R49889" s="36" t="s">
        <v>48</v>
      </c>
    </row>
    <row r="49890">
      <c r="H49890" s="50"/>
      <c r="I49890" s="50"/>
      <c r="O49890" s="36" t="s">
        <v>48</v>
      </c>
      <c r="R49890" s="36" t="s">
        <v>48</v>
      </c>
    </row>
    <row r="49891">
      <c r="H49891" s="50"/>
      <c r="I49891" s="50"/>
      <c r="O49891" s="36" t="s">
        <v>48</v>
      </c>
      <c r="R49891" s="36" t="s">
        <v>48</v>
      </c>
    </row>
    <row r="49892">
      <c r="H49892" s="50"/>
      <c r="I49892" s="50"/>
      <c r="O49892" s="36" t="s">
        <v>48</v>
      </c>
      <c r="R49892" s="36" t="s">
        <v>48</v>
      </c>
    </row>
    <row r="49893">
      <c r="H49893" s="50"/>
      <c r="I49893" s="50"/>
      <c r="O49893" s="36" t="s">
        <v>48</v>
      </c>
      <c r="R49893" s="36" t="s">
        <v>48</v>
      </c>
    </row>
    <row r="49894">
      <c r="H49894" s="50"/>
      <c r="I49894" s="50"/>
      <c r="O49894" s="36" t="s">
        <v>48</v>
      </c>
      <c r="R49894" s="36" t="s">
        <v>48</v>
      </c>
    </row>
    <row r="49895">
      <c r="H49895" s="50"/>
      <c r="I49895" s="50"/>
      <c r="O49895" s="36" t="s">
        <v>48</v>
      </c>
      <c r="R49895" s="36" t="s">
        <v>48</v>
      </c>
    </row>
    <row r="49896">
      <c r="H49896" s="50"/>
      <c r="I49896" s="50"/>
      <c r="O49896" s="36" t="s">
        <v>48</v>
      </c>
      <c r="R49896" s="36" t="s">
        <v>48</v>
      </c>
    </row>
    <row r="49897">
      <c r="H49897" s="50"/>
      <c r="I49897" s="50"/>
      <c r="O49897" s="36" t="s">
        <v>48</v>
      </c>
      <c r="R49897" s="36" t="s">
        <v>48</v>
      </c>
    </row>
    <row r="49898">
      <c r="H49898" s="50"/>
      <c r="I49898" s="50"/>
      <c r="O49898" s="36" t="s">
        <v>48</v>
      </c>
      <c r="R49898" s="36" t="s">
        <v>48</v>
      </c>
    </row>
    <row r="49899">
      <c r="H49899" s="50"/>
      <c r="I49899" s="50"/>
      <c r="O49899" s="36" t="s">
        <v>48</v>
      </c>
      <c r="R49899" s="36" t="s">
        <v>48</v>
      </c>
    </row>
    <row r="49900">
      <c r="H49900" s="50"/>
      <c r="I49900" s="50"/>
      <c r="O49900" s="36" t="s">
        <v>48</v>
      </c>
      <c r="R49900" s="36" t="s">
        <v>48</v>
      </c>
    </row>
    <row r="49901">
      <c r="H49901" s="50"/>
      <c r="I49901" s="50"/>
      <c r="O49901" s="36" t="s">
        <v>48</v>
      </c>
      <c r="R49901" s="36" t="s">
        <v>48</v>
      </c>
    </row>
    <row r="49902">
      <c r="H49902" s="50"/>
      <c r="I49902" s="50"/>
      <c r="O49902" s="36" t="s">
        <v>48</v>
      </c>
      <c r="R49902" s="36" t="s">
        <v>48</v>
      </c>
    </row>
    <row r="49903">
      <c r="H49903" s="50"/>
      <c r="I49903" s="50"/>
      <c r="O49903" s="36" t="s">
        <v>48</v>
      </c>
      <c r="R49903" s="36" t="s">
        <v>48</v>
      </c>
    </row>
    <row r="49904">
      <c r="H49904" s="50"/>
      <c r="I49904" s="50"/>
      <c r="O49904" s="36" t="s">
        <v>48</v>
      </c>
      <c r="R49904" s="36" t="s">
        <v>48</v>
      </c>
    </row>
    <row r="49905">
      <c r="H49905" s="50"/>
      <c r="I49905" s="50"/>
      <c r="O49905" s="36" t="s">
        <v>48</v>
      </c>
      <c r="R49905" s="36" t="s">
        <v>48</v>
      </c>
    </row>
    <row r="49906">
      <c r="H49906" s="50"/>
      <c r="I49906" s="50"/>
      <c r="O49906" s="36" t="s">
        <v>48</v>
      </c>
      <c r="R49906" s="36" t="s">
        <v>48</v>
      </c>
    </row>
    <row r="49907">
      <c r="H49907" s="50"/>
      <c r="I49907" s="50"/>
      <c r="O49907" s="36" t="s">
        <v>48</v>
      </c>
      <c r="R49907" s="36" t="s">
        <v>48</v>
      </c>
    </row>
    <row r="49908">
      <c r="H49908" s="50"/>
      <c r="I49908" s="50"/>
      <c r="O49908" s="36" t="s">
        <v>48</v>
      </c>
      <c r="R49908" s="36" t="s">
        <v>48</v>
      </c>
    </row>
    <row r="49909">
      <c r="H49909" s="50"/>
      <c r="I49909" s="50"/>
      <c r="O49909" s="36" t="s">
        <v>48</v>
      </c>
      <c r="R49909" s="36" t="s">
        <v>48</v>
      </c>
    </row>
    <row r="49910">
      <c r="H49910" s="50"/>
      <c r="I49910" s="50"/>
      <c r="O49910" s="36" t="s">
        <v>48</v>
      </c>
      <c r="R49910" s="36" t="s">
        <v>48</v>
      </c>
    </row>
    <row r="49911">
      <c r="H49911" s="50"/>
      <c r="I49911" s="50"/>
      <c r="O49911" s="36" t="s">
        <v>48</v>
      </c>
      <c r="R49911" s="36" t="s">
        <v>48</v>
      </c>
    </row>
    <row r="49912">
      <c r="H49912" s="50"/>
      <c r="I49912" s="50"/>
      <c r="O49912" s="36" t="s">
        <v>48</v>
      </c>
      <c r="R49912" s="36" t="s">
        <v>48</v>
      </c>
    </row>
    <row r="49913">
      <c r="H49913" s="50"/>
      <c r="I49913" s="50"/>
      <c r="O49913" s="36" t="s">
        <v>48</v>
      </c>
      <c r="R49913" s="36" t="s">
        <v>48</v>
      </c>
    </row>
    <row r="49914">
      <c r="H49914" s="50"/>
      <c r="I49914" s="50"/>
      <c r="O49914" s="36" t="s">
        <v>48</v>
      </c>
      <c r="R49914" s="36" t="s">
        <v>48</v>
      </c>
    </row>
    <row r="49915">
      <c r="H49915" s="50"/>
      <c r="I49915" s="50"/>
      <c r="O49915" s="36" t="s">
        <v>48</v>
      </c>
      <c r="R49915" s="36" t="s">
        <v>48</v>
      </c>
    </row>
    <row r="49916">
      <c r="H49916" s="50"/>
      <c r="I49916" s="50"/>
      <c r="O49916" s="36" t="s">
        <v>48</v>
      </c>
      <c r="R49916" s="36" t="s">
        <v>48</v>
      </c>
    </row>
    <row r="49917">
      <c r="H49917" s="50"/>
      <c r="I49917" s="50"/>
      <c r="O49917" s="36" t="s">
        <v>48</v>
      </c>
      <c r="R49917" s="36" t="s">
        <v>48</v>
      </c>
    </row>
    <row r="49918">
      <c r="H49918" s="50"/>
      <c r="I49918" s="50"/>
      <c r="O49918" s="36" t="s">
        <v>48</v>
      </c>
      <c r="R49918" s="36" t="s">
        <v>48</v>
      </c>
    </row>
    <row r="49919">
      <c r="H49919" s="50"/>
      <c r="I49919" s="50"/>
      <c r="O49919" s="36" t="s">
        <v>48</v>
      </c>
      <c r="R49919" s="36" t="s">
        <v>48</v>
      </c>
    </row>
    <row r="49920">
      <c r="H49920" s="50"/>
      <c r="I49920" s="50"/>
      <c r="O49920" s="36" t="s">
        <v>48</v>
      </c>
      <c r="R49920" s="36" t="s">
        <v>48</v>
      </c>
    </row>
    <row r="49921">
      <c r="H49921" s="50"/>
      <c r="I49921" s="50"/>
      <c r="O49921" s="36" t="s">
        <v>48</v>
      </c>
      <c r="R49921" s="36" t="s">
        <v>48</v>
      </c>
    </row>
    <row r="49922">
      <c r="H49922" s="50"/>
      <c r="I49922" s="50"/>
      <c r="O49922" s="36" t="s">
        <v>48</v>
      </c>
      <c r="R49922" s="36" t="s">
        <v>48</v>
      </c>
    </row>
    <row r="49923">
      <c r="H49923" s="50"/>
      <c r="I49923" s="50"/>
      <c r="O49923" s="36" t="s">
        <v>48</v>
      </c>
      <c r="R49923" s="36" t="s">
        <v>48</v>
      </c>
    </row>
    <row r="49924">
      <c r="H49924" s="50"/>
      <c r="I49924" s="50"/>
      <c r="O49924" s="36" t="s">
        <v>48</v>
      </c>
      <c r="R49924" s="36" t="s">
        <v>48</v>
      </c>
    </row>
    <row r="49925">
      <c r="H49925" s="50"/>
      <c r="I49925" s="50"/>
      <c r="O49925" s="36" t="s">
        <v>48</v>
      </c>
      <c r="R49925" s="36" t="s">
        <v>48</v>
      </c>
    </row>
    <row r="49926">
      <c r="H49926" s="50"/>
      <c r="I49926" s="50"/>
      <c r="O49926" s="36" t="s">
        <v>48</v>
      </c>
      <c r="R49926" s="36" t="s">
        <v>48</v>
      </c>
    </row>
    <row r="49927">
      <c r="H49927" s="50"/>
      <c r="I49927" s="50"/>
      <c r="O49927" s="36" t="s">
        <v>48</v>
      </c>
      <c r="R49927" s="36" t="s">
        <v>48</v>
      </c>
    </row>
    <row r="49928">
      <c r="H49928" s="50"/>
      <c r="I49928" s="50"/>
      <c r="O49928" s="36" t="s">
        <v>48</v>
      </c>
      <c r="R49928" s="36" t="s">
        <v>48</v>
      </c>
    </row>
    <row r="49929">
      <c r="H49929" s="50"/>
      <c r="I49929" s="50"/>
      <c r="O49929" s="36" t="s">
        <v>48</v>
      </c>
      <c r="R49929" s="36" t="s">
        <v>48</v>
      </c>
    </row>
    <row r="49930">
      <c r="H49930" s="50"/>
      <c r="I49930" s="50"/>
      <c r="O49930" s="36" t="s">
        <v>48</v>
      </c>
      <c r="R49930" s="36" t="s">
        <v>48</v>
      </c>
    </row>
    <row r="49931">
      <c r="H49931" s="50"/>
      <c r="I49931" s="50"/>
      <c r="O49931" s="36" t="s">
        <v>48</v>
      </c>
      <c r="R49931" s="36" t="s">
        <v>48</v>
      </c>
    </row>
    <row r="49932">
      <c r="H49932" s="50"/>
      <c r="I49932" s="50"/>
      <c r="O49932" s="36" t="s">
        <v>48</v>
      </c>
      <c r="R49932" s="36" t="s">
        <v>48</v>
      </c>
    </row>
    <row r="49933">
      <c r="H49933" s="50"/>
      <c r="I49933" s="50"/>
      <c r="O49933" s="36" t="s">
        <v>48</v>
      </c>
      <c r="R49933" s="36" t="s">
        <v>48</v>
      </c>
    </row>
    <row r="49934">
      <c r="H49934" s="50"/>
      <c r="I49934" s="50"/>
      <c r="O49934" s="36" t="s">
        <v>48</v>
      </c>
      <c r="R49934" s="36" t="s">
        <v>48</v>
      </c>
    </row>
    <row r="49935">
      <c r="H49935" s="50"/>
      <c r="I49935" s="50"/>
      <c r="O49935" s="36" t="s">
        <v>48</v>
      </c>
      <c r="R49935" s="36" t="s">
        <v>48</v>
      </c>
    </row>
    <row r="49936">
      <c r="H49936" s="50"/>
      <c r="I49936" s="50"/>
      <c r="O49936" s="36" t="s">
        <v>48</v>
      </c>
      <c r="R49936" s="36" t="s">
        <v>48</v>
      </c>
    </row>
    <row r="49937">
      <c r="H49937" s="50"/>
      <c r="I49937" s="50"/>
      <c r="O49937" s="36" t="s">
        <v>48</v>
      </c>
      <c r="R49937" s="36" t="s">
        <v>48</v>
      </c>
    </row>
    <row r="49938">
      <c r="H49938" s="50"/>
      <c r="I49938" s="50"/>
      <c r="O49938" s="36" t="s">
        <v>48</v>
      </c>
      <c r="R49938" s="36" t="s">
        <v>48</v>
      </c>
    </row>
    <row r="49939">
      <c r="H49939" s="50"/>
      <c r="I49939" s="50"/>
      <c r="O49939" s="36" t="s">
        <v>48</v>
      </c>
      <c r="R49939" s="36" t="s">
        <v>48</v>
      </c>
    </row>
    <row r="49940">
      <c r="H49940" s="50"/>
      <c r="I49940" s="50"/>
      <c r="O49940" s="36" t="s">
        <v>48</v>
      </c>
      <c r="R49940" s="36" t="s">
        <v>48</v>
      </c>
    </row>
    <row r="49941">
      <c r="H49941" s="50"/>
      <c r="I49941" s="50"/>
      <c r="O49941" s="36" t="s">
        <v>48</v>
      </c>
      <c r="R49941" s="36" t="s">
        <v>48</v>
      </c>
    </row>
    <row r="49942">
      <c r="H49942" s="50"/>
      <c r="I49942" s="50"/>
      <c r="O49942" s="36" t="s">
        <v>48</v>
      </c>
      <c r="R49942" s="36" t="s">
        <v>48</v>
      </c>
    </row>
    <row r="49943">
      <c r="H49943" s="50"/>
      <c r="I49943" s="50"/>
      <c r="O49943" s="36" t="s">
        <v>48</v>
      </c>
      <c r="R49943" s="36" t="s">
        <v>48</v>
      </c>
    </row>
    <row r="49944">
      <c r="H49944" s="50"/>
      <c r="I49944" s="50"/>
      <c r="O49944" s="36" t="s">
        <v>48</v>
      </c>
      <c r="R49944" s="36" t="s">
        <v>48</v>
      </c>
    </row>
    <row r="49945">
      <c r="H49945" s="50"/>
      <c r="I49945" s="50"/>
      <c r="O49945" s="36" t="s">
        <v>48</v>
      </c>
      <c r="R49945" s="36" t="s">
        <v>48</v>
      </c>
    </row>
    <row r="49946">
      <c r="H49946" s="50"/>
      <c r="I49946" s="50"/>
      <c r="O49946" s="36" t="s">
        <v>48</v>
      </c>
      <c r="R49946" s="36" t="s">
        <v>48</v>
      </c>
    </row>
    <row r="49947">
      <c r="H49947" s="50"/>
      <c r="I49947" s="50"/>
      <c r="O49947" s="36" t="s">
        <v>48</v>
      </c>
      <c r="R49947" s="36" t="s">
        <v>48</v>
      </c>
    </row>
    <row r="49948">
      <c r="H49948" s="50"/>
      <c r="I49948" s="50"/>
      <c r="O49948" s="36" t="s">
        <v>48</v>
      </c>
      <c r="R49948" s="36" t="s">
        <v>48</v>
      </c>
    </row>
    <row r="49949">
      <c r="H49949" s="50"/>
      <c r="I49949" s="50"/>
      <c r="O49949" s="36" t="s">
        <v>48</v>
      </c>
      <c r="R49949" s="36" t="s">
        <v>48</v>
      </c>
    </row>
    <row r="49950">
      <c r="H49950" s="50"/>
      <c r="I49950" s="50"/>
      <c r="O49950" s="36" t="s">
        <v>48</v>
      </c>
      <c r="R49950" s="36" t="s">
        <v>48</v>
      </c>
    </row>
    <row r="49951">
      <c r="H49951" s="50"/>
      <c r="I49951" s="50"/>
      <c r="O49951" s="36" t="s">
        <v>48</v>
      </c>
      <c r="R49951" s="36" t="s">
        <v>48</v>
      </c>
    </row>
    <row r="49952">
      <c r="H49952" s="50"/>
      <c r="I49952" s="50"/>
      <c r="O49952" s="36" t="s">
        <v>48</v>
      </c>
      <c r="R49952" s="36" t="s">
        <v>48</v>
      </c>
    </row>
    <row r="49953">
      <c r="H49953" s="50"/>
      <c r="I49953" s="50"/>
      <c r="O49953" s="36" t="s">
        <v>48</v>
      </c>
      <c r="R49953" s="36" t="s">
        <v>48</v>
      </c>
    </row>
    <row r="49954">
      <c r="H49954" s="50"/>
      <c r="I49954" s="50"/>
      <c r="O49954" s="36" t="s">
        <v>48</v>
      </c>
      <c r="R49954" s="36" t="s">
        <v>48</v>
      </c>
    </row>
    <row r="49955">
      <c r="H49955" s="50"/>
      <c r="I49955" s="50"/>
      <c r="O49955" s="36" t="s">
        <v>48</v>
      </c>
      <c r="R49955" s="36" t="s">
        <v>48</v>
      </c>
    </row>
    <row r="49956">
      <c r="H49956" s="50"/>
      <c r="I49956" s="50"/>
      <c r="O49956" s="36" t="s">
        <v>48</v>
      </c>
      <c r="R49956" s="36" t="s">
        <v>48</v>
      </c>
    </row>
    <row r="49957">
      <c r="H49957" s="50"/>
      <c r="I49957" s="50"/>
      <c r="O49957" s="36" t="s">
        <v>48</v>
      </c>
      <c r="R49957" s="36" t="s">
        <v>48</v>
      </c>
    </row>
    <row r="49958">
      <c r="H49958" s="50"/>
      <c r="I49958" s="50"/>
      <c r="O49958" s="36" t="s">
        <v>48</v>
      </c>
      <c r="R49958" s="36" t="s">
        <v>48</v>
      </c>
    </row>
    <row r="49959">
      <c r="H49959" s="50"/>
      <c r="I49959" s="50"/>
      <c r="O49959" s="36" t="s">
        <v>48</v>
      </c>
      <c r="R49959" s="36" t="s">
        <v>48</v>
      </c>
    </row>
    <row r="49960">
      <c r="H49960" s="50"/>
      <c r="I49960" s="50"/>
      <c r="O49960" s="36" t="s">
        <v>48</v>
      </c>
      <c r="R49960" s="36" t="s">
        <v>48</v>
      </c>
    </row>
    <row r="49961">
      <c r="H49961" s="50"/>
      <c r="I49961" s="50"/>
      <c r="O49961" s="36" t="s">
        <v>48</v>
      </c>
      <c r="R49961" s="36" t="s">
        <v>48</v>
      </c>
    </row>
    <row r="49962">
      <c r="H49962" s="50"/>
      <c r="I49962" s="50"/>
      <c r="O49962" s="36" t="s">
        <v>48</v>
      </c>
      <c r="R49962" s="36" t="s">
        <v>48</v>
      </c>
    </row>
    <row r="49963">
      <c r="H49963" s="50"/>
      <c r="I49963" s="50"/>
      <c r="O49963" s="36" t="s">
        <v>48</v>
      </c>
      <c r="R49963" s="36" t="s">
        <v>48</v>
      </c>
    </row>
    <row r="49964">
      <c r="H49964" s="50"/>
      <c r="I49964" s="50"/>
      <c r="O49964" s="36" t="s">
        <v>48</v>
      </c>
      <c r="R49964" s="36" t="s">
        <v>48</v>
      </c>
    </row>
    <row r="49965">
      <c r="H49965" s="50"/>
      <c r="I49965" s="50"/>
      <c r="O49965" s="36" t="s">
        <v>48</v>
      </c>
      <c r="R49965" s="36" t="s">
        <v>48</v>
      </c>
    </row>
    <row r="49966">
      <c r="H49966" s="50"/>
      <c r="I49966" s="50"/>
      <c r="O49966" s="36" t="s">
        <v>48</v>
      </c>
      <c r="R49966" s="36" t="s">
        <v>48</v>
      </c>
    </row>
    <row r="49967">
      <c r="H49967" s="50"/>
      <c r="I49967" s="50"/>
      <c r="O49967" s="36" t="s">
        <v>48</v>
      </c>
      <c r="R49967" s="36" t="s">
        <v>48</v>
      </c>
    </row>
    <row r="49968">
      <c r="H49968" s="50"/>
      <c r="I49968" s="50"/>
      <c r="O49968" s="36" t="s">
        <v>48</v>
      </c>
      <c r="R49968" s="36" t="s">
        <v>48</v>
      </c>
    </row>
    <row r="49969">
      <c r="H49969" s="50"/>
      <c r="I49969" s="50"/>
      <c r="O49969" s="36" t="s">
        <v>48</v>
      </c>
      <c r="R49969" s="36" t="s">
        <v>48</v>
      </c>
    </row>
    <row r="49970">
      <c r="H49970" s="50"/>
      <c r="I49970" s="50"/>
      <c r="O49970" s="36" t="s">
        <v>48</v>
      </c>
      <c r="R49970" s="36" t="s">
        <v>48</v>
      </c>
    </row>
    <row r="49971">
      <c r="H49971" s="50"/>
      <c r="I49971" s="50"/>
      <c r="O49971" s="36" t="s">
        <v>48</v>
      </c>
      <c r="R49971" s="36" t="s">
        <v>48</v>
      </c>
    </row>
    <row r="49972">
      <c r="H49972" s="50"/>
      <c r="I49972" s="50"/>
      <c r="O49972" s="36" t="s">
        <v>48</v>
      </c>
      <c r="R49972" s="36" t="s">
        <v>48</v>
      </c>
    </row>
    <row r="49973">
      <c r="H49973" s="50"/>
      <c r="I49973" s="50"/>
      <c r="O49973" s="36" t="s">
        <v>48</v>
      </c>
      <c r="R49973" s="36" t="s">
        <v>48</v>
      </c>
    </row>
    <row r="49974">
      <c r="H49974" s="50"/>
      <c r="I49974" s="50"/>
      <c r="O49974" s="36" t="s">
        <v>48</v>
      </c>
      <c r="R49974" s="36" t="s">
        <v>48</v>
      </c>
    </row>
    <row r="49975">
      <c r="H49975" s="50"/>
      <c r="I49975" s="50"/>
      <c r="O49975" s="36" t="s">
        <v>48</v>
      </c>
      <c r="R49975" s="36" t="s">
        <v>48</v>
      </c>
    </row>
    <row r="49976">
      <c r="H49976" s="50"/>
      <c r="I49976" s="50"/>
      <c r="O49976" s="36" t="s">
        <v>48</v>
      </c>
      <c r="R49976" s="36" t="s">
        <v>48</v>
      </c>
    </row>
    <row r="49977">
      <c r="H49977" s="50"/>
      <c r="I49977" s="50"/>
      <c r="O49977" s="36" t="s">
        <v>48</v>
      </c>
      <c r="R49977" s="36" t="s">
        <v>48</v>
      </c>
    </row>
    <row r="49978">
      <c r="H49978" s="50"/>
      <c r="I49978" s="50"/>
      <c r="O49978" s="36" t="s">
        <v>48</v>
      </c>
      <c r="R49978" s="36" t="s">
        <v>48</v>
      </c>
    </row>
    <row r="49979">
      <c r="H49979" s="50"/>
      <c r="I49979" s="50"/>
      <c r="O49979" s="36" t="s">
        <v>48</v>
      </c>
      <c r="R49979" s="36" t="s">
        <v>48</v>
      </c>
    </row>
    <row r="49980">
      <c r="H49980" s="50"/>
      <c r="I49980" s="50"/>
      <c r="O49980" s="36" t="s">
        <v>48</v>
      </c>
      <c r="R49980" s="36" t="s">
        <v>48</v>
      </c>
    </row>
    <row r="49981">
      <c r="H49981" s="50"/>
      <c r="I49981" s="50"/>
      <c r="O49981" s="36" t="s">
        <v>48</v>
      </c>
      <c r="R49981" s="36" t="s">
        <v>48</v>
      </c>
    </row>
    <row r="49982">
      <c r="H49982" s="50"/>
      <c r="I49982" s="50"/>
      <c r="O49982" s="36" t="s">
        <v>48</v>
      </c>
      <c r="R49982" s="36" t="s">
        <v>48</v>
      </c>
    </row>
    <row r="49983">
      <c r="H49983" s="50"/>
      <c r="I49983" s="50"/>
      <c r="O49983" s="36" t="s">
        <v>48</v>
      </c>
      <c r="R49983" s="36" t="s">
        <v>48</v>
      </c>
    </row>
    <row r="49984">
      <c r="H49984" s="50"/>
      <c r="I49984" s="50"/>
      <c r="O49984" s="36" t="s">
        <v>48</v>
      </c>
      <c r="R49984" s="36" t="s">
        <v>48</v>
      </c>
    </row>
    <row r="49985">
      <c r="H49985" s="50"/>
      <c r="I49985" s="50"/>
      <c r="O49985" s="36" t="s">
        <v>48</v>
      </c>
      <c r="R49985" s="36" t="s">
        <v>48</v>
      </c>
    </row>
    <row r="49986">
      <c r="H49986" s="50"/>
      <c r="I49986" s="50"/>
      <c r="O49986" s="36" t="s">
        <v>48</v>
      </c>
      <c r="R49986" s="36" t="s">
        <v>48</v>
      </c>
    </row>
    <row r="49987">
      <c r="H49987" s="50"/>
      <c r="I49987" s="50"/>
      <c r="O49987" s="36" t="s">
        <v>48</v>
      </c>
      <c r="R49987" s="36" t="s">
        <v>48</v>
      </c>
    </row>
    <row r="49988">
      <c r="H49988" s="50"/>
      <c r="I49988" s="50"/>
      <c r="O49988" s="36" t="s">
        <v>48</v>
      </c>
      <c r="R49988" s="36" t="s">
        <v>48</v>
      </c>
    </row>
    <row r="49989">
      <c r="H49989" s="50"/>
      <c r="I49989" s="50"/>
      <c r="O49989" s="36" t="s">
        <v>48</v>
      </c>
      <c r="R49989" s="36" t="s">
        <v>48</v>
      </c>
    </row>
    <row r="49990">
      <c r="H49990" s="50"/>
      <c r="I49990" s="50"/>
      <c r="O49990" s="36" t="s">
        <v>48</v>
      </c>
      <c r="R49990" s="36" t="s">
        <v>48</v>
      </c>
    </row>
    <row r="49991">
      <c r="H49991" s="50"/>
      <c r="I49991" s="50"/>
      <c r="O49991" s="36" t="s">
        <v>48</v>
      </c>
      <c r="R49991" s="36" t="s">
        <v>48</v>
      </c>
    </row>
    <row r="49992">
      <c r="H49992" s="50"/>
      <c r="I49992" s="50"/>
      <c r="O49992" s="36" t="s">
        <v>48</v>
      </c>
      <c r="R49992" s="36" t="s">
        <v>48</v>
      </c>
    </row>
    <row r="49993">
      <c r="H49993" s="50"/>
      <c r="I49993" s="50"/>
      <c r="O49993" s="36" t="s">
        <v>48</v>
      </c>
      <c r="R49993" s="36" t="s">
        <v>48</v>
      </c>
    </row>
    <row r="49994">
      <c r="H49994" s="50"/>
      <c r="I49994" s="50"/>
      <c r="O49994" s="36" t="s">
        <v>48</v>
      </c>
      <c r="R49994" s="36" t="s">
        <v>48</v>
      </c>
    </row>
    <row r="49995">
      <c r="H49995" s="50"/>
      <c r="I49995" s="50"/>
      <c r="O49995" s="36" t="s">
        <v>48</v>
      </c>
      <c r="R49995" s="36" t="s">
        <v>48</v>
      </c>
    </row>
    <row r="49996">
      <c r="H49996" s="50"/>
      <c r="I49996" s="50"/>
      <c r="O49996" s="36" t="s">
        <v>48</v>
      </c>
      <c r="R49996" s="36" t="s">
        <v>48</v>
      </c>
    </row>
    <row r="49997">
      <c r="H49997" s="50"/>
      <c r="I49997" s="50"/>
      <c r="O49997" s="36" t="s">
        <v>48</v>
      </c>
      <c r="R49997" s="36" t="s">
        <v>48</v>
      </c>
    </row>
    <row r="49998">
      <c r="H49998" s="50"/>
      <c r="I49998" s="50"/>
      <c r="O49998" s="36" t="s">
        <v>48</v>
      </c>
      <c r="R49998" s="36" t="s">
        <v>48</v>
      </c>
    </row>
    <row r="49999">
      <c r="H49999" s="50"/>
      <c r="I49999" s="50"/>
      <c r="O49999" s="36" t="s">
        <v>48</v>
      </c>
      <c r="R49999" s="36" t="s">
        <v>48</v>
      </c>
    </row>
    <row r="50000">
      <c r="H50000" s="50"/>
      <c r="I50000" s="50"/>
      <c r="O50000" s="36" t="s">
        <v>48</v>
      </c>
      <c r="R50000" s="36" t="s">
        <v>48</v>
      </c>
    </row>
    <row r="50001">
      <c r="H50001" s="50"/>
      <c r="I50001" s="50"/>
      <c r="O50001" s="36" t="s">
        <v>48</v>
      </c>
      <c r="R50001" s="36" t="s">
        <v>48</v>
      </c>
    </row>
    <row r="50002">
      <c r="H50002" s="50"/>
      <c r="I50002" s="50"/>
      <c r="O50002" s="36" t="s">
        <v>48</v>
      </c>
      <c r="R50002" s="36" t="s">
        <v>48</v>
      </c>
    </row>
    <row r="50003">
      <c r="H50003" s="50"/>
      <c r="I50003" s="50"/>
      <c r="O50003" s="36" t="s">
        <v>48</v>
      </c>
      <c r="R50003" s="36" t="s">
        <v>48</v>
      </c>
    </row>
    <row r="50004">
      <c r="H50004" s="50"/>
      <c r="I50004" s="50"/>
      <c r="O50004" s="36" t="s">
        <v>48</v>
      </c>
      <c r="R50004" s="36" t="s">
        <v>48</v>
      </c>
    </row>
    <row r="50005">
      <c r="H50005" s="50"/>
      <c r="I50005" s="50"/>
      <c r="O50005" s="36" t="s">
        <v>48</v>
      </c>
      <c r="R50005" s="36" t="s">
        <v>48</v>
      </c>
    </row>
    <row r="50006">
      <c r="H50006" s="50"/>
      <c r="I50006" s="50"/>
      <c r="O50006" s="36" t="s">
        <v>48</v>
      </c>
      <c r="R50006" s="36" t="s">
        <v>48</v>
      </c>
    </row>
    <row r="50007">
      <c r="H50007" s="50"/>
      <c r="I50007" s="50"/>
      <c r="O50007" s="36" t="s">
        <v>48</v>
      </c>
      <c r="R50007" s="36" t="s">
        <v>48</v>
      </c>
    </row>
    <row r="50008">
      <c r="H50008" s="50"/>
      <c r="I50008" s="50"/>
      <c r="O50008" s="36" t="s">
        <v>48</v>
      </c>
      <c r="R50008" s="36" t="s">
        <v>48</v>
      </c>
    </row>
    <row r="50009">
      <c r="H50009" s="50"/>
      <c r="I50009" s="50"/>
      <c r="O50009" s="36" t="s">
        <v>48</v>
      </c>
      <c r="R50009" s="36" t="s">
        <v>48</v>
      </c>
    </row>
    <row r="50010">
      <c r="H50010" s="50"/>
      <c r="I50010" s="50"/>
      <c r="O50010" s="36" t="s">
        <v>48</v>
      </c>
      <c r="R50010" s="36" t="s">
        <v>48</v>
      </c>
    </row>
    <row r="50011">
      <c r="H50011" s="50"/>
      <c r="I50011" s="50"/>
      <c r="O50011" s="36" t="s">
        <v>48</v>
      </c>
      <c r="R50011" s="36" t="s">
        <v>48</v>
      </c>
    </row>
    <row r="50012">
      <c r="H50012" s="50"/>
      <c r="I50012" s="50"/>
      <c r="O50012" s="36" t="s">
        <v>48</v>
      </c>
      <c r="R50012" s="36" t="s">
        <v>48</v>
      </c>
    </row>
    <row r="50013">
      <c r="H50013" s="50"/>
      <c r="I50013" s="50"/>
      <c r="O50013" s="36" t="s">
        <v>48</v>
      </c>
      <c r="R50013" s="36" t="s">
        <v>48</v>
      </c>
    </row>
    <row r="50014">
      <c r="H50014" s="50"/>
      <c r="I50014" s="50"/>
      <c r="O50014" s="36" t="s">
        <v>48</v>
      </c>
      <c r="R50014" s="36" t="s">
        <v>48</v>
      </c>
    </row>
    <row r="50015">
      <c r="H50015" s="50"/>
      <c r="I50015" s="50"/>
      <c r="O50015" s="36" t="s">
        <v>48</v>
      </c>
      <c r="R50015" s="36" t="s">
        <v>48</v>
      </c>
    </row>
    <row r="50016">
      <c r="H50016" s="50"/>
      <c r="I50016" s="50"/>
      <c r="O50016" s="36" t="s">
        <v>48</v>
      </c>
      <c r="R50016" s="36" t="s">
        <v>48</v>
      </c>
    </row>
    <row r="50017">
      <c r="H50017" s="50"/>
      <c r="I50017" s="50"/>
      <c r="O50017" s="36" t="s">
        <v>48</v>
      </c>
      <c r="R50017" s="36" t="s">
        <v>48</v>
      </c>
    </row>
    <row r="50018">
      <c r="H50018" s="50"/>
      <c r="I50018" s="50"/>
      <c r="O50018" s="36" t="s">
        <v>48</v>
      </c>
      <c r="R50018" s="36" t="s">
        <v>48</v>
      </c>
    </row>
    <row r="50019">
      <c r="H50019" s="50"/>
      <c r="I50019" s="50"/>
      <c r="O50019" s="36" t="s">
        <v>48</v>
      </c>
      <c r="R50019" s="36" t="s">
        <v>48</v>
      </c>
    </row>
    <row r="50020">
      <c r="H50020" s="50"/>
      <c r="I50020" s="50"/>
      <c r="O50020" s="36" t="s">
        <v>48</v>
      </c>
      <c r="R50020" s="36" t="s">
        <v>48</v>
      </c>
    </row>
    <row r="50021">
      <c r="H50021" s="50"/>
      <c r="I50021" s="50"/>
      <c r="O50021" s="36" t="s">
        <v>48</v>
      </c>
      <c r="R50021" s="36" t="s">
        <v>48</v>
      </c>
    </row>
    <row r="50022">
      <c r="H50022" s="50"/>
      <c r="I50022" s="50"/>
      <c r="O50022" s="36" t="s">
        <v>48</v>
      </c>
      <c r="R50022" s="36" t="s">
        <v>48</v>
      </c>
    </row>
    <row r="50023">
      <c r="H50023" s="50"/>
      <c r="I50023" s="50"/>
      <c r="O50023" s="36" t="s">
        <v>48</v>
      </c>
      <c r="R50023" s="36" t="s">
        <v>48</v>
      </c>
    </row>
    <row r="50024">
      <c r="H50024" s="50"/>
      <c r="I50024" s="50"/>
      <c r="O50024" s="36" t="s">
        <v>48</v>
      </c>
      <c r="R50024" s="36" t="s">
        <v>48</v>
      </c>
    </row>
    <row r="50025">
      <c r="H50025" s="50"/>
      <c r="I50025" s="50"/>
      <c r="O50025" s="36" t="s">
        <v>48</v>
      </c>
      <c r="R50025" s="36" t="s">
        <v>48</v>
      </c>
    </row>
    <row r="50026">
      <c r="H50026" s="50"/>
      <c r="I50026" s="50"/>
      <c r="O50026" s="36" t="s">
        <v>48</v>
      </c>
      <c r="R50026" s="36" t="s">
        <v>48</v>
      </c>
    </row>
    <row r="50027">
      <c r="H50027" s="50"/>
      <c r="I50027" s="50"/>
      <c r="O50027" s="36" t="s">
        <v>48</v>
      </c>
      <c r="R50027" s="36" t="s">
        <v>48</v>
      </c>
    </row>
    <row r="50028">
      <c r="H50028" s="50"/>
      <c r="I50028" s="50"/>
      <c r="O50028" s="36" t="s">
        <v>48</v>
      </c>
      <c r="R50028" s="36" t="s">
        <v>48</v>
      </c>
    </row>
    <row r="50029">
      <c r="H50029" s="50"/>
      <c r="I50029" s="50"/>
      <c r="O50029" s="36" t="s">
        <v>48</v>
      </c>
      <c r="R50029" s="36" t="s">
        <v>48</v>
      </c>
    </row>
    <row r="50030">
      <c r="H50030" s="50"/>
      <c r="I50030" s="50"/>
      <c r="O50030" s="36" t="s">
        <v>48</v>
      </c>
      <c r="R50030" s="36" t="s">
        <v>48</v>
      </c>
    </row>
    <row r="50031">
      <c r="H50031" s="50"/>
      <c r="I50031" s="50"/>
      <c r="O50031" s="36" t="s">
        <v>48</v>
      </c>
      <c r="R50031" s="36" t="s">
        <v>48</v>
      </c>
    </row>
    <row r="50032">
      <c r="H50032" s="50"/>
      <c r="I50032" s="50"/>
      <c r="O50032" s="36" t="s">
        <v>48</v>
      </c>
      <c r="R50032" s="36" t="s">
        <v>48</v>
      </c>
    </row>
    <row r="50033">
      <c r="H50033" s="50"/>
      <c r="I50033" s="50"/>
      <c r="O50033" s="36" t="s">
        <v>48</v>
      </c>
      <c r="R50033" s="36" t="s">
        <v>48</v>
      </c>
    </row>
    <row r="50034">
      <c r="H50034" s="50"/>
      <c r="I50034" s="50"/>
      <c r="O50034" s="36" t="s">
        <v>48</v>
      </c>
      <c r="R50034" s="36" t="s">
        <v>48</v>
      </c>
    </row>
    <row r="50035">
      <c r="H50035" s="50"/>
      <c r="I50035" s="50"/>
      <c r="O50035" s="36" t="s">
        <v>48</v>
      </c>
      <c r="R50035" s="36" t="s">
        <v>48</v>
      </c>
    </row>
    <row r="50036">
      <c r="H50036" s="50"/>
      <c r="I50036" s="50"/>
      <c r="O50036" s="36" t="s">
        <v>48</v>
      </c>
      <c r="R50036" s="36" t="s">
        <v>48</v>
      </c>
    </row>
    <row r="50037">
      <c r="H50037" s="50"/>
      <c r="I50037" s="50"/>
      <c r="O50037" s="36" t="s">
        <v>48</v>
      </c>
      <c r="R50037" s="36" t="s">
        <v>48</v>
      </c>
    </row>
    <row r="50038">
      <c r="H50038" s="50"/>
      <c r="I50038" s="50"/>
      <c r="O50038" s="36" t="s">
        <v>48</v>
      </c>
      <c r="R50038" s="36" t="s">
        <v>48</v>
      </c>
    </row>
    <row r="50039">
      <c r="H50039" s="50"/>
      <c r="I50039" s="50"/>
      <c r="O50039" s="36" t="s">
        <v>48</v>
      </c>
      <c r="R50039" s="36" t="s">
        <v>48</v>
      </c>
    </row>
    <row r="50040">
      <c r="H50040" s="50"/>
      <c r="I50040" s="50"/>
      <c r="O50040" s="36" t="s">
        <v>48</v>
      </c>
      <c r="R50040" s="36" t="s">
        <v>48</v>
      </c>
    </row>
    <row r="50041">
      <c r="H50041" s="50"/>
      <c r="I50041" s="50"/>
      <c r="O50041" s="36" t="s">
        <v>48</v>
      </c>
      <c r="R50041" s="36" t="s">
        <v>48</v>
      </c>
    </row>
    <row r="50042">
      <c r="H50042" s="50"/>
      <c r="I50042" s="50"/>
      <c r="O50042" s="36" t="s">
        <v>48</v>
      </c>
      <c r="R50042" s="36" t="s">
        <v>48</v>
      </c>
    </row>
    <row r="50043">
      <c r="H50043" s="50"/>
      <c r="I50043" s="50"/>
      <c r="O50043" s="36" t="s">
        <v>48</v>
      </c>
      <c r="R50043" s="36" t="s">
        <v>48</v>
      </c>
    </row>
    <row r="50044">
      <c r="H50044" s="50"/>
      <c r="I50044" s="50"/>
      <c r="O50044" s="36" t="s">
        <v>48</v>
      </c>
      <c r="R50044" s="36" t="s">
        <v>48</v>
      </c>
    </row>
    <row r="50045">
      <c r="H50045" s="50"/>
      <c r="I50045" s="50"/>
      <c r="O50045" s="36" t="s">
        <v>48</v>
      </c>
      <c r="R50045" s="36" t="s">
        <v>48</v>
      </c>
    </row>
    <row r="50046">
      <c r="H50046" s="50"/>
      <c r="I50046" s="50"/>
      <c r="O50046" s="36" t="s">
        <v>48</v>
      </c>
      <c r="R50046" s="36" t="s">
        <v>48</v>
      </c>
    </row>
    <row r="50047">
      <c r="H50047" s="50"/>
      <c r="I50047" s="50"/>
      <c r="O50047" s="36" t="s">
        <v>48</v>
      </c>
      <c r="R50047" s="36" t="s">
        <v>48</v>
      </c>
    </row>
    <row r="50048">
      <c r="H50048" s="50"/>
      <c r="I50048" s="50"/>
      <c r="O50048" s="36" t="s">
        <v>48</v>
      </c>
      <c r="R50048" s="36" t="s">
        <v>48</v>
      </c>
    </row>
    <row r="50049">
      <c r="H50049" s="50"/>
      <c r="I50049" s="50"/>
      <c r="O50049" s="36" t="s">
        <v>48</v>
      </c>
      <c r="R50049" s="36" t="s">
        <v>48</v>
      </c>
    </row>
    <row r="50050">
      <c r="H50050" s="50"/>
      <c r="I50050" s="50"/>
      <c r="O50050" s="36" t="s">
        <v>48</v>
      </c>
      <c r="R50050" s="36" t="s">
        <v>48</v>
      </c>
    </row>
    <row r="50051">
      <c r="H50051" s="50"/>
      <c r="I50051" s="50"/>
      <c r="O50051" s="36" t="s">
        <v>48</v>
      </c>
      <c r="R50051" s="36" t="s">
        <v>48</v>
      </c>
    </row>
    <row r="50052">
      <c r="H50052" s="50"/>
      <c r="I50052" s="50"/>
      <c r="O50052" s="36" t="s">
        <v>48</v>
      </c>
      <c r="R50052" s="36" t="s">
        <v>48</v>
      </c>
    </row>
    <row r="50053">
      <c r="H50053" s="50"/>
      <c r="I50053" s="50"/>
      <c r="O50053" s="36" t="s">
        <v>48</v>
      </c>
      <c r="R50053" s="36" t="s">
        <v>48</v>
      </c>
    </row>
    <row r="50054">
      <c r="H50054" s="50"/>
      <c r="I50054" s="50"/>
      <c r="O50054" s="36" t="s">
        <v>48</v>
      </c>
      <c r="R50054" s="36" t="s">
        <v>48</v>
      </c>
    </row>
    <row r="50055">
      <c r="H50055" s="50"/>
      <c r="I50055" s="50"/>
      <c r="O50055" s="36" t="s">
        <v>48</v>
      </c>
      <c r="R50055" s="36" t="s">
        <v>48</v>
      </c>
    </row>
    <row r="50056">
      <c r="H50056" s="50"/>
      <c r="I50056" s="50"/>
      <c r="O50056" s="36" t="s">
        <v>48</v>
      </c>
      <c r="R50056" s="36" t="s">
        <v>48</v>
      </c>
    </row>
    <row r="50057">
      <c r="H50057" s="50"/>
      <c r="I50057" s="50"/>
      <c r="O50057" s="36" t="s">
        <v>48</v>
      </c>
      <c r="R50057" s="36" t="s">
        <v>48</v>
      </c>
    </row>
    <row r="50058">
      <c r="H50058" s="50"/>
      <c r="I50058" s="50"/>
      <c r="O50058" s="36" t="s">
        <v>48</v>
      </c>
      <c r="R50058" s="36" t="s">
        <v>48</v>
      </c>
    </row>
    <row r="50059">
      <c r="H50059" s="50"/>
      <c r="I50059" s="50"/>
      <c r="O50059" s="36" t="s">
        <v>48</v>
      </c>
      <c r="R50059" s="36" t="s">
        <v>48</v>
      </c>
    </row>
    <row r="50060">
      <c r="H50060" s="50"/>
      <c r="I50060" s="50"/>
      <c r="O50060" s="36" t="s">
        <v>48</v>
      </c>
      <c r="R50060" s="36" t="s">
        <v>48</v>
      </c>
    </row>
    <row r="50061">
      <c r="H50061" s="50"/>
      <c r="I50061" s="50"/>
      <c r="O50061" s="36" t="s">
        <v>48</v>
      </c>
      <c r="R50061" s="36" t="s">
        <v>48</v>
      </c>
    </row>
    <row r="50062">
      <c r="H50062" s="50"/>
      <c r="I50062" s="50"/>
      <c r="O50062" s="36" t="s">
        <v>48</v>
      </c>
      <c r="R50062" s="36" t="s">
        <v>48</v>
      </c>
    </row>
    <row r="50063">
      <c r="H50063" s="50"/>
      <c r="I50063" s="50"/>
      <c r="O50063" s="36" t="s">
        <v>48</v>
      </c>
      <c r="R50063" s="36" t="s">
        <v>48</v>
      </c>
    </row>
    <row r="50064">
      <c r="H50064" s="50"/>
      <c r="I50064" s="50"/>
      <c r="O50064" s="36" t="s">
        <v>48</v>
      </c>
      <c r="R50064" s="36" t="s">
        <v>48</v>
      </c>
    </row>
    <row r="50065">
      <c r="H50065" s="50"/>
      <c r="I50065" s="50"/>
      <c r="O50065" s="36" t="s">
        <v>48</v>
      </c>
      <c r="R50065" s="36" t="s">
        <v>48</v>
      </c>
    </row>
    <row r="50066">
      <c r="H50066" s="50"/>
      <c r="I50066" s="50"/>
      <c r="O50066" s="36" t="s">
        <v>48</v>
      </c>
      <c r="R50066" s="36" t="s">
        <v>48</v>
      </c>
    </row>
    <row r="50067">
      <c r="H50067" s="50"/>
      <c r="I50067" s="50"/>
      <c r="O50067" s="36" t="s">
        <v>48</v>
      </c>
      <c r="R50067" s="36" t="s">
        <v>48</v>
      </c>
    </row>
    <row r="50068">
      <c r="H50068" s="50"/>
      <c r="I50068" s="50"/>
      <c r="O50068" s="36" t="s">
        <v>48</v>
      </c>
      <c r="R50068" s="36" t="s">
        <v>48</v>
      </c>
    </row>
    <row r="50069">
      <c r="H50069" s="50"/>
      <c r="I50069" s="50"/>
      <c r="O50069" s="36" t="s">
        <v>48</v>
      </c>
      <c r="R50069" s="36" t="s">
        <v>48</v>
      </c>
    </row>
    <row r="50070">
      <c r="H50070" s="50"/>
      <c r="I50070" s="50"/>
      <c r="O50070" s="36" t="s">
        <v>48</v>
      </c>
      <c r="R50070" s="36" t="s">
        <v>48</v>
      </c>
    </row>
    <row r="50071">
      <c r="H50071" s="50"/>
      <c r="I50071" s="50"/>
      <c r="O50071" s="36" t="s">
        <v>48</v>
      </c>
      <c r="R50071" s="36" t="s">
        <v>48</v>
      </c>
    </row>
    <row r="50072">
      <c r="H50072" s="50"/>
      <c r="I50072" s="50"/>
      <c r="O50072" s="36" t="s">
        <v>48</v>
      </c>
      <c r="R50072" s="36" t="s">
        <v>48</v>
      </c>
    </row>
    <row r="50073">
      <c r="H50073" s="50"/>
      <c r="I50073" s="50"/>
      <c r="O50073" s="36" t="s">
        <v>48</v>
      </c>
      <c r="R50073" s="36" t="s">
        <v>48</v>
      </c>
    </row>
    <row r="50074">
      <c r="H50074" s="50"/>
      <c r="I50074" s="50"/>
      <c r="O50074" s="36" t="s">
        <v>48</v>
      </c>
      <c r="R50074" s="36" t="s">
        <v>48</v>
      </c>
    </row>
    <row r="50075">
      <c r="H50075" s="50"/>
      <c r="I50075" s="50"/>
      <c r="O50075" s="36" t="s">
        <v>48</v>
      </c>
      <c r="R50075" s="36" t="s">
        <v>48</v>
      </c>
    </row>
    <row r="50076">
      <c r="H50076" s="50"/>
      <c r="I50076" s="50"/>
      <c r="O50076" s="36" t="s">
        <v>48</v>
      </c>
      <c r="R50076" s="36" t="s">
        <v>48</v>
      </c>
    </row>
    <row r="50077">
      <c r="H50077" s="50"/>
      <c r="I50077" s="50"/>
      <c r="O50077" s="36" t="s">
        <v>48</v>
      </c>
      <c r="R50077" s="36" t="s">
        <v>48</v>
      </c>
    </row>
    <row r="50078">
      <c r="H50078" s="50"/>
      <c r="I50078" s="50"/>
      <c r="O50078" s="36" t="s">
        <v>48</v>
      </c>
      <c r="R50078" s="36" t="s">
        <v>48</v>
      </c>
    </row>
    <row r="50079">
      <c r="H50079" s="50"/>
      <c r="I50079" s="50"/>
      <c r="O50079" s="36" t="s">
        <v>48</v>
      </c>
      <c r="R50079" s="36" t="s">
        <v>48</v>
      </c>
    </row>
    <row r="50080">
      <c r="H50080" s="50"/>
      <c r="I50080" s="50"/>
      <c r="O50080" s="36" t="s">
        <v>48</v>
      </c>
      <c r="R50080" s="36" t="s">
        <v>48</v>
      </c>
    </row>
    <row r="50081">
      <c r="H50081" s="50"/>
      <c r="I50081" s="50"/>
      <c r="O50081" s="36" t="s">
        <v>48</v>
      </c>
      <c r="R50081" s="36" t="s">
        <v>48</v>
      </c>
    </row>
    <row r="50082">
      <c r="H50082" s="50"/>
      <c r="I50082" s="50"/>
      <c r="O50082" s="36" t="s">
        <v>48</v>
      </c>
      <c r="R50082" s="36" t="s">
        <v>48</v>
      </c>
    </row>
    <row r="50083">
      <c r="H50083" s="50"/>
      <c r="I50083" s="50"/>
      <c r="O50083" s="36" t="s">
        <v>48</v>
      </c>
      <c r="R50083" s="36" t="s">
        <v>48</v>
      </c>
    </row>
    <row r="50084">
      <c r="H50084" s="50"/>
      <c r="I50084" s="50"/>
      <c r="O50084" s="36" t="s">
        <v>48</v>
      </c>
      <c r="R50084" s="36" t="s">
        <v>48</v>
      </c>
    </row>
    <row r="50085">
      <c r="H50085" s="50"/>
      <c r="I50085" s="50"/>
      <c r="O50085" s="36" t="s">
        <v>48</v>
      </c>
      <c r="R50085" s="36" t="s">
        <v>48</v>
      </c>
    </row>
    <row r="50086">
      <c r="H50086" s="50"/>
      <c r="I50086" s="50"/>
      <c r="O50086" s="36" t="s">
        <v>48</v>
      </c>
      <c r="R50086" s="36" t="s">
        <v>48</v>
      </c>
    </row>
    <row r="50087">
      <c r="H50087" s="50"/>
      <c r="I50087" s="50"/>
      <c r="O50087" s="36" t="s">
        <v>48</v>
      </c>
      <c r="R50087" s="36" t="s">
        <v>48</v>
      </c>
    </row>
    <row r="50088">
      <c r="H50088" s="50"/>
      <c r="I50088" s="50"/>
      <c r="O50088" s="36" t="s">
        <v>48</v>
      </c>
      <c r="R50088" s="36" t="s">
        <v>48</v>
      </c>
    </row>
    <row r="50089">
      <c r="H50089" s="50"/>
      <c r="I50089" s="50"/>
      <c r="O50089" s="36" t="s">
        <v>48</v>
      </c>
      <c r="R50089" s="36" t="s">
        <v>48</v>
      </c>
    </row>
    <row r="50090">
      <c r="H50090" s="50"/>
      <c r="I50090" s="50"/>
      <c r="O50090" s="36" t="s">
        <v>48</v>
      </c>
      <c r="R50090" s="36" t="s">
        <v>48</v>
      </c>
    </row>
    <row r="50091">
      <c r="H50091" s="50"/>
      <c r="I50091" s="50"/>
      <c r="O50091" s="36" t="s">
        <v>48</v>
      </c>
      <c r="R50091" s="36" t="s">
        <v>48</v>
      </c>
    </row>
    <row r="50092">
      <c r="H50092" s="50"/>
      <c r="I50092" s="50"/>
      <c r="O50092" s="36" t="s">
        <v>48</v>
      </c>
      <c r="R50092" s="36" t="s">
        <v>48</v>
      </c>
    </row>
    <row r="50093">
      <c r="H50093" s="50"/>
      <c r="I50093" s="50"/>
      <c r="O50093" s="36" t="s">
        <v>48</v>
      </c>
      <c r="R50093" s="36" t="s">
        <v>48</v>
      </c>
    </row>
    <row r="50094">
      <c r="H50094" s="50"/>
      <c r="I50094" s="50"/>
      <c r="O50094" s="36" t="s">
        <v>48</v>
      </c>
      <c r="R50094" s="36" t="s">
        <v>48</v>
      </c>
    </row>
    <row r="50095">
      <c r="H50095" s="50"/>
      <c r="I50095" s="50"/>
      <c r="O50095" s="36" t="s">
        <v>48</v>
      </c>
      <c r="R50095" s="36" t="s">
        <v>48</v>
      </c>
    </row>
    <row r="50096">
      <c r="H50096" s="50"/>
      <c r="I50096" s="50"/>
      <c r="O50096" s="36" t="s">
        <v>48</v>
      </c>
      <c r="R50096" s="36" t="s">
        <v>48</v>
      </c>
    </row>
    <row r="50097">
      <c r="H50097" s="50"/>
      <c r="I50097" s="50"/>
      <c r="O50097" s="36" t="s">
        <v>48</v>
      </c>
      <c r="R50097" s="36" t="s">
        <v>48</v>
      </c>
    </row>
    <row r="50098">
      <c r="H50098" s="50"/>
      <c r="I50098" s="50"/>
      <c r="O50098" s="36" t="s">
        <v>48</v>
      </c>
      <c r="R50098" s="36" t="s">
        <v>48</v>
      </c>
    </row>
    <row r="50099">
      <c r="H50099" s="50"/>
      <c r="I50099" s="50"/>
      <c r="O50099" s="36" t="s">
        <v>48</v>
      </c>
      <c r="R50099" s="36" t="s">
        <v>48</v>
      </c>
    </row>
    <row r="50100">
      <c r="H50100" s="50"/>
      <c r="I50100" s="50"/>
      <c r="O50100" s="36" t="s">
        <v>48</v>
      </c>
      <c r="R50100" s="36" t="s">
        <v>48</v>
      </c>
    </row>
    <row r="50101">
      <c r="H50101" s="50"/>
      <c r="I50101" s="50"/>
      <c r="O50101" s="36" t="s">
        <v>48</v>
      </c>
      <c r="R50101" s="36" t="s">
        <v>48</v>
      </c>
    </row>
    <row r="50102">
      <c r="H50102" s="50"/>
      <c r="I50102" s="50"/>
      <c r="O50102" s="36" t="s">
        <v>48</v>
      </c>
      <c r="R50102" s="36" t="s">
        <v>48</v>
      </c>
    </row>
    <row r="50103">
      <c r="H50103" s="50"/>
      <c r="I50103" s="50"/>
      <c r="O50103" s="36" t="s">
        <v>48</v>
      </c>
      <c r="R50103" s="36" t="s">
        <v>48</v>
      </c>
    </row>
    <row r="50104">
      <c r="H50104" s="50"/>
      <c r="I50104" s="50"/>
      <c r="O50104" s="36" t="s">
        <v>48</v>
      </c>
      <c r="R50104" s="36" t="s">
        <v>48</v>
      </c>
    </row>
    <row r="50105">
      <c r="H50105" s="50"/>
      <c r="I50105" s="50"/>
      <c r="O50105" s="36" t="s">
        <v>48</v>
      </c>
      <c r="R50105" s="36" t="s">
        <v>48</v>
      </c>
    </row>
    <row r="50106">
      <c r="H50106" s="50"/>
      <c r="I50106" s="50"/>
      <c r="O50106" s="36" t="s">
        <v>48</v>
      </c>
      <c r="R50106" s="36" t="s">
        <v>48</v>
      </c>
    </row>
    <row r="50107">
      <c r="H50107" s="50"/>
      <c r="I50107" s="50"/>
      <c r="O50107" s="36" t="s">
        <v>48</v>
      </c>
      <c r="R50107" s="36" t="s">
        <v>48</v>
      </c>
    </row>
    <row r="50108">
      <c r="H50108" s="50"/>
      <c r="I50108" s="50"/>
      <c r="O50108" s="36" t="s">
        <v>48</v>
      </c>
      <c r="R50108" s="36" t="s">
        <v>48</v>
      </c>
    </row>
    <row r="50109">
      <c r="H50109" s="50"/>
      <c r="I50109" s="50"/>
      <c r="O50109" s="36" t="s">
        <v>48</v>
      </c>
      <c r="R50109" s="36" t="s">
        <v>48</v>
      </c>
    </row>
    <row r="50110">
      <c r="H50110" s="50"/>
      <c r="I50110" s="50"/>
      <c r="O50110" s="36" t="s">
        <v>48</v>
      </c>
      <c r="R50110" s="36" t="s">
        <v>48</v>
      </c>
    </row>
    <row r="50111">
      <c r="H50111" s="50"/>
      <c r="I50111" s="50"/>
      <c r="O50111" s="36" t="s">
        <v>48</v>
      </c>
      <c r="R50111" s="36" t="s">
        <v>48</v>
      </c>
    </row>
    <row r="50112">
      <c r="H50112" s="50"/>
      <c r="I50112" s="50"/>
      <c r="O50112" s="36" t="s">
        <v>48</v>
      </c>
      <c r="R50112" s="36" t="s">
        <v>48</v>
      </c>
    </row>
    <row r="50113">
      <c r="H50113" s="50"/>
      <c r="I50113" s="50"/>
      <c r="O50113" s="36" t="s">
        <v>48</v>
      </c>
      <c r="R50113" s="36" t="s">
        <v>48</v>
      </c>
    </row>
    <row r="50114">
      <c r="H50114" s="50"/>
      <c r="I50114" s="50"/>
      <c r="O50114" s="36" t="s">
        <v>48</v>
      </c>
      <c r="R50114" s="36" t="s">
        <v>48</v>
      </c>
    </row>
    <row r="50115">
      <c r="H50115" s="50"/>
      <c r="I50115" s="50"/>
      <c r="O50115" s="36" t="s">
        <v>48</v>
      </c>
      <c r="R50115" s="36" t="s">
        <v>48</v>
      </c>
    </row>
    <row r="50116">
      <c r="H50116" s="50"/>
      <c r="I50116" s="50"/>
      <c r="O50116" s="36" t="s">
        <v>48</v>
      </c>
      <c r="R50116" s="36" t="s">
        <v>48</v>
      </c>
    </row>
    <row r="50117">
      <c r="H50117" s="50"/>
      <c r="I50117" s="50"/>
      <c r="O50117" s="36" t="s">
        <v>48</v>
      </c>
      <c r="R50117" s="36" t="s">
        <v>48</v>
      </c>
    </row>
    <row r="50118">
      <c r="H50118" s="50"/>
      <c r="I50118" s="50"/>
      <c r="O50118" s="36" t="s">
        <v>48</v>
      </c>
      <c r="R50118" s="36" t="s">
        <v>48</v>
      </c>
    </row>
    <row r="50119">
      <c r="H50119" s="50"/>
      <c r="I50119" s="50"/>
      <c r="O50119" s="36" t="s">
        <v>48</v>
      </c>
      <c r="R50119" s="36" t="s">
        <v>48</v>
      </c>
    </row>
    <row r="50120">
      <c r="H50120" s="50"/>
      <c r="I50120" s="50"/>
      <c r="O50120" s="36" t="s">
        <v>48</v>
      </c>
      <c r="R50120" s="36" t="s">
        <v>48</v>
      </c>
    </row>
    <row r="50121">
      <c r="H50121" s="50"/>
      <c r="I50121" s="50"/>
      <c r="O50121" s="36" t="s">
        <v>48</v>
      </c>
      <c r="R50121" s="36" t="s">
        <v>48</v>
      </c>
    </row>
    <row r="50122">
      <c r="H50122" s="50"/>
      <c r="I50122" s="50"/>
      <c r="O50122" s="36" t="s">
        <v>48</v>
      </c>
      <c r="R50122" s="36" t="s">
        <v>48</v>
      </c>
    </row>
    <row r="50123">
      <c r="H50123" s="50"/>
      <c r="I50123" s="50"/>
      <c r="O50123" s="36" t="s">
        <v>48</v>
      </c>
      <c r="R50123" s="36" t="s">
        <v>48</v>
      </c>
    </row>
    <row r="50124">
      <c r="H50124" s="50"/>
      <c r="I50124" s="50"/>
      <c r="O50124" s="36" t="s">
        <v>48</v>
      </c>
      <c r="R50124" s="36" t="s">
        <v>48</v>
      </c>
    </row>
    <row r="50125">
      <c r="H50125" s="50"/>
      <c r="I50125" s="50"/>
      <c r="O50125" s="36" t="s">
        <v>48</v>
      </c>
      <c r="R50125" s="36" t="s">
        <v>48</v>
      </c>
    </row>
    <row r="50126">
      <c r="H50126" s="50"/>
      <c r="I50126" s="50"/>
      <c r="O50126" s="36" t="s">
        <v>48</v>
      </c>
      <c r="R50126" s="36" t="s">
        <v>48</v>
      </c>
    </row>
    <row r="50127">
      <c r="H50127" s="50"/>
      <c r="I50127" s="50"/>
      <c r="O50127" s="36" t="s">
        <v>48</v>
      </c>
      <c r="R50127" s="36" t="s">
        <v>48</v>
      </c>
    </row>
    <row r="50128">
      <c r="H50128" s="50"/>
      <c r="I50128" s="50"/>
      <c r="O50128" s="36" t="s">
        <v>48</v>
      </c>
      <c r="R50128" s="36" t="s">
        <v>48</v>
      </c>
    </row>
    <row r="50129">
      <c r="H50129" s="50"/>
      <c r="I50129" s="50"/>
      <c r="O50129" s="36" t="s">
        <v>48</v>
      </c>
      <c r="R50129" s="36" t="s">
        <v>48</v>
      </c>
    </row>
    <row r="50130">
      <c r="H50130" s="50"/>
      <c r="I50130" s="50"/>
      <c r="O50130" s="36" t="s">
        <v>48</v>
      </c>
      <c r="R50130" s="36" t="s">
        <v>48</v>
      </c>
    </row>
    <row r="50131">
      <c r="H50131" s="50"/>
      <c r="I50131" s="50"/>
      <c r="O50131" s="36" t="s">
        <v>48</v>
      </c>
      <c r="R50131" s="36" t="s">
        <v>48</v>
      </c>
    </row>
    <row r="50132">
      <c r="H50132" s="50"/>
      <c r="I50132" s="50"/>
      <c r="O50132" s="36" t="s">
        <v>48</v>
      </c>
      <c r="R50132" s="36" t="s">
        <v>48</v>
      </c>
    </row>
    <row r="50133">
      <c r="H50133" s="50"/>
      <c r="I50133" s="50"/>
      <c r="O50133" s="36" t="s">
        <v>48</v>
      </c>
      <c r="R50133" s="36" t="s">
        <v>48</v>
      </c>
    </row>
    <row r="50134">
      <c r="H50134" s="50"/>
      <c r="I50134" s="50"/>
      <c r="O50134" s="36" t="s">
        <v>48</v>
      </c>
      <c r="R50134" s="36" t="s">
        <v>48</v>
      </c>
    </row>
    <row r="50135">
      <c r="H50135" s="50"/>
      <c r="I50135" s="50"/>
      <c r="O50135" s="36" t="s">
        <v>48</v>
      </c>
      <c r="R50135" s="36" t="s">
        <v>48</v>
      </c>
    </row>
    <row r="50136">
      <c r="H50136" s="50"/>
      <c r="I50136" s="50"/>
      <c r="O50136" s="36" t="s">
        <v>48</v>
      </c>
      <c r="R50136" s="36" t="s">
        <v>48</v>
      </c>
    </row>
    <row r="50137">
      <c r="H50137" s="50"/>
      <c r="I50137" s="50"/>
      <c r="O50137" s="36" t="s">
        <v>48</v>
      </c>
      <c r="R50137" s="36" t="s">
        <v>48</v>
      </c>
    </row>
    <row r="50138">
      <c r="H50138" s="50"/>
      <c r="I50138" s="50"/>
      <c r="O50138" s="36" t="s">
        <v>48</v>
      </c>
      <c r="R50138" s="36" t="s">
        <v>48</v>
      </c>
    </row>
    <row r="50139">
      <c r="H50139" s="50"/>
      <c r="I50139" s="50"/>
      <c r="O50139" s="36" t="s">
        <v>48</v>
      </c>
      <c r="R50139" s="36" t="s">
        <v>48</v>
      </c>
    </row>
    <row r="50140">
      <c r="H50140" s="50"/>
      <c r="I50140" s="50"/>
      <c r="O50140" s="36" t="s">
        <v>48</v>
      </c>
      <c r="R50140" s="36" t="s">
        <v>48</v>
      </c>
    </row>
    <row r="50141">
      <c r="H50141" s="50"/>
      <c r="I50141" s="50"/>
      <c r="O50141" s="36" t="s">
        <v>48</v>
      </c>
      <c r="R50141" s="36" t="s">
        <v>48</v>
      </c>
    </row>
    <row r="50142">
      <c r="H50142" s="50"/>
      <c r="I50142" s="50"/>
      <c r="O50142" s="36" t="s">
        <v>48</v>
      </c>
      <c r="R50142" s="36" t="s">
        <v>48</v>
      </c>
    </row>
    <row r="50143">
      <c r="H50143" s="50"/>
      <c r="I50143" s="50"/>
      <c r="O50143" s="36" t="s">
        <v>48</v>
      </c>
      <c r="R50143" s="36" t="s">
        <v>48</v>
      </c>
    </row>
    <row r="50144">
      <c r="H50144" s="50"/>
      <c r="I50144" s="50"/>
      <c r="O50144" s="36" t="s">
        <v>48</v>
      </c>
      <c r="R50144" s="36" t="s">
        <v>48</v>
      </c>
    </row>
    <row r="50145">
      <c r="H50145" s="50"/>
      <c r="I50145" s="50"/>
      <c r="O50145" s="36" t="s">
        <v>48</v>
      </c>
      <c r="R50145" s="36" t="s">
        <v>48</v>
      </c>
    </row>
    <row r="50146">
      <c r="H50146" s="50"/>
      <c r="I50146" s="50"/>
      <c r="O50146" s="36" t="s">
        <v>48</v>
      </c>
      <c r="R50146" s="36" t="s">
        <v>48</v>
      </c>
    </row>
    <row r="50147">
      <c r="H50147" s="50"/>
      <c r="I50147" s="50"/>
      <c r="O50147" s="36" t="s">
        <v>48</v>
      </c>
      <c r="R50147" s="36" t="s">
        <v>48</v>
      </c>
    </row>
    <row r="50148">
      <c r="H50148" s="50"/>
      <c r="I50148" s="50"/>
      <c r="O50148" s="36" t="s">
        <v>48</v>
      </c>
      <c r="R50148" s="36" t="s">
        <v>48</v>
      </c>
    </row>
    <row r="50149">
      <c r="H50149" s="50"/>
      <c r="I50149" s="50"/>
      <c r="O50149" s="36" t="s">
        <v>48</v>
      </c>
      <c r="R50149" s="36" t="s">
        <v>48</v>
      </c>
    </row>
    <row r="50150">
      <c r="H50150" s="50"/>
      <c r="I50150" s="50"/>
      <c r="O50150" s="36" t="s">
        <v>48</v>
      </c>
      <c r="R50150" s="36" t="s">
        <v>48</v>
      </c>
    </row>
    <row r="50151">
      <c r="H50151" s="50"/>
      <c r="I50151" s="50"/>
      <c r="O50151" s="36" t="s">
        <v>48</v>
      </c>
      <c r="R50151" s="36" t="s">
        <v>48</v>
      </c>
    </row>
    <row r="50152">
      <c r="H50152" s="50"/>
      <c r="I50152" s="50"/>
      <c r="O50152" s="36" t="s">
        <v>48</v>
      </c>
      <c r="R50152" s="36" t="s">
        <v>48</v>
      </c>
    </row>
    <row r="50153">
      <c r="H50153" s="50"/>
      <c r="I50153" s="50"/>
      <c r="O50153" s="36" t="s">
        <v>48</v>
      </c>
      <c r="R50153" s="36" t="s">
        <v>48</v>
      </c>
    </row>
    <row r="50154">
      <c r="H50154" s="50"/>
      <c r="I50154" s="50"/>
      <c r="O50154" s="36" t="s">
        <v>48</v>
      </c>
      <c r="R50154" s="36" t="s">
        <v>48</v>
      </c>
    </row>
    <row r="50155">
      <c r="H50155" s="50"/>
      <c r="I50155" s="50"/>
      <c r="O50155" s="36" t="s">
        <v>48</v>
      </c>
      <c r="R50155" s="36" t="s">
        <v>48</v>
      </c>
    </row>
    <row r="50156">
      <c r="H50156" s="50"/>
      <c r="I50156" s="50"/>
      <c r="O50156" s="36" t="s">
        <v>48</v>
      </c>
      <c r="R50156" s="36" t="s">
        <v>48</v>
      </c>
    </row>
    <row r="50157">
      <c r="H50157" s="50"/>
      <c r="I50157" s="50"/>
      <c r="O50157" s="36" t="s">
        <v>48</v>
      </c>
      <c r="R50157" s="36" t="s">
        <v>48</v>
      </c>
    </row>
    <row r="50158">
      <c r="H50158" s="50"/>
      <c r="I50158" s="50"/>
      <c r="O50158" s="36" t="s">
        <v>48</v>
      </c>
      <c r="R50158" s="36" t="s">
        <v>48</v>
      </c>
    </row>
    <row r="50159">
      <c r="H50159" s="50"/>
      <c r="I50159" s="50"/>
      <c r="O50159" s="36" t="s">
        <v>48</v>
      </c>
      <c r="R50159" s="36" t="s">
        <v>48</v>
      </c>
    </row>
    <row r="50160">
      <c r="H50160" s="50"/>
      <c r="I50160" s="50"/>
      <c r="O50160" s="36" t="s">
        <v>48</v>
      </c>
      <c r="R50160" s="36" t="s">
        <v>48</v>
      </c>
    </row>
    <row r="50161">
      <c r="H50161" s="50"/>
      <c r="I50161" s="50"/>
      <c r="O50161" s="36" t="s">
        <v>48</v>
      </c>
      <c r="R50161" s="36" t="s">
        <v>48</v>
      </c>
    </row>
    <row r="50162">
      <c r="H50162" s="50"/>
      <c r="I50162" s="50"/>
      <c r="O50162" s="36" t="s">
        <v>48</v>
      </c>
      <c r="R50162" s="36" t="s">
        <v>48</v>
      </c>
    </row>
    <row r="50163">
      <c r="H50163" s="50"/>
      <c r="I50163" s="50"/>
      <c r="O50163" s="36" t="s">
        <v>48</v>
      </c>
      <c r="R50163" s="36" t="s">
        <v>48</v>
      </c>
    </row>
    <row r="50164">
      <c r="H50164" s="50"/>
      <c r="I50164" s="50"/>
      <c r="O50164" s="36" t="s">
        <v>48</v>
      </c>
      <c r="R50164" s="36" t="s">
        <v>48</v>
      </c>
    </row>
    <row r="50165">
      <c r="H50165" s="50"/>
      <c r="I50165" s="50"/>
      <c r="O50165" s="36" t="s">
        <v>48</v>
      </c>
      <c r="R50165" s="36" t="s">
        <v>48</v>
      </c>
    </row>
    <row r="50166">
      <c r="H50166" s="50"/>
      <c r="I50166" s="50"/>
      <c r="O50166" s="36" t="s">
        <v>48</v>
      </c>
      <c r="R50166" s="36" t="s">
        <v>48</v>
      </c>
    </row>
    <row r="50167">
      <c r="H50167" s="50"/>
      <c r="I50167" s="50"/>
      <c r="O50167" s="36" t="s">
        <v>48</v>
      </c>
      <c r="R50167" s="36" t="s">
        <v>48</v>
      </c>
    </row>
    <row r="50168">
      <c r="H50168" s="50"/>
      <c r="I50168" s="50"/>
      <c r="O50168" s="36" t="s">
        <v>48</v>
      </c>
      <c r="R50168" s="36" t="s">
        <v>48</v>
      </c>
    </row>
    <row r="50169">
      <c r="H50169" s="50"/>
      <c r="I50169" s="50"/>
      <c r="O50169" s="36" t="s">
        <v>48</v>
      </c>
      <c r="R50169" s="36" t="s">
        <v>48</v>
      </c>
    </row>
    <row r="50170">
      <c r="H50170" s="50"/>
      <c r="I50170" s="50"/>
      <c r="O50170" s="36" t="s">
        <v>48</v>
      </c>
      <c r="R50170" s="36" t="s">
        <v>48</v>
      </c>
    </row>
    <row r="50171">
      <c r="H50171" s="50"/>
      <c r="I50171" s="50"/>
      <c r="O50171" s="36" t="s">
        <v>48</v>
      </c>
      <c r="R50171" s="36" t="s">
        <v>48</v>
      </c>
    </row>
    <row r="50172">
      <c r="H50172" s="50"/>
      <c r="I50172" s="50"/>
      <c r="O50172" s="36" t="s">
        <v>48</v>
      </c>
      <c r="R50172" s="36" t="s">
        <v>48</v>
      </c>
    </row>
    <row r="50173">
      <c r="H50173" s="50"/>
      <c r="I50173" s="50"/>
      <c r="O50173" s="36" t="s">
        <v>48</v>
      </c>
      <c r="R50173" s="36" t="s">
        <v>48</v>
      </c>
    </row>
    <row r="50174">
      <c r="H50174" s="50"/>
      <c r="I50174" s="50"/>
      <c r="O50174" s="36" t="s">
        <v>48</v>
      </c>
      <c r="R50174" s="36" t="s">
        <v>48</v>
      </c>
    </row>
    <row r="50175">
      <c r="H50175" s="50"/>
      <c r="I50175" s="50"/>
      <c r="O50175" s="36" t="s">
        <v>48</v>
      </c>
      <c r="R50175" s="36" t="s">
        <v>48</v>
      </c>
    </row>
    <row r="50176">
      <c r="H50176" s="50"/>
      <c r="I50176" s="50"/>
      <c r="O50176" s="36" t="s">
        <v>48</v>
      </c>
      <c r="R50176" s="36" t="s">
        <v>48</v>
      </c>
    </row>
    <row r="50177">
      <c r="H50177" s="50"/>
      <c r="I50177" s="50"/>
      <c r="O50177" s="36" t="s">
        <v>48</v>
      </c>
      <c r="R50177" s="36" t="s">
        <v>48</v>
      </c>
    </row>
    <row r="50178">
      <c r="H50178" s="50"/>
      <c r="I50178" s="50"/>
      <c r="O50178" s="36" t="s">
        <v>48</v>
      </c>
      <c r="R50178" s="36" t="s">
        <v>48</v>
      </c>
    </row>
    <row r="50179">
      <c r="H50179" s="50"/>
      <c r="I50179" s="50"/>
      <c r="O50179" s="36" t="s">
        <v>48</v>
      </c>
      <c r="R50179" s="36" t="s">
        <v>48</v>
      </c>
    </row>
    <row r="50180">
      <c r="H50180" s="50"/>
      <c r="I50180" s="50"/>
      <c r="O50180" s="36" t="s">
        <v>48</v>
      </c>
      <c r="R50180" s="36" t="s">
        <v>48</v>
      </c>
    </row>
    <row r="50181">
      <c r="H50181" s="50"/>
      <c r="I50181" s="50"/>
      <c r="O50181" s="36" t="s">
        <v>48</v>
      </c>
      <c r="R50181" s="36" t="s">
        <v>48</v>
      </c>
    </row>
    <row r="50182">
      <c r="H50182" s="50"/>
      <c r="I50182" s="50"/>
      <c r="O50182" s="36" t="s">
        <v>48</v>
      </c>
      <c r="R50182" s="36" t="s">
        <v>48</v>
      </c>
    </row>
    <row r="50183">
      <c r="H50183" s="50"/>
      <c r="I50183" s="50"/>
      <c r="O50183" s="36" t="s">
        <v>48</v>
      </c>
      <c r="R50183" s="36" t="s">
        <v>48</v>
      </c>
    </row>
    <row r="50184">
      <c r="H50184" s="50"/>
      <c r="I50184" s="50"/>
      <c r="O50184" s="36" t="s">
        <v>48</v>
      </c>
      <c r="R50184" s="36" t="s">
        <v>48</v>
      </c>
    </row>
    <row r="50185">
      <c r="H50185" s="50"/>
      <c r="I50185" s="50"/>
      <c r="O50185" s="36" t="s">
        <v>48</v>
      </c>
      <c r="R50185" s="36" t="s">
        <v>48</v>
      </c>
    </row>
    <row r="50186">
      <c r="H50186" s="50"/>
      <c r="I50186" s="50"/>
      <c r="O50186" s="36" t="s">
        <v>48</v>
      </c>
      <c r="R50186" s="36" t="s">
        <v>48</v>
      </c>
    </row>
    <row r="50187">
      <c r="H50187" s="50"/>
      <c r="I50187" s="50"/>
      <c r="O50187" s="36" t="s">
        <v>48</v>
      </c>
      <c r="R50187" s="36" t="s">
        <v>48</v>
      </c>
    </row>
    <row r="50188">
      <c r="H50188" s="50"/>
      <c r="I50188" s="50"/>
      <c r="O50188" s="36" t="s">
        <v>48</v>
      </c>
      <c r="R50188" s="36" t="s">
        <v>48</v>
      </c>
    </row>
    <row r="50189">
      <c r="H50189" s="50"/>
      <c r="I50189" s="50"/>
      <c r="O50189" s="36" t="s">
        <v>48</v>
      </c>
      <c r="R50189" s="36" t="s">
        <v>48</v>
      </c>
    </row>
    <row r="50190">
      <c r="H50190" s="50"/>
      <c r="I50190" s="50"/>
      <c r="O50190" s="36" t="s">
        <v>48</v>
      </c>
      <c r="R50190" s="36" t="s">
        <v>48</v>
      </c>
    </row>
    <row r="50191">
      <c r="H50191" s="50"/>
      <c r="I50191" s="50"/>
      <c r="O50191" s="36" t="s">
        <v>48</v>
      </c>
      <c r="R50191" s="36" t="s">
        <v>48</v>
      </c>
    </row>
    <row r="50192">
      <c r="H50192" s="50"/>
      <c r="I50192" s="50"/>
      <c r="O50192" s="36" t="s">
        <v>48</v>
      </c>
      <c r="R50192" s="36" t="s">
        <v>48</v>
      </c>
    </row>
    <row r="50193">
      <c r="H50193" s="50"/>
      <c r="I50193" s="50"/>
      <c r="O50193" s="36" t="s">
        <v>48</v>
      </c>
      <c r="R50193" s="36" t="s">
        <v>48</v>
      </c>
    </row>
    <row r="50194">
      <c r="H50194" s="50"/>
      <c r="I50194" s="50"/>
      <c r="O50194" s="36" t="s">
        <v>48</v>
      </c>
      <c r="R50194" s="36" t="s">
        <v>48</v>
      </c>
    </row>
    <row r="50195">
      <c r="H50195" s="50"/>
      <c r="I50195" s="50"/>
      <c r="O50195" s="36" t="s">
        <v>48</v>
      </c>
      <c r="R50195" s="36" t="s">
        <v>48</v>
      </c>
    </row>
    <row r="50196">
      <c r="H50196" s="50"/>
      <c r="I50196" s="50"/>
      <c r="O50196" s="36" t="s">
        <v>48</v>
      </c>
      <c r="R50196" s="36" t="s">
        <v>48</v>
      </c>
    </row>
    <row r="50197">
      <c r="H50197" s="50"/>
      <c r="I50197" s="50"/>
      <c r="O50197" s="36" t="s">
        <v>48</v>
      </c>
      <c r="R50197" s="36" t="s">
        <v>48</v>
      </c>
    </row>
    <row r="50198">
      <c r="H50198" s="50"/>
      <c r="I50198" s="50"/>
      <c r="O50198" s="36" t="s">
        <v>48</v>
      </c>
      <c r="R50198" s="36" t="s">
        <v>48</v>
      </c>
    </row>
    <row r="50199">
      <c r="H50199" s="50"/>
      <c r="I50199" s="50"/>
      <c r="O50199" s="36" t="s">
        <v>48</v>
      </c>
      <c r="R50199" s="36" t="s">
        <v>48</v>
      </c>
    </row>
    <row r="50200">
      <c r="H50200" s="50"/>
      <c r="I50200" s="50"/>
      <c r="O50200" s="36" t="s">
        <v>48</v>
      </c>
      <c r="R50200" s="36" t="s">
        <v>48</v>
      </c>
    </row>
    <row r="50201">
      <c r="H50201" s="50"/>
      <c r="I50201" s="50"/>
      <c r="O50201" s="36" t="s">
        <v>48</v>
      </c>
      <c r="R50201" s="36" t="s">
        <v>48</v>
      </c>
    </row>
    <row r="50202">
      <c r="H50202" s="50"/>
      <c r="I50202" s="50"/>
      <c r="O50202" s="36" t="s">
        <v>48</v>
      </c>
      <c r="R50202" s="36" t="s">
        <v>48</v>
      </c>
    </row>
    <row r="50203">
      <c r="H50203" s="50"/>
      <c r="I50203" s="50"/>
      <c r="O50203" s="36" t="s">
        <v>48</v>
      </c>
      <c r="R50203" s="36" t="s">
        <v>48</v>
      </c>
    </row>
    <row r="50204">
      <c r="H50204" s="50"/>
      <c r="I50204" s="50"/>
      <c r="O50204" s="36" t="s">
        <v>48</v>
      </c>
      <c r="R50204" s="36" t="s">
        <v>48</v>
      </c>
    </row>
    <row r="50205">
      <c r="H50205" s="50"/>
      <c r="I50205" s="50"/>
      <c r="O50205" s="36" t="s">
        <v>48</v>
      </c>
      <c r="R50205" s="36" t="s">
        <v>48</v>
      </c>
    </row>
    <row r="50206">
      <c r="H50206" s="50"/>
      <c r="I50206" s="50"/>
      <c r="O50206" s="36" t="s">
        <v>48</v>
      </c>
      <c r="R50206" s="36" t="s">
        <v>48</v>
      </c>
    </row>
    <row r="50207">
      <c r="H50207" s="50"/>
      <c r="I50207" s="50"/>
      <c r="O50207" s="36" t="s">
        <v>48</v>
      </c>
      <c r="R50207" s="36" t="s">
        <v>48</v>
      </c>
    </row>
    <row r="50208">
      <c r="H50208" s="50"/>
      <c r="I50208" s="50"/>
      <c r="O50208" s="36" t="s">
        <v>48</v>
      </c>
      <c r="R50208" s="36" t="s">
        <v>48</v>
      </c>
    </row>
    <row r="50209">
      <c r="H50209" s="50"/>
      <c r="I50209" s="50"/>
      <c r="O50209" s="36" t="s">
        <v>48</v>
      </c>
      <c r="R50209" s="36" t="s">
        <v>48</v>
      </c>
    </row>
    <row r="50210">
      <c r="H50210" s="50"/>
      <c r="I50210" s="50"/>
      <c r="O50210" s="36" t="s">
        <v>48</v>
      </c>
      <c r="R50210" s="36" t="s">
        <v>48</v>
      </c>
    </row>
    <row r="50211">
      <c r="H50211" s="50"/>
      <c r="I50211" s="50"/>
      <c r="O50211" s="36" t="s">
        <v>48</v>
      </c>
      <c r="R50211" s="36" t="s">
        <v>48</v>
      </c>
    </row>
    <row r="50212">
      <c r="H50212" s="50"/>
      <c r="I50212" s="50"/>
      <c r="O50212" s="36" t="s">
        <v>48</v>
      </c>
      <c r="R50212" s="36" t="s">
        <v>48</v>
      </c>
    </row>
    <row r="50213">
      <c r="H50213" s="50"/>
      <c r="I50213" s="50"/>
      <c r="O50213" s="36" t="s">
        <v>48</v>
      </c>
      <c r="R50213" s="36" t="s">
        <v>48</v>
      </c>
    </row>
    <row r="50214">
      <c r="H50214" s="50"/>
      <c r="I50214" s="50"/>
      <c r="O50214" s="36" t="s">
        <v>48</v>
      </c>
      <c r="R50214" s="36" t="s">
        <v>48</v>
      </c>
    </row>
    <row r="50215">
      <c r="H50215" s="50"/>
      <c r="I50215" s="50"/>
      <c r="O50215" s="36" t="s">
        <v>48</v>
      </c>
      <c r="R50215" s="36" t="s">
        <v>48</v>
      </c>
    </row>
    <row r="50216">
      <c r="H50216" s="50"/>
      <c r="I50216" s="50"/>
      <c r="O50216" s="36" t="s">
        <v>48</v>
      </c>
      <c r="R50216" s="36" t="s">
        <v>48</v>
      </c>
    </row>
    <row r="50217">
      <c r="H50217" s="50"/>
      <c r="I50217" s="50"/>
      <c r="O50217" s="36" t="s">
        <v>48</v>
      </c>
      <c r="R50217" s="36" t="s">
        <v>48</v>
      </c>
    </row>
    <row r="50218">
      <c r="H50218" s="50"/>
      <c r="I50218" s="50"/>
      <c r="O50218" s="36" t="s">
        <v>48</v>
      </c>
      <c r="R50218" s="36" t="s">
        <v>48</v>
      </c>
    </row>
    <row r="50219">
      <c r="H50219" s="50"/>
      <c r="I50219" s="50"/>
      <c r="O50219" s="36" t="s">
        <v>48</v>
      </c>
      <c r="R50219" s="36" t="s">
        <v>48</v>
      </c>
    </row>
    <row r="50220">
      <c r="H50220" s="50"/>
      <c r="I50220" s="50"/>
      <c r="O50220" s="36" t="s">
        <v>48</v>
      </c>
      <c r="R50220" s="36" t="s">
        <v>48</v>
      </c>
    </row>
    <row r="50221">
      <c r="H50221" s="50"/>
      <c r="I50221" s="50"/>
      <c r="O50221" s="36" t="s">
        <v>48</v>
      </c>
      <c r="R50221" s="36" t="s">
        <v>48</v>
      </c>
    </row>
    <row r="50222">
      <c r="H50222" s="50"/>
      <c r="I50222" s="50"/>
      <c r="O50222" s="36" t="s">
        <v>48</v>
      </c>
      <c r="R50222" s="36" t="s">
        <v>48</v>
      </c>
    </row>
    <row r="50223">
      <c r="H50223" s="50"/>
      <c r="I50223" s="50"/>
      <c r="O50223" s="36" t="s">
        <v>48</v>
      </c>
      <c r="R50223" s="36" t="s">
        <v>48</v>
      </c>
    </row>
    <row r="50224">
      <c r="H50224" s="50"/>
      <c r="I50224" s="50"/>
      <c r="O50224" s="36" t="s">
        <v>48</v>
      </c>
      <c r="R50224" s="36" t="s">
        <v>48</v>
      </c>
    </row>
    <row r="50225">
      <c r="H50225" s="50"/>
      <c r="I50225" s="50"/>
      <c r="O50225" s="36" t="s">
        <v>48</v>
      </c>
      <c r="R50225" s="36" t="s">
        <v>48</v>
      </c>
    </row>
    <row r="50226">
      <c r="H50226" s="50"/>
      <c r="I50226" s="50"/>
      <c r="O50226" s="36" t="s">
        <v>48</v>
      </c>
      <c r="R50226" s="36" t="s">
        <v>48</v>
      </c>
    </row>
    <row r="50227">
      <c r="H50227" s="50"/>
      <c r="I50227" s="50"/>
      <c r="O50227" s="36" t="s">
        <v>48</v>
      </c>
      <c r="R50227" s="36" t="s">
        <v>48</v>
      </c>
    </row>
    <row r="50228">
      <c r="H50228" s="50"/>
      <c r="I50228" s="50"/>
      <c r="O50228" s="36" t="s">
        <v>48</v>
      </c>
      <c r="R50228" s="36" t="s">
        <v>48</v>
      </c>
    </row>
    <row r="50229">
      <c r="H50229" s="50"/>
      <c r="I50229" s="50"/>
      <c r="O50229" s="36" t="s">
        <v>48</v>
      </c>
      <c r="R50229" s="36" t="s">
        <v>48</v>
      </c>
    </row>
    <row r="50230">
      <c r="H50230" s="50"/>
      <c r="I50230" s="50"/>
      <c r="O50230" s="36" t="s">
        <v>48</v>
      </c>
      <c r="R50230" s="36" t="s">
        <v>48</v>
      </c>
    </row>
    <row r="50231">
      <c r="H50231" s="50"/>
      <c r="I50231" s="50"/>
      <c r="O50231" s="36" t="s">
        <v>48</v>
      </c>
      <c r="R50231" s="36" t="s">
        <v>48</v>
      </c>
    </row>
    <row r="50232">
      <c r="H50232" s="50"/>
      <c r="I50232" s="50"/>
      <c r="O50232" s="36" t="s">
        <v>48</v>
      </c>
      <c r="R50232" s="36" t="s">
        <v>48</v>
      </c>
    </row>
    <row r="50233">
      <c r="H50233" s="50"/>
      <c r="I50233" s="50"/>
      <c r="O50233" s="36" t="s">
        <v>48</v>
      </c>
      <c r="R50233" s="36" t="s">
        <v>48</v>
      </c>
    </row>
    <row r="50234">
      <c r="H50234" s="50"/>
      <c r="I50234" s="50"/>
      <c r="O50234" s="36" t="s">
        <v>48</v>
      </c>
      <c r="R50234" s="36" t="s">
        <v>48</v>
      </c>
    </row>
    <row r="50235">
      <c r="H50235" s="50"/>
      <c r="I50235" s="50"/>
      <c r="O50235" s="36" t="s">
        <v>48</v>
      </c>
      <c r="R50235" s="36" t="s">
        <v>48</v>
      </c>
    </row>
    <row r="50236">
      <c r="H50236" s="50"/>
      <c r="I50236" s="50"/>
      <c r="O50236" s="36" t="s">
        <v>48</v>
      </c>
      <c r="R50236" s="36" t="s">
        <v>48</v>
      </c>
    </row>
    <row r="50237">
      <c r="H50237" s="50"/>
      <c r="I50237" s="50"/>
      <c r="O50237" s="36" t="s">
        <v>48</v>
      </c>
      <c r="R50237" s="36" t="s">
        <v>48</v>
      </c>
    </row>
    <row r="50238">
      <c r="H50238" s="50"/>
      <c r="I50238" s="50"/>
      <c r="O50238" s="36" t="s">
        <v>48</v>
      </c>
      <c r="R50238" s="36" t="s">
        <v>48</v>
      </c>
    </row>
    <row r="50239">
      <c r="H50239" s="50"/>
      <c r="I50239" s="50"/>
      <c r="O50239" s="36" t="s">
        <v>48</v>
      </c>
      <c r="R50239" s="36" t="s">
        <v>48</v>
      </c>
    </row>
    <row r="50240">
      <c r="H50240" s="50"/>
      <c r="I50240" s="50"/>
      <c r="O50240" s="36" t="s">
        <v>48</v>
      </c>
      <c r="R50240" s="36" t="s">
        <v>48</v>
      </c>
    </row>
    <row r="50241">
      <c r="H50241" s="50"/>
      <c r="I50241" s="50"/>
      <c r="O50241" s="36" t="s">
        <v>48</v>
      </c>
      <c r="R50241" s="36" t="s">
        <v>48</v>
      </c>
    </row>
    <row r="50242">
      <c r="H50242" s="50"/>
      <c r="I50242" s="50"/>
      <c r="O50242" s="36" t="s">
        <v>48</v>
      </c>
      <c r="R50242" s="36" t="s">
        <v>48</v>
      </c>
    </row>
    <row r="50243">
      <c r="H50243" s="50"/>
      <c r="I50243" s="50"/>
      <c r="O50243" s="36" t="s">
        <v>48</v>
      </c>
      <c r="R50243" s="36" t="s">
        <v>48</v>
      </c>
    </row>
    <row r="50244">
      <c r="H50244" s="50"/>
      <c r="I50244" s="50"/>
      <c r="O50244" s="36" t="s">
        <v>48</v>
      </c>
      <c r="R50244" s="36" t="s">
        <v>48</v>
      </c>
    </row>
    <row r="50245">
      <c r="H50245" s="50"/>
      <c r="I50245" s="50"/>
      <c r="O50245" s="36" t="s">
        <v>48</v>
      </c>
      <c r="R50245" s="36" t="s">
        <v>48</v>
      </c>
    </row>
    <row r="50246">
      <c r="H50246" s="50"/>
      <c r="I50246" s="50"/>
      <c r="O50246" s="36" t="s">
        <v>48</v>
      </c>
      <c r="R50246" s="36" t="s">
        <v>48</v>
      </c>
    </row>
    <row r="50247">
      <c r="H50247" s="50"/>
      <c r="I50247" s="50"/>
      <c r="O50247" s="36" t="s">
        <v>48</v>
      </c>
      <c r="R50247" s="36" t="s">
        <v>48</v>
      </c>
    </row>
    <row r="50248">
      <c r="H50248" s="50"/>
      <c r="I50248" s="50"/>
      <c r="O50248" s="36" t="s">
        <v>48</v>
      </c>
      <c r="R50248" s="36" t="s">
        <v>48</v>
      </c>
    </row>
    <row r="50249">
      <c r="H50249" s="50"/>
      <c r="I50249" s="50"/>
      <c r="O50249" s="36" t="s">
        <v>48</v>
      </c>
      <c r="R50249" s="36" t="s">
        <v>48</v>
      </c>
    </row>
    <row r="50250">
      <c r="H50250" s="50"/>
      <c r="I50250" s="50"/>
      <c r="O50250" s="36" t="s">
        <v>48</v>
      </c>
      <c r="R50250" s="36" t="s">
        <v>48</v>
      </c>
    </row>
    <row r="50251">
      <c r="H50251" s="50"/>
      <c r="I50251" s="50"/>
      <c r="O50251" s="36" t="s">
        <v>48</v>
      </c>
      <c r="R50251" s="36" t="s">
        <v>48</v>
      </c>
    </row>
    <row r="50252">
      <c r="H50252" s="50"/>
      <c r="I50252" s="50"/>
      <c r="O50252" s="36" t="s">
        <v>48</v>
      </c>
      <c r="R50252" s="36" t="s">
        <v>48</v>
      </c>
    </row>
    <row r="50253">
      <c r="H50253" s="50"/>
      <c r="I50253" s="50"/>
      <c r="O50253" s="36" t="s">
        <v>48</v>
      </c>
      <c r="R50253" s="36" t="s">
        <v>48</v>
      </c>
    </row>
    <row r="50254">
      <c r="H50254" s="50"/>
      <c r="I50254" s="50"/>
      <c r="O50254" s="36" t="s">
        <v>48</v>
      </c>
      <c r="R50254" s="36" t="s">
        <v>48</v>
      </c>
    </row>
    <row r="50255">
      <c r="H50255" s="50"/>
      <c r="I50255" s="50"/>
      <c r="O50255" s="36" t="s">
        <v>48</v>
      </c>
      <c r="R50255" s="36" t="s">
        <v>48</v>
      </c>
    </row>
    <row r="50256">
      <c r="H50256" s="50"/>
      <c r="I50256" s="50"/>
      <c r="O50256" s="36" t="s">
        <v>48</v>
      </c>
      <c r="R50256" s="36" t="s">
        <v>48</v>
      </c>
    </row>
    <row r="50257">
      <c r="H50257" s="50"/>
      <c r="I50257" s="50"/>
      <c r="O50257" s="36" t="s">
        <v>48</v>
      </c>
      <c r="R50257" s="36" t="s">
        <v>48</v>
      </c>
    </row>
    <row r="50258">
      <c r="H50258" s="50"/>
      <c r="I50258" s="50"/>
      <c r="O50258" s="36" t="s">
        <v>48</v>
      </c>
      <c r="R50258" s="36" t="s">
        <v>48</v>
      </c>
    </row>
    <row r="50259">
      <c r="H50259" s="50"/>
      <c r="I50259" s="50"/>
      <c r="O50259" s="36" t="s">
        <v>48</v>
      </c>
      <c r="R50259" s="36" t="s">
        <v>48</v>
      </c>
    </row>
    <row r="50260">
      <c r="H50260" s="50"/>
      <c r="I50260" s="50"/>
      <c r="O50260" s="36" t="s">
        <v>48</v>
      </c>
      <c r="R50260" s="36" t="s">
        <v>48</v>
      </c>
    </row>
    <row r="50261">
      <c r="H50261" s="50"/>
      <c r="I50261" s="50"/>
      <c r="O50261" s="36" t="s">
        <v>48</v>
      </c>
      <c r="R50261" s="36" t="s">
        <v>48</v>
      </c>
    </row>
    <row r="50262">
      <c r="H50262" s="50"/>
      <c r="I50262" s="50"/>
      <c r="O50262" s="36" t="s">
        <v>48</v>
      </c>
      <c r="R50262" s="36" t="s">
        <v>48</v>
      </c>
    </row>
    <row r="50263">
      <c r="H50263" s="50"/>
      <c r="I50263" s="50"/>
      <c r="O50263" s="36" t="s">
        <v>48</v>
      </c>
      <c r="R50263" s="36" t="s">
        <v>48</v>
      </c>
    </row>
    <row r="50264">
      <c r="H50264" s="50"/>
      <c r="I50264" s="50"/>
      <c r="O50264" s="36" t="s">
        <v>48</v>
      </c>
      <c r="R50264" s="36" t="s">
        <v>48</v>
      </c>
    </row>
    <row r="50265">
      <c r="H50265" s="50"/>
      <c r="I50265" s="50"/>
      <c r="O50265" s="36" t="s">
        <v>48</v>
      </c>
      <c r="R50265" s="36" t="s">
        <v>48</v>
      </c>
    </row>
    <row r="50266">
      <c r="H50266" s="50"/>
      <c r="I50266" s="50"/>
      <c r="O50266" s="36" t="s">
        <v>48</v>
      </c>
      <c r="R50266" s="36" t="s">
        <v>48</v>
      </c>
    </row>
    <row r="50267">
      <c r="H50267" s="50"/>
      <c r="I50267" s="50"/>
      <c r="O50267" s="36" t="s">
        <v>48</v>
      </c>
      <c r="R50267" s="36" t="s">
        <v>48</v>
      </c>
    </row>
    <row r="50268">
      <c r="H50268" s="50"/>
      <c r="I50268" s="50"/>
      <c r="O50268" s="36" t="s">
        <v>48</v>
      </c>
      <c r="R50268" s="36" t="s">
        <v>48</v>
      </c>
    </row>
    <row r="50269">
      <c r="H50269" s="50"/>
      <c r="I50269" s="50"/>
      <c r="O50269" s="36" t="s">
        <v>48</v>
      </c>
      <c r="R50269" s="36" t="s">
        <v>48</v>
      </c>
    </row>
    <row r="50270">
      <c r="H50270" s="50"/>
      <c r="I50270" s="50"/>
      <c r="O50270" s="36" t="s">
        <v>48</v>
      </c>
      <c r="R50270" s="36" t="s">
        <v>48</v>
      </c>
    </row>
    <row r="50271">
      <c r="H50271" s="50"/>
      <c r="I50271" s="50"/>
      <c r="O50271" s="36" t="s">
        <v>48</v>
      </c>
      <c r="R50271" s="36" t="s">
        <v>48</v>
      </c>
    </row>
    <row r="50272">
      <c r="H50272" s="50"/>
      <c r="I50272" s="50"/>
      <c r="O50272" s="36" t="s">
        <v>48</v>
      </c>
      <c r="R50272" s="36" t="s">
        <v>48</v>
      </c>
    </row>
    <row r="50273">
      <c r="H50273" s="50"/>
      <c r="I50273" s="50"/>
      <c r="O50273" s="36" t="s">
        <v>48</v>
      </c>
      <c r="R50273" s="36" t="s">
        <v>48</v>
      </c>
    </row>
    <row r="50274">
      <c r="H50274" s="50"/>
      <c r="I50274" s="50"/>
      <c r="O50274" s="36" t="s">
        <v>48</v>
      </c>
      <c r="R50274" s="36" t="s">
        <v>48</v>
      </c>
    </row>
    <row r="50275">
      <c r="H50275" s="50"/>
      <c r="I50275" s="50"/>
      <c r="O50275" s="36" t="s">
        <v>48</v>
      </c>
      <c r="R50275" s="36" t="s">
        <v>48</v>
      </c>
    </row>
    <row r="50276">
      <c r="H50276" s="50"/>
      <c r="I50276" s="50"/>
      <c r="O50276" s="36" t="s">
        <v>48</v>
      </c>
      <c r="R50276" s="36" t="s">
        <v>48</v>
      </c>
    </row>
    <row r="50277">
      <c r="H50277" s="50"/>
      <c r="I50277" s="50"/>
      <c r="O50277" s="36" t="s">
        <v>48</v>
      </c>
      <c r="R50277" s="36" t="s">
        <v>48</v>
      </c>
    </row>
    <row r="50278">
      <c r="H50278" s="50"/>
      <c r="I50278" s="50"/>
      <c r="O50278" s="36" t="s">
        <v>48</v>
      </c>
      <c r="R50278" s="36" t="s">
        <v>48</v>
      </c>
    </row>
    <row r="50279">
      <c r="H50279" s="50"/>
      <c r="I50279" s="50"/>
      <c r="O50279" s="36" t="s">
        <v>48</v>
      </c>
      <c r="R50279" s="36" t="s">
        <v>48</v>
      </c>
    </row>
    <row r="50280">
      <c r="H50280" s="50"/>
      <c r="I50280" s="50"/>
      <c r="O50280" s="36" t="s">
        <v>48</v>
      </c>
      <c r="R50280" s="36" t="s">
        <v>48</v>
      </c>
    </row>
    <row r="50281">
      <c r="H50281" s="50"/>
      <c r="I50281" s="50"/>
      <c r="O50281" s="36" t="s">
        <v>48</v>
      </c>
      <c r="R50281" s="36" t="s">
        <v>48</v>
      </c>
    </row>
    <row r="50282">
      <c r="H50282" s="50"/>
      <c r="I50282" s="50"/>
      <c r="O50282" s="36" t="s">
        <v>48</v>
      </c>
      <c r="R50282" s="36" t="s">
        <v>48</v>
      </c>
    </row>
    <row r="50283">
      <c r="H50283" s="50"/>
      <c r="I50283" s="50"/>
      <c r="O50283" s="36" t="s">
        <v>48</v>
      </c>
      <c r="R50283" s="36" t="s">
        <v>48</v>
      </c>
    </row>
    <row r="50284">
      <c r="H50284" s="50"/>
      <c r="I50284" s="50"/>
      <c r="O50284" s="36" t="s">
        <v>48</v>
      </c>
      <c r="R50284" s="36" t="s">
        <v>48</v>
      </c>
    </row>
    <row r="50285">
      <c r="H50285" s="50"/>
      <c r="I50285" s="50"/>
      <c r="O50285" s="36" t="s">
        <v>48</v>
      </c>
      <c r="R50285" s="36" t="s">
        <v>48</v>
      </c>
    </row>
    <row r="50286">
      <c r="H50286" s="50"/>
      <c r="I50286" s="50"/>
      <c r="O50286" s="36" t="s">
        <v>48</v>
      </c>
      <c r="R50286" s="36" t="s">
        <v>48</v>
      </c>
    </row>
    <row r="50287">
      <c r="H50287" s="50"/>
      <c r="I50287" s="50"/>
      <c r="O50287" s="36" t="s">
        <v>48</v>
      </c>
      <c r="R50287" s="36" t="s">
        <v>48</v>
      </c>
    </row>
    <row r="50288">
      <c r="H50288" s="50"/>
      <c r="I50288" s="50"/>
      <c r="O50288" s="36" t="s">
        <v>48</v>
      </c>
      <c r="R50288" s="36" t="s">
        <v>48</v>
      </c>
    </row>
    <row r="50289">
      <c r="H50289" s="50"/>
      <c r="I50289" s="50"/>
      <c r="O50289" s="36" t="s">
        <v>48</v>
      </c>
      <c r="R50289" s="36" t="s">
        <v>48</v>
      </c>
    </row>
    <row r="50290">
      <c r="H50290" s="50"/>
      <c r="I50290" s="50"/>
      <c r="O50290" s="36" t="s">
        <v>48</v>
      </c>
      <c r="R50290" s="36" t="s">
        <v>48</v>
      </c>
    </row>
    <row r="50291">
      <c r="H50291" s="50"/>
      <c r="I50291" s="50"/>
      <c r="O50291" s="36" t="s">
        <v>48</v>
      </c>
      <c r="R50291" s="36" t="s">
        <v>48</v>
      </c>
    </row>
    <row r="50292">
      <c r="H50292" s="50"/>
      <c r="I50292" s="50"/>
      <c r="O50292" s="36" t="s">
        <v>48</v>
      </c>
      <c r="R50292" s="36" t="s">
        <v>48</v>
      </c>
    </row>
    <row r="50293">
      <c r="H50293" s="50"/>
      <c r="I50293" s="50"/>
      <c r="O50293" s="36" t="s">
        <v>48</v>
      </c>
      <c r="R50293" s="36" t="s">
        <v>48</v>
      </c>
    </row>
    <row r="50294">
      <c r="H50294" s="50"/>
      <c r="I50294" s="50"/>
      <c r="O50294" s="36" t="s">
        <v>48</v>
      </c>
      <c r="R50294" s="36" t="s">
        <v>48</v>
      </c>
    </row>
    <row r="50295">
      <c r="H50295" s="50"/>
      <c r="I50295" s="50"/>
      <c r="O50295" s="36" t="s">
        <v>48</v>
      </c>
      <c r="R50295" s="36" t="s">
        <v>48</v>
      </c>
    </row>
    <row r="50296">
      <c r="H50296" s="50"/>
      <c r="I50296" s="50"/>
      <c r="O50296" s="36" t="s">
        <v>48</v>
      </c>
      <c r="R50296" s="36" t="s">
        <v>48</v>
      </c>
    </row>
    <row r="50297">
      <c r="H50297" s="50"/>
      <c r="I50297" s="50"/>
      <c r="O50297" s="36" t="s">
        <v>48</v>
      </c>
      <c r="R50297" s="36" t="s">
        <v>48</v>
      </c>
    </row>
    <row r="50298">
      <c r="H50298" s="50"/>
      <c r="I50298" s="50"/>
      <c r="O50298" s="36" t="s">
        <v>48</v>
      </c>
      <c r="R50298" s="36" t="s">
        <v>48</v>
      </c>
    </row>
    <row r="50299">
      <c r="H50299" s="50"/>
      <c r="I50299" s="50"/>
      <c r="O50299" s="36" t="s">
        <v>48</v>
      </c>
      <c r="R50299" s="36" t="s">
        <v>48</v>
      </c>
    </row>
    <row r="50300">
      <c r="H50300" s="50"/>
      <c r="I50300" s="50"/>
      <c r="O50300" s="36" t="s">
        <v>48</v>
      </c>
      <c r="R50300" s="36" t="s">
        <v>48</v>
      </c>
    </row>
    <row r="50301">
      <c r="H50301" s="50"/>
      <c r="I50301" s="50"/>
      <c r="O50301" s="36" t="s">
        <v>48</v>
      </c>
      <c r="R50301" s="36" t="s">
        <v>48</v>
      </c>
    </row>
    <row r="50302">
      <c r="H50302" s="50"/>
      <c r="I50302" s="50"/>
      <c r="O50302" s="36" t="s">
        <v>48</v>
      </c>
      <c r="R50302" s="36" t="s">
        <v>48</v>
      </c>
    </row>
    <row r="50303">
      <c r="H50303" s="50"/>
      <c r="I50303" s="50"/>
      <c r="O50303" s="36" t="s">
        <v>48</v>
      </c>
      <c r="R50303" s="36" t="s">
        <v>48</v>
      </c>
    </row>
    <row r="50304">
      <c r="H50304" s="50"/>
      <c r="I50304" s="50"/>
      <c r="O50304" s="36" t="s">
        <v>48</v>
      </c>
      <c r="R50304" s="36" t="s">
        <v>48</v>
      </c>
    </row>
    <row r="50305">
      <c r="H50305" s="50"/>
      <c r="I50305" s="50"/>
      <c r="O50305" s="36" t="s">
        <v>48</v>
      </c>
      <c r="R50305" s="36" t="s">
        <v>48</v>
      </c>
    </row>
    <row r="50306">
      <c r="H50306" s="50"/>
      <c r="I50306" s="50"/>
      <c r="O50306" s="36" t="s">
        <v>48</v>
      </c>
      <c r="R50306" s="36" t="s">
        <v>48</v>
      </c>
    </row>
    <row r="50307">
      <c r="H50307" s="50"/>
      <c r="I50307" s="50"/>
      <c r="O50307" s="36" t="s">
        <v>48</v>
      </c>
      <c r="R50307" s="36" t="s">
        <v>48</v>
      </c>
    </row>
    <row r="50308">
      <c r="H50308" s="50"/>
      <c r="I50308" s="50"/>
      <c r="O50308" s="36" t="s">
        <v>48</v>
      </c>
      <c r="R50308" s="36" t="s">
        <v>48</v>
      </c>
    </row>
    <row r="50309">
      <c r="H50309" s="50"/>
      <c r="I50309" s="50"/>
      <c r="O50309" s="36" t="s">
        <v>48</v>
      </c>
      <c r="R50309" s="36" t="s">
        <v>48</v>
      </c>
    </row>
    <row r="50310">
      <c r="H50310" s="50"/>
      <c r="I50310" s="50"/>
      <c r="O50310" s="36" t="s">
        <v>48</v>
      </c>
      <c r="R50310" s="36" t="s">
        <v>48</v>
      </c>
    </row>
    <row r="50311">
      <c r="H50311" s="50"/>
      <c r="I50311" s="50"/>
      <c r="O50311" s="36" t="s">
        <v>48</v>
      </c>
      <c r="R50311" s="36" t="s">
        <v>48</v>
      </c>
    </row>
    <row r="50312">
      <c r="H50312" s="50"/>
      <c r="I50312" s="50"/>
      <c r="O50312" s="36" t="s">
        <v>48</v>
      </c>
      <c r="R50312" s="36" t="s">
        <v>48</v>
      </c>
    </row>
    <row r="50313">
      <c r="H50313" s="50"/>
      <c r="I50313" s="50"/>
      <c r="O50313" s="36" t="s">
        <v>48</v>
      </c>
      <c r="R50313" s="36" t="s">
        <v>48</v>
      </c>
    </row>
    <row r="50314">
      <c r="H50314" s="50"/>
      <c r="I50314" s="50"/>
      <c r="O50314" s="36" t="s">
        <v>48</v>
      </c>
      <c r="R50314" s="36" t="s">
        <v>48</v>
      </c>
    </row>
    <row r="50315">
      <c r="H50315" s="50"/>
      <c r="I50315" s="50"/>
      <c r="O50315" s="36" t="s">
        <v>48</v>
      </c>
      <c r="R50315" s="36" t="s">
        <v>48</v>
      </c>
    </row>
    <row r="50316">
      <c r="H50316" s="50"/>
      <c r="I50316" s="50"/>
      <c r="O50316" s="36" t="s">
        <v>48</v>
      </c>
      <c r="R50316" s="36" t="s">
        <v>48</v>
      </c>
    </row>
    <row r="50317">
      <c r="H50317" s="50"/>
      <c r="I50317" s="50"/>
      <c r="O50317" s="36" t="s">
        <v>48</v>
      </c>
      <c r="R50317" s="36" t="s">
        <v>48</v>
      </c>
    </row>
    <row r="50318">
      <c r="H50318" s="50"/>
      <c r="I50318" s="50"/>
      <c r="O50318" s="36" t="s">
        <v>48</v>
      </c>
      <c r="R50318" s="36" t="s">
        <v>48</v>
      </c>
    </row>
    <row r="50319">
      <c r="H50319" s="50"/>
      <c r="I50319" s="50"/>
      <c r="O50319" s="36" t="s">
        <v>48</v>
      </c>
      <c r="R50319" s="36" t="s">
        <v>48</v>
      </c>
    </row>
    <row r="50320">
      <c r="H50320" s="50"/>
      <c r="I50320" s="50"/>
      <c r="O50320" s="36" t="s">
        <v>48</v>
      </c>
      <c r="R50320" s="36" t="s">
        <v>48</v>
      </c>
    </row>
    <row r="50321">
      <c r="H50321" s="50"/>
      <c r="I50321" s="50"/>
      <c r="O50321" s="36" t="s">
        <v>48</v>
      </c>
      <c r="R50321" s="36" t="s">
        <v>48</v>
      </c>
    </row>
    <row r="50322">
      <c r="H50322" s="50"/>
      <c r="I50322" s="50"/>
      <c r="O50322" s="36" t="s">
        <v>48</v>
      </c>
      <c r="R50322" s="36" t="s">
        <v>48</v>
      </c>
    </row>
    <row r="50323">
      <c r="H50323" s="50"/>
      <c r="I50323" s="50"/>
      <c r="O50323" s="36" t="s">
        <v>48</v>
      </c>
      <c r="R50323" s="36" t="s">
        <v>48</v>
      </c>
    </row>
    <row r="50324">
      <c r="H50324" s="50"/>
      <c r="I50324" s="50"/>
      <c r="O50324" s="36" t="s">
        <v>48</v>
      </c>
      <c r="R50324" s="36" t="s">
        <v>48</v>
      </c>
    </row>
    <row r="50325">
      <c r="H50325" s="50"/>
      <c r="I50325" s="50"/>
      <c r="O50325" s="36" t="s">
        <v>48</v>
      </c>
      <c r="R50325" s="36" t="s">
        <v>48</v>
      </c>
    </row>
    <row r="50326">
      <c r="H50326" s="50"/>
      <c r="I50326" s="50"/>
      <c r="O50326" s="36" t="s">
        <v>48</v>
      </c>
      <c r="R50326" s="36" t="s">
        <v>48</v>
      </c>
    </row>
    <row r="50327">
      <c r="H50327" s="50"/>
      <c r="I50327" s="50"/>
      <c r="O50327" s="36" t="s">
        <v>48</v>
      </c>
      <c r="R50327" s="36" t="s">
        <v>48</v>
      </c>
    </row>
    <row r="50328">
      <c r="H50328" s="50"/>
      <c r="I50328" s="50"/>
      <c r="O50328" s="36" t="s">
        <v>48</v>
      </c>
      <c r="R50328" s="36" t="s">
        <v>48</v>
      </c>
    </row>
    <row r="50329">
      <c r="H50329" s="50"/>
      <c r="I50329" s="50"/>
      <c r="O50329" s="36" t="s">
        <v>48</v>
      </c>
      <c r="R50329" s="36" t="s">
        <v>48</v>
      </c>
    </row>
    <row r="50330">
      <c r="H50330" s="50"/>
      <c r="I50330" s="50"/>
      <c r="O50330" s="36" t="s">
        <v>48</v>
      </c>
      <c r="R50330" s="36" t="s">
        <v>48</v>
      </c>
    </row>
    <row r="50331">
      <c r="H50331" s="50"/>
      <c r="I50331" s="50"/>
      <c r="O50331" s="36" t="s">
        <v>48</v>
      </c>
      <c r="R50331" s="36" t="s">
        <v>48</v>
      </c>
    </row>
    <row r="50332">
      <c r="H50332" s="50"/>
      <c r="I50332" s="50"/>
      <c r="O50332" s="36" t="s">
        <v>48</v>
      </c>
      <c r="R50332" s="36" t="s">
        <v>48</v>
      </c>
    </row>
    <row r="50333">
      <c r="H50333" s="50"/>
      <c r="I50333" s="50"/>
      <c r="O50333" s="36" t="s">
        <v>48</v>
      </c>
      <c r="R50333" s="36" t="s">
        <v>48</v>
      </c>
    </row>
    <row r="50334">
      <c r="H50334" s="50"/>
      <c r="I50334" s="50"/>
      <c r="O50334" s="36" t="s">
        <v>48</v>
      </c>
      <c r="R50334" s="36" t="s">
        <v>48</v>
      </c>
    </row>
    <row r="50335">
      <c r="H50335" s="50"/>
      <c r="I50335" s="50"/>
      <c r="O50335" s="36" t="s">
        <v>48</v>
      </c>
      <c r="R50335" s="36" t="s">
        <v>48</v>
      </c>
    </row>
    <row r="50336">
      <c r="H50336" s="50"/>
      <c r="I50336" s="50"/>
      <c r="O50336" s="36" t="s">
        <v>48</v>
      </c>
      <c r="R50336" s="36" t="s">
        <v>48</v>
      </c>
    </row>
    <row r="50337">
      <c r="H50337" s="50"/>
      <c r="I50337" s="50"/>
      <c r="O50337" s="36" t="s">
        <v>48</v>
      </c>
      <c r="R50337" s="36" t="s">
        <v>48</v>
      </c>
    </row>
    <row r="50338">
      <c r="H50338" s="50"/>
      <c r="I50338" s="50"/>
      <c r="O50338" s="36" t="s">
        <v>48</v>
      </c>
      <c r="R50338" s="36" t="s">
        <v>48</v>
      </c>
    </row>
    <row r="50339">
      <c r="H50339" s="50"/>
      <c r="I50339" s="50"/>
      <c r="O50339" s="36" t="s">
        <v>48</v>
      </c>
      <c r="R50339" s="36" t="s">
        <v>48</v>
      </c>
    </row>
    <row r="50340">
      <c r="H50340" s="50"/>
      <c r="I50340" s="50"/>
      <c r="O50340" s="36" t="s">
        <v>48</v>
      </c>
      <c r="R50340" s="36" t="s">
        <v>48</v>
      </c>
    </row>
    <row r="50341">
      <c r="H50341" s="50"/>
      <c r="I50341" s="50"/>
      <c r="O50341" s="36" t="s">
        <v>48</v>
      </c>
      <c r="R50341" s="36" t="s">
        <v>48</v>
      </c>
    </row>
    <row r="50342">
      <c r="H50342" s="50"/>
      <c r="I50342" s="50"/>
      <c r="O50342" s="36" t="s">
        <v>48</v>
      </c>
      <c r="R50342" s="36" t="s">
        <v>48</v>
      </c>
    </row>
    <row r="50343">
      <c r="H50343" s="50"/>
      <c r="I50343" s="50"/>
      <c r="O50343" s="36" t="s">
        <v>48</v>
      </c>
      <c r="R50343" s="36" t="s">
        <v>48</v>
      </c>
    </row>
    <row r="50344">
      <c r="H50344" s="50"/>
      <c r="I50344" s="50"/>
      <c r="O50344" s="36" t="s">
        <v>48</v>
      </c>
      <c r="R50344" s="36" t="s">
        <v>48</v>
      </c>
    </row>
    <row r="50345">
      <c r="H50345" s="50"/>
      <c r="I50345" s="50"/>
      <c r="O50345" s="36" t="s">
        <v>48</v>
      </c>
      <c r="R50345" s="36" t="s">
        <v>48</v>
      </c>
    </row>
    <row r="50346">
      <c r="H50346" s="50"/>
      <c r="I50346" s="50"/>
      <c r="O50346" s="36" t="s">
        <v>48</v>
      </c>
      <c r="R50346" s="36" t="s">
        <v>48</v>
      </c>
    </row>
    <row r="50347">
      <c r="H50347" s="50"/>
      <c r="I50347" s="50"/>
      <c r="O50347" s="36" t="s">
        <v>48</v>
      </c>
      <c r="R50347" s="36" t="s">
        <v>48</v>
      </c>
    </row>
    <row r="50348">
      <c r="H50348" s="50"/>
      <c r="I50348" s="50"/>
      <c r="O50348" s="36" t="s">
        <v>48</v>
      </c>
      <c r="R50348" s="36" t="s">
        <v>48</v>
      </c>
    </row>
    <row r="50349">
      <c r="H50349" s="50"/>
      <c r="I50349" s="50"/>
      <c r="O50349" s="36" t="s">
        <v>48</v>
      </c>
      <c r="R50349" s="36" t="s">
        <v>48</v>
      </c>
    </row>
    <row r="50350">
      <c r="H50350" s="50"/>
      <c r="I50350" s="50"/>
      <c r="O50350" s="36" t="s">
        <v>48</v>
      </c>
      <c r="R50350" s="36" t="s">
        <v>48</v>
      </c>
    </row>
    <row r="50351">
      <c r="H50351" s="50"/>
      <c r="I50351" s="50"/>
      <c r="O50351" s="36" t="s">
        <v>48</v>
      </c>
      <c r="R50351" s="36" t="s">
        <v>48</v>
      </c>
    </row>
    <row r="50352">
      <c r="H50352" s="50"/>
      <c r="I50352" s="50"/>
      <c r="O50352" s="36" t="s">
        <v>48</v>
      </c>
      <c r="R50352" s="36" t="s">
        <v>48</v>
      </c>
    </row>
    <row r="50353">
      <c r="H50353" s="50"/>
      <c r="I50353" s="50"/>
      <c r="O50353" s="36" t="s">
        <v>48</v>
      </c>
      <c r="R50353" s="36" t="s">
        <v>48</v>
      </c>
    </row>
    <row r="50354">
      <c r="H50354" s="50"/>
      <c r="I50354" s="50"/>
      <c r="O50354" s="36" t="s">
        <v>48</v>
      </c>
      <c r="R50354" s="36" t="s">
        <v>48</v>
      </c>
    </row>
    <row r="50355">
      <c r="H50355" s="50"/>
      <c r="I50355" s="50"/>
      <c r="O50355" s="36" t="s">
        <v>48</v>
      </c>
      <c r="R50355" s="36" t="s">
        <v>48</v>
      </c>
    </row>
    <row r="50356">
      <c r="H50356" s="50"/>
      <c r="I50356" s="50"/>
      <c r="O50356" s="36" t="s">
        <v>48</v>
      </c>
      <c r="R50356" s="36" t="s">
        <v>48</v>
      </c>
    </row>
    <row r="50357">
      <c r="H50357" s="50"/>
      <c r="I50357" s="50"/>
      <c r="O50357" s="36" t="s">
        <v>48</v>
      </c>
      <c r="R50357" s="36" t="s">
        <v>48</v>
      </c>
    </row>
    <row r="50358">
      <c r="H50358" s="50"/>
      <c r="I50358" s="50"/>
      <c r="O50358" s="36" t="s">
        <v>48</v>
      </c>
      <c r="R50358" s="36" t="s">
        <v>48</v>
      </c>
    </row>
    <row r="50359">
      <c r="H50359" s="50"/>
      <c r="I50359" s="50"/>
      <c r="O50359" s="36" t="s">
        <v>48</v>
      </c>
      <c r="R50359" s="36" t="s">
        <v>48</v>
      </c>
    </row>
    <row r="50360">
      <c r="H50360" s="50"/>
      <c r="I50360" s="50"/>
      <c r="O50360" s="36" t="s">
        <v>48</v>
      </c>
      <c r="R50360" s="36" t="s">
        <v>48</v>
      </c>
    </row>
    <row r="50361">
      <c r="H50361" s="50"/>
      <c r="I50361" s="50"/>
      <c r="O50361" s="36" t="s">
        <v>48</v>
      </c>
      <c r="R50361" s="36" t="s">
        <v>48</v>
      </c>
    </row>
    <row r="50362">
      <c r="H50362" s="50"/>
      <c r="I50362" s="50"/>
      <c r="O50362" s="36" t="s">
        <v>48</v>
      </c>
      <c r="R50362" s="36" t="s">
        <v>48</v>
      </c>
    </row>
    <row r="50363">
      <c r="H50363" s="50"/>
      <c r="I50363" s="50"/>
      <c r="O50363" s="36" t="s">
        <v>48</v>
      </c>
      <c r="R50363" s="36" t="s">
        <v>48</v>
      </c>
    </row>
    <row r="50364">
      <c r="H50364" s="50"/>
      <c r="I50364" s="50"/>
      <c r="O50364" s="36" t="s">
        <v>48</v>
      </c>
      <c r="R50364" s="36" t="s">
        <v>48</v>
      </c>
    </row>
    <row r="50365">
      <c r="H50365" s="50"/>
      <c r="I50365" s="50"/>
      <c r="O50365" s="36" t="s">
        <v>48</v>
      </c>
      <c r="R50365" s="36" t="s">
        <v>48</v>
      </c>
    </row>
    <row r="50366">
      <c r="H50366" s="50"/>
      <c r="I50366" s="50"/>
      <c r="O50366" s="36" t="s">
        <v>48</v>
      </c>
      <c r="R50366" s="36" t="s">
        <v>48</v>
      </c>
    </row>
    <row r="50367">
      <c r="H50367" s="50"/>
      <c r="I50367" s="50"/>
      <c r="O50367" s="36" t="s">
        <v>48</v>
      </c>
      <c r="R50367" s="36" t="s">
        <v>48</v>
      </c>
    </row>
    <row r="50368">
      <c r="H50368" s="50"/>
      <c r="I50368" s="50"/>
      <c r="O50368" s="36" t="s">
        <v>48</v>
      </c>
      <c r="R50368" s="36" t="s">
        <v>48</v>
      </c>
    </row>
    <row r="50369">
      <c r="H50369" s="50"/>
      <c r="I50369" s="50"/>
      <c r="O50369" s="36" t="s">
        <v>48</v>
      </c>
      <c r="R50369" s="36" t="s">
        <v>48</v>
      </c>
    </row>
    <row r="50370">
      <c r="H50370" s="50"/>
      <c r="I50370" s="50"/>
      <c r="O50370" s="36" t="s">
        <v>48</v>
      </c>
      <c r="R50370" s="36" t="s">
        <v>48</v>
      </c>
    </row>
    <row r="50371">
      <c r="H50371" s="50"/>
      <c r="I50371" s="50"/>
      <c r="O50371" s="36" t="s">
        <v>48</v>
      </c>
      <c r="R50371" s="36" t="s">
        <v>48</v>
      </c>
    </row>
    <row r="50372">
      <c r="H50372" s="50"/>
      <c r="I50372" s="50"/>
      <c r="O50372" s="36" t="s">
        <v>48</v>
      </c>
      <c r="R50372" s="36" t="s">
        <v>48</v>
      </c>
    </row>
    <row r="50373">
      <c r="H50373" s="50"/>
      <c r="I50373" s="50"/>
      <c r="O50373" s="36" t="s">
        <v>48</v>
      </c>
      <c r="R50373" s="36" t="s">
        <v>48</v>
      </c>
    </row>
    <row r="50374">
      <c r="H50374" s="50"/>
      <c r="I50374" s="50"/>
      <c r="O50374" s="36" t="s">
        <v>48</v>
      </c>
      <c r="R50374" s="36" t="s">
        <v>48</v>
      </c>
    </row>
    <row r="50375">
      <c r="H50375" s="50"/>
      <c r="I50375" s="50"/>
      <c r="O50375" s="36" t="s">
        <v>48</v>
      </c>
      <c r="R50375" s="36" t="s">
        <v>48</v>
      </c>
    </row>
    <row r="50376">
      <c r="H50376" s="50"/>
      <c r="I50376" s="50"/>
      <c r="O50376" s="36" t="s">
        <v>48</v>
      </c>
      <c r="R50376" s="36" t="s">
        <v>48</v>
      </c>
    </row>
    <row r="50377">
      <c r="H50377" s="50"/>
      <c r="I50377" s="50"/>
      <c r="O50377" s="36" t="s">
        <v>48</v>
      </c>
      <c r="R50377" s="36" t="s">
        <v>48</v>
      </c>
    </row>
    <row r="50378">
      <c r="H50378" s="50"/>
      <c r="I50378" s="50"/>
      <c r="O50378" s="36" t="s">
        <v>48</v>
      </c>
      <c r="R50378" s="36" t="s">
        <v>48</v>
      </c>
    </row>
    <row r="50379">
      <c r="H50379" s="50"/>
      <c r="I50379" s="50"/>
      <c r="O50379" s="36" t="s">
        <v>48</v>
      </c>
      <c r="R50379" s="36" t="s">
        <v>48</v>
      </c>
    </row>
    <row r="50380">
      <c r="H50380" s="50"/>
      <c r="I50380" s="50"/>
      <c r="O50380" s="36" t="s">
        <v>48</v>
      </c>
      <c r="R50380" s="36" t="s">
        <v>48</v>
      </c>
    </row>
    <row r="50381">
      <c r="H50381" s="50"/>
      <c r="I50381" s="50"/>
      <c r="O50381" s="36" t="s">
        <v>48</v>
      </c>
      <c r="R50381" s="36" t="s">
        <v>48</v>
      </c>
    </row>
    <row r="50382">
      <c r="H50382" s="50"/>
      <c r="I50382" s="50"/>
      <c r="O50382" s="36" t="s">
        <v>48</v>
      </c>
      <c r="R50382" s="36" t="s">
        <v>48</v>
      </c>
    </row>
    <row r="50383">
      <c r="H50383" s="50"/>
      <c r="I50383" s="50"/>
      <c r="O50383" s="36" t="s">
        <v>48</v>
      </c>
      <c r="R50383" s="36" t="s">
        <v>48</v>
      </c>
    </row>
    <row r="50384">
      <c r="H50384" s="50"/>
      <c r="I50384" s="50"/>
      <c r="O50384" s="36" t="s">
        <v>48</v>
      </c>
      <c r="R50384" s="36" t="s">
        <v>48</v>
      </c>
    </row>
    <row r="50385">
      <c r="H50385" s="50"/>
      <c r="I50385" s="50"/>
      <c r="O50385" s="36" t="s">
        <v>48</v>
      </c>
      <c r="R50385" s="36" t="s">
        <v>48</v>
      </c>
    </row>
    <row r="50386">
      <c r="H50386" s="50"/>
      <c r="I50386" s="50"/>
      <c r="O50386" s="36" t="s">
        <v>48</v>
      </c>
      <c r="R50386" s="36" t="s">
        <v>48</v>
      </c>
    </row>
    <row r="50387">
      <c r="H50387" s="50"/>
      <c r="I50387" s="50"/>
      <c r="O50387" s="36" t="s">
        <v>48</v>
      </c>
      <c r="R50387" s="36" t="s">
        <v>48</v>
      </c>
    </row>
    <row r="50388">
      <c r="H50388" s="50"/>
      <c r="I50388" s="50"/>
      <c r="O50388" s="36" t="s">
        <v>48</v>
      </c>
      <c r="R50388" s="36" t="s">
        <v>48</v>
      </c>
    </row>
    <row r="50389">
      <c r="H50389" s="50"/>
      <c r="I50389" s="50"/>
      <c r="O50389" s="36" t="s">
        <v>48</v>
      </c>
      <c r="R50389" s="36" t="s">
        <v>48</v>
      </c>
    </row>
    <row r="50390">
      <c r="H50390" s="50"/>
      <c r="I50390" s="50"/>
      <c r="O50390" s="36" t="s">
        <v>48</v>
      </c>
      <c r="R50390" s="36" t="s">
        <v>48</v>
      </c>
    </row>
    <row r="50391">
      <c r="H50391" s="50"/>
      <c r="I50391" s="50"/>
      <c r="O50391" s="36" t="s">
        <v>48</v>
      </c>
      <c r="R50391" s="36" t="s">
        <v>48</v>
      </c>
    </row>
    <row r="50392">
      <c r="H50392" s="50"/>
      <c r="I50392" s="50"/>
      <c r="O50392" s="36" t="s">
        <v>48</v>
      </c>
      <c r="R50392" s="36" t="s">
        <v>48</v>
      </c>
    </row>
    <row r="50393">
      <c r="H50393" s="50"/>
      <c r="I50393" s="50"/>
      <c r="O50393" s="36" t="s">
        <v>48</v>
      </c>
      <c r="R50393" s="36" t="s">
        <v>48</v>
      </c>
    </row>
    <row r="50394">
      <c r="H50394" s="50"/>
      <c r="I50394" s="50"/>
      <c r="O50394" s="36" t="s">
        <v>48</v>
      </c>
      <c r="R50394" s="36" t="s">
        <v>48</v>
      </c>
    </row>
    <row r="50395">
      <c r="H50395" s="50"/>
      <c r="I50395" s="50"/>
      <c r="O50395" s="36" t="s">
        <v>48</v>
      </c>
      <c r="R50395" s="36" t="s">
        <v>48</v>
      </c>
    </row>
    <row r="50396">
      <c r="H50396" s="50"/>
      <c r="I50396" s="50"/>
      <c r="O50396" s="36" t="s">
        <v>48</v>
      </c>
      <c r="R50396" s="36" t="s">
        <v>48</v>
      </c>
    </row>
    <row r="50397">
      <c r="H50397" s="50"/>
      <c r="I50397" s="50"/>
      <c r="O50397" s="36" t="s">
        <v>48</v>
      </c>
      <c r="R50397" s="36" t="s">
        <v>48</v>
      </c>
    </row>
    <row r="50398">
      <c r="H50398" s="50"/>
      <c r="I50398" s="50"/>
      <c r="O50398" s="36" t="s">
        <v>48</v>
      </c>
      <c r="R50398" s="36" t="s">
        <v>48</v>
      </c>
    </row>
    <row r="50399">
      <c r="H50399" s="50"/>
      <c r="I50399" s="50"/>
      <c r="O50399" s="36" t="s">
        <v>48</v>
      </c>
      <c r="R50399" s="36" t="s">
        <v>48</v>
      </c>
    </row>
    <row r="50400">
      <c r="H50400" s="50"/>
      <c r="I50400" s="50"/>
      <c r="O50400" s="36" t="s">
        <v>48</v>
      </c>
      <c r="R50400" s="36" t="s">
        <v>48</v>
      </c>
    </row>
    <row r="50401">
      <c r="H50401" s="50"/>
      <c r="I50401" s="50"/>
      <c r="O50401" s="36" t="s">
        <v>48</v>
      </c>
      <c r="R50401" s="36" t="s">
        <v>48</v>
      </c>
    </row>
    <row r="50402">
      <c r="H50402" s="50"/>
      <c r="I50402" s="50"/>
      <c r="O50402" s="36" t="s">
        <v>48</v>
      </c>
      <c r="R50402" s="36" t="s">
        <v>48</v>
      </c>
    </row>
    <row r="50403">
      <c r="H50403" s="50"/>
      <c r="I50403" s="50"/>
      <c r="O50403" s="36" t="s">
        <v>48</v>
      </c>
      <c r="R50403" s="36" t="s">
        <v>48</v>
      </c>
    </row>
    <row r="50404">
      <c r="H50404" s="50"/>
      <c r="I50404" s="50"/>
      <c r="O50404" s="36" t="s">
        <v>48</v>
      </c>
      <c r="R50404" s="36" t="s">
        <v>48</v>
      </c>
    </row>
    <row r="50405">
      <c r="H50405" s="50"/>
      <c r="I50405" s="50"/>
      <c r="O50405" s="36" t="s">
        <v>48</v>
      </c>
      <c r="R50405" s="36" t="s">
        <v>48</v>
      </c>
    </row>
    <row r="50406">
      <c r="H50406" s="50"/>
      <c r="I50406" s="50"/>
      <c r="O50406" s="36" t="s">
        <v>48</v>
      </c>
      <c r="R50406" s="36" t="s">
        <v>48</v>
      </c>
    </row>
    <row r="50407">
      <c r="H50407" s="50"/>
      <c r="I50407" s="50"/>
      <c r="O50407" s="36" t="s">
        <v>48</v>
      </c>
      <c r="R50407" s="36" t="s">
        <v>48</v>
      </c>
    </row>
    <row r="50408">
      <c r="H50408" s="50"/>
      <c r="I50408" s="50"/>
      <c r="O50408" s="36" t="s">
        <v>48</v>
      </c>
      <c r="R50408" s="36" t="s">
        <v>48</v>
      </c>
    </row>
    <row r="50409">
      <c r="H50409" s="50"/>
      <c r="I50409" s="50"/>
      <c r="O50409" s="36" t="s">
        <v>48</v>
      </c>
      <c r="R50409" s="36" t="s">
        <v>48</v>
      </c>
    </row>
    <row r="50410">
      <c r="H50410" s="50"/>
      <c r="I50410" s="50"/>
      <c r="O50410" s="36" t="s">
        <v>48</v>
      </c>
      <c r="R50410" s="36" t="s">
        <v>48</v>
      </c>
    </row>
    <row r="50411">
      <c r="H50411" s="50"/>
      <c r="I50411" s="50"/>
      <c r="O50411" s="36" t="s">
        <v>48</v>
      </c>
      <c r="R50411" s="36" t="s">
        <v>48</v>
      </c>
    </row>
    <row r="50412">
      <c r="H50412" s="50"/>
      <c r="I50412" s="50"/>
      <c r="O50412" s="36" t="s">
        <v>48</v>
      </c>
      <c r="R50412" s="36" t="s">
        <v>48</v>
      </c>
    </row>
    <row r="50413">
      <c r="H50413" s="50"/>
      <c r="I50413" s="50"/>
      <c r="O50413" s="36" t="s">
        <v>48</v>
      </c>
      <c r="R50413" s="36" t="s">
        <v>48</v>
      </c>
    </row>
    <row r="50414">
      <c r="H50414" s="50"/>
      <c r="I50414" s="50"/>
      <c r="O50414" s="36" t="s">
        <v>48</v>
      </c>
      <c r="R50414" s="36" t="s">
        <v>48</v>
      </c>
    </row>
    <row r="50415">
      <c r="H50415" s="50"/>
      <c r="I50415" s="50"/>
      <c r="O50415" s="36" t="s">
        <v>48</v>
      </c>
      <c r="R50415" s="36" t="s">
        <v>48</v>
      </c>
    </row>
    <row r="50416">
      <c r="H50416" s="50"/>
      <c r="I50416" s="50"/>
      <c r="O50416" s="36" t="s">
        <v>48</v>
      </c>
      <c r="R50416" s="36" t="s">
        <v>48</v>
      </c>
    </row>
    <row r="50417">
      <c r="H50417" s="50"/>
      <c r="I50417" s="50"/>
      <c r="O50417" s="36" t="s">
        <v>48</v>
      </c>
      <c r="R50417" s="36" t="s">
        <v>48</v>
      </c>
    </row>
    <row r="50418">
      <c r="H50418" s="50"/>
      <c r="I50418" s="50"/>
      <c r="O50418" s="36" t="s">
        <v>48</v>
      </c>
      <c r="R50418" s="36" t="s">
        <v>48</v>
      </c>
    </row>
    <row r="50419">
      <c r="H50419" s="50"/>
      <c r="I50419" s="50"/>
      <c r="O50419" s="36" t="s">
        <v>48</v>
      </c>
      <c r="R50419" s="36" t="s">
        <v>48</v>
      </c>
    </row>
    <row r="50420">
      <c r="H50420" s="50"/>
      <c r="I50420" s="50"/>
      <c r="O50420" s="36" t="s">
        <v>48</v>
      </c>
      <c r="R50420" s="36" t="s">
        <v>48</v>
      </c>
    </row>
    <row r="50421">
      <c r="H50421" s="50"/>
      <c r="I50421" s="50"/>
      <c r="O50421" s="36" t="s">
        <v>48</v>
      </c>
      <c r="R50421" s="36" t="s">
        <v>48</v>
      </c>
    </row>
    <row r="50422">
      <c r="H50422" s="50"/>
      <c r="I50422" s="50"/>
      <c r="O50422" s="36" t="s">
        <v>48</v>
      </c>
      <c r="R50422" s="36" t="s">
        <v>48</v>
      </c>
    </row>
    <row r="50423">
      <c r="H50423" s="50"/>
      <c r="I50423" s="50"/>
      <c r="O50423" s="36" t="s">
        <v>48</v>
      </c>
      <c r="R50423" s="36" t="s">
        <v>48</v>
      </c>
    </row>
    <row r="50424">
      <c r="H50424" s="50"/>
      <c r="I50424" s="50"/>
      <c r="O50424" s="36" t="s">
        <v>48</v>
      </c>
      <c r="R50424" s="36" t="s">
        <v>48</v>
      </c>
    </row>
    <row r="50425">
      <c r="H50425" s="50"/>
      <c r="I50425" s="50"/>
      <c r="O50425" s="36" t="s">
        <v>48</v>
      </c>
      <c r="R50425" s="36" t="s">
        <v>48</v>
      </c>
    </row>
    <row r="50426">
      <c r="H50426" s="50"/>
      <c r="I50426" s="50"/>
      <c r="O50426" s="36" t="s">
        <v>48</v>
      </c>
      <c r="R50426" s="36" t="s">
        <v>48</v>
      </c>
    </row>
    <row r="50427">
      <c r="H50427" s="50"/>
      <c r="I50427" s="50"/>
      <c r="O50427" s="36" t="s">
        <v>48</v>
      </c>
      <c r="R50427" s="36" t="s">
        <v>48</v>
      </c>
    </row>
    <row r="50428">
      <c r="H50428" s="50"/>
      <c r="I50428" s="50"/>
      <c r="O50428" s="36" t="s">
        <v>48</v>
      </c>
      <c r="R50428" s="36" t="s">
        <v>48</v>
      </c>
    </row>
    <row r="50429">
      <c r="H50429" s="50"/>
      <c r="I50429" s="50"/>
      <c r="O50429" s="36" t="s">
        <v>48</v>
      </c>
      <c r="R50429" s="36" t="s">
        <v>48</v>
      </c>
    </row>
    <row r="50430">
      <c r="H50430" s="50"/>
      <c r="I50430" s="50"/>
      <c r="O50430" s="36" t="s">
        <v>48</v>
      </c>
      <c r="R50430" s="36" t="s">
        <v>48</v>
      </c>
    </row>
    <row r="50431">
      <c r="H50431" s="50"/>
      <c r="I50431" s="50"/>
      <c r="O50431" s="36" t="s">
        <v>48</v>
      </c>
      <c r="R50431" s="36" t="s">
        <v>48</v>
      </c>
    </row>
    <row r="50432">
      <c r="H50432" s="50"/>
      <c r="I50432" s="50"/>
      <c r="O50432" s="36" t="s">
        <v>48</v>
      </c>
      <c r="R50432" s="36" t="s">
        <v>48</v>
      </c>
    </row>
    <row r="50433">
      <c r="H50433" s="50"/>
      <c r="I50433" s="50"/>
      <c r="O50433" s="36" t="s">
        <v>48</v>
      </c>
      <c r="R50433" s="36" t="s">
        <v>48</v>
      </c>
    </row>
    <row r="50434">
      <c r="H50434" s="50"/>
      <c r="I50434" s="50"/>
      <c r="O50434" s="36" t="s">
        <v>48</v>
      </c>
      <c r="R50434" s="36" t="s">
        <v>48</v>
      </c>
    </row>
    <row r="50435">
      <c r="H50435" s="50"/>
      <c r="I50435" s="50"/>
      <c r="O50435" s="36" t="s">
        <v>48</v>
      </c>
      <c r="R50435" s="36" t="s">
        <v>48</v>
      </c>
    </row>
    <row r="50436">
      <c r="H50436" s="50"/>
      <c r="I50436" s="50"/>
      <c r="O50436" s="36" t="s">
        <v>48</v>
      </c>
      <c r="R50436" s="36" t="s">
        <v>48</v>
      </c>
    </row>
    <row r="50437">
      <c r="H50437" s="50"/>
      <c r="I50437" s="50"/>
      <c r="O50437" s="36" t="s">
        <v>48</v>
      </c>
      <c r="R50437" s="36" t="s">
        <v>48</v>
      </c>
    </row>
    <row r="50438">
      <c r="H50438" s="50"/>
      <c r="I50438" s="50"/>
      <c r="O50438" s="36" t="s">
        <v>48</v>
      </c>
      <c r="R50438" s="36" t="s">
        <v>48</v>
      </c>
    </row>
    <row r="50439">
      <c r="H50439" s="50"/>
      <c r="I50439" s="50"/>
      <c r="O50439" s="36" t="s">
        <v>48</v>
      </c>
      <c r="R50439" s="36" t="s">
        <v>48</v>
      </c>
    </row>
    <row r="50440">
      <c r="H50440" s="50"/>
      <c r="I50440" s="50"/>
      <c r="O50440" s="36" t="s">
        <v>48</v>
      </c>
      <c r="R50440" s="36" t="s">
        <v>48</v>
      </c>
    </row>
    <row r="50441">
      <c r="H50441" s="50"/>
      <c r="I50441" s="50"/>
      <c r="O50441" s="36" t="s">
        <v>48</v>
      </c>
      <c r="R50441" s="36" t="s">
        <v>48</v>
      </c>
    </row>
    <row r="50442">
      <c r="H50442" s="50"/>
      <c r="I50442" s="50"/>
      <c r="O50442" s="36" t="s">
        <v>48</v>
      </c>
      <c r="R50442" s="36" t="s">
        <v>48</v>
      </c>
    </row>
    <row r="50443">
      <c r="H50443" s="50"/>
      <c r="I50443" s="50"/>
      <c r="O50443" s="36" t="s">
        <v>48</v>
      </c>
      <c r="R50443" s="36" t="s">
        <v>48</v>
      </c>
    </row>
    <row r="50444">
      <c r="H50444" s="50"/>
      <c r="I50444" s="50"/>
      <c r="O50444" s="36" t="s">
        <v>48</v>
      </c>
      <c r="R50444" s="36" t="s">
        <v>48</v>
      </c>
    </row>
    <row r="50445">
      <c r="H50445" s="50"/>
      <c r="I50445" s="50"/>
      <c r="O50445" s="36" t="s">
        <v>48</v>
      </c>
      <c r="R50445" s="36" t="s">
        <v>48</v>
      </c>
    </row>
    <row r="50446">
      <c r="H50446" s="50"/>
      <c r="I50446" s="50"/>
      <c r="O50446" s="36" t="s">
        <v>48</v>
      </c>
      <c r="R50446" s="36" t="s">
        <v>48</v>
      </c>
    </row>
    <row r="50447">
      <c r="H50447" s="50"/>
      <c r="I50447" s="50"/>
      <c r="O50447" s="36" t="s">
        <v>48</v>
      </c>
      <c r="R50447" s="36" t="s">
        <v>48</v>
      </c>
    </row>
    <row r="50448">
      <c r="H50448" s="50"/>
      <c r="I50448" s="50"/>
      <c r="O50448" s="36" t="s">
        <v>48</v>
      </c>
      <c r="R50448" s="36" t="s">
        <v>48</v>
      </c>
    </row>
    <row r="50449">
      <c r="H50449" s="50"/>
      <c r="I50449" s="50"/>
      <c r="O50449" s="36" t="s">
        <v>48</v>
      </c>
      <c r="R50449" s="36" t="s">
        <v>48</v>
      </c>
    </row>
    <row r="50450">
      <c r="H50450" s="50"/>
      <c r="I50450" s="50"/>
      <c r="O50450" s="36" t="s">
        <v>48</v>
      </c>
      <c r="R50450" s="36" t="s">
        <v>48</v>
      </c>
    </row>
    <row r="50451">
      <c r="H50451" s="50"/>
      <c r="I50451" s="50"/>
      <c r="O50451" s="36" t="s">
        <v>48</v>
      </c>
      <c r="R50451" s="36" t="s">
        <v>48</v>
      </c>
    </row>
    <row r="50452">
      <c r="H50452" s="50"/>
      <c r="I50452" s="50"/>
      <c r="O50452" s="36" t="s">
        <v>48</v>
      </c>
      <c r="R50452" s="36" t="s">
        <v>48</v>
      </c>
    </row>
    <row r="50453">
      <c r="H50453" s="50"/>
      <c r="I50453" s="50"/>
      <c r="O50453" s="36" t="s">
        <v>48</v>
      </c>
      <c r="R50453" s="36" t="s">
        <v>48</v>
      </c>
    </row>
    <row r="50454">
      <c r="H50454" s="50"/>
      <c r="I50454" s="50"/>
      <c r="O50454" s="36" t="s">
        <v>48</v>
      </c>
      <c r="R50454" s="36" t="s">
        <v>48</v>
      </c>
    </row>
    <row r="50455">
      <c r="H50455" s="50"/>
      <c r="I50455" s="50"/>
      <c r="O50455" s="36" t="s">
        <v>48</v>
      </c>
      <c r="R50455" s="36" t="s">
        <v>48</v>
      </c>
    </row>
    <row r="50456">
      <c r="H50456" s="50"/>
      <c r="I50456" s="50"/>
      <c r="O50456" s="36" t="s">
        <v>48</v>
      </c>
      <c r="R50456" s="36" t="s">
        <v>48</v>
      </c>
    </row>
    <row r="50457">
      <c r="H50457" s="50"/>
      <c r="I50457" s="50"/>
      <c r="O50457" s="36" t="s">
        <v>48</v>
      </c>
      <c r="R50457" s="36" t="s">
        <v>48</v>
      </c>
    </row>
    <row r="50458">
      <c r="H50458" s="50"/>
      <c r="I50458" s="50"/>
      <c r="O50458" s="36" t="s">
        <v>48</v>
      </c>
      <c r="R50458" s="36" t="s">
        <v>48</v>
      </c>
    </row>
    <row r="50459">
      <c r="H50459" s="50"/>
      <c r="I50459" s="50"/>
      <c r="O50459" s="36" t="s">
        <v>48</v>
      </c>
      <c r="R50459" s="36" t="s">
        <v>48</v>
      </c>
    </row>
    <row r="50460">
      <c r="H50460" s="50"/>
      <c r="I50460" s="50"/>
      <c r="O50460" s="36" t="s">
        <v>48</v>
      </c>
      <c r="R50460" s="36" t="s">
        <v>48</v>
      </c>
    </row>
    <row r="50461">
      <c r="H50461" s="50"/>
      <c r="I50461" s="50"/>
      <c r="O50461" s="36" t="s">
        <v>48</v>
      </c>
      <c r="R50461" s="36" t="s">
        <v>48</v>
      </c>
    </row>
    <row r="50462">
      <c r="H50462" s="50"/>
      <c r="I50462" s="50"/>
      <c r="O50462" s="36" t="s">
        <v>48</v>
      </c>
      <c r="R50462" s="36" t="s">
        <v>48</v>
      </c>
    </row>
    <row r="50463">
      <c r="H50463" s="50"/>
      <c r="I50463" s="50"/>
      <c r="O50463" s="36" t="s">
        <v>48</v>
      </c>
      <c r="R50463" s="36" t="s">
        <v>48</v>
      </c>
    </row>
    <row r="50464">
      <c r="H50464" s="50"/>
      <c r="I50464" s="50"/>
      <c r="O50464" s="36" t="s">
        <v>48</v>
      </c>
      <c r="R50464" s="36" t="s">
        <v>48</v>
      </c>
    </row>
    <row r="50465">
      <c r="H50465" s="50"/>
      <c r="I50465" s="50"/>
      <c r="O50465" s="36" t="s">
        <v>48</v>
      </c>
      <c r="R50465" s="36" t="s">
        <v>48</v>
      </c>
    </row>
    <row r="50466">
      <c r="H50466" s="50"/>
      <c r="I50466" s="50"/>
      <c r="O50466" s="36" t="s">
        <v>48</v>
      </c>
      <c r="R50466" s="36" t="s">
        <v>48</v>
      </c>
    </row>
    <row r="50467">
      <c r="H50467" s="50"/>
      <c r="I50467" s="50"/>
      <c r="O50467" s="36" t="s">
        <v>48</v>
      </c>
      <c r="R50467" s="36" t="s">
        <v>48</v>
      </c>
    </row>
    <row r="50468">
      <c r="H50468" s="50"/>
      <c r="I50468" s="50"/>
      <c r="O50468" s="36" t="s">
        <v>48</v>
      </c>
      <c r="R50468" s="36" t="s">
        <v>48</v>
      </c>
    </row>
    <row r="50469">
      <c r="H50469" s="50"/>
      <c r="I50469" s="50"/>
      <c r="O50469" s="36" t="s">
        <v>48</v>
      </c>
      <c r="R50469" s="36" t="s">
        <v>48</v>
      </c>
    </row>
    <row r="50470">
      <c r="H50470" s="50"/>
      <c r="I50470" s="50"/>
      <c r="O50470" s="36" t="s">
        <v>48</v>
      </c>
      <c r="R50470" s="36" t="s">
        <v>48</v>
      </c>
    </row>
    <row r="50471">
      <c r="H50471" s="50"/>
      <c r="I50471" s="50"/>
      <c r="O50471" s="36" t="s">
        <v>48</v>
      </c>
      <c r="R50471" s="36" t="s">
        <v>48</v>
      </c>
    </row>
    <row r="50472">
      <c r="H50472" s="50"/>
      <c r="I50472" s="50"/>
      <c r="O50472" s="36" t="s">
        <v>48</v>
      </c>
      <c r="R50472" s="36" t="s">
        <v>48</v>
      </c>
    </row>
    <row r="50473">
      <c r="H50473" s="50"/>
      <c r="I50473" s="50"/>
      <c r="O50473" s="36" t="s">
        <v>48</v>
      </c>
      <c r="R50473" s="36" t="s">
        <v>48</v>
      </c>
    </row>
    <row r="50474">
      <c r="H50474" s="50"/>
      <c r="I50474" s="50"/>
      <c r="O50474" s="36" t="s">
        <v>48</v>
      </c>
      <c r="R50474" s="36" t="s">
        <v>48</v>
      </c>
    </row>
    <row r="50475">
      <c r="H50475" s="50"/>
      <c r="I50475" s="50"/>
      <c r="O50475" s="36" t="s">
        <v>48</v>
      </c>
      <c r="R50475" s="36" t="s">
        <v>48</v>
      </c>
    </row>
    <row r="50476">
      <c r="H50476" s="50"/>
      <c r="I50476" s="50"/>
      <c r="O50476" s="36" t="s">
        <v>48</v>
      </c>
      <c r="R50476" s="36" t="s">
        <v>48</v>
      </c>
    </row>
    <row r="50477">
      <c r="H50477" s="50"/>
      <c r="I50477" s="50"/>
      <c r="O50477" s="36" t="s">
        <v>48</v>
      </c>
      <c r="R50477" s="36" t="s">
        <v>48</v>
      </c>
    </row>
    <row r="50478">
      <c r="H50478" s="50"/>
      <c r="I50478" s="50"/>
      <c r="O50478" s="36" t="s">
        <v>48</v>
      </c>
      <c r="R50478" s="36" t="s">
        <v>48</v>
      </c>
    </row>
    <row r="50479">
      <c r="H50479" s="50"/>
      <c r="I50479" s="50"/>
      <c r="O50479" s="36" t="s">
        <v>48</v>
      </c>
      <c r="R50479" s="36" t="s">
        <v>48</v>
      </c>
    </row>
    <row r="50480">
      <c r="H50480" s="50"/>
      <c r="I50480" s="50"/>
      <c r="O50480" s="36" t="s">
        <v>48</v>
      </c>
      <c r="R50480" s="36" t="s">
        <v>48</v>
      </c>
    </row>
    <row r="50481">
      <c r="H50481" s="50"/>
      <c r="I50481" s="50"/>
      <c r="O50481" s="36" t="s">
        <v>48</v>
      </c>
      <c r="R50481" s="36" t="s">
        <v>48</v>
      </c>
    </row>
    <row r="50482">
      <c r="H50482" s="50"/>
      <c r="I50482" s="50"/>
      <c r="O50482" s="36" t="s">
        <v>48</v>
      </c>
      <c r="R50482" s="36" t="s">
        <v>48</v>
      </c>
    </row>
    <row r="50483">
      <c r="H50483" s="50"/>
      <c r="I50483" s="50"/>
      <c r="O50483" s="36" t="s">
        <v>48</v>
      </c>
      <c r="R50483" s="36" t="s">
        <v>48</v>
      </c>
    </row>
    <row r="50484">
      <c r="H50484" s="50"/>
      <c r="I50484" s="50"/>
      <c r="O50484" s="36" t="s">
        <v>48</v>
      </c>
      <c r="R50484" s="36" t="s">
        <v>48</v>
      </c>
    </row>
    <row r="50485">
      <c r="H50485" s="50"/>
      <c r="I50485" s="50"/>
      <c r="O50485" s="36" t="s">
        <v>48</v>
      </c>
      <c r="R50485" s="36" t="s">
        <v>48</v>
      </c>
    </row>
    <row r="50486">
      <c r="H50486" s="50"/>
      <c r="I50486" s="50"/>
      <c r="O50486" s="36" t="s">
        <v>48</v>
      </c>
      <c r="R50486" s="36" t="s">
        <v>48</v>
      </c>
    </row>
    <row r="50487">
      <c r="H50487" s="50"/>
      <c r="I50487" s="50"/>
      <c r="O50487" s="36" t="s">
        <v>48</v>
      </c>
      <c r="R50487" s="36" t="s">
        <v>48</v>
      </c>
    </row>
    <row r="50488">
      <c r="H50488" s="50"/>
      <c r="I50488" s="50"/>
      <c r="O50488" s="36" t="s">
        <v>48</v>
      </c>
      <c r="R50488" s="36" t="s">
        <v>48</v>
      </c>
    </row>
    <row r="50489">
      <c r="H50489" s="50"/>
      <c r="I50489" s="50"/>
      <c r="O50489" s="36" t="s">
        <v>48</v>
      </c>
      <c r="R50489" s="36" t="s">
        <v>48</v>
      </c>
    </row>
    <row r="50490">
      <c r="H50490" s="50"/>
      <c r="I50490" s="50"/>
      <c r="O50490" s="36" t="s">
        <v>48</v>
      </c>
      <c r="R50490" s="36" t="s">
        <v>48</v>
      </c>
    </row>
    <row r="50491">
      <c r="H50491" s="50"/>
      <c r="I50491" s="50"/>
      <c r="O50491" s="36" t="s">
        <v>48</v>
      </c>
      <c r="R50491" s="36" t="s">
        <v>48</v>
      </c>
    </row>
    <row r="50492">
      <c r="H50492" s="50"/>
      <c r="I50492" s="50"/>
      <c r="O50492" s="36" t="s">
        <v>48</v>
      </c>
      <c r="R50492" s="36" t="s">
        <v>48</v>
      </c>
    </row>
    <row r="50493">
      <c r="H50493" s="50"/>
      <c r="I50493" s="50"/>
      <c r="O50493" s="36" t="s">
        <v>48</v>
      </c>
      <c r="R50493" s="36" t="s">
        <v>48</v>
      </c>
    </row>
    <row r="50494">
      <c r="H50494" s="50"/>
      <c r="I50494" s="50"/>
      <c r="O50494" s="36" t="s">
        <v>48</v>
      </c>
      <c r="R50494" s="36" t="s">
        <v>48</v>
      </c>
    </row>
    <row r="50495">
      <c r="H50495" s="50"/>
      <c r="I50495" s="50"/>
      <c r="O50495" s="36" t="s">
        <v>48</v>
      </c>
      <c r="R50495" s="36" t="s">
        <v>48</v>
      </c>
    </row>
    <row r="50496">
      <c r="H50496" s="50"/>
      <c r="I50496" s="50"/>
      <c r="O50496" s="36" t="s">
        <v>48</v>
      </c>
      <c r="R50496" s="36" t="s">
        <v>48</v>
      </c>
    </row>
    <row r="50497">
      <c r="H50497" s="50"/>
      <c r="I50497" s="50"/>
      <c r="O50497" s="36" t="s">
        <v>48</v>
      </c>
      <c r="R50497" s="36" t="s">
        <v>48</v>
      </c>
    </row>
    <row r="50498">
      <c r="H50498" s="50"/>
      <c r="I50498" s="50"/>
      <c r="O50498" s="36" t="s">
        <v>48</v>
      </c>
      <c r="R50498" s="36" t="s">
        <v>48</v>
      </c>
    </row>
    <row r="50499">
      <c r="H50499" s="50"/>
      <c r="I50499" s="50"/>
      <c r="O50499" s="36" t="s">
        <v>48</v>
      </c>
      <c r="R50499" s="36" t="s">
        <v>48</v>
      </c>
    </row>
    <row r="50500">
      <c r="H50500" s="50"/>
      <c r="I50500" s="50"/>
      <c r="O50500" s="36" t="s">
        <v>48</v>
      </c>
      <c r="R50500" s="36" t="s">
        <v>48</v>
      </c>
    </row>
  </sheetData>
  <mergeCells count="4">
    <mergeCell ref="A1:B1"/>
    <mergeCell ref="D1:E1"/>
    <mergeCell ref="G1:K1"/>
    <mergeCell ref="A14:B1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25"/>
    <col customWidth="1" min="4" max="4" width="25.38"/>
  </cols>
  <sheetData>
    <row r="1">
      <c r="A1" s="36" t="str">
        <f>IFERROR(__xludf.DUMMYFUNCTION("QUERY({
  {IMPORTRANGE(""https://docs.google.com/spreadsheets/d/1sd5SCH_VG67J2N7wSB4IC6VLcHkLjVGo6yJYuv7-4xA/edit"", ""Sheet1!A1:Q1"") , ""Daerah""};
  {IMPORTRANGE(""https://docs.google.com/spreadsheets/d/1sd5SCH_VG67J2N7wSB4IC6VLcHkLjVGo6yJYuv7-4xA/edit"&amp;""", ""Sheet1!A2:Q"") , ARRAYFORMULA(IF(LEN(IMPORTRANGE(""https://docs.google.com/spreadsheets/d/1sd5SCH_VG67J2N7wSB4IC6VLcHkLjVGo6yJYuv7-4xA/edit"", ""Sheet1!A2:A"")), ""Kolaka"", """"))};
  {IMPORTRANGE(""https://docs.google.com/spreadsheets/d/1BFAaaNhcK"&amp;"Qpx44EyFvgho96y-idiI9drBXsc9k3IHBc/edit?gid=0#gid=0"", ""Sheet1!A2:Q"") , ARRAYFORMULA(IF(LEN(IMPORTRANGE(""https://docs.google.com/spreadsheets/d/1BFAaaNhcKQpx44EyFvgho96y-idiI9drBXsc9k3IHBc/edit?gid=0#gid=0"", ""Sheet1!A2:A"")), ""Kolaka Utara"", """"))"&amp;"};
  {IMPORTRANGE(""https://docs.google.com/spreadsheets/d/1AEcJ2aPbOAhLzeebFmUyeb8lkDwvzAVWOS1_e-83UJg/edit?gid=0#gid=0"", ""Sheet1!A2:Q"") , ARRAYFORMULA(IF(LEN(IMPORTRANGE(""https://docs.google.com/spreadsheets/d/1AEcJ2aPbOAhLzeebFmUyeb8lkDwvzAVWOS1_e-"&amp;"83UJg/edit?gid=0#gid=0"", ""Sheet1!A2:A"")), ""Konawe Selatan"", """"))};
  {IMPORTRANGE(""https://docs.google.com/spreadsheets/d/1dl9sgrfqat4UnqbaGDiCZPH9HQhFFcUyDIVQxUBroEU/edit?gid=0#gid=0"", ""Sheet1!A2:Q"") , ARRAYFORMULA(IF(LEN(IMPORTRANGE(""https:/"&amp;"/docs.google.com/spreadsheets/d/1dl9sgrfqat4UnqbaGDiCZPH9HQhFFcUyDIVQxUBroEU/edit?gid=0#gid=0"", ""Sheet1!A2:A"")), ""Konawe Utara"", """"))};
  {IMPORTRANGE(""https://docs.google.com/spreadsheets/d/130XdVJPPKI4G-5CbKM02M4arXT51kMYPokkkngjU9fI/edit?gid=0#"&amp;"gid=0"", ""Sheet1!A2:Q"") , ARRAYFORMULA(IF(LEN(IMPORTRANGE(""https://docs.google.com/spreadsheets/d/130XdVJPPKI4G-5CbKM02M4arXT51kMYPokkkngjU9fI/edit?gid=0#gid=0"", ""Sheet1!A2:A"")), ""Buton"", """"))}
}, ""SELECT * WHERE Col2 IS NOT NULL AND Col2 &lt;&gt; ''"&amp;""")"),"NO")</f>
        <v>NO</v>
      </c>
      <c r="B1" s="36" t="str">
        <f>IFERROR(__xludf.DUMMYFUNCTION("""COMPUTED_VALUE"""),"KEJURUAN")</f>
        <v>KEJURUAN</v>
      </c>
      <c r="C1" s="36" t="str">
        <f>IFERROR(__xludf.DUMMYFUNCTION("""COMPUTED_VALUE"""),"PROGRAM PELATIHAN")</f>
        <v>PROGRAM PELATIHAN</v>
      </c>
      <c r="D1" s="36" t="str">
        <f>IFERROR(__xludf.DUMMYFUNCTION("""COMPUTED_VALUE"""),"JUMLAH PESERTA PELATIHAN")</f>
        <v>JUMLAH PESERTA PELATIHAN</v>
      </c>
      <c r="E1" s="36" t="str">
        <f>IFERROR(__xludf.DUMMYFUNCTION("""COMPUTED_VALUE"""),"PEREMPUAN")</f>
        <v>PEREMPUAN</v>
      </c>
      <c r="F1" s="36" t="str">
        <f>IFERROR(__xludf.DUMMYFUNCTION("""COMPUTED_VALUE"""),"LAKI-LAKI")</f>
        <v>LAKI-LAKI</v>
      </c>
      <c r="G1" s="36" t="str">
        <f>IFERROR(__xludf.DUMMYFUNCTION("""COMPUTED_VALUE"""),"S1/D4")</f>
        <v>S1/D4</v>
      </c>
      <c r="H1" s="36" t="str">
        <f>IFERROR(__xludf.DUMMYFUNCTION("""COMPUTED_VALUE"""),"D3")</f>
        <v>D3</v>
      </c>
      <c r="I1" s="36" t="str">
        <f>IFERROR(__xludf.DUMMYFUNCTION("""COMPUTED_VALUE"""),"SMA / SMK")</f>
        <v>SMA / SMK</v>
      </c>
      <c r="J1" s="36" t="str">
        <f>IFERROR(__xludf.DUMMYFUNCTION("""COMPUTED_VALUE"""),"SMP")</f>
        <v>SMP</v>
      </c>
      <c r="K1" s="36" t="str">
        <f>IFERROR(__xludf.DUMMYFUNCTION("""COMPUTED_VALUE"""),"SD")</f>
        <v>SD</v>
      </c>
      <c r="L1" s="36" t="str">
        <f>IFERROR(__xludf.DUMMYFUNCTION("""COMPUTED_VALUE"""),"DISABILITAS")</f>
        <v>DISABILITAS</v>
      </c>
      <c r="M1" s="36" t="str">
        <f>IFERROR(__xludf.DUMMYFUNCTION("""COMPUTED_VALUE"""),"U 17-24")</f>
        <v>U 17-24</v>
      </c>
      <c r="N1" s="36" t="str">
        <f>IFERROR(__xludf.DUMMYFUNCTION("""COMPUTED_VALUE""")," U 25-28")</f>
        <v> U 25-28</v>
      </c>
      <c r="O1" s="36" t="str">
        <f>IFERROR(__xludf.DUMMYFUNCTION("""COMPUTED_VALUE"""),"U 29-34")</f>
        <v>U 29-34</v>
      </c>
      <c r="P1" s="36" t="str">
        <f>IFERROR(__xludf.DUMMYFUNCTION("""COMPUTED_VALUE"""),"U 35-40")</f>
        <v>U 35-40</v>
      </c>
      <c r="Q1" s="36" t="str">
        <f>IFERROR(__xludf.DUMMYFUNCTION("""COMPUTED_VALUE"""),"U 41-dst")</f>
        <v>U 41-dst</v>
      </c>
      <c r="R1" s="36" t="str">
        <f>IFERROR(__xludf.DUMMYFUNCTION("""COMPUTED_VALUE"""),"Daerah")</f>
        <v>Daerah</v>
      </c>
    </row>
    <row r="2">
      <c r="A2" s="36">
        <f>IFERROR(__xludf.DUMMYFUNCTION("""COMPUTED_VALUE"""),1.0)</f>
        <v>1</v>
      </c>
      <c r="B2" s="36" t="str">
        <f>IFERROR(__xludf.DUMMYFUNCTION("""COMPUTED_VALUE"""),"TIK")</f>
        <v>TIK</v>
      </c>
      <c r="C2" s="36" t="str">
        <f>IFERROR(__xludf.DUMMYFUNCTION("""COMPUTED_VALUE"""),"Computer Operator Assistant")</f>
        <v>Computer Operator Assistant</v>
      </c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 t="str">
        <f>IFERROR(__xludf.DUMMYFUNCTION("""COMPUTED_VALUE"""),"Kolaka")</f>
        <v>Kolaka</v>
      </c>
    </row>
    <row r="3">
      <c r="A3" s="36">
        <f>IFERROR(__xludf.DUMMYFUNCTION("""COMPUTED_VALUE"""),2.0)</f>
        <v>2</v>
      </c>
      <c r="B3" s="36" t="str">
        <f>IFERROR(__xludf.DUMMYFUNCTION("""COMPUTED_VALUE"""),"Fashion Technology")</f>
        <v>Fashion Technology</v>
      </c>
      <c r="C3" s="36" t="str">
        <f>IFERROR(__xludf.DUMMYFUNCTION("""COMPUTED_VALUE"""),"Menjahit Pakaian Wanita Dewasa")</f>
        <v>Menjahit Pakaian Wanita Dewasa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 t="str">
        <f>IFERROR(__xludf.DUMMYFUNCTION("""COMPUTED_VALUE"""),"Kolaka")</f>
        <v>Kolaka</v>
      </c>
    </row>
    <row r="4">
      <c r="A4" s="36">
        <f>IFERROR(__xludf.DUMMYFUNCTION("""COMPUTED_VALUE"""),3.0)</f>
        <v>3</v>
      </c>
      <c r="B4" s="36" t="str">
        <f>IFERROR(__xludf.DUMMYFUNCTION("""COMPUTED_VALUE"""),"TIK")</f>
        <v>TIK</v>
      </c>
      <c r="C4" s="36" t="str">
        <f>IFERROR(__xludf.DUMMYFUNCTION("""COMPUTED_VALUE"""),"Pengelola Administrasi Perkantoran")</f>
        <v>Pengelola Administrasi Perkantoran</v>
      </c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 t="str">
        <f>IFERROR(__xludf.DUMMYFUNCTION("""COMPUTED_VALUE"""),"Kolaka")</f>
        <v>Kolaka</v>
      </c>
    </row>
    <row r="5">
      <c r="A5" s="36">
        <f>IFERROR(__xludf.DUMMYFUNCTION("""COMPUTED_VALUE"""),4.0)</f>
        <v>4</v>
      </c>
      <c r="B5" s="36" t="str">
        <f>IFERROR(__xludf.DUMMYFUNCTION("""COMPUTED_VALUE"""),"Bangunan")</f>
        <v>Bangunan</v>
      </c>
      <c r="C5" s="36" t="str">
        <f>IFERROR(__xludf.DUMMYFUNCTION("""COMPUTED_VALUE"""),"Juru Ukur (Surveyor) Kualifikasi 3")</f>
        <v>Juru Ukur (Surveyor) Kualifikasi 3</v>
      </c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 t="str">
        <f>IFERROR(__xludf.DUMMYFUNCTION("""COMPUTED_VALUE"""),"Kolaka")</f>
        <v>Kolaka</v>
      </c>
    </row>
    <row r="6">
      <c r="A6" s="36">
        <f>IFERROR(__xludf.DUMMYFUNCTION("""COMPUTED_VALUE"""),5.0)</f>
        <v>5</v>
      </c>
      <c r="B6" s="36" t="str">
        <f>IFERROR(__xludf.DUMMYFUNCTION("""COMPUTED_VALUE"""),"Las")</f>
        <v>Las</v>
      </c>
      <c r="C6" s="36" t="str">
        <f>IFERROR(__xludf.DUMMYFUNCTION("""COMPUTED_VALUE"""),"Fabrikasi 1")</f>
        <v>Fabrikasi 1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 t="str">
        <f>IFERROR(__xludf.DUMMYFUNCTION("""COMPUTED_VALUE"""),"Kolaka")</f>
        <v>Kolaka</v>
      </c>
    </row>
    <row r="7">
      <c r="A7" s="36">
        <f>IFERROR(__xludf.DUMMYFUNCTION("""COMPUTED_VALUE"""),6.0)</f>
        <v>6</v>
      </c>
      <c r="B7" s="36" t="str">
        <f>IFERROR(__xludf.DUMMYFUNCTION("""COMPUTED_VALUE"""),"Las")</f>
        <v>Las</v>
      </c>
      <c r="C7" s="36" t="str">
        <f>IFERROR(__xludf.DUMMYFUNCTION("""COMPUTED_VALUE"""),"Fabrikasi 2")</f>
        <v>Fabrikasi 2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 t="str">
        <f>IFERROR(__xludf.DUMMYFUNCTION("""COMPUTED_VALUE"""),"Kolaka")</f>
        <v>Kolaka</v>
      </c>
    </row>
    <row r="8">
      <c r="A8" s="36">
        <f>IFERROR(__xludf.DUMMYFUNCTION("""COMPUTED_VALUE"""),7.0)</f>
        <v>7</v>
      </c>
      <c r="B8" s="36" t="str">
        <f>IFERROR(__xludf.DUMMYFUNCTION("""COMPUTED_VALUE"""),"Teknologi Pengolahan Pertanian")</f>
        <v>Teknologi Pengolahan Pertanian</v>
      </c>
      <c r="C8" s="36" t="str">
        <f>IFERROR(__xludf.DUMMYFUNCTION("""COMPUTED_VALUE"""),"Pembuatan Roti dan Kue 1")</f>
        <v>Pembuatan Roti dan Kue 1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 t="str">
        <f>IFERROR(__xludf.DUMMYFUNCTION("""COMPUTED_VALUE"""),"Kolaka")</f>
        <v>Kolaka</v>
      </c>
    </row>
    <row r="9">
      <c r="A9" s="36">
        <f>IFERROR(__xludf.DUMMYFUNCTION("""COMPUTED_VALUE"""),8.0)</f>
        <v>8</v>
      </c>
      <c r="B9" s="36" t="str">
        <f>IFERROR(__xludf.DUMMYFUNCTION("""COMPUTED_VALUE"""),"Teknologi Pengolahan Pertanian")</f>
        <v>Teknologi Pengolahan Pertanian</v>
      </c>
      <c r="C9" s="36" t="str">
        <f>IFERROR(__xludf.DUMMYFUNCTION("""COMPUTED_VALUE"""),"Pembuatan Roti dan Kue 2")</f>
        <v>Pembuatan Roti dan Kue 2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 t="str">
        <f>IFERROR(__xludf.DUMMYFUNCTION("""COMPUTED_VALUE"""),"Kolaka")</f>
        <v>Kolaka</v>
      </c>
    </row>
    <row r="10">
      <c r="A10" s="36">
        <f>IFERROR(__xludf.DUMMYFUNCTION("""COMPUTED_VALUE"""),1.0)</f>
        <v>1</v>
      </c>
      <c r="B10" s="36" t="str">
        <f>IFERROR(__xludf.DUMMYFUNCTION("""COMPUTED_VALUE"""),"TIK")</f>
        <v>TIK</v>
      </c>
      <c r="C10" s="36" t="str">
        <f>IFERROR(__xludf.DUMMYFUNCTION("""COMPUTED_VALUE"""),"Computer Operator Assitant")</f>
        <v>Computer Operator Assitant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 t="str">
        <f>IFERROR(__xludf.DUMMYFUNCTION("""COMPUTED_VALUE"""),"Kolaka Utara")</f>
        <v>Kolaka Utara</v>
      </c>
    </row>
    <row r="11">
      <c r="A11" s="36">
        <f>IFERROR(__xludf.DUMMYFUNCTION("""COMPUTED_VALUE"""),2.0)</f>
        <v>2</v>
      </c>
      <c r="B11" s="36" t="str">
        <f>IFERROR(__xludf.DUMMYFUNCTION("""COMPUTED_VALUE"""),"Fashion Technology")</f>
        <v>Fashion Technology</v>
      </c>
      <c r="C11" s="36" t="str">
        <f>IFERROR(__xludf.DUMMYFUNCTION("""COMPUTED_VALUE"""),"Menjahit Pakaian Wanita Dewasa")</f>
        <v>Menjahit Pakaian Wanita Dewasa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 t="str">
        <f>IFERROR(__xludf.DUMMYFUNCTION("""COMPUTED_VALUE"""),"Kolaka Utara")</f>
        <v>Kolaka Utara</v>
      </c>
    </row>
    <row r="12">
      <c r="A12" s="36">
        <f>IFERROR(__xludf.DUMMYFUNCTION("""COMPUTED_VALUE"""),3.0)</f>
        <v>3</v>
      </c>
      <c r="B12" s="36" t="str">
        <f>IFERROR(__xludf.DUMMYFUNCTION("""COMPUTED_VALUE"""),"Las")</f>
        <v>Las</v>
      </c>
      <c r="C12" s="36" t="str">
        <f>IFERROR(__xludf.DUMMYFUNCTION("""COMPUTED_VALUE"""),"Fabrikasi 1")</f>
        <v>Fabrikasi 1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 t="str">
        <f>IFERROR(__xludf.DUMMYFUNCTION("""COMPUTED_VALUE"""),"Kolaka Utara")</f>
        <v>Kolaka Utara</v>
      </c>
    </row>
    <row r="13">
      <c r="A13" s="36">
        <f>IFERROR(__xludf.DUMMYFUNCTION("""COMPUTED_VALUE"""),4.0)</f>
        <v>4</v>
      </c>
      <c r="B13" s="36" t="str">
        <f>IFERROR(__xludf.DUMMYFUNCTION("""COMPUTED_VALUE"""),"Las")</f>
        <v>Las</v>
      </c>
      <c r="C13" s="36" t="str">
        <f>IFERROR(__xludf.DUMMYFUNCTION("""COMPUTED_VALUE"""),"Fabrikasi 2")</f>
        <v>Fabrikasi 2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 t="str">
        <f>IFERROR(__xludf.DUMMYFUNCTION("""COMPUTED_VALUE"""),"Kolaka Utara")</f>
        <v>Kolaka Utara</v>
      </c>
    </row>
    <row r="14">
      <c r="A14" s="36">
        <f>IFERROR(__xludf.DUMMYFUNCTION("""COMPUTED_VALUE"""),1.0)</f>
        <v>1</v>
      </c>
      <c r="B14" s="36" t="str">
        <f>IFERROR(__xludf.DUMMYFUNCTION("""COMPUTED_VALUE"""),"TIK")</f>
        <v>TIK</v>
      </c>
      <c r="C14" s="36" t="str">
        <f>IFERROR(__xludf.DUMMYFUNCTION("""COMPUTED_VALUE"""),"Computer Operator Assistant")</f>
        <v>Computer Operator Assistant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 t="str">
        <f>IFERROR(__xludf.DUMMYFUNCTION("""COMPUTED_VALUE"""),"Konawe Selatan")</f>
        <v>Konawe Selatan</v>
      </c>
    </row>
    <row r="15">
      <c r="A15" s="36">
        <f>IFERROR(__xludf.DUMMYFUNCTION("""COMPUTED_VALUE"""),2.0)</f>
        <v>2</v>
      </c>
      <c r="B15" s="36" t="str">
        <f>IFERROR(__xludf.DUMMYFUNCTION("""COMPUTED_VALUE"""),"Fashion Technology")</f>
        <v>Fashion Technology</v>
      </c>
      <c r="C15" s="36" t="str">
        <f>IFERROR(__xludf.DUMMYFUNCTION("""COMPUTED_VALUE"""),"Menjahit Pakaian Wanita Dewasa")</f>
        <v>Menjahit Pakaian Wanita Dewasa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 t="str">
        <f>IFERROR(__xludf.DUMMYFUNCTION("""COMPUTED_VALUE"""),"Konawe Selatan")</f>
        <v>Konawe Selatan</v>
      </c>
    </row>
    <row r="16">
      <c r="A16" s="36">
        <f>IFERROR(__xludf.DUMMYFUNCTION("""COMPUTED_VALUE"""),3.0)</f>
        <v>3</v>
      </c>
      <c r="B16" s="36" t="str">
        <f>IFERROR(__xludf.DUMMYFUNCTION("""COMPUTED_VALUE"""),"Las")</f>
        <v>Las</v>
      </c>
      <c r="C16" s="36" t="str">
        <f>IFERROR(__xludf.DUMMYFUNCTION("""COMPUTED_VALUE"""),"Fabrikasi 1")</f>
        <v>Fabrikasi 1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 t="str">
        <f>IFERROR(__xludf.DUMMYFUNCTION("""COMPUTED_VALUE"""),"Konawe Selatan")</f>
        <v>Konawe Selatan</v>
      </c>
    </row>
    <row r="17">
      <c r="A17" s="36">
        <f>IFERROR(__xludf.DUMMYFUNCTION("""COMPUTED_VALUE"""),4.0)</f>
        <v>4</v>
      </c>
      <c r="B17" s="36" t="str">
        <f>IFERROR(__xludf.DUMMYFUNCTION("""COMPUTED_VALUE"""),"Las")</f>
        <v>Las</v>
      </c>
      <c r="C17" s="36" t="str">
        <f>IFERROR(__xludf.DUMMYFUNCTION("""COMPUTED_VALUE"""),"Fabrikasi 2")</f>
        <v>Fabrikasi 2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 t="str">
        <f>IFERROR(__xludf.DUMMYFUNCTION("""COMPUTED_VALUE"""),"Konawe Selatan")</f>
        <v>Konawe Selatan</v>
      </c>
    </row>
    <row r="18">
      <c r="A18" s="36">
        <f>IFERROR(__xludf.DUMMYFUNCTION("""COMPUTED_VALUE"""),5.0)</f>
        <v>5</v>
      </c>
      <c r="B18" s="36" t="str">
        <f>IFERROR(__xludf.DUMMYFUNCTION("""COMPUTED_VALUE"""),"Teknologi Pengolahan Pertanian")</f>
        <v>Teknologi Pengolahan Pertanian</v>
      </c>
      <c r="C18" s="36" t="str">
        <f>IFERROR(__xludf.DUMMYFUNCTION("""COMPUTED_VALUE"""),"Pembuatan Roti dan Kue")</f>
        <v>Pembuatan Roti dan Kue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 t="str">
        <f>IFERROR(__xludf.DUMMYFUNCTION("""COMPUTED_VALUE"""),"Konawe Selatan")</f>
        <v>Konawe Selatan</v>
      </c>
    </row>
    <row r="19">
      <c r="A19" s="36">
        <f>IFERROR(__xludf.DUMMYFUNCTION("""COMPUTED_VALUE"""),1.0)</f>
        <v>1</v>
      </c>
      <c r="B19" s="36" t="str">
        <f>IFERROR(__xludf.DUMMYFUNCTION("""COMPUTED_VALUE"""),"Fashion Technology")</f>
        <v>Fashion Technology</v>
      </c>
      <c r="C19" s="36" t="str">
        <f>IFERROR(__xludf.DUMMYFUNCTION("""COMPUTED_VALUE"""),"Menjahit Pakaian Wanita Dewasa")</f>
        <v>Menjahit Pakaian Wanita Dewasa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 t="str">
        <f>IFERROR(__xludf.DUMMYFUNCTION("""COMPUTED_VALUE"""),"Konawe Utara")</f>
        <v>Konawe Utara</v>
      </c>
    </row>
    <row r="20">
      <c r="A20" s="36">
        <f>IFERROR(__xludf.DUMMYFUNCTION("""COMPUTED_VALUE"""),2.0)</f>
        <v>2</v>
      </c>
      <c r="B20" s="36" t="str">
        <f>IFERROR(__xludf.DUMMYFUNCTION("""COMPUTED_VALUE"""),"Las")</f>
        <v>Las</v>
      </c>
      <c r="C20" s="36" t="str">
        <f>IFERROR(__xludf.DUMMYFUNCTION("""COMPUTED_VALUE"""),"Fabrikasi")</f>
        <v>Fabrikasi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 t="str">
        <f>IFERROR(__xludf.DUMMYFUNCTION("""COMPUTED_VALUE"""),"Konawe Utara")</f>
        <v>Konawe Utara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15.88"/>
    <col customWidth="1" min="4" max="4" width="17.75"/>
    <col customWidth="1" min="6" max="6" width="15.25"/>
    <col customWidth="1" min="9" max="9" width="14.38"/>
    <col customWidth="1" min="13" max="13" width="20.88"/>
  </cols>
  <sheetData>
    <row r="1">
      <c r="A1" s="5" t="s">
        <v>188</v>
      </c>
      <c r="D1" s="5" t="s">
        <v>1</v>
      </c>
      <c r="H1" s="1" t="s">
        <v>0</v>
      </c>
      <c r="I1" s="2"/>
      <c r="K1" s="51" t="s">
        <v>189</v>
      </c>
      <c r="L1" s="52"/>
      <c r="M1" s="52"/>
      <c r="N1" s="52"/>
      <c r="O1" s="52"/>
      <c r="P1" s="52"/>
      <c r="Q1" s="2"/>
    </row>
    <row r="2">
      <c r="A2" s="41" t="s">
        <v>190</v>
      </c>
      <c r="B2" s="41" t="s">
        <v>9</v>
      </c>
      <c r="D2" s="10" t="str">
        <f>IFERROR(__xludf.DUMMYFUNCTION("QUERY(PelatihanUPTD!A:R, 
 ""SELECT Col2, Col18, SUM(Col4) 
  WHERE Col2 IS NOT NULL 
  GROUP BY Col2, Col18
  LABEL Col2 'KEJURUAN', Col18 'DAERAH', SUM(Col4) 'TOTAL PESERTA'"")"),"#VALUE!")</f>
        <v>#VALUE!</v>
      </c>
      <c r="E2" s="10"/>
      <c r="F2" s="10"/>
      <c r="H2" s="6" t="s">
        <v>6</v>
      </c>
      <c r="I2" s="6" t="s">
        <v>7</v>
      </c>
      <c r="K2" s="41" t="str">
        <f>IFERROR(__xludf.DUMMYFUNCTION("QUERY(ARRAYFORMULA({PelatihanUPTD!R:R , IF(ISNUMBER(PelatihanUPTD!G:K), PelatihanUPTD!G:K, 0)}), 
 ""SELECT Col1, SUM(Col2), SUM(Col3), SUM(Col4), SUM(Col5), SUM(Col6)
  WHERE Col1 IS NOT NULL 
  GROUP BY Col1 
  LABEL Col1 'DAERAH', SUM(Col2) 'Sarjana', "&amp;"SUM(Col3) 'Diploma', SUM(Col4) 'SMA / SMK', SUM(Col5) 'SMP', SUM(Col6) 'SD'"", 1)"),"DAERAH")</f>
        <v>DAERAH</v>
      </c>
      <c r="L2" s="10" t="str">
        <f>IFERROR(__xludf.DUMMYFUNCTION("""COMPUTED_VALUE"""),"Sarjana")</f>
        <v>Sarjana</v>
      </c>
      <c r="M2" s="10" t="str">
        <f>IFERROR(__xludf.DUMMYFUNCTION("""COMPUTED_VALUE"""),"Diploma")</f>
        <v>Diploma</v>
      </c>
      <c r="N2" s="10" t="str">
        <f>IFERROR(__xludf.DUMMYFUNCTION("""COMPUTED_VALUE"""),"SMA / SMK")</f>
        <v>SMA / SMK</v>
      </c>
      <c r="O2" s="10" t="str">
        <f>IFERROR(__xludf.DUMMYFUNCTION("""COMPUTED_VALUE"""),"SMP")</f>
        <v>SMP</v>
      </c>
      <c r="P2" s="10" t="str">
        <f>IFERROR(__xludf.DUMMYFUNCTION("""COMPUTED_VALUE"""),"SD")</f>
        <v>SD</v>
      </c>
      <c r="Q2" s="10"/>
      <c r="S2" s="36" t="str">
        <f>IFERROR(__xludf.DUMMYFUNCTION("QUERY(ARRAYFORMULA({PelatihanUPTD!R:R , IF(ISNUMBER(PelatihanUPTD!M:Q), PelatihanUPTD!M:Q, 0)}), 
 ""SELECT Col1, SUM(Col2), SUM(Col3), SUM(Col4), SUM(Col5), SUM(Col6) 
  WHERE Col1 IS NOT NULL 
  GROUP BY Col1 
  LABEL Col1 'DAERAH', SUM(Col2) '17-24', S"&amp;"UM(Col3) '25-28', SUM(Col4) '29-34', SUM(Col5) '35-40', SUM(Col6) '41 keatas'"", 1)"),"DAERAH")</f>
        <v>DAERAH</v>
      </c>
      <c r="T2" s="36" t="str">
        <f>IFERROR(__xludf.DUMMYFUNCTION("""COMPUTED_VALUE"""),"17-24")</f>
        <v>17-24</v>
      </c>
      <c r="U2" s="36" t="str">
        <f>IFERROR(__xludf.DUMMYFUNCTION("""COMPUTED_VALUE"""),"25-28")</f>
        <v>25-28</v>
      </c>
      <c r="V2" s="36" t="str">
        <f>IFERROR(__xludf.DUMMYFUNCTION("""COMPUTED_VALUE"""),"29-34")</f>
        <v>29-34</v>
      </c>
      <c r="W2" s="36" t="str">
        <f>IFERROR(__xludf.DUMMYFUNCTION("""COMPUTED_VALUE"""),"35-40")</f>
        <v>35-40</v>
      </c>
      <c r="X2" s="36" t="str">
        <f>IFERROR(__xludf.DUMMYFUNCTION("""COMPUTED_VALUE"""),"41 keatas")</f>
        <v>41 keatas</v>
      </c>
    </row>
    <row r="3">
      <c r="A3" s="41" t="s">
        <v>191</v>
      </c>
      <c r="B3" s="10">
        <f>SUMIF(PelatihanUPTD!$R$2:$R1000, SUBSTITUTE(A3, "BLK ", ""), PelatihanUPTD!$D$2:$D1000)</f>
        <v>0</v>
      </c>
      <c r="D3" s="10"/>
      <c r="E3" s="10"/>
      <c r="F3" s="10"/>
      <c r="H3" s="9" t="s">
        <v>19</v>
      </c>
      <c r="I3" s="41">
        <f>sum(PelatihanUPTD!F2:F1000)</f>
        <v>0</v>
      </c>
      <c r="K3" s="10" t="str">
        <f>IFERROR(__xludf.DUMMYFUNCTION("""COMPUTED_VALUE"""),"Kolaka")</f>
        <v>Kolaka</v>
      </c>
      <c r="L3" s="10">
        <f>IFERROR(__xludf.DUMMYFUNCTION("""COMPUTED_VALUE"""),0.0)</f>
        <v>0</v>
      </c>
      <c r="M3" s="10">
        <f>IFERROR(__xludf.DUMMYFUNCTION("""COMPUTED_VALUE"""),0.0)</f>
        <v>0</v>
      </c>
      <c r="N3" s="10">
        <f>IFERROR(__xludf.DUMMYFUNCTION("""COMPUTED_VALUE"""),0.0)</f>
        <v>0</v>
      </c>
      <c r="O3" s="10">
        <f>IFERROR(__xludf.DUMMYFUNCTION("""COMPUTED_VALUE"""),0.0)</f>
        <v>0</v>
      </c>
      <c r="P3" s="10">
        <f>IFERROR(__xludf.DUMMYFUNCTION("""COMPUTED_VALUE"""),0.0)</f>
        <v>0</v>
      </c>
      <c r="Q3" s="10"/>
      <c r="S3" s="36" t="str">
        <f>IFERROR(__xludf.DUMMYFUNCTION("""COMPUTED_VALUE"""),"Kolaka")</f>
        <v>Kolaka</v>
      </c>
      <c r="T3" s="36">
        <f>IFERROR(__xludf.DUMMYFUNCTION("""COMPUTED_VALUE"""),0.0)</f>
        <v>0</v>
      </c>
      <c r="U3" s="36">
        <f>IFERROR(__xludf.DUMMYFUNCTION("""COMPUTED_VALUE"""),0.0)</f>
        <v>0</v>
      </c>
      <c r="V3" s="36">
        <f>IFERROR(__xludf.DUMMYFUNCTION("""COMPUTED_VALUE"""),0.0)</f>
        <v>0</v>
      </c>
      <c r="W3" s="36">
        <f>IFERROR(__xludf.DUMMYFUNCTION("""COMPUTED_VALUE"""),0.0)</f>
        <v>0</v>
      </c>
      <c r="X3" s="36">
        <f>IFERROR(__xludf.DUMMYFUNCTION("""COMPUTED_VALUE"""),0.0)</f>
        <v>0</v>
      </c>
    </row>
    <row r="4">
      <c r="A4" s="41" t="s">
        <v>192</v>
      </c>
      <c r="B4" s="10">
        <f>SUMIF(PelatihanUPTD!$R$2:$R1000, SUBSTITUTE(A4, "BLK ", ""), PelatihanUPTD!$D$2:$D1000)</f>
        <v>0</v>
      </c>
      <c r="D4" s="10"/>
      <c r="E4" s="10"/>
      <c r="F4" s="10"/>
      <c r="H4" s="9" t="s">
        <v>14</v>
      </c>
      <c r="I4" s="41">
        <f>sum(PelatihanUPTD!E2:E1000)</f>
        <v>0</v>
      </c>
      <c r="K4" s="10" t="str">
        <f>IFERROR(__xludf.DUMMYFUNCTION("""COMPUTED_VALUE"""),"Kolaka Utara")</f>
        <v>Kolaka Utara</v>
      </c>
      <c r="L4" s="10">
        <f>IFERROR(__xludf.DUMMYFUNCTION("""COMPUTED_VALUE"""),0.0)</f>
        <v>0</v>
      </c>
      <c r="M4" s="10">
        <f>IFERROR(__xludf.DUMMYFUNCTION("""COMPUTED_VALUE"""),0.0)</f>
        <v>0</v>
      </c>
      <c r="N4" s="10">
        <f>IFERROR(__xludf.DUMMYFUNCTION("""COMPUTED_VALUE"""),0.0)</f>
        <v>0</v>
      </c>
      <c r="O4" s="10">
        <f>IFERROR(__xludf.DUMMYFUNCTION("""COMPUTED_VALUE"""),0.0)</f>
        <v>0</v>
      </c>
      <c r="P4" s="10">
        <f>IFERROR(__xludf.DUMMYFUNCTION("""COMPUTED_VALUE"""),0.0)</f>
        <v>0</v>
      </c>
      <c r="Q4" s="10"/>
      <c r="S4" s="36" t="str">
        <f>IFERROR(__xludf.DUMMYFUNCTION("""COMPUTED_VALUE"""),"Kolaka Utara")</f>
        <v>Kolaka Utara</v>
      </c>
      <c r="T4" s="36">
        <f>IFERROR(__xludf.DUMMYFUNCTION("""COMPUTED_VALUE"""),0.0)</f>
        <v>0</v>
      </c>
      <c r="U4" s="36">
        <f>IFERROR(__xludf.DUMMYFUNCTION("""COMPUTED_VALUE"""),0.0)</f>
        <v>0</v>
      </c>
      <c r="V4" s="36">
        <f>IFERROR(__xludf.DUMMYFUNCTION("""COMPUTED_VALUE"""),0.0)</f>
        <v>0</v>
      </c>
      <c r="W4" s="36">
        <f>IFERROR(__xludf.DUMMYFUNCTION("""COMPUTED_VALUE"""),0.0)</f>
        <v>0</v>
      </c>
      <c r="X4" s="36">
        <f>IFERROR(__xludf.DUMMYFUNCTION("""COMPUTED_VALUE"""),0.0)</f>
        <v>0</v>
      </c>
    </row>
    <row r="5">
      <c r="A5" s="41" t="s">
        <v>193</v>
      </c>
      <c r="B5" s="10">
        <f>SUMIF(PelatihanUPTD!$R$2:$R1000, SUBSTITUTE(A5, "BLK ", ""), PelatihanUPTD!$D$2:$D1000)</f>
        <v>0</v>
      </c>
      <c r="D5" s="10"/>
      <c r="E5" s="10"/>
      <c r="F5" s="10"/>
      <c r="H5" s="43"/>
      <c r="I5" s="41"/>
      <c r="K5" s="10" t="str">
        <f>IFERROR(__xludf.DUMMYFUNCTION("""COMPUTED_VALUE"""),"Konawe Selatan")</f>
        <v>Konawe Selatan</v>
      </c>
      <c r="L5" s="10">
        <f>IFERROR(__xludf.DUMMYFUNCTION("""COMPUTED_VALUE"""),0.0)</f>
        <v>0</v>
      </c>
      <c r="M5" s="10">
        <f>IFERROR(__xludf.DUMMYFUNCTION("""COMPUTED_VALUE"""),0.0)</f>
        <v>0</v>
      </c>
      <c r="N5" s="10">
        <f>IFERROR(__xludf.DUMMYFUNCTION("""COMPUTED_VALUE"""),0.0)</f>
        <v>0</v>
      </c>
      <c r="O5" s="10">
        <f>IFERROR(__xludf.DUMMYFUNCTION("""COMPUTED_VALUE"""),0.0)</f>
        <v>0</v>
      </c>
      <c r="P5" s="10">
        <f>IFERROR(__xludf.DUMMYFUNCTION("""COMPUTED_VALUE"""),0.0)</f>
        <v>0</v>
      </c>
      <c r="Q5" s="10"/>
      <c r="S5" s="36" t="str">
        <f>IFERROR(__xludf.DUMMYFUNCTION("""COMPUTED_VALUE"""),"Konawe Selatan")</f>
        <v>Konawe Selatan</v>
      </c>
      <c r="T5" s="36">
        <f>IFERROR(__xludf.DUMMYFUNCTION("""COMPUTED_VALUE"""),0.0)</f>
        <v>0</v>
      </c>
      <c r="U5" s="36">
        <f>IFERROR(__xludf.DUMMYFUNCTION("""COMPUTED_VALUE"""),0.0)</f>
        <v>0</v>
      </c>
      <c r="V5" s="36">
        <f>IFERROR(__xludf.DUMMYFUNCTION("""COMPUTED_VALUE"""),0.0)</f>
        <v>0</v>
      </c>
      <c r="W5" s="36">
        <f>IFERROR(__xludf.DUMMYFUNCTION("""COMPUTED_VALUE"""),0.0)</f>
        <v>0</v>
      </c>
      <c r="X5" s="36">
        <f>IFERROR(__xludf.DUMMYFUNCTION("""COMPUTED_VALUE"""),0.0)</f>
        <v>0</v>
      </c>
    </row>
    <row r="6">
      <c r="A6" s="41" t="s">
        <v>194</v>
      </c>
      <c r="B6" s="10">
        <f>SUMIF(PelatihanUPTD!$R$2:$R1000, SUBSTITUTE(A6, "BLK ", ""), PelatihanUPTD!$D$2:$D1000)</f>
        <v>0</v>
      </c>
      <c r="D6" s="10"/>
      <c r="E6" s="10"/>
      <c r="F6" s="10"/>
      <c r="H6" s="45"/>
      <c r="I6" s="41"/>
      <c r="K6" s="10" t="str">
        <f>IFERROR(__xludf.DUMMYFUNCTION("""COMPUTED_VALUE"""),"Konawe Utara")</f>
        <v>Konawe Utara</v>
      </c>
      <c r="L6" s="10">
        <f>IFERROR(__xludf.DUMMYFUNCTION("""COMPUTED_VALUE"""),0.0)</f>
        <v>0</v>
      </c>
      <c r="M6" s="10">
        <f>IFERROR(__xludf.DUMMYFUNCTION("""COMPUTED_VALUE"""),0.0)</f>
        <v>0</v>
      </c>
      <c r="N6" s="10">
        <f>IFERROR(__xludf.DUMMYFUNCTION("""COMPUTED_VALUE"""),0.0)</f>
        <v>0</v>
      </c>
      <c r="O6" s="10">
        <f>IFERROR(__xludf.DUMMYFUNCTION("""COMPUTED_VALUE"""),0.0)</f>
        <v>0</v>
      </c>
      <c r="P6" s="10">
        <f>IFERROR(__xludf.DUMMYFUNCTION("""COMPUTED_VALUE"""),0.0)</f>
        <v>0</v>
      </c>
      <c r="Q6" s="10"/>
      <c r="S6" s="36" t="str">
        <f>IFERROR(__xludf.DUMMYFUNCTION("""COMPUTED_VALUE"""),"Konawe Utara")</f>
        <v>Konawe Utara</v>
      </c>
      <c r="T6" s="36">
        <f>IFERROR(__xludf.DUMMYFUNCTION("""COMPUTED_VALUE"""),0.0)</f>
        <v>0</v>
      </c>
      <c r="U6" s="36">
        <f>IFERROR(__xludf.DUMMYFUNCTION("""COMPUTED_VALUE"""),0.0)</f>
        <v>0</v>
      </c>
      <c r="V6" s="36">
        <f>IFERROR(__xludf.DUMMYFUNCTION("""COMPUTED_VALUE"""),0.0)</f>
        <v>0</v>
      </c>
      <c r="W6" s="36">
        <f>IFERROR(__xludf.DUMMYFUNCTION("""COMPUTED_VALUE"""),0.0)</f>
        <v>0</v>
      </c>
      <c r="X6" s="36">
        <f>IFERROR(__xludf.DUMMYFUNCTION("""COMPUTED_VALUE"""),0.0)</f>
        <v>0</v>
      </c>
    </row>
    <row r="7">
      <c r="A7" s="41" t="s">
        <v>195</v>
      </c>
      <c r="B7" s="10">
        <f>SUMIF(PelatihanUPTD!$R$2:$R1000, SUBSTITUTE(A7, "BLK ", ""), PelatihanUPTD!$D$2:$D1000)</f>
        <v>0</v>
      </c>
      <c r="D7" s="10"/>
      <c r="E7" s="10"/>
      <c r="F7" s="10"/>
      <c r="H7" s="45"/>
      <c r="I7" s="41"/>
      <c r="K7" s="10"/>
      <c r="L7" s="10"/>
      <c r="M7" s="10"/>
      <c r="N7" s="10"/>
      <c r="O7" s="10"/>
      <c r="P7" s="10"/>
      <c r="Q7" s="10"/>
    </row>
    <row r="8">
      <c r="D8" s="10"/>
      <c r="E8" s="10"/>
      <c r="F8" s="10"/>
      <c r="H8" s="45"/>
      <c r="I8" s="41"/>
    </row>
    <row r="9">
      <c r="D9" s="10"/>
      <c r="E9" s="10"/>
      <c r="F9" s="10"/>
      <c r="H9" s="45"/>
      <c r="I9" s="41"/>
    </row>
    <row r="10">
      <c r="H10" s="45"/>
      <c r="I10" s="41"/>
    </row>
    <row r="11">
      <c r="H11" s="44" t="s">
        <v>45</v>
      </c>
      <c r="I11" s="41">
        <f>sum(PelatihanUPTD!L2:L1000)</f>
        <v>0</v>
      </c>
    </row>
    <row r="12">
      <c r="H12" s="46" t="s">
        <v>7</v>
      </c>
      <c r="I12" s="41">
        <v>0.0</v>
      </c>
    </row>
    <row r="15">
      <c r="H15" s="53"/>
      <c r="I15" s="53"/>
    </row>
    <row r="16">
      <c r="I16" s="5"/>
    </row>
    <row r="17">
      <c r="I17" s="5"/>
    </row>
  </sheetData>
  <mergeCells count="3">
    <mergeCell ref="H1:I1"/>
    <mergeCell ref="K1:Q1"/>
    <mergeCell ref="H14:I1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63"/>
    <col customWidth="1" min="2" max="2" width="50.75"/>
    <col customWidth="1" min="3" max="3" width="26.63"/>
    <col customWidth="1" min="4" max="4" width="10.13"/>
    <col customWidth="1" min="5" max="5" width="20.88"/>
    <col customWidth="1" min="6" max="6" width="35.5"/>
    <col customWidth="1" min="7" max="7" width="19.13"/>
    <col customWidth="1" min="8" max="8" width="17.13"/>
    <col customWidth="1" min="9" max="9" width="18.13"/>
    <col customWidth="1" min="10" max="10" width="15.88"/>
    <col customWidth="1" min="11" max="11" width="19.13"/>
    <col customWidth="1" min="12" max="12" width="16.88"/>
    <col customWidth="1" min="13" max="13" width="25.63"/>
    <col customWidth="1" min="14" max="14" width="14.88"/>
    <col customWidth="1" min="15" max="15" width="28.63"/>
    <col customWidth="1" min="16" max="16" width="36.63"/>
    <col customWidth="1" min="17" max="17" width="75.13"/>
    <col customWidth="1" min="19" max="19" width="16.88"/>
  </cols>
  <sheetData>
    <row r="1" ht="22.5" customHeight="1">
      <c r="A1" s="57" t="s">
        <v>24</v>
      </c>
      <c r="B1" s="58" t="s">
        <v>196</v>
      </c>
      <c r="C1" s="58" t="s">
        <v>197</v>
      </c>
      <c r="D1" s="59" t="s">
        <v>198</v>
      </c>
      <c r="E1" s="59" t="s">
        <v>199</v>
      </c>
      <c r="F1" s="59" t="s">
        <v>200</v>
      </c>
      <c r="G1" s="59" t="s">
        <v>201</v>
      </c>
      <c r="H1" s="59" t="s">
        <v>202</v>
      </c>
      <c r="I1" s="59" t="s">
        <v>203</v>
      </c>
      <c r="J1" s="59" t="s">
        <v>204</v>
      </c>
      <c r="K1" s="60" t="s">
        <v>205</v>
      </c>
      <c r="L1" s="59" t="s">
        <v>206</v>
      </c>
      <c r="M1" s="59" t="s">
        <v>207</v>
      </c>
      <c r="N1" s="60" t="s">
        <v>208</v>
      </c>
      <c r="O1" s="60" t="s">
        <v>209</v>
      </c>
      <c r="P1" s="59" t="s">
        <v>210</v>
      </c>
      <c r="Q1" s="59" t="s">
        <v>211</v>
      </c>
      <c r="R1" s="61" t="s">
        <v>212</v>
      </c>
      <c r="S1" s="62" t="s">
        <v>213</v>
      </c>
      <c r="T1" s="17"/>
      <c r="U1" s="17"/>
      <c r="V1" s="17"/>
      <c r="W1" s="17"/>
      <c r="X1" s="17"/>
      <c r="Y1" s="17"/>
      <c r="Z1" s="17"/>
    </row>
    <row r="2" ht="22.5" customHeight="1">
      <c r="A2" s="22">
        <f t="array" ref="A2:A801">SEQUENCE(800,1)</f>
        <v>1</v>
      </c>
      <c r="B2" s="24" t="str">
        <f>IFERROR(__xludf.DUMMYFUNCTION("IMPORTRANGE(""https://docs.google.com/spreadsheets/d/1haRfQwifZ53R6iKp8bKC59O4IcMrhZgSb_bu4PjzTZ8/edit?usp=sharing"" , ""Sertifikasi!B2:S"")"),"Merias Wajah")</f>
        <v>Merias Wajah</v>
      </c>
      <c r="C2" s="24" t="str">
        <f>IFERROR(__xludf.DUMMYFUNCTION("""COMPUTED_VALUE"""),"SMK Negeri 3 Muna")</f>
        <v>SMK Negeri 3 Muna</v>
      </c>
      <c r="D2" s="24"/>
      <c r="E2" s="24"/>
      <c r="F2" s="24" t="str">
        <f>IFERROR(__xludf.DUMMYFUNCTION("""COMPUTED_VALUE"""),"ANNISA AULIA PUTRI")</f>
        <v>ANNISA AULIA PUTRI</v>
      </c>
      <c r="G2" s="24" t="str">
        <f>IFERROR(__xludf.DUMMYFUNCTION("""COMPUTED_VALUE"""),"7403045303090001")</f>
        <v>7403045303090001</v>
      </c>
      <c r="H2" s="24"/>
      <c r="I2" s="24"/>
      <c r="J2" s="24" t="str">
        <f>IFERROR(__xludf.DUMMYFUNCTION("""COMPUTED_VALUE"""),"PEREMPUAN")</f>
        <v>PEREMPUAN</v>
      </c>
      <c r="K2" s="24"/>
      <c r="L2" s="24"/>
      <c r="M2" s="24"/>
      <c r="N2" s="24" t="str">
        <f>IFERROR(__xludf.DUMMYFUNCTION("""COMPUTED_VALUE"""),"SMA / SMK / MA")</f>
        <v>SMA / SMK / MA</v>
      </c>
      <c r="O2" s="24"/>
      <c r="P2" s="24"/>
      <c r="Q2" s="24"/>
      <c r="R2" s="24" t="str">
        <f>IFERROR(__xludf.DUMMYFUNCTION("""COMPUTED_VALUE"""),"K")</f>
        <v>K</v>
      </c>
      <c r="S2" s="25" t="str">
        <f>IFERROR(__xludf.DUMMYFUNCTION("""COMPUTED_VALUE"""),"Selesai")</f>
        <v>Selesai</v>
      </c>
    </row>
    <row r="3" ht="22.5" customHeight="1">
      <c r="A3" s="22">
        <v>2.0</v>
      </c>
      <c r="B3" s="24" t="str">
        <f>IFERROR(__xludf.DUMMYFUNCTION("""COMPUTED_VALUE"""),"Merias Wajah")</f>
        <v>Merias Wajah</v>
      </c>
      <c r="C3" s="24" t="str">
        <f>IFERROR(__xludf.DUMMYFUNCTION("""COMPUTED_VALUE"""),"SMK Negeri 3 Muna")</f>
        <v>SMK Negeri 3 Muna</v>
      </c>
      <c r="D3" s="24"/>
      <c r="E3" s="24"/>
      <c r="F3" s="24" t="str">
        <f>IFERROR(__xludf.DUMMYFUNCTION("""COMPUTED_VALUE"""),"AS-ZAHRA PUTRI SALSABILLAH")</f>
        <v>AS-ZAHRA PUTRI SALSABILLAH</v>
      </c>
      <c r="G3" s="24" t="str">
        <f>IFERROR(__xludf.DUMMYFUNCTION("""COMPUTED_VALUE"""),"7403157003080001")</f>
        <v>7403157003080001</v>
      </c>
      <c r="H3" s="24"/>
      <c r="I3" s="24"/>
      <c r="J3" s="24" t="str">
        <f>IFERROR(__xludf.DUMMYFUNCTION("""COMPUTED_VALUE"""),"PEREMPUAN")</f>
        <v>PEREMPUAN</v>
      </c>
      <c r="K3" s="24"/>
      <c r="L3" s="24"/>
      <c r="M3" s="24"/>
      <c r="N3" s="24" t="str">
        <f>IFERROR(__xludf.DUMMYFUNCTION("""COMPUTED_VALUE"""),"SMA / SMK / MA")</f>
        <v>SMA / SMK / MA</v>
      </c>
      <c r="O3" s="24"/>
      <c r="P3" s="24"/>
      <c r="Q3" s="24"/>
      <c r="R3" s="24" t="str">
        <f>IFERROR(__xludf.DUMMYFUNCTION("""COMPUTED_VALUE"""),"K")</f>
        <v>K</v>
      </c>
      <c r="S3" s="25" t="str">
        <f>IFERROR(__xludf.DUMMYFUNCTION("""COMPUTED_VALUE"""),"Selesai")</f>
        <v>Selesai</v>
      </c>
    </row>
    <row r="4" ht="22.5" customHeight="1">
      <c r="A4" s="22">
        <v>3.0</v>
      </c>
      <c r="B4" s="24" t="str">
        <f>IFERROR(__xludf.DUMMYFUNCTION("""COMPUTED_VALUE"""),"Merias Wajah")</f>
        <v>Merias Wajah</v>
      </c>
      <c r="C4" s="24" t="str">
        <f>IFERROR(__xludf.DUMMYFUNCTION("""COMPUTED_VALUE"""),"SMK Negeri 3 Muna")</f>
        <v>SMK Negeri 3 Muna</v>
      </c>
      <c r="D4" s="24"/>
      <c r="E4" s="24"/>
      <c r="F4" s="24" t="str">
        <f>IFERROR(__xludf.DUMMYFUNCTION("""COMPUTED_VALUE"""),"DIAN NOVITA")</f>
        <v>DIAN NOVITA</v>
      </c>
      <c r="G4" s="24" t="str">
        <f>IFERROR(__xludf.DUMMYFUNCTION("""COMPUTED_VALUE"""),"7403326001070001")</f>
        <v>7403326001070001</v>
      </c>
      <c r="H4" s="24"/>
      <c r="I4" s="24"/>
      <c r="J4" s="24" t="str">
        <f>IFERROR(__xludf.DUMMYFUNCTION("""COMPUTED_VALUE"""),"PEREMPUAN")</f>
        <v>PEREMPUAN</v>
      </c>
      <c r="K4" s="24"/>
      <c r="L4" s="24"/>
      <c r="M4" s="24"/>
      <c r="N4" s="24" t="str">
        <f>IFERROR(__xludf.DUMMYFUNCTION("""COMPUTED_VALUE"""),"SMA / SMK / MA")</f>
        <v>SMA / SMK / MA</v>
      </c>
      <c r="O4" s="24"/>
      <c r="P4" s="24"/>
      <c r="Q4" s="24"/>
      <c r="R4" s="24" t="str">
        <f>IFERROR(__xludf.DUMMYFUNCTION("""COMPUTED_VALUE"""),"K")</f>
        <v>K</v>
      </c>
      <c r="S4" s="25" t="str">
        <f>IFERROR(__xludf.DUMMYFUNCTION("""COMPUTED_VALUE"""),"Selesai")</f>
        <v>Selesai</v>
      </c>
    </row>
    <row r="5" ht="22.5" customHeight="1">
      <c r="A5" s="22">
        <v>4.0</v>
      </c>
      <c r="B5" s="24" t="str">
        <f>IFERROR(__xludf.DUMMYFUNCTION("""COMPUTED_VALUE"""),"Merias Wajah")</f>
        <v>Merias Wajah</v>
      </c>
      <c r="C5" s="24" t="str">
        <f>IFERROR(__xludf.DUMMYFUNCTION("""COMPUTED_VALUE"""),"SMK Negeri 3 Muna")</f>
        <v>SMK Negeri 3 Muna</v>
      </c>
      <c r="D5" s="24"/>
      <c r="E5" s="24"/>
      <c r="F5" s="24" t="str">
        <f>IFERROR(__xludf.DUMMYFUNCTION("""COMPUTED_VALUE"""),"ELVIKA")</f>
        <v>ELVIKA</v>
      </c>
      <c r="G5" s="24" t="str">
        <f>IFERROR(__xludf.DUMMYFUNCTION("""COMPUTED_VALUE"""),"7403106811070001")</f>
        <v>7403106811070001</v>
      </c>
      <c r="H5" s="24"/>
      <c r="I5" s="24"/>
      <c r="J5" s="24" t="str">
        <f>IFERROR(__xludf.DUMMYFUNCTION("""COMPUTED_VALUE"""),"PEREMPUAN")</f>
        <v>PEREMPUAN</v>
      </c>
      <c r="K5" s="24"/>
      <c r="L5" s="24"/>
      <c r="M5" s="24"/>
      <c r="N5" s="24" t="str">
        <f>IFERROR(__xludf.DUMMYFUNCTION("""COMPUTED_VALUE"""),"SMA / SMK / MA")</f>
        <v>SMA / SMK / MA</v>
      </c>
      <c r="O5" s="24"/>
      <c r="P5" s="24"/>
      <c r="Q5" s="24"/>
      <c r="R5" s="24" t="str">
        <f>IFERROR(__xludf.DUMMYFUNCTION("""COMPUTED_VALUE"""),"K")</f>
        <v>K</v>
      </c>
      <c r="S5" s="25" t="str">
        <f>IFERROR(__xludf.DUMMYFUNCTION("""COMPUTED_VALUE"""),"Selesai")</f>
        <v>Selesai</v>
      </c>
    </row>
    <row r="6" ht="22.5" customHeight="1">
      <c r="A6" s="22">
        <v>5.0</v>
      </c>
      <c r="B6" s="24" t="str">
        <f>IFERROR(__xludf.DUMMYFUNCTION("""COMPUTED_VALUE"""),"Merias Wajah")</f>
        <v>Merias Wajah</v>
      </c>
      <c r="C6" s="24" t="str">
        <f>IFERROR(__xludf.DUMMYFUNCTION("""COMPUTED_VALUE"""),"SMK Negeri 3 Muna")</f>
        <v>SMK Negeri 3 Muna</v>
      </c>
      <c r="D6" s="24"/>
      <c r="E6" s="24"/>
      <c r="F6" s="24" t="str">
        <f>IFERROR(__xludf.DUMMYFUNCTION("""COMPUTED_VALUE"""),"INTAN NUR AENI")</f>
        <v>INTAN NUR AENI</v>
      </c>
      <c r="G6" s="24" t="str">
        <f>IFERROR(__xludf.DUMMYFUNCTION("""COMPUTED_VALUE"""),"7403274810060001")</f>
        <v>7403274810060001</v>
      </c>
      <c r="H6" s="24"/>
      <c r="I6" s="24"/>
      <c r="J6" s="24" t="str">
        <f>IFERROR(__xludf.DUMMYFUNCTION("""COMPUTED_VALUE"""),"PEREMPUAN")</f>
        <v>PEREMPUAN</v>
      </c>
      <c r="K6" s="24"/>
      <c r="L6" s="24"/>
      <c r="M6" s="24"/>
      <c r="N6" s="24" t="str">
        <f>IFERROR(__xludf.DUMMYFUNCTION("""COMPUTED_VALUE"""),"SMA / SMK / MA")</f>
        <v>SMA / SMK / MA</v>
      </c>
      <c r="O6" s="24"/>
      <c r="P6" s="24"/>
      <c r="Q6" s="24"/>
      <c r="R6" s="24" t="str">
        <f>IFERROR(__xludf.DUMMYFUNCTION("""COMPUTED_VALUE"""),"K")</f>
        <v>K</v>
      </c>
      <c r="S6" s="25" t="str">
        <f>IFERROR(__xludf.DUMMYFUNCTION("""COMPUTED_VALUE"""),"Selesai")</f>
        <v>Selesai</v>
      </c>
    </row>
    <row r="7" ht="22.5" customHeight="1">
      <c r="A7" s="22">
        <v>6.0</v>
      </c>
      <c r="B7" s="24" t="str">
        <f>IFERROR(__xludf.DUMMYFUNCTION("""COMPUTED_VALUE"""),"Merias Wajah")</f>
        <v>Merias Wajah</v>
      </c>
      <c r="C7" s="24" t="str">
        <f>IFERROR(__xludf.DUMMYFUNCTION("""COMPUTED_VALUE"""),"SMK Negeri 3 Muna")</f>
        <v>SMK Negeri 3 Muna</v>
      </c>
      <c r="D7" s="24"/>
      <c r="E7" s="24"/>
      <c r="F7" s="24" t="str">
        <f>IFERROR(__xludf.DUMMYFUNCTION("""COMPUTED_VALUE"""),"JUWITA SEPTIANI PUTRI")</f>
        <v>JUWITA SEPTIANI PUTRI</v>
      </c>
      <c r="G7" s="24" t="str">
        <f>IFERROR(__xludf.DUMMYFUNCTION("""COMPUTED_VALUE"""),"7403105907080001")</f>
        <v>7403105907080001</v>
      </c>
      <c r="H7" s="24"/>
      <c r="I7" s="24"/>
      <c r="J7" s="24" t="str">
        <f>IFERROR(__xludf.DUMMYFUNCTION("""COMPUTED_VALUE"""),"PEREMPUAN")</f>
        <v>PEREMPUAN</v>
      </c>
      <c r="K7" s="24"/>
      <c r="L7" s="24"/>
      <c r="M7" s="24"/>
      <c r="N7" s="24" t="str">
        <f>IFERROR(__xludf.DUMMYFUNCTION("""COMPUTED_VALUE"""),"SMA / SMK / MA")</f>
        <v>SMA / SMK / MA</v>
      </c>
      <c r="O7" s="24"/>
      <c r="P7" s="24"/>
      <c r="Q7" s="24"/>
      <c r="R7" s="24" t="str">
        <f>IFERROR(__xludf.DUMMYFUNCTION("""COMPUTED_VALUE"""),"K")</f>
        <v>K</v>
      </c>
      <c r="S7" s="25" t="str">
        <f>IFERROR(__xludf.DUMMYFUNCTION("""COMPUTED_VALUE"""),"Selesai")</f>
        <v>Selesai</v>
      </c>
    </row>
    <row r="8" ht="22.5" customHeight="1">
      <c r="A8" s="22">
        <v>7.0</v>
      </c>
      <c r="B8" s="24" t="str">
        <f>IFERROR(__xludf.DUMMYFUNCTION("""COMPUTED_VALUE"""),"Merias Wajah")</f>
        <v>Merias Wajah</v>
      </c>
      <c r="C8" s="24" t="str">
        <f>IFERROR(__xludf.DUMMYFUNCTION("""COMPUTED_VALUE"""),"SMK Negeri 3 Muna")</f>
        <v>SMK Negeri 3 Muna</v>
      </c>
      <c r="D8" s="24"/>
      <c r="E8" s="24"/>
      <c r="F8" s="24" t="str">
        <f>IFERROR(__xludf.DUMMYFUNCTION("""COMPUTED_VALUE"""),"KEYSHA MAHAREZKY")</f>
        <v>KEYSHA MAHAREZKY</v>
      </c>
      <c r="G8" s="24" t="str">
        <f>IFERROR(__xludf.DUMMYFUNCTION("""COMPUTED_VALUE"""),"7403104806080001")</f>
        <v>7403104806080001</v>
      </c>
      <c r="H8" s="24"/>
      <c r="I8" s="24"/>
      <c r="J8" s="24" t="str">
        <f>IFERROR(__xludf.DUMMYFUNCTION("""COMPUTED_VALUE"""),"PEREMPUAN")</f>
        <v>PEREMPUAN</v>
      </c>
      <c r="K8" s="24"/>
      <c r="L8" s="24"/>
      <c r="M8" s="24"/>
      <c r="N8" s="24" t="str">
        <f>IFERROR(__xludf.DUMMYFUNCTION("""COMPUTED_VALUE"""),"SMA / SMK / MA")</f>
        <v>SMA / SMK / MA</v>
      </c>
      <c r="O8" s="24"/>
      <c r="P8" s="24"/>
      <c r="Q8" s="24"/>
      <c r="R8" s="24" t="str">
        <f>IFERROR(__xludf.DUMMYFUNCTION("""COMPUTED_VALUE"""),"K")</f>
        <v>K</v>
      </c>
      <c r="S8" s="25" t="str">
        <f>IFERROR(__xludf.DUMMYFUNCTION("""COMPUTED_VALUE"""),"Selesai")</f>
        <v>Selesai</v>
      </c>
    </row>
    <row r="9" ht="22.5" customHeight="1">
      <c r="A9" s="22">
        <v>8.0</v>
      </c>
      <c r="B9" s="24" t="str">
        <f>IFERROR(__xludf.DUMMYFUNCTION("""COMPUTED_VALUE"""),"Merias Wajah")</f>
        <v>Merias Wajah</v>
      </c>
      <c r="C9" s="24" t="str">
        <f>IFERROR(__xludf.DUMMYFUNCTION("""COMPUTED_VALUE"""),"SMK Negeri 3 Muna")</f>
        <v>SMK Negeri 3 Muna</v>
      </c>
      <c r="D9" s="24"/>
      <c r="E9" s="24"/>
      <c r="F9" s="24" t="str">
        <f>IFERROR(__xludf.DUMMYFUNCTION("""COMPUTED_VALUE"""),"MIRZA I. MENDALORA")</f>
        <v>MIRZA I. MENDALORA</v>
      </c>
      <c r="G9" s="24" t="str">
        <f>IFERROR(__xludf.DUMMYFUNCTION("""COMPUTED_VALUE"""),"7403270601080001")</f>
        <v>7403270601080001</v>
      </c>
      <c r="H9" s="24"/>
      <c r="I9" s="24"/>
      <c r="J9" s="24" t="str">
        <f>IFERROR(__xludf.DUMMYFUNCTION("""COMPUTED_VALUE"""),"LAKI-LAKI")</f>
        <v>LAKI-LAKI</v>
      </c>
      <c r="K9" s="24"/>
      <c r="L9" s="24"/>
      <c r="M9" s="24"/>
      <c r="N9" s="24" t="str">
        <f>IFERROR(__xludf.DUMMYFUNCTION("""COMPUTED_VALUE"""),"SMA / SMK / MA")</f>
        <v>SMA / SMK / MA</v>
      </c>
      <c r="O9" s="24"/>
      <c r="P9" s="24"/>
      <c r="Q9" s="24"/>
      <c r="R9" s="24" t="str">
        <f>IFERROR(__xludf.DUMMYFUNCTION("""COMPUTED_VALUE"""),"K")</f>
        <v>K</v>
      </c>
      <c r="S9" s="25" t="str">
        <f>IFERROR(__xludf.DUMMYFUNCTION("""COMPUTED_VALUE"""),"Selesai")</f>
        <v>Selesai</v>
      </c>
    </row>
    <row r="10" ht="22.5" customHeight="1">
      <c r="A10" s="22">
        <v>9.0</v>
      </c>
      <c r="B10" s="24" t="str">
        <f>IFERROR(__xludf.DUMMYFUNCTION("""COMPUTED_VALUE"""),"Merias Wajah")</f>
        <v>Merias Wajah</v>
      </c>
      <c r="C10" s="24" t="str">
        <f>IFERROR(__xludf.DUMMYFUNCTION("""COMPUTED_VALUE"""),"SMK Negeri 3 Muna")</f>
        <v>SMK Negeri 3 Muna</v>
      </c>
      <c r="D10" s="24"/>
      <c r="E10" s="24"/>
      <c r="F10" s="24" t="str">
        <f>IFERROR(__xludf.DUMMYFUNCTION("""COMPUTED_VALUE"""),"MUHAMAD SUGIANTO")</f>
        <v>MUHAMAD SUGIANTO</v>
      </c>
      <c r="G10" s="24" t="str">
        <f>IFERROR(__xludf.DUMMYFUNCTION("""COMPUTED_VALUE"""),"7403160205080001")</f>
        <v>7403160205080001</v>
      </c>
      <c r="H10" s="24"/>
      <c r="I10" s="24"/>
      <c r="J10" s="24" t="str">
        <f>IFERROR(__xludf.DUMMYFUNCTION("""COMPUTED_VALUE"""),"LAKI-LAKI")</f>
        <v>LAKI-LAKI</v>
      </c>
      <c r="K10" s="24"/>
      <c r="L10" s="24"/>
      <c r="M10" s="24"/>
      <c r="N10" s="24" t="str">
        <f>IFERROR(__xludf.DUMMYFUNCTION("""COMPUTED_VALUE"""),"SMA / SMK / MA")</f>
        <v>SMA / SMK / MA</v>
      </c>
      <c r="O10" s="24"/>
      <c r="P10" s="24"/>
      <c r="Q10" s="24"/>
      <c r="R10" s="24" t="str">
        <f>IFERROR(__xludf.DUMMYFUNCTION("""COMPUTED_VALUE"""),"K")</f>
        <v>K</v>
      </c>
      <c r="S10" s="25" t="str">
        <f>IFERROR(__xludf.DUMMYFUNCTION("""COMPUTED_VALUE"""),"Selesai")</f>
        <v>Selesai</v>
      </c>
    </row>
    <row r="11" ht="22.5" customHeight="1">
      <c r="A11" s="22">
        <v>10.0</v>
      </c>
      <c r="B11" s="24" t="str">
        <f>IFERROR(__xludf.DUMMYFUNCTION("""COMPUTED_VALUE"""),"Merias Wajah")</f>
        <v>Merias Wajah</v>
      </c>
      <c r="C11" s="24" t="str">
        <f>IFERROR(__xludf.DUMMYFUNCTION("""COMPUTED_VALUE"""),"SMK Negeri 3 Muna")</f>
        <v>SMK Negeri 3 Muna</v>
      </c>
      <c r="D11" s="24"/>
      <c r="E11" s="24"/>
      <c r="F11" s="24" t="str">
        <f>IFERROR(__xludf.DUMMYFUNCTION("""COMPUTED_VALUE"""),"NEO LESTARI")</f>
        <v>NEO LESTARI</v>
      </c>
      <c r="G11" s="24" t="str">
        <f>IFERROR(__xludf.DUMMYFUNCTION("""COMPUTED_VALUE"""),"7403334808080002")</f>
        <v>7403334808080002</v>
      </c>
      <c r="H11" s="24"/>
      <c r="I11" s="24"/>
      <c r="J11" s="24" t="str">
        <f>IFERROR(__xludf.DUMMYFUNCTION("""COMPUTED_VALUE"""),"PEREMPUAN")</f>
        <v>PEREMPUAN</v>
      </c>
      <c r="K11" s="24"/>
      <c r="L11" s="24"/>
      <c r="M11" s="24"/>
      <c r="N11" s="24" t="str">
        <f>IFERROR(__xludf.DUMMYFUNCTION("""COMPUTED_VALUE"""),"SMA / SMK / MA")</f>
        <v>SMA / SMK / MA</v>
      </c>
      <c r="O11" s="24"/>
      <c r="P11" s="24"/>
      <c r="Q11" s="24"/>
      <c r="R11" s="24" t="str">
        <f>IFERROR(__xludf.DUMMYFUNCTION("""COMPUTED_VALUE"""),"K")</f>
        <v>K</v>
      </c>
      <c r="S11" s="25" t="str">
        <f>IFERROR(__xludf.DUMMYFUNCTION("""COMPUTED_VALUE"""),"Selesai")</f>
        <v>Selesai</v>
      </c>
    </row>
    <row r="12" ht="22.5" customHeight="1">
      <c r="A12" s="22">
        <v>11.0</v>
      </c>
      <c r="B12" s="24" t="str">
        <f>IFERROR(__xludf.DUMMYFUNCTION("""COMPUTED_VALUE"""),"Merias Wajah")</f>
        <v>Merias Wajah</v>
      </c>
      <c r="C12" s="24" t="str">
        <f>IFERROR(__xludf.DUMMYFUNCTION("""COMPUTED_VALUE"""),"SMK Negeri 3 Muna")</f>
        <v>SMK Negeri 3 Muna</v>
      </c>
      <c r="D12" s="24"/>
      <c r="E12" s="24"/>
      <c r="F12" s="24" t="str">
        <f>IFERROR(__xludf.DUMMYFUNCTION("""COMPUTED_VALUE"""),"NUR AFIFAH YASMIN")</f>
        <v>NUR AFIFAH YASMIN</v>
      </c>
      <c r="G12" s="24" t="str">
        <f>IFERROR(__xludf.DUMMYFUNCTION("""COMPUTED_VALUE"""),"7471104412070003")</f>
        <v>7471104412070003</v>
      </c>
      <c r="H12" s="24"/>
      <c r="I12" s="24"/>
      <c r="J12" s="24" t="str">
        <f>IFERROR(__xludf.DUMMYFUNCTION("""COMPUTED_VALUE"""),"PEREMPUAN")</f>
        <v>PEREMPUAN</v>
      </c>
      <c r="K12" s="24"/>
      <c r="L12" s="24"/>
      <c r="M12" s="24"/>
      <c r="N12" s="24" t="str">
        <f>IFERROR(__xludf.DUMMYFUNCTION("""COMPUTED_VALUE"""),"SMA / SMK / MA")</f>
        <v>SMA / SMK / MA</v>
      </c>
      <c r="O12" s="24"/>
      <c r="P12" s="24"/>
      <c r="Q12" s="24"/>
      <c r="R12" s="24" t="str">
        <f>IFERROR(__xludf.DUMMYFUNCTION("""COMPUTED_VALUE"""),"K")</f>
        <v>K</v>
      </c>
      <c r="S12" s="25" t="str">
        <f>IFERROR(__xludf.DUMMYFUNCTION("""COMPUTED_VALUE"""),"Selesai")</f>
        <v>Selesai</v>
      </c>
    </row>
    <row r="13" ht="22.5" customHeight="1">
      <c r="A13" s="22">
        <v>12.0</v>
      </c>
      <c r="B13" s="24" t="str">
        <f>IFERROR(__xludf.DUMMYFUNCTION("""COMPUTED_VALUE"""),"Merias Wajah")</f>
        <v>Merias Wajah</v>
      </c>
      <c r="C13" s="24" t="str">
        <f>IFERROR(__xludf.DUMMYFUNCTION("""COMPUTED_VALUE"""),"SMK Negeri 3 Muna")</f>
        <v>SMK Negeri 3 Muna</v>
      </c>
      <c r="D13" s="24"/>
      <c r="E13" s="24"/>
      <c r="F13" s="24" t="str">
        <f>IFERROR(__xludf.DUMMYFUNCTION("""COMPUTED_VALUE"""),"NUR  AKMA  SYAFIKA")</f>
        <v>NUR  AKMA  SYAFIKA</v>
      </c>
      <c r="G13" s="24" t="str">
        <f>IFERROR(__xludf.DUMMYFUNCTION("""COMPUTED_VALUE"""),"7403147103080001")</f>
        <v>7403147103080001</v>
      </c>
      <c r="H13" s="24"/>
      <c r="I13" s="24"/>
      <c r="J13" s="24" t="str">
        <f>IFERROR(__xludf.DUMMYFUNCTION("""COMPUTED_VALUE"""),"PEREMPUAN")</f>
        <v>PEREMPUAN</v>
      </c>
      <c r="K13" s="24"/>
      <c r="L13" s="24"/>
      <c r="M13" s="24"/>
      <c r="N13" s="24" t="str">
        <f>IFERROR(__xludf.DUMMYFUNCTION("""COMPUTED_VALUE"""),"SMA / SMK / MA")</f>
        <v>SMA / SMK / MA</v>
      </c>
      <c r="O13" s="24"/>
      <c r="P13" s="24"/>
      <c r="Q13" s="24"/>
      <c r="R13" s="24" t="str">
        <f>IFERROR(__xludf.DUMMYFUNCTION("""COMPUTED_VALUE"""),"K")</f>
        <v>K</v>
      </c>
      <c r="S13" s="25" t="str">
        <f>IFERROR(__xludf.DUMMYFUNCTION("""COMPUTED_VALUE"""),"Selesai")</f>
        <v>Selesai</v>
      </c>
    </row>
    <row r="14" ht="22.5" customHeight="1">
      <c r="A14" s="22">
        <v>13.0</v>
      </c>
      <c r="B14" s="24" t="str">
        <f>IFERROR(__xludf.DUMMYFUNCTION("""COMPUTED_VALUE"""),"Merias Wajah")</f>
        <v>Merias Wajah</v>
      </c>
      <c r="C14" s="24" t="str">
        <f>IFERROR(__xludf.DUMMYFUNCTION("""COMPUTED_VALUE"""),"SMK Negeri 3 Muna")</f>
        <v>SMK Negeri 3 Muna</v>
      </c>
      <c r="D14" s="24"/>
      <c r="E14" s="24"/>
      <c r="F14" s="24" t="str">
        <f>IFERROR(__xludf.DUMMYFUNCTION("""COMPUTED_VALUE"""),"RABIAH")</f>
        <v>RABIAH</v>
      </c>
      <c r="G14" s="24" t="str">
        <f>IFERROR(__xludf.DUMMYFUNCTION("""COMPUTED_VALUE"""),"7404074712040001")</f>
        <v>7404074712040001</v>
      </c>
      <c r="H14" s="24"/>
      <c r="I14" s="24"/>
      <c r="J14" s="24" t="str">
        <f>IFERROR(__xludf.DUMMYFUNCTION("""COMPUTED_VALUE"""),"PEREMPUAN")</f>
        <v>PEREMPUAN</v>
      </c>
      <c r="K14" s="24"/>
      <c r="L14" s="24"/>
      <c r="M14" s="24"/>
      <c r="N14" s="24" t="str">
        <f>IFERROR(__xludf.DUMMYFUNCTION("""COMPUTED_VALUE"""),"SMA / SMK / MA")</f>
        <v>SMA / SMK / MA</v>
      </c>
      <c r="O14" s="24"/>
      <c r="P14" s="24"/>
      <c r="Q14" s="24"/>
      <c r="R14" s="24" t="str">
        <f>IFERROR(__xludf.DUMMYFUNCTION("""COMPUTED_VALUE"""),"K")</f>
        <v>K</v>
      </c>
      <c r="S14" s="25" t="str">
        <f>IFERROR(__xludf.DUMMYFUNCTION("""COMPUTED_VALUE"""),"Selesai")</f>
        <v>Selesai</v>
      </c>
    </row>
    <row r="15" ht="22.5" customHeight="1">
      <c r="A15" s="22">
        <v>14.0</v>
      </c>
      <c r="B15" s="24" t="str">
        <f>IFERROR(__xludf.DUMMYFUNCTION("""COMPUTED_VALUE"""),"Merias Wajah")</f>
        <v>Merias Wajah</v>
      </c>
      <c r="C15" s="24" t="str">
        <f>IFERROR(__xludf.DUMMYFUNCTION("""COMPUTED_VALUE"""),"SMK Negeri 3 Muna")</f>
        <v>SMK Negeri 3 Muna</v>
      </c>
      <c r="D15" s="24"/>
      <c r="E15" s="24"/>
      <c r="F15" s="24" t="str">
        <f>IFERROR(__xludf.DUMMYFUNCTION("""COMPUTED_VALUE"""),"SELA YANTI")</f>
        <v>SELA YANTI</v>
      </c>
      <c r="G15" s="24" t="str">
        <f>IFERROR(__xludf.DUMMYFUNCTION("""COMPUTED_VALUE"""),"7403195810070001")</f>
        <v>7403195810070001</v>
      </c>
      <c r="H15" s="24"/>
      <c r="I15" s="24"/>
      <c r="J15" s="24" t="str">
        <f>IFERROR(__xludf.DUMMYFUNCTION("""COMPUTED_VALUE"""),"PEREMPUAN")</f>
        <v>PEREMPUAN</v>
      </c>
      <c r="K15" s="24"/>
      <c r="L15" s="24"/>
      <c r="M15" s="24"/>
      <c r="N15" s="24" t="str">
        <f>IFERROR(__xludf.DUMMYFUNCTION("""COMPUTED_VALUE"""),"SMA / SMK / MA")</f>
        <v>SMA / SMK / MA</v>
      </c>
      <c r="O15" s="24"/>
      <c r="P15" s="24"/>
      <c r="Q15" s="24"/>
      <c r="R15" s="24" t="str">
        <f>IFERROR(__xludf.DUMMYFUNCTION("""COMPUTED_VALUE"""),"K")</f>
        <v>K</v>
      </c>
      <c r="S15" s="25" t="str">
        <f>IFERROR(__xludf.DUMMYFUNCTION("""COMPUTED_VALUE"""),"Selesai")</f>
        <v>Selesai</v>
      </c>
    </row>
    <row r="16" ht="22.5" customHeight="1">
      <c r="A16" s="22">
        <v>15.0</v>
      </c>
      <c r="B16" s="24" t="str">
        <f>IFERROR(__xludf.DUMMYFUNCTION("""COMPUTED_VALUE"""),"Merias Wajah")</f>
        <v>Merias Wajah</v>
      </c>
      <c r="C16" s="24" t="str">
        <f>IFERROR(__xludf.DUMMYFUNCTION("""COMPUTED_VALUE"""),"SMK Negeri 3 Muna")</f>
        <v>SMK Negeri 3 Muna</v>
      </c>
      <c r="D16" s="24"/>
      <c r="E16" s="24"/>
      <c r="F16" s="24" t="str">
        <f>IFERROR(__xludf.DUMMYFUNCTION("""COMPUTED_VALUE"""),"TIKA VERONIKA")</f>
        <v>TIKA VERONIKA</v>
      </c>
      <c r="G16" s="24" t="str">
        <f>IFERROR(__xludf.DUMMYFUNCTION("""COMPUTED_VALUE"""),"7403325806080001")</f>
        <v>7403325806080001</v>
      </c>
      <c r="H16" s="24"/>
      <c r="I16" s="24"/>
      <c r="J16" s="24" t="str">
        <f>IFERROR(__xludf.DUMMYFUNCTION("""COMPUTED_VALUE"""),"PEREMPUAN")</f>
        <v>PEREMPUAN</v>
      </c>
      <c r="K16" s="24"/>
      <c r="L16" s="24"/>
      <c r="M16" s="24"/>
      <c r="N16" s="24" t="str">
        <f>IFERROR(__xludf.DUMMYFUNCTION("""COMPUTED_VALUE"""),"SMA / SMK / MA")</f>
        <v>SMA / SMK / MA</v>
      </c>
      <c r="O16" s="24"/>
      <c r="P16" s="24"/>
      <c r="Q16" s="24"/>
      <c r="R16" s="24" t="str">
        <f>IFERROR(__xludf.DUMMYFUNCTION("""COMPUTED_VALUE"""),"K")</f>
        <v>K</v>
      </c>
      <c r="S16" s="25" t="str">
        <f>IFERROR(__xludf.DUMMYFUNCTION("""COMPUTED_VALUE"""),"Selesai")</f>
        <v>Selesai</v>
      </c>
    </row>
    <row r="17" ht="22.5" customHeight="1">
      <c r="A17" s="22">
        <v>16.0</v>
      </c>
      <c r="B17" s="24" t="str">
        <f>IFERROR(__xludf.DUMMYFUNCTION("""COMPUTED_VALUE"""),"Merias Wajah")</f>
        <v>Merias Wajah</v>
      </c>
      <c r="C17" s="24" t="str">
        <f>IFERROR(__xludf.DUMMYFUNCTION("""COMPUTED_VALUE"""),"SMK Negeri 3 Muna")</f>
        <v>SMK Negeri 3 Muna</v>
      </c>
      <c r="D17" s="24"/>
      <c r="E17" s="24"/>
      <c r="F17" s="24" t="str">
        <f>IFERROR(__xludf.DUMMYFUNCTION("""COMPUTED_VALUE"""),"WA ODE NUR AIMAH MUSKARIM")</f>
        <v>WA ODE NUR AIMAH MUSKARIM</v>
      </c>
      <c r="G17" s="24" t="str">
        <f>IFERROR(__xludf.DUMMYFUNCTION("""COMPUTED_VALUE"""),"7403116504090001")</f>
        <v>7403116504090001</v>
      </c>
      <c r="H17" s="24"/>
      <c r="I17" s="24"/>
      <c r="J17" s="24" t="str">
        <f>IFERROR(__xludf.DUMMYFUNCTION("""COMPUTED_VALUE"""),"PEREMPUAN")</f>
        <v>PEREMPUAN</v>
      </c>
      <c r="K17" s="24"/>
      <c r="L17" s="24"/>
      <c r="M17" s="24"/>
      <c r="N17" s="24" t="str">
        <f>IFERROR(__xludf.DUMMYFUNCTION("""COMPUTED_VALUE"""),"SMA / SMK / MA")</f>
        <v>SMA / SMK / MA</v>
      </c>
      <c r="O17" s="24"/>
      <c r="P17" s="24"/>
      <c r="Q17" s="24"/>
      <c r="R17" s="24" t="str">
        <f>IFERROR(__xludf.DUMMYFUNCTION("""COMPUTED_VALUE"""),"K")</f>
        <v>K</v>
      </c>
      <c r="S17" s="25" t="str">
        <f>IFERROR(__xludf.DUMMYFUNCTION("""COMPUTED_VALUE"""),"Selesai")</f>
        <v>Selesai</v>
      </c>
    </row>
    <row r="18" ht="22.5" customHeight="1">
      <c r="A18" s="22">
        <v>17.0</v>
      </c>
      <c r="B18" s="24" t="str">
        <f>IFERROR(__xludf.DUMMYFUNCTION("""COMPUTED_VALUE"""),"Merias Wajah")</f>
        <v>Merias Wajah</v>
      </c>
      <c r="C18" s="24" t="str">
        <f>IFERROR(__xludf.DUMMYFUNCTION("""COMPUTED_VALUE"""),"SMK Negeri 3 Muna")</f>
        <v>SMK Negeri 3 Muna</v>
      </c>
      <c r="D18" s="24"/>
      <c r="E18" s="24"/>
      <c r="F18" s="24" t="str">
        <f>IFERROR(__xludf.DUMMYFUNCTION("""COMPUTED_VALUE"""),"WA ODE  NURWINDA")</f>
        <v>WA ODE  NURWINDA</v>
      </c>
      <c r="G18" s="24" t="str">
        <f>IFERROR(__xludf.DUMMYFUNCTION("""COMPUTED_VALUE"""),"7403186108060001")</f>
        <v>7403186108060001</v>
      </c>
      <c r="H18" s="24"/>
      <c r="I18" s="24"/>
      <c r="J18" s="24" t="str">
        <f>IFERROR(__xludf.DUMMYFUNCTION("""COMPUTED_VALUE"""),"PEREMPUAN")</f>
        <v>PEREMPUAN</v>
      </c>
      <c r="K18" s="24"/>
      <c r="L18" s="24"/>
      <c r="M18" s="24"/>
      <c r="N18" s="24" t="str">
        <f>IFERROR(__xludf.DUMMYFUNCTION("""COMPUTED_VALUE"""),"SMA / SMK / MA")</f>
        <v>SMA / SMK / MA</v>
      </c>
      <c r="O18" s="24"/>
      <c r="P18" s="24"/>
      <c r="Q18" s="24"/>
      <c r="R18" s="24" t="str">
        <f>IFERROR(__xludf.DUMMYFUNCTION("""COMPUTED_VALUE"""),"K")</f>
        <v>K</v>
      </c>
      <c r="S18" s="25" t="str">
        <f>IFERROR(__xludf.DUMMYFUNCTION("""COMPUTED_VALUE"""),"Selesai")</f>
        <v>Selesai</v>
      </c>
    </row>
    <row r="19" ht="22.5" customHeight="1">
      <c r="A19" s="22">
        <v>18.0</v>
      </c>
      <c r="B19" s="24" t="str">
        <f>IFERROR(__xludf.DUMMYFUNCTION("""COMPUTED_VALUE"""),"Merias Wajah")</f>
        <v>Merias Wajah</v>
      </c>
      <c r="C19" s="24" t="str">
        <f>IFERROR(__xludf.DUMMYFUNCTION("""COMPUTED_VALUE"""),"SMK Negeri 3 Muna")</f>
        <v>SMK Negeri 3 Muna</v>
      </c>
      <c r="D19" s="24"/>
      <c r="E19" s="24"/>
      <c r="F19" s="24" t="str">
        <f>IFERROR(__xludf.DUMMYFUNCTION("""COMPUTED_VALUE"""),"WILDA URIKSAPUTRI FARSAN, S.Pd.")</f>
        <v>WILDA URIKSAPUTRI FARSAN, S.Pd.</v>
      </c>
      <c r="G19" s="24" t="str">
        <f>IFERROR(__xludf.DUMMYFUNCTION("""COMPUTED_VALUE"""),"7403106203990201")</f>
        <v>7403106203990201</v>
      </c>
      <c r="H19" s="24"/>
      <c r="I19" s="24"/>
      <c r="J19" s="24" t="str">
        <f>IFERROR(__xludf.DUMMYFUNCTION("""COMPUTED_VALUE"""),"PEREMPUAN")</f>
        <v>PEREMPUAN</v>
      </c>
      <c r="K19" s="24"/>
      <c r="L19" s="24"/>
      <c r="M19" s="24"/>
      <c r="N19" s="24" t="str">
        <f>IFERROR(__xludf.DUMMYFUNCTION("""COMPUTED_VALUE"""),"SMA / SMK / MA")</f>
        <v>SMA / SMK / MA</v>
      </c>
      <c r="O19" s="24"/>
      <c r="P19" s="24"/>
      <c r="Q19" s="24"/>
      <c r="R19" s="24" t="str">
        <f>IFERROR(__xludf.DUMMYFUNCTION("""COMPUTED_VALUE"""),"K")</f>
        <v>K</v>
      </c>
      <c r="S19" s="25" t="str">
        <f>IFERROR(__xludf.DUMMYFUNCTION("""COMPUTED_VALUE"""),"Selesai")</f>
        <v>Selesai</v>
      </c>
    </row>
    <row r="20" ht="22.5" customHeight="1">
      <c r="A20" s="22">
        <v>19.0</v>
      </c>
      <c r="B20" s="24" t="str">
        <f>IFERROR(__xludf.DUMMYFUNCTION("""COMPUTED_VALUE"""),"Merias Wajah")</f>
        <v>Merias Wajah</v>
      </c>
      <c r="C20" s="24" t="str">
        <f>IFERROR(__xludf.DUMMYFUNCTION("""COMPUTED_VALUE"""),"SMK Negeri 3 Muna")</f>
        <v>SMK Negeri 3 Muna</v>
      </c>
      <c r="D20" s="24"/>
      <c r="E20" s="24"/>
      <c r="F20" s="24" t="str">
        <f>IFERROR(__xludf.DUMMYFUNCTION("""COMPUTED_VALUE"""),"MUHAMAD IDUL, S.Pd.")</f>
        <v>MUHAMAD IDUL, S.Pd.</v>
      </c>
      <c r="G20" s="24" t="str">
        <f>IFERROR(__xludf.DUMMYFUNCTION("""COMPUTED_VALUE"""),"7403101901990201")</f>
        <v>7403101901990201</v>
      </c>
      <c r="H20" s="24"/>
      <c r="I20" s="24"/>
      <c r="J20" s="24" t="str">
        <f>IFERROR(__xludf.DUMMYFUNCTION("""COMPUTED_VALUE"""),"LAKI-LAKI")</f>
        <v>LAKI-LAKI</v>
      </c>
      <c r="K20" s="24"/>
      <c r="L20" s="24"/>
      <c r="M20" s="24"/>
      <c r="N20" s="24" t="str">
        <f>IFERROR(__xludf.DUMMYFUNCTION("""COMPUTED_VALUE"""),"SMA / SMK / MA")</f>
        <v>SMA / SMK / MA</v>
      </c>
      <c r="O20" s="24"/>
      <c r="P20" s="24"/>
      <c r="Q20" s="24"/>
      <c r="R20" s="24" t="str">
        <f>IFERROR(__xludf.DUMMYFUNCTION("""COMPUTED_VALUE"""),"K")</f>
        <v>K</v>
      </c>
      <c r="S20" s="25" t="str">
        <f>IFERROR(__xludf.DUMMYFUNCTION("""COMPUTED_VALUE"""),"Selesai")</f>
        <v>Selesai</v>
      </c>
    </row>
    <row r="21" ht="22.5" customHeight="1">
      <c r="A21" s="22">
        <v>20.0</v>
      </c>
      <c r="B21" s="24" t="str">
        <f>IFERROR(__xludf.DUMMYFUNCTION("""COMPUTED_VALUE"""),"Desainer Grafis Muda")</f>
        <v>Desainer Grafis Muda</v>
      </c>
      <c r="C21" s="24" t="str">
        <f>IFERROR(__xludf.DUMMYFUNCTION("""COMPUTED_VALUE"""),"SMK Negeri 3 Muna")</f>
        <v>SMK Negeri 3 Muna</v>
      </c>
      <c r="D21" s="24"/>
      <c r="E21" s="24"/>
      <c r="F21" s="24" t="str">
        <f>IFERROR(__xludf.DUMMYFUNCTION("""COMPUTED_VALUE"""),"AISYAH ADZRA BAZZAR")</f>
        <v>AISYAH ADZRA BAZZAR</v>
      </c>
      <c r="G21" s="24" t="str">
        <f>IFERROR(__xludf.DUMMYFUNCTION("""COMPUTED_VALUE"""),"7403074406080001")</f>
        <v>7403074406080001</v>
      </c>
      <c r="H21" s="24"/>
      <c r="I21" s="24"/>
      <c r="J21" s="24" t="str">
        <f>IFERROR(__xludf.DUMMYFUNCTION("""COMPUTED_VALUE"""),"PEREMPUAN")</f>
        <v>PEREMPUAN</v>
      </c>
      <c r="K21" s="24"/>
      <c r="L21" s="24"/>
      <c r="M21" s="24"/>
      <c r="N21" s="24" t="str">
        <f>IFERROR(__xludf.DUMMYFUNCTION("""COMPUTED_VALUE"""),"SMA / SMK / MA")</f>
        <v>SMA / SMK / MA</v>
      </c>
      <c r="O21" s="24"/>
      <c r="P21" s="24"/>
      <c r="Q21" s="24"/>
      <c r="R21" s="24" t="str">
        <f>IFERROR(__xludf.DUMMYFUNCTION("""COMPUTED_VALUE"""),"K")</f>
        <v>K</v>
      </c>
      <c r="S21" s="25" t="str">
        <f>IFERROR(__xludf.DUMMYFUNCTION("""COMPUTED_VALUE"""),"Selesai")</f>
        <v>Selesai</v>
      </c>
    </row>
    <row r="22" ht="22.5" customHeight="1">
      <c r="A22" s="22">
        <v>21.0</v>
      </c>
      <c r="B22" s="24" t="str">
        <f>IFERROR(__xludf.DUMMYFUNCTION("""COMPUTED_VALUE"""),"Desainer Grafis Muda")</f>
        <v>Desainer Grafis Muda</v>
      </c>
      <c r="C22" s="24" t="str">
        <f>IFERROR(__xludf.DUMMYFUNCTION("""COMPUTED_VALUE"""),"SMK Negeri 3 Muna")</f>
        <v>SMK Negeri 3 Muna</v>
      </c>
      <c r="D22" s="24"/>
      <c r="E22" s="24"/>
      <c r="F22" s="24" t="str">
        <f>IFERROR(__xludf.DUMMYFUNCTION("""COMPUTED_VALUE"""),"DELIA ANGGRAENI")</f>
        <v>DELIA ANGGRAENI</v>
      </c>
      <c r="G22" s="24" t="str">
        <f>IFERROR(__xludf.DUMMYFUNCTION("""COMPUTED_VALUE"""),"7403186009080001")</f>
        <v>7403186009080001</v>
      </c>
      <c r="H22" s="24"/>
      <c r="I22" s="24"/>
      <c r="J22" s="24" t="str">
        <f>IFERROR(__xludf.DUMMYFUNCTION("""COMPUTED_VALUE"""),"PEREMPUAN")</f>
        <v>PEREMPUAN</v>
      </c>
      <c r="K22" s="24"/>
      <c r="L22" s="24"/>
      <c r="M22" s="24"/>
      <c r="N22" s="24" t="str">
        <f>IFERROR(__xludf.DUMMYFUNCTION("""COMPUTED_VALUE"""),"SMA / SMK / MA")</f>
        <v>SMA / SMK / MA</v>
      </c>
      <c r="O22" s="24"/>
      <c r="P22" s="24"/>
      <c r="Q22" s="24"/>
      <c r="R22" s="24" t="str">
        <f>IFERROR(__xludf.DUMMYFUNCTION("""COMPUTED_VALUE"""),"K")</f>
        <v>K</v>
      </c>
      <c r="S22" s="25" t="str">
        <f>IFERROR(__xludf.DUMMYFUNCTION("""COMPUTED_VALUE"""),"Selesai")</f>
        <v>Selesai</v>
      </c>
    </row>
    <row r="23" ht="22.5" customHeight="1">
      <c r="A23" s="22">
        <v>22.0</v>
      </c>
      <c r="B23" s="24" t="str">
        <f>IFERROR(__xludf.DUMMYFUNCTION("""COMPUTED_VALUE"""),"Desainer Grafis Muda")</f>
        <v>Desainer Grafis Muda</v>
      </c>
      <c r="C23" s="24" t="str">
        <f>IFERROR(__xludf.DUMMYFUNCTION("""COMPUTED_VALUE"""),"SMK Negeri 3 Muna")</f>
        <v>SMK Negeri 3 Muna</v>
      </c>
      <c r="D23" s="24"/>
      <c r="E23" s="24"/>
      <c r="F23" s="24" t="str">
        <f>IFERROR(__xludf.DUMMYFUNCTION("""COMPUTED_VALUE"""),"DENI JULIANTORO")</f>
        <v>DENI JULIANTORO</v>
      </c>
      <c r="G23" s="24" t="str">
        <f>IFERROR(__xludf.DUMMYFUNCTION("""COMPUTED_VALUE"""),"7403065004080001")</f>
        <v>7403065004080001</v>
      </c>
      <c r="H23" s="24"/>
      <c r="I23" s="24"/>
      <c r="J23" s="24" t="str">
        <f>IFERROR(__xludf.DUMMYFUNCTION("""COMPUTED_VALUE"""),"PEREMPUAN")</f>
        <v>PEREMPUAN</v>
      </c>
      <c r="K23" s="24"/>
      <c r="L23" s="24"/>
      <c r="M23" s="24"/>
      <c r="N23" s="24" t="str">
        <f>IFERROR(__xludf.DUMMYFUNCTION("""COMPUTED_VALUE"""),"SMA / SMK / MA")</f>
        <v>SMA / SMK / MA</v>
      </c>
      <c r="O23" s="24"/>
      <c r="P23" s="24"/>
      <c r="Q23" s="24"/>
      <c r="R23" s="24" t="str">
        <f>IFERROR(__xludf.DUMMYFUNCTION("""COMPUTED_VALUE"""),"K")</f>
        <v>K</v>
      </c>
      <c r="S23" s="25" t="str">
        <f>IFERROR(__xludf.DUMMYFUNCTION("""COMPUTED_VALUE"""),"Selesai")</f>
        <v>Selesai</v>
      </c>
    </row>
    <row r="24" ht="22.5" customHeight="1">
      <c r="A24" s="22">
        <v>23.0</v>
      </c>
      <c r="B24" s="24" t="str">
        <f>IFERROR(__xludf.DUMMYFUNCTION("""COMPUTED_VALUE"""),"Desainer Grafis Muda")</f>
        <v>Desainer Grafis Muda</v>
      </c>
      <c r="C24" s="24" t="str">
        <f>IFERROR(__xludf.DUMMYFUNCTION("""COMPUTED_VALUE"""),"SMK Negeri 3 Muna")</f>
        <v>SMK Negeri 3 Muna</v>
      </c>
      <c r="D24" s="24"/>
      <c r="E24" s="24"/>
      <c r="F24" s="24" t="str">
        <f>IFERROR(__xludf.DUMMYFUNCTION("""COMPUTED_VALUE"""),"DZULHIJJAH  NURUL  AINI")</f>
        <v>DZULHIJJAH  NURUL  AINI</v>
      </c>
      <c r="G24" s="24" t="str">
        <f>IFERROR(__xludf.DUMMYFUNCTION("""COMPUTED_VALUE"""),"7403135708080001")</f>
        <v>7403135708080001</v>
      </c>
      <c r="H24" s="24"/>
      <c r="I24" s="24"/>
      <c r="J24" s="24" t="str">
        <f>IFERROR(__xludf.DUMMYFUNCTION("""COMPUTED_VALUE"""),"PEREMPUAN")</f>
        <v>PEREMPUAN</v>
      </c>
      <c r="K24" s="24"/>
      <c r="L24" s="24"/>
      <c r="M24" s="24"/>
      <c r="N24" s="24" t="str">
        <f>IFERROR(__xludf.DUMMYFUNCTION("""COMPUTED_VALUE"""),"SMA / SMK / MA")</f>
        <v>SMA / SMK / MA</v>
      </c>
      <c r="O24" s="24"/>
      <c r="P24" s="24"/>
      <c r="Q24" s="24"/>
      <c r="R24" s="24" t="str">
        <f>IFERROR(__xludf.DUMMYFUNCTION("""COMPUTED_VALUE"""),"K")</f>
        <v>K</v>
      </c>
      <c r="S24" s="25" t="str">
        <f>IFERROR(__xludf.DUMMYFUNCTION("""COMPUTED_VALUE"""),"Selesai")</f>
        <v>Selesai</v>
      </c>
    </row>
    <row r="25" ht="22.5" customHeight="1">
      <c r="A25" s="22">
        <v>24.0</v>
      </c>
      <c r="B25" s="24" t="str">
        <f>IFERROR(__xludf.DUMMYFUNCTION("""COMPUTED_VALUE"""),"Desainer Grafis Muda")</f>
        <v>Desainer Grafis Muda</v>
      </c>
      <c r="C25" s="24" t="str">
        <f>IFERROR(__xludf.DUMMYFUNCTION("""COMPUTED_VALUE"""),"SMK Negeri 3 Muna")</f>
        <v>SMK Negeri 3 Muna</v>
      </c>
      <c r="D25" s="24"/>
      <c r="E25" s="24"/>
      <c r="F25" s="24" t="str">
        <f>IFERROR(__xludf.DUMMYFUNCTION("""COMPUTED_VALUE"""),"EMILYA MARWAH MILANO")</f>
        <v>EMILYA MARWAH MILANO</v>
      </c>
      <c r="G25" s="24" t="str">
        <f>IFERROR(__xludf.DUMMYFUNCTION("""COMPUTED_VALUE"""),"7403136501080001")</f>
        <v>7403136501080001</v>
      </c>
      <c r="H25" s="24"/>
      <c r="I25" s="24"/>
      <c r="J25" s="24" t="str">
        <f>IFERROR(__xludf.DUMMYFUNCTION("""COMPUTED_VALUE"""),"PEREMPUAN")</f>
        <v>PEREMPUAN</v>
      </c>
      <c r="K25" s="24"/>
      <c r="L25" s="24"/>
      <c r="M25" s="24"/>
      <c r="N25" s="24" t="str">
        <f>IFERROR(__xludf.DUMMYFUNCTION("""COMPUTED_VALUE"""),"SMA / SMK / MA")</f>
        <v>SMA / SMK / MA</v>
      </c>
      <c r="O25" s="24"/>
      <c r="P25" s="24"/>
      <c r="Q25" s="24"/>
      <c r="R25" s="24" t="str">
        <f>IFERROR(__xludf.DUMMYFUNCTION("""COMPUTED_VALUE"""),"K")</f>
        <v>K</v>
      </c>
      <c r="S25" s="25" t="str">
        <f>IFERROR(__xludf.DUMMYFUNCTION("""COMPUTED_VALUE"""),"Selesai")</f>
        <v>Selesai</v>
      </c>
    </row>
    <row r="26" ht="22.5" customHeight="1">
      <c r="A26" s="22">
        <v>25.0</v>
      </c>
      <c r="B26" s="24" t="str">
        <f>IFERROR(__xludf.DUMMYFUNCTION("""COMPUTED_VALUE"""),"Desainer Grafis Muda")</f>
        <v>Desainer Grafis Muda</v>
      </c>
      <c r="C26" s="24" t="str">
        <f>IFERROR(__xludf.DUMMYFUNCTION("""COMPUTED_VALUE"""),"SMK Negeri 3 Muna")</f>
        <v>SMK Negeri 3 Muna</v>
      </c>
      <c r="D26" s="24"/>
      <c r="E26" s="24"/>
      <c r="F26" s="24" t="str">
        <f>IFERROR(__xludf.DUMMYFUNCTION("""COMPUTED_VALUE"""),"FANESA ANINDYA")</f>
        <v>FANESA ANINDYA</v>
      </c>
      <c r="G26" s="24" t="str">
        <f>IFERROR(__xludf.DUMMYFUNCTION("""COMPUTED_VALUE"""),"7471025003090001")</f>
        <v>7471025003090001</v>
      </c>
      <c r="H26" s="24"/>
      <c r="I26" s="24"/>
      <c r="J26" s="24" t="str">
        <f>IFERROR(__xludf.DUMMYFUNCTION("""COMPUTED_VALUE"""),"PEREMPUAN")</f>
        <v>PEREMPUAN</v>
      </c>
      <c r="K26" s="24"/>
      <c r="L26" s="24"/>
      <c r="M26" s="24"/>
      <c r="N26" s="24" t="str">
        <f>IFERROR(__xludf.DUMMYFUNCTION("""COMPUTED_VALUE"""),"SMA / SMK / MA")</f>
        <v>SMA / SMK / MA</v>
      </c>
      <c r="O26" s="24"/>
      <c r="P26" s="24"/>
      <c r="Q26" s="24"/>
      <c r="R26" s="24" t="str">
        <f>IFERROR(__xludf.DUMMYFUNCTION("""COMPUTED_VALUE"""),"K")</f>
        <v>K</v>
      </c>
      <c r="S26" s="25" t="str">
        <f>IFERROR(__xludf.DUMMYFUNCTION("""COMPUTED_VALUE"""),"Selesai")</f>
        <v>Selesai</v>
      </c>
    </row>
    <row r="27" ht="22.5" customHeight="1">
      <c r="A27" s="22">
        <v>26.0</v>
      </c>
      <c r="B27" s="24" t="str">
        <f>IFERROR(__xludf.DUMMYFUNCTION("""COMPUTED_VALUE"""),"Desainer Grafis Muda")</f>
        <v>Desainer Grafis Muda</v>
      </c>
      <c r="C27" s="24" t="str">
        <f>IFERROR(__xludf.DUMMYFUNCTION("""COMPUTED_VALUE"""),"SMK Negeri 3 Muna")</f>
        <v>SMK Negeri 3 Muna</v>
      </c>
      <c r="D27" s="24"/>
      <c r="E27" s="24"/>
      <c r="F27" s="24" t="str">
        <f>IFERROR(__xludf.DUMMYFUNCTION("""COMPUTED_VALUE"""),"FITRIANI")</f>
        <v>FITRIANI</v>
      </c>
      <c r="G27" s="24" t="str">
        <f>IFERROR(__xludf.DUMMYFUNCTION("""COMPUTED_VALUE"""),"7403176907080001")</f>
        <v>7403176907080001</v>
      </c>
      <c r="H27" s="24"/>
      <c r="I27" s="24"/>
      <c r="J27" s="24" t="str">
        <f>IFERROR(__xludf.DUMMYFUNCTION("""COMPUTED_VALUE"""),"PEREMPUAN")</f>
        <v>PEREMPUAN</v>
      </c>
      <c r="K27" s="24"/>
      <c r="L27" s="24"/>
      <c r="M27" s="24"/>
      <c r="N27" s="24" t="str">
        <f>IFERROR(__xludf.DUMMYFUNCTION("""COMPUTED_VALUE"""),"SMA / SMK / MA")</f>
        <v>SMA / SMK / MA</v>
      </c>
      <c r="O27" s="24"/>
      <c r="P27" s="24"/>
      <c r="Q27" s="24"/>
      <c r="R27" s="24" t="str">
        <f>IFERROR(__xludf.DUMMYFUNCTION("""COMPUTED_VALUE"""),"K")</f>
        <v>K</v>
      </c>
      <c r="S27" s="25" t="str">
        <f>IFERROR(__xludf.DUMMYFUNCTION("""COMPUTED_VALUE"""),"Selesai")</f>
        <v>Selesai</v>
      </c>
    </row>
    <row r="28" ht="22.5" customHeight="1">
      <c r="A28" s="22">
        <v>27.0</v>
      </c>
      <c r="B28" s="24" t="str">
        <f>IFERROR(__xludf.DUMMYFUNCTION("""COMPUTED_VALUE"""),"Desainer Grafis Muda")</f>
        <v>Desainer Grafis Muda</v>
      </c>
      <c r="C28" s="24" t="str">
        <f>IFERROR(__xludf.DUMMYFUNCTION("""COMPUTED_VALUE"""),"SMK Negeri 3 Muna")</f>
        <v>SMK Negeri 3 Muna</v>
      </c>
      <c r="D28" s="24"/>
      <c r="E28" s="24"/>
      <c r="F28" s="24" t="str">
        <f>IFERROR(__xludf.DUMMYFUNCTION("""COMPUTED_VALUE"""),"ILMIANI RAMADHAN")</f>
        <v>ILMIANI RAMADHAN</v>
      </c>
      <c r="G28" s="24" t="str">
        <f>IFERROR(__xludf.DUMMYFUNCTION("""COMPUTED_VALUE"""),"7403185006080003")</f>
        <v>7403185006080003</v>
      </c>
      <c r="H28" s="24"/>
      <c r="I28" s="24"/>
      <c r="J28" s="24" t="str">
        <f>IFERROR(__xludf.DUMMYFUNCTION("""COMPUTED_VALUE"""),"PEREMPUAN")</f>
        <v>PEREMPUAN</v>
      </c>
      <c r="K28" s="24"/>
      <c r="L28" s="24"/>
      <c r="M28" s="24"/>
      <c r="N28" s="24" t="str">
        <f>IFERROR(__xludf.DUMMYFUNCTION("""COMPUTED_VALUE"""),"SMA / SMK / MA")</f>
        <v>SMA / SMK / MA</v>
      </c>
      <c r="O28" s="24"/>
      <c r="P28" s="24"/>
      <c r="Q28" s="24"/>
      <c r="R28" s="24" t="str">
        <f>IFERROR(__xludf.DUMMYFUNCTION("""COMPUTED_VALUE"""),"K")</f>
        <v>K</v>
      </c>
      <c r="S28" s="25" t="str">
        <f>IFERROR(__xludf.DUMMYFUNCTION("""COMPUTED_VALUE"""),"Selesai")</f>
        <v>Selesai</v>
      </c>
    </row>
    <row r="29" ht="22.5" customHeight="1">
      <c r="A29" s="22">
        <v>28.0</v>
      </c>
      <c r="B29" s="24" t="str">
        <f>IFERROR(__xludf.DUMMYFUNCTION("""COMPUTED_VALUE"""),"Desainer Grafis Muda")</f>
        <v>Desainer Grafis Muda</v>
      </c>
      <c r="C29" s="24" t="str">
        <f>IFERROR(__xludf.DUMMYFUNCTION("""COMPUTED_VALUE"""),"SMK Negeri 3 Muna")</f>
        <v>SMK Negeri 3 Muna</v>
      </c>
      <c r="D29" s="24"/>
      <c r="E29" s="24"/>
      <c r="F29" s="24" t="str">
        <f>IFERROR(__xludf.DUMMYFUNCTION("""COMPUTED_VALUE"""),"NIA ANITA")</f>
        <v>NIA ANITA</v>
      </c>
      <c r="G29" s="24" t="str">
        <f>IFERROR(__xludf.DUMMYFUNCTION("""COMPUTED_VALUE"""),"7403175310070001")</f>
        <v>7403175310070001</v>
      </c>
      <c r="H29" s="24"/>
      <c r="I29" s="24"/>
      <c r="J29" s="24" t="str">
        <f>IFERROR(__xludf.DUMMYFUNCTION("""COMPUTED_VALUE"""),"PEREMPUAN")</f>
        <v>PEREMPUAN</v>
      </c>
      <c r="K29" s="24"/>
      <c r="L29" s="24"/>
      <c r="M29" s="24"/>
      <c r="N29" s="24" t="str">
        <f>IFERROR(__xludf.DUMMYFUNCTION("""COMPUTED_VALUE"""),"SMA / SMK / MA")</f>
        <v>SMA / SMK / MA</v>
      </c>
      <c r="O29" s="24"/>
      <c r="P29" s="24"/>
      <c r="Q29" s="24"/>
      <c r="R29" s="24" t="str">
        <f>IFERROR(__xludf.DUMMYFUNCTION("""COMPUTED_VALUE"""),"K")</f>
        <v>K</v>
      </c>
      <c r="S29" s="25" t="str">
        <f>IFERROR(__xludf.DUMMYFUNCTION("""COMPUTED_VALUE"""),"Selesai")</f>
        <v>Selesai</v>
      </c>
    </row>
    <row r="30" ht="22.5" customHeight="1">
      <c r="A30" s="22">
        <v>29.0</v>
      </c>
      <c r="B30" s="24" t="str">
        <f>IFERROR(__xludf.DUMMYFUNCTION("""COMPUTED_VALUE"""),"Desainer Grafis Muda")</f>
        <v>Desainer Grafis Muda</v>
      </c>
      <c r="C30" s="24" t="str">
        <f>IFERROR(__xludf.DUMMYFUNCTION("""COMPUTED_VALUE"""),"SMK Negeri 3 Muna")</f>
        <v>SMK Negeri 3 Muna</v>
      </c>
      <c r="D30" s="24"/>
      <c r="E30" s="24"/>
      <c r="F30" s="24" t="str">
        <f>IFERROR(__xludf.DUMMYFUNCTION("""COMPUTED_VALUE"""),"NOVIANTI")</f>
        <v>NOVIANTI</v>
      </c>
      <c r="G30" s="24" t="str">
        <f>IFERROR(__xludf.DUMMYFUNCTION("""COMPUTED_VALUE"""),"7403145906080002")</f>
        <v>7403145906080002</v>
      </c>
      <c r="H30" s="24"/>
      <c r="I30" s="24"/>
      <c r="J30" s="24" t="str">
        <f>IFERROR(__xludf.DUMMYFUNCTION("""COMPUTED_VALUE"""),"PEREMPUAN")</f>
        <v>PEREMPUAN</v>
      </c>
      <c r="K30" s="24"/>
      <c r="L30" s="24"/>
      <c r="M30" s="24"/>
      <c r="N30" s="24" t="str">
        <f>IFERROR(__xludf.DUMMYFUNCTION("""COMPUTED_VALUE"""),"SMA / SMK / MA")</f>
        <v>SMA / SMK / MA</v>
      </c>
      <c r="O30" s="24"/>
      <c r="P30" s="24"/>
      <c r="Q30" s="24"/>
      <c r="R30" s="24" t="str">
        <f>IFERROR(__xludf.DUMMYFUNCTION("""COMPUTED_VALUE"""),"K")</f>
        <v>K</v>
      </c>
      <c r="S30" s="25" t="str">
        <f>IFERROR(__xludf.DUMMYFUNCTION("""COMPUTED_VALUE"""),"Selesai")</f>
        <v>Selesai</v>
      </c>
    </row>
    <row r="31" ht="22.5" customHeight="1">
      <c r="A31" s="22">
        <v>30.0</v>
      </c>
      <c r="B31" s="24" t="str">
        <f>IFERROR(__xludf.DUMMYFUNCTION("""COMPUTED_VALUE"""),"Desainer Grafis Muda")</f>
        <v>Desainer Grafis Muda</v>
      </c>
      <c r="C31" s="24" t="str">
        <f>IFERROR(__xludf.DUMMYFUNCTION("""COMPUTED_VALUE"""),"SMK Negeri 3 Muna")</f>
        <v>SMK Negeri 3 Muna</v>
      </c>
      <c r="D31" s="24"/>
      <c r="E31" s="24"/>
      <c r="F31" s="24" t="str">
        <f>IFERROR(__xludf.DUMMYFUNCTION("""COMPUTED_VALUE"""),"NUR AYLA AZURA ANWAR")</f>
        <v>NUR AYLA AZURA ANWAR</v>
      </c>
      <c r="G31" s="24" t="str">
        <f>IFERROR(__xludf.DUMMYFUNCTION("""COMPUTED_VALUE"""),"7403124202080001")</f>
        <v>7403124202080001</v>
      </c>
      <c r="H31" s="24"/>
      <c r="I31" s="24"/>
      <c r="J31" s="24" t="str">
        <f>IFERROR(__xludf.DUMMYFUNCTION("""COMPUTED_VALUE"""),"PEREMPUAN")</f>
        <v>PEREMPUAN</v>
      </c>
      <c r="K31" s="24"/>
      <c r="L31" s="24"/>
      <c r="M31" s="24"/>
      <c r="N31" s="24" t="str">
        <f>IFERROR(__xludf.DUMMYFUNCTION("""COMPUTED_VALUE"""),"SMA / SMK / MA")</f>
        <v>SMA / SMK / MA</v>
      </c>
      <c r="O31" s="24"/>
      <c r="P31" s="24"/>
      <c r="Q31" s="24"/>
      <c r="R31" s="24" t="str">
        <f>IFERROR(__xludf.DUMMYFUNCTION("""COMPUTED_VALUE"""),"K")</f>
        <v>K</v>
      </c>
      <c r="S31" s="25" t="str">
        <f>IFERROR(__xludf.DUMMYFUNCTION("""COMPUTED_VALUE"""),"Selesai")</f>
        <v>Selesai</v>
      </c>
    </row>
    <row r="32" ht="22.5" customHeight="1">
      <c r="A32" s="22">
        <v>31.0</v>
      </c>
      <c r="B32" s="24" t="str">
        <f>IFERROR(__xludf.DUMMYFUNCTION("""COMPUTED_VALUE"""),"Desainer Grafis Muda")</f>
        <v>Desainer Grafis Muda</v>
      </c>
      <c r="C32" s="24" t="str">
        <f>IFERROR(__xludf.DUMMYFUNCTION("""COMPUTED_VALUE"""),"SMK Negeri 3 Muna")</f>
        <v>SMK Negeri 3 Muna</v>
      </c>
      <c r="D32" s="24"/>
      <c r="E32" s="24"/>
      <c r="F32" s="24" t="str">
        <f>IFERROR(__xludf.DUMMYFUNCTION("""COMPUTED_VALUE"""),"NUR ZAITUN")</f>
        <v>NUR ZAITUN</v>
      </c>
      <c r="G32" s="24" t="str">
        <f>IFERROR(__xludf.DUMMYFUNCTION("""COMPUTED_VALUE"""),"7403147003070201")</f>
        <v>7403147003070201</v>
      </c>
      <c r="H32" s="24"/>
      <c r="I32" s="24"/>
      <c r="J32" s="24" t="str">
        <f>IFERROR(__xludf.DUMMYFUNCTION("""COMPUTED_VALUE"""),"PEREMPUAN")</f>
        <v>PEREMPUAN</v>
      </c>
      <c r="K32" s="24"/>
      <c r="L32" s="24"/>
      <c r="M32" s="24"/>
      <c r="N32" s="24" t="str">
        <f>IFERROR(__xludf.DUMMYFUNCTION("""COMPUTED_VALUE"""),"SMA / SMK / MA")</f>
        <v>SMA / SMK / MA</v>
      </c>
      <c r="O32" s="24"/>
      <c r="P32" s="24"/>
      <c r="Q32" s="24"/>
      <c r="R32" s="24" t="str">
        <f>IFERROR(__xludf.DUMMYFUNCTION("""COMPUTED_VALUE"""),"K")</f>
        <v>K</v>
      </c>
      <c r="S32" s="25" t="str">
        <f>IFERROR(__xludf.DUMMYFUNCTION("""COMPUTED_VALUE"""),"Selesai")</f>
        <v>Selesai</v>
      </c>
    </row>
    <row r="33" ht="22.5" customHeight="1">
      <c r="A33" s="22">
        <v>32.0</v>
      </c>
      <c r="B33" s="24" t="str">
        <f>IFERROR(__xludf.DUMMYFUNCTION("""COMPUTED_VALUE"""),"Desainer Grafis Muda")</f>
        <v>Desainer Grafis Muda</v>
      </c>
      <c r="C33" s="24" t="str">
        <f>IFERROR(__xludf.DUMMYFUNCTION("""COMPUTED_VALUE"""),"SMK Negeri 3 Muna")</f>
        <v>SMK Negeri 3 Muna</v>
      </c>
      <c r="D33" s="24"/>
      <c r="E33" s="24"/>
      <c r="F33" s="24" t="str">
        <f>IFERROR(__xludf.DUMMYFUNCTION("""COMPUTED_VALUE"""),"PUPUT DWI ANGGRAINI")</f>
        <v>PUPUT DWI ANGGRAINI</v>
      </c>
      <c r="G33" s="24" t="str">
        <f>IFERROR(__xludf.DUMMYFUNCTION("""COMPUTED_VALUE"""),"7403161405080003")</f>
        <v>7403161405080003</v>
      </c>
      <c r="H33" s="24"/>
      <c r="I33" s="24"/>
      <c r="J33" s="24" t="str">
        <f>IFERROR(__xludf.DUMMYFUNCTION("""COMPUTED_VALUE"""),"LAKI-LAKI")</f>
        <v>LAKI-LAKI</v>
      </c>
      <c r="K33" s="24"/>
      <c r="L33" s="24"/>
      <c r="M33" s="24"/>
      <c r="N33" s="24" t="str">
        <f>IFERROR(__xludf.DUMMYFUNCTION("""COMPUTED_VALUE"""),"SMA / SMK / MA")</f>
        <v>SMA / SMK / MA</v>
      </c>
      <c r="O33" s="24"/>
      <c r="P33" s="24"/>
      <c r="Q33" s="24"/>
      <c r="R33" s="24" t="str">
        <f>IFERROR(__xludf.DUMMYFUNCTION("""COMPUTED_VALUE"""),"K")</f>
        <v>K</v>
      </c>
      <c r="S33" s="25" t="str">
        <f>IFERROR(__xludf.DUMMYFUNCTION("""COMPUTED_VALUE"""),"Selesai")</f>
        <v>Selesai</v>
      </c>
    </row>
    <row r="34" ht="22.5" customHeight="1">
      <c r="A34" s="22">
        <v>33.0</v>
      </c>
      <c r="B34" s="24" t="str">
        <f>IFERROR(__xludf.DUMMYFUNCTION("""COMPUTED_VALUE"""),"Desainer Grafis Muda")</f>
        <v>Desainer Grafis Muda</v>
      </c>
      <c r="C34" s="24" t="str">
        <f>IFERROR(__xludf.DUMMYFUNCTION("""COMPUTED_VALUE"""),"SMK Negeri 3 Muna")</f>
        <v>SMK Negeri 3 Muna</v>
      </c>
      <c r="D34" s="24"/>
      <c r="E34" s="24"/>
      <c r="F34" s="24" t="str">
        <f>IFERROR(__xludf.DUMMYFUNCTION("""COMPUTED_VALUE"""),"SHENDY APRILIA")</f>
        <v>SHENDY APRILIA</v>
      </c>
      <c r="G34" s="24" t="str">
        <f>IFERROR(__xludf.DUMMYFUNCTION("""COMPUTED_VALUE"""),"7403184311080002")</f>
        <v>7403184311080002</v>
      </c>
      <c r="H34" s="24"/>
      <c r="I34" s="24"/>
      <c r="J34" s="24" t="str">
        <f>IFERROR(__xludf.DUMMYFUNCTION("""COMPUTED_VALUE"""),"PEREMPUAN")</f>
        <v>PEREMPUAN</v>
      </c>
      <c r="K34" s="24"/>
      <c r="L34" s="24"/>
      <c r="M34" s="24"/>
      <c r="N34" s="24" t="str">
        <f>IFERROR(__xludf.DUMMYFUNCTION("""COMPUTED_VALUE"""),"SMA / SMK / MA")</f>
        <v>SMA / SMK / MA</v>
      </c>
      <c r="O34" s="24"/>
      <c r="P34" s="24"/>
      <c r="Q34" s="24"/>
      <c r="R34" s="24" t="str">
        <f>IFERROR(__xludf.DUMMYFUNCTION("""COMPUTED_VALUE"""),"K")</f>
        <v>K</v>
      </c>
      <c r="S34" s="25" t="str">
        <f>IFERROR(__xludf.DUMMYFUNCTION("""COMPUTED_VALUE"""),"Selesai")</f>
        <v>Selesai</v>
      </c>
    </row>
    <row r="35" ht="22.5" customHeight="1">
      <c r="A35" s="22">
        <v>34.0</v>
      </c>
      <c r="B35" s="24" t="str">
        <f>IFERROR(__xludf.DUMMYFUNCTION("""COMPUTED_VALUE"""),"Desainer Grafis Muda")</f>
        <v>Desainer Grafis Muda</v>
      </c>
      <c r="C35" s="24" t="str">
        <f>IFERROR(__xludf.DUMMYFUNCTION("""COMPUTED_VALUE"""),"SMK Negeri 3 Muna")</f>
        <v>SMK Negeri 3 Muna</v>
      </c>
      <c r="D35" s="24"/>
      <c r="E35" s="24"/>
      <c r="F35" s="24" t="str">
        <f>IFERROR(__xludf.DUMMYFUNCTION("""COMPUTED_VALUE"""),"SUYATMI")</f>
        <v>SUYATMI</v>
      </c>
      <c r="G35" s="24" t="str">
        <f>IFERROR(__xludf.DUMMYFUNCTION("""COMPUTED_VALUE"""),"7403144107070223")</f>
        <v>7403144107070223</v>
      </c>
      <c r="H35" s="24"/>
      <c r="I35" s="24"/>
      <c r="J35" s="24" t="str">
        <f>IFERROR(__xludf.DUMMYFUNCTION("""COMPUTED_VALUE"""),"PEREMPUAN")</f>
        <v>PEREMPUAN</v>
      </c>
      <c r="K35" s="24"/>
      <c r="L35" s="24"/>
      <c r="M35" s="24"/>
      <c r="N35" s="24" t="str">
        <f>IFERROR(__xludf.DUMMYFUNCTION("""COMPUTED_VALUE"""),"SMA / SMK / MA")</f>
        <v>SMA / SMK / MA</v>
      </c>
      <c r="O35" s="24"/>
      <c r="P35" s="24"/>
      <c r="Q35" s="24"/>
      <c r="R35" s="24" t="str">
        <f>IFERROR(__xludf.DUMMYFUNCTION("""COMPUTED_VALUE"""),"K")</f>
        <v>K</v>
      </c>
      <c r="S35" s="25" t="str">
        <f>IFERROR(__xludf.DUMMYFUNCTION("""COMPUTED_VALUE"""),"Selesai")</f>
        <v>Selesai</v>
      </c>
    </row>
    <row r="36" ht="22.5" customHeight="1">
      <c r="A36" s="22">
        <v>35.0</v>
      </c>
      <c r="B36" s="24" t="str">
        <f>IFERROR(__xludf.DUMMYFUNCTION("""COMPUTED_VALUE"""),"Desainer Grafis Muda")</f>
        <v>Desainer Grafis Muda</v>
      </c>
      <c r="C36" s="24" t="str">
        <f>IFERROR(__xludf.DUMMYFUNCTION("""COMPUTED_VALUE"""),"SMK Negeri 3 Muna")</f>
        <v>SMK Negeri 3 Muna</v>
      </c>
      <c r="D36" s="24"/>
      <c r="E36" s="24"/>
      <c r="F36" s="24" t="str">
        <f>IFERROR(__xludf.DUMMYFUNCTION("""COMPUTED_VALUE"""),"TIZI AMRITA")</f>
        <v>TIZI AMRITA</v>
      </c>
      <c r="G36" s="24" t="str">
        <f>IFERROR(__xludf.DUMMYFUNCTION("""COMPUTED_VALUE"""),"7403156807080001")</f>
        <v>7403156807080001</v>
      </c>
      <c r="H36" s="24"/>
      <c r="I36" s="24"/>
      <c r="J36" s="24" t="str">
        <f>IFERROR(__xludf.DUMMYFUNCTION("""COMPUTED_VALUE"""),"PEREMPUAN")</f>
        <v>PEREMPUAN</v>
      </c>
      <c r="K36" s="24"/>
      <c r="L36" s="24"/>
      <c r="M36" s="24"/>
      <c r="N36" s="24" t="str">
        <f>IFERROR(__xludf.DUMMYFUNCTION("""COMPUTED_VALUE"""),"SMA / SMK / MA")</f>
        <v>SMA / SMK / MA</v>
      </c>
      <c r="O36" s="24"/>
      <c r="P36" s="24"/>
      <c r="Q36" s="24"/>
      <c r="R36" s="24" t="str">
        <f>IFERROR(__xludf.DUMMYFUNCTION("""COMPUTED_VALUE"""),"K")</f>
        <v>K</v>
      </c>
      <c r="S36" s="25" t="str">
        <f>IFERROR(__xludf.DUMMYFUNCTION("""COMPUTED_VALUE"""),"Selesai")</f>
        <v>Selesai</v>
      </c>
    </row>
    <row r="37" ht="22.5" customHeight="1">
      <c r="A37" s="22">
        <v>36.0</v>
      </c>
      <c r="B37" s="24" t="str">
        <f>IFERROR(__xludf.DUMMYFUNCTION("""COMPUTED_VALUE"""),"Desainer Grafis Muda")</f>
        <v>Desainer Grafis Muda</v>
      </c>
      <c r="C37" s="24" t="str">
        <f>IFERROR(__xludf.DUMMYFUNCTION("""COMPUTED_VALUE"""),"SMK Negeri 3 Muna")</f>
        <v>SMK Negeri 3 Muna</v>
      </c>
      <c r="D37" s="24"/>
      <c r="E37" s="24"/>
      <c r="F37" s="24" t="str">
        <f>IFERROR(__xludf.DUMMYFUNCTION("""COMPUTED_VALUE"""),"WAHYU  NUR  ALAM")</f>
        <v>WAHYU  NUR  ALAM</v>
      </c>
      <c r="G37" s="24" t="str">
        <f>IFERROR(__xludf.DUMMYFUNCTION("""COMPUTED_VALUE"""),"7403156308090001")</f>
        <v>7403156308090001</v>
      </c>
      <c r="H37" s="24"/>
      <c r="I37" s="24"/>
      <c r="J37" s="24" t="str">
        <f>IFERROR(__xludf.DUMMYFUNCTION("""COMPUTED_VALUE"""),"PEREMPUAN")</f>
        <v>PEREMPUAN</v>
      </c>
      <c r="K37" s="24"/>
      <c r="L37" s="24"/>
      <c r="M37" s="24"/>
      <c r="N37" s="24" t="str">
        <f>IFERROR(__xludf.DUMMYFUNCTION("""COMPUTED_VALUE"""),"SMA / SMK / MA")</f>
        <v>SMA / SMK / MA</v>
      </c>
      <c r="O37" s="24"/>
      <c r="P37" s="24"/>
      <c r="Q37" s="24"/>
      <c r="R37" s="24" t="str">
        <f>IFERROR(__xludf.DUMMYFUNCTION("""COMPUTED_VALUE"""),"K")</f>
        <v>K</v>
      </c>
      <c r="S37" s="25" t="str">
        <f>IFERROR(__xludf.DUMMYFUNCTION("""COMPUTED_VALUE"""),"Selesai")</f>
        <v>Selesai</v>
      </c>
    </row>
    <row r="38" ht="22.5" customHeight="1">
      <c r="A38" s="22">
        <v>37.0</v>
      </c>
      <c r="B38" s="24" t="str">
        <f>IFERROR(__xludf.DUMMYFUNCTION("""COMPUTED_VALUE"""),"Desainer Grafis Muda")</f>
        <v>Desainer Grafis Muda</v>
      </c>
      <c r="C38" s="24" t="str">
        <f>IFERROR(__xludf.DUMMYFUNCTION("""COMPUTED_VALUE"""),"SMK Negeri 3 Muna")</f>
        <v>SMK Negeri 3 Muna</v>
      </c>
      <c r="D38" s="24"/>
      <c r="E38" s="24"/>
      <c r="F38" s="24" t="str">
        <f>IFERROR(__xludf.DUMMYFUNCTION("""COMPUTED_VALUE"""),"MARTISARI, S.Pd.")</f>
        <v>MARTISARI, S.Pd.</v>
      </c>
      <c r="G38" s="24" t="str">
        <f>IFERROR(__xludf.DUMMYFUNCTION("""COMPUTED_VALUE"""),"7403196310880001")</f>
        <v>7403196310880001</v>
      </c>
      <c r="H38" s="24"/>
      <c r="I38" s="24"/>
      <c r="J38" s="24" t="str">
        <f>IFERROR(__xludf.DUMMYFUNCTION("""COMPUTED_VALUE"""),"PEREMPUAN")</f>
        <v>PEREMPUAN</v>
      </c>
      <c r="K38" s="24"/>
      <c r="L38" s="24"/>
      <c r="M38" s="24"/>
      <c r="N38" s="24" t="str">
        <f>IFERROR(__xludf.DUMMYFUNCTION("""COMPUTED_VALUE"""),"SMA / SMK / MA")</f>
        <v>SMA / SMK / MA</v>
      </c>
      <c r="O38" s="24"/>
      <c r="P38" s="24"/>
      <c r="Q38" s="24"/>
      <c r="R38" s="24" t="str">
        <f>IFERROR(__xludf.DUMMYFUNCTION("""COMPUTED_VALUE"""),"K")</f>
        <v>K</v>
      </c>
      <c r="S38" s="25" t="str">
        <f>IFERROR(__xludf.DUMMYFUNCTION("""COMPUTED_VALUE"""),"Selesai")</f>
        <v>Selesai</v>
      </c>
    </row>
    <row r="39" ht="22.5" customHeight="1">
      <c r="A39" s="22">
        <v>38.0</v>
      </c>
      <c r="B39" s="24" t="str">
        <f>IFERROR(__xludf.DUMMYFUNCTION("""COMPUTED_VALUE"""),"Desainer Grafis Muda")</f>
        <v>Desainer Grafis Muda</v>
      </c>
      <c r="C39" s="24" t="str">
        <f>IFERROR(__xludf.DUMMYFUNCTION("""COMPUTED_VALUE"""),"SMK Negeri 3 Muna")</f>
        <v>SMK Negeri 3 Muna</v>
      </c>
      <c r="D39" s="24"/>
      <c r="E39" s="24"/>
      <c r="F39" s="24" t="str">
        <f>IFERROR(__xludf.DUMMYFUNCTION("""COMPUTED_VALUE"""),"WAODE AMALIA, S.Pd.")</f>
        <v>WAODE AMALIA, S.Pd.</v>
      </c>
      <c r="G39" s="24" t="str">
        <f>IFERROR(__xludf.DUMMYFUNCTION("""COMPUTED_VALUE"""),"7471016808940001")</f>
        <v>7471016808940001</v>
      </c>
      <c r="H39" s="24"/>
      <c r="I39" s="24"/>
      <c r="J39" s="24" t="str">
        <f>IFERROR(__xludf.DUMMYFUNCTION("""COMPUTED_VALUE"""),"PEREMPUAN")</f>
        <v>PEREMPUAN</v>
      </c>
      <c r="K39" s="24"/>
      <c r="L39" s="24"/>
      <c r="M39" s="24"/>
      <c r="N39" s="24" t="str">
        <f>IFERROR(__xludf.DUMMYFUNCTION("""COMPUTED_VALUE"""),"SMA / SMK / MA")</f>
        <v>SMA / SMK / MA</v>
      </c>
      <c r="O39" s="24"/>
      <c r="P39" s="24"/>
      <c r="Q39" s="24"/>
      <c r="R39" s="24" t="str">
        <f>IFERROR(__xludf.DUMMYFUNCTION("""COMPUTED_VALUE"""),"K")</f>
        <v>K</v>
      </c>
      <c r="S39" s="25" t="str">
        <f>IFERROR(__xludf.DUMMYFUNCTION("""COMPUTED_VALUE"""),"Selesai")</f>
        <v>Selesai</v>
      </c>
    </row>
    <row r="40" ht="22.5" customHeight="1">
      <c r="A40" s="22">
        <v>39.0</v>
      </c>
      <c r="B40" s="24" t="str">
        <f>IFERROR(__xludf.DUMMYFUNCTION("""COMPUTED_VALUE"""),"Desainer Grafis Muda")</f>
        <v>Desainer Grafis Muda</v>
      </c>
      <c r="C40" s="24" t="str">
        <f>IFERROR(__xludf.DUMMYFUNCTION("""COMPUTED_VALUE"""),"SMK Negeri 3 Muna")</f>
        <v>SMK Negeri 3 Muna</v>
      </c>
      <c r="D40" s="24"/>
      <c r="E40" s="24"/>
      <c r="F40" s="24" t="str">
        <f>IFERROR(__xludf.DUMMYFUNCTION("""COMPUTED_VALUE"""),"MILDA NOSEISE, S.Pd.")</f>
        <v>MILDA NOSEISE, S.Pd.</v>
      </c>
      <c r="G40" s="24" t="str">
        <f>IFERROR(__xludf.DUMMYFUNCTION("""COMPUTED_VALUE"""),"7403127012980201")</f>
        <v>7403127012980201</v>
      </c>
      <c r="H40" s="24"/>
      <c r="I40" s="24"/>
      <c r="J40" s="24" t="str">
        <f>IFERROR(__xludf.DUMMYFUNCTION("""COMPUTED_VALUE"""),"PEREMPUAN")</f>
        <v>PEREMPUAN</v>
      </c>
      <c r="K40" s="24"/>
      <c r="L40" s="24"/>
      <c r="M40" s="24"/>
      <c r="N40" s="24" t="str">
        <f>IFERROR(__xludf.DUMMYFUNCTION("""COMPUTED_VALUE"""),"SMA / SMK / MA")</f>
        <v>SMA / SMK / MA</v>
      </c>
      <c r="O40" s="24"/>
      <c r="P40" s="24"/>
      <c r="Q40" s="24"/>
      <c r="R40" s="24" t="str">
        <f>IFERROR(__xludf.DUMMYFUNCTION("""COMPUTED_VALUE"""),"K")</f>
        <v>K</v>
      </c>
      <c r="S40" s="25" t="str">
        <f>IFERROR(__xludf.DUMMYFUNCTION("""COMPUTED_VALUE"""),"Selesai")</f>
        <v>Selesai</v>
      </c>
    </row>
    <row r="41" ht="22.5" customHeight="1">
      <c r="A41" s="22">
        <v>40.0</v>
      </c>
      <c r="B41" s="24" t="str">
        <f>IFERROR(__xludf.DUMMYFUNCTION("""COMPUTED_VALUE"""),"Desainer Grafis Muda")</f>
        <v>Desainer Grafis Muda</v>
      </c>
      <c r="C41" s="24" t="str">
        <f>IFERROR(__xludf.DUMMYFUNCTION("""COMPUTED_VALUE"""),"SMK Negeri 3 Muna")</f>
        <v>SMK Negeri 3 Muna</v>
      </c>
      <c r="D41" s="24"/>
      <c r="E41" s="24"/>
      <c r="F41" s="24" t="str">
        <f>IFERROR(__xludf.DUMMYFUNCTION("""COMPUTED_VALUE"""),"SATRYANI, S.Kom.")</f>
        <v>SATRYANI, S.Kom.</v>
      </c>
      <c r="G41" s="24" t="str">
        <f>IFERROR(__xludf.DUMMYFUNCTION("""COMPUTED_VALUE"""),"7403166909930001")</f>
        <v>7403166909930001</v>
      </c>
      <c r="H41" s="24"/>
      <c r="I41" s="24"/>
      <c r="J41" s="24" t="str">
        <f>IFERROR(__xludf.DUMMYFUNCTION("""COMPUTED_VALUE"""),"PEREMPUAN")</f>
        <v>PEREMPUAN</v>
      </c>
      <c r="K41" s="24"/>
      <c r="L41" s="24"/>
      <c r="M41" s="24"/>
      <c r="N41" s="24" t="str">
        <f>IFERROR(__xludf.DUMMYFUNCTION("""COMPUTED_VALUE"""),"SMA / SMK / MA")</f>
        <v>SMA / SMK / MA</v>
      </c>
      <c r="O41" s="24"/>
      <c r="P41" s="24"/>
      <c r="Q41" s="24"/>
      <c r="R41" s="24" t="str">
        <f>IFERROR(__xludf.DUMMYFUNCTION("""COMPUTED_VALUE"""),"K")</f>
        <v>K</v>
      </c>
      <c r="S41" s="25" t="str">
        <f>IFERROR(__xludf.DUMMYFUNCTION("""COMPUTED_VALUE"""),"Selesai")</f>
        <v>Selesai</v>
      </c>
    </row>
    <row r="42" ht="22.5" customHeight="1">
      <c r="A42" s="22">
        <v>41.0</v>
      </c>
      <c r="B42" s="24" t="str">
        <f>IFERROR(__xludf.DUMMYFUNCTION("""COMPUTED_VALUE"""),"Desainer Grafis Muda")</f>
        <v>Desainer Grafis Muda</v>
      </c>
      <c r="C42" s="24" t="str">
        <f>IFERROR(__xludf.DUMMYFUNCTION("""COMPUTED_VALUE"""),"SMK Negeri 3 Muna")</f>
        <v>SMK Negeri 3 Muna</v>
      </c>
      <c r="D42" s="24"/>
      <c r="E42" s="24"/>
      <c r="F42" s="24" t="str">
        <f>IFERROR(__xludf.DUMMYFUNCTION("""COMPUTED_VALUE"""),"NONA, S.Pd.")</f>
        <v>NONA, S.Pd.</v>
      </c>
      <c r="G42" s="24" t="str">
        <f>IFERROR(__xludf.DUMMYFUNCTION("""COMPUTED_VALUE"""),"7403144409000003")</f>
        <v>7403144409000003</v>
      </c>
      <c r="H42" s="24"/>
      <c r="I42" s="24"/>
      <c r="J42" s="24" t="str">
        <f>IFERROR(__xludf.DUMMYFUNCTION("""COMPUTED_VALUE"""),"PEREMPUAN")</f>
        <v>PEREMPUAN</v>
      </c>
      <c r="K42" s="24"/>
      <c r="L42" s="24"/>
      <c r="M42" s="24"/>
      <c r="N42" s="24" t="str">
        <f>IFERROR(__xludf.DUMMYFUNCTION("""COMPUTED_VALUE"""),"SMA / SMK / MA")</f>
        <v>SMA / SMK / MA</v>
      </c>
      <c r="O42" s="24"/>
      <c r="P42" s="24"/>
      <c r="Q42" s="24"/>
      <c r="R42" s="24" t="str">
        <f>IFERROR(__xludf.DUMMYFUNCTION("""COMPUTED_VALUE"""),"K")</f>
        <v>K</v>
      </c>
      <c r="S42" s="25" t="str">
        <f>IFERROR(__xludf.DUMMYFUNCTION("""COMPUTED_VALUE"""),"Selesai")</f>
        <v>Selesai</v>
      </c>
    </row>
    <row r="43" ht="22.5" customHeight="1">
      <c r="A43" s="22">
        <v>42.0</v>
      </c>
      <c r="B43" s="24" t="str">
        <f>IFERROR(__xludf.DUMMYFUNCTION("""COMPUTED_VALUE"""),"Desainer Grafis Muda")</f>
        <v>Desainer Grafis Muda</v>
      </c>
      <c r="C43" s="24" t="str">
        <f>IFERROR(__xludf.DUMMYFUNCTION("""COMPUTED_VALUE"""),"SMK Negeri 3 Muna")</f>
        <v>SMK Negeri 3 Muna</v>
      </c>
      <c r="D43" s="24"/>
      <c r="E43" s="24"/>
      <c r="F43" s="24" t="str">
        <f>IFERROR(__xludf.DUMMYFUNCTION("""COMPUTED_VALUE"""),"LA ODE RAHMAT ANDRE PRATAMA, S.T.")</f>
        <v>LA ODE RAHMAT ANDRE PRATAMA, S.T.</v>
      </c>
      <c r="G43" s="24" t="str">
        <f>IFERROR(__xludf.DUMMYFUNCTION("""COMPUTED_VALUE"""),"7403163004000001")</f>
        <v>7403163004000001</v>
      </c>
      <c r="H43" s="24"/>
      <c r="I43" s="24"/>
      <c r="J43" s="24" t="str">
        <f>IFERROR(__xludf.DUMMYFUNCTION("""COMPUTED_VALUE"""),"LAKI-LAKI")</f>
        <v>LAKI-LAKI</v>
      </c>
      <c r="K43" s="24"/>
      <c r="L43" s="24"/>
      <c r="M43" s="24"/>
      <c r="N43" s="24" t="str">
        <f>IFERROR(__xludf.DUMMYFUNCTION("""COMPUTED_VALUE"""),"SMA / SMK / MA")</f>
        <v>SMA / SMK / MA</v>
      </c>
      <c r="O43" s="24"/>
      <c r="P43" s="24"/>
      <c r="Q43" s="24"/>
      <c r="R43" s="24" t="str">
        <f>IFERROR(__xludf.DUMMYFUNCTION("""COMPUTED_VALUE"""),"K")</f>
        <v>K</v>
      </c>
      <c r="S43" s="25" t="str">
        <f>IFERROR(__xludf.DUMMYFUNCTION("""COMPUTED_VALUE"""),"Selesai")</f>
        <v>Selesai</v>
      </c>
    </row>
    <row r="44" ht="22.5" customHeight="1">
      <c r="A44" s="22">
        <v>43.0</v>
      </c>
      <c r="B44" s="24" t="str">
        <f>IFERROR(__xludf.DUMMYFUNCTION("""COMPUTED_VALUE"""),"Menjahit Pakaian Wanita Dewasa")</f>
        <v>Menjahit Pakaian Wanita Dewasa</v>
      </c>
      <c r="C44" s="24" t="str">
        <f>IFERROR(__xludf.DUMMYFUNCTION("""COMPUTED_VALUE"""),"SMK Negeri 3 Muna")</f>
        <v>SMK Negeri 3 Muna</v>
      </c>
      <c r="D44" s="24"/>
      <c r="E44" s="24"/>
      <c r="F44" s="24" t="str">
        <f>IFERROR(__xludf.DUMMYFUNCTION("""COMPUTED_VALUE"""),"ADEL  CHRISTIANI")</f>
        <v>ADEL  CHRISTIANI</v>
      </c>
      <c r="G44" s="24" t="str">
        <f>IFERROR(__xludf.DUMMYFUNCTION("""COMPUTED_VALUE"""),"7403074406080001")</f>
        <v>7403074406080001</v>
      </c>
      <c r="H44" s="24"/>
      <c r="I44" s="24"/>
      <c r="J44" s="24" t="str">
        <f>IFERROR(__xludf.DUMMYFUNCTION("""COMPUTED_VALUE"""),"PEREMPUAN")</f>
        <v>PEREMPUAN</v>
      </c>
      <c r="K44" s="24" t="str">
        <f>IFERROR(__xludf.DUMMYFUNCTION("""COMPUTED_VALUE"""),"Jl. Jenderal Sudirman No. 8")</f>
        <v>Jl. Jenderal Sudirman No. 8</v>
      </c>
      <c r="L44" s="24"/>
      <c r="M44" s="24"/>
      <c r="N44" s="24" t="str">
        <f>IFERROR(__xludf.DUMMYFUNCTION("""COMPUTED_VALUE"""),"SMA / SMK / MA")</f>
        <v>SMA / SMK / MA</v>
      </c>
      <c r="O44" s="24"/>
      <c r="P44" s="24"/>
      <c r="Q44" s="24"/>
      <c r="R44" s="24" t="str">
        <f>IFERROR(__xludf.DUMMYFUNCTION("""COMPUTED_VALUE"""),"K")</f>
        <v>K</v>
      </c>
      <c r="S44" s="25" t="str">
        <f>IFERROR(__xludf.DUMMYFUNCTION("""COMPUTED_VALUE"""),"Selesai")</f>
        <v>Selesai</v>
      </c>
    </row>
    <row r="45" ht="22.5" customHeight="1">
      <c r="A45" s="22">
        <v>44.0</v>
      </c>
      <c r="B45" s="24" t="str">
        <f>IFERROR(__xludf.DUMMYFUNCTION("""COMPUTED_VALUE"""),"Menjahit Pakaian Wanita Dewasa")</f>
        <v>Menjahit Pakaian Wanita Dewasa</v>
      </c>
      <c r="C45" s="24" t="str">
        <f>IFERROR(__xludf.DUMMYFUNCTION("""COMPUTED_VALUE"""),"SMK Negeri 3 Muna")</f>
        <v>SMK Negeri 3 Muna</v>
      </c>
      <c r="D45" s="24"/>
      <c r="E45" s="24"/>
      <c r="F45" s="24" t="str">
        <f>IFERROR(__xludf.DUMMYFUNCTION("""COMPUTED_VALUE"""),"AKILA ZATIL IZA")</f>
        <v>AKILA ZATIL IZA</v>
      </c>
      <c r="G45" s="24" t="str">
        <f>IFERROR(__xludf.DUMMYFUNCTION("""COMPUTED_VALUE"""),"7403186009080001")</f>
        <v>7403186009080001</v>
      </c>
      <c r="H45" s="24"/>
      <c r="I45" s="24"/>
      <c r="J45" s="24" t="str">
        <f>IFERROR(__xludf.DUMMYFUNCTION("""COMPUTED_VALUE"""),"PEREMPUAN")</f>
        <v>PEREMPUAN</v>
      </c>
      <c r="K45" s="24" t="str">
        <f>IFERROR(__xludf.DUMMYFUNCTION("""COMPUTED_VALUE"""),"Mabholu")</f>
        <v>Mabholu</v>
      </c>
      <c r="L45" s="24"/>
      <c r="M45" s="24"/>
      <c r="N45" s="24" t="str">
        <f>IFERROR(__xludf.DUMMYFUNCTION("""COMPUTED_VALUE"""),"SMA / SMK / MA")</f>
        <v>SMA / SMK / MA</v>
      </c>
      <c r="O45" s="24"/>
      <c r="P45" s="24"/>
      <c r="Q45" s="24"/>
      <c r="R45" s="24" t="str">
        <f>IFERROR(__xludf.DUMMYFUNCTION("""COMPUTED_VALUE"""),"K")</f>
        <v>K</v>
      </c>
      <c r="S45" s="25" t="str">
        <f>IFERROR(__xludf.DUMMYFUNCTION("""COMPUTED_VALUE"""),"Selesai")</f>
        <v>Selesai</v>
      </c>
    </row>
    <row r="46" ht="22.5" customHeight="1">
      <c r="A46" s="22">
        <v>45.0</v>
      </c>
      <c r="B46" s="24" t="str">
        <f>IFERROR(__xludf.DUMMYFUNCTION("""COMPUTED_VALUE"""),"Menjahit Pakaian Wanita Dewasa")</f>
        <v>Menjahit Pakaian Wanita Dewasa</v>
      </c>
      <c r="C46" s="24" t="str">
        <f>IFERROR(__xludf.DUMMYFUNCTION("""COMPUTED_VALUE"""),"SMK Negeri 3 Muna")</f>
        <v>SMK Negeri 3 Muna</v>
      </c>
      <c r="D46" s="24"/>
      <c r="E46" s="24"/>
      <c r="F46" s="24" t="str">
        <f>IFERROR(__xludf.DUMMYFUNCTION("""COMPUTED_VALUE"""),"ATIKA NADIYA SARIM")</f>
        <v>ATIKA NADIYA SARIM</v>
      </c>
      <c r="G46" s="24" t="str">
        <f>IFERROR(__xludf.DUMMYFUNCTION("""COMPUTED_VALUE"""),"7403135708080001")</f>
        <v>7403135708080001</v>
      </c>
      <c r="H46" s="24"/>
      <c r="I46" s="24"/>
      <c r="J46" s="24" t="str">
        <f>IFERROR(__xludf.DUMMYFUNCTION("""COMPUTED_VALUE"""),"PEREMPUAN")</f>
        <v>PEREMPUAN</v>
      </c>
      <c r="K46" s="24" t="str">
        <f>IFERROR(__xludf.DUMMYFUNCTION("""COMPUTED_VALUE"""),"Desa Kondongia Kecamatan Lohia")</f>
        <v>Desa Kondongia Kecamatan Lohia</v>
      </c>
      <c r="L46" s="24"/>
      <c r="M46" s="24"/>
      <c r="N46" s="24" t="str">
        <f>IFERROR(__xludf.DUMMYFUNCTION("""COMPUTED_VALUE"""),"SMA / SMK / MA")</f>
        <v>SMA / SMK / MA</v>
      </c>
      <c r="O46" s="24"/>
      <c r="P46" s="24"/>
      <c r="Q46" s="24"/>
      <c r="R46" s="24" t="str">
        <f>IFERROR(__xludf.DUMMYFUNCTION("""COMPUTED_VALUE"""),"K")</f>
        <v>K</v>
      </c>
      <c r="S46" s="25" t="str">
        <f>IFERROR(__xludf.DUMMYFUNCTION("""COMPUTED_VALUE"""),"Selesai")</f>
        <v>Selesai</v>
      </c>
    </row>
    <row r="47" ht="22.5" customHeight="1">
      <c r="A47" s="22">
        <v>46.0</v>
      </c>
      <c r="B47" s="24" t="str">
        <f>IFERROR(__xludf.DUMMYFUNCTION("""COMPUTED_VALUE"""),"Menjahit Pakaian Wanita Dewasa")</f>
        <v>Menjahit Pakaian Wanita Dewasa</v>
      </c>
      <c r="C47" s="24" t="str">
        <f>IFERROR(__xludf.DUMMYFUNCTION("""COMPUTED_VALUE"""),"SMK Negeri 3 Muna")</f>
        <v>SMK Negeri 3 Muna</v>
      </c>
      <c r="D47" s="24"/>
      <c r="E47" s="24"/>
      <c r="F47" s="24" t="str">
        <f>IFERROR(__xludf.DUMMYFUNCTION("""COMPUTED_VALUE"""),"AYUNDA")</f>
        <v>AYUNDA</v>
      </c>
      <c r="G47" s="24" t="str">
        <f>IFERROR(__xludf.DUMMYFUNCTION("""COMPUTED_VALUE"""),"7403136501080001")</f>
        <v>7403136501080001</v>
      </c>
      <c r="H47" s="24"/>
      <c r="I47" s="24"/>
      <c r="J47" s="24" t="str">
        <f>IFERROR(__xludf.DUMMYFUNCTION("""COMPUTED_VALUE"""),"PEREMPUAN")</f>
        <v>PEREMPUAN</v>
      </c>
      <c r="K47" s="24" t="str">
        <f>IFERROR(__xludf.DUMMYFUNCTION("""COMPUTED_VALUE"""),"Desa Kondongia Kecamatan Lohia")</f>
        <v>Desa Kondongia Kecamatan Lohia</v>
      </c>
      <c r="L47" s="24"/>
      <c r="M47" s="24"/>
      <c r="N47" s="24" t="str">
        <f>IFERROR(__xludf.DUMMYFUNCTION("""COMPUTED_VALUE"""),"SMA / SMK / MA")</f>
        <v>SMA / SMK / MA</v>
      </c>
      <c r="O47" s="24"/>
      <c r="P47" s="24"/>
      <c r="Q47" s="24"/>
      <c r="R47" s="24" t="str">
        <f>IFERROR(__xludf.DUMMYFUNCTION("""COMPUTED_VALUE"""),"K")</f>
        <v>K</v>
      </c>
      <c r="S47" s="25" t="str">
        <f>IFERROR(__xludf.DUMMYFUNCTION("""COMPUTED_VALUE"""),"Selesai")</f>
        <v>Selesai</v>
      </c>
    </row>
    <row r="48" ht="22.5" customHeight="1">
      <c r="A48" s="22">
        <v>47.0</v>
      </c>
      <c r="B48" s="24" t="str">
        <f>IFERROR(__xludf.DUMMYFUNCTION("""COMPUTED_VALUE"""),"Menjahit Pakaian Wanita Dewasa")</f>
        <v>Menjahit Pakaian Wanita Dewasa</v>
      </c>
      <c r="C48" s="24" t="str">
        <f>IFERROR(__xludf.DUMMYFUNCTION("""COMPUTED_VALUE"""),"SMK Negeri 3 Muna")</f>
        <v>SMK Negeri 3 Muna</v>
      </c>
      <c r="D48" s="24"/>
      <c r="E48" s="24"/>
      <c r="F48" s="24" t="str">
        <f>IFERROR(__xludf.DUMMYFUNCTION("""COMPUTED_VALUE"""),"AZ ZAHRA")</f>
        <v>AZ ZAHRA</v>
      </c>
      <c r="G48" s="24" t="str">
        <f>IFERROR(__xludf.DUMMYFUNCTION("""COMPUTED_VALUE"""),"7471025003090001")</f>
        <v>7471025003090001</v>
      </c>
      <c r="H48" s="24"/>
      <c r="I48" s="24"/>
      <c r="J48" s="24" t="str">
        <f>IFERROR(__xludf.DUMMYFUNCTION("""COMPUTED_VALUE"""),"PEREMPUAN")</f>
        <v>PEREMPUAN</v>
      </c>
      <c r="K48" s="24" t="str">
        <f>IFERROR(__xludf.DUMMYFUNCTION("""COMPUTED_VALUE"""),"Jl. Sangia Kaendea")</f>
        <v>Jl. Sangia Kaendea</v>
      </c>
      <c r="L48" s="24"/>
      <c r="M48" s="24"/>
      <c r="N48" s="24" t="str">
        <f>IFERROR(__xludf.DUMMYFUNCTION("""COMPUTED_VALUE"""),"SMA / SMK / MA")</f>
        <v>SMA / SMK / MA</v>
      </c>
      <c r="O48" s="24"/>
      <c r="P48" s="24"/>
      <c r="Q48" s="24"/>
      <c r="R48" s="24" t="str">
        <f>IFERROR(__xludf.DUMMYFUNCTION("""COMPUTED_VALUE"""),"K")</f>
        <v>K</v>
      </c>
      <c r="S48" s="25" t="str">
        <f>IFERROR(__xludf.DUMMYFUNCTION("""COMPUTED_VALUE"""),"Selesai")</f>
        <v>Selesai</v>
      </c>
    </row>
    <row r="49" ht="22.5" customHeight="1">
      <c r="A49" s="22">
        <v>48.0</v>
      </c>
      <c r="B49" s="24" t="str">
        <f>IFERROR(__xludf.DUMMYFUNCTION("""COMPUTED_VALUE"""),"Menjahit Pakaian Wanita Dewasa")</f>
        <v>Menjahit Pakaian Wanita Dewasa</v>
      </c>
      <c r="C49" s="24" t="str">
        <f>IFERROR(__xludf.DUMMYFUNCTION("""COMPUTED_VALUE"""),"SMK Negeri 3 Muna")</f>
        <v>SMK Negeri 3 Muna</v>
      </c>
      <c r="D49" s="24"/>
      <c r="E49" s="24"/>
      <c r="F49" s="24" t="str">
        <f>IFERROR(__xludf.DUMMYFUNCTION("""COMPUTED_VALUE"""),"CINTA ZAHRANI")</f>
        <v>CINTA ZAHRANI</v>
      </c>
      <c r="G49" s="24" t="str">
        <f>IFERROR(__xludf.DUMMYFUNCTION("""COMPUTED_VALUE"""),"7403176907080001")</f>
        <v>7403176907080001</v>
      </c>
      <c r="H49" s="24"/>
      <c r="I49" s="24"/>
      <c r="J49" s="24" t="str">
        <f>IFERROR(__xludf.DUMMYFUNCTION("""COMPUTED_VALUE"""),"PEREMPUAN")</f>
        <v>PEREMPUAN</v>
      </c>
      <c r="K49" s="24"/>
      <c r="L49" s="24"/>
      <c r="M49" s="24"/>
      <c r="N49" s="24" t="str">
        <f>IFERROR(__xludf.DUMMYFUNCTION("""COMPUTED_VALUE"""),"SMA / SMK / MA")</f>
        <v>SMA / SMK / MA</v>
      </c>
      <c r="O49" s="24"/>
      <c r="P49" s="24"/>
      <c r="Q49" s="24"/>
      <c r="R49" s="24" t="str">
        <f>IFERROR(__xludf.DUMMYFUNCTION("""COMPUTED_VALUE"""),"K")</f>
        <v>K</v>
      </c>
      <c r="S49" s="25" t="str">
        <f>IFERROR(__xludf.DUMMYFUNCTION("""COMPUTED_VALUE"""),"Selesai")</f>
        <v>Selesai</v>
      </c>
    </row>
    <row r="50" ht="22.5" customHeight="1">
      <c r="A50" s="22">
        <v>49.0</v>
      </c>
      <c r="B50" s="24" t="str">
        <f>IFERROR(__xludf.DUMMYFUNCTION("""COMPUTED_VALUE"""),"Menjahit Pakaian Wanita Dewasa")</f>
        <v>Menjahit Pakaian Wanita Dewasa</v>
      </c>
      <c r="C50" s="24" t="str">
        <f>IFERROR(__xludf.DUMMYFUNCTION("""COMPUTED_VALUE"""),"SMK Negeri 3 Muna")</f>
        <v>SMK Negeri 3 Muna</v>
      </c>
      <c r="D50" s="24"/>
      <c r="E50" s="24"/>
      <c r="F50" s="24" t="str">
        <f>IFERROR(__xludf.DUMMYFUNCTION("""COMPUTED_VALUE"""),"CITRA LESTARI")</f>
        <v>CITRA LESTARI</v>
      </c>
      <c r="G50" s="24" t="str">
        <f>IFERROR(__xludf.DUMMYFUNCTION("""COMPUTED_VALUE"""),"7403185006080003")</f>
        <v>7403185006080003</v>
      </c>
      <c r="H50" s="24"/>
      <c r="I50" s="24"/>
      <c r="J50" s="24" t="str">
        <f>IFERROR(__xludf.DUMMYFUNCTION("""COMPUTED_VALUE"""),"PEREMPUAN")</f>
        <v>PEREMPUAN</v>
      </c>
      <c r="K50" s="24" t="str">
        <f>IFERROR(__xludf.DUMMYFUNCTION("""COMPUTED_VALUE"""),"Desa Waasa")</f>
        <v>Desa Waasa</v>
      </c>
      <c r="L50" s="24"/>
      <c r="M50" s="24"/>
      <c r="N50" s="24" t="str">
        <f>IFERROR(__xludf.DUMMYFUNCTION("""COMPUTED_VALUE"""),"SMA / SMK / MA")</f>
        <v>SMA / SMK / MA</v>
      </c>
      <c r="O50" s="24"/>
      <c r="P50" s="24"/>
      <c r="Q50" s="24"/>
      <c r="R50" s="24" t="str">
        <f>IFERROR(__xludf.DUMMYFUNCTION("""COMPUTED_VALUE"""),"K")</f>
        <v>K</v>
      </c>
      <c r="S50" s="25" t="str">
        <f>IFERROR(__xludf.DUMMYFUNCTION("""COMPUTED_VALUE"""),"Selesai")</f>
        <v>Selesai</v>
      </c>
    </row>
    <row r="51" ht="22.5" customHeight="1">
      <c r="A51" s="22">
        <v>50.0</v>
      </c>
      <c r="B51" s="24" t="str">
        <f>IFERROR(__xludf.DUMMYFUNCTION("""COMPUTED_VALUE"""),"Menjahit Pakaian Wanita Dewasa")</f>
        <v>Menjahit Pakaian Wanita Dewasa</v>
      </c>
      <c r="C51" s="24" t="str">
        <f>IFERROR(__xludf.DUMMYFUNCTION("""COMPUTED_VALUE"""),"SMK Negeri 3 Muna")</f>
        <v>SMK Negeri 3 Muna</v>
      </c>
      <c r="D51" s="24"/>
      <c r="E51" s="24"/>
      <c r="F51" s="24" t="str">
        <f>IFERROR(__xludf.DUMMYFUNCTION("""COMPUTED_VALUE"""),"DEBRI HARSINA ANDARI")</f>
        <v>DEBRI HARSINA ANDARI</v>
      </c>
      <c r="G51" s="24" t="str">
        <f>IFERROR(__xludf.DUMMYFUNCTION("""COMPUTED_VALUE"""),"7403175310070001")</f>
        <v>7403175310070001</v>
      </c>
      <c r="H51" s="24"/>
      <c r="I51" s="24"/>
      <c r="J51" s="24" t="str">
        <f>IFERROR(__xludf.DUMMYFUNCTION("""COMPUTED_VALUE"""),"PEREMPUAN")</f>
        <v>PEREMPUAN</v>
      </c>
      <c r="K51" s="24" t="str">
        <f>IFERROR(__xludf.DUMMYFUNCTION("""COMPUTED_VALUE"""),"GHONSUME, KEC. DURUKA")</f>
        <v>GHONSUME, KEC. DURUKA</v>
      </c>
      <c r="L51" s="24"/>
      <c r="M51" s="24"/>
      <c r="N51" s="24" t="str">
        <f>IFERROR(__xludf.DUMMYFUNCTION("""COMPUTED_VALUE"""),"SMA / SMK / MA")</f>
        <v>SMA / SMK / MA</v>
      </c>
      <c r="O51" s="24"/>
      <c r="P51" s="24"/>
      <c r="Q51" s="24"/>
      <c r="R51" s="24" t="str">
        <f>IFERROR(__xludf.DUMMYFUNCTION("""COMPUTED_VALUE"""),"K")</f>
        <v>K</v>
      </c>
      <c r="S51" s="25" t="str">
        <f>IFERROR(__xludf.DUMMYFUNCTION("""COMPUTED_VALUE"""),"Selesai")</f>
        <v>Selesai</v>
      </c>
    </row>
    <row r="52" ht="22.5" customHeight="1">
      <c r="A52" s="22">
        <v>51.0</v>
      </c>
      <c r="B52" s="24" t="str">
        <f>IFERROR(__xludf.DUMMYFUNCTION("""COMPUTED_VALUE"""),"Menjahit Pakaian Wanita Dewasa")</f>
        <v>Menjahit Pakaian Wanita Dewasa</v>
      </c>
      <c r="C52" s="24" t="str">
        <f>IFERROR(__xludf.DUMMYFUNCTION("""COMPUTED_VALUE"""),"SMK Negeri 3 Muna")</f>
        <v>SMK Negeri 3 Muna</v>
      </c>
      <c r="D52" s="24"/>
      <c r="E52" s="24"/>
      <c r="F52" s="24" t="str">
        <f>IFERROR(__xludf.DUMMYFUNCTION("""COMPUTED_VALUE"""),"DEWI  YUNIARSIH")</f>
        <v>DEWI  YUNIARSIH</v>
      </c>
      <c r="G52" s="24" t="str">
        <f>IFERROR(__xludf.DUMMYFUNCTION("""COMPUTED_VALUE"""),"7403145906080002")</f>
        <v>7403145906080002</v>
      </c>
      <c r="H52" s="24"/>
      <c r="I52" s="24"/>
      <c r="J52" s="24" t="str">
        <f>IFERROR(__xludf.DUMMYFUNCTION("""COMPUTED_VALUE"""),"PEREMPUAN")</f>
        <v>PEREMPUAN</v>
      </c>
      <c r="K52" s="24" t="str">
        <f>IFERROR(__xludf.DUMMYFUNCTION("""COMPUTED_VALUE"""),"Desa Lohia")</f>
        <v>Desa Lohia</v>
      </c>
      <c r="L52" s="24"/>
      <c r="M52" s="24"/>
      <c r="N52" s="24" t="str">
        <f>IFERROR(__xludf.DUMMYFUNCTION("""COMPUTED_VALUE"""),"SMA / SMK / MA")</f>
        <v>SMA / SMK / MA</v>
      </c>
      <c r="O52" s="24"/>
      <c r="P52" s="24"/>
      <c r="Q52" s="24"/>
      <c r="R52" s="24" t="str">
        <f>IFERROR(__xludf.DUMMYFUNCTION("""COMPUTED_VALUE"""),"K")</f>
        <v>K</v>
      </c>
      <c r="S52" s="25" t="str">
        <f>IFERROR(__xludf.DUMMYFUNCTION("""COMPUTED_VALUE"""),"Selesai")</f>
        <v>Selesai</v>
      </c>
    </row>
    <row r="53" ht="22.5" customHeight="1">
      <c r="A53" s="22">
        <v>52.0</v>
      </c>
      <c r="B53" s="24" t="str">
        <f>IFERROR(__xludf.DUMMYFUNCTION("""COMPUTED_VALUE"""),"Menjahit Pakaian Wanita Dewasa")</f>
        <v>Menjahit Pakaian Wanita Dewasa</v>
      </c>
      <c r="C53" s="24" t="str">
        <f>IFERROR(__xludf.DUMMYFUNCTION("""COMPUTED_VALUE"""),"SMK Negeri 3 Muna")</f>
        <v>SMK Negeri 3 Muna</v>
      </c>
      <c r="D53" s="24"/>
      <c r="E53" s="24"/>
      <c r="F53" s="24" t="str">
        <f>IFERROR(__xludf.DUMMYFUNCTION("""COMPUTED_VALUE"""),"DIFA  RAHAYU")</f>
        <v>DIFA  RAHAYU</v>
      </c>
      <c r="G53" s="24" t="str">
        <f>IFERROR(__xludf.DUMMYFUNCTION("""COMPUTED_VALUE"""),"7403124202080001")</f>
        <v>7403124202080001</v>
      </c>
      <c r="H53" s="24"/>
      <c r="I53" s="24"/>
      <c r="J53" s="24" t="str">
        <f>IFERROR(__xludf.DUMMYFUNCTION("""COMPUTED_VALUE"""),"PEREMPUAN")</f>
        <v>PEREMPUAN</v>
      </c>
      <c r="K53" s="24" t="str">
        <f>IFERROR(__xludf.DUMMYFUNCTION("""COMPUTED_VALUE"""),"Jl. Wirabuana, Desa Wakorambu")</f>
        <v>Jl. Wirabuana, Desa Wakorambu</v>
      </c>
      <c r="L53" s="24"/>
      <c r="M53" s="24"/>
      <c r="N53" s="24" t="str">
        <f>IFERROR(__xludf.DUMMYFUNCTION("""COMPUTED_VALUE"""),"SMA / SMK / MA")</f>
        <v>SMA / SMK / MA</v>
      </c>
      <c r="O53" s="24"/>
      <c r="P53" s="24"/>
      <c r="Q53" s="24"/>
      <c r="R53" s="24" t="str">
        <f>IFERROR(__xludf.DUMMYFUNCTION("""COMPUTED_VALUE"""),"K")</f>
        <v>K</v>
      </c>
      <c r="S53" s="25" t="str">
        <f>IFERROR(__xludf.DUMMYFUNCTION("""COMPUTED_VALUE"""),"Selesai")</f>
        <v>Selesai</v>
      </c>
    </row>
    <row r="54" ht="22.5" customHeight="1">
      <c r="A54" s="22">
        <v>53.0</v>
      </c>
      <c r="B54" s="24" t="str">
        <f>IFERROR(__xludf.DUMMYFUNCTION("""COMPUTED_VALUE"""),"Menjahit Pakaian Wanita Dewasa")</f>
        <v>Menjahit Pakaian Wanita Dewasa</v>
      </c>
      <c r="C54" s="24" t="str">
        <f>IFERROR(__xludf.DUMMYFUNCTION("""COMPUTED_VALUE"""),"SMK Negeri 3 Muna")</f>
        <v>SMK Negeri 3 Muna</v>
      </c>
      <c r="D54" s="24"/>
      <c r="E54" s="24"/>
      <c r="F54" s="24" t="str">
        <f>IFERROR(__xludf.DUMMYFUNCTION("""COMPUTED_VALUE"""),"DITA WATI")</f>
        <v>DITA WATI</v>
      </c>
      <c r="G54" s="24" t="str">
        <f>IFERROR(__xludf.DUMMYFUNCTION("""COMPUTED_VALUE"""),"7403147003070201")</f>
        <v>7403147003070201</v>
      </c>
      <c r="H54" s="24"/>
      <c r="I54" s="24"/>
      <c r="J54" s="24" t="str">
        <f>IFERROR(__xludf.DUMMYFUNCTION("""COMPUTED_VALUE"""),"PEREMPUAN")</f>
        <v>PEREMPUAN</v>
      </c>
      <c r="K54" s="24" t="str">
        <f>IFERROR(__xludf.DUMMYFUNCTION("""COMPUTED_VALUE"""),"Desa Bangkaii")</f>
        <v>Desa Bangkaii</v>
      </c>
      <c r="L54" s="24"/>
      <c r="M54" s="24"/>
      <c r="N54" s="24" t="str">
        <f>IFERROR(__xludf.DUMMYFUNCTION("""COMPUTED_VALUE"""),"SMA / SMK / MA")</f>
        <v>SMA / SMK / MA</v>
      </c>
      <c r="O54" s="24"/>
      <c r="P54" s="24"/>
      <c r="Q54" s="24"/>
      <c r="R54" s="24" t="str">
        <f>IFERROR(__xludf.DUMMYFUNCTION("""COMPUTED_VALUE"""),"K")</f>
        <v>K</v>
      </c>
      <c r="S54" s="25" t="str">
        <f>IFERROR(__xludf.DUMMYFUNCTION("""COMPUTED_VALUE"""),"Selesai")</f>
        <v>Selesai</v>
      </c>
    </row>
    <row r="55" ht="22.5" customHeight="1">
      <c r="A55" s="22">
        <v>54.0</v>
      </c>
      <c r="B55" s="24" t="str">
        <f>IFERROR(__xludf.DUMMYFUNCTION("""COMPUTED_VALUE"""),"Menjahit Pakaian Wanita Dewasa")</f>
        <v>Menjahit Pakaian Wanita Dewasa</v>
      </c>
      <c r="C55" s="24" t="str">
        <f>IFERROR(__xludf.DUMMYFUNCTION("""COMPUTED_VALUE"""),"SMK Negeri 3 Muna")</f>
        <v>SMK Negeri 3 Muna</v>
      </c>
      <c r="D55" s="24"/>
      <c r="E55" s="24"/>
      <c r="F55" s="24" t="str">
        <f>IFERROR(__xludf.DUMMYFUNCTION("""COMPUTED_VALUE"""),"DHODI  PRADITA")</f>
        <v>DHODI  PRADITA</v>
      </c>
      <c r="G55" s="24" t="str">
        <f>IFERROR(__xludf.DUMMYFUNCTION("""COMPUTED_VALUE"""),"7403161405080003")</f>
        <v>7403161405080003</v>
      </c>
      <c r="H55" s="24"/>
      <c r="I55" s="24"/>
      <c r="J55" s="24" t="str">
        <f>IFERROR(__xludf.DUMMYFUNCTION("""COMPUTED_VALUE"""),"LAKI-LAKI")</f>
        <v>LAKI-LAKI</v>
      </c>
      <c r="K55" s="24" t="str">
        <f>IFERROR(__xludf.DUMMYFUNCTION("""COMPUTED_VALUE"""),"Jl. Tengiri Kel. Wamponiki")</f>
        <v>Jl. Tengiri Kel. Wamponiki</v>
      </c>
      <c r="L55" s="24"/>
      <c r="M55" s="24"/>
      <c r="N55" s="24" t="str">
        <f>IFERROR(__xludf.DUMMYFUNCTION("""COMPUTED_VALUE"""),"SMA / SMK / MA")</f>
        <v>SMA / SMK / MA</v>
      </c>
      <c r="O55" s="24"/>
      <c r="P55" s="24"/>
      <c r="Q55" s="24"/>
      <c r="R55" s="24" t="str">
        <f>IFERROR(__xludf.DUMMYFUNCTION("""COMPUTED_VALUE"""),"K")</f>
        <v>K</v>
      </c>
      <c r="S55" s="25" t="str">
        <f>IFERROR(__xludf.DUMMYFUNCTION("""COMPUTED_VALUE"""),"Selesai")</f>
        <v>Selesai</v>
      </c>
    </row>
    <row r="56" ht="22.5" customHeight="1">
      <c r="A56" s="22">
        <v>55.0</v>
      </c>
      <c r="B56" s="24" t="str">
        <f>IFERROR(__xludf.DUMMYFUNCTION("""COMPUTED_VALUE"""),"Menjahit Pakaian Wanita Dewasa")</f>
        <v>Menjahit Pakaian Wanita Dewasa</v>
      </c>
      <c r="C56" s="24" t="str">
        <f>IFERROR(__xludf.DUMMYFUNCTION("""COMPUTED_VALUE"""),"SMK Negeri 3 Muna")</f>
        <v>SMK Negeri 3 Muna</v>
      </c>
      <c r="D56" s="24"/>
      <c r="E56" s="24"/>
      <c r="F56" s="24" t="str">
        <f>IFERROR(__xludf.DUMMYFUNCTION("""COMPUTED_VALUE"""),"ELIN")</f>
        <v>ELIN</v>
      </c>
      <c r="G56" s="24" t="str">
        <f>IFERROR(__xludf.DUMMYFUNCTION("""COMPUTED_VALUE"""),"7403184311080002")</f>
        <v>7403184311080002</v>
      </c>
      <c r="H56" s="24"/>
      <c r="I56" s="24"/>
      <c r="J56" s="24" t="str">
        <f>IFERROR(__xludf.DUMMYFUNCTION("""COMPUTED_VALUE"""),"PEREMPUAN")</f>
        <v>PEREMPUAN</v>
      </c>
      <c r="K56" s="24" t="str">
        <f>IFERROR(__xludf.DUMMYFUNCTION("""COMPUTED_VALUE"""),"Desa Loghiya")</f>
        <v>Desa Loghiya</v>
      </c>
      <c r="L56" s="24"/>
      <c r="M56" s="24"/>
      <c r="N56" s="24" t="str">
        <f>IFERROR(__xludf.DUMMYFUNCTION("""COMPUTED_VALUE"""),"SMA / SMK / MA")</f>
        <v>SMA / SMK / MA</v>
      </c>
      <c r="O56" s="24"/>
      <c r="P56" s="24"/>
      <c r="Q56" s="24"/>
      <c r="R56" s="24" t="str">
        <f>IFERROR(__xludf.DUMMYFUNCTION("""COMPUTED_VALUE"""),"K")</f>
        <v>K</v>
      </c>
      <c r="S56" s="25" t="str">
        <f>IFERROR(__xludf.DUMMYFUNCTION("""COMPUTED_VALUE"""),"Selesai")</f>
        <v>Selesai</v>
      </c>
    </row>
    <row r="57" ht="22.5" customHeight="1">
      <c r="A57" s="22">
        <v>56.0</v>
      </c>
      <c r="B57" s="24" t="str">
        <f>IFERROR(__xludf.DUMMYFUNCTION("""COMPUTED_VALUE"""),"Menjahit Pakaian Wanita Dewasa")</f>
        <v>Menjahit Pakaian Wanita Dewasa</v>
      </c>
      <c r="C57" s="24" t="str">
        <f>IFERROR(__xludf.DUMMYFUNCTION("""COMPUTED_VALUE"""),"SMK Negeri 3 Muna")</f>
        <v>SMK Negeri 3 Muna</v>
      </c>
      <c r="D57" s="24"/>
      <c r="E57" s="24"/>
      <c r="F57" s="24" t="str">
        <f>IFERROR(__xludf.DUMMYFUNCTION("""COMPUTED_VALUE"""),"FIKA")</f>
        <v>FIKA</v>
      </c>
      <c r="G57" s="24" t="str">
        <f>IFERROR(__xludf.DUMMYFUNCTION("""COMPUTED_VALUE"""),"7403144107070223")</f>
        <v>7403144107070223</v>
      </c>
      <c r="H57" s="24"/>
      <c r="I57" s="24"/>
      <c r="J57" s="24" t="str">
        <f>IFERROR(__xludf.DUMMYFUNCTION("""COMPUTED_VALUE"""),"PEREMPUAN")</f>
        <v>PEREMPUAN</v>
      </c>
      <c r="K57" s="24" t="str">
        <f>IFERROR(__xludf.DUMMYFUNCTION("""COMPUTED_VALUE"""),"Desa Bangkali")</f>
        <v>Desa Bangkali</v>
      </c>
      <c r="L57" s="24"/>
      <c r="M57" s="24"/>
      <c r="N57" s="24" t="str">
        <f>IFERROR(__xludf.DUMMYFUNCTION("""COMPUTED_VALUE"""),"SMA / SMK / MA")</f>
        <v>SMA / SMK / MA</v>
      </c>
      <c r="O57" s="24"/>
      <c r="P57" s="24"/>
      <c r="Q57" s="24"/>
      <c r="R57" s="24" t="str">
        <f>IFERROR(__xludf.DUMMYFUNCTION("""COMPUTED_VALUE"""),"K")</f>
        <v>K</v>
      </c>
      <c r="S57" s="25" t="str">
        <f>IFERROR(__xludf.DUMMYFUNCTION("""COMPUTED_VALUE"""),"Selesai")</f>
        <v>Selesai</v>
      </c>
    </row>
    <row r="58" ht="22.5" customHeight="1">
      <c r="A58" s="22">
        <v>57.0</v>
      </c>
      <c r="B58" s="24" t="str">
        <f>IFERROR(__xludf.DUMMYFUNCTION("""COMPUTED_VALUE"""),"Menjahit Pakaian Wanita Dewasa")</f>
        <v>Menjahit Pakaian Wanita Dewasa</v>
      </c>
      <c r="C58" s="24" t="str">
        <f>IFERROR(__xludf.DUMMYFUNCTION("""COMPUTED_VALUE"""),"SMK Negeri 3 Muna")</f>
        <v>SMK Negeri 3 Muna</v>
      </c>
      <c r="D58" s="24"/>
      <c r="E58" s="24"/>
      <c r="F58" s="24" t="str">
        <f>IFERROR(__xludf.DUMMYFUNCTION("""COMPUTED_VALUE"""),"HENI  SAPUTRI")</f>
        <v>HENI  SAPUTRI</v>
      </c>
      <c r="G58" s="24" t="str">
        <f>IFERROR(__xludf.DUMMYFUNCTION("""COMPUTED_VALUE"""),"7403156807080001")</f>
        <v>7403156807080001</v>
      </c>
      <c r="H58" s="24"/>
      <c r="I58" s="24"/>
      <c r="J58" s="24" t="str">
        <f>IFERROR(__xludf.DUMMYFUNCTION("""COMPUTED_VALUE"""),"PEREMPUAN")</f>
        <v>PEREMPUAN</v>
      </c>
      <c r="K58" s="24" t="str">
        <f>IFERROR(__xludf.DUMMYFUNCTION("""COMPUTED_VALUE"""),"jalan Made Sabara")</f>
        <v>jalan Made Sabara</v>
      </c>
      <c r="L58" s="24"/>
      <c r="M58" s="24"/>
      <c r="N58" s="24" t="str">
        <f>IFERROR(__xludf.DUMMYFUNCTION("""COMPUTED_VALUE"""),"SMA / SMK / MA")</f>
        <v>SMA / SMK / MA</v>
      </c>
      <c r="O58" s="24"/>
      <c r="P58" s="24"/>
      <c r="Q58" s="24"/>
      <c r="R58" s="24" t="str">
        <f>IFERROR(__xludf.DUMMYFUNCTION("""COMPUTED_VALUE"""),"K")</f>
        <v>K</v>
      </c>
      <c r="S58" s="25" t="str">
        <f>IFERROR(__xludf.DUMMYFUNCTION("""COMPUTED_VALUE"""),"Selesai")</f>
        <v>Selesai</v>
      </c>
    </row>
    <row r="59" ht="22.5" customHeight="1">
      <c r="A59" s="22">
        <v>58.0</v>
      </c>
      <c r="B59" s="24" t="str">
        <f>IFERROR(__xludf.DUMMYFUNCTION("""COMPUTED_VALUE"""),"Menjahit Pakaian Wanita Dewasa")</f>
        <v>Menjahit Pakaian Wanita Dewasa</v>
      </c>
      <c r="C59" s="24" t="str">
        <f>IFERROR(__xludf.DUMMYFUNCTION("""COMPUTED_VALUE"""),"SMK Negeri 3 Muna")</f>
        <v>SMK Negeri 3 Muna</v>
      </c>
      <c r="D59" s="24"/>
      <c r="E59" s="24"/>
      <c r="F59" s="24" t="str">
        <f>IFERROR(__xludf.DUMMYFUNCTION("""COMPUTED_VALUE"""),"HIKMA  WATI")</f>
        <v>HIKMA  WATI</v>
      </c>
      <c r="G59" s="24" t="str">
        <f>IFERROR(__xludf.DUMMYFUNCTION("""COMPUTED_VALUE"""),"7403156308090001")</f>
        <v>7403156308090001</v>
      </c>
      <c r="H59" s="24"/>
      <c r="I59" s="24"/>
      <c r="J59" s="24" t="str">
        <f>IFERROR(__xludf.DUMMYFUNCTION("""COMPUTED_VALUE"""),"PEREMPUAN")</f>
        <v>PEREMPUAN</v>
      </c>
      <c r="K59" s="24" t="str">
        <f>IFERROR(__xludf.DUMMYFUNCTION("""COMPUTED_VALUE"""),"Jl. Wirabuana, Desa Wawesa")</f>
        <v>Jl. Wirabuana, Desa Wawesa</v>
      </c>
      <c r="L59" s="24"/>
      <c r="M59" s="24"/>
      <c r="N59" s="24" t="str">
        <f>IFERROR(__xludf.DUMMYFUNCTION("""COMPUTED_VALUE"""),"SMA / SMK / MA")</f>
        <v>SMA / SMK / MA</v>
      </c>
      <c r="O59" s="24"/>
      <c r="P59" s="24"/>
      <c r="Q59" s="24"/>
      <c r="R59" s="24" t="str">
        <f>IFERROR(__xludf.DUMMYFUNCTION("""COMPUTED_VALUE"""),"K")</f>
        <v>K</v>
      </c>
      <c r="S59" s="25" t="str">
        <f>IFERROR(__xludf.DUMMYFUNCTION("""COMPUTED_VALUE"""),"Selesai")</f>
        <v>Selesai</v>
      </c>
    </row>
    <row r="60" ht="22.5" customHeight="1">
      <c r="A60" s="22">
        <v>59.0</v>
      </c>
      <c r="B60" s="24" t="str">
        <f>IFERROR(__xludf.DUMMYFUNCTION("""COMPUTED_VALUE"""),"Menjahit Pakaian Wanita Dewasa")</f>
        <v>Menjahit Pakaian Wanita Dewasa</v>
      </c>
      <c r="C60" s="24" t="str">
        <f>IFERROR(__xludf.DUMMYFUNCTION("""COMPUTED_VALUE"""),"SMK Negeri 3 Muna")</f>
        <v>SMK Negeri 3 Muna</v>
      </c>
      <c r="D60" s="24"/>
      <c r="E60" s="24"/>
      <c r="F60" s="24" t="str">
        <f>IFERROR(__xludf.DUMMYFUNCTION("""COMPUTED_VALUE"""),"INDAH")</f>
        <v>INDAH</v>
      </c>
      <c r="G60" s="24" t="str">
        <f>IFERROR(__xludf.DUMMYFUNCTION("""COMPUTED_VALUE"""),"7403287101090001")</f>
        <v>7403287101090001</v>
      </c>
      <c r="H60" s="24"/>
      <c r="I60" s="24"/>
      <c r="J60" s="24" t="str">
        <f>IFERROR(__xludf.DUMMYFUNCTION("""COMPUTED_VALUE"""),"PEREMPUAN")</f>
        <v>PEREMPUAN</v>
      </c>
      <c r="K60" s="24" t="str">
        <f>IFERROR(__xludf.DUMMYFUNCTION("""COMPUTED_VALUE"""),"Jalan Lumba-Lumba Lorong Sinarlas ")</f>
        <v>Jalan Lumba-Lumba Lorong Sinarlas </v>
      </c>
      <c r="L60" s="24"/>
      <c r="M60" s="24"/>
      <c r="N60" s="24" t="str">
        <f>IFERROR(__xludf.DUMMYFUNCTION("""COMPUTED_VALUE"""),"SMA / SMK / MA")</f>
        <v>SMA / SMK / MA</v>
      </c>
      <c r="O60" s="24"/>
      <c r="P60" s="24"/>
      <c r="Q60" s="24"/>
      <c r="R60" s="24" t="str">
        <f>IFERROR(__xludf.DUMMYFUNCTION("""COMPUTED_VALUE"""),"K")</f>
        <v>K</v>
      </c>
      <c r="S60" s="25" t="str">
        <f>IFERROR(__xludf.DUMMYFUNCTION("""COMPUTED_VALUE"""),"Selesai")</f>
        <v>Selesai</v>
      </c>
    </row>
    <row r="61" ht="22.5" customHeight="1">
      <c r="A61" s="22">
        <v>60.0</v>
      </c>
      <c r="B61" s="24" t="str">
        <f>IFERROR(__xludf.DUMMYFUNCTION("""COMPUTED_VALUE"""),"Menjahit Pakaian Wanita Dewasa")</f>
        <v>Menjahit Pakaian Wanita Dewasa</v>
      </c>
      <c r="C61" s="24" t="str">
        <f>IFERROR(__xludf.DUMMYFUNCTION("""COMPUTED_VALUE"""),"SMK Negeri 3 Muna")</f>
        <v>SMK Negeri 3 Muna</v>
      </c>
      <c r="D61" s="24"/>
      <c r="E61" s="24"/>
      <c r="F61" s="24" t="str">
        <f>IFERROR(__xludf.DUMMYFUNCTION("""COMPUTED_VALUE"""),"IZAT")</f>
        <v>IZAT</v>
      </c>
      <c r="G61" s="24" t="str">
        <f>IFERROR(__xludf.DUMMYFUNCTION("""COMPUTED_VALUE"""),"7403163112080001")</f>
        <v>7403163112080001</v>
      </c>
      <c r="H61" s="24"/>
      <c r="I61" s="24"/>
      <c r="J61" s="24" t="str">
        <f>IFERROR(__xludf.DUMMYFUNCTION("""COMPUTED_VALUE"""),"LAKI-LAKI")</f>
        <v>LAKI-LAKI</v>
      </c>
      <c r="K61" s="24" t="str">
        <f>IFERROR(__xludf.DUMMYFUNCTION("""COMPUTED_VALUE"""),"Jl. Madesabara")</f>
        <v>Jl. Madesabara</v>
      </c>
      <c r="L61" s="24"/>
      <c r="M61" s="24"/>
      <c r="N61" s="24" t="str">
        <f>IFERROR(__xludf.DUMMYFUNCTION("""COMPUTED_VALUE"""),"SMA / SMK / MA")</f>
        <v>SMA / SMK / MA</v>
      </c>
      <c r="O61" s="24"/>
      <c r="P61" s="24"/>
      <c r="Q61" s="24"/>
      <c r="R61" s="24" t="str">
        <f>IFERROR(__xludf.DUMMYFUNCTION("""COMPUTED_VALUE"""),"K")</f>
        <v>K</v>
      </c>
      <c r="S61" s="25" t="str">
        <f>IFERROR(__xludf.DUMMYFUNCTION("""COMPUTED_VALUE"""),"Selesai")</f>
        <v>Selesai</v>
      </c>
    </row>
    <row r="62" ht="22.5" customHeight="1">
      <c r="A62" s="22">
        <v>61.0</v>
      </c>
      <c r="B62" s="24" t="str">
        <f>IFERROR(__xludf.DUMMYFUNCTION("""COMPUTED_VALUE"""),"Menjahit Pakaian Wanita Dewasa")</f>
        <v>Menjahit Pakaian Wanita Dewasa</v>
      </c>
      <c r="C62" s="24" t="str">
        <f>IFERROR(__xludf.DUMMYFUNCTION("""COMPUTED_VALUE"""),"SMK Negeri 3 Muna")</f>
        <v>SMK Negeri 3 Muna</v>
      </c>
      <c r="D62" s="24"/>
      <c r="E62" s="24"/>
      <c r="F62" s="24" t="str">
        <f>IFERROR(__xludf.DUMMYFUNCTION("""COMPUTED_VALUE"""),"JENI PRISCILIA NATALIA SAKALAU")</f>
        <v>JENI PRISCILIA NATALIA SAKALAU</v>
      </c>
      <c r="G62" s="24" t="str">
        <f>IFERROR(__xludf.DUMMYFUNCTION("""COMPUTED_VALUE"""),"7403175501080001")</f>
        <v>7403175501080001</v>
      </c>
      <c r="H62" s="24"/>
      <c r="I62" s="24"/>
      <c r="J62" s="24" t="str">
        <f>IFERROR(__xludf.DUMMYFUNCTION("""COMPUTED_VALUE"""),"PEREMPUAN")</f>
        <v>PEREMPUAN</v>
      </c>
      <c r="K62" s="24" t="str">
        <f>IFERROR(__xludf.DUMMYFUNCTION("""COMPUTED_VALUE"""),"Ghone Balano")</f>
        <v>Ghone Balano</v>
      </c>
      <c r="L62" s="24"/>
      <c r="M62" s="24"/>
      <c r="N62" s="24" t="str">
        <f>IFERROR(__xludf.DUMMYFUNCTION("""COMPUTED_VALUE"""),"SMA / SMK / MA")</f>
        <v>SMA / SMK / MA</v>
      </c>
      <c r="O62" s="24"/>
      <c r="P62" s="24"/>
      <c r="Q62" s="24"/>
      <c r="R62" s="24" t="str">
        <f>IFERROR(__xludf.DUMMYFUNCTION("""COMPUTED_VALUE"""),"K")</f>
        <v>K</v>
      </c>
      <c r="S62" s="25" t="str">
        <f>IFERROR(__xludf.DUMMYFUNCTION("""COMPUTED_VALUE"""),"Selesai")</f>
        <v>Selesai</v>
      </c>
    </row>
    <row r="63" ht="22.5" customHeight="1">
      <c r="A63" s="22">
        <v>62.0</v>
      </c>
      <c r="B63" s="24" t="str">
        <f>IFERROR(__xludf.DUMMYFUNCTION("""COMPUTED_VALUE"""),"Menjahit Pakaian Wanita Dewasa")</f>
        <v>Menjahit Pakaian Wanita Dewasa</v>
      </c>
      <c r="C63" s="24" t="str">
        <f>IFERROR(__xludf.DUMMYFUNCTION("""COMPUTED_VALUE"""),"SMK Negeri 3 Muna")</f>
        <v>SMK Negeri 3 Muna</v>
      </c>
      <c r="D63" s="24"/>
      <c r="E63" s="24"/>
      <c r="F63" s="24" t="str">
        <f>IFERROR(__xludf.DUMMYFUNCTION("""COMPUTED_VALUE"""),"MARIANA")</f>
        <v>MARIANA</v>
      </c>
      <c r="G63" s="24" t="str">
        <f>IFERROR(__xludf.DUMMYFUNCTION("""COMPUTED_VALUE"""),"7403096703070001")</f>
        <v>7403096703070001</v>
      </c>
      <c r="H63" s="24"/>
      <c r="I63" s="24"/>
      <c r="J63" s="24" t="str">
        <f>IFERROR(__xludf.DUMMYFUNCTION("""COMPUTED_VALUE"""),"PEREMPUAN")</f>
        <v>PEREMPUAN</v>
      </c>
      <c r="K63" s="24" t="str">
        <f>IFERROR(__xludf.DUMMYFUNCTION("""COMPUTED_VALUE"""),"Desa Kombogo")</f>
        <v>Desa Kombogo</v>
      </c>
      <c r="L63" s="24"/>
      <c r="M63" s="24"/>
      <c r="N63" s="24" t="str">
        <f>IFERROR(__xludf.DUMMYFUNCTION("""COMPUTED_VALUE"""),"SMA / SMK / MA")</f>
        <v>SMA / SMK / MA</v>
      </c>
      <c r="O63" s="24"/>
      <c r="P63" s="24"/>
      <c r="Q63" s="24"/>
      <c r="R63" s="24" t="str">
        <f>IFERROR(__xludf.DUMMYFUNCTION("""COMPUTED_VALUE"""),"K")</f>
        <v>K</v>
      </c>
      <c r="S63" s="25" t="str">
        <f>IFERROR(__xludf.DUMMYFUNCTION("""COMPUTED_VALUE"""),"Selesai")</f>
        <v>Selesai</v>
      </c>
    </row>
    <row r="64" ht="22.5" customHeight="1">
      <c r="A64" s="22">
        <v>63.0</v>
      </c>
      <c r="B64" s="24" t="str">
        <f>IFERROR(__xludf.DUMMYFUNCTION("""COMPUTED_VALUE"""),"Menjahit Pakaian Wanita Dewasa")</f>
        <v>Menjahit Pakaian Wanita Dewasa</v>
      </c>
      <c r="C64" s="24" t="str">
        <f>IFERROR(__xludf.DUMMYFUNCTION("""COMPUTED_VALUE"""),"SMK Negeri 3 Muna")</f>
        <v>SMK Negeri 3 Muna</v>
      </c>
      <c r="D64" s="24"/>
      <c r="E64" s="24"/>
      <c r="F64" s="24" t="str">
        <f>IFERROR(__xludf.DUMMYFUNCTION("""COMPUTED_VALUE"""),"MARSELLA")</f>
        <v>MARSELLA</v>
      </c>
      <c r="G64" s="24" t="str">
        <f>IFERROR(__xludf.DUMMYFUNCTION("""COMPUTED_VALUE"""),"7403185808080001")</f>
        <v>7403185808080001</v>
      </c>
      <c r="H64" s="24"/>
      <c r="I64" s="24"/>
      <c r="J64" s="24" t="str">
        <f>IFERROR(__xludf.DUMMYFUNCTION("""COMPUTED_VALUE"""),"PEREMPUAN")</f>
        <v>PEREMPUAN</v>
      </c>
      <c r="K64" s="24" t="str">
        <f>IFERROR(__xludf.DUMMYFUNCTION("""COMPUTED_VALUE"""),"Desa Mabulo")</f>
        <v>Desa Mabulo</v>
      </c>
      <c r="L64" s="24"/>
      <c r="M64" s="24"/>
      <c r="N64" s="24" t="str">
        <f>IFERROR(__xludf.DUMMYFUNCTION("""COMPUTED_VALUE"""),"SMA / SMK / MA")</f>
        <v>SMA / SMK / MA</v>
      </c>
      <c r="O64" s="24"/>
      <c r="P64" s="24"/>
      <c r="Q64" s="24"/>
      <c r="R64" s="24" t="str">
        <f>IFERROR(__xludf.DUMMYFUNCTION("""COMPUTED_VALUE"""),"K")</f>
        <v>K</v>
      </c>
      <c r="S64" s="25" t="str">
        <f>IFERROR(__xludf.DUMMYFUNCTION("""COMPUTED_VALUE"""),"Selesai")</f>
        <v>Selesai</v>
      </c>
    </row>
    <row r="65" ht="22.5" customHeight="1">
      <c r="A65" s="22">
        <v>64.0</v>
      </c>
      <c r="B65" s="24" t="str">
        <f>IFERROR(__xludf.DUMMYFUNCTION("""COMPUTED_VALUE"""),"Menjahit Pakaian Wanita Dewasa")</f>
        <v>Menjahit Pakaian Wanita Dewasa</v>
      </c>
      <c r="C65" s="24" t="str">
        <f>IFERROR(__xludf.DUMMYFUNCTION("""COMPUTED_VALUE"""),"SMK Negeri 3 Muna")</f>
        <v>SMK Negeri 3 Muna</v>
      </c>
      <c r="D65" s="24"/>
      <c r="E65" s="24"/>
      <c r="F65" s="24" t="str">
        <f>IFERROR(__xludf.DUMMYFUNCTION("""COMPUTED_VALUE"""),"MARSI")</f>
        <v>MARSI</v>
      </c>
      <c r="G65" s="24" t="str">
        <f>IFERROR(__xludf.DUMMYFUNCTION("""COMPUTED_VALUE"""),"7403064208070201")</f>
        <v>7403064208070201</v>
      </c>
      <c r="H65" s="24"/>
      <c r="I65" s="24"/>
      <c r="J65" s="24" t="str">
        <f>IFERROR(__xludf.DUMMYFUNCTION("""COMPUTED_VALUE"""),"PEREMPUAN")</f>
        <v>PEREMPUAN</v>
      </c>
      <c r="K65" s="24" t="str">
        <f>IFERROR(__xludf.DUMMYFUNCTION("""COMPUTED_VALUE"""),"Desa Lambiku")</f>
        <v>Desa Lambiku</v>
      </c>
      <c r="L65" s="24"/>
      <c r="M65" s="24"/>
      <c r="N65" s="24" t="str">
        <f>IFERROR(__xludf.DUMMYFUNCTION("""COMPUTED_VALUE"""),"SMA / SMK / MA")</f>
        <v>SMA / SMK / MA</v>
      </c>
      <c r="O65" s="24"/>
      <c r="P65" s="24"/>
      <c r="Q65" s="24"/>
      <c r="R65" s="24" t="str">
        <f>IFERROR(__xludf.DUMMYFUNCTION("""COMPUTED_VALUE"""),"K")</f>
        <v>K</v>
      </c>
      <c r="S65" s="25" t="str">
        <f>IFERROR(__xludf.DUMMYFUNCTION("""COMPUTED_VALUE"""),"Selesai")</f>
        <v>Selesai</v>
      </c>
    </row>
    <row r="66" ht="22.5" customHeight="1">
      <c r="A66" s="22">
        <v>65.0</v>
      </c>
      <c r="B66" s="24" t="str">
        <f>IFERROR(__xludf.DUMMYFUNCTION("""COMPUTED_VALUE"""),"Menjahit Pakaian Wanita Dewasa")</f>
        <v>Menjahit Pakaian Wanita Dewasa</v>
      </c>
      <c r="C66" s="24" t="str">
        <f>IFERROR(__xludf.DUMMYFUNCTION("""COMPUTED_VALUE"""),"SMK Negeri 3 Muna")</f>
        <v>SMK Negeri 3 Muna</v>
      </c>
      <c r="D66" s="24"/>
      <c r="E66" s="24"/>
      <c r="F66" s="24" t="str">
        <f>IFERROR(__xludf.DUMMYFUNCTION("""COMPUTED_VALUE"""),"MARWA ALFARISA")</f>
        <v>MARWA ALFARISA</v>
      </c>
      <c r="G66" s="24" t="str">
        <f>IFERROR(__xludf.DUMMYFUNCTION("""COMPUTED_VALUE"""),"7403147005080001")</f>
        <v>7403147005080001</v>
      </c>
      <c r="H66" s="24"/>
      <c r="I66" s="24"/>
      <c r="J66" s="24" t="str">
        <f>IFERROR(__xludf.DUMMYFUNCTION("""COMPUTED_VALUE"""),"PEREMPUAN")</f>
        <v>PEREMPUAN</v>
      </c>
      <c r="K66" s="24" t="str">
        <f>IFERROR(__xludf.DUMMYFUNCTION("""COMPUTED_VALUE"""),"Desa Bangunsari")</f>
        <v>Desa Bangunsari</v>
      </c>
      <c r="L66" s="24"/>
      <c r="M66" s="24"/>
      <c r="N66" s="24" t="str">
        <f>IFERROR(__xludf.DUMMYFUNCTION("""COMPUTED_VALUE"""),"SMA / SMK / MA")</f>
        <v>SMA / SMK / MA</v>
      </c>
      <c r="O66" s="24"/>
      <c r="P66" s="24"/>
      <c r="Q66" s="24"/>
      <c r="R66" s="24" t="str">
        <f>IFERROR(__xludf.DUMMYFUNCTION("""COMPUTED_VALUE"""),"K")</f>
        <v>K</v>
      </c>
      <c r="S66" s="25" t="str">
        <f>IFERROR(__xludf.DUMMYFUNCTION("""COMPUTED_VALUE"""),"Selesai")</f>
        <v>Selesai</v>
      </c>
    </row>
    <row r="67" ht="22.5" customHeight="1">
      <c r="A67" s="22">
        <v>66.0</v>
      </c>
      <c r="B67" s="24" t="str">
        <f>IFERROR(__xludf.DUMMYFUNCTION("""COMPUTED_VALUE"""),"Menjahit Pakaian Wanita Dewasa")</f>
        <v>Menjahit Pakaian Wanita Dewasa</v>
      </c>
      <c r="C67" s="24" t="str">
        <f>IFERROR(__xludf.DUMMYFUNCTION("""COMPUTED_VALUE"""),"SMK Negeri 3 Muna")</f>
        <v>SMK Negeri 3 Muna</v>
      </c>
      <c r="D67" s="24"/>
      <c r="E67" s="24"/>
      <c r="F67" s="24" t="str">
        <f>IFERROR(__xludf.DUMMYFUNCTION("""COMPUTED_VALUE"""),"MAWAR FADILAH")</f>
        <v>MAWAR FADILAH</v>
      </c>
      <c r="G67" s="24" t="str">
        <f>IFERROR(__xludf.DUMMYFUNCTION("""COMPUTED_VALUE"""),"7403184902080001")</f>
        <v>7403184902080001</v>
      </c>
      <c r="H67" s="24"/>
      <c r="I67" s="24"/>
      <c r="J67" s="24" t="str">
        <f>IFERROR(__xludf.DUMMYFUNCTION("""COMPUTED_VALUE"""),"PEREMPUAN")</f>
        <v>PEREMPUAN</v>
      </c>
      <c r="K67" s="24" t="str">
        <f>IFERROR(__xludf.DUMMYFUNCTION("""COMPUTED_VALUE"""),"Desa Mabolu")</f>
        <v>Desa Mabolu</v>
      </c>
      <c r="L67" s="24"/>
      <c r="M67" s="24"/>
      <c r="N67" s="24" t="str">
        <f>IFERROR(__xludf.DUMMYFUNCTION("""COMPUTED_VALUE"""),"SMA / SMK / MA")</f>
        <v>SMA / SMK / MA</v>
      </c>
      <c r="O67" s="24"/>
      <c r="P67" s="24"/>
      <c r="Q67" s="24"/>
      <c r="R67" s="24" t="str">
        <f>IFERROR(__xludf.DUMMYFUNCTION("""COMPUTED_VALUE"""),"K")</f>
        <v>K</v>
      </c>
      <c r="S67" s="25" t="str">
        <f>IFERROR(__xludf.DUMMYFUNCTION("""COMPUTED_VALUE"""),"Selesai")</f>
        <v>Selesai</v>
      </c>
    </row>
    <row r="68" ht="22.5" customHeight="1">
      <c r="A68" s="22">
        <v>67.0</v>
      </c>
      <c r="B68" s="24" t="str">
        <f>IFERROR(__xludf.DUMMYFUNCTION("""COMPUTED_VALUE"""),"Menjahit Pakaian Wanita Dewasa")</f>
        <v>Menjahit Pakaian Wanita Dewasa</v>
      </c>
      <c r="C68" s="24" t="str">
        <f>IFERROR(__xludf.DUMMYFUNCTION("""COMPUTED_VALUE"""),"SMK Negeri 3 Muna")</f>
        <v>SMK Negeri 3 Muna</v>
      </c>
      <c r="D68" s="24"/>
      <c r="E68" s="24"/>
      <c r="F68" s="24" t="str">
        <f>IFERROR(__xludf.DUMMYFUNCTION("""COMPUTED_VALUE"""),"MELANI")</f>
        <v>MELANI</v>
      </c>
      <c r="G68" s="24" t="str">
        <f>IFERROR(__xludf.DUMMYFUNCTION("""COMPUTED_VALUE"""),"7403154404080001")</f>
        <v>7403154404080001</v>
      </c>
      <c r="H68" s="24"/>
      <c r="I68" s="24"/>
      <c r="J68" s="24" t="str">
        <f>IFERROR(__xludf.DUMMYFUNCTION("""COMPUTED_VALUE"""),"PEREMPUAN")</f>
        <v>PEREMPUAN</v>
      </c>
      <c r="K68" s="24" t="str">
        <f>IFERROR(__xludf.DUMMYFUNCTION("""COMPUTED_VALUE"""),"Jalan Lumba-Lumba")</f>
        <v>Jalan Lumba-Lumba</v>
      </c>
      <c r="L68" s="24"/>
      <c r="M68" s="24"/>
      <c r="N68" s="24" t="str">
        <f>IFERROR(__xludf.DUMMYFUNCTION("""COMPUTED_VALUE"""),"SMA / SMK / MA")</f>
        <v>SMA / SMK / MA</v>
      </c>
      <c r="O68" s="24"/>
      <c r="P68" s="24"/>
      <c r="Q68" s="24"/>
      <c r="R68" s="24" t="str">
        <f>IFERROR(__xludf.DUMMYFUNCTION("""COMPUTED_VALUE"""),"K")</f>
        <v>K</v>
      </c>
      <c r="S68" s="25" t="str">
        <f>IFERROR(__xludf.DUMMYFUNCTION("""COMPUTED_VALUE"""),"Selesai")</f>
        <v>Selesai</v>
      </c>
    </row>
    <row r="69" ht="22.5" customHeight="1">
      <c r="A69" s="22">
        <v>68.0</v>
      </c>
      <c r="B69" s="24" t="str">
        <f>IFERROR(__xludf.DUMMYFUNCTION("""COMPUTED_VALUE"""),"Menjahit Pakaian Wanita Dewasa")</f>
        <v>Menjahit Pakaian Wanita Dewasa</v>
      </c>
      <c r="C69" s="24" t="str">
        <f>IFERROR(__xludf.DUMMYFUNCTION("""COMPUTED_VALUE"""),"SMK Negeri 3 Muna")</f>
        <v>SMK Negeri 3 Muna</v>
      </c>
      <c r="D69" s="24"/>
      <c r="E69" s="24"/>
      <c r="F69" s="24" t="str">
        <f>IFERROR(__xludf.DUMMYFUNCTION("""COMPUTED_VALUE"""),"MULIANI")</f>
        <v>MULIANI</v>
      </c>
      <c r="G69" s="24" t="str">
        <f>IFERROR(__xludf.DUMMYFUNCTION("""COMPUTED_VALUE"""),"7403174106080002")</f>
        <v>7403174106080002</v>
      </c>
      <c r="H69" s="24"/>
      <c r="I69" s="24"/>
      <c r="J69" s="24" t="str">
        <f>IFERROR(__xludf.DUMMYFUNCTION("""COMPUTED_VALUE"""),"PEREMPUAN")</f>
        <v>PEREMPUAN</v>
      </c>
      <c r="K69" s="24" t="str">
        <f>IFERROR(__xludf.DUMMYFUNCTION("""COMPUTED_VALUE"""),"Desa Gone Balane")</f>
        <v>Desa Gone Balane</v>
      </c>
      <c r="L69" s="24"/>
      <c r="M69" s="24"/>
      <c r="N69" s="24" t="str">
        <f>IFERROR(__xludf.DUMMYFUNCTION("""COMPUTED_VALUE"""),"SMA / SMK / MA")</f>
        <v>SMA / SMK / MA</v>
      </c>
      <c r="O69" s="24"/>
      <c r="P69" s="24"/>
      <c r="Q69" s="24"/>
      <c r="R69" s="24" t="str">
        <f>IFERROR(__xludf.DUMMYFUNCTION("""COMPUTED_VALUE"""),"K")</f>
        <v>K</v>
      </c>
      <c r="S69" s="25" t="str">
        <f>IFERROR(__xludf.DUMMYFUNCTION("""COMPUTED_VALUE"""),"Selesai")</f>
        <v>Selesai</v>
      </c>
    </row>
    <row r="70" ht="22.5" customHeight="1">
      <c r="A70" s="22">
        <v>69.0</v>
      </c>
      <c r="B70" s="24" t="str">
        <f>IFERROR(__xludf.DUMMYFUNCTION("""COMPUTED_VALUE"""),"Menjahit Pakaian Wanita Dewasa")</f>
        <v>Menjahit Pakaian Wanita Dewasa</v>
      </c>
      <c r="C70" s="24" t="str">
        <f>IFERROR(__xludf.DUMMYFUNCTION("""COMPUTED_VALUE"""),"SMK Negeri 3 Muna")</f>
        <v>SMK Negeri 3 Muna</v>
      </c>
      <c r="D70" s="24"/>
      <c r="E70" s="24"/>
      <c r="F70" s="24" t="str">
        <f>IFERROR(__xludf.DUMMYFUNCTION("""COMPUTED_VALUE"""),"MURATI")</f>
        <v>MURATI</v>
      </c>
      <c r="G70" s="24" t="str">
        <f>IFERROR(__xludf.DUMMYFUNCTION("""COMPUTED_VALUE"""),"7403094707070201")</f>
        <v>7403094707070201</v>
      </c>
      <c r="H70" s="24"/>
      <c r="I70" s="24"/>
      <c r="J70" s="24" t="str">
        <f>IFERROR(__xludf.DUMMYFUNCTION("""COMPUTED_VALUE"""),"PEREMPUAN")</f>
        <v>PEREMPUAN</v>
      </c>
      <c r="K70" s="24" t="str">
        <f>IFERROR(__xludf.DUMMYFUNCTION("""COMPUTED_VALUE"""),"Desa Lasalepa")</f>
        <v>Desa Lasalepa</v>
      </c>
      <c r="L70" s="24"/>
      <c r="M70" s="24"/>
      <c r="N70" s="24" t="str">
        <f>IFERROR(__xludf.DUMMYFUNCTION("""COMPUTED_VALUE"""),"SMA / SMK / MA")</f>
        <v>SMA / SMK / MA</v>
      </c>
      <c r="O70" s="24"/>
      <c r="P70" s="24"/>
      <c r="Q70" s="24"/>
      <c r="R70" s="24" t="str">
        <f>IFERROR(__xludf.DUMMYFUNCTION("""COMPUTED_VALUE"""),"K")</f>
        <v>K</v>
      </c>
      <c r="S70" s="25" t="str">
        <f>IFERROR(__xludf.DUMMYFUNCTION("""COMPUTED_VALUE"""),"Selesai")</f>
        <v>Selesai</v>
      </c>
    </row>
    <row r="71" ht="22.5" customHeight="1">
      <c r="A71" s="22">
        <v>70.0</v>
      </c>
      <c r="B71" s="24" t="str">
        <f>IFERROR(__xludf.DUMMYFUNCTION("""COMPUTED_VALUE"""),"Menjahit Pakaian Wanita Dewasa")</f>
        <v>Menjahit Pakaian Wanita Dewasa</v>
      </c>
      <c r="C71" s="24" t="str">
        <f>IFERROR(__xludf.DUMMYFUNCTION("""COMPUTED_VALUE"""),"SMK Negeri 3 Muna")</f>
        <v>SMK Negeri 3 Muna</v>
      </c>
      <c r="D71" s="24"/>
      <c r="E71" s="24"/>
      <c r="F71" s="24" t="str">
        <f>IFERROR(__xludf.DUMMYFUNCTION("""COMPUTED_VALUE"""),"MUSFIRA")</f>
        <v>MUSFIRA</v>
      </c>
      <c r="G71" s="24" t="str">
        <f>IFERROR(__xludf.DUMMYFUNCTION("""COMPUTED_VALUE"""),"7403104203090002")</f>
        <v>7403104203090002</v>
      </c>
      <c r="H71" s="24"/>
      <c r="I71" s="24"/>
      <c r="J71" s="24" t="str">
        <f>IFERROR(__xludf.DUMMYFUNCTION("""COMPUTED_VALUE"""),"PEREMPUAN")</f>
        <v>PEREMPUAN</v>
      </c>
      <c r="K71" s="24" t="str">
        <f>IFERROR(__xludf.DUMMYFUNCTION("""COMPUTED_VALUE"""),"Jl. Wirabuana Desa Wawesa")</f>
        <v>Jl. Wirabuana Desa Wawesa</v>
      </c>
      <c r="L71" s="24"/>
      <c r="M71" s="24"/>
      <c r="N71" s="24" t="str">
        <f>IFERROR(__xludf.DUMMYFUNCTION("""COMPUTED_VALUE"""),"SMA / SMK / MA")</f>
        <v>SMA / SMK / MA</v>
      </c>
      <c r="O71" s="24"/>
      <c r="P71" s="24"/>
      <c r="Q71" s="24"/>
      <c r="R71" s="24" t="str">
        <f>IFERROR(__xludf.DUMMYFUNCTION("""COMPUTED_VALUE"""),"K")</f>
        <v>K</v>
      </c>
      <c r="S71" s="25" t="str">
        <f>IFERROR(__xludf.DUMMYFUNCTION("""COMPUTED_VALUE"""),"Selesai")</f>
        <v>Selesai</v>
      </c>
    </row>
    <row r="72" ht="22.5" customHeight="1">
      <c r="A72" s="22">
        <v>71.0</v>
      </c>
      <c r="B72" s="24" t="str">
        <f>IFERROR(__xludf.DUMMYFUNCTION("""COMPUTED_VALUE"""),"Menjahit Pakaian Wanita Dewasa")</f>
        <v>Menjahit Pakaian Wanita Dewasa</v>
      </c>
      <c r="C72" s="24" t="str">
        <f>IFERROR(__xludf.DUMMYFUNCTION("""COMPUTED_VALUE"""),"SMK Negeri 3 Muna")</f>
        <v>SMK Negeri 3 Muna</v>
      </c>
      <c r="D72" s="24"/>
      <c r="E72" s="24"/>
      <c r="F72" s="24" t="str">
        <f>IFERROR(__xludf.DUMMYFUNCTION("""COMPUTED_VALUE"""),"NATASYA")</f>
        <v>NATASYA</v>
      </c>
      <c r="G72" s="24" t="str">
        <f>IFERROR(__xludf.DUMMYFUNCTION("""COMPUTED_VALUE"""),"7403116010080001")</f>
        <v>7403116010080001</v>
      </c>
      <c r="H72" s="24"/>
      <c r="I72" s="24"/>
      <c r="J72" s="24" t="str">
        <f>IFERROR(__xludf.DUMMYFUNCTION("""COMPUTED_VALUE"""),"PEREMPUAN")</f>
        <v>PEREMPUAN</v>
      </c>
      <c r="K72" s="24" t="str">
        <f>IFERROR(__xludf.DUMMYFUNCTION("""COMPUTED_VALUE"""),"Jln. S Gol Daria")</f>
        <v>Jln. S Gol Daria</v>
      </c>
      <c r="L72" s="24"/>
      <c r="M72" s="24"/>
      <c r="N72" s="24" t="str">
        <f>IFERROR(__xludf.DUMMYFUNCTION("""COMPUTED_VALUE"""),"SMA / SMK / MA")</f>
        <v>SMA / SMK / MA</v>
      </c>
      <c r="O72" s="24"/>
      <c r="P72" s="24"/>
      <c r="Q72" s="24"/>
      <c r="R72" s="24" t="str">
        <f>IFERROR(__xludf.DUMMYFUNCTION("""COMPUTED_VALUE"""),"K")</f>
        <v>K</v>
      </c>
      <c r="S72" s="25" t="str">
        <f>IFERROR(__xludf.DUMMYFUNCTION("""COMPUTED_VALUE"""),"Selesai")</f>
        <v>Selesai</v>
      </c>
    </row>
    <row r="73" ht="22.5" customHeight="1">
      <c r="A73" s="22">
        <v>72.0</v>
      </c>
      <c r="B73" s="24" t="str">
        <f>IFERROR(__xludf.DUMMYFUNCTION("""COMPUTED_VALUE"""),"Menjahit Pakaian Wanita Dewasa")</f>
        <v>Menjahit Pakaian Wanita Dewasa</v>
      </c>
      <c r="C73" s="24" t="str">
        <f>IFERROR(__xludf.DUMMYFUNCTION("""COMPUTED_VALUE"""),"SMK Negeri 3 Muna")</f>
        <v>SMK Negeri 3 Muna</v>
      </c>
      <c r="D73" s="24"/>
      <c r="E73" s="24"/>
      <c r="F73" s="24" t="str">
        <f>IFERROR(__xludf.DUMMYFUNCTION("""COMPUTED_VALUE"""),"NENI TRIANINGSIH")</f>
        <v>NENI TRIANINGSIH</v>
      </c>
      <c r="G73" s="24" t="str">
        <f>IFERROR(__xludf.DUMMYFUNCTION("""COMPUTED_VALUE"""),"7403135005060201")</f>
        <v>7403135005060201</v>
      </c>
      <c r="H73" s="24"/>
      <c r="I73" s="24"/>
      <c r="J73" s="24" t="str">
        <f>IFERROR(__xludf.DUMMYFUNCTION("""COMPUTED_VALUE"""),"PEREMPUAN")</f>
        <v>PEREMPUAN</v>
      </c>
      <c r="K73" s="24" t="str">
        <f>IFERROR(__xludf.DUMMYFUNCTION("""COMPUTED_VALUE"""),"Kelurahan Waara Kecamatan Lohia")</f>
        <v>Kelurahan Waara Kecamatan Lohia</v>
      </c>
      <c r="L73" s="24"/>
      <c r="M73" s="24"/>
      <c r="N73" s="24" t="str">
        <f>IFERROR(__xludf.DUMMYFUNCTION("""COMPUTED_VALUE"""),"SMA / SMK / MA")</f>
        <v>SMA / SMK / MA</v>
      </c>
      <c r="O73" s="24"/>
      <c r="P73" s="24"/>
      <c r="Q73" s="24"/>
      <c r="R73" s="24" t="str">
        <f>IFERROR(__xludf.DUMMYFUNCTION("""COMPUTED_VALUE"""),"K")</f>
        <v>K</v>
      </c>
      <c r="S73" s="25" t="str">
        <f>IFERROR(__xludf.DUMMYFUNCTION("""COMPUTED_VALUE"""),"Selesai")</f>
        <v>Selesai</v>
      </c>
    </row>
    <row r="74" ht="22.5" customHeight="1">
      <c r="A74" s="22">
        <v>73.0</v>
      </c>
      <c r="B74" s="24" t="str">
        <f>IFERROR(__xludf.DUMMYFUNCTION("""COMPUTED_VALUE"""),"Menjahit Pakaian Wanita Dewasa")</f>
        <v>Menjahit Pakaian Wanita Dewasa</v>
      </c>
      <c r="C74" s="24" t="str">
        <f>IFERROR(__xludf.DUMMYFUNCTION("""COMPUTED_VALUE"""),"SMK Negeri 3 Muna")</f>
        <v>SMK Negeri 3 Muna</v>
      </c>
      <c r="D74" s="24"/>
      <c r="E74" s="24"/>
      <c r="F74" s="24" t="str">
        <f>IFERROR(__xludf.DUMMYFUNCTION("""COMPUTED_VALUE"""),"NITA ARSINTA")</f>
        <v>NITA ARSINTA</v>
      </c>
      <c r="G74" s="24" t="str">
        <f>IFERROR(__xludf.DUMMYFUNCTION("""COMPUTED_VALUE"""),"7403204404080001")</f>
        <v>7403204404080001</v>
      </c>
      <c r="H74" s="24"/>
      <c r="I74" s="24"/>
      <c r="J74" s="24" t="str">
        <f>IFERROR(__xludf.DUMMYFUNCTION("""COMPUTED_VALUE"""),"PEREMPUAN")</f>
        <v>PEREMPUAN</v>
      </c>
      <c r="K74" s="24" t="str">
        <f>IFERROR(__xludf.DUMMYFUNCTION("""COMPUTED_VALUE"""),"Desa Mabolu")</f>
        <v>Desa Mabolu</v>
      </c>
      <c r="L74" s="24"/>
      <c r="M74" s="24"/>
      <c r="N74" s="24" t="str">
        <f>IFERROR(__xludf.DUMMYFUNCTION("""COMPUTED_VALUE"""),"SMA / SMK / MA")</f>
        <v>SMA / SMK / MA</v>
      </c>
      <c r="O74" s="24"/>
      <c r="P74" s="24"/>
      <c r="Q74" s="24"/>
      <c r="R74" s="24" t="str">
        <f>IFERROR(__xludf.DUMMYFUNCTION("""COMPUTED_VALUE"""),"K")</f>
        <v>K</v>
      </c>
      <c r="S74" s="25" t="str">
        <f>IFERROR(__xludf.DUMMYFUNCTION("""COMPUTED_VALUE"""),"Selesai")</f>
        <v>Selesai</v>
      </c>
    </row>
    <row r="75" ht="22.5" customHeight="1">
      <c r="A75" s="22">
        <v>74.0</v>
      </c>
      <c r="B75" s="24" t="str">
        <f>IFERROR(__xludf.DUMMYFUNCTION("""COMPUTED_VALUE"""),"Menjahit Pakaian Wanita Dewasa")</f>
        <v>Menjahit Pakaian Wanita Dewasa</v>
      </c>
      <c r="C75" s="24" t="str">
        <f>IFERROR(__xludf.DUMMYFUNCTION("""COMPUTED_VALUE"""),"SMK Negeri 3 Muna")</f>
        <v>SMK Negeri 3 Muna</v>
      </c>
      <c r="D75" s="24"/>
      <c r="E75" s="24"/>
      <c r="F75" s="24" t="str">
        <f>IFERROR(__xludf.DUMMYFUNCTION("""COMPUTED_VALUE"""),"NUNIQ  AQYLA")</f>
        <v>NUNIQ  AQYLA</v>
      </c>
      <c r="G75" s="24" t="str">
        <f>IFERROR(__xludf.DUMMYFUNCTION("""COMPUTED_VALUE"""),"7403156411090001")</f>
        <v>7403156411090001</v>
      </c>
      <c r="H75" s="24"/>
      <c r="I75" s="24"/>
      <c r="J75" s="24" t="str">
        <f>IFERROR(__xludf.DUMMYFUNCTION("""COMPUTED_VALUE"""),"PEREMPUAN")</f>
        <v>PEREMPUAN</v>
      </c>
      <c r="K75" s="24" t="str">
        <f>IFERROR(__xludf.DUMMYFUNCTION("""COMPUTED_VALUE"""),"Jl. Madesabara Lrg. BTN SMAN 1 RAHA")</f>
        <v>Jl. Madesabara Lrg. BTN SMAN 1 RAHA</v>
      </c>
      <c r="L75" s="24"/>
      <c r="M75" s="24"/>
      <c r="N75" s="24" t="str">
        <f>IFERROR(__xludf.DUMMYFUNCTION("""COMPUTED_VALUE"""),"SMA / SMK / MA")</f>
        <v>SMA / SMK / MA</v>
      </c>
      <c r="O75" s="24"/>
      <c r="P75" s="24"/>
      <c r="Q75" s="24"/>
      <c r="R75" s="24" t="str">
        <f>IFERROR(__xludf.DUMMYFUNCTION("""COMPUTED_VALUE"""),"K")</f>
        <v>K</v>
      </c>
      <c r="S75" s="25" t="str">
        <f>IFERROR(__xludf.DUMMYFUNCTION("""COMPUTED_VALUE"""),"Selesai")</f>
        <v>Selesai</v>
      </c>
    </row>
    <row r="76" ht="22.5" customHeight="1">
      <c r="A76" s="22">
        <v>75.0</v>
      </c>
      <c r="B76" s="24" t="str">
        <f>IFERROR(__xludf.DUMMYFUNCTION("""COMPUTED_VALUE"""),"Menjahit Pakaian Wanita Dewasa")</f>
        <v>Menjahit Pakaian Wanita Dewasa</v>
      </c>
      <c r="C76" s="24" t="str">
        <f>IFERROR(__xludf.DUMMYFUNCTION("""COMPUTED_VALUE"""),"SMK Negeri 3 Muna")</f>
        <v>SMK Negeri 3 Muna</v>
      </c>
      <c r="D76" s="24"/>
      <c r="E76" s="24"/>
      <c r="F76" s="24" t="str">
        <f>IFERROR(__xludf.DUMMYFUNCTION("""COMPUTED_VALUE"""),"NUR  CAHAYA")</f>
        <v>NUR  CAHAYA</v>
      </c>
      <c r="G76" s="24" t="str">
        <f>IFERROR(__xludf.DUMMYFUNCTION("""COMPUTED_VALUE"""),"7403105701080201")</f>
        <v>7403105701080201</v>
      </c>
      <c r="H76" s="24"/>
      <c r="I76" s="24"/>
      <c r="J76" s="24" t="str">
        <f>IFERROR(__xludf.DUMMYFUNCTION("""COMPUTED_VALUE"""),"PEREMPUAN")</f>
        <v>PEREMPUAN</v>
      </c>
      <c r="K76" s="24" t="str">
        <f>IFERROR(__xludf.DUMMYFUNCTION("""COMPUTED_VALUE"""),"Jl. Gambas")</f>
        <v>Jl. Gambas</v>
      </c>
      <c r="L76" s="24"/>
      <c r="M76" s="24"/>
      <c r="N76" s="24" t="str">
        <f>IFERROR(__xludf.DUMMYFUNCTION("""COMPUTED_VALUE"""),"SMA / SMK / MA")</f>
        <v>SMA / SMK / MA</v>
      </c>
      <c r="O76" s="24"/>
      <c r="P76" s="24"/>
      <c r="Q76" s="24"/>
      <c r="R76" s="24" t="str">
        <f>IFERROR(__xludf.DUMMYFUNCTION("""COMPUTED_VALUE"""),"K")</f>
        <v>K</v>
      </c>
      <c r="S76" s="25" t="str">
        <f>IFERROR(__xludf.DUMMYFUNCTION("""COMPUTED_VALUE"""),"Selesai")</f>
        <v>Selesai</v>
      </c>
    </row>
    <row r="77" ht="22.5" customHeight="1">
      <c r="A77" s="22">
        <v>76.0</v>
      </c>
      <c r="B77" s="24" t="str">
        <f>IFERROR(__xludf.DUMMYFUNCTION("""COMPUTED_VALUE"""),"Menjahit Pakaian Wanita Dewasa")</f>
        <v>Menjahit Pakaian Wanita Dewasa</v>
      </c>
      <c r="C77" s="24" t="str">
        <f>IFERROR(__xludf.DUMMYFUNCTION("""COMPUTED_VALUE"""),"SMK Negeri 3 Muna")</f>
        <v>SMK Negeri 3 Muna</v>
      </c>
      <c r="D77" s="24"/>
      <c r="E77" s="24"/>
      <c r="F77" s="24" t="str">
        <f>IFERROR(__xludf.DUMMYFUNCTION("""COMPUTED_VALUE"""),"PUTRI ROSIMA WATI")</f>
        <v>PUTRI ROSIMA WATI</v>
      </c>
      <c r="G77" s="24" t="str">
        <f>IFERROR(__xludf.DUMMYFUNCTION("""COMPUTED_VALUE"""),"7403154201090001")</f>
        <v>7403154201090001</v>
      </c>
      <c r="H77" s="24"/>
      <c r="I77" s="24"/>
      <c r="J77" s="24" t="str">
        <f>IFERROR(__xludf.DUMMYFUNCTION("""COMPUTED_VALUE"""),"PEREMPUAN")</f>
        <v>PEREMPUAN</v>
      </c>
      <c r="K77" s="24" t="str">
        <f>IFERROR(__xludf.DUMMYFUNCTION("""COMPUTED_VALUE"""),"Desa Wawesa")</f>
        <v>Desa Wawesa</v>
      </c>
      <c r="L77" s="24"/>
      <c r="M77" s="24"/>
      <c r="N77" s="24" t="str">
        <f>IFERROR(__xludf.DUMMYFUNCTION("""COMPUTED_VALUE"""),"SMA / SMK / MA")</f>
        <v>SMA / SMK / MA</v>
      </c>
      <c r="O77" s="24"/>
      <c r="P77" s="24"/>
      <c r="Q77" s="24"/>
      <c r="R77" s="24" t="str">
        <f>IFERROR(__xludf.DUMMYFUNCTION("""COMPUTED_VALUE"""),"K")</f>
        <v>K</v>
      </c>
      <c r="S77" s="25" t="str">
        <f>IFERROR(__xludf.DUMMYFUNCTION("""COMPUTED_VALUE"""),"Selesai")</f>
        <v>Selesai</v>
      </c>
    </row>
    <row r="78" ht="22.5" customHeight="1">
      <c r="A78" s="22">
        <v>77.0</v>
      </c>
      <c r="B78" s="24" t="str">
        <f>IFERROR(__xludf.DUMMYFUNCTION("""COMPUTED_VALUE"""),"Menjahit Pakaian Wanita Dewasa")</f>
        <v>Menjahit Pakaian Wanita Dewasa</v>
      </c>
      <c r="C78" s="24" t="str">
        <f>IFERROR(__xludf.DUMMYFUNCTION("""COMPUTED_VALUE"""),"SMK Negeri 3 Muna")</f>
        <v>SMK Negeri 3 Muna</v>
      </c>
      <c r="D78" s="24"/>
      <c r="E78" s="24"/>
      <c r="F78" s="24" t="str">
        <f>IFERROR(__xludf.DUMMYFUNCTION("""COMPUTED_VALUE"""),"RAHMA  KOVIVA")</f>
        <v>RAHMA  KOVIVA</v>
      </c>
      <c r="G78" s="24" t="str">
        <f>IFERROR(__xludf.DUMMYFUNCTION("""COMPUTED_VALUE"""),"7403115007080001")</f>
        <v>7403115007080001</v>
      </c>
      <c r="H78" s="24"/>
      <c r="I78" s="24"/>
      <c r="J78" s="24" t="str">
        <f>IFERROR(__xludf.DUMMYFUNCTION("""COMPUTED_VALUE"""),"PEREMPUAN")</f>
        <v>PEREMPUAN</v>
      </c>
      <c r="K78" s="24" t="str">
        <f>IFERROR(__xludf.DUMMYFUNCTION("""COMPUTED_VALUE"""),"-")</f>
        <v>-</v>
      </c>
      <c r="L78" s="24"/>
      <c r="M78" s="24"/>
      <c r="N78" s="24" t="str">
        <f>IFERROR(__xludf.DUMMYFUNCTION("""COMPUTED_VALUE"""),"SMA / SMK / MA")</f>
        <v>SMA / SMK / MA</v>
      </c>
      <c r="O78" s="24"/>
      <c r="P78" s="24"/>
      <c r="Q78" s="24"/>
      <c r="R78" s="24" t="str">
        <f>IFERROR(__xludf.DUMMYFUNCTION("""COMPUTED_VALUE"""),"K")</f>
        <v>K</v>
      </c>
      <c r="S78" s="25" t="str">
        <f>IFERROR(__xludf.DUMMYFUNCTION("""COMPUTED_VALUE"""),"Selesai")</f>
        <v>Selesai</v>
      </c>
    </row>
    <row r="79" ht="22.5" customHeight="1">
      <c r="A79" s="22">
        <v>78.0</v>
      </c>
      <c r="B79" s="24" t="str">
        <f>IFERROR(__xludf.DUMMYFUNCTION("""COMPUTED_VALUE"""),"Menjahit Pakaian Wanita Dewasa")</f>
        <v>Menjahit Pakaian Wanita Dewasa</v>
      </c>
      <c r="C79" s="24" t="str">
        <f>IFERROR(__xludf.DUMMYFUNCTION("""COMPUTED_VALUE"""),"SMK Negeri 3 Muna")</f>
        <v>SMK Negeri 3 Muna</v>
      </c>
      <c r="D79" s="24"/>
      <c r="E79" s="24"/>
      <c r="F79" s="24" t="str">
        <f>IFERROR(__xludf.DUMMYFUNCTION("""COMPUTED_VALUE"""),"REZKY PURNAMA")</f>
        <v>REZKY PURNAMA</v>
      </c>
      <c r="G79" s="24" t="str">
        <f>IFERROR(__xludf.DUMMYFUNCTION("""COMPUTED_VALUE"""),"7403155906080001")</f>
        <v>7403155906080001</v>
      </c>
      <c r="H79" s="24"/>
      <c r="I79" s="24"/>
      <c r="J79" s="24" t="str">
        <f>IFERROR(__xludf.DUMMYFUNCTION("""COMPUTED_VALUE"""),"PEREMPUAN")</f>
        <v>PEREMPUAN</v>
      </c>
      <c r="K79" s="24" t="str">
        <f>IFERROR(__xludf.DUMMYFUNCTION("""COMPUTED_VALUE"""),"Jalan Made Sabara")</f>
        <v>Jalan Made Sabara</v>
      </c>
      <c r="L79" s="24"/>
      <c r="M79" s="24"/>
      <c r="N79" s="24" t="str">
        <f>IFERROR(__xludf.DUMMYFUNCTION("""COMPUTED_VALUE"""),"SMA / SMK / MA")</f>
        <v>SMA / SMK / MA</v>
      </c>
      <c r="O79" s="24"/>
      <c r="P79" s="24"/>
      <c r="Q79" s="24"/>
      <c r="R79" s="24" t="str">
        <f>IFERROR(__xludf.DUMMYFUNCTION("""COMPUTED_VALUE"""),"K")</f>
        <v>K</v>
      </c>
      <c r="S79" s="25" t="str">
        <f>IFERROR(__xludf.DUMMYFUNCTION("""COMPUTED_VALUE"""),"Selesai")</f>
        <v>Selesai</v>
      </c>
    </row>
    <row r="80" ht="22.5" customHeight="1">
      <c r="A80" s="22">
        <v>79.0</v>
      </c>
      <c r="B80" s="24" t="str">
        <f>IFERROR(__xludf.DUMMYFUNCTION("""COMPUTED_VALUE"""),"Menjahit Pakaian Wanita Dewasa")</f>
        <v>Menjahit Pakaian Wanita Dewasa</v>
      </c>
      <c r="C80" s="24" t="str">
        <f>IFERROR(__xludf.DUMMYFUNCTION("""COMPUTED_VALUE"""),"SMK Negeri 3 Muna")</f>
        <v>SMK Negeri 3 Muna</v>
      </c>
      <c r="D80" s="24"/>
      <c r="E80" s="24"/>
      <c r="F80" s="24" t="str">
        <f>IFERROR(__xludf.DUMMYFUNCTION("""COMPUTED_VALUE"""),"SALSABILA")</f>
        <v>SALSABILA</v>
      </c>
      <c r="G80" s="24" t="str">
        <f>IFERROR(__xludf.DUMMYFUNCTION("""COMPUTED_VALUE"""),"7403186110080001")</f>
        <v>7403186110080001</v>
      </c>
      <c r="H80" s="24"/>
      <c r="I80" s="24"/>
      <c r="J80" s="24" t="str">
        <f>IFERROR(__xludf.DUMMYFUNCTION("""COMPUTED_VALUE"""),"PEREMPUAN")</f>
        <v>PEREMPUAN</v>
      </c>
      <c r="K80" s="24" t="str">
        <f>IFERROR(__xludf.DUMMYFUNCTION("""COMPUTED_VALUE"""),"Desa Lohia")</f>
        <v>Desa Lohia</v>
      </c>
      <c r="L80" s="24"/>
      <c r="M80" s="24"/>
      <c r="N80" s="24" t="str">
        <f>IFERROR(__xludf.DUMMYFUNCTION("""COMPUTED_VALUE"""),"SMA / SMK / MA")</f>
        <v>SMA / SMK / MA</v>
      </c>
      <c r="O80" s="24"/>
      <c r="P80" s="24"/>
      <c r="Q80" s="24"/>
      <c r="R80" s="24" t="str">
        <f>IFERROR(__xludf.DUMMYFUNCTION("""COMPUTED_VALUE"""),"K")</f>
        <v>K</v>
      </c>
      <c r="S80" s="25" t="str">
        <f>IFERROR(__xludf.DUMMYFUNCTION("""COMPUTED_VALUE"""),"Selesai")</f>
        <v>Selesai</v>
      </c>
    </row>
    <row r="81" ht="22.5" customHeight="1">
      <c r="A81" s="22">
        <v>80.0</v>
      </c>
      <c r="B81" s="24" t="str">
        <f>IFERROR(__xludf.DUMMYFUNCTION("""COMPUTED_VALUE"""),"Menjahit Pakaian Wanita Dewasa")</f>
        <v>Menjahit Pakaian Wanita Dewasa</v>
      </c>
      <c r="C81" s="24" t="str">
        <f>IFERROR(__xludf.DUMMYFUNCTION("""COMPUTED_VALUE"""),"SMK Negeri 3 Muna")</f>
        <v>SMK Negeri 3 Muna</v>
      </c>
      <c r="D81" s="24"/>
      <c r="E81" s="24"/>
      <c r="F81" s="24" t="str">
        <f>IFERROR(__xludf.DUMMYFUNCTION("""COMPUTED_VALUE"""),"SALWATI")</f>
        <v>SALWATI</v>
      </c>
      <c r="G81" s="24" t="str">
        <f>IFERROR(__xludf.DUMMYFUNCTION("""COMPUTED_VALUE"""),"7403065205070001")</f>
        <v>7403065205070001</v>
      </c>
      <c r="H81" s="24"/>
      <c r="I81" s="24"/>
      <c r="J81" s="24" t="str">
        <f>IFERROR(__xludf.DUMMYFUNCTION("""COMPUTED_VALUE"""),"PEREMPUAN")</f>
        <v>PEREMPUAN</v>
      </c>
      <c r="K81" s="24" t="str">
        <f>IFERROR(__xludf.DUMMYFUNCTION("""COMPUTED_VALUE"""),"Desa Napalakuria")</f>
        <v>Desa Napalakuria</v>
      </c>
      <c r="L81" s="24"/>
      <c r="M81" s="24"/>
      <c r="N81" s="24" t="str">
        <f>IFERROR(__xludf.DUMMYFUNCTION("""COMPUTED_VALUE"""),"SMA / SMK / MA")</f>
        <v>SMA / SMK / MA</v>
      </c>
      <c r="O81" s="24"/>
      <c r="P81" s="24"/>
      <c r="Q81" s="24"/>
      <c r="R81" s="24" t="str">
        <f>IFERROR(__xludf.DUMMYFUNCTION("""COMPUTED_VALUE"""),"K")</f>
        <v>K</v>
      </c>
      <c r="S81" s="25" t="str">
        <f>IFERROR(__xludf.DUMMYFUNCTION("""COMPUTED_VALUE"""),"Selesai")</f>
        <v>Selesai</v>
      </c>
    </row>
    <row r="82" ht="22.5" customHeight="1">
      <c r="A82" s="22">
        <v>81.0</v>
      </c>
      <c r="B82" s="24" t="str">
        <f>IFERROR(__xludf.DUMMYFUNCTION("""COMPUTED_VALUE"""),"Menjahit Pakaian Wanita Dewasa")</f>
        <v>Menjahit Pakaian Wanita Dewasa</v>
      </c>
      <c r="C82" s="24" t="str">
        <f>IFERROR(__xludf.DUMMYFUNCTION("""COMPUTED_VALUE"""),"SMK Negeri 3 Muna")</f>
        <v>SMK Negeri 3 Muna</v>
      </c>
      <c r="D82" s="24"/>
      <c r="E82" s="24"/>
      <c r="F82" s="24" t="str">
        <f>IFERROR(__xludf.DUMMYFUNCTION("""COMPUTED_VALUE"""),"SEYILA NULINGO")</f>
        <v>SEYILA NULINGO</v>
      </c>
      <c r="G82" s="24" t="str">
        <f>IFERROR(__xludf.DUMMYFUNCTION("""COMPUTED_VALUE"""),"7201087008070001")</f>
        <v>7201087008070001</v>
      </c>
      <c r="H82" s="24"/>
      <c r="I82" s="24"/>
      <c r="J82" s="24" t="str">
        <f>IFERROR(__xludf.DUMMYFUNCTION("""COMPUTED_VALUE"""),"PEREMPUAN")</f>
        <v>PEREMPUAN</v>
      </c>
      <c r="K82" s="24" t="str">
        <f>IFERROR(__xludf.DUMMYFUNCTION("""COMPUTED_VALUE"""),"Jl.lumba-lumba lorong sinar las")</f>
        <v>Jl.lumba-lumba lorong sinar las</v>
      </c>
      <c r="L82" s="24"/>
      <c r="M82" s="24"/>
      <c r="N82" s="24" t="str">
        <f>IFERROR(__xludf.DUMMYFUNCTION("""COMPUTED_VALUE"""),"SMA / SMK / MA")</f>
        <v>SMA / SMK / MA</v>
      </c>
      <c r="O82" s="24"/>
      <c r="P82" s="24"/>
      <c r="Q82" s="24"/>
      <c r="R82" s="24" t="str">
        <f>IFERROR(__xludf.DUMMYFUNCTION("""COMPUTED_VALUE"""),"K")</f>
        <v>K</v>
      </c>
      <c r="S82" s="25" t="str">
        <f>IFERROR(__xludf.DUMMYFUNCTION("""COMPUTED_VALUE"""),"Selesai")</f>
        <v>Selesai</v>
      </c>
    </row>
    <row r="83" ht="22.5" customHeight="1">
      <c r="A83" s="22">
        <v>82.0</v>
      </c>
      <c r="B83" s="24" t="str">
        <f>IFERROR(__xludf.DUMMYFUNCTION("""COMPUTED_VALUE"""),"Menjahit Pakaian Wanita Dewasa")</f>
        <v>Menjahit Pakaian Wanita Dewasa</v>
      </c>
      <c r="C83" s="24" t="str">
        <f>IFERROR(__xludf.DUMMYFUNCTION("""COMPUTED_VALUE"""),"SMK Negeri 3 Muna")</f>
        <v>SMK Negeri 3 Muna</v>
      </c>
      <c r="D83" s="24"/>
      <c r="E83" s="24"/>
      <c r="F83" s="24" t="str">
        <f>IFERROR(__xludf.DUMMYFUNCTION("""COMPUTED_VALUE"""),"SITI NUR AISYAH")</f>
        <v>SITI NUR AISYAH</v>
      </c>
      <c r="G83" s="24" t="str">
        <f>IFERROR(__xludf.DUMMYFUNCTION("""COMPUTED_VALUE"""),"7403207004080002")</f>
        <v>7403207004080002</v>
      </c>
      <c r="H83" s="24"/>
      <c r="I83" s="24"/>
      <c r="J83" s="24" t="str">
        <f>IFERROR(__xludf.DUMMYFUNCTION("""COMPUTED_VALUE"""),"PEREMPUAN")</f>
        <v>PEREMPUAN</v>
      </c>
      <c r="K83" s="24" t="str">
        <f>IFERROR(__xludf.DUMMYFUNCTION("""COMPUTED_VALUE"""),"Desa Masalili Kecamatan Kontunaga")</f>
        <v>Desa Masalili Kecamatan Kontunaga</v>
      </c>
      <c r="L83" s="24"/>
      <c r="M83" s="24"/>
      <c r="N83" s="24" t="str">
        <f>IFERROR(__xludf.DUMMYFUNCTION("""COMPUTED_VALUE"""),"SMA / SMK / MA")</f>
        <v>SMA / SMK / MA</v>
      </c>
      <c r="O83" s="24"/>
      <c r="P83" s="24"/>
      <c r="Q83" s="24"/>
      <c r="R83" s="24" t="str">
        <f>IFERROR(__xludf.DUMMYFUNCTION("""COMPUTED_VALUE"""),"K")</f>
        <v>K</v>
      </c>
      <c r="S83" s="25" t="str">
        <f>IFERROR(__xludf.DUMMYFUNCTION("""COMPUTED_VALUE"""),"Selesai")</f>
        <v>Selesai</v>
      </c>
    </row>
    <row r="84" ht="22.5" customHeight="1">
      <c r="A84" s="22">
        <v>83.0</v>
      </c>
      <c r="B84" s="24" t="str">
        <f>IFERROR(__xludf.DUMMYFUNCTION("""COMPUTED_VALUE"""),"Menjahit Pakaian Wanita Dewasa")</f>
        <v>Menjahit Pakaian Wanita Dewasa</v>
      </c>
      <c r="C84" s="24" t="str">
        <f>IFERROR(__xludf.DUMMYFUNCTION("""COMPUTED_VALUE"""),"SMK Negeri 3 Muna")</f>
        <v>SMK Negeri 3 Muna</v>
      </c>
      <c r="D84" s="24"/>
      <c r="E84" s="24"/>
      <c r="F84" s="24" t="str">
        <f>IFERROR(__xludf.DUMMYFUNCTION("""COMPUTED_VALUE"""),"SRI WAHYU ANNISA")</f>
        <v>SRI WAHYU ANNISA</v>
      </c>
      <c r="G84" s="24" t="str">
        <f>IFERROR(__xludf.DUMMYFUNCTION("""COMPUTED_VALUE"""),"7403155210080001")</f>
        <v>7403155210080001</v>
      </c>
      <c r="H84" s="24"/>
      <c r="I84" s="24"/>
      <c r="J84" s="24" t="str">
        <f>IFERROR(__xludf.DUMMYFUNCTION("""COMPUTED_VALUE"""),"PEREMPUAN")</f>
        <v>PEREMPUAN</v>
      </c>
      <c r="K84" s="24" t="str">
        <f>IFERROR(__xludf.DUMMYFUNCTION("""COMPUTED_VALUE"""),"Jalan Wirabuana Desa Wawesa")</f>
        <v>Jalan Wirabuana Desa Wawesa</v>
      </c>
      <c r="L84" s="24"/>
      <c r="M84" s="24"/>
      <c r="N84" s="24" t="str">
        <f>IFERROR(__xludf.DUMMYFUNCTION("""COMPUTED_VALUE"""),"SMA / SMK / MA")</f>
        <v>SMA / SMK / MA</v>
      </c>
      <c r="O84" s="24"/>
      <c r="P84" s="24"/>
      <c r="Q84" s="24"/>
      <c r="R84" s="24" t="str">
        <f>IFERROR(__xludf.DUMMYFUNCTION("""COMPUTED_VALUE"""),"K")</f>
        <v>K</v>
      </c>
      <c r="S84" s="25" t="str">
        <f>IFERROR(__xludf.DUMMYFUNCTION("""COMPUTED_VALUE"""),"Selesai")</f>
        <v>Selesai</v>
      </c>
    </row>
    <row r="85" ht="22.5" customHeight="1">
      <c r="A85" s="22">
        <v>84.0</v>
      </c>
      <c r="B85" s="24" t="str">
        <f>IFERROR(__xludf.DUMMYFUNCTION("""COMPUTED_VALUE"""),"Menjahit Pakaian Wanita Dewasa")</f>
        <v>Menjahit Pakaian Wanita Dewasa</v>
      </c>
      <c r="C85" s="24" t="str">
        <f>IFERROR(__xludf.DUMMYFUNCTION("""COMPUTED_VALUE"""),"SMK Negeri 3 Muna")</f>
        <v>SMK Negeri 3 Muna</v>
      </c>
      <c r="D85" s="24"/>
      <c r="E85" s="24"/>
      <c r="F85" s="24" t="str">
        <f>IFERROR(__xludf.DUMMYFUNCTION("""COMPUTED_VALUE"""),"SYAKHILA THOMAS")</f>
        <v>SYAKHILA THOMAS</v>
      </c>
      <c r="G85" s="24" t="str">
        <f>IFERROR(__xludf.DUMMYFUNCTION("""COMPUTED_VALUE"""),"7371114801080016")</f>
        <v>7371114801080016</v>
      </c>
      <c r="H85" s="24"/>
      <c r="I85" s="24"/>
      <c r="J85" s="24" t="str">
        <f>IFERROR(__xludf.DUMMYFUNCTION("""COMPUTED_VALUE"""),"PEREMPUAN")</f>
        <v>PEREMPUAN</v>
      </c>
      <c r="K85" s="24" t="str">
        <f>IFERROR(__xludf.DUMMYFUNCTION("""COMPUTED_VALUE"""),"Jalan Kihajar Dewantoro")</f>
        <v>Jalan Kihajar Dewantoro</v>
      </c>
      <c r="L85" s="24"/>
      <c r="M85" s="24"/>
      <c r="N85" s="24" t="str">
        <f>IFERROR(__xludf.DUMMYFUNCTION("""COMPUTED_VALUE"""),"SMA / SMK / MA")</f>
        <v>SMA / SMK / MA</v>
      </c>
      <c r="O85" s="24"/>
      <c r="P85" s="24"/>
      <c r="Q85" s="24"/>
      <c r="R85" s="24" t="str">
        <f>IFERROR(__xludf.DUMMYFUNCTION("""COMPUTED_VALUE"""),"K")</f>
        <v>K</v>
      </c>
      <c r="S85" s="25" t="str">
        <f>IFERROR(__xludf.DUMMYFUNCTION("""COMPUTED_VALUE"""),"Selesai")</f>
        <v>Selesai</v>
      </c>
    </row>
    <row r="86" ht="22.5" customHeight="1">
      <c r="A86" s="22">
        <v>85.0</v>
      </c>
      <c r="B86" s="24" t="str">
        <f>IFERROR(__xludf.DUMMYFUNCTION("""COMPUTED_VALUE"""),"Menjahit Pakaian Wanita Dewasa")</f>
        <v>Menjahit Pakaian Wanita Dewasa</v>
      </c>
      <c r="C86" s="24" t="str">
        <f>IFERROR(__xludf.DUMMYFUNCTION("""COMPUTED_VALUE"""),"SMK Negeri 3 Muna")</f>
        <v>SMK Negeri 3 Muna</v>
      </c>
      <c r="D86" s="24"/>
      <c r="E86" s="24"/>
      <c r="F86" s="24" t="str">
        <f>IFERROR(__xludf.DUMMYFUNCTION("""COMPUTED_VALUE"""),"SYELIKHA THOMAS")</f>
        <v>SYELIKHA THOMAS</v>
      </c>
      <c r="G86" s="24" t="str">
        <f>IFERROR(__xludf.DUMMYFUNCTION("""COMPUTED_VALUE"""),"7371114801080015")</f>
        <v>7371114801080015</v>
      </c>
      <c r="H86" s="24"/>
      <c r="I86" s="24"/>
      <c r="J86" s="24" t="str">
        <f>IFERROR(__xludf.DUMMYFUNCTION("""COMPUTED_VALUE"""),"PEREMPUAN")</f>
        <v>PEREMPUAN</v>
      </c>
      <c r="K86" s="24" t="str">
        <f>IFERROR(__xludf.DUMMYFUNCTION("""COMPUTED_VALUE"""),"Jl. Kihajar Dewantoro")</f>
        <v>Jl. Kihajar Dewantoro</v>
      </c>
      <c r="L86" s="24"/>
      <c r="M86" s="24"/>
      <c r="N86" s="24" t="str">
        <f>IFERROR(__xludf.DUMMYFUNCTION("""COMPUTED_VALUE"""),"SMA / SMK / MA")</f>
        <v>SMA / SMK / MA</v>
      </c>
      <c r="O86" s="24"/>
      <c r="P86" s="24"/>
      <c r="Q86" s="24"/>
      <c r="R86" s="24" t="str">
        <f>IFERROR(__xludf.DUMMYFUNCTION("""COMPUTED_VALUE"""),"K")</f>
        <v>K</v>
      </c>
      <c r="S86" s="25" t="str">
        <f>IFERROR(__xludf.DUMMYFUNCTION("""COMPUTED_VALUE"""),"Selesai")</f>
        <v>Selesai</v>
      </c>
    </row>
    <row r="87" ht="22.5" customHeight="1">
      <c r="A87" s="22">
        <v>86.0</v>
      </c>
      <c r="B87" s="24" t="str">
        <f>IFERROR(__xludf.DUMMYFUNCTION("""COMPUTED_VALUE"""),"Menjahit Pakaian Wanita Dewasa")</f>
        <v>Menjahit Pakaian Wanita Dewasa</v>
      </c>
      <c r="C87" s="24" t="str">
        <f>IFERROR(__xludf.DUMMYFUNCTION("""COMPUTED_VALUE"""),"SMK Negeri 3 Muna")</f>
        <v>SMK Negeri 3 Muna</v>
      </c>
      <c r="D87" s="24"/>
      <c r="E87" s="24"/>
      <c r="F87" s="24" t="str">
        <f>IFERROR(__xludf.DUMMYFUNCTION("""COMPUTED_VALUE"""),"TSARWAH")</f>
        <v>TSARWAH</v>
      </c>
      <c r="G87" s="24" t="str">
        <f>IFERROR(__xludf.DUMMYFUNCTION("""COMPUTED_VALUE"""),"7403024106080001")</f>
        <v>7403024106080001</v>
      </c>
      <c r="H87" s="24"/>
      <c r="I87" s="24"/>
      <c r="J87" s="24" t="str">
        <f>IFERROR(__xludf.DUMMYFUNCTION("""COMPUTED_VALUE"""),"PEREMPUAN")</f>
        <v>PEREMPUAN</v>
      </c>
      <c r="K87" s="24" t="str">
        <f>IFERROR(__xludf.DUMMYFUNCTION("""COMPUTED_VALUE"""),"Desa Langku-Langku")</f>
        <v>Desa Langku-Langku</v>
      </c>
      <c r="L87" s="24"/>
      <c r="M87" s="24"/>
      <c r="N87" s="24" t="str">
        <f>IFERROR(__xludf.DUMMYFUNCTION("""COMPUTED_VALUE"""),"SMA / SMK / MA")</f>
        <v>SMA / SMK / MA</v>
      </c>
      <c r="O87" s="24"/>
      <c r="P87" s="24"/>
      <c r="Q87" s="24"/>
      <c r="R87" s="24" t="str">
        <f>IFERROR(__xludf.DUMMYFUNCTION("""COMPUTED_VALUE"""),"K")</f>
        <v>K</v>
      </c>
      <c r="S87" s="25" t="str">
        <f>IFERROR(__xludf.DUMMYFUNCTION("""COMPUTED_VALUE"""),"Selesai")</f>
        <v>Selesai</v>
      </c>
    </row>
    <row r="88" ht="22.5" customHeight="1">
      <c r="A88" s="22">
        <v>87.0</v>
      </c>
      <c r="B88" s="24" t="str">
        <f>IFERROR(__xludf.DUMMYFUNCTION("""COMPUTED_VALUE"""),"Menjahit Pakaian Wanita Dewasa")</f>
        <v>Menjahit Pakaian Wanita Dewasa</v>
      </c>
      <c r="C88" s="24" t="str">
        <f>IFERROR(__xludf.DUMMYFUNCTION("""COMPUTED_VALUE"""),"SMK Negeri 3 Muna")</f>
        <v>SMK Negeri 3 Muna</v>
      </c>
      <c r="D88" s="24"/>
      <c r="E88" s="24"/>
      <c r="F88" s="24" t="str">
        <f>IFERROR(__xludf.DUMMYFUNCTION("""COMPUTED_VALUE"""),"WA AISYA")</f>
        <v>WA AISYA</v>
      </c>
      <c r="G88" s="24" t="str">
        <f>IFERROR(__xludf.DUMMYFUNCTION("""COMPUTED_VALUE"""),"9203015606080001")</f>
        <v>9203015606080001</v>
      </c>
      <c r="H88" s="24"/>
      <c r="I88" s="24"/>
      <c r="J88" s="24" t="str">
        <f>IFERROR(__xludf.DUMMYFUNCTION("""COMPUTED_VALUE"""),"PEREMPUAN")</f>
        <v>PEREMPUAN</v>
      </c>
      <c r="K88" s="24" t="str">
        <f>IFERROR(__xludf.DUMMYFUNCTION("""COMPUTED_VALUE"""),"Desa Lohia")</f>
        <v>Desa Lohia</v>
      </c>
      <c r="L88" s="24"/>
      <c r="M88" s="24"/>
      <c r="N88" s="24" t="str">
        <f>IFERROR(__xludf.DUMMYFUNCTION("""COMPUTED_VALUE"""),"SMA / SMK / MA")</f>
        <v>SMA / SMK / MA</v>
      </c>
      <c r="O88" s="24"/>
      <c r="P88" s="24"/>
      <c r="Q88" s="24"/>
      <c r="R88" s="24" t="str">
        <f>IFERROR(__xludf.DUMMYFUNCTION("""COMPUTED_VALUE"""),"K")</f>
        <v>K</v>
      </c>
      <c r="S88" s="25" t="str">
        <f>IFERROR(__xludf.DUMMYFUNCTION("""COMPUTED_VALUE"""),"Selesai")</f>
        <v>Selesai</v>
      </c>
    </row>
    <row r="89" ht="22.5" customHeight="1">
      <c r="A89" s="22">
        <v>88.0</v>
      </c>
      <c r="B89" s="24" t="str">
        <f>IFERROR(__xludf.DUMMYFUNCTION("""COMPUTED_VALUE"""),"Menjahit Pakaian Wanita Dewasa")</f>
        <v>Menjahit Pakaian Wanita Dewasa</v>
      </c>
      <c r="C89" s="24" t="str">
        <f>IFERROR(__xludf.DUMMYFUNCTION("""COMPUTED_VALUE"""),"SMK Negeri 3 Muna")</f>
        <v>SMK Negeri 3 Muna</v>
      </c>
      <c r="D89" s="24"/>
      <c r="E89" s="24"/>
      <c r="F89" s="24" t="str">
        <f>IFERROR(__xludf.DUMMYFUNCTION("""COMPUTED_VALUE"""),"WA ODE NUR VAUZIA")</f>
        <v>WA ODE NUR VAUZIA</v>
      </c>
      <c r="G89" s="24" t="str">
        <f>IFERROR(__xludf.DUMMYFUNCTION("""COMPUTED_VALUE"""),"7403155309080001")</f>
        <v>7403155309080001</v>
      </c>
      <c r="H89" s="24"/>
      <c r="I89" s="24"/>
      <c r="J89" s="24" t="str">
        <f>IFERROR(__xludf.DUMMYFUNCTION("""COMPUTED_VALUE"""),"PEREMPUAN")</f>
        <v>PEREMPUAN</v>
      </c>
      <c r="K89" s="24" t="str">
        <f>IFERROR(__xludf.DUMMYFUNCTION("""COMPUTED_VALUE"""),"-")</f>
        <v>-</v>
      </c>
      <c r="L89" s="24"/>
      <c r="M89" s="24"/>
      <c r="N89" s="24" t="str">
        <f>IFERROR(__xludf.DUMMYFUNCTION("""COMPUTED_VALUE"""),"SMA / SMK / MA")</f>
        <v>SMA / SMK / MA</v>
      </c>
      <c r="O89" s="24"/>
      <c r="P89" s="24"/>
      <c r="Q89" s="24"/>
      <c r="R89" s="24" t="str">
        <f>IFERROR(__xludf.DUMMYFUNCTION("""COMPUTED_VALUE"""),"K")</f>
        <v>K</v>
      </c>
      <c r="S89" s="25" t="str">
        <f>IFERROR(__xludf.DUMMYFUNCTION("""COMPUTED_VALUE"""),"Selesai")</f>
        <v>Selesai</v>
      </c>
    </row>
    <row r="90" ht="22.5" customHeight="1">
      <c r="A90" s="22">
        <v>89.0</v>
      </c>
      <c r="B90" s="24" t="str">
        <f>IFERROR(__xludf.DUMMYFUNCTION("""COMPUTED_VALUE"""),"Menjahit Pakaian Wanita Dewasa")</f>
        <v>Menjahit Pakaian Wanita Dewasa</v>
      </c>
      <c r="C90" s="24" t="str">
        <f>IFERROR(__xludf.DUMMYFUNCTION("""COMPUTED_VALUE"""),"SMK Negeri 3 Muna")</f>
        <v>SMK Negeri 3 Muna</v>
      </c>
      <c r="D90" s="24"/>
      <c r="E90" s="24"/>
      <c r="F90" s="24" t="str">
        <f>IFERROR(__xludf.DUMMYFUNCTION("""COMPUTED_VALUE"""),"WA ODE  SITI  MAGG FIRO")</f>
        <v>WA ODE  SITI  MAGG FIRO</v>
      </c>
      <c r="G90" s="24" t="str">
        <f>IFERROR(__xludf.DUMMYFUNCTION("""COMPUTED_VALUE"""),"7403244402080002")</f>
        <v>7403244402080002</v>
      </c>
      <c r="H90" s="24"/>
      <c r="I90" s="24"/>
      <c r="J90" s="24" t="str">
        <f>IFERROR(__xludf.DUMMYFUNCTION("""COMPUTED_VALUE"""),"PEREMPUAN")</f>
        <v>PEREMPUAN</v>
      </c>
      <c r="K90" s="24" t="str">
        <f>IFERROR(__xludf.DUMMYFUNCTION("""COMPUTED_VALUE"""),"Labora I")</f>
        <v>Labora I</v>
      </c>
      <c r="L90" s="24"/>
      <c r="M90" s="24"/>
      <c r="N90" s="24" t="str">
        <f>IFERROR(__xludf.DUMMYFUNCTION("""COMPUTED_VALUE"""),"SMA / SMK / MA")</f>
        <v>SMA / SMK / MA</v>
      </c>
      <c r="O90" s="24"/>
      <c r="P90" s="24"/>
      <c r="Q90" s="24"/>
      <c r="R90" s="24" t="str">
        <f>IFERROR(__xludf.DUMMYFUNCTION("""COMPUTED_VALUE"""),"K")</f>
        <v>K</v>
      </c>
      <c r="S90" s="25" t="str">
        <f>IFERROR(__xludf.DUMMYFUNCTION("""COMPUTED_VALUE"""),"Selesai")</f>
        <v>Selesai</v>
      </c>
    </row>
    <row r="91" ht="22.5" customHeight="1">
      <c r="A91" s="22">
        <v>90.0</v>
      </c>
      <c r="B91" s="24" t="str">
        <f>IFERROR(__xludf.DUMMYFUNCTION("""COMPUTED_VALUE"""),"Menjahit Pakaian Wanita Dewasa")</f>
        <v>Menjahit Pakaian Wanita Dewasa</v>
      </c>
      <c r="C91" s="24" t="str">
        <f>IFERROR(__xludf.DUMMYFUNCTION("""COMPUTED_VALUE"""),"SMK Negeri 3 Muna")</f>
        <v>SMK Negeri 3 Muna</v>
      </c>
      <c r="D91" s="24"/>
      <c r="E91" s="24"/>
      <c r="F91" s="24" t="str">
        <f>IFERROR(__xludf.DUMMYFUNCTION("""COMPUTED_VALUE"""),"WA ODE SITI NUR INDAH")</f>
        <v>WA ODE SITI NUR INDAH</v>
      </c>
      <c r="G91" s="24" t="str">
        <f>IFERROR(__xludf.DUMMYFUNCTION("""COMPUTED_VALUE"""),"7403157004080001")</f>
        <v>7403157004080001</v>
      </c>
      <c r="H91" s="24"/>
      <c r="I91" s="24"/>
      <c r="J91" s="24" t="str">
        <f>IFERROR(__xludf.DUMMYFUNCTION("""COMPUTED_VALUE"""),"PEREMPUAN")</f>
        <v>PEREMPUAN</v>
      </c>
      <c r="K91" s="24" t="str">
        <f>IFERROR(__xludf.DUMMYFUNCTION("""COMPUTED_VALUE"""),"-")</f>
        <v>-</v>
      </c>
      <c r="L91" s="24"/>
      <c r="M91" s="24"/>
      <c r="N91" s="24" t="str">
        <f>IFERROR(__xludf.DUMMYFUNCTION("""COMPUTED_VALUE"""),"SMA / SMK / MA")</f>
        <v>SMA / SMK / MA</v>
      </c>
      <c r="O91" s="24"/>
      <c r="P91" s="24"/>
      <c r="Q91" s="24"/>
      <c r="R91" s="24" t="str">
        <f>IFERROR(__xludf.DUMMYFUNCTION("""COMPUTED_VALUE"""),"K")</f>
        <v>K</v>
      </c>
      <c r="S91" s="25" t="str">
        <f>IFERROR(__xludf.DUMMYFUNCTION("""COMPUTED_VALUE"""),"Selesai")</f>
        <v>Selesai</v>
      </c>
    </row>
    <row r="92" ht="22.5" customHeight="1">
      <c r="A92" s="22">
        <v>91.0</v>
      </c>
      <c r="B92" s="24" t="str">
        <f>IFERROR(__xludf.DUMMYFUNCTION("""COMPUTED_VALUE"""),"Menjahit Pakaian Wanita Dewasa")</f>
        <v>Menjahit Pakaian Wanita Dewasa</v>
      </c>
      <c r="C92" s="24" t="str">
        <f>IFERROR(__xludf.DUMMYFUNCTION("""COMPUTED_VALUE"""),"SMK Negeri 3 Muna")</f>
        <v>SMK Negeri 3 Muna</v>
      </c>
      <c r="D92" s="24"/>
      <c r="E92" s="24"/>
      <c r="F92" s="24" t="str">
        <f>IFERROR(__xludf.DUMMYFUNCTION("""COMPUTED_VALUE"""),"WA ODE ULFINA")</f>
        <v>WA ODE ULFINA</v>
      </c>
      <c r="G92" s="24" t="str">
        <f>IFERROR(__xludf.DUMMYFUNCTION("""COMPUTED_VALUE"""),"7403186203080002")</f>
        <v>7403186203080002</v>
      </c>
      <c r="H92" s="24"/>
      <c r="I92" s="24"/>
      <c r="J92" s="24" t="str">
        <f>IFERROR(__xludf.DUMMYFUNCTION("""COMPUTED_VALUE"""),"PEREMPUAN")</f>
        <v>PEREMPUAN</v>
      </c>
      <c r="K92" s="24" t="str">
        <f>IFERROR(__xludf.DUMMYFUNCTION("""COMPUTED_VALUE"""),"Jl. Kancil")</f>
        <v>Jl. Kancil</v>
      </c>
      <c r="L92" s="24"/>
      <c r="M92" s="24"/>
      <c r="N92" s="24" t="str">
        <f>IFERROR(__xludf.DUMMYFUNCTION("""COMPUTED_VALUE"""),"SMA / SMK / MA")</f>
        <v>SMA / SMK / MA</v>
      </c>
      <c r="O92" s="24"/>
      <c r="P92" s="24"/>
      <c r="Q92" s="24"/>
      <c r="R92" s="24" t="str">
        <f>IFERROR(__xludf.DUMMYFUNCTION("""COMPUTED_VALUE"""),"K")</f>
        <v>K</v>
      </c>
      <c r="S92" s="25" t="str">
        <f>IFERROR(__xludf.DUMMYFUNCTION("""COMPUTED_VALUE"""),"Selesai")</f>
        <v>Selesai</v>
      </c>
    </row>
    <row r="93" ht="22.5" customHeight="1">
      <c r="A93" s="22">
        <v>92.0</v>
      </c>
      <c r="B93" s="24" t="str">
        <f>IFERROR(__xludf.DUMMYFUNCTION("""COMPUTED_VALUE"""),"Menjahit Pakaian Wanita Dewasa")</f>
        <v>Menjahit Pakaian Wanita Dewasa</v>
      </c>
      <c r="C93" s="24" t="str">
        <f>IFERROR(__xludf.DUMMYFUNCTION("""COMPUTED_VALUE"""),"SMK Negeri 3 Muna")</f>
        <v>SMK Negeri 3 Muna</v>
      </c>
      <c r="D93" s="24"/>
      <c r="E93" s="24"/>
      <c r="F93" s="24" t="str">
        <f>IFERROR(__xludf.DUMMYFUNCTION("""COMPUTED_VALUE"""),"WA DO ADEODATA")</f>
        <v>WA DO ADEODATA</v>
      </c>
      <c r="G93" s="24" t="str">
        <f>IFERROR(__xludf.DUMMYFUNCTION("""COMPUTED_VALUE"""),"7403224905080001")</f>
        <v>7403224905080001</v>
      </c>
      <c r="H93" s="24"/>
      <c r="I93" s="24"/>
      <c r="J93" s="24" t="str">
        <f>IFERROR(__xludf.DUMMYFUNCTION("""COMPUTED_VALUE"""),"PEREMPUAN")</f>
        <v>PEREMPUAN</v>
      </c>
      <c r="K93" s="24" t="str">
        <f>IFERROR(__xludf.DUMMYFUNCTION("""COMPUTED_VALUE"""),"Jl. Jendral Sudirman No. 8")</f>
        <v>Jl. Jendral Sudirman No. 8</v>
      </c>
      <c r="L93" s="24"/>
      <c r="M93" s="24"/>
      <c r="N93" s="24" t="str">
        <f>IFERROR(__xludf.DUMMYFUNCTION("""COMPUTED_VALUE"""),"SMA / SMK / MA")</f>
        <v>SMA / SMK / MA</v>
      </c>
      <c r="O93" s="24"/>
      <c r="P93" s="24"/>
      <c r="Q93" s="24"/>
      <c r="R93" s="24" t="str">
        <f>IFERROR(__xludf.DUMMYFUNCTION("""COMPUTED_VALUE"""),"K")</f>
        <v>K</v>
      </c>
      <c r="S93" s="25" t="str">
        <f>IFERROR(__xludf.DUMMYFUNCTION("""COMPUTED_VALUE"""),"Selesai")</f>
        <v>Selesai</v>
      </c>
    </row>
    <row r="94" ht="22.5" customHeight="1">
      <c r="A94" s="22">
        <v>93.0</v>
      </c>
      <c r="B94" s="24" t="str">
        <f>IFERROR(__xludf.DUMMYFUNCTION("""COMPUTED_VALUE"""),"Menjahit Pakaian Wanita Dewasa")</f>
        <v>Menjahit Pakaian Wanita Dewasa</v>
      </c>
      <c r="C94" s="24" t="str">
        <f>IFERROR(__xludf.DUMMYFUNCTION("""COMPUTED_VALUE"""),"SMK Negeri 3 Muna")</f>
        <v>SMK Negeri 3 Muna</v>
      </c>
      <c r="D94" s="24"/>
      <c r="E94" s="24"/>
      <c r="F94" s="24" t="str">
        <f>IFERROR(__xludf.DUMMYFUNCTION("""COMPUTED_VALUE"""),"WULANDARI")</f>
        <v>WULANDARI</v>
      </c>
      <c r="G94" s="24" t="str">
        <f>IFERROR(__xludf.DUMMYFUNCTION("""COMPUTED_VALUE"""),"7403185009080002")</f>
        <v>7403185009080002</v>
      </c>
      <c r="H94" s="24"/>
      <c r="I94" s="24"/>
      <c r="J94" s="24" t="str">
        <f>IFERROR(__xludf.DUMMYFUNCTION("""COMPUTED_VALUE"""),"PEREMPUAN")</f>
        <v>PEREMPUAN</v>
      </c>
      <c r="K94" s="24" t="str">
        <f>IFERROR(__xludf.DUMMYFUNCTION("""COMPUTED_VALUE"""),"Desa Korihi")</f>
        <v>Desa Korihi</v>
      </c>
      <c r="L94" s="24"/>
      <c r="M94" s="24"/>
      <c r="N94" s="24" t="str">
        <f>IFERROR(__xludf.DUMMYFUNCTION("""COMPUTED_VALUE"""),"SMA / SMK / MA")</f>
        <v>SMA / SMK / MA</v>
      </c>
      <c r="O94" s="24"/>
      <c r="P94" s="24"/>
      <c r="Q94" s="24"/>
      <c r="R94" s="24" t="str">
        <f>IFERROR(__xludf.DUMMYFUNCTION("""COMPUTED_VALUE"""),"K")</f>
        <v>K</v>
      </c>
      <c r="S94" s="25" t="str">
        <f>IFERROR(__xludf.DUMMYFUNCTION("""COMPUTED_VALUE"""),"Selesai")</f>
        <v>Selesai</v>
      </c>
    </row>
    <row r="95" ht="22.5" customHeight="1">
      <c r="A95" s="22">
        <v>94.0</v>
      </c>
      <c r="B95" s="24" t="str">
        <f>IFERROR(__xludf.DUMMYFUNCTION("""COMPUTED_VALUE"""),"Menjahit Pakaian Wanita Dewasa")</f>
        <v>Menjahit Pakaian Wanita Dewasa</v>
      </c>
      <c r="C95" s="24" t="str">
        <f>IFERROR(__xludf.DUMMYFUNCTION("""COMPUTED_VALUE"""),"SMK Negeri 3 Muna")</f>
        <v>SMK Negeri 3 Muna</v>
      </c>
      <c r="D95" s="24"/>
      <c r="E95" s="24"/>
      <c r="F95" s="24" t="str">
        <f>IFERROR(__xludf.DUMMYFUNCTION("""COMPUTED_VALUE"""),"YOSEFAMO RENANDRO MEDA")</f>
        <v>YOSEFAMO RENANDRO MEDA</v>
      </c>
      <c r="G95" s="24" t="str">
        <f>IFERROR(__xludf.DUMMYFUNCTION("""COMPUTED_VALUE"""),"7404075903080001")</f>
        <v>7404075903080001</v>
      </c>
      <c r="H95" s="24"/>
      <c r="I95" s="24"/>
      <c r="J95" s="24" t="str">
        <f>IFERROR(__xludf.DUMMYFUNCTION("""COMPUTED_VALUE"""),"PEREMPUAN")</f>
        <v>PEREMPUAN</v>
      </c>
      <c r="K95" s="24" t="str">
        <f>IFERROR(__xludf.DUMMYFUNCTION("""COMPUTED_VALUE"""),"Jalan Jenderal Sudirman")</f>
        <v>Jalan Jenderal Sudirman</v>
      </c>
      <c r="L95" s="24"/>
      <c r="M95" s="24"/>
      <c r="N95" s="24" t="str">
        <f>IFERROR(__xludf.DUMMYFUNCTION("""COMPUTED_VALUE"""),"SMA / SMK / MA")</f>
        <v>SMA / SMK / MA</v>
      </c>
      <c r="O95" s="24"/>
      <c r="P95" s="24"/>
      <c r="Q95" s="24"/>
      <c r="R95" s="24" t="str">
        <f>IFERROR(__xludf.DUMMYFUNCTION("""COMPUTED_VALUE"""),"K")</f>
        <v>K</v>
      </c>
      <c r="S95" s="25" t="str">
        <f>IFERROR(__xludf.DUMMYFUNCTION("""COMPUTED_VALUE"""),"Selesai")</f>
        <v>Selesai</v>
      </c>
    </row>
    <row r="96" ht="22.5" customHeight="1">
      <c r="A96" s="22">
        <v>95.0</v>
      </c>
      <c r="B96" s="24" t="str">
        <f>IFERROR(__xludf.DUMMYFUNCTION("""COMPUTED_VALUE"""),"Menjahit Pakaian Wanita Dewasa")</f>
        <v>Menjahit Pakaian Wanita Dewasa</v>
      </c>
      <c r="C96" s="24" t="str">
        <f>IFERROR(__xludf.DUMMYFUNCTION("""COMPUTED_VALUE"""),"SMK Negeri 3 Muna")</f>
        <v>SMK Negeri 3 Muna</v>
      </c>
      <c r="D96" s="24"/>
      <c r="E96" s="24"/>
      <c r="F96" s="24" t="str">
        <f>IFERROR(__xludf.DUMMYFUNCTION("""COMPUTED_VALUE"""),"ZAHRA OCTAVIA BURANSA")</f>
        <v>ZAHRA OCTAVIA BURANSA</v>
      </c>
      <c r="G96" s="24" t="str">
        <f>IFERROR(__xludf.DUMMYFUNCTION("""COMPUTED_VALUE"""),"7403155610080001")</f>
        <v>7403155610080001</v>
      </c>
      <c r="H96" s="24"/>
      <c r="I96" s="24"/>
      <c r="J96" s="24" t="str">
        <f>IFERROR(__xludf.DUMMYFUNCTION("""COMPUTED_VALUE"""),"PEREMPUAN")</f>
        <v>PEREMPUAN</v>
      </c>
      <c r="K96" s="24" t="str">
        <f>IFERROR(__xludf.DUMMYFUNCTION("""COMPUTED_VALUE"""),"Desa Lasalepa")</f>
        <v>Desa Lasalepa</v>
      </c>
      <c r="L96" s="24"/>
      <c r="M96" s="24"/>
      <c r="N96" s="24" t="str">
        <f>IFERROR(__xludf.DUMMYFUNCTION("""COMPUTED_VALUE"""),"SMA / SMK / MA")</f>
        <v>SMA / SMK / MA</v>
      </c>
      <c r="O96" s="24"/>
      <c r="P96" s="24"/>
      <c r="Q96" s="24"/>
      <c r="R96" s="24" t="str">
        <f>IFERROR(__xludf.DUMMYFUNCTION("""COMPUTED_VALUE"""),"K")</f>
        <v>K</v>
      </c>
      <c r="S96" s="25" t="str">
        <f>IFERROR(__xludf.DUMMYFUNCTION("""COMPUTED_VALUE"""),"Selesai")</f>
        <v>Selesai</v>
      </c>
    </row>
    <row r="97" ht="22.5" customHeight="1">
      <c r="A97" s="22">
        <v>96.0</v>
      </c>
      <c r="B97" s="24" t="str">
        <f>IFERROR(__xludf.DUMMYFUNCTION("""COMPUTED_VALUE"""),"Menjahit Pakaian Wanita Dewasa")</f>
        <v>Menjahit Pakaian Wanita Dewasa</v>
      </c>
      <c r="C97" s="24" t="str">
        <f>IFERROR(__xludf.DUMMYFUNCTION("""COMPUTED_VALUE"""),"SMK Negeri 3 Muna")</f>
        <v>SMK Negeri 3 Muna</v>
      </c>
      <c r="D97" s="24"/>
      <c r="E97" s="24"/>
      <c r="F97" s="24" t="str">
        <f>IFERROR(__xludf.DUMMYFUNCTION("""COMPUTED_VALUE"""),"ZAHRA WARDANI")</f>
        <v>ZAHRA WARDANI</v>
      </c>
      <c r="G97" s="24" t="str">
        <f>IFERROR(__xludf.DUMMYFUNCTION("""COMPUTED_VALUE"""),"7403106212070201")</f>
        <v>7403106212070201</v>
      </c>
      <c r="H97" s="24"/>
      <c r="I97" s="24"/>
      <c r="J97" s="24" t="str">
        <f>IFERROR(__xludf.DUMMYFUNCTION("""COMPUTED_VALUE"""),"PEREMPUAN")</f>
        <v>PEREMPUAN</v>
      </c>
      <c r="K97" s="24" t="str">
        <f>IFERROR(__xludf.DUMMYFUNCTION("""COMPUTED_VALUE"""),"Jln. Wirabuana, Desa Wawesa")</f>
        <v>Jln. Wirabuana, Desa Wawesa</v>
      </c>
      <c r="L97" s="24"/>
      <c r="M97" s="24"/>
      <c r="N97" s="24" t="str">
        <f>IFERROR(__xludf.DUMMYFUNCTION("""COMPUTED_VALUE"""),"SMA / SMK / MA")</f>
        <v>SMA / SMK / MA</v>
      </c>
      <c r="O97" s="24"/>
      <c r="P97" s="24"/>
      <c r="Q97" s="24"/>
      <c r="R97" s="24" t="str">
        <f>IFERROR(__xludf.DUMMYFUNCTION("""COMPUTED_VALUE"""),"K")</f>
        <v>K</v>
      </c>
      <c r="S97" s="25" t="str">
        <f>IFERROR(__xludf.DUMMYFUNCTION("""COMPUTED_VALUE"""),"Selesai")</f>
        <v>Selesai</v>
      </c>
    </row>
    <row r="98" ht="22.5" customHeight="1">
      <c r="A98" s="22">
        <v>97.0</v>
      </c>
      <c r="B98" s="24" t="str">
        <f>IFERROR(__xludf.DUMMYFUNCTION("""COMPUTED_VALUE"""),"Menjahit Pakaian Wanita Dewasa")</f>
        <v>Menjahit Pakaian Wanita Dewasa</v>
      </c>
      <c r="C98" s="24" t="str">
        <f>IFERROR(__xludf.DUMMYFUNCTION("""COMPUTED_VALUE"""),"SMK Negeri 3 Muna")</f>
        <v>SMK Negeri 3 Muna</v>
      </c>
      <c r="D98" s="24"/>
      <c r="E98" s="24"/>
      <c r="F98" s="24" t="str">
        <f>IFERROR(__xludf.DUMMYFUNCTION("""COMPUTED_VALUE"""),"SITTI  SUKARWIN")</f>
        <v>SITTI  SUKARWIN</v>
      </c>
      <c r="G98" s="24" t="str">
        <f>IFERROR(__xludf.DUMMYFUNCTION("""COMPUTED_VALUE"""),"7403156706770001")</f>
        <v>7403156706770001</v>
      </c>
      <c r="H98" s="24"/>
      <c r="I98" s="24"/>
      <c r="J98" s="24" t="str">
        <f>IFERROR(__xludf.DUMMYFUNCTION("""COMPUTED_VALUE"""),"PEREMPUAN")</f>
        <v>PEREMPUAN</v>
      </c>
      <c r="K98" s="24" t="str">
        <f>IFERROR(__xludf.DUMMYFUNCTION("""COMPUTED_VALUE"""),"Jl. Kartika, Kelurahan Sidodar, Kec. Batalaiworu, Kab. Muna")</f>
        <v>Jl. Kartika, Kelurahan Sidodar, Kec. Batalaiworu, Kab. Muna</v>
      </c>
      <c r="L98" s="24"/>
      <c r="M98" s="24"/>
      <c r="N98" s="24" t="str">
        <f>IFERROR(__xludf.DUMMYFUNCTION("""COMPUTED_VALUE"""),"SMA / SMK / MA")</f>
        <v>SMA / SMK / MA</v>
      </c>
      <c r="O98" s="24"/>
      <c r="P98" s="24"/>
      <c r="Q98" s="24"/>
      <c r="R98" s="24" t="str">
        <f>IFERROR(__xludf.DUMMYFUNCTION("""COMPUTED_VALUE"""),"K")</f>
        <v>K</v>
      </c>
      <c r="S98" s="25" t="str">
        <f>IFERROR(__xludf.DUMMYFUNCTION("""COMPUTED_VALUE"""),"Selesai")</f>
        <v>Selesai</v>
      </c>
    </row>
    <row r="99" ht="22.5" customHeight="1">
      <c r="A99" s="22">
        <v>98.0</v>
      </c>
      <c r="B99" s="24" t="str">
        <f>IFERROR(__xludf.DUMMYFUNCTION("""COMPUTED_VALUE"""),"Menjahit Pakaian Wanita Dewasa")</f>
        <v>Menjahit Pakaian Wanita Dewasa</v>
      </c>
      <c r="C99" s="24" t="str">
        <f>IFERROR(__xludf.DUMMYFUNCTION("""COMPUTED_VALUE"""),"SMK Negeri 3 Muna")</f>
        <v>SMK Negeri 3 Muna</v>
      </c>
      <c r="D99" s="24"/>
      <c r="E99" s="24"/>
      <c r="F99" s="24" t="str">
        <f>IFERROR(__xludf.DUMMYFUNCTION("""COMPUTED_VALUE"""),"LISRATINI")</f>
        <v>LISRATINI</v>
      </c>
      <c r="G99" s="24" t="str">
        <f>IFERROR(__xludf.DUMMYFUNCTION("""COMPUTED_VALUE"""),"7403166104830001")</f>
        <v>7403166104830001</v>
      </c>
      <c r="H99" s="24"/>
      <c r="I99" s="24"/>
      <c r="J99" s="24" t="str">
        <f>IFERROR(__xludf.DUMMYFUNCTION("""COMPUTED_VALUE"""),"PEREMPUAN")</f>
        <v>PEREMPUAN</v>
      </c>
      <c r="K99" s="24" t="str">
        <f>IFERROR(__xludf.DUMMYFUNCTION("""COMPUTED_VALUE"""),"Jl. Sawerigading")</f>
        <v>Jl. Sawerigading</v>
      </c>
      <c r="L99" s="24"/>
      <c r="M99" s="24"/>
      <c r="N99" s="24" t="str">
        <f>IFERROR(__xludf.DUMMYFUNCTION("""COMPUTED_VALUE"""),"SMA / SMK / MA")</f>
        <v>SMA / SMK / MA</v>
      </c>
      <c r="O99" s="24"/>
      <c r="P99" s="24"/>
      <c r="Q99" s="24"/>
      <c r="R99" s="24" t="str">
        <f>IFERROR(__xludf.DUMMYFUNCTION("""COMPUTED_VALUE"""),"K")</f>
        <v>K</v>
      </c>
      <c r="S99" s="25" t="str">
        <f>IFERROR(__xludf.DUMMYFUNCTION("""COMPUTED_VALUE"""),"Selesai")</f>
        <v>Selesai</v>
      </c>
    </row>
    <row r="100" ht="22.5" customHeight="1">
      <c r="A100" s="22">
        <v>99.0</v>
      </c>
      <c r="B100" s="24" t="str">
        <f>IFERROR(__xludf.DUMMYFUNCTION("""COMPUTED_VALUE"""),"Menjahit Pakaian Wanita Dewasa")</f>
        <v>Menjahit Pakaian Wanita Dewasa</v>
      </c>
      <c r="C100" s="24" t="str">
        <f>IFERROR(__xludf.DUMMYFUNCTION("""COMPUTED_VALUE"""),"SMK Negeri 3 Muna")</f>
        <v>SMK Negeri 3 Muna</v>
      </c>
      <c r="D100" s="24"/>
      <c r="E100" s="24"/>
      <c r="F100" s="24" t="str">
        <f>IFERROR(__xludf.DUMMYFUNCTION("""COMPUTED_VALUE"""),"FAUZIA BAGI")</f>
        <v>FAUZIA BAGI</v>
      </c>
      <c r="G100" s="24" t="str">
        <f>IFERROR(__xludf.DUMMYFUNCTION("""COMPUTED_VALUE"""),"7403194305740201")</f>
        <v>7403194305740201</v>
      </c>
      <c r="H100" s="24"/>
      <c r="I100" s="24"/>
      <c r="J100" s="24" t="str">
        <f>IFERROR(__xludf.DUMMYFUNCTION("""COMPUTED_VALUE"""),"PEREMPUAN")</f>
        <v>PEREMPUAN</v>
      </c>
      <c r="K100" s="24" t="str">
        <f>IFERROR(__xludf.DUMMYFUNCTION("""COMPUTED_VALUE"""),"Jln. Lumba-Lumba")</f>
        <v>Jln. Lumba-Lumba</v>
      </c>
      <c r="L100" s="24"/>
      <c r="M100" s="24"/>
      <c r="N100" s="24" t="str">
        <f>IFERROR(__xludf.DUMMYFUNCTION("""COMPUTED_VALUE"""),"SMA / SMK / MA")</f>
        <v>SMA / SMK / MA</v>
      </c>
      <c r="O100" s="24"/>
      <c r="P100" s="24"/>
      <c r="Q100" s="24"/>
      <c r="R100" s="24" t="str">
        <f>IFERROR(__xludf.DUMMYFUNCTION("""COMPUTED_VALUE"""),"K")</f>
        <v>K</v>
      </c>
      <c r="S100" s="25" t="str">
        <f>IFERROR(__xludf.DUMMYFUNCTION("""COMPUTED_VALUE"""),"Selesai")</f>
        <v>Selesai</v>
      </c>
    </row>
    <row r="101" ht="22.5" customHeight="1">
      <c r="A101" s="22">
        <v>100.0</v>
      </c>
      <c r="B101" s="24" t="str">
        <f>IFERROR(__xludf.DUMMYFUNCTION("""COMPUTED_VALUE"""),"Menjahit Pakaian Wanita Dewasa")</f>
        <v>Menjahit Pakaian Wanita Dewasa</v>
      </c>
      <c r="C101" s="24" t="str">
        <f>IFERROR(__xludf.DUMMYFUNCTION("""COMPUTED_VALUE"""),"SMK Negeri 3 Muna")</f>
        <v>SMK Negeri 3 Muna</v>
      </c>
      <c r="D101" s="24"/>
      <c r="E101" s="24"/>
      <c r="F101" s="24" t="str">
        <f>IFERROR(__xludf.DUMMYFUNCTION("""COMPUTED_VALUE"""),"WA ODE KARMILA")</f>
        <v>WA ODE KARMILA</v>
      </c>
      <c r="G101" s="24" t="str">
        <f>IFERROR(__xludf.DUMMYFUNCTION("""COMPUTED_VALUE"""),"7403185005930001")</f>
        <v>7403185005930001</v>
      </c>
      <c r="H101" s="24"/>
      <c r="I101" s="24"/>
      <c r="J101" s="24" t="str">
        <f>IFERROR(__xludf.DUMMYFUNCTION("""COMPUTED_VALUE"""),"PEREMPUAN")</f>
        <v>PEREMPUAN</v>
      </c>
      <c r="K101" s="24" t="str">
        <f>IFERROR(__xludf.DUMMYFUNCTION("""COMPUTED_VALUE"""),"Desa Mabolu, Kec. Lohia")</f>
        <v>Desa Mabolu, Kec. Lohia</v>
      </c>
      <c r="L101" s="24"/>
      <c r="M101" s="24"/>
      <c r="N101" s="24" t="str">
        <f>IFERROR(__xludf.DUMMYFUNCTION("""COMPUTED_VALUE"""),"SMA / SMK / MA")</f>
        <v>SMA / SMK / MA</v>
      </c>
      <c r="O101" s="24"/>
      <c r="P101" s="24"/>
      <c r="Q101" s="24"/>
      <c r="R101" s="24" t="str">
        <f>IFERROR(__xludf.DUMMYFUNCTION("""COMPUTED_VALUE"""),"K")</f>
        <v>K</v>
      </c>
      <c r="S101" s="25" t="str">
        <f>IFERROR(__xludf.DUMMYFUNCTION("""COMPUTED_VALUE"""),"Selesai")</f>
        <v>Selesai</v>
      </c>
    </row>
    <row r="102" ht="22.5" customHeight="1">
      <c r="A102" s="22">
        <v>101.0</v>
      </c>
      <c r="B102" s="24" t="str">
        <f>IFERROR(__xludf.DUMMYFUNCTION("""COMPUTED_VALUE"""),"Menjahit Pakaian Wanita Dewasa")</f>
        <v>Menjahit Pakaian Wanita Dewasa</v>
      </c>
      <c r="C102" s="24" t="str">
        <f>IFERROR(__xludf.DUMMYFUNCTION("""COMPUTED_VALUE"""),"SMK Negeri 3 Muna")</f>
        <v>SMK Negeri 3 Muna</v>
      </c>
      <c r="D102" s="24"/>
      <c r="E102" s="24"/>
      <c r="F102" s="24" t="str">
        <f>IFERROR(__xludf.DUMMYFUNCTION("""COMPUTED_VALUE"""),"WA ODE DIAN PUSPITA MADUN")</f>
        <v>WA ODE DIAN PUSPITA MADUN</v>
      </c>
      <c r="G102" s="24" t="str">
        <f>IFERROR(__xludf.DUMMYFUNCTION("""COMPUTED_VALUE"""),"7403156704000001")</f>
        <v>7403156704000001</v>
      </c>
      <c r="H102" s="24"/>
      <c r="I102" s="24"/>
      <c r="J102" s="24" t="str">
        <f>IFERROR(__xludf.DUMMYFUNCTION("""COMPUTED_VALUE"""),"PEREMPUAN")</f>
        <v>PEREMPUAN</v>
      </c>
      <c r="K102" s="24" t="str">
        <f>IFERROR(__xludf.DUMMYFUNCTION("""COMPUTED_VALUE"""),"Jl. Wirabuana")</f>
        <v>Jl. Wirabuana</v>
      </c>
      <c r="L102" s="24"/>
      <c r="M102" s="24"/>
      <c r="N102" s="24" t="str">
        <f>IFERROR(__xludf.DUMMYFUNCTION("""COMPUTED_VALUE"""),"SMA / SMK / MA")</f>
        <v>SMA / SMK / MA</v>
      </c>
      <c r="O102" s="24"/>
      <c r="P102" s="24"/>
      <c r="Q102" s="24"/>
      <c r="R102" s="24" t="str">
        <f>IFERROR(__xludf.DUMMYFUNCTION("""COMPUTED_VALUE"""),"K")</f>
        <v>K</v>
      </c>
      <c r="S102" s="25" t="str">
        <f>IFERROR(__xludf.DUMMYFUNCTION("""COMPUTED_VALUE"""),"Selesai")</f>
        <v>Selesai</v>
      </c>
    </row>
    <row r="103" ht="22.5" customHeight="1">
      <c r="A103" s="22">
        <v>102.0</v>
      </c>
      <c r="B103" s="24" t="str">
        <f>IFERROR(__xludf.DUMMYFUNCTION("""COMPUTED_VALUE"""),"Pembuatan Roti dan Kue")</f>
        <v>Pembuatan Roti dan Kue</v>
      </c>
      <c r="C103" s="24" t="str">
        <f>IFERROR(__xludf.DUMMYFUNCTION("""COMPUTED_VALUE"""),"SMK Negeri 3 Muna")</f>
        <v>SMK Negeri 3 Muna</v>
      </c>
      <c r="D103" s="24"/>
      <c r="E103" s="24"/>
      <c r="F103" s="24" t="str">
        <f>IFERROR(__xludf.DUMMYFUNCTION("""COMPUTED_VALUE"""),"HASLINDA")</f>
        <v>HASLINDA</v>
      </c>
      <c r="G103" s="24" t="str">
        <f>IFERROR(__xludf.DUMMYFUNCTION("""COMPUTED_VALUE"""),"7403256307040001")</f>
        <v>7403256307040001</v>
      </c>
      <c r="H103" s="24"/>
      <c r="I103" s="24"/>
      <c r="J103" s="24" t="str">
        <f>IFERROR(__xludf.DUMMYFUNCTION("""COMPUTED_VALUE"""),"PEREMPUAN")</f>
        <v>PEREMPUAN</v>
      </c>
      <c r="K103" s="24" t="str">
        <f>IFERROR(__xludf.DUMMYFUNCTION("""COMPUTED_VALUE"""),"SMKN 3 Muna")</f>
        <v>SMKN 3 Muna</v>
      </c>
      <c r="L103" s="24"/>
      <c r="M103" s="24"/>
      <c r="N103" s="24" t="str">
        <f>IFERROR(__xludf.DUMMYFUNCTION("""COMPUTED_VALUE"""),"SMA / SMK / MA")</f>
        <v>SMA / SMK / MA</v>
      </c>
      <c r="O103" s="24"/>
      <c r="P103" s="24"/>
      <c r="Q103" s="24"/>
      <c r="R103" s="24" t="str">
        <f>IFERROR(__xludf.DUMMYFUNCTION("""COMPUTED_VALUE"""),"K")</f>
        <v>K</v>
      </c>
      <c r="S103" s="25" t="str">
        <f>IFERROR(__xludf.DUMMYFUNCTION("""COMPUTED_VALUE"""),"Selesai")</f>
        <v>Selesai</v>
      </c>
    </row>
    <row r="104" ht="22.5" customHeight="1">
      <c r="A104" s="22">
        <v>103.0</v>
      </c>
      <c r="B104" s="24" t="str">
        <f>IFERROR(__xludf.DUMMYFUNCTION("""COMPUTED_VALUE"""),"Pembuatan Roti dan Kue")</f>
        <v>Pembuatan Roti dan Kue</v>
      </c>
      <c r="C104" s="24" t="str">
        <f>IFERROR(__xludf.DUMMYFUNCTION("""COMPUTED_VALUE"""),"SMK Negeri 3 Muna")</f>
        <v>SMK Negeri 3 Muna</v>
      </c>
      <c r="D104" s="24"/>
      <c r="E104" s="24"/>
      <c r="F104" s="24" t="str">
        <f>IFERROR(__xludf.DUMMYFUNCTION("""COMPUTED_VALUE"""),"SAFIRA")</f>
        <v>SAFIRA</v>
      </c>
      <c r="G104" s="24" t="str">
        <f>IFERROR(__xludf.DUMMYFUNCTION("""COMPUTED_VALUE"""),"7403164804040003")</f>
        <v>7403164804040003</v>
      </c>
      <c r="H104" s="24"/>
      <c r="I104" s="24"/>
      <c r="J104" s="24" t="str">
        <f>IFERROR(__xludf.DUMMYFUNCTION("""COMPUTED_VALUE"""),"PEREMPUAN")</f>
        <v>PEREMPUAN</v>
      </c>
      <c r="K104" s="24" t="str">
        <f>IFERROR(__xludf.DUMMYFUNCTION("""COMPUTED_VALUE"""),"SMKN 3 Muna")</f>
        <v>SMKN 3 Muna</v>
      </c>
      <c r="L104" s="24"/>
      <c r="M104" s="24"/>
      <c r="N104" s="24" t="str">
        <f>IFERROR(__xludf.DUMMYFUNCTION("""COMPUTED_VALUE"""),"SMA / SMK / MA")</f>
        <v>SMA / SMK / MA</v>
      </c>
      <c r="O104" s="24"/>
      <c r="P104" s="24"/>
      <c r="Q104" s="24"/>
      <c r="R104" s="24" t="str">
        <f>IFERROR(__xludf.DUMMYFUNCTION("""COMPUTED_VALUE"""),"K")</f>
        <v>K</v>
      </c>
      <c r="S104" s="25" t="str">
        <f>IFERROR(__xludf.DUMMYFUNCTION("""COMPUTED_VALUE"""),"Selesai")</f>
        <v>Selesai</v>
      </c>
    </row>
    <row r="105" ht="22.5" customHeight="1">
      <c r="A105" s="22">
        <v>104.0</v>
      </c>
      <c r="B105" s="24" t="str">
        <f>IFERROR(__xludf.DUMMYFUNCTION("""COMPUTED_VALUE"""),"Pembuatan Roti dan Kue")</f>
        <v>Pembuatan Roti dan Kue</v>
      </c>
      <c r="C105" s="24" t="str">
        <f>IFERROR(__xludf.DUMMYFUNCTION("""COMPUTED_VALUE"""),"SMK Negeri 3 Muna")</f>
        <v>SMK Negeri 3 Muna</v>
      </c>
      <c r="D105" s="24"/>
      <c r="E105" s="24"/>
      <c r="F105" s="24" t="str">
        <f>IFERROR(__xludf.DUMMYFUNCTION("""COMPUTED_VALUE"""),"SOVIA SUVANTY")</f>
        <v>SOVIA SUVANTY</v>
      </c>
      <c r="G105" s="24" t="str">
        <f>IFERROR(__xludf.DUMMYFUNCTION("""COMPUTED_VALUE"""),"7403315809080001")</f>
        <v>7403315809080001</v>
      </c>
      <c r="H105" s="24"/>
      <c r="I105" s="24"/>
      <c r="J105" s="24" t="str">
        <f>IFERROR(__xludf.DUMMYFUNCTION("""COMPUTED_VALUE"""),"PEREMPUAN")</f>
        <v>PEREMPUAN</v>
      </c>
      <c r="K105" s="24" t="str">
        <f>IFERROR(__xludf.DUMMYFUNCTION("""COMPUTED_VALUE"""),"SMKN 3 Muna")</f>
        <v>SMKN 3 Muna</v>
      </c>
      <c r="L105" s="24"/>
      <c r="M105" s="24"/>
      <c r="N105" s="24" t="str">
        <f>IFERROR(__xludf.DUMMYFUNCTION("""COMPUTED_VALUE"""),"SMA / SMK / MA")</f>
        <v>SMA / SMK / MA</v>
      </c>
      <c r="O105" s="24"/>
      <c r="P105" s="24"/>
      <c r="Q105" s="24"/>
      <c r="R105" s="24" t="str">
        <f>IFERROR(__xludf.DUMMYFUNCTION("""COMPUTED_VALUE"""),"K")</f>
        <v>K</v>
      </c>
      <c r="S105" s="25" t="str">
        <f>IFERROR(__xludf.DUMMYFUNCTION("""COMPUTED_VALUE"""),"Selesai")</f>
        <v>Selesai</v>
      </c>
    </row>
    <row r="106" ht="22.5" customHeight="1">
      <c r="A106" s="22">
        <v>105.0</v>
      </c>
      <c r="B106" s="24" t="str">
        <f>IFERROR(__xludf.DUMMYFUNCTION("""COMPUTED_VALUE"""),"Pembuatan Roti dan Kue")</f>
        <v>Pembuatan Roti dan Kue</v>
      </c>
      <c r="C106" s="24" t="str">
        <f>IFERROR(__xludf.DUMMYFUNCTION("""COMPUTED_VALUE"""),"SMK Negeri 3 Muna")</f>
        <v>SMK Negeri 3 Muna</v>
      </c>
      <c r="D106" s="24"/>
      <c r="E106" s="24"/>
      <c r="F106" s="24" t="str">
        <f>IFERROR(__xludf.DUMMYFUNCTION("""COMPUTED_VALUE"""),"WA NUNI KATARINA")</f>
        <v>WA NUNI KATARINA</v>
      </c>
      <c r="G106" s="24" t="str">
        <f>IFERROR(__xludf.DUMMYFUNCTION("""COMPUTED_VALUE"""),"7404055003060002")</f>
        <v>7404055003060002</v>
      </c>
      <c r="H106" s="24"/>
      <c r="I106" s="24"/>
      <c r="J106" s="24" t="str">
        <f>IFERROR(__xludf.DUMMYFUNCTION("""COMPUTED_VALUE"""),"PEREMPUAN")</f>
        <v>PEREMPUAN</v>
      </c>
      <c r="K106" s="24" t="str">
        <f>IFERROR(__xludf.DUMMYFUNCTION("""COMPUTED_VALUE"""),"SMKN 3 Muna")</f>
        <v>SMKN 3 Muna</v>
      </c>
      <c r="L106" s="24"/>
      <c r="M106" s="24"/>
      <c r="N106" s="24" t="str">
        <f>IFERROR(__xludf.DUMMYFUNCTION("""COMPUTED_VALUE"""),"SMA / SMK / MA")</f>
        <v>SMA / SMK / MA</v>
      </c>
      <c r="O106" s="24"/>
      <c r="P106" s="24"/>
      <c r="Q106" s="24"/>
      <c r="R106" s="24" t="str">
        <f>IFERROR(__xludf.DUMMYFUNCTION("""COMPUTED_VALUE"""),"K")</f>
        <v>K</v>
      </c>
      <c r="S106" s="25" t="str">
        <f>IFERROR(__xludf.DUMMYFUNCTION("""COMPUTED_VALUE"""),"Selesai")</f>
        <v>Selesai</v>
      </c>
    </row>
    <row r="107" ht="22.5" customHeight="1">
      <c r="A107" s="22">
        <v>106.0</v>
      </c>
      <c r="B107" s="24" t="str">
        <f>IFERROR(__xludf.DUMMYFUNCTION("""COMPUTED_VALUE"""),"Pembuatan Roti dan Kue")</f>
        <v>Pembuatan Roti dan Kue</v>
      </c>
      <c r="C107" s="24" t="str">
        <f>IFERROR(__xludf.DUMMYFUNCTION("""COMPUTED_VALUE"""),"SMK Negeri 3 Muna")</f>
        <v>SMK Negeri 3 Muna</v>
      </c>
      <c r="D107" s="24"/>
      <c r="E107" s="24"/>
      <c r="F107" s="24" t="str">
        <f>IFERROR(__xludf.DUMMYFUNCTION("""COMPUTED_VALUE"""),"WA ODE WULANDARI")</f>
        <v>WA ODE WULANDARI</v>
      </c>
      <c r="G107" s="24" t="str">
        <f>IFERROR(__xludf.DUMMYFUNCTION("""COMPUTED_VALUE"""),"7403064401080001")</f>
        <v>7403064401080001</v>
      </c>
      <c r="H107" s="24"/>
      <c r="I107" s="24"/>
      <c r="J107" s="24" t="str">
        <f>IFERROR(__xludf.DUMMYFUNCTION("""COMPUTED_VALUE"""),"PEREMPUAN")</f>
        <v>PEREMPUAN</v>
      </c>
      <c r="K107" s="24" t="str">
        <f>IFERROR(__xludf.DUMMYFUNCTION("""COMPUTED_VALUE"""),"Desa Lambiku")</f>
        <v>Desa Lambiku</v>
      </c>
      <c r="L107" s="24"/>
      <c r="M107" s="24"/>
      <c r="N107" s="24" t="str">
        <f>IFERROR(__xludf.DUMMYFUNCTION("""COMPUTED_VALUE"""),"SMA / SMK / MA")</f>
        <v>SMA / SMK / MA</v>
      </c>
      <c r="O107" s="24"/>
      <c r="P107" s="24"/>
      <c r="Q107" s="24"/>
      <c r="R107" s="24" t="str">
        <f>IFERROR(__xludf.DUMMYFUNCTION("""COMPUTED_VALUE"""),"K")</f>
        <v>K</v>
      </c>
      <c r="S107" s="25" t="str">
        <f>IFERROR(__xludf.DUMMYFUNCTION("""COMPUTED_VALUE"""),"Selesai")</f>
        <v>Selesai</v>
      </c>
    </row>
    <row r="108" ht="22.5" customHeight="1">
      <c r="A108" s="22">
        <v>107.0</v>
      </c>
      <c r="B108" s="24" t="str">
        <f>IFERROR(__xludf.DUMMYFUNCTION("""COMPUTED_VALUE"""),"Pembuatan Roti dan Kue")</f>
        <v>Pembuatan Roti dan Kue</v>
      </c>
      <c r="C108" s="24" t="str">
        <f>IFERROR(__xludf.DUMMYFUNCTION("""COMPUTED_VALUE"""),"SMK Negeri 3 Muna")</f>
        <v>SMK Negeri 3 Muna</v>
      </c>
      <c r="D108" s="24"/>
      <c r="E108" s="24"/>
      <c r="F108" s="24" t="str">
        <f>IFERROR(__xludf.DUMMYFUNCTION("""COMPUTED_VALUE"""),"YULIYA NAZA")</f>
        <v>YULIYA NAZA</v>
      </c>
      <c r="G108" s="24" t="str">
        <f>IFERROR(__xludf.DUMMYFUNCTION("""COMPUTED_VALUE"""),"7403156010080001")</f>
        <v>7403156010080001</v>
      </c>
      <c r="H108" s="24"/>
      <c r="I108" s="24"/>
      <c r="J108" s="24" t="str">
        <f>IFERROR(__xludf.DUMMYFUNCTION("""COMPUTED_VALUE"""),"PEREMPUAN")</f>
        <v>PEREMPUAN</v>
      </c>
      <c r="K108" s="24" t="str">
        <f>IFERROR(__xludf.DUMMYFUNCTION("""COMPUTED_VALUE"""),"jln Lumba-lumba, Raha")</f>
        <v>jln Lumba-lumba, Raha</v>
      </c>
      <c r="L108" s="24"/>
      <c r="M108" s="24"/>
      <c r="N108" s="24" t="str">
        <f>IFERROR(__xludf.DUMMYFUNCTION("""COMPUTED_VALUE"""),"SMA / SMK / MA")</f>
        <v>SMA / SMK / MA</v>
      </c>
      <c r="O108" s="24"/>
      <c r="P108" s="24"/>
      <c r="Q108" s="24"/>
      <c r="R108" s="24" t="str">
        <f>IFERROR(__xludf.DUMMYFUNCTION("""COMPUTED_VALUE"""),"K")</f>
        <v>K</v>
      </c>
      <c r="S108" s="25" t="str">
        <f>IFERROR(__xludf.DUMMYFUNCTION("""COMPUTED_VALUE"""),"Selesai")</f>
        <v>Selesai</v>
      </c>
    </row>
    <row r="109" ht="22.5" customHeight="1">
      <c r="A109" s="22">
        <v>108.0</v>
      </c>
      <c r="B109" s="24" t="str">
        <f>IFERROR(__xludf.DUMMYFUNCTION("""COMPUTED_VALUE"""),"Pembuatan Roti dan Kue")</f>
        <v>Pembuatan Roti dan Kue</v>
      </c>
      <c r="C109" s="24" t="str">
        <f>IFERROR(__xludf.DUMMYFUNCTION("""COMPUTED_VALUE"""),"SMK Negeri 3 Muna")</f>
        <v>SMK Negeri 3 Muna</v>
      </c>
      <c r="D109" s="24"/>
      <c r="E109" s="24"/>
      <c r="F109" s="24" t="str">
        <f>IFERROR(__xludf.DUMMYFUNCTION("""COMPUTED_VALUE"""),"ABIGAEL PAMEAN")</f>
        <v>ABIGAEL PAMEAN</v>
      </c>
      <c r="G109" s="24" t="str">
        <f>IFERROR(__xludf.DUMMYFUNCTION("""COMPUTED_VALUE"""),"7403116107730202")</f>
        <v>7403116107730202</v>
      </c>
      <c r="H109" s="24"/>
      <c r="I109" s="24"/>
      <c r="J109" s="24" t="str">
        <f>IFERROR(__xludf.DUMMYFUNCTION("""COMPUTED_VALUE"""),"PEREMPUAN")</f>
        <v>PEREMPUAN</v>
      </c>
      <c r="K109" s="24" t="str">
        <f>IFERROR(__xludf.DUMMYFUNCTION("""COMPUTED_VALUE"""),"jl. Paelangkuta Raha III")</f>
        <v>jl. Paelangkuta Raha III</v>
      </c>
      <c r="L109" s="24"/>
      <c r="M109" s="24"/>
      <c r="N109" s="24" t="str">
        <f>IFERROR(__xludf.DUMMYFUNCTION("""COMPUTED_VALUE"""),"SMA / SMK / MA")</f>
        <v>SMA / SMK / MA</v>
      </c>
      <c r="O109" s="24"/>
      <c r="P109" s="24"/>
      <c r="Q109" s="24"/>
      <c r="R109" s="24" t="str">
        <f>IFERROR(__xludf.DUMMYFUNCTION("""COMPUTED_VALUE"""),"K")</f>
        <v>K</v>
      </c>
      <c r="S109" s="25" t="str">
        <f>IFERROR(__xludf.DUMMYFUNCTION("""COMPUTED_VALUE"""),"Selesai")</f>
        <v>Selesai</v>
      </c>
    </row>
    <row r="110" ht="22.5" customHeight="1">
      <c r="A110" s="22">
        <v>109.0</v>
      </c>
      <c r="B110" s="24" t="str">
        <f>IFERROR(__xludf.DUMMYFUNCTION("""COMPUTED_VALUE"""),"Pembuatan Roti dan Kue")</f>
        <v>Pembuatan Roti dan Kue</v>
      </c>
      <c r="C110" s="24" t="str">
        <f>IFERROR(__xludf.DUMMYFUNCTION("""COMPUTED_VALUE"""),"SMK Negeri 3 Muna")</f>
        <v>SMK Negeri 3 Muna</v>
      </c>
      <c r="D110" s="24"/>
      <c r="E110" s="24"/>
      <c r="F110" s="24" t="str">
        <f>IFERROR(__xludf.DUMMYFUNCTION("""COMPUTED_VALUE"""),"SARNIA FEKUNDO")</f>
        <v>SARNIA FEKUNDO</v>
      </c>
      <c r="G110" s="24" t="str">
        <f>IFERROR(__xludf.DUMMYFUNCTION("""COMPUTED_VALUE"""),"7403164911790001")</f>
        <v>7403164911790001</v>
      </c>
      <c r="H110" s="24"/>
      <c r="I110" s="24"/>
      <c r="J110" s="24" t="str">
        <f>IFERROR(__xludf.DUMMYFUNCTION("""COMPUTED_VALUE"""),"PEREMPUAN")</f>
        <v>PEREMPUAN</v>
      </c>
      <c r="K110" s="24" t="str">
        <f>IFERROR(__xludf.DUMMYFUNCTION("""COMPUTED_VALUE"""),"jl. Sutan Syahrir")</f>
        <v>jl. Sutan Syahrir</v>
      </c>
      <c r="L110" s="24"/>
      <c r="M110" s="24"/>
      <c r="N110" s="24" t="str">
        <f>IFERROR(__xludf.DUMMYFUNCTION("""COMPUTED_VALUE"""),"SMA / SMK / MA")</f>
        <v>SMA / SMK / MA</v>
      </c>
      <c r="O110" s="24"/>
      <c r="P110" s="24"/>
      <c r="Q110" s="24"/>
      <c r="R110" s="24" t="str">
        <f>IFERROR(__xludf.DUMMYFUNCTION("""COMPUTED_VALUE"""),"K")</f>
        <v>K</v>
      </c>
      <c r="S110" s="25" t="str">
        <f>IFERROR(__xludf.DUMMYFUNCTION("""COMPUTED_VALUE"""),"Selesai")</f>
        <v>Selesai</v>
      </c>
    </row>
    <row r="111" ht="22.5" customHeight="1">
      <c r="A111" s="22">
        <v>110.0</v>
      </c>
      <c r="B111" s="24" t="str">
        <f>IFERROR(__xludf.DUMMYFUNCTION("""COMPUTED_VALUE"""),"Pembuatan Roti dan Kue")</f>
        <v>Pembuatan Roti dan Kue</v>
      </c>
      <c r="C111" s="24" t="str">
        <f>IFERROR(__xludf.DUMMYFUNCTION("""COMPUTED_VALUE"""),"SMK Negeri 3 Muna")</f>
        <v>SMK Negeri 3 Muna</v>
      </c>
      <c r="D111" s="24"/>
      <c r="E111" s="24"/>
      <c r="F111" s="24" t="str">
        <f>IFERROR(__xludf.DUMMYFUNCTION("""COMPUTED_VALUE"""),"NURUL FITRIANI")</f>
        <v>NURUL FITRIANI</v>
      </c>
      <c r="G111" s="24" t="str">
        <f>IFERROR(__xludf.DUMMYFUNCTION("""COMPUTED_VALUE"""),"7403106212680201")</f>
        <v>7403106212680201</v>
      </c>
      <c r="H111" s="24"/>
      <c r="I111" s="24"/>
      <c r="J111" s="24" t="str">
        <f>IFERROR(__xludf.DUMMYFUNCTION("""COMPUTED_VALUE"""),"PEREMPUAN")</f>
        <v>PEREMPUAN</v>
      </c>
      <c r="K111" s="24" t="str">
        <f>IFERROR(__xludf.DUMMYFUNCTION("""COMPUTED_VALUE"""),"jl. made sabara, batalaiworu, muna")</f>
        <v>jl. made sabara, batalaiworu, muna</v>
      </c>
      <c r="L111" s="24"/>
      <c r="M111" s="24"/>
      <c r="N111" s="24" t="str">
        <f>IFERROR(__xludf.DUMMYFUNCTION("""COMPUTED_VALUE"""),"SMA / SMK / MA")</f>
        <v>SMA / SMK / MA</v>
      </c>
      <c r="O111" s="24"/>
      <c r="P111" s="24"/>
      <c r="Q111" s="24"/>
      <c r="R111" s="24" t="str">
        <f>IFERROR(__xludf.DUMMYFUNCTION("""COMPUTED_VALUE"""),"K")</f>
        <v>K</v>
      </c>
      <c r="S111" s="25" t="str">
        <f>IFERROR(__xludf.DUMMYFUNCTION("""COMPUTED_VALUE"""),"Selesai")</f>
        <v>Selesai</v>
      </c>
    </row>
    <row r="112" ht="22.5" customHeight="1">
      <c r="A112" s="22">
        <v>111.0</v>
      </c>
      <c r="B112" s="24" t="str">
        <f>IFERROR(__xludf.DUMMYFUNCTION("""COMPUTED_VALUE"""),"Pemeliharaan Kendaraan Ringan Sistem Injeksi ")</f>
        <v>Pemeliharaan Kendaraan Ringan Sistem Injeksi </v>
      </c>
      <c r="C112" s="24" t="str">
        <f>IFERROR(__xludf.DUMMYFUNCTION("""COMPUTED_VALUE"""),"SMK Negeri 2 Kendari")</f>
        <v>SMK Negeri 2 Kendari</v>
      </c>
      <c r="D112" s="24"/>
      <c r="E112" s="24"/>
      <c r="F112" s="24" t="str">
        <f>IFERROR(__xludf.DUMMYFUNCTION("""COMPUTED_VALUE"""),"Ade Irasman")</f>
        <v>Ade Irasman</v>
      </c>
      <c r="G112" s="24" t="str">
        <f>IFERROR(__xludf.DUMMYFUNCTION("""COMPUTED_VALUE"""),"7403100807082275")</f>
        <v>7403100807082275</v>
      </c>
      <c r="H112" s="24"/>
      <c r="I112" s="24"/>
      <c r="J112" s="24" t="str">
        <f>IFERROR(__xludf.DUMMYFUNCTION("""COMPUTED_VALUE"""),"LAKI-LAKI")</f>
        <v>LAKI-LAKI</v>
      </c>
      <c r="K112" s="24" t="str">
        <f>IFERROR(__xludf.DUMMYFUNCTION("""COMPUTED_VALUE"""),"Jl. Budi Utomo Kemp. P210")</f>
        <v>Jl. Budi Utomo Kemp. P210</v>
      </c>
      <c r="L112" s="24"/>
      <c r="M112" s="24"/>
      <c r="N112" s="24" t="str">
        <f>IFERROR(__xludf.DUMMYFUNCTION("""COMPUTED_VALUE"""),"SMA / SMK / MA")</f>
        <v>SMA / SMK / MA</v>
      </c>
      <c r="O112" s="24"/>
      <c r="P112" s="24"/>
      <c r="Q112" s="24"/>
      <c r="R112" s="24" t="str">
        <f>IFERROR(__xludf.DUMMYFUNCTION("""COMPUTED_VALUE"""),"K")</f>
        <v>K</v>
      </c>
      <c r="S112" s="25" t="str">
        <f>IFERROR(__xludf.DUMMYFUNCTION("""COMPUTED_VALUE"""),"Selesai")</f>
        <v>Selesai</v>
      </c>
    </row>
    <row r="113" ht="22.5" customHeight="1">
      <c r="A113" s="22">
        <v>112.0</v>
      </c>
      <c r="B113" s="24" t="str">
        <f>IFERROR(__xludf.DUMMYFUNCTION("""COMPUTED_VALUE"""),"Pemeliharaan Kendaraan Ringan Sistem Injeksi ")</f>
        <v>Pemeliharaan Kendaraan Ringan Sistem Injeksi </v>
      </c>
      <c r="C113" s="24" t="str">
        <f>IFERROR(__xludf.DUMMYFUNCTION("""COMPUTED_VALUE"""),"SMK Negeri 2 Kendari")</f>
        <v>SMK Negeri 2 Kendari</v>
      </c>
      <c r="D113" s="24"/>
      <c r="E113" s="24"/>
      <c r="F113" s="24" t="str">
        <f>IFERROR(__xludf.DUMMYFUNCTION("""COMPUTED_VALUE"""),"Afgan")</f>
        <v>Afgan</v>
      </c>
      <c r="G113" s="24" t="str">
        <f>IFERROR(__xludf.DUMMYFUNCTION("""COMPUTED_VALUE"""),"7406100605080001")</f>
        <v>7406100605080001</v>
      </c>
      <c r="H113" s="24"/>
      <c r="I113" s="24"/>
      <c r="J113" s="24" t="str">
        <f>IFERROR(__xludf.DUMMYFUNCTION("""COMPUTED_VALUE"""),"LAKI-LAKI")</f>
        <v>LAKI-LAKI</v>
      </c>
      <c r="K113" s="24" t="str">
        <f>IFERROR(__xludf.DUMMYFUNCTION("""COMPUTED_VALUE"""),"Jl. BTN Unhalu Blok F No. 13")</f>
        <v>Jl. BTN Unhalu Blok F No. 13</v>
      </c>
      <c r="L113" s="24"/>
      <c r="M113" s="24"/>
      <c r="N113" s="24" t="str">
        <f>IFERROR(__xludf.DUMMYFUNCTION("""COMPUTED_VALUE"""),"SMA / SMK / MA")</f>
        <v>SMA / SMK / MA</v>
      </c>
      <c r="O113" s="24"/>
      <c r="P113" s="24"/>
      <c r="Q113" s="24"/>
      <c r="R113" s="24" t="str">
        <f>IFERROR(__xludf.DUMMYFUNCTION("""COMPUTED_VALUE"""),"K")</f>
        <v>K</v>
      </c>
      <c r="S113" s="25" t="str">
        <f>IFERROR(__xludf.DUMMYFUNCTION("""COMPUTED_VALUE"""),"Selesai")</f>
        <v>Selesai</v>
      </c>
    </row>
    <row r="114" ht="22.5" customHeight="1">
      <c r="A114" s="22">
        <v>113.0</v>
      </c>
      <c r="B114" s="24" t="str">
        <f>IFERROR(__xludf.DUMMYFUNCTION("""COMPUTED_VALUE"""),"Pemeliharaan Kendaraan Ringan Sistem Injeksi ")</f>
        <v>Pemeliharaan Kendaraan Ringan Sistem Injeksi </v>
      </c>
      <c r="C114" s="24" t="str">
        <f>IFERROR(__xludf.DUMMYFUNCTION("""COMPUTED_VALUE"""),"SMK Negeri 2 Kendari")</f>
        <v>SMK Negeri 2 Kendari</v>
      </c>
      <c r="D114" s="24"/>
      <c r="E114" s="24"/>
      <c r="F114" s="24" t="str">
        <f>IFERROR(__xludf.DUMMYFUNCTION("""COMPUTED_VALUE"""),"Alan Tinus Dua Lembang")</f>
        <v>Alan Tinus Dua Lembang</v>
      </c>
      <c r="G114" s="24" t="str">
        <f>IFERROR(__xludf.DUMMYFUNCTION("""COMPUTED_VALUE"""),"7402181306080001")</f>
        <v>7402181306080001</v>
      </c>
      <c r="H114" s="24"/>
      <c r="I114" s="24"/>
      <c r="J114" s="24" t="str">
        <f>IFERROR(__xludf.DUMMYFUNCTION("""COMPUTED_VALUE"""),"LAKI-LAKI")</f>
        <v>LAKI-LAKI</v>
      </c>
      <c r="K114" s="24" t="str">
        <f>IFERROR(__xludf.DUMMYFUNCTION("""COMPUTED_VALUE"""),"Jl. Jendral Ahmad Yani, Kec. Wua-wua")</f>
        <v>Jl. Jendral Ahmad Yani, Kec. Wua-wua</v>
      </c>
      <c r="L114" s="24"/>
      <c r="M114" s="24"/>
      <c r="N114" s="24" t="str">
        <f>IFERROR(__xludf.DUMMYFUNCTION("""COMPUTED_VALUE"""),"SMA / SMK / MA")</f>
        <v>SMA / SMK / MA</v>
      </c>
      <c r="O114" s="24"/>
      <c r="P114" s="24"/>
      <c r="Q114" s="24"/>
      <c r="R114" s="24" t="str">
        <f>IFERROR(__xludf.DUMMYFUNCTION("""COMPUTED_VALUE"""),"K")</f>
        <v>K</v>
      </c>
      <c r="S114" s="25" t="str">
        <f>IFERROR(__xludf.DUMMYFUNCTION("""COMPUTED_VALUE"""),"Selesai")</f>
        <v>Selesai</v>
      </c>
    </row>
    <row r="115" ht="22.5" customHeight="1">
      <c r="A115" s="22">
        <v>114.0</v>
      </c>
      <c r="B115" s="24" t="str">
        <f>IFERROR(__xludf.DUMMYFUNCTION("""COMPUTED_VALUE"""),"Pemeliharaan Kendaraan Ringan Sistem Injeksi ")</f>
        <v>Pemeliharaan Kendaraan Ringan Sistem Injeksi </v>
      </c>
      <c r="C115" s="24" t="str">
        <f>IFERROR(__xludf.DUMMYFUNCTION("""COMPUTED_VALUE"""),"SMK Negeri 2 Kendari")</f>
        <v>SMK Negeri 2 Kendari</v>
      </c>
      <c r="D115" s="24"/>
      <c r="E115" s="24"/>
      <c r="F115" s="24" t="str">
        <f>IFERROR(__xludf.DUMMYFUNCTION("""COMPUTED_VALUE"""),"Alif Fahri Adan D.")</f>
        <v>Alif Fahri Adan D.</v>
      </c>
      <c r="G115" s="24" t="str">
        <f>IFERROR(__xludf.DUMMYFUNCTION("""COMPUTED_VALUE"""),"7471425345200023")</f>
        <v>7471425345200023</v>
      </c>
      <c r="H115" s="24"/>
      <c r="I115" s="24"/>
      <c r="J115" s="24" t="str">
        <f>IFERROR(__xludf.DUMMYFUNCTION("""COMPUTED_VALUE"""),"PEREMPUAN")</f>
        <v>PEREMPUAN</v>
      </c>
      <c r="K115" s="24" t="str">
        <f>IFERROR(__xludf.DUMMYFUNCTION("""COMPUTED_VALUE"""),"Osumetundu")</f>
        <v>Osumetundu</v>
      </c>
      <c r="L115" s="24"/>
      <c r="M115" s="24"/>
      <c r="N115" s="24" t="str">
        <f>IFERROR(__xludf.DUMMYFUNCTION("""COMPUTED_VALUE"""),"SMA / SMK / MA")</f>
        <v>SMA / SMK / MA</v>
      </c>
      <c r="O115" s="24"/>
      <c r="P115" s="24"/>
      <c r="Q115" s="24"/>
      <c r="R115" s="24" t="str">
        <f>IFERROR(__xludf.DUMMYFUNCTION("""COMPUTED_VALUE"""),"BK")</f>
        <v>BK</v>
      </c>
      <c r="S115" s="25" t="str">
        <f>IFERROR(__xludf.DUMMYFUNCTION("""COMPUTED_VALUE"""),"Selesai")</f>
        <v>Selesai</v>
      </c>
    </row>
    <row r="116" ht="22.5" customHeight="1">
      <c r="A116" s="22">
        <v>115.0</v>
      </c>
      <c r="B116" s="24" t="str">
        <f>IFERROR(__xludf.DUMMYFUNCTION("""COMPUTED_VALUE"""),"Pemeliharaan Kendaraan Ringan Sistem Injeksi ")</f>
        <v>Pemeliharaan Kendaraan Ringan Sistem Injeksi </v>
      </c>
      <c r="C116" s="24" t="str">
        <f>IFERROR(__xludf.DUMMYFUNCTION("""COMPUTED_VALUE"""),"SMK Negeri 2 Kendari")</f>
        <v>SMK Negeri 2 Kendari</v>
      </c>
      <c r="D116" s="24"/>
      <c r="E116" s="24"/>
      <c r="F116" s="24" t="str">
        <f>IFERROR(__xludf.DUMMYFUNCTION("""COMPUTED_VALUE"""),"Amirul Hakim")</f>
        <v>Amirul Hakim</v>
      </c>
      <c r="G116" s="24" t="str">
        <f>IFERROR(__xludf.DUMMYFUNCTION("""COMPUTED_VALUE"""),"7306082507080004")</f>
        <v>7306082507080004</v>
      </c>
      <c r="H116" s="24"/>
      <c r="I116" s="24"/>
      <c r="J116" s="24" t="str">
        <f>IFERROR(__xludf.DUMMYFUNCTION("""COMPUTED_VALUE"""),"LAKI-LAKI")</f>
        <v>LAKI-LAKI</v>
      </c>
      <c r="K116" s="24" t="str">
        <f>IFERROR(__xludf.DUMMYFUNCTION("""COMPUTED_VALUE"""),"BTN Mutiara Athika Baruga Blok E04")</f>
        <v>BTN Mutiara Athika Baruga Blok E04</v>
      </c>
      <c r="L116" s="24"/>
      <c r="M116" s="24"/>
      <c r="N116" s="24" t="str">
        <f>IFERROR(__xludf.DUMMYFUNCTION("""COMPUTED_VALUE"""),"SMA / SMK / MA")</f>
        <v>SMA / SMK / MA</v>
      </c>
      <c r="O116" s="24"/>
      <c r="P116" s="24"/>
      <c r="Q116" s="24"/>
      <c r="R116" s="24" t="str">
        <f>IFERROR(__xludf.DUMMYFUNCTION("""COMPUTED_VALUE"""),"K")</f>
        <v>K</v>
      </c>
      <c r="S116" s="25" t="str">
        <f>IFERROR(__xludf.DUMMYFUNCTION("""COMPUTED_VALUE"""),"Selesai")</f>
        <v>Selesai</v>
      </c>
    </row>
    <row r="117" ht="22.5" customHeight="1">
      <c r="A117" s="22">
        <v>116.0</v>
      </c>
      <c r="B117" s="24" t="str">
        <f>IFERROR(__xludf.DUMMYFUNCTION("""COMPUTED_VALUE"""),"Pemeliharaan Kendaraan Ringan Sistem Injeksi ")</f>
        <v>Pemeliharaan Kendaraan Ringan Sistem Injeksi </v>
      </c>
      <c r="C117" s="24" t="str">
        <f>IFERROR(__xludf.DUMMYFUNCTION("""COMPUTED_VALUE"""),"SMK Negeri 2 Kendari")</f>
        <v>SMK Negeri 2 Kendari</v>
      </c>
      <c r="D117" s="24"/>
      <c r="E117" s="24"/>
      <c r="F117" s="24" t="str">
        <f>IFERROR(__xludf.DUMMYFUNCTION("""COMPUTED_VALUE"""),"Andi Muh Yahya. S")</f>
        <v>Andi Muh Yahya. S</v>
      </c>
      <c r="G117" s="24" t="str">
        <f>IFERROR(__xludf.DUMMYFUNCTION("""COMPUTED_VALUE"""),"7471010312090001")</f>
        <v>7471010312090001</v>
      </c>
      <c r="H117" s="24"/>
      <c r="I117" s="24"/>
      <c r="J117" s="24" t="str">
        <f>IFERROR(__xludf.DUMMYFUNCTION("""COMPUTED_VALUE"""),"LAKI-LAKI")</f>
        <v>LAKI-LAKI</v>
      </c>
      <c r="K117" s="24" t="str">
        <f>IFERROR(__xludf.DUMMYFUNCTION("""COMPUTED_VALUE"""),"Jln. Bersih Hatiku")</f>
        <v>Jln. Bersih Hatiku</v>
      </c>
      <c r="L117" s="24"/>
      <c r="M117" s="24"/>
      <c r="N117" s="24" t="str">
        <f>IFERROR(__xludf.DUMMYFUNCTION("""COMPUTED_VALUE"""),"SMA / SMK / MA")</f>
        <v>SMA / SMK / MA</v>
      </c>
      <c r="O117" s="24"/>
      <c r="P117" s="24"/>
      <c r="Q117" s="24"/>
      <c r="R117" s="24" t="str">
        <f>IFERROR(__xludf.DUMMYFUNCTION("""COMPUTED_VALUE"""),"K")</f>
        <v>K</v>
      </c>
      <c r="S117" s="25" t="str">
        <f>IFERROR(__xludf.DUMMYFUNCTION("""COMPUTED_VALUE"""),"Selesai")</f>
        <v>Selesai</v>
      </c>
    </row>
    <row r="118" ht="22.5" customHeight="1">
      <c r="A118" s="22">
        <v>117.0</v>
      </c>
      <c r="B118" s="24" t="str">
        <f>IFERROR(__xludf.DUMMYFUNCTION("""COMPUTED_VALUE"""),"Pemeliharaan Kendaraan Ringan Sistem Injeksi ")</f>
        <v>Pemeliharaan Kendaraan Ringan Sistem Injeksi </v>
      </c>
      <c r="C118" s="24" t="str">
        <f>IFERROR(__xludf.DUMMYFUNCTION("""COMPUTED_VALUE"""),"SMK Negeri 2 Kendari")</f>
        <v>SMK Negeri 2 Kendari</v>
      </c>
      <c r="D118" s="24"/>
      <c r="E118" s="24"/>
      <c r="F118" s="24" t="str">
        <f>IFERROR(__xludf.DUMMYFUNCTION("""COMPUTED_VALUE"""),"Arli")</f>
        <v>Arli</v>
      </c>
      <c r="G118" s="24" t="str">
        <f>IFERROR(__xludf.DUMMYFUNCTION("""COMPUTED_VALUE"""),"7471041109070001")</f>
        <v>7471041109070001</v>
      </c>
      <c r="H118" s="24"/>
      <c r="I118" s="24"/>
      <c r="J118" s="24" t="str">
        <f>IFERROR(__xludf.DUMMYFUNCTION("""COMPUTED_VALUE"""),"LAKI-LAKI")</f>
        <v>LAKI-LAKI</v>
      </c>
      <c r="K118" s="24" t="str">
        <f>IFERROR(__xludf.DUMMYFUNCTION("""COMPUTED_VALUE"""),"Jl. Kelapa Andonohu Poasia")</f>
        <v>Jl. Kelapa Andonohu Poasia</v>
      </c>
      <c r="L118" s="24"/>
      <c r="M118" s="24"/>
      <c r="N118" s="24" t="str">
        <f>IFERROR(__xludf.DUMMYFUNCTION("""COMPUTED_VALUE"""),"SMA / SMK / MA")</f>
        <v>SMA / SMK / MA</v>
      </c>
      <c r="O118" s="24"/>
      <c r="P118" s="24"/>
      <c r="Q118" s="24"/>
      <c r="R118" s="24" t="str">
        <f>IFERROR(__xludf.DUMMYFUNCTION("""COMPUTED_VALUE"""),"K")</f>
        <v>K</v>
      </c>
      <c r="S118" s="25" t="str">
        <f>IFERROR(__xludf.DUMMYFUNCTION("""COMPUTED_VALUE"""),"Selesai")</f>
        <v>Selesai</v>
      </c>
    </row>
    <row r="119" ht="22.5" customHeight="1">
      <c r="A119" s="22">
        <v>118.0</v>
      </c>
      <c r="B119" s="24" t="str">
        <f>IFERROR(__xludf.DUMMYFUNCTION("""COMPUTED_VALUE"""),"Pemeliharaan Kendaraan Ringan Sistem Injeksi ")</f>
        <v>Pemeliharaan Kendaraan Ringan Sistem Injeksi </v>
      </c>
      <c r="C119" s="24" t="str">
        <f>IFERROR(__xludf.DUMMYFUNCTION("""COMPUTED_VALUE"""),"SMK Negeri 2 Kendari")</f>
        <v>SMK Negeri 2 Kendari</v>
      </c>
      <c r="D119" s="24"/>
      <c r="E119" s="24"/>
      <c r="F119" s="24" t="str">
        <f>IFERROR(__xludf.DUMMYFUNCTION("""COMPUTED_VALUE"""),"Bashair Busran Muhammad Syawal")</f>
        <v>Bashair Busran Muhammad Syawal</v>
      </c>
      <c r="G119" s="24" t="str">
        <f>IFERROR(__xludf.DUMMYFUNCTION("""COMPUTED_VALUE"""),"7471032710080002")</f>
        <v>7471032710080002</v>
      </c>
      <c r="H119" s="24"/>
      <c r="I119" s="24"/>
      <c r="J119" s="24" t="str">
        <f>IFERROR(__xludf.DUMMYFUNCTION("""COMPUTED_VALUE"""),"LAKI-LAKI")</f>
        <v>LAKI-LAKI</v>
      </c>
      <c r="K119" s="24" t="str">
        <f>IFERROR(__xludf.DUMMYFUNCTION("""COMPUTED_VALUE"""),"BTN Lepo-lepo Permai")</f>
        <v>BTN Lepo-lepo Permai</v>
      </c>
      <c r="L119" s="24"/>
      <c r="M119" s="24"/>
      <c r="N119" s="24" t="str">
        <f>IFERROR(__xludf.DUMMYFUNCTION("""COMPUTED_VALUE"""),"SMA / SMK / MA")</f>
        <v>SMA / SMK / MA</v>
      </c>
      <c r="O119" s="24"/>
      <c r="P119" s="24"/>
      <c r="Q119" s="24"/>
      <c r="R119" s="24" t="str">
        <f>IFERROR(__xludf.DUMMYFUNCTION("""COMPUTED_VALUE"""),"K")</f>
        <v>K</v>
      </c>
      <c r="S119" s="25" t="str">
        <f>IFERROR(__xludf.DUMMYFUNCTION("""COMPUTED_VALUE"""),"Selesai")</f>
        <v>Selesai</v>
      </c>
    </row>
    <row r="120" ht="22.5" customHeight="1">
      <c r="A120" s="22">
        <v>119.0</v>
      </c>
      <c r="B120" s="24" t="str">
        <f>IFERROR(__xludf.DUMMYFUNCTION("""COMPUTED_VALUE"""),"Pemeliharaan Kendaraan Ringan Sistem Injeksi ")</f>
        <v>Pemeliharaan Kendaraan Ringan Sistem Injeksi </v>
      </c>
      <c r="C120" s="24" t="str">
        <f>IFERROR(__xludf.DUMMYFUNCTION("""COMPUTED_VALUE"""),"SMK Negeri 2 Kendari")</f>
        <v>SMK Negeri 2 Kendari</v>
      </c>
      <c r="D120" s="24"/>
      <c r="E120" s="24"/>
      <c r="F120" s="24" t="str">
        <f>IFERROR(__xludf.DUMMYFUNCTION("""COMPUTED_VALUE"""),"Dimas Saputra")</f>
        <v>Dimas Saputra</v>
      </c>
      <c r="G120" s="24" t="str">
        <f>IFERROR(__xludf.DUMMYFUNCTION("""COMPUTED_VALUE"""),"7471012104080002")</f>
        <v>7471012104080002</v>
      </c>
      <c r="H120" s="24"/>
      <c r="I120" s="24"/>
      <c r="J120" s="24" t="str">
        <f>IFERROR(__xludf.DUMMYFUNCTION("""COMPUTED_VALUE"""),"LAKI-LAKI")</f>
        <v>LAKI-LAKI</v>
      </c>
      <c r="K120" s="24" t="str">
        <f>IFERROR(__xludf.DUMMYFUNCTION("""COMPUTED_VALUE"""),"Jln. Osumettundu")</f>
        <v>Jln. Osumettundu</v>
      </c>
      <c r="L120" s="24"/>
      <c r="M120" s="24"/>
      <c r="N120" s="24" t="str">
        <f>IFERROR(__xludf.DUMMYFUNCTION("""COMPUTED_VALUE"""),"SMA / SMK / MA")</f>
        <v>SMA / SMK / MA</v>
      </c>
      <c r="O120" s="24"/>
      <c r="P120" s="24"/>
      <c r="Q120" s="24"/>
      <c r="R120" s="24" t="str">
        <f>IFERROR(__xludf.DUMMYFUNCTION("""COMPUTED_VALUE"""),"K")</f>
        <v>K</v>
      </c>
      <c r="S120" s="25" t="str">
        <f>IFERROR(__xludf.DUMMYFUNCTION("""COMPUTED_VALUE"""),"Selesai")</f>
        <v>Selesai</v>
      </c>
    </row>
    <row r="121" ht="22.5" customHeight="1">
      <c r="A121" s="22">
        <v>120.0</v>
      </c>
      <c r="B121" s="24" t="str">
        <f>IFERROR(__xludf.DUMMYFUNCTION("""COMPUTED_VALUE"""),"Pemeliharaan Kendaraan Ringan Sistem Injeksi ")</f>
        <v>Pemeliharaan Kendaraan Ringan Sistem Injeksi </v>
      </c>
      <c r="C121" s="24" t="str">
        <f>IFERROR(__xludf.DUMMYFUNCTION("""COMPUTED_VALUE"""),"SMK Negeri 2 Kendari")</f>
        <v>SMK Negeri 2 Kendari</v>
      </c>
      <c r="D121" s="24"/>
      <c r="E121" s="24"/>
      <c r="F121" s="24" t="str">
        <f>IFERROR(__xludf.DUMMYFUNCTION("""COMPUTED_VALUE"""),"Hiddir Syah Alam")</f>
        <v>Hiddir Syah Alam</v>
      </c>
      <c r="G121" s="24" t="str">
        <f>IFERROR(__xludf.DUMMYFUNCTION("""COMPUTED_VALUE"""),"7471091411090002")</f>
        <v>7471091411090002</v>
      </c>
      <c r="H121" s="24"/>
      <c r="I121" s="24"/>
      <c r="J121" s="24" t="str">
        <f>IFERROR(__xludf.DUMMYFUNCTION("""COMPUTED_VALUE"""),"LAKI-LAKI")</f>
        <v>LAKI-LAKI</v>
      </c>
      <c r="K121" s="24" t="str">
        <f>IFERROR(__xludf.DUMMYFUNCTION("""COMPUTED_VALUE"""),"Jl. Chairil Anwar")</f>
        <v>Jl. Chairil Anwar</v>
      </c>
      <c r="L121" s="24"/>
      <c r="M121" s="24"/>
      <c r="N121" s="24" t="str">
        <f>IFERROR(__xludf.DUMMYFUNCTION("""COMPUTED_VALUE"""),"SMA / SMK / MA")</f>
        <v>SMA / SMK / MA</v>
      </c>
      <c r="O121" s="24"/>
      <c r="P121" s="24"/>
      <c r="Q121" s="24"/>
      <c r="R121" s="24" t="str">
        <f>IFERROR(__xludf.DUMMYFUNCTION("""COMPUTED_VALUE"""),"K")</f>
        <v>K</v>
      </c>
      <c r="S121" s="25" t="str">
        <f>IFERROR(__xludf.DUMMYFUNCTION("""COMPUTED_VALUE"""),"Selesai")</f>
        <v>Selesai</v>
      </c>
    </row>
    <row r="122" ht="22.5" customHeight="1">
      <c r="A122" s="22">
        <v>121.0</v>
      </c>
      <c r="B122" s="24" t="str">
        <f>IFERROR(__xludf.DUMMYFUNCTION("""COMPUTED_VALUE"""),"Pemeliharaan Kendaraan Ringan Sistem Injeksi ")</f>
        <v>Pemeliharaan Kendaraan Ringan Sistem Injeksi </v>
      </c>
      <c r="C122" s="24" t="str">
        <f>IFERROR(__xludf.DUMMYFUNCTION("""COMPUTED_VALUE"""),"SMK Negeri 2 Kendari")</f>
        <v>SMK Negeri 2 Kendari</v>
      </c>
      <c r="D122" s="24"/>
      <c r="E122" s="24"/>
      <c r="F122" s="24" t="str">
        <f>IFERROR(__xludf.DUMMYFUNCTION("""COMPUTED_VALUE"""),"I Kadek Adi Suwardana")</f>
        <v>I Kadek Adi Suwardana</v>
      </c>
      <c r="G122" s="24" t="str">
        <f>IFERROR(__xludf.DUMMYFUNCTION("""COMPUTED_VALUE"""),"7405222802080001")</f>
        <v>7405222802080001</v>
      </c>
      <c r="H122" s="24"/>
      <c r="I122" s="24"/>
      <c r="J122" s="24" t="str">
        <f>IFERROR(__xludf.DUMMYFUNCTION("""COMPUTED_VALUE"""),"LAKI-LAKI")</f>
        <v>LAKI-LAKI</v>
      </c>
      <c r="K122" s="24" t="str">
        <f>IFERROR(__xludf.DUMMYFUNCTION("""COMPUTED_VALUE"""),"Amokuni, RT/RW 003/000, Kabupaten Konawe Selatan")</f>
        <v>Amokuni, RT/RW 003/000, Kabupaten Konawe Selatan</v>
      </c>
      <c r="L122" s="24"/>
      <c r="M122" s="24"/>
      <c r="N122" s="24" t="str">
        <f>IFERROR(__xludf.DUMMYFUNCTION("""COMPUTED_VALUE"""),"SMA / SMK / MA")</f>
        <v>SMA / SMK / MA</v>
      </c>
      <c r="O122" s="24"/>
      <c r="P122" s="24"/>
      <c r="Q122" s="24"/>
      <c r="R122" s="24" t="str">
        <f>IFERROR(__xludf.DUMMYFUNCTION("""COMPUTED_VALUE"""),"K")</f>
        <v>K</v>
      </c>
      <c r="S122" s="25" t="str">
        <f>IFERROR(__xludf.DUMMYFUNCTION("""COMPUTED_VALUE"""),"Selesai")</f>
        <v>Selesai</v>
      </c>
    </row>
    <row r="123" ht="22.5" customHeight="1">
      <c r="A123" s="22">
        <v>122.0</v>
      </c>
      <c r="B123" s="24" t="str">
        <f>IFERROR(__xludf.DUMMYFUNCTION("""COMPUTED_VALUE"""),"Pemeliharaan Kendaraan Ringan Sistem Injeksi ")</f>
        <v>Pemeliharaan Kendaraan Ringan Sistem Injeksi </v>
      </c>
      <c r="C123" s="24" t="str">
        <f>IFERROR(__xludf.DUMMYFUNCTION("""COMPUTED_VALUE"""),"SMK Negeri 2 Kendari")</f>
        <v>SMK Negeri 2 Kendari</v>
      </c>
      <c r="D123" s="24"/>
      <c r="E123" s="24"/>
      <c r="F123" s="24" t="str">
        <f>IFERROR(__xludf.DUMMYFUNCTION("""COMPUTED_VALUE"""),"Ida Ketut Tantra Yana")</f>
        <v>Ida Ketut Tantra Yana</v>
      </c>
      <c r="G123" s="24" t="str">
        <f>IFERROR(__xludf.DUMMYFUNCTION("""COMPUTED_VALUE"""),"7410040703070001")</f>
        <v>7410040703070001</v>
      </c>
      <c r="H123" s="24"/>
      <c r="I123" s="24"/>
      <c r="J123" s="24" t="str">
        <f>IFERROR(__xludf.DUMMYFUNCTION("""COMPUTED_VALUE"""),"LAKI-LAKI")</f>
        <v>LAKI-LAKI</v>
      </c>
      <c r="K123" s="24" t="str">
        <f>IFERROR(__xludf.DUMMYFUNCTION("""COMPUTED_VALUE"""),"Jalan Poros Ebekt Bau-bau")</f>
        <v>Jalan Poros Ebekt Bau-bau</v>
      </c>
      <c r="L123" s="24"/>
      <c r="M123" s="24"/>
      <c r="N123" s="24" t="str">
        <f>IFERROR(__xludf.DUMMYFUNCTION("""COMPUTED_VALUE"""),"SMA / SMK / MA")</f>
        <v>SMA / SMK / MA</v>
      </c>
      <c r="O123" s="24"/>
      <c r="P123" s="24"/>
      <c r="Q123" s="24"/>
      <c r="R123" s="24" t="str">
        <f>IFERROR(__xludf.DUMMYFUNCTION("""COMPUTED_VALUE"""),"K")</f>
        <v>K</v>
      </c>
      <c r="S123" s="25" t="str">
        <f>IFERROR(__xludf.DUMMYFUNCTION("""COMPUTED_VALUE"""),"Selesai")</f>
        <v>Selesai</v>
      </c>
    </row>
    <row r="124" ht="22.5" customHeight="1">
      <c r="A124" s="22">
        <v>123.0</v>
      </c>
      <c r="B124" s="24" t="str">
        <f>IFERROR(__xludf.DUMMYFUNCTION("""COMPUTED_VALUE"""),"Pemeliharaan Kendaraan Ringan Sistem Injeksi ")</f>
        <v>Pemeliharaan Kendaraan Ringan Sistem Injeksi </v>
      </c>
      <c r="C124" s="24" t="str">
        <f>IFERROR(__xludf.DUMMYFUNCTION("""COMPUTED_VALUE"""),"SMK Negeri 2 Kendari")</f>
        <v>SMK Negeri 2 Kendari</v>
      </c>
      <c r="D124" s="24"/>
      <c r="E124" s="24"/>
      <c r="F124" s="24" t="str">
        <f>IFERROR(__xludf.DUMMYFUNCTION("""COMPUTED_VALUE"""),"Irdy Wildy")</f>
        <v>Irdy Wildy</v>
      </c>
      <c r="G124" s="24" t="str">
        <f>IFERROR(__xludf.DUMMYFUNCTION("""COMPUTED_VALUE"""),"7471071403080001")</f>
        <v>7471071403080001</v>
      </c>
      <c r="H124" s="24"/>
      <c r="I124" s="24"/>
      <c r="J124" s="24" t="str">
        <f>IFERROR(__xludf.DUMMYFUNCTION("""COMPUTED_VALUE"""),"LAKI-LAKI")</f>
        <v>LAKI-LAKI</v>
      </c>
      <c r="K124" s="24" t="str">
        <f>IFERROR(__xludf.DUMMYFUNCTION("""COMPUTED_VALUE"""),"Jl. Patimura")</f>
        <v>Jl. Patimura</v>
      </c>
      <c r="L124" s="24"/>
      <c r="M124" s="24"/>
      <c r="N124" s="24" t="str">
        <f>IFERROR(__xludf.DUMMYFUNCTION("""COMPUTED_VALUE"""),"SMA / SMK / MA")</f>
        <v>SMA / SMK / MA</v>
      </c>
      <c r="O124" s="24"/>
      <c r="P124" s="24"/>
      <c r="Q124" s="24"/>
      <c r="R124" s="24" t="str">
        <f>IFERROR(__xludf.DUMMYFUNCTION("""COMPUTED_VALUE"""),"K")</f>
        <v>K</v>
      </c>
      <c r="S124" s="25" t="str">
        <f>IFERROR(__xludf.DUMMYFUNCTION("""COMPUTED_VALUE"""),"Selesai")</f>
        <v>Selesai</v>
      </c>
    </row>
    <row r="125" ht="22.5" customHeight="1">
      <c r="A125" s="22">
        <v>124.0</v>
      </c>
      <c r="B125" s="24" t="str">
        <f>IFERROR(__xludf.DUMMYFUNCTION("""COMPUTED_VALUE"""),"Pemeliharaan Kendaraan Ringan Sistem Injeksi ")</f>
        <v>Pemeliharaan Kendaraan Ringan Sistem Injeksi </v>
      </c>
      <c r="C125" s="24" t="str">
        <f>IFERROR(__xludf.DUMMYFUNCTION("""COMPUTED_VALUE"""),"SMK Negeri 2 Kendari")</f>
        <v>SMK Negeri 2 Kendari</v>
      </c>
      <c r="D125" s="24"/>
      <c r="E125" s="24"/>
      <c r="F125" s="24" t="str">
        <f>IFERROR(__xludf.DUMMYFUNCTION("""COMPUTED_VALUE"""),"Muh. Al Fachri Z")</f>
        <v>Muh. Al Fachri Z</v>
      </c>
      <c r="G125" s="24" t="str">
        <f>IFERROR(__xludf.DUMMYFUNCTION("""COMPUTED_VALUE"""),"7471627676387698")</f>
        <v>7471627676387698</v>
      </c>
      <c r="H125" s="24"/>
      <c r="I125" s="24"/>
      <c r="J125" s="24" t="str">
        <f>IFERROR(__xludf.DUMMYFUNCTION("""COMPUTED_VALUE"""),"PEREMPUAN")</f>
        <v>PEREMPUAN</v>
      </c>
      <c r="K125" s="24" t="str">
        <f>IFERROR(__xludf.DUMMYFUNCTION("""COMPUTED_VALUE"""),"Jl. Mekar Jaya 1 Komp. SMPN 17")</f>
        <v>Jl. Mekar Jaya 1 Komp. SMPN 17</v>
      </c>
      <c r="L125" s="24"/>
      <c r="M125" s="24"/>
      <c r="N125" s="24" t="str">
        <f>IFERROR(__xludf.DUMMYFUNCTION("""COMPUTED_VALUE"""),"SMA / SMK / MA")</f>
        <v>SMA / SMK / MA</v>
      </c>
      <c r="O125" s="24"/>
      <c r="P125" s="24"/>
      <c r="Q125" s="24"/>
      <c r="R125" s="24" t="str">
        <f>IFERROR(__xludf.DUMMYFUNCTION("""COMPUTED_VALUE"""),"K")</f>
        <v>K</v>
      </c>
      <c r="S125" s="25" t="str">
        <f>IFERROR(__xludf.DUMMYFUNCTION("""COMPUTED_VALUE"""),"Selesai")</f>
        <v>Selesai</v>
      </c>
    </row>
    <row r="126" ht="22.5" customHeight="1">
      <c r="A126" s="22">
        <v>125.0</v>
      </c>
      <c r="B126" s="24" t="str">
        <f>IFERROR(__xludf.DUMMYFUNCTION("""COMPUTED_VALUE"""),"Pemeliharaan Kendaraan Ringan Sistem Injeksi ")</f>
        <v>Pemeliharaan Kendaraan Ringan Sistem Injeksi </v>
      </c>
      <c r="C126" s="24" t="str">
        <f>IFERROR(__xludf.DUMMYFUNCTION("""COMPUTED_VALUE"""),"SMK Negeri 2 Kendari")</f>
        <v>SMK Negeri 2 Kendari</v>
      </c>
      <c r="D126" s="24"/>
      <c r="E126" s="24"/>
      <c r="F126" s="24" t="str">
        <f>IFERROR(__xludf.DUMMYFUNCTION("""COMPUTED_VALUE"""),"Muh. Revan")</f>
        <v>Muh. Revan</v>
      </c>
      <c r="G126" s="24" t="str">
        <f>IFERROR(__xludf.DUMMYFUNCTION("""COMPUTED_VALUE"""),"7471013105070001")</f>
        <v>7471013105070001</v>
      </c>
      <c r="H126" s="24"/>
      <c r="I126" s="24"/>
      <c r="J126" s="24" t="str">
        <f>IFERROR(__xludf.DUMMYFUNCTION("""COMPUTED_VALUE"""),"LAKI-LAKI")</f>
        <v>LAKI-LAKI</v>
      </c>
      <c r="K126" s="24" t="str">
        <f>IFERROR(__xludf.DUMMYFUNCTION("""COMPUTED_VALUE"""),"Jln. Osumettundu")</f>
        <v>Jln. Osumettundu</v>
      </c>
      <c r="L126" s="24"/>
      <c r="M126" s="24"/>
      <c r="N126" s="24" t="str">
        <f>IFERROR(__xludf.DUMMYFUNCTION("""COMPUTED_VALUE"""),"SMA / SMK / MA")</f>
        <v>SMA / SMK / MA</v>
      </c>
      <c r="O126" s="24"/>
      <c r="P126" s="24"/>
      <c r="Q126" s="24"/>
      <c r="R126" s="24" t="str">
        <f>IFERROR(__xludf.DUMMYFUNCTION("""COMPUTED_VALUE"""),"K")</f>
        <v>K</v>
      </c>
      <c r="S126" s="25" t="str">
        <f>IFERROR(__xludf.DUMMYFUNCTION("""COMPUTED_VALUE"""),"Selesai")</f>
        <v>Selesai</v>
      </c>
    </row>
    <row r="127" ht="22.5" customHeight="1">
      <c r="A127" s="22">
        <v>126.0</v>
      </c>
      <c r="B127" s="24" t="str">
        <f>IFERROR(__xludf.DUMMYFUNCTION("""COMPUTED_VALUE"""),"Pemeliharaan Kendaraan Ringan Sistem Injeksi ")</f>
        <v>Pemeliharaan Kendaraan Ringan Sistem Injeksi </v>
      </c>
      <c r="C127" s="24" t="str">
        <f>IFERROR(__xludf.DUMMYFUNCTION("""COMPUTED_VALUE"""),"SMK Negeri 2 Kendari")</f>
        <v>SMK Negeri 2 Kendari</v>
      </c>
      <c r="D127" s="24"/>
      <c r="E127" s="24"/>
      <c r="F127" s="24" t="str">
        <f>IFERROR(__xludf.DUMMYFUNCTION("""COMPUTED_VALUE"""),"Muh. Risky Febryanzah")</f>
        <v>Muh. Risky Febryanzah</v>
      </c>
      <c r="G127" s="24" t="str">
        <f>IFERROR(__xludf.DUMMYFUNCTION("""COMPUTED_VALUE"""),"7402331102090001")</f>
        <v>7402331102090001</v>
      </c>
      <c r="H127" s="24"/>
      <c r="I127" s="24"/>
      <c r="J127" s="24" t="str">
        <f>IFERROR(__xludf.DUMMYFUNCTION("""COMPUTED_VALUE"""),"LAKI-LAKI")</f>
        <v>LAKI-LAKI</v>
      </c>
      <c r="K127" s="24" t="str">
        <f>IFERROR(__xludf.DUMMYFUNCTION("""COMPUTED_VALUE"""),"Desa Labotoy")</f>
        <v>Desa Labotoy</v>
      </c>
      <c r="L127" s="24"/>
      <c r="M127" s="24"/>
      <c r="N127" s="24" t="str">
        <f>IFERROR(__xludf.DUMMYFUNCTION("""COMPUTED_VALUE"""),"SMA / SMK / MA")</f>
        <v>SMA / SMK / MA</v>
      </c>
      <c r="O127" s="24"/>
      <c r="P127" s="24"/>
      <c r="Q127" s="24"/>
      <c r="R127" s="24" t="str">
        <f>IFERROR(__xludf.DUMMYFUNCTION("""COMPUTED_VALUE"""),"K")</f>
        <v>K</v>
      </c>
      <c r="S127" s="25" t="str">
        <f>IFERROR(__xludf.DUMMYFUNCTION("""COMPUTED_VALUE"""),"Selesai")</f>
        <v>Selesai</v>
      </c>
    </row>
    <row r="128" ht="22.5" customHeight="1">
      <c r="A128" s="22">
        <v>127.0</v>
      </c>
      <c r="B128" s="24" t="str">
        <f>IFERROR(__xludf.DUMMYFUNCTION("""COMPUTED_VALUE"""),"Pemeliharaan Kendaraan Ringan Sistem Injeksi ")</f>
        <v>Pemeliharaan Kendaraan Ringan Sistem Injeksi </v>
      </c>
      <c r="C128" s="24" t="str">
        <f>IFERROR(__xludf.DUMMYFUNCTION("""COMPUTED_VALUE"""),"SMK Negeri 2 Kendari")</f>
        <v>SMK Negeri 2 Kendari</v>
      </c>
      <c r="D128" s="24"/>
      <c r="E128" s="24"/>
      <c r="F128" s="24" t="str">
        <f>IFERROR(__xludf.DUMMYFUNCTION("""COMPUTED_VALUE"""),"Muh. Ansar Sitaba")</f>
        <v>Muh. Ansar Sitaba</v>
      </c>
      <c r="G128" s="24" t="str">
        <f>IFERROR(__xludf.DUMMYFUNCTION("""COMPUTED_VALUE"""),"7471052210090001")</f>
        <v>7471052210090001</v>
      </c>
      <c r="H128" s="24"/>
      <c r="I128" s="24"/>
      <c r="J128" s="24" t="str">
        <f>IFERROR(__xludf.DUMMYFUNCTION("""COMPUTED_VALUE"""),"LAKI-LAKI")</f>
        <v>LAKI-LAKI</v>
      </c>
      <c r="K128" s="24" t="str">
        <f>IFERROR(__xludf.DUMMYFUNCTION("""COMPUTED_VALUE"""),"Jl. saano Abeli Dalam Kec. Puuwatu")</f>
        <v>Jl. saano Abeli Dalam Kec. Puuwatu</v>
      </c>
      <c r="L128" s="24"/>
      <c r="M128" s="24"/>
      <c r="N128" s="24" t="str">
        <f>IFERROR(__xludf.DUMMYFUNCTION("""COMPUTED_VALUE"""),"SMA / SMK / MA")</f>
        <v>SMA / SMK / MA</v>
      </c>
      <c r="O128" s="24"/>
      <c r="P128" s="24"/>
      <c r="Q128" s="24"/>
      <c r="R128" s="24" t="str">
        <f>IFERROR(__xludf.DUMMYFUNCTION("""COMPUTED_VALUE"""),"K")</f>
        <v>K</v>
      </c>
      <c r="S128" s="25" t="str">
        <f>IFERROR(__xludf.DUMMYFUNCTION("""COMPUTED_VALUE"""),"Selesai")</f>
        <v>Selesai</v>
      </c>
    </row>
    <row r="129" ht="22.5" customHeight="1">
      <c r="A129" s="22">
        <v>128.0</v>
      </c>
      <c r="B129" s="24" t="str">
        <f>IFERROR(__xludf.DUMMYFUNCTION("""COMPUTED_VALUE"""),"Pemeliharaan Kendaraan Ringan Sistem Injeksi ")</f>
        <v>Pemeliharaan Kendaraan Ringan Sistem Injeksi </v>
      </c>
      <c r="C129" s="24" t="str">
        <f>IFERROR(__xludf.DUMMYFUNCTION("""COMPUTED_VALUE"""),"SMK Negeri 2 Kendari")</f>
        <v>SMK Negeri 2 Kendari</v>
      </c>
      <c r="D129" s="24"/>
      <c r="E129" s="24"/>
      <c r="F129" s="24" t="str">
        <f>IFERROR(__xludf.DUMMYFUNCTION("""COMPUTED_VALUE"""),"Muhammad Anwar")</f>
        <v>Muhammad Anwar</v>
      </c>
      <c r="G129" s="24" t="str">
        <f>IFERROR(__xludf.DUMMYFUNCTION("""COMPUTED_VALUE"""),"7471032901090001")</f>
        <v>7471032901090001</v>
      </c>
      <c r="H129" s="24"/>
      <c r="I129" s="24"/>
      <c r="J129" s="24" t="str">
        <f>IFERROR(__xludf.DUMMYFUNCTION("""COMPUTED_VALUE"""),"LAKI-LAKI")</f>
        <v>LAKI-LAKI</v>
      </c>
      <c r="K129" s="24" t="str">
        <f>IFERROR(__xludf.DUMMYFUNCTION("""COMPUTED_VALUE"""),"Jl. Ade Irma Nasution/ RT 017 RW 007")</f>
        <v>Jl. Ade Irma Nasution/ RT 017 RW 007</v>
      </c>
      <c r="L129" s="24"/>
      <c r="M129" s="24"/>
      <c r="N129" s="24" t="str">
        <f>IFERROR(__xludf.DUMMYFUNCTION("""COMPUTED_VALUE"""),"SMA / SMK / MA")</f>
        <v>SMA / SMK / MA</v>
      </c>
      <c r="O129" s="24"/>
      <c r="P129" s="24"/>
      <c r="Q129" s="24"/>
      <c r="R129" s="24" t="str">
        <f>IFERROR(__xludf.DUMMYFUNCTION("""COMPUTED_VALUE"""),"K")</f>
        <v>K</v>
      </c>
      <c r="S129" s="25" t="str">
        <f>IFERROR(__xludf.DUMMYFUNCTION("""COMPUTED_VALUE"""),"Selesai")</f>
        <v>Selesai</v>
      </c>
    </row>
    <row r="130" ht="22.5" customHeight="1">
      <c r="A130" s="22">
        <v>129.0</v>
      </c>
      <c r="B130" s="24" t="str">
        <f>IFERROR(__xludf.DUMMYFUNCTION("""COMPUTED_VALUE"""),"Pemeliharaan Kendaraan Ringan Sistem Injeksi ")</f>
        <v>Pemeliharaan Kendaraan Ringan Sistem Injeksi </v>
      </c>
      <c r="C130" s="24" t="str">
        <f>IFERROR(__xludf.DUMMYFUNCTION("""COMPUTED_VALUE"""),"SMK Negeri 2 Kendari")</f>
        <v>SMK Negeri 2 Kendari</v>
      </c>
      <c r="D130" s="24"/>
      <c r="E130" s="24"/>
      <c r="F130" s="24" t="str">
        <f>IFERROR(__xludf.DUMMYFUNCTION("""COMPUTED_VALUE"""),"Muh. Gading")</f>
        <v>Muh. Gading</v>
      </c>
      <c r="G130" s="24" t="str">
        <f>IFERROR(__xludf.DUMMYFUNCTION("""COMPUTED_VALUE"""),"7471021203080002")</f>
        <v>7471021203080002</v>
      </c>
      <c r="H130" s="24"/>
      <c r="I130" s="24"/>
      <c r="J130" s="24" t="str">
        <f>IFERROR(__xludf.DUMMYFUNCTION("""COMPUTED_VALUE"""),"LAKI-LAKI")</f>
        <v>LAKI-LAKI</v>
      </c>
      <c r="K130" s="24" t="str">
        <f>IFERROR(__xludf.DUMMYFUNCTION("""COMPUTED_VALUE"""),"Jalan Poros Gunung Jati")</f>
        <v>Jalan Poros Gunung Jati</v>
      </c>
      <c r="L130" s="24"/>
      <c r="M130" s="24"/>
      <c r="N130" s="24" t="str">
        <f>IFERROR(__xludf.DUMMYFUNCTION("""COMPUTED_VALUE"""),"SMA / SMK / MA")</f>
        <v>SMA / SMK / MA</v>
      </c>
      <c r="O130" s="24"/>
      <c r="P130" s="24"/>
      <c r="Q130" s="24"/>
      <c r="R130" s="24" t="str">
        <f>IFERROR(__xludf.DUMMYFUNCTION("""COMPUTED_VALUE"""),"K")</f>
        <v>K</v>
      </c>
      <c r="S130" s="25" t="str">
        <f>IFERROR(__xludf.DUMMYFUNCTION("""COMPUTED_VALUE"""),"Selesai")</f>
        <v>Selesai</v>
      </c>
    </row>
    <row r="131" ht="22.5" customHeight="1">
      <c r="A131" s="22">
        <v>130.0</v>
      </c>
      <c r="B131" s="24" t="str">
        <f>IFERROR(__xludf.DUMMYFUNCTION("""COMPUTED_VALUE"""),"Pemeliharaan Kendaraan Ringan Sistem Injeksi ")</f>
        <v>Pemeliharaan Kendaraan Ringan Sistem Injeksi </v>
      </c>
      <c r="C131" s="24" t="str">
        <f>IFERROR(__xludf.DUMMYFUNCTION("""COMPUTED_VALUE"""),"SMK Negeri 2 Kendari")</f>
        <v>SMK Negeri 2 Kendari</v>
      </c>
      <c r="D131" s="24"/>
      <c r="E131" s="24"/>
      <c r="F131" s="24" t="str">
        <f>IFERROR(__xludf.DUMMYFUNCTION("""COMPUTED_VALUE"""),"Muhammad Rafi Abdullah")</f>
        <v>Muhammad Rafi Abdullah</v>
      </c>
      <c r="G131" s="24" t="str">
        <f>IFERROR(__xludf.DUMMYFUNCTION("""COMPUTED_VALUE"""),"7471081107080001")</f>
        <v>7471081107080001</v>
      </c>
      <c r="H131" s="24"/>
      <c r="I131" s="24"/>
      <c r="J131" s="24" t="str">
        <f>IFERROR(__xludf.DUMMYFUNCTION("""COMPUTED_VALUE"""),"LAKI-LAKI")</f>
        <v>LAKI-LAKI</v>
      </c>
      <c r="K131" s="24" t="str">
        <f>IFERROR(__xludf.DUMMYFUNCTION("""COMPUTED_VALUE"""),"Jl. Laremba No. A1")</f>
        <v>Jl. Laremba No. A1</v>
      </c>
      <c r="L131" s="24"/>
      <c r="M131" s="24"/>
      <c r="N131" s="24" t="str">
        <f>IFERROR(__xludf.DUMMYFUNCTION("""COMPUTED_VALUE"""),"SMA / SMK / MA")</f>
        <v>SMA / SMK / MA</v>
      </c>
      <c r="O131" s="24"/>
      <c r="P131" s="24"/>
      <c r="Q131" s="24"/>
      <c r="R131" s="24" t="str">
        <f>IFERROR(__xludf.DUMMYFUNCTION("""COMPUTED_VALUE"""),"K")</f>
        <v>K</v>
      </c>
      <c r="S131" s="25" t="str">
        <f>IFERROR(__xludf.DUMMYFUNCTION("""COMPUTED_VALUE"""),"Selesai")</f>
        <v>Selesai</v>
      </c>
    </row>
    <row r="132" ht="22.5" customHeight="1">
      <c r="A132" s="22">
        <v>131.0</v>
      </c>
      <c r="B132" s="24" t="str">
        <f>IFERROR(__xludf.DUMMYFUNCTION("""COMPUTED_VALUE"""),"Pemeliharaan Kendaraan Ringan Sistem Injeksi ")</f>
        <v>Pemeliharaan Kendaraan Ringan Sistem Injeksi </v>
      </c>
      <c r="C132" s="24" t="str">
        <f>IFERROR(__xludf.DUMMYFUNCTION("""COMPUTED_VALUE"""),"SMK Negeri 2 Kendari")</f>
        <v>SMK Negeri 2 Kendari</v>
      </c>
      <c r="D132" s="24"/>
      <c r="E132" s="24"/>
      <c r="F132" s="24" t="str">
        <f>IFERROR(__xludf.DUMMYFUNCTION("""COMPUTED_VALUE"""),"Muh. Rizqal Asari")</f>
        <v>Muh. Rizqal Asari</v>
      </c>
      <c r="G132" s="24" t="str">
        <f>IFERROR(__xludf.DUMMYFUNCTION("""COMPUTED_VALUE"""),"7471091106080001")</f>
        <v>7471091106080001</v>
      </c>
      <c r="H132" s="24"/>
      <c r="I132" s="24"/>
      <c r="J132" s="24" t="str">
        <f>IFERROR(__xludf.DUMMYFUNCTION("""COMPUTED_VALUE"""),"LAKI-LAKI")</f>
        <v>LAKI-LAKI</v>
      </c>
      <c r="K132" s="24" t="str">
        <f>IFERROR(__xludf.DUMMYFUNCTION("""COMPUTED_VALUE"""),"Jl. Chairil Anwar")</f>
        <v>Jl. Chairil Anwar</v>
      </c>
      <c r="L132" s="24"/>
      <c r="M132" s="24"/>
      <c r="N132" s="24" t="str">
        <f>IFERROR(__xludf.DUMMYFUNCTION("""COMPUTED_VALUE"""),"SMA / SMK / MA")</f>
        <v>SMA / SMK / MA</v>
      </c>
      <c r="O132" s="24"/>
      <c r="P132" s="24"/>
      <c r="Q132" s="24"/>
      <c r="R132" s="24" t="str">
        <f>IFERROR(__xludf.DUMMYFUNCTION("""COMPUTED_VALUE"""),"K")</f>
        <v>K</v>
      </c>
      <c r="S132" s="25" t="str">
        <f>IFERROR(__xludf.DUMMYFUNCTION("""COMPUTED_VALUE"""),"Selesai")</f>
        <v>Selesai</v>
      </c>
    </row>
    <row r="133" ht="22.5" customHeight="1">
      <c r="A133" s="22">
        <v>132.0</v>
      </c>
      <c r="B133" s="24" t="str">
        <f>IFERROR(__xludf.DUMMYFUNCTION("""COMPUTED_VALUE"""),"Pemeliharaan Kendaraan Ringan Sistem Injeksi ")</f>
        <v>Pemeliharaan Kendaraan Ringan Sistem Injeksi </v>
      </c>
      <c r="C133" s="24" t="str">
        <f>IFERROR(__xludf.DUMMYFUNCTION("""COMPUTED_VALUE"""),"SMK Negeri 2 Kendari")</f>
        <v>SMK Negeri 2 Kendari</v>
      </c>
      <c r="D133" s="24"/>
      <c r="E133" s="24"/>
      <c r="F133" s="24" t="str">
        <f>IFERROR(__xludf.DUMMYFUNCTION("""COMPUTED_VALUE"""),"Ragil Handika Ramadhan")</f>
        <v>Ragil Handika Ramadhan</v>
      </c>
      <c r="G133" s="24" t="str">
        <f>IFERROR(__xludf.DUMMYFUNCTION("""COMPUTED_VALUE"""),"7403230110070002")</f>
        <v>7403230110070002</v>
      </c>
      <c r="H133" s="24"/>
      <c r="I133" s="24"/>
      <c r="J133" s="24" t="str">
        <f>IFERROR(__xludf.DUMMYFUNCTION("""COMPUTED_VALUE"""),"LAKI-LAKI")</f>
        <v>LAKI-LAKI</v>
      </c>
      <c r="K133" s="24" t="str">
        <f>IFERROR(__xludf.DUMMYFUNCTION("""COMPUTED_VALUE"""),"-")</f>
        <v>-</v>
      </c>
      <c r="L133" s="24"/>
      <c r="M133" s="24"/>
      <c r="N133" s="24" t="str">
        <f>IFERROR(__xludf.DUMMYFUNCTION("""COMPUTED_VALUE"""),"SMA / SMK / MA")</f>
        <v>SMA / SMK / MA</v>
      </c>
      <c r="O133" s="24"/>
      <c r="P133" s="24"/>
      <c r="Q133" s="24"/>
      <c r="R133" s="24" t="str">
        <f>IFERROR(__xludf.DUMMYFUNCTION("""COMPUTED_VALUE"""),"K")</f>
        <v>K</v>
      </c>
      <c r="S133" s="25" t="str">
        <f>IFERROR(__xludf.DUMMYFUNCTION("""COMPUTED_VALUE"""),"Selesai")</f>
        <v>Selesai</v>
      </c>
    </row>
    <row r="134" ht="22.5" customHeight="1">
      <c r="A134" s="22">
        <v>133.0</v>
      </c>
      <c r="B134" s="24" t="str">
        <f>IFERROR(__xludf.DUMMYFUNCTION("""COMPUTED_VALUE"""),"Pemeliharaan Kendaraan Ringan Sistem Injeksi ")</f>
        <v>Pemeliharaan Kendaraan Ringan Sistem Injeksi </v>
      </c>
      <c r="C134" s="24" t="str">
        <f>IFERROR(__xludf.DUMMYFUNCTION("""COMPUTED_VALUE"""),"SMK Negeri 2 Kendari")</f>
        <v>SMK Negeri 2 Kendari</v>
      </c>
      <c r="D134" s="24"/>
      <c r="E134" s="24"/>
      <c r="F134" s="24" t="str">
        <f>IFERROR(__xludf.DUMMYFUNCTION("""COMPUTED_VALUE"""),"Rainhard Moses")</f>
        <v>Rainhard Moses</v>
      </c>
      <c r="G134" s="24" t="str">
        <f>IFERROR(__xludf.DUMMYFUNCTION("""COMPUTED_VALUE"""),"7471072401080001")</f>
        <v>7471072401080001</v>
      </c>
      <c r="H134" s="24"/>
      <c r="I134" s="24"/>
      <c r="J134" s="24" t="str">
        <f>IFERROR(__xludf.DUMMYFUNCTION("""COMPUTED_VALUE"""),"LAKI-LAKI")</f>
        <v>LAKI-LAKI</v>
      </c>
      <c r="K134" s="24" t="str">
        <f>IFERROR(__xludf.DUMMYFUNCTION("""COMPUTED_VALUE"""),"Jl. Dr. Sutomo, Lalodati")</f>
        <v>Jl. Dr. Sutomo, Lalodati</v>
      </c>
      <c r="L134" s="24"/>
      <c r="M134" s="24"/>
      <c r="N134" s="24" t="str">
        <f>IFERROR(__xludf.DUMMYFUNCTION("""COMPUTED_VALUE"""),"SMA / SMK / MA")</f>
        <v>SMA / SMK / MA</v>
      </c>
      <c r="O134" s="24"/>
      <c r="P134" s="24"/>
      <c r="Q134" s="24"/>
      <c r="R134" s="24" t="str">
        <f>IFERROR(__xludf.DUMMYFUNCTION("""COMPUTED_VALUE"""),"K")</f>
        <v>K</v>
      </c>
      <c r="S134" s="25" t="str">
        <f>IFERROR(__xludf.DUMMYFUNCTION("""COMPUTED_VALUE"""),"Selesai")</f>
        <v>Selesai</v>
      </c>
    </row>
    <row r="135" ht="22.5" customHeight="1">
      <c r="A135" s="22">
        <v>134.0</v>
      </c>
      <c r="B135" s="24" t="str">
        <f>IFERROR(__xludf.DUMMYFUNCTION("""COMPUTED_VALUE"""),"Pemeliharaan Kendaraan Ringan Sistem Injeksi ")</f>
        <v>Pemeliharaan Kendaraan Ringan Sistem Injeksi </v>
      </c>
      <c r="C135" s="24" t="str">
        <f>IFERROR(__xludf.DUMMYFUNCTION("""COMPUTED_VALUE"""),"SMK Negeri 2 Kendari")</f>
        <v>SMK Negeri 2 Kendari</v>
      </c>
      <c r="D135" s="24"/>
      <c r="E135" s="24"/>
      <c r="F135" s="24" t="str">
        <f>IFERROR(__xludf.DUMMYFUNCTION("""COMPUTED_VALUE"""),"Rayhan Jalalluddin")</f>
        <v>Rayhan Jalalluddin</v>
      </c>
      <c r="G135" s="24" t="str">
        <f>IFERROR(__xludf.DUMMYFUNCTION("""COMPUTED_VALUE"""),"7471022511070001")</f>
        <v>7471022511070001</v>
      </c>
      <c r="H135" s="24"/>
      <c r="I135" s="24"/>
      <c r="J135" s="24" t="str">
        <f>IFERROR(__xludf.DUMMYFUNCTION("""COMPUTED_VALUE"""),"LAKI-LAKI")</f>
        <v>LAKI-LAKI</v>
      </c>
      <c r="K135" s="24" t="str">
        <f>IFERROR(__xludf.DUMMYFUNCTION("""COMPUTED_VALUE"""),"Kendari, Kelurahan Gunung Jati")</f>
        <v>Kendari, Kelurahan Gunung Jati</v>
      </c>
      <c r="L135" s="24"/>
      <c r="M135" s="24"/>
      <c r="N135" s="24" t="str">
        <f>IFERROR(__xludf.DUMMYFUNCTION("""COMPUTED_VALUE"""),"SMA / SMK / MA")</f>
        <v>SMA / SMK / MA</v>
      </c>
      <c r="O135" s="24"/>
      <c r="P135" s="24"/>
      <c r="Q135" s="24"/>
      <c r="R135" s="24" t="str">
        <f>IFERROR(__xludf.DUMMYFUNCTION("""COMPUTED_VALUE"""),"K")</f>
        <v>K</v>
      </c>
      <c r="S135" s="25"/>
    </row>
    <row r="136" ht="22.5" customHeight="1">
      <c r="A136" s="22">
        <v>135.0</v>
      </c>
      <c r="B136" s="24" t="str">
        <f>IFERROR(__xludf.DUMMYFUNCTION("""COMPUTED_VALUE"""),"Pemeliharaan Kendaraan Ringan Sistem Injeksi ")</f>
        <v>Pemeliharaan Kendaraan Ringan Sistem Injeksi </v>
      </c>
      <c r="C136" s="24" t="str">
        <f>IFERROR(__xludf.DUMMYFUNCTION("""COMPUTED_VALUE"""),"SMK Negeri 2 Kendari")</f>
        <v>SMK Negeri 2 Kendari</v>
      </c>
      <c r="D136" s="24"/>
      <c r="E136" s="24"/>
      <c r="F136" s="24" t="str">
        <f>IFERROR(__xludf.DUMMYFUNCTION("""COMPUTED_VALUE"""),"Tara Aprilia Adiananta")</f>
        <v>Tara Aprilia Adiananta</v>
      </c>
      <c r="G136" s="24" t="str">
        <f>IFERROR(__xludf.DUMMYFUNCTION("""COMPUTED_VALUE"""),"3507274804080002")</f>
        <v>3507274804080002</v>
      </c>
      <c r="H136" s="24"/>
      <c r="I136" s="24"/>
      <c r="J136" s="24" t="str">
        <f>IFERROR(__xludf.DUMMYFUNCTION("""COMPUTED_VALUE"""),"PEREMPUAN")</f>
        <v>PEREMPUAN</v>
      </c>
      <c r="K136" s="24" t="str">
        <f>IFERROR(__xludf.DUMMYFUNCTION("""COMPUTED_VALUE"""),"Jl. Singa II No. 4")</f>
        <v>Jl. Singa II No. 4</v>
      </c>
      <c r="L136" s="24"/>
      <c r="M136" s="24"/>
      <c r="N136" s="24" t="str">
        <f>IFERROR(__xludf.DUMMYFUNCTION("""COMPUTED_VALUE"""),"SMA / SMK / MA")</f>
        <v>SMA / SMK / MA</v>
      </c>
      <c r="O136" s="24"/>
      <c r="P136" s="24"/>
      <c r="Q136" s="24"/>
      <c r="R136" s="24" t="str">
        <f>IFERROR(__xludf.DUMMYFUNCTION("""COMPUTED_VALUE"""),"K")</f>
        <v>K</v>
      </c>
      <c r="S136" s="25"/>
    </row>
    <row r="137" ht="22.5" customHeight="1">
      <c r="A137" s="22">
        <v>136.0</v>
      </c>
      <c r="B137" s="24" t="str">
        <f>IFERROR(__xludf.DUMMYFUNCTION("""COMPUTED_VALUE"""),"Pemeliharaan Kendaraan Ringan Sistem Injeksi ")</f>
        <v>Pemeliharaan Kendaraan Ringan Sistem Injeksi </v>
      </c>
      <c r="C137" s="24" t="str">
        <f>IFERROR(__xludf.DUMMYFUNCTION("""COMPUTED_VALUE"""),"SMK Negeri 2 Kendari")</f>
        <v>SMK Negeri 2 Kendari</v>
      </c>
      <c r="D137" s="24"/>
      <c r="E137" s="24"/>
      <c r="F137" s="24" t="str">
        <f>IFERROR(__xludf.DUMMYFUNCTION("""COMPUTED_VALUE"""),"Tesar Arlan Aprianto")</f>
        <v>Tesar Arlan Aprianto</v>
      </c>
      <c r="G137" s="24" t="str">
        <f>IFERROR(__xludf.DUMMYFUNCTION("""COMPUTED_VALUE"""),"7471091804080002")</f>
        <v>7471091804080002</v>
      </c>
      <c r="H137" s="24"/>
      <c r="I137" s="24"/>
      <c r="J137" s="24" t="str">
        <f>IFERROR(__xludf.DUMMYFUNCTION("""COMPUTED_VALUE"""),"LAKI-LAKI")</f>
        <v>LAKI-LAKI</v>
      </c>
      <c r="K137" s="24" t="str">
        <f>IFERROR(__xludf.DUMMYFUNCTION("""COMPUTED_VALUE"""),"Jl. Haeba Dalam Lr. Mesjid Nurul Haq")</f>
        <v>Jl. Haeba Dalam Lr. Mesjid Nurul Haq</v>
      </c>
      <c r="L137" s="24"/>
      <c r="M137" s="24"/>
      <c r="N137" s="24" t="str">
        <f>IFERROR(__xludf.DUMMYFUNCTION("""COMPUTED_VALUE"""),"SMA / SMK / MA")</f>
        <v>SMA / SMK / MA</v>
      </c>
      <c r="O137" s="24"/>
      <c r="P137" s="24"/>
      <c r="Q137" s="24"/>
      <c r="R137" s="24" t="str">
        <f>IFERROR(__xludf.DUMMYFUNCTION("""COMPUTED_VALUE"""),"K")</f>
        <v>K</v>
      </c>
      <c r="S137" s="25"/>
    </row>
    <row r="138" ht="22.5" customHeight="1">
      <c r="A138" s="22">
        <v>137.0</v>
      </c>
      <c r="B138" s="24" t="str">
        <f>IFERROR(__xludf.DUMMYFUNCTION("""COMPUTED_VALUE"""),"Pemeliharaan Kendaraan Ringan Sistem Injeksi ")</f>
        <v>Pemeliharaan Kendaraan Ringan Sistem Injeksi </v>
      </c>
      <c r="C138" s="24" t="str">
        <f>IFERROR(__xludf.DUMMYFUNCTION("""COMPUTED_VALUE"""),"SMK Negeri 2 Kendari")</f>
        <v>SMK Negeri 2 Kendari</v>
      </c>
      <c r="D138" s="24"/>
      <c r="E138" s="24"/>
      <c r="F138" s="24" t="str">
        <f>IFERROR(__xludf.DUMMYFUNCTION("""COMPUTED_VALUE"""),"Vebro Valentino Ilmart")</f>
        <v>Vebro Valentino Ilmart</v>
      </c>
      <c r="G138" s="24" t="str">
        <f>IFERROR(__xludf.DUMMYFUNCTION("""COMPUTED_VALUE"""),"7324101302080002")</f>
        <v>7324101302080002</v>
      </c>
      <c r="H138" s="24"/>
      <c r="I138" s="24"/>
      <c r="J138" s="24" t="str">
        <f>IFERROR(__xludf.DUMMYFUNCTION("""COMPUTED_VALUE"""),"LAKI-LAKI")</f>
        <v>LAKI-LAKI</v>
      </c>
      <c r="K138" s="24" t="str">
        <f>IFERROR(__xludf.DUMMYFUNCTION("""COMPUTED_VALUE"""),"Kendari, Kelurahan Wua-wua, Kec. Kadia")</f>
        <v>Kendari, Kelurahan Wua-wua, Kec. Kadia</v>
      </c>
      <c r="L138" s="24"/>
      <c r="M138" s="24"/>
      <c r="N138" s="24" t="str">
        <f>IFERROR(__xludf.DUMMYFUNCTION("""COMPUTED_VALUE"""),"SMA / SMK / MA")</f>
        <v>SMA / SMK / MA</v>
      </c>
      <c r="O138" s="24"/>
      <c r="P138" s="24"/>
      <c r="Q138" s="24"/>
      <c r="R138" s="24" t="str">
        <f>IFERROR(__xludf.DUMMYFUNCTION("""COMPUTED_VALUE"""),"K")</f>
        <v>K</v>
      </c>
      <c r="S138" s="25"/>
    </row>
    <row r="139" ht="22.5" customHeight="1">
      <c r="A139" s="22">
        <v>138.0</v>
      </c>
      <c r="B139" s="24" t="str">
        <f>IFERROR(__xludf.DUMMYFUNCTION("""COMPUTED_VALUE"""),"Pemeliharaan Kendaraan Ringan Sistem Injeksi ")</f>
        <v>Pemeliharaan Kendaraan Ringan Sistem Injeksi </v>
      </c>
      <c r="C139" s="24" t="str">
        <f>IFERROR(__xludf.DUMMYFUNCTION("""COMPUTED_VALUE"""),"SMK Negeri 2 Kendari")</f>
        <v>SMK Negeri 2 Kendari</v>
      </c>
      <c r="D139" s="24"/>
      <c r="E139" s="24"/>
      <c r="F139" s="24" t="str">
        <f>IFERROR(__xludf.DUMMYFUNCTION("""COMPUTED_VALUE"""),"Wayan Glen Andika")</f>
        <v>Wayan Glen Andika</v>
      </c>
      <c r="G139" s="24" t="str">
        <f>IFERROR(__xludf.DUMMYFUNCTION("""COMPUTED_VALUE"""),"7402282509080002")</f>
        <v>7402282509080002</v>
      </c>
      <c r="H139" s="24"/>
      <c r="I139" s="24"/>
      <c r="J139" s="24" t="str">
        <f>IFERROR(__xludf.DUMMYFUNCTION("""COMPUTED_VALUE"""),"LAKI-LAKI")</f>
        <v>LAKI-LAKI</v>
      </c>
      <c r="K139" s="24" t="str">
        <f>IFERROR(__xludf.DUMMYFUNCTION("""COMPUTED_VALUE"""),"Desa Ulu Benua, Kecamatan Amonggedo, Kabupaten Konawe")</f>
        <v>Desa Ulu Benua, Kecamatan Amonggedo, Kabupaten Konawe</v>
      </c>
      <c r="L139" s="24"/>
      <c r="M139" s="24"/>
      <c r="N139" s="24" t="str">
        <f>IFERROR(__xludf.DUMMYFUNCTION("""COMPUTED_VALUE"""),"SMA / SMK / MA")</f>
        <v>SMA / SMK / MA</v>
      </c>
      <c r="O139" s="24"/>
      <c r="P139" s="24"/>
      <c r="Q139" s="24"/>
      <c r="R139" s="24" t="str">
        <f>IFERROR(__xludf.DUMMYFUNCTION("""COMPUTED_VALUE"""),"K")</f>
        <v>K</v>
      </c>
      <c r="S139" s="25"/>
    </row>
    <row r="140" ht="22.5" customHeight="1">
      <c r="A140" s="22">
        <v>139.0</v>
      </c>
      <c r="B140" s="24" t="str">
        <f>IFERROR(__xludf.DUMMYFUNCTION("""COMPUTED_VALUE"""),"Pemeliharaan Kendaraan Ringan Sistem Injeksi ")</f>
        <v>Pemeliharaan Kendaraan Ringan Sistem Injeksi </v>
      </c>
      <c r="C140" s="24" t="str">
        <f>IFERROR(__xludf.DUMMYFUNCTION("""COMPUTED_VALUE"""),"SMK Negeri 2 Kendari")</f>
        <v>SMK Negeri 2 Kendari</v>
      </c>
      <c r="D140" s="24"/>
      <c r="E140" s="24"/>
      <c r="F140" s="24" t="str">
        <f>IFERROR(__xludf.DUMMYFUNCTION("""COMPUTED_VALUE"""),"Wayan Winarta")</f>
        <v>Wayan Winarta</v>
      </c>
      <c r="G140" s="24" t="str">
        <f>IFERROR(__xludf.DUMMYFUNCTION("""COMPUTED_VALUE"""),"7402280308080001")</f>
        <v>7402280308080001</v>
      </c>
      <c r="H140" s="24"/>
      <c r="I140" s="24"/>
      <c r="J140" s="24" t="str">
        <f>IFERROR(__xludf.DUMMYFUNCTION("""COMPUTED_VALUE"""),"LAKI-LAKI")</f>
        <v>LAKI-LAKI</v>
      </c>
      <c r="K140" s="24" t="str">
        <f>IFERROR(__xludf.DUMMYFUNCTION("""COMPUTED_VALUE"""),"Puasana")</f>
        <v>Puasana</v>
      </c>
      <c r="L140" s="24"/>
      <c r="M140" s="24"/>
      <c r="N140" s="24" t="str">
        <f>IFERROR(__xludf.DUMMYFUNCTION("""COMPUTED_VALUE"""),"SMA / SMK / MA")</f>
        <v>SMA / SMK / MA</v>
      </c>
      <c r="O140" s="24"/>
      <c r="P140" s="24"/>
      <c r="Q140" s="24"/>
      <c r="R140" s="24" t="str">
        <f>IFERROR(__xludf.DUMMYFUNCTION("""COMPUTED_VALUE"""),"K")</f>
        <v>K</v>
      </c>
      <c r="S140" s="25"/>
    </row>
    <row r="141" ht="22.5" customHeight="1">
      <c r="A141" s="22">
        <v>140.0</v>
      </c>
      <c r="B141" s="24" t="str">
        <f>IFERROR(__xludf.DUMMYFUNCTION("""COMPUTED_VALUE"""),"Pemeliharaan Kendaraan Ringan Sistem Injeksi ")</f>
        <v>Pemeliharaan Kendaraan Ringan Sistem Injeksi </v>
      </c>
      <c r="C141" s="24" t="str">
        <f>IFERROR(__xludf.DUMMYFUNCTION("""COMPUTED_VALUE"""),"SMK Negeri 2 Kendari")</f>
        <v>SMK Negeri 2 Kendari</v>
      </c>
      <c r="D141" s="24"/>
      <c r="E141" s="24"/>
      <c r="F141" s="24" t="str">
        <f>IFERROR(__xludf.DUMMYFUNCTION("""COMPUTED_VALUE"""),"William Patiung")</f>
        <v>William Patiung</v>
      </c>
      <c r="G141" s="24" t="str">
        <f>IFERROR(__xludf.DUMMYFUNCTION("""COMPUTED_VALUE"""),"9103112201080001")</f>
        <v>9103112201080001</v>
      </c>
      <c r="H141" s="24"/>
      <c r="I141" s="24"/>
      <c r="J141" s="24" t="str">
        <f>IFERROR(__xludf.DUMMYFUNCTION("""COMPUTED_VALUE"""),"LAKI-LAKI")</f>
        <v>LAKI-LAKI</v>
      </c>
      <c r="K141" s="24" t="str">
        <f>IFERROR(__xludf.DUMMYFUNCTION("""COMPUTED_VALUE"""),"Perum Pradana Residence IX")</f>
        <v>Perum Pradana Residence IX</v>
      </c>
      <c r="L141" s="24"/>
      <c r="M141" s="24"/>
      <c r="N141" s="24" t="str">
        <f>IFERROR(__xludf.DUMMYFUNCTION("""COMPUTED_VALUE"""),"SMA / SMK / MA")</f>
        <v>SMA / SMK / MA</v>
      </c>
      <c r="O141" s="24"/>
      <c r="P141" s="24"/>
      <c r="Q141" s="24"/>
      <c r="R141" s="24" t="str">
        <f>IFERROR(__xludf.DUMMYFUNCTION("""COMPUTED_VALUE"""),"K")</f>
        <v>K</v>
      </c>
      <c r="S141" s="25"/>
    </row>
    <row r="142" ht="22.5" customHeight="1">
      <c r="A142" s="22">
        <v>141.0</v>
      </c>
      <c r="B142" s="24" t="str">
        <f>IFERROR(__xludf.DUMMYFUNCTION("""COMPUTED_VALUE"""),"Merakit Komponen Fabrikasi")</f>
        <v>Merakit Komponen Fabrikasi</v>
      </c>
      <c r="C142" s="24" t="str">
        <f>IFERROR(__xludf.DUMMYFUNCTION("""COMPUTED_VALUE"""),"SMK Negeri 2 Kendari")</f>
        <v>SMK Negeri 2 Kendari</v>
      </c>
      <c r="D142" s="24"/>
      <c r="E142" s="24"/>
      <c r="F142" s="24" t="str">
        <f>IFERROR(__xludf.DUMMYFUNCTION("""COMPUTED_VALUE"""),"Abdul Farras Hazim")</f>
        <v>Abdul Farras Hazim</v>
      </c>
      <c r="G142" s="24" t="str">
        <f>IFERROR(__xludf.DUMMYFUNCTION("""COMPUTED_VALUE"""),"7471070807080001")</f>
        <v>7471070807080001</v>
      </c>
      <c r="H142" s="24"/>
      <c r="I142" s="24"/>
      <c r="J142" s="24" t="str">
        <f>IFERROR(__xludf.DUMMYFUNCTION("""COMPUTED_VALUE"""),"LAKI-LAKI")</f>
        <v>LAKI-LAKI</v>
      </c>
      <c r="K142" s="24" t="str">
        <f>IFERROR(__xludf.DUMMYFUNCTION("""COMPUTED_VALUE"""),"Jl. Dr. Sutomo Kel. Lalodati, Kec. Puuwatu")</f>
        <v>Jl. Dr. Sutomo Kel. Lalodati, Kec. Puuwatu</v>
      </c>
      <c r="L142" s="24"/>
      <c r="M142" s="24"/>
      <c r="N142" s="24" t="str">
        <f>IFERROR(__xludf.DUMMYFUNCTION("""COMPUTED_VALUE"""),"SMA / SMK / MA")</f>
        <v>SMA / SMK / MA</v>
      </c>
      <c r="O142" s="24"/>
      <c r="P142" s="24"/>
      <c r="Q142" s="24"/>
      <c r="R142" s="24" t="str">
        <f>IFERROR(__xludf.DUMMYFUNCTION("""COMPUTED_VALUE"""),"BK")</f>
        <v>BK</v>
      </c>
      <c r="S142" s="25"/>
    </row>
    <row r="143" ht="22.5" customHeight="1">
      <c r="A143" s="22">
        <v>142.0</v>
      </c>
      <c r="B143" s="24" t="str">
        <f>IFERROR(__xludf.DUMMYFUNCTION("""COMPUTED_VALUE"""),"Merakit Komponen Fabrikasi")</f>
        <v>Merakit Komponen Fabrikasi</v>
      </c>
      <c r="C143" s="24" t="str">
        <f>IFERROR(__xludf.DUMMYFUNCTION("""COMPUTED_VALUE"""),"SMK Negeri 2 Kendari")</f>
        <v>SMK Negeri 2 Kendari</v>
      </c>
      <c r="D143" s="24"/>
      <c r="E143" s="24"/>
      <c r="F143" s="24" t="str">
        <f>IFERROR(__xludf.DUMMYFUNCTION("""COMPUTED_VALUE"""),"Afiq Multazam")</f>
        <v>Afiq Multazam</v>
      </c>
      <c r="G143" s="24" t="str">
        <f>IFERROR(__xludf.DUMMYFUNCTION("""COMPUTED_VALUE"""),"7471100409080001")</f>
        <v>7471100409080001</v>
      </c>
      <c r="H143" s="24"/>
      <c r="I143" s="24"/>
      <c r="J143" s="24" t="str">
        <f>IFERROR(__xludf.DUMMYFUNCTION("""COMPUTED_VALUE"""),"LAKI-LAKI")</f>
        <v>LAKI-LAKI</v>
      </c>
      <c r="K143" s="24" t="str">
        <f>IFERROR(__xludf.DUMMYFUNCTION("""COMPUTED_VALUE"""),"Jl. H.E.A Mokodompit Lrg. Mata Air I")</f>
        <v>Jl. H.E.A Mokodompit Lrg. Mata Air I</v>
      </c>
      <c r="L143" s="24"/>
      <c r="M143" s="24"/>
      <c r="N143" s="24" t="str">
        <f>IFERROR(__xludf.DUMMYFUNCTION("""COMPUTED_VALUE"""),"SMA / SMK / MA")</f>
        <v>SMA / SMK / MA</v>
      </c>
      <c r="O143" s="24"/>
      <c r="P143" s="24"/>
      <c r="Q143" s="24"/>
      <c r="R143" s="24" t="str">
        <f>IFERROR(__xludf.DUMMYFUNCTION("""COMPUTED_VALUE"""),"BK")</f>
        <v>BK</v>
      </c>
      <c r="S143" s="25"/>
    </row>
    <row r="144" ht="22.5" customHeight="1">
      <c r="A144" s="22">
        <v>143.0</v>
      </c>
      <c r="B144" s="24" t="str">
        <f>IFERROR(__xludf.DUMMYFUNCTION("""COMPUTED_VALUE"""),"Merakit Komponen Fabrikasi")</f>
        <v>Merakit Komponen Fabrikasi</v>
      </c>
      <c r="C144" s="24" t="str">
        <f>IFERROR(__xludf.DUMMYFUNCTION("""COMPUTED_VALUE"""),"SMK Negeri 2 Kendari")</f>
        <v>SMK Negeri 2 Kendari</v>
      </c>
      <c r="D144" s="24"/>
      <c r="E144" s="24"/>
      <c r="F144" s="24" t="str">
        <f>IFERROR(__xludf.DUMMYFUNCTION("""COMPUTED_VALUE"""),"Ahmad Dayun")</f>
        <v>Ahmad Dayun</v>
      </c>
      <c r="G144" s="24" t="str">
        <f>IFERROR(__xludf.DUMMYFUNCTION("""COMPUTED_VALUE"""),"7403211707080001")</f>
        <v>7403211707080001</v>
      </c>
      <c r="H144" s="24"/>
      <c r="I144" s="24"/>
      <c r="J144" s="24" t="str">
        <f>IFERROR(__xludf.DUMMYFUNCTION("""COMPUTED_VALUE"""),"LAKI-LAKI")</f>
        <v>LAKI-LAKI</v>
      </c>
      <c r="K144" s="24" t="str">
        <f>IFERROR(__xludf.DUMMYFUNCTION("""COMPUTED_VALUE"""),"Jl. Malaka Kel. Kambu")</f>
        <v>Jl. Malaka Kel. Kambu</v>
      </c>
      <c r="L144" s="24"/>
      <c r="M144" s="24"/>
      <c r="N144" s="24" t="str">
        <f>IFERROR(__xludf.DUMMYFUNCTION("""COMPUTED_VALUE"""),"SMA / SMK / MA")</f>
        <v>SMA / SMK / MA</v>
      </c>
      <c r="O144" s="24"/>
      <c r="P144" s="24"/>
      <c r="Q144" s="24"/>
      <c r="R144" s="24" t="str">
        <f>IFERROR(__xludf.DUMMYFUNCTION("""COMPUTED_VALUE"""),"BK")</f>
        <v>BK</v>
      </c>
      <c r="S144" s="25"/>
    </row>
    <row r="145" ht="22.5" customHeight="1">
      <c r="A145" s="22">
        <v>144.0</v>
      </c>
      <c r="B145" s="24" t="str">
        <f>IFERROR(__xludf.DUMMYFUNCTION("""COMPUTED_VALUE"""),"Merakit Komponen Fabrikasi")</f>
        <v>Merakit Komponen Fabrikasi</v>
      </c>
      <c r="C145" s="24" t="str">
        <f>IFERROR(__xludf.DUMMYFUNCTION("""COMPUTED_VALUE"""),"SMK Negeri 2 Kendari")</f>
        <v>SMK Negeri 2 Kendari</v>
      </c>
      <c r="D145" s="24"/>
      <c r="E145" s="24"/>
      <c r="F145" s="24" t="str">
        <f>IFERROR(__xludf.DUMMYFUNCTION("""COMPUTED_VALUE"""),"Alif Shafwana Yehan")</f>
        <v>Alif Shafwana Yehan</v>
      </c>
      <c r="G145" s="24" t="str">
        <f>IFERROR(__xludf.DUMMYFUNCTION("""COMPUTED_VALUE"""),"7471092605080002")</f>
        <v>7471092605080002</v>
      </c>
      <c r="H145" s="24"/>
      <c r="I145" s="24"/>
      <c r="J145" s="24" t="str">
        <f>IFERROR(__xludf.DUMMYFUNCTION("""COMPUTED_VALUE"""),"LAKI-LAKI")</f>
        <v>LAKI-LAKI</v>
      </c>
      <c r="K145" s="24" t="str">
        <f>IFERROR(__xludf.DUMMYFUNCTION("""COMPUTED_VALUE"""),"Jl. Chairil Anwar No. 73")</f>
        <v>Jl. Chairil Anwar No. 73</v>
      </c>
      <c r="L145" s="24"/>
      <c r="M145" s="24"/>
      <c r="N145" s="24" t="str">
        <f>IFERROR(__xludf.DUMMYFUNCTION("""COMPUTED_VALUE"""),"SMA / SMK / MA")</f>
        <v>SMA / SMK / MA</v>
      </c>
      <c r="O145" s="24"/>
      <c r="P145" s="24"/>
      <c r="Q145" s="24"/>
      <c r="R145" s="24" t="str">
        <f>IFERROR(__xludf.DUMMYFUNCTION("""COMPUTED_VALUE"""),"BK")</f>
        <v>BK</v>
      </c>
      <c r="S145" s="25"/>
    </row>
    <row r="146" ht="22.5" customHeight="1">
      <c r="A146" s="22">
        <v>145.0</v>
      </c>
      <c r="B146" s="24" t="str">
        <f>IFERROR(__xludf.DUMMYFUNCTION("""COMPUTED_VALUE"""),"Merakit Komponen Fabrikasi")</f>
        <v>Merakit Komponen Fabrikasi</v>
      </c>
      <c r="C146" s="24" t="str">
        <f>IFERROR(__xludf.DUMMYFUNCTION("""COMPUTED_VALUE"""),"SMK Negeri 2 Kendari")</f>
        <v>SMK Negeri 2 Kendari</v>
      </c>
      <c r="D146" s="24"/>
      <c r="E146" s="24"/>
      <c r="F146" s="24" t="str">
        <f>IFERROR(__xludf.DUMMYFUNCTION("""COMPUTED_VALUE"""),"Alsition")</f>
        <v>Alsition</v>
      </c>
      <c r="G146" s="24" t="str">
        <f>IFERROR(__xludf.DUMMYFUNCTION("""COMPUTED_VALUE"""),"7403260110070001")</f>
        <v>7403260110070001</v>
      </c>
      <c r="H146" s="24"/>
      <c r="I146" s="24"/>
      <c r="J146" s="24" t="str">
        <f>IFERROR(__xludf.DUMMYFUNCTION("""COMPUTED_VALUE"""),"LAKI-LAKI")</f>
        <v>LAKI-LAKI</v>
      </c>
      <c r="K146" s="24" t="str">
        <f>IFERROR(__xludf.DUMMYFUNCTION("""COMPUTED_VALUE"""),"Oelongko")</f>
        <v>Oelongko</v>
      </c>
      <c r="L146" s="24"/>
      <c r="M146" s="24"/>
      <c r="N146" s="24" t="str">
        <f>IFERROR(__xludf.DUMMYFUNCTION("""COMPUTED_VALUE"""),"SMA / SMK / MA")</f>
        <v>SMA / SMK / MA</v>
      </c>
      <c r="O146" s="24"/>
      <c r="P146" s="24"/>
      <c r="Q146" s="24"/>
      <c r="R146" s="24" t="str">
        <f>IFERROR(__xludf.DUMMYFUNCTION("""COMPUTED_VALUE"""),"K")</f>
        <v>K</v>
      </c>
      <c r="S146" s="25"/>
    </row>
    <row r="147" ht="22.5" customHeight="1">
      <c r="A147" s="22">
        <v>146.0</v>
      </c>
      <c r="B147" s="24" t="str">
        <f>IFERROR(__xludf.DUMMYFUNCTION("""COMPUTED_VALUE"""),"Merakit Komponen Fabrikasi")</f>
        <v>Merakit Komponen Fabrikasi</v>
      </c>
      <c r="C147" s="24" t="str">
        <f>IFERROR(__xludf.DUMMYFUNCTION("""COMPUTED_VALUE"""),"SMK Negeri 2 Kendari")</f>
        <v>SMK Negeri 2 Kendari</v>
      </c>
      <c r="D147" s="24"/>
      <c r="E147" s="24"/>
      <c r="F147" s="24" t="str">
        <f>IFERROR(__xludf.DUMMYFUNCTION("""COMPUTED_VALUE"""),"Alwadi")</f>
        <v>Alwadi</v>
      </c>
      <c r="G147" s="24" t="str">
        <f>IFERROR(__xludf.DUMMYFUNCTION("""COMPUTED_VALUE"""),"7471060202070003")</f>
        <v>7471060202070003</v>
      </c>
      <c r="H147" s="24"/>
      <c r="I147" s="24"/>
      <c r="J147" s="24" t="str">
        <f>IFERROR(__xludf.DUMMYFUNCTION("""COMPUTED_VALUE"""),"LAKI-LAKI")</f>
        <v>LAKI-LAKI</v>
      </c>
      <c r="K147" s="24" t="str">
        <f>IFERROR(__xludf.DUMMYFUNCTION("""COMPUTED_VALUE"""),"Talia")</f>
        <v>Talia</v>
      </c>
      <c r="L147" s="24"/>
      <c r="M147" s="24"/>
      <c r="N147" s="24" t="str">
        <f>IFERROR(__xludf.DUMMYFUNCTION("""COMPUTED_VALUE"""),"SMA / SMK / MA")</f>
        <v>SMA / SMK / MA</v>
      </c>
      <c r="O147" s="24"/>
      <c r="P147" s="24"/>
      <c r="Q147" s="24"/>
      <c r="R147" s="24" t="str">
        <f>IFERROR(__xludf.DUMMYFUNCTION("""COMPUTED_VALUE"""),"K")</f>
        <v>K</v>
      </c>
      <c r="S147" s="25"/>
    </row>
    <row r="148" ht="22.5" customHeight="1">
      <c r="A148" s="22">
        <v>147.0</v>
      </c>
      <c r="B148" s="24" t="str">
        <f>IFERROR(__xludf.DUMMYFUNCTION("""COMPUTED_VALUE"""),"Merakit Komponen Fabrikasi")</f>
        <v>Merakit Komponen Fabrikasi</v>
      </c>
      <c r="C148" s="24" t="str">
        <f>IFERROR(__xludf.DUMMYFUNCTION("""COMPUTED_VALUE"""),"SMK Negeri 2 Kendari")</f>
        <v>SMK Negeri 2 Kendari</v>
      </c>
      <c r="D148" s="24"/>
      <c r="E148" s="24"/>
      <c r="F148" s="24" t="str">
        <f>IFERROR(__xludf.DUMMYFUNCTION("""COMPUTED_VALUE"""),"Andi Ahmad Pramana Ansar")</f>
        <v>Andi Ahmad Pramana Ansar</v>
      </c>
      <c r="G148" s="24" t="str">
        <f>IFERROR(__xludf.DUMMYFUNCTION("""COMPUTED_VALUE"""),"7471051705080004")</f>
        <v>7471051705080004</v>
      </c>
      <c r="H148" s="24"/>
      <c r="I148" s="24"/>
      <c r="J148" s="24" t="str">
        <f>IFERROR(__xludf.DUMMYFUNCTION("""COMPUTED_VALUE"""),"LAKI-LAKI")</f>
        <v>LAKI-LAKI</v>
      </c>
      <c r="K148" s="24" t="str">
        <f>IFERROR(__xludf.DUMMYFUNCTION("""COMPUTED_VALUE"""),"Jl. Titang No 4")</f>
        <v>Jl. Titang No 4</v>
      </c>
      <c r="L148" s="24"/>
      <c r="M148" s="24"/>
      <c r="N148" s="24" t="str">
        <f>IFERROR(__xludf.DUMMYFUNCTION("""COMPUTED_VALUE"""),"SMA / SMK / MA")</f>
        <v>SMA / SMK / MA</v>
      </c>
      <c r="O148" s="24"/>
      <c r="P148" s="24"/>
      <c r="Q148" s="24"/>
      <c r="R148" s="24" t="str">
        <f>IFERROR(__xludf.DUMMYFUNCTION("""COMPUTED_VALUE"""),"K")</f>
        <v>K</v>
      </c>
      <c r="S148" s="25"/>
    </row>
    <row r="149" ht="22.5" customHeight="1">
      <c r="A149" s="22">
        <v>148.0</v>
      </c>
      <c r="B149" s="24" t="str">
        <f>IFERROR(__xludf.DUMMYFUNCTION("""COMPUTED_VALUE"""),"Merakit Komponen Fabrikasi")</f>
        <v>Merakit Komponen Fabrikasi</v>
      </c>
      <c r="C149" s="24" t="str">
        <f>IFERROR(__xludf.DUMMYFUNCTION("""COMPUTED_VALUE"""),"SMK Negeri 2 Kendari")</f>
        <v>SMK Negeri 2 Kendari</v>
      </c>
      <c r="D149" s="24"/>
      <c r="E149" s="24"/>
      <c r="F149" s="24" t="str">
        <f>IFERROR(__xludf.DUMMYFUNCTION("""COMPUTED_VALUE"""),"Dilzhad Dwi Apriyadi")</f>
        <v>Dilzhad Dwi Apriyadi</v>
      </c>
      <c r="G149" s="24" t="str">
        <f>IFERROR(__xludf.DUMMYFUNCTION("""COMPUTED_VALUE"""),"7471060404080004")</f>
        <v>7471060404080004</v>
      </c>
      <c r="H149" s="24"/>
      <c r="I149" s="24"/>
      <c r="J149" s="24" t="str">
        <f>IFERROR(__xludf.DUMMYFUNCTION("""COMPUTED_VALUE"""),"LAKI-LAKI")</f>
        <v>LAKI-LAKI</v>
      </c>
      <c r="K149" s="24" t="str">
        <f>IFERROR(__xludf.DUMMYFUNCTION("""COMPUTED_VALUE"""),"Kel. Anggalomelai, RT 09/RW 05, Kec. Abeli")</f>
        <v>Kel. Anggalomelai, RT 09/RW 05, Kec. Abeli</v>
      </c>
      <c r="L149" s="24"/>
      <c r="M149" s="24"/>
      <c r="N149" s="24" t="str">
        <f>IFERROR(__xludf.DUMMYFUNCTION("""COMPUTED_VALUE"""),"SMA / SMK / MA")</f>
        <v>SMA / SMK / MA</v>
      </c>
      <c r="O149" s="24"/>
      <c r="P149" s="24"/>
      <c r="Q149" s="24"/>
      <c r="R149" s="24" t="str">
        <f>IFERROR(__xludf.DUMMYFUNCTION("""COMPUTED_VALUE"""),"K")</f>
        <v>K</v>
      </c>
      <c r="S149" s="25"/>
    </row>
    <row r="150" ht="22.5" customHeight="1">
      <c r="A150" s="22">
        <v>149.0</v>
      </c>
      <c r="B150" s="24" t="str">
        <f>IFERROR(__xludf.DUMMYFUNCTION("""COMPUTED_VALUE"""),"Merakit Komponen Fabrikasi")</f>
        <v>Merakit Komponen Fabrikasi</v>
      </c>
      <c r="C150" s="24" t="str">
        <f>IFERROR(__xludf.DUMMYFUNCTION("""COMPUTED_VALUE"""),"SMK Negeri 2 Kendari")</f>
        <v>SMK Negeri 2 Kendari</v>
      </c>
      <c r="D150" s="24"/>
      <c r="E150" s="24"/>
      <c r="F150" s="24" t="str">
        <f>IFERROR(__xludf.DUMMYFUNCTION("""COMPUTED_VALUE"""),"Edgar Alfatsyah Laponangi")</f>
        <v>Edgar Alfatsyah Laponangi</v>
      </c>
      <c r="G150" s="24" t="str">
        <f>IFERROR(__xludf.DUMMYFUNCTION("""COMPUTED_VALUE"""),"7405041906080002")</f>
        <v>7405041906080002</v>
      </c>
      <c r="H150" s="24"/>
      <c r="I150" s="24"/>
      <c r="J150" s="24" t="str">
        <f>IFERROR(__xludf.DUMMYFUNCTION("""COMPUTED_VALUE"""),"LAKI-LAKI")</f>
        <v>LAKI-LAKI</v>
      </c>
      <c r="K150" s="24" t="str">
        <f>IFERROR(__xludf.DUMMYFUNCTION("""COMPUTED_VALUE"""),"Jln. Poros Kendari-Andoolo")</f>
        <v>Jln. Poros Kendari-Andoolo</v>
      </c>
      <c r="L150" s="24"/>
      <c r="M150" s="24"/>
      <c r="N150" s="24" t="str">
        <f>IFERROR(__xludf.DUMMYFUNCTION("""COMPUTED_VALUE"""),"SMA / SMK / MA")</f>
        <v>SMA / SMK / MA</v>
      </c>
      <c r="O150" s="24"/>
      <c r="P150" s="24"/>
      <c r="Q150" s="24"/>
      <c r="R150" s="24" t="str">
        <f>IFERROR(__xludf.DUMMYFUNCTION("""COMPUTED_VALUE"""),"BK")</f>
        <v>BK</v>
      </c>
      <c r="S150" s="25"/>
    </row>
    <row r="151" ht="22.5" customHeight="1">
      <c r="A151" s="22">
        <v>150.0</v>
      </c>
      <c r="B151" s="24" t="str">
        <f>IFERROR(__xludf.DUMMYFUNCTION("""COMPUTED_VALUE"""),"Merakit Komponen Fabrikasi")</f>
        <v>Merakit Komponen Fabrikasi</v>
      </c>
      <c r="C151" s="24" t="str">
        <f>IFERROR(__xludf.DUMMYFUNCTION("""COMPUTED_VALUE"""),"SMK Negeri 2 Kendari")</f>
        <v>SMK Negeri 2 Kendari</v>
      </c>
      <c r="D151" s="24"/>
      <c r="E151" s="24"/>
      <c r="F151" s="24" t="str">
        <f>IFERROR(__xludf.DUMMYFUNCTION("""COMPUTED_VALUE"""),"Fardiansyah")</f>
        <v>Fardiansyah</v>
      </c>
      <c r="G151" s="24" t="str">
        <f>IFERROR(__xludf.DUMMYFUNCTION("""COMPUTED_VALUE"""),"7405012004060001")</f>
        <v>7405012004060001</v>
      </c>
      <c r="H151" s="24"/>
      <c r="I151" s="24"/>
      <c r="J151" s="24" t="str">
        <f>IFERROR(__xludf.DUMMYFUNCTION("""COMPUTED_VALUE"""),"LAKI-LAKI")</f>
        <v>LAKI-LAKI</v>
      </c>
      <c r="K151" s="24" t="str">
        <f>IFERROR(__xludf.DUMMYFUNCTION("""COMPUTED_VALUE"""),"Jl. Sao-Sao, Lr. Oleo")</f>
        <v>Jl. Sao-Sao, Lr. Oleo</v>
      </c>
      <c r="L151" s="24"/>
      <c r="M151" s="24"/>
      <c r="N151" s="24" t="str">
        <f>IFERROR(__xludf.DUMMYFUNCTION("""COMPUTED_VALUE"""),"SMA / SMK / MA")</f>
        <v>SMA / SMK / MA</v>
      </c>
      <c r="O151" s="24"/>
      <c r="P151" s="24"/>
      <c r="Q151" s="24"/>
      <c r="R151" s="24" t="str">
        <f>IFERROR(__xludf.DUMMYFUNCTION("""COMPUTED_VALUE"""),"BK")</f>
        <v>BK</v>
      </c>
      <c r="S151" s="25"/>
    </row>
    <row r="152" ht="22.5" customHeight="1">
      <c r="A152" s="22">
        <v>151.0</v>
      </c>
      <c r="B152" s="24" t="str">
        <f>IFERROR(__xludf.DUMMYFUNCTION("""COMPUTED_VALUE"""),"Merakit Komponen Fabrikasi")</f>
        <v>Merakit Komponen Fabrikasi</v>
      </c>
      <c r="C152" s="24" t="str">
        <f>IFERROR(__xludf.DUMMYFUNCTION("""COMPUTED_VALUE"""),"SMK Negeri 2 Kendari")</f>
        <v>SMK Negeri 2 Kendari</v>
      </c>
      <c r="D152" s="24"/>
      <c r="E152" s="24"/>
      <c r="F152" s="24" t="str">
        <f>IFERROR(__xludf.DUMMYFUNCTION("""COMPUTED_VALUE"""),"Fernando Ramli")</f>
        <v>Fernando Ramli</v>
      </c>
      <c r="G152" s="24" t="str">
        <f>IFERROR(__xludf.DUMMYFUNCTION("""COMPUTED_VALUE"""),"7405012004060001")</f>
        <v>7405012004060001</v>
      </c>
      <c r="H152" s="24"/>
      <c r="I152" s="24"/>
      <c r="J152" s="24" t="str">
        <f>IFERROR(__xludf.DUMMYFUNCTION("""COMPUTED_VALUE"""),"LAKI-LAKI")</f>
        <v>LAKI-LAKI</v>
      </c>
      <c r="K152" s="24" t="str">
        <f>IFERROR(__xludf.DUMMYFUNCTION("""COMPUTED_VALUE"""),"Jl. Ruri, Kec. Pungalobu")</f>
        <v>Jl. Ruri, Kec. Pungalobu</v>
      </c>
      <c r="L152" s="24"/>
      <c r="M152" s="24"/>
      <c r="N152" s="24" t="str">
        <f>IFERROR(__xludf.DUMMYFUNCTION("""COMPUTED_VALUE"""),"SMA / SMK / MA")</f>
        <v>SMA / SMK / MA</v>
      </c>
      <c r="O152" s="24"/>
      <c r="P152" s="24"/>
      <c r="Q152" s="24"/>
      <c r="R152" s="24" t="str">
        <f>IFERROR(__xludf.DUMMYFUNCTION("""COMPUTED_VALUE"""),"BK")</f>
        <v>BK</v>
      </c>
      <c r="S152" s="25"/>
    </row>
    <row r="153" ht="22.5" customHeight="1">
      <c r="A153" s="22">
        <v>152.0</v>
      </c>
      <c r="B153" s="24" t="str">
        <f>IFERROR(__xludf.DUMMYFUNCTION("""COMPUTED_VALUE"""),"Merakit Komponen Fabrikasi")</f>
        <v>Merakit Komponen Fabrikasi</v>
      </c>
      <c r="C153" s="24" t="str">
        <f>IFERROR(__xludf.DUMMYFUNCTION("""COMPUTED_VALUE"""),"SMK Negeri 2 Kendari")</f>
        <v>SMK Negeri 2 Kendari</v>
      </c>
      <c r="D153" s="24"/>
      <c r="E153" s="24"/>
      <c r="F153" s="24" t="str">
        <f>IFERROR(__xludf.DUMMYFUNCTION("""COMPUTED_VALUE"""),"Irwan Saputra")</f>
        <v>Irwan Saputra</v>
      </c>
      <c r="G153" s="24" t="str">
        <f>IFERROR(__xludf.DUMMYFUNCTION("""COMPUTED_VALUE"""),"7471060304080001")</f>
        <v>7471060304080001</v>
      </c>
      <c r="H153" s="24"/>
      <c r="I153" s="24"/>
      <c r="J153" s="24" t="str">
        <f>IFERROR(__xludf.DUMMYFUNCTION("""COMPUTED_VALUE"""),"LAKI-LAKI")</f>
        <v>LAKI-LAKI</v>
      </c>
      <c r="K153" s="24" t="str">
        <f>IFERROR(__xludf.DUMMYFUNCTION("""COMPUTED_VALUE"""),"Transmina Lapulu")</f>
        <v>Transmina Lapulu</v>
      </c>
      <c r="L153" s="24"/>
      <c r="M153" s="24"/>
      <c r="N153" s="24" t="str">
        <f>IFERROR(__xludf.DUMMYFUNCTION("""COMPUTED_VALUE"""),"SMA / SMK / MA")</f>
        <v>SMA / SMK / MA</v>
      </c>
      <c r="O153" s="24"/>
      <c r="P153" s="24"/>
      <c r="Q153" s="24"/>
      <c r="R153" s="24" t="str">
        <f>IFERROR(__xludf.DUMMYFUNCTION("""COMPUTED_VALUE"""),"BK")</f>
        <v>BK</v>
      </c>
      <c r="S153" s="25"/>
    </row>
    <row r="154" ht="22.5" customHeight="1">
      <c r="A154" s="22">
        <v>153.0</v>
      </c>
      <c r="B154" s="24" t="str">
        <f>IFERROR(__xludf.DUMMYFUNCTION("""COMPUTED_VALUE"""),"Merakit Komponen Fabrikasi")</f>
        <v>Merakit Komponen Fabrikasi</v>
      </c>
      <c r="C154" s="24" t="str">
        <f>IFERROR(__xludf.DUMMYFUNCTION("""COMPUTED_VALUE"""),"SMK Negeri 2 Kendari")</f>
        <v>SMK Negeri 2 Kendari</v>
      </c>
      <c r="D154" s="24"/>
      <c r="E154" s="24"/>
      <c r="F154" s="24" t="str">
        <f>IFERROR(__xludf.DUMMYFUNCTION("""COMPUTED_VALUE"""),"Isbar Tri Omega Lambo")</f>
        <v>Isbar Tri Omega Lambo</v>
      </c>
      <c r="G154" s="24" t="str">
        <f>IFERROR(__xludf.DUMMYFUNCTION("""COMPUTED_VALUE"""),"7206030410070002")</f>
        <v>7206030410070002</v>
      </c>
      <c r="H154" s="24"/>
      <c r="I154" s="24"/>
      <c r="J154" s="24" t="str">
        <f>IFERROR(__xludf.DUMMYFUNCTION("""COMPUTED_VALUE"""),"LAKI-LAKI")</f>
        <v>LAKI-LAKI</v>
      </c>
      <c r="K154" s="24" t="str">
        <f>IFERROR(__xludf.DUMMYFUNCTION("""COMPUTED_VALUE"""),"Mohoni, Petasia Timur")</f>
        <v>Mohoni, Petasia Timur</v>
      </c>
      <c r="L154" s="24"/>
      <c r="M154" s="24"/>
      <c r="N154" s="24" t="str">
        <f>IFERROR(__xludf.DUMMYFUNCTION("""COMPUTED_VALUE"""),"SMA / SMK / MA")</f>
        <v>SMA / SMK / MA</v>
      </c>
      <c r="O154" s="24"/>
      <c r="P154" s="24"/>
      <c r="Q154" s="24"/>
      <c r="R154" s="24" t="str">
        <f>IFERROR(__xludf.DUMMYFUNCTION("""COMPUTED_VALUE"""),"BK")</f>
        <v>BK</v>
      </c>
      <c r="S154" s="25"/>
    </row>
    <row r="155" ht="22.5" customHeight="1">
      <c r="A155" s="22">
        <v>154.0</v>
      </c>
      <c r="B155" s="24" t="str">
        <f>IFERROR(__xludf.DUMMYFUNCTION("""COMPUTED_VALUE"""),"Merakit Komponen Fabrikasi")</f>
        <v>Merakit Komponen Fabrikasi</v>
      </c>
      <c r="C155" s="24" t="str">
        <f>IFERROR(__xludf.DUMMYFUNCTION("""COMPUTED_VALUE"""),"SMK Negeri 2 Kendari")</f>
        <v>SMK Negeri 2 Kendari</v>
      </c>
      <c r="D155" s="24"/>
      <c r="E155" s="24"/>
      <c r="F155" s="24" t="str">
        <f>IFERROR(__xludf.DUMMYFUNCTION("""COMPUTED_VALUE"""),"La Ode Muh. Haider")</f>
        <v>La Ode Muh. Haider</v>
      </c>
      <c r="G155" s="24" t="str">
        <f>IFERROR(__xludf.DUMMYFUNCTION("""COMPUTED_VALUE"""),"7471060801080001")</f>
        <v>7471060801080001</v>
      </c>
      <c r="H155" s="24"/>
      <c r="I155" s="24"/>
      <c r="J155" s="24" t="str">
        <f>IFERROR(__xludf.DUMMYFUNCTION("""COMPUTED_VALUE"""),"LAKI-LAKI")</f>
        <v>LAKI-LAKI</v>
      </c>
      <c r="K155" s="24" t="str">
        <f>IFERROR(__xludf.DUMMYFUNCTION("""COMPUTED_VALUE"""),"Tobimeita, Kec. Nambo")</f>
        <v>Tobimeita, Kec. Nambo</v>
      </c>
      <c r="L155" s="24"/>
      <c r="M155" s="24"/>
      <c r="N155" s="24" t="str">
        <f>IFERROR(__xludf.DUMMYFUNCTION("""COMPUTED_VALUE"""),"SMA / SMK / MA")</f>
        <v>SMA / SMK / MA</v>
      </c>
      <c r="O155" s="24"/>
      <c r="P155" s="24"/>
      <c r="Q155" s="24"/>
      <c r="R155" s="24" t="str">
        <f>IFERROR(__xludf.DUMMYFUNCTION("""COMPUTED_VALUE"""),"K")</f>
        <v>K</v>
      </c>
      <c r="S155" s="25"/>
    </row>
    <row r="156" ht="22.5" customHeight="1">
      <c r="A156" s="22">
        <v>155.0</v>
      </c>
      <c r="B156" s="24" t="str">
        <f>IFERROR(__xludf.DUMMYFUNCTION("""COMPUTED_VALUE"""),"Merakit Komponen Fabrikasi")</f>
        <v>Merakit Komponen Fabrikasi</v>
      </c>
      <c r="C156" s="24" t="str">
        <f>IFERROR(__xludf.DUMMYFUNCTION("""COMPUTED_VALUE"""),"SMK Negeri 2 Kendari")</f>
        <v>SMK Negeri 2 Kendari</v>
      </c>
      <c r="D156" s="24"/>
      <c r="E156" s="24"/>
      <c r="F156" s="24" t="str">
        <f>IFERROR(__xludf.DUMMYFUNCTION("""COMPUTED_VALUE"""),"LD Muhammad Yusuf")</f>
        <v>LD Muhammad Yusuf</v>
      </c>
      <c r="G156" s="24" t="str">
        <f>IFERROR(__xludf.DUMMYFUNCTION("""COMPUTED_VALUE"""),"7471012710080001")</f>
        <v>7471012710080001</v>
      </c>
      <c r="H156" s="24"/>
      <c r="I156" s="24"/>
      <c r="J156" s="24" t="str">
        <f>IFERROR(__xludf.DUMMYFUNCTION("""COMPUTED_VALUE"""),"LAKI-LAKI")</f>
        <v>LAKI-LAKI</v>
      </c>
      <c r="K156" s="24" t="str">
        <f>IFERROR(__xludf.DUMMYFUNCTION("""COMPUTED_VALUE"""),"Jl. Imam Bonjol, Kel. Alolama")</f>
        <v>Jl. Imam Bonjol, Kel. Alolama</v>
      </c>
      <c r="L156" s="24"/>
      <c r="M156" s="24"/>
      <c r="N156" s="24" t="str">
        <f>IFERROR(__xludf.DUMMYFUNCTION("""COMPUTED_VALUE"""),"SMA / SMK / MA")</f>
        <v>SMA / SMK / MA</v>
      </c>
      <c r="O156" s="24"/>
      <c r="P156" s="24"/>
      <c r="Q156" s="24"/>
      <c r="R156" s="24" t="str">
        <f>IFERROR(__xludf.DUMMYFUNCTION("""COMPUTED_VALUE"""),"BK")</f>
        <v>BK</v>
      </c>
      <c r="S156" s="25"/>
    </row>
    <row r="157" ht="22.5" customHeight="1">
      <c r="A157" s="22">
        <v>156.0</v>
      </c>
      <c r="B157" s="24" t="str">
        <f>IFERROR(__xludf.DUMMYFUNCTION("""COMPUTED_VALUE"""),"Merakit Komponen Fabrikasi")</f>
        <v>Merakit Komponen Fabrikasi</v>
      </c>
      <c r="C157" s="24" t="str">
        <f>IFERROR(__xludf.DUMMYFUNCTION("""COMPUTED_VALUE"""),"SMK Negeri 2 Kendari")</f>
        <v>SMK Negeri 2 Kendari</v>
      </c>
      <c r="D157" s="24"/>
      <c r="E157" s="24"/>
      <c r="F157" s="24" t="str">
        <f>IFERROR(__xludf.DUMMYFUNCTION("""COMPUTED_VALUE"""),"La. Mondo")</f>
        <v>La. Mondo</v>
      </c>
      <c r="G157" s="24" t="str">
        <f>IFERROR(__xludf.DUMMYFUNCTION("""COMPUTED_VALUE"""),"7471071512070001")</f>
        <v>7471071512070001</v>
      </c>
      <c r="H157" s="24"/>
      <c r="I157" s="24"/>
      <c r="J157" s="24" t="str">
        <f>IFERROR(__xludf.DUMMYFUNCTION("""COMPUTED_VALUE"""),"LAKI-LAKI")</f>
        <v>LAKI-LAKI</v>
      </c>
      <c r="K157" s="24" t="str">
        <f>IFERROR(__xludf.DUMMYFUNCTION("""COMPUTED_VALUE"""),"Jln. Dr. Sutomo")</f>
        <v>Jln. Dr. Sutomo</v>
      </c>
      <c r="L157" s="24"/>
      <c r="M157" s="24"/>
      <c r="N157" s="24" t="str">
        <f>IFERROR(__xludf.DUMMYFUNCTION("""COMPUTED_VALUE"""),"SMA / SMK / MA")</f>
        <v>SMA / SMK / MA</v>
      </c>
      <c r="O157" s="24"/>
      <c r="P157" s="24"/>
      <c r="Q157" s="24"/>
      <c r="R157" s="24" t="str">
        <f>IFERROR(__xludf.DUMMYFUNCTION("""COMPUTED_VALUE"""),"BK")</f>
        <v>BK</v>
      </c>
      <c r="S157" s="25"/>
    </row>
    <row r="158" ht="22.5" customHeight="1">
      <c r="A158" s="22">
        <v>157.0</v>
      </c>
      <c r="B158" s="24" t="str">
        <f>IFERROR(__xludf.DUMMYFUNCTION("""COMPUTED_VALUE"""),"Merakit Komponen Fabrikasi")</f>
        <v>Merakit Komponen Fabrikasi</v>
      </c>
      <c r="C158" s="24" t="str">
        <f>IFERROR(__xludf.DUMMYFUNCTION("""COMPUTED_VALUE"""),"SMK Negeri 2 Kendari")</f>
        <v>SMK Negeri 2 Kendari</v>
      </c>
      <c r="D158" s="24"/>
      <c r="E158" s="24"/>
      <c r="F158" s="24" t="str">
        <f>IFERROR(__xludf.DUMMYFUNCTION("""COMPUTED_VALUE"""),"Micky Alfa Reza")</f>
        <v>Micky Alfa Reza</v>
      </c>
      <c r="G158" s="24" t="str">
        <f>IFERROR(__xludf.DUMMYFUNCTION("""COMPUTED_VALUE"""),"7405122605070001")</f>
        <v>7405122605070001</v>
      </c>
      <c r="H158" s="24"/>
      <c r="I158" s="24"/>
      <c r="J158" s="24" t="str">
        <f>IFERROR(__xludf.DUMMYFUNCTION("""COMPUTED_VALUE"""),"LAKI-LAKI")</f>
        <v>LAKI-LAKI</v>
      </c>
      <c r="K158" s="24" t="str">
        <f>IFERROR(__xludf.DUMMYFUNCTION("""COMPUTED_VALUE"""),"Jl. Anawai")</f>
        <v>Jl. Anawai</v>
      </c>
      <c r="L158" s="24"/>
      <c r="M158" s="24"/>
      <c r="N158" s="24" t="str">
        <f>IFERROR(__xludf.DUMMYFUNCTION("""COMPUTED_VALUE"""),"SMA / SMK / MA")</f>
        <v>SMA / SMK / MA</v>
      </c>
      <c r="O158" s="24"/>
      <c r="P158" s="24"/>
      <c r="Q158" s="24"/>
      <c r="R158" s="24" t="str">
        <f>IFERROR(__xludf.DUMMYFUNCTION("""COMPUTED_VALUE"""),"BK")</f>
        <v>BK</v>
      </c>
      <c r="S158" s="25"/>
    </row>
    <row r="159" ht="22.5" customHeight="1">
      <c r="A159" s="22">
        <v>158.0</v>
      </c>
      <c r="B159" s="24" t="str">
        <f>IFERROR(__xludf.DUMMYFUNCTION("""COMPUTED_VALUE"""),"Merakit Komponen Fabrikasi")</f>
        <v>Merakit Komponen Fabrikasi</v>
      </c>
      <c r="C159" s="24" t="str">
        <f>IFERROR(__xludf.DUMMYFUNCTION("""COMPUTED_VALUE"""),"SMK Negeri 2 Kendari")</f>
        <v>SMK Negeri 2 Kendari</v>
      </c>
      <c r="D159" s="24"/>
      <c r="E159" s="24"/>
      <c r="F159" s="24" t="str">
        <f>IFERROR(__xludf.DUMMYFUNCTION("""COMPUTED_VALUE"""),"Muh. Andika Putra Lubi")</f>
        <v>Muh. Andika Putra Lubi</v>
      </c>
      <c r="G159" s="24" t="str">
        <f>IFERROR(__xludf.DUMMYFUNCTION("""COMPUTED_VALUE"""),"7471012006070002")</f>
        <v>7471012006070002</v>
      </c>
      <c r="H159" s="24"/>
      <c r="I159" s="24"/>
      <c r="J159" s="24" t="str">
        <f>IFERROR(__xludf.DUMMYFUNCTION("""COMPUTED_VALUE"""),"LAKI-LAKI")</f>
        <v>LAKI-LAKI</v>
      </c>
      <c r="K159" s="24" t="str">
        <f>IFERROR(__xludf.DUMMYFUNCTION("""COMPUTED_VALUE"""),"Jln. Sam Ratulangi, Mandonga")</f>
        <v>Jln. Sam Ratulangi, Mandonga</v>
      </c>
      <c r="L159" s="24"/>
      <c r="M159" s="24"/>
      <c r="N159" s="24" t="str">
        <f>IFERROR(__xludf.DUMMYFUNCTION("""COMPUTED_VALUE"""),"SMA / SMK / MA")</f>
        <v>SMA / SMK / MA</v>
      </c>
      <c r="O159" s="24"/>
      <c r="P159" s="24"/>
      <c r="Q159" s="24"/>
      <c r="R159" s="24" t="str">
        <f>IFERROR(__xludf.DUMMYFUNCTION("""COMPUTED_VALUE"""),"BK")</f>
        <v>BK</v>
      </c>
      <c r="S159" s="25"/>
    </row>
    <row r="160" ht="22.5" customHeight="1">
      <c r="A160" s="22">
        <v>159.0</v>
      </c>
      <c r="B160" s="24" t="str">
        <f>IFERROR(__xludf.DUMMYFUNCTION("""COMPUTED_VALUE"""),"Merakit Komponen Fabrikasi")</f>
        <v>Merakit Komponen Fabrikasi</v>
      </c>
      <c r="C160" s="24" t="str">
        <f>IFERROR(__xludf.DUMMYFUNCTION("""COMPUTED_VALUE"""),"SMK Negeri 2 Kendari")</f>
        <v>SMK Negeri 2 Kendari</v>
      </c>
      <c r="D160" s="24"/>
      <c r="E160" s="24"/>
      <c r="F160" s="24" t="str">
        <f>IFERROR(__xludf.DUMMYFUNCTION("""COMPUTED_VALUE"""),"Muh. Fachry")</f>
        <v>Muh. Fachry</v>
      </c>
      <c r="G160" s="24" t="str">
        <f>IFERROR(__xludf.DUMMYFUNCTION("""COMPUTED_VALUE"""),"7471051004080002")</f>
        <v>7471051004080002</v>
      </c>
      <c r="H160" s="24"/>
      <c r="I160" s="24"/>
      <c r="J160" s="24" t="str">
        <f>IFERROR(__xludf.DUMMYFUNCTION("""COMPUTED_VALUE"""),"LAKI-LAKI")</f>
        <v>LAKI-LAKI</v>
      </c>
      <c r="K160" s="24" t="str">
        <f>IFERROR(__xludf.DUMMYFUNCTION("""COMPUTED_VALUE"""),"Jln Bunga Tanjung")</f>
        <v>Jln Bunga Tanjung</v>
      </c>
      <c r="L160" s="24"/>
      <c r="M160" s="24"/>
      <c r="N160" s="24" t="str">
        <f>IFERROR(__xludf.DUMMYFUNCTION("""COMPUTED_VALUE"""),"SMA / SMK / MA")</f>
        <v>SMA / SMK / MA</v>
      </c>
      <c r="O160" s="24"/>
      <c r="P160" s="24"/>
      <c r="Q160" s="24"/>
      <c r="R160" s="24" t="str">
        <f>IFERROR(__xludf.DUMMYFUNCTION("""COMPUTED_VALUE"""),"BK")</f>
        <v>BK</v>
      </c>
      <c r="S160" s="25"/>
    </row>
    <row r="161" ht="22.5" customHeight="1">
      <c r="A161" s="22">
        <v>160.0</v>
      </c>
      <c r="B161" s="24" t="str">
        <f>IFERROR(__xludf.DUMMYFUNCTION("""COMPUTED_VALUE"""),"Merakit Komponen Fabrikasi")</f>
        <v>Merakit Komponen Fabrikasi</v>
      </c>
      <c r="C161" s="24" t="str">
        <f>IFERROR(__xludf.DUMMYFUNCTION("""COMPUTED_VALUE"""),"SMK Negeri 2 Kendari")</f>
        <v>SMK Negeri 2 Kendari</v>
      </c>
      <c r="D161" s="24"/>
      <c r="E161" s="24"/>
      <c r="F161" s="24" t="str">
        <f>IFERROR(__xludf.DUMMYFUNCTION("""COMPUTED_VALUE"""),"Muh. Farhan Aidil Renan")</f>
        <v>Muh. Farhan Aidil Renan</v>
      </c>
      <c r="G161" s="24" t="str">
        <f>IFERROR(__xludf.DUMMYFUNCTION("""COMPUTED_VALUE"""),"7402362905080002")</f>
        <v>7402362905080002</v>
      </c>
      <c r="H161" s="24"/>
      <c r="I161" s="24"/>
      <c r="J161" s="24" t="str">
        <f>IFERROR(__xludf.DUMMYFUNCTION("""COMPUTED_VALUE"""),"LAKI-LAKI")</f>
        <v>LAKI-LAKI</v>
      </c>
      <c r="K161" s="24" t="str">
        <f>IFERROR(__xludf.DUMMYFUNCTION("""COMPUTED_VALUE"""),"Rapombinopaka")</f>
        <v>Rapombinopaka</v>
      </c>
      <c r="L161" s="24"/>
      <c r="M161" s="24"/>
      <c r="N161" s="24" t="str">
        <f>IFERROR(__xludf.DUMMYFUNCTION("""COMPUTED_VALUE"""),"SMA / SMK / MA")</f>
        <v>SMA / SMK / MA</v>
      </c>
      <c r="O161" s="24"/>
      <c r="P161" s="24"/>
      <c r="Q161" s="24"/>
      <c r="R161" s="24" t="str">
        <f>IFERROR(__xludf.DUMMYFUNCTION("""COMPUTED_VALUE"""),"BK")</f>
        <v>BK</v>
      </c>
      <c r="S161" s="25"/>
    </row>
    <row r="162" ht="22.5" customHeight="1">
      <c r="A162" s="22">
        <v>161.0</v>
      </c>
      <c r="B162" s="24" t="str">
        <f>IFERROR(__xludf.DUMMYFUNCTION("""COMPUTED_VALUE"""),"Merakit Komponen Fabrikasi")</f>
        <v>Merakit Komponen Fabrikasi</v>
      </c>
      <c r="C162" s="24" t="str">
        <f>IFERROR(__xludf.DUMMYFUNCTION("""COMPUTED_VALUE"""),"SMK Negeri 2 Kendari")</f>
        <v>SMK Negeri 2 Kendari</v>
      </c>
      <c r="D162" s="24"/>
      <c r="E162" s="24"/>
      <c r="F162" s="24" t="str">
        <f>IFERROR(__xludf.DUMMYFUNCTION("""COMPUTED_VALUE"""),"Muh. Izya Aprianzyah Azhari Ukes")</f>
        <v>Muh. Izya Aprianzyah Azhari Ukes</v>
      </c>
      <c r="G162" s="24" t="str">
        <f>IFERROR(__xludf.DUMMYFUNCTION("""COMPUTED_VALUE"""),"7471016104070002")</f>
        <v>7471016104070002</v>
      </c>
      <c r="H162" s="24"/>
      <c r="I162" s="24"/>
      <c r="J162" s="24" t="str">
        <f>IFERROR(__xludf.DUMMYFUNCTION("""COMPUTED_VALUE"""),"PEREMPUAN")</f>
        <v>PEREMPUAN</v>
      </c>
      <c r="K162" s="24" t="str">
        <f>IFERROR(__xludf.DUMMYFUNCTION("""COMPUTED_VALUE"""),"Jl. Konggoasa")</f>
        <v>Jl. Konggoasa</v>
      </c>
      <c r="L162" s="24"/>
      <c r="M162" s="24"/>
      <c r="N162" s="24" t="str">
        <f>IFERROR(__xludf.DUMMYFUNCTION("""COMPUTED_VALUE"""),"SMA / SMK / MA")</f>
        <v>SMA / SMK / MA</v>
      </c>
      <c r="O162" s="24"/>
      <c r="P162" s="24"/>
      <c r="Q162" s="24"/>
      <c r="R162" s="24" t="str">
        <f>IFERROR(__xludf.DUMMYFUNCTION("""COMPUTED_VALUE"""),"BK")</f>
        <v>BK</v>
      </c>
      <c r="S162" s="25"/>
    </row>
    <row r="163" ht="22.5" customHeight="1">
      <c r="A163" s="22">
        <v>162.0</v>
      </c>
      <c r="B163" s="24" t="str">
        <f>IFERROR(__xludf.DUMMYFUNCTION("""COMPUTED_VALUE"""),"Merakit Komponen Fabrikasi")</f>
        <v>Merakit Komponen Fabrikasi</v>
      </c>
      <c r="C163" s="24" t="str">
        <f>IFERROR(__xludf.DUMMYFUNCTION("""COMPUTED_VALUE"""),"SMK Negeri 2 Kendari")</f>
        <v>SMK Negeri 2 Kendari</v>
      </c>
      <c r="D163" s="24"/>
      <c r="E163" s="24"/>
      <c r="F163" s="24" t="str">
        <f>IFERROR(__xludf.DUMMYFUNCTION("""COMPUTED_VALUE"""),"Muh. Idul Rahmansyah")</f>
        <v>Muh. Idul Rahmansyah</v>
      </c>
      <c r="G163" s="24" t="str">
        <f>IFERROR(__xludf.DUMMYFUNCTION("""COMPUTED_VALUE"""),"7471051710080001")</f>
        <v>7471051710080001</v>
      </c>
      <c r="H163" s="24"/>
      <c r="I163" s="24"/>
      <c r="J163" s="24" t="str">
        <f>IFERROR(__xludf.DUMMYFUNCTION("""COMPUTED_VALUE"""),"LAKI-LAKI")</f>
        <v>LAKI-LAKI</v>
      </c>
      <c r="K163" s="24" t="str">
        <f>IFERROR(__xludf.DUMMYFUNCTION("""COMPUTED_VALUE"""),"Jl. Sultan Hasanuddin")</f>
        <v>Jl. Sultan Hasanuddin</v>
      </c>
      <c r="L163" s="24"/>
      <c r="M163" s="24"/>
      <c r="N163" s="24" t="str">
        <f>IFERROR(__xludf.DUMMYFUNCTION("""COMPUTED_VALUE"""),"SMA / SMK / MA")</f>
        <v>SMA / SMK / MA</v>
      </c>
      <c r="O163" s="24"/>
      <c r="P163" s="24"/>
      <c r="Q163" s="24"/>
      <c r="R163" s="24" t="str">
        <f>IFERROR(__xludf.DUMMYFUNCTION("""COMPUTED_VALUE"""),"BK")</f>
        <v>BK</v>
      </c>
      <c r="S163" s="25"/>
    </row>
    <row r="164" ht="22.5" customHeight="1">
      <c r="A164" s="22">
        <v>163.0</v>
      </c>
      <c r="B164" s="24" t="str">
        <f>IFERROR(__xludf.DUMMYFUNCTION("""COMPUTED_VALUE"""),"Merakit Komponen Fabrikasi")</f>
        <v>Merakit Komponen Fabrikasi</v>
      </c>
      <c r="C164" s="24" t="str">
        <f>IFERROR(__xludf.DUMMYFUNCTION("""COMPUTED_VALUE"""),"SMK Negeri 2 Kendari")</f>
        <v>SMK Negeri 2 Kendari</v>
      </c>
      <c r="D164" s="24"/>
      <c r="E164" s="24"/>
      <c r="F164" s="24" t="str">
        <f>IFERROR(__xludf.DUMMYFUNCTION("""COMPUTED_VALUE"""),"Muh. Farel Apriansyah")</f>
        <v>Muh. Farel Apriansyah</v>
      </c>
      <c r="G164" s="24" t="str">
        <f>IFERROR(__xludf.DUMMYFUNCTION("""COMPUTED_VALUE"""),"7401100905080001")</f>
        <v>7401100905080001</v>
      </c>
      <c r="H164" s="24"/>
      <c r="I164" s="24"/>
      <c r="J164" s="24" t="str">
        <f>IFERROR(__xludf.DUMMYFUNCTION("""COMPUTED_VALUE"""),"LAKI-LAKI")</f>
        <v>LAKI-LAKI</v>
      </c>
      <c r="K164" s="24" t="str">
        <f>IFERROR(__xludf.DUMMYFUNCTION("""COMPUTED_VALUE"""),"Dusun III Suka Karya")</f>
        <v>Dusun III Suka Karya</v>
      </c>
      <c r="L164" s="24"/>
      <c r="M164" s="24"/>
      <c r="N164" s="24" t="str">
        <f>IFERROR(__xludf.DUMMYFUNCTION("""COMPUTED_VALUE"""),"SMA / SMK / MA")</f>
        <v>SMA / SMK / MA</v>
      </c>
      <c r="O164" s="24"/>
      <c r="P164" s="24"/>
      <c r="Q164" s="24"/>
      <c r="R164" s="24" t="str">
        <f>IFERROR(__xludf.DUMMYFUNCTION("""COMPUTED_VALUE"""),"K")</f>
        <v>K</v>
      </c>
      <c r="S164" s="25"/>
    </row>
    <row r="165" ht="22.5" customHeight="1">
      <c r="A165" s="22">
        <v>164.0</v>
      </c>
      <c r="B165" s="24" t="str">
        <f>IFERROR(__xludf.DUMMYFUNCTION("""COMPUTED_VALUE"""),"Merakit Komponen Fabrikasi")</f>
        <v>Merakit Komponen Fabrikasi</v>
      </c>
      <c r="C165" s="24" t="str">
        <f>IFERROR(__xludf.DUMMYFUNCTION("""COMPUTED_VALUE"""),"SMK Negeri 2 Kendari")</f>
        <v>SMK Negeri 2 Kendari</v>
      </c>
      <c r="D165" s="24"/>
      <c r="E165" s="24"/>
      <c r="F165" s="24" t="str">
        <f>IFERROR(__xludf.DUMMYFUNCTION("""COMPUTED_VALUE"""),"Rehan Pramana")</f>
        <v>Rehan Pramana</v>
      </c>
      <c r="G165" s="24" t="str">
        <f>IFERROR(__xludf.DUMMYFUNCTION("""COMPUTED_VALUE"""),"7471102810080001")</f>
        <v>7471102810080001</v>
      </c>
      <c r="H165" s="24"/>
      <c r="I165" s="24"/>
      <c r="J165" s="24" t="str">
        <f>IFERROR(__xludf.DUMMYFUNCTION("""COMPUTED_VALUE"""),"LAKI-LAKI")</f>
        <v>LAKI-LAKI</v>
      </c>
      <c r="K165" s="24" t="str">
        <f>IFERROR(__xludf.DUMMYFUNCTION("""COMPUTED_VALUE"""),"Jl. H.E.A Mokodompit Lrg. Mata Air III")</f>
        <v>Jl. H.E.A Mokodompit Lrg. Mata Air III</v>
      </c>
      <c r="L165" s="24"/>
      <c r="M165" s="24"/>
      <c r="N165" s="24" t="str">
        <f>IFERROR(__xludf.DUMMYFUNCTION("""COMPUTED_VALUE"""),"SMA / SMK / MA")</f>
        <v>SMA / SMK / MA</v>
      </c>
      <c r="O165" s="24"/>
      <c r="P165" s="24"/>
      <c r="Q165" s="24"/>
      <c r="R165" s="24" t="str">
        <f>IFERROR(__xludf.DUMMYFUNCTION("""COMPUTED_VALUE"""),"K")</f>
        <v>K</v>
      </c>
      <c r="S165" s="25"/>
    </row>
    <row r="166" ht="22.5" customHeight="1">
      <c r="A166" s="22">
        <v>165.0</v>
      </c>
      <c r="B166" s="24" t="str">
        <f>IFERROR(__xludf.DUMMYFUNCTION("""COMPUTED_VALUE"""),"Merakit Komponen Fabrikasi")</f>
        <v>Merakit Komponen Fabrikasi</v>
      </c>
      <c r="C166" s="24" t="str">
        <f>IFERROR(__xludf.DUMMYFUNCTION("""COMPUTED_VALUE"""),"SMK Negeri 2 Kendari")</f>
        <v>SMK Negeri 2 Kendari</v>
      </c>
      <c r="D166" s="24"/>
      <c r="E166" s="24"/>
      <c r="F166" s="24" t="str">
        <f>IFERROR(__xludf.DUMMYFUNCTION("""COMPUTED_VALUE"""),"Revan")</f>
        <v>Revan</v>
      </c>
      <c r="G166" s="24" t="str">
        <f>IFERROR(__xludf.DUMMYFUNCTION("""COMPUTED_VALUE"""),"7471060611070001")</f>
        <v>7471060611070001</v>
      </c>
      <c r="H166" s="24"/>
      <c r="I166" s="24"/>
      <c r="J166" s="24" t="str">
        <f>IFERROR(__xludf.DUMMYFUNCTION("""COMPUTED_VALUE"""),"LAKI-LAKI")</f>
        <v>LAKI-LAKI</v>
      </c>
      <c r="K166" s="24" t="str">
        <f>IFERROR(__xludf.DUMMYFUNCTION("""COMPUTED_VALUE"""),"Kel. Abeli")</f>
        <v>Kel. Abeli</v>
      </c>
      <c r="L166" s="24"/>
      <c r="M166" s="24"/>
      <c r="N166" s="24" t="str">
        <f>IFERROR(__xludf.DUMMYFUNCTION("""COMPUTED_VALUE"""),"SMA / SMK / MA")</f>
        <v>SMA / SMK / MA</v>
      </c>
      <c r="O166" s="24"/>
      <c r="P166" s="24"/>
      <c r="Q166" s="24"/>
      <c r="R166" s="24" t="str">
        <f>IFERROR(__xludf.DUMMYFUNCTION("""COMPUTED_VALUE"""),"K")</f>
        <v>K</v>
      </c>
      <c r="S166" s="25"/>
    </row>
    <row r="167" ht="22.5" customHeight="1">
      <c r="A167" s="22">
        <v>166.0</v>
      </c>
      <c r="B167" s="24" t="str">
        <f>IFERROR(__xludf.DUMMYFUNCTION("""COMPUTED_VALUE"""),"Merakit Komponen Fabrikasi")</f>
        <v>Merakit Komponen Fabrikasi</v>
      </c>
      <c r="C167" s="24" t="str">
        <f>IFERROR(__xludf.DUMMYFUNCTION("""COMPUTED_VALUE"""),"SMK Negeri 2 Kendari")</f>
        <v>SMK Negeri 2 Kendari</v>
      </c>
      <c r="D167" s="24"/>
      <c r="E167" s="24"/>
      <c r="F167" s="24" t="str">
        <f>IFERROR(__xludf.DUMMYFUNCTION("""COMPUTED_VALUE"""),"Rhevand Alfero")</f>
        <v>Rhevand Alfero</v>
      </c>
      <c r="G167" s="24" t="str">
        <f>IFERROR(__xludf.DUMMYFUNCTION("""COMPUTED_VALUE"""),"7471055409070001")</f>
        <v>7471055409070001</v>
      </c>
      <c r="H167" s="24"/>
      <c r="I167" s="24"/>
      <c r="J167" s="24" t="str">
        <f>IFERROR(__xludf.DUMMYFUNCTION("""COMPUTED_VALUE"""),"PEREMPUAN")</f>
        <v>PEREMPUAN</v>
      </c>
      <c r="K167" s="24"/>
      <c r="L167" s="24"/>
      <c r="M167" s="24"/>
      <c r="N167" s="24" t="str">
        <f>IFERROR(__xludf.DUMMYFUNCTION("""COMPUTED_VALUE"""),"SMA / SMK / MA")</f>
        <v>SMA / SMK / MA</v>
      </c>
      <c r="O167" s="24"/>
      <c r="P167" s="24"/>
      <c r="Q167" s="24"/>
      <c r="R167" s="24" t="str">
        <f>IFERROR(__xludf.DUMMYFUNCTION("""COMPUTED_VALUE"""),"BK")</f>
        <v>BK</v>
      </c>
      <c r="S167" s="25"/>
    </row>
    <row r="168" ht="22.5" customHeight="1">
      <c r="A168" s="22">
        <v>167.0</v>
      </c>
      <c r="B168" s="24" t="str">
        <f>IFERROR(__xludf.DUMMYFUNCTION("""COMPUTED_VALUE"""),"Merakit Komponen Fabrikasi")</f>
        <v>Merakit Komponen Fabrikasi</v>
      </c>
      <c r="C168" s="24" t="str">
        <f>IFERROR(__xludf.DUMMYFUNCTION("""COMPUTED_VALUE"""),"SMK Negeri 2 Kendari")</f>
        <v>SMK Negeri 2 Kendari</v>
      </c>
      <c r="D168" s="24"/>
      <c r="E168" s="24"/>
      <c r="F168" s="24" t="str">
        <f>IFERROR(__xludf.DUMMYFUNCTION("""COMPUTED_VALUE"""),"Salmansyah")</f>
        <v>Salmansyah</v>
      </c>
      <c r="G168" s="24" t="str">
        <f>IFERROR(__xludf.DUMMYFUNCTION("""COMPUTED_VALUE"""),"7471060102090001")</f>
        <v>7471060102090001</v>
      </c>
      <c r="H168" s="24"/>
      <c r="I168" s="24"/>
      <c r="J168" s="24" t="str">
        <f>IFERROR(__xludf.DUMMYFUNCTION("""COMPUTED_VALUE"""),"LAKI-LAKI")</f>
        <v>LAKI-LAKI</v>
      </c>
      <c r="K168" s="24" t="str">
        <f>IFERROR(__xludf.DUMMYFUNCTION("""COMPUTED_VALUE"""),"Abeli")</f>
        <v>Abeli</v>
      </c>
      <c r="L168" s="24"/>
      <c r="M168" s="24"/>
      <c r="N168" s="24" t="str">
        <f>IFERROR(__xludf.DUMMYFUNCTION("""COMPUTED_VALUE"""),"SMA / SMK / MA")</f>
        <v>SMA / SMK / MA</v>
      </c>
      <c r="O168" s="24"/>
      <c r="P168" s="24"/>
      <c r="Q168" s="24"/>
      <c r="R168" s="24" t="str">
        <f>IFERROR(__xludf.DUMMYFUNCTION("""COMPUTED_VALUE"""),"BK")</f>
        <v>BK</v>
      </c>
      <c r="S168" s="25"/>
    </row>
    <row r="169" ht="22.5" customHeight="1">
      <c r="A169" s="22">
        <v>168.0</v>
      </c>
      <c r="B169" s="24" t="str">
        <f>IFERROR(__xludf.DUMMYFUNCTION("""COMPUTED_VALUE"""),"Merakit Komponen Fabrikasi")</f>
        <v>Merakit Komponen Fabrikasi</v>
      </c>
      <c r="C169" s="24" t="str">
        <f>IFERROR(__xludf.DUMMYFUNCTION("""COMPUTED_VALUE"""),"SMK Negeri 2 Kendari")</f>
        <v>SMK Negeri 2 Kendari</v>
      </c>
      <c r="D169" s="24"/>
      <c r="E169" s="24"/>
      <c r="F169" s="24" t="str">
        <f>IFERROR(__xludf.DUMMYFUNCTION("""COMPUTED_VALUE"""),"Syukur")</f>
        <v>Syukur</v>
      </c>
      <c r="G169" s="24" t="str">
        <f>IFERROR(__xludf.DUMMYFUNCTION("""COMPUTED_VALUE"""),"7471100101080004")</f>
        <v>7471100101080004</v>
      </c>
      <c r="H169" s="24"/>
      <c r="I169" s="24"/>
      <c r="J169" s="24" t="str">
        <f>IFERROR(__xludf.DUMMYFUNCTION("""COMPUTED_VALUE"""),"LAKI-LAKI")</f>
        <v>LAKI-LAKI</v>
      </c>
      <c r="K169" s="24" t="str">
        <f>IFERROR(__xludf.DUMMYFUNCTION("""COMPUTED_VALUE"""),"Jl. Malaka")</f>
        <v>Jl. Malaka</v>
      </c>
      <c r="L169" s="24"/>
      <c r="M169" s="24"/>
      <c r="N169" s="24" t="str">
        <f>IFERROR(__xludf.DUMMYFUNCTION("""COMPUTED_VALUE"""),"SMA / SMK / MA")</f>
        <v>SMA / SMK / MA</v>
      </c>
      <c r="O169" s="24"/>
      <c r="P169" s="24"/>
      <c r="Q169" s="24"/>
      <c r="R169" s="24" t="str">
        <f>IFERROR(__xludf.DUMMYFUNCTION("""COMPUTED_VALUE"""),"K")</f>
        <v>K</v>
      </c>
      <c r="S169" s="25"/>
    </row>
    <row r="170" ht="22.5" customHeight="1">
      <c r="A170" s="22">
        <v>169.0</v>
      </c>
      <c r="B170" s="24" t="str">
        <f>IFERROR(__xludf.DUMMYFUNCTION("""COMPUTED_VALUE"""),"Pemasangan Pembangkit Listrik Tenaga Surya Off-Grid")</f>
        <v>Pemasangan Pembangkit Listrik Tenaga Surya Off-Grid</v>
      </c>
      <c r="C170" s="24" t="str">
        <f>IFERROR(__xludf.DUMMYFUNCTION("""COMPUTED_VALUE"""),"SMK Negeri 2 Kendari")</f>
        <v>SMK Negeri 2 Kendari</v>
      </c>
      <c r="D170" s="24"/>
      <c r="E170" s="24"/>
      <c r="F170" s="24" t="str">
        <f>IFERROR(__xludf.DUMMYFUNCTION("""COMPUTED_VALUE"""),"Adam Syanif")</f>
        <v>Adam Syanif</v>
      </c>
      <c r="G170" s="24" t="str">
        <f>IFERROR(__xludf.DUMMYFUNCTION("""COMPUTED_VALUE"""),"7471040205080003")</f>
        <v>7471040205080003</v>
      </c>
      <c r="H170" s="24"/>
      <c r="I170" s="24"/>
      <c r="J170" s="24" t="str">
        <f>IFERROR(__xludf.DUMMYFUNCTION("""COMPUTED_VALUE"""),"LAKI-LAKI")</f>
        <v>LAKI-LAKI</v>
      </c>
      <c r="K170" s="24" t="str">
        <f>IFERROR(__xludf.DUMMYFUNCTION("""COMPUTED_VALUE"""),"Kec. Lalonggusumeeto, Kab. Konawe")</f>
        <v>Kec. Lalonggusumeeto, Kab. Konawe</v>
      </c>
      <c r="L170" s="24"/>
      <c r="M170" s="24"/>
      <c r="N170" s="24" t="str">
        <f>IFERROR(__xludf.DUMMYFUNCTION("""COMPUTED_VALUE"""),"SMA / SMK / MA")</f>
        <v>SMA / SMK / MA</v>
      </c>
      <c r="O170" s="24"/>
      <c r="P170" s="24"/>
      <c r="Q170" s="24"/>
      <c r="R170" s="24" t="str">
        <f>IFERROR(__xludf.DUMMYFUNCTION("""COMPUTED_VALUE"""),"BK")</f>
        <v>BK</v>
      </c>
      <c r="S170" s="25"/>
    </row>
    <row r="171" ht="22.5" customHeight="1">
      <c r="A171" s="22">
        <v>170.0</v>
      </c>
      <c r="B171" s="24" t="str">
        <f>IFERROR(__xludf.DUMMYFUNCTION("""COMPUTED_VALUE"""),"Pemasangan Pembangkit Listrik Tenaga Surya Off-Grid")</f>
        <v>Pemasangan Pembangkit Listrik Tenaga Surya Off-Grid</v>
      </c>
      <c r="C171" s="24" t="str">
        <f>IFERROR(__xludf.DUMMYFUNCTION("""COMPUTED_VALUE"""),"SMK Negeri 2 Kendari")</f>
        <v>SMK Negeri 2 Kendari</v>
      </c>
      <c r="D171" s="24"/>
      <c r="E171" s="24"/>
      <c r="F171" s="24" t="str">
        <f>IFERROR(__xludf.DUMMYFUNCTION("""COMPUTED_VALUE"""),"Advan Ridho Muhammad")</f>
        <v>Advan Ridho Muhammad</v>
      </c>
      <c r="G171" s="24" t="str">
        <f>IFERROR(__xludf.DUMMYFUNCTION("""COMPUTED_VALUE"""),"7403372205080001")</f>
        <v>7403372205080001</v>
      </c>
      <c r="H171" s="24"/>
      <c r="I171" s="24"/>
      <c r="J171" s="24" t="str">
        <f>IFERROR(__xludf.DUMMYFUNCTION("""COMPUTED_VALUE"""),"LAKI-LAKI")</f>
        <v>LAKI-LAKI</v>
      </c>
      <c r="K171" s="24" t="str">
        <f>IFERROR(__xludf.DUMMYFUNCTION("""COMPUTED_VALUE"""),"Jl. Chairil Anwar")</f>
        <v>Jl. Chairil Anwar</v>
      </c>
      <c r="L171" s="24"/>
      <c r="M171" s="24"/>
      <c r="N171" s="24" t="str">
        <f>IFERROR(__xludf.DUMMYFUNCTION("""COMPUTED_VALUE"""),"SMA / SMK / MA")</f>
        <v>SMA / SMK / MA</v>
      </c>
      <c r="O171" s="24"/>
      <c r="P171" s="24"/>
      <c r="Q171" s="24"/>
      <c r="R171" s="24" t="str">
        <f>IFERROR(__xludf.DUMMYFUNCTION("""COMPUTED_VALUE"""),"BK")</f>
        <v>BK</v>
      </c>
      <c r="S171" s="25"/>
    </row>
    <row r="172" ht="22.5" customHeight="1">
      <c r="A172" s="22">
        <v>171.0</v>
      </c>
      <c r="B172" s="24" t="str">
        <f>IFERROR(__xludf.DUMMYFUNCTION("""COMPUTED_VALUE"""),"Pemasangan Pembangkit Listrik Tenaga Surya Off-Grid")</f>
        <v>Pemasangan Pembangkit Listrik Tenaga Surya Off-Grid</v>
      </c>
      <c r="C172" s="24" t="str">
        <f>IFERROR(__xludf.DUMMYFUNCTION("""COMPUTED_VALUE"""),"SMK Negeri 2 Kendari")</f>
        <v>SMK Negeri 2 Kendari</v>
      </c>
      <c r="D172" s="24"/>
      <c r="E172" s="24"/>
      <c r="F172" s="24" t="str">
        <f>IFERROR(__xludf.DUMMYFUNCTION("""COMPUTED_VALUE"""),"Afgan Yuda Iksan")</f>
        <v>Afgan Yuda Iksan</v>
      </c>
      <c r="G172" s="24" t="str">
        <f>IFERROR(__xludf.DUMMYFUNCTION("""COMPUTED_VALUE"""),"7471060301190001")</f>
        <v>7471060301190001</v>
      </c>
      <c r="H172" s="24"/>
      <c r="I172" s="24"/>
      <c r="J172" s="24" t="str">
        <f>IFERROR(__xludf.DUMMYFUNCTION("""COMPUTED_VALUE"""),"LAKI-LAKI")</f>
        <v>LAKI-LAKI</v>
      </c>
      <c r="K172" s="24" t="str">
        <f>IFERROR(__xludf.DUMMYFUNCTION("""COMPUTED_VALUE"""),"Tobimeita, Kec. Nambo, Kota Kendari")</f>
        <v>Tobimeita, Kec. Nambo, Kota Kendari</v>
      </c>
      <c r="L172" s="24"/>
      <c r="M172" s="24"/>
      <c r="N172" s="24" t="str">
        <f>IFERROR(__xludf.DUMMYFUNCTION("""COMPUTED_VALUE"""),"SMA / SMK / MA")</f>
        <v>SMA / SMK / MA</v>
      </c>
      <c r="O172" s="24"/>
      <c r="P172" s="24"/>
      <c r="Q172" s="24"/>
      <c r="R172" s="24" t="str">
        <f>IFERROR(__xludf.DUMMYFUNCTION("""COMPUTED_VALUE"""),"BK")</f>
        <v>BK</v>
      </c>
      <c r="S172" s="25"/>
    </row>
    <row r="173" ht="22.5" customHeight="1">
      <c r="A173" s="22">
        <v>172.0</v>
      </c>
      <c r="B173" s="24" t="str">
        <f>IFERROR(__xludf.DUMMYFUNCTION("""COMPUTED_VALUE"""),"Pemasangan Pembangkit Listrik Tenaga Surya Off-Grid")</f>
        <v>Pemasangan Pembangkit Listrik Tenaga Surya Off-Grid</v>
      </c>
      <c r="C173" s="24" t="str">
        <f>IFERROR(__xludf.DUMMYFUNCTION("""COMPUTED_VALUE"""),"SMK Negeri 2 Kendari")</f>
        <v>SMK Negeri 2 Kendari</v>
      </c>
      <c r="D173" s="24"/>
      <c r="E173" s="24"/>
      <c r="F173" s="24" t="str">
        <f>IFERROR(__xludf.DUMMYFUNCTION("""COMPUTED_VALUE"""),"Al Fathir Anugrah B")</f>
        <v>Al Fathir Anugrah B</v>
      </c>
      <c r="G173" s="24" t="str">
        <f>IFERROR(__xludf.DUMMYFUNCTION("""COMPUTED_VALUE"""),"7471092208080001")</f>
        <v>7471092208080001</v>
      </c>
      <c r="H173" s="24"/>
      <c r="I173" s="24"/>
      <c r="J173" s="24" t="str">
        <f>IFERROR(__xludf.DUMMYFUNCTION("""COMPUTED_VALUE"""),"LAKI-LAKI")</f>
        <v>LAKI-LAKI</v>
      </c>
      <c r="K173" s="24" t="str">
        <f>IFERROR(__xludf.DUMMYFUNCTION("""COMPUTED_VALUE"""),"-")</f>
        <v>-</v>
      </c>
      <c r="L173" s="24"/>
      <c r="M173" s="24"/>
      <c r="N173" s="24" t="str">
        <f>IFERROR(__xludf.DUMMYFUNCTION("""COMPUTED_VALUE"""),"SMA / SMK / MA")</f>
        <v>SMA / SMK / MA</v>
      </c>
      <c r="O173" s="24"/>
      <c r="P173" s="24"/>
      <c r="Q173" s="24"/>
      <c r="R173" s="24" t="str">
        <f>IFERROR(__xludf.DUMMYFUNCTION("""COMPUTED_VALUE"""),"K")</f>
        <v>K</v>
      </c>
      <c r="S173" s="25"/>
    </row>
    <row r="174" ht="22.5" customHeight="1">
      <c r="A174" s="22">
        <v>173.0</v>
      </c>
      <c r="B174" s="24" t="str">
        <f>IFERROR(__xludf.DUMMYFUNCTION("""COMPUTED_VALUE"""),"Pemasangan Pembangkit Listrik Tenaga Surya Off-Grid")</f>
        <v>Pemasangan Pembangkit Listrik Tenaga Surya Off-Grid</v>
      </c>
      <c r="C174" s="24" t="str">
        <f>IFERROR(__xludf.DUMMYFUNCTION("""COMPUTED_VALUE"""),"SMK Negeri 2 Kendari")</f>
        <v>SMK Negeri 2 Kendari</v>
      </c>
      <c r="D174" s="24"/>
      <c r="E174" s="24"/>
      <c r="F174" s="24" t="str">
        <f>IFERROR(__xludf.DUMMYFUNCTION("""COMPUTED_VALUE"""),"Alfin Emi")</f>
        <v>Alfin Emi</v>
      </c>
      <c r="G174" s="24" t="str">
        <f>IFERROR(__xludf.DUMMYFUNCTION("""COMPUTED_VALUE"""),"7471061307060004")</f>
        <v>7471061307060004</v>
      </c>
      <c r="H174" s="24"/>
      <c r="I174" s="24"/>
      <c r="J174" s="24" t="str">
        <f>IFERROR(__xludf.DUMMYFUNCTION("""COMPUTED_VALUE"""),"LAKI-LAKI")</f>
        <v>LAKI-LAKI</v>
      </c>
      <c r="K174" s="24" t="str">
        <f>IFERROR(__xludf.DUMMYFUNCTION("""COMPUTED_VALUE"""),"Tobimeita")</f>
        <v>Tobimeita</v>
      </c>
      <c r="L174" s="24"/>
      <c r="M174" s="24"/>
      <c r="N174" s="24" t="str">
        <f>IFERROR(__xludf.DUMMYFUNCTION("""COMPUTED_VALUE"""),"SMA / SMK / MA")</f>
        <v>SMA / SMK / MA</v>
      </c>
      <c r="O174" s="24"/>
      <c r="P174" s="24"/>
      <c r="Q174" s="24"/>
      <c r="R174" s="24" t="str">
        <f>IFERROR(__xludf.DUMMYFUNCTION("""COMPUTED_VALUE"""),"BK")</f>
        <v>BK</v>
      </c>
      <c r="S174" s="25"/>
    </row>
    <row r="175" ht="22.5" customHeight="1">
      <c r="A175" s="22">
        <v>174.0</v>
      </c>
      <c r="B175" s="24" t="str">
        <f>IFERROR(__xludf.DUMMYFUNCTION("""COMPUTED_VALUE"""),"Pemasangan Pembangkit Listrik Tenaga Surya Off-Grid")</f>
        <v>Pemasangan Pembangkit Listrik Tenaga Surya Off-Grid</v>
      </c>
      <c r="C175" s="24" t="str">
        <f>IFERROR(__xludf.DUMMYFUNCTION("""COMPUTED_VALUE"""),"SMK Negeri 2 Kendari")</f>
        <v>SMK Negeri 2 Kendari</v>
      </c>
      <c r="D175" s="24"/>
      <c r="E175" s="24"/>
      <c r="F175" s="24" t="str">
        <f>IFERROR(__xludf.DUMMYFUNCTION("""COMPUTED_VALUE"""),"Alpin Dalami")</f>
        <v>Alpin Dalami</v>
      </c>
      <c r="G175" s="24" t="str">
        <f>IFERROR(__xludf.DUMMYFUNCTION("""COMPUTED_VALUE"""),"7405181112070002")</f>
        <v>7405181112070002</v>
      </c>
      <c r="H175" s="24"/>
      <c r="I175" s="24"/>
      <c r="J175" s="24" t="str">
        <f>IFERROR(__xludf.DUMMYFUNCTION("""COMPUTED_VALUE"""),"LAKI-LAKI")</f>
        <v>LAKI-LAKI</v>
      </c>
      <c r="K175" s="24" t="str">
        <f>IFERROR(__xludf.DUMMYFUNCTION("""COMPUTED_VALUE"""),"Kel. Wolasi")</f>
        <v>Kel. Wolasi</v>
      </c>
      <c r="L175" s="24"/>
      <c r="M175" s="24"/>
      <c r="N175" s="24" t="str">
        <f>IFERROR(__xludf.DUMMYFUNCTION("""COMPUTED_VALUE"""),"SMA / SMK / MA")</f>
        <v>SMA / SMK / MA</v>
      </c>
      <c r="O175" s="24"/>
      <c r="P175" s="24"/>
      <c r="Q175" s="24"/>
      <c r="R175" s="24" t="str">
        <f>IFERROR(__xludf.DUMMYFUNCTION("""COMPUTED_VALUE"""),"BK")</f>
        <v>BK</v>
      </c>
      <c r="S175" s="25"/>
    </row>
    <row r="176" ht="22.5" customHeight="1">
      <c r="A176" s="22">
        <v>175.0</v>
      </c>
      <c r="B176" s="24" t="str">
        <f>IFERROR(__xludf.DUMMYFUNCTION("""COMPUTED_VALUE"""),"Pemasangan Pembangkit Listrik Tenaga Surya Off-Grid")</f>
        <v>Pemasangan Pembangkit Listrik Tenaga Surya Off-Grid</v>
      </c>
      <c r="C176" s="24" t="str">
        <f>IFERROR(__xludf.DUMMYFUNCTION("""COMPUTED_VALUE"""),"SMK Negeri 2 Kendari")</f>
        <v>SMK Negeri 2 Kendari</v>
      </c>
      <c r="D176" s="24"/>
      <c r="E176" s="24"/>
      <c r="F176" s="24" t="str">
        <f>IFERROR(__xludf.DUMMYFUNCTION("""COMPUTED_VALUE"""),"Dendra Liambo")</f>
        <v>Dendra Liambo</v>
      </c>
      <c r="G176" s="24" t="str">
        <f>IFERROR(__xludf.DUMMYFUNCTION("""COMPUTED_VALUE"""),"7471061701070004")</f>
        <v>7471061701070004</v>
      </c>
      <c r="H176" s="24"/>
      <c r="I176" s="24"/>
      <c r="J176" s="24" t="str">
        <f>IFERROR(__xludf.DUMMYFUNCTION("""COMPUTED_VALUE"""),"LAKI-LAKI")</f>
        <v>LAKI-LAKI</v>
      </c>
      <c r="K176" s="24" t="str">
        <f>IFERROR(__xludf.DUMMYFUNCTION("""COMPUTED_VALUE"""),"Kel. Nambo")</f>
        <v>Kel. Nambo</v>
      </c>
      <c r="L176" s="24"/>
      <c r="M176" s="24"/>
      <c r="N176" s="24" t="str">
        <f>IFERROR(__xludf.DUMMYFUNCTION("""COMPUTED_VALUE"""),"SMA / SMK / MA")</f>
        <v>SMA / SMK / MA</v>
      </c>
      <c r="O176" s="24"/>
      <c r="P176" s="24"/>
      <c r="Q176" s="24"/>
      <c r="R176" s="24" t="str">
        <f>IFERROR(__xludf.DUMMYFUNCTION("""COMPUTED_VALUE"""),"BK")</f>
        <v>BK</v>
      </c>
      <c r="S176" s="25"/>
    </row>
    <row r="177" ht="22.5" customHeight="1">
      <c r="A177" s="22">
        <v>176.0</v>
      </c>
      <c r="B177" s="24" t="str">
        <f>IFERROR(__xludf.DUMMYFUNCTION("""COMPUTED_VALUE"""),"Pemasangan Pembangkit Listrik Tenaga Surya Off-Grid")</f>
        <v>Pemasangan Pembangkit Listrik Tenaga Surya Off-Grid</v>
      </c>
      <c r="C177" s="24" t="str">
        <f>IFERROR(__xludf.DUMMYFUNCTION("""COMPUTED_VALUE"""),"SMK Negeri 2 Kendari")</f>
        <v>SMK Negeri 2 Kendari</v>
      </c>
      <c r="D177" s="24"/>
      <c r="E177" s="24"/>
      <c r="F177" s="24" t="str">
        <f>IFERROR(__xludf.DUMMYFUNCTION("""COMPUTED_VALUE"""),"Dimas Alwahab")</f>
        <v>Dimas Alwahab</v>
      </c>
      <c r="G177" s="24" t="str">
        <f>IFERROR(__xludf.DUMMYFUNCTION("""COMPUTED_VALUE"""),"7471080202080001")</f>
        <v>7471080202080001</v>
      </c>
      <c r="H177" s="24"/>
      <c r="I177" s="24"/>
      <c r="J177" s="24" t="str">
        <f>IFERROR(__xludf.DUMMYFUNCTION("""COMPUTED_VALUE"""),"LAKI-LAKI")</f>
        <v>LAKI-LAKI</v>
      </c>
      <c r="K177" s="24" t="str">
        <f>IFERROR(__xludf.DUMMYFUNCTION("""COMPUTED_VALUE"""),"Afika Residence Blok R. 06")</f>
        <v>Afika Residence Blok R. 06</v>
      </c>
      <c r="L177" s="24"/>
      <c r="M177" s="24"/>
      <c r="N177" s="24" t="str">
        <f>IFERROR(__xludf.DUMMYFUNCTION("""COMPUTED_VALUE"""),"SMA / SMK / MA")</f>
        <v>SMA / SMK / MA</v>
      </c>
      <c r="O177" s="24"/>
      <c r="P177" s="24"/>
      <c r="Q177" s="24"/>
      <c r="R177" s="24" t="str">
        <f>IFERROR(__xludf.DUMMYFUNCTION("""COMPUTED_VALUE"""),"BK")</f>
        <v>BK</v>
      </c>
      <c r="S177" s="25"/>
    </row>
    <row r="178" ht="22.5" customHeight="1">
      <c r="A178" s="22">
        <v>177.0</v>
      </c>
      <c r="B178" s="24" t="str">
        <f>IFERROR(__xludf.DUMMYFUNCTION("""COMPUTED_VALUE"""),"Pemasangan Pembangkit Listrik Tenaga Surya Off-Grid")</f>
        <v>Pemasangan Pembangkit Listrik Tenaga Surya Off-Grid</v>
      </c>
      <c r="C178" s="24" t="str">
        <f>IFERROR(__xludf.DUMMYFUNCTION("""COMPUTED_VALUE"""),"SMK Negeri 2 Kendari")</f>
        <v>SMK Negeri 2 Kendari</v>
      </c>
      <c r="D178" s="24"/>
      <c r="E178" s="24"/>
      <c r="F178" s="24" t="str">
        <f>IFERROR(__xludf.DUMMYFUNCTION("""COMPUTED_VALUE"""),"Irwansyah")</f>
        <v>Irwansyah</v>
      </c>
      <c r="G178" s="24" t="str">
        <f>IFERROR(__xludf.DUMMYFUNCTION("""COMPUTED_VALUE"""),"7471032510070001")</f>
        <v>7471032510070001</v>
      </c>
      <c r="H178" s="24"/>
      <c r="I178" s="24"/>
      <c r="J178" s="24" t="str">
        <f>IFERROR(__xludf.DUMMYFUNCTION("""COMPUTED_VALUE"""),"LAKI-LAKI")</f>
        <v>LAKI-LAKI</v>
      </c>
      <c r="K178" s="24" t="str">
        <f>IFERROR(__xludf.DUMMYFUNCTION("""COMPUTED_VALUE"""),"-")</f>
        <v>-</v>
      </c>
      <c r="L178" s="24"/>
      <c r="M178" s="24"/>
      <c r="N178" s="24" t="str">
        <f>IFERROR(__xludf.DUMMYFUNCTION("""COMPUTED_VALUE"""),"SMA / SMK / MA")</f>
        <v>SMA / SMK / MA</v>
      </c>
      <c r="O178" s="24"/>
      <c r="P178" s="24"/>
      <c r="Q178" s="24"/>
      <c r="R178" s="24" t="str">
        <f>IFERROR(__xludf.DUMMYFUNCTION("""COMPUTED_VALUE"""),"K")</f>
        <v>K</v>
      </c>
      <c r="S178" s="25"/>
    </row>
    <row r="179" ht="22.5" customHeight="1">
      <c r="A179" s="22">
        <v>178.0</v>
      </c>
      <c r="B179" s="24" t="str">
        <f>IFERROR(__xludf.DUMMYFUNCTION("""COMPUTED_VALUE"""),"Pemasangan Pembangkit Listrik Tenaga Surya Off-Grid")</f>
        <v>Pemasangan Pembangkit Listrik Tenaga Surya Off-Grid</v>
      </c>
      <c r="C179" s="24" t="str">
        <f>IFERROR(__xludf.DUMMYFUNCTION("""COMPUTED_VALUE"""),"SMK Negeri 2 Kendari")</f>
        <v>SMK Negeri 2 Kendari</v>
      </c>
      <c r="D179" s="24"/>
      <c r="E179" s="24"/>
      <c r="F179" s="24" t="str">
        <f>IFERROR(__xludf.DUMMYFUNCTION("""COMPUTED_VALUE"""),"Muh. Een Abdy Ramadhan")</f>
        <v>Muh. Een Abdy Ramadhan</v>
      </c>
      <c r="G179" s="24" t="str">
        <f>IFERROR(__xludf.DUMMYFUNCTION("""COMPUTED_VALUE"""),"7402362909070001")</f>
        <v>7402362909070001</v>
      </c>
      <c r="H179" s="24"/>
      <c r="I179" s="24"/>
      <c r="J179" s="24" t="str">
        <f>IFERROR(__xludf.DUMMYFUNCTION("""COMPUTED_VALUE"""),"LAKI-LAKI")</f>
        <v>LAKI-LAKI</v>
      </c>
      <c r="K179" s="24" t="str">
        <f>IFERROR(__xludf.DUMMYFUNCTION("""COMPUTED_VALUE"""),"Desa Rapambinopaka")</f>
        <v>Desa Rapambinopaka</v>
      </c>
      <c r="L179" s="24"/>
      <c r="M179" s="24"/>
      <c r="N179" s="24" t="str">
        <f>IFERROR(__xludf.DUMMYFUNCTION("""COMPUTED_VALUE"""),"SMA / SMK / MA")</f>
        <v>SMA / SMK / MA</v>
      </c>
      <c r="O179" s="24"/>
      <c r="P179" s="24"/>
      <c r="Q179" s="24"/>
      <c r="R179" s="24" t="str">
        <f>IFERROR(__xludf.DUMMYFUNCTION("""COMPUTED_VALUE"""),"BK")</f>
        <v>BK</v>
      </c>
      <c r="S179" s="25"/>
    </row>
    <row r="180" ht="22.5" customHeight="1">
      <c r="A180" s="22">
        <v>179.0</v>
      </c>
      <c r="B180" s="24" t="str">
        <f>IFERROR(__xludf.DUMMYFUNCTION("""COMPUTED_VALUE"""),"Pemasangan Pembangkit Listrik Tenaga Surya Off-Grid")</f>
        <v>Pemasangan Pembangkit Listrik Tenaga Surya Off-Grid</v>
      </c>
      <c r="C180" s="24" t="str">
        <f>IFERROR(__xludf.DUMMYFUNCTION("""COMPUTED_VALUE"""),"SMK Negeri 2 Kendari")</f>
        <v>SMK Negeri 2 Kendari</v>
      </c>
      <c r="D180" s="24"/>
      <c r="E180" s="24"/>
      <c r="F180" s="24" t="str">
        <f>IFERROR(__xludf.DUMMYFUNCTION("""COMPUTED_VALUE"""),"Muh. Ibrahimovic")</f>
        <v>Muh. Ibrahimovic</v>
      </c>
      <c r="G180" s="24" t="str">
        <f>IFERROR(__xludf.DUMMYFUNCTION("""COMPUTED_VALUE"""),"7471081406080005")</f>
        <v>7471081406080005</v>
      </c>
      <c r="H180" s="24"/>
      <c r="I180" s="24"/>
      <c r="J180" s="24" t="str">
        <f>IFERROR(__xludf.DUMMYFUNCTION("""COMPUTED_VALUE"""),"LAKI-LAKI")</f>
        <v>LAKI-LAKI</v>
      </c>
      <c r="K180" s="24" t="str">
        <f>IFERROR(__xludf.DUMMYFUNCTION("""COMPUTED_VALUE"""),"Jl. Mekar, Lr. Mandiri")</f>
        <v>Jl. Mekar, Lr. Mandiri</v>
      </c>
      <c r="L180" s="24"/>
      <c r="M180" s="24"/>
      <c r="N180" s="24" t="str">
        <f>IFERROR(__xludf.DUMMYFUNCTION("""COMPUTED_VALUE"""),"SMA / SMK / MA")</f>
        <v>SMA / SMK / MA</v>
      </c>
      <c r="O180" s="24"/>
      <c r="P180" s="24"/>
      <c r="Q180" s="24"/>
      <c r="R180" s="24" t="str">
        <f>IFERROR(__xludf.DUMMYFUNCTION("""COMPUTED_VALUE"""),"K")</f>
        <v>K</v>
      </c>
      <c r="S180" s="25"/>
    </row>
    <row r="181" ht="22.5" customHeight="1">
      <c r="A181" s="22">
        <v>180.0</v>
      </c>
      <c r="B181" s="24" t="str">
        <f>IFERROR(__xludf.DUMMYFUNCTION("""COMPUTED_VALUE"""),"Pemasangan Pembangkit Listrik Tenaga Surya Off-Grid")</f>
        <v>Pemasangan Pembangkit Listrik Tenaga Surya Off-Grid</v>
      </c>
      <c r="C181" s="24" t="str">
        <f>IFERROR(__xludf.DUMMYFUNCTION("""COMPUTED_VALUE"""),"SMK Negeri 2 Kendari")</f>
        <v>SMK Negeri 2 Kendari</v>
      </c>
      <c r="D181" s="24"/>
      <c r="E181" s="24"/>
      <c r="F181" s="24" t="str">
        <f>IFERROR(__xludf.DUMMYFUNCTION("""COMPUTED_VALUE"""),"Muhammad Rizky Alanshor")</f>
        <v>Muhammad Rizky Alanshor</v>
      </c>
      <c r="G181" s="24" t="str">
        <f>IFERROR(__xludf.DUMMYFUNCTION("""COMPUTED_VALUE"""),"9110011508080001")</f>
        <v>9110011508080001</v>
      </c>
      <c r="H181" s="24"/>
      <c r="I181" s="24"/>
      <c r="J181" s="24" t="str">
        <f>IFERROR(__xludf.DUMMYFUNCTION("""COMPUTED_VALUE"""),"LAKI-LAKI")</f>
        <v>LAKI-LAKI</v>
      </c>
      <c r="K181" s="24" t="str">
        <f>IFERROR(__xludf.DUMMYFUNCTION("""COMPUTED_VALUE"""),"Jl. Chairil Anwar, Wua-Wua")</f>
        <v>Jl. Chairil Anwar, Wua-Wua</v>
      </c>
      <c r="L181" s="24"/>
      <c r="M181" s="24"/>
      <c r="N181" s="24" t="str">
        <f>IFERROR(__xludf.DUMMYFUNCTION("""COMPUTED_VALUE"""),"SMA / SMK / MA")</f>
        <v>SMA / SMK / MA</v>
      </c>
      <c r="O181" s="24"/>
      <c r="P181" s="24"/>
      <c r="Q181" s="24"/>
      <c r="R181" s="24" t="str">
        <f>IFERROR(__xludf.DUMMYFUNCTION("""COMPUTED_VALUE"""),"BK")</f>
        <v>BK</v>
      </c>
      <c r="S181" s="25"/>
    </row>
    <row r="182" ht="22.5" customHeight="1">
      <c r="A182" s="22">
        <v>181.0</v>
      </c>
      <c r="B182" s="24" t="str">
        <f>IFERROR(__xludf.DUMMYFUNCTION("""COMPUTED_VALUE"""),"Pemasangan Pembangkit Listrik Tenaga Surya Off-Grid")</f>
        <v>Pemasangan Pembangkit Listrik Tenaga Surya Off-Grid</v>
      </c>
      <c r="C182" s="24" t="str">
        <f>IFERROR(__xludf.DUMMYFUNCTION("""COMPUTED_VALUE"""),"SMK Negeri 2 Kendari")</f>
        <v>SMK Negeri 2 Kendari</v>
      </c>
      <c r="D182" s="24"/>
      <c r="E182" s="24"/>
      <c r="F182" s="24" t="str">
        <f>IFERROR(__xludf.DUMMYFUNCTION("""COMPUTED_VALUE"""),"Reskyawan Saputra")</f>
        <v>Reskyawan Saputra</v>
      </c>
      <c r="G182" s="24" t="str">
        <f>IFERROR(__xludf.DUMMYFUNCTION("""COMPUTED_VALUE"""),"7405011009090003")</f>
        <v>7405011009090003</v>
      </c>
      <c r="H182" s="24"/>
      <c r="I182" s="24"/>
      <c r="J182" s="24" t="str">
        <f>IFERROR(__xludf.DUMMYFUNCTION("""COMPUTED_VALUE"""),"LAKI-LAKI")</f>
        <v>LAKI-LAKI</v>
      </c>
      <c r="K182" s="24" t="str">
        <f>IFERROR(__xludf.DUMMYFUNCTION("""COMPUTED_VALUE"""),"Lorong Durian, Wua-wua")</f>
        <v>Lorong Durian, Wua-wua</v>
      </c>
      <c r="L182" s="24"/>
      <c r="M182" s="24"/>
      <c r="N182" s="24" t="str">
        <f>IFERROR(__xludf.DUMMYFUNCTION("""COMPUTED_VALUE"""),"SMA / SMK / MA")</f>
        <v>SMA / SMK / MA</v>
      </c>
      <c r="O182" s="24"/>
      <c r="P182" s="24"/>
      <c r="Q182" s="24"/>
      <c r="R182" s="24" t="str">
        <f>IFERROR(__xludf.DUMMYFUNCTION("""COMPUTED_VALUE"""),"BK")</f>
        <v>BK</v>
      </c>
      <c r="S182" s="25"/>
    </row>
    <row r="183" ht="22.5" customHeight="1">
      <c r="A183" s="22">
        <v>182.0</v>
      </c>
      <c r="B183" s="24" t="str">
        <f>IFERROR(__xludf.DUMMYFUNCTION("""COMPUTED_VALUE"""),"Pemasangan Pembangkit Listrik Tenaga Surya Off-Grid")</f>
        <v>Pemasangan Pembangkit Listrik Tenaga Surya Off-Grid</v>
      </c>
      <c r="C183" s="24" t="str">
        <f>IFERROR(__xludf.DUMMYFUNCTION("""COMPUTED_VALUE"""),"SMK Negeri 2 Kendari")</f>
        <v>SMK Negeri 2 Kendari</v>
      </c>
      <c r="D183" s="24"/>
      <c r="E183" s="24"/>
      <c r="F183" s="24" t="str">
        <f>IFERROR(__xludf.DUMMYFUNCTION("""COMPUTED_VALUE"""),"Riski")</f>
        <v>Riski</v>
      </c>
      <c r="G183" s="24" t="str">
        <f>IFERROR(__xludf.DUMMYFUNCTION("""COMPUTED_VALUE"""),"7471020709070001")</f>
        <v>7471020709070001</v>
      </c>
      <c r="H183" s="24"/>
      <c r="I183" s="24"/>
      <c r="J183" s="24" t="str">
        <f>IFERROR(__xludf.DUMMYFUNCTION("""COMPUTED_VALUE"""),"LAKI-LAKI")</f>
        <v>LAKI-LAKI</v>
      </c>
      <c r="K183" s="24"/>
      <c r="L183" s="24"/>
      <c r="M183" s="24"/>
      <c r="N183" s="24" t="str">
        <f>IFERROR(__xludf.DUMMYFUNCTION("""COMPUTED_VALUE"""),"SMA / SMK / MA")</f>
        <v>SMA / SMK / MA</v>
      </c>
      <c r="O183" s="24"/>
      <c r="P183" s="24"/>
      <c r="Q183" s="24"/>
      <c r="R183" s="24" t="str">
        <f>IFERROR(__xludf.DUMMYFUNCTION("""COMPUTED_VALUE"""),"BK")</f>
        <v>BK</v>
      </c>
      <c r="S183" s="25"/>
    </row>
    <row r="184" ht="22.5" customHeight="1">
      <c r="A184" s="22">
        <v>183.0</v>
      </c>
      <c r="B184" s="24" t="str">
        <f>IFERROR(__xludf.DUMMYFUNCTION("""COMPUTED_VALUE"""),"Pemasangan Pembangkit Listrik Tenaga Surya Off-Grid")</f>
        <v>Pemasangan Pembangkit Listrik Tenaga Surya Off-Grid</v>
      </c>
      <c r="C184" s="24" t="str">
        <f>IFERROR(__xludf.DUMMYFUNCTION("""COMPUTED_VALUE"""),"SMK Negeri 2 Kendari")</f>
        <v>SMK Negeri 2 Kendari</v>
      </c>
      <c r="D184" s="24"/>
      <c r="E184" s="24"/>
      <c r="F184" s="24" t="str">
        <f>IFERROR(__xludf.DUMMYFUNCTION("""COMPUTED_VALUE"""),"Yusrin Iswandhani Ilyas")</f>
        <v>Yusrin Iswandhani Ilyas</v>
      </c>
      <c r="G184" s="24" t="str">
        <f>IFERROR(__xludf.DUMMYFUNCTION("""COMPUTED_VALUE"""),"7471061701070001")</f>
        <v>7471061701070001</v>
      </c>
      <c r="H184" s="24"/>
      <c r="I184" s="24"/>
      <c r="J184" s="24" t="str">
        <f>IFERROR(__xludf.DUMMYFUNCTION("""COMPUTED_VALUE"""),"LAKI-LAKI")</f>
        <v>LAKI-LAKI</v>
      </c>
      <c r="K184" s="24" t="str">
        <f>IFERROR(__xludf.DUMMYFUNCTION("""COMPUTED_VALUE"""),"Jl. Konawe, RT.07, RW.04, Kec. Abeli, Kel. Abeli")</f>
        <v>Jl. Konawe, RT.07, RW.04, Kec. Abeli, Kel. Abeli</v>
      </c>
      <c r="L184" s="24"/>
      <c r="M184" s="24"/>
      <c r="N184" s="24" t="str">
        <f>IFERROR(__xludf.DUMMYFUNCTION("""COMPUTED_VALUE"""),"SMA / SMK / MA")</f>
        <v>SMA / SMK / MA</v>
      </c>
      <c r="O184" s="24"/>
      <c r="P184" s="24"/>
      <c r="Q184" s="24"/>
      <c r="R184" s="24" t="str">
        <f>IFERROR(__xludf.DUMMYFUNCTION("""COMPUTED_VALUE"""),"BK")</f>
        <v>BK</v>
      </c>
      <c r="S184" s="25"/>
    </row>
    <row r="185" ht="22.5" customHeight="1">
      <c r="A185" s="22">
        <v>184.0</v>
      </c>
      <c r="B185" s="24" t="str">
        <f>IFERROR(__xludf.DUMMYFUNCTION("""COMPUTED_VALUE"""),"Pemasangan Instalasi Listrik Bangunan Sederhana")</f>
        <v>Pemasangan Instalasi Listrik Bangunan Sederhana</v>
      </c>
      <c r="C185" s="24" t="str">
        <f>IFERROR(__xludf.DUMMYFUNCTION("""COMPUTED_VALUE"""),"SMK Negeri 2 Kendari")</f>
        <v>SMK Negeri 2 Kendari</v>
      </c>
      <c r="D185" s="24"/>
      <c r="E185" s="24"/>
      <c r="F185" s="24" t="str">
        <f>IFERROR(__xludf.DUMMYFUNCTION("""COMPUTED_VALUE"""),"Agil Januansar")</f>
        <v>Agil Januansar</v>
      </c>
      <c r="G185" s="24" t="str">
        <f>IFERROR(__xludf.DUMMYFUNCTION("""COMPUTED_VALUE"""),"7405040107070004")</f>
        <v>7405040107070004</v>
      </c>
      <c r="H185" s="24"/>
      <c r="I185" s="24"/>
      <c r="J185" s="24" t="str">
        <f>IFERROR(__xludf.DUMMYFUNCTION("""COMPUTED_VALUE"""),"LAKI-LAKI")</f>
        <v>LAKI-LAKI</v>
      </c>
      <c r="K185" s="24" t="str">
        <f>IFERROR(__xludf.DUMMYFUNCTION("""COMPUTED_VALUE"""),"Hombis/Alo Jaya")</f>
        <v>Hombis/Alo Jaya</v>
      </c>
      <c r="L185" s="24"/>
      <c r="M185" s="24"/>
      <c r="N185" s="24" t="str">
        <f>IFERROR(__xludf.DUMMYFUNCTION("""COMPUTED_VALUE"""),"SMA / SMK / MA")</f>
        <v>SMA / SMK / MA</v>
      </c>
      <c r="O185" s="24"/>
      <c r="P185" s="24"/>
      <c r="Q185" s="24"/>
      <c r="R185" s="24" t="str">
        <f>IFERROR(__xludf.DUMMYFUNCTION("""COMPUTED_VALUE"""),"BK")</f>
        <v>BK</v>
      </c>
      <c r="S185" s="25"/>
    </row>
    <row r="186" ht="22.5" customHeight="1">
      <c r="A186" s="22">
        <v>185.0</v>
      </c>
      <c r="B186" s="24" t="str">
        <f>IFERROR(__xludf.DUMMYFUNCTION("""COMPUTED_VALUE"""),"Pemasangan Instalasi Listrik Bangunan Sederhana")</f>
        <v>Pemasangan Instalasi Listrik Bangunan Sederhana</v>
      </c>
      <c r="C186" s="24" t="str">
        <f>IFERROR(__xludf.DUMMYFUNCTION("""COMPUTED_VALUE"""),"SMK Negeri 2 Kendari")</f>
        <v>SMK Negeri 2 Kendari</v>
      </c>
      <c r="D186" s="24"/>
      <c r="E186" s="24"/>
      <c r="F186" s="24" t="str">
        <f>IFERROR(__xludf.DUMMYFUNCTION("""COMPUTED_VALUE"""),"Agyas Rindang Wula")</f>
        <v>Agyas Rindang Wula</v>
      </c>
      <c r="G186" s="24" t="str">
        <f>IFERROR(__xludf.DUMMYFUNCTION("""COMPUTED_VALUE"""),"7402020505080003")</f>
        <v>7402020505080003</v>
      </c>
      <c r="H186" s="24"/>
      <c r="I186" s="24"/>
      <c r="J186" s="24" t="str">
        <f>IFERROR(__xludf.DUMMYFUNCTION("""COMPUTED_VALUE"""),"LAKI-LAKI")</f>
        <v>LAKI-LAKI</v>
      </c>
      <c r="K186" s="24" t="str">
        <f>IFERROR(__xludf.DUMMYFUNCTION("""COMPUTED_VALUE"""),"BTN Beringin, Jln. D.I Panjaitan")</f>
        <v>BTN Beringin, Jln. D.I Panjaitan</v>
      </c>
      <c r="L186" s="24"/>
      <c r="M186" s="24"/>
      <c r="N186" s="24" t="str">
        <f>IFERROR(__xludf.DUMMYFUNCTION("""COMPUTED_VALUE"""),"SMA / SMK / MA")</f>
        <v>SMA / SMK / MA</v>
      </c>
      <c r="O186" s="24"/>
      <c r="P186" s="24"/>
      <c r="Q186" s="24"/>
      <c r="R186" s="24" t="str">
        <f>IFERROR(__xludf.DUMMYFUNCTION("""COMPUTED_VALUE"""),"K")</f>
        <v>K</v>
      </c>
      <c r="S186" s="25"/>
    </row>
    <row r="187" ht="22.5" customHeight="1">
      <c r="A187" s="22">
        <v>186.0</v>
      </c>
      <c r="B187" s="24" t="str">
        <f>IFERROR(__xludf.DUMMYFUNCTION("""COMPUTED_VALUE"""),"Pemasangan Instalasi Listrik Bangunan Sederhana")</f>
        <v>Pemasangan Instalasi Listrik Bangunan Sederhana</v>
      </c>
      <c r="C187" s="24" t="str">
        <f>IFERROR(__xludf.DUMMYFUNCTION("""COMPUTED_VALUE"""),"SMK Negeri 2 Kendari")</f>
        <v>SMK Negeri 2 Kendari</v>
      </c>
      <c r="D187" s="24"/>
      <c r="E187" s="24"/>
      <c r="F187" s="24" t="str">
        <f>IFERROR(__xludf.DUMMYFUNCTION("""COMPUTED_VALUE"""),"Ahmad Aditya Putra")</f>
        <v>Ahmad Aditya Putra</v>
      </c>
      <c r="G187" s="24" t="str">
        <f>IFERROR(__xludf.DUMMYFUNCTION("""COMPUTED_VALUE"""),"7471082704080002")</f>
        <v>7471082704080002</v>
      </c>
      <c r="H187" s="24"/>
      <c r="I187" s="24"/>
      <c r="J187" s="24" t="str">
        <f>IFERROR(__xludf.DUMMYFUNCTION("""COMPUTED_VALUE"""),"LAKI-LAKI")</f>
        <v>LAKI-LAKI</v>
      </c>
      <c r="K187" s="24" t="str">
        <f>IFERROR(__xludf.DUMMYFUNCTION("""COMPUTED_VALUE"""),"Jl. Prof. M. Yamin")</f>
        <v>Jl. Prof. M. Yamin</v>
      </c>
      <c r="L187" s="24"/>
      <c r="M187" s="24"/>
      <c r="N187" s="24" t="str">
        <f>IFERROR(__xludf.DUMMYFUNCTION("""COMPUTED_VALUE"""),"SMA / SMK / MA")</f>
        <v>SMA / SMK / MA</v>
      </c>
      <c r="O187" s="24"/>
      <c r="P187" s="24"/>
      <c r="Q187" s="24"/>
      <c r="R187" s="24" t="str">
        <f>IFERROR(__xludf.DUMMYFUNCTION("""COMPUTED_VALUE"""),"BK")</f>
        <v>BK</v>
      </c>
      <c r="S187" s="25"/>
    </row>
    <row r="188" ht="22.5" customHeight="1">
      <c r="A188" s="22">
        <v>187.0</v>
      </c>
      <c r="B188" s="24" t="str">
        <f>IFERROR(__xludf.DUMMYFUNCTION("""COMPUTED_VALUE"""),"Pemasangan Instalasi Listrik Bangunan Sederhana")</f>
        <v>Pemasangan Instalasi Listrik Bangunan Sederhana</v>
      </c>
      <c r="C188" s="24" t="str">
        <f>IFERROR(__xludf.DUMMYFUNCTION("""COMPUTED_VALUE"""),"SMK Negeri 2 Kendari")</f>
        <v>SMK Negeri 2 Kendari</v>
      </c>
      <c r="D188" s="24"/>
      <c r="E188" s="24"/>
      <c r="F188" s="24" t="str">
        <f>IFERROR(__xludf.DUMMYFUNCTION("""COMPUTED_VALUE"""),"Ahmad Syukur")</f>
        <v>Ahmad Syukur</v>
      </c>
      <c r="G188" s="24" t="str">
        <f>IFERROR(__xludf.DUMMYFUNCTION("""COMPUTED_VALUE"""),"7471102704080001")</f>
        <v>7471102704080001</v>
      </c>
      <c r="H188" s="24"/>
      <c r="I188" s="24"/>
      <c r="J188" s="24" t="str">
        <f>IFERROR(__xludf.DUMMYFUNCTION("""COMPUTED_VALUE"""),"LAKI-LAKI")</f>
        <v>LAKI-LAKI</v>
      </c>
      <c r="K188" s="24" t="str">
        <f>IFERROR(__xludf.DUMMYFUNCTION("""COMPUTED_VALUE"""),"JL. Lumba-lumba")</f>
        <v>JL. Lumba-lumba</v>
      </c>
      <c r="L188" s="24"/>
      <c r="M188" s="24"/>
      <c r="N188" s="24" t="str">
        <f>IFERROR(__xludf.DUMMYFUNCTION("""COMPUTED_VALUE"""),"SMA / SMK / MA")</f>
        <v>SMA / SMK / MA</v>
      </c>
      <c r="O188" s="24"/>
      <c r="P188" s="24"/>
      <c r="Q188" s="24"/>
      <c r="R188" s="24" t="str">
        <f>IFERROR(__xludf.DUMMYFUNCTION("""COMPUTED_VALUE"""),"BK")</f>
        <v>BK</v>
      </c>
      <c r="S188" s="25"/>
    </row>
    <row r="189" ht="22.5" customHeight="1">
      <c r="A189" s="22">
        <v>188.0</v>
      </c>
      <c r="B189" s="24" t="str">
        <f>IFERROR(__xludf.DUMMYFUNCTION("""COMPUTED_VALUE"""),"Pemasangan Instalasi Listrik Bangunan Sederhana")</f>
        <v>Pemasangan Instalasi Listrik Bangunan Sederhana</v>
      </c>
      <c r="C189" s="24" t="str">
        <f>IFERROR(__xludf.DUMMYFUNCTION("""COMPUTED_VALUE"""),"SMK Negeri 2 Kendari")</f>
        <v>SMK Negeri 2 Kendari</v>
      </c>
      <c r="D189" s="24"/>
      <c r="E189" s="24"/>
      <c r="F189" s="24" t="str">
        <f>IFERROR(__xludf.DUMMYFUNCTION("""COMPUTED_VALUE"""),"Aldi Agus Pratama")</f>
        <v>Aldi Agus Pratama</v>
      </c>
      <c r="G189" s="24" t="str">
        <f>IFERROR(__xludf.DUMMYFUNCTION("""COMPUTED_VALUE"""),"7471071508060002")</f>
        <v>7471071508060002</v>
      </c>
      <c r="H189" s="24"/>
      <c r="I189" s="24"/>
      <c r="J189" s="24" t="str">
        <f>IFERROR(__xludf.DUMMYFUNCTION("""COMPUTED_VALUE"""),"LAKI-LAKI")</f>
        <v>LAKI-LAKI</v>
      </c>
      <c r="K189" s="24" t="str">
        <f>IFERROR(__xludf.DUMMYFUNCTION("""COMPUTED_VALUE"""),"Jl. Wayong")</f>
        <v>Jl. Wayong</v>
      </c>
      <c r="L189" s="24"/>
      <c r="M189" s="24"/>
      <c r="N189" s="24" t="str">
        <f>IFERROR(__xludf.DUMMYFUNCTION("""COMPUTED_VALUE"""),"SMA / SMK / MA")</f>
        <v>SMA / SMK / MA</v>
      </c>
      <c r="O189" s="24"/>
      <c r="P189" s="24"/>
      <c r="Q189" s="24"/>
      <c r="R189" s="24" t="str">
        <f>IFERROR(__xludf.DUMMYFUNCTION("""COMPUTED_VALUE"""),"BK")</f>
        <v>BK</v>
      </c>
      <c r="S189" s="25"/>
    </row>
    <row r="190" ht="22.5" customHeight="1">
      <c r="A190" s="22">
        <v>189.0</v>
      </c>
      <c r="B190" s="24" t="str">
        <f>IFERROR(__xludf.DUMMYFUNCTION("""COMPUTED_VALUE"""),"Pemasangan Instalasi Listrik Bangunan Sederhana")</f>
        <v>Pemasangan Instalasi Listrik Bangunan Sederhana</v>
      </c>
      <c r="C190" s="24" t="str">
        <f>IFERROR(__xludf.DUMMYFUNCTION("""COMPUTED_VALUE"""),"SMK Negeri 2 Kendari")</f>
        <v>SMK Negeri 2 Kendari</v>
      </c>
      <c r="D190" s="24"/>
      <c r="E190" s="24"/>
      <c r="F190" s="24" t="str">
        <f>IFERROR(__xludf.DUMMYFUNCTION("""COMPUTED_VALUE"""),"Alfaiz Ayatullah")</f>
        <v>Alfaiz Ayatullah</v>
      </c>
      <c r="G190" s="24" t="str">
        <f>IFERROR(__xludf.DUMMYFUNCTION("""COMPUTED_VALUE"""),"7471050112070005")</f>
        <v>7471050112070005</v>
      </c>
      <c r="H190" s="24"/>
      <c r="I190" s="24"/>
      <c r="J190" s="24" t="str">
        <f>IFERROR(__xludf.DUMMYFUNCTION("""COMPUTED_VALUE"""),"LAKI-LAKI")</f>
        <v>LAKI-LAKI</v>
      </c>
      <c r="K190" s="24" t="str">
        <f>IFERROR(__xludf.DUMMYFUNCTION("""COMPUTED_VALUE"""),"BTN Permata Anawai Blok C5/6")</f>
        <v>BTN Permata Anawai Blok C5/6</v>
      </c>
      <c r="L190" s="24"/>
      <c r="M190" s="24"/>
      <c r="N190" s="24" t="str">
        <f>IFERROR(__xludf.DUMMYFUNCTION("""COMPUTED_VALUE"""),"SMA / SMK / MA")</f>
        <v>SMA / SMK / MA</v>
      </c>
      <c r="O190" s="24"/>
      <c r="P190" s="24"/>
      <c r="Q190" s="24"/>
      <c r="R190" s="24" t="str">
        <f>IFERROR(__xludf.DUMMYFUNCTION("""COMPUTED_VALUE"""),"K")</f>
        <v>K</v>
      </c>
      <c r="S190" s="25"/>
    </row>
    <row r="191" ht="22.5" customHeight="1">
      <c r="A191" s="22">
        <v>190.0</v>
      </c>
      <c r="B191" s="24" t="str">
        <f>IFERROR(__xludf.DUMMYFUNCTION("""COMPUTED_VALUE"""),"Pemasangan Instalasi Listrik Bangunan Sederhana")</f>
        <v>Pemasangan Instalasi Listrik Bangunan Sederhana</v>
      </c>
      <c r="C191" s="24" t="str">
        <f>IFERROR(__xludf.DUMMYFUNCTION("""COMPUTED_VALUE"""),"SMK Negeri 2 Kendari")</f>
        <v>SMK Negeri 2 Kendari</v>
      </c>
      <c r="D191" s="24"/>
      <c r="E191" s="24"/>
      <c r="F191" s="24" t="str">
        <f>IFERROR(__xludf.DUMMYFUNCTION("""COMPUTED_VALUE"""),"Anak Agung Raka Suar Bawa")</f>
        <v>Anak Agung Raka Suar Bawa</v>
      </c>
      <c r="G191" s="24" t="str">
        <f>IFERROR(__xludf.DUMMYFUNCTION("""COMPUTED_VALUE"""),"7402282210060001")</f>
        <v>7402282210060001</v>
      </c>
      <c r="H191" s="24"/>
      <c r="I191" s="24"/>
      <c r="J191" s="24" t="str">
        <f>IFERROR(__xludf.DUMMYFUNCTION("""COMPUTED_VALUE"""),"LAKI-LAKI")</f>
        <v>LAKI-LAKI</v>
      </c>
      <c r="K191" s="24" t="str">
        <f>IFERROR(__xludf.DUMMYFUNCTION("""COMPUTED_VALUE"""),"Desa Puasana")</f>
        <v>Desa Puasana</v>
      </c>
      <c r="L191" s="24"/>
      <c r="M191" s="24"/>
      <c r="N191" s="24" t="str">
        <f>IFERROR(__xludf.DUMMYFUNCTION("""COMPUTED_VALUE"""),"SMA / SMK / MA")</f>
        <v>SMA / SMK / MA</v>
      </c>
      <c r="O191" s="24"/>
      <c r="P191" s="24"/>
      <c r="Q191" s="24"/>
      <c r="R191" s="24" t="str">
        <f>IFERROR(__xludf.DUMMYFUNCTION("""COMPUTED_VALUE"""),"BK")</f>
        <v>BK</v>
      </c>
      <c r="S191" s="25"/>
    </row>
    <row r="192" ht="22.5" customHeight="1">
      <c r="A192" s="22">
        <v>191.0</v>
      </c>
      <c r="B192" s="24" t="str">
        <f>IFERROR(__xludf.DUMMYFUNCTION("""COMPUTED_VALUE"""),"Pemasangan Instalasi Listrik Bangunan Sederhana")</f>
        <v>Pemasangan Instalasi Listrik Bangunan Sederhana</v>
      </c>
      <c r="C192" s="24" t="str">
        <f>IFERROR(__xludf.DUMMYFUNCTION("""COMPUTED_VALUE"""),"SMK Negeri 2 Kendari")</f>
        <v>SMK Negeri 2 Kendari</v>
      </c>
      <c r="D192" s="24"/>
      <c r="E192" s="24"/>
      <c r="F192" s="24" t="str">
        <f>IFERROR(__xludf.DUMMYFUNCTION("""COMPUTED_VALUE"""),"Andi Ilham Pratama")</f>
        <v>Andi Ilham Pratama</v>
      </c>
      <c r="G192" s="24" t="str">
        <f>IFERROR(__xludf.DUMMYFUNCTION("""COMPUTED_VALUE"""),"7471030810080001")</f>
        <v>7471030810080001</v>
      </c>
      <c r="H192" s="24"/>
      <c r="I192" s="24"/>
      <c r="J192" s="24" t="str">
        <f>IFERROR(__xludf.DUMMYFUNCTION("""COMPUTED_VALUE"""),"LAKI-LAKI")</f>
        <v>LAKI-LAKI</v>
      </c>
      <c r="K192" s="24" t="str">
        <f>IFERROR(__xludf.DUMMYFUNCTION("""COMPUTED_VALUE"""),"BTN Lepo-Lepo Permai")</f>
        <v>BTN Lepo-Lepo Permai</v>
      </c>
      <c r="L192" s="24"/>
      <c r="M192" s="24"/>
      <c r="N192" s="24" t="str">
        <f>IFERROR(__xludf.DUMMYFUNCTION("""COMPUTED_VALUE"""),"SMA / SMK / MA")</f>
        <v>SMA / SMK / MA</v>
      </c>
      <c r="O192" s="24"/>
      <c r="P192" s="24"/>
      <c r="Q192" s="24"/>
      <c r="R192" s="24" t="str">
        <f>IFERROR(__xludf.DUMMYFUNCTION("""COMPUTED_VALUE"""),"BK")</f>
        <v>BK</v>
      </c>
      <c r="S192" s="25"/>
    </row>
    <row r="193" ht="22.5" customHeight="1">
      <c r="A193" s="22">
        <v>192.0</v>
      </c>
      <c r="B193" s="24" t="str">
        <f>IFERROR(__xludf.DUMMYFUNCTION("""COMPUTED_VALUE"""),"Pemasangan Instalasi Listrik Bangunan Sederhana")</f>
        <v>Pemasangan Instalasi Listrik Bangunan Sederhana</v>
      </c>
      <c r="C193" s="24" t="str">
        <f>IFERROR(__xludf.DUMMYFUNCTION("""COMPUTED_VALUE"""),"SMK Negeri 2 Kendari")</f>
        <v>SMK Negeri 2 Kendari</v>
      </c>
      <c r="D193" s="24"/>
      <c r="E193" s="24"/>
      <c r="F193" s="24" t="str">
        <f>IFERROR(__xludf.DUMMYFUNCTION("""COMPUTED_VALUE"""),"Firman")</f>
        <v>Firman</v>
      </c>
      <c r="G193" s="24" t="str">
        <f>IFERROR(__xludf.DUMMYFUNCTION("""COMPUTED_VALUE"""),"7471073108080001")</f>
        <v>7471073108080001</v>
      </c>
      <c r="H193" s="24"/>
      <c r="I193" s="24"/>
      <c r="J193" s="24" t="str">
        <f>IFERROR(__xludf.DUMMYFUNCTION("""COMPUTED_VALUE"""),"LAKI-LAKI")</f>
        <v>LAKI-LAKI</v>
      </c>
      <c r="K193" s="24" t="str">
        <f>IFERROR(__xludf.DUMMYFUNCTION("""COMPUTED_VALUE"""),"Jl. Subsidi")</f>
        <v>Jl. Subsidi</v>
      </c>
      <c r="L193" s="24"/>
      <c r="M193" s="24"/>
      <c r="N193" s="24" t="str">
        <f>IFERROR(__xludf.DUMMYFUNCTION("""COMPUTED_VALUE"""),"SMA / SMK / MA")</f>
        <v>SMA / SMK / MA</v>
      </c>
      <c r="O193" s="24"/>
      <c r="P193" s="24"/>
      <c r="Q193" s="24"/>
      <c r="R193" s="24" t="str">
        <f>IFERROR(__xludf.DUMMYFUNCTION("""COMPUTED_VALUE"""),"K")</f>
        <v>K</v>
      </c>
      <c r="S193" s="25"/>
    </row>
    <row r="194" ht="22.5" customHeight="1">
      <c r="A194" s="22">
        <v>193.0</v>
      </c>
      <c r="B194" s="24" t="str">
        <f>IFERROR(__xludf.DUMMYFUNCTION("""COMPUTED_VALUE"""),"Pemasangan Instalasi Listrik Bangunan Sederhana")</f>
        <v>Pemasangan Instalasi Listrik Bangunan Sederhana</v>
      </c>
      <c r="C194" s="24" t="str">
        <f>IFERROR(__xludf.DUMMYFUNCTION("""COMPUTED_VALUE"""),"SMK Negeri 2 Kendari")</f>
        <v>SMK Negeri 2 Kendari</v>
      </c>
      <c r="D194" s="24"/>
      <c r="E194" s="24"/>
      <c r="F194" s="24" t="str">
        <f>IFERROR(__xludf.DUMMYFUNCTION("""COMPUTED_VALUE"""),"I Wayan Bayu Trisna Saputra")</f>
        <v>I Wayan Bayu Trisna Saputra</v>
      </c>
      <c r="G194" s="24" t="str">
        <f>IFERROR(__xludf.DUMMYFUNCTION("""COMPUTED_VALUE"""),"7402280909080001")</f>
        <v>7402280909080001</v>
      </c>
      <c r="H194" s="24"/>
      <c r="I194" s="24"/>
      <c r="J194" s="24" t="str">
        <f>IFERROR(__xludf.DUMMYFUNCTION("""COMPUTED_VALUE"""),"LAKI-LAKI")</f>
        <v>LAKI-LAKI</v>
      </c>
      <c r="K194" s="24" t="str">
        <f>IFERROR(__xludf.DUMMYFUNCTION("""COMPUTED_VALUE"""),"Ulu Benua")</f>
        <v>Ulu Benua</v>
      </c>
      <c r="L194" s="24"/>
      <c r="M194" s="24"/>
      <c r="N194" s="24" t="str">
        <f>IFERROR(__xludf.DUMMYFUNCTION("""COMPUTED_VALUE"""),"SMA / SMK / MA")</f>
        <v>SMA / SMK / MA</v>
      </c>
      <c r="O194" s="24"/>
      <c r="P194" s="24"/>
      <c r="Q194" s="24"/>
      <c r="R194" s="24" t="str">
        <f>IFERROR(__xludf.DUMMYFUNCTION("""COMPUTED_VALUE"""),"K")</f>
        <v>K</v>
      </c>
      <c r="S194" s="25"/>
    </row>
    <row r="195" ht="22.5" customHeight="1">
      <c r="A195" s="22">
        <v>194.0</v>
      </c>
      <c r="B195" s="24" t="str">
        <f>IFERROR(__xludf.DUMMYFUNCTION("""COMPUTED_VALUE"""),"Pemasangan Instalasi Listrik Bangunan Sederhana")</f>
        <v>Pemasangan Instalasi Listrik Bangunan Sederhana</v>
      </c>
      <c r="C195" s="24" t="str">
        <f>IFERROR(__xludf.DUMMYFUNCTION("""COMPUTED_VALUE"""),"SMK Negeri 2 Kendari")</f>
        <v>SMK Negeri 2 Kendari</v>
      </c>
      <c r="D195" s="24"/>
      <c r="E195" s="24"/>
      <c r="F195" s="24" t="str">
        <f>IFERROR(__xludf.DUMMYFUNCTION("""COMPUTED_VALUE"""),"La Ode Alfa Diyansah")</f>
        <v>La Ode Alfa Diyansah</v>
      </c>
      <c r="G195" s="24" t="str">
        <f>IFERROR(__xludf.DUMMYFUNCTION("""COMPUTED_VALUE"""),"7403062607080001")</f>
        <v>7403062607080001</v>
      </c>
      <c r="H195" s="24"/>
      <c r="I195" s="24"/>
      <c r="J195" s="24" t="str">
        <f>IFERROR(__xludf.DUMMYFUNCTION("""COMPUTED_VALUE"""),"LAKI-LAKI")</f>
        <v>LAKI-LAKI</v>
      </c>
      <c r="K195" s="24" t="str">
        <f>IFERROR(__xludf.DUMMYFUNCTION("""COMPUTED_VALUE"""),"Kendari Barat, Jl. Mayjen Sutoyo")</f>
        <v>Kendari Barat, Jl. Mayjen Sutoyo</v>
      </c>
      <c r="L195" s="24"/>
      <c r="M195" s="24"/>
      <c r="N195" s="24" t="str">
        <f>IFERROR(__xludf.DUMMYFUNCTION("""COMPUTED_VALUE"""),"SMA / SMK / MA")</f>
        <v>SMA / SMK / MA</v>
      </c>
      <c r="O195" s="24"/>
      <c r="P195" s="24"/>
      <c r="Q195" s="24"/>
      <c r="R195" s="24" t="str">
        <f>IFERROR(__xludf.DUMMYFUNCTION("""COMPUTED_VALUE"""),"K")</f>
        <v>K</v>
      </c>
      <c r="S195" s="25"/>
    </row>
    <row r="196" ht="22.5" customHeight="1">
      <c r="A196" s="22">
        <v>195.0</v>
      </c>
      <c r="B196" s="24" t="str">
        <f>IFERROR(__xludf.DUMMYFUNCTION("""COMPUTED_VALUE"""),"Pemasangan Instalasi Listrik Bangunan Sederhana")</f>
        <v>Pemasangan Instalasi Listrik Bangunan Sederhana</v>
      </c>
      <c r="C196" s="24" t="str">
        <f>IFERROR(__xludf.DUMMYFUNCTION("""COMPUTED_VALUE"""),"SMK Negeri 2 Kendari")</f>
        <v>SMK Negeri 2 Kendari</v>
      </c>
      <c r="D196" s="24"/>
      <c r="E196" s="24"/>
      <c r="F196" s="24" t="str">
        <f>IFERROR(__xludf.DUMMYFUNCTION("""COMPUTED_VALUE"""),"M. Akmal Afif Nawawi")</f>
        <v>M. Akmal Afif Nawawi</v>
      </c>
      <c r="G196" s="24" t="str">
        <f>IFERROR(__xludf.DUMMYFUNCTION("""COMPUTED_VALUE"""),"7371132705080002")</f>
        <v>7371132705080002</v>
      </c>
      <c r="H196" s="24"/>
      <c r="I196" s="24"/>
      <c r="J196" s="24" t="str">
        <f>IFERROR(__xludf.DUMMYFUNCTION("""COMPUTED_VALUE"""),"LAKI-LAKI")</f>
        <v>LAKI-LAKI</v>
      </c>
      <c r="K196" s="24" t="str">
        <f>IFERROR(__xludf.DUMMYFUNCTION("""COMPUTED_VALUE"""),"Jl. Imam Bonjol")</f>
        <v>Jl. Imam Bonjol</v>
      </c>
      <c r="L196" s="24"/>
      <c r="M196" s="24"/>
      <c r="N196" s="24" t="str">
        <f>IFERROR(__xludf.DUMMYFUNCTION("""COMPUTED_VALUE"""),"SMA / SMK / MA")</f>
        <v>SMA / SMK / MA</v>
      </c>
      <c r="O196" s="24"/>
      <c r="P196" s="24"/>
      <c r="Q196" s="24"/>
      <c r="R196" s="24" t="str">
        <f>IFERROR(__xludf.DUMMYFUNCTION("""COMPUTED_VALUE"""),"K")</f>
        <v>K</v>
      </c>
      <c r="S196" s="25"/>
    </row>
    <row r="197" ht="22.5" customHeight="1">
      <c r="A197" s="22">
        <v>196.0</v>
      </c>
      <c r="B197" s="24" t="str">
        <f>IFERROR(__xludf.DUMMYFUNCTION("""COMPUTED_VALUE"""),"Pemasangan Instalasi Listrik Bangunan Sederhana")</f>
        <v>Pemasangan Instalasi Listrik Bangunan Sederhana</v>
      </c>
      <c r="C197" s="24" t="str">
        <f>IFERROR(__xludf.DUMMYFUNCTION("""COMPUTED_VALUE"""),"SMK Negeri 2 Kendari")</f>
        <v>SMK Negeri 2 Kendari</v>
      </c>
      <c r="D197" s="24"/>
      <c r="E197" s="24"/>
      <c r="F197" s="24" t="str">
        <f>IFERROR(__xludf.DUMMYFUNCTION("""COMPUTED_VALUE"""),"Muafa Raihanul Islam Malaka")</f>
        <v>Muafa Raihanul Islam Malaka</v>
      </c>
      <c r="G197" s="24" t="str">
        <f>IFERROR(__xludf.DUMMYFUNCTION("""COMPUTED_VALUE"""),"7405075608080001")</f>
        <v>7405075608080001</v>
      </c>
      <c r="H197" s="24"/>
      <c r="I197" s="24"/>
      <c r="J197" s="24" t="str">
        <f>IFERROR(__xludf.DUMMYFUNCTION("""COMPUTED_VALUE"""),"PEREMPUAN")</f>
        <v>PEREMPUAN</v>
      </c>
      <c r="K197" s="24" t="str">
        <f>IFERROR(__xludf.DUMMYFUNCTION("""COMPUTED_VALUE"""),"Jl. Tunggala")</f>
        <v>Jl. Tunggala</v>
      </c>
      <c r="L197" s="24"/>
      <c r="M197" s="24"/>
      <c r="N197" s="24" t="str">
        <f>IFERROR(__xludf.DUMMYFUNCTION("""COMPUTED_VALUE"""),"SMA / SMK / MA")</f>
        <v>SMA / SMK / MA</v>
      </c>
      <c r="O197" s="24"/>
      <c r="P197" s="24"/>
      <c r="Q197" s="24"/>
      <c r="R197" s="24" t="str">
        <f>IFERROR(__xludf.DUMMYFUNCTION("""COMPUTED_VALUE"""),"K")</f>
        <v>K</v>
      </c>
      <c r="S197" s="25"/>
    </row>
    <row r="198" ht="22.5" customHeight="1">
      <c r="A198" s="22">
        <v>197.0</v>
      </c>
      <c r="B198" s="24" t="str">
        <f>IFERROR(__xludf.DUMMYFUNCTION("""COMPUTED_VALUE"""),"Pemasangan Instalasi Listrik Bangunan Sederhana")</f>
        <v>Pemasangan Instalasi Listrik Bangunan Sederhana</v>
      </c>
      <c r="C198" s="24" t="str">
        <f>IFERROR(__xludf.DUMMYFUNCTION("""COMPUTED_VALUE"""),"SMK Negeri 2 Kendari")</f>
        <v>SMK Negeri 2 Kendari</v>
      </c>
      <c r="D198" s="24"/>
      <c r="E198" s="24"/>
      <c r="F198" s="24" t="str">
        <f>IFERROR(__xludf.DUMMYFUNCTION("""COMPUTED_VALUE"""),"Muh Almer Abbas")</f>
        <v>Muh Almer Abbas</v>
      </c>
      <c r="G198" s="24" t="str">
        <f>IFERROR(__xludf.DUMMYFUNCTION("""COMPUTED_VALUE"""),"7471010211080002")</f>
        <v>7471010211080002</v>
      </c>
      <c r="H198" s="24"/>
      <c r="I198" s="24"/>
      <c r="J198" s="24" t="str">
        <f>IFERROR(__xludf.DUMMYFUNCTION("""COMPUTED_VALUE"""),"LAKI-LAKI")</f>
        <v>LAKI-LAKI</v>
      </c>
      <c r="K198" s="24" t="str">
        <f>IFERROR(__xludf.DUMMYFUNCTION("""COMPUTED_VALUE"""),"Jl. Sewetigading, Kec. Mandonga, Kota Kendari, Sulawesi Tenggara")</f>
        <v>Jl. Sewetigading, Kec. Mandonga, Kota Kendari, Sulawesi Tenggara</v>
      </c>
      <c r="L198" s="24"/>
      <c r="M198" s="24"/>
      <c r="N198" s="24" t="str">
        <f>IFERROR(__xludf.DUMMYFUNCTION("""COMPUTED_VALUE"""),"SMA / SMK / MA")</f>
        <v>SMA / SMK / MA</v>
      </c>
      <c r="O198" s="24"/>
      <c r="P198" s="24"/>
      <c r="Q198" s="24"/>
      <c r="R198" s="24" t="str">
        <f>IFERROR(__xludf.DUMMYFUNCTION("""COMPUTED_VALUE"""),"BK")</f>
        <v>BK</v>
      </c>
      <c r="S198" s="25"/>
    </row>
    <row r="199" ht="22.5" customHeight="1">
      <c r="A199" s="22">
        <v>198.0</v>
      </c>
      <c r="B199" s="24" t="str">
        <f>IFERROR(__xludf.DUMMYFUNCTION("""COMPUTED_VALUE"""),"Pemasangan Instalasi Listrik Bangunan Sederhana")</f>
        <v>Pemasangan Instalasi Listrik Bangunan Sederhana</v>
      </c>
      <c r="C199" s="24" t="str">
        <f>IFERROR(__xludf.DUMMYFUNCTION("""COMPUTED_VALUE"""),"SMK Negeri 2 Kendari")</f>
        <v>SMK Negeri 2 Kendari</v>
      </c>
      <c r="D199" s="24"/>
      <c r="E199" s="24"/>
      <c r="F199" s="24" t="str">
        <f>IFERROR(__xludf.DUMMYFUNCTION("""COMPUTED_VALUE"""),"Muh. Ayyubi Al Fariq")</f>
        <v>Muh. Ayyubi Al Fariq</v>
      </c>
      <c r="G199" s="24" t="str">
        <f>IFERROR(__xludf.DUMMYFUNCTION("""COMPUTED_VALUE"""),"7471093003080002")</f>
        <v>7471093003080002</v>
      </c>
      <c r="H199" s="24"/>
      <c r="I199" s="24"/>
      <c r="J199" s="24" t="str">
        <f>IFERROR(__xludf.DUMMYFUNCTION("""COMPUTED_VALUE"""),"LAKI-LAKI")</f>
        <v>LAKI-LAKI</v>
      </c>
      <c r="K199" s="24" t="str">
        <f>IFERROR(__xludf.DUMMYFUNCTION("""COMPUTED_VALUE"""),"BTN Permata Anawai Blok A9/12")</f>
        <v>BTN Permata Anawai Blok A9/12</v>
      </c>
      <c r="L199" s="24"/>
      <c r="M199" s="24"/>
      <c r="N199" s="24" t="str">
        <f>IFERROR(__xludf.DUMMYFUNCTION("""COMPUTED_VALUE"""),"SMA / SMK / MA")</f>
        <v>SMA / SMK / MA</v>
      </c>
      <c r="O199" s="24"/>
      <c r="P199" s="24"/>
      <c r="Q199" s="24"/>
      <c r="R199" s="24" t="str">
        <f>IFERROR(__xludf.DUMMYFUNCTION("""COMPUTED_VALUE"""),"BK")</f>
        <v>BK</v>
      </c>
      <c r="S199" s="25"/>
    </row>
    <row r="200" ht="22.5" customHeight="1">
      <c r="A200" s="22">
        <v>199.0</v>
      </c>
      <c r="B200" s="24" t="str">
        <f>IFERROR(__xludf.DUMMYFUNCTION("""COMPUTED_VALUE"""),"Pemasangan Instalasi Listrik Bangunan Sederhana")</f>
        <v>Pemasangan Instalasi Listrik Bangunan Sederhana</v>
      </c>
      <c r="C200" s="24" t="str">
        <f>IFERROR(__xludf.DUMMYFUNCTION("""COMPUTED_VALUE"""),"SMK Negeri 2 Kendari")</f>
        <v>SMK Negeri 2 Kendari</v>
      </c>
      <c r="D200" s="24"/>
      <c r="E200" s="24"/>
      <c r="F200" s="24" t="str">
        <f>IFERROR(__xludf.DUMMYFUNCTION("""COMPUTED_VALUE"""),"Muh. Fairuz Febrian K.")</f>
        <v>Muh. Fairuz Febrian K.</v>
      </c>
      <c r="G200" s="24" t="str">
        <f>IFERROR(__xludf.DUMMYFUNCTION("""COMPUTED_VALUE"""),"7471081202080003")</f>
        <v>7471081202080003</v>
      </c>
      <c r="H200" s="24"/>
      <c r="I200" s="24"/>
      <c r="J200" s="24" t="str">
        <f>IFERROR(__xludf.DUMMYFUNCTION("""COMPUTED_VALUE"""),"LAKI-LAKI")</f>
        <v>LAKI-LAKI</v>
      </c>
      <c r="K200" s="24" t="str">
        <f>IFERROR(__xludf.DUMMYFUNCTION("""COMPUTED_VALUE"""),"Jl. Brigjend M. Yoenoes No. 191")</f>
        <v>Jl. Brigjend M. Yoenoes No. 191</v>
      </c>
      <c r="L200" s="24"/>
      <c r="M200" s="24"/>
      <c r="N200" s="24" t="str">
        <f>IFERROR(__xludf.DUMMYFUNCTION("""COMPUTED_VALUE"""),"SMA / SMK / MA")</f>
        <v>SMA / SMK / MA</v>
      </c>
      <c r="O200" s="24"/>
      <c r="P200" s="24"/>
      <c r="Q200" s="24"/>
      <c r="R200" s="24" t="str">
        <f>IFERROR(__xludf.DUMMYFUNCTION("""COMPUTED_VALUE"""),"K")</f>
        <v>K</v>
      </c>
      <c r="S200" s="25"/>
    </row>
    <row r="201" ht="22.5" customHeight="1">
      <c r="A201" s="22">
        <v>200.0</v>
      </c>
      <c r="B201" s="24" t="str">
        <f>IFERROR(__xludf.DUMMYFUNCTION("""COMPUTED_VALUE"""),"Pemasangan Instalasi Listrik Bangunan Sederhana")</f>
        <v>Pemasangan Instalasi Listrik Bangunan Sederhana</v>
      </c>
      <c r="C201" s="24" t="str">
        <f>IFERROR(__xludf.DUMMYFUNCTION("""COMPUTED_VALUE"""),"SMK Negeri 2 Kendari")</f>
        <v>SMK Negeri 2 Kendari</v>
      </c>
      <c r="D201" s="24"/>
      <c r="E201" s="24"/>
      <c r="F201" s="24" t="str">
        <f>IFERROR(__xludf.DUMMYFUNCTION("""COMPUTED_VALUE"""),"Muh. Ridwan Tambaga")</f>
        <v>Muh. Ridwan Tambaga</v>
      </c>
      <c r="G201" s="24" t="str">
        <f>IFERROR(__xludf.DUMMYFUNCTION("""COMPUTED_VALUE"""),"7471072307080002")</f>
        <v>7471072307080002</v>
      </c>
      <c r="H201" s="24"/>
      <c r="I201" s="24"/>
      <c r="J201" s="24" t="str">
        <f>IFERROR(__xludf.DUMMYFUNCTION("""COMPUTED_VALUE"""),"LAKI-LAKI")</f>
        <v>LAKI-LAKI</v>
      </c>
      <c r="K201" s="24" t="str">
        <f>IFERROR(__xludf.DUMMYFUNCTION("""COMPUTED_VALUE"""),"Jln. Wayong Puncak")</f>
        <v>Jln. Wayong Puncak</v>
      </c>
      <c r="L201" s="24"/>
      <c r="M201" s="24"/>
      <c r="N201" s="24" t="str">
        <f>IFERROR(__xludf.DUMMYFUNCTION("""COMPUTED_VALUE"""),"SMA / SMK / MA")</f>
        <v>SMA / SMK / MA</v>
      </c>
      <c r="O201" s="24"/>
      <c r="P201" s="24"/>
      <c r="Q201" s="24"/>
      <c r="R201" s="24" t="str">
        <f>IFERROR(__xludf.DUMMYFUNCTION("""COMPUTED_VALUE"""),"K")</f>
        <v>K</v>
      </c>
      <c r="S201" s="25"/>
    </row>
    <row r="202" ht="22.5" customHeight="1">
      <c r="A202" s="22">
        <v>201.0</v>
      </c>
      <c r="B202" s="24" t="str">
        <f>IFERROR(__xludf.DUMMYFUNCTION("""COMPUTED_VALUE"""),"Pemasangan Instalasi Listrik Bangunan Sederhana")</f>
        <v>Pemasangan Instalasi Listrik Bangunan Sederhana</v>
      </c>
      <c r="C202" s="24" t="str">
        <f>IFERROR(__xludf.DUMMYFUNCTION("""COMPUTED_VALUE"""),"SMK Negeri 2 Kendari")</f>
        <v>SMK Negeri 2 Kendari</v>
      </c>
      <c r="D202" s="24"/>
      <c r="E202" s="24"/>
      <c r="F202" s="24" t="str">
        <f>IFERROR(__xludf.DUMMYFUNCTION("""COMPUTED_VALUE"""),"Muhammad Andika Adiatma")</f>
        <v>Muhammad Andika Adiatma</v>
      </c>
      <c r="G202" s="24" t="str">
        <f>IFERROR(__xludf.DUMMYFUNCTION("""COMPUTED_VALUE"""),"7471051605070004")</f>
        <v>7471051605070004</v>
      </c>
      <c r="H202" s="24"/>
      <c r="I202" s="24"/>
      <c r="J202" s="24" t="str">
        <f>IFERROR(__xludf.DUMMYFUNCTION("""COMPUTED_VALUE"""),"LAKI-LAKI")</f>
        <v>LAKI-LAKI</v>
      </c>
      <c r="K202" s="24" t="str">
        <f>IFERROR(__xludf.DUMMYFUNCTION("""COMPUTED_VALUE"""),"BTN Kendari Indah Blok F20")</f>
        <v>BTN Kendari Indah Blok F20</v>
      </c>
      <c r="L202" s="24"/>
      <c r="M202" s="24"/>
      <c r="N202" s="24" t="str">
        <f>IFERROR(__xludf.DUMMYFUNCTION("""COMPUTED_VALUE"""),"SMA / SMK / MA")</f>
        <v>SMA / SMK / MA</v>
      </c>
      <c r="O202" s="24"/>
      <c r="P202" s="24"/>
      <c r="Q202" s="24"/>
      <c r="R202" s="24" t="str">
        <f>IFERROR(__xludf.DUMMYFUNCTION("""COMPUTED_VALUE"""),"K")</f>
        <v>K</v>
      </c>
      <c r="S202" s="25"/>
    </row>
    <row r="203" ht="22.5" customHeight="1">
      <c r="A203" s="22">
        <v>202.0</v>
      </c>
      <c r="B203" s="24" t="str">
        <f>IFERROR(__xludf.DUMMYFUNCTION("""COMPUTED_VALUE"""),"Pemasangan Instalasi Listrik Bangunan Sederhana")</f>
        <v>Pemasangan Instalasi Listrik Bangunan Sederhana</v>
      </c>
      <c r="C203" s="24" t="str">
        <f>IFERROR(__xludf.DUMMYFUNCTION("""COMPUTED_VALUE"""),"SMK Negeri 2 Kendari")</f>
        <v>SMK Negeri 2 Kendari</v>
      </c>
      <c r="D203" s="24"/>
      <c r="E203" s="24"/>
      <c r="F203" s="24" t="str">
        <f>IFERROR(__xludf.DUMMYFUNCTION("""COMPUTED_VALUE"""),"Muh. Alif Nur")</f>
        <v>Muh. Alif Nur</v>
      </c>
      <c r="G203" s="24" t="str">
        <f>IFERROR(__xludf.DUMMYFUNCTION("""COMPUTED_VALUE"""),"7471072211080001")</f>
        <v>7471072211080001</v>
      </c>
      <c r="H203" s="24"/>
      <c r="I203" s="24"/>
      <c r="J203" s="24" t="str">
        <f>IFERROR(__xludf.DUMMYFUNCTION("""COMPUTED_VALUE"""),"LAKI-LAKI")</f>
        <v>LAKI-LAKI</v>
      </c>
      <c r="K203" s="24" t="str">
        <f>IFERROR(__xludf.DUMMYFUNCTION("""COMPUTED_VALUE"""),"Jl. Hurami BTN Punggolaka")</f>
        <v>Jl. Hurami BTN Punggolaka</v>
      </c>
      <c r="L203" s="24"/>
      <c r="M203" s="24"/>
      <c r="N203" s="24" t="str">
        <f>IFERROR(__xludf.DUMMYFUNCTION("""COMPUTED_VALUE"""),"SMA / SMK / MA")</f>
        <v>SMA / SMK / MA</v>
      </c>
      <c r="O203" s="24"/>
      <c r="P203" s="24"/>
      <c r="Q203" s="24"/>
      <c r="R203" s="24" t="str">
        <f>IFERROR(__xludf.DUMMYFUNCTION("""COMPUTED_VALUE"""),"K")</f>
        <v>K</v>
      </c>
      <c r="S203" s="25"/>
    </row>
    <row r="204" ht="22.5" customHeight="1">
      <c r="A204" s="22">
        <v>203.0</v>
      </c>
      <c r="B204" s="24" t="str">
        <f>IFERROR(__xludf.DUMMYFUNCTION("""COMPUTED_VALUE"""),"Pemasangan Instalasi Listrik Bangunan Sederhana")</f>
        <v>Pemasangan Instalasi Listrik Bangunan Sederhana</v>
      </c>
      <c r="C204" s="24" t="str">
        <f>IFERROR(__xludf.DUMMYFUNCTION("""COMPUTED_VALUE"""),"SMK Negeri 2 Kendari")</f>
        <v>SMK Negeri 2 Kendari</v>
      </c>
      <c r="D204" s="24"/>
      <c r="E204" s="24"/>
      <c r="F204" s="24" t="str">
        <f>IFERROR(__xludf.DUMMYFUNCTION("""COMPUTED_VALUE"""),"Muhammad Nayshar Alhidayat")</f>
        <v>Muhammad Nayshar Alhidayat</v>
      </c>
      <c r="G204" s="24" t="str">
        <f>IFERROR(__xludf.DUMMYFUNCTION("""COMPUTED_VALUE"""),"7403150505070001")</f>
        <v>7403150505070001</v>
      </c>
      <c r="H204" s="24"/>
      <c r="I204" s="24"/>
      <c r="J204" s="24" t="str">
        <f>IFERROR(__xludf.DUMMYFUNCTION("""COMPUTED_VALUE"""),"LAKI-LAKI")</f>
        <v>LAKI-LAKI</v>
      </c>
      <c r="K204" s="24" t="str">
        <f>IFERROR(__xludf.DUMMYFUNCTION("""COMPUTED_VALUE"""),"Jl. Bangau")</f>
        <v>Jl. Bangau</v>
      </c>
      <c r="L204" s="24"/>
      <c r="M204" s="24"/>
      <c r="N204" s="24" t="str">
        <f>IFERROR(__xludf.DUMMYFUNCTION("""COMPUTED_VALUE"""),"SMA / SMK / MA")</f>
        <v>SMA / SMK / MA</v>
      </c>
      <c r="O204" s="24"/>
      <c r="P204" s="24"/>
      <c r="Q204" s="24"/>
      <c r="R204" s="24" t="str">
        <f>IFERROR(__xludf.DUMMYFUNCTION("""COMPUTED_VALUE"""),"K")</f>
        <v>K</v>
      </c>
      <c r="S204" s="25"/>
    </row>
    <row r="205" ht="22.5" customHeight="1">
      <c r="A205" s="22">
        <v>204.0</v>
      </c>
      <c r="B205" s="24" t="str">
        <f>IFERROR(__xludf.DUMMYFUNCTION("""COMPUTED_VALUE"""),"Pemasangan Instalasi Listrik Bangunan Sederhana")</f>
        <v>Pemasangan Instalasi Listrik Bangunan Sederhana</v>
      </c>
      <c r="C205" s="24" t="str">
        <f>IFERROR(__xludf.DUMMYFUNCTION("""COMPUTED_VALUE"""),"SMK Negeri 2 Kendari")</f>
        <v>SMK Negeri 2 Kendari</v>
      </c>
      <c r="D205" s="24"/>
      <c r="E205" s="24"/>
      <c r="F205" s="24" t="str">
        <f>IFERROR(__xludf.DUMMYFUNCTION("""COMPUTED_VALUE"""),"Muhammad Nur Hidayat")</f>
        <v>Muhammad Nur Hidayat</v>
      </c>
      <c r="G205" s="24" t="str">
        <f>IFERROR(__xludf.DUMMYFUNCTION("""COMPUTED_VALUE"""),"7471092907070001")</f>
        <v>7471092907070001</v>
      </c>
      <c r="H205" s="24"/>
      <c r="I205" s="24"/>
      <c r="J205" s="24" t="str">
        <f>IFERROR(__xludf.DUMMYFUNCTION("""COMPUTED_VALUE"""),"LAKI-LAKI")</f>
        <v>LAKI-LAKI</v>
      </c>
      <c r="K205" s="24"/>
      <c r="L205" s="24"/>
      <c r="M205" s="24"/>
      <c r="N205" s="24" t="str">
        <f>IFERROR(__xludf.DUMMYFUNCTION("""COMPUTED_VALUE"""),"SMA / SMK / MA")</f>
        <v>SMA / SMK / MA</v>
      </c>
      <c r="O205" s="24"/>
      <c r="P205" s="24"/>
      <c r="Q205" s="24"/>
      <c r="R205" s="24" t="str">
        <f>IFERROR(__xludf.DUMMYFUNCTION("""COMPUTED_VALUE"""),"BK")</f>
        <v>BK</v>
      </c>
      <c r="S205" s="25"/>
    </row>
    <row r="206" ht="22.5" customHeight="1">
      <c r="A206" s="22">
        <v>205.0</v>
      </c>
      <c r="B206" s="24" t="str">
        <f>IFERROR(__xludf.DUMMYFUNCTION("""COMPUTED_VALUE"""),"Pemasangan Instalasi Listrik Bangunan Sederhana")</f>
        <v>Pemasangan Instalasi Listrik Bangunan Sederhana</v>
      </c>
      <c r="C206" s="24" t="str">
        <f>IFERROR(__xludf.DUMMYFUNCTION("""COMPUTED_VALUE"""),"SMK Negeri 2 Kendari")</f>
        <v>SMK Negeri 2 Kendari</v>
      </c>
      <c r="D206" s="24"/>
      <c r="E206" s="24"/>
      <c r="F206" s="24" t="str">
        <f>IFERROR(__xludf.DUMMYFUNCTION("""COMPUTED_VALUE"""),"Ryan A. Latif")</f>
        <v>Ryan A. Latif</v>
      </c>
      <c r="G206" s="24" t="str">
        <f>IFERROR(__xludf.DUMMYFUNCTION("""COMPUTED_VALUE"""),"7471032611070003")</f>
        <v>7471032611070003</v>
      </c>
      <c r="H206" s="24"/>
      <c r="I206" s="24"/>
      <c r="J206" s="24" t="str">
        <f>IFERROR(__xludf.DUMMYFUNCTION("""COMPUTED_VALUE"""),"LAKI-LAKI")</f>
        <v>LAKI-LAKI</v>
      </c>
      <c r="K206" s="24" t="str">
        <f>IFERROR(__xludf.DUMMYFUNCTION("""COMPUTED_VALUE"""),"BTN Beringin Blok I/15")</f>
        <v>BTN Beringin Blok I/15</v>
      </c>
      <c r="L206" s="24"/>
      <c r="M206" s="24"/>
      <c r="N206" s="24" t="str">
        <f>IFERROR(__xludf.DUMMYFUNCTION("""COMPUTED_VALUE"""),"SMA / SMK / MA")</f>
        <v>SMA / SMK / MA</v>
      </c>
      <c r="O206" s="24"/>
      <c r="P206" s="24"/>
      <c r="Q206" s="24"/>
      <c r="R206" s="24" t="str">
        <f>IFERROR(__xludf.DUMMYFUNCTION("""COMPUTED_VALUE"""),"K")</f>
        <v>K</v>
      </c>
      <c r="S206" s="25"/>
    </row>
    <row r="207" ht="22.5" customHeight="1">
      <c r="A207" s="22">
        <v>206.0</v>
      </c>
      <c r="B207" s="24" t="str">
        <f>IFERROR(__xludf.DUMMYFUNCTION("""COMPUTED_VALUE"""),"Pemasangan Instalasi Listrik Bangunan Sederhana")</f>
        <v>Pemasangan Instalasi Listrik Bangunan Sederhana</v>
      </c>
      <c r="C207" s="24" t="str">
        <f>IFERROR(__xludf.DUMMYFUNCTION("""COMPUTED_VALUE"""),"SMK Negeri 2 Kendari")</f>
        <v>SMK Negeri 2 Kendari</v>
      </c>
      <c r="D207" s="24"/>
      <c r="E207" s="24"/>
      <c r="F207" s="24" t="str">
        <f>IFERROR(__xludf.DUMMYFUNCTION("""COMPUTED_VALUE"""),"Sonny Chandra Ode Saimin")</f>
        <v>Sonny Chandra Ode Saimin</v>
      </c>
      <c r="G207" s="24" t="str">
        <f>IFERROR(__xludf.DUMMYFUNCTION("""COMPUTED_VALUE"""),"7471101005080001")</f>
        <v>7471101005080001</v>
      </c>
      <c r="H207" s="24"/>
      <c r="I207" s="24"/>
      <c r="J207" s="24" t="str">
        <f>IFERROR(__xludf.DUMMYFUNCTION("""COMPUTED_VALUE"""),"LAKI-LAKI")</f>
        <v>LAKI-LAKI</v>
      </c>
      <c r="K207" s="24" t="str">
        <f>IFERROR(__xludf.DUMMYFUNCTION("""COMPUTED_VALUE"""),"Jl. Boulevard")</f>
        <v>Jl. Boulevard</v>
      </c>
      <c r="L207" s="24"/>
      <c r="M207" s="24"/>
      <c r="N207" s="24" t="str">
        <f>IFERROR(__xludf.DUMMYFUNCTION("""COMPUTED_VALUE"""),"SMA / SMK / MA")</f>
        <v>SMA / SMK / MA</v>
      </c>
      <c r="O207" s="24"/>
      <c r="P207" s="24"/>
      <c r="Q207" s="24"/>
      <c r="R207" s="24" t="str">
        <f>IFERROR(__xludf.DUMMYFUNCTION("""COMPUTED_VALUE"""),"K")</f>
        <v>K</v>
      </c>
      <c r="S207" s="25"/>
    </row>
    <row r="208" ht="22.5" customHeight="1">
      <c r="A208" s="22">
        <v>207.0</v>
      </c>
      <c r="B208" s="24" t="str">
        <f>IFERROR(__xludf.DUMMYFUNCTION("""COMPUTED_VALUE"""),"Pemasangan Instalasi Listrik Bangunan Sederhana")</f>
        <v>Pemasangan Instalasi Listrik Bangunan Sederhana</v>
      </c>
      <c r="C208" s="24" t="str">
        <f>IFERROR(__xludf.DUMMYFUNCTION("""COMPUTED_VALUE"""),"SMK Negeri 2 Kendari")</f>
        <v>SMK Negeri 2 Kendari</v>
      </c>
      <c r="D208" s="24"/>
      <c r="E208" s="24"/>
      <c r="F208" s="24" t="str">
        <f>IFERROR(__xludf.DUMMYFUNCTION("""COMPUTED_VALUE"""),"Syahril")</f>
        <v>Syahril</v>
      </c>
      <c r="G208" s="24" t="str">
        <f>IFERROR(__xludf.DUMMYFUNCTION("""COMPUTED_VALUE"""),"7405072707080002")</f>
        <v>7405072707080002</v>
      </c>
      <c r="H208" s="24"/>
      <c r="I208" s="24"/>
      <c r="J208" s="24" t="str">
        <f>IFERROR(__xludf.DUMMYFUNCTION("""COMPUTED_VALUE"""),"LAKI-LAKI")</f>
        <v>LAKI-LAKI</v>
      </c>
      <c r="K208" s="24" t="str">
        <f>IFERROR(__xludf.DUMMYFUNCTION("""COMPUTED_VALUE"""),"Jl. Mayjen Katamso")</f>
        <v>Jl. Mayjen Katamso</v>
      </c>
      <c r="L208" s="24"/>
      <c r="M208" s="24"/>
      <c r="N208" s="24" t="str">
        <f>IFERROR(__xludf.DUMMYFUNCTION("""COMPUTED_VALUE"""),"SMA / SMK / MA")</f>
        <v>SMA / SMK / MA</v>
      </c>
      <c r="O208" s="24"/>
      <c r="P208" s="24"/>
      <c r="Q208" s="24"/>
      <c r="R208" s="24" t="str">
        <f>IFERROR(__xludf.DUMMYFUNCTION("""COMPUTED_VALUE"""),"K")</f>
        <v>K</v>
      </c>
      <c r="S208" s="25"/>
    </row>
    <row r="209" ht="22.5" customHeight="1">
      <c r="A209" s="22">
        <v>208.0</v>
      </c>
      <c r="B209" s="24" t="str">
        <f>IFERROR(__xludf.DUMMYFUNCTION("""COMPUTED_VALUE"""),"Pemasangan Instalasi Listrik Bangunan Sederhana")</f>
        <v>Pemasangan Instalasi Listrik Bangunan Sederhana</v>
      </c>
      <c r="C209" s="24" t="str">
        <f>IFERROR(__xludf.DUMMYFUNCTION("""COMPUTED_VALUE"""),"SMK Negeri 2 Kendari")</f>
        <v>SMK Negeri 2 Kendari</v>
      </c>
      <c r="D209" s="24"/>
      <c r="E209" s="24"/>
      <c r="F209" s="24" t="str">
        <f>IFERROR(__xludf.DUMMYFUNCTION("""COMPUTED_VALUE"""),"Yefriel")</f>
        <v>Yefriel</v>
      </c>
      <c r="G209" s="24" t="str">
        <f>IFERROR(__xludf.DUMMYFUNCTION("""COMPUTED_VALUE"""),"7318120102070003")</f>
        <v>7318120102070003</v>
      </c>
      <c r="H209" s="24"/>
      <c r="I209" s="24"/>
      <c r="J209" s="24" t="str">
        <f>IFERROR(__xludf.DUMMYFUNCTION("""COMPUTED_VALUE"""),"LAKI-LAKI")</f>
        <v>LAKI-LAKI</v>
      </c>
      <c r="K209" s="24" t="str">
        <f>IFERROR(__xludf.DUMMYFUNCTION("""COMPUTED_VALUE"""),"Jln. Poros Wayong")</f>
        <v>Jln. Poros Wayong</v>
      </c>
      <c r="L209" s="24"/>
      <c r="M209" s="24"/>
      <c r="N209" s="24" t="str">
        <f>IFERROR(__xludf.DUMMYFUNCTION("""COMPUTED_VALUE"""),"SMA / SMK / MA")</f>
        <v>SMA / SMK / MA</v>
      </c>
      <c r="O209" s="24"/>
      <c r="P209" s="24"/>
      <c r="Q209" s="24"/>
      <c r="R209" s="24" t="str">
        <f>IFERROR(__xludf.DUMMYFUNCTION("""COMPUTED_VALUE"""),"K")</f>
        <v>K</v>
      </c>
      <c r="S209" s="25"/>
    </row>
    <row r="210" ht="22.5" customHeight="1">
      <c r="A210" s="22">
        <v>209.0</v>
      </c>
      <c r="B210" s="24" t="str">
        <f>IFERROR(__xludf.DUMMYFUNCTION("""COMPUTED_VALUE"""),"Pemasangan Instalasi Listrik Bangunan Sederhana")</f>
        <v>Pemasangan Instalasi Listrik Bangunan Sederhana</v>
      </c>
      <c r="C210" s="24" t="str">
        <f>IFERROR(__xludf.DUMMYFUNCTION("""COMPUTED_VALUE"""),"SMK Negeri 2 Kendari")</f>
        <v>SMK Negeri 2 Kendari</v>
      </c>
      <c r="D210" s="24"/>
      <c r="E210" s="24"/>
      <c r="F210" s="24" t="str">
        <f>IFERROR(__xludf.DUMMYFUNCTION("""COMPUTED_VALUE"""),"Yunus Rante")</f>
        <v>Yunus Rante</v>
      </c>
      <c r="G210" s="24" t="str">
        <f>IFERROR(__xludf.DUMMYFUNCTION("""COMPUTED_VALUE"""),"7471050906080005")</f>
        <v>7471050906080005</v>
      </c>
      <c r="H210" s="24"/>
      <c r="I210" s="24"/>
      <c r="J210" s="24" t="str">
        <f>IFERROR(__xludf.DUMMYFUNCTION("""COMPUTED_VALUE"""),"LAKI-LAKI")</f>
        <v>LAKI-LAKI</v>
      </c>
      <c r="K210" s="24" t="str">
        <f>IFERROR(__xludf.DUMMYFUNCTION("""COMPUTED_VALUE"""),"Jl. Bunga Dahlia")</f>
        <v>Jl. Bunga Dahlia</v>
      </c>
      <c r="L210" s="24"/>
      <c r="M210" s="24"/>
      <c r="N210" s="24" t="str">
        <f>IFERROR(__xludf.DUMMYFUNCTION("""COMPUTED_VALUE"""),"SMA / SMK / MA")</f>
        <v>SMA / SMK / MA</v>
      </c>
      <c r="O210" s="24"/>
      <c r="P210" s="24"/>
      <c r="Q210" s="24"/>
      <c r="R210" s="24" t="str">
        <f>IFERROR(__xludf.DUMMYFUNCTION("""COMPUTED_VALUE"""),"K")</f>
        <v>K</v>
      </c>
      <c r="S210" s="25"/>
    </row>
    <row r="211" ht="22.5" customHeight="1">
      <c r="A211" s="22">
        <v>210.0</v>
      </c>
      <c r="B211" s="24" t="str">
        <f>IFERROR(__xludf.DUMMYFUNCTION("""COMPUTED_VALUE"""),"Pemasangan Instalasi Listrik Bangunan Sederhana")</f>
        <v>Pemasangan Instalasi Listrik Bangunan Sederhana</v>
      </c>
      <c r="C211" s="24" t="str">
        <f>IFERROR(__xludf.DUMMYFUNCTION("""COMPUTED_VALUE"""),"SMK Negeri 2 Kendari")</f>
        <v>SMK Negeri 2 Kendari</v>
      </c>
      <c r="D211" s="24"/>
      <c r="E211" s="24"/>
      <c r="F211" s="24" t="str">
        <f>IFERROR(__xludf.DUMMYFUNCTION("""COMPUTED_VALUE"""),"Alvan")</f>
        <v>Alvan</v>
      </c>
      <c r="G211" s="24" t="str">
        <f>IFERROR(__xludf.DUMMYFUNCTION("""COMPUTED_VALUE"""),"7405042312080001")</f>
        <v>7405042312080001</v>
      </c>
      <c r="H211" s="24"/>
      <c r="I211" s="24"/>
      <c r="J211" s="24" t="str">
        <f>IFERROR(__xludf.DUMMYFUNCTION("""COMPUTED_VALUE"""),"LAKI-LAKI")</f>
        <v>LAKI-LAKI</v>
      </c>
      <c r="K211" s="24" t="str">
        <f>IFERROR(__xludf.DUMMYFUNCTION("""COMPUTED_VALUE"""),"Kab. Konawe Selatan, Kec. Moramo Selatan")</f>
        <v>Kab. Konawe Selatan, Kec. Moramo Selatan</v>
      </c>
      <c r="L211" s="24"/>
      <c r="M211" s="24"/>
      <c r="N211" s="24" t="str">
        <f>IFERROR(__xludf.DUMMYFUNCTION("""COMPUTED_VALUE"""),"SMA / SMK / MA")</f>
        <v>SMA / SMK / MA</v>
      </c>
      <c r="O211" s="24"/>
      <c r="P211" s="24"/>
      <c r="Q211" s="24"/>
      <c r="R211" s="24" t="str">
        <f>IFERROR(__xludf.DUMMYFUNCTION("""COMPUTED_VALUE"""),"K")</f>
        <v>K</v>
      </c>
      <c r="S211" s="25"/>
    </row>
    <row r="212" ht="22.5" customHeight="1">
      <c r="A212" s="22">
        <v>211.0</v>
      </c>
      <c r="B212" s="24" t="str">
        <f>IFERROR(__xludf.DUMMYFUNCTION("""COMPUTED_VALUE"""),"Pemasangan Instalasi Listrik Bangunan Sederhana")</f>
        <v>Pemasangan Instalasi Listrik Bangunan Sederhana</v>
      </c>
      <c r="C212" s="24" t="str">
        <f>IFERROR(__xludf.DUMMYFUNCTION("""COMPUTED_VALUE"""),"SMK Negeri 2 Kendari")</f>
        <v>SMK Negeri 2 Kendari</v>
      </c>
      <c r="D212" s="24"/>
      <c r="E212" s="24"/>
      <c r="F212" s="24" t="str">
        <f>IFERROR(__xludf.DUMMYFUNCTION("""COMPUTED_VALUE"""),"Arya Rausu. Y")</f>
        <v>Arya Rausu. Y</v>
      </c>
      <c r="G212" s="24" t="str">
        <f>IFERROR(__xludf.DUMMYFUNCTION("""COMPUTED_VALUE"""),"7471051208080002")</f>
        <v>7471051208080002</v>
      </c>
      <c r="H212" s="24"/>
      <c r="I212" s="24"/>
      <c r="J212" s="24" t="str">
        <f>IFERROR(__xludf.DUMMYFUNCTION("""COMPUTED_VALUE"""),"LAKI-LAKI")</f>
        <v>LAKI-LAKI</v>
      </c>
      <c r="K212" s="24" t="str">
        <f>IFERROR(__xludf.DUMMYFUNCTION("""COMPUTED_VALUE"""),"Kampung Salo")</f>
        <v>Kampung Salo</v>
      </c>
      <c r="L212" s="24"/>
      <c r="M212" s="24"/>
      <c r="N212" s="24" t="str">
        <f>IFERROR(__xludf.DUMMYFUNCTION("""COMPUTED_VALUE"""),"SMA / SMK / MA")</f>
        <v>SMA / SMK / MA</v>
      </c>
      <c r="O212" s="24"/>
      <c r="P212" s="24"/>
      <c r="Q212" s="24"/>
      <c r="R212" s="24" t="str">
        <f>IFERROR(__xludf.DUMMYFUNCTION("""COMPUTED_VALUE"""),"K")</f>
        <v>K</v>
      </c>
      <c r="S212" s="25"/>
    </row>
    <row r="213" ht="22.5" customHeight="1">
      <c r="A213" s="22">
        <v>212.0</v>
      </c>
      <c r="B213" s="24" t="str">
        <f>IFERROR(__xludf.DUMMYFUNCTION("""COMPUTED_VALUE"""),"Pemasangan Instalasi Listrik Bangunan Sederhana")</f>
        <v>Pemasangan Instalasi Listrik Bangunan Sederhana</v>
      </c>
      <c r="C213" s="24" t="str">
        <f>IFERROR(__xludf.DUMMYFUNCTION("""COMPUTED_VALUE"""),"SMK Negeri 2 Kendari")</f>
        <v>SMK Negeri 2 Kendari</v>
      </c>
      <c r="D213" s="24"/>
      <c r="E213" s="24"/>
      <c r="F213" s="24" t="str">
        <f>IFERROR(__xludf.DUMMYFUNCTION("""COMPUTED_VALUE"""),"Davit")</f>
        <v>Davit</v>
      </c>
      <c r="G213" s="24" t="str">
        <f>IFERROR(__xludf.DUMMYFUNCTION("""COMPUTED_VALUE"""),"7405161006060001")</f>
        <v>7405161006060001</v>
      </c>
      <c r="H213" s="24"/>
      <c r="I213" s="24"/>
      <c r="J213" s="24" t="str">
        <f>IFERROR(__xludf.DUMMYFUNCTION("""COMPUTED_VALUE"""),"LAKI-LAKI")</f>
        <v>LAKI-LAKI</v>
      </c>
      <c r="K213" s="24" t="str">
        <f>IFERROR(__xludf.DUMMYFUNCTION("""COMPUTED_VALUE"""),"Tanjung Tiram")</f>
        <v>Tanjung Tiram</v>
      </c>
      <c r="L213" s="24"/>
      <c r="M213" s="24"/>
      <c r="N213" s="24" t="str">
        <f>IFERROR(__xludf.DUMMYFUNCTION("""COMPUTED_VALUE"""),"SMA / SMK / MA")</f>
        <v>SMA / SMK / MA</v>
      </c>
      <c r="O213" s="24"/>
      <c r="P213" s="24"/>
      <c r="Q213" s="24"/>
      <c r="R213" s="24" t="str">
        <f>IFERROR(__xludf.DUMMYFUNCTION("""COMPUTED_VALUE"""),"K")</f>
        <v>K</v>
      </c>
      <c r="S213" s="25"/>
    </row>
    <row r="214" ht="22.5" customHeight="1">
      <c r="A214" s="22">
        <v>213.0</v>
      </c>
      <c r="B214" s="24" t="str">
        <f>IFERROR(__xludf.DUMMYFUNCTION("""COMPUTED_VALUE"""),"Pemasangan Instalasi Listrik Bangunan Sederhana")</f>
        <v>Pemasangan Instalasi Listrik Bangunan Sederhana</v>
      </c>
      <c r="C214" s="24" t="str">
        <f>IFERROR(__xludf.DUMMYFUNCTION("""COMPUTED_VALUE"""),"SMK Negeri 2 Kendari")</f>
        <v>SMK Negeri 2 Kendari</v>
      </c>
      <c r="D214" s="24"/>
      <c r="E214" s="24"/>
      <c r="F214" s="24" t="str">
        <f>IFERROR(__xludf.DUMMYFUNCTION("""COMPUTED_VALUE"""),"Dika Saputra")</f>
        <v>Dika Saputra</v>
      </c>
      <c r="G214" s="24" t="str">
        <f>IFERROR(__xludf.DUMMYFUNCTION("""COMPUTED_VALUE"""),"7402361201090001")</f>
        <v>7402361201090001</v>
      </c>
      <c r="H214" s="24"/>
      <c r="I214" s="24"/>
      <c r="J214" s="24" t="str">
        <f>IFERROR(__xludf.DUMMYFUNCTION("""COMPUTED_VALUE"""),"LAKI-LAKI")</f>
        <v>LAKI-LAKI</v>
      </c>
      <c r="K214" s="24" t="str">
        <f>IFERROR(__xludf.DUMMYFUNCTION("""COMPUTED_VALUE"""),"Desa Rapambinoraka, Kec. Lalonggasumero")</f>
        <v>Desa Rapambinoraka, Kec. Lalonggasumero</v>
      </c>
      <c r="L214" s="24"/>
      <c r="M214" s="24"/>
      <c r="N214" s="24" t="str">
        <f>IFERROR(__xludf.DUMMYFUNCTION("""COMPUTED_VALUE"""),"SMA / SMK / MA")</f>
        <v>SMA / SMK / MA</v>
      </c>
      <c r="O214" s="24"/>
      <c r="P214" s="24"/>
      <c r="Q214" s="24"/>
      <c r="R214" s="24" t="str">
        <f>IFERROR(__xludf.DUMMYFUNCTION("""COMPUTED_VALUE"""),"K")</f>
        <v>K</v>
      </c>
      <c r="S214" s="25"/>
    </row>
    <row r="215" ht="22.5" customHeight="1">
      <c r="A215" s="22">
        <v>214.0</v>
      </c>
      <c r="B215" s="24" t="str">
        <f>IFERROR(__xludf.DUMMYFUNCTION("""COMPUTED_VALUE"""),"Pemasangan Instalasi Listrik Bangunan Sederhana")</f>
        <v>Pemasangan Instalasi Listrik Bangunan Sederhana</v>
      </c>
      <c r="C215" s="24" t="str">
        <f>IFERROR(__xludf.DUMMYFUNCTION("""COMPUTED_VALUE"""),"SMK Negeri 2 Kendari")</f>
        <v>SMK Negeri 2 Kendari</v>
      </c>
      <c r="D215" s="24"/>
      <c r="E215" s="24"/>
      <c r="F215" s="24" t="str">
        <f>IFERROR(__xludf.DUMMYFUNCTION("""COMPUTED_VALUE"""),"Imron")</f>
        <v>Imron</v>
      </c>
      <c r="G215" s="24" t="str">
        <f>IFERROR(__xludf.DUMMYFUNCTION("""COMPUTED_VALUE"""),"7403260107100008")</f>
        <v>7403260107100008</v>
      </c>
      <c r="H215" s="24"/>
      <c r="I215" s="24"/>
      <c r="J215" s="24" t="str">
        <f>IFERROR(__xludf.DUMMYFUNCTION("""COMPUTED_VALUE"""),"LAKI-LAKI")</f>
        <v>LAKI-LAKI</v>
      </c>
      <c r="K215" s="24" t="str">
        <f>IFERROR(__xludf.DUMMYFUNCTION("""COMPUTED_VALUE"""),"Desa Matombura, Dusun Motombura")</f>
        <v>Desa Matombura, Dusun Motombura</v>
      </c>
      <c r="L215" s="24"/>
      <c r="M215" s="24"/>
      <c r="N215" s="24" t="str">
        <f>IFERROR(__xludf.DUMMYFUNCTION("""COMPUTED_VALUE"""),"SMA / SMK / MA")</f>
        <v>SMA / SMK / MA</v>
      </c>
      <c r="O215" s="24"/>
      <c r="P215" s="24"/>
      <c r="Q215" s="24"/>
      <c r="R215" s="24" t="str">
        <f>IFERROR(__xludf.DUMMYFUNCTION("""COMPUTED_VALUE"""),"K")</f>
        <v>K</v>
      </c>
      <c r="S215" s="25"/>
    </row>
    <row r="216" ht="22.5" customHeight="1">
      <c r="A216" s="22">
        <v>215.0</v>
      </c>
      <c r="B216" s="24" t="str">
        <f>IFERROR(__xludf.DUMMYFUNCTION("""COMPUTED_VALUE"""),"Pemasangan Instalasi Listrik Bangunan Sederhana")</f>
        <v>Pemasangan Instalasi Listrik Bangunan Sederhana</v>
      </c>
      <c r="C216" s="24" t="str">
        <f>IFERROR(__xludf.DUMMYFUNCTION("""COMPUTED_VALUE"""),"SMK Negeri 2 Kendari")</f>
        <v>SMK Negeri 2 Kendari</v>
      </c>
      <c r="D216" s="24"/>
      <c r="E216" s="24"/>
      <c r="F216" s="24" t="str">
        <f>IFERROR(__xludf.DUMMYFUNCTION("""COMPUTED_VALUE"""),"Ishar")</f>
        <v>Ishar</v>
      </c>
      <c r="G216" s="24" t="str">
        <f>IFERROR(__xludf.DUMMYFUNCTION("""COMPUTED_VALUE"""),"7471093112020002")</f>
        <v>7471093112020002</v>
      </c>
      <c r="H216" s="24"/>
      <c r="I216" s="24"/>
      <c r="J216" s="24" t="str">
        <f>IFERROR(__xludf.DUMMYFUNCTION("""COMPUTED_VALUE"""),"LAKI-LAKI")</f>
        <v>LAKI-LAKI</v>
      </c>
      <c r="K216" s="24" t="str">
        <f>IFERROR(__xludf.DUMMYFUNCTION("""COMPUTED_VALUE"""),"Jl. Budiutomo, Lrg. Cepakat")</f>
        <v>Jl. Budiutomo, Lrg. Cepakat</v>
      </c>
      <c r="L216" s="24"/>
      <c r="M216" s="24"/>
      <c r="N216" s="24" t="str">
        <f>IFERROR(__xludf.DUMMYFUNCTION("""COMPUTED_VALUE"""),"SMA / SMK / MA")</f>
        <v>SMA / SMK / MA</v>
      </c>
      <c r="O216" s="24"/>
      <c r="P216" s="24"/>
      <c r="Q216" s="24"/>
      <c r="R216" s="24" t="str">
        <f>IFERROR(__xludf.DUMMYFUNCTION("""COMPUTED_VALUE"""),"K")</f>
        <v>K</v>
      </c>
      <c r="S216" s="25"/>
    </row>
    <row r="217" ht="22.5" customHeight="1">
      <c r="A217" s="22">
        <v>216.0</v>
      </c>
      <c r="B217" s="24" t="str">
        <f>IFERROR(__xludf.DUMMYFUNCTION("""COMPUTED_VALUE"""),"Pemasangan Instalasi Listrik Bangunan Sederhana")</f>
        <v>Pemasangan Instalasi Listrik Bangunan Sederhana</v>
      </c>
      <c r="C217" s="24" t="str">
        <f>IFERROR(__xludf.DUMMYFUNCTION("""COMPUTED_VALUE"""),"SMK Negeri 2 Kendari")</f>
        <v>SMK Negeri 2 Kendari</v>
      </c>
      <c r="D217" s="24"/>
      <c r="E217" s="24"/>
      <c r="F217" s="24" t="str">
        <f>IFERROR(__xludf.DUMMYFUNCTION("""COMPUTED_VALUE"""),"Muh Aprizal A. Sina")</f>
        <v>Muh Aprizal A. Sina</v>
      </c>
      <c r="G217" s="24" t="str">
        <f>IFERROR(__xludf.DUMMYFUNCTION("""COMPUTED_VALUE"""),"7471052004090003")</f>
        <v>7471052004090003</v>
      </c>
      <c r="H217" s="24"/>
      <c r="I217" s="24"/>
      <c r="J217" s="24" t="str">
        <f>IFERROR(__xludf.DUMMYFUNCTION("""COMPUTED_VALUE"""),"LAKI-LAKI")</f>
        <v>LAKI-LAKI</v>
      </c>
      <c r="K217" s="24" t="str">
        <f>IFERROR(__xludf.DUMMYFUNCTION("""COMPUTED_VALUE"""),"Jl. Mayjen S. Parman Lrg Baruga Amarilis")</f>
        <v>Jl. Mayjen S. Parman Lrg Baruga Amarilis</v>
      </c>
      <c r="L217" s="24"/>
      <c r="M217" s="24"/>
      <c r="N217" s="24" t="str">
        <f>IFERROR(__xludf.DUMMYFUNCTION("""COMPUTED_VALUE"""),"SMA / SMK / MA")</f>
        <v>SMA / SMK / MA</v>
      </c>
      <c r="O217" s="24"/>
      <c r="P217" s="24"/>
      <c r="Q217" s="24"/>
      <c r="R217" s="24" t="str">
        <f>IFERROR(__xludf.DUMMYFUNCTION("""COMPUTED_VALUE"""),"K")</f>
        <v>K</v>
      </c>
      <c r="S217" s="25"/>
    </row>
    <row r="218" ht="22.5" customHeight="1">
      <c r="A218" s="22">
        <v>217.0</v>
      </c>
      <c r="B218" s="24" t="str">
        <f>IFERROR(__xludf.DUMMYFUNCTION("""COMPUTED_VALUE"""),"Pemasangan Instalasi Listrik Bangunan Sederhana")</f>
        <v>Pemasangan Instalasi Listrik Bangunan Sederhana</v>
      </c>
      <c r="C218" s="24" t="str">
        <f>IFERROR(__xludf.DUMMYFUNCTION("""COMPUTED_VALUE"""),"SMK Negeri 2 Kendari")</f>
        <v>SMK Negeri 2 Kendari</v>
      </c>
      <c r="D218" s="24"/>
      <c r="E218" s="24"/>
      <c r="F218" s="24" t="str">
        <f>IFERROR(__xludf.DUMMYFUNCTION("""COMPUTED_VALUE"""),"Muh. Alif Tegar")</f>
        <v>Muh. Alif Tegar</v>
      </c>
      <c r="G218" s="24" t="str">
        <f>IFERROR(__xludf.DUMMYFUNCTION("""COMPUTED_VALUE"""),"7471071402070001")</f>
        <v>7471071402070001</v>
      </c>
      <c r="H218" s="24"/>
      <c r="I218" s="24"/>
      <c r="J218" s="24" t="str">
        <f>IFERROR(__xludf.DUMMYFUNCTION("""COMPUTED_VALUE"""),"LAKI-LAKI")</f>
        <v>LAKI-LAKI</v>
      </c>
      <c r="K218" s="24" t="str">
        <f>IFERROR(__xludf.DUMMYFUNCTION("""COMPUTED_VALUE"""),"Jl. Dr. Sutomo")</f>
        <v>Jl. Dr. Sutomo</v>
      </c>
      <c r="L218" s="24"/>
      <c r="M218" s="24"/>
      <c r="N218" s="24" t="str">
        <f>IFERROR(__xludf.DUMMYFUNCTION("""COMPUTED_VALUE"""),"SMA / SMK / MA")</f>
        <v>SMA / SMK / MA</v>
      </c>
      <c r="O218" s="24"/>
      <c r="P218" s="24"/>
      <c r="Q218" s="24"/>
      <c r="R218" s="24" t="str">
        <f>IFERROR(__xludf.DUMMYFUNCTION("""COMPUTED_VALUE"""),"BK")</f>
        <v>BK</v>
      </c>
      <c r="S218" s="25"/>
    </row>
    <row r="219" ht="22.5" customHeight="1">
      <c r="A219" s="22">
        <v>218.0</v>
      </c>
      <c r="B219" s="24" t="str">
        <f>IFERROR(__xludf.DUMMYFUNCTION("""COMPUTED_VALUE"""),"Pemasangan Instalasi Listrik Bangunan Sederhana")</f>
        <v>Pemasangan Instalasi Listrik Bangunan Sederhana</v>
      </c>
      <c r="C219" s="24" t="str">
        <f>IFERROR(__xludf.DUMMYFUNCTION("""COMPUTED_VALUE"""),"SMK Negeri 2 Kendari")</f>
        <v>SMK Negeri 2 Kendari</v>
      </c>
      <c r="D219" s="24"/>
      <c r="E219" s="24"/>
      <c r="F219" s="24" t="str">
        <f>IFERROR(__xludf.DUMMYFUNCTION("""COMPUTED_VALUE"""),"Muh. Ebit")</f>
        <v>Muh. Ebit</v>
      </c>
      <c r="G219" s="24" t="str">
        <f>IFERROR(__xludf.DUMMYFUNCTION("""COMPUTED_VALUE"""),"7471092104080002")</f>
        <v>7471092104080002</v>
      </c>
      <c r="H219" s="24"/>
      <c r="I219" s="24"/>
      <c r="J219" s="24" t="str">
        <f>IFERROR(__xludf.DUMMYFUNCTION("""COMPUTED_VALUE"""),"LAKI-LAKI")</f>
        <v>LAKI-LAKI</v>
      </c>
      <c r="K219" s="24" t="str">
        <f>IFERROR(__xludf.DUMMYFUNCTION("""COMPUTED_VALUE"""),"Jln. Tunggala Dalam Baito")</f>
        <v>Jln. Tunggala Dalam Baito</v>
      </c>
      <c r="L219" s="24"/>
      <c r="M219" s="24"/>
      <c r="N219" s="24" t="str">
        <f>IFERROR(__xludf.DUMMYFUNCTION("""COMPUTED_VALUE"""),"SMA / SMK / MA")</f>
        <v>SMA / SMK / MA</v>
      </c>
      <c r="O219" s="24"/>
      <c r="P219" s="24"/>
      <c r="Q219" s="24"/>
      <c r="R219" s="24" t="str">
        <f>IFERROR(__xludf.DUMMYFUNCTION("""COMPUTED_VALUE"""),"K")</f>
        <v>K</v>
      </c>
      <c r="S219" s="25"/>
    </row>
    <row r="220" ht="22.5" customHeight="1">
      <c r="A220" s="22">
        <v>219.0</v>
      </c>
      <c r="B220" s="24" t="str">
        <f>IFERROR(__xludf.DUMMYFUNCTION("""COMPUTED_VALUE"""),"Pemasangan Instalasi Listrik Bangunan Sederhana")</f>
        <v>Pemasangan Instalasi Listrik Bangunan Sederhana</v>
      </c>
      <c r="C220" s="24" t="str">
        <f>IFERROR(__xludf.DUMMYFUNCTION("""COMPUTED_VALUE"""),"SMK Negeri 2 Kendari")</f>
        <v>SMK Negeri 2 Kendari</v>
      </c>
      <c r="D220" s="24"/>
      <c r="E220" s="24"/>
      <c r="F220" s="24" t="str">
        <f>IFERROR(__xludf.DUMMYFUNCTION("""COMPUTED_VALUE"""),"Muh. Fais Fatullah")</f>
        <v>Muh. Fais Fatullah</v>
      </c>
      <c r="G220" s="24" t="str">
        <f>IFERROR(__xludf.DUMMYFUNCTION("""COMPUTED_VALUE"""),"7471091606080002")</f>
        <v>7471091606080002</v>
      </c>
      <c r="H220" s="24"/>
      <c r="I220" s="24"/>
      <c r="J220" s="24" t="str">
        <f>IFERROR(__xludf.DUMMYFUNCTION("""COMPUTED_VALUE"""),"LAKI-LAKI")</f>
        <v>LAKI-LAKI</v>
      </c>
      <c r="K220" s="24"/>
      <c r="L220" s="24"/>
      <c r="M220" s="24"/>
      <c r="N220" s="24" t="str">
        <f>IFERROR(__xludf.DUMMYFUNCTION("""COMPUTED_VALUE"""),"SMA / SMK / MA")</f>
        <v>SMA / SMK / MA</v>
      </c>
      <c r="O220" s="24"/>
      <c r="P220" s="24"/>
      <c r="Q220" s="24"/>
      <c r="R220" s="24" t="str">
        <f>IFERROR(__xludf.DUMMYFUNCTION("""COMPUTED_VALUE"""),"K")</f>
        <v>K</v>
      </c>
      <c r="S220" s="25"/>
    </row>
    <row r="221" ht="22.5" customHeight="1">
      <c r="A221" s="22">
        <v>220.0</v>
      </c>
      <c r="B221" s="24" t="str">
        <f>IFERROR(__xludf.DUMMYFUNCTION("""COMPUTED_VALUE"""),"Pemasangan Instalasi Listrik Bangunan Sederhana")</f>
        <v>Pemasangan Instalasi Listrik Bangunan Sederhana</v>
      </c>
      <c r="C221" s="24" t="str">
        <f>IFERROR(__xludf.DUMMYFUNCTION("""COMPUTED_VALUE"""),"SMK Negeri 2 Kendari")</f>
        <v>SMK Negeri 2 Kendari</v>
      </c>
      <c r="D221" s="24"/>
      <c r="E221" s="24"/>
      <c r="F221" s="24" t="str">
        <f>IFERROR(__xludf.DUMMYFUNCTION("""COMPUTED_VALUE"""),"Muh. Nur Akbar")</f>
        <v>Muh. Nur Akbar</v>
      </c>
      <c r="G221" s="24" t="str">
        <f>IFERROR(__xludf.DUMMYFUNCTION("""COMPUTED_VALUE"""),"7471071705080002")</f>
        <v>7471071705080002</v>
      </c>
      <c r="H221" s="24"/>
      <c r="I221" s="24"/>
      <c r="J221" s="24" t="str">
        <f>IFERROR(__xludf.DUMMYFUNCTION("""COMPUTED_VALUE"""),"LAKI-LAKI")</f>
        <v>LAKI-LAKI</v>
      </c>
      <c r="K221" s="24" t="str">
        <f>IFERROR(__xludf.DUMMYFUNCTION("""COMPUTED_VALUE"""),"Jl. Sorumba Pasar Panjang")</f>
        <v>Jl. Sorumba Pasar Panjang</v>
      </c>
      <c r="L221" s="24"/>
      <c r="M221" s="24"/>
      <c r="N221" s="24" t="str">
        <f>IFERROR(__xludf.DUMMYFUNCTION("""COMPUTED_VALUE"""),"SMA / SMK / MA")</f>
        <v>SMA / SMK / MA</v>
      </c>
      <c r="O221" s="24"/>
      <c r="P221" s="24"/>
      <c r="Q221" s="24"/>
      <c r="R221" s="24" t="str">
        <f>IFERROR(__xludf.DUMMYFUNCTION("""COMPUTED_VALUE"""),"K")</f>
        <v>K</v>
      </c>
      <c r="S221" s="25"/>
    </row>
    <row r="222" ht="22.5" customHeight="1">
      <c r="A222" s="22">
        <v>221.0</v>
      </c>
      <c r="B222" s="24" t="str">
        <f>IFERROR(__xludf.DUMMYFUNCTION("""COMPUTED_VALUE"""),"Pemasangan Instalasi Listrik Bangunan Sederhana")</f>
        <v>Pemasangan Instalasi Listrik Bangunan Sederhana</v>
      </c>
      <c r="C222" s="24" t="str">
        <f>IFERROR(__xludf.DUMMYFUNCTION("""COMPUTED_VALUE"""),"SMK Negeri 2 Kendari")</f>
        <v>SMK Negeri 2 Kendari</v>
      </c>
      <c r="D222" s="24"/>
      <c r="E222" s="24"/>
      <c r="F222" s="24" t="str">
        <f>IFERROR(__xludf.DUMMYFUNCTION("""COMPUTED_VALUE"""),"Muhammad Fatir")</f>
        <v>Muhammad Fatir</v>
      </c>
      <c r="G222" s="24" t="str">
        <f>IFERROR(__xludf.DUMMYFUNCTION("""COMPUTED_VALUE"""),"7402232906060001")</f>
        <v>7402232906060001</v>
      </c>
      <c r="H222" s="24"/>
      <c r="I222" s="24"/>
      <c r="J222" s="24" t="str">
        <f>IFERROR(__xludf.DUMMYFUNCTION("""COMPUTED_VALUE"""),"LAKI-LAKI")</f>
        <v>LAKI-LAKI</v>
      </c>
      <c r="K222" s="24" t="str">
        <f>IFERROR(__xludf.DUMMYFUNCTION("""COMPUTED_VALUE"""),"Routa, Kec Routa")</f>
        <v>Routa, Kec Routa</v>
      </c>
      <c r="L222" s="24"/>
      <c r="M222" s="24"/>
      <c r="N222" s="24" t="str">
        <f>IFERROR(__xludf.DUMMYFUNCTION("""COMPUTED_VALUE"""),"SMA / SMK / MA")</f>
        <v>SMA / SMK / MA</v>
      </c>
      <c r="O222" s="24"/>
      <c r="P222" s="24"/>
      <c r="Q222" s="24"/>
      <c r="R222" s="24" t="str">
        <f>IFERROR(__xludf.DUMMYFUNCTION("""COMPUTED_VALUE"""),"K")</f>
        <v>K</v>
      </c>
      <c r="S222" s="25"/>
    </row>
    <row r="223" ht="22.5" customHeight="1">
      <c r="A223" s="22">
        <v>222.0</v>
      </c>
      <c r="B223" s="24" t="str">
        <f>IFERROR(__xludf.DUMMYFUNCTION("""COMPUTED_VALUE"""),"Pemasangan Instalasi Listrik Bangunan Sederhana")</f>
        <v>Pemasangan Instalasi Listrik Bangunan Sederhana</v>
      </c>
      <c r="C223" s="24" t="str">
        <f>IFERROR(__xludf.DUMMYFUNCTION("""COMPUTED_VALUE"""),"SMK Negeri 2 Kendari")</f>
        <v>SMK Negeri 2 Kendari</v>
      </c>
      <c r="D223" s="24"/>
      <c r="E223" s="24"/>
      <c r="F223" s="24" t="str">
        <f>IFERROR(__xludf.DUMMYFUNCTION("""COMPUTED_VALUE"""),"Rahmat")</f>
        <v>Rahmat</v>
      </c>
      <c r="G223" s="24" t="str">
        <f>IFERROR(__xludf.DUMMYFUNCTION("""COMPUTED_VALUE"""),"7471012010080001")</f>
        <v>7471012010080001</v>
      </c>
      <c r="H223" s="24"/>
      <c r="I223" s="24"/>
      <c r="J223" s="24" t="str">
        <f>IFERROR(__xludf.DUMMYFUNCTION("""COMPUTED_VALUE"""),"LAKI-LAKI")</f>
        <v>LAKI-LAKI</v>
      </c>
      <c r="K223" s="24" t="str">
        <f>IFERROR(__xludf.DUMMYFUNCTION("""COMPUTED_VALUE"""),"Jl. Imam Bonjol Kel. Anggilowu Kec. Mandonga")</f>
        <v>Jl. Imam Bonjol Kel. Anggilowu Kec. Mandonga</v>
      </c>
      <c r="L223" s="24"/>
      <c r="M223" s="24"/>
      <c r="N223" s="24" t="str">
        <f>IFERROR(__xludf.DUMMYFUNCTION("""COMPUTED_VALUE"""),"SMA / SMK / MA")</f>
        <v>SMA / SMK / MA</v>
      </c>
      <c r="O223" s="24"/>
      <c r="P223" s="24"/>
      <c r="Q223" s="24"/>
      <c r="R223" s="24" t="str">
        <f>IFERROR(__xludf.DUMMYFUNCTION("""COMPUTED_VALUE"""),"K")</f>
        <v>K</v>
      </c>
      <c r="S223" s="25"/>
    </row>
    <row r="224" ht="22.5" customHeight="1">
      <c r="A224" s="22">
        <v>223.0</v>
      </c>
      <c r="B224" s="24" t="str">
        <f>IFERROR(__xludf.DUMMYFUNCTION("""COMPUTED_VALUE"""),"Pemasangan Instalasi Listrik Bangunan Sederhana")</f>
        <v>Pemasangan Instalasi Listrik Bangunan Sederhana</v>
      </c>
      <c r="C224" s="24" t="str">
        <f>IFERROR(__xludf.DUMMYFUNCTION("""COMPUTED_VALUE"""),"SMK Negeri 2 Kendari")</f>
        <v>SMK Negeri 2 Kendari</v>
      </c>
      <c r="D224" s="24"/>
      <c r="E224" s="24"/>
      <c r="F224" s="24" t="str">
        <f>IFERROR(__xludf.DUMMYFUNCTION("""COMPUTED_VALUE"""),"Rauuf Mulki")</f>
        <v>Rauuf Mulki</v>
      </c>
      <c r="G224" s="24" t="str">
        <f>IFERROR(__xludf.DUMMYFUNCTION("""COMPUTED_VALUE"""),"7405030406080001")</f>
        <v>7405030406080001</v>
      </c>
      <c r="H224" s="24"/>
      <c r="I224" s="24"/>
      <c r="J224" s="24" t="str">
        <f>IFERROR(__xludf.DUMMYFUNCTION("""COMPUTED_VALUE"""),"LAKI-LAKI")</f>
        <v>LAKI-LAKI</v>
      </c>
      <c r="K224" s="24" t="str">
        <f>IFERROR(__xludf.DUMMYFUNCTION("""COMPUTED_VALUE"""),"BTN Raksa Dewa Baruga")</f>
        <v>BTN Raksa Dewa Baruga</v>
      </c>
      <c r="L224" s="24"/>
      <c r="M224" s="24"/>
      <c r="N224" s="24" t="str">
        <f>IFERROR(__xludf.DUMMYFUNCTION("""COMPUTED_VALUE"""),"SMA / SMK / MA")</f>
        <v>SMA / SMK / MA</v>
      </c>
      <c r="O224" s="24"/>
      <c r="P224" s="24"/>
      <c r="Q224" s="24"/>
      <c r="R224" s="24" t="str">
        <f>IFERROR(__xludf.DUMMYFUNCTION("""COMPUTED_VALUE"""),"K")</f>
        <v>K</v>
      </c>
      <c r="S224" s="25"/>
    </row>
    <row r="225" ht="22.5" customHeight="1">
      <c r="A225" s="22">
        <v>224.0</v>
      </c>
      <c r="B225" s="24" t="str">
        <f>IFERROR(__xludf.DUMMYFUNCTION("""COMPUTED_VALUE"""),"Pemasangan Instalasi Listrik Bangunan Sederhana")</f>
        <v>Pemasangan Instalasi Listrik Bangunan Sederhana</v>
      </c>
      <c r="C225" s="24" t="str">
        <f>IFERROR(__xludf.DUMMYFUNCTION("""COMPUTED_VALUE"""),"SMK Negeri 2 Kendari")</f>
        <v>SMK Negeri 2 Kendari</v>
      </c>
      <c r="D225" s="24"/>
      <c r="E225" s="24"/>
      <c r="F225" s="24" t="str">
        <f>IFERROR(__xludf.DUMMYFUNCTION("""COMPUTED_VALUE"""),"Riban Saputra")</f>
        <v>Riban Saputra</v>
      </c>
      <c r="G225" s="24" t="str">
        <f>IFERROR(__xludf.DUMMYFUNCTION("""COMPUTED_VALUE"""),"7471011102090001")</f>
        <v>7471011102090001</v>
      </c>
      <c r="H225" s="24"/>
      <c r="I225" s="24"/>
      <c r="J225" s="24" t="str">
        <f>IFERROR(__xludf.DUMMYFUNCTION("""COMPUTED_VALUE"""),"LAKI-LAKI")</f>
        <v>LAKI-LAKI</v>
      </c>
      <c r="K225" s="24" t="str">
        <f>IFERROR(__xludf.DUMMYFUNCTION("""COMPUTED_VALUE"""),"Jl. Osumetundu, kel. Wawombalara, Mandonga")</f>
        <v>Jl. Osumetundu, kel. Wawombalara, Mandonga</v>
      </c>
      <c r="L225" s="24"/>
      <c r="M225" s="24"/>
      <c r="N225" s="24" t="str">
        <f>IFERROR(__xludf.DUMMYFUNCTION("""COMPUTED_VALUE"""),"SMA / SMK / MA")</f>
        <v>SMA / SMK / MA</v>
      </c>
      <c r="O225" s="24"/>
      <c r="P225" s="24"/>
      <c r="Q225" s="24"/>
      <c r="R225" s="24" t="str">
        <f>IFERROR(__xludf.DUMMYFUNCTION("""COMPUTED_VALUE"""),"BK")</f>
        <v>BK</v>
      </c>
      <c r="S225" s="25"/>
    </row>
    <row r="226" ht="22.5" customHeight="1">
      <c r="A226" s="22">
        <v>225.0</v>
      </c>
      <c r="B226" s="24" t="str">
        <f>IFERROR(__xludf.DUMMYFUNCTION("""COMPUTED_VALUE"""),"Pemasangan Instalasi Listrik Bangunan Sederhana")</f>
        <v>Pemasangan Instalasi Listrik Bangunan Sederhana</v>
      </c>
      <c r="C226" s="24" t="str">
        <f>IFERROR(__xludf.DUMMYFUNCTION("""COMPUTED_VALUE"""),"SMK Negeri 2 Kendari")</f>
        <v>SMK Negeri 2 Kendari</v>
      </c>
      <c r="D226" s="24"/>
      <c r="E226" s="24"/>
      <c r="F226" s="24" t="str">
        <f>IFERROR(__xludf.DUMMYFUNCTION("""COMPUTED_VALUE"""),"Romi Aris Putra")</f>
        <v>Romi Aris Putra</v>
      </c>
      <c r="G226" s="24" t="str">
        <f>IFERROR(__xludf.DUMMYFUNCTION("""COMPUTED_VALUE"""),"7471030602070001")</f>
        <v>7471030602070001</v>
      </c>
      <c r="H226" s="24"/>
      <c r="I226" s="24"/>
      <c r="J226" s="24" t="str">
        <f>IFERROR(__xludf.DUMMYFUNCTION("""COMPUTED_VALUE"""),"LAKI-LAKI")</f>
        <v>LAKI-LAKI</v>
      </c>
      <c r="K226" s="24" t="str">
        <f>IFERROR(__xludf.DUMMYFUNCTION("""COMPUTED_VALUE"""),"BTN Lepo-Lepo Permai")</f>
        <v>BTN Lepo-Lepo Permai</v>
      </c>
      <c r="L226" s="24"/>
      <c r="M226" s="24"/>
      <c r="N226" s="24" t="str">
        <f>IFERROR(__xludf.DUMMYFUNCTION("""COMPUTED_VALUE"""),"SMA / SMK / MA")</f>
        <v>SMA / SMK / MA</v>
      </c>
      <c r="O226" s="24"/>
      <c r="P226" s="24"/>
      <c r="Q226" s="24"/>
      <c r="R226" s="24" t="str">
        <f>IFERROR(__xludf.DUMMYFUNCTION("""COMPUTED_VALUE"""),"K")</f>
        <v>K</v>
      </c>
      <c r="S226" s="25"/>
    </row>
    <row r="227" ht="22.5" customHeight="1">
      <c r="A227" s="22">
        <v>226.0</v>
      </c>
      <c r="B227" s="24" t="str">
        <f>IFERROR(__xludf.DUMMYFUNCTION("""COMPUTED_VALUE"""),"Pemasangan Instalasi Listrik Bangunan Sederhana")</f>
        <v>Pemasangan Instalasi Listrik Bangunan Sederhana</v>
      </c>
      <c r="C227" s="24" t="str">
        <f>IFERROR(__xludf.DUMMYFUNCTION("""COMPUTED_VALUE"""),"SMK Negeri 2 Kendari")</f>
        <v>SMK Negeri 2 Kendari</v>
      </c>
      <c r="D227" s="24"/>
      <c r="E227" s="24"/>
      <c r="F227" s="24" t="str">
        <f>IFERROR(__xludf.DUMMYFUNCTION("""COMPUTED_VALUE"""),"Sardin")</f>
        <v>Sardin</v>
      </c>
      <c r="G227" s="24" t="str">
        <f>IFERROR(__xludf.DUMMYFUNCTION("""COMPUTED_VALUE"""),"7405101311070001")</f>
        <v>7405101311070001</v>
      </c>
      <c r="H227" s="24"/>
      <c r="I227" s="24"/>
      <c r="J227" s="24" t="str">
        <f>IFERROR(__xludf.DUMMYFUNCTION("""COMPUTED_VALUE"""),"LAKI-LAKI")</f>
        <v>LAKI-LAKI</v>
      </c>
      <c r="K227" s="24" t="str">
        <f>IFERROR(__xludf.DUMMYFUNCTION("""COMPUTED_VALUE"""),"Jl. Imam Bonjol Labibia")</f>
        <v>Jl. Imam Bonjol Labibia</v>
      </c>
      <c r="L227" s="24"/>
      <c r="M227" s="24"/>
      <c r="N227" s="24" t="str">
        <f>IFERROR(__xludf.DUMMYFUNCTION("""COMPUTED_VALUE"""),"SMA / SMK / MA")</f>
        <v>SMA / SMK / MA</v>
      </c>
      <c r="O227" s="24"/>
      <c r="P227" s="24"/>
      <c r="Q227" s="24"/>
      <c r="R227" s="24" t="str">
        <f>IFERROR(__xludf.DUMMYFUNCTION("""COMPUTED_VALUE"""),"K")</f>
        <v>K</v>
      </c>
      <c r="S227" s="25"/>
    </row>
    <row r="228" ht="22.5" customHeight="1">
      <c r="A228" s="22">
        <v>227.0</v>
      </c>
      <c r="B228" s="24" t="str">
        <f>IFERROR(__xludf.DUMMYFUNCTION("""COMPUTED_VALUE"""),"Pemasangan Instalasi Listrik Bangunan Sederhana")</f>
        <v>Pemasangan Instalasi Listrik Bangunan Sederhana</v>
      </c>
      <c r="C228" s="24" t="str">
        <f>IFERROR(__xludf.DUMMYFUNCTION("""COMPUTED_VALUE"""),"SMK Negeri 2 Kendari")</f>
        <v>SMK Negeri 2 Kendari</v>
      </c>
      <c r="D228" s="24"/>
      <c r="E228" s="24"/>
      <c r="F228" s="24" t="str">
        <f>IFERROR(__xludf.DUMMYFUNCTION("""COMPUTED_VALUE"""),"Sastra Abadi")</f>
        <v>Sastra Abadi</v>
      </c>
      <c r="G228" s="24" t="str">
        <f>IFERROR(__xludf.DUMMYFUNCTION("""COMPUTED_VALUE"""),"7206031306080001")</f>
        <v>7206031306080001</v>
      </c>
      <c r="H228" s="24"/>
      <c r="I228" s="24"/>
      <c r="J228" s="24" t="str">
        <f>IFERROR(__xludf.DUMMYFUNCTION("""COMPUTED_VALUE"""),"LAKI-LAKI")</f>
        <v>LAKI-LAKI</v>
      </c>
      <c r="K228" s="24" t="str">
        <f>IFERROR(__xludf.DUMMYFUNCTION("""COMPUTED_VALUE"""),"Kel. Wundodopi, Kec. Baruga, Kota Kendari")</f>
        <v>Kel. Wundodopi, Kec. Baruga, Kota Kendari</v>
      </c>
      <c r="L228" s="24"/>
      <c r="M228" s="24"/>
      <c r="N228" s="24" t="str">
        <f>IFERROR(__xludf.DUMMYFUNCTION("""COMPUTED_VALUE"""),"SMA / SMK / MA")</f>
        <v>SMA / SMK / MA</v>
      </c>
      <c r="O228" s="24"/>
      <c r="P228" s="24"/>
      <c r="Q228" s="24"/>
      <c r="R228" s="24" t="str">
        <f>IFERROR(__xludf.DUMMYFUNCTION("""COMPUTED_VALUE"""),"K")</f>
        <v>K</v>
      </c>
      <c r="S228" s="25"/>
    </row>
    <row r="229" ht="22.5" customHeight="1">
      <c r="A229" s="22">
        <v>228.0</v>
      </c>
      <c r="B229" s="24" t="str">
        <f>IFERROR(__xludf.DUMMYFUNCTION("""COMPUTED_VALUE"""),"Pemasangan Instalasi Listrik Bangunan Sederhana")</f>
        <v>Pemasangan Instalasi Listrik Bangunan Sederhana</v>
      </c>
      <c r="C229" s="24" t="str">
        <f>IFERROR(__xludf.DUMMYFUNCTION("""COMPUTED_VALUE"""),"SMK Negeri 2 Kendari")</f>
        <v>SMK Negeri 2 Kendari</v>
      </c>
      <c r="D229" s="24"/>
      <c r="E229" s="24"/>
      <c r="F229" s="24" t="str">
        <f>IFERROR(__xludf.DUMMYFUNCTION("""COMPUTED_VALUE"""),"Tri Kevin Saputra")</f>
        <v>Tri Kevin Saputra</v>
      </c>
      <c r="G229" s="24" t="str">
        <f>IFERROR(__xludf.DUMMYFUNCTION("""COMPUTED_VALUE"""),"7405072303090001")</f>
        <v>7405072303090001</v>
      </c>
      <c r="H229" s="24"/>
      <c r="I229" s="24"/>
      <c r="J229" s="24" t="str">
        <f>IFERROR(__xludf.DUMMYFUNCTION("""COMPUTED_VALUE"""),"LAKI-LAKI")</f>
        <v>LAKI-LAKI</v>
      </c>
      <c r="K229" s="24" t="str">
        <f>IFERROR(__xludf.DUMMYFUNCTION("""COMPUTED_VALUE"""),"Desa Lambusa, Kec. Konda, Kab. Konawe Selatan")</f>
        <v>Desa Lambusa, Kec. Konda, Kab. Konawe Selatan</v>
      </c>
      <c r="L229" s="24"/>
      <c r="M229" s="24"/>
      <c r="N229" s="24" t="str">
        <f>IFERROR(__xludf.DUMMYFUNCTION("""COMPUTED_VALUE"""),"SMA / SMK / MA")</f>
        <v>SMA / SMK / MA</v>
      </c>
      <c r="O229" s="24"/>
      <c r="P229" s="24"/>
      <c r="Q229" s="24"/>
      <c r="R229" s="24" t="str">
        <f>IFERROR(__xludf.DUMMYFUNCTION("""COMPUTED_VALUE"""),"K")</f>
        <v>K</v>
      </c>
      <c r="S229" s="25"/>
    </row>
    <row r="230" ht="22.5" customHeight="1">
      <c r="A230" s="22">
        <v>229.0</v>
      </c>
      <c r="B230" s="24" t="str">
        <f>IFERROR(__xludf.DUMMYFUNCTION("""COMPUTED_VALUE"""),"Pemasangan Instalasi Listrik Bangunan Sederhana")</f>
        <v>Pemasangan Instalasi Listrik Bangunan Sederhana</v>
      </c>
      <c r="C230" s="24" t="str">
        <f>IFERROR(__xludf.DUMMYFUNCTION("""COMPUTED_VALUE"""),"SMK Negeri 2 Kendari")</f>
        <v>SMK Negeri 2 Kendari</v>
      </c>
      <c r="D230" s="24"/>
      <c r="E230" s="24"/>
      <c r="F230" s="24" t="str">
        <f>IFERROR(__xludf.DUMMYFUNCTION("""COMPUTED_VALUE"""),"Yun Sharun")</f>
        <v>Yun Sharun</v>
      </c>
      <c r="G230" s="24" t="str">
        <f>IFERROR(__xludf.DUMMYFUNCTION("""COMPUTED_VALUE"""),"7471051007070001")</f>
        <v>7471051007070001</v>
      </c>
      <c r="H230" s="24"/>
      <c r="I230" s="24"/>
      <c r="J230" s="24" t="str">
        <f>IFERROR(__xludf.DUMMYFUNCTION("""COMPUTED_VALUE"""),"LAKI-LAKI")</f>
        <v>LAKI-LAKI</v>
      </c>
      <c r="K230" s="24" t="str">
        <f>IFERROR(__xludf.DUMMYFUNCTION("""COMPUTED_VALUE"""),"Jl. Tapak Kuda Bypass")</f>
        <v>Jl. Tapak Kuda Bypass</v>
      </c>
      <c r="L230" s="24"/>
      <c r="M230" s="24"/>
      <c r="N230" s="24" t="str">
        <f>IFERROR(__xludf.DUMMYFUNCTION("""COMPUTED_VALUE"""),"SMA / SMK / MA")</f>
        <v>SMA / SMK / MA</v>
      </c>
      <c r="O230" s="24"/>
      <c r="P230" s="24"/>
      <c r="Q230" s="24"/>
      <c r="R230" s="24" t="str">
        <f>IFERROR(__xludf.DUMMYFUNCTION("""COMPUTED_VALUE"""),"K")</f>
        <v>K</v>
      </c>
      <c r="S230" s="25"/>
    </row>
    <row r="231" ht="22.5" customHeight="1">
      <c r="A231" s="22">
        <v>230.0</v>
      </c>
      <c r="B231" s="24" t="str">
        <f>IFERROR(__xludf.DUMMYFUNCTION("""COMPUTED_VALUE"""),"Pemrograman Web")</f>
        <v>Pemrograman Web</v>
      </c>
      <c r="C231" s="24" t="str">
        <f>IFERROR(__xludf.DUMMYFUNCTION("""COMPUTED_VALUE"""),"SMK Negeri 6 Kendari")</f>
        <v>SMK Negeri 6 Kendari</v>
      </c>
      <c r="D231" s="24"/>
      <c r="E231" s="24"/>
      <c r="F231" s="24" t="str">
        <f>IFERROR(__xludf.DUMMYFUNCTION("""COMPUTED_VALUE"""),"Putri Kateryna")</f>
        <v>Putri Kateryna</v>
      </c>
      <c r="G231" s="24" t="str">
        <f>IFERROR(__xludf.DUMMYFUNCTION("""COMPUTED_VALUE"""),"7471032006130001")</f>
        <v>7471032006130001</v>
      </c>
      <c r="H231" s="24"/>
      <c r="I231" s="24"/>
      <c r="J231" s="24" t="str">
        <f>IFERROR(__xludf.DUMMYFUNCTION("""COMPUTED_VALUE"""),"LAKI-LAKI")</f>
        <v>LAKI-LAKI</v>
      </c>
      <c r="K231" s="24" t="str">
        <f>IFERROR(__xludf.DUMMYFUNCTION("""COMPUTED_VALUE"""),"Jl. Saddan")</f>
        <v>Jl. Saddan</v>
      </c>
      <c r="L231" s="24"/>
      <c r="M231" s="24"/>
      <c r="N231" s="24" t="str">
        <f>IFERROR(__xludf.DUMMYFUNCTION("""COMPUTED_VALUE"""),"SMA / SMK / MA")</f>
        <v>SMA / SMK / MA</v>
      </c>
      <c r="O231" s="24"/>
      <c r="P231" s="24"/>
      <c r="Q231" s="24"/>
      <c r="R231" s="24" t="str">
        <f>IFERROR(__xludf.DUMMYFUNCTION("""COMPUTED_VALUE"""),"K")</f>
        <v>K</v>
      </c>
      <c r="S231" s="25"/>
    </row>
    <row r="232" ht="22.5" customHeight="1">
      <c r="A232" s="22">
        <v>231.0</v>
      </c>
      <c r="B232" s="24" t="str">
        <f>IFERROR(__xludf.DUMMYFUNCTION("""COMPUTED_VALUE"""),"Pemrograman Web")</f>
        <v>Pemrograman Web</v>
      </c>
      <c r="C232" s="24" t="str">
        <f>IFERROR(__xludf.DUMMYFUNCTION("""COMPUTED_VALUE"""),"SMK Negeri 6 Kendari")</f>
        <v>SMK Negeri 6 Kendari</v>
      </c>
      <c r="D232" s="24"/>
      <c r="E232" s="24"/>
      <c r="F232" s="24" t="str">
        <f>IFERROR(__xludf.DUMMYFUNCTION("""COMPUTED_VALUE"""),"Andi Tiara Rani. A.")</f>
        <v>Andi Tiara Rani. A.</v>
      </c>
      <c r="G232" s="24" t="str">
        <f>IFERROR(__xludf.DUMMYFUNCTION("""COMPUTED_VALUE"""),"7471085002080001")</f>
        <v>7471085002080001</v>
      </c>
      <c r="H232" s="24"/>
      <c r="I232" s="24"/>
      <c r="J232" s="24" t="str">
        <f>IFERROR(__xludf.DUMMYFUNCTION("""COMPUTED_VALUE"""),"PEREMPUAN")</f>
        <v>PEREMPUAN</v>
      </c>
      <c r="K232" s="24" t="str">
        <f>IFERROR(__xludf.DUMMYFUNCTION("""COMPUTED_VALUE"""),"BTN Bukit Baringeng Permai Blok I No. 7")</f>
        <v>BTN Bukit Baringeng Permai Blok I No. 7</v>
      </c>
      <c r="L232" s="24"/>
      <c r="M232" s="24"/>
      <c r="N232" s="24" t="str">
        <f>IFERROR(__xludf.DUMMYFUNCTION("""COMPUTED_VALUE"""),"SMA / SMK / MA")</f>
        <v>SMA / SMK / MA</v>
      </c>
      <c r="O232" s="24"/>
      <c r="P232" s="24"/>
      <c r="Q232" s="24"/>
      <c r="R232" s="24" t="str">
        <f>IFERROR(__xludf.DUMMYFUNCTION("""COMPUTED_VALUE"""),"K")</f>
        <v>K</v>
      </c>
      <c r="S232" s="25"/>
    </row>
    <row r="233" ht="22.5" customHeight="1">
      <c r="A233" s="22">
        <v>232.0</v>
      </c>
      <c r="B233" s="24" t="str">
        <f>IFERROR(__xludf.DUMMYFUNCTION("""COMPUTED_VALUE"""),"Pemrograman Web")</f>
        <v>Pemrograman Web</v>
      </c>
      <c r="C233" s="24" t="str">
        <f>IFERROR(__xludf.DUMMYFUNCTION("""COMPUTED_VALUE"""),"SMK Negeri 6 Kendari")</f>
        <v>SMK Negeri 6 Kendari</v>
      </c>
      <c r="D233" s="24"/>
      <c r="E233" s="24"/>
      <c r="F233" s="24" t="str">
        <f>IFERROR(__xludf.DUMMYFUNCTION("""COMPUTED_VALUE"""),"Jordyhi Bangun Tabang")</f>
        <v>Jordyhi Bangun Tabang</v>
      </c>
      <c r="G233" s="24" t="str">
        <f>IFERROR(__xludf.DUMMYFUNCTION("""COMPUTED_VALUE"""),"7371093108080003")</f>
        <v>7371093108080003</v>
      </c>
      <c r="H233" s="24"/>
      <c r="I233" s="24"/>
      <c r="J233" s="24" t="str">
        <f>IFERROR(__xludf.DUMMYFUNCTION("""COMPUTED_VALUE"""),"LAKI-LAKI")</f>
        <v>LAKI-LAKI</v>
      </c>
      <c r="K233" s="24" t="str">
        <f>IFERROR(__xludf.DUMMYFUNCTION("""COMPUTED_VALUE"""),"Jln. Ade Irma Nasution")</f>
        <v>Jln. Ade Irma Nasution</v>
      </c>
      <c r="L233" s="24"/>
      <c r="M233" s="24"/>
      <c r="N233" s="24" t="str">
        <f>IFERROR(__xludf.DUMMYFUNCTION("""COMPUTED_VALUE"""),"SMA / SMK / MA")</f>
        <v>SMA / SMK / MA</v>
      </c>
      <c r="O233" s="24"/>
      <c r="P233" s="24"/>
      <c r="Q233" s="24"/>
      <c r="R233" s="24" t="str">
        <f>IFERROR(__xludf.DUMMYFUNCTION("""COMPUTED_VALUE"""),"K")</f>
        <v>K</v>
      </c>
      <c r="S233" s="25"/>
    </row>
    <row r="234" ht="22.5" customHeight="1">
      <c r="A234" s="22">
        <v>233.0</v>
      </c>
      <c r="B234" s="24" t="str">
        <f>IFERROR(__xludf.DUMMYFUNCTION("""COMPUTED_VALUE"""),"Pemrograman Web")</f>
        <v>Pemrograman Web</v>
      </c>
      <c r="C234" s="24" t="str">
        <f>IFERROR(__xludf.DUMMYFUNCTION("""COMPUTED_VALUE"""),"SMK Negeri 6 Kendari")</f>
        <v>SMK Negeri 6 Kendari</v>
      </c>
      <c r="D234" s="24"/>
      <c r="E234" s="24"/>
      <c r="F234" s="24" t="str">
        <f>IFERROR(__xludf.DUMMYFUNCTION("""COMPUTED_VALUE"""),"Wulan Nur Aysa")</f>
        <v>Wulan Nur Aysa</v>
      </c>
      <c r="G234" s="24" t="str">
        <f>IFERROR(__xludf.DUMMYFUNCTION("""COMPUTED_VALUE"""),"7471066209070001")</f>
        <v>7471066209070001</v>
      </c>
      <c r="H234" s="24"/>
      <c r="I234" s="24"/>
      <c r="J234" s="24" t="str">
        <f>IFERROR(__xludf.DUMMYFUNCTION("""COMPUTED_VALUE"""),"PEREMPUAN")</f>
        <v>PEREMPUAN</v>
      </c>
      <c r="K234" s="24" t="str">
        <f>IFERROR(__xludf.DUMMYFUNCTION("""COMPUTED_VALUE"""),"Kel. Benua nirae, Kec. Abeli")</f>
        <v>Kel. Benua nirae, Kec. Abeli</v>
      </c>
      <c r="L234" s="24"/>
      <c r="M234" s="24"/>
      <c r="N234" s="24" t="str">
        <f>IFERROR(__xludf.DUMMYFUNCTION("""COMPUTED_VALUE"""),"SMA / SMK / MA")</f>
        <v>SMA / SMK / MA</v>
      </c>
      <c r="O234" s="24"/>
      <c r="P234" s="24"/>
      <c r="Q234" s="24"/>
      <c r="R234" s="24" t="str">
        <f>IFERROR(__xludf.DUMMYFUNCTION("""COMPUTED_VALUE"""),"K")</f>
        <v>K</v>
      </c>
      <c r="S234" s="25"/>
    </row>
    <row r="235" ht="22.5" customHeight="1">
      <c r="A235" s="22">
        <v>234.0</v>
      </c>
      <c r="B235" s="24" t="str">
        <f>IFERROR(__xludf.DUMMYFUNCTION("""COMPUTED_VALUE"""),"Pemrograman Web")</f>
        <v>Pemrograman Web</v>
      </c>
      <c r="C235" s="24" t="str">
        <f>IFERROR(__xludf.DUMMYFUNCTION("""COMPUTED_VALUE"""),"SMK Negeri 6 Kendari")</f>
        <v>SMK Negeri 6 Kendari</v>
      </c>
      <c r="D235" s="24"/>
      <c r="E235" s="24"/>
      <c r="F235" s="24" t="str">
        <f>IFERROR(__xludf.DUMMYFUNCTION("""COMPUTED_VALUE"""),"Nabila Trisanti")</f>
        <v>Nabila Trisanti</v>
      </c>
      <c r="G235" s="24" t="str">
        <f>IFERROR(__xludf.DUMMYFUNCTION("""COMPUTED_VALUE"""),"7405084702080001")</f>
        <v>7405084702080001</v>
      </c>
      <c r="H235" s="24"/>
      <c r="I235" s="24"/>
      <c r="J235" s="24" t="str">
        <f>IFERROR(__xludf.DUMMYFUNCTION("""COMPUTED_VALUE"""),"PEREMPUAN")</f>
        <v>PEREMPUAN</v>
      </c>
      <c r="K235" s="24" t="str">
        <f>IFERROR(__xludf.DUMMYFUNCTION("""COMPUTED_VALUE"""),"Jl. Mawar, Kota Bangun, Ranomeeto")</f>
        <v>Jl. Mawar, Kota Bangun, Ranomeeto</v>
      </c>
      <c r="L235" s="24"/>
      <c r="M235" s="24"/>
      <c r="N235" s="24" t="str">
        <f>IFERROR(__xludf.DUMMYFUNCTION("""COMPUTED_VALUE"""),"SMA / SMK / MA")</f>
        <v>SMA / SMK / MA</v>
      </c>
      <c r="O235" s="24"/>
      <c r="P235" s="24"/>
      <c r="Q235" s="24"/>
      <c r="R235" s="24" t="str">
        <f>IFERROR(__xludf.DUMMYFUNCTION("""COMPUTED_VALUE"""),"K")</f>
        <v>K</v>
      </c>
      <c r="S235" s="25"/>
    </row>
    <row r="236" ht="22.5" customHeight="1">
      <c r="A236" s="22">
        <v>235.0</v>
      </c>
      <c r="B236" s="24" t="str">
        <f>IFERROR(__xludf.DUMMYFUNCTION("""COMPUTED_VALUE"""),"Pemrograman Web")</f>
        <v>Pemrograman Web</v>
      </c>
      <c r="C236" s="24" t="str">
        <f>IFERROR(__xludf.DUMMYFUNCTION("""COMPUTED_VALUE"""),"SMK Negeri 6 Kendari")</f>
        <v>SMK Negeri 6 Kendari</v>
      </c>
      <c r="D236" s="24"/>
      <c r="E236" s="24"/>
      <c r="F236" s="24" t="str">
        <f>IFERROR(__xludf.DUMMYFUNCTION("""COMPUTED_VALUE"""),"Juwitha Avrilya Zainuddin")</f>
        <v>Juwitha Avrilya Zainuddin</v>
      </c>
      <c r="G236" s="24" t="str">
        <f>IFERROR(__xludf.DUMMYFUNCTION("""COMPUTED_VALUE"""),"7471035104080002")</f>
        <v>7471035104080002</v>
      </c>
      <c r="H236" s="24"/>
      <c r="I236" s="24"/>
      <c r="J236" s="24" t="str">
        <f>IFERROR(__xludf.DUMMYFUNCTION("""COMPUTED_VALUE"""),"PEREMPUAN")</f>
        <v>PEREMPUAN</v>
      </c>
      <c r="K236" s="24" t="str">
        <f>IFERROR(__xludf.DUMMYFUNCTION("""COMPUTED_VALUE"""),"Jl. Bukit, Lepo-lepo")</f>
        <v>Jl. Bukit, Lepo-lepo</v>
      </c>
      <c r="L236" s="24"/>
      <c r="M236" s="24"/>
      <c r="N236" s="24" t="str">
        <f>IFERROR(__xludf.DUMMYFUNCTION("""COMPUTED_VALUE"""),"SMA / SMK / MA")</f>
        <v>SMA / SMK / MA</v>
      </c>
      <c r="O236" s="24"/>
      <c r="P236" s="24"/>
      <c r="Q236" s="24"/>
      <c r="R236" s="24" t="str">
        <f>IFERROR(__xludf.DUMMYFUNCTION("""COMPUTED_VALUE"""),"K")</f>
        <v>K</v>
      </c>
      <c r="S236" s="25"/>
    </row>
    <row r="237" ht="22.5" customHeight="1">
      <c r="A237" s="22">
        <v>236.0</v>
      </c>
      <c r="B237" s="24" t="str">
        <f>IFERROR(__xludf.DUMMYFUNCTION("""COMPUTED_VALUE"""),"Pemrograman Web")</f>
        <v>Pemrograman Web</v>
      </c>
      <c r="C237" s="24" t="str">
        <f>IFERROR(__xludf.DUMMYFUNCTION("""COMPUTED_VALUE"""),"SMK Negeri 6 Kendari")</f>
        <v>SMK Negeri 6 Kendari</v>
      </c>
      <c r="D237" s="24"/>
      <c r="E237" s="24"/>
      <c r="F237" s="24" t="str">
        <f>IFERROR(__xludf.DUMMYFUNCTION("""COMPUTED_VALUE"""),"Nurhalisa")</f>
        <v>Nurhalisa</v>
      </c>
      <c r="G237" s="24" t="str">
        <f>IFERROR(__xludf.DUMMYFUNCTION("""COMPUTED_VALUE"""),"7307084509060003")</f>
        <v>7307084509060003</v>
      </c>
      <c r="H237" s="24"/>
      <c r="I237" s="24"/>
      <c r="J237" s="24" t="str">
        <f>IFERROR(__xludf.DUMMYFUNCTION("""COMPUTED_VALUE"""),"PEREMPUAN")</f>
        <v>PEREMPUAN</v>
      </c>
      <c r="K237" s="24" t="str">
        <f>IFERROR(__xludf.DUMMYFUNCTION("""COMPUTED_VALUE"""),"Jl. KS Tubun, Baruga")</f>
        <v>Jl. KS Tubun, Baruga</v>
      </c>
      <c r="L237" s="24"/>
      <c r="M237" s="24"/>
      <c r="N237" s="24" t="str">
        <f>IFERROR(__xludf.DUMMYFUNCTION("""COMPUTED_VALUE"""),"SMA / SMK / MA")</f>
        <v>SMA / SMK / MA</v>
      </c>
      <c r="O237" s="24"/>
      <c r="P237" s="24"/>
      <c r="Q237" s="24"/>
      <c r="R237" s="24" t="str">
        <f>IFERROR(__xludf.DUMMYFUNCTION("""COMPUTED_VALUE"""),"K")</f>
        <v>K</v>
      </c>
      <c r="S237" s="25"/>
    </row>
    <row r="238" ht="22.5" customHeight="1">
      <c r="A238" s="22">
        <v>237.0</v>
      </c>
      <c r="B238" s="24" t="str">
        <f>IFERROR(__xludf.DUMMYFUNCTION("""COMPUTED_VALUE"""),"Pemrograman Web")</f>
        <v>Pemrograman Web</v>
      </c>
      <c r="C238" s="24" t="str">
        <f>IFERROR(__xludf.DUMMYFUNCTION("""COMPUTED_VALUE"""),"SMK Negeri 6 Kendari")</f>
        <v>SMK Negeri 6 Kendari</v>
      </c>
      <c r="D238" s="24"/>
      <c r="E238" s="24"/>
      <c r="F238" s="24" t="str">
        <f>IFERROR(__xludf.DUMMYFUNCTION("""COMPUTED_VALUE"""),"M. Tiyo Safroni")</f>
        <v>M. Tiyo Safroni</v>
      </c>
      <c r="G238" s="24" t="str">
        <f>IFERROR(__xludf.DUMMYFUNCTION("""COMPUTED_VALUE"""),"3510071011070001")</f>
        <v>3510071011070001</v>
      </c>
      <c r="H238" s="24"/>
      <c r="I238" s="24"/>
      <c r="J238" s="24" t="str">
        <f>IFERROR(__xludf.DUMMYFUNCTION("""COMPUTED_VALUE"""),"LAKI-LAKI")</f>
        <v>LAKI-LAKI</v>
      </c>
      <c r="K238" s="24" t="str">
        <f>IFERROR(__xludf.DUMMYFUNCTION("""COMPUTED_VALUE"""),"Jl. Kampung Baru")</f>
        <v>Jl. Kampung Baru</v>
      </c>
      <c r="L238" s="24"/>
      <c r="M238" s="24"/>
      <c r="N238" s="24" t="str">
        <f>IFERROR(__xludf.DUMMYFUNCTION("""COMPUTED_VALUE"""),"SMA / SMK / MA")</f>
        <v>SMA / SMK / MA</v>
      </c>
      <c r="O238" s="24"/>
      <c r="P238" s="24"/>
      <c r="Q238" s="24"/>
      <c r="R238" s="24" t="str">
        <f>IFERROR(__xludf.DUMMYFUNCTION("""COMPUTED_VALUE"""),"K")</f>
        <v>K</v>
      </c>
      <c r="S238" s="25"/>
    </row>
    <row r="239" ht="22.5" customHeight="1">
      <c r="A239" s="22">
        <v>238.0</v>
      </c>
      <c r="B239" s="24" t="str">
        <f>IFERROR(__xludf.DUMMYFUNCTION("""COMPUTED_VALUE"""),"Pemrograman Web")</f>
        <v>Pemrograman Web</v>
      </c>
      <c r="C239" s="24" t="str">
        <f>IFERROR(__xludf.DUMMYFUNCTION("""COMPUTED_VALUE"""),"SMK Negeri 6 Kendari")</f>
        <v>SMK Negeri 6 Kendari</v>
      </c>
      <c r="D239" s="24"/>
      <c r="E239" s="24"/>
      <c r="F239" s="24" t="str">
        <f>IFERROR(__xludf.DUMMYFUNCTION("""COMPUTED_VALUE"""),"Rezky Firwanto")</f>
        <v>Rezky Firwanto</v>
      </c>
      <c r="G239" s="24" t="str">
        <f>IFERROR(__xludf.DUMMYFUNCTION("""COMPUTED_VALUE"""),"7471032904080003")</f>
        <v>7471032904080003</v>
      </c>
      <c r="H239" s="24"/>
      <c r="I239" s="24"/>
      <c r="J239" s="24" t="str">
        <f>IFERROR(__xludf.DUMMYFUNCTION("""COMPUTED_VALUE"""),"LAKI-LAKI")</f>
        <v>LAKI-LAKI</v>
      </c>
      <c r="K239" s="24" t="str">
        <f>IFERROR(__xludf.DUMMYFUNCTION("""COMPUTED_VALUE"""),"Jl. Pasar Baruga")</f>
        <v>Jl. Pasar Baruga</v>
      </c>
      <c r="L239" s="24"/>
      <c r="M239" s="24"/>
      <c r="N239" s="24" t="str">
        <f>IFERROR(__xludf.DUMMYFUNCTION("""COMPUTED_VALUE"""),"SMA / SMK / MA")</f>
        <v>SMA / SMK / MA</v>
      </c>
      <c r="O239" s="24"/>
      <c r="P239" s="24"/>
      <c r="Q239" s="24"/>
      <c r="R239" s="24" t="str">
        <f>IFERROR(__xludf.DUMMYFUNCTION("""COMPUTED_VALUE"""),"K")</f>
        <v>K</v>
      </c>
      <c r="S239" s="25"/>
    </row>
    <row r="240" ht="22.5" customHeight="1">
      <c r="A240" s="22">
        <v>239.0</v>
      </c>
      <c r="B240" s="24" t="str">
        <f>IFERROR(__xludf.DUMMYFUNCTION("""COMPUTED_VALUE"""),"Pemrograman Web")</f>
        <v>Pemrograman Web</v>
      </c>
      <c r="C240" s="24" t="str">
        <f>IFERROR(__xludf.DUMMYFUNCTION("""COMPUTED_VALUE"""),"SMK Negeri 6 Kendari")</f>
        <v>SMK Negeri 6 Kendari</v>
      </c>
      <c r="D240" s="24"/>
      <c r="E240" s="24"/>
      <c r="F240" s="24" t="str">
        <f>IFERROR(__xludf.DUMMYFUNCTION("""COMPUTED_VALUE"""),"Ihsan Syarif Nahdli")</f>
        <v>Ihsan Syarif Nahdli</v>
      </c>
      <c r="G240" s="24" t="str">
        <f>IFERROR(__xludf.DUMMYFUNCTION("""COMPUTED_VALUE"""),"7402180205070001")</f>
        <v>7402180205070001</v>
      </c>
      <c r="H240" s="24"/>
      <c r="I240" s="24"/>
      <c r="J240" s="24" t="str">
        <f>IFERROR(__xludf.DUMMYFUNCTION("""COMPUTED_VALUE"""),"LAKI-LAKI")</f>
        <v>LAKI-LAKI</v>
      </c>
      <c r="K240" s="24" t="str">
        <f>IFERROR(__xludf.DUMMYFUNCTION("""COMPUTED_VALUE"""),"Jl. Ade Irma Nasution")</f>
        <v>Jl. Ade Irma Nasution</v>
      </c>
      <c r="L240" s="24"/>
      <c r="M240" s="24"/>
      <c r="N240" s="24" t="str">
        <f>IFERROR(__xludf.DUMMYFUNCTION("""COMPUTED_VALUE"""),"SMA / SMK / MA")</f>
        <v>SMA / SMK / MA</v>
      </c>
      <c r="O240" s="24"/>
      <c r="P240" s="24"/>
      <c r="Q240" s="24"/>
      <c r="R240" s="24" t="str">
        <f>IFERROR(__xludf.DUMMYFUNCTION("""COMPUTED_VALUE"""),"K")</f>
        <v>K</v>
      </c>
      <c r="S240" s="25"/>
    </row>
    <row r="241" ht="22.5" customHeight="1">
      <c r="A241" s="22">
        <v>240.0</v>
      </c>
      <c r="B241" s="24" t="str">
        <f>IFERROR(__xludf.DUMMYFUNCTION("""COMPUTED_VALUE"""),"Pemrograman Web")</f>
        <v>Pemrograman Web</v>
      </c>
      <c r="C241" s="24" t="str">
        <f>IFERROR(__xludf.DUMMYFUNCTION("""COMPUTED_VALUE"""),"SMK Negeri 6 Kendari")</f>
        <v>SMK Negeri 6 Kendari</v>
      </c>
      <c r="D241" s="24"/>
      <c r="E241" s="24"/>
      <c r="F241" s="24" t="str">
        <f>IFERROR(__xludf.DUMMYFUNCTION("""COMPUTED_VALUE"""),"La Ode Muhammad Fahmi Dwitama Gani")</f>
        <v>La Ode Muhammad Fahmi Dwitama Gani</v>
      </c>
      <c r="G241" s="24" t="str">
        <f>IFERROR(__xludf.DUMMYFUNCTION("""COMPUTED_VALUE"""),"7471100501080002")</f>
        <v>7471100501080002</v>
      </c>
      <c r="H241" s="24"/>
      <c r="I241" s="24"/>
      <c r="J241" s="24" t="str">
        <f>IFERROR(__xludf.DUMMYFUNCTION("""COMPUTED_VALUE"""),"LAKI-LAKI")</f>
        <v>LAKI-LAKI</v>
      </c>
      <c r="K241" s="24" t="str">
        <f>IFERROR(__xludf.DUMMYFUNCTION("""COMPUTED_VALUE"""),"BTN Puri Tawang Alun 2 Blok H No. 5")</f>
        <v>BTN Puri Tawang Alun 2 Blok H No. 5</v>
      </c>
      <c r="L241" s="24"/>
      <c r="M241" s="24"/>
      <c r="N241" s="24" t="str">
        <f>IFERROR(__xludf.DUMMYFUNCTION("""COMPUTED_VALUE"""),"SMA / SMK / MA")</f>
        <v>SMA / SMK / MA</v>
      </c>
      <c r="O241" s="24"/>
      <c r="P241" s="24"/>
      <c r="Q241" s="24"/>
      <c r="R241" s="24" t="str">
        <f>IFERROR(__xludf.DUMMYFUNCTION("""COMPUTED_VALUE"""),"K")</f>
        <v>K</v>
      </c>
      <c r="S241" s="25"/>
    </row>
    <row r="242" ht="22.5" customHeight="1">
      <c r="A242" s="22">
        <v>241.0</v>
      </c>
      <c r="B242" s="24" t="str">
        <f>IFERROR(__xludf.DUMMYFUNCTION("""COMPUTED_VALUE"""),"Pemrograman Web")</f>
        <v>Pemrograman Web</v>
      </c>
      <c r="C242" s="24" t="str">
        <f>IFERROR(__xludf.DUMMYFUNCTION("""COMPUTED_VALUE"""),"SMK Negeri 6 Kendari")</f>
        <v>SMK Negeri 6 Kendari</v>
      </c>
      <c r="D242" s="24"/>
      <c r="E242" s="24"/>
      <c r="F242" s="24" t="str">
        <f>IFERROR(__xludf.DUMMYFUNCTION("""COMPUTED_VALUE"""),"Agiet Geysar Parsa")</f>
        <v>Agiet Geysar Parsa</v>
      </c>
      <c r="G242" s="24" t="str">
        <f>IFERROR(__xludf.DUMMYFUNCTION("""COMPUTED_VALUE"""),"7471092305080001")</f>
        <v>7471092305080001</v>
      </c>
      <c r="H242" s="24"/>
      <c r="I242" s="24"/>
      <c r="J242" s="24" t="str">
        <f>IFERROR(__xludf.DUMMYFUNCTION("""COMPUTED_VALUE"""),"LAKI-LAKI")</f>
        <v>LAKI-LAKI</v>
      </c>
      <c r="K242" s="24" t="str">
        <f>IFERROR(__xludf.DUMMYFUNCTION("""COMPUTED_VALUE"""),"Jalan Samaturu 08")</f>
        <v>Jalan Samaturu 08</v>
      </c>
      <c r="L242" s="24"/>
      <c r="M242" s="24"/>
      <c r="N242" s="24" t="str">
        <f>IFERROR(__xludf.DUMMYFUNCTION("""COMPUTED_VALUE"""),"SMA / SMK / MA")</f>
        <v>SMA / SMK / MA</v>
      </c>
      <c r="O242" s="24"/>
      <c r="P242" s="24"/>
      <c r="Q242" s="24"/>
      <c r="R242" s="24" t="str">
        <f>IFERROR(__xludf.DUMMYFUNCTION("""COMPUTED_VALUE"""),"K")</f>
        <v>K</v>
      </c>
      <c r="S242" s="25"/>
    </row>
    <row r="243" ht="22.5" customHeight="1">
      <c r="A243" s="22">
        <v>242.0</v>
      </c>
      <c r="B243" s="24" t="str">
        <f>IFERROR(__xludf.DUMMYFUNCTION("""COMPUTED_VALUE"""),"Pemrograman Web")</f>
        <v>Pemrograman Web</v>
      </c>
      <c r="C243" s="24" t="str">
        <f>IFERROR(__xludf.DUMMYFUNCTION("""COMPUTED_VALUE"""),"SMK Negeri 6 Kendari")</f>
        <v>SMK Negeri 6 Kendari</v>
      </c>
      <c r="D243" s="24"/>
      <c r="E243" s="24"/>
      <c r="F243" s="24" t="str">
        <f>IFERROR(__xludf.DUMMYFUNCTION("""COMPUTED_VALUE"""),"Fadli Pradikta")</f>
        <v>Fadli Pradikta</v>
      </c>
      <c r="G243" s="24" t="str">
        <f>IFERROR(__xludf.DUMMYFUNCTION("""COMPUTED_VALUE"""),"7471032510080002")</f>
        <v>7471032510080002</v>
      </c>
      <c r="H243" s="24"/>
      <c r="I243" s="24"/>
      <c r="J243" s="24" t="str">
        <f>IFERROR(__xludf.DUMMYFUNCTION("""COMPUTED_VALUE"""),"LAKI-LAKI")</f>
        <v>LAKI-LAKI</v>
      </c>
      <c r="K243" s="24" t="str">
        <f>IFERROR(__xludf.DUMMYFUNCTION("""COMPUTED_VALUE"""),"Jl. Ade Irma Nasution")</f>
        <v>Jl. Ade Irma Nasution</v>
      </c>
      <c r="L243" s="24"/>
      <c r="M243" s="24"/>
      <c r="N243" s="24" t="str">
        <f>IFERROR(__xludf.DUMMYFUNCTION("""COMPUTED_VALUE"""),"SMA / SMK / MA")</f>
        <v>SMA / SMK / MA</v>
      </c>
      <c r="O243" s="24"/>
      <c r="P243" s="24"/>
      <c r="Q243" s="24"/>
      <c r="R243" s="24" t="str">
        <f>IFERROR(__xludf.DUMMYFUNCTION("""COMPUTED_VALUE"""),"K")</f>
        <v>K</v>
      </c>
      <c r="S243" s="25"/>
    </row>
    <row r="244" ht="22.5" customHeight="1">
      <c r="A244" s="22">
        <v>243.0</v>
      </c>
      <c r="B244" s="24" t="str">
        <f>IFERROR(__xludf.DUMMYFUNCTION("""COMPUTED_VALUE"""),"Pemrograman Web")</f>
        <v>Pemrograman Web</v>
      </c>
      <c r="C244" s="24" t="str">
        <f>IFERROR(__xludf.DUMMYFUNCTION("""COMPUTED_VALUE"""),"SMK Negeri 6 Kendari")</f>
        <v>SMK Negeri 6 Kendari</v>
      </c>
      <c r="D244" s="24"/>
      <c r="E244" s="24"/>
      <c r="F244" s="24" t="str">
        <f>IFERROR(__xludf.DUMMYFUNCTION("""COMPUTED_VALUE"""),"Nur Ardiansyah")</f>
        <v>Nur Ardiansyah</v>
      </c>
      <c r="G244" s="24" t="str">
        <f>IFERROR(__xludf.DUMMYFUNCTION("""COMPUTED_VALUE"""),"7405172804080002")</f>
        <v>7405172804080002</v>
      </c>
      <c r="H244" s="24"/>
      <c r="I244" s="24"/>
      <c r="J244" s="24" t="str">
        <f>IFERROR(__xludf.DUMMYFUNCTION("""COMPUTED_VALUE"""),"LAKI-LAKI")</f>
        <v>LAKI-LAKI</v>
      </c>
      <c r="K244" s="24" t="str">
        <f>IFERROR(__xludf.DUMMYFUNCTION("""COMPUTED_VALUE"""),"Jl. Kampung Baru Puosu Jaya, Kec. Konda")</f>
        <v>Jl. Kampung Baru Puosu Jaya, Kec. Konda</v>
      </c>
      <c r="L244" s="24"/>
      <c r="M244" s="24"/>
      <c r="N244" s="24" t="str">
        <f>IFERROR(__xludf.DUMMYFUNCTION("""COMPUTED_VALUE"""),"SMA / SMK / MA")</f>
        <v>SMA / SMK / MA</v>
      </c>
      <c r="O244" s="24"/>
      <c r="P244" s="24"/>
      <c r="Q244" s="24"/>
      <c r="R244" s="24" t="str">
        <f>IFERROR(__xludf.DUMMYFUNCTION("""COMPUTED_VALUE"""),"K")</f>
        <v>K</v>
      </c>
      <c r="S244" s="25"/>
    </row>
    <row r="245" ht="22.5" customHeight="1">
      <c r="A245" s="22">
        <v>244.0</v>
      </c>
      <c r="B245" s="24" t="str">
        <f>IFERROR(__xludf.DUMMYFUNCTION("""COMPUTED_VALUE"""),"Pemrograman Web")</f>
        <v>Pemrograman Web</v>
      </c>
      <c r="C245" s="24" t="str">
        <f>IFERROR(__xludf.DUMMYFUNCTION("""COMPUTED_VALUE"""),"SMK Negeri 6 Kendari")</f>
        <v>SMK Negeri 6 Kendari</v>
      </c>
      <c r="D245" s="24"/>
      <c r="E245" s="24"/>
      <c r="F245" s="24" t="str">
        <f>IFERROR(__xludf.DUMMYFUNCTION("""COMPUTED_VALUE"""),"Gunawan Ahmad Fauzi Billah")</f>
        <v>Gunawan Ahmad Fauzi Billah</v>
      </c>
      <c r="G245" s="24" t="str">
        <f>IFERROR(__xludf.DUMMYFUNCTION("""COMPUTED_VALUE"""),"7405080205090002")</f>
        <v>7405080205090002</v>
      </c>
      <c r="H245" s="24"/>
      <c r="I245" s="24"/>
      <c r="J245" s="24" t="str">
        <f>IFERROR(__xludf.DUMMYFUNCTION("""COMPUTED_VALUE"""),"LAKI-LAKI")</f>
        <v>LAKI-LAKI</v>
      </c>
      <c r="K245" s="24" t="str">
        <f>IFERROR(__xludf.DUMMYFUNCTION("""COMPUTED_VALUE"""),"Jl. Simbo / Lrg. Mandiri, RW 01/RT 01")</f>
        <v>Jl. Simbo / Lrg. Mandiri, RW 01/RT 01</v>
      </c>
      <c r="L245" s="24"/>
      <c r="M245" s="24"/>
      <c r="N245" s="24" t="str">
        <f>IFERROR(__xludf.DUMMYFUNCTION("""COMPUTED_VALUE"""),"SMA / SMK / MA")</f>
        <v>SMA / SMK / MA</v>
      </c>
      <c r="O245" s="24"/>
      <c r="P245" s="24"/>
      <c r="Q245" s="24"/>
      <c r="R245" s="24" t="str">
        <f>IFERROR(__xludf.DUMMYFUNCTION("""COMPUTED_VALUE"""),"K")</f>
        <v>K</v>
      </c>
      <c r="S245" s="25"/>
    </row>
    <row r="246" ht="22.5" customHeight="1">
      <c r="A246" s="22">
        <v>245.0</v>
      </c>
      <c r="B246" s="24" t="str">
        <f>IFERROR(__xludf.DUMMYFUNCTION("""COMPUTED_VALUE"""),"Pemrograman Web")</f>
        <v>Pemrograman Web</v>
      </c>
      <c r="C246" s="24" t="str">
        <f>IFERROR(__xludf.DUMMYFUNCTION("""COMPUTED_VALUE"""),"SMK Negeri 6 Kendari")</f>
        <v>SMK Negeri 6 Kendari</v>
      </c>
      <c r="D246" s="24"/>
      <c r="E246" s="24"/>
      <c r="F246" s="24" t="str">
        <f>IFERROR(__xludf.DUMMYFUNCTION("""COMPUTED_VALUE"""),"Umair Al fatih")</f>
        <v>Umair Al fatih</v>
      </c>
      <c r="G246" s="24" t="str">
        <f>IFERROR(__xludf.DUMMYFUNCTION("""COMPUTED_VALUE"""),"7371130901070009")</f>
        <v>7371130901070009</v>
      </c>
      <c r="H246" s="24"/>
      <c r="I246" s="24"/>
      <c r="J246" s="24" t="str">
        <f>IFERROR(__xludf.DUMMYFUNCTION("""COMPUTED_VALUE"""),"LAKI-LAKI")</f>
        <v>LAKI-LAKI</v>
      </c>
      <c r="K246" s="24" t="str">
        <f>IFERROR(__xludf.DUMMYFUNCTION("""COMPUTED_VALUE"""),"Dekat BTN Tawang Alun 2")</f>
        <v>Dekat BTN Tawang Alun 2</v>
      </c>
      <c r="L246" s="24"/>
      <c r="M246" s="24"/>
      <c r="N246" s="24" t="str">
        <f>IFERROR(__xludf.DUMMYFUNCTION("""COMPUTED_VALUE"""),"SMA / SMK / MA")</f>
        <v>SMA / SMK / MA</v>
      </c>
      <c r="O246" s="24"/>
      <c r="P246" s="24"/>
      <c r="Q246" s="24"/>
      <c r="R246" s="24" t="str">
        <f>IFERROR(__xludf.DUMMYFUNCTION("""COMPUTED_VALUE"""),"K")</f>
        <v>K</v>
      </c>
      <c r="S246" s="25"/>
    </row>
    <row r="247" ht="22.5" customHeight="1">
      <c r="A247" s="22">
        <v>246.0</v>
      </c>
      <c r="B247" s="24" t="str">
        <f>IFERROR(__xludf.DUMMYFUNCTION("""COMPUTED_VALUE"""),"Pemrograman Web")</f>
        <v>Pemrograman Web</v>
      </c>
      <c r="C247" s="24" t="str">
        <f>IFERROR(__xludf.DUMMYFUNCTION("""COMPUTED_VALUE"""),"SMK Negeri 6 Kendari")</f>
        <v>SMK Negeri 6 Kendari</v>
      </c>
      <c r="D247" s="24"/>
      <c r="E247" s="24"/>
      <c r="F247" s="24" t="str">
        <f>IFERROR(__xludf.DUMMYFUNCTION("""COMPUTED_VALUE"""),"Nurul Aulia Ode")</f>
        <v>Nurul Aulia Ode</v>
      </c>
      <c r="G247" s="24" t="str">
        <f>IFERROR(__xludf.DUMMYFUNCTION("""COMPUTED_VALUE"""),"7471075301090001")</f>
        <v>7471075301090001</v>
      </c>
      <c r="H247" s="24"/>
      <c r="I247" s="24"/>
      <c r="J247" s="24" t="str">
        <f>IFERROR(__xludf.DUMMYFUNCTION("""COMPUTED_VALUE"""),"PEREMPUAN")</f>
        <v>PEREMPUAN</v>
      </c>
      <c r="K247" s="24" t="str">
        <f>IFERROR(__xludf.DUMMYFUNCTION("""COMPUTED_VALUE"""),"Jl. Ade Irma Nasution")</f>
        <v>Jl. Ade Irma Nasution</v>
      </c>
      <c r="L247" s="24"/>
      <c r="M247" s="24"/>
      <c r="N247" s="24" t="str">
        <f>IFERROR(__xludf.DUMMYFUNCTION("""COMPUTED_VALUE"""),"SMA / SMK / MA")</f>
        <v>SMA / SMK / MA</v>
      </c>
      <c r="O247" s="24"/>
      <c r="P247" s="24"/>
      <c r="Q247" s="24"/>
      <c r="R247" s="24" t="str">
        <f>IFERROR(__xludf.DUMMYFUNCTION("""COMPUTED_VALUE"""),"K")</f>
        <v>K</v>
      </c>
      <c r="S247" s="25"/>
    </row>
    <row r="248" ht="22.5" customHeight="1">
      <c r="A248" s="22">
        <v>247.0</v>
      </c>
      <c r="B248" s="24" t="str">
        <f>IFERROR(__xludf.DUMMYFUNCTION("""COMPUTED_VALUE"""),"Pemrograman Web")</f>
        <v>Pemrograman Web</v>
      </c>
      <c r="C248" s="24" t="str">
        <f>IFERROR(__xludf.DUMMYFUNCTION("""COMPUTED_VALUE"""),"SMK Negeri 6 Kendari")</f>
        <v>SMK Negeri 6 Kendari</v>
      </c>
      <c r="D248" s="24"/>
      <c r="E248" s="24"/>
      <c r="F248" s="24" t="str">
        <f>IFERROR(__xludf.DUMMYFUNCTION("""COMPUTED_VALUE"""),"Putri Aminarti")</f>
        <v>Putri Aminarti</v>
      </c>
      <c r="G248" s="24" t="str">
        <f>IFERROR(__xludf.DUMMYFUNCTION("""COMPUTED_VALUE"""),"7405085012070001")</f>
        <v>7405085012070001</v>
      </c>
      <c r="H248" s="24"/>
      <c r="I248" s="24"/>
      <c r="J248" s="24" t="str">
        <f>IFERROR(__xludf.DUMMYFUNCTION("""COMPUTED_VALUE"""),"PEREMPUAN")</f>
        <v>PEREMPUAN</v>
      </c>
      <c r="K248" s="24" t="str">
        <f>IFERROR(__xludf.DUMMYFUNCTION("""COMPUTED_VALUE"""),"Jl. Mawar, Desa Kota Bangun, Kec. Ranomeeto, Konawe Selatan")</f>
        <v>Jl. Mawar, Desa Kota Bangun, Kec. Ranomeeto, Konawe Selatan</v>
      </c>
      <c r="L248" s="24"/>
      <c r="M248" s="24"/>
      <c r="N248" s="24" t="str">
        <f>IFERROR(__xludf.DUMMYFUNCTION("""COMPUTED_VALUE"""),"SMA / SMK / MA")</f>
        <v>SMA / SMK / MA</v>
      </c>
      <c r="O248" s="24"/>
      <c r="P248" s="24"/>
      <c r="Q248" s="24"/>
      <c r="R248" s="24" t="str">
        <f>IFERROR(__xludf.DUMMYFUNCTION("""COMPUTED_VALUE"""),"K")</f>
        <v>K</v>
      </c>
      <c r="S248" s="25"/>
    </row>
    <row r="249" ht="22.5" customHeight="1">
      <c r="A249" s="22">
        <v>248.0</v>
      </c>
      <c r="B249" s="24" t="str">
        <f>IFERROR(__xludf.DUMMYFUNCTION("""COMPUTED_VALUE"""),"Pemrograman Web")</f>
        <v>Pemrograman Web</v>
      </c>
      <c r="C249" s="24" t="str">
        <f>IFERROR(__xludf.DUMMYFUNCTION("""COMPUTED_VALUE"""),"SMK Negeri 6 Kendari")</f>
        <v>SMK Negeri 6 Kendari</v>
      </c>
      <c r="D249" s="24"/>
      <c r="E249" s="24"/>
      <c r="F249" s="24" t="str">
        <f>IFERROR(__xludf.DUMMYFUNCTION("""COMPUTED_VALUE"""),"Nina Syanti")</f>
        <v>Nina Syanti</v>
      </c>
      <c r="G249" s="24" t="str">
        <f>IFERROR(__xludf.DUMMYFUNCTION("""COMPUTED_VALUE"""),"7405074303080001")</f>
        <v>7405074303080001</v>
      </c>
      <c r="H249" s="24"/>
      <c r="I249" s="24"/>
      <c r="J249" s="24" t="str">
        <f>IFERROR(__xludf.DUMMYFUNCTION("""COMPUTED_VALUE"""),"PEREMPUAN")</f>
        <v>PEREMPUAN</v>
      </c>
      <c r="K249" s="24" t="str">
        <f>IFERROR(__xludf.DUMMYFUNCTION("""COMPUTED_VALUE"""),"Lambusa, Kec. Konda, Konawe Selatan")</f>
        <v>Lambusa, Kec. Konda, Konawe Selatan</v>
      </c>
      <c r="L249" s="24"/>
      <c r="M249" s="24"/>
      <c r="N249" s="24" t="str">
        <f>IFERROR(__xludf.DUMMYFUNCTION("""COMPUTED_VALUE"""),"SMA / SMK / MA")</f>
        <v>SMA / SMK / MA</v>
      </c>
      <c r="O249" s="24"/>
      <c r="P249" s="24"/>
      <c r="Q249" s="24"/>
      <c r="R249" s="24" t="str">
        <f>IFERROR(__xludf.DUMMYFUNCTION("""COMPUTED_VALUE"""),"K")</f>
        <v>K</v>
      </c>
      <c r="S249" s="25"/>
    </row>
    <row r="250" ht="22.5" customHeight="1">
      <c r="A250" s="22">
        <v>249.0</v>
      </c>
      <c r="B250" s="24" t="str">
        <f>IFERROR(__xludf.DUMMYFUNCTION("""COMPUTED_VALUE"""),"Pemrograman Web")</f>
        <v>Pemrograman Web</v>
      </c>
      <c r="C250" s="24" t="str">
        <f>IFERROR(__xludf.DUMMYFUNCTION("""COMPUTED_VALUE"""),"SMK Negeri 6 Kendari")</f>
        <v>SMK Negeri 6 Kendari</v>
      </c>
      <c r="D250" s="24"/>
      <c r="E250" s="24"/>
      <c r="F250" s="24" t="str">
        <f>IFERROR(__xludf.DUMMYFUNCTION("""COMPUTED_VALUE"""),"Nurul Fahra")</f>
        <v>Nurul Fahra</v>
      </c>
      <c r="G250" s="24" t="str">
        <f>IFERROR(__xludf.DUMMYFUNCTION("""COMPUTED_VALUE"""),"7471035406080001")</f>
        <v>7471035406080001</v>
      </c>
      <c r="H250" s="24"/>
      <c r="I250" s="24"/>
      <c r="J250" s="24" t="str">
        <f>IFERROR(__xludf.DUMMYFUNCTION("""COMPUTED_VALUE"""),"PEREMPUAN")</f>
        <v>PEREMPUAN</v>
      </c>
      <c r="K250" s="24" t="str">
        <f>IFERROR(__xludf.DUMMYFUNCTION("""COMPUTED_VALUE"""),"Jl. Haji Lamuse")</f>
        <v>Jl. Haji Lamuse</v>
      </c>
      <c r="L250" s="24"/>
      <c r="M250" s="24"/>
      <c r="N250" s="24" t="str">
        <f>IFERROR(__xludf.DUMMYFUNCTION("""COMPUTED_VALUE"""),"SMA / SMK / MA")</f>
        <v>SMA / SMK / MA</v>
      </c>
      <c r="O250" s="24"/>
      <c r="P250" s="24"/>
      <c r="Q250" s="24"/>
      <c r="R250" s="24" t="str">
        <f>IFERROR(__xludf.DUMMYFUNCTION("""COMPUTED_VALUE"""),"K")</f>
        <v>K</v>
      </c>
      <c r="S250" s="25"/>
    </row>
    <row r="251" ht="22.5" customHeight="1">
      <c r="A251" s="22">
        <v>250.0</v>
      </c>
      <c r="B251" s="24" t="str">
        <f>IFERROR(__xludf.DUMMYFUNCTION("""COMPUTED_VALUE"""),"Pemrograman Web")</f>
        <v>Pemrograman Web</v>
      </c>
      <c r="C251" s="24" t="str">
        <f>IFERROR(__xludf.DUMMYFUNCTION("""COMPUTED_VALUE"""),"SMK Negeri 6 Kendari")</f>
        <v>SMK Negeri 6 Kendari</v>
      </c>
      <c r="D251" s="24"/>
      <c r="E251" s="24"/>
      <c r="F251" s="24" t="str">
        <f>IFERROR(__xludf.DUMMYFUNCTION("""COMPUTED_VALUE"""),"Luthfi Aulia")</f>
        <v>Luthfi Aulia</v>
      </c>
      <c r="G251" s="24" t="str">
        <f>IFERROR(__xludf.DUMMYFUNCTION("""COMPUTED_VALUE"""),"7405074401090001")</f>
        <v>7405074401090001</v>
      </c>
      <c r="H251" s="24"/>
      <c r="I251" s="24"/>
      <c r="J251" s="24" t="str">
        <f>IFERROR(__xludf.DUMMYFUNCTION("""COMPUTED_VALUE"""),"PEREMPUAN")</f>
        <v>PEREMPUAN</v>
      </c>
      <c r="K251" s="24" t="str">
        <f>IFERROR(__xludf.DUMMYFUNCTION("""COMPUTED_VALUE"""),"Desa Lambusa, Kec. Konda, Kab. Konawe Selatan")</f>
        <v>Desa Lambusa, Kec. Konda, Kab. Konawe Selatan</v>
      </c>
      <c r="L251" s="24"/>
      <c r="M251" s="24"/>
      <c r="N251" s="24" t="str">
        <f>IFERROR(__xludf.DUMMYFUNCTION("""COMPUTED_VALUE"""),"SMA / SMK / MA")</f>
        <v>SMA / SMK / MA</v>
      </c>
      <c r="O251" s="24"/>
      <c r="P251" s="24"/>
      <c r="Q251" s="24"/>
      <c r="R251" s="24" t="str">
        <f>IFERROR(__xludf.DUMMYFUNCTION("""COMPUTED_VALUE"""),"K")</f>
        <v>K</v>
      </c>
      <c r="S251" s="25"/>
    </row>
    <row r="252" ht="22.5" customHeight="1">
      <c r="A252" s="22">
        <v>251.0</v>
      </c>
      <c r="B252" s="24" t="str">
        <f>IFERROR(__xludf.DUMMYFUNCTION("""COMPUTED_VALUE"""),"Pemrograman Web")</f>
        <v>Pemrograman Web</v>
      </c>
      <c r="C252" s="24" t="str">
        <f>IFERROR(__xludf.DUMMYFUNCTION("""COMPUTED_VALUE"""),"SMK Negeri 6 Kendari")</f>
        <v>SMK Negeri 6 Kendari</v>
      </c>
      <c r="D252" s="24"/>
      <c r="E252" s="24"/>
      <c r="F252" s="24" t="str">
        <f>IFERROR(__xludf.DUMMYFUNCTION("""COMPUTED_VALUE"""),"Muh. Bilal Maulana")</f>
        <v>Muh. Bilal Maulana</v>
      </c>
      <c r="G252" s="24" t="str">
        <f>IFERROR(__xludf.DUMMYFUNCTION("""COMPUTED_VALUE"""),"7471031801090001")</f>
        <v>7471031801090001</v>
      </c>
      <c r="H252" s="24"/>
      <c r="I252" s="24"/>
      <c r="J252" s="24" t="str">
        <f>IFERROR(__xludf.DUMMYFUNCTION("""COMPUTED_VALUE"""),"LAKI-LAKI")</f>
        <v>LAKI-LAKI</v>
      </c>
      <c r="K252" s="24" t="str">
        <f>IFERROR(__xludf.DUMMYFUNCTION("""COMPUTED_VALUE"""),"Jl. Kampung Baru, Desa Puesu Jaya")</f>
        <v>Jl. Kampung Baru, Desa Puesu Jaya</v>
      </c>
      <c r="L252" s="24"/>
      <c r="M252" s="24"/>
      <c r="N252" s="24" t="str">
        <f>IFERROR(__xludf.DUMMYFUNCTION("""COMPUTED_VALUE"""),"SMA / SMK / MA")</f>
        <v>SMA / SMK / MA</v>
      </c>
      <c r="O252" s="24"/>
      <c r="P252" s="24"/>
      <c r="Q252" s="24"/>
      <c r="R252" s="24" t="str">
        <f>IFERROR(__xludf.DUMMYFUNCTION("""COMPUTED_VALUE"""),"K")</f>
        <v>K</v>
      </c>
      <c r="S252" s="25"/>
    </row>
    <row r="253" ht="22.5" customHeight="1">
      <c r="A253" s="22">
        <v>252.0</v>
      </c>
      <c r="B253" s="24" t="str">
        <f>IFERROR(__xludf.DUMMYFUNCTION("""COMPUTED_VALUE"""),"Pemrograman Web")</f>
        <v>Pemrograman Web</v>
      </c>
      <c r="C253" s="24" t="str">
        <f>IFERROR(__xludf.DUMMYFUNCTION("""COMPUTED_VALUE"""),"SMK Negeri 6 Kendari")</f>
        <v>SMK Negeri 6 Kendari</v>
      </c>
      <c r="D253" s="24"/>
      <c r="E253" s="24"/>
      <c r="F253" s="24" t="str">
        <f>IFERROR(__xludf.DUMMYFUNCTION("""COMPUTED_VALUE"""),"Muh Adrian")</f>
        <v>Muh Adrian</v>
      </c>
      <c r="G253" s="24" t="str">
        <f>IFERROR(__xludf.DUMMYFUNCTION("""COMPUTED_VALUE"""),"7405082803080001")</f>
        <v>7405082803080001</v>
      </c>
      <c r="H253" s="24"/>
      <c r="I253" s="24"/>
      <c r="J253" s="24" t="str">
        <f>IFERROR(__xludf.DUMMYFUNCTION("""COMPUTED_VALUE"""),"LAKI-LAKI")</f>
        <v>LAKI-LAKI</v>
      </c>
      <c r="K253" s="24" t="str">
        <f>IFERROR(__xludf.DUMMYFUNCTION("""COMPUTED_VALUE"""),"Jln. Simbo, Lrg. Merdeka")</f>
        <v>Jln. Simbo, Lrg. Merdeka</v>
      </c>
      <c r="L253" s="24"/>
      <c r="M253" s="24"/>
      <c r="N253" s="24" t="str">
        <f>IFERROR(__xludf.DUMMYFUNCTION("""COMPUTED_VALUE"""),"SMA / SMK / MA")</f>
        <v>SMA / SMK / MA</v>
      </c>
      <c r="O253" s="24"/>
      <c r="P253" s="24"/>
      <c r="Q253" s="24"/>
      <c r="R253" s="24" t="str">
        <f>IFERROR(__xludf.DUMMYFUNCTION("""COMPUTED_VALUE"""),"K")</f>
        <v>K</v>
      </c>
      <c r="S253" s="25"/>
    </row>
    <row r="254" ht="22.5" customHeight="1">
      <c r="A254" s="22">
        <v>253.0</v>
      </c>
      <c r="B254" s="24" t="str">
        <f>IFERROR(__xludf.DUMMYFUNCTION("""COMPUTED_VALUE"""),"Pemrograman Web")</f>
        <v>Pemrograman Web</v>
      </c>
      <c r="C254" s="24" t="str">
        <f>IFERROR(__xludf.DUMMYFUNCTION("""COMPUTED_VALUE"""),"SMK Negeri 6 Kendari")</f>
        <v>SMK Negeri 6 Kendari</v>
      </c>
      <c r="D254" s="24"/>
      <c r="E254" s="24"/>
      <c r="F254" s="24" t="str">
        <f>IFERROR(__xludf.DUMMYFUNCTION("""COMPUTED_VALUE"""),"Muh. Adrian Trijaya")</f>
        <v>Muh. Adrian Trijaya</v>
      </c>
      <c r="G254" s="24" t="str">
        <f>IFERROR(__xludf.DUMMYFUNCTION("""COMPUTED_VALUE"""),"7471100407090002")</f>
        <v>7471100407090002</v>
      </c>
      <c r="H254" s="24"/>
      <c r="I254" s="24"/>
      <c r="J254" s="24" t="str">
        <f>IFERROR(__xludf.DUMMYFUNCTION("""COMPUTED_VALUE"""),"LAKI-LAKI")</f>
        <v>LAKI-LAKI</v>
      </c>
      <c r="K254" s="24" t="str">
        <f>IFERROR(__xludf.DUMMYFUNCTION("""COMPUTED_VALUE"""),"BTN Graha Reksa Kencana, Tahap 6, Blok C8")</f>
        <v>BTN Graha Reksa Kencana, Tahap 6, Blok C8</v>
      </c>
      <c r="L254" s="24"/>
      <c r="M254" s="24"/>
      <c r="N254" s="24" t="str">
        <f>IFERROR(__xludf.DUMMYFUNCTION("""COMPUTED_VALUE"""),"SMA / SMK / MA")</f>
        <v>SMA / SMK / MA</v>
      </c>
      <c r="O254" s="24"/>
      <c r="P254" s="24"/>
      <c r="Q254" s="24"/>
      <c r="R254" s="24" t="str">
        <f>IFERROR(__xludf.DUMMYFUNCTION("""COMPUTED_VALUE"""),"K")</f>
        <v>K</v>
      </c>
      <c r="S254" s="25"/>
    </row>
    <row r="255" ht="22.5" customHeight="1">
      <c r="A255" s="22">
        <v>254.0</v>
      </c>
      <c r="B255" s="24" t="str">
        <f>IFERROR(__xludf.DUMMYFUNCTION("""COMPUTED_VALUE"""),"Pemrograman Web")</f>
        <v>Pemrograman Web</v>
      </c>
      <c r="C255" s="24" t="str">
        <f>IFERROR(__xludf.DUMMYFUNCTION("""COMPUTED_VALUE"""),"SMK Negeri 6 Kendari")</f>
        <v>SMK Negeri 6 Kendari</v>
      </c>
      <c r="D255" s="24"/>
      <c r="E255" s="24"/>
      <c r="F255" s="24" t="str">
        <f>IFERROR(__xludf.DUMMYFUNCTION("""COMPUTED_VALUE"""),"Muh. Bintang Al-Misbah")</f>
        <v>Muh. Bintang Al-Misbah</v>
      </c>
      <c r="G255" s="24" t="str">
        <f>IFERROR(__xludf.DUMMYFUNCTION("""COMPUTED_VALUE"""),"7471030508070001")</f>
        <v>7471030508070001</v>
      </c>
      <c r="H255" s="24"/>
      <c r="I255" s="24"/>
      <c r="J255" s="24" t="str">
        <f>IFERROR(__xludf.DUMMYFUNCTION("""COMPUTED_VALUE"""),"LAKI-LAKI")</f>
        <v>LAKI-LAKI</v>
      </c>
      <c r="K255" s="24" t="str">
        <f>IFERROR(__xludf.DUMMYFUNCTION("""COMPUTED_VALUE"""),"Jl. H. Lamuse, RT/RW 003/002, Kel. Lepo-lepo, Kec. Baruga")</f>
        <v>Jl. H. Lamuse, RT/RW 003/002, Kel. Lepo-lepo, Kec. Baruga</v>
      </c>
      <c r="L255" s="24"/>
      <c r="M255" s="24"/>
      <c r="N255" s="24" t="str">
        <f>IFERROR(__xludf.DUMMYFUNCTION("""COMPUTED_VALUE"""),"SMA / SMK / MA")</f>
        <v>SMA / SMK / MA</v>
      </c>
      <c r="O255" s="24"/>
      <c r="P255" s="24"/>
      <c r="Q255" s="24"/>
      <c r="R255" s="24" t="str">
        <f>IFERROR(__xludf.DUMMYFUNCTION("""COMPUTED_VALUE"""),"K")</f>
        <v>K</v>
      </c>
      <c r="S255" s="25"/>
    </row>
    <row r="256" ht="22.5" customHeight="1">
      <c r="A256" s="22">
        <v>255.0</v>
      </c>
      <c r="B256" s="24" t="str">
        <f>IFERROR(__xludf.DUMMYFUNCTION("""COMPUTED_VALUE"""),"Pemrograman Web")</f>
        <v>Pemrograman Web</v>
      </c>
      <c r="C256" s="24" t="str">
        <f>IFERROR(__xludf.DUMMYFUNCTION("""COMPUTED_VALUE"""),"SMK Negeri 6 Kendari")</f>
        <v>SMK Negeri 6 Kendari</v>
      </c>
      <c r="D256" s="24"/>
      <c r="E256" s="24"/>
      <c r="F256" s="24" t="str">
        <f>IFERROR(__xludf.DUMMYFUNCTION("""COMPUTED_VALUE"""),"Muhammad Nur Hakim AM")</f>
        <v>Muhammad Nur Hakim AM</v>
      </c>
      <c r="G256" s="24" t="str">
        <f>IFERROR(__xludf.DUMMYFUNCTION("""COMPUTED_VALUE"""),"7471031205080001")</f>
        <v>7471031205080001</v>
      </c>
      <c r="H256" s="24"/>
      <c r="I256" s="24"/>
      <c r="J256" s="24" t="str">
        <f>IFERROR(__xludf.DUMMYFUNCTION("""COMPUTED_VALUE"""),"LAKI-LAKI")</f>
        <v>LAKI-LAKI</v>
      </c>
      <c r="K256" s="24" t="str">
        <f>IFERROR(__xludf.DUMMYFUNCTION("""COMPUTED_VALUE"""),"Btn Latjinta II Blok A4 No. 18, Kel. Baruga")</f>
        <v>Btn Latjinta II Blok A4 No. 18, Kel. Baruga</v>
      </c>
      <c r="L256" s="24"/>
      <c r="M256" s="24"/>
      <c r="N256" s="24" t="str">
        <f>IFERROR(__xludf.DUMMYFUNCTION("""COMPUTED_VALUE"""),"SMA / SMK / MA")</f>
        <v>SMA / SMK / MA</v>
      </c>
      <c r="O256" s="24"/>
      <c r="P256" s="24"/>
      <c r="Q256" s="24"/>
      <c r="R256" s="24" t="str">
        <f>IFERROR(__xludf.DUMMYFUNCTION("""COMPUTED_VALUE"""),"K")</f>
        <v>K</v>
      </c>
      <c r="S256" s="25"/>
    </row>
    <row r="257" ht="22.5" customHeight="1">
      <c r="A257" s="22">
        <v>256.0</v>
      </c>
      <c r="B257" s="24" t="str">
        <f>IFERROR(__xludf.DUMMYFUNCTION("""COMPUTED_VALUE"""),"Pemrograman Web")</f>
        <v>Pemrograman Web</v>
      </c>
      <c r="C257" s="24" t="str">
        <f>IFERROR(__xludf.DUMMYFUNCTION("""COMPUTED_VALUE"""),"SMK Negeri 6 Kendari")</f>
        <v>SMK Negeri 6 Kendari</v>
      </c>
      <c r="D257" s="24"/>
      <c r="E257" s="24"/>
      <c r="F257" s="24" t="str">
        <f>IFERROR(__xludf.DUMMYFUNCTION("""COMPUTED_VALUE"""),"Mochammad Akbar Fajri Rovi Astono")</f>
        <v>Mochammad Akbar Fajri Rovi Astono</v>
      </c>
      <c r="G257" s="24" t="str">
        <f>IFERROR(__xludf.DUMMYFUNCTION("""COMPUTED_VALUE"""),"3578271602080002")</f>
        <v>3578271602080002</v>
      </c>
      <c r="H257" s="24"/>
      <c r="I257" s="24"/>
      <c r="J257" s="24" t="str">
        <f>IFERROR(__xludf.DUMMYFUNCTION("""COMPUTED_VALUE"""),"LAKI-LAKI")</f>
        <v>LAKI-LAKI</v>
      </c>
      <c r="K257" s="24" t="str">
        <f>IFERROR(__xludf.DUMMYFUNCTION("""COMPUTED_VALUE"""),"Jl. poros Bandara Haluoleo, BTN Sugeng Rawuh Griya Ranomeeto")</f>
        <v>Jl. poros Bandara Haluoleo, BTN Sugeng Rawuh Griya Ranomeeto</v>
      </c>
      <c r="L257" s="24"/>
      <c r="M257" s="24"/>
      <c r="N257" s="24" t="str">
        <f>IFERROR(__xludf.DUMMYFUNCTION("""COMPUTED_VALUE"""),"SMA / SMK / MA")</f>
        <v>SMA / SMK / MA</v>
      </c>
      <c r="O257" s="24"/>
      <c r="P257" s="24"/>
      <c r="Q257" s="24"/>
      <c r="R257" s="24" t="str">
        <f>IFERROR(__xludf.DUMMYFUNCTION("""COMPUTED_VALUE"""),"K")</f>
        <v>K</v>
      </c>
      <c r="S257" s="25"/>
    </row>
    <row r="258" ht="22.5" customHeight="1">
      <c r="A258" s="22">
        <v>257.0</v>
      </c>
      <c r="B258" s="24" t="str">
        <f>IFERROR(__xludf.DUMMYFUNCTION("""COMPUTED_VALUE"""),"Pemrograman Web")</f>
        <v>Pemrograman Web</v>
      </c>
      <c r="C258" s="24" t="str">
        <f>IFERROR(__xludf.DUMMYFUNCTION("""COMPUTED_VALUE"""),"SMK Negeri 6 Kendari")</f>
        <v>SMK Negeri 6 Kendari</v>
      </c>
      <c r="D258" s="24"/>
      <c r="E258" s="24"/>
      <c r="F258" s="24" t="str">
        <f>IFERROR(__xludf.DUMMYFUNCTION("""COMPUTED_VALUE"""),"Ifdhal Saputra")</f>
        <v>Ifdhal Saputra</v>
      </c>
      <c r="G258" s="24" t="str">
        <f>IFERROR(__xludf.DUMMYFUNCTION("""COMPUTED_VALUE"""),"7405040409070001")</f>
        <v>7405040409070001</v>
      </c>
      <c r="H258" s="24"/>
      <c r="I258" s="24"/>
      <c r="J258" s="24" t="str">
        <f>IFERROR(__xludf.DUMMYFUNCTION("""COMPUTED_VALUE"""),"LAKI-LAKI")</f>
        <v>LAKI-LAKI</v>
      </c>
      <c r="K258" s="24" t="str">
        <f>IFERROR(__xludf.DUMMYFUNCTION("""COMPUTED_VALUE"""),"Jl. Brigjen Katamso, BTN Reksadewa")</f>
        <v>Jl. Brigjen Katamso, BTN Reksadewa</v>
      </c>
      <c r="L258" s="24"/>
      <c r="M258" s="24"/>
      <c r="N258" s="24" t="str">
        <f>IFERROR(__xludf.DUMMYFUNCTION("""COMPUTED_VALUE"""),"SMA / SMK / MA")</f>
        <v>SMA / SMK / MA</v>
      </c>
      <c r="O258" s="24"/>
      <c r="P258" s="24"/>
      <c r="Q258" s="24"/>
      <c r="R258" s="24" t="str">
        <f>IFERROR(__xludf.DUMMYFUNCTION("""COMPUTED_VALUE"""),"K")</f>
        <v>K</v>
      </c>
      <c r="S258" s="25"/>
    </row>
    <row r="259" ht="22.5" customHeight="1">
      <c r="A259" s="22">
        <v>258.0</v>
      </c>
      <c r="B259" s="24" t="str">
        <f>IFERROR(__xludf.DUMMYFUNCTION("""COMPUTED_VALUE"""),"Pemrograman Web")</f>
        <v>Pemrograman Web</v>
      </c>
      <c r="C259" s="24" t="str">
        <f>IFERROR(__xludf.DUMMYFUNCTION("""COMPUTED_VALUE"""),"SMK Negeri 6 Kendari")</f>
        <v>SMK Negeri 6 Kendari</v>
      </c>
      <c r="D259" s="24"/>
      <c r="E259" s="24"/>
      <c r="F259" s="24" t="str">
        <f>IFERROR(__xludf.DUMMYFUNCTION("""COMPUTED_VALUE"""),"Marhan Nutzul Ramadhan")</f>
        <v>Marhan Nutzul Ramadhan</v>
      </c>
      <c r="G259" s="24" t="str">
        <f>IFERROR(__xludf.DUMMYFUNCTION("""COMPUTED_VALUE"""),"7471031709080001")</f>
        <v>7471031709080001</v>
      </c>
      <c r="H259" s="24"/>
      <c r="I259" s="24"/>
      <c r="J259" s="24" t="str">
        <f>IFERROR(__xludf.DUMMYFUNCTION("""COMPUTED_VALUE"""),"LAKI-LAKI")</f>
        <v>LAKI-LAKI</v>
      </c>
      <c r="K259" s="24" t="str">
        <f>IFERROR(__xludf.DUMMYFUNCTION("""COMPUTED_VALUE"""),"Jl. Satya Brata, No. 6, Kendari")</f>
        <v>Jl. Satya Brata, No. 6, Kendari</v>
      </c>
      <c r="L259" s="24"/>
      <c r="M259" s="24"/>
      <c r="N259" s="24" t="str">
        <f>IFERROR(__xludf.DUMMYFUNCTION("""COMPUTED_VALUE"""),"SMA / SMK / MA")</f>
        <v>SMA / SMK / MA</v>
      </c>
      <c r="O259" s="24"/>
      <c r="P259" s="24"/>
      <c r="Q259" s="24"/>
      <c r="R259" s="24" t="str">
        <f>IFERROR(__xludf.DUMMYFUNCTION("""COMPUTED_VALUE"""),"K")</f>
        <v>K</v>
      </c>
      <c r="S259" s="25"/>
    </row>
    <row r="260" ht="22.5" customHeight="1">
      <c r="A260" s="22">
        <v>259.0</v>
      </c>
      <c r="B260" s="24" t="str">
        <f>IFERROR(__xludf.DUMMYFUNCTION("""COMPUTED_VALUE"""),"Pemrograman Web")</f>
        <v>Pemrograman Web</v>
      </c>
      <c r="C260" s="24" t="str">
        <f>IFERROR(__xludf.DUMMYFUNCTION("""COMPUTED_VALUE"""),"SMK Negeri 6 Kendari")</f>
        <v>SMK Negeri 6 Kendari</v>
      </c>
      <c r="D260" s="24"/>
      <c r="E260" s="24"/>
      <c r="F260" s="24" t="str">
        <f>IFERROR(__xludf.DUMMYFUNCTION("""COMPUTED_VALUE"""),"Kadek Ari Santi Marheni")</f>
        <v>Kadek Ari Santi Marheni</v>
      </c>
      <c r="G260" s="24" t="str">
        <f>IFERROR(__xludf.DUMMYFUNCTION("""COMPUTED_VALUE"""),"7406164210080001")</f>
        <v>7406164210080001</v>
      </c>
      <c r="H260" s="24"/>
      <c r="I260" s="24"/>
      <c r="J260" s="24" t="str">
        <f>IFERROR(__xludf.DUMMYFUNCTION("""COMPUTED_VALUE"""),"PEREMPUAN")</f>
        <v>PEREMPUAN</v>
      </c>
      <c r="K260" s="24" t="str">
        <f>IFERROR(__xludf.DUMMYFUNCTION("""COMPUTED_VALUE"""),"Desa Puosu Jaya, Jl. Brigjen Katamso")</f>
        <v>Desa Puosu Jaya, Jl. Brigjen Katamso</v>
      </c>
      <c r="L260" s="24"/>
      <c r="M260" s="24"/>
      <c r="N260" s="24" t="str">
        <f>IFERROR(__xludf.DUMMYFUNCTION("""COMPUTED_VALUE"""),"SMA / SMK / MA")</f>
        <v>SMA / SMK / MA</v>
      </c>
      <c r="O260" s="24"/>
      <c r="P260" s="24"/>
      <c r="Q260" s="24"/>
      <c r="R260" s="24" t="str">
        <f>IFERROR(__xludf.DUMMYFUNCTION("""COMPUTED_VALUE"""),"K")</f>
        <v>K</v>
      </c>
      <c r="S260" s="25"/>
    </row>
    <row r="261" ht="22.5" customHeight="1">
      <c r="A261" s="22">
        <v>260.0</v>
      </c>
      <c r="B261" s="24" t="str">
        <f>IFERROR(__xludf.DUMMYFUNCTION("""COMPUTED_VALUE"""),"Pemrograman Web")</f>
        <v>Pemrograman Web</v>
      </c>
      <c r="C261" s="24" t="str">
        <f>IFERROR(__xludf.DUMMYFUNCTION("""COMPUTED_VALUE"""),"SMK Negeri 6 Kendari")</f>
        <v>SMK Negeri 6 Kendari</v>
      </c>
      <c r="D261" s="24"/>
      <c r="E261" s="24"/>
      <c r="F261" s="85" t="str">
        <f>IFERROR(__xludf.DUMMYFUNCTION("""COMPUTED_VALUE"""),"Humairah")</f>
        <v>Humairah</v>
      </c>
      <c r="G261" s="24" t="str">
        <f>IFERROR(__xludf.DUMMYFUNCTION("""COMPUTED_VALUE"""),"7471106705890003")</f>
        <v>7471106705890003</v>
      </c>
      <c r="H261" s="24"/>
      <c r="I261" s="24"/>
      <c r="J261" s="24" t="str">
        <f>IFERROR(__xludf.DUMMYFUNCTION("""COMPUTED_VALUE"""),"PEREMPUAN")</f>
        <v>PEREMPUAN</v>
      </c>
      <c r="K261" s="24" t="str">
        <f>IFERROR(__xludf.DUMMYFUNCTION("""COMPUTED_VALUE"""),"Jl. Prof. Dr. Abd. Rauf Tarimana")</f>
        <v>Jl. Prof. Dr. Abd. Rauf Tarimana</v>
      </c>
      <c r="L261" s="24"/>
      <c r="M261" s="24"/>
      <c r="N261" s="24" t="str">
        <f>IFERROR(__xludf.DUMMYFUNCTION("""COMPUTED_VALUE"""),"SMA / SMK / MA")</f>
        <v>SMA / SMK / MA</v>
      </c>
      <c r="O261" s="24"/>
      <c r="P261" s="24"/>
      <c r="Q261" s="24"/>
      <c r="R261" s="24" t="str">
        <f>IFERROR(__xludf.DUMMYFUNCTION("""COMPUTED_VALUE"""),"K")</f>
        <v>K</v>
      </c>
      <c r="S261" s="25"/>
    </row>
    <row r="262" ht="22.5" customHeight="1">
      <c r="A262" s="22">
        <v>261.0</v>
      </c>
      <c r="B262" s="24" t="str">
        <f>IFERROR(__xludf.DUMMYFUNCTION("""COMPUTED_VALUE"""),"Pemrograman Web")</f>
        <v>Pemrograman Web</v>
      </c>
      <c r="C262" s="24" t="str">
        <f>IFERROR(__xludf.DUMMYFUNCTION("""COMPUTED_VALUE"""),"SMK Negeri 6 Kendari")</f>
        <v>SMK Negeri 6 Kendari</v>
      </c>
      <c r="D262" s="24"/>
      <c r="E262" s="24"/>
      <c r="F262" s="24" t="str">
        <f>IFERROR(__xludf.DUMMYFUNCTION("""COMPUTED_VALUE"""),"Lita Lusiyanti")</f>
        <v>Lita Lusiyanti</v>
      </c>
      <c r="G262" s="24">
        <f>IFERROR(__xludf.DUMMYFUNCTION("""COMPUTED_VALUE"""),7.4051107030004E13)</f>
        <v>74051107030004</v>
      </c>
      <c r="H262" s="24"/>
      <c r="I262" s="24"/>
      <c r="J262" s="24" t="str">
        <f>IFERROR(__xludf.DUMMYFUNCTION("""COMPUTED_VALUE"""),"LAKI-LAKI")</f>
        <v>LAKI-LAKI</v>
      </c>
      <c r="K262" s="24" t="str">
        <f>IFERROR(__xludf.DUMMYFUNCTION("""COMPUTED_VALUE"""),"Jl. Eueuhi, BTN Wonua Morini Blok D No.2")</f>
        <v>Jl. Eueuhi, BTN Wonua Morini Blok D No.2</v>
      </c>
      <c r="L262" s="24"/>
      <c r="M262" s="24"/>
      <c r="N262" s="24" t="str">
        <f>IFERROR(__xludf.DUMMYFUNCTION("""COMPUTED_VALUE"""),"SMA / SMK / MA")</f>
        <v>SMA / SMK / MA</v>
      </c>
      <c r="O262" s="24"/>
      <c r="P262" s="24"/>
      <c r="Q262" s="24"/>
      <c r="R262" s="24" t="str">
        <f>IFERROR(__xludf.DUMMYFUNCTION("""COMPUTED_VALUE"""),"K")</f>
        <v>K</v>
      </c>
      <c r="S262" s="25"/>
    </row>
    <row r="263" ht="22.5" customHeight="1">
      <c r="A263" s="22">
        <v>262.0</v>
      </c>
      <c r="B263" s="24" t="str">
        <f>IFERROR(__xludf.DUMMYFUNCTION("""COMPUTED_VALUE"""),"Desainer Grafis Muda")</f>
        <v>Desainer Grafis Muda</v>
      </c>
      <c r="C263" s="24" t="str">
        <f>IFERROR(__xludf.DUMMYFUNCTION("""COMPUTED_VALUE"""),"SMK Negeri 6 Kendari")</f>
        <v>SMK Negeri 6 Kendari</v>
      </c>
      <c r="D263" s="24"/>
      <c r="E263" s="24"/>
      <c r="F263" s="24" t="str">
        <f>IFERROR(__xludf.DUMMYFUNCTION("""COMPUTED_VALUE"""),"Putri Adilasari")</f>
        <v>Putri Adilasari</v>
      </c>
      <c r="G263" s="24" t="str">
        <f>IFERROR(__xludf.DUMMYFUNCTION("""COMPUTED_VALUE"""),"7408026304080001")</f>
        <v>7408026304080001</v>
      </c>
      <c r="H263" s="24"/>
      <c r="I263" s="24"/>
      <c r="J263" s="24" t="str">
        <f>IFERROR(__xludf.DUMMYFUNCTION("""COMPUTED_VALUE"""),"PEREMPUAN")</f>
        <v>PEREMPUAN</v>
      </c>
      <c r="K263" s="24" t="str">
        <f>IFERROR(__xludf.DUMMYFUNCTION("""COMPUTED_VALUE"""),"Kelurahan Lepo-lepo")</f>
        <v>Kelurahan Lepo-lepo</v>
      </c>
      <c r="L263" s="24"/>
      <c r="M263" s="24"/>
      <c r="N263" s="24" t="str">
        <f>IFERROR(__xludf.DUMMYFUNCTION("""COMPUTED_VALUE"""),"SMA / SMK / MA")</f>
        <v>SMA / SMK / MA</v>
      </c>
      <c r="O263" s="24"/>
      <c r="P263" s="24"/>
      <c r="Q263" s="24"/>
      <c r="R263" s="24" t="str">
        <f>IFERROR(__xludf.DUMMYFUNCTION("""COMPUTED_VALUE"""),"K")</f>
        <v>K</v>
      </c>
      <c r="S263" s="25"/>
    </row>
    <row r="264" ht="22.5" customHeight="1">
      <c r="A264" s="22">
        <v>263.0</v>
      </c>
      <c r="B264" s="24" t="str">
        <f>IFERROR(__xludf.DUMMYFUNCTION("""COMPUTED_VALUE"""),"Desainer Grafis Muda")</f>
        <v>Desainer Grafis Muda</v>
      </c>
      <c r="C264" s="24" t="str">
        <f>IFERROR(__xludf.DUMMYFUNCTION("""COMPUTED_VALUE"""),"SMK Negeri 6 Kendari")</f>
        <v>SMK Negeri 6 Kendari</v>
      </c>
      <c r="D264" s="24"/>
      <c r="E264" s="24"/>
      <c r="F264" s="24" t="str">
        <f>IFERROR(__xludf.DUMMYFUNCTION("""COMPUTED_VALUE"""),"Febriana Anastasya Cahaya")</f>
        <v>Febriana Anastasya Cahaya</v>
      </c>
      <c r="G264" s="24" t="str">
        <f>IFERROR(__xludf.DUMMYFUNCTION("""COMPUTED_VALUE"""),"7471036002080004")</f>
        <v>7471036002080004</v>
      </c>
      <c r="H264" s="24"/>
      <c r="I264" s="24"/>
      <c r="J264" s="24" t="str">
        <f>IFERROR(__xludf.DUMMYFUNCTION("""COMPUTED_VALUE"""),"PEREMPUAN")</f>
        <v>PEREMPUAN</v>
      </c>
      <c r="K264" s="24" t="str">
        <f>IFERROR(__xludf.DUMMYFUNCTION("""COMPUTED_VALUE"""),"Jl. H. Lamuse No. 9/Kantor Lurah Lepo-lepo")</f>
        <v>Jl. H. Lamuse No. 9/Kantor Lurah Lepo-lepo</v>
      </c>
      <c r="L264" s="24"/>
      <c r="M264" s="24"/>
      <c r="N264" s="24" t="str">
        <f>IFERROR(__xludf.DUMMYFUNCTION("""COMPUTED_VALUE"""),"SMA / SMK / MA")</f>
        <v>SMA / SMK / MA</v>
      </c>
      <c r="O264" s="24"/>
      <c r="P264" s="24"/>
      <c r="Q264" s="24"/>
      <c r="R264" s="24" t="str">
        <f>IFERROR(__xludf.DUMMYFUNCTION("""COMPUTED_VALUE"""),"K")</f>
        <v>K</v>
      </c>
      <c r="S264" s="25"/>
    </row>
    <row r="265" ht="22.5" customHeight="1">
      <c r="A265" s="22">
        <v>264.0</v>
      </c>
      <c r="B265" s="24" t="str">
        <f>IFERROR(__xludf.DUMMYFUNCTION("""COMPUTED_VALUE"""),"Desainer Grafis Muda")</f>
        <v>Desainer Grafis Muda</v>
      </c>
      <c r="C265" s="24" t="str">
        <f>IFERROR(__xludf.DUMMYFUNCTION("""COMPUTED_VALUE"""),"SMK Negeri 6 Kendari")</f>
        <v>SMK Negeri 6 Kendari</v>
      </c>
      <c r="D265" s="24"/>
      <c r="E265" s="24"/>
      <c r="F265" s="24" t="str">
        <f>IFERROR(__xludf.DUMMYFUNCTION("""COMPUTED_VALUE"""),"Haikal Hermawan Saputra")</f>
        <v>Haikal Hermawan Saputra</v>
      </c>
      <c r="G265" s="24" t="str">
        <f>IFERROR(__xludf.DUMMYFUNCTION("""COMPUTED_VALUE"""),"7471071302080003")</f>
        <v>7471071302080003</v>
      </c>
      <c r="H265" s="24"/>
      <c r="I265" s="24"/>
      <c r="J265" s="24" t="str">
        <f>IFERROR(__xludf.DUMMYFUNCTION("""COMPUTED_VALUE"""),"LAKI-LAKI")</f>
        <v>LAKI-LAKI</v>
      </c>
      <c r="K265" s="24" t="str">
        <f>IFERROR(__xludf.DUMMYFUNCTION("""COMPUTED_VALUE"""),"Jl. Chairil Anwar No. 436")</f>
        <v>Jl. Chairil Anwar No. 436</v>
      </c>
      <c r="L265" s="24"/>
      <c r="M265" s="24"/>
      <c r="N265" s="24" t="str">
        <f>IFERROR(__xludf.DUMMYFUNCTION("""COMPUTED_VALUE"""),"SMA / SMK / MA")</f>
        <v>SMA / SMK / MA</v>
      </c>
      <c r="O265" s="24"/>
      <c r="P265" s="24"/>
      <c r="Q265" s="24"/>
      <c r="R265" s="24" t="str">
        <f>IFERROR(__xludf.DUMMYFUNCTION("""COMPUTED_VALUE"""),"K")</f>
        <v>K</v>
      </c>
      <c r="S265" s="25"/>
    </row>
    <row r="266" ht="22.5" customHeight="1">
      <c r="A266" s="22">
        <v>265.0</v>
      </c>
      <c r="B266" s="24" t="str">
        <f>IFERROR(__xludf.DUMMYFUNCTION("""COMPUTED_VALUE"""),"Desainer Grafis Muda")</f>
        <v>Desainer Grafis Muda</v>
      </c>
      <c r="C266" s="24" t="str">
        <f>IFERROR(__xludf.DUMMYFUNCTION("""COMPUTED_VALUE"""),"SMK Negeri 6 Kendari")</f>
        <v>SMK Negeri 6 Kendari</v>
      </c>
      <c r="D266" s="24"/>
      <c r="E266" s="24"/>
      <c r="F266" s="24" t="str">
        <f>IFERROR(__xludf.DUMMYFUNCTION("""COMPUTED_VALUE"""),"Darwin")</f>
        <v>Darwin</v>
      </c>
      <c r="G266" s="24" t="str">
        <f>IFERROR(__xludf.DUMMYFUNCTION("""COMPUTED_VALUE"""),"7471030611080001")</f>
        <v>7471030611080001</v>
      </c>
      <c r="H266" s="24"/>
      <c r="I266" s="24"/>
      <c r="J266" s="24" t="str">
        <f>IFERROR(__xludf.DUMMYFUNCTION("""COMPUTED_VALUE"""),"LAKI-LAKI")</f>
        <v>LAKI-LAKI</v>
      </c>
      <c r="K266" s="24" t="str">
        <f>IFERROR(__xludf.DUMMYFUNCTION("""COMPUTED_VALUE"""),"Jl. Amohalo, Kel. Baruga, Kec. Baruga")</f>
        <v>Jl. Amohalo, Kel. Baruga, Kec. Baruga</v>
      </c>
      <c r="L266" s="24"/>
      <c r="M266" s="24"/>
      <c r="N266" s="24" t="str">
        <f>IFERROR(__xludf.DUMMYFUNCTION("""COMPUTED_VALUE"""),"SMA / SMK / MA")</f>
        <v>SMA / SMK / MA</v>
      </c>
      <c r="O266" s="24"/>
      <c r="P266" s="24"/>
      <c r="Q266" s="24"/>
      <c r="R266" s="24" t="str">
        <f>IFERROR(__xludf.DUMMYFUNCTION("""COMPUTED_VALUE"""),"K")</f>
        <v>K</v>
      </c>
      <c r="S266" s="25"/>
    </row>
    <row r="267" ht="22.5" customHeight="1">
      <c r="A267" s="22">
        <v>266.0</v>
      </c>
      <c r="B267" s="24" t="str">
        <f>IFERROR(__xludf.DUMMYFUNCTION("""COMPUTED_VALUE"""),"Desainer Grafis Muda")</f>
        <v>Desainer Grafis Muda</v>
      </c>
      <c r="C267" s="24" t="str">
        <f>IFERROR(__xludf.DUMMYFUNCTION("""COMPUTED_VALUE"""),"SMK Negeri 6 Kendari")</f>
        <v>SMK Negeri 6 Kendari</v>
      </c>
      <c r="D267" s="24"/>
      <c r="E267" s="24"/>
      <c r="F267" s="24" t="str">
        <f>IFERROR(__xludf.DUMMYFUNCTION("""COMPUTED_VALUE"""),"Andi Muh. Aldi Ramadhan W.")</f>
        <v>Andi Muh. Aldi Ramadhan W.</v>
      </c>
      <c r="G267" s="24" t="str">
        <f>IFERROR(__xludf.DUMMYFUNCTION("""COMPUTED_VALUE"""),"7471051509080001")</f>
        <v>7471051509080001</v>
      </c>
      <c r="H267" s="24"/>
      <c r="I267" s="24"/>
      <c r="J267" s="24" t="str">
        <f>IFERROR(__xludf.DUMMYFUNCTION("""COMPUTED_VALUE"""),"LAKI-LAKI")</f>
        <v>LAKI-LAKI</v>
      </c>
      <c r="K267" s="24" t="str">
        <f>IFERROR(__xludf.DUMMYFUNCTION("""COMPUTED_VALUE"""),"Jl. Kijang Anduonohu")</f>
        <v>Jl. Kijang Anduonohu</v>
      </c>
      <c r="L267" s="24"/>
      <c r="M267" s="24"/>
      <c r="N267" s="24" t="str">
        <f>IFERROR(__xludf.DUMMYFUNCTION("""COMPUTED_VALUE"""),"SMA / SMK / MA")</f>
        <v>SMA / SMK / MA</v>
      </c>
      <c r="O267" s="24"/>
      <c r="P267" s="24"/>
      <c r="Q267" s="24"/>
      <c r="R267" s="24" t="str">
        <f>IFERROR(__xludf.DUMMYFUNCTION("""COMPUTED_VALUE"""),"K")</f>
        <v>K</v>
      </c>
      <c r="S267" s="25"/>
    </row>
    <row r="268" ht="22.5" customHeight="1">
      <c r="A268" s="22">
        <v>267.0</v>
      </c>
      <c r="B268" s="24" t="str">
        <f>IFERROR(__xludf.DUMMYFUNCTION("""COMPUTED_VALUE"""),"Desainer Grafis Muda")</f>
        <v>Desainer Grafis Muda</v>
      </c>
      <c r="C268" s="24" t="str">
        <f>IFERROR(__xludf.DUMMYFUNCTION("""COMPUTED_VALUE"""),"SMK Negeri 6 Kendari")</f>
        <v>SMK Negeri 6 Kendari</v>
      </c>
      <c r="D268" s="24"/>
      <c r="E268" s="24"/>
      <c r="F268" s="24" t="str">
        <f>IFERROR(__xludf.DUMMYFUNCTION("""COMPUTED_VALUE"""),"M Fadhil Saputra")</f>
        <v>M Fadhil Saputra</v>
      </c>
      <c r="G268" s="24" t="str">
        <f>IFERROR(__xludf.DUMMYFUNCTION("""COMPUTED_VALUE"""),"7471032907060001")</f>
        <v>7471032907060001</v>
      </c>
      <c r="H268" s="24"/>
      <c r="I268" s="24"/>
      <c r="J268" s="24" t="str">
        <f>IFERROR(__xludf.DUMMYFUNCTION("""COMPUTED_VALUE"""),"LAKI-LAKI")</f>
        <v>LAKI-LAKI</v>
      </c>
      <c r="K268" s="24" t="str">
        <f>IFERROR(__xludf.DUMMYFUNCTION("""COMPUTED_VALUE"""),"BTN Latjinta 2 B8 No 6 Baruga")</f>
        <v>BTN Latjinta 2 B8 No 6 Baruga</v>
      </c>
      <c r="L268" s="24"/>
      <c r="M268" s="24"/>
      <c r="N268" s="24" t="str">
        <f>IFERROR(__xludf.DUMMYFUNCTION("""COMPUTED_VALUE"""),"SMA / SMK / MA")</f>
        <v>SMA / SMK / MA</v>
      </c>
      <c r="O268" s="24"/>
      <c r="P268" s="24"/>
      <c r="Q268" s="24"/>
      <c r="R268" s="24" t="str">
        <f>IFERROR(__xludf.DUMMYFUNCTION("""COMPUTED_VALUE"""),"K")</f>
        <v>K</v>
      </c>
      <c r="S268" s="25"/>
    </row>
    <row r="269" ht="22.5" customHeight="1">
      <c r="A269" s="22">
        <v>268.0</v>
      </c>
      <c r="B269" s="24" t="str">
        <f>IFERROR(__xludf.DUMMYFUNCTION("""COMPUTED_VALUE"""),"Desainer Grafis Muda")</f>
        <v>Desainer Grafis Muda</v>
      </c>
      <c r="C269" s="24" t="str">
        <f>IFERROR(__xludf.DUMMYFUNCTION("""COMPUTED_VALUE"""),"SMK Negeri 6 Kendari")</f>
        <v>SMK Negeri 6 Kendari</v>
      </c>
      <c r="D269" s="24"/>
      <c r="E269" s="24"/>
      <c r="F269" s="24" t="str">
        <f>IFERROR(__xludf.DUMMYFUNCTION("""COMPUTED_VALUE"""),"M. Anugrah R")</f>
        <v>M. Anugrah R</v>
      </c>
      <c r="G269" s="24" t="str">
        <f>IFERROR(__xludf.DUMMYFUNCTION("""COMPUTED_VALUE"""),"7471032110080002")</f>
        <v>7471032110080002</v>
      </c>
      <c r="H269" s="24"/>
      <c r="I269" s="24"/>
      <c r="J269" s="24" t="str">
        <f>IFERROR(__xludf.DUMMYFUNCTION("""COMPUTED_VALUE"""),"LAKI-LAKI")</f>
        <v>LAKI-LAKI</v>
      </c>
      <c r="K269" s="24" t="str">
        <f>IFERROR(__xludf.DUMMYFUNCTION("""COMPUTED_VALUE"""),"Jl. Simbo")</f>
        <v>Jl. Simbo</v>
      </c>
      <c r="L269" s="24"/>
      <c r="M269" s="24"/>
      <c r="N269" s="24" t="str">
        <f>IFERROR(__xludf.DUMMYFUNCTION("""COMPUTED_VALUE"""),"SMA / SMK / MA")</f>
        <v>SMA / SMK / MA</v>
      </c>
      <c r="O269" s="24"/>
      <c r="P269" s="24"/>
      <c r="Q269" s="24"/>
      <c r="R269" s="24" t="str">
        <f>IFERROR(__xludf.DUMMYFUNCTION("""COMPUTED_VALUE"""),"K")</f>
        <v>K</v>
      </c>
      <c r="S269" s="25"/>
    </row>
    <row r="270" ht="22.5" customHeight="1">
      <c r="A270" s="22">
        <v>269.0</v>
      </c>
      <c r="B270" s="24" t="str">
        <f>IFERROR(__xludf.DUMMYFUNCTION("""COMPUTED_VALUE"""),"Desainer Grafis Muda")</f>
        <v>Desainer Grafis Muda</v>
      </c>
      <c r="C270" s="24" t="str">
        <f>IFERROR(__xludf.DUMMYFUNCTION("""COMPUTED_VALUE"""),"SMK Negeri 6 Kendari")</f>
        <v>SMK Negeri 6 Kendari</v>
      </c>
      <c r="D270" s="24"/>
      <c r="E270" s="24"/>
      <c r="F270" s="24" t="str">
        <f>IFERROR(__xludf.DUMMYFUNCTION("""COMPUTED_VALUE"""),"Andi Alfian Ramadhan ayfhar")</f>
        <v>Andi Alfian Ramadhan ayfhar</v>
      </c>
      <c r="G270" s="86" t="str">
        <f>IFERROR(__xludf.DUMMYFUNCTION("""COMPUTED_VALUE"""),"7471031409080001")</f>
        <v>7471031409080001</v>
      </c>
      <c r="H270" s="24"/>
      <c r="I270" s="24"/>
      <c r="J270" s="24" t="str">
        <f>IFERROR(__xludf.DUMMYFUNCTION("""COMPUTED_VALUE"""),"LAKI-LAKI")</f>
        <v>LAKI-LAKI</v>
      </c>
      <c r="K270" s="24" t="str">
        <f>IFERROR(__xludf.DUMMYFUNCTION("""COMPUTED_VALUE"""),"BTN Bumi Wangggu Permai Blok C No 8")</f>
        <v>BTN Bumi Wangggu Permai Blok C No 8</v>
      </c>
      <c r="L270" s="24"/>
      <c r="M270" s="24"/>
      <c r="N270" s="24" t="str">
        <f>IFERROR(__xludf.DUMMYFUNCTION("""COMPUTED_VALUE"""),"SMA / SMK / MA")</f>
        <v>SMA / SMK / MA</v>
      </c>
      <c r="O270" s="24"/>
      <c r="P270" s="24"/>
      <c r="Q270" s="24"/>
      <c r="R270" s="24" t="str">
        <f>IFERROR(__xludf.DUMMYFUNCTION("""COMPUTED_VALUE"""),"K")</f>
        <v>K</v>
      </c>
      <c r="S270" s="25"/>
    </row>
    <row r="271" ht="22.5" customHeight="1">
      <c r="A271" s="22">
        <v>270.0</v>
      </c>
      <c r="B271" s="24" t="str">
        <f>IFERROR(__xludf.DUMMYFUNCTION("""COMPUTED_VALUE"""),"Desainer Grafis Muda")</f>
        <v>Desainer Grafis Muda</v>
      </c>
      <c r="C271" s="24" t="str">
        <f>IFERROR(__xludf.DUMMYFUNCTION("""COMPUTED_VALUE"""),"SMK Negeri 6 Kendari")</f>
        <v>SMK Negeri 6 Kendari</v>
      </c>
      <c r="D271" s="24"/>
      <c r="E271" s="24"/>
      <c r="F271" s="24" t="str">
        <f>IFERROR(__xludf.DUMMYFUNCTION("""COMPUTED_VALUE"""),"Chelsi Aulia")</f>
        <v>Chelsi Aulia</v>
      </c>
      <c r="G271" s="24" t="str">
        <f>IFERROR(__xludf.DUMMYFUNCTION("""COMPUTED_VALUE"""),"7471034112090001")</f>
        <v>7471034112090001</v>
      </c>
      <c r="H271" s="24"/>
      <c r="I271" s="24"/>
      <c r="J271" s="24" t="str">
        <f>IFERROR(__xludf.DUMMYFUNCTION("""COMPUTED_VALUE"""),"PEREMPUAN")</f>
        <v>PEREMPUAN</v>
      </c>
      <c r="K271" s="24" t="str">
        <f>IFERROR(__xludf.DUMMYFUNCTION("""COMPUTED_VALUE"""),"Jl. Amohalo, Kel. Baruga, Kec. Baruga")</f>
        <v>Jl. Amohalo, Kel. Baruga, Kec. Baruga</v>
      </c>
      <c r="L271" s="24"/>
      <c r="M271" s="24"/>
      <c r="N271" s="24" t="str">
        <f>IFERROR(__xludf.DUMMYFUNCTION("""COMPUTED_VALUE"""),"SMA / SMK / MA")</f>
        <v>SMA / SMK / MA</v>
      </c>
      <c r="O271" s="24"/>
      <c r="P271" s="24"/>
      <c r="Q271" s="24"/>
      <c r="R271" s="24" t="str">
        <f>IFERROR(__xludf.DUMMYFUNCTION("""COMPUTED_VALUE"""),"K")</f>
        <v>K</v>
      </c>
      <c r="S271" s="25"/>
    </row>
    <row r="272" ht="22.5" customHeight="1">
      <c r="A272" s="22">
        <v>271.0</v>
      </c>
      <c r="B272" s="24" t="str">
        <f>IFERROR(__xludf.DUMMYFUNCTION("""COMPUTED_VALUE"""),"Desainer Grafis Muda")</f>
        <v>Desainer Grafis Muda</v>
      </c>
      <c r="C272" s="24" t="str">
        <f>IFERROR(__xludf.DUMMYFUNCTION("""COMPUTED_VALUE"""),"SMK Negeri 6 Kendari")</f>
        <v>SMK Negeri 6 Kendari</v>
      </c>
      <c r="D272" s="24"/>
      <c r="E272" s="24"/>
      <c r="F272" s="24" t="str">
        <f>IFERROR(__xludf.DUMMYFUNCTION("""COMPUTED_VALUE"""),"Andi Khalisa Noer Amalia")</f>
        <v>Andi Khalisa Noer Amalia</v>
      </c>
      <c r="G272" s="24" t="str">
        <f>IFERROR(__xludf.DUMMYFUNCTION("""COMPUTED_VALUE"""),"7471054801090002")</f>
        <v>7471054801090002</v>
      </c>
      <c r="H272" s="24"/>
      <c r="I272" s="24"/>
      <c r="J272" s="24" t="str">
        <f>IFERROR(__xludf.DUMMYFUNCTION("""COMPUTED_VALUE"""),"PEREMPUAN")</f>
        <v>PEREMPUAN</v>
      </c>
      <c r="K272" s="24" t="str">
        <f>IFERROR(__xludf.DUMMYFUNCTION("""COMPUTED_VALUE"""),"BTN Tawang Alun 2 Blok P No 6")</f>
        <v>BTN Tawang Alun 2 Blok P No 6</v>
      </c>
      <c r="L272" s="24"/>
      <c r="M272" s="24"/>
      <c r="N272" s="24" t="str">
        <f>IFERROR(__xludf.DUMMYFUNCTION("""COMPUTED_VALUE"""),"SMA / SMK / MA")</f>
        <v>SMA / SMK / MA</v>
      </c>
      <c r="O272" s="24"/>
      <c r="P272" s="24"/>
      <c r="Q272" s="24"/>
      <c r="R272" s="24" t="str">
        <f>IFERROR(__xludf.DUMMYFUNCTION("""COMPUTED_VALUE"""),"BK")</f>
        <v>BK</v>
      </c>
      <c r="S272" s="25"/>
    </row>
    <row r="273" ht="22.5" customHeight="1">
      <c r="A273" s="22">
        <v>272.0</v>
      </c>
      <c r="B273" s="24" t="str">
        <f>IFERROR(__xludf.DUMMYFUNCTION("""COMPUTED_VALUE"""),"Desainer Grafis Muda")</f>
        <v>Desainer Grafis Muda</v>
      </c>
      <c r="C273" s="24" t="str">
        <f>IFERROR(__xludf.DUMMYFUNCTION("""COMPUTED_VALUE"""),"SMK Negeri 6 Kendari")</f>
        <v>SMK Negeri 6 Kendari</v>
      </c>
      <c r="D273" s="24"/>
      <c r="E273" s="24"/>
      <c r="F273" s="24" t="str">
        <f>IFERROR(__xludf.DUMMYFUNCTION("""COMPUTED_VALUE"""),"Fidya Sari Putri")</f>
        <v>Fidya Sari Putri</v>
      </c>
      <c r="G273" s="24" t="str">
        <f>IFERROR(__xludf.DUMMYFUNCTION("""COMPUTED_VALUE"""),"7471054805080001")</f>
        <v>7471054805080001</v>
      </c>
      <c r="H273" s="24"/>
      <c r="I273" s="24"/>
      <c r="J273" s="24" t="str">
        <f>IFERROR(__xludf.DUMMYFUNCTION("""COMPUTED_VALUE"""),"PEREMPUAN")</f>
        <v>PEREMPUAN</v>
      </c>
      <c r="K273" s="24" t="str">
        <f>IFERROR(__xludf.DUMMYFUNCTION("""COMPUTED_VALUE"""),"BTN Medi Brata Blok A 10")</f>
        <v>BTN Medi Brata Blok A 10</v>
      </c>
      <c r="L273" s="24"/>
      <c r="M273" s="24"/>
      <c r="N273" s="24" t="str">
        <f>IFERROR(__xludf.DUMMYFUNCTION("""COMPUTED_VALUE"""),"SMA / SMK / MA")</f>
        <v>SMA / SMK / MA</v>
      </c>
      <c r="O273" s="24"/>
      <c r="P273" s="24"/>
      <c r="Q273" s="24"/>
      <c r="R273" s="24" t="str">
        <f>IFERROR(__xludf.DUMMYFUNCTION("""COMPUTED_VALUE"""),"K")</f>
        <v>K</v>
      </c>
      <c r="S273" s="25"/>
    </row>
    <row r="274" ht="22.5" customHeight="1">
      <c r="A274" s="22">
        <v>273.0</v>
      </c>
      <c r="B274" s="24" t="str">
        <f>IFERROR(__xludf.DUMMYFUNCTION("""COMPUTED_VALUE"""),"Desainer Grafis Muda")</f>
        <v>Desainer Grafis Muda</v>
      </c>
      <c r="C274" s="24" t="str">
        <f>IFERROR(__xludf.DUMMYFUNCTION("""COMPUTED_VALUE"""),"SMK Negeri 6 Kendari")</f>
        <v>SMK Negeri 6 Kendari</v>
      </c>
      <c r="D274" s="24"/>
      <c r="E274" s="24"/>
      <c r="F274" s="24" t="str">
        <f>IFERROR(__xludf.DUMMYFUNCTION("""COMPUTED_VALUE"""),"Dila Tri Astuti")</f>
        <v>Dila Tri Astuti</v>
      </c>
      <c r="G274" s="24" t="str">
        <f>IFERROR(__xludf.DUMMYFUNCTION("""COMPUTED_VALUE"""),"7405224211070001")</f>
        <v>7405224211070001</v>
      </c>
      <c r="H274" s="24"/>
      <c r="I274" s="24"/>
      <c r="J274" s="24" t="str">
        <f>IFERROR(__xludf.DUMMYFUNCTION("""COMPUTED_VALUE"""),"PEREMPUAN")</f>
        <v>PEREMPUAN</v>
      </c>
      <c r="K274" s="24" t="str">
        <f>IFERROR(__xludf.DUMMYFUNCTION("""COMPUTED_VALUE"""),"Jl. Sindang Kasih, Kec. Ranomeeto")</f>
        <v>Jl. Sindang Kasih, Kec. Ranomeeto</v>
      </c>
      <c r="L274" s="24"/>
      <c r="M274" s="24"/>
      <c r="N274" s="24" t="str">
        <f>IFERROR(__xludf.DUMMYFUNCTION("""COMPUTED_VALUE"""),"SMA / SMK / MA")</f>
        <v>SMA / SMK / MA</v>
      </c>
      <c r="O274" s="24"/>
      <c r="P274" s="24"/>
      <c r="Q274" s="24"/>
      <c r="R274" s="24" t="str">
        <f>IFERROR(__xludf.DUMMYFUNCTION("""COMPUTED_VALUE"""),"K")</f>
        <v>K</v>
      </c>
      <c r="S274" s="25"/>
    </row>
    <row r="275" ht="22.5" customHeight="1">
      <c r="A275" s="22">
        <v>274.0</v>
      </c>
      <c r="B275" s="24" t="str">
        <f>IFERROR(__xludf.DUMMYFUNCTION("""COMPUTED_VALUE"""),"Desainer Grafis Muda")</f>
        <v>Desainer Grafis Muda</v>
      </c>
      <c r="C275" s="24" t="str">
        <f>IFERROR(__xludf.DUMMYFUNCTION("""COMPUTED_VALUE"""),"SMK Negeri 6 Kendari")</f>
        <v>SMK Negeri 6 Kendari</v>
      </c>
      <c r="D275" s="24"/>
      <c r="E275" s="24"/>
      <c r="F275" s="24" t="str">
        <f>IFERROR(__xludf.DUMMYFUNCTION("""COMPUTED_VALUE"""),"Ilham Firmansyah")</f>
        <v>Ilham Firmansyah</v>
      </c>
      <c r="G275" s="24" t="str">
        <f>IFERROR(__xludf.DUMMYFUNCTION("""COMPUTED_VALUE"""),"7471030906070001")</f>
        <v>7471030906070001</v>
      </c>
      <c r="H275" s="24"/>
      <c r="I275" s="24"/>
      <c r="J275" s="24" t="str">
        <f>IFERROR(__xludf.DUMMYFUNCTION("""COMPUTED_VALUE"""),"LAKI-LAKI")</f>
        <v>LAKI-LAKI</v>
      </c>
      <c r="K275" s="24" t="str">
        <f>IFERROR(__xludf.DUMMYFUNCTION("""COMPUTED_VALUE"""),"BTN Latjinta 11 Blok B4 No 1")</f>
        <v>BTN Latjinta 11 Blok B4 No 1</v>
      </c>
      <c r="L275" s="24"/>
      <c r="M275" s="24"/>
      <c r="N275" s="24" t="str">
        <f>IFERROR(__xludf.DUMMYFUNCTION("""COMPUTED_VALUE"""),"SMA / SMK / MA")</f>
        <v>SMA / SMK / MA</v>
      </c>
      <c r="O275" s="24"/>
      <c r="P275" s="24"/>
      <c r="Q275" s="24"/>
      <c r="R275" s="24" t="str">
        <f>IFERROR(__xludf.DUMMYFUNCTION("""COMPUTED_VALUE"""),"K")</f>
        <v>K</v>
      </c>
      <c r="S275" s="25"/>
    </row>
    <row r="276" ht="22.5" customHeight="1">
      <c r="A276" s="22">
        <v>275.0</v>
      </c>
      <c r="B276" s="24" t="str">
        <f>IFERROR(__xludf.DUMMYFUNCTION("""COMPUTED_VALUE"""),"Desainer Grafis Muda")</f>
        <v>Desainer Grafis Muda</v>
      </c>
      <c r="C276" s="24" t="str">
        <f>IFERROR(__xludf.DUMMYFUNCTION("""COMPUTED_VALUE"""),"SMK Negeri 6 Kendari")</f>
        <v>SMK Negeri 6 Kendari</v>
      </c>
      <c r="D276" s="24"/>
      <c r="E276" s="24"/>
      <c r="F276" s="24" t="str">
        <f>IFERROR(__xludf.DUMMYFUNCTION("""COMPUTED_VALUE"""),"Lya Rahmadani")</f>
        <v>Lya Rahmadani</v>
      </c>
      <c r="G276" s="24" t="str">
        <f>IFERROR(__xludf.DUMMYFUNCTION("""COMPUTED_VALUE"""),"7471037009080001")</f>
        <v>7471037009080001</v>
      </c>
      <c r="H276" s="24"/>
      <c r="I276" s="24"/>
      <c r="J276" s="24" t="str">
        <f>IFERROR(__xludf.DUMMYFUNCTION("""COMPUTED_VALUE"""),"PEREMPUAN")</f>
        <v>PEREMPUAN</v>
      </c>
      <c r="K276" s="24" t="str">
        <f>IFERROR(__xludf.DUMMYFUNCTION("""COMPUTED_VALUE"""),"Jl. Ade Irma Nasution")</f>
        <v>Jl. Ade Irma Nasution</v>
      </c>
      <c r="L276" s="24"/>
      <c r="M276" s="24"/>
      <c r="N276" s="24" t="str">
        <f>IFERROR(__xludf.DUMMYFUNCTION("""COMPUTED_VALUE"""),"SMA / SMK / MA")</f>
        <v>SMA / SMK / MA</v>
      </c>
      <c r="O276" s="24"/>
      <c r="P276" s="24"/>
      <c r="Q276" s="24"/>
      <c r="R276" s="24" t="str">
        <f>IFERROR(__xludf.DUMMYFUNCTION("""COMPUTED_VALUE"""),"K")</f>
        <v>K</v>
      </c>
      <c r="S276" s="25"/>
    </row>
    <row r="277" ht="22.5" customHeight="1">
      <c r="A277" s="22">
        <v>276.0</v>
      </c>
      <c r="B277" s="24" t="str">
        <f>IFERROR(__xludf.DUMMYFUNCTION("""COMPUTED_VALUE"""),"Desainer Grafis Muda")</f>
        <v>Desainer Grafis Muda</v>
      </c>
      <c r="C277" s="24" t="str">
        <f>IFERROR(__xludf.DUMMYFUNCTION("""COMPUTED_VALUE"""),"SMK Negeri 6 Kendari")</f>
        <v>SMK Negeri 6 Kendari</v>
      </c>
      <c r="D277" s="24"/>
      <c r="E277" s="24"/>
      <c r="F277" s="24" t="str">
        <f>IFERROR(__xludf.DUMMYFUNCTION("""COMPUTED_VALUE"""),"Andini Nuramadani")</f>
        <v>Andini Nuramadani</v>
      </c>
      <c r="G277" s="24" t="str">
        <f>IFERROR(__xludf.DUMMYFUNCTION("""COMPUTED_VALUE"""),"7471035808080101")</f>
        <v>7471035808080101</v>
      </c>
      <c r="H277" s="24"/>
      <c r="I277" s="24"/>
      <c r="J277" s="24" t="str">
        <f>IFERROR(__xludf.DUMMYFUNCTION("""COMPUTED_VALUE"""),"PEREMPUAN")</f>
        <v>PEREMPUAN</v>
      </c>
      <c r="K277" s="24" t="str">
        <f>IFERROR(__xludf.DUMMYFUNCTION("""COMPUTED_VALUE"""),"Jl. Pasar Baruga")</f>
        <v>Jl. Pasar Baruga</v>
      </c>
      <c r="L277" s="24"/>
      <c r="M277" s="24"/>
      <c r="N277" s="24" t="str">
        <f>IFERROR(__xludf.DUMMYFUNCTION("""COMPUTED_VALUE"""),"SMA / SMK / MA")</f>
        <v>SMA / SMK / MA</v>
      </c>
      <c r="O277" s="24"/>
      <c r="P277" s="24"/>
      <c r="Q277" s="24"/>
      <c r="R277" s="24" t="str">
        <f>IFERROR(__xludf.DUMMYFUNCTION("""COMPUTED_VALUE"""),"K")</f>
        <v>K</v>
      </c>
      <c r="S277" s="25"/>
    </row>
    <row r="278" ht="22.5" customHeight="1">
      <c r="A278" s="22">
        <v>277.0</v>
      </c>
      <c r="B278" s="24" t="str">
        <f>IFERROR(__xludf.DUMMYFUNCTION("""COMPUTED_VALUE"""),"Desainer Grafis Muda")</f>
        <v>Desainer Grafis Muda</v>
      </c>
      <c r="C278" s="24" t="str">
        <f>IFERROR(__xludf.DUMMYFUNCTION("""COMPUTED_VALUE"""),"SMK Negeri 6 Kendari")</f>
        <v>SMK Negeri 6 Kendari</v>
      </c>
      <c r="D278" s="24"/>
      <c r="E278" s="24"/>
      <c r="F278" s="24" t="str">
        <f>IFERROR(__xludf.DUMMYFUNCTION("""COMPUTED_VALUE"""),"Natasya Kalfary")</f>
        <v>Natasya Kalfary</v>
      </c>
      <c r="G278" s="24" t="str">
        <f>IFERROR(__xludf.DUMMYFUNCTION("""COMPUTED_VALUE"""),"7405075003080001")</f>
        <v>7405075003080001</v>
      </c>
      <c r="H278" s="24"/>
      <c r="I278" s="24"/>
      <c r="J278" s="24" t="str">
        <f>IFERROR(__xludf.DUMMYFUNCTION("""COMPUTED_VALUE"""),"PEREMPUAN")</f>
        <v>PEREMPUAN</v>
      </c>
      <c r="K278" s="24" t="str">
        <f>IFERROR(__xludf.DUMMYFUNCTION("""COMPUTED_VALUE"""),"Desa Lamomea")</f>
        <v>Desa Lamomea</v>
      </c>
      <c r="L278" s="24"/>
      <c r="M278" s="24"/>
      <c r="N278" s="24" t="str">
        <f>IFERROR(__xludf.DUMMYFUNCTION("""COMPUTED_VALUE"""),"SMA / SMK / MA")</f>
        <v>SMA / SMK / MA</v>
      </c>
      <c r="O278" s="24"/>
      <c r="P278" s="24"/>
      <c r="Q278" s="24"/>
      <c r="R278" s="24" t="str">
        <f>IFERROR(__xludf.DUMMYFUNCTION("""COMPUTED_VALUE"""),"K")</f>
        <v>K</v>
      </c>
      <c r="S278" s="25"/>
    </row>
    <row r="279" ht="22.5" customHeight="1">
      <c r="A279" s="22">
        <v>278.0</v>
      </c>
      <c r="B279" s="24" t="str">
        <f>IFERROR(__xludf.DUMMYFUNCTION("""COMPUTED_VALUE"""),"Desainer Grafis Muda")</f>
        <v>Desainer Grafis Muda</v>
      </c>
      <c r="C279" s="24" t="str">
        <f>IFERROR(__xludf.DUMMYFUNCTION("""COMPUTED_VALUE"""),"SMK Negeri 6 Kendari")</f>
        <v>SMK Negeri 6 Kendari</v>
      </c>
      <c r="D279" s="24"/>
      <c r="E279" s="24"/>
      <c r="F279" s="24" t="str">
        <f>IFERROR(__xludf.DUMMYFUNCTION("""COMPUTED_VALUE"""),"Silvia Ratnisha Fitri")</f>
        <v>Silvia Ratnisha Fitri</v>
      </c>
      <c r="G279" s="24">
        <f>IFERROR(__xludf.DUMMYFUNCTION("""COMPUTED_VALUE"""),7.40508490907004E14)</f>
        <v>740508490907004</v>
      </c>
      <c r="H279" s="24"/>
      <c r="I279" s="24"/>
      <c r="J279" s="24" t="str">
        <f>IFERROR(__xludf.DUMMYFUNCTION("""COMPUTED_VALUE"""),"PEREMPUAN")</f>
        <v>PEREMPUAN</v>
      </c>
      <c r="K279" s="24" t="str">
        <f>IFERROR(__xludf.DUMMYFUNCTION("""COMPUTED_VALUE"""),"Jl. Melati, Desa Kota Bangun, Kec. Ranomeeto")</f>
        <v>Jl. Melati, Desa Kota Bangun, Kec. Ranomeeto</v>
      </c>
      <c r="L279" s="24"/>
      <c r="M279" s="24"/>
      <c r="N279" s="24" t="str">
        <f>IFERROR(__xludf.DUMMYFUNCTION("""COMPUTED_VALUE"""),"SMA / SMK / MA")</f>
        <v>SMA / SMK / MA</v>
      </c>
      <c r="O279" s="24"/>
      <c r="P279" s="24"/>
      <c r="Q279" s="24"/>
      <c r="R279" s="24" t="str">
        <f>IFERROR(__xludf.DUMMYFUNCTION("""COMPUTED_VALUE"""),"K")</f>
        <v>K</v>
      </c>
      <c r="S279" s="25"/>
    </row>
    <row r="280" ht="22.5" customHeight="1">
      <c r="A280" s="22">
        <v>279.0</v>
      </c>
      <c r="B280" s="24" t="str">
        <f>IFERROR(__xludf.DUMMYFUNCTION("""COMPUTED_VALUE"""),"Desainer Grafis Muda")</f>
        <v>Desainer Grafis Muda</v>
      </c>
      <c r="C280" s="24" t="str">
        <f>IFERROR(__xludf.DUMMYFUNCTION("""COMPUTED_VALUE"""),"SMK Negeri 6 Kendari")</f>
        <v>SMK Negeri 6 Kendari</v>
      </c>
      <c r="D280" s="24"/>
      <c r="E280" s="24"/>
      <c r="F280" s="24" t="str">
        <f>IFERROR(__xludf.DUMMYFUNCTION("""COMPUTED_VALUE"""),"Adil Asmara")</f>
        <v>Adil Asmara</v>
      </c>
      <c r="G280" s="24" t="str">
        <f>IFERROR(__xludf.DUMMYFUNCTION("""COMPUTED_VALUE"""),"7471030610080002")</f>
        <v>7471030610080002</v>
      </c>
      <c r="H280" s="24"/>
      <c r="I280" s="24"/>
      <c r="J280" s="24" t="str">
        <f>IFERROR(__xludf.DUMMYFUNCTION("""COMPUTED_VALUE"""),"LAKI-LAKI")</f>
        <v>LAKI-LAKI</v>
      </c>
      <c r="K280" s="24" t="str">
        <f>IFERROR(__xludf.DUMMYFUNCTION("""COMPUTED_VALUE"""),"Jl. Amohalo")</f>
        <v>Jl. Amohalo</v>
      </c>
      <c r="L280" s="24"/>
      <c r="M280" s="24"/>
      <c r="N280" s="24" t="str">
        <f>IFERROR(__xludf.DUMMYFUNCTION("""COMPUTED_VALUE"""),"SMA / SMK / MA")</f>
        <v>SMA / SMK / MA</v>
      </c>
      <c r="O280" s="24"/>
      <c r="P280" s="24"/>
      <c r="Q280" s="24"/>
      <c r="R280" s="24" t="str">
        <f>IFERROR(__xludf.DUMMYFUNCTION("""COMPUTED_VALUE"""),"K")</f>
        <v>K</v>
      </c>
      <c r="S280" s="25"/>
    </row>
    <row r="281" ht="22.5" customHeight="1">
      <c r="A281" s="22">
        <v>280.0</v>
      </c>
      <c r="B281" s="24" t="str">
        <f>IFERROR(__xludf.DUMMYFUNCTION("""COMPUTED_VALUE"""),"Desainer Grafis Muda")</f>
        <v>Desainer Grafis Muda</v>
      </c>
      <c r="C281" s="24" t="str">
        <f>IFERROR(__xludf.DUMMYFUNCTION("""COMPUTED_VALUE"""),"SMK Negeri 6 Kendari")</f>
        <v>SMK Negeri 6 Kendari</v>
      </c>
      <c r="D281" s="24"/>
      <c r="E281" s="24"/>
      <c r="F281" s="24" t="str">
        <f>IFERROR(__xludf.DUMMYFUNCTION("""COMPUTED_VALUE"""),"Hairul Hermawan Saputra")</f>
        <v>Hairul Hermawan Saputra</v>
      </c>
      <c r="G281" s="24" t="str">
        <f>IFERROR(__xludf.DUMMYFUNCTION("""COMPUTED_VALUE"""),"7471071302080004")</f>
        <v>7471071302080004</v>
      </c>
      <c r="H281" s="24"/>
      <c r="I281" s="24"/>
      <c r="J281" s="24" t="str">
        <f>IFERROR(__xludf.DUMMYFUNCTION("""COMPUTED_VALUE"""),"LAKI-LAKI")</f>
        <v>LAKI-LAKI</v>
      </c>
      <c r="K281" s="24" t="str">
        <f>IFERROR(__xludf.DUMMYFUNCTION("""COMPUTED_VALUE"""),"Jl.Chairil Anwar N0.43C ")</f>
        <v>Jl.Chairil Anwar N0.43C </v>
      </c>
      <c r="L281" s="24"/>
      <c r="M281" s="24"/>
      <c r="N281" s="24" t="str">
        <f>IFERROR(__xludf.DUMMYFUNCTION("""COMPUTED_VALUE"""),"SMA / SMK / MA")</f>
        <v>SMA / SMK / MA</v>
      </c>
      <c r="O281" s="24"/>
      <c r="P281" s="24"/>
      <c r="Q281" s="24"/>
      <c r="R281" s="24" t="str">
        <f>IFERROR(__xludf.DUMMYFUNCTION("""COMPUTED_VALUE"""),"K")</f>
        <v>K</v>
      </c>
      <c r="S281" s="25"/>
    </row>
    <row r="282" ht="22.5" customHeight="1">
      <c r="A282" s="22">
        <v>281.0</v>
      </c>
      <c r="B282" s="24" t="str">
        <f>IFERROR(__xludf.DUMMYFUNCTION("""COMPUTED_VALUE"""),"Desainer Grafis Muda")</f>
        <v>Desainer Grafis Muda</v>
      </c>
      <c r="C282" s="24" t="str">
        <f>IFERROR(__xludf.DUMMYFUNCTION("""COMPUTED_VALUE"""),"SMK Negeri 6 Kendari")</f>
        <v>SMK Negeri 6 Kendari</v>
      </c>
      <c r="D282" s="24"/>
      <c r="E282" s="24"/>
      <c r="F282" s="24" t="str">
        <f>IFERROR(__xludf.DUMMYFUNCTION("""COMPUTED_VALUE"""),"Brio Toto Aryanto")</f>
        <v>Brio Toto Aryanto</v>
      </c>
      <c r="G282" s="24" t="str">
        <f>IFERROR(__xludf.DUMMYFUNCTION("""COMPUTED_VALUE"""),"7401020606070001")</f>
        <v>7401020606070001</v>
      </c>
      <c r="H282" s="24"/>
      <c r="I282" s="24"/>
      <c r="J282" s="24" t="str">
        <f>IFERROR(__xludf.DUMMYFUNCTION("""COMPUTED_VALUE"""),"LAKI-LAKI")</f>
        <v>LAKI-LAKI</v>
      </c>
      <c r="K282" s="24" t="str">
        <f>IFERROR(__xludf.DUMMYFUNCTION("""COMPUTED_VALUE"""),"Jl. Mawar, Kec. Ranomeeto")</f>
        <v>Jl. Mawar, Kec. Ranomeeto</v>
      </c>
      <c r="L282" s="24"/>
      <c r="M282" s="24"/>
      <c r="N282" s="24" t="str">
        <f>IFERROR(__xludf.DUMMYFUNCTION("""COMPUTED_VALUE"""),"SMA / SMK / MA")</f>
        <v>SMA / SMK / MA</v>
      </c>
      <c r="O282" s="24"/>
      <c r="P282" s="24"/>
      <c r="Q282" s="24"/>
      <c r="R282" s="24" t="str">
        <f>IFERROR(__xludf.DUMMYFUNCTION("""COMPUTED_VALUE"""),"K")</f>
        <v>K</v>
      </c>
      <c r="S282" s="25"/>
    </row>
    <row r="283" ht="22.5" customHeight="1">
      <c r="A283" s="22">
        <v>282.0</v>
      </c>
      <c r="B283" s="24" t="str">
        <f>IFERROR(__xludf.DUMMYFUNCTION("""COMPUTED_VALUE"""),"Desainer Grafis Muda")</f>
        <v>Desainer Grafis Muda</v>
      </c>
      <c r="C283" s="24" t="str">
        <f>IFERROR(__xludf.DUMMYFUNCTION("""COMPUTED_VALUE"""),"SMK Negeri 6 Kendari")</f>
        <v>SMK Negeri 6 Kendari</v>
      </c>
      <c r="D283" s="24"/>
      <c r="E283" s="24"/>
      <c r="F283" s="24" t="str">
        <f>IFERROR(__xludf.DUMMYFUNCTION("""COMPUTED_VALUE"""),"Rudi")</f>
        <v>Rudi</v>
      </c>
      <c r="G283" s="24" t="str">
        <f>IFERROR(__xludf.DUMMYFUNCTION("""COMPUTED_VALUE"""),"7405022305010004")</f>
        <v>7405022305010004</v>
      </c>
      <c r="H283" s="24"/>
      <c r="I283" s="24"/>
      <c r="J283" s="24" t="str">
        <f>IFERROR(__xludf.DUMMYFUNCTION("""COMPUTED_VALUE"""),"LAKI-LAKI")</f>
        <v>LAKI-LAKI</v>
      </c>
      <c r="K283" s="24" t="str">
        <f>IFERROR(__xludf.DUMMYFUNCTION("""COMPUTED_VALUE"""),"Desa Lamoeri")</f>
        <v>Desa Lamoeri</v>
      </c>
      <c r="L283" s="24"/>
      <c r="M283" s="24"/>
      <c r="N283" s="24" t="str">
        <f>IFERROR(__xludf.DUMMYFUNCTION("""COMPUTED_VALUE"""),"SMA / SMK / MA")</f>
        <v>SMA / SMK / MA</v>
      </c>
      <c r="O283" s="24"/>
      <c r="P283" s="24"/>
      <c r="Q283" s="24"/>
      <c r="R283" s="24" t="str">
        <f>IFERROR(__xludf.DUMMYFUNCTION("""COMPUTED_VALUE"""),"K")</f>
        <v>K</v>
      </c>
      <c r="S283" s="25"/>
    </row>
    <row r="284" ht="22.5" customHeight="1">
      <c r="A284" s="22">
        <v>283.0</v>
      </c>
      <c r="B284" s="24" t="str">
        <f>IFERROR(__xludf.DUMMYFUNCTION("""COMPUTED_VALUE"""),"Desainer Grafis Muda")</f>
        <v>Desainer Grafis Muda</v>
      </c>
      <c r="C284" s="24" t="str">
        <f>IFERROR(__xludf.DUMMYFUNCTION("""COMPUTED_VALUE"""),"SMK Negeri 6 Kendari")</f>
        <v>SMK Negeri 6 Kendari</v>
      </c>
      <c r="D284" s="24"/>
      <c r="E284" s="24"/>
      <c r="F284" s="24" t="str">
        <f>IFERROR(__xludf.DUMMYFUNCTION("""COMPUTED_VALUE"""),"Al Sabri Wahyudin")</f>
        <v>Al Sabri Wahyudin</v>
      </c>
      <c r="G284" s="24" t="str">
        <f>IFERROR(__xludf.DUMMYFUNCTION("""COMPUTED_VALUE"""),"7405082201080001")</f>
        <v>7405082201080001</v>
      </c>
      <c r="H284" s="24"/>
      <c r="I284" s="24"/>
      <c r="J284" s="24" t="str">
        <f>IFERROR(__xludf.DUMMYFUNCTION("""COMPUTED_VALUE"""),"LAKI-LAKI")</f>
        <v>LAKI-LAKI</v>
      </c>
      <c r="K284" s="24" t="str">
        <f>IFERROR(__xludf.DUMMYFUNCTION("""COMPUTED_VALUE"""),"Des Laikaaha, Kec Ranomeeto")</f>
        <v>Des Laikaaha, Kec Ranomeeto</v>
      </c>
      <c r="L284" s="24"/>
      <c r="M284" s="24"/>
      <c r="N284" s="24" t="str">
        <f>IFERROR(__xludf.DUMMYFUNCTION("""COMPUTED_VALUE"""),"SMA / SMK / MA")</f>
        <v>SMA / SMK / MA</v>
      </c>
      <c r="O284" s="24"/>
      <c r="P284" s="24"/>
      <c r="Q284" s="24"/>
      <c r="R284" s="24" t="str">
        <f>IFERROR(__xludf.DUMMYFUNCTION("""COMPUTED_VALUE"""),"K")</f>
        <v>K</v>
      </c>
      <c r="S284" s="25"/>
    </row>
    <row r="285" ht="22.5" customHeight="1">
      <c r="A285" s="22">
        <v>284.0</v>
      </c>
      <c r="B285" s="24" t="str">
        <f>IFERROR(__xludf.DUMMYFUNCTION("""COMPUTED_VALUE"""),"Desainer Grafis Muda")</f>
        <v>Desainer Grafis Muda</v>
      </c>
      <c r="C285" s="24" t="str">
        <f>IFERROR(__xludf.DUMMYFUNCTION("""COMPUTED_VALUE"""),"SMK Negeri 6 Kendari")</f>
        <v>SMK Negeri 6 Kendari</v>
      </c>
      <c r="D285" s="24"/>
      <c r="E285" s="24"/>
      <c r="F285" s="24" t="str">
        <f>IFERROR(__xludf.DUMMYFUNCTION("""COMPUTED_VALUE"""),"Bunga Rasti Nirwana")</f>
        <v>Bunga Rasti Nirwana</v>
      </c>
      <c r="G285" s="24" t="str">
        <f>IFERROR(__xludf.DUMMYFUNCTION("""COMPUTED_VALUE"""),"7471094808080002")</f>
        <v>7471094808080002</v>
      </c>
      <c r="H285" s="24"/>
      <c r="I285" s="24"/>
      <c r="J285" s="24" t="str">
        <f>IFERROR(__xludf.DUMMYFUNCTION("""COMPUTED_VALUE"""),"PEREMPUAN")</f>
        <v>PEREMPUAN</v>
      </c>
      <c r="K285" s="24" t="str">
        <f>IFERROR(__xludf.DUMMYFUNCTION("""COMPUTED_VALUE"""),"Jl. H. Lamuse N0.15")</f>
        <v>Jl. H. Lamuse N0.15</v>
      </c>
      <c r="L285" s="24"/>
      <c r="M285" s="24"/>
      <c r="N285" s="24" t="str">
        <f>IFERROR(__xludf.DUMMYFUNCTION("""COMPUTED_VALUE"""),"SMA / SMK / MA")</f>
        <v>SMA / SMK / MA</v>
      </c>
      <c r="O285" s="24"/>
      <c r="P285" s="24"/>
      <c r="Q285" s="24"/>
      <c r="R285" s="24" t="str">
        <f>IFERROR(__xludf.DUMMYFUNCTION("""COMPUTED_VALUE"""),"K")</f>
        <v>K</v>
      </c>
      <c r="S285" s="25"/>
    </row>
    <row r="286" ht="22.5" customHeight="1">
      <c r="A286" s="22">
        <v>285.0</v>
      </c>
      <c r="B286" s="24" t="str">
        <f>IFERROR(__xludf.DUMMYFUNCTION("""COMPUTED_VALUE"""),"Desainer Grafis Muda")</f>
        <v>Desainer Grafis Muda</v>
      </c>
      <c r="C286" s="24" t="str">
        <f>IFERROR(__xludf.DUMMYFUNCTION("""COMPUTED_VALUE"""),"SMK Negeri 6 Kendari")</f>
        <v>SMK Negeri 6 Kendari</v>
      </c>
      <c r="D286" s="24"/>
      <c r="E286" s="24"/>
      <c r="F286" s="24" t="str">
        <f>IFERROR(__xludf.DUMMYFUNCTION("""COMPUTED_VALUE"""),"Naya Wirandy")</f>
        <v>Naya Wirandy</v>
      </c>
      <c r="G286" s="24" t="str">
        <f>IFERROR(__xludf.DUMMYFUNCTION("""COMPUTED_VALUE"""),"7471034905080001")</f>
        <v>7471034905080001</v>
      </c>
      <c r="H286" s="24"/>
      <c r="I286" s="24"/>
      <c r="J286" s="24" t="str">
        <f>IFERROR(__xludf.DUMMYFUNCTION("""COMPUTED_VALUE"""),"PEREMPUAN")</f>
        <v>PEREMPUAN</v>
      </c>
      <c r="K286" s="24" t="str">
        <f>IFERROR(__xludf.DUMMYFUNCTION("""COMPUTED_VALUE"""),"BTN Gria Baruga Indah Blok L No.5")</f>
        <v>BTN Gria Baruga Indah Blok L No.5</v>
      </c>
      <c r="L286" s="24"/>
      <c r="M286" s="24"/>
      <c r="N286" s="24" t="str">
        <f>IFERROR(__xludf.DUMMYFUNCTION("""COMPUTED_VALUE"""),"SMA / SMK / MA")</f>
        <v>SMA / SMK / MA</v>
      </c>
      <c r="O286" s="24"/>
      <c r="P286" s="24"/>
      <c r="Q286" s="24"/>
      <c r="R286" s="24" t="str">
        <f>IFERROR(__xludf.DUMMYFUNCTION("""COMPUTED_VALUE"""),"K")</f>
        <v>K</v>
      </c>
      <c r="S286" s="25"/>
    </row>
    <row r="287" ht="22.5" customHeight="1">
      <c r="A287" s="22">
        <v>286.0</v>
      </c>
      <c r="B287" s="24" t="str">
        <f>IFERROR(__xludf.DUMMYFUNCTION("""COMPUTED_VALUE"""),"Desainer Grafis Muda")</f>
        <v>Desainer Grafis Muda</v>
      </c>
      <c r="C287" s="24" t="str">
        <f>IFERROR(__xludf.DUMMYFUNCTION("""COMPUTED_VALUE"""),"SMK Negeri 6 Kendari")</f>
        <v>SMK Negeri 6 Kendari</v>
      </c>
      <c r="D287" s="24"/>
      <c r="E287" s="24"/>
      <c r="F287" s="24" t="str">
        <f>IFERROR(__xludf.DUMMYFUNCTION("""COMPUTED_VALUE"""),"Tri Gali")</f>
        <v>Tri Gali</v>
      </c>
      <c r="G287" s="24" t="str">
        <f>IFERROR(__xludf.DUMMYFUNCTION("""COMPUTED_VALUE"""),"7405081306070001")</f>
        <v>7405081306070001</v>
      </c>
      <c r="H287" s="24"/>
      <c r="I287" s="24"/>
      <c r="J287" s="24" t="str">
        <f>IFERROR(__xludf.DUMMYFUNCTION("""COMPUTED_VALUE"""),"LAKI-LAKI")</f>
        <v>LAKI-LAKI</v>
      </c>
      <c r="K287" s="24" t="str">
        <f>IFERROR(__xludf.DUMMYFUNCTION("""COMPUTED_VALUE"""),"Kel/Desa Ranomeeto/ kecamatan Ranomeeto, Jl. pendidikan")</f>
        <v>Kel/Desa Ranomeeto/ kecamatan Ranomeeto, Jl. pendidikan</v>
      </c>
      <c r="L287" s="24"/>
      <c r="M287" s="24"/>
      <c r="N287" s="24" t="str">
        <f>IFERROR(__xludf.DUMMYFUNCTION("""COMPUTED_VALUE"""),"SMA / SMK / MA")</f>
        <v>SMA / SMK / MA</v>
      </c>
      <c r="O287" s="24"/>
      <c r="P287" s="24"/>
      <c r="Q287" s="24"/>
      <c r="R287" s="24" t="str">
        <f>IFERROR(__xludf.DUMMYFUNCTION("""COMPUTED_VALUE"""),"K")</f>
        <v>K</v>
      </c>
      <c r="S287" s="25"/>
    </row>
    <row r="288" ht="22.5" customHeight="1">
      <c r="A288" s="22">
        <v>287.0</v>
      </c>
      <c r="B288" s="24" t="str">
        <f>IFERROR(__xludf.DUMMYFUNCTION("""COMPUTED_VALUE"""),"Desainer Grafis Muda")</f>
        <v>Desainer Grafis Muda</v>
      </c>
      <c r="C288" s="24" t="str">
        <f>IFERROR(__xludf.DUMMYFUNCTION("""COMPUTED_VALUE"""),"SMK Negeri 6 Kendari")</f>
        <v>SMK Negeri 6 Kendari</v>
      </c>
      <c r="D288" s="24"/>
      <c r="E288" s="24"/>
      <c r="F288" s="24" t="str">
        <f>IFERROR(__xludf.DUMMYFUNCTION("""COMPUTED_VALUE"""),"Raditya Rustam")</f>
        <v>Raditya Rustam</v>
      </c>
      <c r="G288" s="24" t="str">
        <f>IFERROR(__xludf.DUMMYFUNCTION("""COMPUTED_VALUE"""),"7471034510090003")</f>
        <v>7471034510090003</v>
      </c>
      <c r="H288" s="24"/>
      <c r="I288" s="24"/>
      <c r="J288" s="24" t="str">
        <f>IFERROR(__xludf.DUMMYFUNCTION("""COMPUTED_VALUE"""),"PEREMPUAN")</f>
        <v>PEREMPUAN</v>
      </c>
      <c r="K288" s="24" t="str">
        <f>IFERROR(__xludf.DUMMYFUNCTION("""COMPUTED_VALUE"""),"Desa Puosu Jaya, Kec. Konda")</f>
        <v>Desa Puosu Jaya, Kec. Konda</v>
      </c>
      <c r="L288" s="24"/>
      <c r="M288" s="24"/>
      <c r="N288" s="24" t="str">
        <f>IFERROR(__xludf.DUMMYFUNCTION("""COMPUTED_VALUE"""),"SMA / SMK / MA")</f>
        <v>SMA / SMK / MA</v>
      </c>
      <c r="O288" s="24"/>
      <c r="P288" s="24"/>
      <c r="Q288" s="24"/>
      <c r="R288" s="24" t="str">
        <f>IFERROR(__xludf.DUMMYFUNCTION("""COMPUTED_VALUE"""),"K")</f>
        <v>K</v>
      </c>
      <c r="S288" s="25"/>
    </row>
    <row r="289" ht="22.5" customHeight="1">
      <c r="A289" s="22">
        <v>288.0</v>
      </c>
      <c r="B289" s="24" t="str">
        <f>IFERROR(__xludf.DUMMYFUNCTION("""COMPUTED_VALUE"""),"Desainer Grafis Muda")</f>
        <v>Desainer Grafis Muda</v>
      </c>
      <c r="C289" s="24" t="str">
        <f>IFERROR(__xludf.DUMMYFUNCTION("""COMPUTED_VALUE"""),"SMK Negeri 6 Kendari")</f>
        <v>SMK Negeri 6 Kendari</v>
      </c>
      <c r="D289" s="24"/>
      <c r="E289" s="24"/>
      <c r="F289" s="24" t="str">
        <f>IFERROR(__xludf.DUMMYFUNCTION("""COMPUTED_VALUE"""),"Nur Hafni")</f>
        <v>Nur Hafni</v>
      </c>
      <c r="G289" s="24" t="str">
        <f>IFERROR(__xludf.DUMMYFUNCTION("""COMPUTED_VALUE"""),"7471106106840002")</f>
        <v>7471106106840002</v>
      </c>
      <c r="H289" s="24"/>
      <c r="I289" s="24"/>
      <c r="J289" s="24" t="str">
        <f>IFERROR(__xludf.DUMMYFUNCTION("""COMPUTED_VALUE"""),"PEREMPUAN")</f>
        <v>PEREMPUAN</v>
      </c>
      <c r="K289" s="24" t="str">
        <f>IFERROR(__xludf.DUMMYFUNCTION("""COMPUTED_VALUE"""),"Jl. Hj Lamuse")</f>
        <v>Jl. Hj Lamuse</v>
      </c>
      <c r="L289" s="24"/>
      <c r="M289" s="24"/>
      <c r="N289" s="24" t="str">
        <f>IFERROR(__xludf.DUMMYFUNCTION("""COMPUTED_VALUE"""),"SMA / SMK / MA")</f>
        <v>SMA / SMK / MA</v>
      </c>
      <c r="O289" s="24"/>
      <c r="P289" s="24"/>
      <c r="Q289" s="24"/>
      <c r="R289" s="24" t="str">
        <f>IFERROR(__xludf.DUMMYFUNCTION("""COMPUTED_VALUE"""),"K")</f>
        <v>K</v>
      </c>
      <c r="S289" s="25"/>
    </row>
    <row r="290" ht="22.5" customHeight="1">
      <c r="A290" s="22">
        <v>289.0</v>
      </c>
      <c r="B290" s="24" t="str">
        <f>IFERROR(__xludf.DUMMYFUNCTION("""COMPUTED_VALUE"""),"Desainer Grafis Muda")</f>
        <v>Desainer Grafis Muda</v>
      </c>
      <c r="C290" s="24" t="str">
        <f>IFERROR(__xludf.DUMMYFUNCTION("""COMPUTED_VALUE"""),"SMK Negeri 6 Kendari")</f>
        <v>SMK Negeri 6 Kendari</v>
      </c>
      <c r="D290" s="24"/>
      <c r="E290" s="24"/>
      <c r="F290" s="24" t="str">
        <f>IFERROR(__xludf.DUMMYFUNCTION("""COMPUTED_VALUE"""),"Muhamad Fahrul Alamsyah")</f>
        <v>Muhamad Fahrul Alamsyah</v>
      </c>
      <c r="G290" s="24" t="str">
        <f>IFERROR(__xludf.DUMMYFUNCTION("""COMPUTED_VALUE"""),"7471081302080001")</f>
        <v>7471081302080001</v>
      </c>
      <c r="H290" s="24"/>
      <c r="I290" s="24"/>
      <c r="J290" s="24" t="str">
        <f>IFERROR(__xludf.DUMMYFUNCTION("""COMPUTED_VALUE"""),"LAKI-LAKI")</f>
        <v>LAKI-LAKI</v>
      </c>
      <c r="K290" s="24"/>
      <c r="L290" s="24"/>
      <c r="M290" s="24"/>
      <c r="N290" s="24" t="str">
        <f>IFERROR(__xludf.DUMMYFUNCTION("""COMPUTED_VALUE"""),"SMA / SMK / MA")</f>
        <v>SMA / SMK / MA</v>
      </c>
      <c r="O290" s="24"/>
      <c r="P290" s="24"/>
      <c r="Q290" s="24"/>
      <c r="R290" s="24" t="str">
        <f>IFERROR(__xludf.DUMMYFUNCTION("""COMPUTED_VALUE"""),"K")</f>
        <v>K</v>
      </c>
      <c r="S290" s="25"/>
    </row>
    <row r="291" ht="22.5" customHeight="1">
      <c r="A291" s="22">
        <v>290.0</v>
      </c>
      <c r="B291" s="24" t="str">
        <f>IFERROR(__xludf.DUMMYFUNCTION("""COMPUTED_VALUE"""),"Desainer Grafis Muda")</f>
        <v>Desainer Grafis Muda</v>
      </c>
      <c r="C291" s="24" t="str">
        <f>IFERROR(__xludf.DUMMYFUNCTION("""COMPUTED_VALUE"""),"SMK Negeri 6 Kendari")</f>
        <v>SMK Negeri 6 Kendari</v>
      </c>
      <c r="D291" s="24"/>
      <c r="E291" s="24"/>
      <c r="F291" s="24" t="str">
        <f>IFERROR(__xludf.DUMMYFUNCTION("""COMPUTED_VALUE"""),"Isal Saputra Jaya")</f>
        <v>Isal Saputra Jaya</v>
      </c>
      <c r="G291" s="24" t="str">
        <f>IFERROR(__xludf.DUMMYFUNCTION("""COMPUTED_VALUE"""),"7405070904080001")</f>
        <v>7405070904080001</v>
      </c>
      <c r="H291" s="24"/>
      <c r="I291" s="24"/>
      <c r="J291" s="24" t="str">
        <f>IFERROR(__xludf.DUMMYFUNCTION("""COMPUTED_VALUE"""),"LAKI-LAKI")</f>
        <v>LAKI-LAKI</v>
      </c>
      <c r="K291" s="24" t="str">
        <f>IFERROR(__xludf.DUMMYFUNCTION("""COMPUTED_VALUE"""),"Nanga-nanga")</f>
        <v>Nanga-nanga</v>
      </c>
      <c r="L291" s="24"/>
      <c r="M291" s="24"/>
      <c r="N291" s="24" t="str">
        <f>IFERROR(__xludf.DUMMYFUNCTION("""COMPUTED_VALUE"""),"SMA / SMK / MA")</f>
        <v>SMA / SMK / MA</v>
      </c>
      <c r="O291" s="24"/>
      <c r="P291" s="24"/>
      <c r="Q291" s="24"/>
      <c r="R291" s="24" t="str">
        <f>IFERROR(__xludf.DUMMYFUNCTION("""COMPUTED_VALUE"""),"K")</f>
        <v>K</v>
      </c>
      <c r="S291" s="25"/>
    </row>
    <row r="292" ht="22.5" customHeight="1">
      <c r="A292" s="22">
        <v>291.0</v>
      </c>
      <c r="B292" s="24" t="str">
        <f>IFERROR(__xludf.DUMMYFUNCTION("""COMPUTED_VALUE"""),"Desainer Grafis Muda")</f>
        <v>Desainer Grafis Muda</v>
      </c>
      <c r="C292" s="24" t="str">
        <f>IFERROR(__xludf.DUMMYFUNCTION("""COMPUTED_VALUE"""),"SMK Negeri 6 Kendari")</f>
        <v>SMK Negeri 6 Kendari</v>
      </c>
      <c r="D292" s="24"/>
      <c r="E292" s="24"/>
      <c r="F292" s="24" t="str">
        <f>IFERROR(__xludf.DUMMYFUNCTION("""COMPUTED_VALUE"""),"Juniarsi Amelia Abas")</f>
        <v>Juniarsi Amelia Abas</v>
      </c>
      <c r="G292" s="24" t="str">
        <f>IFERROR(__xludf.DUMMYFUNCTION("""COMPUTED_VALUE"""),"7471085206880001")</f>
        <v>7471085206880001</v>
      </c>
      <c r="H292" s="24"/>
      <c r="I292" s="24"/>
      <c r="J292" s="24" t="str">
        <f>IFERROR(__xludf.DUMMYFUNCTION("""COMPUTED_VALUE"""),"PEREMPUAN")</f>
        <v>PEREMPUAN</v>
      </c>
      <c r="K292" s="24" t="str">
        <f>IFERROR(__xludf.DUMMYFUNCTION("""COMPUTED_VALUE"""),"Jl. Bunga Duri IV")</f>
        <v>Jl. Bunga Duri IV</v>
      </c>
      <c r="L292" s="24"/>
      <c r="M292" s="24"/>
      <c r="N292" s="24" t="str">
        <f>IFERROR(__xludf.DUMMYFUNCTION("""COMPUTED_VALUE"""),"SMA / SMK / MA")</f>
        <v>SMA / SMK / MA</v>
      </c>
      <c r="O292" s="24"/>
      <c r="P292" s="24"/>
      <c r="Q292" s="24"/>
      <c r="R292" s="24" t="str">
        <f>IFERROR(__xludf.DUMMYFUNCTION("""COMPUTED_VALUE"""),"K")</f>
        <v>K</v>
      </c>
      <c r="S292" s="25"/>
    </row>
    <row r="293" ht="22.5" customHeight="1">
      <c r="A293" s="22">
        <v>292.0</v>
      </c>
      <c r="B293" s="24" t="str">
        <f>IFERROR(__xludf.DUMMYFUNCTION("""COMPUTED_VALUE"""),"Desainer Grafis Muda")</f>
        <v>Desainer Grafis Muda</v>
      </c>
      <c r="C293" s="24" t="str">
        <f>IFERROR(__xludf.DUMMYFUNCTION("""COMPUTED_VALUE"""),"SMK Negeri 6 Kendari")</f>
        <v>SMK Negeri 6 Kendari</v>
      </c>
      <c r="D293" s="24"/>
      <c r="E293" s="24"/>
      <c r="F293" s="85" t="str">
        <f>IFERROR(__xludf.DUMMYFUNCTION("""COMPUTED_VALUE"""),"Firawati Asrul")</f>
        <v>Firawati Asrul</v>
      </c>
      <c r="G293" s="24" t="str">
        <f>IFERROR(__xludf.DUMMYFUNCTION("""COMPUTED_VALUE"""),"7471056102810002")</f>
        <v>7471056102810002</v>
      </c>
      <c r="H293" s="24"/>
      <c r="I293" s="24"/>
      <c r="J293" s="24" t="str">
        <f>IFERROR(__xludf.DUMMYFUNCTION("""COMPUTED_VALUE"""),"PEREMPUAN")</f>
        <v>PEREMPUAN</v>
      </c>
      <c r="K293" s="24" t="str">
        <f>IFERROR(__xludf.DUMMYFUNCTION("""COMPUTED_VALUE"""),"Jl. Boulevard BTN Griya Darussalam Blok A/10")</f>
        <v>Jl. Boulevard BTN Griya Darussalam Blok A/10</v>
      </c>
      <c r="L293" s="24"/>
      <c r="M293" s="24"/>
      <c r="N293" s="24" t="str">
        <f>IFERROR(__xludf.DUMMYFUNCTION("""COMPUTED_VALUE"""),"SMA / SMK / MA")</f>
        <v>SMA / SMK / MA</v>
      </c>
      <c r="O293" s="24"/>
      <c r="P293" s="24"/>
      <c r="Q293" s="24"/>
      <c r="R293" s="24" t="str">
        <f>IFERROR(__xludf.DUMMYFUNCTION("""COMPUTED_VALUE"""),"K")</f>
        <v>K</v>
      </c>
      <c r="S293" s="25"/>
    </row>
    <row r="294" ht="22.5" customHeight="1">
      <c r="A294" s="22">
        <v>293.0</v>
      </c>
      <c r="B294" s="24" t="str">
        <f>IFERROR(__xludf.DUMMYFUNCTION("""COMPUTED_VALUE"""),"Desainer Grafis Muda")</f>
        <v>Desainer Grafis Muda</v>
      </c>
      <c r="C294" s="24" t="str">
        <f>IFERROR(__xludf.DUMMYFUNCTION("""COMPUTED_VALUE"""),"SMK Negeri 6 Kendari")</f>
        <v>SMK Negeri 6 Kendari</v>
      </c>
      <c r="D294" s="24"/>
      <c r="E294" s="24"/>
      <c r="F294" s="24" t="str">
        <f>IFERROR(__xludf.DUMMYFUNCTION("""COMPUTED_VALUE"""),"Dian Avrilya")</f>
        <v>Dian Avrilya</v>
      </c>
      <c r="G294" s="24" t="str">
        <f>IFERROR(__xludf.DUMMYFUNCTION("""COMPUTED_VALUE"""),"7403054912070002")</f>
        <v>7403054912070002</v>
      </c>
      <c r="H294" s="24"/>
      <c r="I294" s="24"/>
      <c r="J294" s="24" t="str">
        <f>IFERROR(__xludf.DUMMYFUNCTION("""COMPUTED_VALUE"""),"PEREMPUAN")</f>
        <v>PEREMPUAN</v>
      </c>
      <c r="K294" s="24" t="str">
        <f>IFERROR(__xludf.DUMMYFUNCTION("""COMPUTED_VALUE"""),"Jl. Hj. Lamuse, Lrg. Murini")</f>
        <v>Jl. Hj. Lamuse, Lrg. Murini</v>
      </c>
      <c r="L294" s="24"/>
      <c r="M294" s="24"/>
      <c r="N294" s="24" t="str">
        <f>IFERROR(__xludf.DUMMYFUNCTION("""COMPUTED_VALUE"""),"SMA / SMK / MA")</f>
        <v>SMA / SMK / MA</v>
      </c>
      <c r="O294" s="24"/>
      <c r="P294" s="24"/>
      <c r="Q294" s="24"/>
      <c r="R294" s="24" t="str">
        <f>IFERROR(__xludf.DUMMYFUNCTION("""COMPUTED_VALUE"""),"K")</f>
        <v>K</v>
      </c>
      <c r="S294" s="25"/>
    </row>
    <row r="295" ht="22.5" customHeight="1">
      <c r="A295" s="22">
        <v>294.0</v>
      </c>
      <c r="B295" s="24" t="str">
        <f>IFERROR(__xludf.DUMMYFUNCTION("""COMPUTED_VALUE"""),"Pemasangan Pembangkit Listrik Tenaga Surya Off-Grid")</f>
        <v>Pemasangan Pembangkit Listrik Tenaga Surya Off-Grid</v>
      </c>
      <c r="C295" s="24" t="str">
        <f>IFERROR(__xludf.DUMMYFUNCTION("""COMPUTED_VALUE"""),"SMK Negeri 6 Kendari")</f>
        <v>SMK Negeri 6 Kendari</v>
      </c>
      <c r="D295" s="24"/>
      <c r="E295" s="24"/>
      <c r="F295" s="24" t="str">
        <f>IFERROR(__xludf.DUMMYFUNCTION("""COMPUTED_VALUE"""),"Ahmad Yusril")</f>
        <v>Ahmad Yusril</v>
      </c>
      <c r="G295" s="24" t="str">
        <f>IFERROR(__xludf.DUMMYFUNCTION("""COMPUTED_VALUE"""),"7403352305070001")</f>
        <v>7403352305070001</v>
      </c>
      <c r="H295" s="24"/>
      <c r="I295" s="24"/>
      <c r="J295" s="24" t="str">
        <f>IFERROR(__xludf.DUMMYFUNCTION("""COMPUTED_VALUE"""),"LAKI-LAKI")</f>
        <v>LAKI-LAKI</v>
      </c>
      <c r="K295" s="24" t="str">
        <f>IFERROR(__xludf.DUMMYFUNCTION("""COMPUTED_VALUE"""),"Nanga nanga, lr merica")</f>
        <v>Nanga nanga, lr merica</v>
      </c>
      <c r="L295" s="24"/>
      <c r="M295" s="24"/>
      <c r="N295" s="24" t="str">
        <f>IFERROR(__xludf.DUMMYFUNCTION("""COMPUTED_VALUE"""),"SMA / SMK / MA")</f>
        <v>SMA / SMK / MA</v>
      </c>
      <c r="O295" s="24"/>
      <c r="P295" s="24"/>
      <c r="Q295" s="24"/>
      <c r="R295" s="24" t="str">
        <f>IFERROR(__xludf.DUMMYFUNCTION("""COMPUTED_VALUE"""),"K")</f>
        <v>K</v>
      </c>
      <c r="S295" s="25"/>
    </row>
    <row r="296" ht="22.5" customHeight="1">
      <c r="A296" s="22">
        <v>295.0</v>
      </c>
      <c r="B296" s="24" t="str">
        <f>IFERROR(__xludf.DUMMYFUNCTION("""COMPUTED_VALUE"""),"Pemasangan Pembangkit Listrik Tenaga Surya Off-Grid")</f>
        <v>Pemasangan Pembangkit Listrik Tenaga Surya Off-Grid</v>
      </c>
      <c r="C296" s="24" t="str">
        <f>IFERROR(__xludf.DUMMYFUNCTION("""COMPUTED_VALUE"""),"SMK Negeri 6 Kendari")</f>
        <v>SMK Negeri 6 Kendari</v>
      </c>
      <c r="D296" s="24"/>
      <c r="E296" s="24"/>
      <c r="F296" s="24" t="str">
        <f>IFERROR(__xludf.DUMMYFUNCTION("""COMPUTED_VALUE"""),"Ardan M.H")</f>
        <v>Ardan M.H</v>
      </c>
      <c r="G296" s="24" t="str">
        <f>IFERROR(__xludf.DUMMYFUNCTION("""COMPUTED_VALUE"""),"7403210107070205")</f>
        <v>7403210107070205</v>
      </c>
      <c r="H296" s="24"/>
      <c r="I296" s="24"/>
      <c r="J296" s="24" t="str">
        <f>IFERROR(__xludf.DUMMYFUNCTION("""COMPUTED_VALUE"""),"LAKI-LAKI")</f>
        <v>LAKI-LAKI</v>
      </c>
      <c r="K296" s="24" t="str">
        <f>IFERROR(__xludf.DUMMYFUNCTION("""COMPUTED_VALUE"""),"BTN Margahayu Land Baruga")</f>
        <v>BTN Margahayu Land Baruga</v>
      </c>
      <c r="L296" s="24"/>
      <c r="M296" s="24"/>
      <c r="N296" s="24" t="str">
        <f>IFERROR(__xludf.DUMMYFUNCTION("""COMPUTED_VALUE"""),"SMA / SMK / MA")</f>
        <v>SMA / SMK / MA</v>
      </c>
      <c r="O296" s="24"/>
      <c r="P296" s="24"/>
      <c r="Q296" s="24"/>
      <c r="R296" s="24" t="str">
        <f>IFERROR(__xludf.DUMMYFUNCTION("""COMPUTED_VALUE"""),"K")</f>
        <v>K</v>
      </c>
      <c r="S296" s="25"/>
    </row>
    <row r="297" ht="22.5" customHeight="1">
      <c r="A297" s="22">
        <v>296.0</v>
      </c>
      <c r="B297" s="24" t="str">
        <f>IFERROR(__xludf.DUMMYFUNCTION("""COMPUTED_VALUE"""),"Pemasangan Pembangkit Listrik Tenaga Surya Off-Grid")</f>
        <v>Pemasangan Pembangkit Listrik Tenaga Surya Off-Grid</v>
      </c>
      <c r="C297" s="24" t="str">
        <f>IFERROR(__xludf.DUMMYFUNCTION("""COMPUTED_VALUE"""),"SMK Negeri 6 Kendari")</f>
        <v>SMK Negeri 6 Kendari</v>
      </c>
      <c r="D297" s="24"/>
      <c r="E297" s="24"/>
      <c r="F297" s="24" t="str">
        <f>IFERROR(__xludf.DUMMYFUNCTION("""COMPUTED_VALUE"""),"Aril")</f>
        <v>Aril</v>
      </c>
      <c r="G297" s="24" t="str">
        <f>IFERROR(__xludf.DUMMYFUNCTION("""COMPUTED_VALUE"""),"7403311307070901")</f>
        <v>7403311307070901</v>
      </c>
      <c r="H297" s="24"/>
      <c r="I297" s="24"/>
      <c r="J297" s="24" t="str">
        <f>IFERROR(__xludf.DUMMYFUNCTION("""COMPUTED_VALUE"""),"LAKI-LAKI")</f>
        <v>LAKI-LAKI</v>
      </c>
      <c r="K297" s="24" t="str">
        <f>IFERROR(__xludf.DUMMYFUNCTION("""COMPUTED_VALUE"""),"BTN Margahayu Land Baruga")</f>
        <v>BTN Margahayu Land Baruga</v>
      </c>
      <c r="L297" s="24"/>
      <c r="M297" s="24"/>
      <c r="N297" s="24" t="str">
        <f>IFERROR(__xludf.DUMMYFUNCTION("""COMPUTED_VALUE"""),"SMA / SMK / MA")</f>
        <v>SMA / SMK / MA</v>
      </c>
      <c r="O297" s="24"/>
      <c r="P297" s="24"/>
      <c r="Q297" s="24"/>
      <c r="R297" s="24" t="str">
        <f>IFERROR(__xludf.DUMMYFUNCTION("""COMPUTED_VALUE"""),"K")</f>
        <v>K</v>
      </c>
      <c r="S297" s="25"/>
    </row>
    <row r="298" ht="22.5" customHeight="1">
      <c r="A298" s="22">
        <v>297.0</v>
      </c>
      <c r="B298" s="24" t="str">
        <f>IFERROR(__xludf.DUMMYFUNCTION("""COMPUTED_VALUE"""),"Pemasangan Pembangkit Listrik Tenaga Surya Off-Grid")</f>
        <v>Pemasangan Pembangkit Listrik Tenaga Surya Off-Grid</v>
      </c>
      <c r="C298" s="24" t="str">
        <f>IFERROR(__xludf.DUMMYFUNCTION("""COMPUTED_VALUE"""),"SMK Negeri 6 Kendari")</f>
        <v>SMK Negeri 6 Kendari</v>
      </c>
      <c r="D298" s="24"/>
      <c r="E298" s="24"/>
      <c r="F298" s="24" t="str">
        <f>IFERROR(__xludf.DUMMYFUNCTION("""COMPUTED_VALUE"""),"David Devriansyah S")</f>
        <v>David Devriansyah S</v>
      </c>
      <c r="G298" s="24" t="str">
        <f>IFERROR(__xludf.DUMMYFUNCTION("""COMPUTED_VALUE"""),"7405081612070004")</f>
        <v>7405081612070004</v>
      </c>
      <c r="H298" s="24"/>
      <c r="I298" s="24"/>
      <c r="J298" s="24" t="str">
        <f>IFERROR(__xludf.DUMMYFUNCTION("""COMPUTED_VALUE"""),"LAKI-LAKI")</f>
        <v>LAKI-LAKI</v>
      </c>
      <c r="K298" s="24" t="str">
        <f>IFERROR(__xludf.DUMMYFUNCTION("""COMPUTED_VALUE"""),"BTN Maleo 1 Ranomeeto Blok U No. 4")</f>
        <v>BTN Maleo 1 Ranomeeto Blok U No. 4</v>
      </c>
      <c r="L298" s="24"/>
      <c r="M298" s="24"/>
      <c r="N298" s="24" t="str">
        <f>IFERROR(__xludf.DUMMYFUNCTION("""COMPUTED_VALUE"""),"SMA / SMK / MA")</f>
        <v>SMA / SMK / MA</v>
      </c>
      <c r="O298" s="24"/>
      <c r="P298" s="24"/>
      <c r="Q298" s="24"/>
      <c r="R298" s="24" t="str">
        <f>IFERROR(__xludf.DUMMYFUNCTION("""COMPUTED_VALUE"""),"K")</f>
        <v>K</v>
      </c>
      <c r="S298" s="25"/>
    </row>
    <row r="299" ht="22.5" customHeight="1">
      <c r="A299" s="22">
        <v>298.0</v>
      </c>
      <c r="B299" s="24" t="str">
        <f>IFERROR(__xludf.DUMMYFUNCTION("""COMPUTED_VALUE"""),"Pemasangan Pembangkit Listrik Tenaga Surya Off-Grid")</f>
        <v>Pemasangan Pembangkit Listrik Tenaga Surya Off-Grid</v>
      </c>
      <c r="C299" s="24" t="str">
        <f>IFERROR(__xludf.DUMMYFUNCTION("""COMPUTED_VALUE"""),"SMK Negeri 6 Kendari")</f>
        <v>SMK Negeri 6 Kendari</v>
      </c>
      <c r="D299" s="24"/>
      <c r="E299" s="24"/>
      <c r="F299" s="24" t="str">
        <f>IFERROR(__xludf.DUMMYFUNCTION("""COMPUTED_VALUE"""),"Gindra Apriadin")</f>
        <v>Gindra Apriadin</v>
      </c>
      <c r="G299" s="24" t="str">
        <f>IFERROR(__xludf.DUMMYFUNCTION("""COMPUTED_VALUE"""),"7405050212080001")</f>
        <v>7405050212080001</v>
      </c>
      <c r="H299" s="24"/>
      <c r="I299" s="24"/>
      <c r="J299" s="24" t="str">
        <f>IFERROR(__xludf.DUMMYFUNCTION("""COMPUTED_VALUE"""),"LAKI-LAKI")</f>
        <v>LAKI-LAKI</v>
      </c>
      <c r="K299" s="24" t="str">
        <f>IFERROR(__xludf.DUMMYFUNCTION("""COMPUTED_VALUE"""),"Desa Lalowaru, Kec. Ranomeeto")</f>
        <v>Desa Lalowaru, Kec. Ranomeeto</v>
      </c>
      <c r="L299" s="24"/>
      <c r="M299" s="24"/>
      <c r="N299" s="24" t="str">
        <f>IFERROR(__xludf.DUMMYFUNCTION("""COMPUTED_VALUE"""),"SMA / SMK / MA")</f>
        <v>SMA / SMK / MA</v>
      </c>
      <c r="O299" s="24"/>
      <c r="P299" s="24"/>
      <c r="Q299" s="24"/>
      <c r="R299" s="24" t="str">
        <f>IFERROR(__xludf.DUMMYFUNCTION("""COMPUTED_VALUE"""),"K")</f>
        <v>K</v>
      </c>
      <c r="S299" s="25"/>
    </row>
    <row r="300" ht="22.5" customHeight="1">
      <c r="A300" s="22">
        <v>299.0</v>
      </c>
      <c r="B300" s="24" t="str">
        <f>IFERROR(__xludf.DUMMYFUNCTION("""COMPUTED_VALUE"""),"Pemasangan Pembangkit Listrik Tenaga Surya Off-Grid")</f>
        <v>Pemasangan Pembangkit Listrik Tenaga Surya Off-Grid</v>
      </c>
      <c r="C300" s="24" t="str">
        <f>IFERROR(__xludf.DUMMYFUNCTION("""COMPUTED_VALUE"""),"SMK Negeri 6 Kendari")</f>
        <v>SMK Negeri 6 Kendari</v>
      </c>
      <c r="D300" s="24"/>
      <c r="E300" s="24"/>
      <c r="F300" s="24" t="str">
        <f>IFERROR(__xludf.DUMMYFUNCTION("""COMPUTED_VALUE"""),"Hardin")</f>
        <v>Hardin</v>
      </c>
      <c r="G300" s="24" t="str">
        <f>IFERROR(__xludf.DUMMYFUNCTION("""COMPUTED_VALUE"""),"7471061604050001")</f>
        <v>7471061604050001</v>
      </c>
      <c r="H300" s="24"/>
      <c r="I300" s="24"/>
      <c r="J300" s="24" t="str">
        <f>IFERROR(__xludf.DUMMYFUNCTION("""COMPUTED_VALUE"""),"LAKI-LAKI")</f>
        <v>LAKI-LAKI</v>
      </c>
      <c r="K300" s="24" t="str">
        <f>IFERROR(__xludf.DUMMYFUNCTION("""COMPUTED_VALUE"""),"Jl. Wedahu RT 01 RW 01")</f>
        <v>Jl. Wedahu RT 01 RW 01</v>
      </c>
      <c r="L300" s="24"/>
      <c r="M300" s="24"/>
      <c r="N300" s="24" t="str">
        <f>IFERROR(__xludf.DUMMYFUNCTION("""COMPUTED_VALUE"""),"SMA / SMK / MA")</f>
        <v>SMA / SMK / MA</v>
      </c>
      <c r="O300" s="24"/>
      <c r="P300" s="24"/>
      <c r="Q300" s="24"/>
      <c r="R300" s="24" t="str">
        <f>IFERROR(__xludf.DUMMYFUNCTION("""COMPUTED_VALUE"""),"K")</f>
        <v>K</v>
      </c>
      <c r="S300" s="25"/>
    </row>
    <row r="301" ht="22.5" customHeight="1">
      <c r="A301" s="22">
        <v>300.0</v>
      </c>
      <c r="B301" s="24" t="str">
        <f>IFERROR(__xludf.DUMMYFUNCTION("""COMPUTED_VALUE"""),"Pemasangan Pembangkit Listrik Tenaga Surya Off-Grid")</f>
        <v>Pemasangan Pembangkit Listrik Tenaga Surya Off-Grid</v>
      </c>
      <c r="C301" s="24" t="str">
        <f>IFERROR(__xludf.DUMMYFUNCTION("""COMPUTED_VALUE"""),"SMK Negeri 6 Kendari")</f>
        <v>SMK Negeri 6 Kendari</v>
      </c>
      <c r="D301" s="24"/>
      <c r="E301" s="24"/>
      <c r="F301" s="24" t="str">
        <f>IFERROR(__xludf.DUMMYFUNCTION("""COMPUTED_VALUE"""),"Ikhsan")</f>
        <v>Ikhsan</v>
      </c>
      <c r="G301" s="24" t="str">
        <f>IFERROR(__xludf.DUMMYFUNCTION("""COMPUTED_VALUE"""),"7471082805080002")</f>
        <v>7471082805080002</v>
      </c>
      <c r="H301" s="24"/>
      <c r="I301" s="24"/>
      <c r="J301" s="24" t="str">
        <f>IFERROR(__xludf.DUMMYFUNCTION("""COMPUTED_VALUE"""),"LAKI-LAKI")</f>
        <v>LAKI-LAKI</v>
      </c>
      <c r="K301" s="24" t="str">
        <f>IFERROR(__xludf.DUMMYFUNCTION("""COMPUTED_VALUE"""),"Jln. La Ode Hadi (Lorong Veteran)")</f>
        <v>Jln. La Ode Hadi (Lorong Veteran)</v>
      </c>
      <c r="L301" s="24"/>
      <c r="M301" s="24"/>
      <c r="N301" s="24" t="str">
        <f>IFERROR(__xludf.DUMMYFUNCTION("""COMPUTED_VALUE"""),"SMA / SMK / MA")</f>
        <v>SMA / SMK / MA</v>
      </c>
      <c r="O301" s="24"/>
      <c r="P301" s="24"/>
      <c r="Q301" s="24"/>
      <c r="R301" s="24" t="str">
        <f>IFERROR(__xludf.DUMMYFUNCTION("""COMPUTED_VALUE"""),"K")</f>
        <v>K</v>
      </c>
      <c r="S301" s="25"/>
    </row>
    <row r="302" ht="22.5" customHeight="1">
      <c r="A302" s="22">
        <v>301.0</v>
      </c>
      <c r="B302" s="24" t="str">
        <f>IFERROR(__xludf.DUMMYFUNCTION("""COMPUTED_VALUE"""),"Pemasangan Pembangkit Listrik Tenaga Surya Off-Grid")</f>
        <v>Pemasangan Pembangkit Listrik Tenaga Surya Off-Grid</v>
      </c>
      <c r="C302" s="24" t="str">
        <f>IFERROR(__xludf.DUMMYFUNCTION("""COMPUTED_VALUE"""),"SMK Negeri 6 Kendari")</f>
        <v>SMK Negeri 6 Kendari</v>
      </c>
      <c r="D302" s="24"/>
      <c r="E302" s="24"/>
      <c r="F302" s="24" t="str">
        <f>IFERROR(__xludf.DUMMYFUNCTION("""COMPUTED_VALUE"""),"La Ode Lefi Muktian")</f>
        <v>La Ode Lefi Muktian</v>
      </c>
      <c r="G302" s="24" t="str">
        <f>IFERROR(__xludf.DUMMYFUNCTION("""COMPUTED_VALUE"""),"7403232802080001")</f>
        <v>7403232802080001</v>
      </c>
      <c r="H302" s="24"/>
      <c r="I302" s="24"/>
      <c r="J302" s="24" t="str">
        <f>IFERROR(__xludf.DUMMYFUNCTION("""COMPUTED_VALUE"""),"LAKI-LAKI")</f>
        <v>LAKI-LAKI</v>
      </c>
      <c r="K302" s="24" t="str">
        <f>IFERROR(__xludf.DUMMYFUNCTION("""COMPUTED_VALUE"""),"lorong BSB")</f>
        <v>lorong BSB</v>
      </c>
      <c r="L302" s="24"/>
      <c r="M302" s="24"/>
      <c r="N302" s="24" t="str">
        <f>IFERROR(__xludf.DUMMYFUNCTION("""COMPUTED_VALUE"""),"SMA / SMK / MA")</f>
        <v>SMA / SMK / MA</v>
      </c>
      <c r="O302" s="24"/>
      <c r="P302" s="24"/>
      <c r="Q302" s="24"/>
      <c r="R302" s="24" t="str">
        <f>IFERROR(__xludf.DUMMYFUNCTION("""COMPUTED_VALUE"""),"K")</f>
        <v>K</v>
      </c>
      <c r="S302" s="25"/>
    </row>
    <row r="303" ht="22.5" customHeight="1">
      <c r="A303" s="22">
        <v>302.0</v>
      </c>
      <c r="B303" s="24" t="str">
        <f>IFERROR(__xludf.DUMMYFUNCTION("""COMPUTED_VALUE"""),"Pemasangan Pembangkit Listrik Tenaga Surya Off-Grid")</f>
        <v>Pemasangan Pembangkit Listrik Tenaga Surya Off-Grid</v>
      </c>
      <c r="C303" s="24" t="str">
        <f>IFERROR(__xludf.DUMMYFUNCTION("""COMPUTED_VALUE"""),"SMK Negeri 6 Kendari")</f>
        <v>SMK Negeri 6 Kendari</v>
      </c>
      <c r="D303" s="24"/>
      <c r="E303" s="24"/>
      <c r="F303" s="24" t="str">
        <f>IFERROR(__xludf.DUMMYFUNCTION("""COMPUTED_VALUE"""),"Marvel Rafahmi")</f>
        <v>Marvel Rafahmi</v>
      </c>
      <c r="G303" s="24" t="str">
        <f>IFERROR(__xludf.DUMMYFUNCTION("""COMPUTED_VALUE"""),"7403272609080001")</f>
        <v>7403272609080001</v>
      </c>
      <c r="H303" s="24"/>
      <c r="I303" s="24"/>
      <c r="J303" s="24" t="str">
        <f>IFERROR(__xludf.DUMMYFUNCTION("""COMPUTED_VALUE"""),"LAKI-LAKI")</f>
        <v>LAKI-LAKI</v>
      </c>
      <c r="K303" s="24" t="str">
        <f>IFERROR(__xludf.DUMMYFUNCTION("""COMPUTED_VALUE"""),"Andonohu")</f>
        <v>Andonohu</v>
      </c>
      <c r="L303" s="24"/>
      <c r="M303" s="24"/>
      <c r="N303" s="24" t="str">
        <f>IFERROR(__xludf.DUMMYFUNCTION("""COMPUTED_VALUE"""),"SMA / SMK / MA")</f>
        <v>SMA / SMK / MA</v>
      </c>
      <c r="O303" s="24"/>
      <c r="P303" s="24"/>
      <c r="Q303" s="24"/>
      <c r="R303" s="24" t="str">
        <f>IFERROR(__xludf.DUMMYFUNCTION("""COMPUTED_VALUE"""),"K")</f>
        <v>K</v>
      </c>
      <c r="S303" s="25"/>
    </row>
    <row r="304" ht="22.5" customHeight="1">
      <c r="A304" s="22">
        <v>303.0</v>
      </c>
      <c r="B304" s="24" t="str">
        <f>IFERROR(__xludf.DUMMYFUNCTION("""COMPUTED_VALUE"""),"Pemasangan Pembangkit Listrik Tenaga Surya Off-Grid")</f>
        <v>Pemasangan Pembangkit Listrik Tenaga Surya Off-Grid</v>
      </c>
      <c r="C304" s="24" t="str">
        <f>IFERROR(__xludf.DUMMYFUNCTION("""COMPUTED_VALUE"""),"SMK Negeri 6 Kendari")</f>
        <v>SMK Negeri 6 Kendari</v>
      </c>
      <c r="D304" s="24"/>
      <c r="E304" s="24"/>
      <c r="F304" s="24" t="str">
        <f>IFERROR(__xludf.DUMMYFUNCTION("""COMPUTED_VALUE"""),"Mikael Rafahmi")</f>
        <v>Mikael Rafahmi</v>
      </c>
      <c r="G304" s="24" t="str">
        <f>IFERROR(__xludf.DUMMYFUNCTION("""COMPUTED_VALUE"""),"7403222508060201")</f>
        <v>7403222508060201</v>
      </c>
      <c r="H304" s="24"/>
      <c r="I304" s="24"/>
      <c r="J304" s="24" t="str">
        <f>IFERROR(__xludf.DUMMYFUNCTION("""COMPUTED_VALUE"""),"LAKI-LAKI")</f>
        <v>LAKI-LAKI</v>
      </c>
      <c r="K304" s="24" t="str">
        <f>IFERROR(__xludf.DUMMYFUNCTION("""COMPUTED_VALUE"""),"Andonohu")</f>
        <v>Andonohu</v>
      </c>
      <c r="L304" s="24"/>
      <c r="M304" s="24"/>
      <c r="N304" s="24" t="str">
        <f>IFERROR(__xludf.DUMMYFUNCTION("""COMPUTED_VALUE"""),"SMA / SMK / MA")</f>
        <v>SMA / SMK / MA</v>
      </c>
      <c r="O304" s="24"/>
      <c r="P304" s="24"/>
      <c r="Q304" s="24"/>
      <c r="R304" s="24" t="str">
        <f>IFERROR(__xludf.DUMMYFUNCTION("""COMPUTED_VALUE"""),"K")</f>
        <v>K</v>
      </c>
      <c r="S304" s="25"/>
    </row>
    <row r="305" ht="22.5" customHeight="1">
      <c r="A305" s="22">
        <v>304.0</v>
      </c>
      <c r="B305" s="24" t="str">
        <f>IFERROR(__xludf.DUMMYFUNCTION("""COMPUTED_VALUE"""),"Pemasangan Pembangkit Listrik Tenaga Surya Off-Grid")</f>
        <v>Pemasangan Pembangkit Listrik Tenaga Surya Off-Grid</v>
      </c>
      <c r="C305" s="24" t="str">
        <f>IFERROR(__xludf.DUMMYFUNCTION("""COMPUTED_VALUE"""),"SMK Negeri 6 Kendari")</f>
        <v>SMK Negeri 6 Kendari</v>
      </c>
      <c r="D305" s="24"/>
      <c r="E305" s="24"/>
      <c r="F305" s="24" t="str">
        <f>IFERROR(__xludf.DUMMYFUNCTION("""COMPUTED_VALUE"""),"Muh. Fabil Azhar")</f>
        <v>Muh. Fabil Azhar</v>
      </c>
      <c r="G305" s="24" t="str">
        <f>IFERROR(__xludf.DUMMYFUNCTION("""COMPUTED_VALUE"""),"7471052303070002")</f>
        <v>7471052303070002</v>
      </c>
      <c r="H305" s="24"/>
      <c r="I305" s="24"/>
      <c r="J305" s="24" t="str">
        <f>IFERROR(__xludf.DUMMYFUNCTION("""COMPUTED_VALUE"""),"LAKI-LAKI")</f>
        <v>LAKI-LAKI</v>
      </c>
      <c r="K305" s="24" t="str">
        <f>IFERROR(__xludf.DUMMYFUNCTION("""COMPUTED_VALUE"""),"BTN PNS, Kota Kendari")</f>
        <v>BTN PNS, Kota Kendari</v>
      </c>
      <c r="L305" s="24"/>
      <c r="M305" s="24"/>
      <c r="N305" s="24" t="str">
        <f>IFERROR(__xludf.DUMMYFUNCTION("""COMPUTED_VALUE"""),"SMA / SMK / MA")</f>
        <v>SMA / SMK / MA</v>
      </c>
      <c r="O305" s="24"/>
      <c r="P305" s="24"/>
      <c r="Q305" s="24"/>
      <c r="R305" s="24" t="str">
        <f>IFERROR(__xludf.DUMMYFUNCTION("""COMPUTED_VALUE"""),"BK")</f>
        <v>BK</v>
      </c>
      <c r="S305" s="25"/>
    </row>
    <row r="306" ht="22.5" customHeight="1">
      <c r="A306" s="22">
        <v>305.0</v>
      </c>
      <c r="B306" s="24" t="str">
        <f>IFERROR(__xludf.DUMMYFUNCTION("""COMPUTED_VALUE"""),"Pemasangan Pembangkit Listrik Tenaga Surya Off-Grid")</f>
        <v>Pemasangan Pembangkit Listrik Tenaga Surya Off-Grid</v>
      </c>
      <c r="C306" s="24" t="str">
        <f>IFERROR(__xludf.DUMMYFUNCTION("""COMPUTED_VALUE"""),"SMK Negeri 6 Kendari")</f>
        <v>SMK Negeri 6 Kendari</v>
      </c>
      <c r="D306" s="24"/>
      <c r="E306" s="24"/>
      <c r="F306" s="24" t="str">
        <f>IFERROR(__xludf.DUMMYFUNCTION("""COMPUTED_VALUE"""),"Muh. Ibrahim Nurdiyansyah")</f>
        <v>Muh. Ibrahim Nurdiyansyah</v>
      </c>
      <c r="G306" s="24" t="str">
        <f>IFERROR(__xludf.DUMMYFUNCTION("""COMPUTED_VALUE"""),"7471071106080001")</f>
        <v>7471071106080001</v>
      </c>
      <c r="H306" s="24"/>
      <c r="I306" s="24"/>
      <c r="J306" s="24" t="str">
        <f>IFERROR(__xludf.DUMMYFUNCTION("""COMPUTED_VALUE"""),"LAKI-LAKI")</f>
        <v>LAKI-LAKI</v>
      </c>
      <c r="K306" s="24" t="str">
        <f>IFERROR(__xludf.DUMMYFUNCTION("""COMPUTED_VALUE"""),"jl. Kamboja Kel. Ranometo")</f>
        <v>jl. Kamboja Kel. Ranometo</v>
      </c>
      <c r="L306" s="24"/>
      <c r="M306" s="24"/>
      <c r="N306" s="24" t="str">
        <f>IFERROR(__xludf.DUMMYFUNCTION("""COMPUTED_VALUE"""),"SMA / SMK / MA")</f>
        <v>SMA / SMK / MA</v>
      </c>
      <c r="O306" s="24"/>
      <c r="P306" s="24"/>
      <c r="Q306" s="24"/>
      <c r="R306" s="24" t="str">
        <f>IFERROR(__xludf.DUMMYFUNCTION("""COMPUTED_VALUE"""),"K")</f>
        <v>K</v>
      </c>
      <c r="S306" s="25"/>
    </row>
    <row r="307" ht="22.5" customHeight="1">
      <c r="A307" s="22">
        <v>306.0</v>
      </c>
      <c r="B307" s="24" t="str">
        <f>IFERROR(__xludf.DUMMYFUNCTION("""COMPUTED_VALUE"""),"Pemasangan Pembangkit Listrik Tenaga Surya Off-Grid")</f>
        <v>Pemasangan Pembangkit Listrik Tenaga Surya Off-Grid</v>
      </c>
      <c r="C307" s="24" t="str">
        <f>IFERROR(__xludf.DUMMYFUNCTION("""COMPUTED_VALUE"""),"SMK Negeri 6 Kendari")</f>
        <v>SMK Negeri 6 Kendari</v>
      </c>
      <c r="D307" s="24"/>
      <c r="E307" s="24"/>
      <c r="F307" s="24" t="str">
        <f>IFERROR(__xludf.DUMMYFUNCTION("""COMPUTED_VALUE"""),"Muh. Rafli Jaya Putra")</f>
        <v>Muh. Rafli Jaya Putra</v>
      </c>
      <c r="G307" s="24" t="str">
        <f>IFERROR(__xludf.DUMMYFUNCTION("""COMPUTED_VALUE"""),"7471042810070003")</f>
        <v>7471042810070003</v>
      </c>
      <c r="H307" s="24"/>
      <c r="I307" s="24"/>
      <c r="J307" s="24" t="str">
        <f>IFERROR(__xludf.DUMMYFUNCTION("""COMPUTED_VALUE"""),"LAKI-LAKI")</f>
        <v>LAKI-LAKI</v>
      </c>
      <c r="K307" s="24" t="str">
        <f>IFERROR(__xludf.DUMMYFUNCTION("""COMPUTED_VALUE"""),"Andonohu, BTN Multi Graha")</f>
        <v>Andonohu, BTN Multi Graha</v>
      </c>
      <c r="L307" s="24"/>
      <c r="M307" s="24"/>
      <c r="N307" s="24" t="str">
        <f>IFERROR(__xludf.DUMMYFUNCTION("""COMPUTED_VALUE"""),"SMA / SMK / MA")</f>
        <v>SMA / SMK / MA</v>
      </c>
      <c r="O307" s="24"/>
      <c r="P307" s="24"/>
      <c r="Q307" s="24"/>
      <c r="R307" s="24" t="str">
        <f>IFERROR(__xludf.DUMMYFUNCTION("""COMPUTED_VALUE"""),"K")</f>
        <v>K</v>
      </c>
      <c r="S307" s="25"/>
    </row>
    <row r="308" ht="22.5" customHeight="1">
      <c r="A308" s="22">
        <v>307.0</v>
      </c>
      <c r="B308" s="24" t="str">
        <f>IFERROR(__xludf.DUMMYFUNCTION("""COMPUTED_VALUE"""),"Pemasangan Pembangkit Listrik Tenaga Surya Off-Grid")</f>
        <v>Pemasangan Pembangkit Listrik Tenaga Surya Off-Grid</v>
      </c>
      <c r="C308" s="24" t="str">
        <f>IFERROR(__xludf.DUMMYFUNCTION("""COMPUTED_VALUE"""),"SMK Negeri 6 Kendari")</f>
        <v>SMK Negeri 6 Kendari</v>
      </c>
      <c r="D308" s="24"/>
      <c r="E308" s="24"/>
      <c r="F308" s="24" t="str">
        <f>IFERROR(__xludf.DUMMYFUNCTION("""COMPUTED_VALUE"""),"Muh.Jefri")</f>
        <v>Muh.Jefri</v>
      </c>
      <c r="G308" s="24" t="str">
        <f>IFERROR(__xludf.DUMMYFUNCTION("""COMPUTED_VALUE"""),"7401070404080001")</f>
        <v>7401070404080001</v>
      </c>
      <c r="H308" s="24"/>
      <c r="I308" s="24"/>
      <c r="J308" s="24" t="str">
        <f>IFERROR(__xludf.DUMMYFUNCTION("""COMPUTED_VALUE"""),"LAKI-LAKI")</f>
        <v>LAKI-LAKI</v>
      </c>
      <c r="K308" s="24" t="str">
        <f>IFERROR(__xludf.DUMMYFUNCTION("""COMPUTED_VALUE"""),"Ranomeeto BTN Maleo 1")</f>
        <v>Ranomeeto BTN Maleo 1</v>
      </c>
      <c r="L308" s="24"/>
      <c r="M308" s="24"/>
      <c r="N308" s="24" t="str">
        <f>IFERROR(__xludf.DUMMYFUNCTION("""COMPUTED_VALUE"""),"SMA / SMK / MA")</f>
        <v>SMA / SMK / MA</v>
      </c>
      <c r="O308" s="24"/>
      <c r="P308" s="24"/>
      <c r="Q308" s="24"/>
      <c r="R308" s="24" t="str">
        <f>IFERROR(__xludf.DUMMYFUNCTION("""COMPUTED_VALUE"""),"BK")</f>
        <v>BK</v>
      </c>
      <c r="S308" s="25"/>
    </row>
    <row r="309" ht="22.5" customHeight="1">
      <c r="A309" s="22">
        <v>308.0</v>
      </c>
      <c r="B309" s="24" t="str">
        <f>IFERROR(__xludf.DUMMYFUNCTION("""COMPUTED_VALUE"""),"Pemasangan Pembangkit Listrik Tenaga Surya Off-Grid")</f>
        <v>Pemasangan Pembangkit Listrik Tenaga Surya Off-Grid</v>
      </c>
      <c r="C309" s="24" t="str">
        <f>IFERROR(__xludf.DUMMYFUNCTION("""COMPUTED_VALUE"""),"SMK Negeri 6 Kendari")</f>
        <v>SMK Negeri 6 Kendari</v>
      </c>
      <c r="D309" s="24"/>
      <c r="E309" s="24"/>
      <c r="F309" s="24" t="str">
        <f>IFERROR(__xludf.DUMMYFUNCTION("""COMPUTED_VALUE"""),"Muhammad Raditya")</f>
        <v>Muhammad Raditya</v>
      </c>
      <c r="G309" s="24" t="str">
        <f>IFERROR(__xludf.DUMMYFUNCTION("""COMPUTED_VALUE"""),"7471080806080001")</f>
        <v>7471080806080001</v>
      </c>
      <c r="H309" s="24"/>
      <c r="I309" s="24"/>
      <c r="J309" s="24" t="str">
        <f>IFERROR(__xludf.DUMMYFUNCTION("""COMPUTED_VALUE"""),"LAKI-LAKI")</f>
        <v>LAKI-LAKI</v>
      </c>
      <c r="K309" s="24" t="str">
        <f>IFERROR(__xludf.DUMMYFUNCTION("""COMPUTED_VALUE"""),"Jl. Salomo, BTN Azka Permai Blok C No 3")</f>
        <v>Jl. Salomo, BTN Azka Permai Blok C No 3</v>
      </c>
      <c r="L309" s="24"/>
      <c r="M309" s="24"/>
      <c r="N309" s="24" t="str">
        <f>IFERROR(__xludf.DUMMYFUNCTION("""COMPUTED_VALUE"""),"SMA / SMK / MA")</f>
        <v>SMA / SMK / MA</v>
      </c>
      <c r="O309" s="24"/>
      <c r="P309" s="24"/>
      <c r="Q309" s="24"/>
      <c r="R309" s="24" t="str">
        <f>IFERROR(__xludf.DUMMYFUNCTION("""COMPUTED_VALUE"""),"K")</f>
        <v>K</v>
      </c>
      <c r="S309" s="25"/>
    </row>
    <row r="310" ht="22.5" customHeight="1">
      <c r="A310" s="22">
        <v>309.0</v>
      </c>
      <c r="B310" s="24" t="str">
        <f>IFERROR(__xludf.DUMMYFUNCTION("""COMPUTED_VALUE"""),"Pemasangan Pembangkit Listrik Tenaga Surya Off-Grid")</f>
        <v>Pemasangan Pembangkit Listrik Tenaga Surya Off-Grid</v>
      </c>
      <c r="C310" s="24" t="str">
        <f>IFERROR(__xludf.DUMMYFUNCTION("""COMPUTED_VALUE"""),"SMK Negeri 6 Kendari")</f>
        <v>SMK Negeri 6 Kendari</v>
      </c>
      <c r="D310" s="24"/>
      <c r="E310" s="24"/>
      <c r="F310" s="24" t="str">
        <f>IFERROR(__xludf.DUMMYFUNCTION("""COMPUTED_VALUE"""),"Purnama Catur Putra")</f>
        <v>Purnama Catur Putra</v>
      </c>
      <c r="G310" s="24" t="str">
        <f>IFERROR(__xludf.DUMMYFUNCTION("""COMPUTED_VALUE"""),"7406051706080001")</f>
        <v>7406051706080001</v>
      </c>
      <c r="H310" s="24"/>
      <c r="I310" s="24"/>
      <c r="J310" s="24" t="str">
        <f>IFERROR(__xludf.DUMMYFUNCTION("""COMPUTED_VALUE"""),"LAKI-LAKI")</f>
        <v>LAKI-LAKI</v>
      </c>
      <c r="K310" s="24" t="str">
        <f>IFERROR(__xludf.DUMMYFUNCTION("""COMPUTED_VALUE"""),"BTN Denata Residen")</f>
        <v>BTN Denata Residen</v>
      </c>
      <c r="L310" s="24"/>
      <c r="M310" s="24"/>
      <c r="N310" s="24" t="str">
        <f>IFERROR(__xludf.DUMMYFUNCTION("""COMPUTED_VALUE"""),"SMA / SMK / MA")</f>
        <v>SMA / SMK / MA</v>
      </c>
      <c r="O310" s="24"/>
      <c r="P310" s="24"/>
      <c r="Q310" s="24"/>
      <c r="R310" s="24" t="str">
        <f>IFERROR(__xludf.DUMMYFUNCTION("""COMPUTED_VALUE"""),"BK")</f>
        <v>BK</v>
      </c>
      <c r="S310" s="25"/>
    </row>
    <row r="311" ht="22.5" customHeight="1">
      <c r="A311" s="22">
        <v>310.0</v>
      </c>
      <c r="B311" s="24" t="str">
        <f>IFERROR(__xludf.DUMMYFUNCTION("""COMPUTED_VALUE"""),"Pemasangan Pembangkit Listrik Tenaga Surya Off-Grid")</f>
        <v>Pemasangan Pembangkit Listrik Tenaga Surya Off-Grid</v>
      </c>
      <c r="C311" s="24" t="str">
        <f>IFERROR(__xludf.DUMMYFUNCTION("""COMPUTED_VALUE"""),"SMK Negeri 6 Kendari")</f>
        <v>SMK Negeri 6 Kendari</v>
      </c>
      <c r="D311" s="24"/>
      <c r="E311" s="24"/>
      <c r="F311" s="24" t="str">
        <f>IFERROR(__xludf.DUMMYFUNCTION("""COMPUTED_VALUE"""),"Rafdal Yusuf")</f>
        <v>Rafdal Yusuf</v>
      </c>
      <c r="G311" s="24" t="str">
        <f>IFERROR(__xludf.DUMMYFUNCTION("""COMPUTED_VALUE"""),"7471032705070001")</f>
        <v>7471032705070001</v>
      </c>
      <c r="H311" s="24"/>
      <c r="I311" s="24"/>
      <c r="J311" s="24" t="str">
        <f>IFERROR(__xludf.DUMMYFUNCTION("""COMPUTED_VALUE"""),"LAKI-LAKI")</f>
        <v>LAKI-LAKI</v>
      </c>
      <c r="K311" s="24" t="str">
        <f>IFERROR(__xludf.DUMMYFUNCTION("""COMPUTED_VALUE"""),"Jln. KS Tubun")</f>
        <v>Jln. KS Tubun</v>
      </c>
      <c r="L311" s="24"/>
      <c r="M311" s="24"/>
      <c r="N311" s="24" t="str">
        <f>IFERROR(__xludf.DUMMYFUNCTION("""COMPUTED_VALUE"""),"SMA / SMK / MA")</f>
        <v>SMA / SMK / MA</v>
      </c>
      <c r="O311" s="24"/>
      <c r="P311" s="24"/>
      <c r="Q311" s="24"/>
      <c r="R311" s="24" t="str">
        <f>IFERROR(__xludf.DUMMYFUNCTION("""COMPUTED_VALUE"""),"K")</f>
        <v>K</v>
      </c>
      <c r="S311" s="25"/>
    </row>
    <row r="312" ht="22.5" customHeight="1">
      <c r="A312" s="22">
        <v>311.0</v>
      </c>
      <c r="B312" s="24" t="str">
        <f>IFERROR(__xludf.DUMMYFUNCTION("""COMPUTED_VALUE"""),"Pemasangan Pembangkit Listrik Tenaga Surya Off-Grid")</f>
        <v>Pemasangan Pembangkit Listrik Tenaga Surya Off-Grid</v>
      </c>
      <c r="C312" s="24" t="str">
        <f>IFERROR(__xludf.DUMMYFUNCTION("""COMPUTED_VALUE"""),"SMK Negeri 6 Kendari")</f>
        <v>SMK Negeri 6 Kendari</v>
      </c>
      <c r="D312" s="24"/>
      <c r="E312" s="24"/>
      <c r="F312" s="24" t="str">
        <f>IFERROR(__xludf.DUMMYFUNCTION("""COMPUTED_VALUE"""),"Reksa Amifea Darmawan")</f>
        <v>Reksa Amifea Darmawan</v>
      </c>
      <c r="G312" s="24" t="str">
        <f>IFERROR(__xludf.DUMMYFUNCTION("""COMPUTED_VALUE"""),"7471030602080001")</f>
        <v>7471030602080001</v>
      </c>
      <c r="H312" s="24"/>
      <c r="I312" s="24"/>
      <c r="J312" s="24" t="str">
        <f>IFERROR(__xludf.DUMMYFUNCTION("""COMPUTED_VALUE"""),"LAKI-LAKI")</f>
        <v>LAKI-LAKI</v>
      </c>
      <c r="K312" s="24" t="str">
        <f>IFERROR(__xludf.DUMMYFUNCTION("""COMPUTED_VALUE"""),"Jln. Simbo")</f>
        <v>Jln. Simbo</v>
      </c>
      <c r="L312" s="24"/>
      <c r="M312" s="24"/>
      <c r="N312" s="24" t="str">
        <f>IFERROR(__xludf.DUMMYFUNCTION("""COMPUTED_VALUE"""),"SMA / SMK / MA")</f>
        <v>SMA / SMK / MA</v>
      </c>
      <c r="O312" s="24"/>
      <c r="P312" s="24"/>
      <c r="Q312" s="24"/>
      <c r="R312" s="24" t="str">
        <f>IFERROR(__xludf.DUMMYFUNCTION("""COMPUTED_VALUE"""),"K")</f>
        <v>K</v>
      </c>
      <c r="S312" s="25"/>
    </row>
    <row r="313" ht="22.5" customHeight="1">
      <c r="A313" s="22">
        <v>312.0</v>
      </c>
      <c r="B313" s="24" t="str">
        <f>IFERROR(__xludf.DUMMYFUNCTION("""COMPUTED_VALUE"""),"Pemasangan Pembangkit Listrik Tenaga Surya Off-Grid")</f>
        <v>Pemasangan Pembangkit Listrik Tenaga Surya Off-Grid</v>
      </c>
      <c r="C313" s="24" t="str">
        <f>IFERROR(__xludf.DUMMYFUNCTION("""COMPUTED_VALUE"""),"SMK Negeri 6 Kendari")</f>
        <v>SMK Negeri 6 Kendari</v>
      </c>
      <c r="D313" s="24"/>
      <c r="E313" s="24"/>
      <c r="F313" s="24" t="str">
        <f>IFERROR(__xludf.DUMMYFUNCTION("""COMPUTED_VALUE"""),"Rifki Ahmad")</f>
        <v>Rifki Ahmad</v>
      </c>
      <c r="G313" s="24" t="str">
        <f>IFERROR(__xludf.DUMMYFUNCTION("""COMPUTED_VALUE"""),"7471041107080001")</f>
        <v>7471041107080001</v>
      </c>
      <c r="H313" s="24"/>
      <c r="I313" s="24"/>
      <c r="J313" s="24" t="str">
        <f>IFERROR(__xludf.DUMMYFUNCTION("""COMPUTED_VALUE"""),"LAKI-LAKI")</f>
        <v>LAKI-LAKI</v>
      </c>
      <c r="K313" s="24" t="str">
        <f>IFERROR(__xludf.DUMMYFUNCTION("""COMPUTED_VALUE"""),"Kampung Baru, Anduonohu")</f>
        <v>Kampung Baru, Anduonohu</v>
      </c>
      <c r="L313" s="24"/>
      <c r="M313" s="24"/>
      <c r="N313" s="24" t="str">
        <f>IFERROR(__xludf.DUMMYFUNCTION("""COMPUTED_VALUE"""),"SMA / SMK / MA")</f>
        <v>SMA / SMK / MA</v>
      </c>
      <c r="O313" s="24"/>
      <c r="P313" s="24"/>
      <c r="Q313" s="24"/>
      <c r="R313" s="24" t="str">
        <f>IFERROR(__xludf.DUMMYFUNCTION("""COMPUTED_VALUE"""),"K")</f>
        <v>K</v>
      </c>
      <c r="S313" s="25"/>
    </row>
    <row r="314" ht="22.5" customHeight="1">
      <c r="A314" s="22">
        <v>313.0</v>
      </c>
      <c r="B314" s="24" t="str">
        <f>IFERROR(__xludf.DUMMYFUNCTION("""COMPUTED_VALUE"""),"Pemasangan Pembangkit Listrik Tenaga Surya Off-Grid")</f>
        <v>Pemasangan Pembangkit Listrik Tenaga Surya Off-Grid</v>
      </c>
      <c r="C314" s="24" t="str">
        <f>IFERROR(__xludf.DUMMYFUNCTION("""COMPUTED_VALUE"""),"SMK Negeri 6 Kendari")</f>
        <v>SMK Negeri 6 Kendari</v>
      </c>
      <c r="D314" s="24"/>
      <c r="E314" s="24"/>
      <c r="F314" s="24" t="str">
        <f>IFERROR(__xludf.DUMMYFUNCTION("""COMPUTED_VALUE"""),"Rizky Galang Aydrus")</f>
        <v>Rizky Galang Aydrus</v>
      </c>
      <c r="G314" s="24" t="str">
        <f>IFERROR(__xludf.DUMMYFUNCTION("""COMPUTED_VALUE"""),"7472060404060003")</f>
        <v>7472060404060003</v>
      </c>
      <c r="H314" s="24"/>
      <c r="I314" s="24"/>
      <c r="J314" s="24" t="str">
        <f>IFERROR(__xludf.DUMMYFUNCTION("""COMPUTED_VALUE"""),"LAKI-LAKI")</f>
        <v>LAKI-LAKI</v>
      </c>
      <c r="K314" s="24" t="str">
        <f>IFERROR(__xludf.DUMMYFUNCTION("""COMPUTED_VALUE"""),"Baruga")</f>
        <v>Baruga</v>
      </c>
      <c r="L314" s="24"/>
      <c r="M314" s="24"/>
      <c r="N314" s="24" t="str">
        <f>IFERROR(__xludf.DUMMYFUNCTION("""COMPUTED_VALUE"""),"SMA / SMK / MA")</f>
        <v>SMA / SMK / MA</v>
      </c>
      <c r="O314" s="24"/>
      <c r="P314" s="24"/>
      <c r="Q314" s="24"/>
      <c r="R314" s="24" t="str">
        <f>IFERROR(__xludf.DUMMYFUNCTION("""COMPUTED_VALUE"""),"K")</f>
        <v>K</v>
      </c>
      <c r="S314" s="25"/>
    </row>
    <row r="315" ht="22.5" customHeight="1">
      <c r="A315" s="22">
        <v>314.0</v>
      </c>
      <c r="B315" s="24" t="str">
        <f>IFERROR(__xludf.DUMMYFUNCTION("""COMPUTED_VALUE"""),"Pemasangan Pembangkit Listrik Tenaga Surya Off-Grid")</f>
        <v>Pemasangan Pembangkit Listrik Tenaga Surya Off-Grid</v>
      </c>
      <c r="C315" s="24" t="str">
        <f>IFERROR(__xludf.DUMMYFUNCTION("""COMPUTED_VALUE"""),"SMK Negeri 6 Kendari")</f>
        <v>SMK Negeri 6 Kendari</v>
      </c>
      <c r="D315" s="24"/>
      <c r="E315" s="24"/>
      <c r="F315" s="24" t="str">
        <f>IFERROR(__xludf.DUMMYFUNCTION("""COMPUTED_VALUE"""),"Sry Defi")</f>
        <v>Sry Defi</v>
      </c>
      <c r="G315" s="24" t="str">
        <f>IFERROR(__xludf.DUMMYFUNCTION("""COMPUTED_VALUE"""),"7471046407960001")</f>
        <v>7471046407960001</v>
      </c>
      <c r="H315" s="24"/>
      <c r="I315" s="24"/>
      <c r="J315" s="24" t="str">
        <f>IFERROR(__xludf.DUMMYFUNCTION("""COMPUTED_VALUE"""),"PEREMPUAN")</f>
        <v>PEREMPUAN</v>
      </c>
      <c r="K315" s="24" t="str">
        <f>IFERROR(__xludf.DUMMYFUNCTION("""COMPUTED_VALUE"""),"jl. kijang")</f>
        <v>jl. kijang</v>
      </c>
      <c r="L315" s="24"/>
      <c r="M315" s="24"/>
      <c r="N315" s="24" t="str">
        <f>IFERROR(__xludf.DUMMYFUNCTION("""COMPUTED_VALUE"""),"SMA / SMK / MA")</f>
        <v>SMA / SMK / MA</v>
      </c>
      <c r="O315" s="24"/>
      <c r="P315" s="24"/>
      <c r="Q315" s="24"/>
      <c r="R315" s="24" t="str">
        <f>IFERROR(__xludf.DUMMYFUNCTION("""COMPUTED_VALUE"""),"K")</f>
        <v>K</v>
      </c>
      <c r="S315" s="25"/>
    </row>
    <row r="316" ht="22.5" customHeight="1">
      <c r="A316" s="22">
        <v>315.0</v>
      </c>
      <c r="B316" s="24" t="str">
        <f>IFERROR(__xludf.DUMMYFUNCTION("""COMPUTED_VALUE"""),"Pemasangan Pembangkit Listrik Tenaga Surya Off-Grid")</f>
        <v>Pemasangan Pembangkit Listrik Tenaga Surya Off-Grid</v>
      </c>
      <c r="C316" s="24" t="str">
        <f>IFERROR(__xludf.DUMMYFUNCTION("""COMPUTED_VALUE"""),"SMK Negeri 6 Kendari")</f>
        <v>SMK Negeri 6 Kendari</v>
      </c>
      <c r="D316" s="24"/>
      <c r="E316" s="24"/>
      <c r="F316" s="24" t="str">
        <f>IFERROR(__xludf.DUMMYFUNCTION("""COMPUTED_VALUE"""),"Dian Lestari")</f>
        <v>Dian Lestari</v>
      </c>
      <c r="G316" s="24" t="str">
        <f>IFERROR(__xludf.DUMMYFUNCTION("""COMPUTED_VALUE"""),"7409075110970001")</f>
        <v>7409075110970001</v>
      </c>
      <c r="H316" s="24"/>
      <c r="I316" s="24"/>
      <c r="J316" s="24" t="str">
        <f>IFERROR(__xludf.DUMMYFUNCTION("""COMPUTED_VALUE"""),"PEREMPUAN")</f>
        <v>PEREMPUAN</v>
      </c>
      <c r="K316" s="24" t="str">
        <f>IFERROR(__xludf.DUMMYFUNCTION("""COMPUTED_VALUE"""),"Mahontea")</f>
        <v>Mahontea</v>
      </c>
      <c r="L316" s="24"/>
      <c r="M316" s="24"/>
      <c r="N316" s="24" t="str">
        <f>IFERROR(__xludf.DUMMYFUNCTION("""COMPUTED_VALUE"""),"SMA / SMK / MA")</f>
        <v>SMA / SMK / MA</v>
      </c>
      <c r="O316" s="24"/>
      <c r="P316" s="24"/>
      <c r="Q316" s="24"/>
      <c r="R316" s="24" t="str">
        <f>IFERROR(__xludf.DUMMYFUNCTION("""COMPUTED_VALUE"""),"K")</f>
        <v>K</v>
      </c>
      <c r="S316" s="25"/>
    </row>
    <row r="317" ht="22.5" customHeight="1">
      <c r="A317" s="22">
        <v>316.0</v>
      </c>
      <c r="B317" s="24" t="str">
        <f>IFERROR(__xludf.DUMMYFUNCTION("""COMPUTED_VALUE"""),"Pemasangan Pembangkit Listrik Tenaga Surya Off-Grid")</f>
        <v>Pemasangan Pembangkit Listrik Tenaga Surya Off-Grid</v>
      </c>
      <c r="C317" s="24" t="str">
        <f>IFERROR(__xludf.DUMMYFUNCTION("""COMPUTED_VALUE"""),"SMK Negeri 6 Kendari")</f>
        <v>SMK Negeri 6 Kendari</v>
      </c>
      <c r="D317" s="24"/>
      <c r="E317" s="24"/>
      <c r="F317" s="24" t="str">
        <f>IFERROR(__xludf.DUMMYFUNCTION("""COMPUTED_VALUE"""),"Nursabiah")</f>
        <v>Nursabiah</v>
      </c>
      <c r="G317" s="24" t="str">
        <f>IFERROR(__xludf.DUMMYFUNCTION("""COMPUTED_VALUE"""),"7401185712960001")</f>
        <v>7401185712960001</v>
      </c>
      <c r="H317" s="24"/>
      <c r="I317" s="24"/>
      <c r="J317" s="24" t="str">
        <f>IFERROR(__xludf.DUMMYFUNCTION("""COMPUTED_VALUE"""),"PEREMPUAN")</f>
        <v>PEREMPUAN</v>
      </c>
      <c r="K317" s="24" t="str">
        <f>IFERROR(__xludf.DUMMYFUNCTION("""COMPUTED_VALUE"""),"Kec. Anaiwai, Tunggala")</f>
        <v>Kec. Anaiwai, Tunggala</v>
      </c>
      <c r="L317" s="24"/>
      <c r="M317" s="24"/>
      <c r="N317" s="24" t="str">
        <f>IFERROR(__xludf.DUMMYFUNCTION("""COMPUTED_VALUE"""),"SMA / SMK / MA")</f>
        <v>SMA / SMK / MA</v>
      </c>
      <c r="O317" s="24"/>
      <c r="P317" s="24"/>
      <c r="Q317" s="24"/>
      <c r="R317" s="24" t="str">
        <f>IFERROR(__xludf.DUMMYFUNCTION("""COMPUTED_VALUE"""),"K")</f>
        <v>K</v>
      </c>
      <c r="S317" s="25"/>
    </row>
    <row r="318" ht="22.5" customHeight="1">
      <c r="A318" s="22">
        <v>317.0</v>
      </c>
      <c r="B318" s="24" t="str">
        <f>IFERROR(__xludf.DUMMYFUNCTION("""COMPUTED_VALUE"""),"Pengelola Administrasi Perkantoran")</f>
        <v>Pengelola Administrasi Perkantoran</v>
      </c>
      <c r="C318" s="24" t="str">
        <f>IFERROR(__xludf.DUMMYFUNCTION("""COMPUTED_VALUE"""),"SMK Negeri 1 Kendari")</f>
        <v>SMK Negeri 1 Kendari</v>
      </c>
      <c r="D318" s="24"/>
      <c r="E318" s="24"/>
      <c r="F318" s="24" t="str">
        <f>IFERROR(__xludf.DUMMYFUNCTION("""COMPUTED_VALUE"""),"Ade Lia Keysa Putri Haerun")</f>
        <v>Ade Lia Keysa Putri Haerun</v>
      </c>
      <c r="G318" s="24" t="str">
        <f>IFERROR(__xludf.DUMMYFUNCTION("""COMPUTED_VALUE"""),"7471056201080003")</f>
        <v>7471056201080003</v>
      </c>
      <c r="H318" s="24"/>
      <c r="I318" s="24"/>
      <c r="J318" s="24" t="str">
        <f>IFERROR(__xludf.DUMMYFUNCTION("""COMPUTED_VALUE"""),"PEREMPUAN")</f>
        <v>PEREMPUAN</v>
      </c>
      <c r="K318" s="24" t="str">
        <f>IFERROR(__xludf.DUMMYFUNCTION("""COMPUTED_VALUE"""),"Jl. Ir. Soekarno No. 49")</f>
        <v>Jl. Ir. Soekarno No. 49</v>
      </c>
      <c r="L318" s="24"/>
      <c r="M318" s="24"/>
      <c r="N318" s="24" t="str">
        <f>IFERROR(__xludf.DUMMYFUNCTION("""COMPUTED_VALUE"""),"SMA / SMK / MA")</f>
        <v>SMA / SMK / MA</v>
      </c>
      <c r="O318" s="24"/>
      <c r="P318" s="24"/>
      <c r="Q318" s="24"/>
      <c r="R318" s="24" t="str">
        <f>IFERROR(__xludf.DUMMYFUNCTION("""COMPUTED_VALUE"""),"BK")</f>
        <v>BK</v>
      </c>
      <c r="S318" s="25"/>
    </row>
    <row r="319" ht="22.5" customHeight="1">
      <c r="A319" s="22">
        <v>318.0</v>
      </c>
      <c r="B319" s="24" t="str">
        <f>IFERROR(__xludf.DUMMYFUNCTION("""COMPUTED_VALUE"""),"Pengelola Administrasi Perkantoran")</f>
        <v>Pengelola Administrasi Perkantoran</v>
      </c>
      <c r="C319" s="24" t="str">
        <f>IFERROR(__xludf.DUMMYFUNCTION("""COMPUTED_VALUE"""),"SMK Negeri 1 Kendari")</f>
        <v>SMK Negeri 1 Kendari</v>
      </c>
      <c r="D319" s="24"/>
      <c r="E319" s="24"/>
      <c r="F319" s="24" t="str">
        <f>IFERROR(__xludf.DUMMYFUNCTION("""COMPUTED_VALUE"""),"ADE SARTIKA")</f>
        <v>ADE SARTIKA</v>
      </c>
      <c r="G319" s="24" t="str">
        <f>IFERROR(__xludf.DUMMYFUNCTION("""COMPUTED_VALUE"""),"7471095606080001")</f>
        <v>7471095606080001</v>
      </c>
      <c r="H319" s="24"/>
      <c r="I319" s="24"/>
      <c r="J319" s="24" t="str">
        <f>IFERROR(__xludf.DUMMYFUNCTION("""COMPUTED_VALUE"""),"PEREMPUAN")</f>
        <v>PEREMPUAN</v>
      </c>
      <c r="K319" s="24" t="str">
        <f>IFERROR(__xludf.DUMMYFUNCTION("""COMPUTED_VALUE"""),"Jl. sapati")</f>
        <v>Jl. sapati</v>
      </c>
      <c r="L319" s="24"/>
      <c r="M319" s="24"/>
      <c r="N319" s="24" t="str">
        <f>IFERROR(__xludf.DUMMYFUNCTION("""COMPUTED_VALUE"""),"SMA / SMK / MA")</f>
        <v>SMA / SMK / MA</v>
      </c>
      <c r="O319" s="24"/>
      <c r="P319" s="24"/>
      <c r="Q319" s="24"/>
      <c r="R319" s="24" t="str">
        <f>IFERROR(__xludf.DUMMYFUNCTION("""COMPUTED_VALUE"""),"K")</f>
        <v>K</v>
      </c>
      <c r="S319" s="25"/>
    </row>
    <row r="320" ht="22.5" customHeight="1">
      <c r="A320" s="22">
        <v>319.0</v>
      </c>
      <c r="B320" s="24" t="str">
        <f>IFERROR(__xludf.DUMMYFUNCTION("""COMPUTED_VALUE"""),"Pengelola Administrasi Perkantoran")</f>
        <v>Pengelola Administrasi Perkantoran</v>
      </c>
      <c r="C320" s="24" t="str">
        <f>IFERROR(__xludf.DUMMYFUNCTION("""COMPUTED_VALUE"""),"SMK Negeri 1 Kendari")</f>
        <v>SMK Negeri 1 Kendari</v>
      </c>
      <c r="D320" s="24"/>
      <c r="E320" s="24"/>
      <c r="F320" s="24" t="str">
        <f>IFERROR(__xludf.DUMMYFUNCTION("""COMPUTED_VALUE"""),"ADYTIA RAHMAT IRWANSYAH")</f>
        <v>ADYTIA RAHMAT IRWANSYAH</v>
      </c>
      <c r="G320" s="24" t="str">
        <f>IFERROR(__xludf.DUMMYFUNCTION("""COMPUTED_VALUE"""),"7471010811080005")</f>
        <v>7471010811080005</v>
      </c>
      <c r="H320" s="24"/>
      <c r="I320" s="24"/>
      <c r="J320" s="24" t="str">
        <f>IFERROR(__xludf.DUMMYFUNCTION("""COMPUTED_VALUE"""),"LAKI-LAKI")</f>
        <v>LAKI-LAKI</v>
      </c>
      <c r="K320" s="24" t="str">
        <f>IFERROR(__xludf.DUMMYFUNCTION("""COMPUTED_VALUE"""),"Jln. Imam Bonjol")</f>
        <v>Jln. Imam Bonjol</v>
      </c>
      <c r="L320" s="24"/>
      <c r="M320" s="24"/>
      <c r="N320" s="24" t="str">
        <f>IFERROR(__xludf.DUMMYFUNCTION("""COMPUTED_VALUE"""),"SMA / SMK / MA")</f>
        <v>SMA / SMK / MA</v>
      </c>
      <c r="O320" s="24"/>
      <c r="P320" s="24"/>
      <c r="Q320" s="24"/>
      <c r="R320" s="24" t="str">
        <f>IFERROR(__xludf.DUMMYFUNCTION("""COMPUTED_VALUE"""),"K")</f>
        <v>K</v>
      </c>
      <c r="S320" s="25"/>
    </row>
    <row r="321" ht="22.5" customHeight="1">
      <c r="A321" s="22">
        <v>320.0</v>
      </c>
      <c r="B321" s="24" t="str">
        <f>IFERROR(__xludf.DUMMYFUNCTION("""COMPUTED_VALUE"""),"Pengelola Administrasi Perkantoran")</f>
        <v>Pengelola Administrasi Perkantoran</v>
      </c>
      <c r="C321" s="24" t="str">
        <f>IFERROR(__xludf.DUMMYFUNCTION("""COMPUTED_VALUE"""),"SMK Negeri 1 Kendari")</f>
        <v>SMK Negeri 1 Kendari</v>
      </c>
      <c r="D321" s="24"/>
      <c r="E321" s="24"/>
      <c r="F321" s="24" t="str">
        <f>IFERROR(__xludf.DUMMYFUNCTION("""COMPUTED_VALUE"""),"AISYAH AL MAIRA ALIFA THAYEB")</f>
        <v>AISYAH AL MAIRA ALIFA THAYEB</v>
      </c>
      <c r="G321" s="24" t="str">
        <f>IFERROR(__xludf.DUMMYFUNCTION("""COMPUTED_VALUE"""),"7471055410080003")</f>
        <v>7471055410080003</v>
      </c>
      <c r="H321" s="24"/>
      <c r="I321" s="24"/>
      <c r="J321" s="24" t="str">
        <f>IFERROR(__xludf.DUMMYFUNCTION("""COMPUTED_VALUE"""),"PEREMPUAN")</f>
        <v>PEREMPUAN</v>
      </c>
      <c r="K321" s="24" t="str">
        <f>IFERROR(__xludf.DUMMYFUNCTION("""COMPUTED_VALUE"""),"Jl. Chairil Anwar Lr. Durian")</f>
        <v>Jl. Chairil Anwar Lr. Durian</v>
      </c>
      <c r="L321" s="24"/>
      <c r="M321" s="24"/>
      <c r="N321" s="24" t="str">
        <f>IFERROR(__xludf.DUMMYFUNCTION("""COMPUTED_VALUE"""),"SMA / SMK / MA")</f>
        <v>SMA / SMK / MA</v>
      </c>
      <c r="O321" s="24"/>
      <c r="P321" s="24"/>
      <c r="Q321" s="24"/>
      <c r="R321" s="24" t="str">
        <f>IFERROR(__xludf.DUMMYFUNCTION("""COMPUTED_VALUE"""),"K")</f>
        <v>K</v>
      </c>
      <c r="S321" s="25"/>
    </row>
    <row r="322" ht="22.5" customHeight="1">
      <c r="A322" s="22">
        <v>321.0</v>
      </c>
      <c r="B322" s="24" t="str">
        <f>IFERROR(__xludf.DUMMYFUNCTION("""COMPUTED_VALUE"""),"Pengelola Administrasi Perkantoran")</f>
        <v>Pengelola Administrasi Perkantoran</v>
      </c>
      <c r="C322" s="24" t="str">
        <f>IFERROR(__xludf.DUMMYFUNCTION("""COMPUTED_VALUE"""),"SMK Negeri 1 Kendari")</f>
        <v>SMK Negeri 1 Kendari</v>
      </c>
      <c r="D322" s="24"/>
      <c r="E322" s="24"/>
      <c r="F322" s="24" t="str">
        <f>IFERROR(__xludf.DUMMYFUNCTION("""COMPUTED_VALUE"""),"Alamsyah")</f>
        <v>Alamsyah</v>
      </c>
      <c r="G322" s="24" t="str">
        <f>IFERROR(__xludf.DUMMYFUNCTION("""COMPUTED_VALUE"""),"7471012107070003")</f>
        <v>7471012107070003</v>
      </c>
      <c r="H322" s="24"/>
      <c r="I322" s="24"/>
      <c r="J322" s="24" t="str">
        <f>IFERROR(__xludf.DUMMYFUNCTION("""COMPUTED_VALUE"""),"LAKI-LAKI")</f>
        <v>LAKI-LAKI</v>
      </c>
      <c r="K322" s="24" t="str">
        <f>IFERROR(__xludf.DUMMYFUNCTION("""COMPUTED_VALUE"""),"Jl. Sao-sao Komp. Perumnas")</f>
        <v>Jl. Sao-sao Komp. Perumnas</v>
      </c>
      <c r="L322" s="24"/>
      <c r="M322" s="24"/>
      <c r="N322" s="24" t="str">
        <f>IFERROR(__xludf.DUMMYFUNCTION("""COMPUTED_VALUE"""),"SMA / SMK / MA")</f>
        <v>SMA / SMK / MA</v>
      </c>
      <c r="O322" s="24"/>
      <c r="P322" s="24"/>
      <c r="Q322" s="24"/>
      <c r="R322" s="24" t="str">
        <f>IFERROR(__xludf.DUMMYFUNCTION("""COMPUTED_VALUE"""),"K")</f>
        <v>K</v>
      </c>
      <c r="S322" s="25"/>
    </row>
    <row r="323" ht="22.5" customHeight="1">
      <c r="A323" s="22">
        <v>322.0</v>
      </c>
      <c r="B323" s="24" t="str">
        <f>IFERROR(__xludf.DUMMYFUNCTION("""COMPUTED_VALUE"""),"Pengelola Administrasi Perkantoran")</f>
        <v>Pengelola Administrasi Perkantoran</v>
      </c>
      <c r="C323" s="24" t="str">
        <f>IFERROR(__xludf.DUMMYFUNCTION("""COMPUTED_VALUE"""),"SMK Negeri 1 Kendari")</f>
        <v>SMK Negeri 1 Kendari</v>
      </c>
      <c r="D323" s="24"/>
      <c r="E323" s="24"/>
      <c r="F323" s="24" t="str">
        <f>IFERROR(__xludf.DUMMYFUNCTION("""COMPUTED_VALUE"""),"Alya Herani")</f>
        <v>Alya Herani</v>
      </c>
      <c r="G323" s="24" t="str">
        <f>IFERROR(__xludf.DUMMYFUNCTION("""COMPUTED_VALUE"""),"7471106808080002")</f>
        <v>7471106808080002</v>
      </c>
      <c r="H323" s="24"/>
      <c r="I323" s="24"/>
      <c r="J323" s="24" t="str">
        <f>IFERROR(__xludf.DUMMYFUNCTION("""COMPUTED_VALUE"""),"PEREMPUAN")</f>
        <v>PEREMPUAN</v>
      </c>
      <c r="K323" s="24" t="str">
        <f>IFERROR(__xludf.DUMMYFUNCTION("""COMPUTED_VALUE"""),"Jl.H.E.A. Mokodompit")</f>
        <v>Jl.H.E.A. Mokodompit</v>
      </c>
      <c r="L323" s="24"/>
      <c r="M323" s="24"/>
      <c r="N323" s="24" t="str">
        <f>IFERROR(__xludf.DUMMYFUNCTION("""COMPUTED_VALUE"""),"SMA / SMK / MA")</f>
        <v>SMA / SMK / MA</v>
      </c>
      <c r="O323" s="24"/>
      <c r="P323" s="24"/>
      <c r="Q323" s="24"/>
      <c r="R323" s="24" t="str">
        <f>IFERROR(__xludf.DUMMYFUNCTION("""COMPUTED_VALUE"""),"K")</f>
        <v>K</v>
      </c>
      <c r="S323" s="25"/>
    </row>
    <row r="324" ht="22.5" customHeight="1">
      <c r="A324" s="22">
        <v>323.0</v>
      </c>
      <c r="B324" s="24" t="str">
        <f>IFERROR(__xludf.DUMMYFUNCTION("""COMPUTED_VALUE"""),"Pengelola Administrasi Perkantoran")</f>
        <v>Pengelola Administrasi Perkantoran</v>
      </c>
      <c r="C324" s="24" t="str">
        <f>IFERROR(__xludf.DUMMYFUNCTION("""COMPUTED_VALUE"""),"SMK Negeri 1 Kendari")</f>
        <v>SMK Negeri 1 Kendari</v>
      </c>
      <c r="D324" s="24"/>
      <c r="E324" s="24"/>
      <c r="F324" s="24" t="str">
        <f>IFERROR(__xludf.DUMMYFUNCTION("""COMPUTED_VALUE"""),"ANNISA RAMADANI SUNGE")</f>
        <v>ANNISA RAMADANI SUNGE</v>
      </c>
      <c r="G324" s="24" t="str">
        <f>IFERROR(__xludf.DUMMYFUNCTION("""COMPUTED_VALUE"""),"7471054209080003")</f>
        <v>7471054209080003</v>
      </c>
      <c r="H324" s="24"/>
      <c r="I324" s="24"/>
      <c r="J324" s="24" t="str">
        <f>IFERROR(__xludf.DUMMYFUNCTION("""COMPUTED_VALUE"""),"PEREMPUAN")</f>
        <v>PEREMPUAN</v>
      </c>
      <c r="K324" s="24" t="str">
        <f>IFERROR(__xludf.DUMMYFUNCTION("""COMPUTED_VALUE"""),"Jl. Pembangunan")</f>
        <v>Jl. Pembangunan</v>
      </c>
      <c r="L324" s="24"/>
      <c r="M324" s="24"/>
      <c r="N324" s="24" t="str">
        <f>IFERROR(__xludf.DUMMYFUNCTION("""COMPUTED_VALUE"""),"SMA / SMK / MA")</f>
        <v>SMA / SMK / MA</v>
      </c>
      <c r="O324" s="24"/>
      <c r="P324" s="24"/>
      <c r="Q324" s="24"/>
      <c r="R324" s="24" t="str">
        <f>IFERROR(__xludf.DUMMYFUNCTION("""COMPUTED_VALUE"""),"K")</f>
        <v>K</v>
      </c>
      <c r="S324" s="25"/>
    </row>
    <row r="325" ht="22.5" customHeight="1">
      <c r="A325" s="22">
        <v>324.0</v>
      </c>
      <c r="B325" s="24" t="str">
        <f>IFERROR(__xludf.DUMMYFUNCTION("""COMPUTED_VALUE"""),"Pengelola Administrasi Perkantoran")</f>
        <v>Pengelola Administrasi Perkantoran</v>
      </c>
      <c r="C325" s="24" t="str">
        <f>IFERROR(__xludf.DUMMYFUNCTION("""COMPUTED_VALUE"""),"SMK Negeri 1 Kendari")</f>
        <v>SMK Negeri 1 Kendari</v>
      </c>
      <c r="D325" s="24"/>
      <c r="E325" s="24"/>
      <c r="F325" s="24" t="str">
        <f>IFERROR(__xludf.DUMMYFUNCTION("""COMPUTED_VALUE"""),"EXCEL WIBOWO")</f>
        <v>EXCEL WIBOWO</v>
      </c>
      <c r="G325" s="24" t="str">
        <f>IFERROR(__xludf.DUMMYFUNCTION("""COMPUTED_VALUE"""),"7471092607080001")</f>
        <v>7471092607080001</v>
      </c>
      <c r="H325" s="24"/>
      <c r="I325" s="24"/>
      <c r="J325" s="24" t="str">
        <f>IFERROR(__xludf.DUMMYFUNCTION("""COMPUTED_VALUE"""),"LAKI-LAKI")</f>
        <v>LAKI-LAKI</v>
      </c>
      <c r="K325" s="24" t="str">
        <f>IFERROR(__xludf.DUMMYFUNCTION("""COMPUTED_VALUE"""),"Jl. Budi Utomo lr. Gersamata Ujung")</f>
        <v>Jl. Budi Utomo lr. Gersamata Ujung</v>
      </c>
      <c r="L325" s="24"/>
      <c r="M325" s="24"/>
      <c r="N325" s="24" t="str">
        <f>IFERROR(__xludf.DUMMYFUNCTION("""COMPUTED_VALUE"""),"SMA / SMK / MA")</f>
        <v>SMA / SMK / MA</v>
      </c>
      <c r="O325" s="24"/>
      <c r="P325" s="24"/>
      <c r="Q325" s="24"/>
      <c r="R325" s="24" t="str">
        <f>IFERROR(__xludf.DUMMYFUNCTION("""COMPUTED_VALUE"""),"K")</f>
        <v>K</v>
      </c>
      <c r="S325" s="25"/>
    </row>
    <row r="326" ht="22.5" customHeight="1">
      <c r="A326" s="22">
        <v>325.0</v>
      </c>
      <c r="B326" s="24" t="str">
        <f>IFERROR(__xludf.DUMMYFUNCTION("""COMPUTED_VALUE"""),"Pengelola Administrasi Perkantoran")</f>
        <v>Pengelola Administrasi Perkantoran</v>
      </c>
      <c r="C326" s="24" t="str">
        <f>IFERROR(__xludf.DUMMYFUNCTION("""COMPUTED_VALUE"""),"SMK Negeri 1 Kendari")</f>
        <v>SMK Negeri 1 Kendari</v>
      </c>
      <c r="D326" s="24"/>
      <c r="E326" s="24"/>
      <c r="F326" s="24" t="str">
        <f>IFERROR(__xludf.DUMMYFUNCTION("""COMPUTED_VALUE"""),"FEBRIANTI PALLIN")</f>
        <v>FEBRIANTI PALLIN</v>
      </c>
      <c r="G326" s="24" t="str">
        <f>IFERROR(__xludf.DUMMYFUNCTION("""COMPUTED_VALUE"""),"7402204402090001")</f>
        <v>7402204402090001</v>
      </c>
      <c r="H326" s="24"/>
      <c r="I326" s="24"/>
      <c r="J326" s="24" t="str">
        <f>IFERROR(__xludf.DUMMYFUNCTION("""COMPUTED_VALUE"""),"PEREMPUAN")</f>
        <v>PEREMPUAN</v>
      </c>
      <c r="K326" s="24" t="str">
        <f>IFERROR(__xludf.DUMMYFUNCTION("""COMPUTED_VALUE"""),"Jl. Y. Wayong II Dalam, Lrg. Pelangi Ujung")</f>
        <v>Jl. Y. Wayong II Dalam, Lrg. Pelangi Ujung</v>
      </c>
      <c r="L326" s="24"/>
      <c r="M326" s="24"/>
      <c r="N326" s="24" t="str">
        <f>IFERROR(__xludf.DUMMYFUNCTION("""COMPUTED_VALUE"""),"SMA / SMK / MA")</f>
        <v>SMA / SMK / MA</v>
      </c>
      <c r="O326" s="24"/>
      <c r="P326" s="24"/>
      <c r="Q326" s="24"/>
      <c r="R326" s="24" t="str">
        <f>IFERROR(__xludf.DUMMYFUNCTION("""COMPUTED_VALUE"""),"K")</f>
        <v>K</v>
      </c>
      <c r="S326" s="25"/>
    </row>
    <row r="327" ht="22.5" customHeight="1">
      <c r="A327" s="22">
        <v>326.0</v>
      </c>
      <c r="B327" s="24" t="str">
        <f>IFERROR(__xludf.DUMMYFUNCTION("""COMPUTED_VALUE"""),"Pengelola Administrasi Perkantoran")</f>
        <v>Pengelola Administrasi Perkantoran</v>
      </c>
      <c r="C327" s="24" t="str">
        <f>IFERROR(__xludf.DUMMYFUNCTION("""COMPUTED_VALUE"""),"SMK Negeri 1 Kendari")</f>
        <v>SMK Negeri 1 Kendari</v>
      </c>
      <c r="D327" s="24"/>
      <c r="E327" s="24"/>
      <c r="F327" s="24" t="str">
        <f>IFERROR(__xludf.DUMMYFUNCTION("""COMPUTED_VALUE"""),"Firsa Zesiliana Safitri")</f>
        <v>Firsa Zesiliana Safitri</v>
      </c>
      <c r="G327" s="24" t="str">
        <f>IFERROR(__xludf.DUMMYFUNCTION("""COMPUTED_VALUE"""),"7471015705080002")</f>
        <v>7471015705080002</v>
      </c>
      <c r="H327" s="24"/>
      <c r="I327" s="24"/>
      <c r="J327" s="24" t="str">
        <f>IFERROR(__xludf.DUMMYFUNCTION("""COMPUTED_VALUE"""),"PEREMPUAN")</f>
        <v>PEREMPUAN</v>
      </c>
      <c r="K327" s="24" t="str">
        <f>IFERROR(__xludf.DUMMYFUNCTION("""COMPUTED_VALUE"""),"Jl. R. Suprapto")</f>
        <v>Jl. R. Suprapto</v>
      </c>
      <c r="L327" s="24"/>
      <c r="M327" s="24"/>
      <c r="N327" s="24" t="str">
        <f>IFERROR(__xludf.DUMMYFUNCTION("""COMPUTED_VALUE"""),"SMA / SMK / MA")</f>
        <v>SMA / SMK / MA</v>
      </c>
      <c r="O327" s="24"/>
      <c r="P327" s="24"/>
      <c r="Q327" s="24"/>
      <c r="R327" s="24" t="str">
        <f>IFERROR(__xludf.DUMMYFUNCTION("""COMPUTED_VALUE"""),"K")</f>
        <v>K</v>
      </c>
      <c r="S327" s="25"/>
    </row>
    <row r="328" ht="22.5" customHeight="1">
      <c r="A328" s="22">
        <v>327.0</v>
      </c>
      <c r="B328" s="24" t="str">
        <f>IFERROR(__xludf.DUMMYFUNCTION("""COMPUTED_VALUE"""),"Pengelola Administrasi Perkantoran")</f>
        <v>Pengelola Administrasi Perkantoran</v>
      </c>
      <c r="C328" s="24" t="str">
        <f>IFERROR(__xludf.DUMMYFUNCTION("""COMPUTED_VALUE"""),"SMK Negeri 1 Kendari")</f>
        <v>SMK Negeri 1 Kendari</v>
      </c>
      <c r="D328" s="24"/>
      <c r="E328" s="24"/>
      <c r="F328" s="24" t="str">
        <f>IFERROR(__xludf.DUMMYFUNCTION("""COMPUTED_VALUE"""),"GHINA FRISKA FARADILLA")</f>
        <v>GHINA FRISKA FARADILLA</v>
      </c>
      <c r="G328" s="24" t="str">
        <f>IFERROR(__xludf.DUMMYFUNCTION("""COMPUTED_VALUE"""),"7471095510080001")</f>
        <v>7471095510080001</v>
      </c>
      <c r="H328" s="24"/>
      <c r="I328" s="24"/>
      <c r="J328" s="24" t="str">
        <f>IFERROR(__xludf.DUMMYFUNCTION("""COMPUTED_VALUE"""),"PEREMPUAN")</f>
        <v>PEREMPUAN</v>
      </c>
      <c r="K328" s="24" t="str">
        <f>IFERROR(__xludf.DUMMYFUNCTION("""COMPUTED_VALUE"""),"-")</f>
        <v>-</v>
      </c>
      <c r="L328" s="24"/>
      <c r="M328" s="24"/>
      <c r="N328" s="24" t="str">
        <f>IFERROR(__xludf.DUMMYFUNCTION("""COMPUTED_VALUE"""),"SMA / SMK / MA")</f>
        <v>SMA / SMK / MA</v>
      </c>
      <c r="O328" s="24"/>
      <c r="P328" s="24"/>
      <c r="Q328" s="24"/>
      <c r="R328" s="24" t="str">
        <f>IFERROR(__xludf.DUMMYFUNCTION("""COMPUTED_VALUE"""),"K")</f>
        <v>K</v>
      </c>
      <c r="S328" s="25"/>
    </row>
    <row r="329" ht="22.5" customHeight="1">
      <c r="A329" s="22">
        <v>328.0</v>
      </c>
      <c r="B329" s="24" t="str">
        <f>IFERROR(__xludf.DUMMYFUNCTION("""COMPUTED_VALUE"""),"Pengelola Administrasi Perkantoran")</f>
        <v>Pengelola Administrasi Perkantoran</v>
      </c>
      <c r="C329" s="24" t="str">
        <f>IFERROR(__xludf.DUMMYFUNCTION("""COMPUTED_VALUE"""),"SMK Negeri 1 Kendari")</f>
        <v>SMK Negeri 1 Kendari</v>
      </c>
      <c r="D329" s="24"/>
      <c r="E329" s="24"/>
      <c r="F329" s="24" t="str">
        <f>IFERROR(__xludf.DUMMYFUNCTION("""COMPUTED_VALUE"""),"Ketut Trisnawati")</f>
        <v>Ketut Trisnawati</v>
      </c>
      <c r="G329" s="24" t="str">
        <f>IFERROR(__xludf.DUMMYFUNCTION("""COMPUTED_VALUE"""),"7405154907070001")</f>
        <v>7405154907070001</v>
      </c>
      <c r="H329" s="24"/>
      <c r="I329" s="24"/>
      <c r="J329" s="24" t="str">
        <f>IFERROR(__xludf.DUMMYFUNCTION("""COMPUTED_VALUE"""),"PEREMPUAN")</f>
        <v>PEREMPUAN</v>
      </c>
      <c r="K329" s="24" t="str">
        <f>IFERROR(__xludf.DUMMYFUNCTION("""COMPUTED_VALUE"""),"Jl. Ks Tubun, Baruga, Perumahan Griya Riski Pradana")</f>
        <v>Jl. Ks Tubun, Baruga, Perumahan Griya Riski Pradana</v>
      </c>
      <c r="L329" s="24"/>
      <c r="M329" s="24"/>
      <c r="N329" s="24" t="str">
        <f>IFERROR(__xludf.DUMMYFUNCTION("""COMPUTED_VALUE"""),"SMA / SMK / MA")</f>
        <v>SMA / SMK / MA</v>
      </c>
      <c r="O329" s="24"/>
      <c r="P329" s="24"/>
      <c r="Q329" s="24"/>
      <c r="R329" s="24" t="str">
        <f>IFERROR(__xludf.DUMMYFUNCTION("""COMPUTED_VALUE"""),"K")</f>
        <v>K</v>
      </c>
      <c r="S329" s="25"/>
    </row>
    <row r="330" ht="22.5" customHeight="1">
      <c r="A330" s="22">
        <v>329.0</v>
      </c>
      <c r="B330" s="24" t="str">
        <f>IFERROR(__xludf.DUMMYFUNCTION("""COMPUTED_VALUE"""),"Pengelola Administrasi Perkantoran")</f>
        <v>Pengelola Administrasi Perkantoran</v>
      </c>
      <c r="C330" s="24" t="str">
        <f>IFERROR(__xludf.DUMMYFUNCTION("""COMPUTED_VALUE"""),"SMK Negeri 1 Kendari")</f>
        <v>SMK Negeri 1 Kendari</v>
      </c>
      <c r="D330" s="24"/>
      <c r="E330" s="24"/>
      <c r="F330" s="24" t="str">
        <f>IFERROR(__xludf.DUMMYFUNCTION("""COMPUTED_VALUE"""),"Khayla Putri Zahra")</f>
        <v>Khayla Putri Zahra</v>
      </c>
      <c r="G330" s="24" t="str">
        <f>IFERROR(__xludf.DUMMYFUNCTION("""COMPUTED_VALUE"""),"7471015706080003")</f>
        <v>7471015706080003</v>
      </c>
      <c r="H330" s="24"/>
      <c r="I330" s="24"/>
      <c r="J330" s="24" t="str">
        <f>IFERROR(__xludf.DUMMYFUNCTION("""COMPUTED_VALUE"""),"PEREMPUAN")</f>
        <v>PEREMPUAN</v>
      </c>
      <c r="K330" s="24" t="str">
        <f>IFERROR(__xludf.DUMMYFUNCTION("""COMPUTED_VALUE"""),"Jalan Taman Surapati")</f>
        <v>Jalan Taman Surapati</v>
      </c>
      <c r="L330" s="24"/>
      <c r="M330" s="24"/>
      <c r="N330" s="24" t="str">
        <f>IFERROR(__xludf.DUMMYFUNCTION("""COMPUTED_VALUE"""),"SMA / SMK / MA")</f>
        <v>SMA / SMK / MA</v>
      </c>
      <c r="O330" s="24"/>
      <c r="P330" s="24"/>
      <c r="Q330" s="24"/>
      <c r="R330" s="24" t="str">
        <f>IFERROR(__xludf.DUMMYFUNCTION("""COMPUTED_VALUE"""),"K")</f>
        <v>K</v>
      </c>
      <c r="S330" s="25"/>
    </row>
    <row r="331" ht="22.5" customHeight="1">
      <c r="A331" s="22">
        <v>330.0</v>
      </c>
      <c r="B331" s="24" t="str">
        <f>IFERROR(__xludf.DUMMYFUNCTION("""COMPUTED_VALUE"""),"Pengelola Administrasi Perkantoran")</f>
        <v>Pengelola Administrasi Perkantoran</v>
      </c>
      <c r="C331" s="24" t="str">
        <f>IFERROR(__xludf.DUMMYFUNCTION("""COMPUTED_VALUE"""),"SMK Negeri 1 Kendari")</f>
        <v>SMK Negeri 1 Kendari</v>
      </c>
      <c r="D331" s="24"/>
      <c r="E331" s="24"/>
      <c r="F331" s="24" t="str">
        <f>IFERROR(__xludf.DUMMYFUNCTION("""COMPUTED_VALUE"""),"Kinanti Faiza Putri")</f>
        <v>Kinanti Faiza Putri</v>
      </c>
      <c r="G331" s="24" t="str">
        <f>IFERROR(__xludf.DUMMYFUNCTION("""COMPUTED_VALUE"""),"7471025507080001")</f>
        <v>7471025507080001</v>
      </c>
      <c r="H331" s="24"/>
      <c r="I331" s="24"/>
      <c r="J331" s="24" t="str">
        <f>IFERROR(__xludf.DUMMYFUNCTION("""COMPUTED_VALUE"""),"PEREMPUAN")</f>
        <v>PEREMPUAN</v>
      </c>
      <c r="K331" s="24" t="str">
        <f>IFERROR(__xludf.DUMMYFUNCTION("""COMPUTED_VALUE"""),"Jl. Poros Jati Mekar")</f>
        <v>Jl. Poros Jati Mekar</v>
      </c>
      <c r="L331" s="24"/>
      <c r="M331" s="24"/>
      <c r="N331" s="24" t="str">
        <f>IFERROR(__xludf.DUMMYFUNCTION("""COMPUTED_VALUE"""),"SMA / SMK / MA")</f>
        <v>SMA / SMK / MA</v>
      </c>
      <c r="O331" s="24"/>
      <c r="P331" s="24"/>
      <c r="Q331" s="24"/>
      <c r="R331" s="24" t="str">
        <f>IFERROR(__xludf.DUMMYFUNCTION("""COMPUTED_VALUE"""),"K")</f>
        <v>K</v>
      </c>
      <c r="S331" s="25"/>
    </row>
    <row r="332" ht="22.5" customHeight="1">
      <c r="A332" s="22">
        <v>331.0</v>
      </c>
      <c r="B332" s="24" t="str">
        <f>IFERROR(__xludf.DUMMYFUNCTION("""COMPUTED_VALUE"""),"Pengelola Administrasi Perkantoran")</f>
        <v>Pengelola Administrasi Perkantoran</v>
      </c>
      <c r="C332" s="24" t="str">
        <f>IFERROR(__xludf.DUMMYFUNCTION("""COMPUTED_VALUE"""),"SMK Negeri 1 Kendari")</f>
        <v>SMK Negeri 1 Kendari</v>
      </c>
      <c r="D332" s="24"/>
      <c r="E332" s="24"/>
      <c r="F332" s="24" t="str">
        <f>IFERROR(__xludf.DUMMYFUNCTION("""COMPUTED_VALUE"""),"MUH. HABIL MEILANO")</f>
        <v>MUH. HABIL MEILANO</v>
      </c>
      <c r="G332" s="24" t="str">
        <f>IFERROR(__xludf.DUMMYFUNCTION("""COMPUTED_VALUE"""),"7471010105080003")</f>
        <v>7471010105080003</v>
      </c>
      <c r="H332" s="24"/>
      <c r="I332" s="24"/>
      <c r="J332" s="24" t="str">
        <f>IFERROR(__xludf.DUMMYFUNCTION("""COMPUTED_VALUE"""),"LAKI-LAKI")</f>
        <v>LAKI-LAKI</v>
      </c>
      <c r="K332" s="24" t="str">
        <f>IFERROR(__xludf.DUMMYFUNCTION("""COMPUTED_VALUE"""),"Jl. Imam Bonjol")</f>
        <v>Jl. Imam Bonjol</v>
      </c>
      <c r="L332" s="24"/>
      <c r="M332" s="24"/>
      <c r="N332" s="24" t="str">
        <f>IFERROR(__xludf.DUMMYFUNCTION("""COMPUTED_VALUE"""),"SMA / SMK / MA")</f>
        <v>SMA / SMK / MA</v>
      </c>
      <c r="O332" s="24"/>
      <c r="P332" s="24"/>
      <c r="Q332" s="24"/>
      <c r="R332" s="24" t="str">
        <f>IFERROR(__xludf.DUMMYFUNCTION("""COMPUTED_VALUE"""),"K")</f>
        <v>K</v>
      </c>
      <c r="S332" s="25"/>
    </row>
    <row r="333" ht="22.5" customHeight="1">
      <c r="A333" s="22">
        <v>332.0</v>
      </c>
      <c r="B333" s="24" t="str">
        <f>IFERROR(__xludf.DUMMYFUNCTION("""COMPUTED_VALUE"""),"Pengelola Administrasi Perkantoran")</f>
        <v>Pengelola Administrasi Perkantoran</v>
      </c>
      <c r="C333" s="24" t="str">
        <f>IFERROR(__xludf.DUMMYFUNCTION("""COMPUTED_VALUE"""),"SMK Negeri 1 Kendari")</f>
        <v>SMK Negeri 1 Kendari</v>
      </c>
      <c r="D333" s="24"/>
      <c r="E333" s="24"/>
      <c r="F333" s="24" t="str">
        <f>IFERROR(__xludf.DUMMYFUNCTION("""COMPUTED_VALUE"""),"Muhammad Fadlan")</f>
        <v>Muhammad Fadlan</v>
      </c>
      <c r="G333" s="24" t="str">
        <f>IFERROR(__xludf.DUMMYFUNCTION("""COMPUTED_VALUE"""),"7471013006080002")</f>
        <v>7471013006080002</v>
      </c>
      <c r="H333" s="24"/>
      <c r="I333" s="24"/>
      <c r="J333" s="24" t="str">
        <f>IFERROR(__xludf.DUMMYFUNCTION("""COMPUTED_VALUE"""),"LAKI-LAKI")</f>
        <v>LAKI-LAKI</v>
      </c>
      <c r="K333" s="24" t="str">
        <f>IFERROR(__xludf.DUMMYFUNCTION("""COMPUTED_VALUE"""),"lorong Kenari oikumene, Mandonga")</f>
        <v>lorong Kenari oikumene, Mandonga</v>
      </c>
      <c r="L333" s="24"/>
      <c r="M333" s="24"/>
      <c r="N333" s="24" t="str">
        <f>IFERROR(__xludf.DUMMYFUNCTION("""COMPUTED_VALUE"""),"SMA / SMK / MA")</f>
        <v>SMA / SMK / MA</v>
      </c>
      <c r="O333" s="24"/>
      <c r="P333" s="24"/>
      <c r="Q333" s="24"/>
      <c r="R333" s="24" t="str">
        <f>IFERROR(__xludf.DUMMYFUNCTION("""COMPUTED_VALUE"""),"K")</f>
        <v>K</v>
      </c>
      <c r="S333" s="25"/>
    </row>
    <row r="334" ht="22.5" customHeight="1">
      <c r="A334" s="22">
        <v>333.0</v>
      </c>
      <c r="B334" s="24" t="str">
        <f>IFERROR(__xludf.DUMMYFUNCTION("""COMPUTED_VALUE"""),"Pengelola Administrasi Perkantoran")</f>
        <v>Pengelola Administrasi Perkantoran</v>
      </c>
      <c r="C334" s="24" t="str">
        <f>IFERROR(__xludf.DUMMYFUNCTION("""COMPUTED_VALUE"""),"SMK Negeri 1 Kendari")</f>
        <v>SMK Negeri 1 Kendari</v>
      </c>
      <c r="D334" s="24"/>
      <c r="E334" s="24"/>
      <c r="F334" s="24" t="str">
        <f>IFERROR(__xludf.DUMMYFUNCTION("""COMPUTED_VALUE"""),"MULIANA SARI DEWI")</f>
        <v>MULIANA SARI DEWI</v>
      </c>
      <c r="G334" s="24" t="str">
        <f>IFERROR(__xludf.DUMMYFUNCTION("""COMPUTED_VALUE"""),"7471075211080001")</f>
        <v>7471075211080001</v>
      </c>
      <c r="H334" s="24"/>
      <c r="I334" s="24"/>
      <c r="J334" s="24" t="str">
        <f>IFERROR(__xludf.DUMMYFUNCTION("""COMPUTED_VALUE"""),"PEREMPUAN")</f>
        <v>PEREMPUAN</v>
      </c>
      <c r="K334" s="24" t="str">
        <f>IFERROR(__xludf.DUMMYFUNCTION("""COMPUTED_VALUE"""),"Jl. Dr. Sutomo Lalodati, Puuwatu")</f>
        <v>Jl. Dr. Sutomo Lalodati, Puuwatu</v>
      </c>
      <c r="L334" s="24"/>
      <c r="M334" s="24"/>
      <c r="N334" s="24" t="str">
        <f>IFERROR(__xludf.DUMMYFUNCTION("""COMPUTED_VALUE"""),"SMA / SMK / MA")</f>
        <v>SMA / SMK / MA</v>
      </c>
      <c r="O334" s="24"/>
      <c r="P334" s="24"/>
      <c r="Q334" s="24"/>
      <c r="R334" s="24" t="str">
        <f>IFERROR(__xludf.DUMMYFUNCTION("""COMPUTED_VALUE"""),"K")</f>
        <v>K</v>
      </c>
      <c r="S334" s="25"/>
    </row>
    <row r="335" ht="22.5" customHeight="1">
      <c r="A335" s="22">
        <v>334.0</v>
      </c>
      <c r="B335" s="24" t="str">
        <f>IFERROR(__xludf.DUMMYFUNCTION("""COMPUTED_VALUE"""),"Pengelola Administrasi Perkantoran")</f>
        <v>Pengelola Administrasi Perkantoran</v>
      </c>
      <c r="C335" s="24" t="str">
        <f>IFERROR(__xludf.DUMMYFUNCTION("""COMPUTED_VALUE"""),"SMK Negeri 1 Kendari")</f>
        <v>SMK Negeri 1 Kendari</v>
      </c>
      <c r="D335" s="24"/>
      <c r="E335" s="24"/>
      <c r="F335" s="24" t="str">
        <f>IFERROR(__xludf.DUMMYFUNCTION("""COMPUTED_VALUE"""),"Mutiara Muchtar Abu")</f>
        <v>Mutiara Muchtar Abu</v>
      </c>
      <c r="G335" s="24" t="str">
        <f>IFERROR(__xludf.DUMMYFUNCTION("""COMPUTED_VALUE"""),"7471076309070002")</f>
        <v>7471076309070002</v>
      </c>
      <c r="H335" s="24"/>
      <c r="I335" s="24"/>
      <c r="J335" s="24" t="str">
        <f>IFERROR(__xludf.DUMMYFUNCTION("""COMPUTED_VALUE"""),"PEREMPUAN")</f>
        <v>PEREMPUAN</v>
      </c>
      <c r="K335" s="24" t="str">
        <f>IFERROR(__xludf.DUMMYFUNCTION("""COMPUTED_VALUE"""),"Jl. Budi Utomo")</f>
        <v>Jl. Budi Utomo</v>
      </c>
      <c r="L335" s="24"/>
      <c r="M335" s="24"/>
      <c r="N335" s="24" t="str">
        <f>IFERROR(__xludf.DUMMYFUNCTION("""COMPUTED_VALUE"""),"SMA / SMK / MA")</f>
        <v>SMA / SMK / MA</v>
      </c>
      <c r="O335" s="24"/>
      <c r="P335" s="24"/>
      <c r="Q335" s="24"/>
      <c r="R335" s="24" t="str">
        <f>IFERROR(__xludf.DUMMYFUNCTION("""COMPUTED_VALUE"""),"K")</f>
        <v>K</v>
      </c>
      <c r="S335" s="25"/>
    </row>
    <row r="336" ht="22.5" customHeight="1">
      <c r="A336" s="22">
        <v>335.0</v>
      </c>
      <c r="B336" s="24" t="str">
        <f>IFERROR(__xludf.DUMMYFUNCTION("""COMPUTED_VALUE"""),"Pengelola Administrasi Perkantoran")</f>
        <v>Pengelola Administrasi Perkantoran</v>
      </c>
      <c r="C336" s="24" t="str">
        <f>IFERROR(__xludf.DUMMYFUNCTION("""COMPUTED_VALUE"""),"SMK Negeri 1 Kendari")</f>
        <v>SMK Negeri 1 Kendari</v>
      </c>
      <c r="D336" s="24"/>
      <c r="E336" s="24"/>
      <c r="F336" s="24" t="str">
        <f>IFERROR(__xludf.DUMMYFUNCTION("""COMPUTED_VALUE"""),"NURFADHILA SYAM")</f>
        <v>NURFADHILA SYAM</v>
      </c>
      <c r="G336" s="24" t="str">
        <f>IFERROR(__xludf.DUMMYFUNCTION("""COMPUTED_VALUE"""),"7305074106080001")</f>
        <v>7305074106080001</v>
      </c>
      <c r="H336" s="24"/>
      <c r="I336" s="24"/>
      <c r="J336" s="24" t="str">
        <f>IFERROR(__xludf.DUMMYFUNCTION("""COMPUTED_VALUE"""),"PEREMPUAN")</f>
        <v>PEREMPUAN</v>
      </c>
      <c r="K336" s="24" t="str">
        <f>IFERROR(__xludf.DUMMYFUNCTION("""COMPUTED_VALUE"""),"jl. Budi Utomo Lrg. Sepakat")</f>
        <v>jl. Budi Utomo Lrg. Sepakat</v>
      </c>
      <c r="L336" s="24"/>
      <c r="M336" s="24"/>
      <c r="N336" s="24" t="str">
        <f>IFERROR(__xludf.DUMMYFUNCTION("""COMPUTED_VALUE"""),"SMA / SMK / MA")</f>
        <v>SMA / SMK / MA</v>
      </c>
      <c r="O336" s="24"/>
      <c r="P336" s="24"/>
      <c r="Q336" s="24"/>
      <c r="R336" s="24" t="str">
        <f>IFERROR(__xludf.DUMMYFUNCTION("""COMPUTED_VALUE"""),"K")</f>
        <v>K</v>
      </c>
      <c r="S336" s="25"/>
    </row>
    <row r="337" ht="22.5" customHeight="1">
      <c r="A337" s="22">
        <v>336.0</v>
      </c>
      <c r="B337" s="24" t="str">
        <f>IFERROR(__xludf.DUMMYFUNCTION("""COMPUTED_VALUE"""),"Pengelola Administrasi Perkantoran")</f>
        <v>Pengelola Administrasi Perkantoran</v>
      </c>
      <c r="C337" s="24" t="str">
        <f>IFERROR(__xludf.DUMMYFUNCTION("""COMPUTED_VALUE"""),"SMK Negeri 1 Kendari")</f>
        <v>SMK Negeri 1 Kendari</v>
      </c>
      <c r="D337" s="24"/>
      <c r="E337" s="24"/>
      <c r="F337" s="24" t="str">
        <f>IFERROR(__xludf.DUMMYFUNCTION("""COMPUTED_VALUE"""),"Nurkhotimah Adwiyani")</f>
        <v>Nurkhotimah Adwiyani</v>
      </c>
      <c r="G337" s="24" t="str">
        <f>IFERROR(__xludf.DUMMYFUNCTION("""COMPUTED_VALUE"""),"7471094811080002")</f>
        <v>7471094811080002</v>
      </c>
      <c r="H337" s="24"/>
      <c r="I337" s="24"/>
      <c r="J337" s="24" t="str">
        <f>IFERROR(__xludf.DUMMYFUNCTION("""COMPUTED_VALUE"""),"PEREMPUAN")</f>
        <v>PEREMPUAN</v>
      </c>
      <c r="K337" s="24" t="str">
        <f>IFERROR(__xludf.DUMMYFUNCTION("""COMPUTED_VALUE"""),"Jl. Bahagia, No.41B")</f>
        <v>Jl. Bahagia, No.41B</v>
      </c>
      <c r="L337" s="24"/>
      <c r="M337" s="24"/>
      <c r="N337" s="24" t="str">
        <f>IFERROR(__xludf.DUMMYFUNCTION("""COMPUTED_VALUE"""),"SMA / SMK / MA")</f>
        <v>SMA / SMK / MA</v>
      </c>
      <c r="O337" s="24"/>
      <c r="P337" s="24"/>
      <c r="Q337" s="24"/>
      <c r="R337" s="24" t="str">
        <f>IFERROR(__xludf.DUMMYFUNCTION("""COMPUTED_VALUE"""),"K")</f>
        <v>K</v>
      </c>
      <c r="S337" s="25"/>
    </row>
    <row r="338" ht="22.5" customHeight="1">
      <c r="A338" s="22">
        <v>337.0</v>
      </c>
      <c r="B338" s="24" t="str">
        <f>IFERROR(__xludf.DUMMYFUNCTION("""COMPUTED_VALUE"""),"Pengelola Administrasi Perkantoran")</f>
        <v>Pengelola Administrasi Perkantoran</v>
      </c>
      <c r="C338" s="24" t="str">
        <f>IFERROR(__xludf.DUMMYFUNCTION("""COMPUTED_VALUE"""),"SMK Negeri 1 Kendari")</f>
        <v>SMK Negeri 1 Kendari</v>
      </c>
      <c r="D338" s="24"/>
      <c r="E338" s="24"/>
      <c r="F338" s="24" t="str">
        <f>IFERROR(__xludf.DUMMYFUNCTION("""COMPUTED_VALUE"""),"NURUL NATASA")</f>
        <v>NURUL NATASA</v>
      </c>
      <c r="G338" s="24" t="str">
        <f>IFERROR(__xludf.DUMMYFUNCTION("""COMPUTED_VALUE"""),"7604065303090002")</f>
        <v>7604065303090002</v>
      </c>
      <c r="H338" s="24"/>
      <c r="I338" s="24"/>
      <c r="J338" s="24" t="str">
        <f>IFERROR(__xludf.DUMMYFUNCTION("""COMPUTED_VALUE"""),"PEREMPUAN")</f>
        <v>PEREMPUAN</v>
      </c>
      <c r="K338" s="24" t="str">
        <f>IFERROR(__xludf.DUMMYFUNCTION("""COMPUTED_VALUE"""),"Jl. A Yani Kec. Wua-wua Lrg. Mataiwoi")</f>
        <v>Jl. A Yani Kec. Wua-wua Lrg. Mataiwoi</v>
      </c>
      <c r="L338" s="24"/>
      <c r="M338" s="24"/>
      <c r="N338" s="24" t="str">
        <f>IFERROR(__xludf.DUMMYFUNCTION("""COMPUTED_VALUE"""),"SMA / SMK / MA")</f>
        <v>SMA / SMK / MA</v>
      </c>
      <c r="O338" s="24"/>
      <c r="P338" s="24"/>
      <c r="Q338" s="24"/>
      <c r="R338" s="24" t="str">
        <f>IFERROR(__xludf.DUMMYFUNCTION("""COMPUTED_VALUE"""),"K")</f>
        <v>K</v>
      </c>
      <c r="S338" s="25"/>
    </row>
    <row r="339" ht="22.5" customHeight="1">
      <c r="A339" s="22">
        <v>338.0</v>
      </c>
      <c r="B339" s="24" t="str">
        <f>IFERROR(__xludf.DUMMYFUNCTION("""COMPUTED_VALUE"""),"Pengelola Administrasi Perkantoran")</f>
        <v>Pengelola Administrasi Perkantoran</v>
      </c>
      <c r="C339" s="24" t="str">
        <f>IFERROR(__xludf.DUMMYFUNCTION("""COMPUTED_VALUE"""),"SMK Negeri 1 Kendari")</f>
        <v>SMK Negeri 1 Kendari</v>
      </c>
      <c r="D339" s="24"/>
      <c r="E339" s="24"/>
      <c r="F339" s="24" t="str">
        <f>IFERROR(__xludf.DUMMYFUNCTION("""COMPUTED_VALUE"""),"Puput Siallo")</f>
        <v>Puput Siallo</v>
      </c>
      <c r="G339" s="24" t="str">
        <f>IFERROR(__xludf.DUMMYFUNCTION("""COMPUTED_VALUE"""),"7471015902080003")</f>
        <v>7471015902080003</v>
      </c>
      <c r="H339" s="24"/>
      <c r="I339" s="24"/>
      <c r="J339" s="24" t="str">
        <f>IFERROR(__xludf.DUMMYFUNCTION("""COMPUTED_VALUE"""),"PEREMPUAN")</f>
        <v>PEREMPUAN</v>
      </c>
      <c r="K339" s="24" t="str">
        <f>IFERROR(__xludf.DUMMYFUNCTION("""COMPUTED_VALUE"""),"Jl. Ahmad Yani BTN III")</f>
        <v>Jl. Ahmad Yani BTN III</v>
      </c>
      <c r="L339" s="24"/>
      <c r="M339" s="24"/>
      <c r="N339" s="24" t="str">
        <f>IFERROR(__xludf.DUMMYFUNCTION("""COMPUTED_VALUE"""),"SMA / SMK / MA")</f>
        <v>SMA / SMK / MA</v>
      </c>
      <c r="O339" s="24"/>
      <c r="P339" s="24"/>
      <c r="Q339" s="24"/>
      <c r="R339" s="24" t="str">
        <f>IFERROR(__xludf.DUMMYFUNCTION("""COMPUTED_VALUE"""),"K")</f>
        <v>K</v>
      </c>
      <c r="S339" s="25"/>
    </row>
    <row r="340" ht="22.5" customHeight="1">
      <c r="A340" s="22">
        <v>339.0</v>
      </c>
      <c r="B340" s="24" t="str">
        <f>IFERROR(__xludf.DUMMYFUNCTION("""COMPUTED_VALUE"""),"Pengelola Administrasi Perkantoran")</f>
        <v>Pengelola Administrasi Perkantoran</v>
      </c>
      <c r="C340" s="24" t="str">
        <f>IFERROR(__xludf.DUMMYFUNCTION("""COMPUTED_VALUE"""),"SMK Negeri 1 Kendari")</f>
        <v>SMK Negeri 1 Kendari</v>
      </c>
      <c r="D340" s="24"/>
      <c r="E340" s="24"/>
      <c r="F340" s="24" t="str">
        <f>IFERROR(__xludf.DUMMYFUNCTION("""COMPUTED_VALUE"""),"RAHMAT RAMADHAN")</f>
        <v>RAHMAT RAMADHAN</v>
      </c>
      <c r="G340" s="24" t="str">
        <f>IFERROR(__xludf.DUMMYFUNCTION("""COMPUTED_VALUE"""),"7471021707090002")</f>
        <v>7471021707090002</v>
      </c>
      <c r="H340" s="24"/>
      <c r="I340" s="24"/>
      <c r="J340" s="24" t="str">
        <f>IFERROR(__xludf.DUMMYFUNCTION("""COMPUTED_VALUE"""),"LAKI-LAKI")</f>
        <v>LAKI-LAKI</v>
      </c>
      <c r="K340" s="24" t="str">
        <f>IFERROR(__xludf.DUMMYFUNCTION("""COMPUTED_VALUE"""),"Kel. Gunung Jati")</f>
        <v>Kel. Gunung Jati</v>
      </c>
      <c r="L340" s="24"/>
      <c r="M340" s="24"/>
      <c r="N340" s="24" t="str">
        <f>IFERROR(__xludf.DUMMYFUNCTION("""COMPUTED_VALUE"""),"SMA / SMK / MA")</f>
        <v>SMA / SMK / MA</v>
      </c>
      <c r="O340" s="24"/>
      <c r="P340" s="24"/>
      <c r="Q340" s="24"/>
      <c r="R340" s="24" t="str">
        <f>IFERROR(__xludf.DUMMYFUNCTION("""COMPUTED_VALUE"""),"K")</f>
        <v>K</v>
      </c>
      <c r="S340" s="25"/>
    </row>
    <row r="341" ht="22.5" customHeight="1">
      <c r="A341" s="22">
        <v>340.0</v>
      </c>
      <c r="B341" s="24" t="str">
        <f>IFERROR(__xludf.DUMMYFUNCTION("""COMPUTED_VALUE"""),"Pengelola Administrasi Perkantoran")</f>
        <v>Pengelola Administrasi Perkantoran</v>
      </c>
      <c r="C341" s="24" t="str">
        <f>IFERROR(__xludf.DUMMYFUNCTION("""COMPUTED_VALUE"""),"SMK Negeri 1 Kendari")</f>
        <v>SMK Negeri 1 Kendari</v>
      </c>
      <c r="D341" s="24"/>
      <c r="E341" s="24"/>
      <c r="F341" s="24" t="str">
        <f>IFERROR(__xludf.DUMMYFUNCTION("""COMPUTED_VALUE"""),"RAINXIFA ALEXARI QIMELA POWATU")</f>
        <v>RAINXIFA ALEXARI QIMELA POWATU</v>
      </c>
      <c r="G341" s="24" t="str">
        <f>IFERROR(__xludf.DUMMYFUNCTION("""COMPUTED_VALUE"""),"7471096601090002")</f>
        <v>7471096601090002</v>
      </c>
      <c r="H341" s="24"/>
      <c r="I341" s="24"/>
      <c r="J341" s="24" t="str">
        <f>IFERROR(__xludf.DUMMYFUNCTION("""COMPUTED_VALUE"""),"PEREMPUAN")</f>
        <v>PEREMPUAN</v>
      </c>
      <c r="K341" s="24" t="str">
        <f>IFERROR(__xludf.DUMMYFUNCTION("""COMPUTED_VALUE"""),"Jalan Chairil Anwar No. 74 Wua-wua Kec. Mataiwoi")</f>
        <v>Jalan Chairil Anwar No. 74 Wua-wua Kec. Mataiwoi</v>
      </c>
      <c r="L341" s="24"/>
      <c r="M341" s="24"/>
      <c r="N341" s="24" t="str">
        <f>IFERROR(__xludf.DUMMYFUNCTION("""COMPUTED_VALUE"""),"SMA / SMK / MA")</f>
        <v>SMA / SMK / MA</v>
      </c>
      <c r="O341" s="24"/>
      <c r="P341" s="24"/>
      <c r="Q341" s="24"/>
      <c r="R341" s="24" t="str">
        <f>IFERROR(__xludf.DUMMYFUNCTION("""COMPUTED_VALUE"""),"K")</f>
        <v>K</v>
      </c>
      <c r="S341" s="25"/>
    </row>
    <row r="342" ht="22.5" customHeight="1">
      <c r="A342" s="22">
        <v>341.0</v>
      </c>
      <c r="B342" s="24" t="str">
        <f>IFERROR(__xludf.DUMMYFUNCTION("""COMPUTED_VALUE"""),"Pengelola Administrasi Perkantoran")</f>
        <v>Pengelola Administrasi Perkantoran</v>
      </c>
      <c r="C342" s="24" t="str">
        <f>IFERROR(__xludf.DUMMYFUNCTION("""COMPUTED_VALUE"""),"SMK Negeri 1 Kendari")</f>
        <v>SMK Negeri 1 Kendari</v>
      </c>
      <c r="D342" s="24"/>
      <c r="E342" s="24"/>
      <c r="F342" s="24" t="str">
        <f>IFERROR(__xludf.DUMMYFUNCTION("""COMPUTED_VALUE"""),"Rezky Anawula")</f>
        <v>Rezky Anawula</v>
      </c>
      <c r="G342" s="24" t="str">
        <f>IFERROR(__xludf.DUMMYFUNCTION("""COMPUTED_VALUE"""),"7471076708070001")</f>
        <v>7471076708070001</v>
      </c>
      <c r="H342" s="24"/>
      <c r="I342" s="24"/>
      <c r="J342" s="24" t="str">
        <f>IFERROR(__xludf.DUMMYFUNCTION("""COMPUTED_VALUE"""),"PEREMPUAN")</f>
        <v>PEREMPUAN</v>
      </c>
      <c r="K342" s="24" t="str">
        <f>IFERROR(__xludf.DUMMYFUNCTION("""COMPUTED_VALUE"""),"Puwatu, Jalan Patimura lorong Purui")</f>
        <v>Puwatu, Jalan Patimura lorong Purui</v>
      </c>
      <c r="L342" s="24"/>
      <c r="M342" s="24"/>
      <c r="N342" s="24" t="str">
        <f>IFERROR(__xludf.DUMMYFUNCTION("""COMPUTED_VALUE"""),"SMA / SMK / MA")</f>
        <v>SMA / SMK / MA</v>
      </c>
      <c r="O342" s="24"/>
      <c r="P342" s="24"/>
      <c r="Q342" s="24"/>
      <c r="R342" s="24" t="str">
        <f>IFERROR(__xludf.DUMMYFUNCTION("""COMPUTED_VALUE"""),"K")</f>
        <v>K</v>
      </c>
      <c r="S342" s="25"/>
    </row>
    <row r="343" ht="22.5" customHeight="1">
      <c r="A343" s="22">
        <v>342.0</v>
      </c>
      <c r="B343" s="24" t="str">
        <f>IFERROR(__xludf.DUMMYFUNCTION("""COMPUTED_VALUE"""),"Pengelola Administrasi Perkantoran")</f>
        <v>Pengelola Administrasi Perkantoran</v>
      </c>
      <c r="C343" s="24" t="str">
        <f>IFERROR(__xludf.DUMMYFUNCTION("""COMPUTED_VALUE"""),"SMK Negeri 1 Kendari")</f>
        <v>SMK Negeri 1 Kendari</v>
      </c>
      <c r="D343" s="24"/>
      <c r="E343" s="24"/>
      <c r="F343" s="24" t="str">
        <f>IFERROR(__xludf.DUMMYFUNCTION("""COMPUTED_VALUE"""),"SITI EVIRAHNA. R")</f>
        <v>SITI EVIRAHNA. R</v>
      </c>
      <c r="G343" s="24" t="str">
        <f>IFERROR(__xludf.DUMMYFUNCTION("""COMPUTED_VALUE"""),"7471015302090001")</f>
        <v>7471015302090001</v>
      </c>
      <c r="H343" s="24"/>
      <c r="I343" s="24"/>
      <c r="J343" s="24" t="str">
        <f>IFERROR(__xludf.DUMMYFUNCTION("""COMPUTED_VALUE"""),"PEREMPUAN")</f>
        <v>PEREMPUAN</v>
      </c>
      <c r="K343" s="24" t="str">
        <f>IFERROR(__xludf.DUMMYFUNCTION("""COMPUTED_VALUE"""),"Jl. Budi Utomo, Kwc. Wua-wua, Kel. Mataiwoi")</f>
        <v>Jl. Budi Utomo, Kwc. Wua-wua, Kel. Mataiwoi</v>
      </c>
      <c r="L343" s="24"/>
      <c r="M343" s="24"/>
      <c r="N343" s="24" t="str">
        <f>IFERROR(__xludf.DUMMYFUNCTION("""COMPUTED_VALUE"""),"SMA / SMK / MA")</f>
        <v>SMA / SMK / MA</v>
      </c>
      <c r="O343" s="24"/>
      <c r="P343" s="24"/>
      <c r="Q343" s="24"/>
      <c r="R343" s="24" t="str">
        <f>IFERROR(__xludf.DUMMYFUNCTION("""COMPUTED_VALUE"""),"K")</f>
        <v>K</v>
      </c>
      <c r="S343" s="25"/>
    </row>
    <row r="344" ht="22.5" customHeight="1">
      <c r="A344" s="22">
        <v>343.0</v>
      </c>
      <c r="B344" s="24" t="str">
        <f>IFERROR(__xludf.DUMMYFUNCTION("""COMPUTED_VALUE"""),"Pengelola Administrasi Perkantoran")</f>
        <v>Pengelola Administrasi Perkantoran</v>
      </c>
      <c r="C344" s="24" t="str">
        <f>IFERROR(__xludf.DUMMYFUNCTION("""COMPUTED_VALUE"""),"SMK Negeri 1 Kendari")</f>
        <v>SMK Negeri 1 Kendari</v>
      </c>
      <c r="D344" s="24"/>
      <c r="E344" s="24"/>
      <c r="F344" s="24" t="str">
        <f>IFERROR(__xludf.DUMMYFUNCTION("""COMPUTED_VALUE"""),"SITTI NESYA ALFI ALIF S.")</f>
        <v>SITTI NESYA ALFI ALIF S.</v>
      </c>
      <c r="G344" s="24" t="str">
        <f>IFERROR(__xludf.DUMMYFUNCTION("""COMPUTED_VALUE"""),"7471075102080003")</f>
        <v>7471075102080003</v>
      </c>
      <c r="H344" s="24"/>
      <c r="I344" s="24"/>
      <c r="J344" s="24" t="str">
        <f>IFERROR(__xludf.DUMMYFUNCTION("""COMPUTED_VALUE"""),"PEREMPUAN")</f>
        <v>PEREMPUAN</v>
      </c>
      <c r="K344" s="24" t="str">
        <f>IFERROR(__xludf.DUMMYFUNCTION("""COMPUTED_VALUE"""),"Jl. Budi Utomo No. 11")</f>
        <v>Jl. Budi Utomo No. 11</v>
      </c>
      <c r="L344" s="24"/>
      <c r="M344" s="24"/>
      <c r="N344" s="24" t="str">
        <f>IFERROR(__xludf.DUMMYFUNCTION("""COMPUTED_VALUE"""),"SMA / SMK / MA")</f>
        <v>SMA / SMK / MA</v>
      </c>
      <c r="O344" s="24"/>
      <c r="P344" s="24"/>
      <c r="Q344" s="24"/>
      <c r="R344" s="24" t="str">
        <f>IFERROR(__xludf.DUMMYFUNCTION("""COMPUTED_VALUE"""),"K")</f>
        <v>K</v>
      </c>
      <c r="S344" s="25"/>
    </row>
    <row r="345" ht="22.5" customHeight="1">
      <c r="A345" s="22">
        <v>344.0</v>
      </c>
      <c r="B345" s="24" t="str">
        <f>IFERROR(__xludf.DUMMYFUNCTION("""COMPUTED_VALUE"""),"Pengelola Administrasi Perkantoran")</f>
        <v>Pengelola Administrasi Perkantoran</v>
      </c>
      <c r="C345" s="24" t="str">
        <f>IFERROR(__xludf.DUMMYFUNCTION("""COMPUTED_VALUE"""),"SMK Negeri 1 Kendari")</f>
        <v>SMK Negeri 1 Kendari</v>
      </c>
      <c r="D345" s="24"/>
      <c r="E345" s="24"/>
      <c r="F345" s="24" t="str">
        <f>IFERROR(__xludf.DUMMYFUNCTION("""COMPUTED_VALUE"""),"SRI AINUN APRILAN")</f>
        <v>SRI AINUN APRILAN</v>
      </c>
      <c r="G345" s="24" t="str">
        <f>IFERROR(__xludf.DUMMYFUNCTION("""COMPUTED_VALUE"""),"7471015904080001")</f>
        <v>7471015904080001</v>
      </c>
      <c r="H345" s="24"/>
      <c r="I345" s="24"/>
      <c r="J345" s="24" t="str">
        <f>IFERROR(__xludf.DUMMYFUNCTION("""COMPUTED_VALUE"""),"PEREMPUAN")</f>
        <v>PEREMPUAN</v>
      </c>
      <c r="K345" s="24" t="str">
        <f>IFERROR(__xludf.DUMMYFUNCTION("""COMPUTED_VALUE"""),"BTN Maleo 1, Ranomeeto")</f>
        <v>BTN Maleo 1, Ranomeeto</v>
      </c>
      <c r="L345" s="24"/>
      <c r="M345" s="24"/>
      <c r="N345" s="24" t="str">
        <f>IFERROR(__xludf.DUMMYFUNCTION("""COMPUTED_VALUE"""),"SMA / SMK / MA")</f>
        <v>SMA / SMK / MA</v>
      </c>
      <c r="O345" s="24"/>
      <c r="P345" s="24"/>
      <c r="Q345" s="24"/>
      <c r="R345" s="24" t="str">
        <f>IFERROR(__xludf.DUMMYFUNCTION("""COMPUTED_VALUE"""),"K")</f>
        <v>K</v>
      </c>
      <c r="S345" s="25"/>
    </row>
    <row r="346" ht="22.5" customHeight="1">
      <c r="A346" s="22">
        <v>345.0</v>
      </c>
      <c r="B346" s="24" t="str">
        <f>IFERROR(__xludf.DUMMYFUNCTION("""COMPUTED_VALUE"""),"Pengelola Administrasi Perkantoran")</f>
        <v>Pengelola Administrasi Perkantoran</v>
      </c>
      <c r="C346" s="24" t="str">
        <f>IFERROR(__xludf.DUMMYFUNCTION("""COMPUTED_VALUE"""),"SMK Negeri 1 Kendari")</f>
        <v>SMK Negeri 1 Kendari</v>
      </c>
      <c r="D346" s="24"/>
      <c r="E346" s="24"/>
      <c r="F346" s="24" t="str">
        <f>IFERROR(__xludf.DUMMYFUNCTION("""COMPUTED_VALUE"""),"Suci Ramadhani H.")</f>
        <v>Suci Ramadhani H.</v>
      </c>
      <c r="G346" s="24" t="str">
        <f>IFERROR(__xludf.DUMMYFUNCTION("""COMPUTED_VALUE"""),"7471087108080001")</f>
        <v>7471087108080001</v>
      </c>
      <c r="H346" s="24"/>
      <c r="I346" s="24"/>
      <c r="J346" s="24" t="str">
        <f>IFERROR(__xludf.DUMMYFUNCTION("""COMPUTED_VALUE"""),"PEREMPUAN")</f>
        <v>PEREMPUAN</v>
      </c>
      <c r="K346" s="24" t="str">
        <f>IFERROR(__xludf.DUMMYFUNCTION("""COMPUTED_VALUE"""),"Jalan segar")</f>
        <v>Jalan segar</v>
      </c>
      <c r="L346" s="24"/>
      <c r="M346" s="24"/>
      <c r="N346" s="24" t="str">
        <f>IFERROR(__xludf.DUMMYFUNCTION("""COMPUTED_VALUE"""),"SMA / SMK / MA")</f>
        <v>SMA / SMK / MA</v>
      </c>
      <c r="O346" s="24"/>
      <c r="P346" s="24"/>
      <c r="Q346" s="24"/>
      <c r="R346" s="24" t="str">
        <f>IFERROR(__xludf.DUMMYFUNCTION("""COMPUTED_VALUE"""),"K")</f>
        <v>K</v>
      </c>
      <c r="S346" s="25"/>
    </row>
    <row r="347" ht="22.5" customHeight="1">
      <c r="A347" s="22">
        <v>346.0</v>
      </c>
      <c r="B347" s="24" t="str">
        <f>IFERROR(__xludf.DUMMYFUNCTION("""COMPUTED_VALUE"""),"Pengelola Administrasi Perkantoran")</f>
        <v>Pengelola Administrasi Perkantoran</v>
      </c>
      <c r="C347" s="24" t="str">
        <f>IFERROR(__xludf.DUMMYFUNCTION("""COMPUTED_VALUE"""),"SMK Negeri 1 Kendari")</f>
        <v>SMK Negeri 1 Kendari</v>
      </c>
      <c r="D347" s="24"/>
      <c r="E347" s="24"/>
      <c r="F347" s="24" t="str">
        <f>IFERROR(__xludf.DUMMYFUNCTION("""COMPUTED_VALUE"""),"ZANUN BAITI")</f>
        <v>ZANUN BAITI</v>
      </c>
      <c r="G347" s="24" t="str">
        <f>IFERROR(__xludf.DUMMYFUNCTION("""COMPUTED_VALUE"""),"7471074703080001")</f>
        <v>7471074703080001</v>
      </c>
      <c r="H347" s="24"/>
      <c r="I347" s="24"/>
      <c r="J347" s="24" t="str">
        <f>IFERROR(__xludf.DUMMYFUNCTION("""COMPUTED_VALUE"""),"PEREMPUAN")</f>
        <v>PEREMPUAN</v>
      </c>
      <c r="K347" s="24" t="str">
        <f>IFERROR(__xludf.DUMMYFUNCTION("""COMPUTED_VALUE"""),"Jl. Y. Wayong No. 13F")</f>
        <v>Jl. Y. Wayong No. 13F</v>
      </c>
      <c r="L347" s="24"/>
      <c r="M347" s="24"/>
      <c r="N347" s="24" t="str">
        <f>IFERROR(__xludf.DUMMYFUNCTION("""COMPUTED_VALUE"""),"SMA / SMK / MA")</f>
        <v>SMA / SMK / MA</v>
      </c>
      <c r="O347" s="24"/>
      <c r="P347" s="24"/>
      <c r="Q347" s="24"/>
      <c r="R347" s="24" t="str">
        <f>IFERROR(__xludf.DUMMYFUNCTION("""COMPUTED_VALUE"""),"K")</f>
        <v>K</v>
      </c>
      <c r="S347" s="25"/>
    </row>
    <row r="348" ht="22.5" customHeight="1">
      <c r="A348" s="22">
        <v>347.0</v>
      </c>
      <c r="B348" s="24" t="str">
        <f>IFERROR(__xludf.DUMMYFUNCTION("""COMPUTED_VALUE"""),"Pengelola Administrasi Perkantoran")</f>
        <v>Pengelola Administrasi Perkantoran</v>
      </c>
      <c r="C348" s="24" t="str">
        <f>IFERROR(__xludf.DUMMYFUNCTION("""COMPUTED_VALUE"""),"SMK Negeri 1 Kendari")</f>
        <v>SMK Negeri 1 Kendari</v>
      </c>
      <c r="D348" s="24"/>
      <c r="E348" s="24"/>
      <c r="F348" s="24" t="str">
        <f>IFERROR(__xludf.DUMMYFUNCTION("""COMPUTED_VALUE"""),"Zeyna Maylika Putri")</f>
        <v>Zeyna Maylika Putri</v>
      </c>
      <c r="G348" s="24" t="str">
        <f>IFERROR(__xludf.DUMMYFUNCTION("""COMPUTED_VALUE"""),"7471086505080001")</f>
        <v>7471086505080001</v>
      </c>
      <c r="H348" s="24"/>
      <c r="I348" s="24"/>
      <c r="J348" s="24" t="str">
        <f>IFERROR(__xludf.DUMMYFUNCTION("""COMPUTED_VALUE"""),"PEREMPUAN")</f>
        <v>PEREMPUAN</v>
      </c>
      <c r="K348" s="24" t="str">
        <f>IFERROR(__xludf.DUMMYFUNCTION("""COMPUTED_VALUE"""),"Jl. Nudi Utomo Lr. Ikhlas")</f>
        <v>Jl. Nudi Utomo Lr. Ikhlas</v>
      </c>
      <c r="L348" s="24"/>
      <c r="M348" s="24"/>
      <c r="N348" s="24" t="str">
        <f>IFERROR(__xludf.DUMMYFUNCTION("""COMPUTED_VALUE"""),"SMA / SMK / MA")</f>
        <v>SMA / SMK / MA</v>
      </c>
      <c r="O348" s="24"/>
      <c r="P348" s="24"/>
      <c r="Q348" s="24"/>
      <c r="R348" s="24" t="str">
        <f>IFERROR(__xludf.DUMMYFUNCTION("""COMPUTED_VALUE"""),"K")</f>
        <v>K</v>
      </c>
      <c r="S348" s="25"/>
    </row>
    <row r="349" ht="22.5" customHeight="1">
      <c r="A349" s="22">
        <v>348.0</v>
      </c>
      <c r="B349" s="24" t="str">
        <f>IFERROR(__xludf.DUMMYFUNCTION("""COMPUTED_VALUE"""),"Pengelola Administrasi Perkantoran")</f>
        <v>Pengelola Administrasi Perkantoran</v>
      </c>
      <c r="C349" s="24" t="str">
        <f>IFERROR(__xludf.DUMMYFUNCTION("""COMPUTED_VALUE"""),"SMK Negeri 1 Kendari")</f>
        <v>SMK Negeri 1 Kendari</v>
      </c>
      <c r="D349" s="24"/>
      <c r="E349" s="24"/>
      <c r="F349" s="24" t="str">
        <f>IFERROR(__xludf.DUMMYFUNCTION("""COMPUTED_VALUE"""),"AISYAH JULIA DP")</f>
        <v>AISYAH JULIA DP</v>
      </c>
      <c r="G349" s="24" t="str">
        <f>IFERROR(__xludf.DUMMYFUNCTION("""COMPUTED_VALUE"""),"7471017112020003")</f>
        <v>7471017112020003</v>
      </c>
      <c r="H349" s="24"/>
      <c r="I349" s="24"/>
      <c r="J349" s="24" t="str">
        <f>IFERROR(__xludf.DUMMYFUNCTION("""COMPUTED_VALUE"""),"PEREMPUAN")</f>
        <v>PEREMPUAN</v>
      </c>
      <c r="K349" s="24" t="str">
        <f>IFERROR(__xludf.DUMMYFUNCTION("""COMPUTED_VALUE"""),"Alolama, Jl. Bersih Hatiku")</f>
        <v>Alolama, Jl. Bersih Hatiku</v>
      </c>
      <c r="L349" s="24"/>
      <c r="M349" s="24"/>
      <c r="N349" s="24" t="str">
        <f>IFERROR(__xludf.DUMMYFUNCTION("""COMPUTED_VALUE"""),"SMA / SMK / MA")</f>
        <v>SMA / SMK / MA</v>
      </c>
      <c r="O349" s="24"/>
      <c r="P349" s="24"/>
      <c r="Q349" s="24"/>
      <c r="R349" s="24" t="str">
        <f>IFERROR(__xludf.DUMMYFUNCTION("""COMPUTED_VALUE"""),"K")</f>
        <v>K</v>
      </c>
      <c r="S349" s="25"/>
    </row>
    <row r="350" ht="22.5" customHeight="1">
      <c r="A350" s="22">
        <v>349.0</v>
      </c>
      <c r="B350" s="24" t="str">
        <f>IFERROR(__xludf.DUMMYFUNCTION("""COMPUTED_VALUE"""),"Pengelola Administrasi Perkantoran")</f>
        <v>Pengelola Administrasi Perkantoran</v>
      </c>
      <c r="C350" s="24" t="str">
        <f>IFERROR(__xludf.DUMMYFUNCTION("""COMPUTED_VALUE"""),"SMK Negeri 1 Kendari")</f>
        <v>SMK Negeri 1 Kendari</v>
      </c>
      <c r="D350" s="24"/>
      <c r="E350" s="24"/>
      <c r="F350" s="24" t="str">
        <f>IFERROR(__xludf.DUMMYFUNCTION("""COMPUTED_VALUE"""),"Andi Amanda Rezky Oktaviani")</f>
        <v>Andi Amanda Rezky Oktaviani</v>
      </c>
      <c r="G350" s="24" t="str">
        <f>IFERROR(__xludf.DUMMYFUNCTION("""COMPUTED_VALUE"""),"7471086910080002")</f>
        <v>7471086910080002</v>
      </c>
      <c r="H350" s="24"/>
      <c r="I350" s="24"/>
      <c r="J350" s="24" t="str">
        <f>IFERROR(__xludf.DUMMYFUNCTION("""COMPUTED_VALUE"""),"PEREMPUAN")</f>
        <v>PEREMPUAN</v>
      </c>
      <c r="K350" s="24" t="str">
        <f>IFERROR(__xludf.DUMMYFUNCTION("""COMPUTED_VALUE"""),"Jalan Malik Raga 1, No 111 Kendari")</f>
        <v>Jalan Malik Raga 1, No 111 Kendari</v>
      </c>
      <c r="L350" s="24"/>
      <c r="M350" s="24"/>
      <c r="N350" s="24" t="str">
        <f>IFERROR(__xludf.DUMMYFUNCTION("""COMPUTED_VALUE"""),"SMA / SMK / MA")</f>
        <v>SMA / SMK / MA</v>
      </c>
      <c r="O350" s="24"/>
      <c r="P350" s="24"/>
      <c r="Q350" s="24"/>
      <c r="R350" s="24" t="str">
        <f>IFERROR(__xludf.DUMMYFUNCTION("""COMPUTED_VALUE"""),"BK")</f>
        <v>BK</v>
      </c>
      <c r="S350" s="25"/>
    </row>
    <row r="351" ht="22.5" customHeight="1">
      <c r="A351" s="22">
        <v>350.0</v>
      </c>
      <c r="B351" s="24" t="str">
        <f>IFERROR(__xludf.DUMMYFUNCTION("""COMPUTED_VALUE"""),"Pengelola Administrasi Perkantoran")</f>
        <v>Pengelola Administrasi Perkantoran</v>
      </c>
      <c r="C351" s="24" t="str">
        <f>IFERROR(__xludf.DUMMYFUNCTION("""COMPUTED_VALUE"""),"SMK Negeri 1 Kendari")</f>
        <v>SMK Negeri 1 Kendari</v>
      </c>
      <c r="D351" s="24"/>
      <c r="E351" s="24"/>
      <c r="F351" s="24" t="str">
        <f>IFERROR(__xludf.DUMMYFUNCTION("""COMPUTED_VALUE"""),"CAMELIA GLADIS")</f>
        <v>CAMELIA GLADIS</v>
      </c>
      <c r="G351" s="24" t="str">
        <f>IFERROR(__xludf.DUMMYFUNCTION("""COMPUTED_VALUE"""),"7403276310080001")</f>
        <v>7403276310080001</v>
      </c>
      <c r="H351" s="24"/>
      <c r="I351" s="24"/>
      <c r="J351" s="24" t="str">
        <f>IFERROR(__xludf.DUMMYFUNCTION("""COMPUTED_VALUE"""),"PEREMPUAN")</f>
        <v>PEREMPUAN</v>
      </c>
      <c r="K351" s="24" t="str">
        <f>IFERROR(__xludf.DUMMYFUNCTION("""COMPUTED_VALUE"""),"Jl Imam Bonjol")</f>
        <v>Jl Imam Bonjol</v>
      </c>
      <c r="L351" s="24"/>
      <c r="M351" s="24"/>
      <c r="N351" s="24" t="str">
        <f>IFERROR(__xludf.DUMMYFUNCTION("""COMPUTED_VALUE"""),"SMA / SMK / MA")</f>
        <v>SMA / SMK / MA</v>
      </c>
      <c r="O351" s="24"/>
      <c r="P351" s="24"/>
      <c r="Q351" s="24"/>
      <c r="R351" s="24" t="str">
        <f>IFERROR(__xludf.DUMMYFUNCTION("""COMPUTED_VALUE"""),"K")</f>
        <v>K</v>
      </c>
      <c r="S351" s="25"/>
    </row>
    <row r="352" ht="22.5" customHeight="1">
      <c r="A352" s="22">
        <v>351.0</v>
      </c>
      <c r="B352" s="24" t="str">
        <f>IFERROR(__xludf.DUMMYFUNCTION("""COMPUTED_VALUE"""),"Pengelola Administrasi Perkantoran")</f>
        <v>Pengelola Administrasi Perkantoran</v>
      </c>
      <c r="C352" s="24" t="str">
        <f>IFERROR(__xludf.DUMMYFUNCTION("""COMPUTED_VALUE"""),"SMK Negeri 1 Kendari")</f>
        <v>SMK Negeri 1 Kendari</v>
      </c>
      <c r="D352" s="24"/>
      <c r="E352" s="24"/>
      <c r="F352" s="24" t="str">
        <f>IFERROR(__xludf.DUMMYFUNCTION("""COMPUTED_VALUE"""),"INTAN PUJI LESTARI")</f>
        <v>INTAN PUJI LESTARI</v>
      </c>
      <c r="G352" s="24" t="str">
        <f>IFERROR(__xludf.DUMMYFUNCTION("""COMPUTED_VALUE"""),"7471055801090001")</f>
        <v>7471055801090001</v>
      </c>
      <c r="H352" s="24"/>
      <c r="I352" s="24"/>
      <c r="J352" s="24" t="str">
        <f>IFERROR(__xludf.DUMMYFUNCTION("""COMPUTED_VALUE"""),"PEREMPUAN")</f>
        <v>PEREMPUAN</v>
      </c>
      <c r="K352" s="24" t="str">
        <f>IFERROR(__xludf.DUMMYFUNCTION("""COMPUTED_VALUE"""),"Jl. Dr. Moh. Hatta")</f>
        <v>Jl. Dr. Moh. Hatta</v>
      </c>
      <c r="L352" s="24"/>
      <c r="M352" s="24"/>
      <c r="N352" s="24" t="str">
        <f>IFERROR(__xludf.DUMMYFUNCTION("""COMPUTED_VALUE"""),"SMA / SMK / MA")</f>
        <v>SMA / SMK / MA</v>
      </c>
      <c r="O352" s="24"/>
      <c r="P352" s="24"/>
      <c r="Q352" s="24"/>
      <c r="R352" s="24" t="str">
        <f>IFERROR(__xludf.DUMMYFUNCTION("""COMPUTED_VALUE"""),"K")</f>
        <v>K</v>
      </c>
      <c r="S352" s="25"/>
    </row>
    <row r="353" ht="22.5" customHeight="1">
      <c r="A353" s="22">
        <v>352.0</v>
      </c>
      <c r="B353" s="24" t="str">
        <f>IFERROR(__xludf.DUMMYFUNCTION("""COMPUTED_VALUE"""),"Pengelola Administrasi Perkantoran")</f>
        <v>Pengelola Administrasi Perkantoran</v>
      </c>
      <c r="C353" s="24" t="str">
        <f>IFERROR(__xludf.DUMMYFUNCTION("""COMPUTED_VALUE"""),"SMK Negeri 1 Kendari")</f>
        <v>SMK Negeri 1 Kendari</v>
      </c>
      <c r="D353" s="24"/>
      <c r="E353" s="24"/>
      <c r="F353" s="24" t="str">
        <f>IFERROR(__xludf.DUMMYFUNCTION("""COMPUTED_VALUE"""),"NI KADE AYU PERMATA")</f>
        <v>NI KADE AYU PERMATA</v>
      </c>
      <c r="G353" s="24" t="str">
        <f>IFERROR(__xludf.DUMMYFUNCTION("""COMPUTED_VALUE"""),"7405055405070001")</f>
        <v>7405055405070001</v>
      </c>
      <c r="H353" s="24"/>
      <c r="I353" s="24"/>
      <c r="J353" s="24" t="str">
        <f>IFERROR(__xludf.DUMMYFUNCTION("""COMPUTED_VALUE"""),"PEREMPUAN")</f>
        <v>PEREMPUAN</v>
      </c>
      <c r="K353" s="24" t="str">
        <f>IFERROR(__xludf.DUMMYFUNCTION("""COMPUTED_VALUE"""),"Jalan Mekar Mawar")</f>
        <v>Jalan Mekar Mawar</v>
      </c>
      <c r="L353" s="24"/>
      <c r="M353" s="24"/>
      <c r="N353" s="24" t="str">
        <f>IFERROR(__xludf.DUMMYFUNCTION("""COMPUTED_VALUE"""),"SMA / SMK / MA")</f>
        <v>SMA / SMK / MA</v>
      </c>
      <c r="O353" s="24"/>
      <c r="P353" s="24"/>
      <c r="Q353" s="24"/>
      <c r="R353" s="24" t="str">
        <f>IFERROR(__xludf.DUMMYFUNCTION("""COMPUTED_VALUE"""),"K")</f>
        <v>K</v>
      </c>
      <c r="S353" s="25"/>
    </row>
    <row r="354" ht="22.5" customHeight="1">
      <c r="A354" s="22">
        <v>353.0</v>
      </c>
      <c r="B354" s="24" t="str">
        <f>IFERROR(__xludf.DUMMYFUNCTION("""COMPUTED_VALUE"""),"Pengelola Administrasi Perkantoran")</f>
        <v>Pengelola Administrasi Perkantoran</v>
      </c>
      <c r="C354" s="24" t="str">
        <f>IFERROR(__xludf.DUMMYFUNCTION("""COMPUTED_VALUE"""),"SMK Negeri 1 Kendari")</f>
        <v>SMK Negeri 1 Kendari</v>
      </c>
      <c r="D354" s="24"/>
      <c r="E354" s="24"/>
      <c r="F354" s="24" t="str">
        <f>IFERROR(__xludf.DUMMYFUNCTION("""COMPUTED_VALUE"""),"Nirmala Septa Ramadhani")</f>
        <v>Nirmala Septa Ramadhani</v>
      </c>
      <c r="G354" s="24" t="str">
        <f>IFERROR(__xludf.DUMMYFUNCTION("""COMPUTED_VALUE"""),"7471016209080001")</f>
        <v>7471016209080001</v>
      </c>
      <c r="H354" s="24"/>
      <c r="I354" s="24"/>
      <c r="J354" s="24" t="str">
        <f>IFERROR(__xludf.DUMMYFUNCTION("""COMPUTED_VALUE"""),"PEREMPUAN")</f>
        <v>PEREMPUAN</v>
      </c>
      <c r="K354" s="24" t="str">
        <f>IFERROR(__xludf.DUMMYFUNCTION("""COMPUTED_VALUE"""),"Jl. Supu Yusuf 7")</f>
        <v>Jl. Supu Yusuf 7</v>
      </c>
      <c r="L354" s="24"/>
      <c r="M354" s="24"/>
      <c r="N354" s="24" t="str">
        <f>IFERROR(__xludf.DUMMYFUNCTION("""COMPUTED_VALUE"""),"SMA / SMK / MA")</f>
        <v>SMA / SMK / MA</v>
      </c>
      <c r="O354" s="24"/>
      <c r="P354" s="24"/>
      <c r="Q354" s="24"/>
      <c r="R354" s="24" t="str">
        <f>IFERROR(__xludf.DUMMYFUNCTION("""COMPUTED_VALUE"""),"K")</f>
        <v>K</v>
      </c>
      <c r="S354" s="25"/>
    </row>
    <row r="355" ht="22.5" customHeight="1">
      <c r="A355" s="22">
        <v>354.0</v>
      </c>
      <c r="B355" s="24" t="str">
        <f>IFERROR(__xludf.DUMMYFUNCTION("""COMPUTED_VALUE"""),"Pengelola Administrasi Perkantoran")</f>
        <v>Pengelola Administrasi Perkantoran</v>
      </c>
      <c r="C355" s="24" t="str">
        <f>IFERROR(__xludf.DUMMYFUNCTION("""COMPUTED_VALUE"""),"SMK Negeri 1 Kendari")</f>
        <v>SMK Negeri 1 Kendari</v>
      </c>
      <c r="D355" s="24"/>
      <c r="E355" s="24"/>
      <c r="F355" s="24" t="str">
        <f>IFERROR(__xludf.DUMMYFUNCTION("""COMPUTED_VALUE"""),"SAFIRA PRATIWI")</f>
        <v>SAFIRA PRATIWI</v>
      </c>
      <c r="G355" s="24" t="str">
        <f>IFERROR(__xludf.DUMMYFUNCTION("""COMPUTED_VALUE"""),"7471014406080003")</f>
        <v>7471014406080003</v>
      </c>
      <c r="H355" s="24"/>
      <c r="I355" s="24"/>
      <c r="J355" s="24" t="str">
        <f>IFERROR(__xludf.DUMMYFUNCTION("""COMPUTED_VALUE"""),"PEREMPUAN")</f>
        <v>PEREMPUAN</v>
      </c>
      <c r="K355" s="24" t="str">
        <f>IFERROR(__xludf.DUMMYFUNCTION("""COMPUTED_VALUE"""),"Jalan Syech Yusuf")</f>
        <v>Jalan Syech Yusuf</v>
      </c>
      <c r="L355" s="24"/>
      <c r="M355" s="24"/>
      <c r="N355" s="24" t="str">
        <f>IFERROR(__xludf.DUMMYFUNCTION("""COMPUTED_VALUE"""),"SMA / SMK / MA")</f>
        <v>SMA / SMK / MA</v>
      </c>
      <c r="O355" s="24"/>
      <c r="P355" s="24"/>
      <c r="Q355" s="24"/>
      <c r="R355" s="24" t="str">
        <f>IFERROR(__xludf.DUMMYFUNCTION("""COMPUTED_VALUE"""),"K")</f>
        <v>K</v>
      </c>
      <c r="S355" s="25"/>
    </row>
    <row r="356" ht="22.5" customHeight="1">
      <c r="A356" s="22">
        <v>355.0</v>
      </c>
      <c r="B356" s="24" t="str">
        <f>IFERROR(__xludf.DUMMYFUNCTION("""COMPUTED_VALUE"""),"Pengelola Administrasi Perkantoran")</f>
        <v>Pengelola Administrasi Perkantoran</v>
      </c>
      <c r="C356" s="24" t="str">
        <f>IFERROR(__xludf.DUMMYFUNCTION("""COMPUTED_VALUE"""),"SMK Negeri 1 Kendari")</f>
        <v>SMK Negeri 1 Kendari</v>
      </c>
      <c r="D356" s="24"/>
      <c r="E356" s="24"/>
      <c r="F356" s="24" t="str">
        <f>IFERROR(__xludf.DUMMYFUNCTION("""COMPUTED_VALUE"""),"SYIFA AZAHRA")</f>
        <v>SYIFA AZAHRA</v>
      </c>
      <c r="G356" s="24" t="str">
        <f>IFERROR(__xludf.DUMMYFUNCTION("""COMPUTED_VALUE"""),"7402344105080001")</f>
        <v>7402344105080001</v>
      </c>
      <c r="H356" s="24"/>
      <c r="I356" s="24"/>
      <c r="J356" s="24" t="str">
        <f>IFERROR(__xludf.DUMMYFUNCTION("""COMPUTED_VALUE"""),"PEREMPUAN")</f>
        <v>PEREMPUAN</v>
      </c>
      <c r="K356" s="24" t="str">
        <f>IFERROR(__xludf.DUMMYFUNCTION("""COMPUTED_VALUE"""),"Desa Sinaulu Jaya")</f>
        <v>Desa Sinaulu Jaya</v>
      </c>
      <c r="L356" s="24"/>
      <c r="M356" s="24"/>
      <c r="N356" s="24" t="str">
        <f>IFERROR(__xludf.DUMMYFUNCTION("""COMPUTED_VALUE"""),"SMA / SMK / MA")</f>
        <v>SMA / SMK / MA</v>
      </c>
      <c r="O356" s="24"/>
      <c r="P356" s="24"/>
      <c r="Q356" s="24"/>
      <c r="R356" s="24" t="str">
        <f>IFERROR(__xludf.DUMMYFUNCTION("""COMPUTED_VALUE"""),"K")</f>
        <v>K</v>
      </c>
      <c r="S356" s="25"/>
    </row>
    <row r="357" ht="22.5" customHeight="1">
      <c r="A357" s="22">
        <v>356.0</v>
      </c>
      <c r="B357" s="24" t="str">
        <f>IFERROR(__xludf.DUMMYFUNCTION("""COMPUTED_VALUE"""),"Pengelola Administrasi Perkantoran")</f>
        <v>Pengelola Administrasi Perkantoran</v>
      </c>
      <c r="C357" s="24" t="str">
        <f>IFERROR(__xludf.DUMMYFUNCTION("""COMPUTED_VALUE"""),"SMK Negeri 1 Kendari")</f>
        <v>SMK Negeri 1 Kendari</v>
      </c>
      <c r="D357" s="24"/>
      <c r="E357" s="24"/>
      <c r="F357" s="24" t="str">
        <f>IFERROR(__xludf.DUMMYFUNCTION("""COMPUTED_VALUE"""),"FAUZI REZKI ILHAM")</f>
        <v>FAUZI REZKI ILHAM</v>
      </c>
      <c r="G357" s="24" t="str">
        <f>IFERROR(__xludf.DUMMYFUNCTION("""COMPUTED_VALUE"""),"7471012305080003")</f>
        <v>7471012305080003</v>
      </c>
      <c r="H357" s="24"/>
      <c r="I357" s="24"/>
      <c r="J357" s="24" t="str">
        <f>IFERROR(__xludf.DUMMYFUNCTION("""COMPUTED_VALUE"""),"LAKI-LAKI")</f>
        <v>LAKI-LAKI</v>
      </c>
      <c r="K357" s="24" t="str">
        <f>IFERROR(__xludf.DUMMYFUNCTION("""COMPUTED_VALUE"""),"Jalan Malik 1 No 14")</f>
        <v>Jalan Malik 1 No 14</v>
      </c>
      <c r="L357" s="24"/>
      <c r="M357" s="24"/>
      <c r="N357" s="24" t="str">
        <f>IFERROR(__xludf.DUMMYFUNCTION("""COMPUTED_VALUE"""),"SMA / SMK / MA")</f>
        <v>SMA / SMK / MA</v>
      </c>
      <c r="O357" s="24"/>
      <c r="P357" s="24"/>
      <c r="Q357" s="24"/>
      <c r="R357" s="24" t="str">
        <f>IFERROR(__xludf.DUMMYFUNCTION("""COMPUTED_VALUE"""),"K")</f>
        <v>K</v>
      </c>
      <c r="S357" s="25"/>
    </row>
    <row r="358" ht="22.5" customHeight="1">
      <c r="A358" s="22">
        <v>357.0</v>
      </c>
      <c r="B358" s="24" t="str">
        <f>IFERROR(__xludf.DUMMYFUNCTION("""COMPUTED_VALUE"""),"Pengelola Administrasi Perkantoran")</f>
        <v>Pengelola Administrasi Perkantoran</v>
      </c>
      <c r="C358" s="24" t="str">
        <f>IFERROR(__xludf.DUMMYFUNCTION("""COMPUTED_VALUE"""),"SMK Negeri 1 Kendari")</f>
        <v>SMK Negeri 1 Kendari</v>
      </c>
      <c r="D358" s="24"/>
      <c r="E358" s="24"/>
      <c r="F358" s="24" t="str">
        <f>IFERROR(__xludf.DUMMYFUNCTION("""COMPUTED_VALUE"""),"Adinda Cleo Apriliskha Wardani")</f>
        <v>Adinda Cleo Apriliskha Wardani</v>
      </c>
      <c r="G358" s="24" t="str">
        <f>IFERROR(__xludf.DUMMYFUNCTION("""COMPUTED_VALUE"""),"7471056604080002")</f>
        <v>7471056604080002</v>
      </c>
      <c r="H358" s="24"/>
      <c r="I358" s="24"/>
      <c r="J358" s="24" t="str">
        <f>IFERROR(__xludf.DUMMYFUNCTION("""COMPUTED_VALUE"""),"PEREMPUAN")</f>
        <v>PEREMPUAN</v>
      </c>
      <c r="K358" s="24" t="str">
        <f>IFERROR(__xludf.DUMMYFUNCTION("""COMPUTED_VALUE"""),"Jl. Tunggala No.17")</f>
        <v>Jl. Tunggala No.17</v>
      </c>
      <c r="L358" s="24"/>
      <c r="M358" s="24"/>
      <c r="N358" s="24" t="str">
        <f>IFERROR(__xludf.DUMMYFUNCTION("""COMPUTED_VALUE"""),"SMA / SMK / MA")</f>
        <v>SMA / SMK / MA</v>
      </c>
      <c r="O358" s="24"/>
      <c r="P358" s="24"/>
      <c r="Q358" s="24"/>
      <c r="R358" s="24" t="str">
        <f>IFERROR(__xludf.DUMMYFUNCTION("""COMPUTED_VALUE"""),"K")</f>
        <v>K</v>
      </c>
      <c r="S358" s="25"/>
    </row>
    <row r="359" ht="22.5" customHeight="1">
      <c r="A359" s="22">
        <v>358.0</v>
      </c>
      <c r="B359" s="24" t="str">
        <f>IFERROR(__xludf.DUMMYFUNCTION("""COMPUTED_VALUE"""),"Pengelola Administrasi Perkantoran")</f>
        <v>Pengelola Administrasi Perkantoran</v>
      </c>
      <c r="C359" s="24" t="str">
        <f>IFERROR(__xludf.DUMMYFUNCTION("""COMPUTED_VALUE"""),"SMK Negeri 1 Kendari")</f>
        <v>SMK Negeri 1 Kendari</v>
      </c>
      <c r="D359" s="24"/>
      <c r="E359" s="24"/>
      <c r="F359" s="24" t="str">
        <f>IFERROR(__xludf.DUMMYFUNCTION("""COMPUTED_VALUE"""),"AUFAR ADHLY")</f>
        <v>AUFAR ADHLY</v>
      </c>
      <c r="G359" s="24" t="str">
        <f>IFERROR(__xludf.DUMMYFUNCTION("""COMPUTED_VALUE"""),"7471081507080001")</f>
        <v>7471081507080001</v>
      </c>
      <c r="H359" s="24"/>
      <c r="I359" s="24"/>
      <c r="J359" s="24" t="str">
        <f>IFERROR(__xludf.DUMMYFUNCTION("""COMPUTED_VALUE"""),"LAKI-LAKI")</f>
        <v>LAKI-LAKI</v>
      </c>
      <c r="K359" s="24" t="str">
        <f>IFERROR(__xludf.DUMMYFUNCTION("""COMPUTED_VALUE"""),"Jalan Ahmad Yani Lrg Lakidende")</f>
        <v>Jalan Ahmad Yani Lrg Lakidende</v>
      </c>
      <c r="L359" s="24"/>
      <c r="M359" s="24"/>
      <c r="N359" s="24" t="str">
        <f>IFERROR(__xludf.DUMMYFUNCTION("""COMPUTED_VALUE"""),"SMA / SMK / MA")</f>
        <v>SMA / SMK / MA</v>
      </c>
      <c r="O359" s="24"/>
      <c r="P359" s="24"/>
      <c r="Q359" s="24"/>
      <c r="R359" s="24" t="str">
        <f>IFERROR(__xludf.DUMMYFUNCTION("""COMPUTED_VALUE"""),"K")</f>
        <v>K</v>
      </c>
      <c r="S359" s="25"/>
    </row>
    <row r="360" ht="22.5" customHeight="1">
      <c r="A360" s="22">
        <v>359.0</v>
      </c>
      <c r="B360" s="24" t="str">
        <f>IFERROR(__xludf.DUMMYFUNCTION("""COMPUTED_VALUE"""),"Pengelola Administrasi Perkantoran")</f>
        <v>Pengelola Administrasi Perkantoran</v>
      </c>
      <c r="C360" s="24" t="str">
        <f>IFERROR(__xludf.DUMMYFUNCTION("""COMPUTED_VALUE"""),"SMK Negeri 1 Kendari")</f>
        <v>SMK Negeri 1 Kendari</v>
      </c>
      <c r="D360" s="24"/>
      <c r="E360" s="24"/>
      <c r="F360" s="24" t="str">
        <f>IFERROR(__xludf.DUMMYFUNCTION("""COMPUTED_VALUE"""),"BIYAN GADIS PRATIWI")</f>
        <v>BIYAN GADIS PRATIWI</v>
      </c>
      <c r="G360" s="24" t="str">
        <f>IFERROR(__xludf.DUMMYFUNCTION("""COMPUTED_VALUE"""),"3507275205080001")</f>
        <v>3507275205080001</v>
      </c>
      <c r="H360" s="24"/>
      <c r="I360" s="24"/>
      <c r="J360" s="24" t="str">
        <f>IFERROR(__xludf.DUMMYFUNCTION("""COMPUTED_VALUE"""),"PEREMPUAN")</f>
        <v>PEREMPUAN</v>
      </c>
      <c r="K360" s="24" t="str">
        <f>IFERROR(__xludf.DUMMYFUNCTION("""COMPUTED_VALUE"""),"BTN New Baruga Regency, Wundudopi, Baruga")</f>
        <v>BTN New Baruga Regency, Wundudopi, Baruga</v>
      </c>
      <c r="L360" s="24"/>
      <c r="M360" s="24"/>
      <c r="N360" s="24" t="str">
        <f>IFERROR(__xludf.DUMMYFUNCTION("""COMPUTED_VALUE"""),"SMA / SMK / MA")</f>
        <v>SMA / SMK / MA</v>
      </c>
      <c r="O360" s="24"/>
      <c r="P360" s="24"/>
      <c r="Q360" s="24"/>
      <c r="R360" s="24" t="str">
        <f>IFERROR(__xludf.DUMMYFUNCTION("""COMPUTED_VALUE"""),"K")</f>
        <v>K</v>
      </c>
      <c r="S360" s="25"/>
    </row>
    <row r="361" ht="22.5" customHeight="1">
      <c r="A361" s="22">
        <v>360.0</v>
      </c>
      <c r="B361" s="24" t="str">
        <f>IFERROR(__xludf.DUMMYFUNCTION("""COMPUTED_VALUE"""),"Pengelola Administrasi Perkantoran")</f>
        <v>Pengelola Administrasi Perkantoran</v>
      </c>
      <c r="C361" s="24" t="str">
        <f>IFERROR(__xludf.DUMMYFUNCTION("""COMPUTED_VALUE"""),"SMK Negeri 1 Kendari")</f>
        <v>SMK Negeri 1 Kendari</v>
      </c>
      <c r="D361" s="24"/>
      <c r="E361" s="24"/>
      <c r="F361" s="24" t="str">
        <f>IFERROR(__xludf.DUMMYFUNCTION("""COMPUTED_VALUE"""),"CHINTYA QUENE AL SYAFIRA")</f>
        <v>CHINTYA QUENE AL SYAFIRA</v>
      </c>
      <c r="G361" s="24" t="str">
        <f>IFERROR(__xludf.DUMMYFUNCTION("""COMPUTED_VALUE"""),"7471055501090002")</f>
        <v>7471055501090002</v>
      </c>
      <c r="H361" s="24"/>
      <c r="I361" s="24"/>
      <c r="J361" s="24" t="str">
        <f>IFERROR(__xludf.DUMMYFUNCTION("""COMPUTED_VALUE"""),"PEREMPUAN")</f>
        <v>PEREMPUAN</v>
      </c>
      <c r="K361" s="24" t="str">
        <f>IFERROR(__xludf.DUMMYFUNCTION("""COMPUTED_VALUE"""),"Ranomeeto, Jl. Anawai")</f>
        <v>Ranomeeto, Jl. Anawai</v>
      </c>
      <c r="L361" s="24"/>
      <c r="M361" s="24"/>
      <c r="N361" s="24" t="str">
        <f>IFERROR(__xludf.DUMMYFUNCTION("""COMPUTED_VALUE"""),"SMA / SMK / MA")</f>
        <v>SMA / SMK / MA</v>
      </c>
      <c r="O361" s="24"/>
      <c r="P361" s="24"/>
      <c r="Q361" s="24"/>
      <c r="R361" s="24" t="str">
        <f>IFERROR(__xludf.DUMMYFUNCTION("""COMPUTED_VALUE"""),"K")</f>
        <v>K</v>
      </c>
      <c r="S361" s="25"/>
    </row>
    <row r="362" ht="22.5" customHeight="1">
      <c r="A362" s="22">
        <v>361.0</v>
      </c>
      <c r="B362" s="24" t="str">
        <f>IFERROR(__xludf.DUMMYFUNCTION("""COMPUTED_VALUE"""),"Pengelola Administrasi Perkantoran")</f>
        <v>Pengelola Administrasi Perkantoran</v>
      </c>
      <c r="C362" s="24" t="str">
        <f>IFERROR(__xludf.DUMMYFUNCTION("""COMPUTED_VALUE"""),"SMK Negeri 1 Kendari")</f>
        <v>SMK Negeri 1 Kendari</v>
      </c>
      <c r="D362" s="24"/>
      <c r="E362" s="24"/>
      <c r="F362" s="24" t="str">
        <f>IFERROR(__xludf.DUMMYFUNCTION("""COMPUTED_VALUE"""),"De Ulfy Haseb")</f>
        <v>De Ulfy Haseb</v>
      </c>
      <c r="G362" s="24" t="str">
        <f>IFERROR(__xludf.DUMMYFUNCTION("""COMPUTED_VALUE"""),"7471086005080001")</f>
        <v>7471086005080001</v>
      </c>
      <c r="H362" s="24"/>
      <c r="I362" s="24"/>
      <c r="J362" s="24" t="str">
        <f>IFERROR(__xludf.DUMMYFUNCTION("""COMPUTED_VALUE"""),"PEREMPUAN")</f>
        <v>PEREMPUAN</v>
      </c>
      <c r="K362" s="24" t="str">
        <f>IFERROR(__xludf.DUMMYFUNCTION("""COMPUTED_VALUE"""),"Jl. La Ode Hadi (Lorong Veteran)")</f>
        <v>Jl. La Ode Hadi (Lorong Veteran)</v>
      </c>
      <c r="L362" s="24"/>
      <c r="M362" s="24"/>
      <c r="N362" s="24" t="str">
        <f>IFERROR(__xludf.DUMMYFUNCTION("""COMPUTED_VALUE"""),"SMA / SMK / MA")</f>
        <v>SMA / SMK / MA</v>
      </c>
      <c r="O362" s="24"/>
      <c r="P362" s="24"/>
      <c r="Q362" s="24"/>
      <c r="R362" s="24" t="str">
        <f>IFERROR(__xludf.DUMMYFUNCTION("""COMPUTED_VALUE"""),"K")</f>
        <v>K</v>
      </c>
      <c r="S362" s="25"/>
    </row>
    <row r="363" ht="22.5" customHeight="1">
      <c r="A363" s="22">
        <v>362.0</v>
      </c>
      <c r="B363" s="24" t="str">
        <f>IFERROR(__xludf.DUMMYFUNCTION("""COMPUTED_VALUE"""),"Pengelola Administrasi Perkantoran")</f>
        <v>Pengelola Administrasi Perkantoran</v>
      </c>
      <c r="C363" s="24" t="str">
        <f>IFERROR(__xludf.DUMMYFUNCTION("""COMPUTED_VALUE"""),"SMK Negeri 1 Kendari")</f>
        <v>SMK Negeri 1 Kendari</v>
      </c>
      <c r="D363" s="24"/>
      <c r="E363" s="24"/>
      <c r="F363" s="24" t="str">
        <f>IFERROR(__xludf.DUMMYFUNCTION("""COMPUTED_VALUE"""),"Harianto")</f>
        <v>Harianto</v>
      </c>
      <c r="G363" s="24" t="str">
        <f>IFERROR(__xludf.DUMMYFUNCTION("""COMPUTED_VALUE"""),"7206152605070001")</f>
        <v>7206152605070001</v>
      </c>
      <c r="H363" s="24"/>
      <c r="I363" s="24"/>
      <c r="J363" s="24" t="str">
        <f>IFERROR(__xludf.DUMMYFUNCTION("""COMPUTED_VALUE"""),"LAKI-LAKI")</f>
        <v>LAKI-LAKI</v>
      </c>
      <c r="K363" s="24" t="str">
        <f>IFERROR(__xludf.DUMMYFUNCTION("""COMPUTED_VALUE"""),"-")</f>
        <v>-</v>
      </c>
      <c r="L363" s="24"/>
      <c r="M363" s="24"/>
      <c r="N363" s="24" t="str">
        <f>IFERROR(__xludf.DUMMYFUNCTION("""COMPUTED_VALUE"""),"SMA / SMK / MA")</f>
        <v>SMA / SMK / MA</v>
      </c>
      <c r="O363" s="24"/>
      <c r="P363" s="24"/>
      <c r="Q363" s="24"/>
      <c r="R363" s="24" t="str">
        <f>IFERROR(__xludf.DUMMYFUNCTION("""COMPUTED_VALUE"""),"K")</f>
        <v>K</v>
      </c>
      <c r="S363" s="25"/>
    </row>
    <row r="364" ht="22.5" customHeight="1">
      <c r="A364" s="22">
        <v>363.0</v>
      </c>
      <c r="B364" s="24" t="str">
        <f>IFERROR(__xludf.DUMMYFUNCTION("""COMPUTED_VALUE"""),"Pengelola Administrasi Perkantoran")</f>
        <v>Pengelola Administrasi Perkantoran</v>
      </c>
      <c r="C364" s="24" t="str">
        <f>IFERROR(__xludf.DUMMYFUNCTION("""COMPUTED_VALUE"""),"SMK Negeri 1 Kendari")</f>
        <v>SMK Negeri 1 Kendari</v>
      </c>
      <c r="D364" s="24"/>
      <c r="E364" s="24"/>
      <c r="F364" s="24" t="str">
        <f>IFERROR(__xludf.DUMMYFUNCTION("""COMPUTED_VALUE"""),"HELFIANA PUTRI PRADIMA")</f>
        <v>HELFIANA PUTRI PRADIMA</v>
      </c>
      <c r="G364" s="24" t="str">
        <f>IFERROR(__xludf.DUMMYFUNCTION("""COMPUTED_VALUE"""),"7471085511080001")</f>
        <v>7471085511080001</v>
      </c>
      <c r="H364" s="24"/>
      <c r="I364" s="24"/>
      <c r="J364" s="24" t="str">
        <f>IFERROR(__xludf.DUMMYFUNCTION("""COMPUTED_VALUE"""),"PEREMPUAN")</f>
        <v>PEREMPUAN</v>
      </c>
      <c r="K364" s="24" t="str">
        <f>IFERROR(__xludf.DUMMYFUNCTION("""COMPUTED_VALUE"""),"BTN PNS Baruga")</f>
        <v>BTN PNS Baruga</v>
      </c>
      <c r="L364" s="24"/>
      <c r="M364" s="24"/>
      <c r="N364" s="24" t="str">
        <f>IFERROR(__xludf.DUMMYFUNCTION("""COMPUTED_VALUE"""),"SMA / SMK / MA")</f>
        <v>SMA / SMK / MA</v>
      </c>
      <c r="O364" s="24"/>
      <c r="P364" s="24"/>
      <c r="Q364" s="24"/>
      <c r="R364" s="24" t="str">
        <f>IFERROR(__xludf.DUMMYFUNCTION("""COMPUTED_VALUE"""),"K")</f>
        <v>K</v>
      </c>
      <c r="S364" s="25"/>
    </row>
    <row r="365" ht="22.5" customHeight="1">
      <c r="A365" s="22">
        <v>364.0</v>
      </c>
      <c r="B365" s="24" t="str">
        <f>IFERROR(__xludf.DUMMYFUNCTION("""COMPUTED_VALUE"""),"Pengelola Administrasi Perkantoran")</f>
        <v>Pengelola Administrasi Perkantoran</v>
      </c>
      <c r="C365" s="24" t="str">
        <f>IFERROR(__xludf.DUMMYFUNCTION("""COMPUTED_VALUE"""),"SMK Negeri 1 Kendari")</f>
        <v>SMK Negeri 1 Kendari</v>
      </c>
      <c r="D365" s="24"/>
      <c r="E365" s="24"/>
      <c r="F365" s="24" t="str">
        <f>IFERROR(__xludf.DUMMYFUNCTION("""COMPUTED_VALUE"""),"Jumriani")</f>
        <v>Jumriani</v>
      </c>
      <c r="G365" s="24" t="str">
        <f>IFERROR(__xludf.DUMMYFUNCTION("""COMPUTED_VALUE"""),"7471086802080002")</f>
        <v>7471086802080002</v>
      </c>
      <c r="H365" s="24"/>
      <c r="I365" s="24"/>
      <c r="J365" s="24" t="str">
        <f>IFERROR(__xludf.DUMMYFUNCTION("""COMPUTED_VALUE"""),"PEREMPUAN")</f>
        <v>PEREMPUAN</v>
      </c>
      <c r="K365" s="24" t="str">
        <f>IFERROR(__xludf.DUMMYFUNCTION("""COMPUTED_VALUE"""),"Jl. Supu Yusuf")</f>
        <v>Jl. Supu Yusuf</v>
      </c>
      <c r="L365" s="24"/>
      <c r="M365" s="24"/>
      <c r="N365" s="24" t="str">
        <f>IFERROR(__xludf.DUMMYFUNCTION("""COMPUTED_VALUE"""),"SMA / SMK / MA")</f>
        <v>SMA / SMK / MA</v>
      </c>
      <c r="O365" s="24"/>
      <c r="P365" s="24"/>
      <c r="Q365" s="24"/>
      <c r="R365" s="24" t="str">
        <f>IFERROR(__xludf.DUMMYFUNCTION("""COMPUTED_VALUE"""),"K")</f>
        <v>K</v>
      </c>
      <c r="S365" s="25"/>
    </row>
    <row r="366" ht="22.5" customHeight="1">
      <c r="A366" s="22">
        <v>365.0</v>
      </c>
      <c r="B366" s="24" t="str">
        <f>IFERROR(__xludf.DUMMYFUNCTION("""COMPUTED_VALUE"""),"Pengelola Administrasi Perkantoran")</f>
        <v>Pengelola Administrasi Perkantoran</v>
      </c>
      <c r="C366" s="24" t="str">
        <f>IFERROR(__xludf.DUMMYFUNCTION("""COMPUTED_VALUE"""),"SMK Negeri 1 Kendari")</f>
        <v>SMK Negeri 1 Kendari</v>
      </c>
      <c r="D366" s="24"/>
      <c r="E366" s="24"/>
      <c r="F366" s="24" t="str">
        <f>IFERROR(__xludf.DUMMYFUNCTION("""COMPUTED_VALUE"""),"KIRANA ZAKIYAH AZ-ZAHRA")</f>
        <v>KIRANA ZAKIYAH AZ-ZAHRA</v>
      </c>
      <c r="G366" s="24" t="str">
        <f>IFERROR(__xludf.DUMMYFUNCTION("""COMPUTED_VALUE"""),"7471054408080001")</f>
        <v>7471054408080001</v>
      </c>
      <c r="H366" s="24"/>
      <c r="I366" s="24"/>
      <c r="J366" s="24" t="str">
        <f>IFERROR(__xludf.DUMMYFUNCTION("""COMPUTED_VALUE"""),"PEREMPUAN")</f>
        <v>PEREMPUAN</v>
      </c>
      <c r="K366" s="24" t="str">
        <f>IFERROR(__xludf.DUMMYFUNCTION("""COMPUTED_VALUE"""),"Jl. Bunga Matahari II")</f>
        <v>Jl. Bunga Matahari II</v>
      </c>
      <c r="L366" s="24"/>
      <c r="M366" s="24"/>
      <c r="N366" s="24" t="str">
        <f>IFERROR(__xludf.DUMMYFUNCTION("""COMPUTED_VALUE"""),"SMA / SMK / MA")</f>
        <v>SMA / SMK / MA</v>
      </c>
      <c r="O366" s="24"/>
      <c r="P366" s="24"/>
      <c r="Q366" s="24"/>
      <c r="R366" s="24" t="str">
        <f>IFERROR(__xludf.DUMMYFUNCTION("""COMPUTED_VALUE"""),"K")</f>
        <v>K</v>
      </c>
      <c r="S366" s="25"/>
    </row>
    <row r="367" ht="22.5" customHeight="1">
      <c r="A367" s="22">
        <v>366.0</v>
      </c>
      <c r="B367" s="24" t="str">
        <f>IFERROR(__xludf.DUMMYFUNCTION("""COMPUTED_VALUE"""),"Pengelola Administrasi Perkantoran")</f>
        <v>Pengelola Administrasi Perkantoran</v>
      </c>
      <c r="C367" s="24" t="str">
        <f>IFERROR(__xludf.DUMMYFUNCTION("""COMPUTED_VALUE"""),"SMK Negeri 1 Kendari")</f>
        <v>SMK Negeri 1 Kendari</v>
      </c>
      <c r="D367" s="24"/>
      <c r="E367" s="24"/>
      <c r="F367" s="24" t="str">
        <f>IFERROR(__xludf.DUMMYFUNCTION("""COMPUTED_VALUE"""),"KRISWAN ROMBE")</f>
        <v>KRISWAN ROMBE</v>
      </c>
      <c r="G367" s="24" t="str">
        <f>IFERROR(__xludf.DUMMYFUNCTION("""COMPUTED_VALUE"""),"7409011005080002")</f>
        <v>7409011005080002</v>
      </c>
      <c r="H367" s="24"/>
      <c r="I367" s="24"/>
      <c r="J367" s="24" t="str">
        <f>IFERROR(__xludf.DUMMYFUNCTION("""COMPUTED_VALUE"""),"LAKI-LAKI")</f>
        <v>LAKI-LAKI</v>
      </c>
      <c r="K367" s="24" t="str">
        <f>IFERROR(__xludf.DUMMYFUNCTION("""COMPUTED_VALUE"""),"-")</f>
        <v>-</v>
      </c>
      <c r="L367" s="24"/>
      <c r="M367" s="24"/>
      <c r="N367" s="24" t="str">
        <f>IFERROR(__xludf.DUMMYFUNCTION("""COMPUTED_VALUE"""),"SMA / SMK / MA")</f>
        <v>SMA / SMK / MA</v>
      </c>
      <c r="O367" s="24"/>
      <c r="P367" s="24"/>
      <c r="Q367" s="24"/>
      <c r="R367" s="24" t="str">
        <f>IFERROR(__xludf.DUMMYFUNCTION("""COMPUTED_VALUE"""),"K")</f>
        <v>K</v>
      </c>
      <c r="S367" s="25"/>
    </row>
    <row r="368" ht="22.5" customHeight="1">
      <c r="A368" s="22">
        <v>367.0</v>
      </c>
      <c r="B368" s="24" t="str">
        <f>IFERROR(__xludf.DUMMYFUNCTION("""COMPUTED_VALUE"""),"Pengelola Administrasi Perkantoran")</f>
        <v>Pengelola Administrasi Perkantoran</v>
      </c>
      <c r="C368" s="24" t="str">
        <f>IFERROR(__xludf.DUMMYFUNCTION("""COMPUTED_VALUE"""),"SMK Negeri 1 Kendari")</f>
        <v>SMK Negeri 1 Kendari</v>
      </c>
      <c r="D368" s="24"/>
      <c r="E368" s="24"/>
      <c r="F368" s="24" t="str">
        <f>IFERROR(__xludf.DUMMYFUNCTION("""COMPUTED_VALUE"""),"LUNA SALWA")</f>
        <v>LUNA SALWA</v>
      </c>
      <c r="G368" s="24" t="str">
        <f>IFERROR(__xludf.DUMMYFUNCTION("""COMPUTED_VALUE"""),"7471016312080001")</f>
        <v>7471016312080001</v>
      </c>
      <c r="H368" s="24"/>
      <c r="I368" s="24"/>
      <c r="J368" s="24" t="str">
        <f>IFERROR(__xludf.DUMMYFUNCTION("""COMPUTED_VALUE"""),"PEREMPUAN")</f>
        <v>PEREMPUAN</v>
      </c>
      <c r="K368" s="24" t="str">
        <f>IFERROR(__xludf.DUMMYFUNCTION("""COMPUTED_VALUE"""),"Jl. Taman Suropati")</f>
        <v>Jl. Taman Suropati</v>
      </c>
      <c r="L368" s="24"/>
      <c r="M368" s="24"/>
      <c r="N368" s="24" t="str">
        <f>IFERROR(__xludf.DUMMYFUNCTION("""COMPUTED_VALUE"""),"SMA / SMK / MA")</f>
        <v>SMA / SMK / MA</v>
      </c>
      <c r="O368" s="24"/>
      <c r="P368" s="24"/>
      <c r="Q368" s="24"/>
      <c r="R368" s="24" t="str">
        <f>IFERROR(__xludf.DUMMYFUNCTION("""COMPUTED_VALUE"""),"K")</f>
        <v>K</v>
      </c>
      <c r="S368" s="25"/>
    </row>
    <row r="369" ht="22.5" customHeight="1">
      <c r="A369" s="22">
        <v>368.0</v>
      </c>
      <c r="B369" s="24" t="str">
        <f>IFERROR(__xludf.DUMMYFUNCTION("""COMPUTED_VALUE"""),"Pengelola Administrasi Perkantoran")</f>
        <v>Pengelola Administrasi Perkantoran</v>
      </c>
      <c r="C369" s="24" t="str">
        <f>IFERROR(__xludf.DUMMYFUNCTION("""COMPUTED_VALUE"""),"SMK Negeri 1 Kendari")</f>
        <v>SMK Negeri 1 Kendari</v>
      </c>
      <c r="D369" s="24"/>
      <c r="E369" s="24"/>
      <c r="F369" s="24" t="str">
        <f>IFERROR(__xludf.DUMMYFUNCTION("""COMPUTED_VALUE"""),"MUH. ALDAN PRATAMA")</f>
        <v>MUH. ALDAN PRATAMA</v>
      </c>
      <c r="G369" s="24" t="str">
        <f>IFERROR(__xludf.DUMMYFUNCTION("""COMPUTED_VALUE"""),"7471071808080001")</f>
        <v>7471071808080001</v>
      </c>
      <c r="H369" s="24"/>
      <c r="I369" s="24"/>
      <c r="J369" s="24" t="str">
        <f>IFERROR(__xludf.DUMMYFUNCTION("""COMPUTED_VALUE"""),"LAKI-LAKI")</f>
        <v>LAKI-LAKI</v>
      </c>
      <c r="K369" s="24" t="str">
        <f>IFERROR(__xludf.DUMMYFUNCTION("""COMPUTED_VALUE"""),"Jl. Gunung Melehu")</f>
        <v>Jl. Gunung Melehu</v>
      </c>
      <c r="L369" s="24"/>
      <c r="M369" s="24"/>
      <c r="N369" s="24" t="str">
        <f>IFERROR(__xludf.DUMMYFUNCTION("""COMPUTED_VALUE"""),"SMA / SMK / MA")</f>
        <v>SMA / SMK / MA</v>
      </c>
      <c r="O369" s="24"/>
      <c r="P369" s="24"/>
      <c r="Q369" s="24"/>
      <c r="R369" s="24" t="str">
        <f>IFERROR(__xludf.DUMMYFUNCTION("""COMPUTED_VALUE"""),"K")</f>
        <v>K</v>
      </c>
      <c r="S369" s="25"/>
    </row>
    <row r="370" ht="22.5" customHeight="1">
      <c r="A370" s="22">
        <v>369.0</v>
      </c>
      <c r="B370" s="24" t="str">
        <f>IFERROR(__xludf.DUMMYFUNCTION("""COMPUTED_VALUE"""),"Pengelola Administrasi Perkantoran")</f>
        <v>Pengelola Administrasi Perkantoran</v>
      </c>
      <c r="C370" s="24" t="str">
        <f>IFERROR(__xludf.DUMMYFUNCTION("""COMPUTED_VALUE"""),"SMK Negeri 1 Kendari")</f>
        <v>SMK Negeri 1 Kendari</v>
      </c>
      <c r="D370" s="24"/>
      <c r="E370" s="24"/>
      <c r="F370" s="24" t="str">
        <f>IFERROR(__xludf.DUMMYFUNCTION("""COMPUTED_VALUE"""),"MENTARI PUTRI CAHYANI")</f>
        <v>MENTARI PUTRI CAHYANI</v>
      </c>
      <c r="G370" s="24" t="str">
        <f>IFERROR(__xludf.DUMMYFUNCTION("""COMPUTED_VALUE"""),"7471087003070001")</f>
        <v>7471087003070001</v>
      </c>
      <c r="H370" s="24"/>
      <c r="I370" s="24"/>
      <c r="J370" s="24" t="str">
        <f>IFERROR(__xludf.DUMMYFUNCTION("""COMPUTED_VALUE"""),"PEREMPUAN")</f>
        <v>PEREMPUAN</v>
      </c>
      <c r="K370" s="24" t="str">
        <f>IFERROR(__xludf.DUMMYFUNCTION("""COMPUTED_VALUE"""),"Jl. K.H. Ahmad Dahlan")</f>
        <v>Jl. K.H. Ahmad Dahlan</v>
      </c>
      <c r="L370" s="24"/>
      <c r="M370" s="24"/>
      <c r="N370" s="24" t="str">
        <f>IFERROR(__xludf.DUMMYFUNCTION("""COMPUTED_VALUE"""),"SMA / SMK / MA")</f>
        <v>SMA / SMK / MA</v>
      </c>
      <c r="O370" s="24"/>
      <c r="P370" s="24"/>
      <c r="Q370" s="24"/>
      <c r="R370" s="24" t="str">
        <f>IFERROR(__xludf.DUMMYFUNCTION("""COMPUTED_VALUE"""),"K")</f>
        <v>K</v>
      </c>
      <c r="S370" s="25"/>
    </row>
    <row r="371" ht="22.5" customHeight="1">
      <c r="A371" s="22">
        <v>370.0</v>
      </c>
      <c r="B371" s="24" t="str">
        <f>IFERROR(__xludf.DUMMYFUNCTION("""COMPUTED_VALUE"""),"Pengelola Administrasi Perkantoran")</f>
        <v>Pengelola Administrasi Perkantoran</v>
      </c>
      <c r="C371" s="24" t="str">
        <f>IFERROR(__xludf.DUMMYFUNCTION("""COMPUTED_VALUE"""),"SMK Negeri 1 Kendari")</f>
        <v>SMK Negeri 1 Kendari</v>
      </c>
      <c r="D371" s="24"/>
      <c r="E371" s="24"/>
      <c r="F371" s="24" t="str">
        <f>IFERROR(__xludf.DUMMYFUNCTION("""COMPUTED_VALUE"""),"MUH. SYAHRUL SYA'BAN HASBA")</f>
        <v>MUH. SYAHRUL SYA'BAN HASBA</v>
      </c>
      <c r="G371" s="24" t="str">
        <f>IFERROR(__xludf.DUMMYFUNCTION("""COMPUTED_VALUE"""),"7471101908080001")</f>
        <v>7471101908080001</v>
      </c>
      <c r="H371" s="24"/>
      <c r="I371" s="24"/>
      <c r="J371" s="24" t="str">
        <f>IFERROR(__xludf.DUMMYFUNCTION("""COMPUTED_VALUE"""),"LAKI-LAKI")</f>
        <v>LAKI-LAKI</v>
      </c>
      <c r="K371" s="24" t="str">
        <f>IFERROR(__xludf.DUMMYFUNCTION("""COMPUTED_VALUE"""),"BTN Azatata Citra Blok G No.14")</f>
        <v>BTN Azatata Citra Blok G No.14</v>
      </c>
      <c r="L371" s="24"/>
      <c r="M371" s="24"/>
      <c r="N371" s="24" t="str">
        <f>IFERROR(__xludf.DUMMYFUNCTION("""COMPUTED_VALUE"""),"SMA / SMK / MA")</f>
        <v>SMA / SMK / MA</v>
      </c>
      <c r="O371" s="24"/>
      <c r="P371" s="24"/>
      <c r="Q371" s="24"/>
      <c r="R371" s="24" t="str">
        <f>IFERROR(__xludf.DUMMYFUNCTION("""COMPUTED_VALUE"""),"K")</f>
        <v>K</v>
      </c>
      <c r="S371" s="25"/>
    </row>
    <row r="372" ht="22.5" customHeight="1">
      <c r="A372" s="22">
        <v>371.0</v>
      </c>
      <c r="B372" s="24" t="str">
        <f>IFERROR(__xludf.DUMMYFUNCTION("""COMPUTED_VALUE"""),"Pengelola Administrasi Perkantoran")</f>
        <v>Pengelola Administrasi Perkantoran</v>
      </c>
      <c r="C372" s="24" t="str">
        <f>IFERROR(__xludf.DUMMYFUNCTION("""COMPUTED_VALUE"""),"SMK Negeri 1 Kendari")</f>
        <v>SMK Negeri 1 Kendari</v>
      </c>
      <c r="D372" s="24"/>
      <c r="E372" s="24"/>
      <c r="F372" s="24" t="str">
        <f>IFERROR(__xludf.DUMMYFUNCTION("""COMPUTED_VALUE"""),"MUHAMMAD FADHIL")</f>
        <v>MUHAMMAD FADHIL</v>
      </c>
      <c r="G372" s="24" t="str">
        <f>IFERROR(__xludf.DUMMYFUNCTION("""COMPUTED_VALUE"""),"7471012702090002")</f>
        <v>7471012702090002</v>
      </c>
      <c r="H372" s="24"/>
      <c r="I372" s="24"/>
      <c r="J372" s="24" t="str">
        <f>IFERROR(__xludf.DUMMYFUNCTION("""COMPUTED_VALUE"""),"LAKI-LAKI")</f>
        <v>LAKI-LAKI</v>
      </c>
      <c r="K372" s="24" t="str">
        <f>IFERROR(__xludf.DUMMYFUNCTION("""COMPUTED_VALUE"""),"Jl. Laute 2")</f>
        <v>Jl. Laute 2</v>
      </c>
      <c r="L372" s="24"/>
      <c r="M372" s="24"/>
      <c r="N372" s="24" t="str">
        <f>IFERROR(__xludf.DUMMYFUNCTION("""COMPUTED_VALUE"""),"SMA / SMK / MA")</f>
        <v>SMA / SMK / MA</v>
      </c>
      <c r="O372" s="24"/>
      <c r="P372" s="24"/>
      <c r="Q372" s="24"/>
      <c r="R372" s="24" t="str">
        <f>IFERROR(__xludf.DUMMYFUNCTION("""COMPUTED_VALUE"""),"K")</f>
        <v>K</v>
      </c>
      <c r="S372" s="25"/>
    </row>
    <row r="373" ht="22.5" customHeight="1">
      <c r="A373" s="22">
        <v>372.0</v>
      </c>
      <c r="B373" s="24" t="str">
        <f>IFERROR(__xludf.DUMMYFUNCTION("""COMPUTED_VALUE"""),"Pengelola Administrasi Perkantoran")</f>
        <v>Pengelola Administrasi Perkantoran</v>
      </c>
      <c r="C373" s="24" t="str">
        <f>IFERROR(__xludf.DUMMYFUNCTION("""COMPUTED_VALUE"""),"SMK Negeri 1 Kendari")</f>
        <v>SMK Negeri 1 Kendari</v>
      </c>
      <c r="D373" s="24"/>
      <c r="E373" s="24"/>
      <c r="F373" s="24" t="str">
        <f>IFERROR(__xludf.DUMMYFUNCTION("""COMPUTED_VALUE"""),"Muhammad Rezki Fausar")</f>
        <v>Muhammad Rezki Fausar</v>
      </c>
      <c r="G373" s="24" t="str">
        <f>IFERROR(__xludf.DUMMYFUNCTION("""COMPUTED_VALUE"""),"7471527200702001")</f>
        <v>7471527200702001</v>
      </c>
      <c r="H373" s="24"/>
      <c r="I373" s="24"/>
      <c r="J373" s="24" t="str">
        <f>IFERROR(__xludf.DUMMYFUNCTION("""COMPUTED_VALUE"""),"PEREMPUAN")</f>
        <v>PEREMPUAN</v>
      </c>
      <c r="K373" s="24" t="str">
        <f>IFERROR(__xludf.DUMMYFUNCTION("""COMPUTED_VALUE"""),"Jl. Lawata, Kel Tobuha, Kec. Puuwatu")</f>
        <v>Jl. Lawata, Kel Tobuha, Kec. Puuwatu</v>
      </c>
      <c r="L373" s="24"/>
      <c r="M373" s="24"/>
      <c r="N373" s="24" t="str">
        <f>IFERROR(__xludf.DUMMYFUNCTION("""COMPUTED_VALUE"""),"SMA / SMK / MA")</f>
        <v>SMA / SMK / MA</v>
      </c>
      <c r="O373" s="24"/>
      <c r="P373" s="24"/>
      <c r="Q373" s="24"/>
      <c r="R373" s="24" t="str">
        <f>IFERROR(__xludf.DUMMYFUNCTION("""COMPUTED_VALUE"""),"K")</f>
        <v>K</v>
      </c>
      <c r="S373" s="25"/>
    </row>
    <row r="374" ht="22.5" customHeight="1">
      <c r="A374" s="22">
        <v>373.0</v>
      </c>
      <c r="B374" s="24" t="str">
        <f>IFERROR(__xludf.DUMMYFUNCTION("""COMPUTED_VALUE"""),"Pengelola Administrasi Perkantoran")</f>
        <v>Pengelola Administrasi Perkantoran</v>
      </c>
      <c r="C374" s="24" t="str">
        <f>IFERROR(__xludf.DUMMYFUNCTION("""COMPUTED_VALUE"""),"SMK Negeri 1 Kendari")</f>
        <v>SMK Negeri 1 Kendari</v>
      </c>
      <c r="D374" s="24"/>
      <c r="E374" s="24"/>
      <c r="F374" s="24" t="str">
        <f>IFERROR(__xludf.DUMMYFUNCTION("""COMPUTED_VALUE"""),"NUR ROSDIANTI")</f>
        <v>NUR ROSDIANTI</v>
      </c>
      <c r="G374" s="24" t="str">
        <f>IFERROR(__xludf.DUMMYFUNCTION("""COMPUTED_VALUE"""),"7471016907080001")</f>
        <v>7471016907080001</v>
      </c>
      <c r="H374" s="24"/>
      <c r="I374" s="24"/>
      <c r="J374" s="24" t="str">
        <f>IFERROR(__xludf.DUMMYFUNCTION("""COMPUTED_VALUE"""),"PEREMPUAN")</f>
        <v>PEREMPUAN</v>
      </c>
      <c r="K374" s="24" t="str">
        <f>IFERROR(__xludf.DUMMYFUNCTION("""COMPUTED_VALUE"""),"Jl. Laute 2")</f>
        <v>Jl. Laute 2</v>
      </c>
      <c r="L374" s="24"/>
      <c r="M374" s="24"/>
      <c r="N374" s="24" t="str">
        <f>IFERROR(__xludf.DUMMYFUNCTION("""COMPUTED_VALUE"""),"SMA / SMK / MA")</f>
        <v>SMA / SMK / MA</v>
      </c>
      <c r="O374" s="24"/>
      <c r="P374" s="24"/>
      <c r="Q374" s="24"/>
      <c r="R374" s="24" t="str">
        <f>IFERROR(__xludf.DUMMYFUNCTION("""COMPUTED_VALUE"""),"K")</f>
        <v>K</v>
      </c>
      <c r="S374" s="25"/>
    </row>
    <row r="375" ht="22.5" customHeight="1">
      <c r="A375" s="22">
        <v>374.0</v>
      </c>
      <c r="B375" s="24" t="str">
        <f>IFERROR(__xludf.DUMMYFUNCTION("""COMPUTED_VALUE"""),"Pengelola Administrasi Perkantoran")</f>
        <v>Pengelola Administrasi Perkantoran</v>
      </c>
      <c r="C375" s="24" t="str">
        <f>IFERROR(__xludf.DUMMYFUNCTION("""COMPUTED_VALUE"""),"SMK Negeri 1 Kendari")</f>
        <v>SMK Negeri 1 Kendari</v>
      </c>
      <c r="D375" s="24"/>
      <c r="E375" s="24"/>
      <c r="F375" s="24" t="str">
        <f>IFERROR(__xludf.DUMMYFUNCTION("""COMPUTED_VALUE"""),"Putri Ayu Lestari")</f>
        <v>Putri Ayu Lestari</v>
      </c>
      <c r="G375" s="24" t="str">
        <f>IFERROR(__xludf.DUMMYFUNCTION("""COMPUTED_VALUE"""),"7402205712080001")</f>
        <v>7402205712080001</v>
      </c>
      <c r="H375" s="24"/>
      <c r="I375" s="24"/>
      <c r="J375" s="24" t="str">
        <f>IFERROR(__xludf.DUMMYFUNCTION("""COMPUTED_VALUE"""),"PEREMPUAN")</f>
        <v>PEREMPUAN</v>
      </c>
      <c r="K375" s="24" t="str">
        <f>IFERROR(__xludf.DUMMYFUNCTION("""COMPUTED_VALUE"""),"Perumahan Mega Amaliah")</f>
        <v>Perumahan Mega Amaliah</v>
      </c>
      <c r="L375" s="24"/>
      <c r="M375" s="24"/>
      <c r="N375" s="24" t="str">
        <f>IFERROR(__xludf.DUMMYFUNCTION("""COMPUTED_VALUE"""),"SMA / SMK / MA")</f>
        <v>SMA / SMK / MA</v>
      </c>
      <c r="O375" s="24"/>
      <c r="P375" s="24"/>
      <c r="Q375" s="24"/>
      <c r="R375" s="24" t="str">
        <f>IFERROR(__xludf.DUMMYFUNCTION("""COMPUTED_VALUE"""),"K")</f>
        <v>K</v>
      </c>
      <c r="S375" s="25"/>
    </row>
    <row r="376" ht="22.5" customHeight="1">
      <c r="A376" s="22">
        <v>375.0</v>
      </c>
      <c r="B376" s="24" t="str">
        <f>IFERROR(__xludf.DUMMYFUNCTION("""COMPUTED_VALUE"""),"Pengelola Administrasi Perkantoran")</f>
        <v>Pengelola Administrasi Perkantoran</v>
      </c>
      <c r="C376" s="24" t="str">
        <f>IFERROR(__xludf.DUMMYFUNCTION("""COMPUTED_VALUE"""),"SMK Negeri 1 Kendari")</f>
        <v>SMK Negeri 1 Kendari</v>
      </c>
      <c r="D376" s="24"/>
      <c r="E376" s="24"/>
      <c r="F376" s="24" t="str">
        <f>IFERROR(__xludf.DUMMYFUNCTION("""COMPUTED_VALUE"""),"Putri Marlinda Tamael")</f>
        <v>Putri Marlinda Tamael</v>
      </c>
      <c r="G376" s="24" t="str">
        <f>IFERROR(__xludf.DUMMYFUNCTION("""COMPUTED_VALUE"""),"7326105509080001")</f>
        <v>7326105509080001</v>
      </c>
      <c r="H376" s="24"/>
      <c r="I376" s="24"/>
      <c r="J376" s="24" t="str">
        <f>IFERROR(__xludf.DUMMYFUNCTION("""COMPUTED_VALUE"""),"PEREMPUAN")</f>
        <v>PEREMPUAN</v>
      </c>
      <c r="K376" s="24" t="str">
        <f>IFERROR(__xludf.DUMMYFUNCTION("""COMPUTED_VALUE"""),"Jl. Mekar Lr Damai")</f>
        <v>Jl. Mekar Lr Damai</v>
      </c>
      <c r="L376" s="24"/>
      <c r="M376" s="24"/>
      <c r="N376" s="24" t="str">
        <f>IFERROR(__xludf.DUMMYFUNCTION("""COMPUTED_VALUE"""),"SMA / SMK / MA")</f>
        <v>SMA / SMK / MA</v>
      </c>
      <c r="O376" s="24"/>
      <c r="P376" s="24"/>
      <c r="Q376" s="24"/>
      <c r="R376" s="24" t="str">
        <f>IFERROR(__xludf.DUMMYFUNCTION("""COMPUTED_VALUE"""),"K")</f>
        <v>K</v>
      </c>
      <c r="S376" s="25"/>
    </row>
    <row r="377" ht="22.5" customHeight="1">
      <c r="A377" s="22">
        <v>376.0</v>
      </c>
      <c r="B377" s="24" t="str">
        <f>IFERROR(__xludf.DUMMYFUNCTION("""COMPUTED_VALUE"""),"Pengelola Administrasi Perkantoran")</f>
        <v>Pengelola Administrasi Perkantoran</v>
      </c>
      <c r="C377" s="24" t="str">
        <f>IFERROR(__xludf.DUMMYFUNCTION("""COMPUTED_VALUE"""),"SMK Negeri 1 Kendari")</f>
        <v>SMK Negeri 1 Kendari</v>
      </c>
      <c r="D377" s="24"/>
      <c r="E377" s="24"/>
      <c r="F377" s="24" t="str">
        <f>IFERROR(__xludf.DUMMYFUNCTION("""COMPUTED_VALUE"""),"PUTRY PERMATA ASDAR")</f>
        <v>PUTRY PERMATA ASDAR</v>
      </c>
      <c r="G377" s="24" t="str">
        <f>IFERROR(__xludf.DUMMYFUNCTION("""COMPUTED_VALUE"""),"7471096705080001")</f>
        <v>7471096705080001</v>
      </c>
      <c r="H377" s="24"/>
      <c r="I377" s="24"/>
      <c r="J377" s="24" t="str">
        <f>IFERROR(__xludf.DUMMYFUNCTION("""COMPUTED_VALUE"""),"PEREMPUAN")</f>
        <v>PEREMPUAN</v>
      </c>
      <c r="K377" s="24" t="str">
        <f>IFERROR(__xludf.DUMMYFUNCTION("""COMPUTED_VALUE"""),"Jl. Bahagia 2")</f>
        <v>Jl. Bahagia 2</v>
      </c>
      <c r="L377" s="24"/>
      <c r="M377" s="24"/>
      <c r="N377" s="24" t="str">
        <f>IFERROR(__xludf.DUMMYFUNCTION("""COMPUTED_VALUE"""),"SMA / SMK / MA")</f>
        <v>SMA / SMK / MA</v>
      </c>
      <c r="O377" s="24"/>
      <c r="P377" s="24"/>
      <c r="Q377" s="24"/>
      <c r="R377" s="24" t="str">
        <f>IFERROR(__xludf.DUMMYFUNCTION("""COMPUTED_VALUE"""),"K")</f>
        <v>K</v>
      </c>
      <c r="S377" s="25"/>
    </row>
    <row r="378" ht="22.5" customHeight="1">
      <c r="A378" s="22">
        <v>377.0</v>
      </c>
      <c r="B378" s="24" t="str">
        <f>IFERROR(__xludf.DUMMYFUNCTION("""COMPUTED_VALUE"""),"Pengelola Administrasi Perkantoran")</f>
        <v>Pengelola Administrasi Perkantoran</v>
      </c>
      <c r="C378" s="24" t="str">
        <f>IFERROR(__xludf.DUMMYFUNCTION("""COMPUTED_VALUE"""),"SMK Negeri 1 Kendari")</f>
        <v>SMK Negeri 1 Kendari</v>
      </c>
      <c r="D378" s="24"/>
      <c r="E378" s="24"/>
      <c r="F378" s="24" t="str">
        <f>IFERROR(__xludf.DUMMYFUNCTION("""COMPUTED_VALUE"""),"SAFIRA AISYAH PUTRI ICHSAN")</f>
        <v>SAFIRA AISYAH PUTRI ICHSAN</v>
      </c>
      <c r="G378" s="24" t="str">
        <f>IFERROR(__xludf.DUMMYFUNCTION("""COMPUTED_VALUE"""),"7471094608080003")</f>
        <v>7471094608080003</v>
      </c>
      <c r="H378" s="24"/>
      <c r="I378" s="24"/>
      <c r="J378" s="24" t="str">
        <f>IFERROR(__xludf.DUMMYFUNCTION("""COMPUTED_VALUE"""),"PEREMPUAN")</f>
        <v>PEREMPUAN</v>
      </c>
      <c r="K378" s="24" t="str">
        <f>IFERROR(__xludf.DUMMYFUNCTION("""COMPUTED_VALUE"""),"BTN Bukit Cendana Permai, Lepo-lepo")</f>
        <v>BTN Bukit Cendana Permai, Lepo-lepo</v>
      </c>
      <c r="L378" s="24"/>
      <c r="M378" s="24"/>
      <c r="N378" s="24" t="str">
        <f>IFERROR(__xludf.DUMMYFUNCTION("""COMPUTED_VALUE"""),"SMA / SMK / MA")</f>
        <v>SMA / SMK / MA</v>
      </c>
      <c r="O378" s="24"/>
      <c r="P378" s="24"/>
      <c r="Q378" s="24"/>
      <c r="R378" s="24" t="str">
        <f>IFERROR(__xludf.DUMMYFUNCTION("""COMPUTED_VALUE"""),"K")</f>
        <v>K</v>
      </c>
      <c r="S378" s="25"/>
    </row>
    <row r="379" ht="22.5" customHeight="1">
      <c r="A379" s="22">
        <v>378.0</v>
      </c>
      <c r="B379" s="24" t="str">
        <f>IFERROR(__xludf.DUMMYFUNCTION("""COMPUTED_VALUE"""),"Pengelola Administrasi Perkantoran")</f>
        <v>Pengelola Administrasi Perkantoran</v>
      </c>
      <c r="C379" s="24" t="str">
        <f>IFERROR(__xludf.DUMMYFUNCTION("""COMPUTED_VALUE"""),"SMK Negeri 1 Kendari")</f>
        <v>SMK Negeri 1 Kendari</v>
      </c>
      <c r="D379" s="24"/>
      <c r="E379" s="24"/>
      <c r="F379" s="24" t="str">
        <f>IFERROR(__xludf.DUMMYFUNCTION("""COMPUTED_VALUE"""),"Sakinah Rahmadani Majid")</f>
        <v>Sakinah Rahmadani Majid</v>
      </c>
      <c r="G379" s="24" t="str">
        <f>IFERROR(__xludf.DUMMYFUNCTION("""COMPUTED_VALUE"""),"7471075909080002")</f>
        <v>7471075909080002</v>
      </c>
      <c r="H379" s="24"/>
      <c r="I379" s="24"/>
      <c r="J379" s="24" t="str">
        <f>IFERROR(__xludf.DUMMYFUNCTION("""COMPUTED_VALUE"""),"PEREMPUAN")</f>
        <v>PEREMPUAN</v>
      </c>
      <c r="K379" s="24"/>
      <c r="L379" s="24"/>
      <c r="M379" s="24"/>
      <c r="N379" s="24" t="str">
        <f>IFERROR(__xludf.DUMMYFUNCTION("""COMPUTED_VALUE"""),"SMA / SMK / MA")</f>
        <v>SMA / SMK / MA</v>
      </c>
      <c r="O379" s="24"/>
      <c r="P379" s="24"/>
      <c r="Q379" s="24"/>
      <c r="R379" s="24" t="str">
        <f>IFERROR(__xludf.DUMMYFUNCTION("""COMPUTED_VALUE"""),"BK")</f>
        <v>BK</v>
      </c>
      <c r="S379" s="25"/>
    </row>
    <row r="380" ht="22.5" customHeight="1">
      <c r="A380" s="22">
        <v>379.0</v>
      </c>
      <c r="B380" s="24" t="str">
        <f>IFERROR(__xludf.DUMMYFUNCTION("""COMPUTED_VALUE"""),"Pengelola Administrasi Perkantoran")</f>
        <v>Pengelola Administrasi Perkantoran</v>
      </c>
      <c r="C380" s="24" t="str">
        <f>IFERROR(__xludf.DUMMYFUNCTION("""COMPUTED_VALUE"""),"SMK Negeri 1 Kendari")</f>
        <v>SMK Negeri 1 Kendari</v>
      </c>
      <c r="D380" s="24"/>
      <c r="E380" s="24"/>
      <c r="F380" s="24" t="str">
        <f>IFERROR(__xludf.DUMMYFUNCTION("""COMPUTED_VALUE"""),"SALSABILA RAMADANI")</f>
        <v>SALSABILA RAMADANI</v>
      </c>
      <c r="G380" s="24" t="str">
        <f>IFERROR(__xludf.DUMMYFUNCTION("""COMPUTED_VALUE"""),"7371026708080001")</f>
        <v>7371026708080001</v>
      </c>
      <c r="H380" s="24"/>
      <c r="I380" s="24"/>
      <c r="J380" s="24" t="str">
        <f>IFERROR(__xludf.DUMMYFUNCTION("""COMPUTED_VALUE"""),"PEREMPUAN")</f>
        <v>PEREMPUAN</v>
      </c>
      <c r="K380" s="24" t="str">
        <f>IFERROR(__xludf.DUMMYFUNCTION("""COMPUTED_VALUE"""),"Konggoasa Grahanara No. 3")</f>
        <v>Konggoasa Grahanara No. 3</v>
      </c>
      <c r="L380" s="24"/>
      <c r="M380" s="24"/>
      <c r="N380" s="24" t="str">
        <f>IFERROR(__xludf.DUMMYFUNCTION("""COMPUTED_VALUE"""),"SMA / SMK / MA")</f>
        <v>SMA / SMK / MA</v>
      </c>
      <c r="O380" s="24"/>
      <c r="P380" s="24"/>
      <c r="Q380" s="24"/>
      <c r="R380" s="24" t="str">
        <f>IFERROR(__xludf.DUMMYFUNCTION("""COMPUTED_VALUE"""),"K")</f>
        <v>K</v>
      </c>
      <c r="S380" s="25"/>
    </row>
    <row r="381" ht="22.5" customHeight="1">
      <c r="A381" s="22">
        <v>380.0</v>
      </c>
      <c r="B381" s="24" t="str">
        <f>IFERROR(__xludf.DUMMYFUNCTION("""COMPUTED_VALUE"""),"Pengelola Administrasi Perkantoran")</f>
        <v>Pengelola Administrasi Perkantoran</v>
      </c>
      <c r="C381" s="24" t="str">
        <f>IFERROR(__xludf.DUMMYFUNCTION("""COMPUTED_VALUE"""),"SMK Negeri 1 Kendari")</f>
        <v>SMK Negeri 1 Kendari</v>
      </c>
      <c r="D381" s="24"/>
      <c r="E381" s="24"/>
      <c r="F381" s="24" t="str">
        <f>IFERROR(__xludf.DUMMYFUNCTION("""COMPUTED_VALUE"""),"SHAFIRA NINGRUM KADIROEN")</f>
        <v>SHAFIRA NINGRUM KADIROEN</v>
      </c>
      <c r="G381" s="24" t="str">
        <f>IFERROR(__xludf.DUMMYFUNCTION("""COMPUTED_VALUE"""),"7471015003070004")</f>
        <v>7471015003070004</v>
      </c>
      <c r="H381" s="24"/>
      <c r="I381" s="24"/>
      <c r="J381" s="24" t="str">
        <f>IFERROR(__xludf.DUMMYFUNCTION("""COMPUTED_VALUE"""),"PEREMPUAN")</f>
        <v>PEREMPUAN</v>
      </c>
      <c r="K381" s="24" t="str">
        <f>IFERROR(__xludf.DUMMYFUNCTION("""COMPUTED_VALUE"""),"Jl. Saranani No. 27")</f>
        <v>Jl. Saranani No. 27</v>
      </c>
      <c r="L381" s="24"/>
      <c r="M381" s="24"/>
      <c r="N381" s="24" t="str">
        <f>IFERROR(__xludf.DUMMYFUNCTION("""COMPUTED_VALUE"""),"SMA / SMK / MA")</f>
        <v>SMA / SMK / MA</v>
      </c>
      <c r="O381" s="24"/>
      <c r="P381" s="24"/>
      <c r="Q381" s="24"/>
      <c r="R381" s="24" t="str">
        <f>IFERROR(__xludf.DUMMYFUNCTION("""COMPUTED_VALUE"""),"K")</f>
        <v>K</v>
      </c>
      <c r="S381" s="25"/>
    </row>
    <row r="382" ht="22.5" customHeight="1">
      <c r="A382" s="22">
        <v>381.0</v>
      </c>
      <c r="B382" s="24" t="str">
        <f>IFERROR(__xludf.DUMMYFUNCTION("""COMPUTED_VALUE"""),"Pengelola Administrasi Perkantoran")</f>
        <v>Pengelola Administrasi Perkantoran</v>
      </c>
      <c r="C382" s="24" t="str">
        <f>IFERROR(__xludf.DUMMYFUNCTION("""COMPUTED_VALUE"""),"SMK Negeri 1 Kendari")</f>
        <v>SMK Negeri 1 Kendari</v>
      </c>
      <c r="D382" s="24"/>
      <c r="E382" s="24"/>
      <c r="F382" s="24" t="str">
        <f>IFERROR(__xludf.DUMMYFUNCTION("""COMPUTED_VALUE"""),"SUCI RAMADANI")</f>
        <v>SUCI RAMADANI</v>
      </c>
      <c r="G382" s="24" t="str">
        <f>IFERROR(__xludf.DUMMYFUNCTION("""COMPUTED_VALUE"""),"7471015109080006")</f>
        <v>7471015109080006</v>
      </c>
      <c r="H382" s="24"/>
      <c r="I382" s="24"/>
      <c r="J382" s="24" t="str">
        <f>IFERROR(__xludf.DUMMYFUNCTION("""COMPUTED_VALUE"""),"PEREMPUAN")</f>
        <v>PEREMPUAN</v>
      </c>
      <c r="K382" s="24" t="str">
        <f>IFERROR(__xludf.DUMMYFUNCTION("""COMPUTED_VALUE"""),"Jl. Subsidi II")</f>
        <v>Jl. Subsidi II</v>
      </c>
      <c r="L382" s="24"/>
      <c r="M382" s="24"/>
      <c r="N382" s="24" t="str">
        <f>IFERROR(__xludf.DUMMYFUNCTION("""COMPUTED_VALUE"""),"SMA / SMK / MA")</f>
        <v>SMA / SMK / MA</v>
      </c>
      <c r="O382" s="24"/>
      <c r="P382" s="24"/>
      <c r="Q382" s="24"/>
      <c r="R382" s="24" t="str">
        <f>IFERROR(__xludf.DUMMYFUNCTION("""COMPUTED_VALUE"""),"K")</f>
        <v>K</v>
      </c>
      <c r="S382" s="25"/>
    </row>
    <row r="383" ht="22.5" customHeight="1">
      <c r="A383" s="22">
        <v>382.0</v>
      </c>
      <c r="B383" s="24" t="str">
        <f>IFERROR(__xludf.DUMMYFUNCTION("""COMPUTED_VALUE"""),"Pengelola Administrasi Perkantoran")</f>
        <v>Pengelola Administrasi Perkantoran</v>
      </c>
      <c r="C383" s="24" t="str">
        <f>IFERROR(__xludf.DUMMYFUNCTION("""COMPUTED_VALUE"""),"SMK Negeri 1 Kendari")</f>
        <v>SMK Negeri 1 Kendari</v>
      </c>
      <c r="D383" s="24"/>
      <c r="E383" s="24"/>
      <c r="F383" s="24" t="str">
        <f>IFERROR(__xludf.DUMMYFUNCTION("""COMPUTED_VALUE"""),"Syafira Handayani")</f>
        <v>Syafira Handayani</v>
      </c>
      <c r="G383" s="24" t="str">
        <f>IFERROR(__xludf.DUMMYFUNCTION("""COMPUTED_VALUE"""),"7471075002080002")</f>
        <v>7471075002080002</v>
      </c>
      <c r="H383" s="24"/>
      <c r="I383" s="24"/>
      <c r="J383" s="24" t="str">
        <f>IFERROR(__xludf.DUMMYFUNCTION("""COMPUTED_VALUE"""),"PEREMPUAN")</f>
        <v>PEREMPUAN</v>
      </c>
      <c r="K383" s="24" t="str">
        <f>IFERROR(__xludf.DUMMYFUNCTION("""COMPUTED_VALUE"""),"Jl. Prof M Yamin")</f>
        <v>Jl. Prof M Yamin</v>
      </c>
      <c r="L383" s="24"/>
      <c r="M383" s="24"/>
      <c r="N383" s="24" t="str">
        <f>IFERROR(__xludf.DUMMYFUNCTION("""COMPUTED_VALUE"""),"SMA / SMK / MA")</f>
        <v>SMA / SMK / MA</v>
      </c>
      <c r="O383" s="24"/>
      <c r="P383" s="24"/>
      <c r="Q383" s="24"/>
      <c r="R383" s="24" t="str">
        <f>IFERROR(__xludf.DUMMYFUNCTION("""COMPUTED_VALUE"""),"BK")</f>
        <v>BK</v>
      </c>
      <c r="S383" s="25"/>
    </row>
    <row r="384" ht="22.5" customHeight="1">
      <c r="A384" s="22">
        <v>383.0</v>
      </c>
      <c r="B384" s="24" t="str">
        <f>IFERROR(__xludf.DUMMYFUNCTION("""COMPUTED_VALUE"""),"Pengelola Administrasi Perkantoran")</f>
        <v>Pengelola Administrasi Perkantoran</v>
      </c>
      <c r="C384" s="24" t="str">
        <f>IFERROR(__xludf.DUMMYFUNCTION("""COMPUTED_VALUE"""),"SMK Negeri 1 Kendari")</f>
        <v>SMK Negeri 1 Kendari</v>
      </c>
      <c r="D384" s="24"/>
      <c r="E384" s="24"/>
      <c r="F384" s="24" t="str">
        <f>IFERROR(__xludf.DUMMYFUNCTION("""COMPUTED_VALUE"""),"TASYA DETRIANA RIZKI")</f>
        <v>TASYA DETRIANA RIZKI</v>
      </c>
      <c r="G384" s="24" t="str">
        <f>IFERROR(__xludf.DUMMYFUNCTION("""COMPUTED_VALUE"""),"7471015612070003")</f>
        <v>7471015612070003</v>
      </c>
      <c r="H384" s="24"/>
      <c r="I384" s="24"/>
      <c r="J384" s="24" t="str">
        <f>IFERROR(__xludf.DUMMYFUNCTION("""COMPUTED_VALUE"""),"PEREMPUAN")</f>
        <v>PEREMPUAN</v>
      </c>
      <c r="K384" s="24" t="str">
        <f>IFERROR(__xludf.DUMMYFUNCTION("""COMPUTED_VALUE"""),"Jl. Balai Kota I")</f>
        <v>Jl. Balai Kota I</v>
      </c>
      <c r="L384" s="24"/>
      <c r="M384" s="24"/>
      <c r="N384" s="24" t="str">
        <f>IFERROR(__xludf.DUMMYFUNCTION("""COMPUTED_VALUE"""),"SMA / SMK / MA")</f>
        <v>SMA / SMK / MA</v>
      </c>
      <c r="O384" s="24"/>
      <c r="P384" s="24"/>
      <c r="Q384" s="24"/>
      <c r="R384" s="24" t="str">
        <f>IFERROR(__xludf.DUMMYFUNCTION("""COMPUTED_VALUE"""),"K")</f>
        <v>K</v>
      </c>
      <c r="S384" s="25"/>
    </row>
    <row r="385" ht="22.5" customHeight="1">
      <c r="A385" s="22">
        <v>384.0</v>
      </c>
      <c r="B385" s="24" t="str">
        <f>IFERROR(__xludf.DUMMYFUNCTION("""COMPUTED_VALUE"""),"Pengelola Administrasi Perkantoran")</f>
        <v>Pengelola Administrasi Perkantoran</v>
      </c>
      <c r="C385" s="24" t="str">
        <f>IFERROR(__xludf.DUMMYFUNCTION("""COMPUTED_VALUE"""),"SMK Negeri 1 Kendari")</f>
        <v>SMK Negeri 1 Kendari</v>
      </c>
      <c r="D385" s="24"/>
      <c r="E385" s="24"/>
      <c r="F385" s="24" t="str">
        <f>IFERROR(__xludf.DUMMYFUNCTION("""COMPUTED_VALUE"""),"WANDA PRATIWI")</f>
        <v>WANDA PRATIWI</v>
      </c>
      <c r="G385" s="24" t="str">
        <f>IFERROR(__xludf.DUMMYFUNCTION("""COMPUTED_VALUE"""),"7471016707080002")</f>
        <v>7471016707080002</v>
      </c>
      <c r="H385" s="24"/>
      <c r="I385" s="24"/>
      <c r="J385" s="24" t="str">
        <f>IFERROR(__xludf.DUMMYFUNCTION("""COMPUTED_VALUE"""),"PEREMPUAN")</f>
        <v>PEREMPUAN</v>
      </c>
      <c r="K385" s="24" t="str">
        <f>IFERROR(__xludf.DUMMYFUNCTION("""COMPUTED_VALUE"""),"Jl. Imam Bonjol")</f>
        <v>Jl. Imam Bonjol</v>
      </c>
      <c r="L385" s="24"/>
      <c r="M385" s="24"/>
      <c r="N385" s="24" t="str">
        <f>IFERROR(__xludf.DUMMYFUNCTION("""COMPUTED_VALUE"""),"SMA / SMK / MA")</f>
        <v>SMA / SMK / MA</v>
      </c>
      <c r="O385" s="24"/>
      <c r="P385" s="24"/>
      <c r="Q385" s="24"/>
      <c r="R385" s="24" t="str">
        <f>IFERROR(__xludf.DUMMYFUNCTION("""COMPUTED_VALUE"""),"K")</f>
        <v>K</v>
      </c>
      <c r="S385" s="25"/>
    </row>
    <row r="386" ht="22.5" customHeight="1">
      <c r="A386" s="22">
        <v>385.0</v>
      </c>
      <c r="B386" s="24" t="str">
        <f>IFERROR(__xludf.DUMMYFUNCTION("""COMPUTED_VALUE"""),"Pengelola Administrasi Perkantoran")</f>
        <v>Pengelola Administrasi Perkantoran</v>
      </c>
      <c r="C386" s="24" t="str">
        <f>IFERROR(__xludf.DUMMYFUNCTION("""COMPUTED_VALUE"""),"SMK Negeri 1 Kendari")</f>
        <v>SMK Negeri 1 Kendari</v>
      </c>
      <c r="D386" s="24"/>
      <c r="E386" s="24"/>
      <c r="F386" s="24" t="str">
        <f>IFERROR(__xludf.DUMMYFUNCTION("""COMPUTED_VALUE"""),"WIDYA PRATIWI")</f>
        <v>WIDYA PRATIWI</v>
      </c>
      <c r="G386" s="24" t="str">
        <f>IFERROR(__xludf.DUMMYFUNCTION("""COMPUTED_VALUE"""),"7471056702080001")</f>
        <v>7471056702080001</v>
      </c>
      <c r="H386" s="24"/>
      <c r="I386" s="24"/>
      <c r="J386" s="24" t="str">
        <f>IFERROR(__xludf.DUMMYFUNCTION("""COMPUTED_VALUE"""),"PEREMPUAN")</f>
        <v>PEREMPUAN</v>
      </c>
      <c r="K386" s="24" t="str">
        <f>IFERROR(__xludf.DUMMYFUNCTION("""COMPUTED_VALUE"""),"Jl. Mekar Jaya I, Lorong Unggul")</f>
        <v>Jl. Mekar Jaya I, Lorong Unggul</v>
      </c>
      <c r="L386" s="24"/>
      <c r="M386" s="24"/>
      <c r="N386" s="24" t="str">
        <f>IFERROR(__xludf.DUMMYFUNCTION("""COMPUTED_VALUE"""),"SMA / SMK / MA")</f>
        <v>SMA / SMK / MA</v>
      </c>
      <c r="O386" s="24"/>
      <c r="P386" s="24"/>
      <c r="Q386" s="24"/>
      <c r="R386" s="24" t="str">
        <f>IFERROR(__xludf.DUMMYFUNCTION("""COMPUTED_VALUE"""),"K")</f>
        <v>K</v>
      </c>
      <c r="S386" s="25"/>
    </row>
    <row r="387" ht="22.5" customHeight="1">
      <c r="A387" s="22">
        <v>386.0</v>
      </c>
      <c r="B387" s="24" t="str">
        <f>IFERROR(__xludf.DUMMYFUNCTION("""COMPUTED_VALUE"""),"Pengelola Administrasi Perkantoran")</f>
        <v>Pengelola Administrasi Perkantoran</v>
      </c>
      <c r="C387" s="24" t="str">
        <f>IFERROR(__xludf.DUMMYFUNCTION("""COMPUTED_VALUE"""),"SMK Negeri 1 Kendari")</f>
        <v>SMK Negeri 1 Kendari</v>
      </c>
      <c r="D387" s="24"/>
      <c r="E387" s="24"/>
      <c r="F387" s="24" t="str">
        <f>IFERROR(__xludf.DUMMYFUNCTION("""COMPUTED_VALUE"""),"Zafitri Suci Celia")</f>
        <v>Zafitri Suci Celia</v>
      </c>
      <c r="G387" s="24" t="str">
        <f>IFERROR(__xludf.DUMMYFUNCTION("""COMPUTED_VALUE"""),"7405195410070001")</f>
        <v>7405195410070001</v>
      </c>
      <c r="H387" s="24"/>
      <c r="I387" s="24"/>
      <c r="J387" s="24" t="str">
        <f>IFERROR(__xludf.DUMMYFUNCTION("""COMPUTED_VALUE"""),"PEREMPUAN")</f>
        <v>PEREMPUAN</v>
      </c>
      <c r="K387" s="24" t="str">
        <f>IFERROR(__xludf.DUMMYFUNCTION("""COMPUTED_VALUE"""),"Jl. Ade Irma Nasution, BTN Djavino 7, Blok C 26")</f>
        <v>Jl. Ade Irma Nasution, BTN Djavino 7, Blok C 26</v>
      </c>
      <c r="L387" s="24"/>
      <c r="M387" s="24"/>
      <c r="N387" s="24" t="str">
        <f>IFERROR(__xludf.DUMMYFUNCTION("""COMPUTED_VALUE"""),"SMA / SMK / MA")</f>
        <v>SMA / SMK / MA</v>
      </c>
      <c r="O387" s="24"/>
      <c r="P387" s="24"/>
      <c r="Q387" s="24"/>
      <c r="R387" s="24" t="str">
        <f>IFERROR(__xludf.DUMMYFUNCTION("""COMPUTED_VALUE"""),"K")</f>
        <v>K</v>
      </c>
      <c r="S387" s="25"/>
    </row>
    <row r="388" ht="22.5" customHeight="1">
      <c r="A388" s="22">
        <v>387.0</v>
      </c>
      <c r="B388" s="24" t="str">
        <f>IFERROR(__xludf.DUMMYFUNCTION("""COMPUTED_VALUE"""),"Pengelola Administrasi Perkantoran")</f>
        <v>Pengelola Administrasi Perkantoran</v>
      </c>
      <c r="C388" s="24" t="str">
        <f>IFERROR(__xludf.DUMMYFUNCTION("""COMPUTED_VALUE"""),"SMK Negeri 1 Kendari")</f>
        <v>SMK Negeri 1 Kendari</v>
      </c>
      <c r="D388" s="24"/>
      <c r="E388" s="24"/>
      <c r="F388" s="24" t="str">
        <f>IFERROR(__xludf.DUMMYFUNCTION("""COMPUTED_VALUE"""),"ZASKIA")</f>
        <v>ZASKIA</v>
      </c>
      <c r="G388" s="24" t="str">
        <f>IFERROR(__xludf.DUMMYFUNCTION("""COMPUTED_VALUE"""),"7471107006070004")</f>
        <v>7471107006070004</v>
      </c>
      <c r="H388" s="24"/>
      <c r="I388" s="24"/>
      <c r="J388" s="24" t="str">
        <f>IFERROR(__xludf.DUMMYFUNCTION("""COMPUTED_VALUE"""),"PEREMPUAN")</f>
        <v>PEREMPUAN</v>
      </c>
      <c r="K388" s="24" t="str">
        <f>IFERROR(__xludf.DUMMYFUNCTION("""COMPUTED_VALUE"""),"Lrg. Praja II")</f>
        <v>Lrg. Praja II</v>
      </c>
      <c r="L388" s="24"/>
      <c r="M388" s="24"/>
      <c r="N388" s="24" t="str">
        <f>IFERROR(__xludf.DUMMYFUNCTION("""COMPUTED_VALUE"""),"SMA / SMK / MA")</f>
        <v>SMA / SMK / MA</v>
      </c>
      <c r="O388" s="24"/>
      <c r="P388" s="24"/>
      <c r="Q388" s="24"/>
      <c r="R388" s="24" t="str">
        <f>IFERROR(__xludf.DUMMYFUNCTION("""COMPUTED_VALUE"""),"K")</f>
        <v>K</v>
      </c>
      <c r="S388" s="25"/>
    </row>
    <row r="389" ht="22.5" customHeight="1">
      <c r="A389" s="22">
        <v>388.0</v>
      </c>
      <c r="B389" s="24" t="str">
        <f>IFERROR(__xludf.DUMMYFUNCTION("""COMPUTED_VALUE"""),"Pengelola Administrasi Perkantoran")</f>
        <v>Pengelola Administrasi Perkantoran</v>
      </c>
      <c r="C389" s="24" t="str">
        <f>IFERROR(__xludf.DUMMYFUNCTION("""COMPUTED_VALUE"""),"SMK Negeri 1 Kendari")</f>
        <v>SMK Negeri 1 Kendari</v>
      </c>
      <c r="D389" s="24"/>
      <c r="E389" s="24"/>
      <c r="F389" s="24" t="str">
        <f>IFERROR(__xludf.DUMMYFUNCTION("""COMPUTED_VALUE"""),"Aqilah Zhafirah Tongasa")</f>
        <v>Aqilah Zhafirah Tongasa</v>
      </c>
      <c r="G389" s="24" t="str">
        <f>IFERROR(__xludf.DUMMYFUNCTION("""COMPUTED_VALUE"""),"7405194401080003")</f>
        <v>7405194401080003</v>
      </c>
      <c r="H389" s="24"/>
      <c r="I389" s="24"/>
      <c r="J389" s="24" t="str">
        <f>IFERROR(__xludf.DUMMYFUNCTION("""COMPUTED_VALUE"""),"PEREMPUAN")</f>
        <v>PEREMPUAN</v>
      </c>
      <c r="K389" s="24" t="str">
        <f>IFERROR(__xludf.DUMMYFUNCTION("""COMPUTED_VALUE"""),"Jl. Poeoa Kendari- Andoolo")</f>
        <v>Jl. Poeoa Kendari- Andoolo</v>
      </c>
      <c r="L389" s="24"/>
      <c r="M389" s="24"/>
      <c r="N389" s="24" t="str">
        <f>IFERROR(__xludf.DUMMYFUNCTION("""COMPUTED_VALUE"""),"SMA / SMK / MA")</f>
        <v>SMA / SMK / MA</v>
      </c>
      <c r="O389" s="24"/>
      <c r="P389" s="24"/>
      <c r="Q389" s="24"/>
      <c r="R389" s="24" t="str">
        <f>IFERROR(__xludf.DUMMYFUNCTION("""COMPUTED_VALUE"""),"K")</f>
        <v>K</v>
      </c>
      <c r="S389" s="25"/>
    </row>
    <row r="390" ht="22.5" customHeight="1">
      <c r="A390" s="22">
        <v>389.0</v>
      </c>
      <c r="B390" s="24" t="str">
        <f>IFERROR(__xludf.DUMMYFUNCTION("""COMPUTED_VALUE"""),"Pengelola Administrasi Perkantoran")</f>
        <v>Pengelola Administrasi Perkantoran</v>
      </c>
      <c r="C390" s="24" t="str">
        <f>IFERROR(__xludf.DUMMYFUNCTION("""COMPUTED_VALUE"""),"SMK Negeri 1 Kendari")</f>
        <v>SMK Negeri 1 Kendari</v>
      </c>
      <c r="D390" s="24"/>
      <c r="E390" s="24"/>
      <c r="F390" s="24" t="str">
        <f>IFERROR(__xludf.DUMMYFUNCTION("""COMPUTED_VALUE"""),"INDI JULIANA")</f>
        <v>INDI JULIANA</v>
      </c>
      <c r="G390" s="24" t="str">
        <f>IFERROR(__xludf.DUMMYFUNCTION("""COMPUTED_VALUE"""),"7471095506080002")</f>
        <v>7471095506080002</v>
      </c>
      <c r="H390" s="24"/>
      <c r="I390" s="24"/>
      <c r="J390" s="24" t="str">
        <f>IFERROR(__xludf.DUMMYFUNCTION("""COMPUTED_VALUE"""),"PEREMPUAN")</f>
        <v>PEREMPUAN</v>
      </c>
      <c r="K390" s="24" t="str">
        <f>IFERROR(__xludf.DUMMYFUNCTION("""COMPUTED_VALUE"""),"Jl. Tunggala Dalam Baito")</f>
        <v>Jl. Tunggala Dalam Baito</v>
      </c>
      <c r="L390" s="24"/>
      <c r="M390" s="24"/>
      <c r="N390" s="24" t="str">
        <f>IFERROR(__xludf.DUMMYFUNCTION("""COMPUTED_VALUE"""),"SMA / SMK / MA")</f>
        <v>SMA / SMK / MA</v>
      </c>
      <c r="O390" s="24"/>
      <c r="P390" s="24"/>
      <c r="Q390" s="24"/>
      <c r="R390" s="24" t="str">
        <f>IFERROR(__xludf.DUMMYFUNCTION("""COMPUTED_VALUE"""),"K")</f>
        <v>K</v>
      </c>
      <c r="S390" s="25"/>
    </row>
    <row r="391" ht="22.5" customHeight="1">
      <c r="A391" s="22">
        <v>390.0</v>
      </c>
      <c r="B391" s="24" t="str">
        <f>IFERROR(__xludf.DUMMYFUNCTION("""COMPUTED_VALUE"""),"Pengelola Administrasi Perkantoran")</f>
        <v>Pengelola Administrasi Perkantoran</v>
      </c>
      <c r="C391" s="24" t="str">
        <f>IFERROR(__xludf.DUMMYFUNCTION("""COMPUTED_VALUE"""),"SMK Negeri 1 Kendari")</f>
        <v>SMK Negeri 1 Kendari</v>
      </c>
      <c r="D391" s="24"/>
      <c r="E391" s="24"/>
      <c r="F391" s="24" t="str">
        <f>IFERROR(__xludf.DUMMYFUNCTION("""COMPUTED_VALUE"""),"Mirnawati")</f>
        <v>Mirnawati</v>
      </c>
      <c r="G391" s="24" t="str">
        <f>IFERROR(__xludf.DUMMYFUNCTION("""COMPUTED_VALUE"""),"7471085511080002")</f>
        <v>7471085511080002</v>
      </c>
      <c r="H391" s="24"/>
      <c r="I391" s="24"/>
      <c r="J391" s="24" t="str">
        <f>IFERROR(__xludf.DUMMYFUNCTION("""COMPUTED_VALUE"""),"PEREMPUAN")</f>
        <v>PEREMPUAN</v>
      </c>
      <c r="K391" s="24" t="str">
        <f>IFERROR(__xludf.DUMMYFUNCTION("""COMPUTED_VALUE"""),"Jalan by pass, Lorong Poau")</f>
        <v>Jalan by pass, Lorong Poau</v>
      </c>
      <c r="L391" s="24"/>
      <c r="M391" s="24"/>
      <c r="N391" s="24" t="str">
        <f>IFERROR(__xludf.DUMMYFUNCTION("""COMPUTED_VALUE"""),"SMA / SMK / MA")</f>
        <v>SMA / SMK / MA</v>
      </c>
      <c r="O391" s="24"/>
      <c r="P391" s="24"/>
      <c r="Q391" s="24"/>
      <c r="R391" s="24" t="str">
        <f>IFERROR(__xludf.DUMMYFUNCTION("""COMPUTED_VALUE"""),"K")</f>
        <v>K</v>
      </c>
      <c r="S391" s="25"/>
    </row>
    <row r="392" ht="22.5" customHeight="1">
      <c r="A392" s="22">
        <v>391.0</v>
      </c>
      <c r="B392" s="24" t="str">
        <f>IFERROR(__xludf.DUMMYFUNCTION("""COMPUTED_VALUE"""),"Pengelola Administrasi Perkantoran")</f>
        <v>Pengelola Administrasi Perkantoran</v>
      </c>
      <c r="C392" s="24" t="str">
        <f>IFERROR(__xludf.DUMMYFUNCTION("""COMPUTED_VALUE"""),"SMK Negeri 1 Kendari")</f>
        <v>SMK Negeri 1 Kendari</v>
      </c>
      <c r="D392" s="24"/>
      <c r="E392" s="24"/>
      <c r="F392" s="24" t="str">
        <f>IFERROR(__xludf.DUMMYFUNCTION("""COMPUTED_VALUE"""),"Muh Rezky")</f>
        <v>Muh Rezky</v>
      </c>
      <c r="G392" s="24" t="str">
        <f>IFERROR(__xludf.DUMMYFUNCTION("""COMPUTED_VALUE"""),"7471090505080003")</f>
        <v>7471090505080003</v>
      </c>
      <c r="H392" s="24"/>
      <c r="I392" s="24"/>
      <c r="J392" s="24" t="str">
        <f>IFERROR(__xludf.DUMMYFUNCTION("""COMPUTED_VALUE"""),"LAKI-LAKI")</f>
        <v>LAKI-LAKI</v>
      </c>
      <c r="K392" s="24" t="str">
        <f>IFERROR(__xludf.DUMMYFUNCTION("""COMPUTED_VALUE"""),"Jl. Ahmad Yani Lorong Ilmiah Gang VI")</f>
        <v>Jl. Ahmad Yani Lorong Ilmiah Gang VI</v>
      </c>
      <c r="L392" s="24"/>
      <c r="M392" s="24"/>
      <c r="N392" s="24" t="str">
        <f>IFERROR(__xludf.DUMMYFUNCTION("""COMPUTED_VALUE"""),"SMA / SMK / MA")</f>
        <v>SMA / SMK / MA</v>
      </c>
      <c r="O392" s="24"/>
      <c r="P392" s="24"/>
      <c r="Q392" s="24"/>
      <c r="R392" s="24" t="str">
        <f>IFERROR(__xludf.DUMMYFUNCTION("""COMPUTED_VALUE"""),"K")</f>
        <v>K</v>
      </c>
      <c r="S392" s="25"/>
    </row>
    <row r="393" ht="22.5" customHeight="1">
      <c r="A393" s="22">
        <v>392.0</v>
      </c>
      <c r="B393" s="24" t="str">
        <f>IFERROR(__xludf.DUMMYFUNCTION("""COMPUTED_VALUE"""),"Pengelola Administrasi Perkantoran")</f>
        <v>Pengelola Administrasi Perkantoran</v>
      </c>
      <c r="C393" s="24" t="str">
        <f>IFERROR(__xludf.DUMMYFUNCTION("""COMPUTED_VALUE"""),"SMK Negeri 1 Kendari")</f>
        <v>SMK Negeri 1 Kendari</v>
      </c>
      <c r="D393" s="24"/>
      <c r="E393" s="24"/>
      <c r="F393" s="24" t="str">
        <f>IFERROR(__xludf.DUMMYFUNCTION("""COMPUTED_VALUE"""),"SHANDI GALIH RAMADHAN")</f>
        <v>SHANDI GALIH RAMADHAN</v>
      </c>
      <c r="G393" s="24" t="str">
        <f>IFERROR(__xludf.DUMMYFUNCTION("""COMPUTED_VALUE"""),"7471070310070002")</f>
        <v>7471070310070002</v>
      </c>
      <c r="H393" s="24"/>
      <c r="I393" s="24"/>
      <c r="J393" s="24" t="str">
        <f>IFERROR(__xludf.DUMMYFUNCTION("""COMPUTED_VALUE"""),"LAKI-LAKI")</f>
        <v>LAKI-LAKI</v>
      </c>
      <c r="K393" s="24" t="str">
        <f>IFERROR(__xludf.DUMMYFUNCTION("""COMPUTED_VALUE"""),"Jl. Lalonggida, RT/RT 016/005, Kel. Watulondo")</f>
        <v>Jl. Lalonggida, RT/RT 016/005, Kel. Watulondo</v>
      </c>
      <c r="L393" s="24"/>
      <c r="M393" s="24"/>
      <c r="N393" s="24" t="str">
        <f>IFERROR(__xludf.DUMMYFUNCTION("""COMPUTED_VALUE"""),"SMA / SMK / MA")</f>
        <v>SMA / SMK / MA</v>
      </c>
      <c r="O393" s="24"/>
      <c r="P393" s="24"/>
      <c r="Q393" s="24"/>
      <c r="R393" s="24" t="str">
        <f>IFERROR(__xludf.DUMMYFUNCTION("""COMPUTED_VALUE"""),"K")</f>
        <v>K</v>
      </c>
      <c r="S393" s="25"/>
    </row>
    <row r="394" ht="22.5" customHeight="1">
      <c r="A394" s="22">
        <v>393.0</v>
      </c>
      <c r="B394" s="24" t="str">
        <f>IFERROR(__xludf.DUMMYFUNCTION("""COMPUTED_VALUE"""),"Pengelola Administrasi Perkantoran")</f>
        <v>Pengelola Administrasi Perkantoran</v>
      </c>
      <c r="C394" s="24" t="str">
        <f>IFERROR(__xludf.DUMMYFUNCTION("""COMPUTED_VALUE"""),"SMK Negeri 1 Kendari")</f>
        <v>SMK Negeri 1 Kendari</v>
      </c>
      <c r="D394" s="24"/>
      <c r="E394" s="24"/>
      <c r="F394" s="24" t="str">
        <f>IFERROR(__xludf.DUMMYFUNCTION("""COMPUTED_VALUE"""),"SUCI WIDYA PRATIWI")</f>
        <v>SUCI WIDYA PRATIWI</v>
      </c>
      <c r="G394" s="24" t="str">
        <f>IFERROR(__xludf.DUMMYFUNCTION("""COMPUTED_VALUE"""),"7471084301080003")</f>
        <v>7471084301080003</v>
      </c>
      <c r="H394" s="24"/>
      <c r="I394" s="24"/>
      <c r="J394" s="24" t="str">
        <f>IFERROR(__xludf.DUMMYFUNCTION("""COMPUTED_VALUE"""),"PEREMPUAN")</f>
        <v>PEREMPUAN</v>
      </c>
      <c r="K394" s="24" t="str">
        <f>IFERROR(__xludf.DUMMYFUNCTION("""COMPUTED_VALUE"""),"Jl. Mekar Damai Pemancar")</f>
        <v>Jl. Mekar Damai Pemancar</v>
      </c>
      <c r="L394" s="24"/>
      <c r="M394" s="24"/>
      <c r="N394" s="24" t="str">
        <f>IFERROR(__xludf.DUMMYFUNCTION("""COMPUTED_VALUE"""),"SMA / SMK / MA")</f>
        <v>SMA / SMK / MA</v>
      </c>
      <c r="O394" s="24"/>
      <c r="P394" s="24"/>
      <c r="Q394" s="24"/>
      <c r="R394" s="24" t="str">
        <f>IFERROR(__xludf.DUMMYFUNCTION("""COMPUTED_VALUE"""),"K")</f>
        <v>K</v>
      </c>
      <c r="S394" s="25"/>
    </row>
    <row r="395" ht="22.5" customHeight="1">
      <c r="A395" s="22">
        <v>394.0</v>
      </c>
      <c r="B395" s="24" t="str">
        <f>IFERROR(__xludf.DUMMYFUNCTION("""COMPUTED_VALUE"""),"Pengelola Administrasi Perkantoran")</f>
        <v>Pengelola Administrasi Perkantoran</v>
      </c>
      <c r="C395" s="24" t="str">
        <f>IFERROR(__xludf.DUMMYFUNCTION("""COMPUTED_VALUE"""),"SMK Negeri 1 Kendari")</f>
        <v>SMK Negeri 1 Kendari</v>
      </c>
      <c r="D395" s="24"/>
      <c r="E395" s="24"/>
      <c r="F395" s="24" t="str">
        <f>IFERROR(__xludf.DUMMYFUNCTION("""COMPUTED_VALUE"""),"SULTAN MOHAMMAD IRKHAM")</f>
        <v>SULTAN MOHAMMAD IRKHAM</v>
      </c>
      <c r="G395" s="24" t="str">
        <f>IFERROR(__xludf.DUMMYFUNCTION("""COMPUTED_VALUE"""),"3302102805070001")</f>
        <v>3302102805070001</v>
      </c>
      <c r="H395" s="24"/>
      <c r="I395" s="24"/>
      <c r="J395" s="24" t="str">
        <f>IFERROR(__xludf.DUMMYFUNCTION("""COMPUTED_VALUE"""),"LAKI-LAKI")</f>
        <v>LAKI-LAKI</v>
      </c>
      <c r="K395" s="24" t="str">
        <f>IFERROR(__xludf.DUMMYFUNCTION("""COMPUTED_VALUE"""),"Jl. Anawai, Kel. Anawai, Kec. Wua-wua, Kota Kendari")</f>
        <v>Jl. Anawai, Kel. Anawai, Kec. Wua-wua, Kota Kendari</v>
      </c>
      <c r="L395" s="24"/>
      <c r="M395" s="24"/>
      <c r="N395" s="24" t="str">
        <f>IFERROR(__xludf.DUMMYFUNCTION("""COMPUTED_VALUE"""),"SMA / SMK / MA")</f>
        <v>SMA / SMK / MA</v>
      </c>
      <c r="O395" s="24"/>
      <c r="P395" s="24"/>
      <c r="Q395" s="24"/>
      <c r="R395" s="24" t="str">
        <f>IFERROR(__xludf.DUMMYFUNCTION("""COMPUTED_VALUE"""),"K")</f>
        <v>K</v>
      </c>
      <c r="S395" s="25"/>
    </row>
    <row r="396" ht="22.5" customHeight="1">
      <c r="A396" s="22">
        <v>395.0</v>
      </c>
      <c r="B396" s="24" t="str">
        <f>IFERROR(__xludf.DUMMYFUNCTION("""COMPUTED_VALUE"""),"Pengelola Administrasi Perkantoran")</f>
        <v>Pengelola Administrasi Perkantoran</v>
      </c>
      <c r="C396" s="24" t="str">
        <f>IFERROR(__xludf.DUMMYFUNCTION("""COMPUTED_VALUE"""),"SMK Negeri 1 Kendari")</f>
        <v>SMK Negeri 1 Kendari</v>
      </c>
      <c r="D396" s="24"/>
      <c r="E396" s="24"/>
      <c r="F396" s="24" t="str">
        <f>IFERROR(__xludf.DUMMYFUNCTION("""COMPUTED_VALUE"""),"ALENA TRIA NINGSI")</f>
        <v>ALENA TRIA NINGSI</v>
      </c>
      <c r="G396" s="24" t="str">
        <f>IFERROR(__xludf.DUMMYFUNCTION("""COMPUTED_VALUE"""),"7471010606140003")</f>
        <v>7471010606140003</v>
      </c>
      <c r="H396" s="24"/>
      <c r="I396" s="24"/>
      <c r="J396" s="24" t="str">
        <f>IFERROR(__xludf.DUMMYFUNCTION("""COMPUTED_VALUE"""),"LAKI-LAKI")</f>
        <v>LAKI-LAKI</v>
      </c>
      <c r="K396" s="24" t="str">
        <f>IFERROR(__xludf.DUMMYFUNCTION("""COMPUTED_VALUE"""),"Jl. Sam Ratulangi Mandonga")</f>
        <v>Jl. Sam Ratulangi Mandonga</v>
      </c>
      <c r="L396" s="24"/>
      <c r="M396" s="24"/>
      <c r="N396" s="24" t="str">
        <f>IFERROR(__xludf.DUMMYFUNCTION("""COMPUTED_VALUE"""),"SMA / SMK / MA")</f>
        <v>SMA / SMK / MA</v>
      </c>
      <c r="O396" s="24"/>
      <c r="P396" s="24"/>
      <c r="Q396" s="24"/>
      <c r="R396" s="24" t="str">
        <f>IFERROR(__xludf.DUMMYFUNCTION("""COMPUTED_VALUE"""),"K")</f>
        <v>K</v>
      </c>
      <c r="S396" s="25"/>
    </row>
    <row r="397" ht="22.5" customHeight="1">
      <c r="A397" s="22">
        <v>396.0</v>
      </c>
      <c r="B397" s="24" t="str">
        <f>IFERROR(__xludf.DUMMYFUNCTION("""COMPUTED_VALUE"""),"Pengelola Administrasi Perkantoran")</f>
        <v>Pengelola Administrasi Perkantoran</v>
      </c>
      <c r="C397" s="24" t="str">
        <f>IFERROR(__xludf.DUMMYFUNCTION("""COMPUTED_VALUE"""),"SMK Negeri 1 Kendari")</f>
        <v>SMK Negeri 1 Kendari</v>
      </c>
      <c r="D397" s="24"/>
      <c r="E397" s="24"/>
      <c r="F397" s="24" t="str">
        <f>IFERROR(__xludf.DUMMYFUNCTION("""COMPUTED_VALUE"""),"AMELIA")</f>
        <v>AMELIA</v>
      </c>
      <c r="G397" s="24" t="str">
        <f>IFERROR(__xludf.DUMMYFUNCTION("""COMPUTED_VALUE"""),"7471056206080002")</f>
        <v>7471056206080002</v>
      </c>
      <c r="H397" s="24"/>
      <c r="I397" s="24"/>
      <c r="J397" s="24" t="str">
        <f>IFERROR(__xludf.DUMMYFUNCTION("""COMPUTED_VALUE"""),"PEREMPUAN")</f>
        <v>PEREMPUAN</v>
      </c>
      <c r="K397" s="24" t="str">
        <f>IFERROR(__xludf.DUMMYFUNCTION("""COMPUTED_VALUE"""),"Jl. S. Konaweha")</f>
        <v>Jl. S. Konaweha</v>
      </c>
      <c r="L397" s="24"/>
      <c r="M397" s="24"/>
      <c r="N397" s="24" t="str">
        <f>IFERROR(__xludf.DUMMYFUNCTION("""COMPUTED_VALUE"""),"SMA / SMK / MA")</f>
        <v>SMA / SMK / MA</v>
      </c>
      <c r="O397" s="24"/>
      <c r="P397" s="24"/>
      <c r="Q397" s="24"/>
      <c r="R397" s="24" t="str">
        <f>IFERROR(__xludf.DUMMYFUNCTION("""COMPUTED_VALUE"""),"K")</f>
        <v>K</v>
      </c>
      <c r="S397" s="25"/>
    </row>
    <row r="398" ht="22.5" customHeight="1">
      <c r="A398" s="22">
        <v>397.0</v>
      </c>
      <c r="B398" s="24" t="str">
        <f>IFERROR(__xludf.DUMMYFUNCTION("""COMPUTED_VALUE"""),"Pengelola Administrasi Perkantoran")</f>
        <v>Pengelola Administrasi Perkantoran</v>
      </c>
      <c r="C398" s="24" t="str">
        <f>IFERROR(__xludf.DUMMYFUNCTION("""COMPUTED_VALUE"""),"SMK Negeri 1 Kendari")</f>
        <v>SMK Negeri 1 Kendari</v>
      </c>
      <c r="D398" s="24"/>
      <c r="E398" s="24"/>
      <c r="F398" s="24" t="str">
        <f>IFERROR(__xludf.DUMMYFUNCTION("""COMPUTED_VALUE"""),"ANHA RESKI ZANZABILA SAIN")</f>
        <v>ANHA RESKI ZANZABILA SAIN</v>
      </c>
      <c r="G398" s="24" t="str">
        <f>IFERROR(__xludf.DUMMYFUNCTION("""COMPUTED_VALUE"""),"7402025305080001")</f>
        <v>7402025305080001</v>
      </c>
      <c r="H398" s="24"/>
      <c r="I398" s="24"/>
      <c r="J398" s="24" t="str">
        <f>IFERROR(__xludf.DUMMYFUNCTION("""COMPUTED_VALUE"""),"PEREMPUAN")</f>
        <v>PEREMPUAN</v>
      </c>
      <c r="K398" s="24" t="str">
        <f>IFERROR(__xludf.DUMMYFUNCTION("""COMPUTED_VALUE"""),"BTN Satria Nusantara Blok B.12")</f>
        <v>BTN Satria Nusantara Blok B.12</v>
      </c>
      <c r="L398" s="24"/>
      <c r="M398" s="24"/>
      <c r="N398" s="24" t="str">
        <f>IFERROR(__xludf.DUMMYFUNCTION("""COMPUTED_VALUE"""),"SMA / SMK / MA")</f>
        <v>SMA / SMK / MA</v>
      </c>
      <c r="O398" s="24"/>
      <c r="P398" s="24"/>
      <c r="Q398" s="24"/>
      <c r="R398" s="24" t="str">
        <f>IFERROR(__xludf.DUMMYFUNCTION("""COMPUTED_VALUE"""),"K")</f>
        <v>K</v>
      </c>
      <c r="S398" s="25"/>
    </row>
    <row r="399" ht="22.5" customHeight="1">
      <c r="A399" s="22">
        <v>398.0</v>
      </c>
      <c r="B399" s="24" t="str">
        <f>IFERROR(__xludf.DUMMYFUNCTION("""COMPUTED_VALUE"""),"Pengelola Administrasi Perkantoran")</f>
        <v>Pengelola Administrasi Perkantoran</v>
      </c>
      <c r="C399" s="24" t="str">
        <f>IFERROR(__xludf.DUMMYFUNCTION("""COMPUTED_VALUE"""),"SMK Negeri 1 Kendari")</f>
        <v>SMK Negeri 1 Kendari</v>
      </c>
      <c r="D399" s="24"/>
      <c r="E399" s="24"/>
      <c r="F399" s="24" t="str">
        <f>IFERROR(__xludf.DUMMYFUNCTION("""COMPUTED_VALUE"""),"ANISA SUSIYANTI. Y.K")</f>
        <v>ANISA SUSIYANTI. Y.K</v>
      </c>
      <c r="G399" s="24" t="str">
        <f>IFERROR(__xludf.DUMMYFUNCTION("""COMPUTED_VALUE"""),"7471025111080001")</f>
        <v>7471025111080001</v>
      </c>
      <c r="H399" s="24"/>
      <c r="I399" s="24"/>
      <c r="J399" s="24" t="str">
        <f>IFERROR(__xludf.DUMMYFUNCTION("""COMPUTED_VALUE"""),"PEREMPUAN")</f>
        <v>PEREMPUAN</v>
      </c>
      <c r="K399" s="24" t="str">
        <f>IFERROR(__xludf.DUMMYFUNCTION("""COMPUTED_VALUE"""),"Kel. Gunung Jati, RT/RW 003/003, Kel. Gunung Jati")</f>
        <v>Kel. Gunung Jati, RT/RW 003/003, Kel. Gunung Jati</v>
      </c>
      <c r="L399" s="24"/>
      <c r="M399" s="24"/>
      <c r="N399" s="24" t="str">
        <f>IFERROR(__xludf.DUMMYFUNCTION("""COMPUTED_VALUE"""),"SMA / SMK / MA")</f>
        <v>SMA / SMK / MA</v>
      </c>
      <c r="O399" s="24"/>
      <c r="P399" s="24"/>
      <c r="Q399" s="24"/>
      <c r="R399" s="24" t="str">
        <f>IFERROR(__xludf.DUMMYFUNCTION("""COMPUTED_VALUE"""),"K")</f>
        <v>K</v>
      </c>
      <c r="S399" s="25"/>
    </row>
    <row r="400" ht="22.5" customHeight="1">
      <c r="A400" s="22">
        <v>399.0</v>
      </c>
      <c r="B400" s="24" t="str">
        <f>IFERROR(__xludf.DUMMYFUNCTION("""COMPUTED_VALUE"""),"Pengelola Administrasi Perkantoran")</f>
        <v>Pengelola Administrasi Perkantoran</v>
      </c>
      <c r="C400" s="24" t="str">
        <f>IFERROR(__xludf.DUMMYFUNCTION("""COMPUTED_VALUE"""),"SMK Negeri 1 Kendari")</f>
        <v>SMK Negeri 1 Kendari</v>
      </c>
      <c r="D400" s="24"/>
      <c r="E400" s="24"/>
      <c r="F400" s="24" t="str">
        <f>IFERROR(__xludf.DUMMYFUNCTION("""COMPUTED_VALUE"""),"Aswina Reskina Ramadani")</f>
        <v>Aswina Reskina Ramadani</v>
      </c>
      <c r="G400" s="24" t="str">
        <f>IFERROR(__xludf.DUMMYFUNCTION("""COMPUTED_VALUE"""),"7471094610070001")</f>
        <v>7471094610070001</v>
      </c>
      <c r="H400" s="24"/>
      <c r="I400" s="24"/>
      <c r="J400" s="24" t="str">
        <f>IFERROR(__xludf.DUMMYFUNCTION("""COMPUTED_VALUE"""),"PEREMPUAN")</f>
        <v>PEREMPUAN</v>
      </c>
      <c r="K400" s="24" t="str">
        <f>IFERROR(__xludf.DUMMYFUNCTION("""COMPUTED_VALUE"""),"Jl. Chairil Anwar, Lr. Hj. Lamarundu, Kel. Mataiwoi RT 15/ RW 05")</f>
        <v>Jl. Chairil Anwar, Lr. Hj. Lamarundu, Kel. Mataiwoi RT 15/ RW 05</v>
      </c>
      <c r="L400" s="24"/>
      <c r="M400" s="24"/>
      <c r="N400" s="24" t="str">
        <f>IFERROR(__xludf.DUMMYFUNCTION("""COMPUTED_VALUE"""),"SMA / SMK / MA")</f>
        <v>SMA / SMK / MA</v>
      </c>
      <c r="O400" s="24"/>
      <c r="P400" s="24"/>
      <c r="Q400" s="24"/>
      <c r="R400" s="24" t="str">
        <f>IFERROR(__xludf.DUMMYFUNCTION("""COMPUTED_VALUE"""),"K")</f>
        <v>K</v>
      </c>
      <c r="S400" s="25"/>
    </row>
    <row r="401" ht="22.5" customHeight="1">
      <c r="A401" s="22">
        <v>400.0</v>
      </c>
      <c r="B401" s="24" t="str">
        <f>IFERROR(__xludf.DUMMYFUNCTION("""COMPUTED_VALUE"""),"Pengelola Administrasi Perkantoran")</f>
        <v>Pengelola Administrasi Perkantoran</v>
      </c>
      <c r="C401" s="24" t="str">
        <f>IFERROR(__xludf.DUMMYFUNCTION("""COMPUTED_VALUE"""),"SMK Negeri 1 Kendari")</f>
        <v>SMK Negeri 1 Kendari</v>
      </c>
      <c r="D401" s="24"/>
      <c r="E401" s="24"/>
      <c r="F401" s="24" t="str">
        <f>IFERROR(__xludf.DUMMYFUNCTION("""COMPUTED_VALUE"""),"Aurelia Julinda")</f>
        <v>Aurelia Julinda</v>
      </c>
      <c r="G401" s="24" t="str">
        <f>IFERROR(__xludf.DUMMYFUNCTION("""COMPUTED_VALUE"""),"7371096707080008")</f>
        <v>7371096707080008</v>
      </c>
      <c r="H401" s="24"/>
      <c r="I401" s="24"/>
      <c r="J401" s="24" t="str">
        <f>IFERROR(__xludf.DUMMYFUNCTION("""COMPUTED_VALUE"""),"PEREMPUAN")</f>
        <v>PEREMPUAN</v>
      </c>
      <c r="K401" s="24" t="str">
        <f>IFERROR(__xludf.DUMMYFUNCTION("""COMPUTED_VALUE"""),"Jl. Mekar Damai Wayong, RT.001/RW. 004")</f>
        <v>Jl. Mekar Damai Wayong, RT.001/RW. 004</v>
      </c>
      <c r="L401" s="24"/>
      <c r="M401" s="24"/>
      <c r="N401" s="24" t="str">
        <f>IFERROR(__xludf.DUMMYFUNCTION("""COMPUTED_VALUE"""),"SMA / SMK / MA")</f>
        <v>SMA / SMK / MA</v>
      </c>
      <c r="O401" s="24"/>
      <c r="P401" s="24"/>
      <c r="Q401" s="24"/>
      <c r="R401" s="24" t="str">
        <f>IFERROR(__xludf.DUMMYFUNCTION("""COMPUTED_VALUE"""),"K")</f>
        <v>K</v>
      </c>
      <c r="S401" s="25"/>
    </row>
    <row r="402" ht="22.5" customHeight="1">
      <c r="A402" s="22">
        <v>401.0</v>
      </c>
      <c r="B402" s="24" t="str">
        <f>IFERROR(__xludf.DUMMYFUNCTION("""COMPUTED_VALUE"""),"Pengelola Administrasi Perkantoran")</f>
        <v>Pengelola Administrasi Perkantoran</v>
      </c>
      <c r="C402" s="24" t="str">
        <f>IFERROR(__xludf.DUMMYFUNCTION("""COMPUTED_VALUE"""),"SMK Negeri 1 Kendari")</f>
        <v>SMK Negeri 1 Kendari</v>
      </c>
      <c r="D402" s="24"/>
      <c r="E402" s="24"/>
      <c r="F402" s="24" t="str">
        <f>IFERROR(__xludf.DUMMYFUNCTION("""COMPUTED_VALUE"""),"DEVI AYU LESTARI")</f>
        <v>DEVI AYU LESTARI</v>
      </c>
      <c r="G402" s="24" t="str">
        <f>IFERROR(__xludf.DUMMYFUNCTION("""COMPUTED_VALUE"""),"7402184512080001")</f>
        <v>7402184512080001</v>
      </c>
      <c r="H402" s="24"/>
      <c r="I402" s="24"/>
      <c r="J402" s="24" t="str">
        <f>IFERROR(__xludf.DUMMYFUNCTION("""COMPUTED_VALUE"""),"PEREMPUAN")</f>
        <v>PEREMPUAN</v>
      </c>
      <c r="K402" s="24" t="str">
        <f>IFERROR(__xludf.DUMMYFUNCTION("""COMPUTED_VALUE"""),"Desa Tawamelewe")</f>
        <v>Desa Tawamelewe</v>
      </c>
      <c r="L402" s="24"/>
      <c r="M402" s="24"/>
      <c r="N402" s="24" t="str">
        <f>IFERROR(__xludf.DUMMYFUNCTION("""COMPUTED_VALUE"""),"SMA / SMK / MA")</f>
        <v>SMA / SMK / MA</v>
      </c>
      <c r="O402" s="24"/>
      <c r="P402" s="24"/>
      <c r="Q402" s="24"/>
      <c r="R402" s="24" t="str">
        <f>IFERROR(__xludf.DUMMYFUNCTION("""COMPUTED_VALUE"""),"K")</f>
        <v>K</v>
      </c>
      <c r="S402" s="25"/>
    </row>
    <row r="403" ht="22.5" customHeight="1">
      <c r="A403" s="22">
        <v>402.0</v>
      </c>
      <c r="B403" s="24" t="str">
        <f>IFERROR(__xludf.DUMMYFUNCTION("""COMPUTED_VALUE"""),"Pengelola Administrasi Perkantoran")</f>
        <v>Pengelola Administrasi Perkantoran</v>
      </c>
      <c r="C403" s="24" t="str">
        <f>IFERROR(__xludf.DUMMYFUNCTION("""COMPUTED_VALUE"""),"SMK Negeri 1 Kendari")</f>
        <v>SMK Negeri 1 Kendari</v>
      </c>
      <c r="D403" s="24"/>
      <c r="E403" s="24"/>
      <c r="F403" s="24" t="str">
        <f>IFERROR(__xludf.DUMMYFUNCTION("""COMPUTED_VALUE"""),"DINARTO TANGGO")</f>
        <v>DINARTO TANGGO</v>
      </c>
      <c r="G403" s="24" t="str">
        <f>IFERROR(__xludf.DUMMYFUNCTION("""COMPUTED_VALUE"""),"7471080506080001")</f>
        <v>7471080506080001</v>
      </c>
      <c r="H403" s="24"/>
      <c r="I403" s="24"/>
      <c r="J403" s="24" t="str">
        <f>IFERROR(__xludf.DUMMYFUNCTION("""COMPUTED_VALUE"""),"LAKI-LAKI")</f>
        <v>LAKI-LAKI</v>
      </c>
      <c r="K403" s="24" t="str">
        <f>IFERROR(__xludf.DUMMYFUNCTION("""COMPUTED_VALUE"""),"BTN Griya Baruga Asri Blok F/17")</f>
        <v>BTN Griya Baruga Asri Blok F/17</v>
      </c>
      <c r="L403" s="24"/>
      <c r="M403" s="24"/>
      <c r="N403" s="24" t="str">
        <f>IFERROR(__xludf.DUMMYFUNCTION("""COMPUTED_VALUE"""),"SMA / SMK / MA")</f>
        <v>SMA / SMK / MA</v>
      </c>
      <c r="O403" s="24"/>
      <c r="P403" s="24"/>
      <c r="Q403" s="24"/>
      <c r="R403" s="24" t="str">
        <f>IFERROR(__xludf.DUMMYFUNCTION("""COMPUTED_VALUE"""),"K")</f>
        <v>K</v>
      </c>
      <c r="S403" s="25"/>
    </row>
    <row r="404" ht="22.5" customHeight="1">
      <c r="A404" s="22">
        <v>403.0</v>
      </c>
      <c r="B404" s="24" t="str">
        <f>IFERROR(__xludf.DUMMYFUNCTION("""COMPUTED_VALUE"""),"Pengelola Administrasi Perkantoran")</f>
        <v>Pengelola Administrasi Perkantoran</v>
      </c>
      <c r="C404" s="24" t="str">
        <f>IFERROR(__xludf.DUMMYFUNCTION("""COMPUTED_VALUE"""),"SMK Negeri 1 Kendari")</f>
        <v>SMK Negeri 1 Kendari</v>
      </c>
      <c r="D404" s="24"/>
      <c r="E404" s="24"/>
      <c r="F404" s="24" t="str">
        <f>IFERROR(__xludf.DUMMYFUNCTION("""COMPUTED_VALUE"""),"DIRGA PRATA ABBSAR")</f>
        <v>DIRGA PRATA ABBSAR</v>
      </c>
      <c r="G404" s="24" t="str">
        <f>IFERROR(__xludf.DUMMYFUNCTION("""COMPUTED_VALUE"""),"7472020802080005")</f>
        <v>7472020802080005</v>
      </c>
      <c r="H404" s="24"/>
      <c r="I404" s="24"/>
      <c r="J404" s="24" t="str">
        <f>IFERROR(__xludf.DUMMYFUNCTION("""COMPUTED_VALUE"""),"LAKI-LAKI")</f>
        <v>LAKI-LAKI</v>
      </c>
      <c r="K404" s="24"/>
      <c r="L404" s="24"/>
      <c r="M404" s="24"/>
      <c r="N404" s="24" t="str">
        <f>IFERROR(__xludf.DUMMYFUNCTION("""COMPUTED_VALUE"""),"SMA / SMK / MA")</f>
        <v>SMA / SMK / MA</v>
      </c>
      <c r="O404" s="24"/>
      <c r="P404" s="24"/>
      <c r="Q404" s="24"/>
      <c r="R404" s="24" t="str">
        <f>IFERROR(__xludf.DUMMYFUNCTION("""COMPUTED_VALUE"""),"K")</f>
        <v>K</v>
      </c>
      <c r="S404" s="25"/>
    </row>
    <row r="405" ht="22.5" customHeight="1">
      <c r="A405" s="22">
        <v>404.0</v>
      </c>
      <c r="B405" s="24" t="str">
        <f>IFERROR(__xludf.DUMMYFUNCTION("""COMPUTED_VALUE"""),"Pengelola Administrasi Perkantoran")</f>
        <v>Pengelola Administrasi Perkantoran</v>
      </c>
      <c r="C405" s="24" t="str">
        <f>IFERROR(__xludf.DUMMYFUNCTION("""COMPUTED_VALUE"""),"SMK Negeri 1 Kendari")</f>
        <v>SMK Negeri 1 Kendari</v>
      </c>
      <c r="D405" s="24"/>
      <c r="E405" s="24"/>
      <c r="F405" s="24" t="str">
        <f>IFERROR(__xludf.DUMMYFUNCTION("""COMPUTED_VALUE"""),"Fathin Anggraeni Amelia")</f>
        <v>Fathin Anggraeni Amelia</v>
      </c>
      <c r="G405" s="24" t="str">
        <f>IFERROR(__xludf.DUMMYFUNCTION("""COMPUTED_VALUE"""),"7604044305080005")</f>
        <v>7604044305080005</v>
      </c>
      <c r="H405" s="24"/>
      <c r="I405" s="24"/>
      <c r="J405" s="24" t="str">
        <f>IFERROR(__xludf.DUMMYFUNCTION("""COMPUTED_VALUE"""),"PEREMPUAN")</f>
        <v>PEREMPUAN</v>
      </c>
      <c r="K405" s="24" t="str">
        <f>IFERROR(__xludf.DUMMYFUNCTION("""COMPUTED_VALUE"""),"Jl. Sawerigading No. 20A")</f>
        <v>Jl. Sawerigading No. 20A</v>
      </c>
      <c r="L405" s="24"/>
      <c r="M405" s="24"/>
      <c r="N405" s="24" t="str">
        <f>IFERROR(__xludf.DUMMYFUNCTION("""COMPUTED_VALUE"""),"SMA / SMK / MA")</f>
        <v>SMA / SMK / MA</v>
      </c>
      <c r="O405" s="24"/>
      <c r="P405" s="24"/>
      <c r="Q405" s="24"/>
      <c r="R405" s="24" t="str">
        <f>IFERROR(__xludf.DUMMYFUNCTION("""COMPUTED_VALUE"""),"K")</f>
        <v>K</v>
      </c>
      <c r="S405" s="25"/>
    </row>
    <row r="406" ht="22.5" customHeight="1">
      <c r="A406" s="22">
        <v>405.0</v>
      </c>
      <c r="B406" s="24" t="str">
        <f>IFERROR(__xludf.DUMMYFUNCTION("""COMPUTED_VALUE"""),"Pengelola Administrasi Perkantoran")</f>
        <v>Pengelola Administrasi Perkantoran</v>
      </c>
      <c r="C406" s="24" t="str">
        <f>IFERROR(__xludf.DUMMYFUNCTION("""COMPUTED_VALUE"""),"SMK Negeri 1 Kendari")</f>
        <v>SMK Negeri 1 Kendari</v>
      </c>
      <c r="D406" s="24"/>
      <c r="E406" s="24"/>
      <c r="F406" s="24" t="str">
        <f>IFERROR(__xludf.DUMMYFUNCTION("""COMPUTED_VALUE"""),"FEBRIANI NUR AZIZAH")</f>
        <v>FEBRIANI NUR AZIZAH</v>
      </c>
      <c r="G406" s="24" t="str">
        <f>IFERROR(__xludf.DUMMYFUNCTION("""COMPUTED_VALUE"""),"7471035102080001")</f>
        <v>7471035102080001</v>
      </c>
      <c r="H406" s="24"/>
      <c r="I406" s="24"/>
      <c r="J406" s="24" t="str">
        <f>IFERROR(__xludf.DUMMYFUNCTION("""COMPUTED_VALUE"""),"PEREMPUAN")</f>
        <v>PEREMPUAN</v>
      </c>
      <c r="K406" s="24" t="str">
        <f>IFERROR(__xludf.DUMMYFUNCTION("""COMPUTED_VALUE"""),"BTN Raksa Asri Blok C3/12")</f>
        <v>BTN Raksa Asri Blok C3/12</v>
      </c>
      <c r="L406" s="24"/>
      <c r="M406" s="24"/>
      <c r="N406" s="24" t="str">
        <f>IFERROR(__xludf.DUMMYFUNCTION("""COMPUTED_VALUE"""),"SMA / SMK / MA")</f>
        <v>SMA / SMK / MA</v>
      </c>
      <c r="O406" s="24"/>
      <c r="P406" s="24"/>
      <c r="Q406" s="24"/>
      <c r="R406" s="24" t="str">
        <f>IFERROR(__xludf.DUMMYFUNCTION("""COMPUTED_VALUE"""),"K")</f>
        <v>K</v>
      </c>
      <c r="S406" s="25"/>
    </row>
    <row r="407" ht="22.5" customHeight="1">
      <c r="A407" s="22">
        <v>406.0</v>
      </c>
      <c r="B407" s="24" t="str">
        <f>IFERROR(__xludf.DUMMYFUNCTION("""COMPUTED_VALUE"""),"Pengelola Administrasi Perkantoran")</f>
        <v>Pengelola Administrasi Perkantoran</v>
      </c>
      <c r="C407" s="24" t="str">
        <f>IFERROR(__xludf.DUMMYFUNCTION("""COMPUTED_VALUE"""),"SMK Negeri 1 Kendari")</f>
        <v>SMK Negeri 1 Kendari</v>
      </c>
      <c r="D407" s="24"/>
      <c r="E407" s="24"/>
      <c r="F407" s="24" t="str">
        <f>IFERROR(__xludf.DUMMYFUNCTION("""COMPUTED_VALUE"""),"M. IMRAN MUARIF")</f>
        <v>M. IMRAN MUARIF</v>
      </c>
      <c r="G407" s="24" t="str">
        <f>IFERROR(__xludf.DUMMYFUNCTION("""COMPUTED_VALUE"""),"7471010305080003")</f>
        <v>7471010305080003</v>
      </c>
      <c r="H407" s="24"/>
      <c r="I407" s="24"/>
      <c r="J407" s="24" t="str">
        <f>IFERROR(__xludf.DUMMYFUNCTION("""COMPUTED_VALUE"""),"LAKI-LAKI")</f>
        <v>LAKI-LAKI</v>
      </c>
      <c r="K407" s="24" t="str">
        <f>IFERROR(__xludf.DUMMYFUNCTION("""COMPUTED_VALUE"""),"Jalan Ronga 1")</f>
        <v>Jalan Ronga 1</v>
      </c>
      <c r="L407" s="24"/>
      <c r="M407" s="24"/>
      <c r="N407" s="24" t="str">
        <f>IFERROR(__xludf.DUMMYFUNCTION("""COMPUTED_VALUE"""),"SMA / SMK / MA")</f>
        <v>SMA / SMK / MA</v>
      </c>
      <c r="O407" s="24"/>
      <c r="P407" s="24"/>
      <c r="Q407" s="24"/>
      <c r="R407" s="24" t="str">
        <f>IFERROR(__xludf.DUMMYFUNCTION("""COMPUTED_VALUE"""),"K")</f>
        <v>K</v>
      </c>
      <c r="S407" s="25"/>
    </row>
    <row r="408" ht="22.5" customHeight="1">
      <c r="A408" s="22">
        <v>407.0</v>
      </c>
      <c r="B408" s="24" t="str">
        <f>IFERROR(__xludf.DUMMYFUNCTION("""COMPUTED_VALUE"""),"Pengelola Administrasi Perkantoran")</f>
        <v>Pengelola Administrasi Perkantoran</v>
      </c>
      <c r="C408" s="24" t="str">
        <f>IFERROR(__xludf.DUMMYFUNCTION("""COMPUTED_VALUE"""),"SMK Negeri 1 Kendari")</f>
        <v>SMK Negeri 1 Kendari</v>
      </c>
      <c r="D408" s="24"/>
      <c r="E408" s="24"/>
      <c r="F408" s="24" t="str">
        <f>IFERROR(__xludf.DUMMYFUNCTION("""COMPUTED_VALUE"""),"M. Syahrul")</f>
        <v>M. Syahrul</v>
      </c>
      <c r="G408" s="24" t="str">
        <f>IFERROR(__xludf.DUMMYFUNCTION("""COMPUTED_VALUE"""),"7471010410080001")</f>
        <v>7471010410080001</v>
      </c>
      <c r="H408" s="24"/>
      <c r="I408" s="24"/>
      <c r="J408" s="24" t="str">
        <f>IFERROR(__xludf.DUMMYFUNCTION("""COMPUTED_VALUE"""),"LAKI-LAKI")</f>
        <v>LAKI-LAKI</v>
      </c>
      <c r="K408" s="24" t="str">
        <f>IFERROR(__xludf.DUMMYFUNCTION("""COMPUTED_VALUE"""),"Jl. Lasandara")</f>
        <v>Jl. Lasandara</v>
      </c>
      <c r="L408" s="24"/>
      <c r="M408" s="24"/>
      <c r="N408" s="24" t="str">
        <f>IFERROR(__xludf.DUMMYFUNCTION("""COMPUTED_VALUE"""),"SMA / SMK / MA")</f>
        <v>SMA / SMK / MA</v>
      </c>
      <c r="O408" s="24"/>
      <c r="P408" s="24"/>
      <c r="Q408" s="24"/>
      <c r="R408" s="24" t="str">
        <f>IFERROR(__xludf.DUMMYFUNCTION("""COMPUTED_VALUE"""),"K")</f>
        <v>K</v>
      </c>
      <c r="S408" s="25"/>
    </row>
    <row r="409" ht="22.5" customHeight="1">
      <c r="A409" s="22">
        <v>408.0</v>
      </c>
      <c r="B409" s="24" t="str">
        <f>IFERROR(__xludf.DUMMYFUNCTION("""COMPUTED_VALUE"""),"Pengelola Administrasi Perkantoran")</f>
        <v>Pengelola Administrasi Perkantoran</v>
      </c>
      <c r="C409" s="24" t="str">
        <f>IFERROR(__xludf.DUMMYFUNCTION("""COMPUTED_VALUE"""),"SMK Negeri 1 Kendari")</f>
        <v>SMK Negeri 1 Kendari</v>
      </c>
      <c r="D409" s="24"/>
      <c r="E409" s="24"/>
      <c r="F409" s="24" t="str">
        <f>IFERROR(__xludf.DUMMYFUNCTION("""COMPUTED_VALUE"""),"Moh. Alif")</f>
        <v>Moh. Alif</v>
      </c>
      <c r="G409" s="24" t="str">
        <f>IFERROR(__xludf.DUMMYFUNCTION("""COMPUTED_VALUE"""),"7206071307080001")</f>
        <v>7206071307080001</v>
      </c>
      <c r="H409" s="24"/>
      <c r="I409" s="24"/>
      <c r="J409" s="24" t="str">
        <f>IFERROR(__xludf.DUMMYFUNCTION("""COMPUTED_VALUE"""),"LAKI-LAKI")</f>
        <v>LAKI-LAKI</v>
      </c>
      <c r="K409" s="24" t="str">
        <f>IFERROR(__xludf.DUMMYFUNCTION("""COMPUTED_VALUE"""),"BTN Cikra Harmuni Jalan Prona Punggolaka")</f>
        <v>BTN Cikra Harmuni Jalan Prona Punggolaka</v>
      </c>
      <c r="L409" s="24"/>
      <c r="M409" s="24"/>
      <c r="N409" s="24" t="str">
        <f>IFERROR(__xludf.DUMMYFUNCTION("""COMPUTED_VALUE"""),"SMA / SMK / MA")</f>
        <v>SMA / SMK / MA</v>
      </c>
      <c r="O409" s="24"/>
      <c r="P409" s="24"/>
      <c r="Q409" s="24"/>
      <c r="R409" s="24" t="str">
        <f>IFERROR(__xludf.DUMMYFUNCTION("""COMPUTED_VALUE"""),"K")</f>
        <v>K</v>
      </c>
      <c r="S409" s="25"/>
    </row>
    <row r="410" ht="22.5" customHeight="1">
      <c r="A410" s="22">
        <v>409.0</v>
      </c>
      <c r="B410" s="24" t="str">
        <f>IFERROR(__xludf.DUMMYFUNCTION("""COMPUTED_VALUE"""),"Pengelola Administrasi Perkantoran")</f>
        <v>Pengelola Administrasi Perkantoran</v>
      </c>
      <c r="C410" s="24" t="str">
        <f>IFERROR(__xludf.DUMMYFUNCTION("""COMPUTED_VALUE"""),"SMK Negeri 1 Kendari")</f>
        <v>SMK Negeri 1 Kendari</v>
      </c>
      <c r="D410" s="24"/>
      <c r="E410" s="24"/>
      <c r="F410" s="24" t="str">
        <f>IFERROR(__xludf.DUMMYFUNCTION("""COMPUTED_VALUE"""),"MUH. AFDALIL")</f>
        <v>MUH. AFDALIL</v>
      </c>
      <c r="G410" s="24" t="str">
        <f>IFERROR(__xludf.DUMMYFUNCTION("""COMPUTED_VALUE"""),"7471051208080004")</f>
        <v>7471051208080004</v>
      </c>
      <c r="H410" s="24"/>
      <c r="I410" s="24"/>
      <c r="J410" s="24" t="str">
        <f>IFERROR(__xludf.DUMMYFUNCTION("""COMPUTED_VALUE"""),"LAKI-LAKI")</f>
        <v>LAKI-LAKI</v>
      </c>
      <c r="K410" s="24" t="str">
        <f>IFERROR(__xludf.DUMMYFUNCTION("""COMPUTED_VALUE"""),"Jl. Ir. Soekarno, Kota Lama")</f>
        <v>Jl. Ir. Soekarno, Kota Lama</v>
      </c>
      <c r="L410" s="24"/>
      <c r="M410" s="24"/>
      <c r="N410" s="24" t="str">
        <f>IFERROR(__xludf.DUMMYFUNCTION("""COMPUTED_VALUE"""),"SMA / SMK / MA")</f>
        <v>SMA / SMK / MA</v>
      </c>
      <c r="O410" s="24"/>
      <c r="P410" s="24"/>
      <c r="Q410" s="24"/>
      <c r="R410" s="24" t="str">
        <f>IFERROR(__xludf.DUMMYFUNCTION("""COMPUTED_VALUE"""),"K")</f>
        <v>K</v>
      </c>
      <c r="S410" s="25"/>
    </row>
    <row r="411" ht="22.5" customHeight="1">
      <c r="A411" s="22">
        <v>410.0</v>
      </c>
      <c r="B411" s="24" t="str">
        <f>IFERROR(__xludf.DUMMYFUNCTION("""COMPUTED_VALUE"""),"Pengelola Administrasi Perkantoran")</f>
        <v>Pengelola Administrasi Perkantoran</v>
      </c>
      <c r="C411" s="24" t="str">
        <f>IFERROR(__xludf.DUMMYFUNCTION("""COMPUTED_VALUE"""),"SMK Negeri 1 Kendari")</f>
        <v>SMK Negeri 1 Kendari</v>
      </c>
      <c r="D411" s="24"/>
      <c r="E411" s="24"/>
      <c r="F411" s="24" t="str">
        <f>IFERROR(__xludf.DUMMYFUNCTION("""COMPUTED_VALUE"""),"MUHAMMAD PADLAN JUSUP")</f>
        <v>MUHAMMAD PADLAN JUSUP</v>
      </c>
      <c r="G411" s="24" t="str">
        <f>IFERROR(__xludf.DUMMYFUNCTION("""COMPUTED_VALUE"""),"7471082903090002")</f>
        <v>7471082903090002</v>
      </c>
      <c r="H411" s="24"/>
      <c r="I411" s="24"/>
      <c r="J411" s="24" t="str">
        <f>IFERROR(__xludf.DUMMYFUNCTION("""COMPUTED_VALUE"""),"LAKI-LAKI")</f>
        <v>LAKI-LAKI</v>
      </c>
      <c r="K411" s="24" t="str">
        <f>IFERROR(__xludf.DUMMYFUNCTION("""COMPUTED_VALUE"""),"Jl. Beringin")</f>
        <v>Jl. Beringin</v>
      </c>
      <c r="L411" s="24"/>
      <c r="M411" s="24"/>
      <c r="N411" s="24" t="str">
        <f>IFERROR(__xludf.DUMMYFUNCTION("""COMPUTED_VALUE"""),"SMA / SMK / MA")</f>
        <v>SMA / SMK / MA</v>
      </c>
      <c r="O411" s="24"/>
      <c r="P411" s="24"/>
      <c r="Q411" s="24"/>
      <c r="R411" s="24" t="str">
        <f>IFERROR(__xludf.DUMMYFUNCTION("""COMPUTED_VALUE"""),"BK")</f>
        <v>BK</v>
      </c>
      <c r="S411" s="25"/>
    </row>
    <row r="412" ht="22.5" customHeight="1">
      <c r="A412" s="22">
        <v>411.0</v>
      </c>
      <c r="B412" s="24" t="str">
        <f>IFERROR(__xludf.DUMMYFUNCTION("""COMPUTED_VALUE"""),"Pengelola Administrasi Perkantoran")</f>
        <v>Pengelola Administrasi Perkantoran</v>
      </c>
      <c r="C412" s="24" t="str">
        <f>IFERROR(__xludf.DUMMYFUNCTION("""COMPUTED_VALUE"""),"SMK Negeri 1 Kendari")</f>
        <v>SMK Negeri 1 Kendari</v>
      </c>
      <c r="D412" s="24"/>
      <c r="E412" s="24"/>
      <c r="F412" s="24" t="str">
        <f>IFERROR(__xludf.DUMMYFUNCTION("""COMPUTED_VALUE"""),"NADIN SORAYA")</f>
        <v>NADIN SORAYA</v>
      </c>
      <c r="G412" s="24" t="str">
        <f>IFERROR(__xludf.DUMMYFUNCTION("""COMPUTED_VALUE"""),"7471105011080002")</f>
        <v>7471105011080002</v>
      </c>
      <c r="H412" s="24"/>
      <c r="I412" s="24"/>
      <c r="J412" s="24" t="str">
        <f>IFERROR(__xludf.DUMMYFUNCTION("""COMPUTED_VALUE"""),"PEREMPUAN")</f>
        <v>PEREMPUAN</v>
      </c>
      <c r="K412" s="24" t="str">
        <f>IFERROR(__xludf.DUMMYFUNCTION("""COMPUTED_VALUE"""),"Jl. H. Lamuse")</f>
        <v>Jl. H. Lamuse</v>
      </c>
      <c r="L412" s="24"/>
      <c r="M412" s="24"/>
      <c r="N412" s="24" t="str">
        <f>IFERROR(__xludf.DUMMYFUNCTION("""COMPUTED_VALUE"""),"SMA / SMK / MA")</f>
        <v>SMA / SMK / MA</v>
      </c>
      <c r="O412" s="24"/>
      <c r="P412" s="24"/>
      <c r="Q412" s="24"/>
      <c r="R412" s="24" t="str">
        <f>IFERROR(__xludf.DUMMYFUNCTION("""COMPUTED_VALUE"""),"K")</f>
        <v>K</v>
      </c>
      <c r="S412" s="25"/>
    </row>
    <row r="413" ht="22.5" customHeight="1">
      <c r="A413" s="22">
        <v>412.0</v>
      </c>
      <c r="B413" s="24" t="str">
        <f>IFERROR(__xludf.DUMMYFUNCTION("""COMPUTED_VALUE"""),"Pengelola Administrasi Perkantoran")</f>
        <v>Pengelola Administrasi Perkantoran</v>
      </c>
      <c r="C413" s="24" t="str">
        <f>IFERROR(__xludf.DUMMYFUNCTION("""COMPUTED_VALUE"""),"SMK Negeri 1 Kendari")</f>
        <v>SMK Negeri 1 Kendari</v>
      </c>
      <c r="D413" s="24"/>
      <c r="E413" s="24"/>
      <c r="F413" s="24" t="str">
        <f>IFERROR(__xludf.DUMMYFUNCTION("""COMPUTED_VALUE"""),"Nayla Putri")</f>
        <v>Nayla Putri</v>
      </c>
      <c r="G413" s="24" t="str">
        <f>IFERROR(__xludf.DUMMYFUNCTION("""COMPUTED_VALUE"""),"7471085201080001")</f>
        <v>7471085201080001</v>
      </c>
      <c r="H413" s="24"/>
      <c r="I413" s="24"/>
      <c r="J413" s="24" t="str">
        <f>IFERROR(__xludf.DUMMYFUNCTION("""COMPUTED_VALUE"""),"PEREMPUAN")</f>
        <v>PEREMPUAN</v>
      </c>
      <c r="K413" s="24" t="str">
        <f>IFERROR(__xludf.DUMMYFUNCTION("""COMPUTED_VALUE"""),"Jl. H. Supu Yusuf")</f>
        <v>Jl. H. Supu Yusuf</v>
      </c>
      <c r="L413" s="24"/>
      <c r="M413" s="24"/>
      <c r="N413" s="24" t="str">
        <f>IFERROR(__xludf.DUMMYFUNCTION("""COMPUTED_VALUE"""),"SMA / SMK / MA")</f>
        <v>SMA / SMK / MA</v>
      </c>
      <c r="O413" s="24"/>
      <c r="P413" s="24"/>
      <c r="Q413" s="24"/>
      <c r="R413" s="24" t="str">
        <f>IFERROR(__xludf.DUMMYFUNCTION("""COMPUTED_VALUE"""),"K")</f>
        <v>K</v>
      </c>
      <c r="S413" s="25"/>
    </row>
    <row r="414" ht="22.5" customHeight="1">
      <c r="A414" s="22">
        <v>413.0</v>
      </c>
      <c r="B414" s="24" t="str">
        <f>IFERROR(__xludf.DUMMYFUNCTION("""COMPUTED_VALUE"""),"Pengelola Administrasi Perkantoran")</f>
        <v>Pengelola Administrasi Perkantoran</v>
      </c>
      <c r="C414" s="24" t="str">
        <f>IFERROR(__xludf.DUMMYFUNCTION("""COMPUTED_VALUE"""),"SMK Negeri 1 Kendari")</f>
        <v>SMK Negeri 1 Kendari</v>
      </c>
      <c r="D414" s="24"/>
      <c r="E414" s="24"/>
      <c r="F414" s="24" t="str">
        <f>IFERROR(__xludf.DUMMYFUNCTION("""COMPUTED_VALUE"""),"Nur Aisyah Fatiha")</f>
        <v>Nur Aisyah Fatiha</v>
      </c>
      <c r="G414" s="24" t="str">
        <f>IFERROR(__xludf.DUMMYFUNCTION("""COMPUTED_VALUE"""),"7471015707080002")</f>
        <v>7471015707080002</v>
      </c>
      <c r="H414" s="24"/>
      <c r="I414" s="24"/>
      <c r="J414" s="24" t="str">
        <f>IFERROR(__xludf.DUMMYFUNCTION("""COMPUTED_VALUE"""),"PEREMPUAN")</f>
        <v>PEREMPUAN</v>
      </c>
      <c r="K414" s="24" t="str">
        <f>IFERROR(__xludf.DUMMYFUNCTION("""COMPUTED_VALUE"""),"Jalan Lawata")</f>
        <v>Jalan Lawata</v>
      </c>
      <c r="L414" s="24"/>
      <c r="M414" s="24"/>
      <c r="N414" s="24" t="str">
        <f>IFERROR(__xludf.DUMMYFUNCTION("""COMPUTED_VALUE"""),"SMA / SMK / MA")</f>
        <v>SMA / SMK / MA</v>
      </c>
      <c r="O414" s="24"/>
      <c r="P414" s="24"/>
      <c r="Q414" s="24"/>
      <c r="R414" s="24" t="str">
        <f>IFERROR(__xludf.DUMMYFUNCTION("""COMPUTED_VALUE"""),"K")</f>
        <v>K</v>
      </c>
      <c r="S414" s="25"/>
    </row>
    <row r="415" ht="22.5" customHeight="1">
      <c r="A415" s="22">
        <v>414.0</v>
      </c>
      <c r="B415" s="24" t="str">
        <f>IFERROR(__xludf.DUMMYFUNCTION("""COMPUTED_VALUE"""),"Pengelola Administrasi Perkantoran")</f>
        <v>Pengelola Administrasi Perkantoran</v>
      </c>
      <c r="C415" s="24" t="str">
        <f>IFERROR(__xludf.DUMMYFUNCTION("""COMPUTED_VALUE"""),"SMK Negeri 1 Kendari")</f>
        <v>SMK Negeri 1 Kendari</v>
      </c>
      <c r="D415" s="24"/>
      <c r="E415" s="24"/>
      <c r="F415" s="24" t="str">
        <f>IFERROR(__xludf.DUMMYFUNCTION("""COMPUTED_VALUE"""),"NURAIDARIM")</f>
        <v>NURAIDARIM</v>
      </c>
      <c r="G415" s="24" t="str">
        <f>IFERROR(__xludf.DUMMYFUNCTION("""COMPUTED_VALUE"""),"7471095412070001")</f>
        <v>7471095412070001</v>
      </c>
      <c r="H415" s="24"/>
      <c r="I415" s="24"/>
      <c r="J415" s="24" t="str">
        <f>IFERROR(__xludf.DUMMYFUNCTION("""COMPUTED_VALUE"""),"PEREMPUAN")</f>
        <v>PEREMPUAN</v>
      </c>
      <c r="K415" s="24" t="str">
        <f>IFERROR(__xludf.DUMMYFUNCTION("""COMPUTED_VALUE"""),"Jl. Gersamata")</f>
        <v>Jl. Gersamata</v>
      </c>
      <c r="L415" s="24"/>
      <c r="M415" s="24"/>
      <c r="N415" s="24" t="str">
        <f>IFERROR(__xludf.DUMMYFUNCTION("""COMPUTED_VALUE"""),"SMA / SMK / MA")</f>
        <v>SMA / SMK / MA</v>
      </c>
      <c r="O415" s="24"/>
      <c r="P415" s="24"/>
      <c r="Q415" s="24"/>
      <c r="R415" s="24" t="str">
        <f>IFERROR(__xludf.DUMMYFUNCTION("""COMPUTED_VALUE"""),"K")</f>
        <v>K</v>
      </c>
      <c r="S415" s="25"/>
    </row>
    <row r="416" ht="22.5" customHeight="1">
      <c r="A416" s="22">
        <v>415.0</v>
      </c>
      <c r="B416" s="24" t="str">
        <f>IFERROR(__xludf.DUMMYFUNCTION("""COMPUTED_VALUE"""),"Pengelola Administrasi Perkantoran")</f>
        <v>Pengelola Administrasi Perkantoran</v>
      </c>
      <c r="C416" s="24" t="str">
        <f>IFERROR(__xludf.DUMMYFUNCTION("""COMPUTED_VALUE"""),"SMK Negeri 1 Kendari")</f>
        <v>SMK Negeri 1 Kendari</v>
      </c>
      <c r="D416" s="24"/>
      <c r="E416" s="24"/>
      <c r="F416" s="24" t="str">
        <f>IFERROR(__xludf.DUMMYFUNCTION("""COMPUTED_VALUE"""),"NURUL ANGRAENI")</f>
        <v>NURUL ANGRAENI</v>
      </c>
      <c r="G416" s="24" t="str">
        <f>IFERROR(__xludf.DUMMYFUNCTION("""COMPUTED_VALUE"""),"7471086107070002")</f>
        <v>7471086107070002</v>
      </c>
      <c r="H416" s="24"/>
      <c r="I416" s="24"/>
      <c r="J416" s="24" t="str">
        <f>IFERROR(__xludf.DUMMYFUNCTION("""COMPUTED_VALUE"""),"PEREMPUAN")</f>
        <v>PEREMPUAN</v>
      </c>
      <c r="K416" s="24" t="str">
        <f>IFERROR(__xludf.DUMMYFUNCTION("""COMPUTED_VALUE"""),"Jl. Mekar Baru")</f>
        <v>Jl. Mekar Baru</v>
      </c>
      <c r="L416" s="24"/>
      <c r="M416" s="24"/>
      <c r="N416" s="24" t="str">
        <f>IFERROR(__xludf.DUMMYFUNCTION("""COMPUTED_VALUE"""),"SMA / SMK / MA")</f>
        <v>SMA / SMK / MA</v>
      </c>
      <c r="O416" s="24"/>
      <c r="P416" s="24"/>
      <c r="Q416" s="24"/>
      <c r="R416" s="24" t="str">
        <f>IFERROR(__xludf.DUMMYFUNCTION("""COMPUTED_VALUE"""),"K")</f>
        <v>K</v>
      </c>
      <c r="S416" s="25"/>
    </row>
    <row r="417" ht="22.5" customHeight="1">
      <c r="A417" s="22">
        <v>416.0</v>
      </c>
      <c r="B417" s="24" t="str">
        <f>IFERROR(__xludf.DUMMYFUNCTION("""COMPUTED_VALUE"""),"Pengelola Administrasi Perkantoran")</f>
        <v>Pengelola Administrasi Perkantoran</v>
      </c>
      <c r="C417" s="24" t="str">
        <f>IFERROR(__xludf.DUMMYFUNCTION("""COMPUTED_VALUE"""),"SMK Negeri 1 Kendari")</f>
        <v>SMK Negeri 1 Kendari</v>
      </c>
      <c r="D417" s="24"/>
      <c r="E417" s="24"/>
      <c r="F417" s="24" t="str">
        <f>IFERROR(__xludf.DUMMYFUNCTION("""COMPUTED_VALUE"""),"NURUL FAJRIA")</f>
        <v>NURUL FAJRIA</v>
      </c>
      <c r="G417" s="24" t="str">
        <f>IFERROR(__xludf.DUMMYFUNCTION("""COMPUTED_VALUE"""),"7402076111080002")</f>
        <v>7402076111080002</v>
      </c>
      <c r="H417" s="24"/>
      <c r="I417" s="24"/>
      <c r="J417" s="24" t="str">
        <f>IFERROR(__xludf.DUMMYFUNCTION("""COMPUTED_VALUE"""),"PEREMPUAN")</f>
        <v>PEREMPUAN</v>
      </c>
      <c r="K417" s="24" t="str">
        <f>IFERROR(__xludf.DUMMYFUNCTION("""COMPUTED_VALUE"""),"Jl. Nalai Kota III Permai ")</f>
        <v>Jl. Nalai Kota III Permai </v>
      </c>
      <c r="L417" s="24"/>
      <c r="M417" s="24"/>
      <c r="N417" s="24" t="str">
        <f>IFERROR(__xludf.DUMMYFUNCTION("""COMPUTED_VALUE"""),"SMA / SMK / MA")</f>
        <v>SMA / SMK / MA</v>
      </c>
      <c r="O417" s="24"/>
      <c r="P417" s="24"/>
      <c r="Q417" s="24"/>
      <c r="R417" s="24" t="str">
        <f>IFERROR(__xludf.DUMMYFUNCTION("""COMPUTED_VALUE"""),"K")</f>
        <v>K</v>
      </c>
      <c r="S417" s="25"/>
    </row>
    <row r="418" ht="22.5" customHeight="1">
      <c r="A418" s="22">
        <v>417.0</v>
      </c>
      <c r="B418" s="24" t="str">
        <f>IFERROR(__xludf.DUMMYFUNCTION("""COMPUTED_VALUE"""),"Pengelola Administrasi Perkantoran")</f>
        <v>Pengelola Administrasi Perkantoran</v>
      </c>
      <c r="C418" s="24" t="str">
        <f>IFERROR(__xludf.DUMMYFUNCTION("""COMPUTED_VALUE"""),"SMK Negeri 1 Kendari")</f>
        <v>SMK Negeri 1 Kendari</v>
      </c>
      <c r="D418" s="24"/>
      <c r="E418" s="24"/>
      <c r="F418" s="24" t="str">
        <f>IFERROR(__xludf.DUMMYFUNCTION("""COMPUTED_VALUE"""),"QEYRA AMALIA YASIN")</f>
        <v>QEYRA AMALIA YASIN</v>
      </c>
      <c r="G418" s="24" t="str">
        <f>IFERROR(__xludf.DUMMYFUNCTION("""COMPUTED_VALUE"""),"7471085402070001")</f>
        <v>7471085402070001</v>
      </c>
      <c r="H418" s="24"/>
      <c r="I418" s="24"/>
      <c r="J418" s="24" t="str">
        <f>IFERROR(__xludf.DUMMYFUNCTION("""COMPUTED_VALUE"""),"PEREMPUAN")</f>
        <v>PEREMPUAN</v>
      </c>
      <c r="K418" s="24" t="str">
        <f>IFERROR(__xludf.DUMMYFUNCTION("""COMPUTED_VALUE"""),"Jl. Kadia")</f>
        <v>Jl. Kadia</v>
      </c>
      <c r="L418" s="24"/>
      <c r="M418" s="24"/>
      <c r="N418" s="24" t="str">
        <f>IFERROR(__xludf.DUMMYFUNCTION("""COMPUTED_VALUE"""),"SMA / SMK / MA")</f>
        <v>SMA / SMK / MA</v>
      </c>
      <c r="O418" s="24"/>
      <c r="P418" s="24"/>
      <c r="Q418" s="24"/>
      <c r="R418" s="24" t="str">
        <f>IFERROR(__xludf.DUMMYFUNCTION("""COMPUTED_VALUE"""),"BK")</f>
        <v>BK</v>
      </c>
      <c r="S418" s="25"/>
    </row>
    <row r="419" ht="22.5" customHeight="1">
      <c r="A419" s="22">
        <v>418.0</v>
      </c>
      <c r="B419" s="24" t="str">
        <f>IFERROR(__xludf.DUMMYFUNCTION("""COMPUTED_VALUE"""),"Pengelola Administrasi Perkantoran")</f>
        <v>Pengelola Administrasi Perkantoran</v>
      </c>
      <c r="C419" s="24" t="str">
        <f>IFERROR(__xludf.DUMMYFUNCTION("""COMPUTED_VALUE"""),"SMK Negeri 1 Kendari")</f>
        <v>SMK Negeri 1 Kendari</v>
      </c>
      <c r="D419" s="24"/>
      <c r="E419" s="24"/>
      <c r="F419" s="24" t="str">
        <f>IFERROR(__xludf.DUMMYFUNCTION("""COMPUTED_VALUE"""),"RESKI FITRIANI")</f>
        <v>RESKI FITRIANI</v>
      </c>
      <c r="G419" s="24" t="str">
        <f>IFERROR(__xludf.DUMMYFUNCTION("""COMPUTED_VALUE"""),"7471084110080002")</f>
        <v>7471084110080002</v>
      </c>
      <c r="H419" s="24"/>
      <c r="I419" s="24"/>
      <c r="J419" s="24" t="str">
        <f>IFERROR(__xludf.DUMMYFUNCTION("""COMPUTED_VALUE"""),"PEREMPUAN")</f>
        <v>PEREMPUAN</v>
      </c>
      <c r="K419" s="24" t="str">
        <f>IFERROR(__xludf.DUMMYFUNCTION("""COMPUTED_VALUE"""),"Jl. Mt Haryono, Pasar Baru")</f>
        <v>Jl. Mt Haryono, Pasar Baru</v>
      </c>
      <c r="L419" s="24"/>
      <c r="M419" s="24"/>
      <c r="N419" s="24" t="str">
        <f>IFERROR(__xludf.DUMMYFUNCTION("""COMPUTED_VALUE"""),"SMA / SMK / MA")</f>
        <v>SMA / SMK / MA</v>
      </c>
      <c r="O419" s="24"/>
      <c r="P419" s="24"/>
      <c r="Q419" s="24"/>
      <c r="R419" s="24" t="str">
        <f>IFERROR(__xludf.DUMMYFUNCTION("""COMPUTED_VALUE"""),"K")</f>
        <v>K</v>
      </c>
      <c r="S419" s="25"/>
    </row>
    <row r="420" ht="22.5" customHeight="1">
      <c r="A420" s="22">
        <v>419.0</v>
      </c>
      <c r="B420" s="24" t="str">
        <f>IFERROR(__xludf.DUMMYFUNCTION("""COMPUTED_VALUE"""),"Pengelola Administrasi Perkantoran")</f>
        <v>Pengelola Administrasi Perkantoran</v>
      </c>
      <c r="C420" s="24" t="str">
        <f>IFERROR(__xludf.DUMMYFUNCTION("""COMPUTED_VALUE"""),"SMK Negeri 1 Kendari")</f>
        <v>SMK Negeri 1 Kendari</v>
      </c>
      <c r="D420" s="24"/>
      <c r="E420" s="24"/>
      <c r="F420" s="24" t="str">
        <f>IFERROR(__xludf.DUMMYFUNCTION("""COMPUTED_VALUE"""),"RESKI YULIANA")</f>
        <v>RESKI YULIANA</v>
      </c>
      <c r="G420" s="24" t="str">
        <f>IFERROR(__xludf.DUMMYFUNCTION("""COMPUTED_VALUE"""),"7471014107090004")</f>
        <v>7471014107090004</v>
      </c>
      <c r="H420" s="24"/>
      <c r="I420" s="24"/>
      <c r="J420" s="24" t="str">
        <f>IFERROR(__xludf.DUMMYFUNCTION("""COMPUTED_VALUE"""),"PEREMPUAN")</f>
        <v>PEREMPUAN</v>
      </c>
      <c r="K420" s="24" t="str">
        <f>IFERROR(__xludf.DUMMYFUNCTION("""COMPUTED_VALUE"""),"Jl. R. Supratno, Lr. Alam Jaya No. 3")</f>
        <v>Jl. R. Supratno, Lr. Alam Jaya No. 3</v>
      </c>
      <c r="L420" s="24"/>
      <c r="M420" s="24"/>
      <c r="N420" s="24" t="str">
        <f>IFERROR(__xludf.DUMMYFUNCTION("""COMPUTED_VALUE"""),"SMA / SMK / MA")</f>
        <v>SMA / SMK / MA</v>
      </c>
      <c r="O420" s="24"/>
      <c r="P420" s="24"/>
      <c r="Q420" s="24"/>
      <c r="R420" s="24" t="str">
        <f>IFERROR(__xludf.DUMMYFUNCTION("""COMPUTED_VALUE"""),"K")</f>
        <v>K</v>
      </c>
      <c r="S420" s="25"/>
    </row>
    <row r="421" ht="22.5" customHeight="1">
      <c r="A421" s="22">
        <v>420.0</v>
      </c>
      <c r="B421" s="24" t="str">
        <f>IFERROR(__xludf.DUMMYFUNCTION("""COMPUTED_VALUE"""),"Pengelola Administrasi Perkantoran")</f>
        <v>Pengelola Administrasi Perkantoran</v>
      </c>
      <c r="C421" s="24" t="str">
        <f>IFERROR(__xludf.DUMMYFUNCTION("""COMPUTED_VALUE"""),"SMK Negeri 1 Kendari")</f>
        <v>SMK Negeri 1 Kendari</v>
      </c>
      <c r="D421" s="24"/>
      <c r="E421" s="24"/>
      <c r="F421" s="24" t="str">
        <f>IFERROR(__xludf.DUMMYFUNCTION("""COMPUTED_VALUE"""),"SITI NURJANNAH")</f>
        <v>SITI NURJANNAH</v>
      </c>
      <c r="G421" s="24" t="str">
        <f>IFERROR(__xludf.DUMMYFUNCTION("""COMPUTED_VALUE"""),"7471094406080001")</f>
        <v>7471094406080001</v>
      </c>
      <c r="H421" s="24"/>
      <c r="I421" s="24"/>
      <c r="J421" s="24" t="str">
        <f>IFERROR(__xludf.DUMMYFUNCTION("""COMPUTED_VALUE"""),"PEREMPUAN")</f>
        <v>PEREMPUAN</v>
      </c>
      <c r="K421" s="24" t="str">
        <f>IFERROR(__xludf.DUMMYFUNCTION("""COMPUTED_VALUE"""),"Jl. Ahmad Yani Lr. Makmur")</f>
        <v>Jl. Ahmad Yani Lr. Makmur</v>
      </c>
      <c r="L421" s="24"/>
      <c r="M421" s="24"/>
      <c r="N421" s="24" t="str">
        <f>IFERROR(__xludf.DUMMYFUNCTION("""COMPUTED_VALUE"""),"SMA / SMK / MA")</f>
        <v>SMA / SMK / MA</v>
      </c>
      <c r="O421" s="24"/>
      <c r="P421" s="24"/>
      <c r="Q421" s="24"/>
      <c r="R421" s="24" t="str">
        <f>IFERROR(__xludf.DUMMYFUNCTION("""COMPUTED_VALUE"""),"K")</f>
        <v>K</v>
      </c>
      <c r="S421" s="25"/>
    </row>
    <row r="422" ht="22.5" customHeight="1">
      <c r="A422" s="22">
        <v>421.0</v>
      </c>
      <c r="B422" s="24" t="str">
        <f>IFERROR(__xludf.DUMMYFUNCTION("""COMPUTED_VALUE"""),"Pengelola Administrasi Perkantoran")</f>
        <v>Pengelola Administrasi Perkantoran</v>
      </c>
      <c r="C422" s="24" t="str">
        <f>IFERROR(__xludf.DUMMYFUNCTION("""COMPUTED_VALUE"""),"SMK Negeri 1 Kendari")</f>
        <v>SMK Negeri 1 Kendari</v>
      </c>
      <c r="D422" s="24"/>
      <c r="E422" s="24"/>
      <c r="F422" s="24" t="str">
        <f>IFERROR(__xludf.DUMMYFUNCTION("""COMPUTED_VALUE"""),"Suci Ramadhan")</f>
        <v>Suci Ramadhan</v>
      </c>
      <c r="G422" s="24" t="str">
        <f>IFERROR(__xludf.DUMMYFUNCTION("""COMPUTED_VALUE"""),"7471014210070002")</f>
        <v>7471014210070002</v>
      </c>
      <c r="H422" s="24"/>
      <c r="I422" s="24"/>
      <c r="J422" s="24" t="str">
        <f>IFERROR(__xludf.DUMMYFUNCTION("""COMPUTED_VALUE"""),"PEREMPUAN")</f>
        <v>PEREMPUAN</v>
      </c>
      <c r="K422" s="24" t="str">
        <f>IFERROR(__xludf.DUMMYFUNCTION("""COMPUTED_VALUE"""),"-")</f>
        <v>-</v>
      </c>
      <c r="L422" s="24"/>
      <c r="M422" s="24"/>
      <c r="N422" s="24" t="str">
        <f>IFERROR(__xludf.DUMMYFUNCTION("""COMPUTED_VALUE"""),"SMA / SMK / MA")</f>
        <v>SMA / SMK / MA</v>
      </c>
      <c r="O422" s="24"/>
      <c r="P422" s="24"/>
      <c r="Q422" s="24"/>
      <c r="R422" s="24" t="str">
        <f>IFERROR(__xludf.DUMMYFUNCTION("""COMPUTED_VALUE"""),"K")</f>
        <v>K</v>
      </c>
      <c r="S422" s="25"/>
    </row>
    <row r="423" ht="22.5" customHeight="1">
      <c r="A423" s="22">
        <v>422.0</v>
      </c>
      <c r="B423" s="24" t="str">
        <f>IFERROR(__xludf.DUMMYFUNCTION("""COMPUTED_VALUE"""),"Pengelola Administrasi Perkantoran")</f>
        <v>Pengelola Administrasi Perkantoran</v>
      </c>
      <c r="C423" s="24" t="str">
        <f>IFERROR(__xludf.DUMMYFUNCTION("""COMPUTED_VALUE"""),"SMK Negeri 1 Kendari")</f>
        <v>SMK Negeri 1 Kendari</v>
      </c>
      <c r="D423" s="24"/>
      <c r="E423" s="24"/>
      <c r="F423" s="24" t="str">
        <f>IFERROR(__xludf.DUMMYFUNCTION("""COMPUTED_VALUE"""),"ZALZA BILLAH")</f>
        <v>ZALZA BILLAH</v>
      </c>
      <c r="G423" s="24" t="str">
        <f>IFERROR(__xludf.DUMMYFUNCTION("""COMPUTED_VALUE"""),"7471086704080001")</f>
        <v>7471086704080001</v>
      </c>
      <c r="H423" s="24"/>
      <c r="I423" s="24"/>
      <c r="J423" s="24" t="str">
        <f>IFERROR(__xludf.DUMMYFUNCTION("""COMPUTED_VALUE"""),"PEREMPUAN")</f>
        <v>PEREMPUAN</v>
      </c>
      <c r="K423" s="24" t="str">
        <f>IFERROR(__xludf.DUMMYFUNCTION("""COMPUTED_VALUE"""),"Jalan Mekar Baru")</f>
        <v>Jalan Mekar Baru</v>
      </c>
      <c r="L423" s="24"/>
      <c r="M423" s="24"/>
      <c r="N423" s="24" t="str">
        <f>IFERROR(__xludf.DUMMYFUNCTION("""COMPUTED_VALUE"""),"SMA / SMK / MA")</f>
        <v>SMA / SMK / MA</v>
      </c>
      <c r="O423" s="24"/>
      <c r="P423" s="24"/>
      <c r="Q423" s="24"/>
      <c r="R423" s="24" t="str">
        <f>IFERROR(__xludf.DUMMYFUNCTION("""COMPUTED_VALUE"""),"K")</f>
        <v>K</v>
      </c>
      <c r="S423" s="25"/>
    </row>
    <row r="424" ht="22.5" customHeight="1">
      <c r="A424" s="22">
        <v>423.0</v>
      </c>
      <c r="B424" s="24" t="str">
        <f>IFERROR(__xludf.DUMMYFUNCTION("""COMPUTED_VALUE"""),"Pengelola Administrasi Perkantoran")</f>
        <v>Pengelola Administrasi Perkantoran</v>
      </c>
      <c r="C424" s="24" t="str">
        <f>IFERROR(__xludf.DUMMYFUNCTION("""COMPUTED_VALUE"""),"SMK Negeri 1 Kendari")</f>
        <v>SMK Negeri 1 Kendari</v>
      </c>
      <c r="D424" s="24"/>
      <c r="E424" s="24"/>
      <c r="F424" s="24" t="str">
        <f>IFERROR(__xludf.DUMMYFUNCTION("""COMPUTED_VALUE"""),"Alya Zakinah Ilham")</f>
        <v>Alya Zakinah Ilham</v>
      </c>
      <c r="G424" s="24" t="str">
        <f>IFERROR(__xludf.DUMMYFUNCTION("""COMPUTED_VALUE"""),"7471054312070001")</f>
        <v>7471054312070001</v>
      </c>
      <c r="H424" s="24"/>
      <c r="I424" s="24"/>
      <c r="J424" s="24" t="str">
        <f>IFERROR(__xludf.DUMMYFUNCTION("""COMPUTED_VALUE"""),"PEREMPUAN")</f>
        <v>PEREMPUAN</v>
      </c>
      <c r="K424" s="24" t="str">
        <f>IFERROR(__xludf.DUMMYFUNCTION("""COMPUTED_VALUE"""),"Jl. Pattimura, Kel. Watulondo, Kec. Puuwatu")</f>
        <v>Jl. Pattimura, Kel. Watulondo, Kec. Puuwatu</v>
      </c>
      <c r="L424" s="24"/>
      <c r="M424" s="24"/>
      <c r="N424" s="24" t="str">
        <f>IFERROR(__xludf.DUMMYFUNCTION("""COMPUTED_VALUE"""),"SMA / SMK / MA")</f>
        <v>SMA / SMK / MA</v>
      </c>
      <c r="O424" s="24"/>
      <c r="P424" s="24"/>
      <c r="Q424" s="24"/>
      <c r="R424" s="24" t="str">
        <f>IFERROR(__xludf.DUMMYFUNCTION("""COMPUTED_VALUE"""),"K")</f>
        <v>K</v>
      </c>
      <c r="S424" s="25"/>
    </row>
    <row r="425" ht="22.5" customHeight="1">
      <c r="A425" s="22">
        <v>424.0</v>
      </c>
      <c r="B425" s="24" t="str">
        <f>IFERROR(__xludf.DUMMYFUNCTION("""COMPUTED_VALUE"""),"Pengelola Administrasi Perkantoran")</f>
        <v>Pengelola Administrasi Perkantoran</v>
      </c>
      <c r="C425" s="24" t="str">
        <f>IFERROR(__xludf.DUMMYFUNCTION("""COMPUTED_VALUE"""),"SMK Negeri 1 Kendari")</f>
        <v>SMK Negeri 1 Kendari</v>
      </c>
      <c r="D425" s="24"/>
      <c r="E425" s="24"/>
      <c r="F425" s="24" t="str">
        <f>IFERROR(__xludf.DUMMYFUNCTION("""COMPUTED_VALUE"""),"ANUGERAH PRAWIRA FAHMI")</f>
        <v>ANUGERAH PRAWIRA FAHMI</v>
      </c>
      <c r="G425" s="24" t="str">
        <f>IFERROR(__xludf.DUMMYFUNCTION("""COMPUTED_VALUE"""),"7471070810080001")</f>
        <v>7471070810080001</v>
      </c>
      <c r="H425" s="24"/>
      <c r="I425" s="24"/>
      <c r="J425" s="24" t="str">
        <f>IFERROR(__xludf.DUMMYFUNCTION("""COMPUTED_VALUE"""),"LAKI-LAKI")</f>
        <v>LAKI-LAKI</v>
      </c>
      <c r="K425" s="24" t="str">
        <f>IFERROR(__xludf.DUMMYFUNCTION("""COMPUTED_VALUE""")," ")</f>
        <v> </v>
      </c>
      <c r="L425" s="24"/>
      <c r="M425" s="24"/>
      <c r="N425" s="24" t="str">
        <f>IFERROR(__xludf.DUMMYFUNCTION("""COMPUTED_VALUE"""),"SMA / SMK / MA")</f>
        <v>SMA / SMK / MA</v>
      </c>
      <c r="O425" s="24"/>
      <c r="P425" s="24"/>
      <c r="Q425" s="24"/>
      <c r="R425" s="24" t="str">
        <f>IFERROR(__xludf.DUMMYFUNCTION("""COMPUTED_VALUE"""),"K")</f>
        <v>K</v>
      </c>
      <c r="S425" s="25"/>
    </row>
    <row r="426" ht="22.5" customHeight="1">
      <c r="A426" s="22">
        <v>425.0</v>
      </c>
      <c r="B426" s="24" t="str">
        <f>IFERROR(__xludf.DUMMYFUNCTION("""COMPUTED_VALUE"""),"Pengelola Administrasi Perkantoran")</f>
        <v>Pengelola Administrasi Perkantoran</v>
      </c>
      <c r="C426" s="24" t="str">
        <f>IFERROR(__xludf.DUMMYFUNCTION("""COMPUTED_VALUE"""),"SMK Negeri 1 Kendari")</f>
        <v>SMK Negeri 1 Kendari</v>
      </c>
      <c r="D426" s="24"/>
      <c r="E426" s="24"/>
      <c r="F426" s="24" t="str">
        <f>IFERROR(__xludf.DUMMYFUNCTION("""COMPUTED_VALUE"""),"ASRIANI")</f>
        <v>ASRIANI</v>
      </c>
      <c r="G426" s="24" t="str">
        <f>IFERROR(__xludf.DUMMYFUNCTION("""COMPUTED_VALUE"""),"7471026105080001")</f>
        <v>7471026105080001</v>
      </c>
      <c r="H426" s="24"/>
      <c r="I426" s="24"/>
      <c r="J426" s="24" t="str">
        <f>IFERROR(__xludf.DUMMYFUNCTION("""COMPUTED_VALUE"""),"PEREMPUAN")</f>
        <v>PEREMPUAN</v>
      </c>
      <c r="K426" s="24" t="str">
        <f>IFERROR(__xludf.DUMMYFUNCTION("""COMPUTED_VALUE"""),"Jl. Anawai BTN Bumi Anawai Land")</f>
        <v>Jl. Anawai BTN Bumi Anawai Land</v>
      </c>
      <c r="L426" s="24"/>
      <c r="M426" s="24"/>
      <c r="N426" s="24" t="str">
        <f>IFERROR(__xludf.DUMMYFUNCTION("""COMPUTED_VALUE"""),"SMA / SMK / MA")</f>
        <v>SMA / SMK / MA</v>
      </c>
      <c r="O426" s="24"/>
      <c r="P426" s="24"/>
      <c r="Q426" s="24"/>
      <c r="R426" s="24" t="str">
        <f>IFERROR(__xludf.DUMMYFUNCTION("""COMPUTED_VALUE"""),"K")</f>
        <v>K</v>
      </c>
      <c r="S426" s="25"/>
    </row>
    <row r="427" ht="22.5" customHeight="1">
      <c r="A427" s="22">
        <v>426.0</v>
      </c>
      <c r="B427" s="24" t="str">
        <f>IFERROR(__xludf.DUMMYFUNCTION("""COMPUTED_VALUE"""),"Pengelola Administrasi Perkantoran")</f>
        <v>Pengelola Administrasi Perkantoran</v>
      </c>
      <c r="C427" s="24" t="str">
        <f>IFERROR(__xludf.DUMMYFUNCTION("""COMPUTED_VALUE"""),"SMK Negeri 1 Kendari")</f>
        <v>SMK Negeri 1 Kendari</v>
      </c>
      <c r="D427" s="24"/>
      <c r="E427" s="24"/>
      <c r="F427" s="24" t="str">
        <f>IFERROR(__xludf.DUMMYFUNCTION("""COMPUTED_VALUE"""),"Belisyah Putri")</f>
        <v>Belisyah Putri</v>
      </c>
      <c r="G427" s="24" t="str">
        <f>IFERROR(__xludf.DUMMYFUNCTION("""COMPUTED_VALUE"""),"7471094107040011")</f>
        <v>7471094107040011</v>
      </c>
      <c r="H427" s="24"/>
      <c r="I427" s="24"/>
      <c r="J427" s="24" t="str">
        <f>IFERROR(__xludf.DUMMYFUNCTION("""COMPUTED_VALUE"""),"PEREMPUAN")</f>
        <v>PEREMPUAN</v>
      </c>
      <c r="K427" s="24" t="str">
        <f>IFERROR(__xludf.DUMMYFUNCTION("""COMPUTED_VALUE"""),"Jln. Budi Utomo/ Lrg. Mangga")</f>
        <v>Jln. Budi Utomo/ Lrg. Mangga</v>
      </c>
      <c r="L427" s="24"/>
      <c r="M427" s="24"/>
      <c r="N427" s="24" t="str">
        <f>IFERROR(__xludf.DUMMYFUNCTION("""COMPUTED_VALUE"""),"SMA / SMK / MA")</f>
        <v>SMA / SMK / MA</v>
      </c>
      <c r="O427" s="24"/>
      <c r="P427" s="24"/>
      <c r="Q427" s="24"/>
      <c r="R427" s="24" t="str">
        <f>IFERROR(__xludf.DUMMYFUNCTION("""COMPUTED_VALUE"""),"K")</f>
        <v>K</v>
      </c>
      <c r="S427" s="25"/>
    </row>
    <row r="428" ht="22.5" customHeight="1">
      <c r="A428" s="22">
        <v>427.0</v>
      </c>
      <c r="B428" s="24" t="str">
        <f>IFERROR(__xludf.DUMMYFUNCTION("""COMPUTED_VALUE"""),"Pengelola Administrasi Perkantoran")</f>
        <v>Pengelola Administrasi Perkantoran</v>
      </c>
      <c r="C428" s="24" t="str">
        <f>IFERROR(__xludf.DUMMYFUNCTION("""COMPUTED_VALUE"""),"SMK Negeri 1 Kendari")</f>
        <v>SMK Negeri 1 Kendari</v>
      </c>
      <c r="D428" s="24"/>
      <c r="E428" s="24"/>
      <c r="F428" s="24" t="str">
        <f>IFERROR(__xludf.DUMMYFUNCTION("""COMPUTED_VALUE"""),"DITA")</f>
        <v>DITA</v>
      </c>
      <c r="G428" s="24" t="str">
        <f>IFERROR(__xludf.DUMMYFUNCTION("""COMPUTED_VALUE"""),"7471095203080001")</f>
        <v>7471095203080001</v>
      </c>
      <c r="H428" s="24"/>
      <c r="I428" s="24"/>
      <c r="J428" s="24" t="str">
        <f>IFERROR(__xludf.DUMMYFUNCTION("""COMPUTED_VALUE"""),"PEREMPUAN")</f>
        <v>PEREMPUAN</v>
      </c>
      <c r="K428" s="24" t="str">
        <f>IFERROR(__xludf.DUMMYFUNCTION("""COMPUTED_VALUE"""),"Jl. Ahmad Yani, Lorong Sahabat")</f>
        <v>Jl. Ahmad Yani, Lorong Sahabat</v>
      </c>
      <c r="L428" s="24"/>
      <c r="M428" s="24"/>
      <c r="N428" s="24" t="str">
        <f>IFERROR(__xludf.DUMMYFUNCTION("""COMPUTED_VALUE"""),"SMA / SMK / MA")</f>
        <v>SMA / SMK / MA</v>
      </c>
      <c r="O428" s="24"/>
      <c r="P428" s="24"/>
      <c r="Q428" s="24"/>
      <c r="R428" s="24" t="str">
        <f>IFERROR(__xludf.DUMMYFUNCTION("""COMPUTED_VALUE"""),"K")</f>
        <v>K</v>
      </c>
      <c r="S428" s="25"/>
    </row>
    <row r="429" ht="22.5" customHeight="1">
      <c r="A429" s="22">
        <v>428.0</v>
      </c>
      <c r="B429" s="24" t="str">
        <f>IFERROR(__xludf.DUMMYFUNCTION("""COMPUTED_VALUE"""),"Pengelola Administrasi Perkantoran")</f>
        <v>Pengelola Administrasi Perkantoran</v>
      </c>
      <c r="C429" s="24" t="str">
        <f>IFERROR(__xludf.DUMMYFUNCTION("""COMPUTED_VALUE"""),"SMK Negeri 1 Kendari")</f>
        <v>SMK Negeri 1 Kendari</v>
      </c>
      <c r="D429" s="24"/>
      <c r="E429" s="24"/>
      <c r="F429" s="24" t="str">
        <f>IFERROR(__xludf.DUMMYFUNCTION("""COMPUTED_VALUE"""),"ELSA NURSEPTIANI")</f>
        <v>ELSA NURSEPTIANI</v>
      </c>
      <c r="G429" s="24" t="str">
        <f>IFERROR(__xludf.DUMMYFUNCTION("""COMPUTED_VALUE"""),"7471084209070001")</f>
        <v>7471084209070001</v>
      </c>
      <c r="H429" s="24"/>
      <c r="I429" s="24"/>
      <c r="J429" s="24" t="str">
        <f>IFERROR(__xludf.DUMMYFUNCTION("""COMPUTED_VALUE"""),"PEREMPUAN")</f>
        <v>PEREMPUAN</v>
      </c>
      <c r="K429" s="24" t="str">
        <f>IFERROR(__xludf.DUMMYFUNCTION("""COMPUTED_VALUE"""),"Jl. Mekar, Lr. Masjid Darul Mu'minin")</f>
        <v>Jl. Mekar, Lr. Masjid Darul Mu'minin</v>
      </c>
      <c r="L429" s="24"/>
      <c r="M429" s="24"/>
      <c r="N429" s="24" t="str">
        <f>IFERROR(__xludf.DUMMYFUNCTION("""COMPUTED_VALUE"""),"SMA / SMK / MA")</f>
        <v>SMA / SMK / MA</v>
      </c>
      <c r="O429" s="24"/>
      <c r="P429" s="24"/>
      <c r="Q429" s="24"/>
      <c r="R429" s="24" t="str">
        <f>IFERROR(__xludf.DUMMYFUNCTION("""COMPUTED_VALUE"""),"K")</f>
        <v>K</v>
      </c>
      <c r="S429" s="25"/>
    </row>
    <row r="430" ht="22.5" customHeight="1">
      <c r="A430" s="22">
        <v>429.0</v>
      </c>
      <c r="B430" s="24" t="str">
        <f>IFERROR(__xludf.DUMMYFUNCTION("""COMPUTED_VALUE"""),"Pengelola Administrasi Perkantoran")</f>
        <v>Pengelola Administrasi Perkantoran</v>
      </c>
      <c r="C430" s="24" t="str">
        <f>IFERROR(__xludf.DUMMYFUNCTION("""COMPUTED_VALUE"""),"SMK Negeri 1 Kendari")</f>
        <v>SMK Negeri 1 Kendari</v>
      </c>
      <c r="D430" s="24"/>
      <c r="E430" s="24"/>
      <c r="F430" s="24" t="str">
        <f>IFERROR(__xludf.DUMMYFUNCTION("""COMPUTED_VALUE"""),"FAIS KHOIRUN NIAM")</f>
        <v>FAIS KHOIRUN NIAM</v>
      </c>
      <c r="G430" s="24" t="str">
        <f>IFERROR(__xludf.DUMMYFUNCTION("""COMPUTED_VALUE"""),"7471085202080002")</f>
        <v>7471085202080002</v>
      </c>
      <c r="H430" s="24"/>
      <c r="I430" s="24"/>
      <c r="J430" s="24" t="str">
        <f>IFERROR(__xludf.DUMMYFUNCTION("""COMPUTED_VALUE"""),"PEREMPUAN")</f>
        <v>PEREMPUAN</v>
      </c>
      <c r="K430" s="24" t="str">
        <f>IFERROR(__xludf.DUMMYFUNCTION("""COMPUTED_VALUE"""),"Jalan Brigjen M. Yonoes")</f>
        <v>Jalan Brigjen M. Yonoes</v>
      </c>
      <c r="L430" s="24"/>
      <c r="M430" s="24"/>
      <c r="N430" s="24" t="str">
        <f>IFERROR(__xludf.DUMMYFUNCTION("""COMPUTED_VALUE"""),"SMA / SMK / MA")</f>
        <v>SMA / SMK / MA</v>
      </c>
      <c r="O430" s="24"/>
      <c r="P430" s="24"/>
      <c r="Q430" s="24"/>
      <c r="R430" s="24" t="str">
        <f>IFERROR(__xludf.DUMMYFUNCTION("""COMPUTED_VALUE"""),"K")</f>
        <v>K</v>
      </c>
      <c r="S430" s="25"/>
    </row>
    <row r="431" ht="22.5" customHeight="1">
      <c r="A431" s="22">
        <v>430.0</v>
      </c>
      <c r="B431" s="24" t="str">
        <f>IFERROR(__xludf.DUMMYFUNCTION("""COMPUTED_VALUE"""),"Pengelola Administrasi Perkantoran")</f>
        <v>Pengelola Administrasi Perkantoran</v>
      </c>
      <c r="C431" s="24" t="str">
        <f>IFERROR(__xludf.DUMMYFUNCTION("""COMPUTED_VALUE"""),"SMK Negeri 1 Kendari")</f>
        <v>SMK Negeri 1 Kendari</v>
      </c>
      <c r="D431" s="24"/>
      <c r="E431" s="24"/>
      <c r="F431" s="24" t="str">
        <f>IFERROR(__xludf.DUMMYFUNCTION("""COMPUTED_VALUE"""),"KHALISHAH")</f>
        <v>KHALISHAH</v>
      </c>
      <c r="G431" s="24" t="str">
        <f>IFERROR(__xludf.DUMMYFUNCTION("""COMPUTED_VALUE"""),"7471095008080001")</f>
        <v>7471095008080001</v>
      </c>
      <c r="H431" s="24"/>
      <c r="I431" s="24"/>
      <c r="J431" s="24" t="str">
        <f>IFERROR(__xludf.DUMMYFUNCTION("""COMPUTED_VALUE"""),"PEREMPUAN")</f>
        <v>PEREMPUAN</v>
      </c>
      <c r="K431" s="24" t="str">
        <f>IFERROR(__xludf.DUMMYFUNCTION("""COMPUTED_VALUE"""),"Jl. Gersamata, Kec. Wua-wua, Kel. Mataiwoi")</f>
        <v>Jl. Gersamata, Kec. Wua-wua, Kel. Mataiwoi</v>
      </c>
      <c r="L431" s="24"/>
      <c r="M431" s="24"/>
      <c r="N431" s="24" t="str">
        <f>IFERROR(__xludf.DUMMYFUNCTION("""COMPUTED_VALUE"""),"SMA / SMK / MA")</f>
        <v>SMA / SMK / MA</v>
      </c>
      <c r="O431" s="24"/>
      <c r="P431" s="24"/>
      <c r="Q431" s="24"/>
      <c r="R431" s="24" t="str">
        <f>IFERROR(__xludf.DUMMYFUNCTION("""COMPUTED_VALUE"""),"K")</f>
        <v>K</v>
      </c>
      <c r="S431" s="25"/>
    </row>
    <row r="432" ht="22.5" customHeight="1">
      <c r="A432" s="22">
        <v>431.0</v>
      </c>
      <c r="B432" s="24" t="str">
        <f>IFERROR(__xludf.DUMMYFUNCTION("""COMPUTED_VALUE"""),"Pengelola Administrasi Perkantoran")</f>
        <v>Pengelola Administrasi Perkantoran</v>
      </c>
      <c r="C432" s="24" t="str">
        <f>IFERROR(__xludf.DUMMYFUNCTION("""COMPUTED_VALUE"""),"SMK Negeri 1 Kendari")</f>
        <v>SMK Negeri 1 Kendari</v>
      </c>
      <c r="D432" s="24"/>
      <c r="E432" s="24"/>
      <c r="F432" s="24" t="str">
        <f>IFERROR(__xludf.DUMMYFUNCTION("""COMPUTED_VALUE"""),"MENTARI CHAYANI")</f>
        <v>MENTARI CHAYANI</v>
      </c>
      <c r="G432" s="24" t="str">
        <f>IFERROR(__xludf.DUMMYFUNCTION("""COMPUTED_VALUE"""),"7471086807080001")</f>
        <v>7471086807080001</v>
      </c>
      <c r="H432" s="24"/>
      <c r="I432" s="24"/>
      <c r="J432" s="24" t="str">
        <f>IFERROR(__xludf.DUMMYFUNCTION("""COMPUTED_VALUE"""),"PEREMPUAN")</f>
        <v>PEREMPUAN</v>
      </c>
      <c r="K432" s="24" t="str">
        <f>IFERROR(__xludf.DUMMYFUNCTION("""COMPUTED_VALUE"""),"Jalan Sao-Sao No 13 Blok I")</f>
        <v>Jalan Sao-Sao No 13 Blok I</v>
      </c>
      <c r="L432" s="24"/>
      <c r="M432" s="24"/>
      <c r="N432" s="24" t="str">
        <f>IFERROR(__xludf.DUMMYFUNCTION("""COMPUTED_VALUE"""),"SMA / SMK / MA")</f>
        <v>SMA / SMK / MA</v>
      </c>
      <c r="O432" s="24"/>
      <c r="P432" s="24"/>
      <c r="Q432" s="24"/>
      <c r="R432" s="24" t="str">
        <f>IFERROR(__xludf.DUMMYFUNCTION("""COMPUTED_VALUE"""),"K")</f>
        <v>K</v>
      </c>
      <c r="S432" s="25"/>
    </row>
    <row r="433" ht="22.5" customHeight="1">
      <c r="A433" s="22">
        <v>432.0</v>
      </c>
      <c r="B433" s="24" t="str">
        <f>IFERROR(__xludf.DUMMYFUNCTION("""COMPUTED_VALUE"""),"Pengelola Administrasi Perkantoran")</f>
        <v>Pengelola Administrasi Perkantoran</v>
      </c>
      <c r="C433" s="24" t="str">
        <f>IFERROR(__xludf.DUMMYFUNCTION("""COMPUTED_VALUE"""),"SMK Negeri 1 Kendari")</f>
        <v>SMK Negeri 1 Kendari</v>
      </c>
      <c r="D433" s="24"/>
      <c r="E433" s="24"/>
      <c r="F433" s="24" t="str">
        <f>IFERROR(__xludf.DUMMYFUNCTION("""COMPUTED_VALUE"""),"Muh. Haikal Maulana")</f>
        <v>Muh. Haikal Maulana</v>
      </c>
      <c r="G433" s="24" t="str">
        <f>IFERROR(__xludf.DUMMYFUNCTION("""COMPUTED_VALUE"""),"7471012810080001")</f>
        <v>7471012810080001</v>
      </c>
      <c r="H433" s="24"/>
      <c r="I433" s="24"/>
      <c r="J433" s="24" t="str">
        <f>IFERROR(__xludf.DUMMYFUNCTION("""COMPUTED_VALUE"""),"LAKI-LAKI")</f>
        <v>LAKI-LAKI</v>
      </c>
      <c r="K433" s="24" t="str">
        <f>IFERROR(__xludf.DUMMYFUNCTION("""COMPUTED_VALUE"""),"Jln. Laute I No. 17 B")</f>
        <v>Jln. Laute I No. 17 B</v>
      </c>
      <c r="L433" s="24"/>
      <c r="M433" s="24"/>
      <c r="N433" s="24" t="str">
        <f>IFERROR(__xludf.DUMMYFUNCTION("""COMPUTED_VALUE"""),"SMA / SMK / MA")</f>
        <v>SMA / SMK / MA</v>
      </c>
      <c r="O433" s="24"/>
      <c r="P433" s="24"/>
      <c r="Q433" s="24"/>
      <c r="R433" s="24" t="str">
        <f>IFERROR(__xludf.DUMMYFUNCTION("""COMPUTED_VALUE"""),"K")</f>
        <v>K</v>
      </c>
      <c r="S433" s="25"/>
    </row>
    <row r="434" ht="22.5" customHeight="1">
      <c r="A434" s="22">
        <v>433.0</v>
      </c>
      <c r="B434" s="24" t="str">
        <f>IFERROR(__xludf.DUMMYFUNCTION("""COMPUTED_VALUE"""),"Pengelola Administrasi Perkantoran")</f>
        <v>Pengelola Administrasi Perkantoran</v>
      </c>
      <c r="C434" s="24" t="str">
        <f>IFERROR(__xludf.DUMMYFUNCTION("""COMPUTED_VALUE"""),"SMK Negeri 1 Kendari")</f>
        <v>SMK Negeri 1 Kendari</v>
      </c>
      <c r="D434" s="24"/>
      <c r="E434" s="24"/>
      <c r="F434" s="24" t="str">
        <f>IFERROR(__xludf.DUMMYFUNCTION("""COMPUTED_VALUE"""),"MUTMAINNAH")</f>
        <v>MUTMAINNAH</v>
      </c>
      <c r="G434" s="24" t="str">
        <f>IFERROR(__xludf.DUMMYFUNCTION("""COMPUTED_VALUE"""),"7471016109080001")</f>
        <v>7471016109080001</v>
      </c>
      <c r="H434" s="24"/>
      <c r="I434" s="24"/>
      <c r="J434" s="24" t="str">
        <f>IFERROR(__xludf.DUMMYFUNCTION("""COMPUTED_VALUE"""),"PEREMPUAN")</f>
        <v>PEREMPUAN</v>
      </c>
      <c r="K434" s="24" t="str">
        <f>IFERROR(__xludf.DUMMYFUNCTION("""COMPUTED_VALUE"""),"Jln Imam Bonjol")</f>
        <v>Jln Imam Bonjol</v>
      </c>
      <c r="L434" s="24"/>
      <c r="M434" s="24"/>
      <c r="N434" s="24" t="str">
        <f>IFERROR(__xludf.DUMMYFUNCTION("""COMPUTED_VALUE"""),"SMA / SMK / MA")</f>
        <v>SMA / SMK / MA</v>
      </c>
      <c r="O434" s="24"/>
      <c r="P434" s="24"/>
      <c r="Q434" s="24"/>
      <c r="R434" s="24" t="str">
        <f>IFERROR(__xludf.DUMMYFUNCTION("""COMPUTED_VALUE"""),"K")</f>
        <v>K</v>
      </c>
      <c r="S434" s="25"/>
    </row>
    <row r="435" ht="22.5" customHeight="1">
      <c r="A435" s="22">
        <v>434.0</v>
      </c>
      <c r="B435" s="24" t="str">
        <f>IFERROR(__xludf.DUMMYFUNCTION("""COMPUTED_VALUE"""),"Pengelola Administrasi Perkantoran")</f>
        <v>Pengelola Administrasi Perkantoran</v>
      </c>
      <c r="C435" s="24" t="str">
        <f>IFERROR(__xludf.DUMMYFUNCTION("""COMPUTED_VALUE"""),"SMK Negeri 1 Kendari")</f>
        <v>SMK Negeri 1 Kendari</v>
      </c>
      <c r="D435" s="24"/>
      <c r="E435" s="24"/>
      <c r="F435" s="24" t="str">
        <f>IFERROR(__xludf.DUMMYFUNCTION("""COMPUTED_VALUE"""),"NOVA PUSPITA SARI ABD. SALAM")</f>
        <v>NOVA PUSPITA SARI ABD. SALAM</v>
      </c>
      <c r="G435" s="24" t="str">
        <f>IFERROR(__xludf.DUMMYFUNCTION("""COMPUTED_VALUE"""),"7471015211080001")</f>
        <v>7471015211080001</v>
      </c>
      <c r="H435" s="24"/>
      <c r="I435" s="24"/>
      <c r="J435" s="24" t="str">
        <f>IFERROR(__xludf.DUMMYFUNCTION("""COMPUTED_VALUE"""),"PEREMPUAN")</f>
        <v>PEREMPUAN</v>
      </c>
      <c r="K435" s="24" t="str">
        <f>IFERROR(__xludf.DUMMYFUNCTION("""COMPUTED_VALUE"""),"Jl. Bersih Hatiku")</f>
        <v>Jl. Bersih Hatiku</v>
      </c>
      <c r="L435" s="24"/>
      <c r="M435" s="24"/>
      <c r="N435" s="24" t="str">
        <f>IFERROR(__xludf.DUMMYFUNCTION("""COMPUTED_VALUE"""),"SMA / SMK / MA")</f>
        <v>SMA / SMK / MA</v>
      </c>
      <c r="O435" s="24"/>
      <c r="P435" s="24"/>
      <c r="Q435" s="24"/>
      <c r="R435" s="24" t="str">
        <f>IFERROR(__xludf.DUMMYFUNCTION("""COMPUTED_VALUE"""),"K")</f>
        <v>K</v>
      </c>
      <c r="S435" s="25"/>
    </row>
    <row r="436" ht="22.5" customHeight="1">
      <c r="A436" s="22">
        <v>435.0</v>
      </c>
      <c r="B436" s="24" t="str">
        <f>IFERROR(__xludf.DUMMYFUNCTION("""COMPUTED_VALUE"""),"Desainer Grafis Muda")</f>
        <v>Desainer Grafis Muda</v>
      </c>
      <c r="C436" s="24" t="str">
        <f>IFERROR(__xludf.DUMMYFUNCTION("""COMPUTED_VALUE"""),"SMK Negeri 4 Kendari")</f>
        <v>SMK Negeri 4 Kendari</v>
      </c>
      <c r="D436" s="24"/>
      <c r="E436" s="24"/>
      <c r="F436" s="24" t="str">
        <f>IFERROR(__xludf.DUMMYFUNCTION("""COMPUTED_VALUE"""),"Aditya Syarief")</f>
        <v>Aditya Syarief</v>
      </c>
      <c r="G436" s="86" t="str">
        <f>IFERROR(__xludf.DUMMYFUNCTION("""COMPUTED_VALUE"""),"7471060808080003")</f>
        <v>7471060808080003</v>
      </c>
      <c r="H436" s="24"/>
      <c r="I436" s="24"/>
      <c r="J436" s="24" t="str">
        <f>IFERROR(__xludf.DUMMYFUNCTION("""COMPUTED_VALUE"""),"LAKI-LAKI")</f>
        <v>LAKI-LAKI</v>
      </c>
      <c r="K436" s="24" t="str">
        <f>IFERROR(__xludf.DUMMYFUNCTION("""COMPUTED_VALUE"""),"Jl. Garuda, Kel. Poasia, Kec. Abeli")</f>
        <v>Jl. Garuda, Kel. Poasia, Kec. Abeli</v>
      </c>
      <c r="L436" s="24"/>
      <c r="M436" s="24"/>
      <c r="N436" s="24" t="str">
        <f>IFERROR(__xludf.DUMMYFUNCTION("""COMPUTED_VALUE"""),"SMA / SMK / MA")</f>
        <v>SMA / SMK / MA</v>
      </c>
      <c r="O436" s="24"/>
      <c r="P436" s="24"/>
      <c r="Q436" s="24"/>
      <c r="R436" s="24" t="str">
        <f>IFERROR(__xludf.DUMMYFUNCTION("""COMPUTED_VALUE"""),"K")</f>
        <v>K</v>
      </c>
      <c r="S436" s="25"/>
    </row>
    <row r="437" ht="22.5" customHeight="1">
      <c r="A437" s="22">
        <v>436.0</v>
      </c>
      <c r="B437" s="24" t="str">
        <f>IFERROR(__xludf.DUMMYFUNCTION("""COMPUTED_VALUE"""),"Desainer Grafis Muda")</f>
        <v>Desainer Grafis Muda</v>
      </c>
      <c r="C437" s="24" t="str">
        <f>IFERROR(__xludf.DUMMYFUNCTION("""COMPUTED_VALUE"""),"SMK Negeri 4 Kendari")</f>
        <v>SMK Negeri 4 Kendari</v>
      </c>
      <c r="D437" s="24"/>
      <c r="E437" s="24"/>
      <c r="F437" s="24" t="str">
        <f>IFERROR(__xludf.DUMMYFUNCTION("""COMPUTED_VALUE"""),"ALI RIFKI NAZARULLAH")</f>
        <v>ALI RIFKI NAZARULLAH</v>
      </c>
      <c r="G437" s="86" t="str">
        <f>IFERROR(__xludf.DUMMYFUNCTION("""COMPUTED_VALUE"""),"7471042110080001")</f>
        <v>7471042110080001</v>
      </c>
      <c r="H437" s="24"/>
      <c r="I437" s="24"/>
      <c r="J437" s="24" t="str">
        <f>IFERROR(__xludf.DUMMYFUNCTION("""COMPUTED_VALUE"""),"LAKI-LAKI")</f>
        <v>LAKI-LAKI</v>
      </c>
      <c r="K437" s="24" t="str">
        <f>IFERROR(__xludf.DUMMYFUNCTION("""COMPUTED_VALUE"""),"Jl. Kelapa Lrg. Cempedak")</f>
        <v>Jl. Kelapa Lrg. Cempedak</v>
      </c>
      <c r="L437" s="24"/>
      <c r="M437" s="24"/>
      <c r="N437" s="24" t="str">
        <f>IFERROR(__xludf.DUMMYFUNCTION("""COMPUTED_VALUE"""),"SMA / SMK / MA")</f>
        <v>SMA / SMK / MA</v>
      </c>
      <c r="O437" s="24"/>
      <c r="P437" s="24"/>
      <c r="Q437" s="24"/>
      <c r="R437" s="24" t="str">
        <f>IFERROR(__xludf.DUMMYFUNCTION("""COMPUTED_VALUE"""),"K")</f>
        <v>K</v>
      </c>
      <c r="S437" s="25"/>
    </row>
    <row r="438" ht="22.5" customHeight="1">
      <c r="A438" s="22">
        <v>437.0</v>
      </c>
      <c r="B438" s="24" t="str">
        <f>IFERROR(__xludf.DUMMYFUNCTION("""COMPUTED_VALUE"""),"Desainer Grafis Muda")</f>
        <v>Desainer Grafis Muda</v>
      </c>
      <c r="C438" s="24" t="str">
        <f>IFERROR(__xludf.DUMMYFUNCTION("""COMPUTED_VALUE"""),"SMK Negeri 4 Kendari")</f>
        <v>SMK Negeri 4 Kendari</v>
      </c>
      <c r="D438" s="24"/>
      <c r="E438" s="24"/>
      <c r="F438" s="24" t="str">
        <f>IFERROR(__xludf.DUMMYFUNCTION("""COMPUTED_VALUE"""),"ANDHIKA MUSTIKA BINTANG")</f>
        <v>ANDHIKA MUSTIKA BINTANG</v>
      </c>
      <c r="G438" s="86" t="str">
        <f>IFERROR(__xludf.DUMMYFUNCTION("""COMPUTED_VALUE"""),"7471051303080001")</f>
        <v>7471051303080001</v>
      </c>
      <c r="H438" s="24"/>
      <c r="I438" s="24"/>
      <c r="J438" s="24" t="str">
        <f>IFERROR(__xludf.DUMMYFUNCTION("""COMPUTED_VALUE"""),"LAKI-LAKI")</f>
        <v>LAKI-LAKI</v>
      </c>
      <c r="K438" s="24" t="str">
        <f>IFERROR(__xludf.DUMMYFUNCTION("""COMPUTED_VALUE"""),"Jl. Konawe Abeli")</f>
        <v>Jl. Konawe Abeli</v>
      </c>
      <c r="L438" s="24"/>
      <c r="M438" s="24"/>
      <c r="N438" s="24" t="str">
        <f>IFERROR(__xludf.DUMMYFUNCTION("""COMPUTED_VALUE"""),"SMA / SMK / MA")</f>
        <v>SMA / SMK / MA</v>
      </c>
      <c r="O438" s="24"/>
      <c r="P438" s="24"/>
      <c r="Q438" s="24"/>
      <c r="R438" s="24" t="str">
        <f>IFERROR(__xludf.DUMMYFUNCTION("""COMPUTED_VALUE"""),"K")</f>
        <v>K</v>
      </c>
      <c r="S438" s="25"/>
    </row>
    <row r="439" ht="22.5" customHeight="1">
      <c r="A439" s="22">
        <v>438.0</v>
      </c>
      <c r="B439" s="24" t="str">
        <f>IFERROR(__xludf.DUMMYFUNCTION("""COMPUTED_VALUE"""),"Desainer Grafis Muda")</f>
        <v>Desainer Grafis Muda</v>
      </c>
      <c r="C439" s="24" t="str">
        <f>IFERROR(__xludf.DUMMYFUNCTION("""COMPUTED_VALUE"""),"SMK Negeri 4 Kendari")</f>
        <v>SMK Negeri 4 Kendari</v>
      </c>
      <c r="D439" s="24"/>
      <c r="E439" s="24"/>
      <c r="F439" s="24" t="str">
        <f>IFERROR(__xludf.DUMMYFUNCTION("""COMPUTED_VALUE"""),"ANDINI NOVALIYANTI")</f>
        <v>ANDINI NOVALIYANTI</v>
      </c>
      <c r="G439" s="86" t="str">
        <f>IFERROR(__xludf.DUMMYFUNCTION("""COMPUTED_VALUE"""),"7471104411880005")</f>
        <v>7471104411880005</v>
      </c>
      <c r="H439" s="24"/>
      <c r="I439" s="24"/>
      <c r="J439" s="24" t="str">
        <f>IFERROR(__xludf.DUMMYFUNCTION("""COMPUTED_VALUE"""),"PEREMPUAN")</f>
        <v>PEREMPUAN</v>
      </c>
      <c r="K439" s="24" t="str">
        <f>IFERROR(__xludf.DUMMYFUNCTION("""COMPUTED_VALUE"""),"BTN Kendari Permai, Blok S4, No. 12")</f>
        <v>BTN Kendari Permai, Blok S4, No. 12</v>
      </c>
      <c r="L439" s="24"/>
      <c r="M439" s="24"/>
      <c r="N439" s="24" t="str">
        <f>IFERROR(__xludf.DUMMYFUNCTION("""COMPUTED_VALUE"""),"SMA / SMK / MA")</f>
        <v>SMA / SMK / MA</v>
      </c>
      <c r="O439" s="24"/>
      <c r="P439" s="24"/>
      <c r="Q439" s="24"/>
      <c r="R439" s="24" t="str">
        <f>IFERROR(__xludf.DUMMYFUNCTION("""COMPUTED_VALUE"""),"K")</f>
        <v>K</v>
      </c>
      <c r="S439" s="25"/>
    </row>
    <row r="440" ht="22.5" customHeight="1">
      <c r="A440" s="22">
        <v>439.0</v>
      </c>
      <c r="B440" s="24" t="str">
        <f>IFERROR(__xludf.DUMMYFUNCTION("""COMPUTED_VALUE"""),"Desainer Grafis Muda")</f>
        <v>Desainer Grafis Muda</v>
      </c>
      <c r="C440" s="24" t="str">
        <f>IFERROR(__xludf.DUMMYFUNCTION("""COMPUTED_VALUE"""),"SMK Negeri 4 Kendari")</f>
        <v>SMK Negeri 4 Kendari</v>
      </c>
      <c r="D440" s="24"/>
      <c r="E440" s="24"/>
      <c r="F440" s="24" t="str">
        <f>IFERROR(__xludf.DUMMYFUNCTION("""COMPUTED_VALUE"""),"ARIFKI")</f>
        <v>ARIFKI</v>
      </c>
      <c r="G440" s="86" t="str">
        <f>IFERROR(__xludf.DUMMYFUNCTION("""COMPUTED_VALUE"""),"7471042506070002")</f>
        <v>7471042506070002</v>
      </c>
      <c r="H440" s="24"/>
      <c r="I440" s="24"/>
      <c r="J440" s="24" t="str">
        <f>IFERROR(__xludf.DUMMYFUNCTION("""COMPUTED_VALUE"""),"LAKI-LAKI")</f>
        <v>LAKI-LAKI</v>
      </c>
      <c r="K440" s="24" t="str">
        <f>IFERROR(__xludf.DUMMYFUNCTION("""COMPUTED_VALUE"""),"Jl. Madusila, Lorong Pandai Besi")</f>
        <v>Jl. Madusila, Lorong Pandai Besi</v>
      </c>
      <c r="L440" s="24"/>
      <c r="M440" s="24"/>
      <c r="N440" s="24" t="str">
        <f>IFERROR(__xludf.DUMMYFUNCTION("""COMPUTED_VALUE"""),"SMA / SMK / MA")</f>
        <v>SMA / SMK / MA</v>
      </c>
      <c r="O440" s="24"/>
      <c r="P440" s="24"/>
      <c r="Q440" s="24"/>
      <c r="R440" s="24" t="str">
        <f>IFERROR(__xludf.DUMMYFUNCTION("""COMPUTED_VALUE"""),"BK")</f>
        <v>BK</v>
      </c>
      <c r="S440" s="25"/>
    </row>
    <row r="441" ht="22.5" customHeight="1">
      <c r="A441" s="22">
        <v>440.0</v>
      </c>
      <c r="B441" s="24" t="str">
        <f>IFERROR(__xludf.DUMMYFUNCTION("""COMPUTED_VALUE"""),"Desainer Grafis Muda")</f>
        <v>Desainer Grafis Muda</v>
      </c>
      <c r="C441" s="24" t="str">
        <f>IFERROR(__xludf.DUMMYFUNCTION("""COMPUTED_VALUE"""),"SMK Negeri 4 Kendari")</f>
        <v>SMK Negeri 4 Kendari</v>
      </c>
      <c r="D441" s="24"/>
      <c r="E441" s="24"/>
      <c r="F441" s="24" t="str">
        <f>IFERROR(__xludf.DUMMYFUNCTION("""COMPUTED_VALUE"""),"ARINI SINTIA")</f>
        <v>ARINI SINTIA</v>
      </c>
      <c r="G441" s="86" t="str">
        <f>IFERROR(__xludf.DUMMYFUNCTION("""COMPUTED_VALUE"""),"7471044708070002")</f>
        <v>7471044708070002</v>
      </c>
      <c r="H441" s="24"/>
      <c r="I441" s="24"/>
      <c r="J441" s="24" t="str">
        <f>IFERROR(__xludf.DUMMYFUNCTION("""COMPUTED_VALUE"""),"PEREMPUAN")</f>
        <v>PEREMPUAN</v>
      </c>
      <c r="K441" s="24" t="str">
        <f>IFERROR(__xludf.DUMMYFUNCTION("""COMPUTED_VALUE"""),"Jln.Sabulawu")</f>
        <v>Jln.Sabulawu</v>
      </c>
      <c r="L441" s="24"/>
      <c r="M441" s="24"/>
      <c r="N441" s="24" t="str">
        <f>IFERROR(__xludf.DUMMYFUNCTION("""COMPUTED_VALUE"""),"SMA / SMK / MA")</f>
        <v>SMA / SMK / MA</v>
      </c>
      <c r="O441" s="24"/>
      <c r="P441" s="24"/>
      <c r="Q441" s="24"/>
      <c r="R441" s="24" t="str">
        <f>IFERROR(__xludf.DUMMYFUNCTION("""COMPUTED_VALUE"""),"K")</f>
        <v>K</v>
      </c>
      <c r="S441" s="25"/>
    </row>
    <row r="442" ht="22.5" customHeight="1">
      <c r="A442" s="22">
        <v>441.0</v>
      </c>
      <c r="B442" s="24" t="str">
        <f>IFERROR(__xludf.DUMMYFUNCTION("""COMPUTED_VALUE"""),"Desainer Grafis Muda")</f>
        <v>Desainer Grafis Muda</v>
      </c>
      <c r="C442" s="24" t="str">
        <f>IFERROR(__xludf.DUMMYFUNCTION("""COMPUTED_VALUE"""),"SMK Negeri 4 Kendari")</f>
        <v>SMK Negeri 4 Kendari</v>
      </c>
      <c r="D442" s="24"/>
      <c r="E442" s="24"/>
      <c r="F442" s="24" t="str">
        <f>IFERROR(__xludf.DUMMYFUNCTION("""COMPUTED_VALUE"""),"ARJUNA")</f>
        <v>ARJUNA</v>
      </c>
      <c r="G442" s="86" t="str">
        <f>IFERROR(__xludf.DUMMYFUNCTION("""COMPUTED_VALUE"""),"7471042203080002")</f>
        <v>7471042203080002</v>
      </c>
      <c r="H442" s="24"/>
      <c r="I442" s="24"/>
      <c r="J442" s="24" t="str">
        <f>IFERROR(__xludf.DUMMYFUNCTION("""COMPUTED_VALUE"""),"LAKI-LAKI")</f>
        <v>LAKI-LAKI</v>
      </c>
      <c r="K442" s="24" t="str">
        <f>IFERROR(__xludf.DUMMYFUNCTION("""COMPUTED_VALUE"""),"Jl. Jambu Mente, Kel. Anggoeya, Kec. Poasia, Kota Kendari ")</f>
        <v>Jl. Jambu Mente, Kel. Anggoeya, Kec. Poasia, Kota Kendari </v>
      </c>
      <c r="L442" s="24"/>
      <c r="M442" s="24"/>
      <c r="N442" s="24" t="str">
        <f>IFERROR(__xludf.DUMMYFUNCTION("""COMPUTED_VALUE"""),"SMA / SMK / MA")</f>
        <v>SMA / SMK / MA</v>
      </c>
      <c r="O442" s="24"/>
      <c r="P442" s="24"/>
      <c r="Q442" s="24"/>
      <c r="R442" s="24" t="str">
        <f>IFERROR(__xludf.DUMMYFUNCTION("""COMPUTED_VALUE"""),"K")</f>
        <v>K</v>
      </c>
      <c r="S442" s="25"/>
    </row>
    <row r="443" ht="22.5" customHeight="1">
      <c r="A443" s="22">
        <v>442.0</v>
      </c>
      <c r="B443" s="24" t="str">
        <f>IFERROR(__xludf.DUMMYFUNCTION("""COMPUTED_VALUE"""),"Desainer Grafis Muda")</f>
        <v>Desainer Grafis Muda</v>
      </c>
      <c r="C443" s="24" t="str">
        <f>IFERROR(__xludf.DUMMYFUNCTION("""COMPUTED_VALUE"""),"SMK Negeri 4 Kendari")</f>
        <v>SMK Negeri 4 Kendari</v>
      </c>
      <c r="D443" s="24"/>
      <c r="E443" s="24"/>
      <c r="F443" s="24" t="str">
        <f>IFERROR(__xludf.DUMMYFUNCTION("""COMPUTED_VALUE"""),"ASWANDI")</f>
        <v>ASWANDI</v>
      </c>
      <c r="G443" s="86" t="str">
        <f>IFERROR(__xludf.DUMMYFUNCTION("""COMPUTED_VALUE"""),"7317110304080002")</f>
        <v>7317110304080002</v>
      </c>
      <c r="H443" s="24"/>
      <c r="I443" s="24"/>
      <c r="J443" s="24" t="str">
        <f>IFERROR(__xludf.DUMMYFUNCTION("""COMPUTED_VALUE"""),"LAKI-LAKI")</f>
        <v>LAKI-LAKI</v>
      </c>
      <c r="K443" s="24" t="str">
        <f>IFERROR(__xludf.DUMMYFUNCTION("""COMPUTED_VALUE"""),"BTN Green Munando Anggoeya")</f>
        <v>BTN Green Munando Anggoeya</v>
      </c>
      <c r="L443" s="24"/>
      <c r="M443" s="24"/>
      <c r="N443" s="24" t="str">
        <f>IFERROR(__xludf.DUMMYFUNCTION("""COMPUTED_VALUE"""),"SMA / SMK / MA")</f>
        <v>SMA / SMK / MA</v>
      </c>
      <c r="O443" s="24"/>
      <c r="P443" s="24"/>
      <c r="Q443" s="24"/>
      <c r="R443" s="24" t="str">
        <f>IFERROR(__xludf.DUMMYFUNCTION("""COMPUTED_VALUE"""),"K")</f>
        <v>K</v>
      </c>
      <c r="S443" s="25"/>
    </row>
    <row r="444" ht="22.5" customHeight="1">
      <c r="A444" s="22">
        <v>443.0</v>
      </c>
      <c r="B444" s="24" t="str">
        <f>IFERROR(__xludf.DUMMYFUNCTION("""COMPUTED_VALUE"""),"Desainer Grafis Muda")</f>
        <v>Desainer Grafis Muda</v>
      </c>
      <c r="C444" s="24" t="str">
        <f>IFERROR(__xludf.DUMMYFUNCTION("""COMPUTED_VALUE"""),"SMK Negeri 4 Kendari")</f>
        <v>SMK Negeri 4 Kendari</v>
      </c>
      <c r="D444" s="24"/>
      <c r="E444" s="24"/>
      <c r="F444" s="24" t="str">
        <f>IFERROR(__xludf.DUMMYFUNCTION("""COMPUTED_VALUE"""),"BINTANG AL FAHRI")</f>
        <v>BINTANG AL FAHRI</v>
      </c>
      <c r="G444" s="86" t="str">
        <f>IFERROR(__xludf.DUMMYFUNCTION("""COMPUTED_VALUE"""),"7471061411080001")</f>
        <v>7471061411080001</v>
      </c>
      <c r="H444" s="24"/>
      <c r="I444" s="24"/>
      <c r="J444" s="24" t="str">
        <f>IFERROR(__xludf.DUMMYFUNCTION("""COMPUTED_VALUE"""),"LAKI-LAKI")</f>
        <v>LAKI-LAKI</v>
      </c>
      <c r="K444" s="24" t="str">
        <f>IFERROR(__xludf.DUMMYFUNCTION("""COMPUTED_VALUE"""),"Lt. Konawe Abeli")</f>
        <v>Lt. Konawe Abeli</v>
      </c>
      <c r="L444" s="24"/>
      <c r="M444" s="24"/>
      <c r="N444" s="24" t="str">
        <f>IFERROR(__xludf.DUMMYFUNCTION("""COMPUTED_VALUE"""),"SMA / SMK / MA")</f>
        <v>SMA / SMK / MA</v>
      </c>
      <c r="O444" s="24"/>
      <c r="P444" s="24"/>
      <c r="Q444" s="24"/>
      <c r="R444" s="24" t="str">
        <f>IFERROR(__xludf.DUMMYFUNCTION("""COMPUTED_VALUE"""),"K")</f>
        <v>K</v>
      </c>
      <c r="S444" s="25"/>
    </row>
    <row r="445" ht="22.5" customHeight="1">
      <c r="A445" s="22">
        <v>444.0</v>
      </c>
      <c r="B445" s="24" t="str">
        <f>IFERROR(__xludf.DUMMYFUNCTION("""COMPUTED_VALUE"""),"Desainer Grafis Muda")</f>
        <v>Desainer Grafis Muda</v>
      </c>
      <c r="C445" s="24" t="str">
        <f>IFERROR(__xludf.DUMMYFUNCTION("""COMPUTED_VALUE"""),"SMK Negeri 4 Kendari")</f>
        <v>SMK Negeri 4 Kendari</v>
      </c>
      <c r="D445" s="24"/>
      <c r="E445" s="24"/>
      <c r="F445" s="24" t="str">
        <f>IFERROR(__xludf.DUMMYFUNCTION("""COMPUTED_VALUE"""),"CAHAYA")</f>
        <v>CAHAYA</v>
      </c>
      <c r="G445" s="86" t="str">
        <f>IFERROR(__xludf.DUMMYFUNCTION("""COMPUTED_VALUE"""),"7471044801080001")</f>
        <v>7471044801080001</v>
      </c>
      <c r="H445" s="24"/>
      <c r="I445" s="24"/>
      <c r="J445" s="24" t="str">
        <f>IFERROR(__xludf.DUMMYFUNCTION("""COMPUTED_VALUE"""),"PEREMPUAN")</f>
        <v>PEREMPUAN</v>
      </c>
      <c r="K445" s="24" t="str">
        <f>IFERROR(__xludf.DUMMYFUNCTION("""COMPUTED_VALUE"""),"Jln Safira Indah")</f>
        <v>Jln Safira Indah</v>
      </c>
      <c r="L445" s="24"/>
      <c r="M445" s="24"/>
      <c r="N445" s="24" t="str">
        <f>IFERROR(__xludf.DUMMYFUNCTION("""COMPUTED_VALUE"""),"SMA / SMK / MA")</f>
        <v>SMA / SMK / MA</v>
      </c>
      <c r="O445" s="24"/>
      <c r="P445" s="24"/>
      <c r="Q445" s="24"/>
      <c r="R445" s="24" t="str">
        <f>IFERROR(__xludf.DUMMYFUNCTION("""COMPUTED_VALUE"""),"BK")</f>
        <v>BK</v>
      </c>
      <c r="S445" s="25"/>
    </row>
    <row r="446" ht="22.5" customHeight="1">
      <c r="A446" s="22">
        <v>445.0</v>
      </c>
      <c r="B446" s="24" t="str">
        <f>IFERROR(__xludf.DUMMYFUNCTION("""COMPUTED_VALUE"""),"Desainer Grafis Muda")</f>
        <v>Desainer Grafis Muda</v>
      </c>
      <c r="C446" s="24" t="str">
        <f>IFERROR(__xludf.DUMMYFUNCTION("""COMPUTED_VALUE"""),"SMK Negeri 4 Kendari")</f>
        <v>SMK Negeri 4 Kendari</v>
      </c>
      <c r="D446" s="24"/>
      <c r="E446" s="24"/>
      <c r="F446" s="24" t="str">
        <f>IFERROR(__xludf.DUMMYFUNCTION("""COMPUTED_VALUE"""),"DENMA APRIAN SAPUTRA")</f>
        <v>DENMA APRIAN SAPUTRA</v>
      </c>
      <c r="G446" s="86" t="str">
        <f>IFERROR(__xludf.DUMMYFUNCTION("""COMPUTED_VALUE"""),"7471061602070001")</f>
        <v>7471061602070001</v>
      </c>
      <c r="H446" s="24"/>
      <c r="I446" s="24"/>
      <c r="J446" s="24" t="str">
        <f>IFERROR(__xludf.DUMMYFUNCTION("""COMPUTED_VALUE"""),"LAKI-LAKI")</f>
        <v>LAKI-LAKI</v>
      </c>
      <c r="K446" s="24" t="str">
        <f>IFERROR(__xludf.DUMMYFUNCTION("""COMPUTED_VALUE"""),"Jl. Anggalomelai")</f>
        <v>Jl. Anggalomelai</v>
      </c>
      <c r="L446" s="24"/>
      <c r="M446" s="24"/>
      <c r="N446" s="24" t="str">
        <f>IFERROR(__xludf.DUMMYFUNCTION("""COMPUTED_VALUE"""),"SMA / SMK / MA")</f>
        <v>SMA / SMK / MA</v>
      </c>
      <c r="O446" s="24"/>
      <c r="P446" s="24"/>
      <c r="Q446" s="24"/>
      <c r="R446" s="24" t="str">
        <f>IFERROR(__xludf.DUMMYFUNCTION("""COMPUTED_VALUE"""),"BK")</f>
        <v>BK</v>
      </c>
      <c r="S446" s="25"/>
    </row>
    <row r="447" ht="22.5" customHeight="1">
      <c r="A447" s="22">
        <v>446.0</v>
      </c>
      <c r="B447" s="24" t="str">
        <f>IFERROR(__xludf.DUMMYFUNCTION("""COMPUTED_VALUE"""),"Desainer Grafis Muda")</f>
        <v>Desainer Grafis Muda</v>
      </c>
      <c r="C447" s="24" t="str">
        <f>IFERROR(__xludf.DUMMYFUNCTION("""COMPUTED_VALUE"""),"SMK Negeri 4 Kendari")</f>
        <v>SMK Negeri 4 Kendari</v>
      </c>
      <c r="D447" s="24"/>
      <c r="E447" s="24"/>
      <c r="F447" s="24" t="str">
        <f>IFERROR(__xludf.DUMMYFUNCTION("""COMPUTED_VALUE"""),"FAHMI")</f>
        <v>FAHMI</v>
      </c>
      <c r="G447" s="86" t="str">
        <f>IFERROR(__xludf.DUMMYFUNCTION("""COMPUTED_VALUE"""),"7471060206080002")</f>
        <v>7471060206080002</v>
      </c>
      <c r="H447" s="24"/>
      <c r="I447" s="24"/>
      <c r="J447" s="24" t="str">
        <f>IFERROR(__xludf.DUMMYFUNCTION("""COMPUTED_VALUE"""),"LAKI-LAKI")</f>
        <v>LAKI-LAKI</v>
      </c>
      <c r="K447" s="24" t="str">
        <f>IFERROR(__xludf.DUMMYFUNCTION("""COMPUTED_VALUE"""),"Jl. Konawe, RT.003, RW.002, Desa Benua Nirae, Kec Abeli")</f>
        <v>Jl. Konawe, RT.003, RW.002, Desa Benua Nirae, Kec Abeli</v>
      </c>
      <c r="L447" s="24"/>
      <c r="M447" s="24"/>
      <c r="N447" s="24" t="str">
        <f>IFERROR(__xludf.DUMMYFUNCTION("""COMPUTED_VALUE"""),"SMA / SMK / MA")</f>
        <v>SMA / SMK / MA</v>
      </c>
      <c r="O447" s="24"/>
      <c r="P447" s="24"/>
      <c r="Q447" s="24"/>
      <c r="R447" s="24" t="str">
        <f>IFERROR(__xludf.DUMMYFUNCTION("""COMPUTED_VALUE"""),"K")</f>
        <v>K</v>
      </c>
      <c r="S447" s="25"/>
    </row>
    <row r="448" ht="22.5" customHeight="1">
      <c r="A448" s="22">
        <v>447.0</v>
      </c>
      <c r="B448" s="24" t="str">
        <f>IFERROR(__xludf.DUMMYFUNCTION("""COMPUTED_VALUE"""),"Desainer Grafis Muda")</f>
        <v>Desainer Grafis Muda</v>
      </c>
      <c r="C448" s="24" t="str">
        <f>IFERROR(__xludf.DUMMYFUNCTION("""COMPUTED_VALUE"""),"SMK Negeri 4 Kendari")</f>
        <v>SMK Negeri 4 Kendari</v>
      </c>
      <c r="D448" s="24"/>
      <c r="E448" s="24"/>
      <c r="F448" s="24" t="str">
        <f>IFERROR(__xludf.DUMMYFUNCTION("""COMPUTED_VALUE"""),"FARID FAUZAN")</f>
        <v>FARID FAUZAN</v>
      </c>
      <c r="G448" s="86" t="str">
        <f>IFERROR(__xludf.DUMMYFUNCTION("""COMPUTED_VALUE"""),"7471062411080002")</f>
        <v>7471062411080002</v>
      </c>
      <c r="H448" s="24"/>
      <c r="I448" s="24"/>
      <c r="J448" s="24" t="str">
        <f>IFERROR(__xludf.DUMMYFUNCTION("""COMPUTED_VALUE"""),"LAKI-LAKI")</f>
        <v>LAKI-LAKI</v>
      </c>
      <c r="K448" s="24" t="str">
        <f>IFERROR(__xludf.DUMMYFUNCTION("""COMPUTED_VALUE"""),"Kec. Abeli, Kel. Talia, Lorong Fajar Mulia")</f>
        <v>Kec. Abeli, Kel. Talia, Lorong Fajar Mulia</v>
      </c>
      <c r="L448" s="24"/>
      <c r="M448" s="24"/>
      <c r="N448" s="24" t="str">
        <f>IFERROR(__xludf.DUMMYFUNCTION("""COMPUTED_VALUE"""),"SMA / SMK / MA")</f>
        <v>SMA / SMK / MA</v>
      </c>
      <c r="O448" s="24"/>
      <c r="P448" s="24"/>
      <c r="Q448" s="24"/>
      <c r="R448" s="24" t="str">
        <f>IFERROR(__xludf.DUMMYFUNCTION("""COMPUTED_VALUE"""),"K")</f>
        <v>K</v>
      </c>
      <c r="S448" s="25"/>
    </row>
    <row r="449" ht="22.5" customHeight="1">
      <c r="A449" s="22">
        <v>448.0</v>
      </c>
      <c r="B449" s="24" t="str">
        <f>IFERROR(__xludf.DUMMYFUNCTION("""COMPUTED_VALUE"""),"Desainer Grafis Muda")</f>
        <v>Desainer Grafis Muda</v>
      </c>
      <c r="C449" s="24" t="str">
        <f>IFERROR(__xludf.DUMMYFUNCTION("""COMPUTED_VALUE"""),"SMK Negeri 4 Kendari")</f>
        <v>SMK Negeri 4 Kendari</v>
      </c>
      <c r="D449" s="24"/>
      <c r="E449" s="24"/>
      <c r="F449" s="24" t="str">
        <f>IFERROR(__xludf.DUMMYFUNCTION("""COMPUTED_VALUE"""),"FARIS")</f>
        <v>FARIS</v>
      </c>
      <c r="G449" s="86" t="str">
        <f>IFERROR(__xludf.DUMMYFUNCTION("""COMPUTED_VALUE"""),"7471041201080002")</f>
        <v>7471041201080002</v>
      </c>
      <c r="H449" s="24"/>
      <c r="I449" s="24"/>
      <c r="J449" s="24" t="str">
        <f>IFERROR(__xludf.DUMMYFUNCTION("""COMPUTED_VALUE"""),"LAKI-LAKI")</f>
        <v>LAKI-LAKI</v>
      </c>
      <c r="K449" s="24" t="str">
        <f>IFERROR(__xludf.DUMMYFUNCTION("""COMPUTED_VALUE"""),"Jl. Jambu Mente")</f>
        <v>Jl. Jambu Mente</v>
      </c>
      <c r="L449" s="24"/>
      <c r="M449" s="24"/>
      <c r="N449" s="24" t="str">
        <f>IFERROR(__xludf.DUMMYFUNCTION("""COMPUTED_VALUE"""),"SMA / SMK / MA")</f>
        <v>SMA / SMK / MA</v>
      </c>
      <c r="O449" s="24"/>
      <c r="P449" s="24"/>
      <c r="Q449" s="24"/>
      <c r="R449" s="24" t="str">
        <f>IFERROR(__xludf.DUMMYFUNCTION("""COMPUTED_VALUE"""),"K")</f>
        <v>K</v>
      </c>
      <c r="S449" s="25"/>
    </row>
    <row r="450" ht="22.5" customHeight="1">
      <c r="A450" s="22">
        <v>449.0</v>
      </c>
      <c r="B450" s="24" t="str">
        <f>IFERROR(__xludf.DUMMYFUNCTION("""COMPUTED_VALUE"""),"Desainer Grafis Muda")</f>
        <v>Desainer Grafis Muda</v>
      </c>
      <c r="C450" s="24" t="str">
        <f>IFERROR(__xludf.DUMMYFUNCTION("""COMPUTED_VALUE"""),"SMK Negeri 4 Kendari")</f>
        <v>SMK Negeri 4 Kendari</v>
      </c>
      <c r="D450" s="24"/>
      <c r="E450" s="24"/>
      <c r="F450" s="24" t="str">
        <f>IFERROR(__xludf.DUMMYFUNCTION("""COMPUTED_VALUE"""),"FATHAN MUBARAQ TAOHA")</f>
        <v>FATHAN MUBARAQ TAOHA</v>
      </c>
      <c r="G450" s="86" t="str">
        <f>IFERROR(__xludf.DUMMYFUNCTION("""COMPUTED_VALUE"""),"7471060111080001")</f>
        <v>7471060111080001</v>
      </c>
      <c r="H450" s="24"/>
      <c r="I450" s="24"/>
      <c r="J450" s="24" t="str">
        <f>IFERROR(__xludf.DUMMYFUNCTION("""COMPUTED_VALUE"""),"LAKI-LAKI")</f>
        <v>LAKI-LAKI</v>
      </c>
      <c r="K450" s="24" t="str">
        <f>IFERROR(__xludf.DUMMYFUNCTION("""COMPUTED_VALUE"""),"JL. Wedanu No 6")</f>
        <v>JL. Wedanu No 6</v>
      </c>
      <c r="L450" s="24"/>
      <c r="M450" s="24"/>
      <c r="N450" s="24" t="str">
        <f>IFERROR(__xludf.DUMMYFUNCTION("""COMPUTED_VALUE"""),"SMA / SMK / MA")</f>
        <v>SMA / SMK / MA</v>
      </c>
      <c r="O450" s="24"/>
      <c r="P450" s="24"/>
      <c r="Q450" s="24"/>
      <c r="R450" s="24" t="str">
        <f>IFERROR(__xludf.DUMMYFUNCTION("""COMPUTED_VALUE"""),"K")</f>
        <v>K</v>
      </c>
      <c r="S450" s="25"/>
    </row>
    <row r="451" ht="22.5" customHeight="1">
      <c r="A451" s="22">
        <v>450.0</v>
      </c>
      <c r="B451" s="24" t="str">
        <f>IFERROR(__xludf.DUMMYFUNCTION("""COMPUTED_VALUE"""),"Desainer Grafis Muda")</f>
        <v>Desainer Grafis Muda</v>
      </c>
      <c r="C451" s="24" t="str">
        <f>IFERROR(__xludf.DUMMYFUNCTION("""COMPUTED_VALUE"""),"SMK Negeri 4 Kendari")</f>
        <v>SMK Negeri 4 Kendari</v>
      </c>
      <c r="D451" s="24"/>
      <c r="E451" s="24"/>
      <c r="F451" s="24" t="str">
        <f>IFERROR(__xludf.DUMMYFUNCTION("""COMPUTED_VALUE"""),"FEBRIANSYAH")</f>
        <v>FEBRIANSYAH</v>
      </c>
      <c r="G451" s="86" t="str">
        <f>IFERROR(__xludf.DUMMYFUNCTION("""COMPUTED_VALUE"""),"7471061802090001")</f>
        <v>7471061802090001</v>
      </c>
      <c r="H451" s="24"/>
      <c r="I451" s="24"/>
      <c r="J451" s="24" t="str">
        <f>IFERROR(__xludf.DUMMYFUNCTION("""COMPUTED_VALUE"""),"LAKI-LAKI")</f>
        <v>LAKI-LAKI</v>
      </c>
      <c r="K451" s="24" t="str">
        <f>IFERROR(__xludf.DUMMYFUNCTION("""COMPUTED_VALUE"""),"Lrg. Masjid Fajar Mulia")</f>
        <v>Lrg. Masjid Fajar Mulia</v>
      </c>
      <c r="L451" s="24"/>
      <c r="M451" s="24"/>
      <c r="N451" s="24" t="str">
        <f>IFERROR(__xludf.DUMMYFUNCTION("""COMPUTED_VALUE"""),"SMA / SMK / MA")</f>
        <v>SMA / SMK / MA</v>
      </c>
      <c r="O451" s="24"/>
      <c r="P451" s="24"/>
      <c r="Q451" s="24"/>
      <c r="R451" s="24" t="str">
        <f>IFERROR(__xludf.DUMMYFUNCTION("""COMPUTED_VALUE"""),"BK")</f>
        <v>BK</v>
      </c>
      <c r="S451" s="25"/>
    </row>
    <row r="452" ht="22.5" customHeight="1">
      <c r="A452" s="22">
        <v>451.0</v>
      </c>
      <c r="B452" s="24" t="str">
        <f>IFERROR(__xludf.DUMMYFUNCTION("""COMPUTED_VALUE"""),"Desainer Grafis Muda")</f>
        <v>Desainer Grafis Muda</v>
      </c>
      <c r="C452" s="24" t="str">
        <f>IFERROR(__xludf.DUMMYFUNCTION("""COMPUTED_VALUE"""),"SMK Negeri 4 Kendari")</f>
        <v>SMK Negeri 4 Kendari</v>
      </c>
      <c r="D452" s="24"/>
      <c r="E452" s="24"/>
      <c r="F452" s="24" t="str">
        <f>IFERROR(__xludf.DUMMYFUNCTION("""COMPUTED_VALUE"""),"Fidhan Fatah Adzkia")</f>
        <v>Fidhan Fatah Adzkia</v>
      </c>
      <c r="G452" s="86" t="str">
        <f>IFERROR(__xludf.DUMMYFUNCTION("""COMPUTED_VALUE"""),"7471042807080002")</f>
        <v>7471042807080002</v>
      </c>
      <c r="H452" s="24"/>
      <c r="I452" s="24"/>
      <c r="J452" s="24" t="str">
        <f>IFERROR(__xludf.DUMMYFUNCTION("""COMPUTED_VALUE"""),"LAKI-LAKI")</f>
        <v>LAKI-LAKI</v>
      </c>
      <c r="K452" s="24" t="str">
        <f>IFERROR(__xludf.DUMMYFUNCTION("""COMPUTED_VALUE"""),"Jl. Perjuangan, Kel. Mokoau, Kel. Kambu")</f>
        <v>Jl. Perjuangan, Kel. Mokoau, Kel. Kambu</v>
      </c>
      <c r="L452" s="24"/>
      <c r="M452" s="24"/>
      <c r="N452" s="24" t="str">
        <f>IFERROR(__xludf.DUMMYFUNCTION("""COMPUTED_VALUE"""),"SMA / SMK / MA")</f>
        <v>SMA / SMK / MA</v>
      </c>
      <c r="O452" s="24"/>
      <c r="P452" s="24"/>
      <c r="Q452" s="24"/>
      <c r="R452" s="24" t="str">
        <f>IFERROR(__xludf.DUMMYFUNCTION("""COMPUTED_VALUE"""),"K")</f>
        <v>K</v>
      </c>
      <c r="S452" s="25"/>
    </row>
    <row r="453" ht="22.5" customHeight="1">
      <c r="A453" s="22">
        <v>452.0</v>
      </c>
      <c r="B453" s="24" t="str">
        <f>IFERROR(__xludf.DUMMYFUNCTION("""COMPUTED_VALUE"""),"Desainer Grafis Muda")</f>
        <v>Desainer Grafis Muda</v>
      </c>
      <c r="C453" s="24" t="str">
        <f>IFERROR(__xludf.DUMMYFUNCTION("""COMPUTED_VALUE"""),"SMK Negeri 4 Kendari")</f>
        <v>SMK Negeri 4 Kendari</v>
      </c>
      <c r="D453" s="24"/>
      <c r="E453" s="24"/>
      <c r="F453" s="24" t="str">
        <f>IFERROR(__xludf.DUMMYFUNCTION("""COMPUTED_VALUE"""),"FIDIA RISQI RAMADHANI")</f>
        <v>FIDIA RISQI RAMADHANI</v>
      </c>
      <c r="G453" s="86" t="str">
        <f>IFERROR(__xludf.DUMMYFUNCTION("""COMPUTED_VALUE"""),"7471044904080001")</f>
        <v>7471044904080001</v>
      </c>
      <c r="H453" s="24"/>
      <c r="I453" s="24"/>
      <c r="J453" s="24" t="str">
        <f>IFERROR(__xludf.DUMMYFUNCTION("""COMPUTED_VALUE"""),"PEREMPUAN")</f>
        <v>PEREMPUAN</v>
      </c>
      <c r="K453" s="24" t="str">
        <f>IFERROR(__xludf.DUMMYFUNCTION("""COMPUTED_VALUE"""),"Jl. Dermaga Anggoeya")</f>
        <v>Jl. Dermaga Anggoeya</v>
      </c>
      <c r="L453" s="24"/>
      <c r="M453" s="24"/>
      <c r="N453" s="24" t="str">
        <f>IFERROR(__xludf.DUMMYFUNCTION("""COMPUTED_VALUE"""),"SMA / SMK / MA")</f>
        <v>SMA / SMK / MA</v>
      </c>
      <c r="O453" s="24"/>
      <c r="P453" s="24"/>
      <c r="Q453" s="24"/>
      <c r="R453" s="24" t="str">
        <f>IFERROR(__xludf.DUMMYFUNCTION("""COMPUTED_VALUE"""),"K")</f>
        <v>K</v>
      </c>
      <c r="S453" s="25"/>
    </row>
    <row r="454" ht="22.5" customHeight="1">
      <c r="A454" s="22">
        <v>453.0</v>
      </c>
      <c r="B454" s="24" t="str">
        <f>IFERROR(__xludf.DUMMYFUNCTION("""COMPUTED_VALUE"""),"Desainer Grafis Muda")</f>
        <v>Desainer Grafis Muda</v>
      </c>
      <c r="C454" s="24" t="str">
        <f>IFERROR(__xludf.DUMMYFUNCTION("""COMPUTED_VALUE"""),"SMK Negeri 4 Kendari")</f>
        <v>SMK Negeri 4 Kendari</v>
      </c>
      <c r="D454" s="24"/>
      <c r="E454" s="24"/>
      <c r="F454" s="24" t="str">
        <f>IFERROR(__xludf.DUMMYFUNCTION("""COMPUTED_VALUE"""),"FITRA ANDRIANI")</f>
        <v>FITRA ANDRIANI</v>
      </c>
      <c r="G454" s="86" t="str">
        <f>IFERROR(__xludf.DUMMYFUNCTION("""COMPUTED_VALUE"""),"7471044509070001")</f>
        <v>7471044509070001</v>
      </c>
      <c r="H454" s="24"/>
      <c r="I454" s="24"/>
      <c r="J454" s="24" t="str">
        <f>IFERROR(__xludf.DUMMYFUNCTION("""COMPUTED_VALUE"""),"PEREMPUAN")</f>
        <v>PEREMPUAN</v>
      </c>
      <c r="K454" s="24" t="str">
        <f>IFERROR(__xludf.DUMMYFUNCTION("""COMPUTED_VALUE"""),"Jl. Banawula Sinapoy")</f>
        <v>Jl. Banawula Sinapoy</v>
      </c>
      <c r="L454" s="24"/>
      <c r="M454" s="24"/>
      <c r="N454" s="24" t="str">
        <f>IFERROR(__xludf.DUMMYFUNCTION("""COMPUTED_VALUE"""),"SMA / SMK / MA")</f>
        <v>SMA / SMK / MA</v>
      </c>
      <c r="O454" s="24"/>
      <c r="P454" s="24"/>
      <c r="Q454" s="24"/>
      <c r="R454" s="24" t="str">
        <f>IFERROR(__xludf.DUMMYFUNCTION("""COMPUTED_VALUE"""),"K")</f>
        <v>K</v>
      </c>
      <c r="S454" s="25"/>
    </row>
    <row r="455" ht="22.5" customHeight="1">
      <c r="A455" s="22">
        <v>454.0</v>
      </c>
      <c r="B455" s="24" t="str">
        <f>IFERROR(__xludf.DUMMYFUNCTION("""COMPUTED_VALUE"""),"Desainer Grafis Muda")</f>
        <v>Desainer Grafis Muda</v>
      </c>
      <c r="C455" s="24" t="str">
        <f>IFERROR(__xludf.DUMMYFUNCTION("""COMPUTED_VALUE"""),"SMK Negeri 4 Kendari")</f>
        <v>SMK Negeri 4 Kendari</v>
      </c>
      <c r="D455" s="24"/>
      <c r="E455" s="24"/>
      <c r="F455" s="24" t="str">
        <f>IFERROR(__xludf.DUMMYFUNCTION("""COMPUTED_VALUE"""),"HABIB ABDURRAHMAN")</f>
        <v>HABIB ABDURRAHMAN</v>
      </c>
      <c r="G455" s="86" t="str">
        <f>IFERROR(__xludf.DUMMYFUNCTION("""COMPUTED_VALUE"""),"7471101511080001")</f>
        <v>7471101511080001</v>
      </c>
      <c r="H455" s="24"/>
      <c r="I455" s="24"/>
      <c r="J455" s="24" t="str">
        <f>IFERROR(__xludf.DUMMYFUNCTION("""COMPUTED_VALUE"""),"LAKI-LAKI")</f>
        <v>LAKI-LAKI</v>
      </c>
      <c r="K455" s="24" t="str">
        <f>IFERROR(__xludf.DUMMYFUNCTION("""COMPUTED_VALUE"""),"Jl. Pisang No. 44")</f>
        <v>Jl. Pisang No. 44</v>
      </c>
      <c r="L455" s="24"/>
      <c r="M455" s="24"/>
      <c r="N455" s="24" t="str">
        <f>IFERROR(__xludf.DUMMYFUNCTION("""COMPUTED_VALUE"""),"SMA / SMK / MA")</f>
        <v>SMA / SMK / MA</v>
      </c>
      <c r="O455" s="24"/>
      <c r="P455" s="24"/>
      <c r="Q455" s="24"/>
      <c r="R455" s="24" t="str">
        <f>IFERROR(__xludf.DUMMYFUNCTION("""COMPUTED_VALUE"""),"BK")</f>
        <v>BK</v>
      </c>
      <c r="S455" s="25"/>
    </row>
    <row r="456" ht="22.5" customHeight="1">
      <c r="A456" s="22">
        <v>455.0</v>
      </c>
      <c r="B456" s="24" t="str">
        <f>IFERROR(__xludf.DUMMYFUNCTION("""COMPUTED_VALUE"""),"Desainer Grafis Muda")</f>
        <v>Desainer Grafis Muda</v>
      </c>
      <c r="C456" s="24" t="str">
        <f>IFERROR(__xludf.DUMMYFUNCTION("""COMPUTED_VALUE"""),"SMK Negeri 4 Kendari")</f>
        <v>SMK Negeri 4 Kendari</v>
      </c>
      <c r="D456" s="24"/>
      <c r="E456" s="24"/>
      <c r="F456" s="24" t="str">
        <f>IFERROR(__xludf.DUMMYFUNCTION("""COMPUTED_VALUE"""),"HAIKAL")</f>
        <v>HAIKAL</v>
      </c>
      <c r="G456" s="86" t="str">
        <f>IFERROR(__xludf.DUMMYFUNCTION("""COMPUTED_VALUE"""),"7471061203080003")</f>
        <v>7471061203080003</v>
      </c>
      <c r="H456" s="24"/>
      <c r="I456" s="24"/>
      <c r="J456" s="24" t="str">
        <f>IFERROR(__xludf.DUMMYFUNCTION("""COMPUTED_VALUE"""),"LAKI-LAKI")</f>
        <v>LAKI-LAKI</v>
      </c>
      <c r="K456" s="24" t="str">
        <f>IFERROR(__xludf.DUMMYFUNCTION("""COMPUTED_VALUE"""),"Tobimeita")</f>
        <v>Tobimeita</v>
      </c>
      <c r="L456" s="24"/>
      <c r="M456" s="24"/>
      <c r="N456" s="24" t="str">
        <f>IFERROR(__xludf.DUMMYFUNCTION("""COMPUTED_VALUE"""),"SMA / SMK / MA")</f>
        <v>SMA / SMK / MA</v>
      </c>
      <c r="O456" s="24"/>
      <c r="P456" s="24"/>
      <c r="Q456" s="24"/>
      <c r="R456" s="24" t="str">
        <f>IFERROR(__xludf.DUMMYFUNCTION("""COMPUTED_VALUE"""),"BK")</f>
        <v>BK</v>
      </c>
      <c r="S456" s="25"/>
    </row>
    <row r="457" ht="22.5" customHeight="1">
      <c r="A457" s="22">
        <v>456.0</v>
      </c>
      <c r="B457" s="24" t="str">
        <f>IFERROR(__xludf.DUMMYFUNCTION("""COMPUTED_VALUE"""),"Desainer Grafis Muda")</f>
        <v>Desainer Grafis Muda</v>
      </c>
      <c r="C457" s="24" t="str">
        <f>IFERROR(__xludf.DUMMYFUNCTION("""COMPUTED_VALUE"""),"SMK Negeri 4 Kendari")</f>
        <v>SMK Negeri 4 Kendari</v>
      </c>
      <c r="D457" s="24"/>
      <c r="E457" s="24"/>
      <c r="F457" s="24" t="str">
        <f>IFERROR(__xludf.DUMMYFUNCTION("""COMPUTED_VALUE"""),"Herlan Febriawan")</f>
        <v>Herlan Febriawan</v>
      </c>
      <c r="G457" s="86" t="str">
        <f>IFERROR(__xludf.DUMMYFUNCTION("""COMPUTED_VALUE"""),"7405111702080001")</f>
        <v>7405111702080001</v>
      </c>
      <c r="H457" s="24"/>
      <c r="I457" s="24"/>
      <c r="J457" s="24" t="str">
        <f>IFERROR(__xludf.DUMMYFUNCTION("""COMPUTED_VALUE"""),"LAKI-LAKI")</f>
        <v>LAKI-LAKI</v>
      </c>
      <c r="K457" s="24" t="str">
        <f>IFERROR(__xludf.DUMMYFUNCTION("""COMPUTED_VALUE"""),"BTN Bumi Praja Residence")</f>
        <v>BTN Bumi Praja Residence</v>
      </c>
      <c r="L457" s="24"/>
      <c r="M457" s="24"/>
      <c r="N457" s="24" t="str">
        <f>IFERROR(__xludf.DUMMYFUNCTION("""COMPUTED_VALUE"""),"SMA / SMK / MA")</f>
        <v>SMA / SMK / MA</v>
      </c>
      <c r="O457" s="24"/>
      <c r="P457" s="24"/>
      <c r="Q457" s="24"/>
      <c r="R457" s="24" t="str">
        <f>IFERROR(__xludf.DUMMYFUNCTION("""COMPUTED_VALUE"""),"K")</f>
        <v>K</v>
      </c>
      <c r="S457" s="25"/>
    </row>
    <row r="458" ht="22.5" customHeight="1">
      <c r="A458" s="22">
        <v>457.0</v>
      </c>
      <c r="B458" s="24" t="str">
        <f>IFERROR(__xludf.DUMMYFUNCTION("""COMPUTED_VALUE"""),"Desainer Grafis Muda")</f>
        <v>Desainer Grafis Muda</v>
      </c>
      <c r="C458" s="24" t="str">
        <f>IFERROR(__xludf.DUMMYFUNCTION("""COMPUTED_VALUE"""),"SMK Negeri 4 Kendari")</f>
        <v>SMK Negeri 4 Kendari</v>
      </c>
      <c r="D458" s="24"/>
      <c r="E458" s="24"/>
      <c r="F458" s="24" t="str">
        <f>IFERROR(__xludf.DUMMYFUNCTION("""COMPUTED_VALUE"""),"HERMANSYAH")</f>
        <v>HERMANSYAH</v>
      </c>
      <c r="G458" s="86" t="str">
        <f>IFERROR(__xludf.DUMMYFUNCTION("""COMPUTED_VALUE"""),"7402100508080004")</f>
        <v>7402100508080004</v>
      </c>
      <c r="H458" s="24"/>
      <c r="I458" s="24"/>
      <c r="J458" s="24" t="str">
        <f>IFERROR(__xludf.DUMMYFUNCTION("""COMPUTED_VALUE"""),"LAKI-LAKI")</f>
        <v>LAKI-LAKI</v>
      </c>
      <c r="K458" s="24" t="str">
        <f>IFERROR(__xludf.DUMMYFUNCTION("""COMPUTED_VALUE"""),"Jln. Pisang, RT/RW 006/003 Kec. Abeli")</f>
        <v>Jln. Pisang, RT/RW 006/003 Kec. Abeli</v>
      </c>
      <c r="L458" s="24"/>
      <c r="M458" s="24"/>
      <c r="N458" s="24" t="str">
        <f>IFERROR(__xludf.DUMMYFUNCTION("""COMPUTED_VALUE"""),"SMA / SMK / MA")</f>
        <v>SMA / SMK / MA</v>
      </c>
      <c r="O458" s="24"/>
      <c r="P458" s="24"/>
      <c r="Q458" s="24"/>
      <c r="R458" s="24" t="str">
        <f>IFERROR(__xludf.DUMMYFUNCTION("""COMPUTED_VALUE"""),"BK")</f>
        <v>BK</v>
      </c>
      <c r="S458" s="25"/>
    </row>
    <row r="459" ht="22.5" customHeight="1">
      <c r="A459" s="22">
        <v>458.0</v>
      </c>
      <c r="B459" s="24" t="str">
        <f>IFERROR(__xludf.DUMMYFUNCTION("""COMPUTED_VALUE"""),"Desainer Grafis Muda")</f>
        <v>Desainer Grafis Muda</v>
      </c>
      <c r="C459" s="24" t="str">
        <f>IFERROR(__xludf.DUMMYFUNCTION("""COMPUTED_VALUE"""),"SMK Negeri 4 Kendari")</f>
        <v>SMK Negeri 4 Kendari</v>
      </c>
      <c r="D459" s="24"/>
      <c r="E459" s="24"/>
      <c r="F459" s="24" t="str">
        <f>IFERROR(__xludf.DUMMYFUNCTION("""COMPUTED_VALUE"""),"ICA")</f>
        <v>ICA</v>
      </c>
      <c r="G459" s="86" t="str">
        <f>IFERROR(__xludf.DUMMYFUNCTION("""COMPUTED_VALUE"""),"7471064107070001")</f>
        <v>7471064107070001</v>
      </c>
      <c r="H459" s="24"/>
      <c r="I459" s="24"/>
      <c r="J459" s="24" t="str">
        <f>IFERROR(__xludf.DUMMYFUNCTION("""COMPUTED_VALUE"""),"PEREMPUAN")</f>
        <v>PEREMPUAN</v>
      </c>
      <c r="K459" s="24" t="str">
        <f>IFERROR(__xludf.DUMMYFUNCTION("""COMPUTED_VALUE"""),"Jl. Balai Kelurahan")</f>
        <v>Jl. Balai Kelurahan</v>
      </c>
      <c r="L459" s="24"/>
      <c r="M459" s="24"/>
      <c r="N459" s="24" t="str">
        <f>IFERROR(__xludf.DUMMYFUNCTION("""COMPUTED_VALUE"""),"SMA / SMK / MA")</f>
        <v>SMA / SMK / MA</v>
      </c>
      <c r="O459" s="24"/>
      <c r="P459" s="24"/>
      <c r="Q459" s="24"/>
      <c r="R459" s="24" t="str">
        <f>IFERROR(__xludf.DUMMYFUNCTION("""COMPUTED_VALUE"""),"K")</f>
        <v>K</v>
      </c>
      <c r="S459" s="25"/>
    </row>
    <row r="460" ht="22.5" customHeight="1">
      <c r="A460" s="22">
        <v>459.0</v>
      </c>
      <c r="B460" s="24" t="str">
        <f>IFERROR(__xludf.DUMMYFUNCTION("""COMPUTED_VALUE"""),"Desainer Grafis Muda")</f>
        <v>Desainer Grafis Muda</v>
      </c>
      <c r="C460" s="24" t="str">
        <f>IFERROR(__xludf.DUMMYFUNCTION("""COMPUTED_VALUE"""),"SMK Negeri 4 Kendari")</f>
        <v>SMK Negeri 4 Kendari</v>
      </c>
      <c r="D460" s="24"/>
      <c r="E460" s="24"/>
      <c r="F460" s="24" t="str">
        <f>IFERROR(__xludf.DUMMYFUNCTION("""COMPUTED_VALUE"""),"IHWAN AYATULLAH")</f>
        <v>IHWAN AYATULLAH</v>
      </c>
      <c r="G460" s="86" t="str">
        <f>IFERROR(__xludf.DUMMYFUNCTION("""COMPUTED_VALUE"""),"7471101112070002")</f>
        <v>7471101112070002</v>
      </c>
      <c r="H460" s="24"/>
      <c r="I460" s="24"/>
      <c r="J460" s="24" t="str">
        <f>IFERROR(__xludf.DUMMYFUNCTION("""COMPUTED_VALUE"""),"LAKI-LAKI")</f>
        <v>LAKI-LAKI</v>
      </c>
      <c r="K460" s="24" t="str">
        <f>IFERROR(__xludf.DUMMYFUNCTION("""COMPUTED_VALUE"""),"Jl. M.T Haryono, Lrg. Nipa Raya II")</f>
        <v>Jl. M.T Haryono, Lrg. Nipa Raya II</v>
      </c>
      <c r="L460" s="24"/>
      <c r="M460" s="24"/>
      <c r="N460" s="24" t="str">
        <f>IFERROR(__xludf.DUMMYFUNCTION("""COMPUTED_VALUE"""),"SMA / SMK / MA")</f>
        <v>SMA / SMK / MA</v>
      </c>
      <c r="O460" s="24"/>
      <c r="P460" s="24"/>
      <c r="Q460" s="24"/>
      <c r="R460" s="24" t="str">
        <f>IFERROR(__xludf.DUMMYFUNCTION("""COMPUTED_VALUE"""),"K")</f>
        <v>K</v>
      </c>
      <c r="S460" s="25"/>
    </row>
    <row r="461" ht="22.5" customHeight="1">
      <c r="A461" s="22">
        <v>460.0</v>
      </c>
      <c r="B461" s="24" t="str">
        <f>IFERROR(__xludf.DUMMYFUNCTION("""COMPUTED_VALUE"""),"Desainer Grafis Muda")</f>
        <v>Desainer Grafis Muda</v>
      </c>
      <c r="C461" s="24" t="str">
        <f>IFERROR(__xludf.DUMMYFUNCTION("""COMPUTED_VALUE"""),"SMK Negeri 4 Kendari")</f>
        <v>SMK Negeri 4 Kendari</v>
      </c>
      <c r="D461" s="24"/>
      <c r="E461" s="24"/>
      <c r="F461" s="24" t="str">
        <f>IFERROR(__xludf.DUMMYFUNCTION("""COMPUTED_VALUE"""),"ILMAN SYAPUTRA")</f>
        <v>ILMAN SYAPUTRA</v>
      </c>
      <c r="G461" s="86" t="str">
        <f>IFERROR(__xludf.DUMMYFUNCTION("""COMPUTED_VALUE"""),"7471040107080001")</f>
        <v>7471040107080001</v>
      </c>
      <c r="H461" s="24"/>
      <c r="I461" s="24"/>
      <c r="J461" s="24" t="str">
        <f>IFERROR(__xludf.DUMMYFUNCTION("""COMPUTED_VALUE"""),"LAKI-LAKI")</f>
        <v>LAKI-LAKI</v>
      </c>
      <c r="K461" s="24" t="str">
        <f>IFERROR(__xludf.DUMMYFUNCTION("""COMPUTED_VALUE"""),"Jl. Sakulawu")</f>
        <v>Jl. Sakulawu</v>
      </c>
      <c r="L461" s="24"/>
      <c r="M461" s="24"/>
      <c r="N461" s="24" t="str">
        <f>IFERROR(__xludf.DUMMYFUNCTION("""COMPUTED_VALUE"""),"SMA / SMK / MA")</f>
        <v>SMA / SMK / MA</v>
      </c>
      <c r="O461" s="24"/>
      <c r="P461" s="24"/>
      <c r="Q461" s="24"/>
      <c r="R461" s="24" t="str">
        <f>IFERROR(__xludf.DUMMYFUNCTION("""COMPUTED_VALUE"""),"BK")</f>
        <v>BK</v>
      </c>
      <c r="S461" s="25"/>
    </row>
    <row r="462" ht="22.5" customHeight="1">
      <c r="A462" s="22">
        <v>461.0</v>
      </c>
      <c r="B462" s="24" t="str">
        <f>IFERROR(__xludf.DUMMYFUNCTION("""COMPUTED_VALUE"""),"Desainer Grafis Muda")</f>
        <v>Desainer Grafis Muda</v>
      </c>
      <c r="C462" s="24" t="str">
        <f>IFERROR(__xludf.DUMMYFUNCTION("""COMPUTED_VALUE"""),"SMK Negeri 4 Kendari")</f>
        <v>SMK Negeri 4 Kendari</v>
      </c>
      <c r="D462" s="24"/>
      <c r="E462" s="24"/>
      <c r="F462" s="24" t="str">
        <f>IFERROR(__xludf.DUMMYFUNCTION("""COMPUTED_VALUE"""),"KHANZA RAHMAYANTI")</f>
        <v>KHANZA RAHMAYANTI</v>
      </c>
      <c r="G462" s="86" t="str">
        <f>IFERROR(__xludf.DUMMYFUNCTION("""COMPUTED_VALUE"""),"7471104803090002")</f>
        <v>7471104803090002</v>
      </c>
      <c r="H462" s="24"/>
      <c r="I462" s="24"/>
      <c r="J462" s="24" t="str">
        <f>IFERROR(__xludf.DUMMYFUNCTION("""COMPUTED_VALUE"""),"PEREMPUAN")</f>
        <v>PEREMPUAN</v>
      </c>
      <c r="K462" s="24" t="str">
        <f>IFERROR(__xludf.DUMMYFUNCTION("""COMPUTED_VALUE"""),"Jl. Orinunggu")</f>
        <v>Jl. Orinunggu</v>
      </c>
      <c r="L462" s="24"/>
      <c r="M462" s="24"/>
      <c r="N462" s="24" t="str">
        <f>IFERROR(__xludf.DUMMYFUNCTION("""COMPUTED_VALUE"""),"SMA / SMK / MA")</f>
        <v>SMA / SMK / MA</v>
      </c>
      <c r="O462" s="24"/>
      <c r="P462" s="24"/>
      <c r="Q462" s="24"/>
      <c r="R462" s="24" t="str">
        <f>IFERROR(__xludf.DUMMYFUNCTION("""COMPUTED_VALUE"""),"K")</f>
        <v>K</v>
      </c>
      <c r="S462" s="25"/>
    </row>
    <row r="463" ht="22.5" customHeight="1">
      <c r="A463" s="22">
        <v>462.0</v>
      </c>
      <c r="B463" s="24" t="str">
        <f>IFERROR(__xludf.DUMMYFUNCTION("""COMPUTED_VALUE"""),"Desainer Grafis Muda")</f>
        <v>Desainer Grafis Muda</v>
      </c>
      <c r="C463" s="24" t="str">
        <f>IFERROR(__xludf.DUMMYFUNCTION("""COMPUTED_VALUE"""),"SMK Negeri 4 Kendari")</f>
        <v>SMK Negeri 4 Kendari</v>
      </c>
      <c r="D463" s="24"/>
      <c r="E463" s="24"/>
      <c r="F463" s="24" t="str">
        <f>IFERROR(__xludf.DUMMYFUNCTION("""COMPUTED_VALUE"""),"MUH. ALFARIQ HAFIZH RUSLAN")</f>
        <v>MUH. ALFARIQ HAFIZH RUSLAN</v>
      </c>
      <c r="G463" s="86" t="str">
        <f>IFERROR(__xludf.DUMMYFUNCTION("""COMPUTED_VALUE"""),"7471041512080001")</f>
        <v>7471041512080001</v>
      </c>
      <c r="H463" s="24"/>
      <c r="I463" s="24"/>
      <c r="J463" s="24" t="str">
        <f>IFERROR(__xludf.DUMMYFUNCTION("""COMPUTED_VALUE"""),"LAKI-LAKI")</f>
        <v>LAKI-LAKI</v>
      </c>
      <c r="K463" s="24" t="str">
        <f>IFERROR(__xludf.DUMMYFUNCTION("""COMPUTED_VALUE"""),"Poasia Jl. Matabubu")</f>
        <v>Poasia Jl. Matabubu</v>
      </c>
      <c r="L463" s="24"/>
      <c r="M463" s="24"/>
      <c r="N463" s="24" t="str">
        <f>IFERROR(__xludf.DUMMYFUNCTION("""COMPUTED_VALUE"""),"SMA / SMK / MA")</f>
        <v>SMA / SMK / MA</v>
      </c>
      <c r="O463" s="24"/>
      <c r="P463" s="24"/>
      <c r="Q463" s="24"/>
      <c r="R463" s="24" t="str">
        <f>IFERROR(__xludf.DUMMYFUNCTION("""COMPUTED_VALUE"""),"BK")</f>
        <v>BK</v>
      </c>
      <c r="S463" s="25"/>
    </row>
    <row r="464" ht="22.5" customHeight="1">
      <c r="A464" s="22">
        <v>463.0</v>
      </c>
      <c r="B464" s="24" t="str">
        <f>IFERROR(__xludf.DUMMYFUNCTION("""COMPUTED_VALUE"""),"Desainer Grafis Muda")</f>
        <v>Desainer Grafis Muda</v>
      </c>
      <c r="C464" s="24" t="str">
        <f>IFERROR(__xludf.DUMMYFUNCTION("""COMPUTED_VALUE"""),"SMK Negeri 4 Kendari")</f>
        <v>SMK Negeri 4 Kendari</v>
      </c>
      <c r="D464" s="24"/>
      <c r="E464" s="24"/>
      <c r="F464" s="24" t="str">
        <f>IFERROR(__xludf.DUMMYFUNCTION("""COMPUTED_VALUE"""),"Muh. Aqsha")</f>
        <v>Muh. Aqsha</v>
      </c>
      <c r="G464" s="86" t="str">
        <f>IFERROR(__xludf.DUMMYFUNCTION("""COMPUTED_VALUE"""),"7471060910080001")</f>
        <v>7471060910080001</v>
      </c>
      <c r="H464" s="24"/>
      <c r="I464" s="24"/>
      <c r="J464" s="24" t="str">
        <f>IFERROR(__xludf.DUMMYFUNCTION("""COMPUTED_VALUE"""),"LAKI-LAKI")</f>
        <v>LAKI-LAKI</v>
      </c>
      <c r="K464" s="24" t="str">
        <f>IFERROR(__xludf.DUMMYFUNCTION("""COMPUTED_VALUE"""),"Jl. Dermaga, Lapulu")</f>
        <v>Jl. Dermaga, Lapulu</v>
      </c>
      <c r="L464" s="24"/>
      <c r="M464" s="24"/>
      <c r="N464" s="24" t="str">
        <f>IFERROR(__xludf.DUMMYFUNCTION("""COMPUTED_VALUE"""),"SMA / SMK / MA")</f>
        <v>SMA / SMK / MA</v>
      </c>
      <c r="O464" s="24"/>
      <c r="P464" s="24"/>
      <c r="Q464" s="24"/>
      <c r="R464" s="24" t="str">
        <f>IFERROR(__xludf.DUMMYFUNCTION("""COMPUTED_VALUE"""),"K")</f>
        <v>K</v>
      </c>
      <c r="S464" s="25"/>
    </row>
    <row r="465" ht="22.5" customHeight="1">
      <c r="A465" s="22">
        <v>464.0</v>
      </c>
      <c r="B465" s="24" t="str">
        <f>IFERROR(__xludf.DUMMYFUNCTION("""COMPUTED_VALUE"""),"Desainer Grafis Muda")</f>
        <v>Desainer Grafis Muda</v>
      </c>
      <c r="C465" s="24" t="str">
        <f>IFERROR(__xludf.DUMMYFUNCTION("""COMPUTED_VALUE"""),"SMK Negeri 4 Kendari")</f>
        <v>SMK Negeri 4 Kendari</v>
      </c>
      <c r="D465" s="24"/>
      <c r="E465" s="24"/>
      <c r="F465" s="24" t="str">
        <f>IFERROR(__xludf.DUMMYFUNCTION("""COMPUTED_VALUE"""),"MUHAMMAD IHSANUL AMAL")</f>
        <v>MUHAMMAD IHSANUL AMAL</v>
      </c>
      <c r="G465" s="86" t="str">
        <f>IFERROR(__xludf.DUMMYFUNCTION("""COMPUTED_VALUE"""),"7471091711080001")</f>
        <v>7471091711080001</v>
      </c>
      <c r="H465" s="24"/>
      <c r="I465" s="24"/>
      <c r="J465" s="24" t="str">
        <f>IFERROR(__xludf.DUMMYFUNCTION("""COMPUTED_VALUE"""),"LAKI-LAKI")</f>
        <v>LAKI-LAKI</v>
      </c>
      <c r="K465" s="24" t="str">
        <f>IFERROR(__xludf.DUMMYFUNCTION("""COMPUTED_VALUE"""),"Perumahan BTN Bonggoeya Graha Asi A.8")</f>
        <v>Perumahan BTN Bonggoeya Graha Asi A.8</v>
      </c>
      <c r="L465" s="24"/>
      <c r="M465" s="24"/>
      <c r="N465" s="24" t="str">
        <f>IFERROR(__xludf.DUMMYFUNCTION("""COMPUTED_VALUE"""),"SMA / SMK / MA")</f>
        <v>SMA / SMK / MA</v>
      </c>
      <c r="O465" s="24"/>
      <c r="P465" s="24"/>
      <c r="Q465" s="24"/>
      <c r="R465" s="24" t="str">
        <f>IFERROR(__xludf.DUMMYFUNCTION("""COMPUTED_VALUE"""),"K")</f>
        <v>K</v>
      </c>
      <c r="S465" s="25"/>
    </row>
    <row r="466" ht="22.5" customHeight="1">
      <c r="A466" s="22">
        <v>465.0</v>
      </c>
      <c r="B466" s="24" t="str">
        <f>IFERROR(__xludf.DUMMYFUNCTION("""COMPUTED_VALUE"""),"Desainer Grafis Muda")</f>
        <v>Desainer Grafis Muda</v>
      </c>
      <c r="C466" s="24" t="str">
        <f>IFERROR(__xludf.DUMMYFUNCTION("""COMPUTED_VALUE"""),"SMK Negeri 4 Kendari")</f>
        <v>SMK Negeri 4 Kendari</v>
      </c>
      <c r="D466" s="24"/>
      <c r="E466" s="24"/>
      <c r="F466" s="24" t="str">
        <f>IFERROR(__xludf.DUMMYFUNCTION("""COMPUTED_VALUE"""),"MUH. RIZKIQA JOKO")</f>
        <v>MUH. RIZKIQA JOKO</v>
      </c>
      <c r="G466" s="86" t="str">
        <f>IFERROR(__xludf.DUMMYFUNCTION("""COMPUTED_VALUE"""),"7471102604080001")</f>
        <v>7471102604080001</v>
      </c>
      <c r="H466" s="24"/>
      <c r="I466" s="24"/>
      <c r="J466" s="24" t="str">
        <f>IFERROR(__xludf.DUMMYFUNCTION("""COMPUTED_VALUE"""),"LAKI-LAKI")</f>
        <v>LAKI-LAKI</v>
      </c>
      <c r="K466" s="24" t="str">
        <f>IFERROR(__xludf.DUMMYFUNCTION("""COMPUTED_VALUE"""),"Kompleks BTN Kendari Permai")</f>
        <v>Kompleks BTN Kendari Permai</v>
      </c>
      <c r="L466" s="24"/>
      <c r="M466" s="24"/>
      <c r="N466" s="24" t="str">
        <f>IFERROR(__xludf.DUMMYFUNCTION("""COMPUTED_VALUE"""),"SMA / SMK / MA")</f>
        <v>SMA / SMK / MA</v>
      </c>
      <c r="O466" s="24"/>
      <c r="P466" s="24"/>
      <c r="Q466" s="24"/>
      <c r="R466" s="24" t="str">
        <f>IFERROR(__xludf.DUMMYFUNCTION("""COMPUTED_VALUE"""),"K")</f>
        <v>K</v>
      </c>
      <c r="S466" s="25"/>
    </row>
    <row r="467" ht="22.5" customHeight="1">
      <c r="A467" s="22">
        <v>466.0</v>
      </c>
      <c r="B467" s="24" t="str">
        <f>IFERROR(__xludf.DUMMYFUNCTION("""COMPUTED_VALUE"""),"Desainer Grafis Muda")</f>
        <v>Desainer Grafis Muda</v>
      </c>
      <c r="C467" s="24" t="str">
        <f>IFERROR(__xludf.DUMMYFUNCTION("""COMPUTED_VALUE"""),"SMK Negeri 4 Kendari")</f>
        <v>SMK Negeri 4 Kendari</v>
      </c>
      <c r="D467" s="24"/>
      <c r="E467" s="24"/>
      <c r="F467" s="24" t="str">
        <f>IFERROR(__xludf.DUMMYFUNCTION("""COMPUTED_VALUE"""),"MUHAMMAD ALAM")</f>
        <v>MUHAMMAD ALAM</v>
      </c>
      <c r="G467" s="86" t="str">
        <f>IFERROR(__xludf.DUMMYFUNCTION("""COMPUTED_VALUE"""),"7471060905080002")</f>
        <v>7471060905080002</v>
      </c>
      <c r="H467" s="24"/>
      <c r="I467" s="24"/>
      <c r="J467" s="24" t="str">
        <f>IFERROR(__xludf.DUMMYFUNCTION("""COMPUTED_VALUE"""),"LAKI-LAKI")</f>
        <v>LAKI-LAKI</v>
      </c>
      <c r="K467" s="24" t="str">
        <f>IFERROR(__xludf.DUMMYFUNCTION("""COMPUTED_VALUE"""),"Jln. Abeli, Kel. Anggalomelai, Kec. Nambo")</f>
        <v>Jln. Abeli, Kel. Anggalomelai, Kec. Nambo</v>
      </c>
      <c r="L467" s="24"/>
      <c r="M467" s="24"/>
      <c r="N467" s="24" t="str">
        <f>IFERROR(__xludf.DUMMYFUNCTION("""COMPUTED_VALUE"""),"SMA / SMK / MA")</f>
        <v>SMA / SMK / MA</v>
      </c>
      <c r="O467" s="24"/>
      <c r="P467" s="24"/>
      <c r="Q467" s="24"/>
      <c r="R467" s="24" t="str">
        <f>IFERROR(__xludf.DUMMYFUNCTION("""COMPUTED_VALUE"""),"K")</f>
        <v>K</v>
      </c>
      <c r="S467" s="25"/>
    </row>
    <row r="468" ht="22.5" customHeight="1">
      <c r="A468" s="22">
        <v>467.0</v>
      </c>
      <c r="B468" s="24" t="str">
        <f>IFERROR(__xludf.DUMMYFUNCTION("""COMPUTED_VALUE"""),"Desainer Grafis Muda")</f>
        <v>Desainer Grafis Muda</v>
      </c>
      <c r="C468" s="24" t="str">
        <f>IFERROR(__xludf.DUMMYFUNCTION("""COMPUTED_VALUE"""),"SMK Negeri 4 Kendari")</f>
        <v>SMK Negeri 4 Kendari</v>
      </c>
      <c r="D468" s="24"/>
      <c r="E468" s="24"/>
      <c r="F468" s="24" t="str">
        <f>IFERROR(__xludf.DUMMYFUNCTION("""COMPUTED_VALUE"""),"Muhammad Arga")</f>
        <v>Muhammad Arga</v>
      </c>
      <c r="G468" s="86" t="str">
        <f>IFERROR(__xludf.DUMMYFUNCTION("""COMPUTED_VALUE"""),"7405061001080001")</f>
        <v>7405061001080001</v>
      </c>
      <c r="H468" s="24"/>
      <c r="I468" s="24"/>
      <c r="J468" s="24" t="str">
        <f>IFERROR(__xludf.DUMMYFUNCTION("""COMPUTED_VALUE"""),"LAKI-LAKI")</f>
        <v>LAKI-LAKI</v>
      </c>
      <c r="K468" s="24"/>
      <c r="L468" s="24"/>
      <c r="M468" s="24"/>
      <c r="N468" s="24" t="str">
        <f>IFERROR(__xludf.DUMMYFUNCTION("""COMPUTED_VALUE"""),"SMA / SMK / MA")</f>
        <v>SMA / SMK / MA</v>
      </c>
      <c r="O468" s="24"/>
      <c r="P468" s="24"/>
      <c r="Q468" s="24"/>
      <c r="R468" s="24" t="str">
        <f>IFERROR(__xludf.DUMMYFUNCTION("""COMPUTED_VALUE"""),"BK")</f>
        <v>BK</v>
      </c>
      <c r="S468" s="25"/>
    </row>
    <row r="469" ht="22.5" customHeight="1">
      <c r="A469" s="22">
        <v>468.0</v>
      </c>
      <c r="B469" s="24" t="str">
        <f>IFERROR(__xludf.DUMMYFUNCTION("""COMPUTED_VALUE"""),"Desainer Grafis Muda")</f>
        <v>Desainer Grafis Muda</v>
      </c>
      <c r="C469" s="24" t="str">
        <f>IFERROR(__xludf.DUMMYFUNCTION("""COMPUTED_VALUE"""),"SMK Negeri 4 Kendari")</f>
        <v>SMK Negeri 4 Kendari</v>
      </c>
      <c r="D469" s="24"/>
      <c r="E469" s="24"/>
      <c r="F469" s="24" t="str">
        <f>IFERROR(__xludf.DUMMYFUNCTION("""COMPUTED_VALUE"""),"MUH. ILHAM AKBAR ENDRE")</f>
        <v>MUH. ILHAM AKBAR ENDRE</v>
      </c>
      <c r="G469" s="86" t="str">
        <f>IFERROR(__xludf.DUMMYFUNCTION("""COMPUTED_VALUE"""),"7471060402090001")</f>
        <v>7471060402090001</v>
      </c>
      <c r="H469" s="24"/>
      <c r="I469" s="24"/>
      <c r="J469" s="24" t="str">
        <f>IFERROR(__xludf.DUMMYFUNCTION("""COMPUTED_VALUE"""),"LAKI-LAKI")</f>
        <v>LAKI-LAKI</v>
      </c>
      <c r="K469" s="24" t="str">
        <f>IFERROR(__xludf.DUMMYFUNCTION("""COMPUTED_VALUE"""),"-")</f>
        <v>-</v>
      </c>
      <c r="L469" s="24"/>
      <c r="M469" s="24"/>
      <c r="N469" s="24" t="str">
        <f>IFERROR(__xludf.DUMMYFUNCTION("""COMPUTED_VALUE"""),"SMA / SMK / MA")</f>
        <v>SMA / SMK / MA</v>
      </c>
      <c r="O469" s="24"/>
      <c r="P469" s="24"/>
      <c r="Q469" s="24"/>
      <c r="R469" s="24" t="str">
        <f>IFERROR(__xludf.DUMMYFUNCTION("""COMPUTED_VALUE"""),"K")</f>
        <v>K</v>
      </c>
      <c r="S469" s="25"/>
    </row>
    <row r="470" ht="22.5" customHeight="1">
      <c r="A470" s="22">
        <v>469.0</v>
      </c>
      <c r="B470" s="24" t="str">
        <f>IFERROR(__xludf.DUMMYFUNCTION("""COMPUTED_VALUE"""),"Desainer Grafis Muda")</f>
        <v>Desainer Grafis Muda</v>
      </c>
      <c r="C470" s="24" t="str">
        <f>IFERROR(__xludf.DUMMYFUNCTION("""COMPUTED_VALUE"""),"SMK Negeri 4 Kendari")</f>
        <v>SMK Negeri 4 Kendari</v>
      </c>
      <c r="D470" s="24"/>
      <c r="E470" s="24"/>
      <c r="F470" s="24" t="str">
        <f>IFERROR(__xludf.DUMMYFUNCTION("""COMPUTED_VALUE"""),"Muh. Ismail")</f>
        <v>Muh. Ismail</v>
      </c>
      <c r="G470" s="86" t="str">
        <f>IFERROR(__xludf.DUMMYFUNCTION("""COMPUTED_VALUE"""),"7471062304060001")</f>
        <v>7471062304060001</v>
      </c>
      <c r="H470" s="24"/>
      <c r="I470" s="24"/>
      <c r="J470" s="24" t="str">
        <f>IFERROR(__xludf.DUMMYFUNCTION("""COMPUTED_VALUE"""),"LAKI-LAKI")</f>
        <v>LAKI-LAKI</v>
      </c>
      <c r="K470" s="24"/>
      <c r="L470" s="24"/>
      <c r="M470" s="24"/>
      <c r="N470" s="24" t="str">
        <f>IFERROR(__xludf.DUMMYFUNCTION("""COMPUTED_VALUE"""),"SMA / SMK / MA")</f>
        <v>SMA / SMK / MA</v>
      </c>
      <c r="O470" s="24"/>
      <c r="P470" s="24"/>
      <c r="Q470" s="24"/>
      <c r="R470" s="24" t="str">
        <f>IFERROR(__xludf.DUMMYFUNCTION("""COMPUTED_VALUE"""),"BK")</f>
        <v>BK</v>
      </c>
      <c r="S470" s="25"/>
    </row>
    <row r="471" ht="22.5" customHeight="1">
      <c r="A471" s="22">
        <v>470.0</v>
      </c>
      <c r="B471" s="24" t="str">
        <f>IFERROR(__xludf.DUMMYFUNCTION("""COMPUTED_VALUE"""),"Desainer Grafis Muda")</f>
        <v>Desainer Grafis Muda</v>
      </c>
      <c r="C471" s="24" t="str">
        <f>IFERROR(__xludf.DUMMYFUNCTION("""COMPUTED_VALUE"""),"SMK Negeri 4 Kendari")</f>
        <v>SMK Negeri 4 Kendari</v>
      </c>
      <c r="D471" s="24"/>
      <c r="E471" s="24"/>
      <c r="F471" s="24" t="str">
        <f>IFERROR(__xludf.DUMMYFUNCTION("""COMPUTED_VALUE"""),"MUH. NIZAR SYAPUTRA")</f>
        <v>MUH. NIZAR SYAPUTRA</v>
      </c>
      <c r="G471" s="86" t="str">
        <f>IFERROR(__xludf.DUMMYFUNCTION("""COMPUTED_VALUE"""),"7471062509080001")</f>
        <v>7471062509080001</v>
      </c>
      <c r="H471" s="24"/>
      <c r="I471" s="24"/>
      <c r="J471" s="24" t="str">
        <f>IFERROR(__xludf.DUMMYFUNCTION("""COMPUTED_VALUE"""),"LAKI-LAKI")</f>
        <v>LAKI-LAKI</v>
      </c>
      <c r="K471" s="24" t="str">
        <f>IFERROR(__xludf.DUMMYFUNCTION("""COMPUTED_VALUE"""),"Abeli/Teras Tuju")</f>
        <v>Abeli/Teras Tuju</v>
      </c>
      <c r="L471" s="24"/>
      <c r="M471" s="24"/>
      <c r="N471" s="24" t="str">
        <f>IFERROR(__xludf.DUMMYFUNCTION("""COMPUTED_VALUE"""),"SMA / SMK / MA")</f>
        <v>SMA / SMK / MA</v>
      </c>
      <c r="O471" s="24"/>
      <c r="P471" s="24"/>
      <c r="Q471" s="24"/>
      <c r="R471" s="24" t="str">
        <f>IFERROR(__xludf.DUMMYFUNCTION("""COMPUTED_VALUE"""),"K")</f>
        <v>K</v>
      </c>
      <c r="S471" s="25"/>
    </row>
    <row r="472" ht="22.5" customHeight="1">
      <c r="A472" s="22">
        <v>471.0</v>
      </c>
      <c r="B472" s="24" t="str">
        <f>IFERROR(__xludf.DUMMYFUNCTION("""COMPUTED_VALUE"""),"Desainer Grafis Muda")</f>
        <v>Desainer Grafis Muda</v>
      </c>
      <c r="C472" s="24" t="str">
        <f>IFERROR(__xludf.DUMMYFUNCTION("""COMPUTED_VALUE"""),"SMK Negeri 4 Kendari")</f>
        <v>SMK Negeri 4 Kendari</v>
      </c>
      <c r="D472" s="24"/>
      <c r="E472" s="24"/>
      <c r="F472" s="24" t="str">
        <f>IFERROR(__xludf.DUMMYFUNCTION("""COMPUTED_VALUE"""),"MUH. ULUL AL AZMIN")</f>
        <v>MUH. ULUL AL AZMIN</v>
      </c>
      <c r="G472" s="86" t="str">
        <f>IFERROR(__xludf.DUMMYFUNCTION("""COMPUTED_VALUE"""),"7403255001030001")</f>
        <v>7403255001030001</v>
      </c>
      <c r="H472" s="24"/>
      <c r="I472" s="24"/>
      <c r="J472" s="24" t="str">
        <f>IFERROR(__xludf.DUMMYFUNCTION("""COMPUTED_VALUE"""),"PEREMPUAN")</f>
        <v>PEREMPUAN</v>
      </c>
      <c r="K472" s="24"/>
      <c r="L472" s="24"/>
      <c r="M472" s="24"/>
      <c r="N472" s="24" t="str">
        <f>IFERROR(__xludf.DUMMYFUNCTION("""COMPUTED_VALUE"""),"SMA / SMK / MA")</f>
        <v>SMA / SMK / MA</v>
      </c>
      <c r="O472" s="24"/>
      <c r="P472" s="24"/>
      <c r="Q472" s="24"/>
      <c r="R472" s="24" t="str">
        <f>IFERROR(__xludf.DUMMYFUNCTION("""COMPUTED_VALUE"""),"K")</f>
        <v>K</v>
      </c>
      <c r="S472" s="25"/>
    </row>
    <row r="473" ht="22.5" customHeight="1">
      <c r="A473" s="22">
        <v>472.0</v>
      </c>
      <c r="B473" s="24" t="str">
        <f>IFERROR(__xludf.DUMMYFUNCTION("""COMPUTED_VALUE"""),"Desainer Grafis Muda")</f>
        <v>Desainer Grafis Muda</v>
      </c>
      <c r="C473" s="24" t="str">
        <f>IFERROR(__xludf.DUMMYFUNCTION("""COMPUTED_VALUE"""),"SMK Negeri 4 Kendari")</f>
        <v>SMK Negeri 4 Kendari</v>
      </c>
      <c r="D473" s="24"/>
      <c r="E473" s="24"/>
      <c r="F473" s="24" t="str">
        <f>IFERROR(__xludf.DUMMYFUNCTION("""COMPUTED_VALUE"""),"Mutmainnah")</f>
        <v>Mutmainnah</v>
      </c>
      <c r="G473" s="86" t="str">
        <f>IFERROR(__xludf.DUMMYFUNCTION("""COMPUTED_VALUE"""),"7405156706070001")</f>
        <v>7405156706070001</v>
      </c>
      <c r="H473" s="24"/>
      <c r="I473" s="24"/>
      <c r="J473" s="24" t="str">
        <f>IFERROR(__xludf.DUMMYFUNCTION("""COMPUTED_VALUE"""),"PEREMPUAN")</f>
        <v>PEREMPUAN</v>
      </c>
      <c r="K473" s="24" t="str">
        <f>IFERROR(__xludf.DUMMYFUNCTION("""COMPUTED_VALUE"""),"BTN Mutiara Gemilang Blok D6")</f>
        <v>BTN Mutiara Gemilang Blok D6</v>
      </c>
      <c r="L473" s="24"/>
      <c r="M473" s="24"/>
      <c r="N473" s="24" t="str">
        <f>IFERROR(__xludf.DUMMYFUNCTION("""COMPUTED_VALUE"""),"SMA / SMK / MA")</f>
        <v>SMA / SMK / MA</v>
      </c>
      <c r="O473" s="24"/>
      <c r="P473" s="24"/>
      <c r="Q473" s="24"/>
      <c r="R473" s="24" t="str">
        <f>IFERROR(__xludf.DUMMYFUNCTION("""COMPUTED_VALUE"""),"K")</f>
        <v>K</v>
      </c>
      <c r="S473" s="25"/>
    </row>
    <row r="474" ht="22.5" customHeight="1">
      <c r="A474" s="22">
        <v>473.0</v>
      </c>
      <c r="B474" s="24" t="str">
        <f>IFERROR(__xludf.DUMMYFUNCTION("""COMPUTED_VALUE"""),"Desainer Grafis Muda")</f>
        <v>Desainer Grafis Muda</v>
      </c>
      <c r="C474" s="24" t="str">
        <f>IFERROR(__xludf.DUMMYFUNCTION("""COMPUTED_VALUE"""),"SMK Negeri 4 Kendari")</f>
        <v>SMK Negeri 4 Kendari</v>
      </c>
      <c r="D474" s="24"/>
      <c r="E474" s="24"/>
      <c r="F474" s="24" t="str">
        <f>IFERROR(__xludf.DUMMYFUNCTION("""COMPUTED_VALUE"""),"NABIL")</f>
        <v>NABIL</v>
      </c>
      <c r="G474" s="86" t="str">
        <f>IFERROR(__xludf.DUMMYFUNCTION("""COMPUTED_VALUE"""),"7471060105070003")</f>
        <v>7471060105070003</v>
      </c>
      <c r="H474" s="24"/>
      <c r="I474" s="24"/>
      <c r="J474" s="24" t="str">
        <f>IFERROR(__xludf.DUMMYFUNCTION("""COMPUTED_VALUE"""),"LAKI-LAKI")</f>
        <v>LAKI-LAKI</v>
      </c>
      <c r="K474" s="24" t="str">
        <f>IFERROR(__xludf.DUMMYFUNCTION("""COMPUTED_VALUE"""),"Anggalo Melai Kec. Abeli")</f>
        <v>Anggalo Melai Kec. Abeli</v>
      </c>
      <c r="L474" s="24"/>
      <c r="M474" s="24"/>
      <c r="N474" s="24" t="str">
        <f>IFERROR(__xludf.DUMMYFUNCTION("""COMPUTED_VALUE"""),"SMA / SMK / MA")</f>
        <v>SMA / SMK / MA</v>
      </c>
      <c r="O474" s="24"/>
      <c r="P474" s="24"/>
      <c r="Q474" s="24"/>
      <c r="R474" s="24" t="str">
        <f>IFERROR(__xludf.DUMMYFUNCTION("""COMPUTED_VALUE"""),"K")</f>
        <v>K</v>
      </c>
      <c r="S474" s="25"/>
    </row>
    <row r="475" ht="22.5" customHeight="1">
      <c r="A475" s="22">
        <v>474.0</v>
      </c>
      <c r="B475" s="24" t="str">
        <f>IFERROR(__xludf.DUMMYFUNCTION("""COMPUTED_VALUE"""),"Desainer Grafis Muda")</f>
        <v>Desainer Grafis Muda</v>
      </c>
      <c r="C475" s="24" t="str">
        <f>IFERROR(__xludf.DUMMYFUNCTION("""COMPUTED_VALUE"""),"SMK Negeri 4 Kendari")</f>
        <v>SMK Negeri 4 Kendari</v>
      </c>
      <c r="D475" s="24"/>
      <c r="E475" s="24"/>
      <c r="F475" s="24" t="str">
        <f>IFERROR(__xludf.DUMMYFUNCTION("""COMPUTED_VALUE"""),"Najma Zalithea")</f>
        <v>Najma Zalithea</v>
      </c>
      <c r="G475" s="86" t="str">
        <f>IFERROR(__xludf.DUMMYFUNCTION("""COMPUTED_VALUE"""),"7471104712070002")</f>
        <v>7471104712070002</v>
      </c>
      <c r="H475" s="24"/>
      <c r="I475" s="24"/>
      <c r="J475" s="24" t="str">
        <f>IFERROR(__xludf.DUMMYFUNCTION("""COMPUTED_VALUE"""),"PEREMPUAN")</f>
        <v>PEREMPUAN</v>
      </c>
      <c r="K475" s="24" t="str">
        <f>IFERROR(__xludf.DUMMYFUNCTION("""COMPUTED_VALUE"""),"BTN Unhalu Blok W No 3")</f>
        <v>BTN Unhalu Blok W No 3</v>
      </c>
      <c r="L475" s="24"/>
      <c r="M475" s="24"/>
      <c r="N475" s="24" t="str">
        <f>IFERROR(__xludf.DUMMYFUNCTION("""COMPUTED_VALUE"""),"SMA / SMK / MA")</f>
        <v>SMA / SMK / MA</v>
      </c>
      <c r="O475" s="24"/>
      <c r="P475" s="24"/>
      <c r="Q475" s="24"/>
      <c r="R475" s="24" t="str">
        <f>IFERROR(__xludf.DUMMYFUNCTION("""COMPUTED_VALUE"""),"K")</f>
        <v>K</v>
      </c>
      <c r="S475" s="25"/>
    </row>
    <row r="476" ht="22.5" customHeight="1">
      <c r="A476" s="22">
        <v>475.0</v>
      </c>
      <c r="B476" s="24" t="str">
        <f>IFERROR(__xludf.DUMMYFUNCTION("""COMPUTED_VALUE"""),"Desainer Grafis Muda")</f>
        <v>Desainer Grafis Muda</v>
      </c>
      <c r="C476" s="24" t="str">
        <f>IFERROR(__xludf.DUMMYFUNCTION("""COMPUTED_VALUE"""),"SMK Negeri 4 Kendari")</f>
        <v>SMK Negeri 4 Kendari</v>
      </c>
      <c r="D476" s="24"/>
      <c r="E476" s="24"/>
      <c r="F476" s="24" t="str">
        <f>IFERROR(__xludf.DUMMYFUNCTION("""COMPUTED_VALUE"""),"NUR AISYA")</f>
        <v>NUR AISYA</v>
      </c>
      <c r="G476" s="86" t="str">
        <f>IFERROR(__xludf.DUMMYFUNCTION("""COMPUTED_VALUE"""),"7411054202090001")</f>
        <v>7411054202090001</v>
      </c>
      <c r="H476" s="24"/>
      <c r="I476" s="24"/>
      <c r="J476" s="24" t="str">
        <f>IFERROR(__xludf.DUMMYFUNCTION("""COMPUTED_VALUE"""),"PEREMPUAN")</f>
        <v>PEREMPUAN</v>
      </c>
      <c r="K476" s="24" t="str">
        <f>IFERROR(__xludf.DUMMYFUNCTION("""COMPUTED_VALUE"""),"Jl. Bunggasi, Anduonohu, Poasia")</f>
        <v>Jl. Bunggasi, Anduonohu, Poasia</v>
      </c>
      <c r="L476" s="24"/>
      <c r="M476" s="24"/>
      <c r="N476" s="24" t="str">
        <f>IFERROR(__xludf.DUMMYFUNCTION("""COMPUTED_VALUE"""),"SMA / SMK / MA")</f>
        <v>SMA / SMK / MA</v>
      </c>
      <c r="O476" s="24"/>
      <c r="P476" s="24"/>
      <c r="Q476" s="24"/>
      <c r="R476" s="24" t="str">
        <f>IFERROR(__xludf.DUMMYFUNCTION("""COMPUTED_VALUE"""),"K")</f>
        <v>K</v>
      </c>
      <c r="S476" s="25"/>
    </row>
    <row r="477" ht="22.5" customHeight="1">
      <c r="A477" s="22">
        <v>476.0</v>
      </c>
      <c r="B477" s="24" t="str">
        <f>IFERROR(__xludf.DUMMYFUNCTION("""COMPUTED_VALUE"""),"Desainer Grafis Muda")</f>
        <v>Desainer Grafis Muda</v>
      </c>
      <c r="C477" s="24" t="str">
        <f>IFERROR(__xludf.DUMMYFUNCTION("""COMPUTED_VALUE"""),"SMK Negeri 4 Kendari")</f>
        <v>SMK Negeri 4 Kendari</v>
      </c>
      <c r="D477" s="24"/>
      <c r="E477" s="24"/>
      <c r="F477" s="24" t="str">
        <f>IFERROR(__xludf.DUMMYFUNCTION("""COMPUTED_VALUE"""),"NURLAELA")</f>
        <v>NURLAELA</v>
      </c>
      <c r="G477" s="86" t="str">
        <f>IFERROR(__xludf.DUMMYFUNCTION("""COMPUTED_VALUE"""),"7405165709080001")</f>
        <v>7405165709080001</v>
      </c>
      <c r="H477" s="24"/>
      <c r="I477" s="24"/>
      <c r="J477" s="24" t="str">
        <f>IFERROR(__xludf.DUMMYFUNCTION("""COMPUTED_VALUE"""),"PEREMPUAN")</f>
        <v>PEREMPUAN</v>
      </c>
      <c r="K477" s="24" t="str">
        <f>IFERROR(__xludf.DUMMYFUNCTION("""COMPUTED_VALUE"""),"Perumnas Poasia, Blok. C, No. 279")</f>
        <v>Perumnas Poasia, Blok. C, No. 279</v>
      </c>
      <c r="L477" s="24"/>
      <c r="M477" s="24"/>
      <c r="N477" s="24" t="str">
        <f>IFERROR(__xludf.DUMMYFUNCTION("""COMPUTED_VALUE"""),"SMA / SMK / MA")</f>
        <v>SMA / SMK / MA</v>
      </c>
      <c r="O477" s="24"/>
      <c r="P477" s="24"/>
      <c r="Q477" s="24"/>
      <c r="R477" s="24" t="str">
        <f>IFERROR(__xludf.DUMMYFUNCTION("""COMPUTED_VALUE"""),"K")</f>
        <v>K</v>
      </c>
      <c r="S477" s="25"/>
    </row>
    <row r="478" ht="22.5" customHeight="1">
      <c r="A478" s="22">
        <v>477.0</v>
      </c>
      <c r="B478" s="24" t="str">
        <f>IFERROR(__xludf.DUMMYFUNCTION("""COMPUTED_VALUE"""),"Desainer Grafis Muda")</f>
        <v>Desainer Grafis Muda</v>
      </c>
      <c r="C478" s="24" t="str">
        <f>IFERROR(__xludf.DUMMYFUNCTION("""COMPUTED_VALUE"""),"SMK Negeri 4 Kendari")</f>
        <v>SMK Negeri 4 Kendari</v>
      </c>
      <c r="D478" s="24"/>
      <c r="E478" s="24"/>
      <c r="F478" s="24" t="str">
        <f>IFERROR(__xludf.DUMMYFUNCTION("""COMPUTED_VALUE"""),"NURUL FADILLAH")</f>
        <v>NURUL FADILLAH</v>
      </c>
      <c r="G478" s="86" t="str">
        <f>IFERROR(__xludf.DUMMYFUNCTION("""COMPUTED_VALUE"""),"7412055310100001")</f>
        <v>7412055310100001</v>
      </c>
      <c r="H478" s="24"/>
      <c r="I478" s="24"/>
      <c r="J478" s="24" t="str">
        <f>IFERROR(__xludf.DUMMYFUNCTION("""COMPUTED_VALUE"""),"PEREMPUAN")</f>
        <v>PEREMPUAN</v>
      </c>
      <c r="K478" s="24" t="str">
        <f>IFERROR(__xludf.DUMMYFUNCTION("""COMPUTED_VALUE"""),"Roko-Roko, Kab. Konawe Kepulauan")</f>
        <v>Roko-Roko, Kab. Konawe Kepulauan</v>
      </c>
      <c r="L478" s="24"/>
      <c r="M478" s="24"/>
      <c r="N478" s="24" t="str">
        <f>IFERROR(__xludf.DUMMYFUNCTION("""COMPUTED_VALUE"""),"SMA / SMK / MA")</f>
        <v>SMA / SMK / MA</v>
      </c>
      <c r="O478" s="24"/>
      <c r="P478" s="24"/>
      <c r="Q478" s="24"/>
      <c r="R478" s="24" t="str">
        <f>IFERROR(__xludf.DUMMYFUNCTION("""COMPUTED_VALUE"""),"K")</f>
        <v>K</v>
      </c>
      <c r="S478" s="25"/>
    </row>
    <row r="479" ht="22.5" customHeight="1">
      <c r="A479" s="22">
        <v>478.0</v>
      </c>
      <c r="B479" s="24" t="str">
        <f>IFERROR(__xludf.DUMMYFUNCTION("""COMPUTED_VALUE"""),"Desainer Grafis Muda")</f>
        <v>Desainer Grafis Muda</v>
      </c>
      <c r="C479" s="24" t="str">
        <f>IFERROR(__xludf.DUMMYFUNCTION("""COMPUTED_VALUE"""),"SMK Negeri 4 Kendari")</f>
        <v>SMK Negeri 4 Kendari</v>
      </c>
      <c r="D479" s="24"/>
      <c r="E479" s="24"/>
      <c r="F479" s="24" t="str">
        <f>IFERROR(__xludf.DUMMYFUNCTION("""COMPUTED_VALUE"""),"PUTRI KEYSIA")</f>
        <v>PUTRI KEYSIA</v>
      </c>
      <c r="G479" s="86" t="str">
        <f>IFERROR(__xludf.DUMMYFUNCTION("""COMPUTED_VALUE"""),"7471045111070001")</f>
        <v>7471045111070001</v>
      </c>
      <c r="H479" s="24"/>
      <c r="I479" s="24"/>
      <c r="J479" s="24" t="str">
        <f>IFERROR(__xludf.DUMMYFUNCTION("""COMPUTED_VALUE"""),"PEREMPUAN")</f>
        <v>PEREMPUAN</v>
      </c>
      <c r="K479" s="24" t="str">
        <f>IFERROR(__xludf.DUMMYFUNCTION("""COMPUTED_VALUE"""),"Jln. Wua-eha")</f>
        <v>Jln. Wua-eha</v>
      </c>
      <c r="L479" s="24"/>
      <c r="M479" s="24"/>
      <c r="N479" s="24" t="str">
        <f>IFERROR(__xludf.DUMMYFUNCTION("""COMPUTED_VALUE"""),"SMA / SMK / MA")</f>
        <v>SMA / SMK / MA</v>
      </c>
      <c r="O479" s="24"/>
      <c r="P479" s="24"/>
      <c r="Q479" s="24"/>
      <c r="R479" s="24" t="str">
        <f>IFERROR(__xludf.DUMMYFUNCTION("""COMPUTED_VALUE"""),"K")</f>
        <v>K</v>
      </c>
      <c r="S479" s="25"/>
    </row>
    <row r="480" ht="22.5" customHeight="1">
      <c r="A480" s="22">
        <v>479.0</v>
      </c>
      <c r="B480" s="24" t="str">
        <f>IFERROR(__xludf.DUMMYFUNCTION("""COMPUTED_VALUE"""),"Desainer Grafis Muda")</f>
        <v>Desainer Grafis Muda</v>
      </c>
      <c r="C480" s="24" t="str">
        <f>IFERROR(__xludf.DUMMYFUNCTION("""COMPUTED_VALUE"""),"SMK Negeri 4 Kendari")</f>
        <v>SMK Negeri 4 Kendari</v>
      </c>
      <c r="D480" s="24"/>
      <c r="E480" s="24"/>
      <c r="F480" s="24" t="str">
        <f>IFERROR(__xludf.DUMMYFUNCTION("""COMPUTED_VALUE"""),"REVA MULYASARI")</f>
        <v>REVA MULYASARI</v>
      </c>
      <c r="G480" s="86" t="str">
        <f>IFERROR(__xludf.DUMMYFUNCTION("""COMPUTED_VALUE"""),"7405035312070001")</f>
        <v>7405035312070001</v>
      </c>
      <c r="H480" s="24"/>
      <c r="I480" s="24"/>
      <c r="J480" s="24" t="str">
        <f>IFERROR(__xludf.DUMMYFUNCTION("""COMPUTED_VALUE"""),"PEREMPUAN")</f>
        <v>PEREMPUAN</v>
      </c>
      <c r="K480" s="24" t="str">
        <f>IFERROR(__xludf.DUMMYFUNCTION("""COMPUTED_VALUE"""),"BTN Villa Mutiara Boulevard")</f>
        <v>BTN Villa Mutiara Boulevard</v>
      </c>
      <c r="L480" s="24"/>
      <c r="M480" s="24"/>
      <c r="N480" s="24" t="str">
        <f>IFERROR(__xludf.DUMMYFUNCTION("""COMPUTED_VALUE"""),"SMA / SMK / MA")</f>
        <v>SMA / SMK / MA</v>
      </c>
      <c r="O480" s="24"/>
      <c r="P480" s="24"/>
      <c r="Q480" s="24"/>
      <c r="R480" s="24" t="str">
        <f>IFERROR(__xludf.DUMMYFUNCTION("""COMPUTED_VALUE"""),"K")</f>
        <v>K</v>
      </c>
      <c r="S480" s="25"/>
    </row>
    <row r="481" ht="22.5" customHeight="1">
      <c r="A481" s="22">
        <v>480.0</v>
      </c>
      <c r="B481" s="24" t="str">
        <f>IFERROR(__xludf.DUMMYFUNCTION("""COMPUTED_VALUE"""),"Desainer Grafis Muda")</f>
        <v>Desainer Grafis Muda</v>
      </c>
      <c r="C481" s="24" t="str">
        <f>IFERROR(__xludf.DUMMYFUNCTION("""COMPUTED_VALUE"""),"SMK Negeri 4 Kendari")</f>
        <v>SMK Negeri 4 Kendari</v>
      </c>
      <c r="D481" s="24"/>
      <c r="E481" s="24"/>
      <c r="F481" s="24" t="str">
        <f>IFERROR(__xludf.DUMMYFUNCTION("""COMPUTED_VALUE"""),"SAPRILIANTO")</f>
        <v>SAPRILIANTO</v>
      </c>
      <c r="G481" s="86" t="str">
        <f>IFERROR(__xludf.DUMMYFUNCTION("""COMPUTED_VALUE"""),"7471060804080002")</f>
        <v>7471060804080002</v>
      </c>
      <c r="H481" s="24"/>
      <c r="I481" s="24"/>
      <c r="J481" s="24" t="str">
        <f>IFERROR(__xludf.DUMMYFUNCTION("""COMPUTED_VALUE"""),"LAKI-LAKI")</f>
        <v>LAKI-LAKI</v>
      </c>
      <c r="K481" s="24" t="str">
        <f>IFERROR(__xludf.DUMMYFUNCTION("""COMPUTED_VALUE"""),"Jl. Malio, Kel. Petoaha, Kec. Nambo")</f>
        <v>Jl. Malio, Kel. Petoaha, Kec. Nambo</v>
      </c>
      <c r="L481" s="24"/>
      <c r="M481" s="24"/>
      <c r="N481" s="24" t="str">
        <f>IFERROR(__xludf.DUMMYFUNCTION("""COMPUTED_VALUE"""),"SMA / SMK / MA")</f>
        <v>SMA / SMK / MA</v>
      </c>
      <c r="O481" s="24"/>
      <c r="P481" s="24"/>
      <c r="Q481" s="24"/>
      <c r="R481" s="24" t="str">
        <f>IFERROR(__xludf.DUMMYFUNCTION("""COMPUTED_VALUE"""),"K")</f>
        <v>K</v>
      </c>
      <c r="S481" s="25"/>
    </row>
    <row r="482" ht="22.5" customHeight="1">
      <c r="A482" s="22">
        <v>481.0</v>
      </c>
      <c r="B482" s="24" t="str">
        <f>IFERROR(__xludf.DUMMYFUNCTION("""COMPUTED_VALUE"""),"Desainer Grafis Muda")</f>
        <v>Desainer Grafis Muda</v>
      </c>
      <c r="C482" s="24" t="str">
        <f>IFERROR(__xludf.DUMMYFUNCTION("""COMPUTED_VALUE"""),"SMK Negeri 4 Kendari")</f>
        <v>SMK Negeri 4 Kendari</v>
      </c>
      <c r="D482" s="24"/>
      <c r="E482" s="24"/>
      <c r="F482" s="24" t="str">
        <f>IFERROR(__xludf.DUMMYFUNCTION("""COMPUTED_VALUE"""),"SARTIKA")</f>
        <v>SARTIKA</v>
      </c>
      <c r="G482" s="86">
        <f>IFERROR(__xludf.DUMMYFUNCTION("""COMPUTED_VALUE"""),7.47104690407E15)</f>
        <v>7.47105E+15</v>
      </c>
      <c r="H482" s="24"/>
      <c r="I482" s="24"/>
      <c r="J482" s="24" t="str">
        <f>IFERROR(__xludf.DUMMYFUNCTION("""COMPUTED_VALUE"""),"PEREMPUAN")</f>
        <v>PEREMPUAN</v>
      </c>
      <c r="K482" s="24" t="str">
        <f>IFERROR(__xludf.DUMMYFUNCTION("""COMPUTED_VALUE"""),"Jalan Kancil")</f>
        <v>Jalan Kancil</v>
      </c>
      <c r="L482" s="24"/>
      <c r="M482" s="24"/>
      <c r="N482" s="24" t="str">
        <f>IFERROR(__xludf.DUMMYFUNCTION("""COMPUTED_VALUE"""),"SMA / SMK / MA")</f>
        <v>SMA / SMK / MA</v>
      </c>
      <c r="O482" s="24"/>
      <c r="P482" s="24"/>
      <c r="Q482" s="24"/>
      <c r="R482" s="24" t="str">
        <f>IFERROR(__xludf.DUMMYFUNCTION("""COMPUTED_VALUE"""),"K")</f>
        <v>K</v>
      </c>
      <c r="S482" s="25"/>
    </row>
    <row r="483" ht="22.5" customHeight="1">
      <c r="A483" s="22">
        <v>482.0</v>
      </c>
      <c r="B483" s="24" t="str">
        <f>IFERROR(__xludf.DUMMYFUNCTION("""COMPUTED_VALUE"""),"Desainer Grafis Muda")</f>
        <v>Desainer Grafis Muda</v>
      </c>
      <c r="C483" s="24" t="str">
        <f>IFERROR(__xludf.DUMMYFUNCTION("""COMPUTED_VALUE"""),"SMK Negeri 4 Kendari")</f>
        <v>SMK Negeri 4 Kendari</v>
      </c>
      <c r="D483" s="24"/>
      <c r="E483" s="24"/>
      <c r="F483" s="24" t="str">
        <f>IFERROR(__xludf.DUMMYFUNCTION("""COMPUTED_VALUE"""),"SUARDI")</f>
        <v>SUARDI</v>
      </c>
      <c r="G483" s="86" t="str">
        <f>IFERROR(__xludf.DUMMYFUNCTION("""COMPUTED_VALUE"""),"7471052506030001")</f>
        <v>7471052506030001</v>
      </c>
      <c r="H483" s="24"/>
      <c r="I483" s="24"/>
      <c r="J483" s="24" t="str">
        <f>IFERROR(__xludf.DUMMYFUNCTION("""COMPUTED_VALUE"""),"LAKI-LAKI")</f>
        <v>LAKI-LAKI</v>
      </c>
      <c r="K483" s="24" t="str">
        <f>IFERROR(__xludf.DUMMYFUNCTION("""COMPUTED_VALUE"""),"Jl. Badak Kampung Bugis")</f>
        <v>Jl. Badak Kampung Bugis</v>
      </c>
      <c r="L483" s="24"/>
      <c r="M483" s="24"/>
      <c r="N483" s="24" t="str">
        <f>IFERROR(__xludf.DUMMYFUNCTION("""COMPUTED_VALUE"""),"SMA / SMK / MA")</f>
        <v>SMA / SMK / MA</v>
      </c>
      <c r="O483" s="24"/>
      <c r="P483" s="24"/>
      <c r="Q483" s="24"/>
      <c r="R483" s="24" t="str">
        <f>IFERROR(__xludf.DUMMYFUNCTION("""COMPUTED_VALUE"""),"K")</f>
        <v>K</v>
      </c>
      <c r="S483" s="25"/>
    </row>
    <row r="484" ht="22.5" customHeight="1">
      <c r="A484" s="22">
        <v>483.0</v>
      </c>
      <c r="B484" s="24" t="str">
        <f>IFERROR(__xludf.DUMMYFUNCTION("""COMPUTED_VALUE"""),"Desainer Grafis Muda")</f>
        <v>Desainer Grafis Muda</v>
      </c>
      <c r="C484" s="24" t="str">
        <f>IFERROR(__xludf.DUMMYFUNCTION("""COMPUTED_VALUE"""),"SMK Negeri 4 Kendari")</f>
        <v>SMK Negeri 4 Kendari</v>
      </c>
      <c r="D484" s="24"/>
      <c r="E484" s="24"/>
      <c r="F484" s="24" t="str">
        <f>IFERROR(__xludf.DUMMYFUNCTION("""COMPUTED_VALUE"""),"Syahrul Saputra")</f>
        <v>Syahrul Saputra</v>
      </c>
      <c r="G484" s="86" t="str">
        <f>IFERROR(__xludf.DUMMYFUNCTION("""COMPUTED_VALUE"""),"7471062903080001")</f>
        <v>7471062903080001</v>
      </c>
      <c r="H484" s="24"/>
      <c r="I484" s="24"/>
      <c r="J484" s="24" t="str">
        <f>IFERROR(__xludf.DUMMYFUNCTION("""COMPUTED_VALUE"""),"LAKI-LAKI")</f>
        <v>LAKI-LAKI</v>
      </c>
      <c r="K484" s="24" t="str">
        <f>IFERROR(__xludf.DUMMYFUNCTION("""COMPUTED_VALUE"""),"Jl. Beringin")</f>
        <v>Jl. Beringin</v>
      </c>
      <c r="L484" s="24"/>
      <c r="M484" s="24"/>
      <c r="N484" s="24" t="str">
        <f>IFERROR(__xludf.DUMMYFUNCTION("""COMPUTED_VALUE"""),"SMA / SMK / MA")</f>
        <v>SMA / SMK / MA</v>
      </c>
      <c r="O484" s="24"/>
      <c r="P484" s="24"/>
      <c r="Q484" s="24"/>
      <c r="R484" s="24" t="str">
        <f>IFERROR(__xludf.DUMMYFUNCTION("""COMPUTED_VALUE"""),"K")</f>
        <v>K</v>
      </c>
      <c r="S484" s="25"/>
    </row>
    <row r="485" ht="22.5" customHeight="1">
      <c r="A485" s="22">
        <v>484.0</v>
      </c>
      <c r="B485" s="24" t="str">
        <f>IFERROR(__xludf.DUMMYFUNCTION("""COMPUTED_VALUE"""),"Desainer Grafis Muda")</f>
        <v>Desainer Grafis Muda</v>
      </c>
      <c r="C485" s="24" t="str">
        <f>IFERROR(__xludf.DUMMYFUNCTION("""COMPUTED_VALUE"""),"SMK Negeri 4 Kendari")</f>
        <v>SMK Negeri 4 Kendari</v>
      </c>
      <c r="D485" s="24"/>
      <c r="E485" s="24"/>
      <c r="F485" s="24" t="str">
        <f>IFERROR(__xludf.DUMMYFUNCTION("""COMPUTED_VALUE"""),"Thalita Mahya Novilia")</f>
        <v>Thalita Mahya Novilia</v>
      </c>
      <c r="G485" s="86" t="str">
        <f>IFERROR(__xludf.DUMMYFUNCTION("""COMPUTED_VALUE"""),"7405114311080001")</f>
        <v>7405114311080001</v>
      </c>
      <c r="H485" s="24"/>
      <c r="I485" s="24"/>
      <c r="J485" s="24" t="str">
        <f>IFERROR(__xludf.DUMMYFUNCTION("""COMPUTED_VALUE"""),"PEREMPUAN")</f>
        <v>PEREMPUAN</v>
      </c>
      <c r="K485" s="24" t="str">
        <f>IFERROR(__xludf.DUMMYFUNCTION("""COMPUTED_VALUE"""),"Jl. Kijang, Prumas Poasia")</f>
        <v>Jl. Kijang, Prumas Poasia</v>
      </c>
      <c r="L485" s="24"/>
      <c r="M485" s="24"/>
      <c r="N485" s="24" t="str">
        <f>IFERROR(__xludf.DUMMYFUNCTION("""COMPUTED_VALUE"""),"SMA / SMK / MA")</f>
        <v>SMA / SMK / MA</v>
      </c>
      <c r="O485" s="24"/>
      <c r="P485" s="24"/>
      <c r="Q485" s="24"/>
      <c r="R485" s="24" t="str">
        <f>IFERROR(__xludf.DUMMYFUNCTION("""COMPUTED_VALUE"""),"K")</f>
        <v>K</v>
      </c>
      <c r="S485" s="25"/>
    </row>
    <row r="486" ht="22.5" customHeight="1">
      <c r="A486" s="22">
        <v>485.0</v>
      </c>
      <c r="B486" s="24" t="str">
        <f>IFERROR(__xludf.DUMMYFUNCTION("""COMPUTED_VALUE"""),"Desainer Grafis Muda")</f>
        <v>Desainer Grafis Muda</v>
      </c>
      <c r="C486" s="24" t="str">
        <f>IFERROR(__xludf.DUMMYFUNCTION("""COMPUTED_VALUE"""),"SMK Negeri 4 Kendari")</f>
        <v>SMK Negeri 4 Kendari</v>
      </c>
      <c r="D486" s="24"/>
      <c r="E486" s="24"/>
      <c r="F486" s="24" t="str">
        <f>IFERROR(__xludf.DUMMYFUNCTION("""COMPUTED_VALUE"""),"UCI RAHMADANI SUARDI")</f>
        <v>UCI RAHMADANI SUARDI</v>
      </c>
      <c r="G486" s="86" t="str">
        <f>IFERROR(__xludf.DUMMYFUNCTION("""COMPUTED_VALUE"""),"7471064906080003")</f>
        <v>7471064906080003</v>
      </c>
      <c r="H486" s="24"/>
      <c r="I486" s="24"/>
      <c r="J486" s="24" t="str">
        <f>IFERROR(__xludf.DUMMYFUNCTION("""COMPUTED_VALUE"""),"PEREMPUAN")</f>
        <v>PEREMPUAN</v>
      </c>
      <c r="K486" s="24" t="str">
        <f>IFERROR(__xludf.DUMMYFUNCTION("""COMPUTED_VALUE"""),"Kelurahan Anggalomelai")</f>
        <v>Kelurahan Anggalomelai</v>
      </c>
      <c r="L486" s="24"/>
      <c r="M486" s="24"/>
      <c r="N486" s="24" t="str">
        <f>IFERROR(__xludf.DUMMYFUNCTION("""COMPUTED_VALUE"""),"SMA / SMK / MA")</f>
        <v>SMA / SMK / MA</v>
      </c>
      <c r="O486" s="24"/>
      <c r="P486" s="24"/>
      <c r="Q486" s="24"/>
      <c r="R486" s="24" t="str">
        <f>IFERROR(__xludf.DUMMYFUNCTION("""COMPUTED_VALUE"""),"K")</f>
        <v>K</v>
      </c>
      <c r="S486" s="25"/>
    </row>
    <row r="487" ht="22.5" customHeight="1">
      <c r="A487" s="22">
        <v>486.0</v>
      </c>
      <c r="B487" s="24" t="str">
        <f>IFERROR(__xludf.DUMMYFUNCTION("""COMPUTED_VALUE"""),"Desainer Grafis Muda")</f>
        <v>Desainer Grafis Muda</v>
      </c>
      <c r="C487" s="24" t="str">
        <f>IFERROR(__xludf.DUMMYFUNCTION("""COMPUTED_VALUE"""),"SMK Negeri 4 Kendari")</f>
        <v>SMK Negeri 4 Kendari</v>
      </c>
      <c r="D487" s="24"/>
      <c r="E487" s="24"/>
      <c r="F487" s="24" t="str">
        <f>IFERROR(__xludf.DUMMYFUNCTION("""COMPUTED_VALUE"""),"VIKRI RIANSYAH P.")</f>
        <v>VIKRI RIANSYAH P.</v>
      </c>
      <c r="G487" s="86" t="str">
        <f>IFERROR(__xludf.DUMMYFUNCTION("""COMPUTED_VALUE"""),"7471042004080001")</f>
        <v>7471042004080001</v>
      </c>
      <c r="H487" s="24"/>
      <c r="I487" s="24"/>
      <c r="J487" s="24" t="str">
        <f>IFERROR(__xludf.DUMMYFUNCTION("""COMPUTED_VALUE"""),"LAKI-LAKI")</f>
        <v>LAKI-LAKI</v>
      </c>
      <c r="K487" s="24" t="str">
        <f>IFERROR(__xludf.DUMMYFUNCTION("""COMPUTED_VALUE"""),"Jln. Sakulawu 7")</f>
        <v>Jln. Sakulawu 7</v>
      </c>
      <c r="L487" s="24"/>
      <c r="M487" s="24"/>
      <c r="N487" s="24" t="str">
        <f>IFERROR(__xludf.DUMMYFUNCTION("""COMPUTED_VALUE"""),"SMA / SMK / MA")</f>
        <v>SMA / SMK / MA</v>
      </c>
      <c r="O487" s="24"/>
      <c r="P487" s="24"/>
      <c r="Q487" s="24"/>
      <c r="R487" s="24" t="str">
        <f>IFERROR(__xludf.DUMMYFUNCTION("""COMPUTED_VALUE"""),"K")</f>
        <v>K</v>
      </c>
      <c r="S487" s="25"/>
    </row>
    <row r="488" ht="22.5" customHeight="1">
      <c r="A488" s="22">
        <v>487.0</v>
      </c>
      <c r="B488" s="24" t="str">
        <f>IFERROR(__xludf.DUMMYFUNCTION("""COMPUTED_VALUE"""),"Desainer Grafis Muda")</f>
        <v>Desainer Grafis Muda</v>
      </c>
      <c r="C488" s="24" t="str">
        <f>IFERROR(__xludf.DUMMYFUNCTION("""COMPUTED_VALUE"""),"SMK Negeri 4 Kendari")</f>
        <v>SMK Negeri 4 Kendari</v>
      </c>
      <c r="D488" s="24"/>
      <c r="E488" s="24"/>
      <c r="F488" s="24" t="str">
        <f>IFERROR(__xludf.DUMMYFUNCTION("""COMPUTED_VALUE"""),"SATRIO PANGESTU")</f>
        <v>SATRIO PANGESTU</v>
      </c>
      <c r="G488" s="86" t="str">
        <f>IFERROR(__xludf.DUMMYFUNCTION("""COMPUTED_VALUE"""),"7471041110000002")</f>
        <v>7471041110000002</v>
      </c>
      <c r="H488" s="24"/>
      <c r="I488" s="24"/>
      <c r="J488" s="24" t="str">
        <f>IFERROR(__xludf.DUMMYFUNCTION("""COMPUTED_VALUE"""),"LAKI-LAKI")</f>
        <v>LAKI-LAKI</v>
      </c>
      <c r="K488" s="24" t="str">
        <f>IFERROR(__xludf.DUMMYFUNCTION("""COMPUTED_VALUE"""),"Jl. Kijang No. 2, Poasia, Kota Kendari")</f>
        <v>Jl. Kijang No. 2, Poasia, Kota Kendari</v>
      </c>
      <c r="L488" s="24"/>
      <c r="M488" s="24"/>
      <c r="N488" s="24" t="str">
        <f>IFERROR(__xludf.DUMMYFUNCTION("""COMPUTED_VALUE"""),"SMA / SMK / MA")</f>
        <v>SMA / SMK / MA</v>
      </c>
      <c r="O488" s="24"/>
      <c r="P488" s="24"/>
      <c r="Q488" s="24"/>
      <c r="R488" s="24" t="str">
        <f>IFERROR(__xludf.DUMMYFUNCTION("""COMPUTED_VALUE"""),"K")</f>
        <v>K</v>
      </c>
      <c r="S488" s="25"/>
    </row>
    <row r="489" ht="22.5" customHeight="1">
      <c r="A489" s="22">
        <v>488.0</v>
      </c>
      <c r="B489" s="24" t="str">
        <f>IFERROR(__xludf.DUMMYFUNCTION("""COMPUTED_VALUE"""),"Desainer Grafis Muda")</f>
        <v>Desainer Grafis Muda</v>
      </c>
      <c r="C489" s="24" t="str">
        <f>IFERROR(__xludf.DUMMYFUNCTION("""COMPUTED_VALUE"""),"SMK Negeri 4 Kendari")</f>
        <v>SMK Negeri 4 Kendari</v>
      </c>
      <c r="D489" s="24"/>
      <c r="E489" s="24"/>
      <c r="F489" s="24" t="str">
        <f>IFERROR(__xludf.DUMMYFUNCTION("""COMPUTED_VALUE"""),"APRIL DIAN SAPUTRA")</f>
        <v>APRIL DIAN SAPUTRA</v>
      </c>
      <c r="G489" s="86" t="str">
        <f>IFERROR(__xludf.DUMMYFUNCTION("""COMPUTED_VALUE"""),"7471050404950002")</f>
        <v>7471050404950002</v>
      </c>
      <c r="H489" s="24"/>
      <c r="I489" s="24"/>
      <c r="J489" s="24" t="str">
        <f>IFERROR(__xludf.DUMMYFUNCTION("""COMPUTED_VALUE"""),"LAKI-LAKI")</f>
        <v>LAKI-LAKI</v>
      </c>
      <c r="K489" s="24" t="str">
        <f>IFERROR(__xludf.DUMMYFUNCTION("""COMPUTED_VALUE"""),"Jl. Dr. Sam Ratulangi, Lrg. Bina Guna")</f>
        <v>Jl. Dr. Sam Ratulangi, Lrg. Bina Guna</v>
      </c>
      <c r="L489" s="24"/>
      <c r="M489" s="24"/>
      <c r="N489" s="24" t="str">
        <f>IFERROR(__xludf.DUMMYFUNCTION("""COMPUTED_VALUE"""),"SMA / SMK / MA")</f>
        <v>SMA / SMK / MA</v>
      </c>
      <c r="O489" s="24"/>
      <c r="P489" s="24"/>
      <c r="Q489" s="24"/>
      <c r="R489" s="24" t="str">
        <f>IFERROR(__xludf.DUMMYFUNCTION("""COMPUTED_VALUE"""),"K")</f>
        <v>K</v>
      </c>
      <c r="S489" s="25"/>
    </row>
    <row r="490" ht="22.5" customHeight="1">
      <c r="A490" s="22">
        <v>489.0</v>
      </c>
      <c r="B490" s="24" t="str">
        <f>IFERROR(__xludf.DUMMYFUNCTION("""COMPUTED_VALUE"""),"Desainer Grafis Muda")</f>
        <v>Desainer Grafis Muda</v>
      </c>
      <c r="C490" s="24" t="str">
        <f>IFERROR(__xludf.DUMMYFUNCTION("""COMPUTED_VALUE"""),"SMK Negeri 4 Kendari")</f>
        <v>SMK Negeri 4 Kendari</v>
      </c>
      <c r="D490" s="24"/>
      <c r="E490" s="24"/>
      <c r="F490" s="24" t="str">
        <f>IFERROR(__xludf.DUMMYFUNCTION("""COMPUTED_VALUE"""),"MUHAMMAD INDRA FAISAL")</f>
        <v>MUHAMMAD INDRA FAISAL</v>
      </c>
      <c r="G490" s="86" t="str">
        <f>IFERROR(__xludf.DUMMYFUNCTION("""COMPUTED_VALUE"""),"7471031001900002")</f>
        <v>7471031001900002</v>
      </c>
      <c r="H490" s="24"/>
      <c r="I490" s="24"/>
      <c r="J490" s="24" t="str">
        <f>IFERROR(__xludf.DUMMYFUNCTION("""COMPUTED_VALUE"""),"LAKI-LAKI")</f>
        <v>LAKI-LAKI</v>
      </c>
      <c r="K490" s="24" t="str">
        <f>IFERROR(__xludf.DUMMYFUNCTION("""COMPUTED_VALUE"""),"-")</f>
        <v>-</v>
      </c>
      <c r="L490" s="24"/>
      <c r="M490" s="24"/>
      <c r="N490" s="24" t="str">
        <f>IFERROR(__xludf.DUMMYFUNCTION("""COMPUTED_VALUE"""),"SMA / SMK / MA")</f>
        <v>SMA / SMK / MA</v>
      </c>
      <c r="O490" s="24"/>
      <c r="P490" s="24"/>
      <c r="Q490" s="24"/>
      <c r="R490" s="24" t="str">
        <f>IFERROR(__xludf.DUMMYFUNCTION("""COMPUTED_VALUE"""),"K")</f>
        <v>K</v>
      </c>
      <c r="S490" s="25"/>
    </row>
    <row r="491" ht="22.5" customHeight="1">
      <c r="A491" s="22">
        <v>490.0</v>
      </c>
      <c r="B491" s="24" t="str">
        <f>IFERROR(__xludf.DUMMYFUNCTION("""COMPUTED_VALUE"""),"Desainer Grafis Muda")</f>
        <v>Desainer Grafis Muda</v>
      </c>
      <c r="C491" s="24" t="str">
        <f>IFERROR(__xludf.DUMMYFUNCTION("""COMPUTED_VALUE"""),"SMK Negeri 4 Kendari")</f>
        <v>SMK Negeri 4 Kendari</v>
      </c>
      <c r="D491" s="24"/>
      <c r="E491" s="24"/>
      <c r="F491" s="24" t="str">
        <f>IFERROR(__xludf.DUMMYFUNCTION("""COMPUTED_VALUE"""),"MUH. MASYKUR SAADUDDIN")</f>
        <v>MUH. MASYKUR SAADUDDIN</v>
      </c>
      <c r="G491" s="86" t="str">
        <f>IFERROR(__xludf.DUMMYFUNCTION("""COMPUTED_VALUE"""),"7471040312930001")</f>
        <v>7471040312930001</v>
      </c>
      <c r="H491" s="24"/>
      <c r="I491" s="24"/>
      <c r="J491" s="24" t="str">
        <f>IFERROR(__xludf.DUMMYFUNCTION("""COMPUTED_VALUE"""),"LAKI-LAKI")</f>
        <v>LAKI-LAKI</v>
      </c>
      <c r="K491" s="24" t="str">
        <f>IFERROR(__xludf.DUMMYFUNCTION("""COMPUTED_VALUE"""),"Jl. H.E.A. Mokodompit, Lr. Pelangi")</f>
        <v>Jl. H.E.A. Mokodompit, Lr. Pelangi</v>
      </c>
      <c r="L491" s="24"/>
      <c r="M491" s="24"/>
      <c r="N491" s="24" t="str">
        <f>IFERROR(__xludf.DUMMYFUNCTION("""COMPUTED_VALUE"""),"SMA / SMK / MA")</f>
        <v>SMA / SMK / MA</v>
      </c>
      <c r="O491" s="24"/>
      <c r="P491" s="24"/>
      <c r="Q491" s="24"/>
      <c r="R491" s="24" t="str">
        <f>IFERROR(__xludf.DUMMYFUNCTION("""COMPUTED_VALUE"""),"K")</f>
        <v>K</v>
      </c>
      <c r="S491" s="25"/>
    </row>
    <row r="492" ht="22.5" customHeight="1">
      <c r="A492" s="22">
        <v>491.0</v>
      </c>
      <c r="B492" s="24" t="str">
        <f>IFERROR(__xludf.DUMMYFUNCTION("""COMPUTED_VALUE"""),"Pengelola Administrasi Perkantoran")</f>
        <v>Pengelola Administrasi Perkantoran</v>
      </c>
      <c r="C492" s="24" t="str">
        <f>IFERROR(__xludf.DUMMYFUNCTION("""COMPUTED_VALUE"""),"SMK Negeri 1 Muna")</f>
        <v>SMK Negeri 1 Muna</v>
      </c>
      <c r="D492" s="24"/>
      <c r="E492" s="24"/>
      <c r="F492" s="24" t="str">
        <f>IFERROR(__xludf.DUMMYFUNCTION("""COMPUTED_VALUE"""),"MASRAWATI")</f>
        <v>MASRAWATI</v>
      </c>
      <c r="G492" s="24"/>
      <c r="H492" s="24"/>
      <c r="I492" s="24"/>
      <c r="J492" s="24" t="str">
        <f>IFERROR(__xludf.DUMMYFUNCTION("""COMPUTED_VALUE"""),"LAKI-LAKI")</f>
        <v>LAKI-LAKI</v>
      </c>
      <c r="K492" s="24" t="str">
        <f>IFERROR(__xludf.DUMMYFUNCTION("""COMPUTED_VALUE"""),"Jl. Lumba-lumba Raha")</f>
        <v>Jl. Lumba-lumba Raha</v>
      </c>
      <c r="L492" s="24"/>
      <c r="M492" s="24"/>
      <c r="N492" s="24" t="str">
        <f>IFERROR(__xludf.DUMMYFUNCTION("""COMPUTED_VALUE"""),"SMA / SMK / MA")</f>
        <v>SMA / SMK / MA</v>
      </c>
      <c r="O492" s="24"/>
      <c r="P492" s="24"/>
      <c r="Q492" s="24"/>
      <c r="R492" s="24" t="str">
        <f>IFERROR(__xludf.DUMMYFUNCTION("""COMPUTED_VALUE"""),"K")</f>
        <v>K</v>
      </c>
      <c r="S492" s="25"/>
    </row>
    <row r="493" ht="22.5" customHeight="1">
      <c r="A493" s="22">
        <v>492.0</v>
      </c>
      <c r="B493" s="24" t="str">
        <f>IFERROR(__xludf.DUMMYFUNCTION("""COMPUTED_VALUE"""),"Pengelola Administrasi Perkantoran")</f>
        <v>Pengelola Administrasi Perkantoran</v>
      </c>
      <c r="C493" s="24" t="str">
        <f>IFERROR(__xludf.DUMMYFUNCTION("""COMPUTED_VALUE"""),"SMK Negeri 1 Muna")</f>
        <v>SMK Negeri 1 Muna</v>
      </c>
      <c r="D493" s="24"/>
      <c r="E493" s="24"/>
      <c r="F493" s="24" t="str">
        <f>IFERROR(__xludf.DUMMYFUNCTION("""COMPUTED_VALUE"""),"LA KULE")</f>
        <v>LA KULE</v>
      </c>
      <c r="G493" s="24" t="str">
        <f>IFERROR(__xludf.DUMMYFUNCTION("""COMPUTED_VALUE"""),"7403150707850202")</f>
        <v>7403150707850202</v>
      </c>
      <c r="H493" s="24"/>
      <c r="I493" s="24"/>
      <c r="J493" s="24" t="str">
        <f>IFERROR(__xludf.DUMMYFUNCTION("""COMPUTED_VALUE"""),"LAKI-LAKI")</f>
        <v>LAKI-LAKI</v>
      </c>
      <c r="K493" s="24" t="str">
        <f>IFERROR(__xludf.DUMMYFUNCTION("""COMPUTED_VALUE"""),"Ds. Bunloi, Kec. Kongkunaga")</f>
        <v>Ds. Bunloi, Kec. Kongkunaga</v>
      </c>
      <c r="L493" s="24"/>
      <c r="M493" s="24"/>
      <c r="N493" s="24" t="str">
        <f>IFERROR(__xludf.DUMMYFUNCTION("""COMPUTED_VALUE"""),"SMA / SMK / MA")</f>
        <v>SMA / SMK / MA</v>
      </c>
      <c r="O493" s="24"/>
      <c r="P493" s="24"/>
      <c r="Q493" s="24"/>
      <c r="R493" s="24" t="str">
        <f>IFERROR(__xludf.DUMMYFUNCTION("""COMPUTED_VALUE"""),"K")</f>
        <v>K</v>
      </c>
      <c r="S493" s="25"/>
    </row>
    <row r="494" ht="22.5" customHeight="1">
      <c r="A494" s="22">
        <v>493.0</v>
      </c>
      <c r="B494" s="24" t="str">
        <f>IFERROR(__xludf.DUMMYFUNCTION("""COMPUTED_VALUE"""),"Pengelola Administrasi Perkantoran")</f>
        <v>Pengelola Administrasi Perkantoran</v>
      </c>
      <c r="C494" s="24" t="str">
        <f>IFERROR(__xludf.DUMMYFUNCTION("""COMPUTED_VALUE"""),"SMK Negeri 1 Muna")</f>
        <v>SMK Negeri 1 Muna</v>
      </c>
      <c r="D494" s="24"/>
      <c r="E494" s="24"/>
      <c r="F494" s="24" t="str">
        <f>IFERROR(__xludf.DUMMYFUNCTION("""COMPUTED_VALUE"""),"SALMAWATI")</f>
        <v>SALMAWATI</v>
      </c>
      <c r="G494" s="24" t="str">
        <f>IFERROR(__xludf.DUMMYFUNCTION("""COMPUTED_VALUE"""),"7403386010940001")</f>
        <v>7403386010940001</v>
      </c>
      <c r="H494" s="24"/>
      <c r="I494" s="24"/>
      <c r="J494" s="24" t="str">
        <f>IFERROR(__xludf.DUMMYFUNCTION("""COMPUTED_VALUE"""),"PEREMPUAN")</f>
        <v>PEREMPUAN</v>
      </c>
      <c r="K494" s="24" t="str">
        <f>IFERROR(__xludf.DUMMYFUNCTION("""COMPUTED_VALUE"""),"Desa Loghiya, Kec. Lohia, Kab. Muna")</f>
        <v>Desa Loghiya, Kec. Lohia, Kab. Muna</v>
      </c>
      <c r="L494" s="24"/>
      <c r="M494" s="24"/>
      <c r="N494" s="24" t="str">
        <f>IFERROR(__xludf.DUMMYFUNCTION("""COMPUTED_VALUE"""),"SMA / SMK / MA")</f>
        <v>SMA / SMK / MA</v>
      </c>
      <c r="O494" s="24"/>
      <c r="P494" s="24"/>
      <c r="Q494" s="24"/>
      <c r="R494" s="24" t="str">
        <f>IFERROR(__xludf.DUMMYFUNCTION("""COMPUTED_VALUE"""),"K")</f>
        <v>K</v>
      </c>
      <c r="S494" s="25"/>
    </row>
    <row r="495" ht="22.5" customHeight="1">
      <c r="A495" s="22">
        <v>494.0</v>
      </c>
      <c r="B495" s="24" t="str">
        <f>IFERROR(__xludf.DUMMYFUNCTION("""COMPUTED_VALUE"""),"Pengelola Administrasi Perkantoran")</f>
        <v>Pengelola Administrasi Perkantoran</v>
      </c>
      <c r="C495" s="24" t="str">
        <f>IFERROR(__xludf.DUMMYFUNCTION("""COMPUTED_VALUE"""),"SMK Negeri 1 Muna")</f>
        <v>SMK Negeri 1 Muna</v>
      </c>
      <c r="D495" s="24"/>
      <c r="E495" s="24"/>
      <c r="F495" s="24" t="str">
        <f>IFERROR(__xludf.DUMMYFUNCTION("""COMPUTED_VALUE"""),"WA ODE HASRIA")</f>
        <v>WA ODE HASRIA</v>
      </c>
      <c r="G495" s="24" t="str">
        <f>IFERROR(__xludf.DUMMYFUNCTION("""COMPUTED_VALUE"""),"7403096805930001")</f>
        <v>7403096805930001</v>
      </c>
      <c r="H495" s="24"/>
      <c r="I495" s="24"/>
      <c r="J495" s="24" t="str">
        <f>IFERROR(__xludf.DUMMYFUNCTION("""COMPUTED_VALUE"""),"PEREMPUAN")</f>
        <v>PEREMPUAN</v>
      </c>
      <c r="K495" s="24" t="str">
        <f>IFERROR(__xludf.DUMMYFUNCTION("""COMPUTED_VALUE"""),"Desa Bonea, Kec. Lasalepa, Kab. Muna")</f>
        <v>Desa Bonea, Kec. Lasalepa, Kab. Muna</v>
      </c>
      <c r="L495" s="24"/>
      <c r="M495" s="24"/>
      <c r="N495" s="24" t="str">
        <f>IFERROR(__xludf.DUMMYFUNCTION("""COMPUTED_VALUE"""),"SMA / SMK / MA")</f>
        <v>SMA / SMK / MA</v>
      </c>
      <c r="O495" s="24"/>
      <c r="P495" s="24"/>
      <c r="Q495" s="24"/>
      <c r="R495" s="24" t="str">
        <f>IFERROR(__xludf.DUMMYFUNCTION("""COMPUTED_VALUE"""),"K")</f>
        <v>K</v>
      </c>
      <c r="S495" s="25"/>
    </row>
    <row r="496" ht="22.5" customHeight="1">
      <c r="A496" s="22">
        <v>495.0</v>
      </c>
      <c r="B496" s="24" t="str">
        <f>IFERROR(__xludf.DUMMYFUNCTION("""COMPUTED_VALUE"""),"Pengelola Administrasi Perkantoran")</f>
        <v>Pengelola Administrasi Perkantoran</v>
      </c>
      <c r="C496" s="24" t="str">
        <f>IFERROR(__xludf.DUMMYFUNCTION("""COMPUTED_VALUE"""),"SMK Negeri 1 Muna")</f>
        <v>SMK Negeri 1 Muna</v>
      </c>
      <c r="D496" s="24"/>
      <c r="E496" s="24"/>
      <c r="F496" s="24" t="str">
        <f>IFERROR(__xludf.DUMMYFUNCTION("""COMPUTED_VALUE"""),"FIRDAUS")</f>
        <v>FIRDAUS</v>
      </c>
      <c r="G496" s="24" t="str">
        <f>IFERROR(__xludf.DUMMYFUNCTION("""COMPUTED_VALUE"""),"7403161103910002")</f>
        <v>7403161103910002</v>
      </c>
      <c r="H496" s="24"/>
      <c r="I496" s="24"/>
      <c r="J496" s="24" t="str">
        <f>IFERROR(__xludf.DUMMYFUNCTION("""COMPUTED_VALUE"""),"LAKI-LAKI")</f>
        <v>LAKI-LAKI</v>
      </c>
      <c r="K496" s="24" t="str">
        <f>IFERROR(__xludf.DUMMYFUNCTION("""COMPUTED_VALUE"""),"Jln. Gatotsubrito, Kel. Wamponiki, Kec. Katobu")</f>
        <v>Jln. Gatotsubrito, Kel. Wamponiki, Kec. Katobu</v>
      </c>
      <c r="L496" s="24"/>
      <c r="M496" s="24"/>
      <c r="N496" s="24" t="str">
        <f>IFERROR(__xludf.DUMMYFUNCTION("""COMPUTED_VALUE"""),"SMA / SMK / MA")</f>
        <v>SMA / SMK / MA</v>
      </c>
      <c r="O496" s="24"/>
      <c r="P496" s="24"/>
      <c r="Q496" s="24"/>
      <c r="R496" s="24" t="str">
        <f>IFERROR(__xludf.DUMMYFUNCTION("""COMPUTED_VALUE"""),"K")</f>
        <v>K</v>
      </c>
      <c r="S496" s="25"/>
    </row>
    <row r="497" ht="22.5" customHeight="1">
      <c r="A497" s="22">
        <v>496.0</v>
      </c>
      <c r="B497" s="24" t="str">
        <f>IFERROR(__xludf.DUMMYFUNCTION("""COMPUTED_VALUE"""),"Pengelola Administrasi Perkantoran")</f>
        <v>Pengelola Administrasi Perkantoran</v>
      </c>
      <c r="C497" s="24" t="str">
        <f>IFERROR(__xludf.DUMMYFUNCTION("""COMPUTED_VALUE"""),"SMK Negeri 1 Muna")</f>
        <v>SMK Negeri 1 Muna</v>
      </c>
      <c r="D497" s="24"/>
      <c r="E497" s="24"/>
      <c r="F497" s="24" t="str">
        <f>IFERROR(__xludf.DUMMYFUNCTION("""COMPUTED_VALUE"""),"RISKI SAMSIDAR SEKO")</f>
        <v>RISKI SAMSIDAR SEKO</v>
      </c>
      <c r="G497" s="24">
        <f>IFERROR(__xludf.DUMMYFUNCTION("""COMPUTED_VALUE"""),7.40519110189E14)</f>
        <v>740519110189000</v>
      </c>
      <c r="H497" s="24"/>
      <c r="I497" s="24"/>
      <c r="J497" s="24" t="str">
        <f>IFERROR(__xludf.DUMMYFUNCTION("""COMPUTED_VALUE"""),"LAKI-LAKI")</f>
        <v>LAKI-LAKI</v>
      </c>
      <c r="K497" s="24" t="str">
        <f>IFERROR(__xludf.DUMMYFUNCTION("""COMPUTED_VALUE"""),"Jl. Delima RT/RW 02/03 Kel. Raha II, Kec. Katobu")</f>
        <v>Jl. Delima RT/RW 02/03 Kel. Raha II, Kec. Katobu</v>
      </c>
      <c r="L497" s="24"/>
      <c r="M497" s="24"/>
      <c r="N497" s="24" t="str">
        <f>IFERROR(__xludf.DUMMYFUNCTION("""COMPUTED_VALUE"""),"SMA / SMK / MA")</f>
        <v>SMA / SMK / MA</v>
      </c>
      <c r="O497" s="24"/>
      <c r="P497" s="24"/>
      <c r="Q497" s="24"/>
      <c r="R497" s="24" t="str">
        <f>IFERROR(__xludf.DUMMYFUNCTION("""COMPUTED_VALUE"""),"K")</f>
        <v>K</v>
      </c>
      <c r="S497" s="25"/>
    </row>
    <row r="498" ht="22.5" customHeight="1">
      <c r="A498" s="22">
        <v>497.0</v>
      </c>
      <c r="B498" s="24" t="str">
        <f>IFERROR(__xludf.DUMMYFUNCTION("""COMPUTED_VALUE"""),"Pengelola Administrasi Perkantoran")</f>
        <v>Pengelola Administrasi Perkantoran</v>
      </c>
      <c r="C498" s="24" t="str">
        <f>IFERROR(__xludf.DUMMYFUNCTION("""COMPUTED_VALUE"""),"SMK Negeri 1 Muna")</f>
        <v>SMK Negeri 1 Muna</v>
      </c>
      <c r="D498" s="24"/>
      <c r="E498" s="24"/>
      <c r="F498" s="24" t="str">
        <f>IFERROR(__xludf.DUMMYFUNCTION("""COMPUTED_VALUE"""),"SRI KUSUMAWATI")</f>
        <v>SRI KUSUMAWATI</v>
      </c>
      <c r="G498" s="24" t="str">
        <f>IFERROR(__xludf.DUMMYFUNCTION("""COMPUTED_VALUE"""),"7403114304890202")</f>
        <v>7403114304890202</v>
      </c>
      <c r="H498" s="24"/>
      <c r="I498" s="24"/>
      <c r="J498" s="24" t="str">
        <f>IFERROR(__xludf.DUMMYFUNCTION("""COMPUTED_VALUE"""),"PEREMPUAN")</f>
        <v>PEREMPUAN</v>
      </c>
      <c r="K498" s="24" t="str">
        <f>IFERROR(__xludf.DUMMYFUNCTION("""COMPUTED_VALUE"""),"Jl. Made Sabara")</f>
        <v>Jl. Made Sabara</v>
      </c>
      <c r="L498" s="24"/>
      <c r="M498" s="24"/>
      <c r="N498" s="24" t="str">
        <f>IFERROR(__xludf.DUMMYFUNCTION("""COMPUTED_VALUE"""),"SMA / SMK / MA")</f>
        <v>SMA / SMK / MA</v>
      </c>
      <c r="O498" s="24"/>
      <c r="P498" s="24"/>
      <c r="Q498" s="24"/>
      <c r="R498" s="24" t="str">
        <f>IFERROR(__xludf.DUMMYFUNCTION("""COMPUTED_VALUE"""),"K")</f>
        <v>K</v>
      </c>
      <c r="S498" s="25"/>
    </row>
    <row r="499" ht="22.5" customHeight="1">
      <c r="A499" s="22">
        <v>498.0</v>
      </c>
      <c r="B499" s="24" t="str">
        <f>IFERROR(__xludf.DUMMYFUNCTION("""COMPUTED_VALUE"""),"Pengelola Administrasi Perkantoran")</f>
        <v>Pengelola Administrasi Perkantoran</v>
      </c>
      <c r="C499" s="24" t="str">
        <f>IFERROR(__xludf.DUMMYFUNCTION("""COMPUTED_VALUE"""),"SMK Negeri 1 Muna")</f>
        <v>SMK Negeri 1 Muna</v>
      </c>
      <c r="D499" s="24"/>
      <c r="E499" s="24"/>
      <c r="F499" s="24" t="str">
        <f>IFERROR(__xludf.DUMMYFUNCTION("""COMPUTED_VALUE"""),"RISKA")</f>
        <v>RISKA</v>
      </c>
      <c r="G499" s="24" t="str">
        <f>IFERROR(__xludf.DUMMYFUNCTION("""COMPUTED_VALUE"""),"7403114803940001")</f>
        <v>7403114803940001</v>
      </c>
      <c r="H499" s="24"/>
      <c r="I499" s="24"/>
      <c r="J499" s="24" t="str">
        <f>IFERROR(__xludf.DUMMYFUNCTION("""COMPUTED_VALUE"""),"PEREMPUAN")</f>
        <v>PEREMPUAN</v>
      </c>
      <c r="K499" s="24" t="str">
        <f>IFERROR(__xludf.DUMMYFUNCTION("""COMPUTED_VALUE"""),"Jl. Bunga Cerapaka")</f>
        <v>Jl. Bunga Cerapaka</v>
      </c>
      <c r="L499" s="24"/>
      <c r="M499" s="24"/>
      <c r="N499" s="24" t="str">
        <f>IFERROR(__xludf.DUMMYFUNCTION("""COMPUTED_VALUE"""),"SMA / SMK / MA")</f>
        <v>SMA / SMK / MA</v>
      </c>
      <c r="O499" s="24"/>
      <c r="P499" s="24"/>
      <c r="Q499" s="24"/>
      <c r="R499" s="24" t="str">
        <f>IFERROR(__xludf.DUMMYFUNCTION("""COMPUTED_VALUE"""),"K")</f>
        <v>K</v>
      </c>
      <c r="S499" s="25"/>
    </row>
    <row r="500" ht="22.5" customHeight="1">
      <c r="A500" s="22">
        <v>499.0</v>
      </c>
      <c r="B500" s="24" t="str">
        <f>IFERROR(__xludf.DUMMYFUNCTION("""COMPUTED_VALUE"""),"Pengelola Administrasi Perkantoran")</f>
        <v>Pengelola Administrasi Perkantoran</v>
      </c>
      <c r="C500" s="24" t="str">
        <f>IFERROR(__xludf.DUMMYFUNCTION("""COMPUTED_VALUE"""),"SMK Negeri 1 Muna")</f>
        <v>SMK Negeri 1 Muna</v>
      </c>
      <c r="D500" s="24"/>
      <c r="E500" s="24"/>
      <c r="F500" s="24" t="str">
        <f>IFERROR(__xludf.DUMMYFUNCTION("""COMPUTED_VALUE"""),"YENNI DARNA KOES INDAH")</f>
        <v>YENNI DARNA KOES INDAH</v>
      </c>
      <c r="G500" s="24" t="str">
        <f>IFERROR(__xludf.DUMMYFUNCTION("""COMPUTED_VALUE"""),"7403165601820001")</f>
        <v>7403165601820001</v>
      </c>
      <c r="H500" s="24"/>
      <c r="I500" s="24"/>
      <c r="J500" s="24" t="str">
        <f>IFERROR(__xludf.DUMMYFUNCTION("""COMPUTED_VALUE"""),"PEREMPUAN")</f>
        <v>PEREMPUAN</v>
      </c>
      <c r="K500" s="24" t="str">
        <f>IFERROR(__xludf.DUMMYFUNCTION("""COMPUTED_VALUE"""),"Jl. H. Agus Salim, No. 20 Raha")</f>
        <v>Jl. H. Agus Salim, No. 20 Raha</v>
      </c>
      <c r="L500" s="24"/>
      <c r="M500" s="24"/>
      <c r="N500" s="24" t="str">
        <f>IFERROR(__xludf.DUMMYFUNCTION("""COMPUTED_VALUE"""),"SMA / SMK / MA")</f>
        <v>SMA / SMK / MA</v>
      </c>
      <c r="O500" s="24"/>
      <c r="P500" s="24"/>
      <c r="Q500" s="24"/>
      <c r="R500" s="24" t="str">
        <f>IFERROR(__xludf.DUMMYFUNCTION("""COMPUTED_VALUE"""),"K")</f>
        <v>K</v>
      </c>
      <c r="S500" s="25"/>
    </row>
    <row r="501" ht="22.5" customHeight="1">
      <c r="A501" s="22">
        <v>500.0</v>
      </c>
      <c r="B501" s="24" t="str">
        <f>IFERROR(__xludf.DUMMYFUNCTION("""COMPUTED_VALUE"""),"Pengelola Administrasi Perkantoran")</f>
        <v>Pengelola Administrasi Perkantoran</v>
      </c>
      <c r="C501" s="24" t="str">
        <f>IFERROR(__xludf.DUMMYFUNCTION("""COMPUTED_VALUE"""),"SMK Negeri 1 Muna")</f>
        <v>SMK Negeri 1 Muna</v>
      </c>
      <c r="D501" s="24"/>
      <c r="E501" s="24"/>
      <c r="F501" s="24" t="str">
        <f>IFERROR(__xludf.DUMMYFUNCTION("""COMPUTED_VALUE"""),"AGNITA NOVIANTI SOLE")</f>
        <v>AGNITA NOVIANTI SOLE</v>
      </c>
      <c r="G501" s="24" t="str">
        <f>IFERROR(__xludf.DUMMYFUNCTION("""COMPUTED_VALUE"""),"7403164211070002")</f>
        <v>7403164211070002</v>
      </c>
      <c r="H501" s="24"/>
      <c r="I501" s="24"/>
      <c r="J501" s="24" t="str">
        <f>IFERROR(__xludf.DUMMYFUNCTION("""COMPUTED_VALUE"""),"PEREMPUAN")</f>
        <v>PEREMPUAN</v>
      </c>
      <c r="K501" s="24" t="str">
        <f>IFERROR(__xludf.DUMMYFUNCTION("""COMPUTED_VALUE"""),"Jl. ABD Kudus")</f>
        <v>Jl. ABD Kudus</v>
      </c>
      <c r="L501" s="24"/>
      <c r="M501" s="24"/>
      <c r="N501" s="24" t="str">
        <f>IFERROR(__xludf.DUMMYFUNCTION("""COMPUTED_VALUE"""),"SMA / SMK / MA")</f>
        <v>SMA / SMK / MA</v>
      </c>
      <c r="O501" s="24"/>
      <c r="P501" s="24"/>
      <c r="Q501" s="24"/>
      <c r="R501" s="24" t="str">
        <f>IFERROR(__xludf.DUMMYFUNCTION("""COMPUTED_VALUE"""),"K")</f>
        <v>K</v>
      </c>
      <c r="S501" s="25"/>
    </row>
    <row r="502" ht="22.5" customHeight="1">
      <c r="A502" s="22">
        <v>501.0</v>
      </c>
      <c r="B502" s="24" t="str">
        <f>IFERROR(__xludf.DUMMYFUNCTION("""COMPUTED_VALUE"""),"Pengelola Administrasi Perkantoran")</f>
        <v>Pengelola Administrasi Perkantoran</v>
      </c>
      <c r="C502" s="24" t="str">
        <f>IFERROR(__xludf.DUMMYFUNCTION("""COMPUTED_VALUE"""),"SMK Negeri 1 Muna")</f>
        <v>SMK Negeri 1 Muna</v>
      </c>
      <c r="D502" s="24"/>
      <c r="E502" s="24"/>
      <c r="F502" s="24" t="str">
        <f>IFERROR(__xludf.DUMMYFUNCTION("""COMPUTED_VALUE"""),"AMIRAH SHAKILA ALYA BADRINA")</f>
        <v>AMIRAH SHAKILA ALYA BADRINA</v>
      </c>
      <c r="G502" s="24" t="str">
        <f>IFERROR(__xludf.DUMMYFUNCTION("""COMPUTED_VALUE"""),"7371034704080001")</f>
        <v>7371034704080001</v>
      </c>
      <c r="H502" s="24"/>
      <c r="I502" s="24"/>
      <c r="J502" s="24" t="str">
        <f>IFERROR(__xludf.DUMMYFUNCTION("""COMPUTED_VALUE"""),"PEREMPUAN")</f>
        <v>PEREMPUAN</v>
      </c>
      <c r="K502" s="24" t="str">
        <f>IFERROR(__xludf.DUMMYFUNCTION("""COMPUTED_VALUE"""),"Jl. Sutan Syahrir")</f>
        <v>Jl. Sutan Syahrir</v>
      </c>
      <c r="L502" s="24"/>
      <c r="M502" s="24"/>
      <c r="N502" s="24" t="str">
        <f>IFERROR(__xludf.DUMMYFUNCTION("""COMPUTED_VALUE"""),"SMA / SMK / MA")</f>
        <v>SMA / SMK / MA</v>
      </c>
      <c r="O502" s="24"/>
      <c r="P502" s="24"/>
      <c r="Q502" s="24"/>
      <c r="R502" s="24" t="str">
        <f>IFERROR(__xludf.DUMMYFUNCTION("""COMPUTED_VALUE"""),"K")</f>
        <v>K</v>
      </c>
      <c r="S502" s="25"/>
    </row>
    <row r="503" ht="22.5" customHeight="1">
      <c r="A503" s="22">
        <v>502.0</v>
      </c>
      <c r="B503" s="24" t="str">
        <f>IFERROR(__xludf.DUMMYFUNCTION("""COMPUTED_VALUE"""),"Pengelola Administrasi Perkantoran")</f>
        <v>Pengelola Administrasi Perkantoran</v>
      </c>
      <c r="C503" s="24" t="str">
        <f>IFERROR(__xludf.DUMMYFUNCTION("""COMPUTED_VALUE"""),"SMK Negeri 1 Muna")</f>
        <v>SMK Negeri 1 Muna</v>
      </c>
      <c r="D503" s="24"/>
      <c r="E503" s="24"/>
      <c r="F503" s="24" t="str">
        <f>IFERROR(__xludf.DUMMYFUNCTION("""COMPUTED_VALUE"""),"AULIA NANDA")</f>
        <v>AULIA NANDA</v>
      </c>
      <c r="G503" s="24" t="str">
        <f>IFERROR(__xludf.DUMMYFUNCTION("""COMPUTED_VALUE"""),"7403175906080001")</f>
        <v>7403175906080001</v>
      </c>
      <c r="H503" s="24"/>
      <c r="I503" s="24"/>
      <c r="J503" s="24" t="str">
        <f>IFERROR(__xludf.DUMMYFUNCTION("""COMPUTED_VALUE"""),"PEREMPUAN")</f>
        <v>PEREMPUAN</v>
      </c>
      <c r="K503" s="24" t="str">
        <f>IFERROR(__xludf.DUMMYFUNCTION("""COMPUTED_VALUE"""),"Jl. Wahabara Desa Lagasa, Kec. Duruka, Kab. Muna")</f>
        <v>Jl. Wahabara Desa Lagasa, Kec. Duruka, Kab. Muna</v>
      </c>
      <c r="L503" s="24"/>
      <c r="M503" s="24"/>
      <c r="N503" s="24" t="str">
        <f>IFERROR(__xludf.DUMMYFUNCTION("""COMPUTED_VALUE"""),"SMA / SMK / MA")</f>
        <v>SMA / SMK / MA</v>
      </c>
      <c r="O503" s="24"/>
      <c r="P503" s="24"/>
      <c r="Q503" s="24"/>
      <c r="R503" s="24" t="str">
        <f>IFERROR(__xludf.DUMMYFUNCTION("""COMPUTED_VALUE"""),"K")</f>
        <v>K</v>
      </c>
      <c r="S503" s="25"/>
    </row>
    <row r="504" ht="22.5" customHeight="1">
      <c r="A504" s="22">
        <v>503.0</v>
      </c>
      <c r="B504" s="24" t="str">
        <f>IFERROR(__xludf.DUMMYFUNCTION("""COMPUTED_VALUE"""),"Pengelola Administrasi Perkantoran")</f>
        <v>Pengelola Administrasi Perkantoran</v>
      </c>
      <c r="C504" s="24" t="str">
        <f>IFERROR(__xludf.DUMMYFUNCTION("""COMPUTED_VALUE"""),"SMK Negeri 1 Muna")</f>
        <v>SMK Negeri 1 Muna</v>
      </c>
      <c r="D504" s="24"/>
      <c r="E504" s="24"/>
      <c r="F504" s="24" t="str">
        <f>IFERROR(__xludf.DUMMYFUNCTION("""COMPUTED_VALUE"""),"AYESHA ANASTASIA")</f>
        <v>AYESHA ANASTASIA</v>
      </c>
      <c r="G504" s="24" t="str">
        <f>IFERROR(__xludf.DUMMYFUNCTION("""COMPUTED_VALUE"""),"7403144106080001")</f>
        <v>7403144106080001</v>
      </c>
      <c r="H504" s="24"/>
      <c r="I504" s="24"/>
      <c r="J504" s="24" t="str">
        <f>IFERROR(__xludf.DUMMYFUNCTION("""COMPUTED_VALUE"""),"PEREMPUAN")</f>
        <v>PEREMPUAN</v>
      </c>
      <c r="K504" s="24" t="str">
        <f>IFERROR(__xludf.DUMMYFUNCTION("""COMPUTED_VALUE"""),"Bangunsari")</f>
        <v>Bangunsari</v>
      </c>
      <c r="L504" s="24"/>
      <c r="M504" s="24"/>
      <c r="N504" s="24" t="str">
        <f>IFERROR(__xludf.DUMMYFUNCTION("""COMPUTED_VALUE"""),"SMA / SMK / MA")</f>
        <v>SMA / SMK / MA</v>
      </c>
      <c r="O504" s="24"/>
      <c r="P504" s="24"/>
      <c r="Q504" s="24"/>
      <c r="R504" s="24" t="str">
        <f>IFERROR(__xludf.DUMMYFUNCTION("""COMPUTED_VALUE"""),"K")</f>
        <v>K</v>
      </c>
      <c r="S504" s="25"/>
    </row>
    <row r="505" ht="22.5" customHeight="1">
      <c r="A505" s="22">
        <v>504.0</v>
      </c>
      <c r="B505" s="24" t="str">
        <f>IFERROR(__xludf.DUMMYFUNCTION("""COMPUTED_VALUE"""),"Pengelola Administrasi Perkantoran")</f>
        <v>Pengelola Administrasi Perkantoran</v>
      </c>
      <c r="C505" s="24" t="str">
        <f>IFERROR(__xludf.DUMMYFUNCTION("""COMPUTED_VALUE"""),"SMK Negeri 1 Muna")</f>
        <v>SMK Negeri 1 Muna</v>
      </c>
      <c r="D505" s="24"/>
      <c r="E505" s="24"/>
      <c r="F505" s="24" t="str">
        <f>IFERROR(__xludf.DUMMYFUNCTION("""COMPUTED_VALUE"""),"ELSY ANGGRAINI")</f>
        <v>ELSY ANGGRAINI</v>
      </c>
      <c r="G505" s="24" t="str">
        <f>IFERROR(__xludf.DUMMYFUNCTION("""COMPUTED_VALUE"""),"7403144107070229")</f>
        <v>7403144107070229</v>
      </c>
      <c r="H505" s="24"/>
      <c r="I505" s="24"/>
      <c r="J505" s="24" t="str">
        <f>IFERROR(__xludf.DUMMYFUNCTION("""COMPUTED_VALUE"""),"PEREMPUAN")</f>
        <v>PEREMPUAN</v>
      </c>
      <c r="K505" s="24" t="str">
        <f>IFERROR(__xludf.DUMMYFUNCTION("""COMPUTED_VALUE"""),"Bangunsari")</f>
        <v>Bangunsari</v>
      </c>
      <c r="L505" s="24"/>
      <c r="M505" s="24"/>
      <c r="N505" s="24" t="str">
        <f>IFERROR(__xludf.DUMMYFUNCTION("""COMPUTED_VALUE"""),"SMA / SMK / MA")</f>
        <v>SMA / SMK / MA</v>
      </c>
      <c r="O505" s="24"/>
      <c r="P505" s="24"/>
      <c r="Q505" s="24"/>
      <c r="R505" s="24" t="str">
        <f>IFERROR(__xludf.DUMMYFUNCTION("""COMPUTED_VALUE"""),"K")</f>
        <v>K</v>
      </c>
      <c r="S505" s="25"/>
    </row>
    <row r="506" ht="22.5" customHeight="1">
      <c r="A506" s="22">
        <v>505.0</v>
      </c>
      <c r="B506" s="24" t="str">
        <f>IFERROR(__xludf.DUMMYFUNCTION("""COMPUTED_VALUE"""),"Pengelola Administrasi Perkantoran")</f>
        <v>Pengelola Administrasi Perkantoran</v>
      </c>
      <c r="C506" s="24" t="str">
        <f>IFERROR(__xludf.DUMMYFUNCTION("""COMPUTED_VALUE"""),"SMK Negeri 1 Muna")</f>
        <v>SMK Negeri 1 Muna</v>
      </c>
      <c r="D506" s="24"/>
      <c r="E506" s="24"/>
      <c r="F506" s="24" t="str">
        <f>IFERROR(__xludf.DUMMYFUNCTION("""COMPUTED_VALUE"""),"HELMA")</f>
        <v>HELMA</v>
      </c>
      <c r="G506" s="24" t="str">
        <f>IFERROR(__xludf.DUMMYFUNCTION("""COMPUTED_VALUE"""),"7403191002070001")</f>
        <v>7403191002070001</v>
      </c>
      <c r="H506" s="24"/>
      <c r="I506" s="24"/>
      <c r="J506" s="24" t="str">
        <f>IFERROR(__xludf.DUMMYFUNCTION("""COMPUTED_VALUE"""),"LAKI-LAKI")</f>
        <v>LAKI-LAKI</v>
      </c>
      <c r="K506" s="24" t="str">
        <f>IFERROR(__xludf.DUMMYFUNCTION("""COMPUTED_VALUE"""),"Kel. Dana, Kec. Watopute, Kab. Muna")</f>
        <v>Kel. Dana, Kec. Watopute, Kab. Muna</v>
      </c>
      <c r="L506" s="24"/>
      <c r="M506" s="24"/>
      <c r="N506" s="24" t="str">
        <f>IFERROR(__xludf.DUMMYFUNCTION("""COMPUTED_VALUE"""),"SMA / SMK / MA")</f>
        <v>SMA / SMK / MA</v>
      </c>
      <c r="O506" s="24"/>
      <c r="P506" s="24"/>
      <c r="Q506" s="24"/>
      <c r="R506" s="24" t="str">
        <f>IFERROR(__xludf.DUMMYFUNCTION("""COMPUTED_VALUE"""),"K")</f>
        <v>K</v>
      </c>
      <c r="S506" s="25"/>
    </row>
    <row r="507" ht="22.5" customHeight="1">
      <c r="A507" s="22">
        <v>506.0</v>
      </c>
      <c r="B507" s="24" t="str">
        <f>IFERROR(__xludf.DUMMYFUNCTION("""COMPUTED_VALUE"""),"Pengelola Administrasi Perkantoran")</f>
        <v>Pengelola Administrasi Perkantoran</v>
      </c>
      <c r="C507" s="24" t="str">
        <f>IFERROR(__xludf.DUMMYFUNCTION("""COMPUTED_VALUE"""),"SMK Negeri 1 Muna")</f>
        <v>SMK Negeri 1 Muna</v>
      </c>
      <c r="D507" s="24"/>
      <c r="E507" s="24"/>
      <c r="F507" s="24" t="str">
        <f>IFERROR(__xludf.DUMMYFUNCTION("""COMPUTED_VALUE"""),"KESYA AULYA PRATAMA")</f>
        <v>KESYA AULYA PRATAMA</v>
      </c>
      <c r="G507" s="24" t="str">
        <f>IFERROR(__xludf.DUMMYFUNCTION("""COMPUTED_VALUE"""),"7403116802080502")</f>
        <v>7403116802080502</v>
      </c>
      <c r="H507" s="24"/>
      <c r="I507" s="24"/>
      <c r="J507" s="24" t="str">
        <f>IFERROR(__xludf.DUMMYFUNCTION("""COMPUTED_VALUE"""),"PEREMPUAN")</f>
        <v>PEREMPUAN</v>
      </c>
      <c r="K507" s="24" t="str">
        <f>IFERROR(__xludf.DUMMYFUNCTION("""COMPUTED_VALUE"""),"Jl. Diponegoro")</f>
        <v>Jl. Diponegoro</v>
      </c>
      <c r="L507" s="24"/>
      <c r="M507" s="24"/>
      <c r="N507" s="24" t="str">
        <f>IFERROR(__xludf.DUMMYFUNCTION("""COMPUTED_VALUE"""),"SMA / SMK / MA")</f>
        <v>SMA / SMK / MA</v>
      </c>
      <c r="O507" s="24"/>
      <c r="P507" s="24"/>
      <c r="Q507" s="24"/>
      <c r="R507" s="24" t="str">
        <f>IFERROR(__xludf.DUMMYFUNCTION("""COMPUTED_VALUE"""),"K")</f>
        <v>K</v>
      </c>
      <c r="S507" s="25"/>
    </row>
    <row r="508" ht="22.5" customHeight="1">
      <c r="A508" s="22">
        <v>507.0</v>
      </c>
      <c r="B508" s="24" t="str">
        <f>IFERROR(__xludf.DUMMYFUNCTION("""COMPUTED_VALUE"""),"Pengelola Administrasi Perkantoran")</f>
        <v>Pengelola Administrasi Perkantoran</v>
      </c>
      <c r="C508" s="24" t="str">
        <f>IFERROR(__xludf.DUMMYFUNCTION("""COMPUTED_VALUE"""),"SMK Negeri 1 Muna")</f>
        <v>SMK Negeri 1 Muna</v>
      </c>
      <c r="D508" s="24"/>
      <c r="E508" s="24"/>
      <c r="F508" s="24" t="str">
        <f>IFERROR(__xludf.DUMMYFUNCTION("""COMPUTED_VALUE"""),"MARLIAN")</f>
        <v>MARLIAN</v>
      </c>
      <c r="G508" s="24" t="str">
        <f>IFERROR(__xludf.DUMMYFUNCTION("""COMPUTED_VALUE"""),"7403194107070253")</f>
        <v>7403194107070253</v>
      </c>
      <c r="H508" s="24"/>
      <c r="I508" s="24"/>
      <c r="J508" s="24" t="str">
        <f>IFERROR(__xludf.DUMMYFUNCTION("""COMPUTED_VALUE"""),"PEREMPUAN")</f>
        <v>PEREMPUAN</v>
      </c>
      <c r="K508" s="24" t="str">
        <f>IFERROR(__xludf.DUMMYFUNCTION("""COMPUTED_VALUE"""),"Desa Benke")</f>
        <v>Desa Benke</v>
      </c>
      <c r="L508" s="24"/>
      <c r="M508" s="24"/>
      <c r="N508" s="24" t="str">
        <f>IFERROR(__xludf.DUMMYFUNCTION("""COMPUTED_VALUE"""),"SMA / SMK / MA")</f>
        <v>SMA / SMK / MA</v>
      </c>
      <c r="O508" s="24"/>
      <c r="P508" s="24"/>
      <c r="Q508" s="24"/>
      <c r="R508" s="24" t="str">
        <f>IFERROR(__xludf.DUMMYFUNCTION("""COMPUTED_VALUE"""),"K")</f>
        <v>K</v>
      </c>
      <c r="S508" s="25"/>
    </row>
    <row r="509" ht="22.5" customHeight="1">
      <c r="A509" s="22">
        <v>508.0</v>
      </c>
      <c r="B509" s="24" t="str">
        <f>IFERROR(__xludf.DUMMYFUNCTION("""COMPUTED_VALUE"""),"Pengelola Administrasi Perkantoran")</f>
        <v>Pengelola Administrasi Perkantoran</v>
      </c>
      <c r="C509" s="24" t="str">
        <f>IFERROR(__xludf.DUMMYFUNCTION("""COMPUTED_VALUE"""),"SMK Negeri 1 Muna")</f>
        <v>SMK Negeri 1 Muna</v>
      </c>
      <c r="D509" s="24"/>
      <c r="E509" s="24"/>
      <c r="F509" s="24" t="str">
        <f>IFERROR(__xludf.DUMMYFUNCTION("""COMPUTED_VALUE"""),"NADIRA")</f>
        <v>NADIRA</v>
      </c>
      <c r="G509" s="24" t="str">
        <f>IFERROR(__xludf.DUMMYFUNCTION("""COMPUTED_VALUE"""),"7403124303080001")</f>
        <v>7403124303080001</v>
      </c>
      <c r="H509" s="24"/>
      <c r="I509" s="24"/>
      <c r="J509" s="24" t="str">
        <f>IFERROR(__xludf.DUMMYFUNCTION("""COMPUTED_VALUE"""),"PEREMPUAN")</f>
        <v>PEREMPUAN</v>
      </c>
      <c r="K509" s="24" t="str">
        <f>IFERROR(__xludf.DUMMYFUNCTION("""COMPUTED_VALUE"""),"Jl. Sutan Syahrir")</f>
        <v>Jl. Sutan Syahrir</v>
      </c>
      <c r="L509" s="24"/>
      <c r="M509" s="24"/>
      <c r="N509" s="24" t="str">
        <f>IFERROR(__xludf.DUMMYFUNCTION("""COMPUTED_VALUE"""),"SMA / SMK / MA")</f>
        <v>SMA / SMK / MA</v>
      </c>
      <c r="O509" s="24"/>
      <c r="P509" s="24"/>
      <c r="Q509" s="24"/>
      <c r="R509" s="24" t="str">
        <f>IFERROR(__xludf.DUMMYFUNCTION("""COMPUTED_VALUE"""),"K")</f>
        <v>K</v>
      </c>
      <c r="S509" s="25"/>
    </row>
    <row r="510" ht="22.5" customHeight="1">
      <c r="A510" s="22">
        <v>509.0</v>
      </c>
      <c r="B510" s="24" t="str">
        <f>IFERROR(__xludf.DUMMYFUNCTION("""COMPUTED_VALUE"""),"Pengelola Administrasi Perkantoran")</f>
        <v>Pengelola Administrasi Perkantoran</v>
      </c>
      <c r="C510" s="24" t="str">
        <f>IFERROR(__xludf.DUMMYFUNCTION("""COMPUTED_VALUE"""),"SMK Negeri 1 Muna")</f>
        <v>SMK Negeri 1 Muna</v>
      </c>
      <c r="D510" s="24"/>
      <c r="E510" s="24"/>
      <c r="F510" s="24" t="str">
        <f>IFERROR(__xludf.DUMMYFUNCTION("""COMPUTED_VALUE"""),"NUR ILAM")</f>
        <v>NUR ILAM</v>
      </c>
      <c r="G510" s="24" t="str">
        <f>IFERROR(__xludf.DUMMYFUNCTION("""COMPUTED_VALUE"""),"7403194911070001")</f>
        <v>7403194911070001</v>
      </c>
      <c r="H510" s="24"/>
      <c r="I510" s="24"/>
      <c r="J510" s="24" t="str">
        <f>IFERROR(__xludf.DUMMYFUNCTION("""COMPUTED_VALUE"""),"PEREMPUAN")</f>
        <v>PEREMPUAN</v>
      </c>
      <c r="K510" s="24" t="str">
        <f>IFERROR(__xludf.DUMMYFUNCTION("""COMPUTED_VALUE"""),"Kel. Dana, Kec. Watopute, Kab. Muna")</f>
        <v>Kel. Dana, Kec. Watopute, Kab. Muna</v>
      </c>
      <c r="L510" s="24"/>
      <c r="M510" s="24"/>
      <c r="N510" s="24" t="str">
        <f>IFERROR(__xludf.DUMMYFUNCTION("""COMPUTED_VALUE"""),"SMA / SMK / MA")</f>
        <v>SMA / SMK / MA</v>
      </c>
      <c r="O510" s="24"/>
      <c r="P510" s="24"/>
      <c r="Q510" s="24"/>
      <c r="R510" s="24" t="str">
        <f>IFERROR(__xludf.DUMMYFUNCTION("""COMPUTED_VALUE"""),"K")</f>
        <v>K</v>
      </c>
      <c r="S510" s="25"/>
    </row>
    <row r="511" ht="22.5" customHeight="1">
      <c r="A511" s="22">
        <v>510.0</v>
      </c>
      <c r="B511" s="24" t="str">
        <f>IFERROR(__xludf.DUMMYFUNCTION("""COMPUTED_VALUE"""),"Pengelola Administrasi Perkantoran")</f>
        <v>Pengelola Administrasi Perkantoran</v>
      </c>
      <c r="C511" s="24" t="str">
        <f>IFERROR(__xludf.DUMMYFUNCTION("""COMPUTED_VALUE"""),"SMK Negeri 1 Muna")</f>
        <v>SMK Negeri 1 Muna</v>
      </c>
      <c r="D511" s="24"/>
      <c r="E511" s="24"/>
      <c r="F511" s="24" t="str">
        <f>IFERROR(__xludf.DUMMYFUNCTION("""COMPUTED_VALUE"""),"NUR MILAN SARI")</f>
        <v>NUR MILAN SARI</v>
      </c>
      <c r="G511" s="24" t="str">
        <f>IFERROR(__xludf.DUMMYFUNCTION("""COMPUTED_VALUE"""),"7403244402880001")</f>
        <v>7403244402880001</v>
      </c>
      <c r="H511" s="24"/>
      <c r="I511" s="24"/>
      <c r="J511" s="24" t="str">
        <f>IFERROR(__xludf.DUMMYFUNCTION("""COMPUTED_VALUE"""),"PEREMPUAN")</f>
        <v>PEREMPUAN</v>
      </c>
      <c r="K511" s="24" t="str">
        <f>IFERROR(__xludf.DUMMYFUNCTION("""COMPUTED_VALUE"""),"Jl. Pendidikan")</f>
        <v>Jl. Pendidikan</v>
      </c>
      <c r="L511" s="24"/>
      <c r="M511" s="24"/>
      <c r="N511" s="24" t="str">
        <f>IFERROR(__xludf.DUMMYFUNCTION("""COMPUTED_VALUE"""),"SMA / SMK / MA")</f>
        <v>SMA / SMK / MA</v>
      </c>
      <c r="O511" s="24"/>
      <c r="P511" s="24"/>
      <c r="Q511" s="24"/>
      <c r="R511" s="24" t="str">
        <f>IFERROR(__xludf.DUMMYFUNCTION("""COMPUTED_VALUE"""),"K")</f>
        <v>K</v>
      </c>
      <c r="S511" s="25"/>
    </row>
    <row r="512" ht="22.5" customHeight="1">
      <c r="A512" s="22">
        <v>511.0</v>
      </c>
      <c r="B512" s="24" t="str">
        <f>IFERROR(__xludf.DUMMYFUNCTION("""COMPUTED_VALUE"""),"Pengelola Administrasi Perkantoran")</f>
        <v>Pengelola Administrasi Perkantoran</v>
      </c>
      <c r="C512" s="24" t="str">
        <f>IFERROR(__xludf.DUMMYFUNCTION("""COMPUTED_VALUE"""),"SMK Negeri 1 Muna")</f>
        <v>SMK Negeri 1 Muna</v>
      </c>
      <c r="D512" s="24"/>
      <c r="E512" s="24"/>
      <c r="F512" s="24" t="str">
        <f>IFERROR(__xludf.DUMMYFUNCTION("""COMPUTED_VALUE"""),"NURUL MUTMAINA")</f>
        <v>NURUL MUTMAINA</v>
      </c>
      <c r="G512" s="24" t="str">
        <f>IFERROR(__xludf.DUMMYFUNCTION("""COMPUTED_VALUE"""),"7471074102090001")</f>
        <v>7471074102090001</v>
      </c>
      <c r="H512" s="24"/>
      <c r="I512" s="24"/>
      <c r="J512" s="24" t="str">
        <f>IFERROR(__xludf.DUMMYFUNCTION("""COMPUTED_VALUE"""),"PEREMPUAN")</f>
        <v>PEREMPUAN</v>
      </c>
      <c r="K512" s="24" t="str">
        <f>IFERROR(__xludf.DUMMYFUNCTION("""COMPUTED_VALUE"""),"Raha, Desa Lagasa, Jalan Babahara, Lorong III")</f>
        <v>Raha, Desa Lagasa, Jalan Babahara, Lorong III</v>
      </c>
      <c r="L512" s="24"/>
      <c r="M512" s="24"/>
      <c r="N512" s="24" t="str">
        <f>IFERROR(__xludf.DUMMYFUNCTION("""COMPUTED_VALUE"""),"SMA / SMK / MA")</f>
        <v>SMA / SMK / MA</v>
      </c>
      <c r="O512" s="24"/>
      <c r="P512" s="24"/>
      <c r="Q512" s="24"/>
      <c r="R512" s="24" t="str">
        <f>IFERROR(__xludf.DUMMYFUNCTION("""COMPUTED_VALUE"""),"K")</f>
        <v>K</v>
      </c>
      <c r="S512" s="25"/>
    </row>
    <row r="513" ht="22.5" customHeight="1">
      <c r="A513" s="22">
        <v>512.0</v>
      </c>
      <c r="B513" s="24" t="str">
        <f>IFERROR(__xludf.DUMMYFUNCTION("""COMPUTED_VALUE"""),"Pengelola Administrasi Perkantoran")</f>
        <v>Pengelola Administrasi Perkantoran</v>
      </c>
      <c r="C513" s="24" t="str">
        <f>IFERROR(__xludf.DUMMYFUNCTION("""COMPUTED_VALUE"""),"SMK Negeri 1 Muna")</f>
        <v>SMK Negeri 1 Muna</v>
      </c>
      <c r="D513" s="24"/>
      <c r="E513" s="24"/>
      <c r="F513" s="24" t="str">
        <f>IFERROR(__xludf.DUMMYFUNCTION("""COMPUTED_VALUE"""),"SITTI ANISA RIZAL")</f>
        <v>SITTI ANISA RIZAL</v>
      </c>
      <c r="G513" s="24" t="str">
        <f>IFERROR(__xludf.DUMMYFUNCTION("""COMPUTED_VALUE"""),"7403176707080001")</f>
        <v>7403176707080001</v>
      </c>
      <c r="H513" s="24"/>
      <c r="I513" s="24"/>
      <c r="J513" s="24" t="str">
        <f>IFERROR(__xludf.DUMMYFUNCTION("""COMPUTED_VALUE"""),"PEREMPUAN")</f>
        <v>PEREMPUAN</v>
      </c>
      <c r="K513" s="24" t="str">
        <f>IFERROR(__xludf.DUMMYFUNCTION("""COMPUTED_VALUE"""),"Jln. Sutan Syahrir")</f>
        <v>Jln. Sutan Syahrir</v>
      </c>
      <c r="L513" s="24"/>
      <c r="M513" s="24"/>
      <c r="N513" s="24" t="str">
        <f>IFERROR(__xludf.DUMMYFUNCTION("""COMPUTED_VALUE"""),"SMA / SMK / MA")</f>
        <v>SMA / SMK / MA</v>
      </c>
      <c r="O513" s="24"/>
      <c r="P513" s="24"/>
      <c r="Q513" s="24"/>
      <c r="R513" s="24" t="str">
        <f>IFERROR(__xludf.DUMMYFUNCTION("""COMPUTED_VALUE"""),"K")</f>
        <v>K</v>
      </c>
      <c r="S513" s="25"/>
    </row>
    <row r="514" ht="22.5" customHeight="1">
      <c r="A514" s="22">
        <v>513.0</v>
      </c>
      <c r="B514" s="24" t="str">
        <f>IFERROR(__xludf.DUMMYFUNCTION("""COMPUTED_VALUE"""),"Pengelola Administrasi Perkantoran")</f>
        <v>Pengelola Administrasi Perkantoran</v>
      </c>
      <c r="C514" s="24" t="str">
        <f>IFERROR(__xludf.DUMMYFUNCTION("""COMPUTED_VALUE"""),"SMK Negeri 1 Muna")</f>
        <v>SMK Negeri 1 Muna</v>
      </c>
      <c r="D514" s="24"/>
      <c r="E514" s="24"/>
      <c r="F514" s="24" t="str">
        <f>IFERROR(__xludf.DUMMYFUNCTION("""COMPUTED_VALUE"""),"WA SARA ELISABET")</f>
        <v>WA SARA ELISABET</v>
      </c>
      <c r="G514" s="24" t="str">
        <f>IFERROR(__xludf.DUMMYFUNCTION("""COMPUTED_VALUE"""),"7404056809080003")</f>
        <v>7404056809080003</v>
      </c>
      <c r="H514" s="24"/>
      <c r="I514" s="24"/>
      <c r="J514" s="24" t="str">
        <f>IFERROR(__xludf.DUMMYFUNCTION("""COMPUTED_VALUE"""),"PEREMPUAN")</f>
        <v>PEREMPUAN</v>
      </c>
      <c r="K514" s="24" t="str">
        <f>IFERROR(__xludf.DUMMYFUNCTION("""COMPUTED_VALUE"""),"Jl. Jendral Sudirman No. 8")</f>
        <v>Jl. Jendral Sudirman No. 8</v>
      </c>
      <c r="L514" s="24"/>
      <c r="M514" s="24"/>
      <c r="N514" s="24" t="str">
        <f>IFERROR(__xludf.DUMMYFUNCTION("""COMPUTED_VALUE"""),"SMA / SMK / MA")</f>
        <v>SMA / SMK / MA</v>
      </c>
      <c r="O514" s="24"/>
      <c r="P514" s="24"/>
      <c r="Q514" s="24"/>
      <c r="R514" s="24" t="str">
        <f>IFERROR(__xludf.DUMMYFUNCTION("""COMPUTED_VALUE"""),"K")</f>
        <v>K</v>
      </c>
      <c r="S514" s="25"/>
    </row>
    <row r="515" ht="22.5" customHeight="1">
      <c r="A515" s="22">
        <v>514.0</v>
      </c>
      <c r="B515" s="24" t="str">
        <f>IFERROR(__xludf.DUMMYFUNCTION("""COMPUTED_VALUE"""),"Pengelola Administrasi Perkantoran")</f>
        <v>Pengelola Administrasi Perkantoran</v>
      </c>
      <c r="C515" s="24" t="str">
        <f>IFERROR(__xludf.DUMMYFUNCTION("""COMPUTED_VALUE"""),"SMK Negeri 1 Muna")</f>
        <v>SMK Negeri 1 Muna</v>
      </c>
      <c r="D515" s="24"/>
      <c r="E515" s="24"/>
      <c r="F515" s="24" t="str">
        <f>IFERROR(__xludf.DUMMYFUNCTION("""COMPUTED_VALUE"""),"WULANDARI")</f>
        <v>WULANDARI</v>
      </c>
      <c r="G515" s="24" t="str">
        <f>IFERROR(__xludf.DUMMYFUNCTION("""COMPUTED_VALUE"""),"7403184104080001")</f>
        <v>7403184104080001</v>
      </c>
      <c r="H515" s="24"/>
      <c r="I515" s="24"/>
      <c r="J515" s="24" t="str">
        <f>IFERROR(__xludf.DUMMYFUNCTION("""COMPUTED_VALUE"""),"PEREMPUAN")</f>
        <v>PEREMPUAN</v>
      </c>
      <c r="K515" s="24" t="str">
        <f>IFERROR(__xludf.DUMMYFUNCTION("""COMPUTED_VALUE"""),"Desa Kondongia")</f>
        <v>Desa Kondongia</v>
      </c>
      <c r="L515" s="24"/>
      <c r="M515" s="24"/>
      <c r="N515" s="24" t="str">
        <f>IFERROR(__xludf.DUMMYFUNCTION("""COMPUTED_VALUE"""),"SMA / SMK / MA")</f>
        <v>SMA / SMK / MA</v>
      </c>
      <c r="O515" s="24"/>
      <c r="P515" s="24"/>
      <c r="Q515" s="24"/>
      <c r="R515" s="24" t="str">
        <f>IFERROR(__xludf.DUMMYFUNCTION("""COMPUTED_VALUE"""),"K")</f>
        <v>K</v>
      </c>
      <c r="S515" s="25"/>
    </row>
    <row r="516" ht="22.5" customHeight="1">
      <c r="A516" s="22">
        <v>515.0</v>
      </c>
      <c r="B516" s="24" t="str">
        <f>IFERROR(__xludf.DUMMYFUNCTION("""COMPUTED_VALUE"""),"Pengelola Administrasi Perkantoran")</f>
        <v>Pengelola Administrasi Perkantoran</v>
      </c>
      <c r="C516" s="24" t="str">
        <f>IFERROR(__xludf.DUMMYFUNCTION("""COMPUTED_VALUE"""),"SMK Negeri 1 Muna")</f>
        <v>SMK Negeri 1 Muna</v>
      </c>
      <c r="D516" s="24"/>
      <c r="E516" s="24"/>
      <c r="F516" s="24" t="str">
        <f>IFERROR(__xludf.DUMMYFUNCTION("""COMPUTED_VALUE"""),"YUNGGI ARAYA")</f>
        <v>YUNGGI ARAYA</v>
      </c>
      <c r="G516" s="24" t="str">
        <f>IFERROR(__xludf.DUMMYFUNCTION("""COMPUTED_VALUE"""),"7403124305080502")</f>
        <v>7403124305080502</v>
      </c>
      <c r="H516" s="24"/>
      <c r="I516" s="24"/>
      <c r="J516" s="24" t="str">
        <f>IFERROR(__xludf.DUMMYFUNCTION("""COMPUTED_VALUE"""),"PEREMPUAN")</f>
        <v>PEREMPUAN</v>
      </c>
      <c r="K516" s="24" t="str">
        <f>IFERROR(__xludf.DUMMYFUNCTION("""COMPUTED_VALUE"""),"Desa Lagasa")</f>
        <v>Desa Lagasa</v>
      </c>
      <c r="L516" s="24"/>
      <c r="M516" s="24"/>
      <c r="N516" s="24" t="str">
        <f>IFERROR(__xludf.DUMMYFUNCTION("""COMPUTED_VALUE"""),"SMA / SMK / MA")</f>
        <v>SMA / SMK / MA</v>
      </c>
      <c r="O516" s="24"/>
      <c r="P516" s="24"/>
      <c r="Q516" s="24"/>
      <c r="R516" s="24" t="str">
        <f>IFERROR(__xludf.DUMMYFUNCTION("""COMPUTED_VALUE"""),"K")</f>
        <v>K</v>
      </c>
      <c r="S516" s="25"/>
    </row>
    <row r="517" ht="22.5" customHeight="1">
      <c r="A517" s="22">
        <v>516.0</v>
      </c>
      <c r="B517" s="24" t="str">
        <f>IFERROR(__xludf.DUMMYFUNCTION("""COMPUTED_VALUE"""),"Pengelola Administrasi Perkantoran")</f>
        <v>Pengelola Administrasi Perkantoran</v>
      </c>
      <c r="C517" s="24" t="str">
        <f>IFERROR(__xludf.DUMMYFUNCTION("""COMPUTED_VALUE"""),"SMK Negeri 1 Muna")</f>
        <v>SMK Negeri 1 Muna</v>
      </c>
      <c r="D517" s="24"/>
      <c r="E517" s="24"/>
      <c r="F517" s="24" t="str">
        <f>IFERROR(__xludf.DUMMYFUNCTION("""COMPUTED_VALUE"""),"ZAINUN FEBRIANI")</f>
        <v>ZAINUN FEBRIANI</v>
      </c>
      <c r="G517" s="24" t="str">
        <f>IFERROR(__xludf.DUMMYFUNCTION("""COMPUTED_VALUE"""),"7403175602000001")</f>
        <v>7403175602000001</v>
      </c>
      <c r="H517" s="24"/>
      <c r="I517" s="24"/>
      <c r="J517" s="24" t="str">
        <f>IFERROR(__xludf.DUMMYFUNCTION("""COMPUTED_VALUE"""),"PEREMPUAN")</f>
        <v>PEREMPUAN</v>
      </c>
      <c r="K517" s="24" t="str">
        <f>IFERROR(__xludf.DUMMYFUNCTION("""COMPUTED_VALUE"""),"Jln. Sutan Syahrir, Wapunto")</f>
        <v>Jln. Sutan Syahrir, Wapunto</v>
      </c>
      <c r="L517" s="24"/>
      <c r="M517" s="24"/>
      <c r="N517" s="24" t="str">
        <f>IFERROR(__xludf.DUMMYFUNCTION("""COMPUTED_VALUE"""),"SMA / SMK / MA")</f>
        <v>SMA / SMK / MA</v>
      </c>
      <c r="O517" s="24"/>
      <c r="P517" s="24"/>
      <c r="Q517" s="24"/>
      <c r="R517" s="24" t="str">
        <f>IFERROR(__xludf.DUMMYFUNCTION("""COMPUTED_VALUE"""),"K")</f>
        <v>K</v>
      </c>
      <c r="S517" s="25"/>
    </row>
    <row r="518" ht="22.5" customHeight="1">
      <c r="A518" s="22">
        <v>517.0</v>
      </c>
      <c r="B518" s="24" t="str">
        <f>IFERROR(__xludf.DUMMYFUNCTION("""COMPUTED_VALUE"""),"Pengelola Administrasi Perkantoran")</f>
        <v>Pengelola Administrasi Perkantoran</v>
      </c>
      <c r="C518" s="24" t="str">
        <f>IFERROR(__xludf.DUMMYFUNCTION("""COMPUTED_VALUE"""),"SMK Negeri 1 Muna")</f>
        <v>SMK Negeri 1 Muna</v>
      </c>
      <c r="D518" s="24"/>
      <c r="E518" s="24"/>
      <c r="F518" s="24" t="str">
        <f>IFERROR(__xludf.DUMMYFUNCTION("""COMPUTED_VALUE"""),"AHMAD GAMEL")</f>
        <v>AHMAD GAMEL</v>
      </c>
      <c r="G518" s="24" t="str">
        <f>IFERROR(__xludf.DUMMYFUNCTION("""COMPUTED_VALUE"""),"74031206060707070202")</f>
        <v>74031206060707070202</v>
      </c>
      <c r="H518" s="24"/>
      <c r="I518" s="24"/>
      <c r="J518" s="24" t="str">
        <f>IFERROR(__xludf.DUMMYFUNCTION("""COMPUTED_VALUE"""),"LAKI-LAKI")</f>
        <v>LAKI-LAKI</v>
      </c>
      <c r="K518" s="24" t="str">
        <f>IFERROR(__xludf.DUMMYFUNCTION("""COMPUTED_VALUE"""),"Desa Lagasa")</f>
        <v>Desa Lagasa</v>
      </c>
      <c r="L518" s="24"/>
      <c r="M518" s="24"/>
      <c r="N518" s="24" t="str">
        <f>IFERROR(__xludf.DUMMYFUNCTION("""COMPUTED_VALUE"""),"SMA / SMK / MA")</f>
        <v>SMA / SMK / MA</v>
      </c>
      <c r="O518" s="24"/>
      <c r="P518" s="24"/>
      <c r="Q518" s="24"/>
      <c r="R518" s="24" t="str">
        <f>IFERROR(__xludf.DUMMYFUNCTION("""COMPUTED_VALUE"""),"K")</f>
        <v>K</v>
      </c>
      <c r="S518" s="25"/>
    </row>
    <row r="519" ht="22.5" customHeight="1">
      <c r="A519" s="22">
        <v>518.0</v>
      </c>
      <c r="B519" s="24" t="str">
        <f>IFERROR(__xludf.DUMMYFUNCTION("""COMPUTED_VALUE"""),"Pengelola Administrasi Perkantoran")</f>
        <v>Pengelola Administrasi Perkantoran</v>
      </c>
      <c r="C519" s="24" t="str">
        <f>IFERROR(__xludf.DUMMYFUNCTION("""COMPUTED_VALUE"""),"SMK Negeri 1 Muna")</f>
        <v>SMK Negeri 1 Muna</v>
      </c>
      <c r="D519" s="24"/>
      <c r="E519" s="24"/>
      <c r="F519" s="24" t="str">
        <f>IFERROR(__xludf.DUMMYFUNCTION("""COMPUTED_VALUE"""),"ARJUN RAMPAL")</f>
        <v>ARJUN RAMPAL</v>
      </c>
      <c r="G519" s="24" t="str">
        <f>IFERROR(__xludf.DUMMYFUNCTION("""COMPUTED_VALUE"""),"7403172101090001")</f>
        <v>7403172101090001</v>
      </c>
      <c r="H519" s="24"/>
      <c r="I519" s="24"/>
      <c r="J519" s="24" t="str">
        <f>IFERROR(__xludf.DUMMYFUNCTION("""COMPUTED_VALUE"""),"LAKI-LAKI")</f>
        <v>LAKI-LAKI</v>
      </c>
      <c r="K519" s="24" t="str">
        <f>IFERROR(__xludf.DUMMYFUNCTION("""COMPUTED_VALUE"""),"Desa Lasunapa, Kec. Duruka")</f>
        <v>Desa Lasunapa, Kec. Duruka</v>
      </c>
      <c r="L519" s="24"/>
      <c r="M519" s="24"/>
      <c r="N519" s="24" t="str">
        <f>IFERROR(__xludf.DUMMYFUNCTION("""COMPUTED_VALUE"""),"SMA / SMK / MA")</f>
        <v>SMA / SMK / MA</v>
      </c>
      <c r="O519" s="24"/>
      <c r="P519" s="24"/>
      <c r="Q519" s="24"/>
      <c r="R519" s="24" t="str">
        <f>IFERROR(__xludf.DUMMYFUNCTION("""COMPUTED_VALUE"""),"K")</f>
        <v>K</v>
      </c>
      <c r="S519" s="25"/>
    </row>
    <row r="520" ht="22.5" customHeight="1">
      <c r="A520" s="22">
        <v>519.0</v>
      </c>
      <c r="B520" s="24" t="str">
        <f>IFERROR(__xludf.DUMMYFUNCTION("""COMPUTED_VALUE"""),"Pengelola Administrasi Perkantoran")</f>
        <v>Pengelola Administrasi Perkantoran</v>
      </c>
      <c r="C520" s="24" t="str">
        <f>IFERROR(__xludf.DUMMYFUNCTION("""COMPUTED_VALUE"""),"SMK Negeri 1 Muna")</f>
        <v>SMK Negeri 1 Muna</v>
      </c>
      <c r="D520" s="24"/>
      <c r="E520" s="24"/>
      <c r="F520" s="24" t="str">
        <f>IFERROR(__xludf.DUMMYFUNCTION("""COMPUTED_VALUE"""),"INTAN")</f>
        <v>INTAN</v>
      </c>
      <c r="G520" s="24" t="str">
        <f>IFERROR(__xludf.DUMMYFUNCTION("""COMPUTED_VALUE"""),"7403146911070001")</f>
        <v>7403146911070001</v>
      </c>
      <c r="H520" s="24"/>
      <c r="I520" s="24"/>
      <c r="J520" s="24" t="str">
        <f>IFERROR(__xludf.DUMMYFUNCTION("""COMPUTED_VALUE"""),"PEREMPUAN")</f>
        <v>PEREMPUAN</v>
      </c>
      <c r="K520" s="24" t="str">
        <f>IFERROR(__xludf.DUMMYFUNCTION("""COMPUTED_VALUE"""),"Desa Labone, Kec. Lasalepa")</f>
        <v>Desa Labone, Kec. Lasalepa</v>
      </c>
      <c r="L520" s="24"/>
      <c r="M520" s="24"/>
      <c r="N520" s="24" t="str">
        <f>IFERROR(__xludf.DUMMYFUNCTION("""COMPUTED_VALUE"""),"SMA / SMK / MA")</f>
        <v>SMA / SMK / MA</v>
      </c>
      <c r="O520" s="24"/>
      <c r="P520" s="24"/>
      <c r="Q520" s="24"/>
      <c r="R520" s="24" t="str">
        <f>IFERROR(__xludf.DUMMYFUNCTION("""COMPUTED_VALUE"""),"K")</f>
        <v>K</v>
      </c>
      <c r="S520" s="25"/>
    </row>
    <row r="521" ht="22.5" customHeight="1">
      <c r="A521" s="22">
        <v>520.0</v>
      </c>
      <c r="B521" s="24" t="str">
        <f>IFERROR(__xludf.DUMMYFUNCTION("""COMPUTED_VALUE"""),"Pengelola Administrasi Perkantoran")</f>
        <v>Pengelola Administrasi Perkantoran</v>
      </c>
      <c r="C521" s="24" t="str">
        <f>IFERROR(__xludf.DUMMYFUNCTION("""COMPUTED_VALUE"""),"SMK Negeri 1 Muna")</f>
        <v>SMK Negeri 1 Muna</v>
      </c>
      <c r="D521" s="24"/>
      <c r="E521" s="24"/>
      <c r="F521" s="24" t="str">
        <f>IFERROR(__xludf.DUMMYFUNCTION("""COMPUTED_VALUE"""),"LILIS")</f>
        <v>LILIS</v>
      </c>
      <c r="G521" s="24" t="str">
        <f>IFERROR(__xludf.DUMMYFUNCTION("""COMPUTED_VALUE"""),"7403224107070261")</f>
        <v>7403224107070261</v>
      </c>
      <c r="H521" s="24"/>
      <c r="I521" s="24"/>
      <c r="J521" s="24" t="str">
        <f>IFERROR(__xludf.DUMMYFUNCTION("""COMPUTED_VALUE"""),"PEREMPUAN")</f>
        <v>PEREMPUAN</v>
      </c>
      <c r="K521" s="24" t="str">
        <f>IFERROR(__xludf.DUMMYFUNCTION("""COMPUTED_VALUE"""),"Jln. Pendidikan")</f>
        <v>Jln. Pendidikan</v>
      </c>
      <c r="L521" s="24"/>
      <c r="M521" s="24"/>
      <c r="N521" s="24" t="str">
        <f>IFERROR(__xludf.DUMMYFUNCTION("""COMPUTED_VALUE"""),"SMA / SMK / MA")</f>
        <v>SMA / SMK / MA</v>
      </c>
      <c r="O521" s="24"/>
      <c r="P521" s="24"/>
      <c r="Q521" s="24"/>
      <c r="R521" s="24" t="str">
        <f>IFERROR(__xludf.DUMMYFUNCTION("""COMPUTED_VALUE"""),"BK")</f>
        <v>BK</v>
      </c>
      <c r="S521" s="25"/>
    </row>
    <row r="522" ht="22.5" customHeight="1">
      <c r="A522" s="22">
        <v>521.0</v>
      </c>
      <c r="B522" s="24" t="str">
        <f>IFERROR(__xludf.DUMMYFUNCTION("""COMPUTED_VALUE"""),"Pengelola Administrasi Perkantoran")</f>
        <v>Pengelola Administrasi Perkantoran</v>
      </c>
      <c r="C522" s="24" t="str">
        <f>IFERROR(__xludf.DUMMYFUNCTION("""COMPUTED_VALUE"""),"SMK Negeri 1 Muna")</f>
        <v>SMK Negeri 1 Muna</v>
      </c>
      <c r="D522" s="24"/>
      <c r="E522" s="24"/>
      <c r="F522" s="24" t="str">
        <f>IFERROR(__xludf.DUMMYFUNCTION("""COMPUTED_VALUE"""),"NIKEN MAHARANI")</f>
        <v>NIKEN MAHARANI</v>
      </c>
      <c r="G522" s="24" t="str">
        <f>IFERROR(__xludf.DUMMYFUNCTION("""COMPUTED_VALUE"""),"7403174703070001")</f>
        <v>7403174703070001</v>
      </c>
      <c r="H522" s="24"/>
      <c r="I522" s="24"/>
      <c r="J522" s="24" t="str">
        <f>IFERROR(__xludf.DUMMYFUNCTION("""COMPUTED_VALUE"""),"PEREMPUAN")</f>
        <v>PEREMPUAN</v>
      </c>
      <c r="K522" s="24" t="str">
        <f>IFERROR(__xludf.DUMMYFUNCTION("""COMPUTED_VALUE"""),"Lagasi Bahari II")</f>
        <v>Lagasi Bahari II</v>
      </c>
      <c r="L522" s="24"/>
      <c r="M522" s="24"/>
      <c r="N522" s="24" t="str">
        <f>IFERROR(__xludf.DUMMYFUNCTION("""COMPUTED_VALUE"""),"SMA / SMK / MA")</f>
        <v>SMA / SMK / MA</v>
      </c>
      <c r="O522" s="24"/>
      <c r="P522" s="24"/>
      <c r="Q522" s="24"/>
      <c r="R522" s="24" t="str">
        <f>IFERROR(__xludf.DUMMYFUNCTION("""COMPUTED_VALUE"""),"K")</f>
        <v>K</v>
      </c>
      <c r="S522" s="25"/>
    </row>
    <row r="523" ht="22.5" customHeight="1">
      <c r="A523" s="22">
        <v>522.0</v>
      </c>
      <c r="B523" s="24" t="str">
        <f>IFERROR(__xludf.DUMMYFUNCTION("""COMPUTED_VALUE"""),"Pengelola Administrasi Perkantoran")</f>
        <v>Pengelola Administrasi Perkantoran</v>
      </c>
      <c r="C523" s="24" t="str">
        <f>IFERROR(__xludf.DUMMYFUNCTION("""COMPUTED_VALUE"""),"SMK Negeri 1 Muna")</f>
        <v>SMK Negeri 1 Muna</v>
      </c>
      <c r="D523" s="24"/>
      <c r="E523" s="24"/>
      <c r="F523" s="24" t="str">
        <f>IFERROR(__xludf.DUMMYFUNCTION("""COMPUTED_VALUE"""),"NUR AZNI WATI")</f>
        <v>NUR AZNI WATI</v>
      </c>
      <c r="G523" s="24" t="str">
        <f>IFERROR(__xludf.DUMMYFUNCTION("""COMPUTED_VALUE"""),"7403114306080002")</f>
        <v>7403114306080002</v>
      </c>
      <c r="H523" s="24"/>
      <c r="I523" s="24"/>
      <c r="J523" s="24" t="str">
        <f>IFERROR(__xludf.DUMMYFUNCTION("""COMPUTED_VALUE"""),"PEREMPUAN")</f>
        <v>PEREMPUAN</v>
      </c>
      <c r="K523" s="24" t="str">
        <f>IFERROR(__xludf.DUMMYFUNCTION("""COMPUTED_VALUE"""),"Jl. Laode Abdul Kudus")</f>
        <v>Jl. Laode Abdul Kudus</v>
      </c>
      <c r="L523" s="24"/>
      <c r="M523" s="24"/>
      <c r="N523" s="24" t="str">
        <f>IFERROR(__xludf.DUMMYFUNCTION("""COMPUTED_VALUE"""),"SMA / SMK / MA")</f>
        <v>SMA / SMK / MA</v>
      </c>
      <c r="O523" s="24"/>
      <c r="P523" s="24"/>
      <c r="Q523" s="24"/>
      <c r="R523" s="24" t="str">
        <f>IFERROR(__xludf.DUMMYFUNCTION("""COMPUTED_VALUE"""),"K")</f>
        <v>K</v>
      </c>
      <c r="S523" s="25"/>
    </row>
    <row r="524" ht="22.5" customHeight="1">
      <c r="A524" s="22">
        <v>523.0</v>
      </c>
      <c r="B524" s="24" t="str">
        <f>IFERROR(__xludf.DUMMYFUNCTION("""COMPUTED_VALUE"""),"Pengelola Administrasi Perkantoran")</f>
        <v>Pengelola Administrasi Perkantoran</v>
      </c>
      <c r="C524" s="24" t="str">
        <f>IFERROR(__xludf.DUMMYFUNCTION("""COMPUTED_VALUE"""),"SMK Negeri 1 Muna")</f>
        <v>SMK Negeri 1 Muna</v>
      </c>
      <c r="D524" s="24"/>
      <c r="E524" s="24"/>
      <c r="F524" s="24" t="str">
        <f>IFERROR(__xludf.DUMMYFUNCTION("""COMPUTED_VALUE"""),"NUR RISKI")</f>
        <v>NUR RISKI</v>
      </c>
      <c r="G524" s="24" t="str">
        <f>IFERROR(__xludf.DUMMYFUNCTION("""COMPUTED_VALUE"""),"7403095505060201")</f>
        <v>7403095505060201</v>
      </c>
      <c r="H524" s="24"/>
      <c r="I524" s="24"/>
      <c r="J524" s="24" t="str">
        <f>IFERROR(__xludf.DUMMYFUNCTION("""COMPUTED_VALUE"""),"PEREMPUAN")</f>
        <v>PEREMPUAN</v>
      </c>
      <c r="K524" s="24" t="str">
        <f>IFERROR(__xludf.DUMMYFUNCTION("""COMPUTED_VALUE"""),"Parida, Kec. Lasalepa ")</f>
        <v>Parida, Kec. Lasalepa </v>
      </c>
      <c r="L524" s="24"/>
      <c r="M524" s="24"/>
      <c r="N524" s="24" t="str">
        <f>IFERROR(__xludf.DUMMYFUNCTION("""COMPUTED_VALUE"""),"SMA / SMK / MA")</f>
        <v>SMA / SMK / MA</v>
      </c>
      <c r="O524" s="24"/>
      <c r="P524" s="24"/>
      <c r="Q524" s="24"/>
      <c r="R524" s="24" t="str">
        <f>IFERROR(__xludf.DUMMYFUNCTION("""COMPUTED_VALUE"""),"K")</f>
        <v>K</v>
      </c>
      <c r="S524" s="25"/>
    </row>
    <row r="525" ht="22.5" customHeight="1">
      <c r="A525" s="22">
        <v>524.0</v>
      </c>
      <c r="B525" s="24" t="str">
        <f>IFERROR(__xludf.DUMMYFUNCTION("""COMPUTED_VALUE"""),"Pengelola Administrasi Perkantoran")</f>
        <v>Pengelola Administrasi Perkantoran</v>
      </c>
      <c r="C525" s="24" t="str">
        <f>IFERROR(__xludf.DUMMYFUNCTION("""COMPUTED_VALUE"""),"SMK Negeri 1 Muna")</f>
        <v>SMK Negeri 1 Muna</v>
      </c>
      <c r="D525" s="24"/>
      <c r="E525" s="24"/>
      <c r="F525" s="24" t="str">
        <f>IFERROR(__xludf.DUMMYFUNCTION("""COMPUTED_VALUE"""),"RARA NASFIA")</f>
        <v>RARA NASFIA</v>
      </c>
      <c r="G525" s="24" t="str">
        <f>IFERROR(__xludf.DUMMYFUNCTION("""COMPUTED_VALUE"""),"7410064402080001")</f>
        <v>7410064402080001</v>
      </c>
      <c r="H525" s="24"/>
      <c r="I525" s="24"/>
      <c r="J525" s="24" t="str">
        <f>IFERROR(__xludf.DUMMYFUNCTION("""COMPUTED_VALUE"""),"PEREMPUAN")</f>
        <v>PEREMPUAN</v>
      </c>
      <c r="K525" s="24" t="str">
        <f>IFERROR(__xludf.DUMMYFUNCTION("""COMPUTED_VALUE"""),"Jl. Kasuari ")</f>
        <v>Jl. Kasuari </v>
      </c>
      <c r="L525" s="24"/>
      <c r="M525" s="24"/>
      <c r="N525" s="24" t="str">
        <f>IFERROR(__xludf.DUMMYFUNCTION("""COMPUTED_VALUE"""),"SMA / SMK / MA")</f>
        <v>SMA / SMK / MA</v>
      </c>
      <c r="O525" s="24"/>
      <c r="P525" s="24"/>
      <c r="Q525" s="24"/>
      <c r="R525" s="24" t="str">
        <f>IFERROR(__xludf.DUMMYFUNCTION("""COMPUTED_VALUE"""),"K")</f>
        <v>K</v>
      </c>
      <c r="S525" s="25"/>
    </row>
    <row r="526" ht="22.5" customHeight="1">
      <c r="A526" s="22">
        <v>525.0</v>
      </c>
      <c r="B526" s="24" t="str">
        <f>IFERROR(__xludf.DUMMYFUNCTION("""COMPUTED_VALUE"""),"Pengelola Administrasi Perkantoran")</f>
        <v>Pengelola Administrasi Perkantoran</v>
      </c>
      <c r="C526" s="24" t="str">
        <f>IFERROR(__xludf.DUMMYFUNCTION("""COMPUTED_VALUE"""),"SMK Negeri 1 Muna")</f>
        <v>SMK Negeri 1 Muna</v>
      </c>
      <c r="D526" s="24"/>
      <c r="E526" s="24"/>
      <c r="F526" s="24" t="str">
        <f>IFERROR(__xludf.DUMMYFUNCTION("""COMPUTED_VALUE"""),"RICKY FAREL")</f>
        <v>RICKY FAREL</v>
      </c>
      <c r="G526" s="24" t="str">
        <f>IFERROR(__xludf.DUMMYFUNCTION("""COMPUTED_VALUE"""),"7472030112070001")</f>
        <v>7472030112070001</v>
      </c>
      <c r="H526" s="24"/>
      <c r="I526" s="24"/>
      <c r="J526" s="24" t="str">
        <f>IFERROR(__xludf.DUMMYFUNCTION("""COMPUTED_VALUE"""),"LAKI-LAKI")</f>
        <v>LAKI-LAKI</v>
      </c>
      <c r="K526" s="24" t="str">
        <f>IFERROR(__xludf.DUMMYFUNCTION("""COMPUTED_VALUE"""),"Desa Kontunaga")</f>
        <v>Desa Kontunaga</v>
      </c>
      <c r="L526" s="24"/>
      <c r="M526" s="24"/>
      <c r="N526" s="24" t="str">
        <f>IFERROR(__xludf.DUMMYFUNCTION("""COMPUTED_VALUE"""),"SMA / SMK / MA")</f>
        <v>SMA / SMK / MA</v>
      </c>
      <c r="O526" s="24"/>
      <c r="P526" s="24"/>
      <c r="Q526" s="24"/>
      <c r="R526" s="24" t="str">
        <f>IFERROR(__xludf.DUMMYFUNCTION("""COMPUTED_VALUE"""),"K")</f>
        <v>K</v>
      </c>
      <c r="S526" s="25"/>
    </row>
    <row r="527" ht="22.5" customHeight="1">
      <c r="A527" s="22">
        <v>526.0</v>
      </c>
      <c r="B527" s="24" t="str">
        <f>IFERROR(__xludf.DUMMYFUNCTION("""COMPUTED_VALUE"""),"Pengelola Administrasi Perkantoran")</f>
        <v>Pengelola Administrasi Perkantoran</v>
      </c>
      <c r="C527" s="24" t="str">
        <f>IFERROR(__xludf.DUMMYFUNCTION("""COMPUTED_VALUE"""),"SMK Negeri 1 Muna")</f>
        <v>SMK Negeri 1 Muna</v>
      </c>
      <c r="D527" s="24"/>
      <c r="E527" s="24"/>
      <c r="F527" s="24" t="str">
        <f>IFERROR(__xludf.DUMMYFUNCTION("""COMPUTED_VALUE"""),"SAREP RAHMAN")</f>
        <v>SAREP RAHMAN</v>
      </c>
      <c r="G527" s="24" t="str">
        <f>IFERROR(__xludf.DUMMYFUNCTION("""COMPUTED_VALUE"""),"7403170909080002")</f>
        <v>7403170909080002</v>
      </c>
      <c r="H527" s="24"/>
      <c r="I527" s="24"/>
      <c r="J527" s="24" t="str">
        <f>IFERROR(__xludf.DUMMYFUNCTION("""COMPUTED_VALUE"""),"LAKI-LAKI")</f>
        <v>LAKI-LAKI</v>
      </c>
      <c r="K527" s="24" t="str">
        <f>IFERROR(__xludf.DUMMYFUNCTION("""COMPUTED_VALUE"""),"Desa Lagasa Bahari I Dusun 6")</f>
        <v>Desa Lagasa Bahari I Dusun 6</v>
      </c>
      <c r="L527" s="24"/>
      <c r="M527" s="24"/>
      <c r="N527" s="24" t="str">
        <f>IFERROR(__xludf.DUMMYFUNCTION("""COMPUTED_VALUE"""),"SMA / SMK / MA")</f>
        <v>SMA / SMK / MA</v>
      </c>
      <c r="O527" s="24"/>
      <c r="P527" s="24"/>
      <c r="Q527" s="24"/>
      <c r="R527" s="24" t="str">
        <f>IFERROR(__xludf.DUMMYFUNCTION("""COMPUTED_VALUE"""),"K")</f>
        <v>K</v>
      </c>
      <c r="S527" s="25"/>
    </row>
    <row r="528" ht="22.5" customHeight="1">
      <c r="A528" s="22">
        <v>527.0</v>
      </c>
      <c r="B528" s="24" t="str">
        <f>IFERROR(__xludf.DUMMYFUNCTION("""COMPUTED_VALUE"""),"Pengelola Administrasi Perkantoran")</f>
        <v>Pengelola Administrasi Perkantoran</v>
      </c>
      <c r="C528" s="24" t="str">
        <f>IFERROR(__xludf.DUMMYFUNCTION("""COMPUTED_VALUE"""),"SMK Negeri 1 Muna")</f>
        <v>SMK Negeri 1 Muna</v>
      </c>
      <c r="D528" s="24"/>
      <c r="E528" s="24"/>
      <c r="F528" s="24" t="str">
        <f>IFERROR(__xludf.DUMMYFUNCTION("""COMPUTED_VALUE"""),"SINTYA ADHEL SYAHADAT")</f>
        <v>SINTYA ADHEL SYAHADAT</v>
      </c>
      <c r="G528" s="24" t="str">
        <f>IFERROR(__xludf.DUMMYFUNCTION("""COMPUTED_VALUE"""),"7304165510080002")</f>
        <v>7304165510080002</v>
      </c>
      <c r="H528" s="24"/>
      <c r="I528" s="24"/>
      <c r="J528" s="24" t="str">
        <f>IFERROR(__xludf.DUMMYFUNCTION("""COMPUTED_VALUE"""),"PEREMPUAN")</f>
        <v>PEREMPUAN</v>
      </c>
      <c r="K528" s="24" t="str">
        <f>IFERROR(__xludf.DUMMYFUNCTION("""COMPUTED_VALUE"""),"Jl. Sawerigading")</f>
        <v>Jl. Sawerigading</v>
      </c>
      <c r="L528" s="24"/>
      <c r="M528" s="24"/>
      <c r="N528" s="24" t="str">
        <f>IFERROR(__xludf.DUMMYFUNCTION("""COMPUTED_VALUE"""),"SMA / SMK / MA")</f>
        <v>SMA / SMK / MA</v>
      </c>
      <c r="O528" s="24"/>
      <c r="P528" s="24"/>
      <c r="Q528" s="24"/>
      <c r="R528" s="24" t="str">
        <f>IFERROR(__xludf.DUMMYFUNCTION("""COMPUTED_VALUE"""),"K")</f>
        <v>K</v>
      </c>
      <c r="S528" s="25"/>
    </row>
    <row r="529" ht="22.5" customHeight="1">
      <c r="A529" s="22">
        <v>528.0</v>
      </c>
      <c r="B529" s="24" t="str">
        <f>IFERROR(__xludf.DUMMYFUNCTION("""COMPUTED_VALUE"""),"Pengelola Administrasi Perkantoran")</f>
        <v>Pengelola Administrasi Perkantoran</v>
      </c>
      <c r="C529" s="24" t="str">
        <f>IFERROR(__xludf.DUMMYFUNCTION("""COMPUTED_VALUE"""),"SMK Negeri 1 Muna")</f>
        <v>SMK Negeri 1 Muna</v>
      </c>
      <c r="D529" s="24"/>
      <c r="E529" s="24"/>
      <c r="F529" s="24" t="str">
        <f>IFERROR(__xludf.DUMMYFUNCTION("""COMPUTED_VALUE"""),"SITI RATNA RAHAYU")</f>
        <v>SITI RATNA RAHAYU</v>
      </c>
      <c r="G529" s="24" t="str">
        <f>IFERROR(__xludf.DUMMYFUNCTION("""COMPUTED_VALUE"""),"7403165207080003")</f>
        <v>7403165207080003</v>
      </c>
      <c r="H529" s="24"/>
      <c r="I529" s="24"/>
      <c r="J529" s="24" t="str">
        <f>IFERROR(__xludf.DUMMYFUNCTION("""COMPUTED_VALUE"""),"PEREMPUAN")</f>
        <v>PEREMPUAN</v>
      </c>
      <c r="K529" s="24" t="str">
        <f>IFERROR(__xludf.DUMMYFUNCTION("""COMPUTED_VALUE"""),"Jl. Basuki Rahmat")</f>
        <v>Jl. Basuki Rahmat</v>
      </c>
      <c r="L529" s="24"/>
      <c r="M529" s="24"/>
      <c r="N529" s="24" t="str">
        <f>IFERROR(__xludf.DUMMYFUNCTION("""COMPUTED_VALUE"""),"SMA / SMK / MA")</f>
        <v>SMA / SMK / MA</v>
      </c>
      <c r="O529" s="24"/>
      <c r="P529" s="24"/>
      <c r="Q529" s="24"/>
      <c r="R529" s="24" t="str">
        <f>IFERROR(__xludf.DUMMYFUNCTION("""COMPUTED_VALUE"""),"K")</f>
        <v>K</v>
      </c>
      <c r="S529" s="25"/>
    </row>
    <row r="530" ht="22.5" customHeight="1">
      <c r="A530" s="22">
        <v>529.0</v>
      </c>
      <c r="B530" s="24" t="str">
        <f>IFERROR(__xludf.DUMMYFUNCTION("""COMPUTED_VALUE"""),"Pengelola Administrasi Perkantoran")</f>
        <v>Pengelola Administrasi Perkantoran</v>
      </c>
      <c r="C530" s="24" t="str">
        <f>IFERROR(__xludf.DUMMYFUNCTION("""COMPUTED_VALUE"""),"SMK Negeri 1 Muna")</f>
        <v>SMK Negeri 1 Muna</v>
      </c>
      <c r="D530" s="24"/>
      <c r="E530" s="24"/>
      <c r="F530" s="24" t="str">
        <f>IFERROR(__xludf.DUMMYFUNCTION("""COMPUTED_VALUE"""),"TIARA")</f>
        <v>TIARA</v>
      </c>
      <c r="G530" s="24" t="str">
        <f>IFERROR(__xludf.DUMMYFUNCTION("""COMPUTED_VALUE"""),"7403124508070002")</f>
        <v>7403124508070002</v>
      </c>
      <c r="H530" s="24"/>
      <c r="I530" s="24"/>
      <c r="J530" s="24" t="str">
        <f>IFERROR(__xludf.DUMMYFUNCTION("""COMPUTED_VALUE"""),"PEREMPUAN")</f>
        <v>PEREMPUAN</v>
      </c>
      <c r="K530" s="24" t="str">
        <f>IFERROR(__xludf.DUMMYFUNCTION("""COMPUTED_VALUE"""),"Jl. Desa Lagasa Bahari II")</f>
        <v>Jl. Desa Lagasa Bahari II</v>
      </c>
      <c r="L530" s="24"/>
      <c r="M530" s="24"/>
      <c r="N530" s="24" t="str">
        <f>IFERROR(__xludf.DUMMYFUNCTION("""COMPUTED_VALUE"""),"SMA / SMK / MA")</f>
        <v>SMA / SMK / MA</v>
      </c>
      <c r="O530" s="24"/>
      <c r="P530" s="24"/>
      <c r="Q530" s="24"/>
      <c r="R530" s="24" t="str">
        <f>IFERROR(__xludf.DUMMYFUNCTION("""COMPUTED_VALUE"""),"K")</f>
        <v>K</v>
      </c>
      <c r="S530" s="25"/>
    </row>
    <row r="531" ht="22.5" customHeight="1">
      <c r="A531" s="22">
        <v>530.0</v>
      </c>
      <c r="B531" s="24" t="str">
        <f>IFERROR(__xludf.DUMMYFUNCTION("""COMPUTED_VALUE"""),"Pengelola Administrasi Perkantoran")</f>
        <v>Pengelola Administrasi Perkantoran</v>
      </c>
      <c r="C531" s="24" t="str">
        <f>IFERROR(__xludf.DUMMYFUNCTION("""COMPUTED_VALUE"""),"SMK Negeri 1 Muna")</f>
        <v>SMK Negeri 1 Muna</v>
      </c>
      <c r="D531" s="24"/>
      <c r="E531" s="24"/>
      <c r="F531" s="24" t="str">
        <f>IFERROR(__xludf.DUMMYFUNCTION("""COMPUTED_VALUE"""),"YULI ASMA SANTI")</f>
        <v>YULI ASMA SANTI</v>
      </c>
      <c r="G531" s="24" t="str">
        <f>IFERROR(__xludf.DUMMYFUNCTION("""COMPUTED_VALUE"""),"7403247103080001")</f>
        <v>7403247103080001</v>
      </c>
      <c r="H531" s="24"/>
      <c r="I531" s="24"/>
      <c r="J531" s="24" t="str">
        <f>IFERROR(__xludf.DUMMYFUNCTION("""COMPUTED_VALUE"""),"PEREMPUAN")</f>
        <v>PEREMPUAN</v>
      </c>
      <c r="K531" s="24" t="str">
        <f>IFERROR(__xludf.DUMMYFUNCTION("""COMPUTED_VALUE"""),"Jl. Pendidikan, Lorong siswa 3")</f>
        <v>Jl. Pendidikan, Lorong siswa 3</v>
      </c>
      <c r="L531" s="24"/>
      <c r="M531" s="24"/>
      <c r="N531" s="24" t="str">
        <f>IFERROR(__xludf.DUMMYFUNCTION("""COMPUTED_VALUE"""),"SMA / SMK / MA")</f>
        <v>SMA / SMK / MA</v>
      </c>
      <c r="O531" s="24"/>
      <c r="P531" s="24"/>
      <c r="Q531" s="24"/>
      <c r="R531" s="24" t="str">
        <f>IFERROR(__xludf.DUMMYFUNCTION("""COMPUTED_VALUE"""),"K")</f>
        <v>K</v>
      </c>
      <c r="S531" s="25"/>
    </row>
    <row r="532" ht="22.5" customHeight="1">
      <c r="A532" s="22">
        <v>531.0</v>
      </c>
      <c r="B532" s="24" t="str">
        <f>IFERROR(__xludf.DUMMYFUNCTION("""COMPUTED_VALUE"""),"Desainer Grafis Muda")</f>
        <v>Desainer Grafis Muda</v>
      </c>
      <c r="C532" s="24" t="str">
        <f>IFERROR(__xludf.DUMMYFUNCTION("""COMPUTED_VALUE"""),"SMK Negeri 1 Muna")</f>
        <v>SMK Negeri 1 Muna</v>
      </c>
      <c r="D532" s="24"/>
      <c r="E532" s="24"/>
      <c r="F532" s="24" t="str">
        <f>IFERROR(__xludf.DUMMYFUNCTION("""COMPUTED_VALUE"""),"RIMLIS MASUHA")</f>
        <v>RIMLIS MASUHA</v>
      </c>
      <c r="G532" s="24" t="str">
        <f>IFERROR(__xludf.DUMMYFUNCTION("""COMPUTED_VALUE"""),"7405030509710001")</f>
        <v>7405030509710001</v>
      </c>
      <c r="H532" s="24"/>
      <c r="I532" s="24"/>
      <c r="J532" s="24" t="str">
        <f>IFERROR(__xludf.DUMMYFUNCTION("""COMPUTED_VALUE"""),"LAKI-LAKI")</f>
        <v>LAKI-LAKI</v>
      </c>
      <c r="K532" s="24" t="str">
        <f>IFERROR(__xludf.DUMMYFUNCTION("""COMPUTED_VALUE"""),"Desa Labone Kec. Lasalepa")</f>
        <v>Desa Labone Kec. Lasalepa</v>
      </c>
      <c r="L532" s="24"/>
      <c r="M532" s="24"/>
      <c r="N532" s="24" t="str">
        <f>IFERROR(__xludf.DUMMYFUNCTION("""COMPUTED_VALUE"""),"SMA / SMK / MA")</f>
        <v>SMA / SMK / MA</v>
      </c>
      <c r="O532" s="24"/>
      <c r="P532" s="24"/>
      <c r="Q532" s="24"/>
      <c r="R532" s="24" t="str">
        <f>IFERROR(__xludf.DUMMYFUNCTION("""COMPUTED_VALUE"""),"K")</f>
        <v>K</v>
      </c>
      <c r="S532" s="25"/>
    </row>
    <row r="533" ht="22.5" customHeight="1">
      <c r="A533" s="22">
        <v>532.0</v>
      </c>
      <c r="B533" s="24" t="str">
        <f>IFERROR(__xludf.DUMMYFUNCTION("""COMPUTED_VALUE"""),"Desainer Grafis Muda")</f>
        <v>Desainer Grafis Muda</v>
      </c>
      <c r="C533" s="24" t="str">
        <f>IFERROR(__xludf.DUMMYFUNCTION("""COMPUTED_VALUE"""),"SMK Negeri 1 Muna")</f>
        <v>SMK Negeri 1 Muna</v>
      </c>
      <c r="D533" s="24"/>
      <c r="E533" s="24"/>
      <c r="F533" s="24" t="str">
        <f>IFERROR(__xludf.DUMMYFUNCTION("""COMPUTED_VALUE"""),"ISMAIL")</f>
        <v>ISMAIL</v>
      </c>
      <c r="G533" s="24" t="str">
        <f>IFERROR(__xludf.DUMMYFUNCTION("""COMPUTED_VALUE"""),"7403100201880001")</f>
        <v>7403100201880001</v>
      </c>
      <c r="H533" s="24"/>
      <c r="I533" s="24"/>
      <c r="J533" s="24" t="str">
        <f>IFERROR(__xludf.DUMMYFUNCTION("""COMPUTED_VALUE"""),"LAKI-LAKI")</f>
        <v>LAKI-LAKI</v>
      </c>
      <c r="K533" s="24" t="str">
        <f>IFERROR(__xludf.DUMMYFUNCTION("""COMPUTED_VALUE"""),"Jl. Gatot Subroto, Kel Laiworu, Kec Batalaiworu")</f>
        <v>Jl. Gatot Subroto, Kel Laiworu, Kec Batalaiworu</v>
      </c>
      <c r="L533" s="24"/>
      <c r="M533" s="24"/>
      <c r="N533" s="24" t="str">
        <f>IFERROR(__xludf.DUMMYFUNCTION("""COMPUTED_VALUE"""),"SMA / SMK / MA")</f>
        <v>SMA / SMK / MA</v>
      </c>
      <c r="O533" s="24"/>
      <c r="P533" s="24"/>
      <c r="Q533" s="24"/>
      <c r="R533" s="24" t="str">
        <f>IFERROR(__xludf.DUMMYFUNCTION("""COMPUTED_VALUE"""),"K")</f>
        <v>K</v>
      </c>
      <c r="S533" s="25"/>
    </row>
    <row r="534" ht="22.5" customHeight="1">
      <c r="A534" s="22">
        <v>533.0</v>
      </c>
      <c r="B534" s="24" t="str">
        <f>IFERROR(__xludf.DUMMYFUNCTION("""COMPUTED_VALUE"""),"Desainer Grafis Muda")</f>
        <v>Desainer Grafis Muda</v>
      </c>
      <c r="C534" s="24" t="str">
        <f>IFERROR(__xludf.DUMMYFUNCTION("""COMPUTED_VALUE"""),"SMK Negeri 1 Muna")</f>
        <v>SMK Negeri 1 Muna</v>
      </c>
      <c r="D534" s="24"/>
      <c r="E534" s="24"/>
      <c r="F534" s="24" t="str">
        <f>IFERROR(__xludf.DUMMYFUNCTION("""COMPUTED_VALUE"""),"LA ODE MUHAMMAD HABRI")</f>
        <v>LA ODE MUHAMMAD HABRI</v>
      </c>
      <c r="G534" s="24" t="str">
        <f>IFERROR(__xludf.DUMMYFUNCTION("""COMPUTED_VALUE"""),"7403110510910201")</f>
        <v>7403110510910201</v>
      </c>
      <c r="H534" s="24"/>
      <c r="I534" s="24"/>
      <c r="J534" s="24" t="str">
        <f>IFERROR(__xludf.DUMMYFUNCTION("""COMPUTED_VALUE"""),"LAKI-LAKI")</f>
        <v>LAKI-LAKI</v>
      </c>
      <c r="K534" s="24" t="str">
        <f>IFERROR(__xludf.DUMMYFUNCTION("""COMPUTED_VALUE"""),"Jl. Bunga Anggrek, No. 22")</f>
        <v>Jl. Bunga Anggrek, No. 22</v>
      </c>
      <c r="L534" s="24"/>
      <c r="M534" s="24"/>
      <c r="N534" s="24" t="str">
        <f>IFERROR(__xludf.DUMMYFUNCTION("""COMPUTED_VALUE"""),"SMA / SMK / MA")</f>
        <v>SMA / SMK / MA</v>
      </c>
      <c r="O534" s="24"/>
      <c r="P534" s="24"/>
      <c r="Q534" s="24"/>
      <c r="R534" s="24" t="str">
        <f>IFERROR(__xludf.DUMMYFUNCTION("""COMPUTED_VALUE"""),"K")</f>
        <v>K</v>
      </c>
      <c r="S534" s="25"/>
    </row>
    <row r="535" ht="22.5" customHeight="1">
      <c r="A535" s="22">
        <v>534.0</v>
      </c>
      <c r="B535" s="24" t="str">
        <f>IFERROR(__xludf.DUMMYFUNCTION("""COMPUTED_VALUE"""),"Desainer Grafis Muda")</f>
        <v>Desainer Grafis Muda</v>
      </c>
      <c r="C535" s="24" t="str">
        <f>IFERROR(__xludf.DUMMYFUNCTION("""COMPUTED_VALUE"""),"SMK Negeri 1 Muna")</f>
        <v>SMK Negeri 1 Muna</v>
      </c>
      <c r="D535" s="24"/>
      <c r="E535" s="24"/>
      <c r="F535" s="24" t="str">
        <f>IFERROR(__xludf.DUMMYFUNCTION("""COMPUTED_VALUE"""),"HENI HUSMIRA")</f>
        <v>HENI HUSMIRA</v>
      </c>
      <c r="G535" s="24" t="str">
        <f>IFERROR(__xludf.DUMMYFUNCTION("""COMPUTED_VALUE"""),"7403145607840201")</f>
        <v>7403145607840201</v>
      </c>
      <c r="H535" s="24"/>
      <c r="I535" s="24"/>
      <c r="J535" s="24" t="str">
        <f>IFERROR(__xludf.DUMMYFUNCTION("""COMPUTED_VALUE"""),"PEREMPUAN")</f>
        <v>PEREMPUAN</v>
      </c>
      <c r="K535" s="24" t="str">
        <f>IFERROR(__xludf.DUMMYFUNCTION("""COMPUTED_VALUE"""),"Desa Labaha, Kec. Watupute, Kab. Muna")</f>
        <v>Desa Labaha, Kec. Watupute, Kab. Muna</v>
      </c>
      <c r="L535" s="24"/>
      <c r="M535" s="24"/>
      <c r="N535" s="24" t="str">
        <f>IFERROR(__xludf.DUMMYFUNCTION("""COMPUTED_VALUE"""),"SMA / SMK / MA")</f>
        <v>SMA / SMK / MA</v>
      </c>
      <c r="O535" s="24"/>
      <c r="P535" s="24"/>
      <c r="Q535" s="24"/>
      <c r="R535" s="24" t="str">
        <f>IFERROR(__xludf.DUMMYFUNCTION("""COMPUTED_VALUE"""),"K")</f>
        <v>K</v>
      </c>
      <c r="S535" s="25"/>
    </row>
    <row r="536" ht="22.5" customHeight="1">
      <c r="A536" s="22">
        <v>535.0</v>
      </c>
      <c r="B536" s="24" t="str">
        <f>IFERROR(__xludf.DUMMYFUNCTION("""COMPUTED_VALUE"""),"Desainer Grafis Muda")</f>
        <v>Desainer Grafis Muda</v>
      </c>
      <c r="C536" s="24" t="str">
        <f>IFERROR(__xludf.DUMMYFUNCTION("""COMPUTED_VALUE"""),"SMK Negeri 1 Muna")</f>
        <v>SMK Negeri 1 Muna</v>
      </c>
      <c r="D536" s="24"/>
      <c r="E536" s="24"/>
      <c r="F536" s="24" t="str">
        <f>IFERROR(__xludf.DUMMYFUNCTION("""COMPUTED_VALUE"""),"RIZLAN")</f>
        <v>RIZLAN</v>
      </c>
      <c r="G536" s="24" t="str">
        <f>IFERROR(__xludf.DUMMYFUNCTION("""COMPUTED_VALUE"""),"7403180512970002")</f>
        <v>7403180512970002</v>
      </c>
      <c r="H536" s="24"/>
      <c r="I536" s="24"/>
      <c r="J536" s="24" t="str">
        <f>IFERROR(__xludf.DUMMYFUNCTION("""COMPUTED_VALUE"""),"LAKI-LAKI")</f>
        <v>LAKI-LAKI</v>
      </c>
      <c r="K536" s="24" t="str">
        <f>IFERROR(__xludf.DUMMYFUNCTION("""COMPUTED_VALUE"""),"Desa Lakarinta, Kec. Lohia")</f>
        <v>Desa Lakarinta, Kec. Lohia</v>
      </c>
      <c r="L536" s="24"/>
      <c r="M536" s="24"/>
      <c r="N536" s="24" t="str">
        <f>IFERROR(__xludf.DUMMYFUNCTION("""COMPUTED_VALUE"""),"SMA / SMK / MA")</f>
        <v>SMA / SMK / MA</v>
      </c>
      <c r="O536" s="24"/>
      <c r="P536" s="24"/>
      <c r="Q536" s="24"/>
      <c r="R536" s="24" t="str">
        <f>IFERROR(__xludf.DUMMYFUNCTION("""COMPUTED_VALUE"""),"K")</f>
        <v>K</v>
      </c>
      <c r="S536" s="25"/>
    </row>
    <row r="537" ht="22.5" customHeight="1">
      <c r="A537" s="22">
        <v>536.0</v>
      </c>
      <c r="B537" s="24" t="str">
        <f>IFERROR(__xludf.DUMMYFUNCTION("""COMPUTED_VALUE"""),"Desainer Grafis Muda")</f>
        <v>Desainer Grafis Muda</v>
      </c>
      <c r="C537" s="24" t="str">
        <f>IFERROR(__xludf.DUMMYFUNCTION("""COMPUTED_VALUE"""),"SMK Negeri 1 Muna")</f>
        <v>SMK Negeri 1 Muna</v>
      </c>
      <c r="D537" s="24"/>
      <c r="E537" s="24"/>
      <c r="F537" s="24" t="str">
        <f>IFERROR(__xludf.DUMMYFUNCTION("""COMPUTED_VALUE"""),"SUKMA")</f>
        <v>SUKMA</v>
      </c>
      <c r="G537" s="24" t="str">
        <f>IFERROR(__xludf.DUMMYFUNCTION("""COMPUTED_VALUE"""),"7403177105860202")</f>
        <v>7403177105860202</v>
      </c>
      <c r="H537" s="24"/>
      <c r="I537" s="24"/>
      <c r="J537" s="24" t="str">
        <f>IFERROR(__xludf.DUMMYFUNCTION("""COMPUTED_VALUE"""),"PEREMPUAN")</f>
        <v>PEREMPUAN</v>
      </c>
      <c r="K537" s="24" t="str">
        <f>IFERROR(__xludf.DUMMYFUNCTION("""COMPUTED_VALUE"""),"Jl. Sukowati, Kel. Raha II, Kec. Katobu")</f>
        <v>Jl. Sukowati, Kel. Raha II, Kec. Katobu</v>
      </c>
      <c r="L537" s="24"/>
      <c r="M537" s="24"/>
      <c r="N537" s="24" t="str">
        <f>IFERROR(__xludf.DUMMYFUNCTION("""COMPUTED_VALUE"""),"SMA / SMK / MA")</f>
        <v>SMA / SMK / MA</v>
      </c>
      <c r="O537" s="24"/>
      <c r="P537" s="24"/>
      <c r="Q537" s="24"/>
      <c r="R537" s="24" t="str">
        <f>IFERROR(__xludf.DUMMYFUNCTION("""COMPUTED_VALUE"""),"K")</f>
        <v>K</v>
      </c>
      <c r="S537" s="25"/>
    </row>
    <row r="538" ht="22.5" customHeight="1">
      <c r="A538" s="22">
        <v>537.0</v>
      </c>
      <c r="B538" s="24" t="str">
        <f>IFERROR(__xludf.DUMMYFUNCTION("""COMPUTED_VALUE"""),"Desainer Grafis Muda")</f>
        <v>Desainer Grafis Muda</v>
      </c>
      <c r="C538" s="24" t="str">
        <f>IFERROR(__xludf.DUMMYFUNCTION("""COMPUTED_VALUE"""),"SMK Negeri 1 Muna")</f>
        <v>SMK Negeri 1 Muna</v>
      </c>
      <c r="D538" s="24"/>
      <c r="E538" s="24"/>
      <c r="F538" s="24" t="str">
        <f>IFERROR(__xludf.DUMMYFUNCTION("""COMPUTED_VALUE"""),"YUYUN RUSMIANTI")</f>
        <v>YUYUN RUSMIANTI</v>
      </c>
      <c r="G538" s="24" t="str">
        <f>IFERROR(__xludf.DUMMYFUNCTION("""COMPUTED_VALUE"""),"7403116609010001")</f>
        <v>7403116609010001</v>
      </c>
      <c r="H538" s="24"/>
      <c r="I538" s="24"/>
      <c r="J538" s="24" t="str">
        <f>IFERROR(__xludf.DUMMYFUNCTION("""COMPUTED_VALUE"""),"PEREMPUAN")</f>
        <v>PEREMPUAN</v>
      </c>
      <c r="K538" s="24" t="str">
        <f>IFERROR(__xludf.DUMMYFUNCTION("""COMPUTED_VALUE"""),"Jln. Bunga Cempaka")</f>
        <v>Jln. Bunga Cempaka</v>
      </c>
      <c r="L538" s="24"/>
      <c r="M538" s="24"/>
      <c r="N538" s="24" t="str">
        <f>IFERROR(__xludf.DUMMYFUNCTION("""COMPUTED_VALUE"""),"SMA / SMK / MA")</f>
        <v>SMA / SMK / MA</v>
      </c>
      <c r="O538" s="24"/>
      <c r="P538" s="24"/>
      <c r="Q538" s="24"/>
      <c r="R538" s="24" t="str">
        <f>IFERROR(__xludf.DUMMYFUNCTION("""COMPUTED_VALUE"""),"K")</f>
        <v>K</v>
      </c>
      <c r="S538" s="25"/>
    </row>
    <row r="539" ht="22.5" customHeight="1">
      <c r="A539" s="22">
        <v>538.0</v>
      </c>
      <c r="B539" s="24" t="str">
        <f>IFERROR(__xludf.DUMMYFUNCTION("""COMPUTED_VALUE"""),"Desainer Grafis Muda")</f>
        <v>Desainer Grafis Muda</v>
      </c>
      <c r="C539" s="24" t="str">
        <f>IFERROR(__xludf.DUMMYFUNCTION("""COMPUTED_VALUE"""),"SMK Negeri 1 Muna")</f>
        <v>SMK Negeri 1 Muna</v>
      </c>
      <c r="D539" s="24"/>
      <c r="E539" s="24"/>
      <c r="F539" s="24" t="str">
        <f>IFERROR(__xludf.DUMMYFUNCTION("""COMPUTED_VALUE"""),"AYUT OKTAVIA")</f>
        <v>AYUT OKTAVIA</v>
      </c>
      <c r="G539" s="24" t="str">
        <f>IFERROR(__xludf.DUMMYFUNCTION("""COMPUTED_VALUE"""),"7410015606980001")</f>
        <v>7410015606980001</v>
      </c>
      <c r="H539" s="24"/>
      <c r="I539" s="24"/>
      <c r="J539" s="24" t="str">
        <f>IFERROR(__xludf.DUMMYFUNCTION("""COMPUTED_VALUE"""),"PEREMPUAN")</f>
        <v>PEREMPUAN</v>
      </c>
      <c r="K539" s="24" t="str">
        <f>IFERROR(__xludf.DUMMYFUNCTION("""COMPUTED_VALUE"""),"Jl. Mawar")</f>
        <v>Jl. Mawar</v>
      </c>
      <c r="L539" s="24"/>
      <c r="M539" s="24"/>
      <c r="N539" s="24" t="str">
        <f>IFERROR(__xludf.DUMMYFUNCTION("""COMPUTED_VALUE"""),"SMA / SMK / MA")</f>
        <v>SMA / SMK / MA</v>
      </c>
      <c r="O539" s="24"/>
      <c r="P539" s="24"/>
      <c r="Q539" s="24"/>
      <c r="R539" s="24" t="str">
        <f>IFERROR(__xludf.DUMMYFUNCTION("""COMPUTED_VALUE"""),"K")</f>
        <v>K</v>
      </c>
      <c r="S539" s="25"/>
    </row>
    <row r="540" ht="22.5" customHeight="1">
      <c r="A540" s="22">
        <v>539.0</v>
      </c>
      <c r="B540" s="24" t="str">
        <f>IFERROR(__xludf.DUMMYFUNCTION("""COMPUTED_VALUE"""),"Desainer Grafis Muda")</f>
        <v>Desainer Grafis Muda</v>
      </c>
      <c r="C540" s="24" t="str">
        <f>IFERROR(__xludf.DUMMYFUNCTION("""COMPUTED_VALUE"""),"SMK Negeri 1 Muna")</f>
        <v>SMK Negeri 1 Muna</v>
      </c>
      <c r="D540" s="24"/>
      <c r="E540" s="24"/>
      <c r="F540" s="24" t="str">
        <f>IFERROR(__xludf.DUMMYFUNCTION("""COMPUTED_VALUE"""),"AZIZA NAHA’WAN")</f>
        <v>AZIZA NAHA’WAN</v>
      </c>
      <c r="G540" s="24" t="str">
        <f>IFERROR(__xludf.DUMMYFUNCTION("""COMPUTED_VALUE"""),"7403014306970001")</f>
        <v>7403014306970001</v>
      </c>
      <c r="H540" s="24"/>
      <c r="I540" s="24"/>
      <c r="J540" s="24" t="str">
        <f>IFERROR(__xludf.DUMMYFUNCTION("""COMPUTED_VALUE"""),"PEREMPUAN")</f>
        <v>PEREMPUAN</v>
      </c>
      <c r="K540" s="24" t="str">
        <f>IFERROR(__xludf.DUMMYFUNCTION("""COMPUTED_VALUE"""),"Desa Pajala")</f>
        <v>Desa Pajala</v>
      </c>
      <c r="L540" s="24"/>
      <c r="M540" s="24"/>
      <c r="N540" s="24" t="str">
        <f>IFERROR(__xludf.DUMMYFUNCTION("""COMPUTED_VALUE"""),"SMA / SMK / MA")</f>
        <v>SMA / SMK / MA</v>
      </c>
      <c r="O540" s="24"/>
      <c r="P540" s="24"/>
      <c r="Q540" s="24"/>
      <c r="R540" s="24" t="str">
        <f>IFERROR(__xludf.DUMMYFUNCTION("""COMPUTED_VALUE"""),"K")</f>
        <v>K</v>
      </c>
      <c r="S540" s="25"/>
    </row>
    <row r="541" ht="22.5" customHeight="1">
      <c r="A541" s="22">
        <v>540.0</v>
      </c>
      <c r="B541" s="24" t="str">
        <f>IFERROR(__xludf.DUMMYFUNCTION("""COMPUTED_VALUE"""),"Desainer Grafis Muda")</f>
        <v>Desainer Grafis Muda</v>
      </c>
      <c r="C541" s="24" t="str">
        <f>IFERROR(__xludf.DUMMYFUNCTION("""COMPUTED_VALUE"""),"SMK Negeri 1 Muna")</f>
        <v>SMK Negeri 1 Muna</v>
      </c>
      <c r="D541" s="24"/>
      <c r="E541" s="24"/>
      <c r="F541" s="24" t="str">
        <f>IFERROR(__xludf.DUMMYFUNCTION("""COMPUTED_VALUE"""),"YENI FITRIANA")</f>
        <v>YENI FITRIANA</v>
      </c>
      <c r="G541" s="24" t="str">
        <f>IFERROR(__xludf.DUMMYFUNCTION("""COMPUTED_VALUE"""),"7403096310960201")</f>
        <v>7403096310960201</v>
      </c>
      <c r="H541" s="24"/>
      <c r="I541" s="24"/>
      <c r="J541" s="24" t="str">
        <f>IFERROR(__xludf.DUMMYFUNCTION("""COMPUTED_VALUE"""),"PEREMPUAN")</f>
        <v>PEREMPUAN</v>
      </c>
      <c r="K541" s="24" t="str">
        <f>IFERROR(__xludf.DUMMYFUNCTION("""COMPUTED_VALUE"""),"Desa Labone")</f>
        <v>Desa Labone</v>
      </c>
      <c r="L541" s="24"/>
      <c r="M541" s="24"/>
      <c r="N541" s="24" t="str">
        <f>IFERROR(__xludf.DUMMYFUNCTION("""COMPUTED_VALUE"""),"SMA / SMK / MA")</f>
        <v>SMA / SMK / MA</v>
      </c>
      <c r="O541" s="24"/>
      <c r="P541" s="24"/>
      <c r="Q541" s="24"/>
      <c r="R541" s="24" t="str">
        <f>IFERROR(__xludf.DUMMYFUNCTION("""COMPUTED_VALUE"""),"K")</f>
        <v>K</v>
      </c>
      <c r="S541" s="25"/>
    </row>
    <row r="542" ht="22.5" customHeight="1">
      <c r="A542" s="22">
        <v>541.0</v>
      </c>
      <c r="B542" s="24" t="str">
        <f>IFERROR(__xludf.DUMMYFUNCTION("""COMPUTED_VALUE"""),"Desainer Grafis Muda")</f>
        <v>Desainer Grafis Muda</v>
      </c>
      <c r="C542" s="24" t="str">
        <f>IFERROR(__xludf.DUMMYFUNCTION("""COMPUTED_VALUE"""),"SMK Negeri 1 Muna")</f>
        <v>SMK Negeri 1 Muna</v>
      </c>
      <c r="D542" s="24"/>
      <c r="E542" s="24"/>
      <c r="F542" s="24" t="str">
        <f>IFERROR(__xludf.DUMMYFUNCTION("""COMPUTED_VALUE"""),"ANNISA AZZAHRA")</f>
        <v>ANNISA AZZAHRA</v>
      </c>
      <c r="G542" s="24">
        <f>IFERROR(__xludf.DUMMYFUNCTION("""COMPUTED_VALUE"""),8.17206210100004E14)</f>
        <v>817206210100004</v>
      </c>
      <c r="H542" s="24"/>
      <c r="I542" s="24"/>
      <c r="J542" s="24" t="str">
        <f>IFERROR(__xludf.DUMMYFUNCTION("""COMPUTED_VALUE"""),"LAKI-LAKI")</f>
        <v>LAKI-LAKI</v>
      </c>
      <c r="K542" s="24" t="str">
        <f>IFERROR(__xludf.DUMMYFUNCTION("""COMPUTED_VALUE"""),"Kel. Watonea, Kec. Katobu, Kab. Muna")</f>
        <v>Kel. Watonea, Kec. Katobu, Kab. Muna</v>
      </c>
      <c r="L542" s="24"/>
      <c r="M542" s="24"/>
      <c r="N542" s="24" t="str">
        <f>IFERROR(__xludf.DUMMYFUNCTION("""COMPUTED_VALUE"""),"SMA / SMK / MA")</f>
        <v>SMA / SMK / MA</v>
      </c>
      <c r="O542" s="24"/>
      <c r="P542" s="24"/>
      <c r="Q542" s="24"/>
      <c r="R542" s="24" t="str">
        <f>IFERROR(__xludf.DUMMYFUNCTION("""COMPUTED_VALUE"""),"K")</f>
        <v>K</v>
      </c>
      <c r="S542" s="25"/>
    </row>
    <row r="543" ht="22.5" customHeight="1">
      <c r="A543" s="22">
        <v>542.0</v>
      </c>
      <c r="B543" s="24" t="str">
        <f>IFERROR(__xludf.DUMMYFUNCTION("""COMPUTED_VALUE"""),"Desainer Grafis Muda")</f>
        <v>Desainer Grafis Muda</v>
      </c>
      <c r="C543" s="24" t="str">
        <f>IFERROR(__xludf.DUMMYFUNCTION("""COMPUTED_VALUE"""),"SMK Negeri 1 Muna")</f>
        <v>SMK Negeri 1 Muna</v>
      </c>
      <c r="D543" s="24"/>
      <c r="E543" s="24"/>
      <c r="F543" s="24" t="str">
        <f>IFERROR(__xludf.DUMMYFUNCTION("""COMPUTED_VALUE"""),"CLARA SAFIRA ASDAR")</f>
        <v>CLARA SAFIRA ASDAR</v>
      </c>
      <c r="G543" s="24" t="str">
        <f>IFERROR(__xludf.DUMMYFUNCTION("""COMPUTED_VALUE"""),"7403165901080001")</f>
        <v>7403165901080001</v>
      </c>
      <c r="H543" s="24"/>
      <c r="I543" s="24"/>
      <c r="J543" s="24" t="str">
        <f>IFERROR(__xludf.DUMMYFUNCTION("""COMPUTED_VALUE"""),"PEREMPUAN")</f>
        <v>PEREMPUAN</v>
      </c>
      <c r="K543" s="24" t="str">
        <f>IFERROR(__xludf.DUMMYFUNCTION("""COMPUTED_VALUE"""),"Jl. Delima")</f>
        <v>Jl. Delima</v>
      </c>
      <c r="L543" s="24"/>
      <c r="M543" s="24"/>
      <c r="N543" s="24" t="str">
        <f>IFERROR(__xludf.DUMMYFUNCTION("""COMPUTED_VALUE"""),"SMA / SMK / MA")</f>
        <v>SMA / SMK / MA</v>
      </c>
      <c r="O543" s="24"/>
      <c r="P543" s="24"/>
      <c r="Q543" s="24"/>
      <c r="R543" s="24" t="str">
        <f>IFERROR(__xludf.DUMMYFUNCTION("""COMPUTED_VALUE"""),"K")</f>
        <v>K</v>
      </c>
      <c r="S543" s="25"/>
    </row>
    <row r="544" ht="22.5" customHeight="1">
      <c r="A544" s="22">
        <v>543.0</v>
      </c>
      <c r="B544" s="24" t="str">
        <f>IFERROR(__xludf.DUMMYFUNCTION("""COMPUTED_VALUE"""),"Desainer Grafis Muda")</f>
        <v>Desainer Grafis Muda</v>
      </c>
      <c r="C544" s="24" t="str">
        <f>IFERROR(__xludf.DUMMYFUNCTION("""COMPUTED_VALUE"""),"SMK Negeri 1 Muna")</f>
        <v>SMK Negeri 1 Muna</v>
      </c>
      <c r="D544" s="24"/>
      <c r="E544" s="24"/>
      <c r="F544" s="24" t="str">
        <f>IFERROR(__xludf.DUMMYFUNCTION("""COMPUTED_VALUE"""),"DIMAS PRAMANA PUTRA")</f>
        <v>DIMAS PRAMANA PUTRA</v>
      </c>
      <c r="G544" s="24" t="str">
        <f>IFERROR(__xludf.DUMMYFUNCTION("""COMPUTED_VALUE"""),"7403270606060001")</f>
        <v>7403270606060001</v>
      </c>
      <c r="H544" s="24"/>
      <c r="I544" s="24"/>
      <c r="J544" s="24" t="str">
        <f>IFERROR(__xludf.DUMMYFUNCTION("""COMPUTED_VALUE"""),"LAKI-LAKI")</f>
        <v>LAKI-LAKI</v>
      </c>
      <c r="K544" s="24" t="str">
        <f>IFERROR(__xludf.DUMMYFUNCTION("""COMPUTED_VALUE"""),"Jalan BTN Anova UPC. Lasalepa")</f>
        <v>Jalan BTN Anova UPC. Lasalepa</v>
      </c>
      <c r="L544" s="24"/>
      <c r="M544" s="24"/>
      <c r="N544" s="24" t="str">
        <f>IFERROR(__xludf.DUMMYFUNCTION("""COMPUTED_VALUE"""),"SMA / SMK / MA")</f>
        <v>SMA / SMK / MA</v>
      </c>
      <c r="O544" s="24"/>
      <c r="P544" s="24"/>
      <c r="Q544" s="24"/>
      <c r="R544" s="24" t="str">
        <f>IFERROR(__xludf.DUMMYFUNCTION("""COMPUTED_VALUE"""),"K")</f>
        <v>K</v>
      </c>
      <c r="S544" s="25"/>
    </row>
    <row r="545" ht="22.5" customHeight="1">
      <c r="A545" s="22">
        <v>544.0</v>
      </c>
      <c r="B545" s="24" t="str">
        <f>IFERROR(__xludf.DUMMYFUNCTION("""COMPUTED_VALUE"""),"Desainer Grafis Muda")</f>
        <v>Desainer Grafis Muda</v>
      </c>
      <c r="C545" s="24" t="str">
        <f>IFERROR(__xludf.DUMMYFUNCTION("""COMPUTED_VALUE"""),"SMK Negeri 1 Muna")</f>
        <v>SMK Negeri 1 Muna</v>
      </c>
      <c r="D545" s="24"/>
      <c r="E545" s="24"/>
      <c r="F545" s="24" t="str">
        <f>IFERROR(__xludf.DUMMYFUNCTION("""COMPUTED_VALUE"""),"FATIMAH")</f>
        <v>FATIMAH</v>
      </c>
      <c r="G545" s="24" t="str">
        <f>IFERROR(__xludf.DUMMYFUNCTION("""COMPUTED_VALUE"""),"7403165706090001")</f>
        <v>7403165706090001</v>
      </c>
      <c r="H545" s="24"/>
      <c r="I545" s="24"/>
      <c r="J545" s="24" t="str">
        <f>IFERROR(__xludf.DUMMYFUNCTION("""COMPUTED_VALUE"""),"PEREMPUAN")</f>
        <v>PEREMPUAN</v>
      </c>
      <c r="K545" s="24" t="str">
        <f>IFERROR(__xludf.DUMMYFUNCTION("""COMPUTED_VALUE"""),"Jl. Sultan Syahrir")</f>
        <v>Jl. Sultan Syahrir</v>
      </c>
      <c r="L545" s="24"/>
      <c r="M545" s="24"/>
      <c r="N545" s="24" t="str">
        <f>IFERROR(__xludf.DUMMYFUNCTION("""COMPUTED_VALUE"""),"SMA / SMK / MA")</f>
        <v>SMA / SMK / MA</v>
      </c>
      <c r="O545" s="24"/>
      <c r="P545" s="24"/>
      <c r="Q545" s="24"/>
      <c r="R545" s="24" t="str">
        <f>IFERROR(__xludf.DUMMYFUNCTION("""COMPUTED_VALUE"""),"K")</f>
        <v>K</v>
      </c>
      <c r="S545" s="25"/>
    </row>
    <row r="546" ht="22.5" customHeight="1">
      <c r="A546" s="22">
        <v>545.0</v>
      </c>
      <c r="B546" s="24" t="str">
        <f>IFERROR(__xludf.DUMMYFUNCTION("""COMPUTED_VALUE"""),"Desainer Grafis Muda")</f>
        <v>Desainer Grafis Muda</v>
      </c>
      <c r="C546" s="24" t="str">
        <f>IFERROR(__xludf.DUMMYFUNCTION("""COMPUTED_VALUE"""),"SMK Negeri 1 Muna")</f>
        <v>SMK Negeri 1 Muna</v>
      </c>
      <c r="D546" s="24"/>
      <c r="E546" s="24"/>
      <c r="F546" s="24" t="str">
        <f>IFERROR(__xludf.DUMMYFUNCTION("""COMPUTED_VALUE"""),"IMELTIN")</f>
        <v>IMELTIN</v>
      </c>
      <c r="G546" s="24" t="str">
        <f>IFERROR(__xludf.DUMMYFUNCTION("""COMPUTED_VALUE"""),"7409044711070006")</f>
        <v>7409044711070006</v>
      </c>
      <c r="H546" s="24"/>
      <c r="I546" s="24"/>
      <c r="J546" s="24" t="str">
        <f>IFERROR(__xludf.DUMMYFUNCTION("""COMPUTED_VALUE"""),"PEREMPUAN")</f>
        <v>PEREMPUAN</v>
      </c>
      <c r="K546" s="24" t="str">
        <f>IFERROR(__xludf.DUMMYFUNCTION("""COMPUTED_VALUE"""),"Jl. Lumba-lumba")</f>
        <v>Jl. Lumba-lumba</v>
      </c>
      <c r="L546" s="24"/>
      <c r="M546" s="24"/>
      <c r="N546" s="24" t="str">
        <f>IFERROR(__xludf.DUMMYFUNCTION("""COMPUTED_VALUE"""),"SMA / SMK / MA")</f>
        <v>SMA / SMK / MA</v>
      </c>
      <c r="O546" s="24"/>
      <c r="P546" s="24"/>
      <c r="Q546" s="24"/>
      <c r="R546" s="24" t="str">
        <f>IFERROR(__xludf.DUMMYFUNCTION("""COMPUTED_VALUE"""),"K")</f>
        <v>K</v>
      </c>
      <c r="S546" s="25"/>
    </row>
    <row r="547" ht="22.5" customHeight="1">
      <c r="A547" s="22">
        <v>546.0</v>
      </c>
      <c r="B547" s="24" t="str">
        <f>IFERROR(__xludf.DUMMYFUNCTION("""COMPUTED_VALUE"""),"Desainer Grafis Muda")</f>
        <v>Desainer Grafis Muda</v>
      </c>
      <c r="C547" s="24" t="str">
        <f>IFERROR(__xludf.DUMMYFUNCTION("""COMPUTED_VALUE"""),"SMK Negeri 1 Muna")</f>
        <v>SMK Negeri 1 Muna</v>
      </c>
      <c r="D547" s="24"/>
      <c r="E547" s="24"/>
      <c r="F547" s="24" t="str">
        <f>IFERROR(__xludf.DUMMYFUNCTION("""COMPUTED_VALUE"""),"NUR ISNAINI")</f>
        <v>NUR ISNAINI</v>
      </c>
      <c r="G547" s="24" t="str">
        <f>IFERROR(__xludf.DUMMYFUNCTION("""COMPUTED_VALUE"""),"7403165004070001")</f>
        <v>7403165004070001</v>
      </c>
      <c r="H547" s="24"/>
      <c r="I547" s="24"/>
      <c r="J547" s="24" t="str">
        <f>IFERROR(__xludf.DUMMYFUNCTION("""COMPUTED_VALUE"""),"PEREMPUAN")</f>
        <v>PEREMPUAN</v>
      </c>
      <c r="K547" s="24" t="str">
        <f>IFERROR(__xludf.DUMMYFUNCTION("""COMPUTED_VALUE"""),"Jl. Pendidikan, Kec. Katobu Raha III")</f>
        <v>Jl. Pendidikan, Kec. Katobu Raha III</v>
      </c>
      <c r="L547" s="24"/>
      <c r="M547" s="24"/>
      <c r="N547" s="24" t="str">
        <f>IFERROR(__xludf.DUMMYFUNCTION("""COMPUTED_VALUE"""),"SMA / SMK / MA")</f>
        <v>SMA / SMK / MA</v>
      </c>
      <c r="O547" s="24"/>
      <c r="P547" s="24"/>
      <c r="Q547" s="24"/>
      <c r="R547" s="24" t="str">
        <f>IFERROR(__xludf.DUMMYFUNCTION("""COMPUTED_VALUE"""),"K")</f>
        <v>K</v>
      </c>
      <c r="S547" s="25"/>
    </row>
    <row r="548" ht="22.5" customHeight="1">
      <c r="A548" s="22">
        <v>547.0</v>
      </c>
      <c r="B548" s="24" t="str">
        <f>IFERROR(__xludf.DUMMYFUNCTION("""COMPUTED_VALUE"""),"Desainer Grafis Muda")</f>
        <v>Desainer Grafis Muda</v>
      </c>
      <c r="C548" s="24" t="str">
        <f>IFERROR(__xludf.DUMMYFUNCTION("""COMPUTED_VALUE"""),"SMK Negeri 1 Muna")</f>
        <v>SMK Negeri 1 Muna</v>
      </c>
      <c r="D548" s="24"/>
      <c r="E548" s="24"/>
      <c r="F548" s="24" t="str">
        <f>IFERROR(__xludf.DUMMYFUNCTION("""COMPUTED_VALUE"""),"RIKA ASRIANI RUSTAMI")</f>
        <v>RIKA ASRIANI RUSTAMI</v>
      </c>
      <c r="G548" s="24" t="str">
        <f>IFERROR(__xludf.DUMMYFUNCTION("""COMPUTED_VALUE"""),"7403115206080001")</f>
        <v>7403115206080001</v>
      </c>
      <c r="H548" s="24"/>
      <c r="I548" s="24"/>
      <c r="J548" s="24" t="str">
        <f>IFERROR(__xludf.DUMMYFUNCTION("""COMPUTED_VALUE"""),"PEREMPUAN")</f>
        <v>PEREMPUAN</v>
      </c>
      <c r="K548" s="24" t="str">
        <f>IFERROR(__xludf.DUMMYFUNCTION("""COMPUTED_VALUE"""),"Wamponiki")</f>
        <v>Wamponiki</v>
      </c>
      <c r="L548" s="24"/>
      <c r="M548" s="24"/>
      <c r="N548" s="24" t="str">
        <f>IFERROR(__xludf.DUMMYFUNCTION("""COMPUTED_VALUE"""),"SMA / SMK / MA")</f>
        <v>SMA / SMK / MA</v>
      </c>
      <c r="O548" s="24"/>
      <c r="P548" s="24"/>
      <c r="Q548" s="24"/>
      <c r="R548" s="24" t="str">
        <f>IFERROR(__xludf.DUMMYFUNCTION("""COMPUTED_VALUE"""),"K")</f>
        <v>K</v>
      </c>
      <c r="S548" s="25"/>
    </row>
    <row r="549" ht="22.5" customHeight="1">
      <c r="A549" s="22">
        <v>548.0</v>
      </c>
      <c r="B549" s="24" t="str">
        <f>IFERROR(__xludf.DUMMYFUNCTION("""COMPUTED_VALUE"""),"Desainer Grafis Muda")</f>
        <v>Desainer Grafis Muda</v>
      </c>
      <c r="C549" s="24" t="str">
        <f>IFERROR(__xludf.DUMMYFUNCTION("""COMPUTED_VALUE"""),"SMK Negeri 1 Muna")</f>
        <v>SMK Negeri 1 Muna</v>
      </c>
      <c r="D549" s="24"/>
      <c r="E549" s="24"/>
      <c r="F549" s="24" t="str">
        <f>IFERROR(__xludf.DUMMYFUNCTION("""COMPUTED_VALUE"""),"RUSMALIA KALAMBE")</f>
        <v>RUSMALIA KALAMBE</v>
      </c>
      <c r="G549" s="24" t="str">
        <f>IFERROR(__xludf.DUMMYFUNCTION("""COMPUTED_VALUE"""),"7403316601070001")</f>
        <v>7403316601070001</v>
      </c>
      <c r="H549" s="24"/>
      <c r="I549" s="24"/>
      <c r="J549" s="24" t="str">
        <f>IFERROR(__xludf.DUMMYFUNCTION("""COMPUTED_VALUE"""),"PEREMPUAN")</f>
        <v>PEREMPUAN</v>
      </c>
      <c r="K549" s="24" t="str">
        <f>IFERROR(__xludf.DUMMYFUNCTION("""COMPUTED_VALUE"""),"Desa Marobo, RT.2, RW.1, Kel. Marobo, Kec. Marobo")</f>
        <v>Desa Marobo, RT.2, RW.1, Kel. Marobo, Kec. Marobo</v>
      </c>
      <c r="L549" s="24"/>
      <c r="M549" s="24"/>
      <c r="N549" s="24" t="str">
        <f>IFERROR(__xludf.DUMMYFUNCTION("""COMPUTED_VALUE"""),"SMA / SMK / MA")</f>
        <v>SMA / SMK / MA</v>
      </c>
      <c r="O549" s="24"/>
      <c r="P549" s="24"/>
      <c r="Q549" s="24"/>
      <c r="R549" s="24" t="str">
        <f>IFERROR(__xludf.DUMMYFUNCTION("""COMPUTED_VALUE"""),"K")</f>
        <v>K</v>
      </c>
      <c r="S549" s="25"/>
    </row>
    <row r="550" ht="22.5" customHeight="1">
      <c r="A550" s="22">
        <v>549.0</v>
      </c>
      <c r="B550" s="24" t="str">
        <f>IFERROR(__xludf.DUMMYFUNCTION("""COMPUTED_VALUE"""),"Desainer Grafis Muda")</f>
        <v>Desainer Grafis Muda</v>
      </c>
      <c r="C550" s="24" t="str">
        <f>IFERROR(__xludf.DUMMYFUNCTION("""COMPUTED_VALUE"""),"SMK Negeri 1 Muna")</f>
        <v>SMK Negeri 1 Muna</v>
      </c>
      <c r="D550" s="24"/>
      <c r="E550" s="24"/>
      <c r="F550" s="24" t="str">
        <f>IFERROR(__xludf.DUMMYFUNCTION("""COMPUTED_VALUE"""),"SITI ANISYA ALMASFIRA MALONDA")</f>
        <v>SITI ANISYA ALMASFIRA MALONDA</v>
      </c>
      <c r="G550" s="24" t="str">
        <f>IFERROR(__xludf.DUMMYFUNCTION("""COMPUTED_VALUE"""),"7403155505080001")</f>
        <v>7403155505080001</v>
      </c>
      <c r="H550" s="24"/>
      <c r="I550" s="24"/>
      <c r="J550" s="24" t="str">
        <f>IFERROR(__xludf.DUMMYFUNCTION("""COMPUTED_VALUE"""),"PEREMPUAN")</f>
        <v>PEREMPUAN</v>
      </c>
      <c r="K550" s="24" t="str">
        <f>IFERROR(__xludf.DUMMYFUNCTION("""COMPUTED_VALUE"""),"Jl. Gatot Subroto")</f>
        <v>Jl. Gatot Subroto</v>
      </c>
      <c r="L550" s="24"/>
      <c r="M550" s="24"/>
      <c r="N550" s="24" t="str">
        <f>IFERROR(__xludf.DUMMYFUNCTION("""COMPUTED_VALUE"""),"SMA / SMK / MA")</f>
        <v>SMA / SMK / MA</v>
      </c>
      <c r="O550" s="24"/>
      <c r="P550" s="24"/>
      <c r="Q550" s="24"/>
      <c r="R550" s="24" t="str">
        <f>IFERROR(__xludf.DUMMYFUNCTION("""COMPUTED_VALUE"""),"K")</f>
        <v>K</v>
      </c>
      <c r="S550" s="25"/>
    </row>
    <row r="551" ht="22.5" customHeight="1">
      <c r="A551" s="22">
        <v>550.0</v>
      </c>
      <c r="B551" s="24" t="str">
        <f>IFERROR(__xludf.DUMMYFUNCTION("""COMPUTED_VALUE"""),"Desainer Grafis Muda")</f>
        <v>Desainer Grafis Muda</v>
      </c>
      <c r="C551" s="24" t="str">
        <f>IFERROR(__xludf.DUMMYFUNCTION("""COMPUTED_VALUE"""),"SMK Negeri 1 Muna")</f>
        <v>SMK Negeri 1 Muna</v>
      </c>
      <c r="D551" s="24"/>
      <c r="E551" s="24"/>
      <c r="F551" s="24" t="str">
        <f>IFERROR(__xludf.DUMMYFUNCTION("""COMPUTED_VALUE"""),"SITI SALNI")</f>
        <v>SITI SALNI</v>
      </c>
      <c r="G551" s="24" t="str">
        <f>IFERROR(__xludf.DUMMYFUNCTION("""COMPUTED_VALUE"""),"7403156007020201")</f>
        <v>7403156007020201</v>
      </c>
      <c r="H551" s="24"/>
      <c r="I551" s="24"/>
      <c r="J551" s="24" t="str">
        <f>IFERROR(__xludf.DUMMYFUNCTION("""COMPUTED_VALUE"""),"PEREMPUAN")</f>
        <v>PEREMPUAN</v>
      </c>
      <c r="K551" s="24" t="str">
        <f>IFERROR(__xludf.DUMMYFUNCTION("""COMPUTED_VALUE"""),"Masalili Kec Kontunaga")</f>
        <v>Masalili Kec Kontunaga</v>
      </c>
      <c r="L551" s="24"/>
      <c r="M551" s="24"/>
      <c r="N551" s="24" t="str">
        <f>IFERROR(__xludf.DUMMYFUNCTION("""COMPUTED_VALUE"""),"SMA / SMK / MA")</f>
        <v>SMA / SMK / MA</v>
      </c>
      <c r="O551" s="24"/>
      <c r="P551" s="24"/>
      <c r="Q551" s="24"/>
      <c r="R551" s="24" t="str">
        <f>IFERROR(__xludf.DUMMYFUNCTION("""COMPUTED_VALUE"""),"K")</f>
        <v>K</v>
      </c>
      <c r="S551" s="25"/>
    </row>
    <row r="552" ht="22.5" customHeight="1">
      <c r="A552" s="22">
        <v>551.0</v>
      </c>
      <c r="B552" s="24" t="str">
        <f>IFERROR(__xludf.DUMMYFUNCTION("""COMPUTED_VALUE"""),"Desainer Grafis Muda")</f>
        <v>Desainer Grafis Muda</v>
      </c>
      <c r="C552" s="24" t="str">
        <f>IFERROR(__xludf.DUMMYFUNCTION("""COMPUTED_VALUE"""),"SMK Negeri 1 Muna")</f>
        <v>SMK Negeri 1 Muna</v>
      </c>
      <c r="D552" s="24"/>
      <c r="E552" s="24"/>
      <c r="F552" s="24" t="str">
        <f>IFERROR(__xludf.DUMMYFUNCTION("""COMPUTED_VALUE"""),"SUCI FEBRIANTI")</f>
        <v>SUCI FEBRIANTI</v>
      </c>
      <c r="G552" s="24" t="str">
        <f>IFERROR(__xludf.DUMMYFUNCTION("""COMPUTED_VALUE"""),"7403166102080001")</f>
        <v>7403166102080001</v>
      </c>
      <c r="H552" s="24"/>
      <c r="I552" s="24"/>
      <c r="J552" s="24" t="str">
        <f>IFERROR(__xludf.DUMMYFUNCTION("""COMPUTED_VALUE"""),"PEREMPUAN")</f>
        <v>PEREMPUAN</v>
      </c>
      <c r="K552" s="24" t="str">
        <f>IFERROR(__xludf.DUMMYFUNCTION("""COMPUTED_VALUE"""),"Jl. Baypass Wamponiki Pantai")</f>
        <v>Jl. Baypass Wamponiki Pantai</v>
      </c>
      <c r="L552" s="24"/>
      <c r="M552" s="24"/>
      <c r="N552" s="24" t="str">
        <f>IFERROR(__xludf.DUMMYFUNCTION("""COMPUTED_VALUE"""),"SMA / SMK / MA")</f>
        <v>SMA / SMK / MA</v>
      </c>
      <c r="O552" s="24"/>
      <c r="P552" s="24"/>
      <c r="Q552" s="24"/>
      <c r="R552" s="24" t="str">
        <f>IFERROR(__xludf.DUMMYFUNCTION("""COMPUTED_VALUE"""),"K")</f>
        <v>K</v>
      </c>
      <c r="S552" s="25"/>
    </row>
    <row r="553" ht="22.5" customHeight="1">
      <c r="A553" s="22">
        <v>552.0</v>
      </c>
      <c r="B553" s="24" t="str">
        <f>IFERROR(__xludf.DUMMYFUNCTION("""COMPUTED_VALUE"""),"Desainer Grafis Muda")</f>
        <v>Desainer Grafis Muda</v>
      </c>
      <c r="C553" s="24" t="str">
        <f>IFERROR(__xludf.DUMMYFUNCTION("""COMPUTED_VALUE"""),"SMK Negeri 1 Muna")</f>
        <v>SMK Negeri 1 Muna</v>
      </c>
      <c r="D553" s="24"/>
      <c r="E553" s="24"/>
      <c r="F553" s="24" t="str">
        <f>IFERROR(__xludf.DUMMYFUNCTION("""COMPUTED_VALUE"""),"SYAHRIYAH")</f>
        <v>SYAHRIYAH</v>
      </c>
      <c r="G553" s="24" t="str">
        <f>IFERROR(__xludf.DUMMYFUNCTION("""COMPUTED_VALUE"""),"7403124510080001")</f>
        <v>7403124510080001</v>
      </c>
      <c r="H553" s="24"/>
      <c r="I553" s="24"/>
      <c r="J553" s="24" t="str">
        <f>IFERROR(__xludf.DUMMYFUNCTION("""COMPUTED_VALUE"""),"PEREMPUAN")</f>
        <v>PEREMPUAN</v>
      </c>
      <c r="K553" s="24" t="str">
        <f>IFERROR(__xludf.DUMMYFUNCTION("""COMPUTED_VALUE"""),"Jln. Soekarno")</f>
        <v>Jln. Soekarno</v>
      </c>
      <c r="L553" s="24"/>
      <c r="M553" s="24"/>
      <c r="N553" s="24" t="str">
        <f>IFERROR(__xludf.DUMMYFUNCTION("""COMPUTED_VALUE"""),"SMA / SMK / MA")</f>
        <v>SMA / SMK / MA</v>
      </c>
      <c r="O553" s="24"/>
      <c r="P553" s="24"/>
      <c r="Q553" s="24"/>
      <c r="R553" s="24" t="str">
        <f>IFERROR(__xludf.DUMMYFUNCTION("""COMPUTED_VALUE"""),"K")</f>
        <v>K</v>
      </c>
      <c r="S553" s="25"/>
    </row>
    <row r="554" ht="22.5" customHeight="1">
      <c r="A554" s="22">
        <v>553.0</v>
      </c>
      <c r="B554" s="24" t="str">
        <f>IFERROR(__xludf.DUMMYFUNCTION("""COMPUTED_VALUE"""),"Desainer Grafis Muda")</f>
        <v>Desainer Grafis Muda</v>
      </c>
      <c r="C554" s="24" t="str">
        <f>IFERROR(__xludf.DUMMYFUNCTION("""COMPUTED_VALUE"""),"SMK Negeri 1 Muna")</f>
        <v>SMK Negeri 1 Muna</v>
      </c>
      <c r="D554" s="24"/>
      <c r="E554" s="24"/>
      <c r="F554" s="24" t="str">
        <f>IFERROR(__xludf.DUMMYFUNCTION("""COMPUTED_VALUE"""),"VICKY DWI RAMADHAN")</f>
        <v>VICKY DWI RAMADHAN</v>
      </c>
      <c r="G554" s="24" t="str">
        <f>IFERROR(__xludf.DUMMYFUNCTION("""COMPUTED_VALUE"""),"7403120210080001")</f>
        <v>7403120210080001</v>
      </c>
      <c r="H554" s="24"/>
      <c r="I554" s="24"/>
      <c r="J554" s="24" t="str">
        <f>IFERROR(__xludf.DUMMYFUNCTION("""COMPUTED_VALUE"""),"LAKI-LAKI")</f>
        <v>LAKI-LAKI</v>
      </c>
      <c r="K554" s="24" t="str">
        <f>IFERROR(__xludf.DUMMYFUNCTION("""COMPUTED_VALUE"""),"Palangga, Jl. Sutan Syahrir")</f>
        <v>Palangga, Jl. Sutan Syahrir</v>
      </c>
      <c r="L554" s="24"/>
      <c r="M554" s="24"/>
      <c r="N554" s="24" t="str">
        <f>IFERROR(__xludf.DUMMYFUNCTION("""COMPUTED_VALUE"""),"SMA / SMK / MA")</f>
        <v>SMA / SMK / MA</v>
      </c>
      <c r="O554" s="24"/>
      <c r="P554" s="24"/>
      <c r="Q554" s="24"/>
      <c r="R554" s="24" t="str">
        <f>IFERROR(__xludf.DUMMYFUNCTION("""COMPUTED_VALUE"""),"K")</f>
        <v>K</v>
      </c>
      <c r="S554" s="25"/>
    </row>
    <row r="555" ht="22.5" customHeight="1">
      <c r="A555" s="22">
        <v>554.0</v>
      </c>
      <c r="B555" s="24" t="str">
        <f>IFERROR(__xludf.DUMMYFUNCTION("""COMPUTED_VALUE"""),"Desainer Grafis Muda")</f>
        <v>Desainer Grafis Muda</v>
      </c>
      <c r="C555" s="24" t="str">
        <f>IFERROR(__xludf.DUMMYFUNCTION("""COMPUTED_VALUE"""),"SMK Negeri 1 Muna")</f>
        <v>SMK Negeri 1 Muna</v>
      </c>
      <c r="D555" s="24"/>
      <c r="E555" s="24"/>
      <c r="F555" s="24" t="str">
        <f>IFERROR(__xludf.DUMMYFUNCTION("""COMPUTED_VALUE"""),"WAODE MURNI")</f>
        <v>WAODE MURNI</v>
      </c>
      <c r="G555" s="24" t="str">
        <f>IFERROR(__xludf.DUMMYFUNCTION("""COMPUTED_VALUE"""),"7403174711070001")</f>
        <v>7403174711070001</v>
      </c>
      <c r="H555" s="24"/>
      <c r="I555" s="24"/>
      <c r="J555" s="24" t="str">
        <f>IFERROR(__xludf.DUMMYFUNCTION("""COMPUTED_VALUE"""),"PEREMPUAN")</f>
        <v>PEREMPUAN</v>
      </c>
      <c r="K555" s="24" t="str">
        <f>IFERROR(__xludf.DUMMYFUNCTION("""COMPUTED_VALUE"""),"Jln. Ir. Soekarno Ghonsume, Kec. Puruka")</f>
        <v>Jln. Ir. Soekarno Ghonsume, Kec. Puruka</v>
      </c>
      <c r="L555" s="24"/>
      <c r="M555" s="24"/>
      <c r="N555" s="24" t="str">
        <f>IFERROR(__xludf.DUMMYFUNCTION("""COMPUTED_VALUE"""),"SMA / SMK / MA")</f>
        <v>SMA / SMK / MA</v>
      </c>
      <c r="O555" s="24"/>
      <c r="P555" s="24"/>
      <c r="Q555" s="24"/>
      <c r="R555" s="24" t="str">
        <f>IFERROR(__xludf.DUMMYFUNCTION("""COMPUTED_VALUE"""),"K")</f>
        <v>K</v>
      </c>
      <c r="S555" s="25"/>
    </row>
    <row r="556" ht="22.5" customHeight="1">
      <c r="A556" s="22">
        <v>555.0</v>
      </c>
      <c r="B556" s="24" t="str">
        <f>IFERROR(__xludf.DUMMYFUNCTION("""COMPUTED_VALUE"""),"Desainer Grafis Muda")</f>
        <v>Desainer Grafis Muda</v>
      </c>
      <c r="C556" s="24" t="str">
        <f>IFERROR(__xludf.DUMMYFUNCTION("""COMPUTED_VALUE"""),"SMK Negeri 1 Muna")</f>
        <v>SMK Negeri 1 Muna</v>
      </c>
      <c r="D556" s="24"/>
      <c r="E556" s="24"/>
      <c r="F556" s="24" t="str">
        <f>IFERROR(__xludf.DUMMYFUNCTION("""COMPUTED_VALUE"""),"ASLAN")</f>
        <v>ASLAN</v>
      </c>
      <c r="G556" s="24" t="str">
        <f>IFERROR(__xludf.DUMMYFUNCTION("""COMPUTED_VALUE"""),"7403101502060501")</f>
        <v>7403101502060501</v>
      </c>
      <c r="H556" s="24"/>
      <c r="I556" s="24"/>
      <c r="J556" s="24" t="str">
        <f>IFERROR(__xludf.DUMMYFUNCTION("""COMPUTED_VALUE"""),"LAKI-LAKI")</f>
        <v>LAKI-LAKI</v>
      </c>
      <c r="K556" s="24" t="str">
        <f>IFERROR(__xludf.DUMMYFUNCTION("""COMPUTED_VALUE"""),"Mabodo, Kec. Kontunaga")</f>
        <v>Mabodo, Kec. Kontunaga</v>
      </c>
      <c r="L556" s="24"/>
      <c r="M556" s="24"/>
      <c r="N556" s="24" t="str">
        <f>IFERROR(__xludf.DUMMYFUNCTION("""COMPUTED_VALUE"""),"SMA / SMK / MA")</f>
        <v>SMA / SMK / MA</v>
      </c>
      <c r="O556" s="24"/>
      <c r="P556" s="24"/>
      <c r="Q556" s="24"/>
      <c r="R556" s="24" t="str">
        <f>IFERROR(__xludf.DUMMYFUNCTION("""COMPUTED_VALUE"""),"K")</f>
        <v>K</v>
      </c>
      <c r="S556" s="25"/>
    </row>
    <row r="557" ht="22.5" customHeight="1">
      <c r="A557" s="22">
        <v>556.0</v>
      </c>
      <c r="B557" s="24" t="str">
        <f>IFERROR(__xludf.DUMMYFUNCTION("""COMPUTED_VALUE"""),"Desainer Grafis Muda")</f>
        <v>Desainer Grafis Muda</v>
      </c>
      <c r="C557" s="24" t="str">
        <f>IFERROR(__xludf.DUMMYFUNCTION("""COMPUTED_VALUE"""),"SMK Negeri 1 Muna")</f>
        <v>SMK Negeri 1 Muna</v>
      </c>
      <c r="D557" s="24"/>
      <c r="E557" s="24"/>
      <c r="F557" s="24" t="str">
        <f>IFERROR(__xludf.DUMMYFUNCTION("""COMPUTED_VALUE"""),"FACHRY ANGGARA")</f>
        <v>FACHRY ANGGARA</v>
      </c>
      <c r="G557" s="24" t="str">
        <f>IFERROR(__xludf.DUMMYFUNCTION("""COMPUTED_VALUE"""),"7403150101060202")</f>
        <v>7403150101060202</v>
      </c>
      <c r="H557" s="24"/>
      <c r="I557" s="24"/>
      <c r="J557" s="24" t="str">
        <f>IFERROR(__xludf.DUMMYFUNCTION("""COMPUTED_VALUE"""),"LAKI-LAKI")</f>
        <v>LAKI-LAKI</v>
      </c>
      <c r="K557" s="24" t="str">
        <f>IFERROR(__xludf.DUMMYFUNCTION("""COMPUTED_VALUE"""),"Jln. Basuki Rahmat")</f>
        <v>Jln. Basuki Rahmat</v>
      </c>
      <c r="L557" s="24"/>
      <c r="M557" s="24"/>
      <c r="N557" s="24" t="str">
        <f>IFERROR(__xludf.DUMMYFUNCTION("""COMPUTED_VALUE"""),"SMA / SMK / MA")</f>
        <v>SMA / SMK / MA</v>
      </c>
      <c r="O557" s="24"/>
      <c r="P557" s="24"/>
      <c r="Q557" s="24"/>
      <c r="R557" s="24" t="str">
        <f>IFERROR(__xludf.DUMMYFUNCTION("""COMPUTED_VALUE"""),"K")</f>
        <v>K</v>
      </c>
      <c r="S557" s="25"/>
    </row>
    <row r="558" ht="22.5" customHeight="1">
      <c r="A558" s="22">
        <v>557.0</v>
      </c>
      <c r="B558" s="24" t="str">
        <f>IFERROR(__xludf.DUMMYFUNCTION("""COMPUTED_VALUE"""),"Pemeliharaan Kendaraan Ringan Sistem Injeksi")</f>
        <v>Pemeliharaan Kendaraan Ringan Sistem Injeksi</v>
      </c>
      <c r="C558" s="24" t="str">
        <f>IFERROR(__xludf.DUMMYFUNCTION("""COMPUTED_VALUE"""),"SMK Negeri 2 Konawe")</f>
        <v>SMK Negeri 2 Konawe</v>
      </c>
      <c r="D558" s="24"/>
      <c r="E558" s="24"/>
      <c r="F558" s="24" t="str">
        <f>IFERROR(__xludf.DUMMYFUNCTION("""COMPUTED_VALUE"""),"AFDILAH ARSYA SAPUTRA")</f>
        <v>AFDILAH ARSYA SAPUTRA</v>
      </c>
      <c r="G558" s="24" t="str">
        <f>IFERROR(__xludf.DUMMYFUNCTION("""COMPUTED_VALUE"""),"7402151502090002")</f>
        <v>7402151502090002</v>
      </c>
      <c r="H558" s="24"/>
      <c r="I558" s="24"/>
      <c r="J558" s="24" t="str">
        <f>IFERROR(__xludf.DUMMYFUNCTION("""COMPUTED_VALUE"""),"LAKI-LAKI")</f>
        <v>LAKI-LAKI</v>
      </c>
      <c r="K558" s="24" t="str">
        <f>IFERROR(__xludf.DUMMYFUNCTION("""COMPUTED_VALUE"""),"Sendang Mulya Sari")</f>
        <v>Sendang Mulya Sari</v>
      </c>
      <c r="L558" s="24"/>
      <c r="M558" s="24"/>
      <c r="N558" s="24" t="str">
        <f>IFERROR(__xludf.DUMMYFUNCTION("""COMPUTED_VALUE"""),"SMA / SMK / MA")</f>
        <v>SMA / SMK / MA</v>
      </c>
      <c r="O558" s="24"/>
      <c r="P558" s="24"/>
      <c r="Q558" s="24"/>
      <c r="R558" s="24" t="str">
        <f>IFERROR(__xludf.DUMMYFUNCTION("""COMPUTED_VALUE"""),"K")</f>
        <v>K</v>
      </c>
      <c r="S558" s="25"/>
    </row>
    <row r="559" ht="22.5" customHeight="1">
      <c r="A559" s="22">
        <v>558.0</v>
      </c>
      <c r="B559" s="24" t="str">
        <f>IFERROR(__xludf.DUMMYFUNCTION("""COMPUTED_VALUE"""),"Pemeliharaan Kendaraan Ringan Sistem Injeksi")</f>
        <v>Pemeliharaan Kendaraan Ringan Sistem Injeksi</v>
      </c>
      <c r="C559" s="24" t="str">
        <f>IFERROR(__xludf.DUMMYFUNCTION("""COMPUTED_VALUE"""),"SMK Negeri 2 Konawe")</f>
        <v>SMK Negeri 2 Konawe</v>
      </c>
      <c r="D559" s="24"/>
      <c r="E559" s="24"/>
      <c r="F559" s="24" t="str">
        <f>IFERROR(__xludf.DUMMYFUNCTION("""COMPUTED_VALUE"""),"ALFIN ARDIANZAH")</f>
        <v>ALFIN ARDIANZAH</v>
      </c>
      <c r="G559" s="24" t="str">
        <f>IFERROR(__xludf.DUMMYFUNCTION("""COMPUTED_VALUE"""),"7402152206080001")</f>
        <v>7402152206080001</v>
      </c>
      <c r="H559" s="24"/>
      <c r="I559" s="24"/>
      <c r="J559" s="24" t="str">
        <f>IFERROR(__xludf.DUMMYFUNCTION("""COMPUTED_VALUE"""),"LAKI-LAKI")</f>
        <v>LAKI-LAKI</v>
      </c>
      <c r="K559" s="24" t="str">
        <f>IFERROR(__xludf.DUMMYFUNCTION("""COMPUTED_VALUE"""),"-")</f>
        <v>-</v>
      </c>
      <c r="L559" s="24"/>
      <c r="M559" s="24"/>
      <c r="N559" s="24" t="str">
        <f>IFERROR(__xludf.DUMMYFUNCTION("""COMPUTED_VALUE"""),"SMA / SMK / MA")</f>
        <v>SMA / SMK / MA</v>
      </c>
      <c r="O559" s="24"/>
      <c r="P559" s="24"/>
      <c r="Q559" s="24"/>
      <c r="R559" s="24" t="str">
        <f>IFERROR(__xludf.DUMMYFUNCTION("""COMPUTED_VALUE"""),"K")</f>
        <v>K</v>
      </c>
      <c r="S559" s="25"/>
    </row>
    <row r="560" ht="22.5" customHeight="1">
      <c r="A560" s="22">
        <v>559.0</v>
      </c>
      <c r="B560" s="24" t="str">
        <f>IFERROR(__xludf.DUMMYFUNCTION("""COMPUTED_VALUE"""),"Pemeliharaan Kendaraan Ringan Sistem Injeksi")</f>
        <v>Pemeliharaan Kendaraan Ringan Sistem Injeksi</v>
      </c>
      <c r="C560" s="24" t="str">
        <f>IFERROR(__xludf.DUMMYFUNCTION("""COMPUTED_VALUE"""),"SMK Negeri 2 Konawe")</f>
        <v>SMK Negeri 2 Konawe</v>
      </c>
      <c r="D560" s="24"/>
      <c r="E560" s="24"/>
      <c r="F560" s="24" t="str">
        <f>IFERROR(__xludf.DUMMYFUNCTION("""COMPUTED_VALUE"""),"ALVONSIUS TRY YURIS")</f>
        <v>ALVONSIUS TRY YURIS</v>
      </c>
      <c r="G560" s="24" t="str">
        <f>IFERROR(__xludf.DUMMYFUNCTION("""COMPUTED_VALUE"""),"7402021307080004")</f>
        <v>7402021307080004</v>
      </c>
      <c r="H560" s="24"/>
      <c r="I560" s="24"/>
      <c r="J560" s="24" t="str">
        <f>IFERROR(__xludf.DUMMYFUNCTION("""COMPUTED_VALUE"""),"LAKI-LAKI")</f>
        <v>LAKI-LAKI</v>
      </c>
      <c r="K560" s="24" t="str">
        <f>IFERROR(__xludf.DUMMYFUNCTION("""COMPUTED_VALUE"""),"Tumpas, Unaaha, Konawe")</f>
        <v>Tumpas, Unaaha, Konawe</v>
      </c>
      <c r="L560" s="24"/>
      <c r="M560" s="24"/>
      <c r="N560" s="24" t="str">
        <f>IFERROR(__xludf.DUMMYFUNCTION("""COMPUTED_VALUE"""),"SMA / SMK / MA")</f>
        <v>SMA / SMK / MA</v>
      </c>
      <c r="O560" s="24"/>
      <c r="P560" s="24"/>
      <c r="Q560" s="24"/>
      <c r="R560" s="24" t="str">
        <f>IFERROR(__xludf.DUMMYFUNCTION("""COMPUTED_VALUE"""),"K")</f>
        <v>K</v>
      </c>
      <c r="S560" s="25"/>
    </row>
    <row r="561" ht="22.5" customHeight="1">
      <c r="A561" s="22">
        <v>560.0</v>
      </c>
      <c r="B561" s="24" t="str">
        <f>IFERROR(__xludf.DUMMYFUNCTION("""COMPUTED_VALUE"""),"Pemeliharaan Kendaraan Ringan Sistem Injeksi")</f>
        <v>Pemeliharaan Kendaraan Ringan Sistem Injeksi</v>
      </c>
      <c r="C561" s="24" t="str">
        <f>IFERROR(__xludf.DUMMYFUNCTION("""COMPUTED_VALUE"""),"SMK Negeri 2 Konawe")</f>
        <v>SMK Negeri 2 Konawe</v>
      </c>
      <c r="D561" s="24"/>
      <c r="E561" s="24"/>
      <c r="F561" s="24" t="str">
        <f>IFERROR(__xludf.DUMMYFUNCTION("""COMPUTED_VALUE"""),"ANTONIUS ALFIAN")</f>
        <v>ANTONIUS ALFIAN</v>
      </c>
      <c r="G561" s="24" t="str">
        <f>IFERROR(__xludf.DUMMYFUNCTION("""COMPUTED_VALUE"""),"7402152802080001")</f>
        <v>7402152802080001</v>
      </c>
      <c r="H561" s="24"/>
      <c r="I561" s="24"/>
      <c r="J561" s="24" t="str">
        <f>IFERROR(__xludf.DUMMYFUNCTION("""COMPUTED_VALUE"""),"LAKI-LAKI")</f>
        <v>LAKI-LAKI</v>
      </c>
      <c r="K561" s="24" t="str">
        <f>IFERROR(__xludf.DUMMYFUNCTION("""COMPUTED_VALUE"""),"Sendang Mulya Sari")</f>
        <v>Sendang Mulya Sari</v>
      </c>
      <c r="L561" s="24"/>
      <c r="M561" s="24"/>
      <c r="N561" s="24" t="str">
        <f>IFERROR(__xludf.DUMMYFUNCTION("""COMPUTED_VALUE"""),"SMA / SMK / MA")</f>
        <v>SMA / SMK / MA</v>
      </c>
      <c r="O561" s="24"/>
      <c r="P561" s="24"/>
      <c r="Q561" s="24"/>
      <c r="R561" s="24" t="str">
        <f>IFERROR(__xludf.DUMMYFUNCTION("""COMPUTED_VALUE"""),"K")</f>
        <v>K</v>
      </c>
      <c r="S561" s="25"/>
    </row>
    <row r="562" ht="22.5" customHeight="1">
      <c r="A562" s="22">
        <v>561.0</v>
      </c>
      <c r="B562" s="24" t="str">
        <f>IFERROR(__xludf.DUMMYFUNCTION("""COMPUTED_VALUE"""),"Pemeliharaan Kendaraan Ringan Sistem Injeksi")</f>
        <v>Pemeliharaan Kendaraan Ringan Sistem Injeksi</v>
      </c>
      <c r="C562" s="24" t="str">
        <f>IFERROR(__xludf.DUMMYFUNCTION("""COMPUTED_VALUE"""),"SMK Negeri 2 Konawe")</f>
        <v>SMK Negeri 2 Konawe</v>
      </c>
      <c r="D562" s="24"/>
      <c r="E562" s="24"/>
      <c r="F562" s="24" t="str">
        <f>IFERROR(__xludf.DUMMYFUNCTION("""COMPUTED_VALUE"""),"ARDIAN MUHLISIN")</f>
        <v>ARDIAN MUHLISIN</v>
      </c>
      <c r="G562" s="24" t="str">
        <f>IFERROR(__xludf.DUMMYFUNCTION("""COMPUTED_VALUE"""),"7402151205080001")</f>
        <v>7402151205080001</v>
      </c>
      <c r="H562" s="24"/>
      <c r="I562" s="24"/>
      <c r="J562" s="24" t="str">
        <f>IFERROR(__xludf.DUMMYFUNCTION("""COMPUTED_VALUE"""),"LAKI-LAKI")</f>
        <v>LAKI-LAKI</v>
      </c>
      <c r="K562" s="24" t="str">
        <f>IFERROR(__xludf.DUMMYFUNCTION("""COMPUTED_VALUE"""),"Anggohu")</f>
        <v>Anggohu</v>
      </c>
      <c r="L562" s="24"/>
      <c r="M562" s="24"/>
      <c r="N562" s="24" t="str">
        <f>IFERROR(__xludf.DUMMYFUNCTION("""COMPUTED_VALUE"""),"SMA / SMK / MA")</f>
        <v>SMA / SMK / MA</v>
      </c>
      <c r="O562" s="24"/>
      <c r="P562" s="24"/>
      <c r="Q562" s="24"/>
      <c r="R562" s="24" t="str">
        <f>IFERROR(__xludf.DUMMYFUNCTION("""COMPUTED_VALUE"""),"K")</f>
        <v>K</v>
      </c>
      <c r="S562" s="25"/>
    </row>
    <row r="563" ht="22.5" customHeight="1">
      <c r="A563" s="22">
        <v>562.0</v>
      </c>
      <c r="B563" s="24" t="str">
        <f>IFERROR(__xludf.DUMMYFUNCTION("""COMPUTED_VALUE"""),"Pemeliharaan Kendaraan Ringan Sistem Injeksi")</f>
        <v>Pemeliharaan Kendaraan Ringan Sistem Injeksi</v>
      </c>
      <c r="C563" s="24" t="str">
        <f>IFERROR(__xludf.DUMMYFUNCTION("""COMPUTED_VALUE"""),"SMK Negeri 2 Konawe")</f>
        <v>SMK Negeri 2 Konawe</v>
      </c>
      <c r="D563" s="24"/>
      <c r="E563" s="24"/>
      <c r="F563" s="24" t="str">
        <f>IFERROR(__xludf.DUMMYFUNCTION("""COMPUTED_VALUE"""),"ARIA")</f>
        <v>ARIA</v>
      </c>
      <c r="G563" s="24" t="str">
        <f>IFERROR(__xludf.DUMMYFUNCTION("""COMPUTED_VALUE"""),"7402230212060001")</f>
        <v>7402230212060001</v>
      </c>
      <c r="H563" s="24"/>
      <c r="I563" s="24"/>
      <c r="J563" s="24" t="str">
        <f>IFERROR(__xludf.DUMMYFUNCTION("""COMPUTED_VALUE"""),"LAKI-LAKI")</f>
        <v>LAKI-LAKI</v>
      </c>
      <c r="K563" s="24" t="str">
        <f>IFERROR(__xludf.DUMMYFUNCTION("""COMPUTED_VALUE"""),"Lalosabiia, Kec. Unaaha, Kab. Konawe")</f>
        <v>Lalosabiia, Kec. Unaaha, Kab. Konawe</v>
      </c>
      <c r="L563" s="24"/>
      <c r="M563" s="24"/>
      <c r="N563" s="24" t="str">
        <f>IFERROR(__xludf.DUMMYFUNCTION("""COMPUTED_VALUE"""),"SMA / SMK / MA")</f>
        <v>SMA / SMK / MA</v>
      </c>
      <c r="O563" s="24"/>
      <c r="P563" s="24"/>
      <c r="Q563" s="24"/>
      <c r="R563" s="24" t="str">
        <f>IFERROR(__xludf.DUMMYFUNCTION("""COMPUTED_VALUE"""),"K")</f>
        <v>K</v>
      </c>
      <c r="S563" s="25"/>
    </row>
    <row r="564" ht="22.5" customHeight="1">
      <c r="A564" s="22">
        <v>563.0</v>
      </c>
      <c r="B564" s="24" t="str">
        <f>IFERROR(__xludf.DUMMYFUNCTION("""COMPUTED_VALUE"""),"Pemeliharaan Kendaraan Ringan Sistem Injeksi")</f>
        <v>Pemeliharaan Kendaraan Ringan Sistem Injeksi</v>
      </c>
      <c r="C564" s="24" t="str">
        <f>IFERROR(__xludf.DUMMYFUNCTION("""COMPUTED_VALUE"""),"SMK Negeri 2 Konawe")</f>
        <v>SMK Negeri 2 Konawe</v>
      </c>
      <c r="D564" s="24"/>
      <c r="E564" s="24"/>
      <c r="F564" s="24" t="str">
        <f>IFERROR(__xludf.DUMMYFUNCTION("""COMPUTED_VALUE"""),"ARSENDI AL-FARIZZI")</f>
        <v>ARSENDI AL-FARIZZI</v>
      </c>
      <c r="G564" s="24" t="str">
        <f>IFERROR(__xludf.DUMMYFUNCTION("""COMPUTED_VALUE"""),"7402153112080002")</f>
        <v>7402153112080002</v>
      </c>
      <c r="H564" s="24"/>
      <c r="I564" s="24"/>
      <c r="J564" s="24" t="str">
        <f>IFERROR(__xludf.DUMMYFUNCTION("""COMPUTED_VALUE"""),"LAKI-LAKI")</f>
        <v>LAKI-LAKI</v>
      </c>
      <c r="K564" s="24" t="str">
        <f>IFERROR(__xludf.DUMMYFUNCTION("""COMPUTED_VALUE"""),"Sendang Mulya Sari")</f>
        <v>Sendang Mulya Sari</v>
      </c>
      <c r="L564" s="24"/>
      <c r="M564" s="24"/>
      <c r="N564" s="24" t="str">
        <f>IFERROR(__xludf.DUMMYFUNCTION("""COMPUTED_VALUE"""),"SMA / SMK / MA")</f>
        <v>SMA / SMK / MA</v>
      </c>
      <c r="O564" s="24"/>
      <c r="P564" s="24"/>
      <c r="Q564" s="24"/>
      <c r="R564" s="24" t="str">
        <f>IFERROR(__xludf.DUMMYFUNCTION("""COMPUTED_VALUE"""),"K")</f>
        <v>K</v>
      </c>
      <c r="S564" s="25"/>
    </row>
    <row r="565" ht="22.5" customHeight="1">
      <c r="A565" s="22">
        <v>564.0</v>
      </c>
      <c r="B565" s="24" t="str">
        <f>IFERROR(__xludf.DUMMYFUNCTION("""COMPUTED_VALUE"""),"Pemeliharaan Kendaraan Ringan Sistem Injeksi")</f>
        <v>Pemeliharaan Kendaraan Ringan Sistem Injeksi</v>
      </c>
      <c r="C565" s="24" t="str">
        <f>IFERROR(__xludf.DUMMYFUNCTION("""COMPUTED_VALUE"""),"SMK Negeri 2 Konawe")</f>
        <v>SMK Negeri 2 Konawe</v>
      </c>
      <c r="D565" s="24"/>
      <c r="E565" s="24"/>
      <c r="F565" s="24" t="str">
        <f>IFERROR(__xludf.DUMMYFUNCTION("""COMPUTED_VALUE"""),"DIKA AFRIAN")</f>
        <v>DIKA AFRIAN</v>
      </c>
      <c r="G565" s="24" t="str">
        <f>IFERROR(__xludf.DUMMYFUNCTION("""COMPUTED_VALUE"""),"7402280604080002")</f>
        <v>7402280604080002</v>
      </c>
      <c r="H565" s="24"/>
      <c r="I565" s="24"/>
      <c r="J565" s="24" t="str">
        <f>IFERROR(__xludf.DUMMYFUNCTION("""COMPUTED_VALUE"""),"LAKI-LAKI")</f>
        <v>LAKI-LAKI</v>
      </c>
      <c r="K565" s="24" t="str">
        <f>IFERROR(__xludf.DUMMYFUNCTION("""COMPUTED_VALUE"""),"Desa Lalomboonda")</f>
        <v>Desa Lalomboonda</v>
      </c>
      <c r="L565" s="24"/>
      <c r="M565" s="24"/>
      <c r="N565" s="24" t="str">
        <f>IFERROR(__xludf.DUMMYFUNCTION("""COMPUTED_VALUE"""),"SMA / SMK / MA")</f>
        <v>SMA / SMK / MA</v>
      </c>
      <c r="O565" s="24"/>
      <c r="P565" s="24"/>
      <c r="Q565" s="24"/>
      <c r="R565" s="24" t="str">
        <f>IFERROR(__xludf.DUMMYFUNCTION("""COMPUTED_VALUE"""),"K")</f>
        <v>K</v>
      </c>
      <c r="S565" s="25"/>
    </row>
    <row r="566" ht="22.5" customHeight="1">
      <c r="A566" s="22">
        <v>565.0</v>
      </c>
      <c r="B566" s="24" t="str">
        <f>IFERROR(__xludf.DUMMYFUNCTION("""COMPUTED_VALUE"""),"Pemeliharaan Kendaraan Ringan Sistem Injeksi")</f>
        <v>Pemeliharaan Kendaraan Ringan Sistem Injeksi</v>
      </c>
      <c r="C566" s="24" t="str">
        <f>IFERROR(__xludf.DUMMYFUNCTION("""COMPUTED_VALUE"""),"SMK Negeri 2 Konawe")</f>
        <v>SMK Negeri 2 Konawe</v>
      </c>
      <c r="D566" s="24"/>
      <c r="E566" s="24"/>
      <c r="F566" s="24" t="str">
        <f>IFERROR(__xludf.DUMMYFUNCTION("""COMPUTED_VALUE"""),"DIKKY PRASETYO")</f>
        <v>DIKKY PRASETYO</v>
      </c>
      <c r="G566" s="24" t="str">
        <f>IFERROR(__xludf.DUMMYFUNCTION("""COMPUTED_VALUE"""),"6105012412070006")</f>
        <v>6105012412070006</v>
      </c>
      <c r="H566" s="24"/>
      <c r="I566" s="24"/>
      <c r="J566" s="24" t="str">
        <f>IFERROR(__xludf.DUMMYFUNCTION("""COMPUTED_VALUE"""),"LAKI-LAKI")</f>
        <v>LAKI-LAKI</v>
      </c>
      <c r="K566" s="24" t="str">
        <f>IFERROR(__xludf.DUMMYFUNCTION("""COMPUTED_VALUE"""),"Mataiwoi, Andowia, Konawe Utara")</f>
        <v>Mataiwoi, Andowia, Konawe Utara</v>
      </c>
      <c r="L566" s="24"/>
      <c r="M566" s="24"/>
      <c r="N566" s="24" t="str">
        <f>IFERROR(__xludf.DUMMYFUNCTION("""COMPUTED_VALUE"""),"SMA / SMK / MA")</f>
        <v>SMA / SMK / MA</v>
      </c>
      <c r="O566" s="24"/>
      <c r="P566" s="24"/>
      <c r="Q566" s="24"/>
      <c r="R566" s="24" t="str">
        <f>IFERROR(__xludf.DUMMYFUNCTION("""COMPUTED_VALUE"""),"K")</f>
        <v>K</v>
      </c>
      <c r="S566" s="25"/>
    </row>
    <row r="567" ht="22.5" customHeight="1">
      <c r="A567" s="22">
        <v>566.0</v>
      </c>
      <c r="B567" s="24" t="str">
        <f>IFERROR(__xludf.DUMMYFUNCTION("""COMPUTED_VALUE"""),"Pemeliharaan Kendaraan Ringan Sistem Injeksi")</f>
        <v>Pemeliharaan Kendaraan Ringan Sistem Injeksi</v>
      </c>
      <c r="C567" s="24" t="str">
        <f>IFERROR(__xludf.DUMMYFUNCTION("""COMPUTED_VALUE"""),"SMK Negeri 2 Konawe")</f>
        <v>SMK Negeri 2 Konawe</v>
      </c>
      <c r="D567" s="24"/>
      <c r="E567" s="24"/>
      <c r="F567" s="24" t="str">
        <f>IFERROR(__xludf.DUMMYFUNCTION("""COMPUTED_VALUE"""),"FAHMI AKBAR")</f>
        <v>FAHMI AKBAR</v>
      </c>
      <c r="G567" s="24" t="str">
        <f>IFERROR(__xludf.DUMMYFUNCTION("""COMPUTED_VALUE"""),"7405117112070001")</f>
        <v>7405117112070001</v>
      </c>
      <c r="H567" s="24"/>
      <c r="I567" s="24"/>
      <c r="J567" s="24" t="str">
        <f>IFERROR(__xludf.DUMMYFUNCTION("""COMPUTED_VALUE"""),"PEREMPUAN")</f>
        <v>PEREMPUAN</v>
      </c>
      <c r="K567" s="24" t="str">
        <f>IFERROR(__xludf.DUMMYFUNCTION("""COMPUTED_VALUE"""),"Limbuara")</f>
        <v>Limbuara</v>
      </c>
      <c r="L567" s="24"/>
      <c r="M567" s="24"/>
      <c r="N567" s="24" t="str">
        <f>IFERROR(__xludf.DUMMYFUNCTION("""COMPUTED_VALUE"""),"SMA / SMK / MA")</f>
        <v>SMA / SMK / MA</v>
      </c>
      <c r="O567" s="24"/>
      <c r="P567" s="24"/>
      <c r="Q567" s="24"/>
      <c r="R567" s="24" t="str">
        <f>IFERROR(__xludf.DUMMYFUNCTION("""COMPUTED_VALUE"""),"K")</f>
        <v>K</v>
      </c>
      <c r="S567" s="25"/>
    </row>
    <row r="568" ht="22.5" customHeight="1">
      <c r="A568" s="22">
        <v>567.0</v>
      </c>
      <c r="B568" s="24" t="str">
        <f>IFERROR(__xludf.DUMMYFUNCTION("""COMPUTED_VALUE"""),"Pemeliharaan Kendaraan Ringan Sistem Injeksi")</f>
        <v>Pemeliharaan Kendaraan Ringan Sistem Injeksi</v>
      </c>
      <c r="C568" s="24" t="str">
        <f>IFERROR(__xludf.DUMMYFUNCTION("""COMPUTED_VALUE"""),"SMK Negeri 2 Konawe")</f>
        <v>SMK Negeri 2 Konawe</v>
      </c>
      <c r="D568" s="24"/>
      <c r="E568" s="24"/>
      <c r="F568" s="24" t="str">
        <f>IFERROR(__xludf.DUMMYFUNCTION("""COMPUTED_VALUE"""),"I GUSTI NGURAH OKO SUARDANA")</f>
        <v>I GUSTI NGURAH OKO SUARDANA</v>
      </c>
      <c r="G568" s="24" t="str">
        <f>IFERROR(__xludf.DUMMYFUNCTION("""COMPUTED_VALUE"""),"7402152005080001")</f>
        <v>7402152005080001</v>
      </c>
      <c r="H568" s="24"/>
      <c r="I568" s="24"/>
      <c r="J568" s="24" t="str">
        <f>IFERROR(__xludf.DUMMYFUNCTION("""COMPUTED_VALUE"""),"LAKI-LAKI")</f>
        <v>LAKI-LAKI</v>
      </c>
      <c r="K568" s="24" t="str">
        <f>IFERROR(__xludf.DUMMYFUNCTION("""COMPUTED_VALUE"""),"Sendang Mulya Sari")</f>
        <v>Sendang Mulya Sari</v>
      </c>
      <c r="L568" s="24"/>
      <c r="M568" s="24"/>
      <c r="N568" s="24" t="str">
        <f>IFERROR(__xludf.DUMMYFUNCTION("""COMPUTED_VALUE"""),"SMA / SMK / MA")</f>
        <v>SMA / SMK / MA</v>
      </c>
      <c r="O568" s="24"/>
      <c r="P568" s="24"/>
      <c r="Q568" s="24"/>
      <c r="R568" s="24" t="str">
        <f>IFERROR(__xludf.DUMMYFUNCTION("""COMPUTED_VALUE"""),"K")</f>
        <v>K</v>
      </c>
      <c r="S568" s="25"/>
    </row>
    <row r="569" ht="22.5" customHeight="1">
      <c r="A569" s="22">
        <v>568.0</v>
      </c>
      <c r="B569" s="24" t="str">
        <f>IFERROR(__xludf.DUMMYFUNCTION("""COMPUTED_VALUE"""),"Pemeliharaan Kendaraan Ringan Sistem Injeksi")</f>
        <v>Pemeliharaan Kendaraan Ringan Sistem Injeksi</v>
      </c>
      <c r="C569" s="24" t="str">
        <f>IFERROR(__xludf.DUMMYFUNCTION("""COMPUTED_VALUE"""),"SMK Negeri 2 Konawe")</f>
        <v>SMK Negeri 2 Konawe</v>
      </c>
      <c r="D569" s="24"/>
      <c r="E569" s="24"/>
      <c r="F569" s="24" t="str">
        <f>IFERROR(__xludf.DUMMYFUNCTION("""COMPUTED_VALUE"""),"ILWANTO")</f>
        <v>ILWANTO</v>
      </c>
      <c r="G569" s="24" t="str">
        <f>IFERROR(__xludf.DUMMYFUNCTION("""COMPUTED_VALUE"""),"7402151906070003")</f>
        <v>7402151906070003</v>
      </c>
      <c r="H569" s="24"/>
      <c r="I569" s="24"/>
      <c r="J569" s="24" t="str">
        <f>IFERROR(__xludf.DUMMYFUNCTION("""COMPUTED_VALUE"""),"LAKI-LAKI")</f>
        <v>LAKI-LAKI</v>
      </c>
      <c r="K569" s="24" t="str">
        <f>IFERROR(__xludf.DUMMYFUNCTION("""COMPUTED_VALUE"""),"-")</f>
        <v>-</v>
      </c>
      <c r="L569" s="24"/>
      <c r="M569" s="24"/>
      <c r="N569" s="24" t="str">
        <f>IFERROR(__xludf.DUMMYFUNCTION("""COMPUTED_VALUE"""),"SMA / SMK / MA")</f>
        <v>SMA / SMK / MA</v>
      </c>
      <c r="O569" s="24"/>
      <c r="P569" s="24"/>
      <c r="Q569" s="24"/>
      <c r="R569" s="24" t="str">
        <f>IFERROR(__xludf.DUMMYFUNCTION("""COMPUTED_VALUE"""),"K")</f>
        <v>K</v>
      </c>
      <c r="S569" s="25"/>
    </row>
    <row r="570" ht="22.5" customHeight="1">
      <c r="A570" s="22">
        <v>569.0</v>
      </c>
      <c r="B570" s="24" t="str">
        <f>IFERROR(__xludf.DUMMYFUNCTION("""COMPUTED_VALUE"""),"Pemeliharaan Kendaraan Ringan Sistem Injeksi")</f>
        <v>Pemeliharaan Kendaraan Ringan Sistem Injeksi</v>
      </c>
      <c r="C570" s="24" t="str">
        <f>IFERROR(__xludf.DUMMYFUNCTION("""COMPUTED_VALUE"""),"SMK Negeri 2 Konawe")</f>
        <v>SMK Negeri 2 Konawe</v>
      </c>
      <c r="D570" s="24"/>
      <c r="E570" s="24"/>
      <c r="F570" s="24" t="str">
        <f>IFERROR(__xludf.DUMMYFUNCTION("""COMPUTED_VALUE"""),"KADEK EDI WIRAWAN")</f>
        <v>KADEK EDI WIRAWAN</v>
      </c>
      <c r="G570" s="24" t="str">
        <f>IFERROR(__xludf.DUMMYFUNCTION("""COMPUTED_VALUE"""),"7402180311080001")</f>
        <v>7402180311080001</v>
      </c>
      <c r="H570" s="24"/>
      <c r="I570" s="24"/>
      <c r="J570" s="24" t="str">
        <f>IFERROR(__xludf.DUMMYFUNCTION("""COMPUTED_VALUE"""),"LAKI-LAKI")</f>
        <v>LAKI-LAKI</v>
      </c>
      <c r="K570" s="24" t="str">
        <f>IFERROR(__xludf.DUMMYFUNCTION("""COMPUTED_VALUE"""),"Langgomea")</f>
        <v>Langgomea</v>
      </c>
      <c r="L570" s="24"/>
      <c r="M570" s="24"/>
      <c r="N570" s="24" t="str">
        <f>IFERROR(__xludf.DUMMYFUNCTION("""COMPUTED_VALUE"""),"SMA / SMK / MA")</f>
        <v>SMA / SMK / MA</v>
      </c>
      <c r="O570" s="24"/>
      <c r="P570" s="24"/>
      <c r="Q570" s="24"/>
      <c r="R570" s="24" t="str">
        <f>IFERROR(__xludf.DUMMYFUNCTION("""COMPUTED_VALUE"""),"BK")</f>
        <v>BK</v>
      </c>
      <c r="S570" s="25"/>
    </row>
    <row r="571" ht="22.5" customHeight="1">
      <c r="A571" s="22">
        <v>570.0</v>
      </c>
      <c r="B571" s="24" t="str">
        <f>IFERROR(__xludf.DUMMYFUNCTION("""COMPUTED_VALUE"""),"Pemeliharaan Kendaraan Ringan Sistem Injeksi")</f>
        <v>Pemeliharaan Kendaraan Ringan Sistem Injeksi</v>
      </c>
      <c r="C571" s="24" t="str">
        <f>IFERROR(__xludf.DUMMYFUNCTION("""COMPUTED_VALUE"""),"SMK Negeri 2 Konawe")</f>
        <v>SMK Negeri 2 Konawe</v>
      </c>
      <c r="D571" s="24"/>
      <c r="E571" s="24"/>
      <c r="F571" s="24" t="str">
        <f>IFERROR(__xludf.DUMMYFUNCTION("""COMPUTED_VALUE"""),"KHAIDIR IRFAN NUR SHADIQ")</f>
        <v>KHAIDIR IRFAN NUR SHADIQ</v>
      </c>
      <c r="G571" s="24" t="str">
        <f>IFERROR(__xludf.DUMMYFUNCTION("""COMPUTED_VALUE"""),"7307052707080001")</f>
        <v>7307052707080001</v>
      </c>
      <c r="H571" s="24"/>
      <c r="I571" s="24"/>
      <c r="J571" s="24" t="str">
        <f>IFERROR(__xludf.DUMMYFUNCTION("""COMPUTED_VALUE"""),"LAKI-LAKI")</f>
        <v>LAKI-LAKI</v>
      </c>
      <c r="K571" s="24" t="str">
        <f>IFERROR(__xludf.DUMMYFUNCTION("""COMPUTED_VALUE"""),"Jl. Baso Kalaka No.9")</f>
        <v>Jl. Baso Kalaka No.9</v>
      </c>
      <c r="L571" s="24"/>
      <c r="M571" s="24"/>
      <c r="N571" s="24" t="str">
        <f>IFERROR(__xludf.DUMMYFUNCTION("""COMPUTED_VALUE"""),"SMA / SMK / MA")</f>
        <v>SMA / SMK / MA</v>
      </c>
      <c r="O571" s="24"/>
      <c r="P571" s="24"/>
      <c r="Q571" s="24"/>
      <c r="R571" s="24" t="str">
        <f>IFERROR(__xludf.DUMMYFUNCTION("""COMPUTED_VALUE"""),"K")</f>
        <v>K</v>
      </c>
      <c r="S571" s="25"/>
    </row>
    <row r="572" ht="22.5" customHeight="1">
      <c r="A572" s="22">
        <v>571.0</v>
      </c>
      <c r="B572" s="24" t="str">
        <f>IFERROR(__xludf.DUMMYFUNCTION("""COMPUTED_VALUE"""),"Pemeliharaan Kendaraan Ringan Sistem Injeksi")</f>
        <v>Pemeliharaan Kendaraan Ringan Sistem Injeksi</v>
      </c>
      <c r="C572" s="24" t="str">
        <f>IFERROR(__xludf.DUMMYFUNCTION("""COMPUTED_VALUE"""),"SMK Negeri 2 Konawe")</f>
        <v>SMK Negeri 2 Konawe</v>
      </c>
      <c r="D572" s="24"/>
      <c r="E572" s="24"/>
      <c r="F572" s="24" t="str">
        <f>IFERROR(__xludf.DUMMYFUNCTION("""COMPUTED_VALUE"""),"MUHAMMAD BRIANZAH")</f>
        <v>MUHAMMAD BRIANZAH</v>
      </c>
      <c r="G572" s="24" t="str">
        <f>IFERROR(__xludf.DUMMYFUNCTION("""COMPUTED_VALUE"""),"7402152807080001")</f>
        <v>7402152807080001</v>
      </c>
      <c r="H572" s="24"/>
      <c r="I572" s="24"/>
      <c r="J572" s="24" t="str">
        <f>IFERROR(__xludf.DUMMYFUNCTION("""COMPUTED_VALUE"""),"LAKI-LAKI")</f>
        <v>LAKI-LAKI</v>
      </c>
      <c r="K572" s="24" t="str">
        <f>IFERROR(__xludf.DUMMYFUNCTION("""COMPUTED_VALUE"""),"Sendang Mulyasari")</f>
        <v>Sendang Mulyasari</v>
      </c>
      <c r="L572" s="24"/>
      <c r="M572" s="24"/>
      <c r="N572" s="24" t="str">
        <f>IFERROR(__xludf.DUMMYFUNCTION("""COMPUTED_VALUE"""),"SMA / SMK / MA")</f>
        <v>SMA / SMK / MA</v>
      </c>
      <c r="O572" s="24"/>
      <c r="P572" s="24"/>
      <c r="Q572" s="24"/>
      <c r="R572" s="24" t="str">
        <f>IFERROR(__xludf.DUMMYFUNCTION("""COMPUTED_VALUE"""),"K")</f>
        <v>K</v>
      </c>
      <c r="S572" s="25"/>
    </row>
    <row r="573" ht="22.5" customHeight="1">
      <c r="A573" s="22">
        <v>572.0</v>
      </c>
      <c r="B573" s="24" t="str">
        <f>IFERROR(__xludf.DUMMYFUNCTION("""COMPUTED_VALUE"""),"Pemeliharaan Kendaraan Ringan Sistem Injeksi")</f>
        <v>Pemeliharaan Kendaraan Ringan Sistem Injeksi</v>
      </c>
      <c r="C573" s="24" t="str">
        <f>IFERROR(__xludf.DUMMYFUNCTION("""COMPUTED_VALUE"""),"SMK Negeri 2 Konawe")</f>
        <v>SMK Negeri 2 Konawe</v>
      </c>
      <c r="D573" s="24"/>
      <c r="E573" s="24"/>
      <c r="F573" s="24" t="str">
        <f>IFERROR(__xludf.DUMMYFUNCTION("""COMPUTED_VALUE"""),"MUH. ALWI")</f>
        <v>MUH. ALWI</v>
      </c>
      <c r="G573" s="24" t="str">
        <f>IFERROR(__xludf.DUMMYFUNCTION("""COMPUTED_VALUE"""),"7402151904080001")</f>
        <v>7402151904080001</v>
      </c>
      <c r="H573" s="24"/>
      <c r="I573" s="24"/>
      <c r="J573" s="24" t="str">
        <f>IFERROR(__xludf.DUMMYFUNCTION("""COMPUTED_VALUE"""),"LAKI-LAKI")</f>
        <v>LAKI-LAKI</v>
      </c>
      <c r="K573" s="24" t="str">
        <f>IFERROR(__xludf.DUMMYFUNCTION("""COMPUTED_VALUE"""),"Nambeaboru")</f>
        <v>Nambeaboru</v>
      </c>
      <c r="L573" s="24"/>
      <c r="M573" s="24"/>
      <c r="N573" s="24" t="str">
        <f>IFERROR(__xludf.DUMMYFUNCTION("""COMPUTED_VALUE"""),"SMA / SMK / MA")</f>
        <v>SMA / SMK / MA</v>
      </c>
      <c r="O573" s="24"/>
      <c r="P573" s="24"/>
      <c r="Q573" s="24"/>
      <c r="R573" s="24" t="str">
        <f>IFERROR(__xludf.DUMMYFUNCTION("""COMPUTED_VALUE"""),"K")</f>
        <v>K</v>
      </c>
      <c r="S573" s="25"/>
    </row>
    <row r="574" ht="22.5" customHeight="1">
      <c r="A574" s="22">
        <v>573.0</v>
      </c>
      <c r="B574" s="24" t="str">
        <f>IFERROR(__xludf.DUMMYFUNCTION("""COMPUTED_VALUE"""),"Pemeliharaan Kendaraan Ringan Sistem Injeksi")</f>
        <v>Pemeliharaan Kendaraan Ringan Sistem Injeksi</v>
      </c>
      <c r="C574" s="24" t="str">
        <f>IFERROR(__xludf.DUMMYFUNCTION("""COMPUTED_VALUE"""),"SMK Negeri 2 Konawe")</f>
        <v>SMK Negeri 2 Konawe</v>
      </c>
      <c r="D574" s="24"/>
      <c r="E574" s="24"/>
      <c r="F574" s="24" t="str">
        <f>IFERROR(__xludf.DUMMYFUNCTION("""COMPUTED_VALUE"""),"MUH. BINTANG APRIYANSHA")</f>
        <v>MUH. BINTANG APRIYANSHA</v>
      </c>
      <c r="G574" s="24" t="str">
        <f>IFERROR(__xludf.DUMMYFUNCTION("""COMPUTED_VALUE"""),"7402242204070001")</f>
        <v>7402242204070001</v>
      </c>
      <c r="H574" s="24"/>
      <c r="I574" s="24"/>
      <c r="J574" s="24" t="str">
        <f>IFERROR(__xludf.DUMMYFUNCTION("""COMPUTED_VALUE"""),"LAKI-LAKI")</f>
        <v>LAKI-LAKI</v>
      </c>
      <c r="K574" s="24" t="str">
        <f>IFERROR(__xludf.DUMMYFUNCTION("""COMPUTED_VALUE"""),"Kel. Andabia")</f>
        <v>Kel. Andabia</v>
      </c>
      <c r="L574" s="24"/>
      <c r="M574" s="24"/>
      <c r="N574" s="24" t="str">
        <f>IFERROR(__xludf.DUMMYFUNCTION("""COMPUTED_VALUE"""),"SMA / SMK / MA")</f>
        <v>SMA / SMK / MA</v>
      </c>
      <c r="O574" s="24"/>
      <c r="P574" s="24"/>
      <c r="Q574" s="24"/>
      <c r="R574" s="24" t="str">
        <f>IFERROR(__xludf.DUMMYFUNCTION("""COMPUTED_VALUE"""),"K")</f>
        <v>K</v>
      </c>
      <c r="S574" s="25"/>
    </row>
    <row r="575" ht="22.5" customHeight="1">
      <c r="A575" s="22">
        <v>574.0</v>
      </c>
      <c r="B575" s="24" t="str">
        <f>IFERROR(__xludf.DUMMYFUNCTION("""COMPUTED_VALUE"""),"Pemeliharaan Kendaraan Ringan Sistem Injeksi")</f>
        <v>Pemeliharaan Kendaraan Ringan Sistem Injeksi</v>
      </c>
      <c r="C575" s="24" t="str">
        <f>IFERROR(__xludf.DUMMYFUNCTION("""COMPUTED_VALUE"""),"SMK Negeri 2 Konawe")</f>
        <v>SMK Negeri 2 Konawe</v>
      </c>
      <c r="D575" s="24"/>
      <c r="E575" s="24"/>
      <c r="F575" s="24" t="str">
        <f>IFERROR(__xludf.DUMMYFUNCTION("""COMPUTED_VALUE"""),"MUH. FAJAR ZAINUDIN")</f>
        <v>MUH. FAJAR ZAINUDIN</v>
      </c>
      <c r="G575" s="24" t="str">
        <f>IFERROR(__xludf.DUMMYFUNCTION("""COMPUTED_VALUE"""),"7402100111080003")</f>
        <v>7402100111080003</v>
      </c>
      <c r="H575" s="24"/>
      <c r="I575" s="24"/>
      <c r="J575" s="24" t="str">
        <f>IFERROR(__xludf.DUMMYFUNCTION("""COMPUTED_VALUE"""),"LAKI-LAKI")</f>
        <v>LAKI-LAKI</v>
      </c>
      <c r="K575" s="24" t="str">
        <f>IFERROR(__xludf.DUMMYFUNCTION("""COMPUTED_VALUE"""),"Desa Epeea, Abuki, RT 001")</f>
        <v>Desa Epeea, Abuki, RT 001</v>
      </c>
      <c r="L575" s="24"/>
      <c r="M575" s="24"/>
      <c r="N575" s="24" t="str">
        <f>IFERROR(__xludf.DUMMYFUNCTION("""COMPUTED_VALUE"""),"SMA / SMK / MA")</f>
        <v>SMA / SMK / MA</v>
      </c>
      <c r="O575" s="24"/>
      <c r="P575" s="24"/>
      <c r="Q575" s="24"/>
      <c r="R575" s="24" t="str">
        <f>IFERROR(__xludf.DUMMYFUNCTION("""COMPUTED_VALUE"""),"K")</f>
        <v>K</v>
      </c>
      <c r="S575" s="25"/>
    </row>
    <row r="576" ht="22.5" customHeight="1">
      <c r="A576" s="22">
        <v>575.0</v>
      </c>
      <c r="B576" s="24" t="str">
        <f>IFERROR(__xludf.DUMMYFUNCTION("""COMPUTED_VALUE"""),"Pemeliharaan Kendaraan Ringan Sistem Injeksi")</f>
        <v>Pemeliharaan Kendaraan Ringan Sistem Injeksi</v>
      </c>
      <c r="C576" s="24" t="str">
        <f>IFERROR(__xludf.DUMMYFUNCTION("""COMPUTED_VALUE"""),"SMK Negeri 2 Konawe")</f>
        <v>SMK Negeri 2 Konawe</v>
      </c>
      <c r="D576" s="24"/>
      <c r="E576" s="24"/>
      <c r="F576" s="24" t="str">
        <f>IFERROR(__xludf.DUMMYFUNCTION("""COMPUTED_VALUE"""),"MUH. SAPUTRA ASA'AD")</f>
        <v>MUH. SAPUTRA ASA'AD</v>
      </c>
      <c r="G576" s="24" t="str">
        <f>IFERROR(__xludf.DUMMYFUNCTION("""COMPUTED_VALUE"""),"7402151810070002")</f>
        <v>7402151810070002</v>
      </c>
      <c r="H576" s="24"/>
      <c r="I576" s="24"/>
      <c r="J576" s="24" t="str">
        <f>IFERROR(__xludf.DUMMYFUNCTION("""COMPUTED_VALUE"""),"LAKI-LAKI")</f>
        <v>LAKI-LAKI</v>
      </c>
      <c r="K576" s="24" t="str">
        <f>IFERROR(__xludf.DUMMYFUNCTION("""COMPUTED_VALUE"""),"Desa Olua'ao")</f>
        <v>Desa Olua'ao</v>
      </c>
      <c r="L576" s="24"/>
      <c r="M576" s="24"/>
      <c r="N576" s="24" t="str">
        <f>IFERROR(__xludf.DUMMYFUNCTION("""COMPUTED_VALUE"""),"SMA / SMK / MA")</f>
        <v>SMA / SMK / MA</v>
      </c>
      <c r="O576" s="24"/>
      <c r="P576" s="24"/>
      <c r="Q576" s="24"/>
      <c r="R576" s="24" t="str">
        <f>IFERROR(__xludf.DUMMYFUNCTION("""COMPUTED_VALUE"""),"K")</f>
        <v>K</v>
      </c>
      <c r="S576" s="25"/>
    </row>
    <row r="577" ht="22.5" customHeight="1">
      <c r="A577" s="22">
        <v>576.0</v>
      </c>
      <c r="B577" s="24" t="str">
        <f>IFERROR(__xludf.DUMMYFUNCTION("""COMPUTED_VALUE"""),"Pemeliharaan Kendaraan Ringan Sistem Injeksi")</f>
        <v>Pemeliharaan Kendaraan Ringan Sistem Injeksi</v>
      </c>
      <c r="C577" s="24" t="str">
        <f>IFERROR(__xludf.DUMMYFUNCTION("""COMPUTED_VALUE"""),"SMK Negeri 2 Konawe")</f>
        <v>SMK Negeri 2 Konawe</v>
      </c>
      <c r="D577" s="24"/>
      <c r="E577" s="24"/>
      <c r="F577" s="24" t="str">
        <f>IFERROR(__xludf.DUMMYFUNCTION("""COMPUTED_VALUE"""),"MUHAMMAD AIMAN")</f>
        <v>MUHAMMAD AIMAN</v>
      </c>
      <c r="G577" s="24" t="str">
        <f>IFERROR(__xludf.DUMMYFUNCTION("""COMPUTED_VALUE"""),"7315052907070002")</f>
        <v>7315052907070002</v>
      </c>
      <c r="H577" s="24"/>
      <c r="I577" s="24"/>
      <c r="J577" s="24" t="str">
        <f>IFERROR(__xludf.DUMMYFUNCTION("""COMPUTED_VALUE"""),"LAKI-LAKI")</f>
        <v>LAKI-LAKI</v>
      </c>
      <c r="K577" s="24" t="str">
        <f>IFERROR(__xludf.DUMMYFUNCTION("""COMPUTED_VALUE"""),"Anggopiu")</f>
        <v>Anggopiu</v>
      </c>
      <c r="L577" s="24"/>
      <c r="M577" s="24"/>
      <c r="N577" s="24" t="str">
        <f>IFERROR(__xludf.DUMMYFUNCTION("""COMPUTED_VALUE"""),"SMA / SMK / MA")</f>
        <v>SMA / SMK / MA</v>
      </c>
      <c r="O577" s="24"/>
      <c r="P577" s="24"/>
      <c r="Q577" s="24"/>
      <c r="R577" s="24" t="str">
        <f>IFERROR(__xludf.DUMMYFUNCTION("""COMPUTED_VALUE"""),"K")</f>
        <v>K</v>
      </c>
      <c r="S577" s="25"/>
    </row>
    <row r="578" ht="22.5" customHeight="1">
      <c r="A578" s="22">
        <v>577.0</v>
      </c>
      <c r="B578" s="24" t="str">
        <f>IFERROR(__xludf.DUMMYFUNCTION("""COMPUTED_VALUE"""),"Pemeliharaan Kendaraan Ringan Sistem Injeksi")</f>
        <v>Pemeliharaan Kendaraan Ringan Sistem Injeksi</v>
      </c>
      <c r="C578" s="24" t="str">
        <f>IFERROR(__xludf.DUMMYFUNCTION("""COMPUTED_VALUE"""),"SMK Negeri 2 Konawe")</f>
        <v>SMK Negeri 2 Konawe</v>
      </c>
      <c r="D578" s="24"/>
      <c r="E578" s="24"/>
      <c r="F578" s="24" t="str">
        <f>IFERROR(__xludf.DUMMYFUNCTION("""COMPUTED_VALUE"""),"NOVA HELDIANSAH")</f>
        <v>NOVA HELDIANSAH</v>
      </c>
      <c r="G578" s="24" t="str">
        <f>IFERROR(__xludf.DUMMYFUNCTION("""COMPUTED_VALUE"""),"7471031111070002")</f>
        <v>7471031111070002</v>
      </c>
      <c r="H578" s="24"/>
      <c r="I578" s="24"/>
      <c r="J578" s="24" t="str">
        <f>IFERROR(__xludf.DUMMYFUNCTION("""COMPUTED_VALUE"""),"LAKI-LAKI")</f>
        <v>LAKI-LAKI</v>
      </c>
      <c r="K578" s="24" t="str">
        <f>IFERROR(__xludf.DUMMYFUNCTION("""COMPUTED_VALUE"""),"Wawonine")</f>
        <v>Wawonine</v>
      </c>
      <c r="L578" s="24"/>
      <c r="M578" s="24"/>
      <c r="N578" s="24" t="str">
        <f>IFERROR(__xludf.DUMMYFUNCTION("""COMPUTED_VALUE"""),"SMA / SMK / MA")</f>
        <v>SMA / SMK / MA</v>
      </c>
      <c r="O578" s="24"/>
      <c r="P578" s="24"/>
      <c r="Q578" s="24"/>
      <c r="R578" s="24" t="str">
        <f>IFERROR(__xludf.DUMMYFUNCTION("""COMPUTED_VALUE"""),"K")</f>
        <v>K</v>
      </c>
      <c r="S578" s="25"/>
    </row>
    <row r="579" ht="22.5" customHeight="1">
      <c r="A579" s="22">
        <v>578.0</v>
      </c>
      <c r="B579" s="24" t="str">
        <f>IFERROR(__xludf.DUMMYFUNCTION("""COMPUTED_VALUE"""),"Pemeliharaan Kendaraan Ringan Sistem Injeksi")</f>
        <v>Pemeliharaan Kendaraan Ringan Sistem Injeksi</v>
      </c>
      <c r="C579" s="24" t="str">
        <f>IFERROR(__xludf.DUMMYFUNCTION("""COMPUTED_VALUE"""),"SMK Negeri 2 Konawe")</f>
        <v>SMK Negeri 2 Konawe</v>
      </c>
      <c r="D579" s="24"/>
      <c r="E579" s="24"/>
      <c r="F579" s="24" t="str">
        <f>IFERROR(__xludf.DUMMYFUNCTION("""COMPUTED_VALUE"""),"RAHMAT MEIFANSYAH")</f>
        <v>RAHMAT MEIFANSYAH</v>
      </c>
      <c r="G579" s="24" t="str">
        <f>IFERROR(__xludf.DUMMYFUNCTION("""COMPUTED_VALUE"""),"7402240805080001")</f>
        <v>7402240805080001</v>
      </c>
      <c r="H579" s="24"/>
      <c r="I579" s="24"/>
      <c r="J579" s="24" t="str">
        <f>IFERROR(__xludf.DUMMYFUNCTION("""COMPUTED_VALUE"""),"LAKI-LAKI")</f>
        <v>LAKI-LAKI</v>
      </c>
      <c r="K579" s="24" t="str">
        <f>IFERROR(__xludf.DUMMYFUNCTION("""COMPUTED_VALUE"""),"Kel. Unaasi, Anggaberi")</f>
        <v>Kel. Unaasi, Anggaberi</v>
      </c>
      <c r="L579" s="24"/>
      <c r="M579" s="24"/>
      <c r="N579" s="24" t="str">
        <f>IFERROR(__xludf.DUMMYFUNCTION("""COMPUTED_VALUE"""),"SMA / SMK / MA")</f>
        <v>SMA / SMK / MA</v>
      </c>
      <c r="O579" s="24"/>
      <c r="P579" s="24"/>
      <c r="Q579" s="24"/>
      <c r="R579" s="24" t="str">
        <f>IFERROR(__xludf.DUMMYFUNCTION("""COMPUTED_VALUE"""),"K")</f>
        <v>K</v>
      </c>
      <c r="S579" s="25"/>
    </row>
    <row r="580" ht="22.5" customHeight="1">
      <c r="A580" s="22">
        <v>579.0</v>
      </c>
      <c r="B580" s="24" t="str">
        <f>IFERROR(__xludf.DUMMYFUNCTION("""COMPUTED_VALUE"""),"Pemeliharaan Kendaraan Ringan Sistem Injeksi")</f>
        <v>Pemeliharaan Kendaraan Ringan Sistem Injeksi</v>
      </c>
      <c r="C580" s="24" t="str">
        <f>IFERROR(__xludf.DUMMYFUNCTION("""COMPUTED_VALUE"""),"SMK Negeri 2 Konawe")</f>
        <v>SMK Negeri 2 Konawe</v>
      </c>
      <c r="D580" s="24"/>
      <c r="E580" s="24"/>
      <c r="F580" s="24" t="str">
        <f>IFERROR(__xludf.DUMMYFUNCTION("""COMPUTED_VALUE"""),"REZKI ADITYA")</f>
        <v>REZKI ADITYA</v>
      </c>
      <c r="G580" s="24" t="str">
        <f>IFERROR(__xludf.DUMMYFUNCTION("""COMPUTED_VALUE"""),"7402150808080001")</f>
        <v>7402150808080001</v>
      </c>
      <c r="H580" s="24"/>
      <c r="I580" s="24"/>
      <c r="J580" s="24" t="str">
        <f>IFERROR(__xludf.DUMMYFUNCTION("""COMPUTED_VALUE"""),"LAKI-LAKI")</f>
        <v>LAKI-LAKI</v>
      </c>
      <c r="K580" s="24" t="str">
        <f>IFERROR(__xludf.DUMMYFUNCTION("""COMPUTED_VALUE"""),"Desa Olua'ao")</f>
        <v>Desa Olua'ao</v>
      </c>
      <c r="L580" s="24"/>
      <c r="M580" s="24"/>
      <c r="N580" s="24" t="str">
        <f>IFERROR(__xludf.DUMMYFUNCTION("""COMPUTED_VALUE"""),"SMA / SMK / MA")</f>
        <v>SMA / SMK / MA</v>
      </c>
      <c r="O580" s="24"/>
      <c r="P580" s="24"/>
      <c r="Q580" s="24"/>
      <c r="R580" s="24" t="str">
        <f>IFERROR(__xludf.DUMMYFUNCTION("""COMPUTED_VALUE"""),"K")</f>
        <v>K</v>
      </c>
      <c r="S580" s="25"/>
    </row>
    <row r="581" ht="22.5" customHeight="1">
      <c r="A581" s="22">
        <v>580.0</v>
      </c>
      <c r="B581" s="24" t="str">
        <f>IFERROR(__xludf.DUMMYFUNCTION("""COMPUTED_VALUE"""),"Pemeliharaan Kendaraan Ringan Sistem Injeksi")</f>
        <v>Pemeliharaan Kendaraan Ringan Sistem Injeksi</v>
      </c>
      <c r="C581" s="24" t="str">
        <f>IFERROR(__xludf.DUMMYFUNCTION("""COMPUTED_VALUE"""),"SMK Negeri 2 Konawe")</f>
        <v>SMK Negeri 2 Konawe</v>
      </c>
      <c r="D581" s="24"/>
      <c r="E581" s="24"/>
      <c r="F581" s="24" t="str">
        <f>IFERROR(__xludf.DUMMYFUNCTION("""COMPUTED_VALUE"""),"RIPAL")</f>
        <v>RIPAL</v>
      </c>
      <c r="G581" s="24" t="str">
        <f>IFERROR(__xludf.DUMMYFUNCTION("""COMPUTED_VALUE"""),"7402310201060002")</f>
        <v>7402310201060002</v>
      </c>
      <c r="H581" s="24"/>
      <c r="I581" s="24"/>
      <c r="J581" s="24" t="str">
        <f>IFERROR(__xludf.DUMMYFUNCTION("""COMPUTED_VALUE"""),"LAKI-LAKI")</f>
        <v>LAKI-LAKI</v>
      </c>
      <c r="K581" s="24" t="str">
        <f>IFERROR(__xludf.DUMMYFUNCTION("""COMPUTED_VALUE"""),"Desa Angohi")</f>
        <v>Desa Angohi</v>
      </c>
      <c r="L581" s="24"/>
      <c r="M581" s="24"/>
      <c r="N581" s="24" t="str">
        <f>IFERROR(__xludf.DUMMYFUNCTION("""COMPUTED_VALUE"""),"SMA / SMK / MA")</f>
        <v>SMA / SMK / MA</v>
      </c>
      <c r="O581" s="24"/>
      <c r="P581" s="24"/>
      <c r="Q581" s="24"/>
      <c r="R581" s="24" t="str">
        <f>IFERROR(__xludf.DUMMYFUNCTION("""COMPUTED_VALUE"""),"K")</f>
        <v>K</v>
      </c>
      <c r="S581" s="25"/>
    </row>
    <row r="582" ht="22.5" customHeight="1">
      <c r="A582" s="22">
        <v>581.0</v>
      </c>
      <c r="B582" s="24" t="str">
        <f>IFERROR(__xludf.DUMMYFUNCTION("""COMPUTED_VALUE"""),"Pemeliharaan Kendaraan Ringan Sistem Injeksi")</f>
        <v>Pemeliharaan Kendaraan Ringan Sistem Injeksi</v>
      </c>
      <c r="C582" s="24" t="str">
        <f>IFERROR(__xludf.DUMMYFUNCTION("""COMPUTED_VALUE"""),"SMK Negeri 2 Konawe")</f>
        <v>SMK Negeri 2 Konawe</v>
      </c>
      <c r="D582" s="24"/>
      <c r="E582" s="24"/>
      <c r="F582" s="24" t="str">
        <f>IFERROR(__xludf.DUMMYFUNCTION("""COMPUTED_VALUE"""),"RISWAN")</f>
        <v>RISWAN</v>
      </c>
      <c r="G582" s="24" t="str">
        <f>IFERROR(__xludf.DUMMYFUNCTION("""COMPUTED_VALUE"""),"7402150107060033")</f>
        <v>7402150107060033</v>
      </c>
      <c r="H582" s="24"/>
      <c r="I582" s="24"/>
      <c r="J582" s="24" t="str">
        <f>IFERROR(__xludf.DUMMYFUNCTION("""COMPUTED_VALUE"""),"LAKI-LAKI")</f>
        <v>LAKI-LAKI</v>
      </c>
      <c r="K582" s="24" t="str">
        <f>IFERROR(__xludf.DUMMYFUNCTION("""COMPUTED_VALUE"""),"Desa Barowila")</f>
        <v>Desa Barowila</v>
      </c>
      <c r="L582" s="24"/>
      <c r="M582" s="24"/>
      <c r="N582" s="24" t="str">
        <f>IFERROR(__xludf.DUMMYFUNCTION("""COMPUTED_VALUE"""),"SMA / SMK / MA")</f>
        <v>SMA / SMK / MA</v>
      </c>
      <c r="O582" s="24"/>
      <c r="P582" s="24"/>
      <c r="Q582" s="24"/>
      <c r="R582" s="24" t="str">
        <f>IFERROR(__xludf.DUMMYFUNCTION("""COMPUTED_VALUE"""),"K")</f>
        <v>K</v>
      </c>
      <c r="S582" s="25"/>
    </row>
    <row r="583" ht="22.5" customHeight="1">
      <c r="A583" s="22">
        <v>582.0</v>
      </c>
      <c r="B583" s="24" t="str">
        <f>IFERROR(__xludf.DUMMYFUNCTION("""COMPUTED_VALUE"""),"Pemeliharaan Kendaraan Ringan Sistem Injeksi")</f>
        <v>Pemeliharaan Kendaraan Ringan Sistem Injeksi</v>
      </c>
      <c r="C583" s="24" t="str">
        <f>IFERROR(__xludf.DUMMYFUNCTION("""COMPUTED_VALUE"""),"SMK Negeri 2 Konawe")</f>
        <v>SMK Negeri 2 Konawe</v>
      </c>
      <c r="D583" s="24"/>
      <c r="E583" s="24"/>
      <c r="F583" s="24" t="str">
        <f>IFERROR(__xludf.DUMMYFUNCTION("""COMPUTED_VALUE"""),"AGUS DWIYANTO")</f>
        <v>AGUS DWIYANTO</v>
      </c>
      <c r="G583" s="24" t="str">
        <f>IFERROR(__xludf.DUMMYFUNCTION("""COMPUTED_VALUE"""),"7402021608080001")</f>
        <v>7402021608080001</v>
      </c>
      <c r="H583" s="24"/>
      <c r="I583" s="24"/>
      <c r="J583" s="24" t="str">
        <f>IFERROR(__xludf.DUMMYFUNCTION("""COMPUTED_VALUE"""),"LAKI-LAKI")</f>
        <v>LAKI-LAKI</v>
      </c>
      <c r="K583" s="24" t="str">
        <f>IFERROR(__xludf.DUMMYFUNCTION("""COMPUTED_VALUE"""),"Arombu")</f>
        <v>Arombu</v>
      </c>
      <c r="L583" s="24"/>
      <c r="M583" s="24"/>
      <c r="N583" s="24" t="str">
        <f>IFERROR(__xludf.DUMMYFUNCTION("""COMPUTED_VALUE"""),"SMA / SMK / MA")</f>
        <v>SMA / SMK / MA</v>
      </c>
      <c r="O583" s="24"/>
      <c r="P583" s="24"/>
      <c r="Q583" s="24"/>
      <c r="R583" s="24" t="str">
        <f>IFERROR(__xludf.DUMMYFUNCTION("""COMPUTED_VALUE"""),"K")</f>
        <v>K</v>
      </c>
      <c r="S583" s="25"/>
    </row>
    <row r="584" ht="22.5" customHeight="1">
      <c r="A584" s="22">
        <v>583.0</v>
      </c>
      <c r="B584" s="24" t="str">
        <f>IFERROR(__xludf.DUMMYFUNCTION("""COMPUTED_VALUE"""),"Pemeliharaan Kendaraan Ringan Sistem Injeksi")</f>
        <v>Pemeliharaan Kendaraan Ringan Sistem Injeksi</v>
      </c>
      <c r="C584" s="24" t="str">
        <f>IFERROR(__xludf.DUMMYFUNCTION("""COMPUTED_VALUE"""),"SMK Negeri 2 Konawe")</f>
        <v>SMK Negeri 2 Konawe</v>
      </c>
      <c r="D584" s="24"/>
      <c r="E584" s="24"/>
      <c r="F584" s="24" t="str">
        <f>IFERROR(__xludf.DUMMYFUNCTION("""COMPUTED_VALUE"""),"ALDI SASONGKO")</f>
        <v>ALDI SASONGKO</v>
      </c>
      <c r="G584" s="24" t="str">
        <f>IFERROR(__xludf.DUMMYFUNCTION("""COMPUTED_VALUE"""),"7402282705080001")</f>
        <v>7402282705080001</v>
      </c>
      <c r="H584" s="24"/>
      <c r="I584" s="24"/>
      <c r="J584" s="24" t="str">
        <f>IFERROR(__xludf.DUMMYFUNCTION("""COMPUTED_VALUE"""),"LAKI-LAKI")</f>
        <v>LAKI-LAKI</v>
      </c>
      <c r="K584" s="24" t="str">
        <f>IFERROR(__xludf.DUMMYFUNCTION("""COMPUTED_VALUE"""),"Watulawu")</f>
        <v>Watulawu</v>
      </c>
      <c r="L584" s="24"/>
      <c r="M584" s="24"/>
      <c r="N584" s="24" t="str">
        <f>IFERROR(__xludf.DUMMYFUNCTION("""COMPUTED_VALUE"""),"SMA / SMK / MA")</f>
        <v>SMA / SMK / MA</v>
      </c>
      <c r="O584" s="24"/>
      <c r="P584" s="24"/>
      <c r="Q584" s="24"/>
      <c r="R584" s="24" t="str">
        <f>IFERROR(__xludf.DUMMYFUNCTION("""COMPUTED_VALUE"""),"K")</f>
        <v>K</v>
      </c>
      <c r="S584" s="25"/>
    </row>
    <row r="585" ht="22.5" customHeight="1">
      <c r="A585" s="22">
        <v>584.0</v>
      </c>
      <c r="B585" s="24" t="str">
        <f>IFERROR(__xludf.DUMMYFUNCTION("""COMPUTED_VALUE"""),"Pemeliharaan Kendaraan Ringan Sistem Injeksi")</f>
        <v>Pemeliharaan Kendaraan Ringan Sistem Injeksi</v>
      </c>
      <c r="C585" s="24" t="str">
        <f>IFERROR(__xludf.DUMMYFUNCTION("""COMPUTED_VALUE"""),"SMK Negeri 2 Konawe")</f>
        <v>SMK Negeri 2 Konawe</v>
      </c>
      <c r="D585" s="24"/>
      <c r="E585" s="24"/>
      <c r="F585" s="24" t="str">
        <f>IFERROR(__xludf.DUMMYFUNCTION("""COMPUTED_VALUE"""),"ALDIANSYAH SAPUTRA")</f>
        <v>ALDIANSYAH SAPUTRA</v>
      </c>
      <c r="G585" s="24" t="str">
        <f>IFERROR(__xludf.DUMMYFUNCTION("""COMPUTED_VALUE"""),"7402152505080001")</f>
        <v>7402152505080001</v>
      </c>
      <c r="H585" s="24"/>
      <c r="I585" s="24"/>
      <c r="J585" s="24" t="str">
        <f>IFERROR(__xludf.DUMMYFUNCTION("""COMPUTED_VALUE"""),"LAKI-LAKI")</f>
        <v>LAKI-LAKI</v>
      </c>
      <c r="K585" s="24" t="str">
        <f>IFERROR(__xludf.DUMMYFUNCTION("""COMPUTED_VALUE"""),"Sendang Mulya Sari")</f>
        <v>Sendang Mulya Sari</v>
      </c>
      <c r="L585" s="24"/>
      <c r="M585" s="24"/>
      <c r="N585" s="24" t="str">
        <f>IFERROR(__xludf.DUMMYFUNCTION("""COMPUTED_VALUE"""),"SMA / SMK / MA")</f>
        <v>SMA / SMK / MA</v>
      </c>
      <c r="O585" s="24"/>
      <c r="P585" s="24"/>
      <c r="Q585" s="24"/>
      <c r="R585" s="24" t="str">
        <f>IFERROR(__xludf.DUMMYFUNCTION("""COMPUTED_VALUE"""),"K")</f>
        <v>K</v>
      </c>
      <c r="S585" s="25"/>
    </row>
    <row r="586" ht="22.5" customHeight="1">
      <c r="A586" s="22">
        <v>585.0</v>
      </c>
      <c r="B586" s="24" t="str">
        <f>IFERROR(__xludf.DUMMYFUNCTION("""COMPUTED_VALUE"""),"Pemeliharaan Kendaraan Ringan Sistem Injeksi")</f>
        <v>Pemeliharaan Kendaraan Ringan Sistem Injeksi</v>
      </c>
      <c r="C586" s="24" t="str">
        <f>IFERROR(__xludf.DUMMYFUNCTION("""COMPUTED_VALUE"""),"SMK Negeri 2 Konawe")</f>
        <v>SMK Negeri 2 Konawe</v>
      </c>
      <c r="D586" s="24"/>
      <c r="E586" s="24"/>
      <c r="F586" s="24" t="str">
        <f>IFERROR(__xludf.DUMMYFUNCTION("""COMPUTED_VALUE"""),"AMRAN")</f>
        <v>AMRAN</v>
      </c>
      <c r="G586" s="24" t="str">
        <f>IFERROR(__xludf.DUMMYFUNCTION("""COMPUTED_VALUE"""),"7402230112070001")</f>
        <v>7402230112070001</v>
      </c>
      <c r="H586" s="24"/>
      <c r="I586" s="24"/>
      <c r="J586" s="24" t="str">
        <f>IFERROR(__xludf.DUMMYFUNCTION("""COMPUTED_VALUE"""),"LAKI-LAKI")</f>
        <v>LAKI-LAKI</v>
      </c>
      <c r="K586" s="24" t="str">
        <f>IFERROR(__xludf.DUMMYFUNCTION("""COMPUTED_VALUE"""),"Kec. Routa")</f>
        <v>Kec. Routa</v>
      </c>
      <c r="L586" s="24"/>
      <c r="M586" s="24"/>
      <c r="N586" s="24" t="str">
        <f>IFERROR(__xludf.DUMMYFUNCTION("""COMPUTED_VALUE"""),"SMA / SMK / MA")</f>
        <v>SMA / SMK / MA</v>
      </c>
      <c r="O586" s="24"/>
      <c r="P586" s="24"/>
      <c r="Q586" s="24"/>
      <c r="R586" s="24" t="str">
        <f>IFERROR(__xludf.DUMMYFUNCTION("""COMPUTED_VALUE"""),"K")</f>
        <v>K</v>
      </c>
      <c r="S586" s="25"/>
    </row>
    <row r="587" ht="22.5" customHeight="1">
      <c r="A587" s="22">
        <v>586.0</v>
      </c>
      <c r="B587" s="24" t="str">
        <f>IFERROR(__xludf.DUMMYFUNCTION("""COMPUTED_VALUE"""),"Pemeliharaan Kendaraan Ringan Sistem Injeksi")</f>
        <v>Pemeliharaan Kendaraan Ringan Sistem Injeksi</v>
      </c>
      <c r="C587" s="24" t="str">
        <f>IFERROR(__xludf.DUMMYFUNCTION("""COMPUTED_VALUE"""),"SMK Negeri 2 Konawe")</f>
        <v>SMK Negeri 2 Konawe</v>
      </c>
      <c r="D587" s="24"/>
      <c r="E587" s="24"/>
      <c r="F587" s="24" t="str">
        <f>IFERROR(__xludf.DUMMYFUNCTION("""COMPUTED_VALUE"""),"APRIAWAN")</f>
        <v>APRIAWAN</v>
      </c>
      <c r="G587" s="24" t="str">
        <f>IFERROR(__xludf.DUMMYFUNCTION("""COMPUTED_VALUE"""),"7402151204090001")</f>
        <v>7402151204090001</v>
      </c>
      <c r="H587" s="24"/>
      <c r="I587" s="24"/>
      <c r="J587" s="24" t="str">
        <f>IFERROR(__xludf.DUMMYFUNCTION("""COMPUTED_VALUE"""),"LAKI-LAKI")</f>
        <v>LAKI-LAKI</v>
      </c>
      <c r="K587" s="24" t="str">
        <f>IFERROR(__xludf.DUMMYFUNCTION("""COMPUTED_VALUE"""),"Sendang Mulya Sari")</f>
        <v>Sendang Mulya Sari</v>
      </c>
      <c r="L587" s="24"/>
      <c r="M587" s="24"/>
      <c r="N587" s="24" t="str">
        <f>IFERROR(__xludf.DUMMYFUNCTION("""COMPUTED_VALUE"""),"SMA / SMK / MA")</f>
        <v>SMA / SMK / MA</v>
      </c>
      <c r="O587" s="24"/>
      <c r="P587" s="24"/>
      <c r="Q587" s="24"/>
      <c r="R587" s="24" t="str">
        <f>IFERROR(__xludf.DUMMYFUNCTION("""COMPUTED_VALUE"""),"K")</f>
        <v>K</v>
      </c>
      <c r="S587" s="25"/>
    </row>
    <row r="588" ht="22.5" customHeight="1">
      <c r="A588" s="22">
        <v>587.0</v>
      </c>
      <c r="B588" s="24" t="str">
        <f>IFERROR(__xludf.DUMMYFUNCTION("""COMPUTED_VALUE"""),"Pemeliharaan Kendaraan Ringan Sistem Injeksi")</f>
        <v>Pemeliharaan Kendaraan Ringan Sistem Injeksi</v>
      </c>
      <c r="C588" s="24" t="str">
        <f>IFERROR(__xludf.DUMMYFUNCTION("""COMPUTED_VALUE"""),"SMK Negeri 2 Konawe")</f>
        <v>SMK Negeri 2 Konawe</v>
      </c>
      <c r="D588" s="24"/>
      <c r="E588" s="24"/>
      <c r="F588" s="24" t="str">
        <f>IFERROR(__xludf.DUMMYFUNCTION("""COMPUTED_VALUE"""),"ARMAN MAULANA")</f>
        <v>ARMAN MAULANA</v>
      </c>
      <c r="G588" s="24" t="str">
        <f>IFERROR(__xludf.DUMMYFUNCTION("""COMPUTED_VALUE"""),"7402181408080001")</f>
        <v>7402181408080001</v>
      </c>
      <c r="H588" s="24"/>
      <c r="I588" s="24"/>
      <c r="J588" s="24" t="str">
        <f>IFERROR(__xludf.DUMMYFUNCTION("""COMPUTED_VALUE"""),"LAKI-LAKI")</f>
        <v>LAKI-LAKI</v>
      </c>
      <c r="K588" s="24" t="str">
        <f>IFERROR(__xludf.DUMMYFUNCTION("""COMPUTED_VALUE"""),"Puuroda Jaya")</f>
        <v>Puuroda Jaya</v>
      </c>
      <c r="L588" s="24"/>
      <c r="M588" s="24"/>
      <c r="N588" s="24" t="str">
        <f>IFERROR(__xludf.DUMMYFUNCTION("""COMPUTED_VALUE"""),"SMA / SMK / MA")</f>
        <v>SMA / SMK / MA</v>
      </c>
      <c r="O588" s="24"/>
      <c r="P588" s="24"/>
      <c r="Q588" s="24"/>
      <c r="R588" s="24" t="str">
        <f>IFERROR(__xludf.DUMMYFUNCTION("""COMPUTED_VALUE"""),"K")</f>
        <v>K</v>
      </c>
      <c r="S588" s="25"/>
    </row>
    <row r="589" ht="22.5" customHeight="1">
      <c r="A589" s="22">
        <v>588.0</v>
      </c>
      <c r="B589" s="24" t="str">
        <f>IFERROR(__xludf.DUMMYFUNCTION("""COMPUTED_VALUE"""),"Pemeliharaan Kendaraan Ringan Sistem Injeksi")</f>
        <v>Pemeliharaan Kendaraan Ringan Sistem Injeksi</v>
      </c>
      <c r="C589" s="24" t="str">
        <f>IFERROR(__xludf.DUMMYFUNCTION("""COMPUTED_VALUE"""),"SMK Negeri 2 Konawe")</f>
        <v>SMK Negeri 2 Konawe</v>
      </c>
      <c r="D589" s="24"/>
      <c r="E589" s="24"/>
      <c r="F589" s="24" t="str">
        <f>IFERROR(__xludf.DUMMYFUNCTION("""COMPUTED_VALUE"""),"ASDAR")</f>
        <v>ASDAR</v>
      </c>
      <c r="G589" s="24" t="str">
        <f>IFERROR(__xludf.DUMMYFUNCTION("""COMPUTED_VALUE"""),"7402151702070001")</f>
        <v>7402151702070001</v>
      </c>
      <c r="H589" s="24"/>
      <c r="I589" s="24"/>
      <c r="J589" s="24" t="str">
        <f>IFERROR(__xludf.DUMMYFUNCTION("""COMPUTED_VALUE"""),"LAKI-LAKI")</f>
        <v>LAKI-LAKI</v>
      </c>
      <c r="K589" s="24" t="str">
        <f>IFERROR(__xludf.DUMMYFUNCTION("""COMPUTED_VALUE"""),"Desa Ambopi")</f>
        <v>Desa Ambopi</v>
      </c>
      <c r="L589" s="24"/>
      <c r="M589" s="24"/>
      <c r="N589" s="24" t="str">
        <f>IFERROR(__xludf.DUMMYFUNCTION("""COMPUTED_VALUE"""),"SMA / SMK / MA")</f>
        <v>SMA / SMK / MA</v>
      </c>
      <c r="O589" s="24"/>
      <c r="P589" s="24"/>
      <c r="Q589" s="24"/>
      <c r="R589" s="24" t="str">
        <f>IFERROR(__xludf.DUMMYFUNCTION("""COMPUTED_VALUE"""),"K")</f>
        <v>K</v>
      </c>
      <c r="S589" s="25"/>
    </row>
    <row r="590" ht="22.5" customHeight="1">
      <c r="A590" s="22">
        <v>589.0</v>
      </c>
      <c r="B590" s="24" t="str">
        <f>IFERROR(__xludf.DUMMYFUNCTION("""COMPUTED_VALUE"""),"Pemeliharaan Kendaraan Ringan Sistem Injeksi")</f>
        <v>Pemeliharaan Kendaraan Ringan Sistem Injeksi</v>
      </c>
      <c r="C590" s="24" t="str">
        <f>IFERROR(__xludf.DUMMYFUNCTION("""COMPUTED_VALUE"""),"SMK Negeri 2 Konawe")</f>
        <v>SMK Negeri 2 Konawe</v>
      </c>
      <c r="D590" s="24"/>
      <c r="E590" s="24"/>
      <c r="F590" s="24" t="str">
        <f>IFERROR(__xludf.DUMMYFUNCTION("""COMPUTED_VALUE"""),"AWALUDDIN")</f>
        <v>AWALUDDIN</v>
      </c>
      <c r="G590" s="24" t="str">
        <f>IFERROR(__xludf.DUMMYFUNCTION("""COMPUTED_VALUE"""),"7402190608080001")</f>
        <v>7402190608080001</v>
      </c>
      <c r="H590" s="24"/>
      <c r="I590" s="24"/>
      <c r="J590" s="24" t="str">
        <f>IFERROR(__xludf.DUMMYFUNCTION("""COMPUTED_VALUE"""),"LAKI-LAKI")</f>
        <v>LAKI-LAKI</v>
      </c>
      <c r="K590" s="24" t="str">
        <f>IFERROR(__xludf.DUMMYFUNCTION("""COMPUTED_VALUE"""),"Jl. Kiwi")</f>
        <v>Jl. Kiwi</v>
      </c>
      <c r="L590" s="24"/>
      <c r="M590" s="24"/>
      <c r="N590" s="24" t="str">
        <f>IFERROR(__xludf.DUMMYFUNCTION("""COMPUTED_VALUE"""),"SMA / SMK / MA")</f>
        <v>SMA / SMK / MA</v>
      </c>
      <c r="O590" s="24"/>
      <c r="P590" s="24"/>
      <c r="Q590" s="24"/>
      <c r="R590" s="24" t="str">
        <f>IFERROR(__xludf.DUMMYFUNCTION("""COMPUTED_VALUE"""),"BK")</f>
        <v>BK</v>
      </c>
      <c r="S590" s="25"/>
    </row>
    <row r="591" ht="22.5" customHeight="1">
      <c r="A591" s="22">
        <v>590.0</v>
      </c>
      <c r="B591" s="24" t="str">
        <f>IFERROR(__xludf.DUMMYFUNCTION("""COMPUTED_VALUE"""),"Pemeliharaan Kendaraan Ringan Sistem Injeksi")</f>
        <v>Pemeliharaan Kendaraan Ringan Sistem Injeksi</v>
      </c>
      <c r="C591" s="24" t="str">
        <f>IFERROR(__xludf.DUMMYFUNCTION("""COMPUTED_VALUE"""),"SMK Negeri 2 Konawe")</f>
        <v>SMK Negeri 2 Konawe</v>
      </c>
      <c r="D591" s="24"/>
      <c r="E591" s="24"/>
      <c r="F591" s="24" t="str">
        <f>IFERROR(__xludf.DUMMYFUNCTION("""COMPUTED_VALUE"""),"DHIKA ARDINANSYAH")</f>
        <v>DHIKA ARDINANSYAH</v>
      </c>
      <c r="G591" s="24" t="str">
        <f>IFERROR(__xludf.DUMMYFUNCTION("""COMPUTED_VALUE"""),"7402251002090001")</f>
        <v>7402251002090001</v>
      </c>
      <c r="H591" s="24"/>
      <c r="I591" s="24"/>
      <c r="J591" s="24" t="str">
        <f>IFERROR(__xludf.DUMMYFUNCTION("""COMPUTED_VALUE"""),"LAKI-LAKI")</f>
        <v>LAKI-LAKI</v>
      </c>
      <c r="K591" s="24" t="str">
        <f>IFERROR(__xludf.DUMMYFUNCTION("""COMPUTED_VALUE"""),"Jl. Kamboja")</f>
        <v>Jl. Kamboja</v>
      </c>
      <c r="L591" s="24"/>
      <c r="M591" s="24"/>
      <c r="N591" s="24" t="str">
        <f>IFERROR(__xludf.DUMMYFUNCTION("""COMPUTED_VALUE"""),"SMA / SMK / MA")</f>
        <v>SMA / SMK / MA</v>
      </c>
      <c r="O591" s="24"/>
      <c r="P591" s="24"/>
      <c r="Q591" s="24"/>
      <c r="R591" s="24" t="str">
        <f>IFERROR(__xludf.DUMMYFUNCTION("""COMPUTED_VALUE"""),"K")</f>
        <v>K</v>
      </c>
      <c r="S591" s="25"/>
    </row>
    <row r="592" ht="22.5" customHeight="1">
      <c r="A592" s="22">
        <v>591.0</v>
      </c>
      <c r="B592" s="24" t="str">
        <f>IFERROR(__xludf.DUMMYFUNCTION("""COMPUTED_VALUE"""),"Pemeliharaan Kendaraan Ringan Sistem Injeksi")</f>
        <v>Pemeliharaan Kendaraan Ringan Sistem Injeksi</v>
      </c>
      <c r="C592" s="24" t="str">
        <f>IFERROR(__xludf.DUMMYFUNCTION("""COMPUTED_VALUE"""),"SMK Negeri 2 Konawe")</f>
        <v>SMK Negeri 2 Konawe</v>
      </c>
      <c r="D592" s="24"/>
      <c r="E592" s="24"/>
      <c r="F592" s="24" t="str">
        <f>IFERROR(__xludf.DUMMYFUNCTION("""COMPUTED_VALUE"""),"DIRGA MAULANA ISHAK")</f>
        <v>DIRGA MAULANA ISHAK</v>
      </c>
      <c r="G592" s="24" t="str">
        <f>IFERROR(__xludf.DUMMYFUNCTION("""COMPUTED_VALUE"""),"6405023101080003")</f>
        <v>6405023101080003</v>
      </c>
      <c r="H592" s="24"/>
      <c r="I592" s="24"/>
      <c r="J592" s="24" t="str">
        <f>IFERROR(__xludf.DUMMYFUNCTION("""COMPUTED_VALUE"""),"LAKI-LAKI")</f>
        <v>LAKI-LAKI</v>
      </c>
      <c r="K592" s="24" t="str">
        <f>IFERROR(__xludf.DUMMYFUNCTION("""COMPUTED_VALUE"""),"Desa Awua Jaya")</f>
        <v>Desa Awua Jaya</v>
      </c>
      <c r="L592" s="24"/>
      <c r="M592" s="24"/>
      <c r="N592" s="24" t="str">
        <f>IFERROR(__xludf.DUMMYFUNCTION("""COMPUTED_VALUE"""),"SMA / SMK / MA")</f>
        <v>SMA / SMK / MA</v>
      </c>
      <c r="O592" s="24"/>
      <c r="P592" s="24"/>
      <c r="Q592" s="24"/>
      <c r="R592" s="24" t="str">
        <f>IFERROR(__xludf.DUMMYFUNCTION("""COMPUTED_VALUE"""),"K")</f>
        <v>K</v>
      </c>
      <c r="S592" s="25"/>
    </row>
    <row r="593" ht="22.5" customHeight="1">
      <c r="A593" s="22">
        <v>592.0</v>
      </c>
      <c r="B593" s="24" t="str">
        <f>IFERROR(__xludf.DUMMYFUNCTION("""COMPUTED_VALUE"""),"Pemeliharaan Kendaraan Ringan Sistem Injeksi")</f>
        <v>Pemeliharaan Kendaraan Ringan Sistem Injeksi</v>
      </c>
      <c r="C593" s="24" t="str">
        <f>IFERROR(__xludf.DUMMYFUNCTION("""COMPUTED_VALUE"""),"SMK Negeri 2 Konawe")</f>
        <v>SMK Negeri 2 Konawe</v>
      </c>
      <c r="D593" s="24"/>
      <c r="E593" s="24"/>
      <c r="F593" s="24" t="str">
        <f>IFERROR(__xludf.DUMMYFUNCTION("""COMPUTED_VALUE"""),"FAHRI HARDIANSYAH")</f>
        <v>FAHRI HARDIANSYAH</v>
      </c>
      <c r="G593" s="24" t="str">
        <f>IFERROR(__xludf.DUMMYFUNCTION("""COMPUTED_VALUE"""),"7402192512070001")</f>
        <v>7402192512070001</v>
      </c>
      <c r="H593" s="24"/>
      <c r="I593" s="24"/>
      <c r="J593" s="24" t="str">
        <f>IFERROR(__xludf.DUMMYFUNCTION("""COMPUTED_VALUE"""),"LAKI-LAKI")</f>
        <v>LAKI-LAKI</v>
      </c>
      <c r="K593" s="24" t="str">
        <f>IFERROR(__xludf.DUMMYFUNCTION("""COMPUTED_VALUE"""),"Desa Wowasolo")</f>
        <v>Desa Wowasolo</v>
      </c>
      <c r="L593" s="24"/>
      <c r="M593" s="24"/>
      <c r="N593" s="24" t="str">
        <f>IFERROR(__xludf.DUMMYFUNCTION("""COMPUTED_VALUE"""),"SMA / SMK / MA")</f>
        <v>SMA / SMK / MA</v>
      </c>
      <c r="O593" s="24"/>
      <c r="P593" s="24"/>
      <c r="Q593" s="24"/>
      <c r="R593" s="24" t="str">
        <f>IFERROR(__xludf.DUMMYFUNCTION("""COMPUTED_VALUE"""),"K")</f>
        <v>K</v>
      </c>
      <c r="S593" s="25"/>
    </row>
    <row r="594" ht="22.5" customHeight="1">
      <c r="A594" s="22">
        <v>593.0</v>
      </c>
      <c r="B594" s="24" t="str">
        <f>IFERROR(__xludf.DUMMYFUNCTION("""COMPUTED_VALUE"""),"Pemeliharaan Kendaraan Ringan Sistem Injeksi")</f>
        <v>Pemeliharaan Kendaraan Ringan Sistem Injeksi</v>
      </c>
      <c r="C594" s="24" t="str">
        <f>IFERROR(__xludf.DUMMYFUNCTION("""COMPUTED_VALUE"""),"SMK Negeri 2 Konawe")</f>
        <v>SMK Negeri 2 Konawe</v>
      </c>
      <c r="D594" s="24"/>
      <c r="E594" s="24"/>
      <c r="F594" s="24" t="str">
        <f>IFERROR(__xludf.DUMMYFUNCTION("""COMPUTED_VALUE"""),"GALIH ASTO ANANDA")</f>
        <v>GALIH ASTO ANANDA</v>
      </c>
      <c r="G594" s="24" t="str">
        <f>IFERROR(__xludf.DUMMYFUNCTION("""COMPUTED_VALUE"""),"7402192008080001")</f>
        <v>7402192008080001</v>
      </c>
      <c r="H594" s="24"/>
      <c r="I594" s="24"/>
      <c r="J594" s="24" t="str">
        <f>IFERROR(__xludf.DUMMYFUNCTION("""COMPUTED_VALUE"""),"LAKI-LAKI")</f>
        <v>LAKI-LAKI</v>
      </c>
      <c r="K594" s="24" t="str">
        <f>IFERROR(__xludf.DUMMYFUNCTION("""COMPUTED_VALUE"""),"Jl. Betet, Desa Duriasi")</f>
        <v>Jl. Betet, Desa Duriasi</v>
      </c>
      <c r="L594" s="24"/>
      <c r="M594" s="24"/>
      <c r="N594" s="24" t="str">
        <f>IFERROR(__xludf.DUMMYFUNCTION("""COMPUTED_VALUE"""),"SMA / SMK / MA")</f>
        <v>SMA / SMK / MA</v>
      </c>
      <c r="O594" s="24"/>
      <c r="P594" s="24"/>
      <c r="Q594" s="24"/>
      <c r="R594" s="24" t="str">
        <f>IFERROR(__xludf.DUMMYFUNCTION("""COMPUTED_VALUE"""),"BK")</f>
        <v>BK</v>
      </c>
      <c r="S594" s="25"/>
    </row>
    <row r="595" ht="22.5" customHeight="1">
      <c r="A595" s="22">
        <v>594.0</v>
      </c>
      <c r="B595" s="24" t="str">
        <f>IFERROR(__xludf.DUMMYFUNCTION("""COMPUTED_VALUE"""),"Pemeliharaan Kendaraan Ringan Sistem Injeksi")</f>
        <v>Pemeliharaan Kendaraan Ringan Sistem Injeksi</v>
      </c>
      <c r="C595" s="24" t="str">
        <f>IFERROR(__xludf.DUMMYFUNCTION("""COMPUTED_VALUE"""),"SMK Negeri 2 Konawe")</f>
        <v>SMK Negeri 2 Konawe</v>
      </c>
      <c r="D595" s="24"/>
      <c r="E595" s="24"/>
      <c r="F595" s="24" t="str">
        <f>IFERROR(__xludf.DUMMYFUNCTION("""COMPUTED_VALUE"""),"GUSTI MADE ARTA YASA")</f>
        <v>GUSTI MADE ARTA YASA</v>
      </c>
      <c r="G595" s="24" t="str">
        <f>IFERROR(__xludf.DUMMYFUNCTION("""COMPUTED_VALUE"""),"7402151211070002")</f>
        <v>7402151211070002</v>
      </c>
      <c r="H595" s="24"/>
      <c r="I595" s="24"/>
      <c r="J595" s="24" t="str">
        <f>IFERROR(__xludf.DUMMYFUNCTION("""COMPUTED_VALUE"""),"LAKI-LAKI")</f>
        <v>LAKI-LAKI</v>
      </c>
      <c r="K595" s="24" t="str">
        <f>IFERROR(__xludf.DUMMYFUNCTION("""COMPUTED_VALUE"""),"Kel. Sendang Mulya Sari")</f>
        <v>Kel. Sendang Mulya Sari</v>
      </c>
      <c r="L595" s="24"/>
      <c r="M595" s="24"/>
      <c r="N595" s="24" t="str">
        <f>IFERROR(__xludf.DUMMYFUNCTION("""COMPUTED_VALUE"""),"SMA / SMK / MA")</f>
        <v>SMA / SMK / MA</v>
      </c>
      <c r="O595" s="24"/>
      <c r="P595" s="24"/>
      <c r="Q595" s="24"/>
      <c r="R595" s="24" t="str">
        <f>IFERROR(__xludf.DUMMYFUNCTION("""COMPUTED_VALUE"""),"K")</f>
        <v>K</v>
      </c>
      <c r="S595" s="25"/>
    </row>
    <row r="596" ht="22.5" customHeight="1">
      <c r="A596" s="22">
        <v>595.0</v>
      </c>
      <c r="B596" s="24" t="str">
        <f>IFERROR(__xludf.DUMMYFUNCTION("""COMPUTED_VALUE"""),"Pemeliharaan Kendaraan Ringan Sistem Injeksi")</f>
        <v>Pemeliharaan Kendaraan Ringan Sistem Injeksi</v>
      </c>
      <c r="C596" s="24" t="str">
        <f>IFERROR(__xludf.DUMMYFUNCTION("""COMPUTED_VALUE"""),"SMK Negeri 2 Konawe")</f>
        <v>SMK Negeri 2 Konawe</v>
      </c>
      <c r="D596" s="24"/>
      <c r="E596" s="24"/>
      <c r="F596" s="24" t="str">
        <f>IFERROR(__xludf.DUMMYFUNCTION("""COMPUTED_VALUE"""),"IKLAS SAPUTRA")</f>
        <v>IKLAS SAPUTRA</v>
      </c>
      <c r="G596" s="24" t="str">
        <f>IFERROR(__xludf.DUMMYFUNCTION("""COMPUTED_VALUE"""),"7402101612070001")</f>
        <v>7402101612070001</v>
      </c>
      <c r="H596" s="24"/>
      <c r="I596" s="24"/>
      <c r="J596" s="24" t="str">
        <f>IFERROR(__xludf.DUMMYFUNCTION("""COMPUTED_VALUE"""),"LAKI-LAKI")</f>
        <v>LAKI-LAKI</v>
      </c>
      <c r="K596" s="24" t="str">
        <f>IFERROR(__xludf.DUMMYFUNCTION("""COMPUTED_VALUE"""),"Desa Matahori, Kec. Padangguni")</f>
        <v>Desa Matahori, Kec. Padangguni</v>
      </c>
      <c r="L596" s="24"/>
      <c r="M596" s="24"/>
      <c r="N596" s="24" t="str">
        <f>IFERROR(__xludf.DUMMYFUNCTION("""COMPUTED_VALUE"""),"SMA / SMK / MA")</f>
        <v>SMA / SMK / MA</v>
      </c>
      <c r="O596" s="24"/>
      <c r="P596" s="24"/>
      <c r="Q596" s="24"/>
      <c r="R596" s="24" t="str">
        <f>IFERROR(__xludf.DUMMYFUNCTION("""COMPUTED_VALUE"""),"K")</f>
        <v>K</v>
      </c>
      <c r="S596" s="25"/>
    </row>
    <row r="597" ht="22.5" customHeight="1">
      <c r="A597" s="22">
        <v>596.0</v>
      </c>
      <c r="B597" s="24" t="str">
        <f>IFERROR(__xludf.DUMMYFUNCTION("""COMPUTED_VALUE"""),"Pemeliharaan Kendaraan Ringan Sistem Injeksi")</f>
        <v>Pemeliharaan Kendaraan Ringan Sistem Injeksi</v>
      </c>
      <c r="C597" s="24" t="str">
        <f>IFERROR(__xludf.DUMMYFUNCTION("""COMPUTED_VALUE"""),"SMK Negeri 2 Konawe")</f>
        <v>SMK Negeri 2 Konawe</v>
      </c>
      <c r="D597" s="24"/>
      <c r="E597" s="24"/>
      <c r="F597" s="24" t="str">
        <f>IFERROR(__xludf.DUMMYFUNCTION("""COMPUTED_VALUE"""),"JUAN PRAMANA PUTRA")</f>
        <v>JUAN PRAMANA PUTRA</v>
      </c>
      <c r="G597" s="24" t="str">
        <f>IFERROR(__xludf.DUMMYFUNCTION("""COMPUTED_VALUE"""),"7402020101060003")</f>
        <v>7402020101060003</v>
      </c>
      <c r="H597" s="24"/>
      <c r="I597" s="24"/>
      <c r="J597" s="24" t="str">
        <f>IFERROR(__xludf.DUMMYFUNCTION("""COMPUTED_VALUE"""),"LAKI-LAKI")</f>
        <v>LAKI-LAKI</v>
      </c>
      <c r="K597" s="24" t="str">
        <f>IFERROR(__xludf.DUMMYFUNCTION("""COMPUTED_VALUE"""),"Jl. Ade Irma Nasution")</f>
        <v>Jl. Ade Irma Nasution</v>
      </c>
      <c r="L597" s="24"/>
      <c r="M597" s="24"/>
      <c r="N597" s="24" t="str">
        <f>IFERROR(__xludf.DUMMYFUNCTION("""COMPUTED_VALUE"""),"SMA / SMK / MA")</f>
        <v>SMA / SMK / MA</v>
      </c>
      <c r="O597" s="24"/>
      <c r="P597" s="24"/>
      <c r="Q597" s="24"/>
      <c r="R597" s="24" t="str">
        <f>IFERROR(__xludf.DUMMYFUNCTION("""COMPUTED_VALUE"""),"BK")</f>
        <v>BK</v>
      </c>
      <c r="S597" s="25"/>
    </row>
    <row r="598" ht="22.5" customHeight="1">
      <c r="A598" s="22">
        <v>597.0</v>
      </c>
      <c r="B598" s="24" t="str">
        <f>IFERROR(__xludf.DUMMYFUNCTION("""COMPUTED_VALUE"""),"Pemeliharaan Kendaraan Ringan Sistem Injeksi")</f>
        <v>Pemeliharaan Kendaraan Ringan Sistem Injeksi</v>
      </c>
      <c r="C598" s="24" t="str">
        <f>IFERROR(__xludf.DUMMYFUNCTION("""COMPUTED_VALUE"""),"SMK Negeri 2 Konawe")</f>
        <v>SMK Negeri 2 Konawe</v>
      </c>
      <c r="D598" s="24"/>
      <c r="E598" s="24"/>
      <c r="F598" s="24" t="str">
        <f>IFERROR(__xludf.DUMMYFUNCTION("""COMPUTED_VALUE"""),"KEVIN FEBRIANSYAH")</f>
        <v>KEVIN FEBRIANSYAH</v>
      </c>
      <c r="G598" s="24" t="str">
        <f>IFERROR(__xludf.DUMMYFUNCTION("""COMPUTED_VALUE"""),"7402150702080001")</f>
        <v>7402150702080001</v>
      </c>
      <c r="H598" s="24"/>
      <c r="I598" s="24"/>
      <c r="J598" s="24" t="str">
        <f>IFERROR(__xludf.DUMMYFUNCTION("""COMPUTED_VALUE"""),"LAKI-LAKI")</f>
        <v>LAKI-LAKI</v>
      </c>
      <c r="K598" s="24" t="str">
        <f>IFERROR(__xludf.DUMMYFUNCTION("""COMPUTED_VALUE"""),"Sendang Mulyasari")</f>
        <v>Sendang Mulyasari</v>
      </c>
      <c r="L598" s="24"/>
      <c r="M598" s="24"/>
      <c r="N598" s="24" t="str">
        <f>IFERROR(__xludf.DUMMYFUNCTION("""COMPUTED_VALUE"""),"SMA / SMK / MA")</f>
        <v>SMA / SMK / MA</v>
      </c>
      <c r="O598" s="24"/>
      <c r="P598" s="24"/>
      <c r="Q598" s="24"/>
      <c r="R598" s="24" t="str">
        <f>IFERROR(__xludf.DUMMYFUNCTION("""COMPUTED_VALUE"""),"K")</f>
        <v>K</v>
      </c>
      <c r="S598" s="25"/>
    </row>
    <row r="599" ht="22.5" customHeight="1">
      <c r="A599" s="22">
        <v>598.0</v>
      </c>
      <c r="B599" s="24" t="str">
        <f>IFERROR(__xludf.DUMMYFUNCTION("""COMPUTED_VALUE"""),"Pemeliharaan Kendaraan Ringan Sistem Injeksi")</f>
        <v>Pemeliharaan Kendaraan Ringan Sistem Injeksi</v>
      </c>
      <c r="C599" s="24" t="str">
        <f>IFERROR(__xludf.DUMMYFUNCTION("""COMPUTED_VALUE"""),"SMK Negeri 2 Konawe")</f>
        <v>SMK Negeri 2 Konawe</v>
      </c>
      <c r="D599" s="24"/>
      <c r="E599" s="24"/>
      <c r="F599" s="24" t="str">
        <f>IFERROR(__xludf.DUMMYFUNCTION("""COMPUTED_VALUE"""),"MOHAMAT YUSUF JULIANTO")</f>
        <v>MOHAMAT YUSUF JULIANTO</v>
      </c>
      <c r="G599" s="24" t="str">
        <f>IFERROR(__xludf.DUMMYFUNCTION("""COMPUTED_VALUE"""),"7402020407070003")</f>
        <v>7402020407070003</v>
      </c>
      <c r="H599" s="24"/>
      <c r="I599" s="24"/>
      <c r="J599" s="24" t="str">
        <f>IFERROR(__xludf.DUMMYFUNCTION("""COMPUTED_VALUE"""),"LAKI-LAKI")</f>
        <v>LAKI-LAKI</v>
      </c>
      <c r="K599" s="24" t="str">
        <f>IFERROR(__xludf.DUMMYFUNCTION("""COMPUTED_VALUE"""),"Jln. Ronga, No. 30")</f>
        <v>Jln. Ronga, No. 30</v>
      </c>
      <c r="L599" s="24"/>
      <c r="M599" s="24"/>
      <c r="N599" s="24" t="str">
        <f>IFERROR(__xludf.DUMMYFUNCTION("""COMPUTED_VALUE"""),"SMA / SMK / MA")</f>
        <v>SMA / SMK / MA</v>
      </c>
      <c r="O599" s="24"/>
      <c r="P599" s="24"/>
      <c r="Q599" s="24"/>
      <c r="R599" s="24" t="str">
        <f>IFERROR(__xludf.DUMMYFUNCTION("""COMPUTED_VALUE"""),"K")</f>
        <v>K</v>
      </c>
      <c r="S599" s="25"/>
    </row>
    <row r="600" ht="22.5" customHeight="1">
      <c r="A600" s="22">
        <v>599.0</v>
      </c>
      <c r="B600" s="24" t="str">
        <f>IFERROR(__xludf.DUMMYFUNCTION("""COMPUTED_VALUE"""),"Pemeliharaan Kendaraan Ringan Sistem Injeksi")</f>
        <v>Pemeliharaan Kendaraan Ringan Sistem Injeksi</v>
      </c>
      <c r="C600" s="24" t="str">
        <f>IFERROR(__xludf.DUMMYFUNCTION("""COMPUTED_VALUE"""),"SMK Negeri 2 Konawe")</f>
        <v>SMK Negeri 2 Konawe</v>
      </c>
      <c r="D600" s="24"/>
      <c r="E600" s="24"/>
      <c r="F600" s="24" t="str">
        <f>IFERROR(__xludf.DUMMYFUNCTION("""COMPUTED_VALUE"""),"MUH. RASYA ARIANTO")</f>
        <v>MUH. RASYA ARIANTO</v>
      </c>
      <c r="G600" s="24" t="str">
        <f>IFERROR(__xludf.DUMMYFUNCTION("""COMPUTED_VALUE"""),"7402181603070002")</f>
        <v>7402181603070002</v>
      </c>
      <c r="H600" s="24"/>
      <c r="I600" s="24"/>
      <c r="J600" s="24" t="str">
        <f>IFERROR(__xludf.DUMMYFUNCTION("""COMPUTED_VALUE"""),"LAKI-LAKI")</f>
        <v>LAKI-LAKI</v>
      </c>
      <c r="K600" s="24" t="str">
        <f>IFERROR(__xludf.DUMMYFUNCTION("""COMPUTED_VALUE"""),"Jalan Delima, Lorong Balai Desa Langgomea")</f>
        <v>Jalan Delima, Lorong Balai Desa Langgomea</v>
      </c>
      <c r="L600" s="24"/>
      <c r="M600" s="24"/>
      <c r="N600" s="24" t="str">
        <f>IFERROR(__xludf.DUMMYFUNCTION("""COMPUTED_VALUE"""),"SMA / SMK / MA")</f>
        <v>SMA / SMK / MA</v>
      </c>
      <c r="O600" s="24"/>
      <c r="P600" s="24"/>
      <c r="Q600" s="24"/>
      <c r="R600" s="24" t="str">
        <f>IFERROR(__xludf.DUMMYFUNCTION("""COMPUTED_VALUE"""),"K")</f>
        <v>K</v>
      </c>
      <c r="S600" s="25"/>
    </row>
    <row r="601" ht="22.5" customHeight="1">
      <c r="A601" s="22">
        <v>600.0</v>
      </c>
      <c r="B601" s="24" t="str">
        <f>IFERROR(__xludf.DUMMYFUNCTION("""COMPUTED_VALUE"""),"Pemeliharaan Kendaraan Ringan Sistem Injeksi")</f>
        <v>Pemeliharaan Kendaraan Ringan Sistem Injeksi</v>
      </c>
      <c r="C601" s="24" t="str">
        <f>IFERROR(__xludf.DUMMYFUNCTION("""COMPUTED_VALUE"""),"SMK Negeri 2 Konawe")</f>
        <v>SMK Negeri 2 Konawe</v>
      </c>
      <c r="D601" s="24"/>
      <c r="E601" s="24"/>
      <c r="F601" s="24" t="str">
        <f>IFERROR(__xludf.DUMMYFUNCTION("""COMPUTED_VALUE"""),"MUHAMMAD FIKRI")</f>
        <v>MUHAMMAD FIKRI</v>
      </c>
      <c r="G601" s="24" t="str">
        <f>IFERROR(__xludf.DUMMYFUNCTION("""COMPUTED_VALUE"""),"7408060105080001")</f>
        <v>7408060105080001</v>
      </c>
      <c r="H601" s="24"/>
      <c r="I601" s="24"/>
      <c r="J601" s="24" t="str">
        <f>IFERROR(__xludf.DUMMYFUNCTION("""COMPUTED_VALUE"""),"LAKI-LAKI")</f>
        <v>LAKI-LAKI</v>
      </c>
      <c r="K601" s="24" t="str">
        <f>IFERROR(__xludf.DUMMYFUNCTION("""COMPUTED_VALUE"""),"Desa Puurau")</f>
        <v>Desa Puurau</v>
      </c>
      <c r="L601" s="24"/>
      <c r="M601" s="24"/>
      <c r="N601" s="24" t="str">
        <f>IFERROR(__xludf.DUMMYFUNCTION("""COMPUTED_VALUE"""),"SMA / SMK / MA")</f>
        <v>SMA / SMK / MA</v>
      </c>
      <c r="O601" s="24"/>
      <c r="P601" s="24"/>
      <c r="Q601" s="24"/>
      <c r="R601" s="24" t="str">
        <f>IFERROR(__xludf.DUMMYFUNCTION("""COMPUTED_VALUE"""),"K")</f>
        <v>K</v>
      </c>
      <c r="S601" s="25"/>
    </row>
    <row r="602" ht="22.5" customHeight="1">
      <c r="A602" s="22">
        <v>601.0</v>
      </c>
      <c r="B602" s="24" t="str">
        <f>IFERROR(__xludf.DUMMYFUNCTION("""COMPUTED_VALUE"""),"Pemeliharaan Kendaraan Ringan Sistem Injeksi")</f>
        <v>Pemeliharaan Kendaraan Ringan Sistem Injeksi</v>
      </c>
      <c r="C602" s="24" t="str">
        <f>IFERROR(__xludf.DUMMYFUNCTION("""COMPUTED_VALUE"""),"SMK Negeri 2 Konawe")</f>
        <v>SMK Negeri 2 Konawe</v>
      </c>
      <c r="D602" s="24"/>
      <c r="E602" s="24"/>
      <c r="F602" s="24" t="str">
        <f>IFERROR(__xludf.DUMMYFUNCTION("""COMPUTED_VALUE"""),"MUHAMMAD WAHID RIFAI")</f>
        <v>MUHAMMAD WAHID RIFAI</v>
      </c>
      <c r="G602" s="24" t="str">
        <f>IFERROR(__xludf.DUMMYFUNCTION("""COMPUTED_VALUE"""),"7402152402080002")</f>
        <v>7402152402080002</v>
      </c>
      <c r="H602" s="24"/>
      <c r="I602" s="24"/>
      <c r="J602" s="24" t="str">
        <f>IFERROR(__xludf.DUMMYFUNCTION("""COMPUTED_VALUE"""),"LAKI-LAKI")</f>
        <v>LAKI-LAKI</v>
      </c>
      <c r="K602" s="24" t="str">
        <f>IFERROR(__xludf.DUMMYFUNCTION("""COMPUTED_VALUE"""),"Ambepulu")</f>
        <v>Ambepulu</v>
      </c>
      <c r="L602" s="24"/>
      <c r="M602" s="24"/>
      <c r="N602" s="24" t="str">
        <f>IFERROR(__xludf.DUMMYFUNCTION("""COMPUTED_VALUE"""),"SMA / SMK / MA")</f>
        <v>SMA / SMK / MA</v>
      </c>
      <c r="O602" s="24"/>
      <c r="P602" s="24"/>
      <c r="Q602" s="24"/>
      <c r="R602" s="24" t="str">
        <f>IFERROR(__xludf.DUMMYFUNCTION("""COMPUTED_VALUE"""),"K")</f>
        <v>K</v>
      </c>
      <c r="S602" s="25"/>
    </row>
    <row r="603" ht="22.5" customHeight="1">
      <c r="A603" s="22">
        <v>602.0</v>
      </c>
      <c r="B603" s="24" t="str">
        <f>IFERROR(__xludf.DUMMYFUNCTION("""COMPUTED_VALUE"""),"Pemeliharaan Kendaraan Ringan Sistem Injeksi")</f>
        <v>Pemeliharaan Kendaraan Ringan Sistem Injeksi</v>
      </c>
      <c r="C603" s="24" t="str">
        <f>IFERROR(__xludf.DUMMYFUNCTION("""COMPUTED_VALUE"""),"SMK Negeri 2 Konawe")</f>
        <v>SMK Negeri 2 Konawe</v>
      </c>
      <c r="D603" s="24"/>
      <c r="E603" s="24"/>
      <c r="F603" s="24" t="str">
        <f>IFERROR(__xludf.DUMMYFUNCTION("""COMPUTED_VALUE"""),"NASAR")</f>
        <v>NASAR</v>
      </c>
      <c r="G603" s="24" t="str">
        <f>IFERROR(__xludf.DUMMYFUNCTION("""COMPUTED_VALUE"""),"7402323112060002")</f>
        <v>7402323112060002</v>
      </c>
      <c r="H603" s="24"/>
      <c r="I603" s="24"/>
      <c r="J603" s="24" t="str">
        <f>IFERROR(__xludf.DUMMYFUNCTION("""COMPUTED_VALUE"""),"LAKI-LAKI")</f>
        <v>LAKI-LAKI</v>
      </c>
      <c r="K603" s="24" t="str">
        <f>IFERROR(__xludf.DUMMYFUNCTION("""COMPUTED_VALUE"""),"Kel. Konawe. kab, Konawe")</f>
        <v>Kel. Konawe. kab, Konawe</v>
      </c>
      <c r="L603" s="24"/>
      <c r="M603" s="24"/>
      <c r="N603" s="24" t="str">
        <f>IFERROR(__xludf.DUMMYFUNCTION("""COMPUTED_VALUE"""),"SMA / SMK / MA")</f>
        <v>SMA / SMK / MA</v>
      </c>
      <c r="O603" s="24"/>
      <c r="P603" s="24"/>
      <c r="Q603" s="24"/>
      <c r="R603" s="24" t="str">
        <f>IFERROR(__xludf.DUMMYFUNCTION("""COMPUTED_VALUE"""),"BK")</f>
        <v>BK</v>
      </c>
      <c r="S603" s="25"/>
    </row>
    <row r="604" ht="22.5" customHeight="1">
      <c r="A604" s="22">
        <v>603.0</v>
      </c>
      <c r="B604" s="24" t="str">
        <f>IFERROR(__xludf.DUMMYFUNCTION("""COMPUTED_VALUE"""),"Pemeliharaan Kendaraan Ringan Sistem Injeksi")</f>
        <v>Pemeliharaan Kendaraan Ringan Sistem Injeksi</v>
      </c>
      <c r="C604" s="24" t="str">
        <f>IFERROR(__xludf.DUMMYFUNCTION("""COMPUTED_VALUE"""),"SMK Negeri 2 Konawe")</f>
        <v>SMK Negeri 2 Konawe</v>
      </c>
      <c r="D604" s="24"/>
      <c r="E604" s="24"/>
      <c r="F604" s="24" t="str">
        <f>IFERROR(__xludf.DUMMYFUNCTION("""COMPUTED_VALUE"""),"PENDI ALMAHI")</f>
        <v>PENDI ALMAHI</v>
      </c>
      <c r="G604" s="24" t="str">
        <f>IFERROR(__xludf.DUMMYFUNCTION("""COMPUTED_VALUE"""),"7402150107080002")</f>
        <v>7402150107080002</v>
      </c>
      <c r="H604" s="24"/>
      <c r="I604" s="24"/>
      <c r="J604" s="24" t="str">
        <f>IFERROR(__xludf.DUMMYFUNCTION("""COMPUTED_VALUE"""),"LAKI-LAKI")</f>
        <v>LAKI-LAKI</v>
      </c>
      <c r="K604" s="24" t="str">
        <f>IFERROR(__xludf.DUMMYFUNCTION("""COMPUTED_VALUE"""),"Ambepulu")</f>
        <v>Ambepulu</v>
      </c>
      <c r="L604" s="24"/>
      <c r="M604" s="24"/>
      <c r="N604" s="24" t="str">
        <f>IFERROR(__xludf.DUMMYFUNCTION("""COMPUTED_VALUE"""),"SMA / SMK / MA")</f>
        <v>SMA / SMK / MA</v>
      </c>
      <c r="O604" s="24"/>
      <c r="P604" s="24"/>
      <c r="Q604" s="24"/>
      <c r="R604" s="24" t="str">
        <f>IFERROR(__xludf.DUMMYFUNCTION("""COMPUTED_VALUE"""),"K")</f>
        <v>K</v>
      </c>
      <c r="S604" s="25"/>
    </row>
    <row r="605" ht="22.5" customHeight="1">
      <c r="A605" s="22">
        <v>604.0</v>
      </c>
      <c r="B605" s="24" t="str">
        <f>IFERROR(__xludf.DUMMYFUNCTION("""COMPUTED_VALUE"""),"Pemeliharaan Kendaraan Ringan Sistem Injeksi")</f>
        <v>Pemeliharaan Kendaraan Ringan Sistem Injeksi</v>
      </c>
      <c r="C605" s="24" t="str">
        <f>IFERROR(__xludf.DUMMYFUNCTION("""COMPUTED_VALUE"""),"SMK Negeri 2 Konawe")</f>
        <v>SMK Negeri 2 Konawe</v>
      </c>
      <c r="D605" s="24"/>
      <c r="E605" s="24"/>
      <c r="F605" s="24" t="str">
        <f>IFERROR(__xludf.DUMMYFUNCTION("""COMPUTED_VALUE"""),"RAHMAD DANI")</f>
        <v>RAHMAD DANI</v>
      </c>
      <c r="G605" s="24" t="str">
        <f>IFERROR(__xludf.DUMMYFUNCTION("""COMPUTED_VALUE"""),"7402152509080002")</f>
        <v>7402152509080002</v>
      </c>
      <c r="H605" s="24"/>
      <c r="I605" s="24"/>
      <c r="J605" s="24" t="str">
        <f>IFERROR(__xludf.DUMMYFUNCTION("""COMPUTED_VALUE"""),"LAKI-LAKI")</f>
        <v>LAKI-LAKI</v>
      </c>
      <c r="K605" s="24" t="str">
        <f>IFERROR(__xludf.DUMMYFUNCTION("""COMPUTED_VALUE"""),"Andeposandu")</f>
        <v>Andeposandu</v>
      </c>
      <c r="L605" s="24"/>
      <c r="M605" s="24"/>
      <c r="N605" s="24" t="str">
        <f>IFERROR(__xludf.DUMMYFUNCTION("""COMPUTED_VALUE"""),"SMA / SMK / MA")</f>
        <v>SMA / SMK / MA</v>
      </c>
      <c r="O605" s="24"/>
      <c r="P605" s="24"/>
      <c r="Q605" s="24"/>
      <c r="R605" s="24" t="str">
        <f>IFERROR(__xludf.DUMMYFUNCTION("""COMPUTED_VALUE"""),"K")</f>
        <v>K</v>
      </c>
      <c r="S605" s="25"/>
    </row>
    <row r="606" ht="22.5" customHeight="1">
      <c r="A606" s="22">
        <v>605.0</v>
      </c>
      <c r="B606" s="24" t="str">
        <f>IFERROR(__xludf.DUMMYFUNCTION("""COMPUTED_VALUE"""),"Pemeliharaan Kendaraan Ringan Sistem Injeksi")</f>
        <v>Pemeliharaan Kendaraan Ringan Sistem Injeksi</v>
      </c>
      <c r="C606" s="24" t="str">
        <f>IFERROR(__xludf.DUMMYFUNCTION("""COMPUTED_VALUE"""),"SMK Negeri 2 Konawe")</f>
        <v>SMK Negeri 2 Konawe</v>
      </c>
      <c r="D606" s="24"/>
      <c r="E606" s="24"/>
      <c r="F606" s="24" t="str">
        <f>IFERROR(__xludf.DUMMYFUNCTION("""COMPUTED_VALUE"""),"RAMA SEPTIAWAN")</f>
        <v>RAMA SEPTIAWAN</v>
      </c>
      <c r="G606" s="24" t="str">
        <f>IFERROR(__xludf.DUMMYFUNCTION("""COMPUTED_VALUE"""),"7402152409070001")</f>
        <v>7402152409070001</v>
      </c>
      <c r="H606" s="24"/>
      <c r="I606" s="24"/>
      <c r="J606" s="24" t="str">
        <f>IFERROR(__xludf.DUMMYFUNCTION("""COMPUTED_VALUE"""),"LAKI-LAKI")</f>
        <v>LAKI-LAKI</v>
      </c>
      <c r="K606" s="24" t="str">
        <f>IFERROR(__xludf.DUMMYFUNCTION("""COMPUTED_VALUE"""),"Sendang Mulya Sari")</f>
        <v>Sendang Mulya Sari</v>
      </c>
      <c r="L606" s="24"/>
      <c r="M606" s="24"/>
      <c r="N606" s="24" t="str">
        <f>IFERROR(__xludf.DUMMYFUNCTION("""COMPUTED_VALUE"""),"SMA / SMK / MA")</f>
        <v>SMA / SMK / MA</v>
      </c>
      <c r="O606" s="24"/>
      <c r="P606" s="24"/>
      <c r="Q606" s="24"/>
      <c r="R606" s="24" t="str">
        <f>IFERROR(__xludf.DUMMYFUNCTION("""COMPUTED_VALUE"""),"K")</f>
        <v>K</v>
      </c>
      <c r="S606" s="25"/>
    </row>
    <row r="607" ht="22.5" customHeight="1">
      <c r="A607" s="22">
        <v>606.0</v>
      </c>
      <c r="B607" s="24" t="str">
        <f>IFERROR(__xludf.DUMMYFUNCTION("""COMPUTED_VALUE"""),"Pemeliharaan Kendaraan Ringan Sistem Injeksi")</f>
        <v>Pemeliharaan Kendaraan Ringan Sistem Injeksi</v>
      </c>
      <c r="C607" s="24" t="str">
        <f>IFERROR(__xludf.DUMMYFUNCTION("""COMPUTED_VALUE"""),"SMK Negeri 2 Konawe")</f>
        <v>SMK Negeri 2 Konawe</v>
      </c>
      <c r="D607" s="24"/>
      <c r="E607" s="24"/>
      <c r="F607" s="24" t="str">
        <f>IFERROR(__xludf.DUMMYFUNCTION("""COMPUTED_VALUE"""),"REZA PUTRA MELAMBA")</f>
        <v>REZA PUTRA MELAMBA</v>
      </c>
      <c r="G607" s="24" t="str">
        <f>IFERROR(__xludf.DUMMYFUNCTION("""COMPUTED_VALUE"""),"7402320207080004")</f>
        <v>7402320207080004</v>
      </c>
      <c r="H607" s="24"/>
      <c r="I607" s="24"/>
      <c r="J607" s="24" t="str">
        <f>IFERROR(__xludf.DUMMYFUNCTION("""COMPUTED_VALUE"""),"LAKI-LAKI")</f>
        <v>LAKI-LAKI</v>
      </c>
      <c r="K607" s="24" t="str">
        <f>IFERROR(__xludf.DUMMYFUNCTION("""COMPUTED_VALUE"""),"Kel. Konawe, Kec. Konawe, Kab. Konawe")</f>
        <v>Kel. Konawe, Kec. Konawe, Kab. Konawe</v>
      </c>
      <c r="L607" s="24"/>
      <c r="M607" s="24"/>
      <c r="N607" s="24" t="str">
        <f>IFERROR(__xludf.DUMMYFUNCTION("""COMPUTED_VALUE"""),"SMA / SMK / MA")</f>
        <v>SMA / SMK / MA</v>
      </c>
      <c r="O607" s="24"/>
      <c r="P607" s="24"/>
      <c r="Q607" s="24"/>
      <c r="R607" s="24" t="str">
        <f>IFERROR(__xludf.DUMMYFUNCTION("""COMPUTED_VALUE"""),"K")</f>
        <v>K</v>
      </c>
      <c r="S607" s="25"/>
    </row>
    <row r="608" ht="22.5" customHeight="1">
      <c r="A608" s="22">
        <v>607.0</v>
      </c>
      <c r="B608" s="24" t="str">
        <f>IFERROR(__xludf.DUMMYFUNCTION("""COMPUTED_VALUE"""),"Pemeliharaan Kendaraan Ringan Sistem Injeksi")</f>
        <v>Pemeliharaan Kendaraan Ringan Sistem Injeksi</v>
      </c>
      <c r="C608" s="24" t="str">
        <f>IFERROR(__xludf.DUMMYFUNCTION("""COMPUTED_VALUE"""),"SMK Negeri 2 Konawe")</f>
        <v>SMK Negeri 2 Konawe</v>
      </c>
      <c r="D608" s="24"/>
      <c r="E608" s="24"/>
      <c r="F608" s="24" t="str">
        <f>IFERROR(__xludf.DUMMYFUNCTION("""COMPUTED_VALUE"""),"REZKY ADITYA")</f>
        <v>REZKY ADITYA</v>
      </c>
      <c r="G608" s="24" t="str">
        <f>IFERROR(__xludf.DUMMYFUNCTION("""COMPUTED_VALUE"""),"7402021503080002")</f>
        <v>7402021503080002</v>
      </c>
      <c r="H608" s="24"/>
      <c r="I608" s="24"/>
      <c r="J608" s="24" t="str">
        <f>IFERROR(__xludf.DUMMYFUNCTION("""COMPUTED_VALUE"""),"LAKI-LAKI")</f>
        <v>LAKI-LAKI</v>
      </c>
      <c r="K608" s="24" t="str">
        <f>IFERROR(__xludf.DUMMYFUNCTION("""COMPUTED_VALUE"""),"Kel. Puunaaha, Kec. Unaaha")</f>
        <v>Kel. Puunaaha, Kec. Unaaha</v>
      </c>
      <c r="L608" s="24"/>
      <c r="M608" s="24"/>
      <c r="N608" s="24" t="str">
        <f>IFERROR(__xludf.DUMMYFUNCTION("""COMPUTED_VALUE"""),"SMA / SMK / MA")</f>
        <v>SMA / SMK / MA</v>
      </c>
      <c r="O608" s="24"/>
      <c r="P608" s="24"/>
      <c r="Q608" s="24"/>
      <c r="R608" s="24" t="str">
        <f>IFERROR(__xludf.DUMMYFUNCTION("""COMPUTED_VALUE"""),"K")</f>
        <v>K</v>
      </c>
      <c r="S608" s="25"/>
    </row>
    <row r="609" ht="22.5" customHeight="1">
      <c r="A609" s="22">
        <v>608.0</v>
      </c>
      <c r="B609" s="24" t="str">
        <f>IFERROR(__xludf.DUMMYFUNCTION("""COMPUTED_VALUE"""),"Pemeliharaan Kendaraan Ringan Sistem Injeksi")</f>
        <v>Pemeliharaan Kendaraan Ringan Sistem Injeksi</v>
      </c>
      <c r="C609" s="24" t="str">
        <f>IFERROR(__xludf.DUMMYFUNCTION("""COMPUTED_VALUE"""),"SMK Negeri 2 Konawe")</f>
        <v>SMK Negeri 2 Konawe</v>
      </c>
      <c r="D609" s="24"/>
      <c r="E609" s="24"/>
      <c r="F609" s="24" t="str">
        <f>IFERROR(__xludf.DUMMYFUNCTION("""COMPUTED_VALUE"""),"RISKY PEBRIANSYAH")</f>
        <v>RISKY PEBRIANSYAH</v>
      </c>
      <c r="G609" s="24" t="str">
        <f>IFERROR(__xludf.DUMMYFUNCTION("""COMPUTED_VALUE"""),"7402240302080001")</f>
        <v>7402240302080001</v>
      </c>
      <c r="H609" s="24"/>
      <c r="I609" s="24"/>
      <c r="J609" s="24" t="str">
        <f>IFERROR(__xludf.DUMMYFUNCTION("""COMPUTED_VALUE"""),"LAKI-LAKI")</f>
        <v>LAKI-LAKI</v>
      </c>
      <c r="K609" s="24" t="str">
        <f>IFERROR(__xludf.DUMMYFUNCTION("""COMPUTED_VALUE"""),"Kelurahan Parauna")</f>
        <v>Kelurahan Parauna</v>
      </c>
      <c r="L609" s="24"/>
      <c r="M609" s="24"/>
      <c r="N609" s="24" t="str">
        <f>IFERROR(__xludf.DUMMYFUNCTION("""COMPUTED_VALUE"""),"SMA / SMK / MA")</f>
        <v>SMA / SMK / MA</v>
      </c>
      <c r="O609" s="24"/>
      <c r="P609" s="24"/>
      <c r="Q609" s="24"/>
      <c r="R609" s="24" t="str">
        <f>IFERROR(__xludf.DUMMYFUNCTION("""COMPUTED_VALUE"""),"K")</f>
        <v>K</v>
      </c>
      <c r="S609" s="25"/>
    </row>
    <row r="610" ht="22.5" customHeight="1">
      <c r="A610" s="22">
        <v>609.0</v>
      </c>
      <c r="B610" s="24" t="str">
        <f>IFERROR(__xludf.DUMMYFUNCTION("""COMPUTED_VALUE"""),"Pemeliharaan Kendaraan Ringan Sistem Injeksi")</f>
        <v>Pemeliharaan Kendaraan Ringan Sistem Injeksi</v>
      </c>
      <c r="C610" s="24" t="str">
        <f>IFERROR(__xludf.DUMMYFUNCTION("""COMPUTED_VALUE"""),"SMK Negeri 2 Konawe")</f>
        <v>SMK Negeri 2 Konawe</v>
      </c>
      <c r="D610" s="24"/>
      <c r="E610" s="24"/>
      <c r="F610" s="24" t="str">
        <f>IFERROR(__xludf.DUMMYFUNCTION("""COMPUTED_VALUE"""),"SULFAN AL FANDI")</f>
        <v>SULFAN AL FANDI</v>
      </c>
      <c r="G610" s="24" t="str">
        <f>IFERROR(__xludf.DUMMYFUNCTION("""COMPUTED_VALUE"""),"7402311907080001")</f>
        <v>7402311907080001</v>
      </c>
      <c r="H610" s="24"/>
      <c r="I610" s="24"/>
      <c r="J610" s="24" t="str">
        <f>IFERROR(__xludf.DUMMYFUNCTION("""COMPUTED_VALUE"""),"LAKI-LAKI")</f>
        <v>LAKI-LAKI</v>
      </c>
      <c r="K610" s="24" t="str">
        <f>IFERROR(__xludf.DUMMYFUNCTION("""COMPUTED_VALUE"""),"Desa Nekuku")</f>
        <v>Desa Nekuku</v>
      </c>
      <c r="L610" s="24"/>
      <c r="M610" s="24"/>
      <c r="N610" s="24" t="str">
        <f>IFERROR(__xludf.DUMMYFUNCTION("""COMPUTED_VALUE"""),"SMA / SMK / MA")</f>
        <v>SMA / SMK / MA</v>
      </c>
      <c r="O610" s="24"/>
      <c r="P610" s="24"/>
      <c r="Q610" s="24"/>
      <c r="R610" s="24" t="str">
        <f>IFERROR(__xludf.DUMMYFUNCTION("""COMPUTED_VALUE"""),"K")</f>
        <v>K</v>
      </c>
      <c r="S610" s="25"/>
    </row>
    <row r="611" ht="22.5" customHeight="1">
      <c r="A611" s="22">
        <v>610.0</v>
      </c>
      <c r="B611" s="24" t="str">
        <f>IFERROR(__xludf.DUMMYFUNCTION("""COMPUTED_VALUE"""),"Pemeliharaan Kendaraan Ringan Sistem Injeksi")</f>
        <v>Pemeliharaan Kendaraan Ringan Sistem Injeksi</v>
      </c>
      <c r="C611" s="24" t="str">
        <f>IFERROR(__xludf.DUMMYFUNCTION("""COMPUTED_VALUE"""),"SMK Negeri 2 Konawe")</f>
        <v>SMK Negeri 2 Konawe</v>
      </c>
      <c r="D611" s="24"/>
      <c r="E611" s="24"/>
      <c r="F611" s="24" t="str">
        <f>IFERROR(__xludf.DUMMYFUNCTION("""COMPUTED_VALUE"""),"ADRIAN SAHPUTRA")</f>
        <v>ADRIAN SAHPUTRA</v>
      </c>
      <c r="G611" s="24" t="str">
        <f>IFERROR(__xludf.DUMMYFUNCTION("""COMPUTED_VALUE"""),"7402020606860003")</f>
        <v>7402020606860003</v>
      </c>
      <c r="H611" s="24"/>
      <c r="I611" s="24"/>
      <c r="J611" s="24" t="str">
        <f>IFERROR(__xludf.DUMMYFUNCTION("""COMPUTED_VALUE"""),"LAKI-LAKI")</f>
        <v>LAKI-LAKI</v>
      </c>
      <c r="K611" s="24" t="str">
        <f>IFERROR(__xludf.DUMMYFUNCTION("""COMPUTED_VALUE"""),"Jln. Ir. Sukarno, Kel. Tumpas, Kec. Unaaha. Konawe")</f>
        <v>Jln. Ir. Sukarno, Kel. Tumpas, Kec. Unaaha. Konawe</v>
      </c>
      <c r="L611" s="24"/>
      <c r="M611" s="24"/>
      <c r="N611" s="24" t="str">
        <f>IFERROR(__xludf.DUMMYFUNCTION("""COMPUTED_VALUE"""),"SMA / SMK / MA")</f>
        <v>SMA / SMK / MA</v>
      </c>
      <c r="O611" s="24"/>
      <c r="P611" s="24"/>
      <c r="Q611" s="24"/>
      <c r="R611" s="24" t="str">
        <f>IFERROR(__xludf.DUMMYFUNCTION("""COMPUTED_VALUE"""),"K")</f>
        <v>K</v>
      </c>
      <c r="S611" s="25"/>
    </row>
    <row r="612" ht="22.5" customHeight="1">
      <c r="A612" s="22">
        <v>611.0</v>
      </c>
      <c r="B612" s="24" t="str">
        <f>IFERROR(__xludf.DUMMYFUNCTION("""COMPUTED_VALUE"""),"Pemeliharaan Kendaraan Ringan Sistem Injeksi")</f>
        <v>Pemeliharaan Kendaraan Ringan Sistem Injeksi</v>
      </c>
      <c r="C612" s="24" t="str">
        <f>IFERROR(__xludf.DUMMYFUNCTION("""COMPUTED_VALUE"""),"SMK Negeri 2 Konawe")</f>
        <v>SMK Negeri 2 Konawe</v>
      </c>
      <c r="D612" s="24"/>
      <c r="E612" s="24"/>
      <c r="F612" s="24" t="str">
        <f>IFERROR(__xludf.DUMMYFUNCTION("""COMPUTED_VALUE"""),"GUSTI HIMAWAN KADIYANTO")</f>
        <v>GUSTI HIMAWAN KADIYANTO</v>
      </c>
      <c r="G612" s="24" t="str">
        <f>IFERROR(__xludf.DUMMYFUNCTION("""COMPUTED_VALUE"""),"7172022608000001")</f>
        <v>7172022608000001</v>
      </c>
      <c r="H612" s="24"/>
      <c r="I612" s="24"/>
      <c r="J612" s="24" t="str">
        <f>IFERROR(__xludf.DUMMYFUNCTION("""COMPUTED_VALUE"""),"LAKI-LAKI")</f>
        <v>LAKI-LAKI</v>
      </c>
      <c r="K612" s="24" t="str">
        <f>IFERROR(__xludf.DUMMYFUNCTION("""COMPUTED_VALUE"""),"Jln. Konggoasa")</f>
        <v>Jln. Konggoasa</v>
      </c>
      <c r="L612" s="24"/>
      <c r="M612" s="24"/>
      <c r="N612" s="24" t="str">
        <f>IFERROR(__xludf.DUMMYFUNCTION("""COMPUTED_VALUE"""),"SMA / SMK / MA")</f>
        <v>SMA / SMK / MA</v>
      </c>
      <c r="O612" s="24"/>
      <c r="P612" s="24"/>
      <c r="Q612" s="24"/>
      <c r="R612" s="24" t="str">
        <f>IFERROR(__xludf.DUMMYFUNCTION("""COMPUTED_VALUE"""),"K")</f>
        <v>K</v>
      </c>
      <c r="S612" s="25"/>
    </row>
    <row r="613" ht="22.5" customHeight="1">
      <c r="A613" s="22">
        <v>612.0</v>
      </c>
      <c r="B613" s="24" t="str">
        <f>IFERROR(__xludf.DUMMYFUNCTION("""COMPUTED_VALUE"""),"Pemeliharaan Kendaraan Ringan Sistem Injeksi")</f>
        <v>Pemeliharaan Kendaraan Ringan Sistem Injeksi</v>
      </c>
      <c r="C613" s="24" t="str">
        <f>IFERROR(__xludf.DUMMYFUNCTION("""COMPUTED_VALUE"""),"SMK Negeri 2 Konawe")</f>
        <v>SMK Negeri 2 Konawe</v>
      </c>
      <c r="D613" s="24"/>
      <c r="E613" s="24"/>
      <c r="F613" s="24" t="str">
        <f>IFERROR(__xludf.DUMMYFUNCTION("""COMPUTED_VALUE"""),"ARHAM AMIRUDDIN")</f>
        <v>ARHAM AMIRUDDIN</v>
      </c>
      <c r="G613" s="24" t="str">
        <f>IFERROR(__xludf.DUMMYFUNCTION("""COMPUTED_VALUE"""),"7371122808830002")</f>
        <v>7371122808830002</v>
      </c>
      <c r="H613" s="24"/>
      <c r="I613" s="24"/>
      <c r="J613" s="24" t="str">
        <f>IFERROR(__xludf.DUMMYFUNCTION("""COMPUTED_VALUE"""),"LAKI-LAKI")</f>
        <v>LAKI-LAKI</v>
      </c>
      <c r="K613" s="24" t="str">
        <f>IFERROR(__xludf.DUMMYFUNCTION("""COMPUTED_VALUE"""),"Ambekaini")</f>
        <v>Ambekaini</v>
      </c>
      <c r="L613" s="24"/>
      <c r="M613" s="24"/>
      <c r="N613" s="24" t="str">
        <f>IFERROR(__xludf.DUMMYFUNCTION("""COMPUTED_VALUE"""),"SMA / SMK / MA")</f>
        <v>SMA / SMK / MA</v>
      </c>
      <c r="O613" s="24"/>
      <c r="P613" s="24"/>
      <c r="Q613" s="24"/>
      <c r="R613" s="24" t="str">
        <f>IFERROR(__xludf.DUMMYFUNCTION("""COMPUTED_VALUE"""),"K")</f>
        <v>K</v>
      </c>
      <c r="S613" s="25"/>
    </row>
    <row r="614" ht="22.5" customHeight="1">
      <c r="A614" s="22">
        <v>613.0</v>
      </c>
      <c r="B614" s="24" t="str">
        <f>IFERROR(__xludf.DUMMYFUNCTION("""COMPUTED_VALUE"""),"Pemeliharaan Kendaraan Ringan Sistem Injeksi")</f>
        <v>Pemeliharaan Kendaraan Ringan Sistem Injeksi</v>
      </c>
      <c r="C614" s="24" t="str">
        <f>IFERROR(__xludf.DUMMYFUNCTION("""COMPUTED_VALUE"""),"SMK Negeri 2 Konawe")</f>
        <v>SMK Negeri 2 Konawe</v>
      </c>
      <c r="D614" s="24"/>
      <c r="E614" s="24"/>
      <c r="F614" s="24" t="str">
        <f>IFERROR(__xludf.DUMMYFUNCTION("""COMPUTED_VALUE"""),"HISWAN PAGALA")</f>
        <v>HISWAN PAGALA</v>
      </c>
      <c r="G614" s="24" t="str">
        <f>IFERROR(__xludf.DUMMYFUNCTION("""COMPUTED_VALUE"""),"7402150708920003")</f>
        <v>7402150708920003</v>
      </c>
      <c r="H614" s="24"/>
      <c r="I614" s="24"/>
      <c r="J614" s="24" t="str">
        <f>IFERROR(__xludf.DUMMYFUNCTION("""COMPUTED_VALUE"""),"LAKI-LAKI")</f>
        <v>LAKI-LAKI</v>
      </c>
      <c r="K614" s="24" t="str">
        <f>IFERROR(__xludf.DUMMYFUNCTION("""COMPUTED_VALUE"""),"Desa puundombi, Kec. Tongauna Utara")</f>
        <v>Desa puundombi, Kec. Tongauna Utara</v>
      </c>
      <c r="L614" s="24"/>
      <c r="M614" s="24"/>
      <c r="N614" s="24" t="str">
        <f>IFERROR(__xludf.DUMMYFUNCTION("""COMPUTED_VALUE"""),"SMA / SMK / MA")</f>
        <v>SMA / SMK / MA</v>
      </c>
      <c r="O614" s="24"/>
      <c r="P614" s="24"/>
      <c r="Q614" s="24"/>
      <c r="R614" s="24" t="str">
        <f>IFERROR(__xludf.DUMMYFUNCTION("""COMPUTED_VALUE"""),"K")</f>
        <v>K</v>
      </c>
      <c r="S614" s="25"/>
    </row>
    <row r="615" ht="22.5" customHeight="1">
      <c r="A615" s="22">
        <v>614.0</v>
      </c>
      <c r="B615" s="24" t="str">
        <f>IFERROR(__xludf.DUMMYFUNCTION("""COMPUTED_VALUE"""),"Pemeliharaan Kendaraan Ringan Sistem Injeksi")</f>
        <v>Pemeliharaan Kendaraan Ringan Sistem Injeksi</v>
      </c>
      <c r="C615" s="24" t="str">
        <f>IFERROR(__xludf.DUMMYFUNCTION("""COMPUTED_VALUE"""),"SMK Negeri 2 Konawe")</f>
        <v>SMK Negeri 2 Konawe</v>
      </c>
      <c r="D615" s="24"/>
      <c r="E615" s="24"/>
      <c r="F615" s="24" t="str">
        <f>IFERROR(__xludf.DUMMYFUNCTION("""COMPUTED_VALUE"""),"ANDI ASRUL UMAR")</f>
        <v>ANDI ASRUL UMAR</v>
      </c>
      <c r="G615" s="24" t="str">
        <f>IFERROR(__xludf.DUMMYFUNCTION("""COMPUTED_VALUE"""),"7402020710790002")</f>
        <v>7402020710790002</v>
      </c>
      <c r="H615" s="24"/>
      <c r="I615" s="24"/>
      <c r="J615" s="24" t="str">
        <f>IFERROR(__xludf.DUMMYFUNCTION("""COMPUTED_VALUE"""),"LAKI-LAKI")</f>
        <v>LAKI-LAKI</v>
      </c>
      <c r="K615" s="24"/>
      <c r="L615" s="24"/>
      <c r="M615" s="24"/>
      <c r="N615" s="24" t="str">
        <f>IFERROR(__xludf.DUMMYFUNCTION("""COMPUTED_VALUE"""),"SMA / SMK / MA")</f>
        <v>SMA / SMK / MA</v>
      </c>
      <c r="O615" s="24"/>
      <c r="P615" s="24"/>
      <c r="Q615" s="24"/>
      <c r="R615" s="24" t="str">
        <f>IFERROR(__xludf.DUMMYFUNCTION("""COMPUTED_VALUE"""),"K")</f>
        <v>K</v>
      </c>
      <c r="S615" s="25"/>
    </row>
    <row r="616" ht="22.5" customHeight="1">
      <c r="A616" s="22">
        <v>615.0</v>
      </c>
      <c r="B616" s="24" t="str">
        <f>IFERROR(__xludf.DUMMYFUNCTION("""COMPUTED_VALUE"""),"Merakit Komponen Fabrikasi")</f>
        <v>Merakit Komponen Fabrikasi</v>
      </c>
      <c r="C616" s="24" t="str">
        <f>IFERROR(__xludf.DUMMYFUNCTION("""COMPUTED_VALUE"""),"SMKS Kelautan dan Perikanan Raha")</f>
        <v>SMKS Kelautan dan Perikanan Raha</v>
      </c>
      <c r="D616" s="24"/>
      <c r="E616" s="24"/>
      <c r="F616" s="24" t="str">
        <f>IFERROR(__xludf.DUMMYFUNCTION("""COMPUTED_VALUE"""),"ABD. HAKIM")</f>
        <v>ABD. HAKIM</v>
      </c>
      <c r="G616" s="24" t="str">
        <f>IFERROR(__xludf.DUMMYFUNCTION("""COMPUTED_VALUE"""),"7471030402780001")</f>
        <v>7471030402780001</v>
      </c>
      <c r="H616" s="24"/>
      <c r="I616" s="24"/>
      <c r="J616" s="24" t="str">
        <f>IFERROR(__xludf.DUMMYFUNCTION("""COMPUTED_VALUE"""),"LAKI-LAKI")</f>
        <v>LAKI-LAKI</v>
      </c>
      <c r="K616" s="24"/>
      <c r="L616" s="24"/>
      <c r="M616" s="24"/>
      <c r="N616" s="24" t="str">
        <f>IFERROR(__xludf.DUMMYFUNCTION("""COMPUTED_VALUE"""),"SMA / SMK / MA")</f>
        <v>SMA / SMK / MA</v>
      </c>
      <c r="O616" s="24"/>
      <c r="P616" s="24"/>
      <c r="Q616" s="24"/>
      <c r="R616" s="24" t="str">
        <f>IFERROR(__xludf.DUMMYFUNCTION("""COMPUTED_VALUE"""),"BK")</f>
        <v>BK</v>
      </c>
      <c r="S616" s="25"/>
    </row>
    <row r="617" ht="22.5" customHeight="1">
      <c r="A617" s="22">
        <v>616.0</v>
      </c>
      <c r="B617" s="24" t="str">
        <f>IFERROR(__xludf.DUMMYFUNCTION("""COMPUTED_VALUE"""),"Merakit Komponen Fabrikasi")</f>
        <v>Merakit Komponen Fabrikasi</v>
      </c>
      <c r="C617" s="24" t="str">
        <f>IFERROR(__xludf.DUMMYFUNCTION("""COMPUTED_VALUE"""),"SMKS Kelautan dan Perikanan Raha")</f>
        <v>SMKS Kelautan dan Perikanan Raha</v>
      </c>
      <c r="D617" s="24"/>
      <c r="E617" s="24"/>
      <c r="F617" s="24" t="str">
        <f>IFERROR(__xludf.DUMMYFUNCTION("""COMPUTED_VALUE"""),"ALANG SAPUTRA")</f>
        <v>ALANG SAPUTRA</v>
      </c>
      <c r="G617" s="24" t="str">
        <f>IFERROR(__xludf.DUMMYFUNCTION("""COMPUTED_VALUE"""),"7403150107060213")</f>
        <v>7403150107060213</v>
      </c>
      <c r="H617" s="24"/>
      <c r="I617" s="24"/>
      <c r="J617" s="24" t="str">
        <f>IFERROR(__xludf.DUMMYFUNCTION("""COMPUTED_VALUE"""),"LAKI-LAKI")</f>
        <v>LAKI-LAKI</v>
      </c>
      <c r="K617" s="24" t="str">
        <f>IFERROR(__xludf.DUMMYFUNCTION("""COMPUTED_VALUE"""),"Lapodidi, Kec. Kontunaga, Kab. Muna, Prov. Sultra")</f>
        <v>Lapodidi, Kec. Kontunaga, Kab. Muna, Prov. Sultra</v>
      </c>
      <c r="L617" s="24"/>
      <c r="M617" s="24"/>
      <c r="N617" s="24" t="str">
        <f>IFERROR(__xludf.DUMMYFUNCTION("""COMPUTED_VALUE"""),"SMA / SMK / MA")</f>
        <v>SMA / SMK / MA</v>
      </c>
      <c r="O617" s="24"/>
      <c r="P617" s="24"/>
      <c r="Q617" s="24"/>
      <c r="R617" s="24" t="str">
        <f>IFERROR(__xludf.DUMMYFUNCTION("""COMPUTED_VALUE"""),"K")</f>
        <v>K</v>
      </c>
      <c r="S617" s="25"/>
    </row>
    <row r="618" ht="22.5" customHeight="1">
      <c r="A618" s="22">
        <v>617.0</v>
      </c>
      <c r="B618" s="24" t="str">
        <f>IFERROR(__xludf.DUMMYFUNCTION("""COMPUTED_VALUE"""),"Merakit Komponen Fabrikasi")</f>
        <v>Merakit Komponen Fabrikasi</v>
      </c>
      <c r="C618" s="24" t="str">
        <f>IFERROR(__xludf.DUMMYFUNCTION("""COMPUTED_VALUE"""),"SMKS Kelautan dan Perikanan Raha")</f>
        <v>SMKS Kelautan dan Perikanan Raha</v>
      </c>
      <c r="D618" s="24"/>
      <c r="E618" s="24"/>
      <c r="F618" s="24" t="str">
        <f>IFERROR(__xludf.DUMMYFUNCTION("""COMPUTED_VALUE"""),"AMSAR")</f>
        <v>AMSAR</v>
      </c>
      <c r="G618" s="24" t="str">
        <f>IFERROR(__xludf.DUMMYFUNCTION("""COMPUTED_VALUE"""),"7403331311760001")</f>
        <v>7403331311760001</v>
      </c>
      <c r="H618" s="24"/>
      <c r="I618" s="24"/>
      <c r="J618" s="24" t="str">
        <f>IFERROR(__xludf.DUMMYFUNCTION("""COMPUTED_VALUE"""),"LAKI-LAKI")</f>
        <v>LAKI-LAKI</v>
      </c>
      <c r="K618" s="24" t="str">
        <f>IFERROR(__xludf.DUMMYFUNCTION("""COMPUTED_VALUE"""),"Kel. Wali")</f>
        <v>Kel. Wali</v>
      </c>
      <c r="L618" s="24"/>
      <c r="M618" s="24"/>
      <c r="N618" s="24" t="str">
        <f>IFERROR(__xludf.DUMMYFUNCTION("""COMPUTED_VALUE"""),"SMA / SMK / MA")</f>
        <v>SMA / SMK / MA</v>
      </c>
      <c r="O618" s="24"/>
      <c r="P618" s="24"/>
      <c r="Q618" s="24"/>
      <c r="R618" s="24" t="str">
        <f>IFERROR(__xludf.DUMMYFUNCTION("""COMPUTED_VALUE"""),"K")</f>
        <v>K</v>
      </c>
      <c r="S618" s="25"/>
    </row>
    <row r="619" ht="22.5" customHeight="1">
      <c r="A619" s="22">
        <v>618.0</v>
      </c>
      <c r="B619" s="24" t="str">
        <f>IFERROR(__xludf.DUMMYFUNCTION("""COMPUTED_VALUE"""),"Merakit Komponen Fabrikasi")</f>
        <v>Merakit Komponen Fabrikasi</v>
      </c>
      <c r="C619" s="24" t="str">
        <f>IFERROR(__xludf.DUMMYFUNCTION("""COMPUTED_VALUE"""),"SMKS Kelautan dan Perikanan Raha")</f>
        <v>SMKS Kelautan dan Perikanan Raha</v>
      </c>
      <c r="D619" s="24"/>
      <c r="E619" s="24"/>
      <c r="F619" s="24" t="str">
        <f>IFERROR(__xludf.DUMMYFUNCTION("""COMPUTED_VALUE"""),"ANDIKA")</f>
        <v>ANDIKA</v>
      </c>
      <c r="G619" s="24" t="str">
        <f>IFERROR(__xludf.DUMMYFUNCTION("""COMPUTED_VALUE"""),"7403192104080003")</f>
        <v>7403192104080003</v>
      </c>
      <c r="H619" s="24"/>
      <c r="I619" s="24"/>
      <c r="J619" s="24" t="str">
        <f>IFERROR(__xludf.DUMMYFUNCTION("""COMPUTED_VALUE"""),"LAKI-LAKI")</f>
        <v>LAKI-LAKI</v>
      </c>
      <c r="K619" s="24" t="str">
        <f>IFERROR(__xludf.DUMMYFUNCTION("""COMPUTED_VALUE"""),"Kelurahan Dana")</f>
        <v>Kelurahan Dana</v>
      </c>
      <c r="L619" s="24"/>
      <c r="M619" s="24"/>
      <c r="N619" s="24" t="str">
        <f>IFERROR(__xludf.DUMMYFUNCTION("""COMPUTED_VALUE"""),"SMA / SMK / MA")</f>
        <v>SMA / SMK / MA</v>
      </c>
      <c r="O619" s="24"/>
      <c r="P619" s="24"/>
      <c r="Q619" s="24"/>
      <c r="R619" s="24" t="str">
        <f>IFERROR(__xludf.DUMMYFUNCTION("""COMPUTED_VALUE"""),"BK")</f>
        <v>BK</v>
      </c>
      <c r="S619" s="25"/>
    </row>
    <row r="620" ht="22.5" customHeight="1">
      <c r="A620" s="22">
        <v>619.0</v>
      </c>
      <c r="B620" s="24" t="str">
        <f>IFERROR(__xludf.DUMMYFUNCTION("""COMPUTED_VALUE"""),"Merakit Komponen Fabrikasi")</f>
        <v>Merakit Komponen Fabrikasi</v>
      </c>
      <c r="C620" s="24" t="str">
        <f>IFERROR(__xludf.DUMMYFUNCTION("""COMPUTED_VALUE"""),"SMKS Kelautan dan Perikanan Raha")</f>
        <v>SMKS Kelautan dan Perikanan Raha</v>
      </c>
      <c r="D620" s="24"/>
      <c r="E620" s="24"/>
      <c r="F620" s="24" t="str">
        <f>IFERROR(__xludf.DUMMYFUNCTION("""COMPUTED_VALUE"""),"ANDRIAN FORESTER")</f>
        <v>ANDRIAN FORESTER</v>
      </c>
      <c r="G620" s="24" t="str">
        <f>IFERROR(__xludf.DUMMYFUNCTION("""COMPUTED_VALUE"""),"7403176509070201")</f>
        <v>7403176509070201</v>
      </c>
      <c r="H620" s="24"/>
      <c r="I620" s="24"/>
      <c r="J620" s="24" t="str">
        <f>IFERROR(__xludf.DUMMYFUNCTION("""COMPUTED_VALUE"""),"PEREMPUAN")</f>
        <v>PEREMPUAN</v>
      </c>
      <c r="K620" s="24" t="str">
        <f>IFERROR(__xludf.DUMMYFUNCTION("""COMPUTED_VALUE"""),"Desa Lindo")</f>
        <v>Desa Lindo</v>
      </c>
      <c r="L620" s="24"/>
      <c r="M620" s="24"/>
      <c r="N620" s="24" t="str">
        <f>IFERROR(__xludf.DUMMYFUNCTION("""COMPUTED_VALUE"""),"SMA / SMK / MA")</f>
        <v>SMA / SMK / MA</v>
      </c>
      <c r="O620" s="24"/>
      <c r="P620" s="24"/>
      <c r="Q620" s="24"/>
      <c r="R620" s="24" t="str">
        <f>IFERROR(__xludf.DUMMYFUNCTION("""COMPUTED_VALUE"""),"BK")</f>
        <v>BK</v>
      </c>
      <c r="S620" s="25"/>
    </row>
    <row r="621" ht="22.5" customHeight="1">
      <c r="A621" s="22">
        <v>620.0</v>
      </c>
      <c r="B621" s="24" t="str">
        <f>IFERROR(__xludf.DUMMYFUNCTION("""COMPUTED_VALUE"""),"Merakit Komponen Fabrikasi")</f>
        <v>Merakit Komponen Fabrikasi</v>
      </c>
      <c r="C621" s="24" t="str">
        <f>IFERROR(__xludf.DUMMYFUNCTION("""COMPUTED_VALUE"""),"SMKS Kelautan dan Perikanan Raha")</f>
        <v>SMKS Kelautan dan Perikanan Raha</v>
      </c>
      <c r="D621" s="24"/>
      <c r="E621" s="24"/>
      <c r="F621" s="24" t="str">
        <f>IFERROR(__xludf.DUMMYFUNCTION("""COMPUTED_VALUE"""),"ARFAN")</f>
        <v>ARFAN</v>
      </c>
      <c r="G621" s="24" t="str">
        <f>IFERROR(__xludf.DUMMYFUNCTION("""COMPUTED_VALUE"""),"7403202207940001")</f>
        <v>7403202207940001</v>
      </c>
      <c r="H621" s="24"/>
      <c r="I621" s="24"/>
      <c r="J621" s="24" t="str">
        <f>IFERROR(__xludf.DUMMYFUNCTION("""COMPUTED_VALUE"""),"LAKI-LAKI")</f>
        <v>LAKI-LAKI</v>
      </c>
      <c r="K621" s="24" t="str">
        <f>IFERROR(__xludf.DUMMYFUNCTION("""COMPUTED_VALUE"""),"Desa Lapodidi")</f>
        <v>Desa Lapodidi</v>
      </c>
      <c r="L621" s="24"/>
      <c r="M621" s="24"/>
      <c r="N621" s="24" t="str">
        <f>IFERROR(__xludf.DUMMYFUNCTION("""COMPUTED_VALUE"""),"SMA / SMK / MA")</f>
        <v>SMA / SMK / MA</v>
      </c>
      <c r="O621" s="24"/>
      <c r="P621" s="24"/>
      <c r="Q621" s="24"/>
      <c r="R621" s="24" t="str">
        <f>IFERROR(__xludf.DUMMYFUNCTION("""COMPUTED_VALUE"""),"BK")</f>
        <v>BK</v>
      </c>
      <c r="S621" s="25"/>
    </row>
    <row r="622" ht="22.5" customHeight="1">
      <c r="A622" s="22">
        <v>621.0</v>
      </c>
      <c r="B622" s="24" t="str">
        <f>IFERROR(__xludf.DUMMYFUNCTION("""COMPUTED_VALUE"""),"Merakit Komponen Fabrikasi")</f>
        <v>Merakit Komponen Fabrikasi</v>
      </c>
      <c r="C622" s="24" t="str">
        <f>IFERROR(__xludf.DUMMYFUNCTION("""COMPUTED_VALUE"""),"SMKS Kelautan dan Perikanan Raha")</f>
        <v>SMKS Kelautan dan Perikanan Raha</v>
      </c>
      <c r="D622" s="24"/>
      <c r="E622" s="24"/>
      <c r="F622" s="24" t="str">
        <f>IFERROR(__xludf.DUMMYFUNCTION("""COMPUTED_VALUE"""),"ARIF PRAMUDIA")</f>
        <v>ARIF PRAMUDIA</v>
      </c>
      <c r="G622" s="24" t="str">
        <f>IFERROR(__xludf.DUMMYFUNCTION("""COMPUTED_VALUE"""),"7403091907080001")</f>
        <v>7403091907080001</v>
      </c>
      <c r="H622" s="24"/>
      <c r="I622" s="24"/>
      <c r="J622" s="24" t="str">
        <f>IFERROR(__xludf.DUMMYFUNCTION("""COMPUTED_VALUE"""),"LAKI-LAKI")</f>
        <v>LAKI-LAKI</v>
      </c>
      <c r="K622" s="24" t="str">
        <f>IFERROR(__xludf.DUMMYFUNCTION("""COMPUTED_VALUE"""),"Lasalepa")</f>
        <v>Lasalepa</v>
      </c>
      <c r="L622" s="24"/>
      <c r="M622" s="24"/>
      <c r="N622" s="24" t="str">
        <f>IFERROR(__xludf.DUMMYFUNCTION("""COMPUTED_VALUE"""),"SMA / SMK / MA")</f>
        <v>SMA / SMK / MA</v>
      </c>
      <c r="O622" s="24"/>
      <c r="P622" s="24"/>
      <c r="Q622" s="24"/>
      <c r="R622" s="24" t="str">
        <f>IFERROR(__xludf.DUMMYFUNCTION("""COMPUTED_VALUE"""),"BK")</f>
        <v>BK</v>
      </c>
      <c r="S622" s="25"/>
    </row>
    <row r="623" ht="22.5" customHeight="1">
      <c r="A623" s="22">
        <v>622.0</v>
      </c>
      <c r="B623" s="24" t="str">
        <f>IFERROR(__xludf.DUMMYFUNCTION("""COMPUTED_VALUE"""),"Merakit Komponen Fabrikasi")</f>
        <v>Merakit Komponen Fabrikasi</v>
      </c>
      <c r="C623" s="24" t="str">
        <f>IFERROR(__xludf.DUMMYFUNCTION("""COMPUTED_VALUE"""),"SMKS Kelautan dan Perikanan Raha")</f>
        <v>SMKS Kelautan dan Perikanan Raha</v>
      </c>
      <c r="D623" s="24"/>
      <c r="E623" s="24"/>
      <c r="F623" s="24" t="str">
        <f>IFERROR(__xludf.DUMMYFUNCTION("""COMPUTED_VALUE"""),"DEDY RIDWAN")</f>
        <v>DEDY RIDWAN</v>
      </c>
      <c r="G623" s="24" t="str">
        <f>IFERROR(__xludf.DUMMYFUNCTION("""COMPUTED_VALUE"""),"7403102810880201")</f>
        <v>7403102810880201</v>
      </c>
      <c r="H623" s="24"/>
      <c r="I623" s="24"/>
      <c r="J623" s="24" t="str">
        <f>IFERROR(__xludf.DUMMYFUNCTION("""COMPUTED_VALUE"""),"LAKI-LAKI")</f>
        <v>LAKI-LAKI</v>
      </c>
      <c r="K623" s="24"/>
      <c r="L623" s="24"/>
      <c r="M623" s="24"/>
      <c r="N623" s="24" t="str">
        <f>IFERROR(__xludf.DUMMYFUNCTION("""COMPUTED_VALUE"""),"SMA / SMK / MA")</f>
        <v>SMA / SMK / MA</v>
      </c>
      <c r="O623" s="24"/>
      <c r="P623" s="24"/>
      <c r="Q623" s="24"/>
      <c r="R623" s="24" t="str">
        <f>IFERROR(__xludf.DUMMYFUNCTION("""COMPUTED_VALUE"""),"BK")</f>
        <v>BK</v>
      </c>
      <c r="S623" s="25"/>
    </row>
    <row r="624" ht="22.5" customHeight="1">
      <c r="A624" s="22">
        <v>623.0</v>
      </c>
      <c r="B624" s="24" t="str">
        <f>IFERROR(__xludf.DUMMYFUNCTION("""COMPUTED_VALUE"""),"Merakit Komponen Fabrikasi")</f>
        <v>Merakit Komponen Fabrikasi</v>
      </c>
      <c r="C624" s="24" t="str">
        <f>IFERROR(__xludf.DUMMYFUNCTION("""COMPUTED_VALUE"""),"SMKS Kelautan dan Perikanan Raha")</f>
        <v>SMKS Kelautan dan Perikanan Raha</v>
      </c>
      <c r="D624" s="24"/>
      <c r="E624" s="24"/>
      <c r="F624" s="24" t="str">
        <f>IFERROR(__xludf.DUMMYFUNCTION("""COMPUTED_VALUE"""),"DERMAN")</f>
        <v>DERMAN</v>
      </c>
      <c r="G624" s="24" t="str">
        <f>IFERROR(__xludf.DUMMYFUNCTION("""COMPUTED_VALUE"""),"7403150909790001")</f>
        <v>7403150909790001</v>
      </c>
      <c r="H624" s="24"/>
      <c r="I624" s="24"/>
      <c r="J624" s="24" t="str">
        <f>IFERROR(__xludf.DUMMYFUNCTION("""COMPUTED_VALUE"""),"LAKI-LAKI")</f>
        <v>LAKI-LAKI</v>
      </c>
      <c r="K624" s="24"/>
      <c r="L624" s="24"/>
      <c r="M624" s="24"/>
      <c r="N624" s="24" t="str">
        <f>IFERROR(__xludf.DUMMYFUNCTION("""COMPUTED_VALUE"""),"SMA / SMK / MA")</f>
        <v>SMA / SMK / MA</v>
      </c>
      <c r="O624" s="24"/>
      <c r="P624" s="24"/>
      <c r="Q624" s="24"/>
      <c r="R624" s="24" t="str">
        <f>IFERROR(__xludf.DUMMYFUNCTION("""COMPUTED_VALUE"""),"BK")</f>
        <v>BK</v>
      </c>
      <c r="S624" s="25"/>
    </row>
    <row r="625" ht="22.5" customHeight="1">
      <c r="A625" s="22">
        <v>624.0</v>
      </c>
      <c r="B625" s="24" t="str">
        <f>IFERROR(__xludf.DUMMYFUNCTION("""COMPUTED_VALUE"""),"Merakit Komponen Fabrikasi")</f>
        <v>Merakit Komponen Fabrikasi</v>
      </c>
      <c r="C625" s="24" t="str">
        <f>IFERROR(__xludf.DUMMYFUNCTION("""COMPUTED_VALUE"""),"SMKS Kelautan dan Perikanan Raha")</f>
        <v>SMKS Kelautan dan Perikanan Raha</v>
      </c>
      <c r="D625" s="24"/>
      <c r="E625" s="24"/>
      <c r="F625" s="24" t="str">
        <f>IFERROR(__xludf.DUMMYFUNCTION("""COMPUTED_VALUE"""),"FARUN")</f>
        <v>FARUN</v>
      </c>
      <c r="G625" s="24" t="str">
        <f>IFERROR(__xludf.DUMMYFUNCTION("""COMPUTED_VALUE"""),"7403150610080002")</f>
        <v>7403150610080002</v>
      </c>
      <c r="H625" s="24"/>
      <c r="I625" s="24"/>
      <c r="J625" s="24" t="str">
        <f>IFERROR(__xludf.DUMMYFUNCTION("""COMPUTED_VALUE"""),"LAKI-LAKI")</f>
        <v>LAKI-LAKI</v>
      </c>
      <c r="K625" s="24" t="str">
        <f>IFERROR(__xludf.DUMMYFUNCTION("""COMPUTED_VALUE"""),"Jl. Made Sabara")</f>
        <v>Jl. Made Sabara</v>
      </c>
      <c r="L625" s="24"/>
      <c r="M625" s="24"/>
      <c r="N625" s="24" t="str">
        <f>IFERROR(__xludf.DUMMYFUNCTION("""COMPUTED_VALUE"""),"SMA / SMK / MA")</f>
        <v>SMA / SMK / MA</v>
      </c>
      <c r="O625" s="24"/>
      <c r="P625" s="24"/>
      <c r="Q625" s="24"/>
      <c r="R625" s="24" t="str">
        <f>IFERROR(__xludf.DUMMYFUNCTION("""COMPUTED_VALUE"""),"K")</f>
        <v>K</v>
      </c>
      <c r="S625" s="25"/>
    </row>
    <row r="626" ht="22.5" customHeight="1">
      <c r="A626" s="22">
        <v>625.0</v>
      </c>
      <c r="B626" s="24" t="str">
        <f>IFERROR(__xludf.DUMMYFUNCTION("""COMPUTED_VALUE"""),"Merakit Komponen Fabrikasi")</f>
        <v>Merakit Komponen Fabrikasi</v>
      </c>
      <c r="C626" s="24" t="str">
        <f>IFERROR(__xludf.DUMMYFUNCTION("""COMPUTED_VALUE"""),"SMKS Kelautan dan Perikanan Raha")</f>
        <v>SMKS Kelautan dan Perikanan Raha</v>
      </c>
      <c r="D626" s="24"/>
      <c r="E626" s="24"/>
      <c r="F626" s="24" t="str">
        <f>IFERROR(__xludf.DUMMYFUNCTION("""COMPUTED_VALUE"""),"HASAN")</f>
        <v>HASAN</v>
      </c>
      <c r="G626" s="24" t="str">
        <f>IFERROR(__xludf.DUMMYFUNCTION("""COMPUTED_VALUE"""),"7403090107050256")</f>
        <v>7403090107050256</v>
      </c>
      <c r="H626" s="24"/>
      <c r="I626" s="24"/>
      <c r="J626" s="24" t="str">
        <f>IFERROR(__xludf.DUMMYFUNCTION("""COMPUTED_VALUE"""),"LAKI-LAKI")</f>
        <v>LAKI-LAKI</v>
      </c>
      <c r="K626" s="24" t="str">
        <f>IFERROR(__xludf.DUMMYFUNCTION("""COMPUTED_VALUE"""),"Desa Bangun Sari")</f>
        <v>Desa Bangun Sari</v>
      </c>
      <c r="L626" s="24"/>
      <c r="M626" s="24"/>
      <c r="N626" s="24" t="str">
        <f>IFERROR(__xludf.DUMMYFUNCTION("""COMPUTED_VALUE"""),"SMA / SMK / MA")</f>
        <v>SMA / SMK / MA</v>
      </c>
      <c r="O626" s="24"/>
      <c r="P626" s="24"/>
      <c r="Q626" s="24"/>
      <c r="R626" s="24" t="str">
        <f>IFERROR(__xludf.DUMMYFUNCTION("""COMPUTED_VALUE"""),"BK")</f>
        <v>BK</v>
      </c>
      <c r="S626" s="25"/>
    </row>
    <row r="627" ht="22.5" customHeight="1">
      <c r="A627" s="22">
        <v>626.0</v>
      </c>
      <c r="B627" s="24" t="str">
        <f>IFERROR(__xludf.DUMMYFUNCTION("""COMPUTED_VALUE"""),"Merakit Komponen Fabrikasi")</f>
        <v>Merakit Komponen Fabrikasi</v>
      </c>
      <c r="C627" s="24" t="str">
        <f>IFERROR(__xludf.DUMMYFUNCTION("""COMPUTED_VALUE"""),"SMKS Kelautan dan Perikanan Raha")</f>
        <v>SMKS Kelautan dan Perikanan Raha</v>
      </c>
      <c r="D627" s="24"/>
      <c r="E627" s="24"/>
      <c r="F627" s="24" t="str">
        <f>IFERROR(__xludf.DUMMYFUNCTION("""COMPUTED_VALUE"""),"ADE IRMAN")</f>
        <v>ADE IRMAN</v>
      </c>
      <c r="G627" s="24" t="str">
        <f>IFERROR(__xludf.DUMMYFUNCTION("""COMPUTED_VALUE"""),"7403142907940201")</f>
        <v>7403142907940201</v>
      </c>
      <c r="H627" s="24"/>
      <c r="I627" s="24"/>
      <c r="J627" s="24" t="str">
        <f>IFERROR(__xludf.DUMMYFUNCTION("""COMPUTED_VALUE"""),"LAKI-LAKI")</f>
        <v>LAKI-LAKI</v>
      </c>
      <c r="K627" s="24" t="str">
        <f>IFERROR(__xludf.DUMMYFUNCTION("""COMPUTED_VALUE"""),"Lakapodo")</f>
        <v>Lakapodo</v>
      </c>
      <c r="L627" s="24"/>
      <c r="M627" s="24"/>
      <c r="N627" s="24" t="str">
        <f>IFERROR(__xludf.DUMMYFUNCTION("""COMPUTED_VALUE"""),"SMA / SMK / MA")</f>
        <v>SMA / SMK / MA</v>
      </c>
      <c r="O627" s="24"/>
      <c r="P627" s="24"/>
      <c r="Q627" s="24"/>
      <c r="R627" s="24" t="str">
        <f>IFERROR(__xludf.DUMMYFUNCTION("""COMPUTED_VALUE"""),"BK")</f>
        <v>BK</v>
      </c>
      <c r="S627" s="25"/>
    </row>
    <row r="628" ht="22.5" customHeight="1">
      <c r="A628" s="22">
        <v>627.0</v>
      </c>
      <c r="B628" s="24" t="str">
        <f>IFERROR(__xludf.DUMMYFUNCTION("""COMPUTED_VALUE"""),"Merakit Komponen Fabrikasi")</f>
        <v>Merakit Komponen Fabrikasi</v>
      </c>
      <c r="C628" s="24" t="str">
        <f>IFERROR(__xludf.DUMMYFUNCTION("""COMPUTED_VALUE"""),"SMKS Kelautan dan Perikanan Raha")</f>
        <v>SMKS Kelautan dan Perikanan Raha</v>
      </c>
      <c r="D628" s="24"/>
      <c r="E628" s="24"/>
      <c r="F628" s="24" t="str">
        <f>IFERROR(__xludf.DUMMYFUNCTION("""COMPUTED_VALUE"""),"IQWAL SUWANDA")</f>
        <v>IQWAL SUWANDA</v>
      </c>
      <c r="G628" s="24" t="str">
        <f>IFERROR(__xludf.DUMMYFUNCTION("""COMPUTED_VALUE"""),"7403142701070001")</f>
        <v>7403142701070001</v>
      </c>
      <c r="H628" s="24"/>
      <c r="I628" s="24"/>
      <c r="J628" s="24" t="str">
        <f>IFERROR(__xludf.DUMMYFUNCTION("""COMPUTED_VALUE"""),"LAKI-LAKI")</f>
        <v>LAKI-LAKI</v>
      </c>
      <c r="K628" s="24" t="str">
        <f>IFERROR(__xludf.DUMMYFUNCTION("""COMPUTED_VALUE"""),"Desa Bangun Sari")</f>
        <v>Desa Bangun Sari</v>
      </c>
      <c r="L628" s="24"/>
      <c r="M628" s="24"/>
      <c r="N628" s="24" t="str">
        <f>IFERROR(__xludf.DUMMYFUNCTION("""COMPUTED_VALUE"""),"SMA / SMK / MA")</f>
        <v>SMA / SMK / MA</v>
      </c>
      <c r="O628" s="24"/>
      <c r="P628" s="24"/>
      <c r="Q628" s="24"/>
      <c r="R628" s="24" t="str">
        <f>IFERROR(__xludf.DUMMYFUNCTION("""COMPUTED_VALUE"""),"K")</f>
        <v>K</v>
      </c>
      <c r="S628" s="25"/>
    </row>
    <row r="629" ht="22.5" customHeight="1">
      <c r="A629" s="22">
        <v>628.0</v>
      </c>
      <c r="B629" s="24" t="str">
        <f>IFERROR(__xludf.DUMMYFUNCTION("""COMPUTED_VALUE"""),"Merakit Komponen Fabrikasi")</f>
        <v>Merakit Komponen Fabrikasi</v>
      </c>
      <c r="C629" s="24" t="str">
        <f>IFERROR(__xludf.DUMMYFUNCTION("""COMPUTED_VALUE"""),"SMKS Kelautan dan Perikanan Raha")</f>
        <v>SMKS Kelautan dan Perikanan Raha</v>
      </c>
      <c r="D629" s="24"/>
      <c r="E629" s="24"/>
      <c r="F629" s="24" t="str">
        <f>IFERROR(__xludf.DUMMYFUNCTION("""COMPUTED_VALUE"""),"LA ODE ALIF ALMUNAZAR")</f>
        <v>LA ODE ALIF ALMUNAZAR</v>
      </c>
      <c r="G629" s="24" t="str">
        <f>IFERROR(__xludf.DUMMYFUNCTION("""COMPUTED_VALUE"""),"7403350611080001")</f>
        <v>7403350611080001</v>
      </c>
      <c r="H629" s="24"/>
      <c r="I629" s="24"/>
      <c r="J629" s="24" t="str">
        <f>IFERROR(__xludf.DUMMYFUNCTION("""COMPUTED_VALUE"""),"LAKI-LAKI")</f>
        <v>LAKI-LAKI</v>
      </c>
      <c r="K629" s="24" t="str">
        <f>IFERROR(__xludf.DUMMYFUNCTION("""COMPUTED_VALUE"""),"Desa Wawesa")</f>
        <v>Desa Wawesa</v>
      </c>
      <c r="L629" s="24"/>
      <c r="M629" s="24"/>
      <c r="N629" s="24" t="str">
        <f>IFERROR(__xludf.DUMMYFUNCTION("""COMPUTED_VALUE"""),"SMA / SMK / MA")</f>
        <v>SMA / SMK / MA</v>
      </c>
      <c r="O629" s="24"/>
      <c r="P629" s="24"/>
      <c r="Q629" s="24"/>
      <c r="R629" s="24" t="str">
        <f>IFERROR(__xludf.DUMMYFUNCTION("""COMPUTED_VALUE"""),"BK")</f>
        <v>BK</v>
      </c>
      <c r="S629" s="25"/>
    </row>
    <row r="630" ht="22.5" customHeight="1">
      <c r="A630" s="22">
        <v>629.0</v>
      </c>
      <c r="B630" s="24" t="str">
        <f>IFERROR(__xludf.DUMMYFUNCTION("""COMPUTED_VALUE"""),"Merakit Komponen Fabrikasi")</f>
        <v>Merakit Komponen Fabrikasi</v>
      </c>
      <c r="C630" s="24" t="str">
        <f>IFERROR(__xludf.DUMMYFUNCTION("""COMPUTED_VALUE"""),"SMKS Kelautan dan Perikanan Raha")</f>
        <v>SMKS Kelautan dan Perikanan Raha</v>
      </c>
      <c r="D630" s="24"/>
      <c r="E630" s="24"/>
      <c r="F630" s="24" t="str">
        <f>IFERROR(__xludf.DUMMYFUNCTION("""COMPUTED_VALUE"""),"L.M. RASULAH")</f>
        <v>L.M. RASULAH</v>
      </c>
      <c r="G630" s="24" t="str">
        <f>IFERROR(__xludf.DUMMYFUNCTION("""COMPUTED_VALUE"""),"7471040110070001")</f>
        <v>7471040110070001</v>
      </c>
      <c r="H630" s="24"/>
      <c r="I630" s="24"/>
      <c r="J630" s="24" t="str">
        <f>IFERROR(__xludf.DUMMYFUNCTION("""COMPUTED_VALUE"""),"LAKI-LAKI")</f>
        <v>LAKI-LAKI</v>
      </c>
      <c r="K630" s="24" t="str">
        <f>IFERROR(__xludf.DUMMYFUNCTION("""COMPUTED_VALUE"""),"Jl. Banteng, Kel. Rahandonua, Kec. Poasia")</f>
        <v>Jl. Banteng, Kel. Rahandonua, Kec. Poasia</v>
      </c>
      <c r="L630" s="24"/>
      <c r="M630" s="24"/>
      <c r="N630" s="24" t="str">
        <f>IFERROR(__xludf.DUMMYFUNCTION("""COMPUTED_VALUE"""),"SMA / SMK / MA")</f>
        <v>SMA / SMK / MA</v>
      </c>
      <c r="O630" s="24"/>
      <c r="P630" s="24"/>
      <c r="Q630" s="24"/>
      <c r="R630" s="24" t="str">
        <f>IFERROR(__xludf.DUMMYFUNCTION("""COMPUTED_VALUE"""),"K")</f>
        <v>K</v>
      </c>
      <c r="S630" s="25"/>
    </row>
    <row r="631" ht="22.5" customHeight="1">
      <c r="A631" s="22">
        <v>630.0</v>
      </c>
      <c r="B631" s="24" t="str">
        <f>IFERROR(__xludf.DUMMYFUNCTION("""COMPUTED_VALUE"""),"Merakit Komponen Fabrikasi")</f>
        <v>Merakit Komponen Fabrikasi</v>
      </c>
      <c r="C631" s="24" t="str">
        <f>IFERROR(__xludf.DUMMYFUNCTION("""COMPUTED_VALUE"""),"SMKS Kelautan dan Perikanan Raha")</f>
        <v>SMKS Kelautan dan Perikanan Raha</v>
      </c>
      <c r="D631" s="24"/>
      <c r="E631" s="24"/>
      <c r="F631" s="24" t="str">
        <f>IFERROR(__xludf.DUMMYFUNCTION("""COMPUTED_VALUE"""),"AL MUNAWIR")</f>
        <v>AL MUNAWIR</v>
      </c>
      <c r="G631" s="24" t="str">
        <f>IFERROR(__xludf.DUMMYFUNCTION("""COMPUTED_VALUE"""),"7403040109040001")</f>
        <v>7403040109040001</v>
      </c>
      <c r="H631" s="24"/>
      <c r="I631" s="24"/>
      <c r="J631" s="24" t="str">
        <f>IFERROR(__xludf.DUMMYFUNCTION("""COMPUTED_VALUE"""),"LAKI-LAKI")</f>
        <v>LAKI-LAKI</v>
      </c>
      <c r="K631" s="24" t="str">
        <f>IFERROR(__xludf.DUMMYFUNCTION("""COMPUTED_VALUE"""),"Desa Lapodidi")</f>
        <v>Desa Lapodidi</v>
      </c>
      <c r="L631" s="24"/>
      <c r="M631" s="24"/>
      <c r="N631" s="24" t="str">
        <f>IFERROR(__xludf.DUMMYFUNCTION("""COMPUTED_VALUE"""),"SMA / SMK / MA")</f>
        <v>SMA / SMK / MA</v>
      </c>
      <c r="O631" s="24"/>
      <c r="P631" s="24"/>
      <c r="Q631" s="24"/>
      <c r="R631" s="24" t="str">
        <f>IFERROR(__xludf.DUMMYFUNCTION("""COMPUTED_VALUE"""),"K")</f>
        <v>K</v>
      </c>
      <c r="S631" s="25"/>
    </row>
    <row r="632" ht="22.5" customHeight="1">
      <c r="A632" s="22">
        <v>631.0</v>
      </c>
      <c r="B632" s="24" t="str">
        <f>IFERROR(__xludf.DUMMYFUNCTION("""COMPUTED_VALUE"""),"Merakit Komponen Fabrikasi")</f>
        <v>Merakit Komponen Fabrikasi</v>
      </c>
      <c r="C632" s="24" t="str">
        <f>IFERROR(__xludf.DUMMYFUNCTION("""COMPUTED_VALUE"""),"SMKS Kelautan dan Perikanan Raha")</f>
        <v>SMKS Kelautan dan Perikanan Raha</v>
      </c>
      <c r="D632" s="24"/>
      <c r="E632" s="24"/>
      <c r="F632" s="24" t="str">
        <f>IFERROR(__xludf.DUMMYFUNCTION("""COMPUTED_VALUE"""),"FIRLAN S SAPUTRA")</f>
        <v>FIRLAN S SAPUTRA</v>
      </c>
      <c r="G632" s="24" t="str">
        <f>IFERROR(__xludf.DUMMYFUNCTION("""COMPUTED_VALUE"""),"7403191505080001")</f>
        <v>7403191505080001</v>
      </c>
      <c r="H632" s="24"/>
      <c r="I632" s="24"/>
      <c r="J632" s="24" t="str">
        <f>IFERROR(__xludf.DUMMYFUNCTION("""COMPUTED_VALUE"""),"LAKI-LAKI")</f>
        <v>LAKI-LAKI</v>
      </c>
      <c r="K632" s="24" t="str">
        <f>IFERROR(__xludf.DUMMYFUNCTION("""COMPUTED_VALUE"""),"Desa Wakadia")</f>
        <v>Desa Wakadia</v>
      </c>
      <c r="L632" s="24"/>
      <c r="M632" s="24"/>
      <c r="N632" s="24" t="str">
        <f>IFERROR(__xludf.DUMMYFUNCTION("""COMPUTED_VALUE"""),"SMA / SMK / MA")</f>
        <v>SMA / SMK / MA</v>
      </c>
      <c r="O632" s="24"/>
      <c r="P632" s="24"/>
      <c r="Q632" s="24"/>
      <c r="R632" s="24" t="str">
        <f>IFERROR(__xludf.DUMMYFUNCTION("""COMPUTED_VALUE"""),"BK")</f>
        <v>BK</v>
      </c>
      <c r="S632" s="25"/>
    </row>
    <row r="633" ht="22.5" customHeight="1">
      <c r="A633" s="22">
        <v>632.0</v>
      </c>
      <c r="B633" s="24" t="str">
        <f>IFERROR(__xludf.DUMMYFUNCTION("""COMPUTED_VALUE"""),"Merakit Komponen Fabrikasi")</f>
        <v>Merakit Komponen Fabrikasi</v>
      </c>
      <c r="C633" s="24" t="str">
        <f>IFERROR(__xludf.DUMMYFUNCTION("""COMPUTED_VALUE"""),"SMKS Kelautan dan Perikanan Raha")</f>
        <v>SMKS Kelautan dan Perikanan Raha</v>
      </c>
      <c r="D633" s="24"/>
      <c r="E633" s="24"/>
      <c r="F633" s="24" t="str">
        <f>IFERROR(__xludf.DUMMYFUNCTION("""COMPUTED_VALUE"""),"MUHAMAD ABI")</f>
        <v>MUHAMAD ABI</v>
      </c>
      <c r="G633" s="24" t="str">
        <f>IFERROR(__xludf.DUMMYFUNCTION("""COMPUTED_VALUE"""),"7471020909050002")</f>
        <v>7471020909050002</v>
      </c>
      <c r="H633" s="24"/>
      <c r="I633" s="24"/>
      <c r="J633" s="24" t="str">
        <f>IFERROR(__xludf.DUMMYFUNCTION("""COMPUTED_VALUE"""),"LAKI-LAKI")</f>
        <v>LAKI-LAKI</v>
      </c>
      <c r="K633" s="24" t="str">
        <f>IFERROR(__xludf.DUMMYFUNCTION("""COMPUTED_VALUE"""),"Desa Masalili, Kec. Kontunaga")</f>
        <v>Desa Masalili, Kec. Kontunaga</v>
      </c>
      <c r="L633" s="24"/>
      <c r="M633" s="24"/>
      <c r="N633" s="24" t="str">
        <f>IFERROR(__xludf.DUMMYFUNCTION("""COMPUTED_VALUE"""),"SMA / SMK / MA")</f>
        <v>SMA / SMK / MA</v>
      </c>
      <c r="O633" s="24"/>
      <c r="P633" s="24"/>
      <c r="Q633" s="24"/>
      <c r="R633" s="24" t="str">
        <f>IFERROR(__xludf.DUMMYFUNCTION("""COMPUTED_VALUE"""),"BK")</f>
        <v>BK</v>
      </c>
      <c r="S633" s="25"/>
    </row>
    <row r="634" ht="22.5" customHeight="1">
      <c r="A634" s="22">
        <v>633.0</v>
      </c>
      <c r="B634" s="24" t="str">
        <f>IFERROR(__xludf.DUMMYFUNCTION("""COMPUTED_VALUE"""),"Merakit Komponen Fabrikasi")</f>
        <v>Merakit Komponen Fabrikasi</v>
      </c>
      <c r="C634" s="24" t="str">
        <f>IFERROR(__xludf.DUMMYFUNCTION("""COMPUTED_VALUE"""),"SMKS Kelautan dan Perikanan Raha")</f>
        <v>SMKS Kelautan dan Perikanan Raha</v>
      </c>
      <c r="D634" s="24"/>
      <c r="E634" s="24"/>
      <c r="F634" s="24" t="str">
        <f>IFERROR(__xludf.DUMMYFUNCTION("""COMPUTED_VALUE"""),"MUHAMAT ALFINO")</f>
        <v>MUHAMAT ALFINO</v>
      </c>
      <c r="G634" s="24" t="str">
        <f>IFERROR(__xludf.DUMMYFUNCTION("""COMPUTED_VALUE"""),"7403202204080001")</f>
        <v>7403202204080001</v>
      </c>
      <c r="H634" s="24"/>
      <c r="I634" s="24"/>
      <c r="J634" s="24" t="str">
        <f>IFERROR(__xludf.DUMMYFUNCTION("""COMPUTED_VALUE"""),"LAKI-LAKI")</f>
        <v>LAKI-LAKI</v>
      </c>
      <c r="K634" s="24" t="str">
        <f>IFERROR(__xludf.DUMMYFUNCTION("""COMPUTED_VALUE"""),"Desa Masalili, Kec. Kontunaga")</f>
        <v>Desa Masalili, Kec. Kontunaga</v>
      </c>
      <c r="L634" s="24"/>
      <c r="M634" s="24"/>
      <c r="N634" s="24" t="str">
        <f>IFERROR(__xludf.DUMMYFUNCTION("""COMPUTED_VALUE"""),"SMA / SMK / MA")</f>
        <v>SMA / SMK / MA</v>
      </c>
      <c r="O634" s="24"/>
      <c r="P634" s="24"/>
      <c r="Q634" s="24"/>
      <c r="R634" s="24" t="str">
        <f>IFERROR(__xludf.DUMMYFUNCTION("""COMPUTED_VALUE"""),"BK")</f>
        <v>BK</v>
      </c>
      <c r="S634" s="25"/>
    </row>
    <row r="635" ht="22.5" customHeight="1">
      <c r="A635" s="22">
        <v>634.0</v>
      </c>
      <c r="B635" s="24" t="str">
        <f>IFERROR(__xludf.DUMMYFUNCTION("""COMPUTED_VALUE"""),"Merakit Komponen Fabrikasi")</f>
        <v>Merakit Komponen Fabrikasi</v>
      </c>
      <c r="C635" s="24" t="str">
        <f>IFERROR(__xludf.DUMMYFUNCTION("""COMPUTED_VALUE"""),"SMKS Kelautan dan Perikanan Raha")</f>
        <v>SMKS Kelautan dan Perikanan Raha</v>
      </c>
      <c r="D635" s="24"/>
      <c r="E635" s="24"/>
      <c r="F635" s="24" t="str">
        <f>IFERROR(__xludf.DUMMYFUNCTION("""COMPUTED_VALUE"""),"MUHAMAD FAJRIN")</f>
        <v>MUHAMAD FAJRIN</v>
      </c>
      <c r="G635" s="24" t="str">
        <f>IFERROR(__xludf.DUMMYFUNCTION("""COMPUTED_VALUE"""),"7403050410070001")</f>
        <v>7403050410070001</v>
      </c>
      <c r="H635" s="24"/>
      <c r="I635" s="24"/>
      <c r="J635" s="24" t="str">
        <f>IFERROR(__xludf.DUMMYFUNCTION("""COMPUTED_VALUE"""),"LAKI-LAKI")</f>
        <v>LAKI-LAKI</v>
      </c>
      <c r="K635" s="24" t="str">
        <f>IFERROR(__xludf.DUMMYFUNCTION("""COMPUTED_VALUE"""),"Lapokainse, Kec. Kusambi, Kab. Muna Barat")</f>
        <v>Lapokainse, Kec. Kusambi, Kab. Muna Barat</v>
      </c>
      <c r="L635" s="24"/>
      <c r="M635" s="24"/>
      <c r="N635" s="24" t="str">
        <f>IFERROR(__xludf.DUMMYFUNCTION("""COMPUTED_VALUE"""),"SMA / SMK / MA")</f>
        <v>SMA / SMK / MA</v>
      </c>
      <c r="O635" s="24"/>
      <c r="P635" s="24"/>
      <c r="Q635" s="24"/>
      <c r="R635" s="24" t="str">
        <f>IFERROR(__xludf.DUMMYFUNCTION("""COMPUTED_VALUE"""),"K")</f>
        <v>K</v>
      </c>
      <c r="S635" s="25"/>
    </row>
    <row r="636" ht="22.5" customHeight="1">
      <c r="A636" s="22">
        <v>635.0</v>
      </c>
      <c r="B636" s="24" t="str">
        <f>IFERROR(__xludf.DUMMYFUNCTION("""COMPUTED_VALUE"""),"Merakit Komponen Fabrikasi")</f>
        <v>Merakit Komponen Fabrikasi</v>
      </c>
      <c r="C636" s="24" t="str">
        <f>IFERROR(__xludf.DUMMYFUNCTION("""COMPUTED_VALUE"""),"SMKS Kelautan dan Perikanan Raha")</f>
        <v>SMKS Kelautan dan Perikanan Raha</v>
      </c>
      <c r="D636" s="24"/>
      <c r="E636" s="24"/>
      <c r="F636" s="24" t="str">
        <f>IFERROR(__xludf.DUMMYFUNCTION("""COMPUTED_VALUE"""),"MUHAMMAD IKSAN SYAPUTRA")</f>
        <v>MUHAMMAD IKSAN SYAPUTRA</v>
      </c>
      <c r="G636" s="24" t="str">
        <f>IFERROR(__xludf.DUMMYFUNCTION("""COMPUTED_VALUE"""),"7403200304080001")</f>
        <v>7403200304080001</v>
      </c>
      <c r="H636" s="24"/>
      <c r="I636" s="24"/>
      <c r="J636" s="24" t="str">
        <f>IFERROR(__xludf.DUMMYFUNCTION("""COMPUTED_VALUE"""),"LAKI-LAKI")</f>
        <v>LAKI-LAKI</v>
      </c>
      <c r="K636" s="24" t="str">
        <f>IFERROR(__xludf.DUMMYFUNCTION("""COMPUTED_VALUE"""),"Jl. Poros Wamengkoli")</f>
        <v>Jl. Poros Wamengkoli</v>
      </c>
      <c r="L636" s="24"/>
      <c r="M636" s="24"/>
      <c r="N636" s="24" t="str">
        <f>IFERROR(__xludf.DUMMYFUNCTION("""COMPUTED_VALUE"""),"SMA / SMK / MA")</f>
        <v>SMA / SMK / MA</v>
      </c>
      <c r="O636" s="24"/>
      <c r="P636" s="24"/>
      <c r="Q636" s="24"/>
      <c r="R636" s="24" t="str">
        <f>IFERROR(__xludf.DUMMYFUNCTION("""COMPUTED_VALUE"""),"BK")</f>
        <v>BK</v>
      </c>
      <c r="S636" s="25"/>
    </row>
    <row r="637" ht="22.5" customHeight="1">
      <c r="A637" s="22">
        <v>636.0</v>
      </c>
      <c r="B637" s="24" t="str">
        <f>IFERROR(__xludf.DUMMYFUNCTION("""COMPUTED_VALUE"""),"Merakit Komponen Fabrikasi")</f>
        <v>Merakit Komponen Fabrikasi</v>
      </c>
      <c r="C637" s="24" t="str">
        <f>IFERROR(__xludf.DUMMYFUNCTION("""COMPUTED_VALUE"""),"SMKS Kelautan dan Perikanan Raha")</f>
        <v>SMKS Kelautan dan Perikanan Raha</v>
      </c>
      <c r="D637" s="24"/>
      <c r="E637" s="24"/>
      <c r="F637" s="24" t="str">
        <f>IFERROR(__xludf.DUMMYFUNCTION("""COMPUTED_VALUE"""),"RAHMAT")</f>
        <v>RAHMAT</v>
      </c>
      <c r="G637" s="24" t="str">
        <f>IFERROR(__xludf.DUMMYFUNCTION("""COMPUTED_VALUE"""),"7403190303080002")</f>
        <v>7403190303080002</v>
      </c>
      <c r="H637" s="24"/>
      <c r="I637" s="24"/>
      <c r="J637" s="24" t="str">
        <f>IFERROR(__xludf.DUMMYFUNCTION("""COMPUTED_VALUE"""),"LAKI-LAKI")</f>
        <v>LAKI-LAKI</v>
      </c>
      <c r="K637" s="24" t="str">
        <f>IFERROR(__xludf.DUMMYFUNCTION("""COMPUTED_VALUE"""),"Kel. Dana, Kec. Watupute")</f>
        <v>Kel. Dana, Kec. Watupute</v>
      </c>
      <c r="L637" s="24"/>
      <c r="M637" s="24"/>
      <c r="N637" s="24" t="str">
        <f>IFERROR(__xludf.DUMMYFUNCTION("""COMPUTED_VALUE"""),"SMA / SMK / MA")</f>
        <v>SMA / SMK / MA</v>
      </c>
      <c r="O637" s="24"/>
      <c r="P637" s="24"/>
      <c r="Q637" s="24"/>
      <c r="R637" s="24" t="str">
        <f>IFERROR(__xludf.DUMMYFUNCTION("""COMPUTED_VALUE"""),"BK")</f>
        <v>BK</v>
      </c>
      <c r="S637" s="25"/>
    </row>
    <row r="638" ht="22.5" customHeight="1">
      <c r="A638" s="22">
        <v>637.0</v>
      </c>
      <c r="B638" s="24" t="str">
        <f>IFERROR(__xludf.DUMMYFUNCTION("""COMPUTED_VALUE"""),"Merakit Komponen Fabrikasi")</f>
        <v>Merakit Komponen Fabrikasi</v>
      </c>
      <c r="C638" s="24" t="str">
        <f>IFERROR(__xludf.DUMMYFUNCTION("""COMPUTED_VALUE"""),"SMKS Kelautan dan Perikanan Raha")</f>
        <v>SMKS Kelautan dan Perikanan Raha</v>
      </c>
      <c r="D638" s="24"/>
      <c r="E638" s="24"/>
      <c r="F638" s="24" t="str">
        <f>IFERROR(__xludf.DUMMYFUNCTION("""COMPUTED_VALUE"""),"RAJAB")</f>
        <v>RAJAB</v>
      </c>
      <c r="G638" s="24" t="str">
        <f>IFERROR(__xludf.DUMMYFUNCTION("""COMPUTED_VALUE"""),"7403152501080001")</f>
        <v>7403152501080001</v>
      </c>
      <c r="H638" s="24"/>
      <c r="I638" s="24"/>
      <c r="J638" s="24" t="str">
        <f>IFERROR(__xludf.DUMMYFUNCTION("""COMPUTED_VALUE"""),"LAKI-LAKI")</f>
        <v>LAKI-LAKI</v>
      </c>
      <c r="K638" s="24" t="str">
        <f>IFERROR(__xludf.DUMMYFUNCTION("""COMPUTED_VALUE"""),"Jl. Wirabuana, Desa Wawesa")</f>
        <v>Jl. Wirabuana, Desa Wawesa</v>
      </c>
      <c r="L638" s="24"/>
      <c r="M638" s="24"/>
      <c r="N638" s="24" t="str">
        <f>IFERROR(__xludf.DUMMYFUNCTION("""COMPUTED_VALUE"""),"SMA / SMK / MA")</f>
        <v>SMA / SMK / MA</v>
      </c>
      <c r="O638" s="24"/>
      <c r="P638" s="24"/>
      <c r="Q638" s="24"/>
      <c r="R638" s="24" t="str">
        <f>IFERROR(__xludf.DUMMYFUNCTION("""COMPUTED_VALUE"""),"BK")</f>
        <v>BK</v>
      </c>
      <c r="S638" s="25"/>
    </row>
    <row r="639" ht="22.5" customHeight="1">
      <c r="A639" s="22">
        <v>638.0</v>
      </c>
      <c r="B639" s="24" t="str">
        <f>IFERROR(__xludf.DUMMYFUNCTION("""COMPUTED_VALUE"""),"Merakit Komponen Fabrikasi")</f>
        <v>Merakit Komponen Fabrikasi</v>
      </c>
      <c r="C639" s="24" t="str">
        <f>IFERROR(__xludf.DUMMYFUNCTION("""COMPUTED_VALUE"""),"SMKS Kelautan dan Perikanan Raha")</f>
        <v>SMKS Kelautan dan Perikanan Raha</v>
      </c>
      <c r="D639" s="24"/>
      <c r="E639" s="24"/>
      <c r="F639" s="24" t="str">
        <f>IFERROR(__xludf.DUMMYFUNCTION("""COMPUTED_VALUE"""),"RUSDIANA")</f>
        <v>RUSDIANA</v>
      </c>
      <c r="G639" s="24" t="str">
        <f>IFERROR(__xludf.DUMMYFUNCTION("""COMPUTED_VALUE"""),"7403114601780002")</f>
        <v>7403114601780002</v>
      </c>
      <c r="H639" s="24"/>
      <c r="I639" s="24"/>
      <c r="J639" s="24" t="str">
        <f>IFERROR(__xludf.DUMMYFUNCTION("""COMPUTED_VALUE"""),"PEREMPUAN")</f>
        <v>PEREMPUAN</v>
      </c>
      <c r="K639" s="24" t="str">
        <f>IFERROR(__xludf.DUMMYFUNCTION("""COMPUTED_VALUE"""),"Jl. S. Goldaria")</f>
        <v>Jl. S. Goldaria</v>
      </c>
      <c r="L639" s="24"/>
      <c r="M639" s="24"/>
      <c r="N639" s="24" t="str">
        <f>IFERROR(__xludf.DUMMYFUNCTION("""COMPUTED_VALUE"""),"SMA / SMK / MA")</f>
        <v>SMA / SMK / MA</v>
      </c>
      <c r="O639" s="24"/>
      <c r="P639" s="24"/>
      <c r="Q639" s="24"/>
      <c r="R639" s="24" t="str">
        <f>IFERROR(__xludf.DUMMYFUNCTION("""COMPUTED_VALUE"""),"K")</f>
        <v>K</v>
      </c>
      <c r="S639" s="25"/>
    </row>
    <row r="640" ht="22.5" customHeight="1">
      <c r="A640" s="22">
        <v>639.0</v>
      </c>
      <c r="B640" s="24" t="str">
        <f>IFERROR(__xludf.DUMMYFUNCTION("""COMPUTED_VALUE"""),"Merakit Komponen Fabrikasi")</f>
        <v>Merakit Komponen Fabrikasi</v>
      </c>
      <c r="C640" s="24" t="str">
        <f>IFERROR(__xludf.DUMMYFUNCTION("""COMPUTED_VALUE"""),"SMKS Kelautan dan Perikanan Raha")</f>
        <v>SMKS Kelautan dan Perikanan Raha</v>
      </c>
      <c r="D640" s="24"/>
      <c r="E640" s="24"/>
      <c r="F640" s="24" t="str">
        <f>IFERROR(__xludf.DUMMYFUNCTION("""COMPUTED_VALUE"""),"RUSMAN SUBUH")</f>
        <v>RUSMAN SUBUH</v>
      </c>
      <c r="G640" s="24" t="str">
        <f>IFERROR(__xludf.DUMMYFUNCTION("""COMPUTED_VALUE"""),"7403202307040001")</f>
        <v>7403202307040001</v>
      </c>
      <c r="H640" s="24"/>
      <c r="I640" s="24"/>
      <c r="J640" s="24" t="str">
        <f>IFERROR(__xludf.DUMMYFUNCTION("""COMPUTED_VALUE"""),"LAKI-LAKI")</f>
        <v>LAKI-LAKI</v>
      </c>
      <c r="K640" s="24" t="str">
        <f>IFERROR(__xludf.DUMMYFUNCTION("""COMPUTED_VALUE"""),"Desa Lapodidi, Kec. Kontunaga, Kab. muna")</f>
        <v>Desa Lapodidi, Kec. Kontunaga, Kab. muna</v>
      </c>
      <c r="L640" s="24"/>
      <c r="M640" s="24"/>
      <c r="N640" s="24" t="str">
        <f>IFERROR(__xludf.DUMMYFUNCTION("""COMPUTED_VALUE"""),"SMA / SMK / MA")</f>
        <v>SMA / SMK / MA</v>
      </c>
      <c r="O640" s="24"/>
      <c r="P640" s="24"/>
      <c r="Q640" s="24"/>
      <c r="R640" s="24" t="str">
        <f>IFERROR(__xludf.DUMMYFUNCTION("""COMPUTED_VALUE"""),"K")</f>
        <v>K</v>
      </c>
      <c r="S640" s="25"/>
    </row>
    <row r="641" ht="22.5" customHeight="1">
      <c r="A641" s="22">
        <v>640.0</v>
      </c>
      <c r="B641" s="24" t="str">
        <f>IFERROR(__xludf.DUMMYFUNCTION("""COMPUTED_VALUE"""),"Merakit Komponen Fabrikasi")</f>
        <v>Merakit Komponen Fabrikasi</v>
      </c>
      <c r="C641" s="24" t="str">
        <f>IFERROR(__xludf.DUMMYFUNCTION("""COMPUTED_VALUE"""),"SMKS Kelautan dan Perikanan Raha")</f>
        <v>SMKS Kelautan dan Perikanan Raha</v>
      </c>
      <c r="D641" s="24"/>
      <c r="E641" s="24"/>
      <c r="F641" s="24" t="str">
        <f>IFERROR(__xludf.DUMMYFUNCTION("""COMPUTED_VALUE"""),"SULTAN SURI")</f>
        <v>SULTAN SURI</v>
      </c>
      <c r="G641" s="24" t="str">
        <f>IFERROR(__xludf.DUMMYFUNCTION("""COMPUTED_VALUE"""),"7403171402070001")</f>
        <v>7403171402070001</v>
      </c>
      <c r="H641" s="24"/>
      <c r="I641" s="24"/>
      <c r="J641" s="24" t="str">
        <f>IFERROR(__xludf.DUMMYFUNCTION("""COMPUTED_VALUE"""),"LAKI-LAKI")</f>
        <v>LAKI-LAKI</v>
      </c>
      <c r="K641" s="24" t="str">
        <f>IFERROR(__xludf.DUMMYFUNCTION("""COMPUTED_VALUE"""),"Lagasa Bahari 1")</f>
        <v>Lagasa Bahari 1</v>
      </c>
      <c r="L641" s="24"/>
      <c r="M641" s="24"/>
      <c r="N641" s="24" t="str">
        <f>IFERROR(__xludf.DUMMYFUNCTION("""COMPUTED_VALUE"""),"SMA / SMK / MA")</f>
        <v>SMA / SMK / MA</v>
      </c>
      <c r="O641" s="24"/>
      <c r="P641" s="24"/>
      <c r="Q641" s="24"/>
      <c r="R641" s="24" t="str">
        <f>IFERROR(__xludf.DUMMYFUNCTION("""COMPUTED_VALUE"""),"K")</f>
        <v>K</v>
      </c>
      <c r="S641" s="25"/>
    </row>
    <row r="642" ht="22.5" customHeight="1">
      <c r="A642" s="22">
        <v>641.0</v>
      </c>
      <c r="B642" s="24" t="str">
        <f>IFERROR(__xludf.DUMMYFUNCTION("""COMPUTED_VALUE"""),"Merakit Komponen Fabrikasi")</f>
        <v>Merakit Komponen Fabrikasi</v>
      </c>
      <c r="C642" s="24" t="str">
        <f>IFERROR(__xludf.DUMMYFUNCTION("""COMPUTED_VALUE"""),"SMKS Kelautan dan Perikanan Raha")</f>
        <v>SMKS Kelautan dan Perikanan Raha</v>
      </c>
      <c r="D642" s="24"/>
      <c r="E642" s="24"/>
      <c r="F642" s="24" t="str">
        <f>IFERROR(__xludf.DUMMYFUNCTION("""COMPUTED_VALUE"""),"WA SARINA")</f>
        <v>WA SARINA</v>
      </c>
      <c r="G642" s="24" t="str">
        <f>IFERROR(__xludf.DUMMYFUNCTION("""COMPUTED_VALUE"""),"7403167112730025")</f>
        <v>7403167112730025</v>
      </c>
      <c r="H642" s="24"/>
      <c r="I642" s="24"/>
      <c r="J642" s="24" t="str">
        <f>IFERROR(__xludf.DUMMYFUNCTION("""COMPUTED_VALUE"""),"PEREMPUAN")</f>
        <v>PEREMPUAN</v>
      </c>
      <c r="K642" s="24" t="str">
        <f>IFERROR(__xludf.DUMMYFUNCTION("""COMPUTED_VALUE"""),"JL. Kontu Kowuna, Kel. Fookuni, Kec. Katobu")</f>
        <v>JL. Kontu Kowuna, Kel. Fookuni, Kec. Katobu</v>
      </c>
      <c r="L642" s="24"/>
      <c r="M642" s="24"/>
      <c r="N642" s="24" t="str">
        <f>IFERROR(__xludf.DUMMYFUNCTION("""COMPUTED_VALUE"""),"SMA / SMK / MA")</f>
        <v>SMA / SMK / MA</v>
      </c>
      <c r="O642" s="24"/>
      <c r="P642" s="24"/>
      <c r="Q642" s="24"/>
      <c r="R642" s="24" t="str">
        <f>IFERROR(__xludf.DUMMYFUNCTION("""COMPUTED_VALUE"""),"K")</f>
        <v>K</v>
      </c>
      <c r="S642" s="25"/>
    </row>
    <row r="643" ht="22.5" customHeight="1">
      <c r="A643" s="22">
        <v>642.0</v>
      </c>
      <c r="B643" s="24" t="str">
        <f>IFERROR(__xludf.DUMMYFUNCTION("""COMPUTED_VALUE"""),"Merakit Komponen Fabrikasi")</f>
        <v>Merakit Komponen Fabrikasi</v>
      </c>
      <c r="C643" s="24" t="str">
        <f>IFERROR(__xludf.DUMMYFUNCTION("""COMPUTED_VALUE"""),"SMKS Kelautan dan Perikanan Raha")</f>
        <v>SMKS Kelautan dan Perikanan Raha</v>
      </c>
      <c r="D643" s="24"/>
      <c r="E643" s="24"/>
      <c r="F643" s="24" t="str">
        <f>IFERROR(__xludf.DUMMYFUNCTION("""COMPUTED_VALUE"""),"WA ODE SITTI SURATMIN")</f>
        <v>WA ODE SITTI SURATMIN</v>
      </c>
      <c r="G643" s="24" t="str">
        <f>IFERROR(__xludf.DUMMYFUNCTION("""COMPUTED_VALUE"""),"7403156211790001")</f>
        <v>7403156211790001</v>
      </c>
      <c r="H643" s="24"/>
      <c r="I643" s="24"/>
      <c r="J643" s="24" t="str">
        <f>IFERROR(__xludf.DUMMYFUNCTION("""COMPUTED_VALUE"""),"PEREMPUAN")</f>
        <v>PEREMPUAN</v>
      </c>
      <c r="K643" s="24" t="str">
        <f>IFERROR(__xludf.DUMMYFUNCTION("""COMPUTED_VALUE"""),"Jl. Gatot Subroto No. 55")</f>
        <v>Jl. Gatot Subroto No. 55</v>
      </c>
      <c r="L643" s="24"/>
      <c r="M643" s="24"/>
      <c r="N643" s="24" t="str">
        <f>IFERROR(__xludf.DUMMYFUNCTION("""COMPUTED_VALUE"""),"SMA / SMK / MA")</f>
        <v>SMA / SMK / MA</v>
      </c>
      <c r="O643" s="24"/>
      <c r="P643" s="24"/>
      <c r="Q643" s="24"/>
      <c r="R643" s="24" t="str">
        <f>IFERROR(__xludf.DUMMYFUNCTION("""COMPUTED_VALUE"""),"BK")</f>
        <v>BK</v>
      </c>
      <c r="S643" s="25"/>
    </row>
    <row r="644" ht="22.5" customHeight="1">
      <c r="A644" s="22">
        <v>643.0</v>
      </c>
      <c r="B644" s="24" t="str">
        <f>IFERROR(__xludf.DUMMYFUNCTION("""COMPUTED_VALUE"""),"Merakit Komponen Fabrikasi")</f>
        <v>Merakit Komponen Fabrikasi</v>
      </c>
      <c r="C644" s="24" t="str">
        <f>IFERROR(__xludf.DUMMYFUNCTION("""COMPUTED_VALUE"""),"SMKS Kelautan dan Perikanan Raha")</f>
        <v>SMKS Kelautan dan Perikanan Raha</v>
      </c>
      <c r="D644" s="24"/>
      <c r="E644" s="24"/>
      <c r="F644" s="24" t="str">
        <f>IFERROR(__xludf.DUMMYFUNCTION("""COMPUTED_VALUE"""),"YUKI JANUARSYAH")</f>
        <v>YUKI JANUARSYAH</v>
      </c>
      <c r="G644" s="24" t="str">
        <f>IFERROR(__xludf.DUMMYFUNCTION("""COMPUTED_VALUE"""),"7403201301080001")</f>
        <v>7403201301080001</v>
      </c>
      <c r="H644" s="24"/>
      <c r="I644" s="24"/>
      <c r="J644" s="24" t="str">
        <f>IFERROR(__xludf.DUMMYFUNCTION("""COMPUTED_VALUE"""),"LAKI-LAKI")</f>
        <v>LAKI-LAKI</v>
      </c>
      <c r="K644" s="24" t="str">
        <f>IFERROR(__xludf.DUMMYFUNCTION("""COMPUTED_VALUE"""),"Desa Masalili, Kecamatan Kontunaga, Kab. Muna")</f>
        <v>Desa Masalili, Kecamatan Kontunaga, Kab. Muna</v>
      </c>
      <c r="L644" s="24"/>
      <c r="M644" s="24"/>
      <c r="N644" s="24" t="str">
        <f>IFERROR(__xludf.DUMMYFUNCTION("""COMPUTED_VALUE"""),"SMA / SMK / MA")</f>
        <v>SMA / SMK / MA</v>
      </c>
      <c r="O644" s="24"/>
      <c r="P644" s="24"/>
      <c r="Q644" s="24"/>
      <c r="R644" s="24" t="str">
        <f>IFERROR(__xludf.DUMMYFUNCTION("""COMPUTED_VALUE"""),"K")</f>
        <v>K</v>
      </c>
      <c r="S644" s="25"/>
    </row>
    <row r="645" ht="22.5" customHeight="1">
      <c r="A645" s="22">
        <v>644.0</v>
      </c>
      <c r="B645" s="24" t="str">
        <f>IFERROR(__xludf.DUMMYFUNCTION("""COMPUTED_VALUE"""),"Merakit Komponen Fabrikasi")</f>
        <v>Merakit Komponen Fabrikasi</v>
      </c>
      <c r="C645" s="24" t="str">
        <f>IFERROR(__xludf.DUMMYFUNCTION("""COMPUTED_VALUE"""),"SMKS Kelautan dan Perikanan Raha")</f>
        <v>SMKS Kelautan dan Perikanan Raha</v>
      </c>
      <c r="D645" s="24"/>
      <c r="E645" s="24"/>
      <c r="F645" s="24" t="str">
        <f>IFERROR(__xludf.DUMMYFUNCTION("""COMPUTED_VALUE"""),"SAIRA")</f>
        <v>SAIRA</v>
      </c>
      <c r="G645" s="24" t="str">
        <f>IFERROR(__xludf.DUMMYFUNCTION("""COMPUTED_VALUE"""),"7403165505820001")</f>
        <v>7403165505820001</v>
      </c>
      <c r="H645" s="24"/>
      <c r="I645" s="24"/>
      <c r="J645" s="24" t="str">
        <f>IFERROR(__xludf.DUMMYFUNCTION("""COMPUTED_VALUE"""),"PEREMPUAN")</f>
        <v>PEREMPUAN</v>
      </c>
      <c r="K645" s="24" t="str">
        <f>IFERROR(__xludf.DUMMYFUNCTION("""COMPUTED_VALUE"""),"Jl. S Goldaria No. 34 Raha")</f>
        <v>Jl. S Goldaria No. 34 Raha</v>
      </c>
      <c r="L645" s="24"/>
      <c r="M645" s="24"/>
      <c r="N645" s="24" t="str">
        <f>IFERROR(__xludf.DUMMYFUNCTION("""COMPUTED_VALUE"""),"SMA / SMK / MA")</f>
        <v>SMA / SMK / MA</v>
      </c>
      <c r="O645" s="24"/>
      <c r="P645" s="24"/>
      <c r="Q645" s="24"/>
      <c r="R645" s="24" t="str">
        <f>IFERROR(__xludf.DUMMYFUNCTION("""COMPUTED_VALUE"""),"BK")</f>
        <v>BK</v>
      </c>
      <c r="S645" s="25"/>
    </row>
    <row r="646" ht="22.5" customHeight="1">
      <c r="A646" s="22">
        <v>645.0</v>
      </c>
      <c r="B646" s="24" t="str">
        <f>IFERROR(__xludf.DUMMYFUNCTION("""COMPUTED_VALUE"""),"Merakit Komponen Fabrikasi")</f>
        <v>Merakit Komponen Fabrikasi</v>
      </c>
      <c r="C646" s="24" t="str">
        <f>IFERROR(__xludf.DUMMYFUNCTION("""COMPUTED_VALUE"""),"SMKS Kelautan dan Perikanan Raha")</f>
        <v>SMKS Kelautan dan Perikanan Raha</v>
      </c>
      <c r="D646" s="24"/>
      <c r="E646" s="24"/>
      <c r="F646" s="24" t="str">
        <f>IFERROR(__xludf.DUMMYFUNCTION("""COMPUTED_VALUE"""),"YUKAL AFAD ABRAR")</f>
        <v>YUKAL AFAD ABRAR</v>
      </c>
      <c r="G646" s="24" t="str">
        <f>IFERROR(__xludf.DUMMYFUNCTION("""COMPUTED_VALUE"""),"7406151603080002")</f>
        <v>7406151603080002</v>
      </c>
      <c r="H646" s="24"/>
      <c r="I646" s="24"/>
      <c r="J646" s="24" t="str">
        <f>IFERROR(__xludf.DUMMYFUNCTION("""COMPUTED_VALUE"""),"LAKI-LAKI")</f>
        <v>LAKI-LAKI</v>
      </c>
      <c r="K646" s="24" t="str">
        <f>IFERROR(__xludf.DUMMYFUNCTION("""COMPUTED_VALUE"""),"Desa Eemokolo, Kec.Kabaena Utara")</f>
        <v>Desa Eemokolo, Kec.Kabaena Utara</v>
      </c>
      <c r="L646" s="24"/>
      <c r="M646" s="24"/>
      <c r="N646" s="24" t="str">
        <f>IFERROR(__xludf.DUMMYFUNCTION("""COMPUTED_VALUE"""),"SMA / SMK / MA")</f>
        <v>SMA / SMK / MA</v>
      </c>
      <c r="O646" s="24"/>
      <c r="P646" s="24"/>
      <c r="Q646" s="24"/>
      <c r="R646" s="24" t="str">
        <f>IFERROR(__xludf.DUMMYFUNCTION("""COMPUTED_VALUE"""),"K")</f>
        <v>K</v>
      </c>
      <c r="S646" s="25"/>
    </row>
    <row r="647" ht="22.5" customHeight="1">
      <c r="A647" s="22">
        <v>646.0</v>
      </c>
      <c r="B647" s="24" t="str">
        <f>IFERROR(__xludf.DUMMYFUNCTION("""COMPUTED_VALUE"""),"Merakit Komponen Fabrikasi")</f>
        <v>Merakit Komponen Fabrikasi</v>
      </c>
      <c r="C647" s="24" t="str">
        <f>IFERROR(__xludf.DUMMYFUNCTION("""COMPUTED_VALUE"""),"SMKS Kelautan dan Perikanan Raha")</f>
        <v>SMKS Kelautan dan Perikanan Raha</v>
      </c>
      <c r="D647" s="24"/>
      <c r="E647" s="24"/>
      <c r="F647" s="24" t="str">
        <f>IFERROR(__xludf.DUMMYFUNCTION("""COMPUTED_VALUE"""),"IRFAN RAHMAN")</f>
        <v>IRFAN RAHMAN</v>
      </c>
      <c r="G647" s="24">
        <f>IFERROR(__xludf.DUMMYFUNCTION("""COMPUTED_VALUE"""),7.40411010790085E14)</f>
        <v>740411010790085</v>
      </c>
      <c r="H647" s="24"/>
      <c r="I647" s="24"/>
      <c r="J647" s="24" t="str">
        <f>IFERROR(__xludf.DUMMYFUNCTION("""COMPUTED_VALUE"""),"LAKI-LAKI")</f>
        <v>LAKI-LAKI</v>
      </c>
      <c r="K647" s="24" t="str">
        <f>IFERROR(__xludf.DUMMYFUNCTION("""COMPUTED_VALUE"""),"Wakoko, Kel. Wakoko, Kec. Pasar Wajo")</f>
        <v>Wakoko, Kel. Wakoko, Kec. Pasar Wajo</v>
      </c>
      <c r="L647" s="24"/>
      <c r="M647" s="24"/>
      <c r="N647" s="24" t="str">
        <f>IFERROR(__xludf.DUMMYFUNCTION("""COMPUTED_VALUE"""),"SMA / SMK / MA")</f>
        <v>SMA / SMK / MA</v>
      </c>
      <c r="O647" s="24"/>
      <c r="P647" s="24"/>
      <c r="Q647" s="24"/>
      <c r="R647" s="24" t="str">
        <f>IFERROR(__xludf.DUMMYFUNCTION("""COMPUTED_VALUE"""),"K")</f>
        <v>K</v>
      </c>
      <c r="S647" s="25"/>
    </row>
    <row r="648" ht="22.5" customHeight="1">
      <c r="A648" s="22">
        <v>647.0</v>
      </c>
      <c r="B648" s="24" t="str">
        <f>IFERROR(__xludf.DUMMYFUNCTION("""COMPUTED_VALUE"""),"Merakit Komponen Fabrikasi")</f>
        <v>Merakit Komponen Fabrikasi</v>
      </c>
      <c r="C648" s="24" t="str">
        <f>IFERROR(__xludf.DUMMYFUNCTION("""COMPUTED_VALUE"""),"SMKS Kelautan dan Perikanan Raha")</f>
        <v>SMKS Kelautan dan Perikanan Raha</v>
      </c>
      <c r="D648" s="24"/>
      <c r="E648" s="24"/>
      <c r="F648" s="24" t="str">
        <f>IFERROR(__xludf.DUMMYFUNCTION("""COMPUTED_VALUE"""),"AGUS INDIANTO")</f>
        <v>AGUS INDIANTO</v>
      </c>
      <c r="G648" s="24" t="str">
        <f>IFERROR(__xludf.DUMMYFUNCTION("""COMPUTED_VALUE"""),"7403140908990001")</f>
        <v>7403140908990001</v>
      </c>
      <c r="H648" s="24"/>
      <c r="I648" s="24"/>
      <c r="J648" s="24" t="str">
        <f>IFERROR(__xludf.DUMMYFUNCTION("""COMPUTED_VALUE"""),"LAKI-LAKI")</f>
        <v>LAKI-LAKI</v>
      </c>
      <c r="K648" s="24" t="str">
        <f>IFERROR(__xludf.DUMMYFUNCTION("""COMPUTED_VALUE"""),"Jln. Lumba-lumba")</f>
        <v>Jln. Lumba-lumba</v>
      </c>
      <c r="L648" s="24"/>
      <c r="M648" s="24"/>
      <c r="N648" s="24" t="str">
        <f>IFERROR(__xludf.DUMMYFUNCTION("""COMPUTED_VALUE"""),"SMA / SMK / MA")</f>
        <v>SMA / SMK / MA</v>
      </c>
      <c r="O648" s="24"/>
      <c r="P648" s="24"/>
      <c r="Q648" s="24"/>
      <c r="R648" s="24" t="str">
        <f>IFERROR(__xludf.DUMMYFUNCTION("""COMPUTED_VALUE"""),"K")</f>
        <v>K</v>
      </c>
      <c r="S648" s="25"/>
    </row>
    <row r="649" ht="22.5" customHeight="1">
      <c r="A649" s="22">
        <v>648.0</v>
      </c>
      <c r="B649" s="24" t="str">
        <f>IFERROR(__xludf.DUMMYFUNCTION("""COMPUTED_VALUE"""),"Pemeliharaan Kendaraan Ringan Sistem Injeksi ")</f>
        <v>Pemeliharaan Kendaraan Ringan Sistem Injeksi </v>
      </c>
      <c r="C649" s="24" t="str">
        <f>IFERROR(__xludf.DUMMYFUNCTION("""COMPUTED_VALUE"""),"SMK Negeri 2 Kolaka")</f>
        <v>SMK Negeri 2 Kolaka</v>
      </c>
      <c r="D649" s="24"/>
      <c r="E649" s="24"/>
      <c r="F649" s="24" t="str">
        <f>IFERROR(__xludf.DUMMYFUNCTION("""COMPUTED_VALUE"""),"FIKRA RAMADANI")</f>
        <v>FIKRA RAMADANI</v>
      </c>
      <c r="G649" s="24" t="str">
        <f>IFERROR(__xludf.DUMMYFUNCTION("""COMPUTED_VALUE"""),"7401012809080002")</f>
        <v>7401012809080002</v>
      </c>
      <c r="H649" s="24"/>
      <c r="I649" s="24"/>
      <c r="J649" s="24" t="str">
        <f>IFERROR(__xludf.DUMMYFUNCTION("""COMPUTED_VALUE"""),"LAKI-LAKI")</f>
        <v>LAKI-LAKI</v>
      </c>
      <c r="K649" s="24" t="str">
        <f>IFERROR(__xludf.DUMMYFUNCTION("""COMPUTED_VALUE"""),"Kec. Wundulako, Kab Kolaka")</f>
        <v>Kec. Wundulako, Kab Kolaka</v>
      </c>
      <c r="L649" s="24"/>
      <c r="M649" s="24"/>
      <c r="N649" s="24" t="str">
        <f>IFERROR(__xludf.DUMMYFUNCTION("""COMPUTED_VALUE"""),"SMA / SMK / MA")</f>
        <v>SMA / SMK / MA</v>
      </c>
      <c r="O649" s="24"/>
      <c r="P649" s="24"/>
      <c r="Q649" s="24"/>
      <c r="R649" s="24" t="str">
        <f>IFERROR(__xludf.DUMMYFUNCTION("""COMPUTED_VALUE"""),"K")</f>
        <v>K</v>
      </c>
      <c r="S649" s="25"/>
    </row>
    <row r="650" ht="22.5" customHeight="1">
      <c r="A650" s="22">
        <v>649.0</v>
      </c>
      <c r="B650" s="24" t="str">
        <f>IFERROR(__xludf.DUMMYFUNCTION("""COMPUTED_VALUE"""),"Pemeliharaan Kendaraan Ringan Sistem Injeksi ")</f>
        <v>Pemeliharaan Kendaraan Ringan Sistem Injeksi </v>
      </c>
      <c r="C650" s="24" t="str">
        <f>IFERROR(__xludf.DUMMYFUNCTION("""COMPUTED_VALUE"""),"SMK Negeri 2 Kolaka")</f>
        <v>SMK Negeri 2 Kolaka</v>
      </c>
      <c r="D650" s="24"/>
      <c r="E650" s="24"/>
      <c r="F650" s="24" t="str">
        <f>IFERROR(__xludf.DUMMYFUNCTION("""COMPUTED_VALUE"""),"GINO MANGAMBE")</f>
        <v>GINO MANGAMBE</v>
      </c>
      <c r="G650" s="24" t="str">
        <f>IFERROR(__xludf.DUMMYFUNCTION("""COMPUTED_VALUE"""),"7401071506080003")</f>
        <v>7401071506080003</v>
      </c>
      <c r="H650" s="24"/>
      <c r="I650" s="24"/>
      <c r="J650" s="24" t="str">
        <f>IFERROR(__xludf.DUMMYFUNCTION("""COMPUTED_VALUE"""),"LAKI-LAKI")</f>
        <v>LAKI-LAKI</v>
      </c>
      <c r="K650" s="24" t="str">
        <f>IFERROR(__xludf.DUMMYFUNCTION("""COMPUTED_VALUE"""),"Kec. Pomalaa, Kab. Kolaka")</f>
        <v>Kec. Pomalaa, Kab. Kolaka</v>
      </c>
      <c r="L650" s="24"/>
      <c r="M650" s="24"/>
      <c r="N650" s="24" t="str">
        <f>IFERROR(__xludf.DUMMYFUNCTION("""COMPUTED_VALUE"""),"SMA / SMK / MA")</f>
        <v>SMA / SMK / MA</v>
      </c>
      <c r="O650" s="24"/>
      <c r="P650" s="24"/>
      <c r="Q650" s="24"/>
      <c r="R650" s="24" t="str">
        <f>IFERROR(__xludf.DUMMYFUNCTION("""COMPUTED_VALUE"""),"BK")</f>
        <v>BK</v>
      </c>
      <c r="S650" s="25"/>
    </row>
    <row r="651" ht="22.5" customHeight="1">
      <c r="A651" s="22">
        <v>650.0</v>
      </c>
      <c r="B651" s="24" t="str">
        <f>IFERROR(__xludf.DUMMYFUNCTION("""COMPUTED_VALUE"""),"Pemeliharaan Kendaraan Ringan Sistem Injeksi ")</f>
        <v>Pemeliharaan Kendaraan Ringan Sistem Injeksi </v>
      </c>
      <c r="C651" s="24" t="str">
        <f>IFERROR(__xludf.DUMMYFUNCTION("""COMPUTED_VALUE"""),"SMK Negeri 2 Kolaka")</f>
        <v>SMK Negeri 2 Kolaka</v>
      </c>
      <c r="D651" s="24"/>
      <c r="E651" s="24"/>
      <c r="F651" s="24" t="str">
        <f>IFERROR(__xludf.DUMMYFUNCTION("""COMPUTED_VALUE"""),"HAMDIY MASYKUUR")</f>
        <v>HAMDIY MASYKUUR</v>
      </c>
      <c r="G651" s="24" t="str">
        <f>IFERROR(__xludf.DUMMYFUNCTION("""COMPUTED_VALUE"""),"7401010402090001")</f>
        <v>7401010402090001</v>
      </c>
      <c r="H651" s="24"/>
      <c r="I651" s="24"/>
      <c r="J651" s="24" t="str">
        <f>IFERROR(__xludf.DUMMYFUNCTION("""COMPUTED_VALUE"""),"LAKI-LAKI")</f>
        <v>LAKI-LAKI</v>
      </c>
      <c r="K651" s="24" t="str">
        <f>IFERROR(__xludf.DUMMYFUNCTION("""COMPUTED_VALUE"""),"Wundulako, Kab. Kolaka")</f>
        <v>Wundulako, Kab. Kolaka</v>
      </c>
      <c r="L651" s="24"/>
      <c r="M651" s="24"/>
      <c r="N651" s="24" t="str">
        <f>IFERROR(__xludf.DUMMYFUNCTION("""COMPUTED_VALUE"""),"SMA / SMK / MA")</f>
        <v>SMA / SMK / MA</v>
      </c>
      <c r="O651" s="24"/>
      <c r="P651" s="24"/>
      <c r="Q651" s="24"/>
      <c r="R651" s="24" t="str">
        <f>IFERROR(__xludf.DUMMYFUNCTION("""COMPUTED_VALUE"""),"BK")</f>
        <v>BK</v>
      </c>
      <c r="S651" s="25"/>
    </row>
    <row r="652" ht="22.5" customHeight="1">
      <c r="A652" s="22">
        <v>651.0</v>
      </c>
      <c r="B652" s="24" t="str">
        <f>IFERROR(__xludf.DUMMYFUNCTION("""COMPUTED_VALUE"""),"Pemeliharaan Kendaraan Ringan Sistem Injeksi ")</f>
        <v>Pemeliharaan Kendaraan Ringan Sistem Injeksi </v>
      </c>
      <c r="C652" s="24" t="str">
        <f>IFERROR(__xludf.DUMMYFUNCTION("""COMPUTED_VALUE"""),"SMK Negeri 2 Kolaka")</f>
        <v>SMK Negeri 2 Kolaka</v>
      </c>
      <c r="D652" s="24"/>
      <c r="E652" s="24"/>
      <c r="F652" s="24" t="str">
        <f>IFERROR(__xludf.DUMMYFUNCTION("""COMPUTED_VALUE"""),"ILHAM FARIT")</f>
        <v>ILHAM FARIT</v>
      </c>
      <c r="G652" s="24" t="str">
        <f>IFERROR(__xludf.DUMMYFUNCTION("""COMPUTED_VALUE"""),"7401072305080003")</f>
        <v>7401072305080003</v>
      </c>
      <c r="H652" s="24"/>
      <c r="I652" s="24"/>
      <c r="J652" s="24" t="str">
        <f>IFERROR(__xludf.DUMMYFUNCTION("""COMPUTED_VALUE"""),"LAKI-LAKI")</f>
        <v>LAKI-LAKI</v>
      </c>
      <c r="K652" s="24" t="str">
        <f>IFERROR(__xludf.DUMMYFUNCTION("""COMPUTED_VALUE"""),"Kec. Pomala, Kab. Kolaka")</f>
        <v>Kec. Pomala, Kab. Kolaka</v>
      </c>
      <c r="L652" s="24"/>
      <c r="M652" s="24"/>
      <c r="N652" s="24" t="str">
        <f>IFERROR(__xludf.DUMMYFUNCTION("""COMPUTED_VALUE"""),"SMA / SMK / MA")</f>
        <v>SMA / SMK / MA</v>
      </c>
      <c r="O652" s="24"/>
      <c r="P652" s="24"/>
      <c r="Q652" s="24"/>
      <c r="R652" s="24" t="str">
        <f>IFERROR(__xludf.DUMMYFUNCTION("""COMPUTED_VALUE"""),"K")</f>
        <v>K</v>
      </c>
      <c r="S652" s="25"/>
    </row>
    <row r="653" ht="22.5" customHeight="1">
      <c r="A653" s="22">
        <v>652.0</v>
      </c>
      <c r="B653" s="24" t="str">
        <f>IFERROR(__xludf.DUMMYFUNCTION("""COMPUTED_VALUE"""),"Pemeliharaan Kendaraan Ringan Sistem Injeksi ")</f>
        <v>Pemeliharaan Kendaraan Ringan Sistem Injeksi </v>
      </c>
      <c r="C653" s="24" t="str">
        <f>IFERROR(__xludf.DUMMYFUNCTION("""COMPUTED_VALUE"""),"SMK Negeri 2 Kolaka")</f>
        <v>SMK Negeri 2 Kolaka</v>
      </c>
      <c r="D653" s="24"/>
      <c r="E653" s="24"/>
      <c r="F653" s="24" t="str">
        <f>IFERROR(__xludf.DUMMYFUNCTION("""COMPUTED_VALUE"""),"LUTFIANSYAH PRATAMA")</f>
        <v>LUTFIANSYAH PRATAMA</v>
      </c>
      <c r="G653" s="24" t="str">
        <f>IFERROR(__xludf.DUMMYFUNCTION("""COMPUTED_VALUE"""),"7401120511080001")</f>
        <v>7401120511080001</v>
      </c>
      <c r="H653" s="24"/>
      <c r="I653" s="24"/>
      <c r="J653" s="24" t="str">
        <f>IFERROR(__xludf.DUMMYFUNCTION("""COMPUTED_VALUE"""),"LAKI-LAKI")</f>
        <v>LAKI-LAKI</v>
      </c>
      <c r="K653" s="24" t="str">
        <f>IFERROR(__xludf.DUMMYFUNCTION("""COMPUTED_VALUE"""),"Kec. Baula, Kab. Kolaka")</f>
        <v>Kec. Baula, Kab. Kolaka</v>
      </c>
      <c r="L653" s="24"/>
      <c r="M653" s="24"/>
      <c r="N653" s="24" t="str">
        <f>IFERROR(__xludf.DUMMYFUNCTION("""COMPUTED_VALUE"""),"SMA / SMK / MA")</f>
        <v>SMA / SMK / MA</v>
      </c>
      <c r="O653" s="24"/>
      <c r="P653" s="24"/>
      <c r="Q653" s="24"/>
      <c r="R653" s="24" t="str">
        <f>IFERROR(__xludf.DUMMYFUNCTION("""COMPUTED_VALUE"""),"K")</f>
        <v>K</v>
      </c>
      <c r="S653" s="25"/>
    </row>
    <row r="654" ht="22.5" customHeight="1">
      <c r="A654" s="22">
        <v>653.0</v>
      </c>
      <c r="B654" s="24" t="str">
        <f>IFERROR(__xludf.DUMMYFUNCTION("""COMPUTED_VALUE"""),"Pemeliharaan Kendaraan Ringan Sistem Injeksi ")</f>
        <v>Pemeliharaan Kendaraan Ringan Sistem Injeksi </v>
      </c>
      <c r="C654" s="24" t="str">
        <f>IFERROR(__xludf.DUMMYFUNCTION("""COMPUTED_VALUE"""),"SMK Negeri 2 Kolaka")</f>
        <v>SMK Negeri 2 Kolaka</v>
      </c>
      <c r="D654" s="24"/>
      <c r="E654" s="24"/>
      <c r="F654" s="24" t="str">
        <f>IFERROR(__xludf.DUMMYFUNCTION("""COMPUTED_VALUE"""),"M. HAYKAL SAPUTRA")</f>
        <v>M. HAYKAL SAPUTRA</v>
      </c>
      <c r="G654" s="24" t="str">
        <f>IFERROR(__xludf.DUMMYFUNCTION("""COMPUTED_VALUE"""),"7401011012070002")</f>
        <v>7401011012070002</v>
      </c>
      <c r="H654" s="24"/>
      <c r="I654" s="24"/>
      <c r="J654" s="24" t="str">
        <f>IFERROR(__xludf.DUMMYFUNCTION("""COMPUTED_VALUE"""),"LAKI-LAKI")</f>
        <v>LAKI-LAKI</v>
      </c>
      <c r="K654" s="24" t="str">
        <f>IFERROR(__xludf.DUMMYFUNCTION("""COMPUTED_VALUE"""),"Bende")</f>
        <v>Bende</v>
      </c>
      <c r="L654" s="24"/>
      <c r="M654" s="24"/>
      <c r="N654" s="24" t="str">
        <f>IFERROR(__xludf.DUMMYFUNCTION("""COMPUTED_VALUE"""),"SMA / SMK / MA")</f>
        <v>SMA / SMK / MA</v>
      </c>
      <c r="O654" s="24"/>
      <c r="P654" s="24"/>
      <c r="Q654" s="24"/>
      <c r="R654" s="24" t="str">
        <f>IFERROR(__xludf.DUMMYFUNCTION("""COMPUTED_VALUE"""),"BK")</f>
        <v>BK</v>
      </c>
      <c r="S654" s="25"/>
    </row>
    <row r="655" ht="22.5" customHeight="1">
      <c r="A655" s="22">
        <v>654.0</v>
      </c>
      <c r="B655" s="24" t="str">
        <f>IFERROR(__xludf.DUMMYFUNCTION("""COMPUTED_VALUE"""),"Pemeliharaan Kendaraan Ringan Sistem Injeksi ")</f>
        <v>Pemeliharaan Kendaraan Ringan Sistem Injeksi </v>
      </c>
      <c r="C655" s="24" t="str">
        <f>IFERROR(__xludf.DUMMYFUNCTION("""COMPUTED_VALUE"""),"SMK Negeri 2 Kolaka")</f>
        <v>SMK Negeri 2 Kolaka</v>
      </c>
      <c r="D655" s="24"/>
      <c r="E655" s="24"/>
      <c r="F655" s="24" t="str">
        <f>IFERROR(__xludf.DUMMYFUNCTION("""COMPUTED_VALUE"""),"M. JAKAL")</f>
        <v>M. JAKAL</v>
      </c>
      <c r="G655" s="24" t="str">
        <f>IFERROR(__xludf.DUMMYFUNCTION("""COMPUTED_VALUE"""),"7401250302080001")</f>
        <v>7401250302080001</v>
      </c>
      <c r="H655" s="24"/>
      <c r="I655" s="24"/>
      <c r="J655" s="24" t="str">
        <f>IFERROR(__xludf.DUMMYFUNCTION("""COMPUTED_VALUE"""),"LAKI-LAKI")</f>
        <v>LAKI-LAKI</v>
      </c>
      <c r="K655" s="24" t="str">
        <f>IFERROR(__xludf.DUMMYFUNCTION("""COMPUTED_VALUE"""),"Kec. Wundulako, kab. Kolaka")</f>
        <v>Kec. Wundulako, kab. Kolaka</v>
      </c>
      <c r="L655" s="24"/>
      <c r="M655" s="24"/>
      <c r="N655" s="24" t="str">
        <f>IFERROR(__xludf.DUMMYFUNCTION("""COMPUTED_VALUE"""),"SMA / SMK / MA")</f>
        <v>SMA / SMK / MA</v>
      </c>
      <c r="O655" s="24"/>
      <c r="P655" s="24"/>
      <c r="Q655" s="24"/>
      <c r="R655" s="24" t="str">
        <f>IFERROR(__xludf.DUMMYFUNCTION("""COMPUTED_VALUE"""),"K")</f>
        <v>K</v>
      </c>
      <c r="S655" s="25"/>
    </row>
    <row r="656" ht="22.5" customHeight="1">
      <c r="A656" s="22">
        <v>655.0</v>
      </c>
      <c r="B656" s="24" t="str">
        <f>IFERROR(__xludf.DUMMYFUNCTION("""COMPUTED_VALUE"""),"Pemeliharaan Kendaraan Ringan Sistem Injeksi ")</f>
        <v>Pemeliharaan Kendaraan Ringan Sistem Injeksi </v>
      </c>
      <c r="C656" s="24" t="str">
        <f>IFERROR(__xludf.DUMMYFUNCTION("""COMPUTED_VALUE"""),"SMK Negeri 2 Kolaka")</f>
        <v>SMK Negeri 2 Kolaka</v>
      </c>
      <c r="D656" s="24"/>
      <c r="E656" s="24"/>
      <c r="F656" s="24" t="str">
        <f>IFERROR(__xludf.DUMMYFUNCTION("""COMPUTED_VALUE"""),"MUH. ADNAN FAIZ")</f>
        <v>MUH. ADNAN FAIZ</v>
      </c>
      <c r="G656" s="24" t="str">
        <f>IFERROR(__xludf.DUMMYFUNCTION("""COMPUTED_VALUE"""),"7401120302080001")</f>
        <v>7401120302080001</v>
      </c>
      <c r="H656" s="24"/>
      <c r="I656" s="24"/>
      <c r="J656" s="24" t="str">
        <f>IFERROR(__xludf.DUMMYFUNCTION("""COMPUTED_VALUE"""),"LAKI-LAKI")</f>
        <v>LAKI-LAKI</v>
      </c>
      <c r="K656" s="24" t="str">
        <f>IFERROR(__xludf.DUMMYFUNCTION("""COMPUTED_VALUE"""),"Desa Ulu Baula, Kec. Baula, Kab. Kolaka, ")</f>
        <v>Desa Ulu Baula, Kec. Baula, Kab. Kolaka, </v>
      </c>
      <c r="L656" s="24"/>
      <c r="M656" s="24"/>
      <c r="N656" s="24" t="str">
        <f>IFERROR(__xludf.DUMMYFUNCTION("""COMPUTED_VALUE"""),"SMA / SMK / MA")</f>
        <v>SMA / SMK / MA</v>
      </c>
      <c r="O656" s="24"/>
      <c r="P656" s="24"/>
      <c r="Q656" s="24"/>
      <c r="R656" s="24" t="str">
        <f>IFERROR(__xludf.DUMMYFUNCTION("""COMPUTED_VALUE"""),"K")</f>
        <v>K</v>
      </c>
      <c r="S656" s="25"/>
    </row>
    <row r="657" ht="22.5" customHeight="1">
      <c r="A657" s="22">
        <v>656.0</v>
      </c>
      <c r="B657" s="24" t="str">
        <f>IFERROR(__xludf.DUMMYFUNCTION("""COMPUTED_VALUE"""),"Pemeliharaan Kendaraan Ringan Sistem Injeksi ")</f>
        <v>Pemeliharaan Kendaraan Ringan Sistem Injeksi </v>
      </c>
      <c r="C657" s="24" t="str">
        <f>IFERROR(__xludf.DUMMYFUNCTION("""COMPUTED_VALUE"""),"SMK Negeri 2 Kolaka")</f>
        <v>SMK Negeri 2 Kolaka</v>
      </c>
      <c r="D657" s="24"/>
      <c r="E657" s="24"/>
      <c r="F657" s="24" t="str">
        <f>IFERROR(__xludf.DUMMYFUNCTION("""COMPUTED_VALUE"""),"MUH. ALIF")</f>
        <v>MUH. ALIF</v>
      </c>
      <c r="G657" s="24" t="str">
        <f>IFERROR(__xludf.DUMMYFUNCTION("""COMPUTED_VALUE"""),"7401121504080001")</f>
        <v>7401121504080001</v>
      </c>
      <c r="H657" s="24"/>
      <c r="I657" s="24"/>
      <c r="J657" s="24" t="str">
        <f>IFERROR(__xludf.DUMMYFUNCTION("""COMPUTED_VALUE"""),"LAKI-LAKI")</f>
        <v>LAKI-LAKI</v>
      </c>
      <c r="K657" s="24" t="str">
        <f>IFERROR(__xludf.DUMMYFUNCTION("""COMPUTED_VALUE"""),"Longori Dusun 3 lorong Veteran")</f>
        <v>Longori Dusun 3 lorong Veteran</v>
      </c>
      <c r="L657" s="24"/>
      <c r="M657" s="24"/>
      <c r="N657" s="24" t="str">
        <f>IFERROR(__xludf.DUMMYFUNCTION("""COMPUTED_VALUE"""),"SMA / SMK / MA")</f>
        <v>SMA / SMK / MA</v>
      </c>
      <c r="O657" s="24"/>
      <c r="P657" s="24"/>
      <c r="Q657" s="24"/>
      <c r="R657" s="24" t="str">
        <f>IFERROR(__xludf.DUMMYFUNCTION("""COMPUTED_VALUE"""),"K")</f>
        <v>K</v>
      </c>
      <c r="S657" s="25"/>
    </row>
    <row r="658" ht="22.5" customHeight="1">
      <c r="A658" s="22">
        <v>657.0</v>
      </c>
      <c r="B658" s="24" t="str">
        <f>IFERROR(__xludf.DUMMYFUNCTION("""COMPUTED_VALUE"""),"Pemeliharaan Kendaraan Ringan Sistem Injeksi ")</f>
        <v>Pemeliharaan Kendaraan Ringan Sistem Injeksi </v>
      </c>
      <c r="C658" s="24" t="str">
        <f>IFERROR(__xludf.DUMMYFUNCTION("""COMPUTED_VALUE"""),"SMK Negeri 2 Kolaka")</f>
        <v>SMK Negeri 2 Kolaka</v>
      </c>
      <c r="D658" s="24"/>
      <c r="E658" s="24"/>
      <c r="F658" s="24" t="str">
        <f>IFERROR(__xludf.DUMMYFUNCTION("""COMPUTED_VALUE"""),"MUH. FATHIR AL AZHAR")</f>
        <v>MUH. FATHIR AL AZHAR</v>
      </c>
      <c r="G658" s="24" t="str">
        <f>IFERROR(__xludf.DUMMYFUNCTION("""COMPUTED_VALUE"""),"7401041608070001")</f>
        <v>7401041608070001</v>
      </c>
      <c r="H658" s="24"/>
      <c r="I658" s="24"/>
      <c r="J658" s="24" t="str">
        <f>IFERROR(__xludf.DUMMYFUNCTION("""COMPUTED_VALUE"""),"LAKI-LAKI")</f>
        <v>LAKI-LAKI</v>
      </c>
      <c r="K658" s="24" t="str">
        <f>IFERROR(__xludf.DUMMYFUNCTION("""COMPUTED_VALUE"""),"Kec. Wundulako, Kab. Kolaka")</f>
        <v>Kec. Wundulako, Kab. Kolaka</v>
      </c>
      <c r="L658" s="24"/>
      <c r="M658" s="24"/>
      <c r="N658" s="24" t="str">
        <f>IFERROR(__xludf.DUMMYFUNCTION("""COMPUTED_VALUE"""),"SMA / SMK / MA")</f>
        <v>SMA / SMK / MA</v>
      </c>
      <c r="O658" s="24"/>
      <c r="P658" s="24"/>
      <c r="Q658" s="24"/>
      <c r="R658" s="24" t="str">
        <f>IFERROR(__xludf.DUMMYFUNCTION("""COMPUTED_VALUE"""),"BK")</f>
        <v>BK</v>
      </c>
      <c r="S658" s="25"/>
    </row>
    <row r="659" ht="22.5" customHeight="1">
      <c r="A659" s="22">
        <v>658.0</v>
      </c>
      <c r="B659" s="24" t="str">
        <f>IFERROR(__xludf.DUMMYFUNCTION("""COMPUTED_VALUE"""),"Pemeliharaan Kendaraan Ringan Sistem Injeksi ")</f>
        <v>Pemeliharaan Kendaraan Ringan Sistem Injeksi </v>
      </c>
      <c r="C659" s="24" t="str">
        <f>IFERROR(__xludf.DUMMYFUNCTION("""COMPUTED_VALUE"""),"SMK Negeri 2 Kolaka")</f>
        <v>SMK Negeri 2 Kolaka</v>
      </c>
      <c r="D659" s="24"/>
      <c r="E659" s="24"/>
      <c r="F659" s="24" t="str">
        <f>IFERROR(__xludf.DUMMYFUNCTION("""COMPUTED_VALUE"""),"MUH. IKSAN")</f>
        <v>MUH. IKSAN</v>
      </c>
      <c r="G659" s="24" t="str">
        <f>IFERROR(__xludf.DUMMYFUNCTION("""COMPUTED_VALUE"""),"7401120404110001")</f>
        <v>7401120404110001</v>
      </c>
      <c r="H659" s="24"/>
      <c r="I659" s="24"/>
      <c r="J659" s="24" t="str">
        <f>IFERROR(__xludf.DUMMYFUNCTION("""COMPUTED_VALUE"""),"LAKI-LAKI")</f>
        <v>LAKI-LAKI</v>
      </c>
      <c r="K659" s="24" t="str">
        <f>IFERROR(__xludf.DUMMYFUNCTION("""COMPUTED_VALUE"""),"Baula, Kab. kolaka")</f>
        <v>Baula, Kab. kolaka</v>
      </c>
      <c r="L659" s="24"/>
      <c r="M659" s="24"/>
      <c r="N659" s="24" t="str">
        <f>IFERROR(__xludf.DUMMYFUNCTION("""COMPUTED_VALUE"""),"SMA / SMK / MA")</f>
        <v>SMA / SMK / MA</v>
      </c>
      <c r="O659" s="24"/>
      <c r="P659" s="24"/>
      <c r="Q659" s="24"/>
      <c r="R659" s="24" t="str">
        <f>IFERROR(__xludf.DUMMYFUNCTION("""COMPUTED_VALUE"""),"BK")</f>
        <v>BK</v>
      </c>
      <c r="S659" s="25"/>
    </row>
    <row r="660" ht="22.5" customHeight="1">
      <c r="A660" s="22">
        <v>659.0</v>
      </c>
      <c r="B660" s="24" t="str">
        <f>IFERROR(__xludf.DUMMYFUNCTION("""COMPUTED_VALUE"""),"Pemeliharaan Kendaraan Ringan Sistem Injeksi ")</f>
        <v>Pemeliharaan Kendaraan Ringan Sistem Injeksi </v>
      </c>
      <c r="C660" s="24" t="str">
        <f>IFERROR(__xludf.DUMMYFUNCTION("""COMPUTED_VALUE"""),"SMK Negeri 2 Kolaka")</f>
        <v>SMK Negeri 2 Kolaka</v>
      </c>
      <c r="D660" s="24"/>
      <c r="E660" s="24"/>
      <c r="F660" s="24" t="str">
        <f>IFERROR(__xludf.DUMMYFUNCTION("""COMPUTED_VALUE"""),"MUH. RASIAH")</f>
        <v>MUH. RASIAH</v>
      </c>
      <c r="G660" s="24" t="str">
        <f>IFERROR(__xludf.DUMMYFUNCTION("""COMPUTED_VALUE"""),"7401010508070002")</f>
        <v>7401010508070002</v>
      </c>
      <c r="H660" s="24"/>
      <c r="I660" s="24"/>
      <c r="J660" s="24" t="str">
        <f>IFERROR(__xludf.DUMMYFUNCTION("""COMPUTED_VALUE"""),"LAKI-LAKI")</f>
        <v>LAKI-LAKI</v>
      </c>
      <c r="K660" s="24" t="str">
        <f>IFERROR(__xludf.DUMMYFUNCTION("""COMPUTED_VALUE"""),"Kec. Wundulako, Kab. Kolaka")</f>
        <v>Kec. Wundulako, Kab. Kolaka</v>
      </c>
      <c r="L660" s="24"/>
      <c r="M660" s="24"/>
      <c r="N660" s="24" t="str">
        <f>IFERROR(__xludf.DUMMYFUNCTION("""COMPUTED_VALUE"""),"SMA / SMK / MA")</f>
        <v>SMA / SMK / MA</v>
      </c>
      <c r="O660" s="24"/>
      <c r="P660" s="24"/>
      <c r="Q660" s="24"/>
      <c r="R660" s="24" t="str">
        <f>IFERROR(__xludf.DUMMYFUNCTION("""COMPUTED_VALUE"""),"BK")</f>
        <v>BK</v>
      </c>
      <c r="S660" s="25"/>
    </row>
    <row r="661" ht="22.5" customHeight="1">
      <c r="A661" s="22">
        <v>660.0</v>
      </c>
      <c r="B661" s="24" t="str">
        <f>IFERROR(__xludf.DUMMYFUNCTION("""COMPUTED_VALUE"""),"Pemeliharaan Kendaraan Ringan Sistem Injeksi ")</f>
        <v>Pemeliharaan Kendaraan Ringan Sistem Injeksi </v>
      </c>
      <c r="C661" s="24" t="str">
        <f>IFERROR(__xludf.DUMMYFUNCTION("""COMPUTED_VALUE"""),"SMK Negeri 2 Kolaka")</f>
        <v>SMK Negeri 2 Kolaka</v>
      </c>
      <c r="D661" s="24"/>
      <c r="E661" s="24"/>
      <c r="F661" s="24" t="str">
        <f>IFERROR(__xludf.DUMMYFUNCTION("""COMPUTED_VALUE"""),"MUH. RIFALDI")</f>
        <v>MUH. RIFALDI</v>
      </c>
      <c r="G661" s="24" t="str">
        <f>IFERROR(__xludf.DUMMYFUNCTION("""COMPUTED_VALUE"""),"7307080108080001")</f>
        <v>7307080108080001</v>
      </c>
      <c r="H661" s="24"/>
      <c r="I661" s="24"/>
      <c r="J661" s="24" t="str">
        <f>IFERROR(__xludf.DUMMYFUNCTION("""COMPUTED_VALUE"""),"LAKI-LAKI")</f>
        <v>LAKI-LAKI</v>
      </c>
      <c r="K661" s="24"/>
      <c r="L661" s="24"/>
      <c r="M661" s="24"/>
      <c r="N661" s="24" t="str">
        <f>IFERROR(__xludf.DUMMYFUNCTION("""COMPUTED_VALUE"""),"SMA / SMK / MA")</f>
        <v>SMA / SMK / MA</v>
      </c>
      <c r="O661" s="24"/>
      <c r="P661" s="24"/>
      <c r="Q661" s="24"/>
      <c r="R661" s="24" t="str">
        <f>IFERROR(__xludf.DUMMYFUNCTION("""COMPUTED_VALUE"""),"K")</f>
        <v>K</v>
      </c>
      <c r="S661" s="25"/>
    </row>
    <row r="662" ht="22.5" customHeight="1">
      <c r="A662" s="22">
        <v>661.0</v>
      </c>
      <c r="B662" s="24" t="str">
        <f>IFERROR(__xludf.DUMMYFUNCTION("""COMPUTED_VALUE"""),"Pemeliharaan Kendaraan Ringan Sistem Injeksi ")</f>
        <v>Pemeliharaan Kendaraan Ringan Sistem Injeksi </v>
      </c>
      <c r="C662" s="24" t="str">
        <f>IFERROR(__xludf.DUMMYFUNCTION("""COMPUTED_VALUE"""),"SMK Negeri 2 Kolaka")</f>
        <v>SMK Negeri 2 Kolaka</v>
      </c>
      <c r="D662" s="24"/>
      <c r="E662" s="24"/>
      <c r="F662" s="24" t="str">
        <f>IFERROR(__xludf.DUMMYFUNCTION("""COMPUTED_VALUE"""),"MUH. ZARUL RIHWAL")</f>
        <v>MUH. ZARUL RIHWAL</v>
      </c>
      <c r="G662" s="24" t="str">
        <f>IFERROR(__xludf.DUMMYFUNCTION("""COMPUTED_VALUE"""),"7401120803080001")</f>
        <v>7401120803080001</v>
      </c>
      <c r="H662" s="24"/>
      <c r="I662" s="24"/>
      <c r="J662" s="24" t="str">
        <f>IFERROR(__xludf.DUMMYFUNCTION("""COMPUTED_VALUE"""),"LAKI-LAKI")</f>
        <v>LAKI-LAKI</v>
      </c>
      <c r="K662" s="24" t="str">
        <f>IFERROR(__xludf.DUMMYFUNCTION("""COMPUTED_VALUE"""),"Kec. Baula, Kab. Kolaka")</f>
        <v>Kec. Baula, Kab. Kolaka</v>
      </c>
      <c r="L662" s="24"/>
      <c r="M662" s="24"/>
      <c r="N662" s="24" t="str">
        <f>IFERROR(__xludf.DUMMYFUNCTION("""COMPUTED_VALUE"""),"SMA / SMK / MA")</f>
        <v>SMA / SMK / MA</v>
      </c>
      <c r="O662" s="24"/>
      <c r="P662" s="24"/>
      <c r="Q662" s="24"/>
      <c r="R662" s="24" t="str">
        <f>IFERROR(__xludf.DUMMYFUNCTION("""COMPUTED_VALUE"""),"BK")</f>
        <v>BK</v>
      </c>
      <c r="S662" s="25"/>
    </row>
    <row r="663" ht="22.5" customHeight="1">
      <c r="A663" s="22">
        <v>662.0</v>
      </c>
      <c r="B663" s="24" t="str">
        <f>IFERROR(__xludf.DUMMYFUNCTION("""COMPUTED_VALUE"""),"Pemeliharaan Kendaraan Ringan Sistem Injeksi ")</f>
        <v>Pemeliharaan Kendaraan Ringan Sistem Injeksi </v>
      </c>
      <c r="C663" s="24" t="str">
        <f>IFERROR(__xludf.DUMMYFUNCTION("""COMPUTED_VALUE"""),"SMK Negeri 2 Kolaka")</f>
        <v>SMK Negeri 2 Kolaka</v>
      </c>
      <c r="D663" s="24"/>
      <c r="E663" s="24"/>
      <c r="F663" s="24" t="str">
        <f>IFERROR(__xludf.DUMMYFUNCTION("""COMPUTED_VALUE"""),"MUH. FIKAR")</f>
        <v>MUH. FIKAR</v>
      </c>
      <c r="G663" s="24" t="str">
        <f>IFERROR(__xludf.DUMMYFUNCTION("""COMPUTED_VALUE"""),"7401070310080002")</f>
        <v>7401070310080002</v>
      </c>
      <c r="H663" s="24"/>
      <c r="I663" s="24"/>
      <c r="J663" s="24" t="str">
        <f>IFERROR(__xludf.DUMMYFUNCTION("""COMPUTED_VALUE"""),"LAKI-LAKI")</f>
        <v>LAKI-LAKI</v>
      </c>
      <c r="K663" s="24" t="str">
        <f>IFERROR(__xludf.DUMMYFUNCTION("""COMPUTED_VALUE"""),"Kec. Pomala, Kab. Kolaka")</f>
        <v>Kec. Pomala, Kab. Kolaka</v>
      </c>
      <c r="L663" s="24"/>
      <c r="M663" s="24"/>
      <c r="N663" s="24" t="str">
        <f>IFERROR(__xludf.DUMMYFUNCTION("""COMPUTED_VALUE"""),"SMA / SMK / MA")</f>
        <v>SMA / SMK / MA</v>
      </c>
      <c r="O663" s="24"/>
      <c r="P663" s="24"/>
      <c r="Q663" s="24"/>
      <c r="R663" s="24" t="str">
        <f>IFERROR(__xludf.DUMMYFUNCTION("""COMPUTED_VALUE"""),"BK")</f>
        <v>BK</v>
      </c>
      <c r="S663" s="25"/>
    </row>
    <row r="664" ht="22.5" customHeight="1">
      <c r="A664" s="22">
        <v>663.0</v>
      </c>
      <c r="B664" s="24" t="str">
        <f>IFERROR(__xludf.DUMMYFUNCTION("""COMPUTED_VALUE"""),"Pemeliharaan Kendaraan Ringan Sistem Injeksi ")</f>
        <v>Pemeliharaan Kendaraan Ringan Sistem Injeksi </v>
      </c>
      <c r="C664" s="24" t="str">
        <f>IFERROR(__xludf.DUMMYFUNCTION("""COMPUTED_VALUE"""),"SMK Negeri 2 Kolaka")</f>
        <v>SMK Negeri 2 Kolaka</v>
      </c>
      <c r="D664" s="24"/>
      <c r="E664" s="24"/>
      <c r="F664" s="24" t="str">
        <f>IFERROR(__xludf.DUMMYFUNCTION("""COMPUTED_VALUE"""),"Muhammad Fawa'id Aqil Maiwa")</f>
        <v>Muhammad Fawa'id Aqil Maiwa</v>
      </c>
      <c r="G664" s="24" t="str">
        <f>IFERROR(__xludf.DUMMYFUNCTION("""COMPUTED_VALUE"""),"7401010410080001")</f>
        <v>7401010410080001</v>
      </c>
      <c r="H664" s="24"/>
      <c r="I664" s="24"/>
      <c r="J664" s="24" t="str">
        <f>IFERROR(__xludf.DUMMYFUNCTION("""COMPUTED_VALUE"""),"LAKI-LAKI")</f>
        <v>LAKI-LAKI</v>
      </c>
      <c r="K664" s="24" t="str">
        <f>IFERROR(__xludf.DUMMYFUNCTION("""COMPUTED_VALUE"""),"-")</f>
        <v>-</v>
      </c>
      <c r="L664" s="24"/>
      <c r="M664" s="24"/>
      <c r="N664" s="24" t="str">
        <f>IFERROR(__xludf.DUMMYFUNCTION("""COMPUTED_VALUE"""),"SMA / SMK / MA")</f>
        <v>SMA / SMK / MA</v>
      </c>
      <c r="O664" s="24"/>
      <c r="P664" s="24"/>
      <c r="Q664" s="24"/>
      <c r="R664" s="24" t="str">
        <f>IFERROR(__xludf.DUMMYFUNCTION("""COMPUTED_VALUE"""),"K")</f>
        <v>K</v>
      </c>
      <c r="S664" s="25"/>
    </row>
    <row r="665" ht="22.5" customHeight="1">
      <c r="A665" s="22">
        <v>664.0</v>
      </c>
      <c r="B665" s="24" t="str">
        <f>IFERROR(__xludf.DUMMYFUNCTION("""COMPUTED_VALUE"""),"Pemeliharaan Kendaraan Ringan Sistem Injeksi ")</f>
        <v>Pemeliharaan Kendaraan Ringan Sistem Injeksi </v>
      </c>
      <c r="C665" s="24" t="str">
        <f>IFERROR(__xludf.DUMMYFUNCTION("""COMPUTED_VALUE"""),"SMK Negeri 2 Kolaka")</f>
        <v>SMK Negeri 2 Kolaka</v>
      </c>
      <c r="D665" s="24"/>
      <c r="E665" s="24"/>
      <c r="F665" s="24" t="str">
        <f>IFERROR(__xludf.DUMMYFUNCTION("""COMPUTED_VALUE"""),"MUHAMMAD TASLIM")</f>
        <v>MUHAMMAD TASLIM</v>
      </c>
      <c r="G665" s="24" t="str">
        <f>IFERROR(__xludf.DUMMYFUNCTION("""COMPUTED_VALUE"""),"7401070511070001")</f>
        <v>7401070511070001</v>
      </c>
      <c r="H665" s="24"/>
      <c r="I665" s="24"/>
      <c r="J665" s="24" t="str">
        <f>IFERROR(__xludf.DUMMYFUNCTION("""COMPUTED_VALUE"""),"LAKI-LAKI")</f>
        <v>LAKI-LAKI</v>
      </c>
      <c r="K665" s="24" t="str">
        <f>IFERROR(__xludf.DUMMYFUNCTION("""COMPUTED_VALUE"""),"Kec. Pomalaa, Kab. Kolaka")</f>
        <v>Kec. Pomalaa, Kab. Kolaka</v>
      </c>
      <c r="L665" s="24"/>
      <c r="M665" s="24"/>
      <c r="N665" s="24" t="str">
        <f>IFERROR(__xludf.DUMMYFUNCTION("""COMPUTED_VALUE"""),"SMA / SMK / MA")</f>
        <v>SMA / SMK / MA</v>
      </c>
      <c r="O665" s="24"/>
      <c r="P665" s="24"/>
      <c r="Q665" s="24"/>
      <c r="R665" s="24" t="str">
        <f>IFERROR(__xludf.DUMMYFUNCTION("""COMPUTED_VALUE"""),"K")</f>
        <v>K</v>
      </c>
      <c r="S665" s="25"/>
    </row>
    <row r="666" ht="22.5" customHeight="1">
      <c r="A666" s="22">
        <v>665.0</v>
      </c>
      <c r="B666" s="24" t="str">
        <f>IFERROR(__xludf.DUMMYFUNCTION("""COMPUTED_VALUE"""),"Pemeliharaan Kendaraan Ringan Sistem Injeksi ")</f>
        <v>Pemeliharaan Kendaraan Ringan Sistem Injeksi </v>
      </c>
      <c r="C666" s="24" t="str">
        <f>IFERROR(__xludf.DUMMYFUNCTION("""COMPUTED_VALUE"""),"SMK Negeri 2 Kolaka")</f>
        <v>SMK Negeri 2 Kolaka</v>
      </c>
      <c r="D666" s="24"/>
      <c r="E666" s="24"/>
      <c r="F666" s="24" t="str">
        <f>IFERROR(__xludf.DUMMYFUNCTION("""COMPUTED_VALUE"""),"PUTRA SETIAWAN")</f>
        <v>PUTRA SETIAWAN</v>
      </c>
      <c r="G666" s="24" t="str">
        <f>IFERROR(__xludf.DUMMYFUNCTION("""COMPUTED_VALUE"""),"7401120112080002")</f>
        <v>7401120112080002</v>
      </c>
      <c r="H666" s="24"/>
      <c r="I666" s="24"/>
      <c r="J666" s="24" t="str">
        <f>IFERROR(__xludf.DUMMYFUNCTION("""COMPUTED_VALUE"""),"LAKI-LAKI")</f>
        <v>LAKI-LAKI</v>
      </c>
      <c r="K666" s="24" t="str">
        <f>IFERROR(__xludf.DUMMYFUNCTION("""COMPUTED_VALUE"""),"Kec. Pomalaa, Kab. Kolaka")</f>
        <v>Kec. Pomalaa, Kab. Kolaka</v>
      </c>
      <c r="L666" s="24"/>
      <c r="M666" s="24"/>
      <c r="N666" s="24" t="str">
        <f>IFERROR(__xludf.DUMMYFUNCTION("""COMPUTED_VALUE"""),"SMA / SMK / MA")</f>
        <v>SMA / SMK / MA</v>
      </c>
      <c r="O666" s="24"/>
      <c r="P666" s="24"/>
      <c r="Q666" s="24"/>
      <c r="R666" s="24" t="str">
        <f>IFERROR(__xludf.DUMMYFUNCTION("""COMPUTED_VALUE"""),"BK")</f>
        <v>BK</v>
      </c>
      <c r="S666" s="25"/>
    </row>
    <row r="667" ht="22.5" customHeight="1">
      <c r="A667" s="22">
        <v>666.0</v>
      </c>
      <c r="B667" s="24" t="str">
        <f>IFERROR(__xludf.DUMMYFUNCTION("""COMPUTED_VALUE"""),"Pemeliharaan Kendaraan Ringan Sistem Injeksi ")</f>
        <v>Pemeliharaan Kendaraan Ringan Sistem Injeksi </v>
      </c>
      <c r="C667" s="24" t="str">
        <f>IFERROR(__xludf.DUMMYFUNCTION("""COMPUTED_VALUE"""),"SMK Negeri 2 Kolaka")</f>
        <v>SMK Negeri 2 Kolaka</v>
      </c>
      <c r="D667" s="24"/>
      <c r="E667" s="24"/>
      <c r="F667" s="24" t="str">
        <f>IFERROR(__xludf.DUMMYFUNCTION("""COMPUTED_VALUE"""),"Rafli")</f>
        <v>Rafli</v>
      </c>
      <c r="G667" s="24" t="str">
        <f>IFERROR(__xludf.DUMMYFUNCTION("""COMPUTED_VALUE"""),"7401041601090001")</f>
        <v>7401041601090001</v>
      </c>
      <c r="H667" s="24"/>
      <c r="I667" s="24"/>
      <c r="J667" s="24" t="str">
        <f>IFERROR(__xludf.DUMMYFUNCTION("""COMPUTED_VALUE"""),"LAKI-LAKI")</f>
        <v>LAKI-LAKI</v>
      </c>
      <c r="K667" s="24" t="str">
        <f>IFERROR(__xludf.DUMMYFUNCTION("""COMPUTED_VALUE"""),"Lamekongga, Kab. Kolaka")</f>
        <v>Lamekongga, Kab. Kolaka</v>
      </c>
      <c r="L667" s="24"/>
      <c r="M667" s="24"/>
      <c r="N667" s="24" t="str">
        <f>IFERROR(__xludf.DUMMYFUNCTION("""COMPUTED_VALUE"""),"SMA / SMK / MA")</f>
        <v>SMA / SMK / MA</v>
      </c>
      <c r="O667" s="24"/>
      <c r="P667" s="24"/>
      <c r="Q667" s="24"/>
      <c r="R667" s="24" t="str">
        <f>IFERROR(__xludf.DUMMYFUNCTION("""COMPUTED_VALUE"""),"K")</f>
        <v>K</v>
      </c>
      <c r="S667" s="25"/>
    </row>
    <row r="668" ht="22.5" customHeight="1">
      <c r="A668" s="22">
        <v>667.0</v>
      </c>
      <c r="B668" s="24" t="str">
        <f>IFERROR(__xludf.DUMMYFUNCTION("""COMPUTED_VALUE"""),"Pemeliharaan Kendaraan Ringan Sistem Injeksi ")</f>
        <v>Pemeliharaan Kendaraan Ringan Sistem Injeksi </v>
      </c>
      <c r="C668" s="24" t="str">
        <f>IFERROR(__xludf.DUMMYFUNCTION("""COMPUTED_VALUE"""),"SMK Negeri 2 Kolaka")</f>
        <v>SMK Negeri 2 Kolaka</v>
      </c>
      <c r="D668" s="24"/>
      <c r="E668" s="24"/>
      <c r="F668" s="24" t="str">
        <f>IFERROR(__xludf.DUMMYFUNCTION("""COMPUTED_VALUE"""),"RANDY")</f>
        <v>RANDY</v>
      </c>
      <c r="G668" s="24" t="str">
        <f>IFERROR(__xludf.DUMMYFUNCTION("""COMPUTED_VALUE"""),"7401122105080002")</f>
        <v>7401122105080002</v>
      </c>
      <c r="H668" s="24"/>
      <c r="I668" s="24"/>
      <c r="J668" s="24" t="str">
        <f>IFERROR(__xludf.DUMMYFUNCTION("""COMPUTED_VALUE"""),"LAKI-LAKI")</f>
        <v>LAKI-LAKI</v>
      </c>
      <c r="K668" s="24" t="str">
        <f>IFERROR(__xludf.DUMMYFUNCTION("""COMPUTED_VALUE"""),"Desa Puulemo, Kec. Baula, Kab. Kolaka")</f>
        <v>Desa Puulemo, Kec. Baula, Kab. Kolaka</v>
      </c>
      <c r="L668" s="24"/>
      <c r="M668" s="24"/>
      <c r="N668" s="24" t="str">
        <f>IFERROR(__xludf.DUMMYFUNCTION("""COMPUTED_VALUE"""),"SMA / SMK / MA")</f>
        <v>SMA / SMK / MA</v>
      </c>
      <c r="O668" s="24"/>
      <c r="P668" s="24"/>
      <c r="Q668" s="24"/>
      <c r="R668" s="24" t="str">
        <f>IFERROR(__xludf.DUMMYFUNCTION("""COMPUTED_VALUE"""),"BK")</f>
        <v>BK</v>
      </c>
      <c r="S668" s="25"/>
    </row>
    <row r="669" ht="22.5" customHeight="1">
      <c r="A669" s="22">
        <v>668.0</v>
      </c>
      <c r="B669" s="24" t="str">
        <f>IFERROR(__xludf.DUMMYFUNCTION("""COMPUTED_VALUE"""),"Pemeliharaan Kendaraan Ringan Sistem Injeksi ")</f>
        <v>Pemeliharaan Kendaraan Ringan Sistem Injeksi </v>
      </c>
      <c r="C669" s="24" t="str">
        <f>IFERROR(__xludf.DUMMYFUNCTION("""COMPUTED_VALUE"""),"SMK Negeri 2 Kolaka")</f>
        <v>SMK Negeri 2 Kolaka</v>
      </c>
      <c r="D669" s="24"/>
      <c r="E669" s="24"/>
      <c r="F669" s="24" t="str">
        <f>IFERROR(__xludf.DUMMYFUNCTION("""COMPUTED_VALUE"""),"REHAN")</f>
        <v>REHAN</v>
      </c>
      <c r="G669" s="24" t="str">
        <f>IFERROR(__xludf.DUMMYFUNCTION("""COMPUTED_VALUE"""),"7401122409130001")</f>
        <v>7401122409130001</v>
      </c>
      <c r="H669" s="24"/>
      <c r="I669" s="24"/>
      <c r="J669" s="24" t="str">
        <f>IFERROR(__xludf.DUMMYFUNCTION("""COMPUTED_VALUE"""),"LAKI-LAKI")</f>
        <v>LAKI-LAKI</v>
      </c>
      <c r="K669" s="24" t="str">
        <f>IFERROR(__xludf.DUMMYFUNCTION("""COMPUTED_VALUE"""),"Kecamatan Baula, Kab. Kolaka")</f>
        <v>Kecamatan Baula, Kab. Kolaka</v>
      </c>
      <c r="L669" s="24"/>
      <c r="M669" s="24"/>
      <c r="N669" s="24" t="str">
        <f>IFERROR(__xludf.DUMMYFUNCTION("""COMPUTED_VALUE"""),"SMA / SMK / MA")</f>
        <v>SMA / SMK / MA</v>
      </c>
      <c r="O669" s="24"/>
      <c r="P669" s="24"/>
      <c r="Q669" s="24"/>
      <c r="R669" s="24" t="str">
        <f>IFERROR(__xludf.DUMMYFUNCTION("""COMPUTED_VALUE"""),"K")</f>
        <v>K</v>
      </c>
      <c r="S669" s="25"/>
    </row>
    <row r="670" ht="22.5" customHeight="1">
      <c r="A670" s="22">
        <v>669.0</v>
      </c>
      <c r="B670" s="24" t="str">
        <f>IFERROR(__xludf.DUMMYFUNCTION("""COMPUTED_VALUE"""),"Pemeliharaan Kendaraan Ringan Sistem Injeksi ")</f>
        <v>Pemeliharaan Kendaraan Ringan Sistem Injeksi </v>
      </c>
      <c r="C670" s="24" t="str">
        <f>IFERROR(__xludf.DUMMYFUNCTION("""COMPUTED_VALUE"""),"SMK Negeri 2 Kolaka")</f>
        <v>SMK Negeri 2 Kolaka</v>
      </c>
      <c r="D670" s="24"/>
      <c r="E670" s="24"/>
      <c r="F670" s="24" t="str">
        <f>IFERROR(__xludf.DUMMYFUNCTION("""COMPUTED_VALUE"""),"RESKY ADITYA")</f>
        <v>RESKY ADITYA</v>
      </c>
      <c r="G670" s="24" t="str">
        <f>IFERROR(__xludf.DUMMYFUNCTION("""COMPUTED_VALUE"""),"7401120707080001")</f>
        <v>7401120707080001</v>
      </c>
      <c r="H670" s="24"/>
      <c r="I670" s="24"/>
      <c r="J670" s="24" t="str">
        <f>IFERROR(__xludf.DUMMYFUNCTION("""COMPUTED_VALUE"""),"LAKI-LAKI")</f>
        <v>LAKI-LAKI</v>
      </c>
      <c r="K670" s="24" t="str">
        <f>IFERROR(__xludf.DUMMYFUNCTION("""COMPUTED_VALUE"""),"Pewutaa, Kec. Baula, Kab. Kolaka")</f>
        <v>Pewutaa, Kec. Baula, Kab. Kolaka</v>
      </c>
      <c r="L670" s="24"/>
      <c r="M670" s="24"/>
      <c r="N670" s="24" t="str">
        <f>IFERROR(__xludf.DUMMYFUNCTION("""COMPUTED_VALUE"""),"SMA / SMK / MA")</f>
        <v>SMA / SMK / MA</v>
      </c>
      <c r="O670" s="24"/>
      <c r="P670" s="24"/>
      <c r="Q670" s="24"/>
      <c r="R670" s="24" t="str">
        <f>IFERROR(__xludf.DUMMYFUNCTION("""COMPUTED_VALUE"""),"K")</f>
        <v>K</v>
      </c>
      <c r="S670" s="25"/>
    </row>
    <row r="671" ht="22.5" customHeight="1">
      <c r="A671" s="22">
        <v>670.0</v>
      </c>
      <c r="B671" s="24" t="str">
        <f>IFERROR(__xludf.DUMMYFUNCTION("""COMPUTED_VALUE"""),"Pemeliharaan Kendaraan Ringan Sistem Injeksi ")</f>
        <v>Pemeliharaan Kendaraan Ringan Sistem Injeksi </v>
      </c>
      <c r="C671" s="24" t="str">
        <f>IFERROR(__xludf.DUMMYFUNCTION("""COMPUTED_VALUE"""),"SMK Negeri 2 Kolaka")</f>
        <v>SMK Negeri 2 Kolaka</v>
      </c>
      <c r="D671" s="24"/>
      <c r="E671" s="24"/>
      <c r="F671" s="24" t="str">
        <f>IFERROR(__xludf.DUMMYFUNCTION("""COMPUTED_VALUE"""),"Reval Diansyah")</f>
        <v>Reval Diansyah</v>
      </c>
      <c r="G671" s="24" t="str">
        <f>IFERROR(__xludf.DUMMYFUNCTION("""COMPUTED_VALUE"""),"7401010712080002")</f>
        <v>7401010712080002</v>
      </c>
      <c r="H671" s="24"/>
      <c r="I671" s="24"/>
      <c r="J671" s="24" t="str">
        <f>IFERROR(__xludf.DUMMYFUNCTION("""COMPUTED_VALUE"""),"LAKI-LAKI")</f>
        <v>LAKI-LAKI</v>
      </c>
      <c r="K671" s="24" t="str">
        <f>IFERROR(__xludf.DUMMYFUNCTION("""COMPUTED_VALUE"""),"Kel. Ngapa, Kec. Wundulako, Kab. Kolaka")</f>
        <v>Kel. Ngapa, Kec. Wundulako, Kab. Kolaka</v>
      </c>
      <c r="L671" s="24"/>
      <c r="M671" s="24"/>
      <c r="N671" s="24" t="str">
        <f>IFERROR(__xludf.DUMMYFUNCTION("""COMPUTED_VALUE"""),"SMA / SMK / MA")</f>
        <v>SMA / SMK / MA</v>
      </c>
      <c r="O671" s="24"/>
      <c r="P671" s="24"/>
      <c r="Q671" s="24"/>
      <c r="R671" s="24" t="str">
        <f>IFERROR(__xludf.DUMMYFUNCTION("""COMPUTED_VALUE"""),"K")</f>
        <v>K</v>
      </c>
      <c r="S671" s="25"/>
    </row>
    <row r="672" ht="22.5" customHeight="1">
      <c r="A672" s="22">
        <v>671.0</v>
      </c>
      <c r="B672" s="24" t="str">
        <f>IFERROR(__xludf.DUMMYFUNCTION("""COMPUTED_VALUE"""),"Pemeliharaan Kendaraan Ringan Sistem Injeksi ")</f>
        <v>Pemeliharaan Kendaraan Ringan Sistem Injeksi </v>
      </c>
      <c r="C672" s="24" t="str">
        <f>IFERROR(__xludf.DUMMYFUNCTION("""COMPUTED_VALUE"""),"SMK Negeri 2 Kolaka")</f>
        <v>SMK Negeri 2 Kolaka</v>
      </c>
      <c r="D672" s="24"/>
      <c r="E672" s="24"/>
      <c r="F672" s="24" t="str">
        <f>IFERROR(__xludf.DUMMYFUNCTION("""COMPUTED_VALUE"""),"RIFKI FAUZI")</f>
        <v>RIFKI FAUZI</v>
      </c>
      <c r="G672" s="24" t="str">
        <f>IFERROR(__xludf.DUMMYFUNCTION("""COMPUTED_VALUE"""),"7401010305080003")</f>
        <v>7401010305080003</v>
      </c>
      <c r="H672" s="24"/>
      <c r="I672" s="24"/>
      <c r="J672" s="24" t="str">
        <f>IFERROR(__xludf.DUMMYFUNCTION("""COMPUTED_VALUE"""),"LAKI-LAKI")</f>
        <v>LAKI-LAKI</v>
      </c>
      <c r="K672" s="24" t="str">
        <f>IFERROR(__xludf.DUMMYFUNCTION("""COMPUTED_VALUE"""),"Kec. Wundulako, Kab. Kolaka")</f>
        <v>Kec. Wundulako, Kab. Kolaka</v>
      </c>
      <c r="L672" s="24"/>
      <c r="M672" s="24"/>
      <c r="N672" s="24" t="str">
        <f>IFERROR(__xludf.DUMMYFUNCTION("""COMPUTED_VALUE"""),"SMA / SMK / MA")</f>
        <v>SMA / SMK / MA</v>
      </c>
      <c r="O672" s="24"/>
      <c r="P672" s="24"/>
      <c r="Q672" s="24"/>
      <c r="R672" s="24" t="str">
        <f>IFERROR(__xludf.DUMMYFUNCTION("""COMPUTED_VALUE"""),"BK")</f>
        <v>BK</v>
      </c>
      <c r="S672" s="25"/>
    </row>
    <row r="673" ht="22.5" customHeight="1">
      <c r="A673" s="22">
        <v>672.0</v>
      </c>
      <c r="B673" s="24" t="str">
        <f>IFERROR(__xludf.DUMMYFUNCTION("""COMPUTED_VALUE"""),"Pemeliharaan Kendaraan Ringan Sistem Injeksi ")</f>
        <v>Pemeliharaan Kendaraan Ringan Sistem Injeksi </v>
      </c>
      <c r="C673" s="24" t="str">
        <f>IFERROR(__xludf.DUMMYFUNCTION("""COMPUTED_VALUE"""),"SMK Negeri 2 Kolaka")</f>
        <v>SMK Negeri 2 Kolaka</v>
      </c>
      <c r="D673" s="24"/>
      <c r="E673" s="24"/>
      <c r="F673" s="24" t="str">
        <f>IFERROR(__xludf.DUMMYFUNCTION("""COMPUTED_VALUE"""),"Sultang")</f>
        <v>Sultang</v>
      </c>
      <c r="G673" s="24" t="str">
        <f>IFERROR(__xludf.DUMMYFUNCTION("""COMPUTED_VALUE"""),"7401042306080001")</f>
        <v>7401042306080001</v>
      </c>
      <c r="H673" s="24"/>
      <c r="I673" s="24"/>
      <c r="J673" s="24" t="str">
        <f>IFERROR(__xludf.DUMMYFUNCTION("""COMPUTED_VALUE"""),"LAKI-LAKI")</f>
        <v>LAKI-LAKI</v>
      </c>
      <c r="K673" s="24" t="str">
        <f>IFERROR(__xludf.DUMMYFUNCTION("""COMPUTED_VALUE"""),"Kec. Kolaka, Kab. Kolaka")</f>
        <v>Kec. Kolaka, Kab. Kolaka</v>
      </c>
      <c r="L673" s="24"/>
      <c r="M673" s="24"/>
      <c r="N673" s="24" t="str">
        <f>IFERROR(__xludf.DUMMYFUNCTION("""COMPUTED_VALUE"""),"SMA / SMK / MA")</f>
        <v>SMA / SMK / MA</v>
      </c>
      <c r="O673" s="24"/>
      <c r="P673" s="24"/>
      <c r="Q673" s="24"/>
      <c r="R673" s="24" t="str">
        <f>IFERROR(__xludf.DUMMYFUNCTION("""COMPUTED_VALUE"""),"K")</f>
        <v>K</v>
      </c>
      <c r="S673" s="25"/>
    </row>
    <row r="674" ht="22.5" customHeight="1">
      <c r="A674" s="22">
        <v>673.0</v>
      </c>
      <c r="B674" s="24" t="str">
        <f>IFERROR(__xludf.DUMMYFUNCTION("""COMPUTED_VALUE"""),"Pemeliharaan Kendaraan Ringan Sistem Injeksi ")</f>
        <v>Pemeliharaan Kendaraan Ringan Sistem Injeksi </v>
      </c>
      <c r="C674" s="24" t="str">
        <f>IFERROR(__xludf.DUMMYFUNCTION("""COMPUTED_VALUE"""),"SMK Negeri 2 Kolaka")</f>
        <v>SMK Negeri 2 Kolaka</v>
      </c>
      <c r="D674" s="24"/>
      <c r="E674" s="24"/>
      <c r="F674" s="24" t="str">
        <f>IFERROR(__xludf.DUMMYFUNCTION("""COMPUTED_VALUE"""),"VELDHYANCA MANGA PAKIDING")</f>
        <v>VELDHYANCA MANGA PAKIDING</v>
      </c>
      <c r="G674" s="24" t="str">
        <f>IFERROR(__xludf.DUMMYFUNCTION("""COMPUTED_VALUE"""),"7401126109080001")</f>
        <v>7401126109080001</v>
      </c>
      <c r="H674" s="24"/>
      <c r="I674" s="24"/>
      <c r="J674" s="24" t="str">
        <f>IFERROR(__xludf.DUMMYFUNCTION("""COMPUTED_VALUE"""),"PEREMPUAN")</f>
        <v>PEREMPUAN</v>
      </c>
      <c r="K674" s="24" t="str">
        <f>IFERROR(__xludf.DUMMYFUNCTION("""COMPUTED_VALUE"""),"Kec. Baula, Kab. Kolaka")</f>
        <v>Kec. Baula, Kab. Kolaka</v>
      </c>
      <c r="L674" s="24"/>
      <c r="M674" s="24"/>
      <c r="N674" s="24" t="str">
        <f>IFERROR(__xludf.DUMMYFUNCTION("""COMPUTED_VALUE"""),"SMA / SMK / MA")</f>
        <v>SMA / SMK / MA</v>
      </c>
      <c r="O674" s="24"/>
      <c r="P674" s="24"/>
      <c r="Q674" s="24"/>
      <c r="R674" s="24" t="str">
        <f>IFERROR(__xludf.DUMMYFUNCTION("""COMPUTED_VALUE"""),"BK")</f>
        <v>BK</v>
      </c>
      <c r="S674" s="25"/>
    </row>
    <row r="675" ht="22.5" customHeight="1">
      <c r="A675" s="22">
        <v>674.0</v>
      </c>
      <c r="B675" s="24" t="str">
        <f>IFERROR(__xludf.DUMMYFUNCTION("""COMPUTED_VALUE"""),"Pemeliharaan Kendaraan Ringan Sistem Injeksi ")</f>
        <v>Pemeliharaan Kendaraan Ringan Sistem Injeksi </v>
      </c>
      <c r="C675" s="24" t="str">
        <f>IFERROR(__xludf.DUMMYFUNCTION("""COMPUTED_VALUE"""),"SMK Negeri 2 Kolaka")</f>
        <v>SMK Negeri 2 Kolaka</v>
      </c>
      <c r="D675" s="24"/>
      <c r="E675" s="24"/>
      <c r="F675" s="24" t="str">
        <f>IFERROR(__xludf.DUMMYFUNCTION("""COMPUTED_VALUE"""),"WAHYUDI")</f>
        <v>WAHYUDI</v>
      </c>
      <c r="G675" s="24" t="str">
        <f>IFERROR(__xludf.DUMMYFUNCTION("""COMPUTED_VALUE"""),"7401122705090001")</f>
        <v>7401122705090001</v>
      </c>
      <c r="H675" s="24"/>
      <c r="I675" s="24"/>
      <c r="J675" s="24" t="str">
        <f>IFERROR(__xludf.DUMMYFUNCTION("""COMPUTED_VALUE"""),"LAKI-LAKI")</f>
        <v>LAKI-LAKI</v>
      </c>
      <c r="K675" s="24" t="str">
        <f>IFERROR(__xludf.DUMMYFUNCTION("""COMPUTED_VALUE"""),"Kec. Baula, Kab. Kolaka")</f>
        <v>Kec. Baula, Kab. Kolaka</v>
      </c>
      <c r="L675" s="24"/>
      <c r="M675" s="24"/>
      <c r="N675" s="24" t="str">
        <f>IFERROR(__xludf.DUMMYFUNCTION("""COMPUTED_VALUE"""),"SMA / SMK / MA")</f>
        <v>SMA / SMK / MA</v>
      </c>
      <c r="O675" s="24"/>
      <c r="P675" s="24"/>
      <c r="Q675" s="24"/>
      <c r="R675" s="24" t="str">
        <f>IFERROR(__xludf.DUMMYFUNCTION("""COMPUTED_VALUE"""),"BK")</f>
        <v>BK</v>
      </c>
      <c r="S675" s="25"/>
    </row>
    <row r="676" ht="22.5" customHeight="1">
      <c r="A676" s="22">
        <v>675.0</v>
      </c>
      <c r="B676" s="24" t="str">
        <f>IFERROR(__xludf.DUMMYFUNCTION("""COMPUTED_VALUE"""),"Pemeliharaan Kendaraan Ringan Sistem Injeksi ")</f>
        <v>Pemeliharaan Kendaraan Ringan Sistem Injeksi </v>
      </c>
      <c r="C676" s="24" t="str">
        <f>IFERROR(__xludf.DUMMYFUNCTION("""COMPUTED_VALUE"""),"SMK Negeri 2 Kolaka")</f>
        <v>SMK Negeri 2 Kolaka</v>
      </c>
      <c r="D676" s="24"/>
      <c r="E676" s="24"/>
      <c r="F676" s="24" t="str">
        <f>IFERROR(__xludf.DUMMYFUNCTION("""COMPUTED_VALUE"""),"WILSON TASIK LINGGI")</f>
        <v>WILSON TASIK LINGGI</v>
      </c>
      <c r="G676" s="24" t="str">
        <f>IFERROR(__xludf.DUMMYFUNCTION("""COMPUTED_VALUE"""),"7401120712080004")</f>
        <v>7401120712080004</v>
      </c>
      <c r="H676" s="24"/>
      <c r="I676" s="24"/>
      <c r="J676" s="24" t="str">
        <f>IFERROR(__xludf.DUMMYFUNCTION("""COMPUTED_VALUE"""),"LAKI-LAKI")</f>
        <v>LAKI-LAKI</v>
      </c>
      <c r="K676" s="24" t="str">
        <f>IFERROR(__xludf.DUMMYFUNCTION("""COMPUTED_VALUE"""),"Puubenua, Kec. Baula, Kab. Kolaka")</f>
        <v>Puubenua, Kec. Baula, Kab. Kolaka</v>
      </c>
      <c r="L676" s="24"/>
      <c r="M676" s="24"/>
      <c r="N676" s="24" t="str">
        <f>IFERROR(__xludf.DUMMYFUNCTION("""COMPUTED_VALUE"""),"SMA / SMK / MA")</f>
        <v>SMA / SMK / MA</v>
      </c>
      <c r="O676" s="24"/>
      <c r="P676" s="24"/>
      <c r="Q676" s="24"/>
      <c r="R676" s="24" t="str">
        <f>IFERROR(__xludf.DUMMYFUNCTION("""COMPUTED_VALUE"""),"K")</f>
        <v>K</v>
      </c>
      <c r="S676" s="25"/>
    </row>
    <row r="677" ht="22.5" customHeight="1">
      <c r="A677" s="22">
        <v>676.0</v>
      </c>
      <c r="B677" s="24" t="str">
        <f>IFERROR(__xludf.DUMMYFUNCTION("""COMPUTED_VALUE"""),"Pemeliharaan Kendaraan Ringan Sistem Injeksi ")</f>
        <v>Pemeliharaan Kendaraan Ringan Sistem Injeksi </v>
      </c>
      <c r="C677" s="24" t="str">
        <f>IFERROR(__xludf.DUMMYFUNCTION("""COMPUTED_VALUE"""),"SMK Negeri 2 Bombana")</f>
        <v>SMK Negeri 2 Bombana</v>
      </c>
      <c r="D677" s="24"/>
      <c r="E677" s="24"/>
      <c r="F677" s="24" t="str">
        <f>IFERROR(__xludf.DUMMYFUNCTION("""COMPUTED_VALUE"""),"AHMAD ARIL")</f>
        <v>AHMAD ARIL</v>
      </c>
      <c r="G677" s="24" t="str">
        <f>IFERROR(__xludf.DUMMYFUNCTION("""COMPUTED_VALUE"""),"7406042010080001")</f>
        <v>7406042010080001</v>
      </c>
      <c r="H677" s="24"/>
      <c r="I677" s="24"/>
      <c r="J677" s="24" t="str">
        <f>IFERROR(__xludf.DUMMYFUNCTION("""COMPUTED_VALUE"""),"LAKI-LAKI")</f>
        <v>LAKI-LAKI</v>
      </c>
      <c r="K677" s="24" t="str">
        <f>IFERROR(__xludf.DUMMYFUNCTION("""COMPUTED_VALUE"""),"Telabente Jl. Poros Kasipute")</f>
        <v>Telabente Jl. Poros Kasipute</v>
      </c>
      <c r="L677" s="24"/>
      <c r="M677" s="24"/>
      <c r="N677" s="24" t="str">
        <f>IFERROR(__xludf.DUMMYFUNCTION("""COMPUTED_VALUE"""),"SMA / SMK / MA")</f>
        <v>SMA / SMK / MA</v>
      </c>
      <c r="O677" s="24"/>
      <c r="P677" s="24"/>
      <c r="Q677" s="24"/>
      <c r="R677" s="24" t="str">
        <f>IFERROR(__xludf.DUMMYFUNCTION("""COMPUTED_VALUE"""),"K")</f>
        <v>K</v>
      </c>
      <c r="S677" s="25"/>
    </row>
    <row r="678" ht="22.5" customHeight="1">
      <c r="A678" s="22">
        <v>677.0</v>
      </c>
      <c r="B678" s="24" t="str">
        <f>IFERROR(__xludf.DUMMYFUNCTION("""COMPUTED_VALUE"""),"Pemeliharaan Kendaraan Ringan Sistem Injeksi ")</f>
        <v>Pemeliharaan Kendaraan Ringan Sistem Injeksi </v>
      </c>
      <c r="C678" s="24" t="str">
        <f>IFERROR(__xludf.DUMMYFUNCTION("""COMPUTED_VALUE"""),"SMK Negeri 2 Bombana")</f>
        <v>SMK Negeri 2 Bombana</v>
      </c>
      <c r="D678" s="24"/>
      <c r="E678" s="24"/>
      <c r="F678" s="24" t="str">
        <f>IFERROR(__xludf.DUMMYFUNCTION("""COMPUTED_VALUE"""),"ARTHA PUTRA PRATAMA")</f>
        <v>ARTHA PUTRA PRATAMA</v>
      </c>
      <c r="G678" s="24" t="str">
        <f>IFERROR(__xludf.DUMMYFUNCTION("""COMPUTED_VALUE"""),"7406041303080001")</f>
        <v>7406041303080001</v>
      </c>
      <c r="H678" s="24"/>
      <c r="I678" s="24"/>
      <c r="J678" s="24" t="str">
        <f>IFERROR(__xludf.DUMMYFUNCTION("""COMPUTED_VALUE"""),"LAKI-LAKI")</f>
        <v>LAKI-LAKI</v>
      </c>
      <c r="K678" s="24" t="str">
        <f>IFERROR(__xludf.DUMMYFUNCTION("""COMPUTED_VALUE"""),"Desa Poea, Kec. Rumbia Tengah, Kab. Bombana")</f>
        <v>Desa Poea, Kec. Rumbia Tengah, Kab. Bombana</v>
      </c>
      <c r="L678" s="24"/>
      <c r="M678" s="24"/>
      <c r="N678" s="24" t="str">
        <f>IFERROR(__xludf.DUMMYFUNCTION("""COMPUTED_VALUE"""),"SMA / SMK / MA")</f>
        <v>SMA / SMK / MA</v>
      </c>
      <c r="O678" s="24"/>
      <c r="P678" s="24"/>
      <c r="Q678" s="24"/>
      <c r="R678" s="24" t="str">
        <f>IFERROR(__xludf.DUMMYFUNCTION("""COMPUTED_VALUE"""),"K")</f>
        <v>K</v>
      </c>
      <c r="S678" s="25"/>
    </row>
    <row r="679" ht="22.5" customHeight="1">
      <c r="A679" s="22">
        <v>678.0</v>
      </c>
      <c r="B679" s="24" t="str">
        <f>IFERROR(__xludf.DUMMYFUNCTION("""COMPUTED_VALUE"""),"Pemeliharaan Kendaraan Ringan Sistem Injeksi ")</f>
        <v>Pemeliharaan Kendaraan Ringan Sistem Injeksi </v>
      </c>
      <c r="C679" s="24" t="str">
        <f>IFERROR(__xludf.DUMMYFUNCTION("""COMPUTED_VALUE"""),"SMK Negeri 2 Bombana")</f>
        <v>SMK Negeri 2 Bombana</v>
      </c>
      <c r="D679" s="24"/>
      <c r="E679" s="24"/>
      <c r="F679" s="24" t="str">
        <f>IFERROR(__xludf.DUMMYFUNCTION("""COMPUTED_VALUE"""),"DEVAN PASCAL PADDA")</f>
        <v>DEVAN PASCAL PADDA</v>
      </c>
      <c r="G679" s="24" t="str">
        <f>IFERROR(__xludf.DUMMYFUNCTION("""COMPUTED_VALUE"""),"7406181209080002")</f>
        <v>7406181209080002</v>
      </c>
      <c r="H679" s="24"/>
      <c r="I679" s="24"/>
      <c r="J679" s="24" t="str">
        <f>IFERROR(__xludf.DUMMYFUNCTION("""COMPUTED_VALUE"""),"LAKI-LAKI")</f>
        <v>LAKI-LAKI</v>
      </c>
      <c r="K679" s="24" t="str">
        <f>IFERROR(__xludf.DUMMYFUNCTION("""COMPUTED_VALUE"""),"Kel. Lantawounua, Kec. Rumbia")</f>
        <v>Kel. Lantawounua, Kec. Rumbia</v>
      </c>
      <c r="L679" s="24"/>
      <c r="M679" s="24"/>
      <c r="N679" s="24" t="str">
        <f>IFERROR(__xludf.DUMMYFUNCTION("""COMPUTED_VALUE"""),"SMA / SMK / MA")</f>
        <v>SMA / SMK / MA</v>
      </c>
      <c r="O679" s="24"/>
      <c r="P679" s="24"/>
      <c r="Q679" s="24"/>
      <c r="R679" s="24" t="str">
        <f>IFERROR(__xludf.DUMMYFUNCTION("""COMPUTED_VALUE"""),"K")</f>
        <v>K</v>
      </c>
      <c r="S679" s="25"/>
    </row>
    <row r="680" ht="22.5" customHeight="1">
      <c r="A680" s="22">
        <v>679.0</v>
      </c>
      <c r="B680" s="24" t="str">
        <f>IFERROR(__xludf.DUMMYFUNCTION("""COMPUTED_VALUE"""),"Pemeliharaan Kendaraan Ringan Sistem Injeksi ")</f>
        <v>Pemeliharaan Kendaraan Ringan Sistem Injeksi </v>
      </c>
      <c r="C680" s="24" t="str">
        <f>IFERROR(__xludf.DUMMYFUNCTION("""COMPUTED_VALUE"""),"SMK Negeri 2 Bombana")</f>
        <v>SMK Negeri 2 Bombana</v>
      </c>
      <c r="D680" s="24"/>
      <c r="E680" s="24"/>
      <c r="F680" s="24" t="str">
        <f>IFERROR(__xludf.DUMMYFUNCTION("""COMPUTED_VALUE"""),"Ferdi")</f>
        <v>Ferdi</v>
      </c>
      <c r="G680" s="24" t="str">
        <f>IFERROR(__xludf.DUMMYFUNCTION("""COMPUTED_VALUE"""),"7406105312050002")</f>
        <v>7406105312050002</v>
      </c>
      <c r="H680" s="24"/>
      <c r="I680" s="24"/>
      <c r="J680" s="24" t="str">
        <f>IFERROR(__xludf.DUMMYFUNCTION("""COMPUTED_VALUE"""),"PEREMPUAN")</f>
        <v>PEREMPUAN</v>
      </c>
      <c r="K680" s="24" t="str">
        <f>IFERROR(__xludf.DUMMYFUNCTION("""COMPUTED_VALUE"""),"Toburi, Lorong Pasar Lama")</f>
        <v>Toburi, Lorong Pasar Lama</v>
      </c>
      <c r="L680" s="24"/>
      <c r="M680" s="24"/>
      <c r="N680" s="24" t="str">
        <f>IFERROR(__xludf.DUMMYFUNCTION("""COMPUTED_VALUE"""),"SMA / SMK / MA")</f>
        <v>SMA / SMK / MA</v>
      </c>
      <c r="O680" s="24"/>
      <c r="P680" s="24"/>
      <c r="Q680" s="24"/>
      <c r="R680" s="24" t="str">
        <f>IFERROR(__xludf.DUMMYFUNCTION("""COMPUTED_VALUE"""),"K")</f>
        <v>K</v>
      </c>
      <c r="S680" s="25"/>
    </row>
    <row r="681" ht="22.5" customHeight="1">
      <c r="A681" s="22">
        <v>680.0</v>
      </c>
      <c r="B681" s="24" t="str">
        <f>IFERROR(__xludf.DUMMYFUNCTION("""COMPUTED_VALUE"""),"Pemeliharaan Kendaraan Ringan Sistem Injeksi ")</f>
        <v>Pemeliharaan Kendaraan Ringan Sistem Injeksi </v>
      </c>
      <c r="C681" s="24" t="str">
        <f>IFERROR(__xludf.DUMMYFUNCTION("""COMPUTED_VALUE"""),"SMK Negeri 2 Bombana")</f>
        <v>SMK Negeri 2 Bombana</v>
      </c>
      <c r="D681" s="24"/>
      <c r="E681" s="24"/>
      <c r="F681" s="24" t="str">
        <f>IFERROR(__xludf.DUMMYFUNCTION("""COMPUTED_VALUE"""),"MUH. IJLAL NAJIHUL AMAL NOOR RACHMAN")</f>
        <v>MUH. IJLAL NAJIHUL AMAL NOOR RACHMAN</v>
      </c>
      <c r="G681" s="24" t="str">
        <f>IFERROR(__xludf.DUMMYFUNCTION("""COMPUTED_VALUE"""),"7471030806080001")</f>
        <v>7471030806080001</v>
      </c>
      <c r="H681" s="24"/>
      <c r="I681" s="24"/>
      <c r="J681" s="24" t="str">
        <f>IFERROR(__xludf.DUMMYFUNCTION("""COMPUTED_VALUE"""),"LAKI-LAKI")</f>
        <v>LAKI-LAKI</v>
      </c>
      <c r="K681" s="24" t="str">
        <f>IFERROR(__xludf.DUMMYFUNCTION("""COMPUTED_VALUE"""),"Tompo Batu")</f>
        <v>Tompo Batu</v>
      </c>
      <c r="L681" s="24"/>
      <c r="M681" s="24"/>
      <c r="N681" s="24" t="str">
        <f>IFERROR(__xludf.DUMMYFUNCTION("""COMPUTED_VALUE"""),"SMA / SMK / MA")</f>
        <v>SMA / SMK / MA</v>
      </c>
      <c r="O681" s="24"/>
      <c r="P681" s="24"/>
      <c r="Q681" s="24"/>
      <c r="R681" s="24" t="str">
        <f>IFERROR(__xludf.DUMMYFUNCTION("""COMPUTED_VALUE"""),"K")</f>
        <v>K</v>
      </c>
      <c r="S681" s="25"/>
    </row>
    <row r="682" ht="22.5" customHeight="1">
      <c r="A682" s="22">
        <v>681.0</v>
      </c>
      <c r="B682" s="24" t="str">
        <f>IFERROR(__xludf.DUMMYFUNCTION("""COMPUTED_VALUE"""),"Pemeliharaan Kendaraan Ringan Sistem Injeksi ")</f>
        <v>Pemeliharaan Kendaraan Ringan Sistem Injeksi </v>
      </c>
      <c r="C682" s="24" t="str">
        <f>IFERROR(__xludf.DUMMYFUNCTION("""COMPUTED_VALUE"""),"SMK Negeri 2 Bombana")</f>
        <v>SMK Negeri 2 Bombana</v>
      </c>
      <c r="D682" s="24"/>
      <c r="E682" s="24"/>
      <c r="F682" s="24" t="str">
        <f>IFERROR(__xludf.DUMMYFUNCTION("""COMPUTED_VALUE"""),"Muh. Alfatir Pratama")</f>
        <v>Muh. Alfatir Pratama</v>
      </c>
      <c r="G682" s="24" t="str">
        <f>IFERROR(__xludf.DUMMYFUNCTION("""COMPUTED_VALUE"""),"7471081606080001")</f>
        <v>7471081606080001</v>
      </c>
      <c r="H682" s="24"/>
      <c r="I682" s="24"/>
      <c r="J682" s="24" t="str">
        <f>IFERROR(__xludf.DUMMYFUNCTION("""COMPUTED_VALUE"""),"LAKI-LAKI")</f>
        <v>LAKI-LAKI</v>
      </c>
      <c r="K682" s="24" t="str">
        <f>IFERROR(__xludf.DUMMYFUNCTION("""COMPUTED_VALUE"""),"Lameroro")</f>
        <v>Lameroro</v>
      </c>
      <c r="L682" s="24"/>
      <c r="M682" s="24"/>
      <c r="N682" s="24" t="str">
        <f>IFERROR(__xludf.DUMMYFUNCTION("""COMPUTED_VALUE"""),"SMA / SMK / MA")</f>
        <v>SMA / SMK / MA</v>
      </c>
      <c r="O682" s="24"/>
      <c r="P682" s="24"/>
      <c r="Q682" s="24"/>
      <c r="R682" s="24" t="str">
        <f>IFERROR(__xludf.DUMMYFUNCTION("""COMPUTED_VALUE"""),"K")</f>
        <v>K</v>
      </c>
      <c r="S682" s="25"/>
    </row>
    <row r="683" ht="22.5" customHeight="1">
      <c r="A683" s="22">
        <v>682.0</v>
      </c>
      <c r="B683" s="24" t="str">
        <f>IFERROR(__xludf.DUMMYFUNCTION("""COMPUTED_VALUE"""),"Pemeliharaan Kendaraan Ringan Sistem Injeksi ")</f>
        <v>Pemeliharaan Kendaraan Ringan Sistem Injeksi </v>
      </c>
      <c r="C683" s="24" t="str">
        <f>IFERROR(__xludf.DUMMYFUNCTION("""COMPUTED_VALUE"""),"SMK Negeri 2 Bombana")</f>
        <v>SMK Negeri 2 Bombana</v>
      </c>
      <c r="D683" s="24"/>
      <c r="E683" s="24"/>
      <c r="F683" s="24" t="str">
        <f>IFERROR(__xludf.DUMMYFUNCTION("""COMPUTED_VALUE"""),"MUHAMMAD IKHSAN ABDILLAH")</f>
        <v>MUHAMMAD IKHSAN ABDILLAH</v>
      </c>
      <c r="G683" s="24" t="str">
        <f>IFERROR(__xludf.DUMMYFUNCTION("""COMPUTED_VALUE"""),"7406040105120002")</f>
        <v>7406040105120002</v>
      </c>
      <c r="H683" s="24"/>
      <c r="I683" s="24"/>
      <c r="J683" s="24" t="str">
        <f>IFERROR(__xludf.DUMMYFUNCTION("""COMPUTED_VALUE"""),"LAKI-LAKI")</f>
        <v>LAKI-LAKI</v>
      </c>
      <c r="K683" s="24" t="str">
        <f>IFERROR(__xludf.DUMMYFUNCTION("""COMPUTED_VALUE"""),"Wameroro Kecamatan Rumbai")</f>
        <v>Wameroro Kecamatan Rumbai</v>
      </c>
      <c r="L683" s="24"/>
      <c r="M683" s="24"/>
      <c r="N683" s="24" t="str">
        <f>IFERROR(__xludf.DUMMYFUNCTION("""COMPUTED_VALUE"""),"SMA / SMK / MA")</f>
        <v>SMA / SMK / MA</v>
      </c>
      <c r="O683" s="24"/>
      <c r="P683" s="24"/>
      <c r="Q683" s="24"/>
      <c r="R683" s="24" t="str">
        <f>IFERROR(__xludf.DUMMYFUNCTION("""COMPUTED_VALUE"""),"K")</f>
        <v>K</v>
      </c>
      <c r="S683" s="25"/>
    </row>
    <row r="684" ht="22.5" customHeight="1">
      <c r="A684" s="22">
        <v>683.0</v>
      </c>
      <c r="B684" s="24" t="str">
        <f>IFERROR(__xludf.DUMMYFUNCTION("""COMPUTED_VALUE"""),"Pemeliharaan Kendaraan Ringan Sistem Injeksi ")</f>
        <v>Pemeliharaan Kendaraan Ringan Sistem Injeksi </v>
      </c>
      <c r="C684" s="24" t="str">
        <f>IFERROR(__xludf.DUMMYFUNCTION("""COMPUTED_VALUE"""),"SMK Negeri 2 Bombana")</f>
        <v>SMK Negeri 2 Bombana</v>
      </c>
      <c r="D684" s="24"/>
      <c r="E684" s="24"/>
      <c r="F684" s="24" t="str">
        <f>IFERROR(__xludf.DUMMYFUNCTION("""COMPUTED_VALUE"""),"Nasrul Irwansyah")</f>
        <v>Nasrul Irwansyah</v>
      </c>
      <c r="G684" s="24" t="str">
        <f>IFERROR(__xludf.DUMMYFUNCTION("""COMPUTED_VALUE"""),"7406101408070002")</f>
        <v>7406101408070002</v>
      </c>
      <c r="H684" s="24"/>
      <c r="I684" s="24"/>
      <c r="J684" s="24" t="str">
        <f>IFERROR(__xludf.DUMMYFUNCTION("""COMPUTED_VALUE"""),"LAKI-LAKI")</f>
        <v>LAKI-LAKI</v>
      </c>
      <c r="K684" s="24" t="str">
        <f>IFERROR(__xludf.DUMMYFUNCTION("""COMPUTED_VALUE"""),"Kobu-kobu")</f>
        <v>Kobu-kobu</v>
      </c>
      <c r="L684" s="24"/>
      <c r="M684" s="24"/>
      <c r="N684" s="24" t="str">
        <f>IFERROR(__xludf.DUMMYFUNCTION("""COMPUTED_VALUE"""),"SMA / SMK / MA")</f>
        <v>SMA / SMK / MA</v>
      </c>
      <c r="O684" s="24"/>
      <c r="P684" s="24"/>
      <c r="Q684" s="24"/>
      <c r="R684" s="24" t="str">
        <f>IFERROR(__xludf.DUMMYFUNCTION("""COMPUTED_VALUE"""),"K")</f>
        <v>K</v>
      </c>
      <c r="S684" s="25"/>
    </row>
    <row r="685" ht="22.5" customHeight="1">
      <c r="A685" s="22">
        <v>684.0</v>
      </c>
      <c r="B685" s="24" t="str">
        <f>IFERROR(__xludf.DUMMYFUNCTION("""COMPUTED_VALUE"""),"Pemeliharaan Kendaraan Ringan Sistem Injeksi ")</f>
        <v>Pemeliharaan Kendaraan Ringan Sistem Injeksi </v>
      </c>
      <c r="C685" s="24" t="str">
        <f>IFERROR(__xludf.DUMMYFUNCTION("""COMPUTED_VALUE"""),"SMK Negeri 2 Bombana")</f>
        <v>SMK Negeri 2 Bombana</v>
      </c>
      <c r="D685" s="24"/>
      <c r="E685" s="24"/>
      <c r="F685" s="24" t="str">
        <f>IFERROR(__xludf.DUMMYFUNCTION("""COMPUTED_VALUE"""),"Nurul Hidayat")</f>
        <v>Nurul Hidayat</v>
      </c>
      <c r="G685" s="24" t="str">
        <f>IFERROR(__xludf.DUMMYFUNCTION("""COMPUTED_VALUE"""),"7406101511000001")</f>
        <v>7406101511000001</v>
      </c>
      <c r="H685" s="24"/>
      <c r="I685" s="24"/>
      <c r="J685" s="24" t="str">
        <f>IFERROR(__xludf.DUMMYFUNCTION("""COMPUTED_VALUE"""),"LAKI-LAKI")</f>
        <v>LAKI-LAKI</v>
      </c>
      <c r="K685" s="24" t="str">
        <f>IFERROR(__xludf.DUMMYFUNCTION("""COMPUTED_VALUE"""),"Kobu-kobu")</f>
        <v>Kobu-kobu</v>
      </c>
      <c r="L685" s="24"/>
      <c r="M685" s="24"/>
      <c r="N685" s="24" t="str">
        <f>IFERROR(__xludf.DUMMYFUNCTION("""COMPUTED_VALUE"""),"SMA / SMK / MA")</f>
        <v>SMA / SMK / MA</v>
      </c>
      <c r="O685" s="24"/>
      <c r="P685" s="24"/>
      <c r="Q685" s="24"/>
      <c r="R685" s="24" t="str">
        <f>IFERROR(__xludf.DUMMYFUNCTION("""COMPUTED_VALUE"""),"K")</f>
        <v>K</v>
      </c>
      <c r="S685" s="25"/>
    </row>
    <row r="686" ht="22.5" customHeight="1">
      <c r="A686" s="22">
        <v>685.0</v>
      </c>
      <c r="B686" s="24" t="str">
        <f>IFERROR(__xludf.DUMMYFUNCTION("""COMPUTED_VALUE"""),"Pemeliharaan Kendaraan Ringan Sistem Injeksi ")</f>
        <v>Pemeliharaan Kendaraan Ringan Sistem Injeksi </v>
      </c>
      <c r="C686" s="24" t="str">
        <f>IFERROR(__xludf.DUMMYFUNCTION("""COMPUTED_VALUE"""),"SMK Negeri 2 Bombana")</f>
        <v>SMK Negeri 2 Bombana</v>
      </c>
      <c r="D686" s="24"/>
      <c r="E686" s="24"/>
      <c r="F686" s="24" t="str">
        <f>IFERROR(__xludf.DUMMYFUNCTION("""COMPUTED_VALUE"""),"Sardin")</f>
        <v>Sardin</v>
      </c>
      <c r="G686" s="24" t="str">
        <f>IFERROR(__xludf.DUMMYFUNCTION("""COMPUTED_VALUE"""),"7406102407140001")</f>
        <v>7406102407140001</v>
      </c>
      <c r="H686" s="24"/>
      <c r="I686" s="24"/>
      <c r="J686" s="24" t="str">
        <f>IFERROR(__xludf.DUMMYFUNCTION("""COMPUTED_VALUE"""),"LAKI-LAKI")</f>
        <v>LAKI-LAKI</v>
      </c>
      <c r="K686" s="24" t="str">
        <f>IFERROR(__xludf.DUMMYFUNCTION("""COMPUTED_VALUE"""),"Dusun Toburi")</f>
        <v>Dusun Toburi</v>
      </c>
      <c r="L686" s="24"/>
      <c r="M686" s="24"/>
      <c r="N686" s="24" t="str">
        <f>IFERROR(__xludf.DUMMYFUNCTION("""COMPUTED_VALUE"""),"SMA / SMK / MA")</f>
        <v>SMA / SMK / MA</v>
      </c>
      <c r="O686" s="24"/>
      <c r="P686" s="24"/>
      <c r="Q686" s="24"/>
      <c r="R686" s="24" t="str">
        <f>IFERROR(__xludf.DUMMYFUNCTION("""COMPUTED_VALUE"""),"K")</f>
        <v>K</v>
      </c>
      <c r="S686" s="25"/>
    </row>
    <row r="687" ht="22.5" customHeight="1">
      <c r="A687" s="22">
        <v>686.0</v>
      </c>
      <c r="B687" s="24" t="str">
        <f>IFERROR(__xludf.DUMMYFUNCTION("""COMPUTED_VALUE"""),"Pemeliharaan Kendaraan Ringan Sistem Injeksi ")</f>
        <v>Pemeliharaan Kendaraan Ringan Sistem Injeksi </v>
      </c>
      <c r="C687" s="24" t="str">
        <f>IFERROR(__xludf.DUMMYFUNCTION("""COMPUTED_VALUE"""),"SMK Negeri 2 Bombana")</f>
        <v>SMK Negeri 2 Bombana</v>
      </c>
      <c r="D687" s="24"/>
      <c r="E687" s="24"/>
      <c r="F687" s="24" t="str">
        <f>IFERROR(__xludf.DUMMYFUNCTION("""COMPUTED_VALUE"""),"VHINNO PRIYADMIKHO")</f>
        <v>VHINNO PRIYADMIKHO</v>
      </c>
      <c r="G687" s="24" t="str">
        <f>IFERROR(__xludf.DUMMYFUNCTION("""COMPUTED_VALUE"""),"7404111812080004")</f>
        <v>7404111812080004</v>
      </c>
      <c r="H687" s="24"/>
      <c r="I687" s="24"/>
      <c r="J687" s="24" t="str">
        <f>IFERROR(__xludf.DUMMYFUNCTION("""COMPUTED_VALUE"""),"LAKI-LAKI")</f>
        <v>LAKI-LAKI</v>
      </c>
      <c r="K687" s="24" t="str">
        <f>IFERROR(__xludf.DUMMYFUNCTION("""COMPUTED_VALUE"""),"Dusun Kabungka")</f>
        <v>Dusun Kabungka</v>
      </c>
      <c r="L687" s="24"/>
      <c r="M687" s="24"/>
      <c r="N687" s="24" t="str">
        <f>IFERROR(__xludf.DUMMYFUNCTION("""COMPUTED_VALUE"""),"SMA / SMK / MA")</f>
        <v>SMA / SMK / MA</v>
      </c>
      <c r="O687" s="24"/>
      <c r="P687" s="24"/>
      <c r="Q687" s="24"/>
      <c r="R687" s="24" t="str">
        <f>IFERROR(__xludf.DUMMYFUNCTION("""COMPUTED_VALUE"""),"K")</f>
        <v>K</v>
      </c>
      <c r="S687" s="25"/>
    </row>
    <row r="688" ht="22.5" customHeight="1">
      <c r="A688" s="22">
        <v>687.0</v>
      </c>
      <c r="B688" s="24" t="str">
        <f>IFERROR(__xludf.DUMMYFUNCTION("""COMPUTED_VALUE"""),"Pemeliharaan Kendaraan Ringan Sistem Injeksi ")</f>
        <v>Pemeliharaan Kendaraan Ringan Sistem Injeksi </v>
      </c>
      <c r="C688" s="24" t="str">
        <f>IFERROR(__xludf.DUMMYFUNCTION("""COMPUTED_VALUE"""),"SMK Negeri 2 Bombana")</f>
        <v>SMK Negeri 2 Bombana</v>
      </c>
      <c r="D688" s="24"/>
      <c r="E688" s="24"/>
      <c r="F688" s="24" t="str">
        <f>IFERROR(__xludf.DUMMYFUNCTION("""COMPUTED_VALUE"""),"IRFAN")</f>
        <v>IRFAN</v>
      </c>
      <c r="G688" s="24" t="str">
        <f>IFERROR(__xludf.DUMMYFUNCTION("""COMPUTED_VALUE"""),"7406080111890003")</f>
        <v>7406080111890003</v>
      </c>
      <c r="H688" s="24"/>
      <c r="I688" s="24"/>
      <c r="J688" s="24" t="str">
        <f>IFERROR(__xludf.DUMMYFUNCTION("""COMPUTED_VALUE"""),"LAKI-LAKI")</f>
        <v>LAKI-LAKI</v>
      </c>
      <c r="K688" s="24" t="str">
        <f>IFERROR(__xludf.DUMMYFUNCTION("""COMPUTED_VALUE"""),"Jl. Poros Poea, Kel. Poea, Kec. Rumbia Tengah")</f>
        <v>Jl. Poros Poea, Kel. Poea, Kec. Rumbia Tengah</v>
      </c>
      <c r="L688" s="24"/>
      <c r="M688" s="24"/>
      <c r="N688" s="24" t="str">
        <f>IFERROR(__xludf.DUMMYFUNCTION("""COMPUTED_VALUE"""),"SMA / SMK / MA")</f>
        <v>SMA / SMK / MA</v>
      </c>
      <c r="O688" s="24"/>
      <c r="P688" s="24"/>
      <c r="Q688" s="24"/>
      <c r="R688" s="24" t="str">
        <f>IFERROR(__xludf.DUMMYFUNCTION("""COMPUTED_VALUE"""),"K")</f>
        <v>K</v>
      </c>
      <c r="S688" s="25"/>
    </row>
    <row r="689" ht="22.5" customHeight="1">
      <c r="A689" s="22">
        <v>688.0</v>
      </c>
      <c r="B689" s="24" t="str">
        <f>IFERROR(__xludf.DUMMYFUNCTION("""COMPUTED_VALUE"""),"Pemeliharaan Kendaraan Ringan Sistem Injeksi ")</f>
        <v>Pemeliharaan Kendaraan Ringan Sistem Injeksi </v>
      </c>
      <c r="C689" s="24" t="str">
        <f>IFERROR(__xludf.DUMMYFUNCTION("""COMPUTED_VALUE"""),"SMK Negeri 2 Bombana")</f>
        <v>SMK Negeri 2 Bombana</v>
      </c>
      <c r="D689" s="24"/>
      <c r="E689" s="24"/>
      <c r="F689" s="24" t="str">
        <f>IFERROR(__xludf.DUMMYFUNCTION("""COMPUTED_VALUE"""),"NUR ALIM")</f>
        <v>NUR ALIM</v>
      </c>
      <c r="G689" s="24" t="str">
        <f>IFERROR(__xludf.DUMMYFUNCTION("""COMPUTED_VALUE"""),"7406092310800001")</f>
        <v>7406092310800001</v>
      </c>
      <c r="H689" s="24"/>
      <c r="I689" s="24"/>
      <c r="J689" s="24" t="str">
        <f>IFERROR(__xludf.DUMMYFUNCTION("""COMPUTED_VALUE"""),"LAKI-LAKI")</f>
        <v>LAKI-LAKI</v>
      </c>
      <c r="K689" s="24" t="str">
        <f>IFERROR(__xludf.DUMMYFUNCTION("""COMPUTED_VALUE"""),"Kel. Aneka Marga")</f>
        <v>Kel. Aneka Marga</v>
      </c>
      <c r="L689" s="24"/>
      <c r="M689" s="24"/>
      <c r="N689" s="24" t="str">
        <f>IFERROR(__xludf.DUMMYFUNCTION("""COMPUTED_VALUE"""),"SMA / SMK / MA")</f>
        <v>SMA / SMK / MA</v>
      </c>
      <c r="O689" s="24"/>
      <c r="P689" s="24"/>
      <c r="Q689" s="24"/>
      <c r="R689" s="24" t="str">
        <f>IFERROR(__xludf.DUMMYFUNCTION("""COMPUTED_VALUE"""),"K")</f>
        <v>K</v>
      </c>
      <c r="S689" s="25"/>
    </row>
    <row r="690" ht="22.5" customHeight="1">
      <c r="A690" s="22">
        <v>689.0</v>
      </c>
      <c r="B690" s="24" t="str">
        <f>IFERROR(__xludf.DUMMYFUNCTION("""COMPUTED_VALUE"""),"Pengelola Administrasi Perkantoran")</f>
        <v>Pengelola Administrasi Perkantoran</v>
      </c>
      <c r="C690" s="24" t="str">
        <f>IFERROR(__xludf.DUMMYFUNCTION("""COMPUTED_VALUE"""),"SMK Negeri 2 Bombana")</f>
        <v>SMK Negeri 2 Bombana</v>
      </c>
      <c r="D690" s="24"/>
      <c r="E690" s="24"/>
      <c r="F690" s="24" t="str">
        <f>IFERROR(__xludf.DUMMYFUNCTION("""COMPUTED_VALUE"""),"AKMAL")</f>
        <v>AKMAL</v>
      </c>
      <c r="G690" s="24" t="str">
        <f>IFERROR(__xludf.DUMMYFUNCTION("""COMPUTED_VALUE"""),"7406181302060001")</f>
        <v>7406181302060001</v>
      </c>
      <c r="H690" s="24"/>
      <c r="I690" s="24"/>
      <c r="J690" s="24" t="str">
        <f>IFERROR(__xludf.DUMMYFUNCTION("""COMPUTED_VALUE"""),"LAKI-LAKI")</f>
        <v>LAKI-LAKI</v>
      </c>
      <c r="K690" s="24" t="str">
        <f>IFERROR(__xludf.DUMMYFUNCTION("""COMPUTED_VALUE"""),"Tapuahi, Dusun 3")</f>
        <v>Tapuahi, Dusun 3</v>
      </c>
      <c r="L690" s="24"/>
      <c r="M690" s="24"/>
      <c r="N690" s="24" t="str">
        <f>IFERROR(__xludf.DUMMYFUNCTION("""COMPUTED_VALUE"""),"SMA / SMK / MA")</f>
        <v>SMA / SMK / MA</v>
      </c>
      <c r="O690" s="24"/>
      <c r="P690" s="24"/>
      <c r="Q690" s="24"/>
      <c r="R690" s="24" t="str">
        <f>IFERROR(__xludf.DUMMYFUNCTION("""COMPUTED_VALUE"""),"K")</f>
        <v>K</v>
      </c>
      <c r="S690" s="25"/>
    </row>
    <row r="691" ht="22.5" customHeight="1">
      <c r="A691" s="22">
        <v>690.0</v>
      </c>
      <c r="B691" s="24" t="str">
        <f>IFERROR(__xludf.DUMMYFUNCTION("""COMPUTED_VALUE"""),"Pengelola Administrasi Perkantoran")</f>
        <v>Pengelola Administrasi Perkantoran</v>
      </c>
      <c r="C691" s="24" t="str">
        <f>IFERROR(__xludf.DUMMYFUNCTION("""COMPUTED_VALUE"""),"SMK Negeri 2 Bombana")</f>
        <v>SMK Negeri 2 Bombana</v>
      </c>
      <c r="D691" s="24"/>
      <c r="E691" s="24"/>
      <c r="F691" s="24" t="str">
        <f>IFERROR(__xludf.DUMMYFUNCTION("""COMPUTED_VALUE"""),"ANDI SALSA AL FADILLAH")</f>
        <v>ANDI SALSA AL FADILLAH</v>
      </c>
      <c r="G691" s="24" t="str">
        <f>IFERROR(__xludf.DUMMYFUNCTION("""COMPUTED_VALUE"""),"7406186001090001")</f>
        <v>7406186001090001</v>
      </c>
      <c r="H691" s="24"/>
      <c r="I691" s="24"/>
      <c r="J691" s="24" t="str">
        <f>IFERROR(__xludf.DUMMYFUNCTION("""COMPUTED_VALUE"""),"PEREMPUAN")</f>
        <v>PEREMPUAN</v>
      </c>
      <c r="K691" s="24" t="str">
        <f>IFERROR(__xludf.DUMMYFUNCTION("""COMPUTED_VALUE"""),"Tapuahi, Kec. Rumbia Tengah")</f>
        <v>Tapuahi, Kec. Rumbia Tengah</v>
      </c>
      <c r="L691" s="24"/>
      <c r="M691" s="24"/>
      <c r="N691" s="24" t="str">
        <f>IFERROR(__xludf.DUMMYFUNCTION("""COMPUTED_VALUE"""),"SMA / SMK / MA")</f>
        <v>SMA / SMK / MA</v>
      </c>
      <c r="O691" s="24"/>
      <c r="P691" s="24"/>
      <c r="Q691" s="24"/>
      <c r="R691" s="24" t="str">
        <f>IFERROR(__xludf.DUMMYFUNCTION("""COMPUTED_VALUE"""),"K")</f>
        <v>K</v>
      </c>
      <c r="S691" s="25"/>
    </row>
    <row r="692" ht="22.5" customHeight="1">
      <c r="A692" s="22">
        <v>691.0</v>
      </c>
      <c r="B692" s="24" t="str">
        <f>IFERROR(__xludf.DUMMYFUNCTION("""COMPUTED_VALUE"""),"Pengelola Administrasi Perkantoran")</f>
        <v>Pengelola Administrasi Perkantoran</v>
      </c>
      <c r="C692" s="24" t="str">
        <f>IFERROR(__xludf.DUMMYFUNCTION("""COMPUTED_VALUE"""),"SMK Negeri 2 Bombana")</f>
        <v>SMK Negeri 2 Bombana</v>
      </c>
      <c r="D692" s="24"/>
      <c r="E692" s="24"/>
      <c r="F692" s="24" t="str">
        <f>IFERROR(__xludf.DUMMYFUNCTION("""COMPUTED_VALUE"""),"DILLA SISWANTI")</f>
        <v>DILLA SISWANTI</v>
      </c>
      <c r="G692" s="24" t="str">
        <f>IFERROR(__xludf.DUMMYFUNCTION("""COMPUTED_VALUE"""),"9271014607080002")</f>
        <v>9271014607080002</v>
      </c>
      <c r="H692" s="24"/>
      <c r="I692" s="24"/>
      <c r="J692" s="24" t="str">
        <f>IFERROR(__xludf.DUMMYFUNCTION("""COMPUTED_VALUE"""),"PEREMPUAN")</f>
        <v>PEREMPUAN</v>
      </c>
      <c r="K692" s="24" t="str">
        <f>IFERROR(__xludf.DUMMYFUNCTION("""COMPUTED_VALUE"""),"Desa Tapuhahi")</f>
        <v>Desa Tapuhahi</v>
      </c>
      <c r="L692" s="24"/>
      <c r="M692" s="24"/>
      <c r="N692" s="24" t="str">
        <f>IFERROR(__xludf.DUMMYFUNCTION("""COMPUTED_VALUE"""),"SMA / SMK / MA")</f>
        <v>SMA / SMK / MA</v>
      </c>
      <c r="O692" s="24"/>
      <c r="P692" s="24"/>
      <c r="Q692" s="24"/>
      <c r="R692" s="24" t="str">
        <f>IFERROR(__xludf.DUMMYFUNCTION("""COMPUTED_VALUE"""),"K")</f>
        <v>K</v>
      </c>
      <c r="S692" s="25"/>
    </row>
    <row r="693" ht="22.5" customHeight="1">
      <c r="A693" s="22">
        <v>692.0</v>
      </c>
      <c r="B693" s="24" t="str">
        <f>IFERROR(__xludf.DUMMYFUNCTION("""COMPUTED_VALUE"""),"Pengelola Administrasi Perkantoran")</f>
        <v>Pengelola Administrasi Perkantoran</v>
      </c>
      <c r="C693" s="24" t="str">
        <f>IFERROR(__xludf.DUMMYFUNCTION("""COMPUTED_VALUE"""),"SMK Negeri 2 Bombana")</f>
        <v>SMK Negeri 2 Bombana</v>
      </c>
      <c r="D693" s="24"/>
      <c r="E693" s="24"/>
      <c r="F693" s="24" t="str">
        <f>IFERROR(__xludf.DUMMYFUNCTION("""COMPUTED_VALUE"""),"ELISANDRA")</f>
        <v>ELISANDRA</v>
      </c>
      <c r="G693" s="24" t="str">
        <f>IFERROR(__xludf.DUMMYFUNCTION("""COMPUTED_VALUE"""),"7406045903070001")</f>
        <v>7406045903070001</v>
      </c>
      <c r="H693" s="24"/>
      <c r="I693" s="24"/>
      <c r="J693" s="24" t="str">
        <f>IFERROR(__xludf.DUMMYFUNCTION("""COMPUTED_VALUE"""),"PEREMPUAN")</f>
        <v>PEREMPUAN</v>
      </c>
      <c r="K693" s="24" t="str">
        <f>IFERROR(__xludf.DUMMYFUNCTION("""COMPUTED_VALUE"""),"Kasipute, Kec. Rumbia")</f>
        <v>Kasipute, Kec. Rumbia</v>
      </c>
      <c r="L693" s="24"/>
      <c r="M693" s="24"/>
      <c r="N693" s="24" t="str">
        <f>IFERROR(__xludf.DUMMYFUNCTION("""COMPUTED_VALUE"""),"SMA / SMK / MA")</f>
        <v>SMA / SMK / MA</v>
      </c>
      <c r="O693" s="24"/>
      <c r="P693" s="24"/>
      <c r="Q693" s="24"/>
      <c r="R693" s="24" t="str">
        <f>IFERROR(__xludf.DUMMYFUNCTION("""COMPUTED_VALUE"""),"K")</f>
        <v>K</v>
      </c>
      <c r="S693" s="25"/>
    </row>
    <row r="694" ht="22.5" customHeight="1">
      <c r="A694" s="22">
        <v>693.0</v>
      </c>
      <c r="B694" s="24" t="str">
        <f>IFERROR(__xludf.DUMMYFUNCTION("""COMPUTED_VALUE"""),"Pengelola Administrasi Perkantoran")</f>
        <v>Pengelola Administrasi Perkantoran</v>
      </c>
      <c r="C694" s="24" t="str">
        <f>IFERROR(__xludf.DUMMYFUNCTION("""COMPUTED_VALUE"""),"SMK Negeri 2 Bombana")</f>
        <v>SMK Negeri 2 Bombana</v>
      </c>
      <c r="D694" s="24"/>
      <c r="E694" s="24"/>
      <c r="F694" s="24" t="str">
        <f>IFERROR(__xludf.DUMMYFUNCTION("""COMPUTED_VALUE"""),"MUHAMAD ANDI RAYHAN RAHMAN")</f>
        <v>MUHAMAD ANDI RAYHAN RAHMAN</v>
      </c>
      <c r="G694" s="24" t="str">
        <f>IFERROR(__xludf.DUMMYFUNCTION("""COMPUTED_VALUE"""),"7406041308080001")</f>
        <v>7406041308080001</v>
      </c>
      <c r="H694" s="24"/>
      <c r="I694" s="24"/>
      <c r="J694" s="24" t="str">
        <f>IFERROR(__xludf.DUMMYFUNCTION("""COMPUTED_VALUE"""),"LAKI-LAKI")</f>
        <v>LAKI-LAKI</v>
      </c>
      <c r="K694" s="24" t="str">
        <f>IFERROR(__xludf.DUMMYFUNCTION("""COMPUTED_VALUE"""),"Kasipute, Kec. Rumbia")</f>
        <v>Kasipute, Kec. Rumbia</v>
      </c>
      <c r="L694" s="24"/>
      <c r="M694" s="24"/>
      <c r="N694" s="24" t="str">
        <f>IFERROR(__xludf.DUMMYFUNCTION("""COMPUTED_VALUE"""),"SMA / SMK / MA")</f>
        <v>SMA / SMK / MA</v>
      </c>
      <c r="O694" s="24"/>
      <c r="P694" s="24"/>
      <c r="Q694" s="24"/>
      <c r="R694" s="24" t="str">
        <f>IFERROR(__xludf.DUMMYFUNCTION("""COMPUTED_VALUE"""),"K")</f>
        <v>K</v>
      </c>
      <c r="S694" s="25"/>
    </row>
    <row r="695" ht="22.5" customHeight="1">
      <c r="A695" s="22">
        <v>694.0</v>
      </c>
      <c r="B695" s="24" t="str">
        <f>IFERROR(__xludf.DUMMYFUNCTION("""COMPUTED_VALUE"""),"Pengelola Administrasi Perkantoran")</f>
        <v>Pengelola Administrasi Perkantoran</v>
      </c>
      <c r="C695" s="24" t="str">
        <f>IFERROR(__xludf.DUMMYFUNCTION("""COMPUTED_VALUE"""),"SMK Negeri 2 Bombana")</f>
        <v>SMK Negeri 2 Bombana</v>
      </c>
      <c r="D695" s="24"/>
      <c r="E695" s="24"/>
      <c r="F695" s="24" t="str">
        <f>IFERROR(__xludf.DUMMYFUNCTION("""COMPUTED_VALUE"""),"RAFLI")</f>
        <v>RAFLI</v>
      </c>
      <c r="G695" s="24" t="str">
        <f>IFERROR(__xludf.DUMMYFUNCTION("""COMPUTED_VALUE"""),"7406181005080001")</f>
        <v>7406181005080001</v>
      </c>
      <c r="H695" s="24"/>
      <c r="I695" s="24"/>
      <c r="J695" s="24" t="str">
        <f>IFERROR(__xludf.DUMMYFUNCTION("""COMPUTED_VALUE"""),"LAKI-LAKI")</f>
        <v>LAKI-LAKI</v>
      </c>
      <c r="K695" s="24" t="str">
        <f>IFERROR(__xludf.DUMMYFUNCTION("""COMPUTED_VALUE"""),"-")</f>
        <v>-</v>
      </c>
      <c r="L695" s="24"/>
      <c r="M695" s="24"/>
      <c r="N695" s="24" t="str">
        <f>IFERROR(__xludf.DUMMYFUNCTION("""COMPUTED_VALUE"""),"SMA / SMK / MA")</f>
        <v>SMA / SMK / MA</v>
      </c>
      <c r="O695" s="24"/>
      <c r="P695" s="24"/>
      <c r="Q695" s="24"/>
      <c r="R695" s="24" t="str">
        <f>IFERROR(__xludf.DUMMYFUNCTION("""COMPUTED_VALUE"""),"K")</f>
        <v>K</v>
      </c>
      <c r="S695" s="25"/>
    </row>
    <row r="696" ht="22.5" customHeight="1">
      <c r="A696" s="22">
        <v>695.0</v>
      </c>
      <c r="B696" s="24" t="str">
        <f>IFERROR(__xludf.DUMMYFUNCTION("""COMPUTED_VALUE"""),"Pengelola Administrasi Perkantoran")</f>
        <v>Pengelola Administrasi Perkantoran</v>
      </c>
      <c r="C696" s="24" t="str">
        <f>IFERROR(__xludf.DUMMYFUNCTION("""COMPUTED_VALUE"""),"SMK Negeri 2 Bombana")</f>
        <v>SMK Negeri 2 Bombana</v>
      </c>
      <c r="D696" s="24"/>
      <c r="E696" s="24"/>
      <c r="F696" s="24" t="str">
        <f>IFERROR(__xludf.DUMMYFUNCTION("""COMPUTED_VALUE"""),"RISKI FAKAUBUN")</f>
        <v>RISKI FAKAUBUN</v>
      </c>
      <c r="G696" s="24" t="str">
        <f>IFERROR(__xludf.DUMMYFUNCTION("""COMPUTED_VALUE"""),"7406181003080002")</f>
        <v>7406181003080002</v>
      </c>
      <c r="H696" s="24"/>
      <c r="I696" s="24"/>
      <c r="J696" s="24" t="str">
        <f>IFERROR(__xludf.DUMMYFUNCTION("""COMPUTED_VALUE"""),"LAKI-LAKI")</f>
        <v>LAKI-LAKI</v>
      </c>
      <c r="K696" s="24" t="str">
        <f>IFERROR(__xludf.DUMMYFUNCTION("""COMPUTED_VALUE"""),"Rumbia Tengah, Tapuahi, Dusun II, Lorong Pace")</f>
        <v>Rumbia Tengah, Tapuahi, Dusun II, Lorong Pace</v>
      </c>
      <c r="L696" s="24"/>
      <c r="M696" s="24"/>
      <c r="N696" s="24" t="str">
        <f>IFERROR(__xludf.DUMMYFUNCTION("""COMPUTED_VALUE"""),"SMA / SMK / MA")</f>
        <v>SMA / SMK / MA</v>
      </c>
      <c r="O696" s="24"/>
      <c r="P696" s="24"/>
      <c r="Q696" s="24"/>
      <c r="R696" s="24" t="str">
        <f>IFERROR(__xludf.DUMMYFUNCTION("""COMPUTED_VALUE"""),"K")</f>
        <v>K</v>
      </c>
      <c r="S696" s="25"/>
    </row>
    <row r="697" ht="22.5" customHeight="1">
      <c r="A697" s="22">
        <v>696.0</v>
      </c>
      <c r="B697" s="24" t="str">
        <f>IFERROR(__xludf.DUMMYFUNCTION("""COMPUTED_VALUE"""),"Pengelola Administrasi Perkantoran")</f>
        <v>Pengelola Administrasi Perkantoran</v>
      </c>
      <c r="C697" s="24" t="str">
        <f>IFERROR(__xludf.DUMMYFUNCTION("""COMPUTED_VALUE"""),"SMK Negeri 2 Bombana")</f>
        <v>SMK Negeri 2 Bombana</v>
      </c>
      <c r="D697" s="24"/>
      <c r="E697" s="24"/>
      <c r="F697" s="24" t="str">
        <f>IFERROR(__xludf.DUMMYFUNCTION("""COMPUTED_VALUE"""),"TIWI KURNIATI")</f>
        <v>TIWI KURNIATI</v>
      </c>
      <c r="G697" s="24" t="str">
        <f>IFERROR(__xludf.DUMMYFUNCTION("""COMPUTED_VALUE"""),"7406045402080001")</f>
        <v>7406045402080001</v>
      </c>
      <c r="H697" s="24"/>
      <c r="I697" s="24"/>
      <c r="J697" s="24" t="str">
        <f>IFERROR(__xludf.DUMMYFUNCTION("""COMPUTED_VALUE"""),"PEREMPUAN")</f>
        <v>PEREMPUAN</v>
      </c>
      <c r="K697" s="24" t="str">
        <f>IFERROR(__xludf.DUMMYFUNCTION("""COMPUTED_VALUE"""),"Kasipute, Kec. Rumbia")</f>
        <v>Kasipute, Kec. Rumbia</v>
      </c>
      <c r="L697" s="24"/>
      <c r="M697" s="24"/>
      <c r="N697" s="24" t="str">
        <f>IFERROR(__xludf.DUMMYFUNCTION("""COMPUTED_VALUE"""),"SMA / SMK / MA")</f>
        <v>SMA / SMK / MA</v>
      </c>
      <c r="O697" s="24"/>
      <c r="P697" s="24"/>
      <c r="Q697" s="24"/>
      <c r="R697" s="24" t="str">
        <f>IFERROR(__xludf.DUMMYFUNCTION("""COMPUTED_VALUE"""),"K")</f>
        <v>K</v>
      </c>
      <c r="S697" s="25"/>
    </row>
    <row r="698" ht="22.5" customHeight="1">
      <c r="A698" s="22">
        <v>697.0</v>
      </c>
      <c r="B698" s="24" t="str">
        <f>IFERROR(__xludf.DUMMYFUNCTION("""COMPUTED_VALUE"""),"Pengelola Administrasi Perkantoran")</f>
        <v>Pengelola Administrasi Perkantoran</v>
      </c>
      <c r="C698" s="24" t="str">
        <f>IFERROR(__xludf.DUMMYFUNCTION("""COMPUTED_VALUE"""),"SMK Negeri 2 Bombana")</f>
        <v>SMK Negeri 2 Bombana</v>
      </c>
      <c r="D698" s="24"/>
      <c r="E698" s="24"/>
      <c r="F698" s="24" t="str">
        <f>IFERROR(__xludf.DUMMYFUNCTION("""COMPUTED_VALUE"""),"WANDA")</f>
        <v>WANDA</v>
      </c>
      <c r="G698" s="24" t="str">
        <f>IFERROR(__xludf.DUMMYFUNCTION("""COMPUTED_VALUE"""),"7471065807090002")</f>
        <v>7471065807090002</v>
      </c>
      <c r="H698" s="24"/>
      <c r="I698" s="24"/>
      <c r="J698" s="24" t="str">
        <f>IFERROR(__xludf.DUMMYFUNCTION("""COMPUTED_VALUE"""),"PEREMPUAN")</f>
        <v>PEREMPUAN</v>
      </c>
      <c r="K698" s="24" t="str">
        <f>IFERROR(__xludf.DUMMYFUNCTION("""COMPUTED_VALUE"""),"Liano")</f>
        <v>Liano</v>
      </c>
      <c r="L698" s="24"/>
      <c r="M698" s="24"/>
      <c r="N698" s="24" t="str">
        <f>IFERROR(__xludf.DUMMYFUNCTION("""COMPUTED_VALUE"""),"SMA / SMK / MA")</f>
        <v>SMA / SMK / MA</v>
      </c>
      <c r="O698" s="24"/>
      <c r="P698" s="24"/>
      <c r="Q698" s="24"/>
      <c r="R698" s="24" t="str">
        <f>IFERROR(__xludf.DUMMYFUNCTION("""COMPUTED_VALUE"""),"K")</f>
        <v>K</v>
      </c>
      <c r="S698" s="25"/>
    </row>
    <row r="699" ht="22.5" customHeight="1">
      <c r="A699" s="22">
        <v>698.0</v>
      </c>
      <c r="B699" s="24" t="str">
        <f>IFERROR(__xludf.DUMMYFUNCTION("""COMPUTED_VALUE"""),"Pengelola Administrasi Perkantoran")</f>
        <v>Pengelola Administrasi Perkantoran</v>
      </c>
      <c r="C699" s="24" t="str">
        <f>IFERROR(__xludf.DUMMYFUNCTION("""COMPUTED_VALUE"""),"SMK Negeri 2 Bombana")</f>
        <v>SMK Negeri 2 Bombana</v>
      </c>
      <c r="D699" s="24"/>
      <c r="E699" s="24"/>
      <c r="F699" s="24" t="str">
        <f>IFERROR(__xludf.DUMMYFUNCTION("""COMPUTED_VALUE"""),"HASNIATI")</f>
        <v>HASNIATI</v>
      </c>
      <c r="G699" s="24" t="str">
        <f>IFERROR(__xludf.DUMMYFUNCTION("""COMPUTED_VALUE"""),"7471084910940001")</f>
        <v>7471084910940001</v>
      </c>
      <c r="H699" s="24"/>
      <c r="I699" s="24"/>
      <c r="J699" s="24" t="str">
        <f>IFERROR(__xludf.DUMMYFUNCTION("""COMPUTED_VALUE"""),"PEREMPUAN")</f>
        <v>PEREMPUAN</v>
      </c>
      <c r="K699" s="24" t="str">
        <f>IFERROR(__xludf.DUMMYFUNCTION("""COMPUTED_VALUE"""),"Desa Mawar, Kec. Mataoleo, Kab. Bombana")</f>
        <v>Desa Mawar, Kec. Mataoleo, Kab. Bombana</v>
      </c>
      <c r="L699" s="24"/>
      <c r="M699" s="24"/>
      <c r="N699" s="24" t="str">
        <f>IFERROR(__xludf.DUMMYFUNCTION("""COMPUTED_VALUE"""),"SMA / SMK / MA")</f>
        <v>SMA / SMK / MA</v>
      </c>
      <c r="O699" s="24"/>
      <c r="P699" s="24"/>
      <c r="Q699" s="24"/>
      <c r="R699" s="24" t="str">
        <f>IFERROR(__xludf.DUMMYFUNCTION("""COMPUTED_VALUE"""),"K")</f>
        <v>K</v>
      </c>
      <c r="S699" s="25"/>
    </row>
    <row r="700" ht="22.5" customHeight="1">
      <c r="A700" s="22">
        <v>699.0</v>
      </c>
      <c r="B700" s="24" t="str">
        <f>IFERROR(__xludf.DUMMYFUNCTION("""COMPUTED_VALUE"""),"Pengelola Administrasi Perkantoran")</f>
        <v>Pengelola Administrasi Perkantoran</v>
      </c>
      <c r="C700" s="24" t="str">
        <f>IFERROR(__xludf.DUMMYFUNCTION("""COMPUTED_VALUE"""),"SMK Negeri 2 Bombana")</f>
        <v>SMK Negeri 2 Bombana</v>
      </c>
      <c r="D700" s="24"/>
      <c r="E700" s="24"/>
      <c r="F700" s="24" t="str">
        <f>IFERROR(__xludf.DUMMYFUNCTION("""COMPUTED_VALUE"""),"NASRAYANTI")</f>
        <v>NASRAYANTI</v>
      </c>
      <c r="G700" s="24" t="str">
        <f>IFERROR(__xludf.DUMMYFUNCTION("""COMPUTED_VALUE"""),"7406186412920002")</f>
        <v>7406186412920002</v>
      </c>
      <c r="H700" s="24"/>
      <c r="I700" s="24"/>
      <c r="J700" s="24" t="str">
        <f>IFERROR(__xludf.DUMMYFUNCTION("""COMPUTED_VALUE"""),"PEREMPUAN")</f>
        <v>PEREMPUAN</v>
      </c>
      <c r="K700" s="24" t="str">
        <f>IFERROR(__xludf.DUMMYFUNCTION("""COMPUTED_VALUE"""),"-")</f>
        <v>-</v>
      </c>
      <c r="L700" s="24"/>
      <c r="M700" s="24"/>
      <c r="N700" s="24" t="str">
        <f>IFERROR(__xludf.DUMMYFUNCTION("""COMPUTED_VALUE"""),"SMA / SMK / MA")</f>
        <v>SMA / SMK / MA</v>
      </c>
      <c r="O700" s="24"/>
      <c r="P700" s="24"/>
      <c r="Q700" s="24"/>
      <c r="R700" s="24" t="str">
        <f>IFERROR(__xludf.DUMMYFUNCTION("""COMPUTED_VALUE"""),"K")</f>
        <v>K</v>
      </c>
      <c r="S700" s="25"/>
    </row>
    <row r="701" ht="22.5" customHeight="1">
      <c r="A701" s="22">
        <v>700.0</v>
      </c>
      <c r="B701" s="24" t="str">
        <f>IFERROR(__xludf.DUMMYFUNCTION("""COMPUTED_VALUE"""),"Pengelola Administrasi Perkantoran")</f>
        <v>Pengelola Administrasi Perkantoran</v>
      </c>
      <c r="C701" s="24" t="str">
        <f>IFERROR(__xludf.DUMMYFUNCTION("""COMPUTED_VALUE"""),"SMK Negeri 2 Bombana")</f>
        <v>SMK Negeri 2 Bombana</v>
      </c>
      <c r="D701" s="24"/>
      <c r="E701" s="24"/>
      <c r="F701" s="24" t="str">
        <f>IFERROR(__xludf.DUMMYFUNCTION("""COMPUTED_VALUE"""),"RISTIAWATI")</f>
        <v>RISTIAWATI</v>
      </c>
      <c r="G701" s="24" t="str">
        <f>IFERROR(__xludf.DUMMYFUNCTION("""COMPUTED_VALUE"""),"7471046912880001")</f>
        <v>7471046912880001</v>
      </c>
      <c r="H701" s="24"/>
      <c r="I701" s="24"/>
      <c r="J701" s="24" t="str">
        <f>IFERROR(__xludf.DUMMYFUNCTION("""COMPUTED_VALUE"""),"PEREMPUAN")</f>
        <v>PEREMPUAN</v>
      </c>
      <c r="K701" s="24" t="str">
        <f>IFERROR(__xludf.DUMMYFUNCTION("""COMPUTED_VALUE"""),"-")</f>
        <v>-</v>
      </c>
      <c r="L701" s="24"/>
      <c r="M701" s="24"/>
      <c r="N701" s="24" t="str">
        <f>IFERROR(__xludf.DUMMYFUNCTION("""COMPUTED_VALUE"""),"SMA / SMK / MA")</f>
        <v>SMA / SMK / MA</v>
      </c>
      <c r="O701" s="24"/>
      <c r="P701" s="24"/>
      <c r="Q701" s="24"/>
      <c r="R701" s="24" t="str">
        <f>IFERROR(__xludf.DUMMYFUNCTION("""COMPUTED_VALUE"""),"K")</f>
        <v>K</v>
      </c>
      <c r="S701" s="25"/>
    </row>
    <row r="702" ht="22.5" customHeight="1">
      <c r="A702" s="22">
        <v>701.0</v>
      </c>
      <c r="B702" s="24" t="str">
        <f>IFERROR(__xludf.DUMMYFUNCTION("""COMPUTED_VALUE"""),"Pemeliharaan Kendaraan Ringan Sistem Injeksi ")</f>
        <v>Pemeliharaan Kendaraan Ringan Sistem Injeksi </v>
      </c>
      <c r="C702" s="24" t="str">
        <f>IFERROR(__xludf.DUMMYFUNCTION("""COMPUTED_VALUE"""),"SMK Negeri 1 Bombana")</f>
        <v>SMK Negeri 1 Bombana</v>
      </c>
      <c r="D702" s="24"/>
      <c r="E702" s="24"/>
      <c r="F702" s="24" t="str">
        <f>IFERROR(__xludf.DUMMYFUNCTION("""COMPUTED_VALUE"""),"AGUNG SETIAWAN")</f>
        <v>AGUNG SETIAWAN</v>
      </c>
      <c r="G702" s="86" t="str">
        <f>IFERROR(__xludf.DUMMYFUNCTION("""COMPUTED_VALUE"""),"7406091909070001")</f>
        <v>7406091909070001</v>
      </c>
      <c r="H702" s="24"/>
      <c r="I702" s="24"/>
      <c r="J702" s="24" t="str">
        <f>IFERROR(__xludf.DUMMYFUNCTION("""COMPUTED_VALUE"""),"LAKI-LAKI")</f>
        <v>LAKI-LAKI</v>
      </c>
      <c r="K702" s="24" t="str">
        <f>IFERROR(__xludf.DUMMYFUNCTION("""COMPUTED_VALUE"""),"Aneka Marga")</f>
        <v>Aneka Marga</v>
      </c>
      <c r="L702" s="24"/>
      <c r="M702" s="24"/>
      <c r="N702" s="24" t="str">
        <f>IFERROR(__xludf.DUMMYFUNCTION("""COMPUTED_VALUE"""),"SMA / SMK / MA")</f>
        <v>SMA / SMK / MA</v>
      </c>
      <c r="O702" s="24"/>
      <c r="P702" s="24"/>
      <c r="Q702" s="24"/>
      <c r="R702" s="24" t="str">
        <f>IFERROR(__xludf.DUMMYFUNCTION("""COMPUTED_VALUE"""),"K")</f>
        <v>K</v>
      </c>
      <c r="S702" s="25"/>
    </row>
    <row r="703" ht="22.5" customHeight="1">
      <c r="A703" s="22">
        <v>702.0</v>
      </c>
      <c r="B703" s="24" t="str">
        <f>IFERROR(__xludf.DUMMYFUNCTION("""COMPUTED_VALUE"""),"Pemeliharaan Kendaraan Ringan Sistem Injeksi ")</f>
        <v>Pemeliharaan Kendaraan Ringan Sistem Injeksi </v>
      </c>
      <c r="C703" s="24" t="str">
        <f>IFERROR(__xludf.DUMMYFUNCTION("""COMPUTED_VALUE"""),"SMK Negeri 1 Bombana")</f>
        <v>SMK Negeri 1 Bombana</v>
      </c>
      <c r="D703" s="24"/>
      <c r="E703" s="24"/>
      <c r="F703" s="24" t="str">
        <f>IFERROR(__xludf.DUMMYFUNCTION("""COMPUTED_VALUE"""),"AHMAD RIAN REFENDI")</f>
        <v>AHMAD RIAN REFENDI</v>
      </c>
      <c r="G703" s="86" t="str">
        <f>IFERROR(__xludf.DUMMYFUNCTION("""COMPUTED_VALUE"""),"7406211012080001")</f>
        <v>7406211012080001</v>
      </c>
      <c r="H703" s="24"/>
      <c r="I703" s="24"/>
      <c r="J703" s="24" t="str">
        <f>IFERROR(__xludf.DUMMYFUNCTION("""COMPUTED_VALUE"""),"LAKI-LAKI")</f>
        <v>LAKI-LAKI</v>
      </c>
      <c r="K703" s="24" t="str">
        <f>IFERROR(__xludf.DUMMYFUNCTION("""COMPUTED_VALUE"""),"Desa Lembakasi")</f>
        <v>Desa Lembakasi</v>
      </c>
      <c r="L703" s="24"/>
      <c r="M703" s="24"/>
      <c r="N703" s="24" t="str">
        <f>IFERROR(__xludf.DUMMYFUNCTION("""COMPUTED_VALUE"""),"SMA / SMK / MA")</f>
        <v>SMA / SMK / MA</v>
      </c>
      <c r="O703" s="24"/>
      <c r="P703" s="24"/>
      <c r="Q703" s="24"/>
      <c r="R703" s="24" t="str">
        <f>IFERROR(__xludf.DUMMYFUNCTION("""COMPUTED_VALUE"""),"K")</f>
        <v>K</v>
      </c>
      <c r="S703" s="25"/>
    </row>
    <row r="704" ht="22.5" customHeight="1">
      <c r="A704" s="22">
        <v>703.0</v>
      </c>
      <c r="B704" s="24" t="str">
        <f>IFERROR(__xludf.DUMMYFUNCTION("""COMPUTED_VALUE"""),"Pemeliharaan Kendaraan Ringan Sistem Injeksi ")</f>
        <v>Pemeliharaan Kendaraan Ringan Sistem Injeksi </v>
      </c>
      <c r="C704" s="24" t="str">
        <f>IFERROR(__xludf.DUMMYFUNCTION("""COMPUTED_VALUE"""),"SMK Negeri 1 Bombana")</f>
        <v>SMK Negeri 1 Bombana</v>
      </c>
      <c r="D704" s="24"/>
      <c r="E704" s="24"/>
      <c r="F704" s="24" t="str">
        <f>IFERROR(__xludf.DUMMYFUNCTION("""COMPUTED_VALUE"""),"AKBAR ILAHI")</f>
        <v>AKBAR ILAHI</v>
      </c>
      <c r="G704" s="86" t="str">
        <f>IFERROR(__xludf.DUMMYFUNCTION("""COMPUTED_VALUE"""),"7406211808060002")</f>
        <v>7406211808060002</v>
      </c>
      <c r="H704" s="24"/>
      <c r="I704" s="24"/>
      <c r="J704" s="24" t="str">
        <f>IFERROR(__xludf.DUMMYFUNCTION("""COMPUTED_VALUE"""),"LAKI-LAKI")</f>
        <v>LAKI-LAKI</v>
      </c>
      <c r="K704" s="24" t="str">
        <f>IFERROR(__xludf.DUMMYFUNCTION("""COMPUTED_VALUE"""),"Dusun II Swakarsa")</f>
        <v>Dusun II Swakarsa</v>
      </c>
      <c r="L704" s="24"/>
      <c r="M704" s="24"/>
      <c r="N704" s="24" t="str">
        <f>IFERROR(__xludf.DUMMYFUNCTION("""COMPUTED_VALUE"""),"SMA / SMK / MA")</f>
        <v>SMA / SMK / MA</v>
      </c>
      <c r="O704" s="24"/>
      <c r="P704" s="24"/>
      <c r="Q704" s="24"/>
      <c r="R704" s="24" t="str">
        <f>IFERROR(__xludf.DUMMYFUNCTION("""COMPUTED_VALUE"""),"K")</f>
        <v>K</v>
      </c>
      <c r="S704" s="25"/>
    </row>
    <row r="705" ht="22.5" customHeight="1">
      <c r="A705" s="22">
        <v>704.0</v>
      </c>
      <c r="B705" s="24" t="str">
        <f>IFERROR(__xludf.DUMMYFUNCTION("""COMPUTED_VALUE"""),"Pemeliharaan Kendaraan Ringan Sistem Injeksi ")</f>
        <v>Pemeliharaan Kendaraan Ringan Sistem Injeksi </v>
      </c>
      <c r="C705" s="24" t="str">
        <f>IFERROR(__xludf.DUMMYFUNCTION("""COMPUTED_VALUE"""),"SMK Negeri 1 Bombana")</f>
        <v>SMK Negeri 1 Bombana</v>
      </c>
      <c r="D705" s="24"/>
      <c r="E705" s="24"/>
      <c r="F705" s="24" t="str">
        <f>IFERROR(__xludf.DUMMYFUNCTION("""COMPUTED_VALUE"""),"ANDIKA")</f>
        <v>ANDIKA</v>
      </c>
      <c r="G705" s="86" t="str">
        <f>IFERROR(__xludf.DUMMYFUNCTION("""COMPUTED_VALUE"""),"7406210407080001")</f>
        <v>7406210407080001</v>
      </c>
      <c r="H705" s="24"/>
      <c r="I705" s="24"/>
      <c r="J705" s="24" t="str">
        <f>IFERROR(__xludf.DUMMYFUNCTION("""COMPUTED_VALUE"""),"LAKI-LAKI")</f>
        <v>LAKI-LAKI</v>
      </c>
      <c r="K705" s="24" t="str">
        <f>IFERROR(__xludf.DUMMYFUNCTION("""COMPUTED_VALUE"""),"Desa Kalaero Dusun I Harapan Jaya")</f>
        <v>Desa Kalaero Dusun I Harapan Jaya</v>
      </c>
      <c r="L705" s="24"/>
      <c r="M705" s="24"/>
      <c r="N705" s="24" t="str">
        <f>IFERROR(__xludf.DUMMYFUNCTION("""COMPUTED_VALUE"""),"SMA / SMK / MA")</f>
        <v>SMA / SMK / MA</v>
      </c>
      <c r="O705" s="24"/>
      <c r="P705" s="24"/>
      <c r="Q705" s="24"/>
      <c r="R705" s="24" t="str">
        <f>IFERROR(__xludf.DUMMYFUNCTION("""COMPUTED_VALUE"""),"K")</f>
        <v>K</v>
      </c>
      <c r="S705" s="25"/>
    </row>
    <row r="706" ht="22.5" customHeight="1">
      <c r="A706" s="22">
        <v>705.0</v>
      </c>
      <c r="B706" s="24" t="str">
        <f>IFERROR(__xludf.DUMMYFUNCTION("""COMPUTED_VALUE"""),"Pemeliharaan Kendaraan Ringan Sistem Injeksi ")</f>
        <v>Pemeliharaan Kendaraan Ringan Sistem Injeksi </v>
      </c>
      <c r="C706" s="24" t="str">
        <f>IFERROR(__xludf.DUMMYFUNCTION("""COMPUTED_VALUE"""),"SMK Negeri 1 Bombana")</f>
        <v>SMK Negeri 1 Bombana</v>
      </c>
      <c r="D706" s="24"/>
      <c r="E706" s="24"/>
      <c r="F706" s="24" t="str">
        <f>IFERROR(__xludf.DUMMYFUNCTION("""COMPUTED_VALUE"""),"ANUGRAH ADE PRIADNAN")</f>
        <v>ANUGRAH ADE PRIADNAN</v>
      </c>
      <c r="G706" s="86" t="str">
        <f>IFERROR(__xludf.DUMMYFUNCTION("""COMPUTED_VALUE"""),"7406090503080001")</f>
        <v>7406090503080001</v>
      </c>
      <c r="H706" s="24"/>
      <c r="I706" s="24"/>
      <c r="J706" s="24" t="str">
        <f>IFERROR(__xludf.DUMMYFUNCTION("""COMPUTED_VALUE"""),"LAKI-LAKI")</f>
        <v>LAKI-LAKI</v>
      </c>
      <c r="K706" s="24" t="str">
        <f>IFERROR(__xludf.DUMMYFUNCTION("""COMPUTED_VALUE"""),"Aneka Marga, RT 6, RW 3, Jalan Bangau")</f>
        <v>Aneka Marga, RT 6, RW 3, Jalan Bangau</v>
      </c>
      <c r="L706" s="24"/>
      <c r="M706" s="24"/>
      <c r="N706" s="24" t="str">
        <f>IFERROR(__xludf.DUMMYFUNCTION("""COMPUTED_VALUE"""),"SMA / SMK / MA")</f>
        <v>SMA / SMK / MA</v>
      </c>
      <c r="O706" s="24"/>
      <c r="P706" s="24"/>
      <c r="Q706" s="24"/>
      <c r="R706" s="24" t="str">
        <f>IFERROR(__xludf.DUMMYFUNCTION("""COMPUTED_VALUE"""),"K")</f>
        <v>K</v>
      </c>
      <c r="S706" s="25"/>
    </row>
    <row r="707" ht="22.5" customHeight="1">
      <c r="A707" s="22">
        <v>706.0</v>
      </c>
      <c r="B707" s="24" t="str">
        <f>IFERROR(__xludf.DUMMYFUNCTION("""COMPUTED_VALUE"""),"Pemeliharaan Kendaraan Ringan Sistem Injeksi ")</f>
        <v>Pemeliharaan Kendaraan Ringan Sistem Injeksi </v>
      </c>
      <c r="C707" s="24" t="str">
        <f>IFERROR(__xludf.DUMMYFUNCTION("""COMPUTED_VALUE"""),"SMK Negeri 1 Bombana")</f>
        <v>SMK Negeri 1 Bombana</v>
      </c>
      <c r="D707" s="24"/>
      <c r="E707" s="24"/>
      <c r="F707" s="24" t="str">
        <f>IFERROR(__xludf.DUMMYFUNCTION("""COMPUTED_VALUE"""),"FAREL")</f>
        <v>FAREL</v>
      </c>
      <c r="G707" s="86" t="str">
        <f>IFERROR(__xludf.DUMMYFUNCTION("""COMPUTED_VALUE"""),"7406090708100001")</f>
        <v>7406090708100001</v>
      </c>
      <c r="H707" s="24"/>
      <c r="I707" s="24"/>
      <c r="J707" s="24" t="str">
        <f>IFERROR(__xludf.DUMMYFUNCTION("""COMPUTED_VALUE"""),"LAKI-LAKI")</f>
        <v>LAKI-LAKI</v>
      </c>
      <c r="K707" s="24" t="str">
        <f>IFERROR(__xludf.DUMMYFUNCTION("""COMPUTED_VALUE"""),"Desa Tunas Baru ")</f>
        <v>Desa Tunas Baru </v>
      </c>
      <c r="L707" s="24"/>
      <c r="M707" s="24"/>
      <c r="N707" s="24" t="str">
        <f>IFERROR(__xludf.DUMMYFUNCTION("""COMPUTED_VALUE"""),"SMA / SMK / MA")</f>
        <v>SMA / SMK / MA</v>
      </c>
      <c r="O707" s="24"/>
      <c r="P707" s="24"/>
      <c r="Q707" s="24"/>
      <c r="R707" s="24" t="str">
        <f>IFERROR(__xludf.DUMMYFUNCTION("""COMPUTED_VALUE"""),"K")</f>
        <v>K</v>
      </c>
      <c r="S707" s="25"/>
    </row>
    <row r="708" ht="22.5" customHeight="1">
      <c r="A708" s="22">
        <v>707.0</v>
      </c>
      <c r="B708" s="24" t="str">
        <f>IFERROR(__xludf.DUMMYFUNCTION("""COMPUTED_VALUE"""),"Pemeliharaan Kendaraan Ringan Sistem Injeksi ")</f>
        <v>Pemeliharaan Kendaraan Ringan Sistem Injeksi </v>
      </c>
      <c r="C708" s="24" t="str">
        <f>IFERROR(__xludf.DUMMYFUNCTION("""COMPUTED_VALUE"""),"SMK Negeri 1 Bombana")</f>
        <v>SMK Negeri 1 Bombana</v>
      </c>
      <c r="D708" s="24"/>
      <c r="E708" s="24"/>
      <c r="F708" s="24" t="str">
        <f>IFERROR(__xludf.DUMMYFUNCTION("""COMPUTED_VALUE"""),"DENI SURAWAN")</f>
        <v>DENI SURAWAN</v>
      </c>
      <c r="G708" s="86" t="str">
        <f>IFERROR(__xludf.DUMMYFUNCTION("""COMPUTED_VALUE"""),"7406092801080001")</f>
        <v>7406092801080001</v>
      </c>
      <c r="H708" s="24"/>
      <c r="I708" s="24"/>
      <c r="J708" s="24" t="str">
        <f>IFERROR(__xludf.DUMMYFUNCTION("""COMPUTED_VALUE"""),"LAKI-LAKI")</f>
        <v>LAKI-LAKI</v>
      </c>
      <c r="K708" s="24" t="str">
        <f>IFERROR(__xludf.DUMMYFUNCTION("""COMPUTED_VALUE"""),"Marga Jaya")</f>
        <v>Marga Jaya</v>
      </c>
      <c r="L708" s="24"/>
      <c r="M708" s="24"/>
      <c r="N708" s="24" t="str">
        <f>IFERROR(__xludf.DUMMYFUNCTION("""COMPUTED_VALUE"""),"SMA / SMK / MA")</f>
        <v>SMA / SMK / MA</v>
      </c>
      <c r="O708" s="24"/>
      <c r="P708" s="24"/>
      <c r="Q708" s="24"/>
      <c r="R708" s="24" t="str">
        <f>IFERROR(__xludf.DUMMYFUNCTION("""COMPUTED_VALUE"""),"K")</f>
        <v>K</v>
      </c>
      <c r="S708" s="25"/>
    </row>
    <row r="709" ht="22.5" customHeight="1">
      <c r="A709" s="22">
        <v>708.0</v>
      </c>
      <c r="B709" s="24" t="str">
        <f>IFERROR(__xludf.DUMMYFUNCTION("""COMPUTED_VALUE"""),"Pemeliharaan Kendaraan Ringan Sistem Injeksi ")</f>
        <v>Pemeliharaan Kendaraan Ringan Sistem Injeksi </v>
      </c>
      <c r="C709" s="24" t="str">
        <f>IFERROR(__xludf.DUMMYFUNCTION("""COMPUTED_VALUE"""),"SMK Negeri 1 Bombana")</f>
        <v>SMK Negeri 1 Bombana</v>
      </c>
      <c r="D709" s="24"/>
      <c r="E709" s="24"/>
      <c r="F709" s="24" t="str">
        <f>IFERROR(__xludf.DUMMYFUNCTION("""COMPUTED_VALUE"""),"ERIK SAPUTRA")</f>
        <v>ERIK SAPUTRA</v>
      </c>
      <c r="G709" s="86" t="str">
        <f>IFERROR(__xludf.DUMMYFUNCTION("""COMPUTED_VALUE"""),"7406091212080001")</f>
        <v>7406091212080001</v>
      </c>
      <c r="H709" s="24"/>
      <c r="I709" s="24"/>
      <c r="J709" s="24" t="str">
        <f>IFERROR(__xludf.DUMMYFUNCTION("""COMPUTED_VALUE"""),"LAKI-LAKI")</f>
        <v>LAKI-LAKI</v>
      </c>
      <c r="K709" s="24" t="str">
        <f>IFERROR(__xludf.DUMMYFUNCTION("""COMPUTED_VALUE"""),"Tembe Dusun III")</f>
        <v>Tembe Dusun III</v>
      </c>
      <c r="L709" s="24"/>
      <c r="M709" s="24"/>
      <c r="N709" s="24" t="str">
        <f>IFERROR(__xludf.DUMMYFUNCTION("""COMPUTED_VALUE"""),"SMA / SMK / MA")</f>
        <v>SMA / SMK / MA</v>
      </c>
      <c r="O709" s="24"/>
      <c r="P709" s="24"/>
      <c r="Q709" s="24"/>
      <c r="R709" s="24" t="str">
        <f>IFERROR(__xludf.DUMMYFUNCTION("""COMPUTED_VALUE"""),"K")</f>
        <v>K</v>
      </c>
      <c r="S709" s="25"/>
    </row>
    <row r="710" ht="22.5" customHeight="1">
      <c r="A710" s="22">
        <v>709.0</v>
      </c>
      <c r="B710" s="24" t="str">
        <f>IFERROR(__xludf.DUMMYFUNCTION("""COMPUTED_VALUE"""),"Pemeliharaan Kendaraan Ringan Sistem Injeksi ")</f>
        <v>Pemeliharaan Kendaraan Ringan Sistem Injeksi </v>
      </c>
      <c r="C710" s="24" t="str">
        <f>IFERROR(__xludf.DUMMYFUNCTION("""COMPUTED_VALUE"""),"SMK Negeri 1 Bombana")</f>
        <v>SMK Negeri 1 Bombana</v>
      </c>
      <c r="D710" s="24"/>
      <c r="E710" s="24"/>
      <c r="F710" s="24" t="str">
        <f>IFERROR(__xludf.DUMMYFUNCTION("""COMPUTED_VALUE"""),"FIKRAM SAPUTRA")</f>
        <v>FIKRAM SAPUTRA</v>
      </c>
      <c r="G710" s="86" t="str">
        <f>IFERROR(__xludf.DUMMYFUNCTION("""COMPUTED_VALUE"""),"7406212202080001")</f>
        <v>7406212202080001</v>
      </c>
      <c r="H710" s="24"/>
      <c r="I710" s="24"/>
      <c r="J710" s="24" t="str">
        <f>IFERROR(__xludf.DUMMYFUNCTION("""COMPUTED_VALUE"""),"LAKI-LAKI")</f>
        <v>LAKI-LAKI</v>
      </c>
      <c r="K710" s="24" t="str">
        <f>IFERROR(__xludf.DUMMYFUNCTION("""COMPUTED_VALUE"""),"Hukapea Laea")</f>
        <v>Hukapea Laea</v>
      </c>
      <c r="L710" s="24"/>
      <c r="M710" s="24"/>
      <c r="N710" s="24" t="str">
        <f>IFERROR(__xludf.DUMMYFUNCTION("""COMPUTED_VALUE"""),"SMA / SMK / MA")</f>
        <v>SMA / SMK / MA</v>
      </c>
      <c r="O710" s="24"/>
      <c r="P710" s="24"/>
      <c r="Q710" s="24"/>
      <c r="R710" s="24" t="str">
        <f>IFERROR(__xludf.DUMMYFUNCTION("""COMPUTED_VALUE"""),"K")</f>
        <v>K</v>
      </c>
      <c r="S710" s="25"/>
    </row>
    <row r="711" ht="22.5" customHeight="1">
      <c r="A711" s="22">
        <v>710.0</v>
      </c>
      <c r="B711" s="24" t="str">
        <f>IFERROR(__xludf.DUMMYFUNCTION("""COMPUTED_VALUE"""),"Pemeliharaan Kendaraan Ringan Sistem Injeksi ")</f>
        <v>Pemeliharaan Kendaraan Ringan Sistem Injeksi </v>
      </c>
      <c r="C711" s="24" t="str">
        <f>IFERROR(__xludf.DUMMYFUNCTION("""COMPUTED_VALUE"""),"SMK Negeri 1 Bombana")</f>
        <v>SMK Negeri 1 Bombana</v>
      </c>
      <c r="D711" s="24"/>
      <c r="E711" s="24"/>
      <c r="F711" s="24" t="str">
        <f>IFERROR(__xludf.DUMMYFUNCTION("""COMPUTED_VALUE"""),"I NENGAH JORDI")</f>
        <v>I NENGAH JORDI</v>
      </c>
      <c r="G711" s="86" t="str">
        <f>IFERROR(__xludf.DUMMYFUNCTION("""COMPUTED_VALUE"""),"7406091803080001")</f>
        <v>7406091803080001</v>
      </c>
      <c r="H711" s="24"/>
      <c r="I711" s="24"/>
      <c r="J711" s="24" t="str">
        <f>IFERROR(__xludf.DUMMYFUNCTION("""COMPUTED_VALUE"""),"LAKI-LAKI")</f>
        <v>LAKI-LAKI</v>
      </c>
      <c r="K711" s="24" t="str">
        <f>IFERROR(__xludf.DUMMYFUNCTION("""COMPUTED_VALUE"""),"Marga Jaya")</f>
        <v>Marga Jaya</v>
      </c>
      <c r="L711" s="24"/>
      <c r="M711" s="24"/>
      <c r="N711" s="24" t="str">
        <f>IFERROR(__xludf.DUMMYFUNCTION("""COMPUTED_VALUE"""),"SMA / SMK / MA")</f>
        <v>SMA / SMK / MA</v>
      </c>
      <c r="O711" s="24"/>
      <c r="P711" s="24"/>
      <c r="Q711" s="24"/>
      <c r="R711" s="24" t="str">
        <f>IFERROR(__xludf.DUMMYFUNCTION("""COMPUTED_VALUE"""),"K")</f>
        <v>K</v>
      </c>
      <c r="S711" s="25"/>
    </row>
    <row r="712" ht="22.5" customHeight="1">
      <c r="A712" s="22">
        <v>711.0</v>
      </c>
      <c r="B712" s="24" t="str">
        <f>IFERROR(__xludf.DUMMYFUNCTION("""COMPUTED_VALUE"""),"Pemeliharaan Kendaraan Ringan Sistem Injeksi ")</f>
        <v>Pemeliharaan Kendaraan Ringan Sistem Injeksi </v>
      </c>
      <c r="C712" s="24" t="str">
        <f>IFERROR(__xludf.DUMMYFUNCTION("""COMPUTED_VALUE"""),"SMK Negeri 1 Bombana")</f>
        <v>SMK Negeri 1 Bombana</v>
      </c>
      <c r="D712" s="24"/>
      <c r="E712" s="24"/>
      <c r="F712" s="24" t="str">
        <f>IFERROR(__xludf.DUMMYFUNCTION("""COMPUTED_VALUE"""),"HAIRIL")</f>
        <v>HAIRIL</v>
      </c>
      <c r="G712" s="86" t="str">
        <f>IFERROR(__xludf.DUMMYFUNCTION("""COMPUTED_VALUE"""),"7406090304080001")</f>
        <v>7406090304080001</v>
      </c>
      <c r="H712" s="24"/>
      <c r="I712" s="24"/>
      <c r="J712" s="24" t="str">
        <f>IFERROR(__xludf.DUMMYFUNCTION("""COMPUTED_VALUE"""),"LAKI-LAKI")</f>
        <v>LAKI-LAKI</v>
      </c>
      <c r="K712" s="24" t="str">
        <f>IFERROR(__xludf.DUMMYFUNCTION("""COMPUTED_VALUE"""),"Watumentape")</f>
        <v>Watumentape</v>
      </c>
      <c r="L712" s="24"/>
      <c r="M712" s="24"/>
      <c r="N712" s="24" t="str">
        <f>IFERROR(__xludf.DUMMYFUNCTION("""COMPUTED_VALUE"""),"SMA / SMK / MA")</f>
        <v>SMA / SMK / MA</v>
      </c>
      <c r="O712" s="24"/>
      <c r="P712" s="24"/>
      <c r="Q712" s="24"/>
      <c r="R712" s="24" t="str">
        <f>IFERROR(__xludf.DUMMYFUNCTION("""COMPUTED_VALUE"""),"K")</f>
        <v>K</v>
      </c>
      <c r="S712" s="25"/>
    </row>
    <row r="713" ht="22.5" customHeight="1">
      <c r="A713" s="22">
        <v>712.0</v>
      </c>
      <c r="B713" s="24" t="str">
        <f>IFERROR(__xludf.DUMMYFUNCTION("""COMPUTED_VALUE"""),"Pemeliharaan Kendaraan Ringan Sistem Injeksi ")</f>
        <v>Pemeliharaan Kendaraan Ringan Sistem Injeksi </v>
      </c>
      <c r="C713" s="24" t="str">
        <f>IFERROR(__xludf.DUMMYFUNCTION("""COMPUTED_VALUE"""),"SMK Negeri 1 Bombana")</f>
        <v>SMK Negeri 1 Bombana</v>
      </c>
      <c r="D713" s="24"/>
      <c r="E713" s="24"/>
      <c r="F713" s="24" t="str">
        <f>IFERROR(__xludf.DUMMYFUNCTION("""COMPUTED_VALUE"""),"MARTINUS SURYAHADI")</f>
        <v>MARTINUS SURYAHADI</v>
      </c>
      <c r="G713" s="86" t="str">
        <f>IFERROR(__xludf.DUMMYFUNCTION("""COMPUTED_VALUE"""),"7402101611070003")</f>
        <v>7402101611070003</v>
      </c>
      <c r="H713" s="24"/>
      <c r="I713" s="24"/>
      <c r="J713" s="24" t="str">
        <f>IFERROR(__xludf.DUMMYFUNCTION("""COMPUTED_VALUE"""),"LAKI-LAKI")</f>
        <v>LAKI-LAKI</v>
      </c>
      <c r="K713" s="24" t="str">
        <f>IFERROR(__xludf.DUMMYFUNCTION("""COMPUTED_VALUE"""),"Wumbubangka")</f>
        <v>Wumbubangka</v>
      </c>
      <c r="L713" s="24"/>
      <c r="M713" s="24"/>
      <c r="N713" s="24" t="str">
        <f>IFERROR(__xludf.DUMMYFUNCTION("""COMPUTED_VALUE"""),"SMA / SMK / MA")</f>
        <v>SMA / SMK / MA</v>
      </c>
      <c r="O713" s="24"/>
      <c r="P713" s="24"/>
      <c r="Q713" s="24"/>
      <c r="R713" s="24" t="str">
        <f>IFERROR(__xludf.DUMMYFUNCTION("""COMPUTED_VALUE"""),"K")</f>
        <v>K</v>
      </c>
      <c r="S713" s="25"/>
    </row>
    <row r="714" ht="22.5" customHeight="1">
      <c r="A714" s="22">
        <v>713.0</v>
      </c>
      <c r="B714" s="24" t="str">
        <f>IFERROR(__xludf.DUMMYFUNCTION("""COMPUTED_VALUE"""),"Pemeliharaan Kendaraan Ringan Sistem Injeksi ")</f>
        <v>Pemeliharaan Kendaraan Ringan Sistem Injeksi </v>
      </c>
      <c r="C714" s="24" t="str">
        <f>IFERROR(__xludf.DUMMYFUNCTION("""COMPUTED_VALUE"""),"SMK Negeri 1 Bombana")</f>
        <v>SMK Negeri 1 Bombana</v>
      </c>
      <c r="D714" s="24"/>
      <c r="E714" s="24"/>
      <c r="F714" s="24" t="str">
        <f>IFERROR(__xludf.DUMMYFUNCTION("""COMPUTED_VALUE"""),"MUH. ILMAN")</f>
        <v>MUH. ILMAN</v>
      </c>
      <c r="G714" s="86" t="str">
        <f>IFERROR(__xludf.DUMMYFUNCTION("""COMPUTED_VALUE"""),"7406090810060002")</f>
        <v>7406090810060002</v>
      </c>
      <c r="H714" s="24"/>
      <c r="I714" s="24"/>
      <c r="J714" s="24" t="str">
        <f>IFERROR(__xludf.DUMMYFUNCTION("""COMPUTED_VALUE"""),"LAKI-LAKI")</f>
        <v>LAKI-LAKI</v>
      </c>
      <c r="K714" s="24" t="str">
        <f>IFERROR(__xludf.DUMMYFUNCTION("""COMPUTED_VALUE"""),"Wumbubangka Lasangi SP 9")</f>
        <v>Wumbubangka Lasangi SP 9</v>
      </c>
      <c r="L714" s="24"/>
      <c r="M714" s="24"/>
      <c r="N714" s="24" t="str">
        <f>IFERROR(__xludf.DUMMYFUNCTION("""COMPUTED_VALUE"""),"SMA / SMK / MA")</f>
        <v>SMA / SMK / MA</v>
      </c>
      <c r="O714" s="24"/>
      <c r="P714" s="24"/>
      <c r="Q714" s="24"/>
      <c r="R714" s="24" t="str">
        <f>IFERROR(__xludf.DUMMYFUNCTION("""COMPUTED_VALUE"""),"K")</f>
        <v>K</v>
      </c>
      <c r="S714" s="25"/>
    </row>
    <row r="715" ht="22.5" customHeight="1">
      <c r="A715" s="22">
        <v>714.0</v>
      </c>
      <c r="B715" s="24" t="str">
        <f>IFERROR(__xludf.DUMMYFUNCTION("""COMPUTED_VALUE"""),"Pemeliharaan Kendaraan Ringan Sistem Injeksi ")</f>
        <v>Pemeliharaan Kendaraan Ringan Sistem Injeksi </v>
      </c>
      <c r="C715" s="24" t="str">
        <f>IFERROR(__xludf.DUMMYFUNCTION("""COMPUTED_VALUE"""),"SMK Negeri 1 Bombana")</f>
        <v>SMK Negeri 1 Bombana</v>
      </c>
      <c r="D715" s="24"/>
      <c r="E715" s="24"/>
      <c r="F715" s="24" t="str">
        <f>IFERROR(__xludf.DUMMYFUNCTION("""COMPUTED_VALUE"""),"MUH. USWATUN HASANAH")</f>
        <v>MUH. USWATUN HASANAH</v>
      </c>
      <c r="G715" s="86" t="str">
        <f>IFERROR(__xludf.DUMMYFUNCTION("""COMPUTED_VALUE"""),"7308060107000139")</f>
        <v>7308060107000139</v>
      </c>
      <c r="H715" s="24"/>
      <c r="I715" s="24"/>
      <c r="J715" s="24" t="str">
        <f>IFERROR(__xludf.DUMMYFUNCTION("""COMPUTED_VALUE"""),"LAKI-LAKI")</f>
        <v>LAKI-LAKI</v>
      </c>
      <c r="K715" s="24" t="str">
        <f>IFERROR(__xludf.DUMMYFUNCTION("""COMPUTED_VALUE"""),"Samaenre")</f>
        <v>Samaenre</v>
      </c>
      <c r="L715" s="24"/>
      <c r="M715" s="24"/>
      <c r="N715" s="24" t="str">
        <f>IFERROR(__xludf.DUMMYFUNCTION("""COMPUTED_VALUE"""),"SMA / SMK / MA")</f>
        <v>SMA / SMK / MA</v>
      </c>
      <c r="O715" s="24"/>
      <c r="P715" s="24"/>
      <c r="Q715" s="24"/>
      <c r="R715" s="24" t="str">
        <f>IFERROR(__xludf.DUMMYFUNCTION("""COMPUTED_VALUE"""),"K")</f>
        <v>K</v>
      </c>
      <c r="S715" s="25"/>
    </row>
    <row r="716" ht="22.5" customHeight="1">
      <c r="A716" s="22">
        <v>715.0</v>
      </c>
      <c r="B716" s="24" t="str">
        <f>IFERROR(__xludf.DUMMYFUNCTION("""COMPUTED_VALUE"""),"Pemeliharaan Kendaraan Ringan Sistem Injeksi ")</f>
        <v>Pemeliharaan Kendaraan Ringan Sistem Injeksi </v>
      </c>
      <c r="C716" s="24" t="str">
        <f>IFERROR(__xludf.DUMMYFUNCTION("""COMPUTED_VALUE"""),"SMK Negeri 1 Bombana")</f>
        <v>SMK Negeri 1 Bombana</v>
      </c>
      <c r="D716" s="24"/>
      <c r="E716" s="24"/>
      <c r="F716" s="24" t="str">
        <f>IFERROR(__xludf.DUMMYFUNCTION("""COMPUTED_VALUE"""),"MUH. WAHYU PRATAMA")</f>
        <v>MUH. WAHYU PRATAMA</v>
      </c>
      <c r="G716" s="86" t="str">
        <f>IFERROR(__xludf.DUMMYFUNCTION("""COMPUTED_VALUE"""),"7406040107090005")</f>
        <v>7406040107090005</v>
      </c>
      <c r="H716" s="24"/>
      <c r="I716" s="24"/>
      <c r="J716" s="24" t="str">
        <f>IFERROR(__xludf.DUMMYFUNCTION("""COMPUTED_VALUE"""),"LAKI-LAKI")</f>
        <v>LAKI-LAKI</v>
      </c>
      <c r="K716" s="24" t="str">
        <f>IFERROR(__xludf.DUMMYFUNCTION("""COMPUTED_VALUE"""),"Desa Watumentape")</f>
        <v>Desa Watumentape</v>
      </c>
      <c r="L716" s="24"/>
      <c r="M716" s="24"/>
      <c r="N716" s="24" t="str">
        <f>IFERROR(__xludf.DUMMYFUNCTION("""COMPUTED_VALUE"""),"SMA / SMK / MA")</f>
        <v>SMA / SMK / MA</v>
      </c>
      <c r="O716" s="24"/>
      <c r="P716" s="24"/>
      <c r="Q716" s="24"/>
      <c r="R716" s="24" t="str">
        <f>IFERROR(__xludf.DUMMYFUNCTION("""COMPUTED_VALUE"""),"K")</f>
        <v>K</v>
      </c>
      <c r="S716" s="25"/>
    </row>
    <row r="717" ht="22.5" customHeight="1">
      <c r="A717" s="22">
        <v>716.0</v>
      </c>
      <c r="B717" s="24" t="str">
        <f>IFERROR(__xludf.DUMMYFUNCTION("""COMPUTED_VALUE"""),"Pemeliharaan Kendaraan Ringan Sistem Injeksi ")</f>
        <v>Pemeliharaan Kendaraan Ringan Sistem Injeksi </v>
      </c>
      <c r="C717" s="24" t="str">
        <f>IFERROR(__xludf.DUMMYFUNCTION("""COMPUTED_VALUE"""),"SMK Negeri 1 Bombana")</f>
        <v>SMK Negeri 1 Bombana</v>
      </c>
      <c r="D717" s="24"/>
      <c r="E717" s="24"/>
      <c r="F717" s="24" t="str">
        <f>IFERROR(__xludf.DUMMYFUNCTION("""COMPUTED_VALUE"""),"NURMAN PANDANG")</f>
        <v>NURMAN PANDANG</v>
      </c>
      <c r="G717" s="86" t="str">
        <f>IFERROR(__xludf.DUMMYFUNCTION("""COMPUTED_VALUE"""),"7406090107080002")</f>
        <v>7406090107080002</v>
      </c>
      <c r="H717" s="24"/>
      <c r="I717" s="24"/>
      <c r="J717" s="24" t="str">
        <f>IFERROR(__xludf.DUMMYFUNCTION("""COMPUTED_VALUE"""),"LAKI-LAKI")</f>
        <v>LAKI-LAKI</v>
      </c>
      <c r="K717" s="24" t="str">
        <f>IFERROR(__xludf.DUMMYFUNCTION("""COMPUTED_VALUE"""),"Kel. Aneka Marga")</f>
        <v>Kel. Aneka Marga</v>
      </c>
      <c r="L717" s="24"/>
      <c r="M717" s="24"/>
      <c r="N717" s="24" t="str">
        <f>IFERROR(__xludf.DUMMYFUNCTION("""COMPUTED_VALUE"""),"SMA / SMK / MA")</f>
        <v>SMA / SMK / MA</v>
      </c>
      <c r="O717" s="24"/>
      <c r="P717" s="24"/>
      <c r="Q717" s="24"/>
      <c r="R717" s="24" t="str">
        <f>IFERROR(__xludf.DUMMYFUNCTION("""COMPUTED_VALUE"""),"K")</f>
        <v>K</v>
      </c>
      <c r="S717" s="25"/>
    </row>
    <row r="718" ht="22.5" customHeight="1">
      <c r="A718" s="22">
        <v>717.0</v>
      </c>
      <c r="B718" s="24" t="str">
        <f>IFERROR(__xludf.DUMMYFUNCTION("""COMPUTED_VALUE"""),"Pemeliharaan Kendaraan Ringan Sistem Injeksi ")</f>
        <v>Pemeliharaan Kendaraan Ringan Sistem Injeksi </v>
      </c>
      <c r="C718" s="24" t="str">
        <f>IFERROR(__xludf.DUMMYFUNCTION("""COMPUTED_VALUE"""),"SMK Negeri 1 Bombana")</f>
        <v>SMK Negeri 1 Bombana</v>
      </c>
      <c r="D718" s="24"/>
      <c r="E718" s="24"/>
      <c r="F718" s="24" t="str">
        <f>IFERROR(__xludf.DUMMYFUNCTION("""COMPUTED_VALUE"""),"ULIL ALBAB")</f>
        <v>ULIL ALBAB</v>
      </c>
      <c r="G718" s="86" t="str">
        <f>IFERROR(__xludf.DUMMYFUNCTION("""COMPUTED_VALUE"""),"7406091909080001")</f>
        <v>7406091909080001</v>
      </c>
      <c r="H718" s="24"/>
      <c r="I718" s="24"/>
      <c r="J718" s="24" t="str">
        <f>IFERROR(__xludf.DUMMYFUNCTION("""COMPUTED_VALUE"""),"LAKI-LAKI")</f>
        <v>LAKI-LAKI</v>
      </c>
      <c r="K718" s="24" t="str">
        <f>IFERROR(__xludf.DUMMYFUNCTION("""COMPUTED_VALUE"""),"Aneka Marga")</f>
        <v>Aneka Marga</v>
      </c>
      <c r="L718" s="24"/>
      <c r="M718" s="24"/>
      <c r="N718" s="24" t="str">
        <f>IFERROR(__xludf.DUMMYFUNCTION("""COMPUTED_VALUE"""),"SMA / SMK / MA")</f>
        <v>SMA / SMK / MA</v>
      </c>
      <c r="O718" s="24"/>
      <c r="P718" s="24"/>
      <c r="Q718" s="24"/>
      <c r="R718" s="24" t="str">
        <f>IFERROR(__xludf.DUMMYFUNCTION("""COMPUTED_VALUE"""),"K")</f>
        <v>K</v>
      </c>
      <c r="S718" s="25"/>
    </row>
    <row r="719" ht="22.5" customHeight="1">
      <c r="A719" s="22">
        <v>718.0</v>
      </c>
      <c r="B719" s="24" t="str">
        <f>IFERROR(__xludf.DUMMYFUNCTION("""COMPUTED_VALUE"""),"Pemeliharaan Kendaraan Ringan Sistem Injeksi ")</f>
        <v>Pemeliharaan Kendaraan Ringan Sistem Injeksi </v>
      </c>
      <c r="C719" s="24" t="str">
        <f>IFERROR(__xludf.DUMMYFUNCTION("""COMPUTED_VALUE"""),"SMK Negeri 1 Bombana")</f>
        <v>SMK Negeri 1 Bombana</v>
      </c>
      <c r="D719" s="24"/>
      <c r="E719" s="24"/>
      <c r="F719" s="24" t="str">
        <f>IFERROR(__xludf.DUMMYFUNCTION("""COMPUTED_VALUE"""),"YASIN")</f>
        <v>YASIN</v>
      </c>
      <c r="G719" s="86" t="str">
        <f>IFERROR(__xludf.DUMMYFUNCTION("""COMPUTED_VALUE"""),"7406090307080001")</f>
        <v>7406090307080001</v>
      </c>
      <c r="H719" s="24"/>
      <c r="I719" s="24"/>
      <c r="J719" s="24" t="str">
        <f>IFERROR(__xludf.DUMMYFUNCTION("""COMPUTED_VALUE"""),"LAKI-LAKI")</f>
        <v>LAKI-LAKI</v>
      </c>
      <c r="K719" s="24" t="str">
        <f>IFERROR(__xludf.DUMMYFUNCTION("""COMPUTED_VALUE"""),"-")</f>
        <v>-</v>
      </c>
      <c r="L719" s="24"/>
      <c r="M719" s="24"/>
      <c r="N719" s="24" t="str">
        <f>IFERROR(__xludf.DUMMYFUNCTION("""COMPUTED_VALUE"""),"SMA / SMK / MA")</f>
        <v>SMA / SMK / MA</v>
      </c>
      <c r="O719" s="24"/>
      <c r="P719" s="24"/>
      <c r="Q719" s="24"/>
      <c r="R719" s="24" t="str">
        <f>IFERROR(__xludf.DUMMYFUNCTION("""COMPUTED_VALUE"""),"K")</f>
        <v>K</v>
      </c>
      <c r="S719" s="25"/>
    </row>
    <row r="720" ht="22.5" customHeight="1">
      <c r="A720" s="22">
        <v>719.0</v>
      </c>
      <c r="B720" s="24" t="str">
        <f>IFERROR(__xludf.DUMMYFUNCTION("""COMPUTED_VALUE"""),"Pemeliharaan Kendaraan Ringan Sistem Injeksi ")</f>
        <v>Pemeliharaan Kendaraan Ringan Sistem Injeksi </v>
      </c>
      <c r="C720" s="24" t="str">
        <f>IFERROR(__xludf.DUMMYFUNCTION("""COMPUTED_VALUE"""),"SMK Negeri 1 Bombana")</f>
        <v>SMK Negeri 1 Bombana</v>
      </c>
      <c r="D720" s="24"/>
      <c r="E720" s="24"/>
      <c r="F720" s="24" t="str">
        <f>IFERROR(__xludf.DUMMYFUNCTION("""COMPUTED_VALUE"""),"RISALDI")</f>
        <v>RISALDI</v>
      </c>
      <c r="G720" s="86">
        <f>IFERROR(__xludf.DUMMYFUNCTION("""COMPUTED_VALUE"""),7.37107309930008E14)</f>
        <v>737107309930008</v>
      </c>
      <c r="H720" s="24"/>
      <c r="I720" s="24"/>
      <c r="J720" s="24" t="str">
        <f>IFERROR(__xludf.DUMMYFUNCTION("""COMPUTED_VALUE"""),"LAKI-LAKI")</f>
        <v>LAKI-LAKI</v>
      </c>
      <c r="K720" s="24" t="str">
        <f>IFERROR(__xludf.DUMMYFUNCTION("""COMPUTED_VALUE"""),"Desa Lombakasi, Kec. Lantari Jaya, Kab. Bombana")</f>
        <v>Desa Lombakasi, Kec. Lantari Jaya, Kab. Bombana</v>
      </c>
      <c r="L720" s="24"/>
      <c r="M720" s="24"/>
      <c r="N720" s="24" t="str">
        <f>IFERROR(__xludf.DUMMYFUNCTION("""COMPUTED_VALUE"""),"SMA / SMK / MA")</f>
        <v>SMA / SMK / MA</v>
      </c>
      <c r="O720" s="24"/>
      <c r="P720" s="24"/>
      <c r="Q720" s="24"/>
      <c r="R720" s="24" t="str">
        <f>IFERROR(__xludf.DUMMYFUNCTION("""COMPUTED_VALUE"""),"K")</f>
        <v>K</v>
      </c>
      <c r="S720" s="25"/>
    </row>
    <row r="721" ht="22.5" customHeight="1">
      <c r="A721" s="22">
        <v>720.0</v>
      </c>
      <c r="B721" s="24" t="str">
        <f>IFERROR(__xludf.DUMMYFUNCTION("""COMPUTED_VALUE"""),"Pengelola Administrasi Perkantoran")</f>
        <v>Pengelola Administrasi Perkantoran</v>
      </c>
      <c r="C721" s="24" t="str">
        <f>IFERROR(__xludf.DUMMYFUNCTION("""COMPUTED_VALUE"""),"SMK Negeri 1 Kolaka")</f>
        <v>SMK Negeri 1 Kolaka</v>
      </c>
      <c r="D721" s="24"/>
      <c r="E721" s="24"/>
      <c r="F721" s="24" t="str">
        <f>IFERROR(__xludf.DUMMYFUNCTION("""COMPUTED_VALUE"""),"Dedy Swandi")</f>
        <v>Dedy Swandi</v>
      </c>
      <c r="G721" s="86">
        <f>IFERROR(__xludf.DUMMYFUNCTION("""COMPUTED_VALUE"""),7.40104111175E15)</f>
        <v>7.40104E+15</v>
      </c>
      <c r="H721" s="24"/>
      <c r="I721" s="24"/>
      <c r="J721" s="24" t="str">
        <f>IFERROR(__xludf.DUMMYFUNCTION("""COMPUTED_VALUE"""),"LAKI-LAKI")</f>
        <v>LAKI-LAKI</v>
      </c>
      <c r="K721" s="24" t="str">
        <f>IFERROR(__xludf.DUMMYFUNCTION("""COMPUTED_VALUE"""),"BTN Griya Satelit Blok C No. 6")</f>
        <v>BTN Griya Satelit Blok C No. 6</v>
      </c>
      <c r="L721" s="24"/>
      <c r="M721" s="24"/>
      <c r="N721" s="24" t="str">
        <f>IFERROR(__xludf.DUMMYFUNCTION("""COMPUTED_VALUE"""),"SMA / SMK / MA")</f>
        <v>SMA / SMK / MA</v>
      </c>
      <c r="O721" s="24"/>
      <c r="P721" s="24"/>
      <c r="Q721" s="24"/>
      <c r="R721" s="24" t="str">
        <f>IFERROR(__xludf.DUMMYFUNCTION("""COMPUTED_VALUE"""),"K")</f>
        <v>K</v>
      </c>
      <c r="S721" s="25"/>
    </row>
    <row r="722" ht="22.5" customHeight="1">
      <c r="A722" s="22">
        <v>721.0</v>
      </c>
      <c r="B722" s="24" t="str">
        <f>IFERROR(__xludf.DUMMYFUNCTION("""COMPUTED_VALUE"""),"Pengelola Administrasi Perkantoran")</f>
        <v>Pengelola Administrasi Perkantoran</v>
      </c>
      <c r="C722" s="24" t="str">
        <f>IFERROR(__xludf.DUMMYFUNCTION("""COMPUTED_VALUE"""),"SMK Negeri 1 Kolaka")</f>
        <v>SMK Negeri 1 Kolaka</v>
      </c>
      <c r="D722" s="24"/>
      <c r="E722" s="24"/>
      <c r="F722" s="24" t="str">
        <f>IFERROR(__xludf.DUMMYFUNCTION("""COMPUTED_VALUE"""),"Indarwati")</f>
        <v>Indarwati</v>
      </c>
      <c r="G722" s="86">
        <f>IFERROR(__xludf.DUMMYFUNCTION("""COMPUTED_VALUE"""),7.40104541175E15)</f>
        <v>7.40105E+15</v>
      </c>
      <c r="H722" s="24"/>
      <c r="I722" s="24"/>
      <c r="J722" s="24" t="str">
        <f>IFERROR(__xludf.DUMMYFUNCTION("""COMPUTED_VALUE"""),"PEREMPUAN")</f>
        <v>PEREMPUAN</v>
      </c>
      <c r="K722" s="24" t="str">
        <f>IFERROR(__xludf.DUMMYFUNCTION("""COMPUTED_VALUE"""),"BTN Griya Satelit Blok C No. 6")</f>
        <v>BTN Griya Satelit Blok C No. 6</v>
      </c>
      <c r="L722" s="24"/>
      <c r="M722" s="24"/>
      <c r="N722" s="24" t="str">
        <f>IFERROR(__xludf.DUMMYFUNCTION("""COMPUTED_VALUE"""),"SMA / SMK / MA")</f>
        <v>SMA / SMK / MA</v>
      </c>
      <c r="O722" s="24"/>
      <c r="P722" s="24"/>
      <c r="Q722" s="24"/>
      <c r="R722" s="24" t="str">
        <f>IFERROR(__xludf.DUMMYFUNCTION("""COMPUTED_VALUE"""),"K")</f>
        <v>K</v>
      </c>
      <c r="S722" s="25"/>
    </row>
    <row r="723" ht="22.5" customHeight="1">
      <c r="A723" s="22">
        <v>722.0</v>
      </c>
      <c r="B723" s="24" t="str">
        <f>IFERROR(__xludf.DUMMYFUNCTION("""COMPUTED_VALUE"""),"Pengelola Administrasi Perkantoran")</f>
        <v>Pengelola Administrasi Perkantoran</v>
      </c>
      <c r="C723" s="24" t="str">
        <f>IFERROR(__xludf.DUMMYFUNCTION("""COMPUTED_VALUE"""),"SMK Negeri 1 Kolaka")</f>
        <v>SMK Negeri 1 Kolaka</v>
      </c>
      <c r="D723" s="24"/>
      <c r="E723" s="24"/>
      <c r="F723" s="24" t="str">
        <f>IFERROR(__xludf.DUMMYFUNCTION("""COMPUTED_VALUE"""),"Samran Sonimin")</f>
        <v>Samran Sonimin</v>
      </c>
      <c r="G723" s="86">
        <f>IFERROR(__xludf.DUMMYFUNCTION("""COMPUTED_VALUE"""),7.40104011074E15)</f>
        <v>7.40104E+15</v>
      </c>
      <c r="H723" s="24"/>
      <c r="I723" s="24"/>
      <c r="J723" s="24" t="str">
        <f>IFERROR(__xludf.DUMMYFUNCTION("""COMPUTED_VALUE"""),"LAKI-LAKI")</f>
        <v>LAKI-LAKI</v>
      </c>
      <c r="K723" s="24" t="str">
        <f>IFERROR(__xludf.DUMMYFUNCTION("""COMPUTED_VALUE"""),"Jl. Lawangona, No.3, Kel. Sabilambo")</f>
        <v>Jl. Lawangona, No.3, Kel. Sabilambo</v>
      </c>
      <c r="L723" s="24"/>
      <c r="M723" s="24"/>
      <c r="N723" s="24" t="str">
        <f>IFERROR(__xludf.DUMMYFUNCTION("""COMPUTED_VALUE"""),"SMA / SMK / MA")</f>
        <v>SMA / SMK / MA</v>
      </c>
      <c r="O723" s="24"/>
      <c r="P723" s="24"/>
      <c r="Q723" s="24"/>
      <c r="R723" s="24" t="str">
        <f>IFERROR(__xludf.DUMMYFUNCTION("""COMPUTED_VALUE"""),"K")</f>
        <v>K</v>
      </c>
      <c r="S723" s="25"/>
    </row>
    <row r="724" ht="22.5" customHeight="1">
      <c r="A724" s="22">
        <v>723.0</v>
      </c>
      <c r="B724" s="24" t="str">
        <f>IFERROR(__xludf.DUMMYFUNCTION("""COMPUTED_VALUE"""),"Pengelola Administrasi Perkantoran")</f>
        <v>Pengelola Administrasi Perkantoran</v>
      </c>
      <c r="C724" s="24" t="str">
        <f>IFERROR(__xludf.DUMMYFUNCTION("""COMPUTED_VALUE"""),"SMK Negeri 1 Kolaka")</f>
        <v>SMK Negeri 1 Kolaka</v>
      </c>
      <c r="D724" s="24"/>
      <c r="E724" s="24"/>
      <c r="F724" s="24" t="str">
        <f>IFERROR(__xludf.DUMMYFUNCTION("""COMPUTED_VALUE"""),"Harmiah")</f>
        <v>Harmiah</v>
      </c>
      <c r="G724" s="86">
        <f>IFERROR(__xludf.DUMMYFUNCTION("""COMPUTED_VALUE"""),7.40110670774E15)</f>
        <v>7.40111E+15</v>
      </c>
      <c r="H724" s="24"/>
      <c r="I724" s="24"/>
      <c r="J724" s="24" t="str">
        <f>IFERROR(__xludf.DUMMYFUNCTION("""COMPUTED_VALUE"""),"PEREMPUAN")</f>
        <v>PEREMPUAN</v>
      </c>
      <c r="K724" s="24"/>
      <c r="L724" s="24"/>
      <c r="M724" s="24"/>
      <c r="N724" s="24" t="str">
        <f>IFERROR(__xludf.DUMMYFUNCTION("""COMPUTED_VALUE"""),"SMA / SMK / MA")</f>
        <v>SMA / SMK / MA</v>
      </c>
      <c r="O724" s="24"/>
      <c r="P724" s="24"/>
      <c r="Q724" s="24"/>
      <c r="R724" s="24" t="str">
        <f>IFERROR(__xludf.DUMMYFUNCTION("""COMPUTED_VALUE"""),"BK")</f>
        <v>BK</v>
      </c>
      <c r="S724" s="25"/>
    </row>
    <row r="725" ht="22.5" customHeight="1">
      <c r="A725" s="22">
        <v>724.0</v>
      </c>
      <c r="B725" s="24" t="str">
        <f>IFERROR(__xludf.DUMMYFUNCTION("""COMPUTED_VALUE"""),"Pengelola Administrasi Perkantoran")</f>
        <v>Pengelola Administrasi Perkantoran</v>
      </c>
      <c r="C725" s="24" t="str">
        <f>IFERROR(__xludf.DUMMYFUNCTION("""COMPUTED_VALUE"""),"SMK Negeri 1 Kolaka")</f>
        <v>SMK Negeri 1 Kolaka</v>
      </c>
      <c r="D725" s="24"/>
      <c r="E725" s="24"/>
      <c r="F725" s="24" t="str">
        <f>IFERROR(__xludf.DUMMYFUNCTION("""COMPUTED_VALUE"""),"La Made")</f>
        <v>La Made</v>
      </c>
      <c r="G725" s="86" t="str">
        <f>IFERROR(__xludf.DUMMYFUNCTION("""COMPUTED_VALUE"""),"7403211707880201")</f>
        <v>7403211707880201</v>
      </c>
      <c r="H725" s="24"/>
      <c r="I725" s="24"/>
      <c r="J725" s="24" t="str">
        <f>IFERROR(__xludf.DUMMYFUNCTION("""COMPUTED_VALUE"""),"LAKI-LAKI")</f>
        <v>LAKI-LAKI</v>
      </c>
      <c r="K725" s="24" t="str">
        <f>IFERROR(__xludf.DUMMYFUNCTION("""COMPUTED_VALUE"""),"Jl. Pendidikan No. 49 Kolaka")</f>
        <v>Jl. Pendidikan No. 49 Kolaka</v>
      </c>
      <c r="L725" s="24"/>
      <c r="M725" s="24"/>
      <c r="N725" s="24" t="str">
        <f>IFERROR(__xludf.DUMMYFUNCTION("""COMPUTED_VALUE"""),"SMA / SMK / MA")</f>
        <v>SMA / SMK / MA</v>
      </c>
      <c r="O725" s="24"/>
      <c r="P725" s="24"/>
      <c r="Q725" s="24"/>
      <c r="R725" s="24" t="str">
        <f>IFERROR(__xludf.DUMMYFUNCTION("""COMPUTED_VALUE"""),"K")</f>
        <v>K</v>
      </c>
      <c r="S725" s="25"/>
    </row>
    <row r="726" ht="22.5" customHeight="1">
      <c r="A726" s="22">
        <v>725.0</v>
      </c>
      <c r="B726" s="24" t="str">
        <f>IFERROR(__xludf.DUMMYFUNCTION("""COMPUTED_VALUE"""),"Pengelola Administrasi Perkantoran")</f>
        <v>Pengelola Administrasi Perkantoran</v>
      </c>
      <c r="C726" s="24" t="str">
        <f>IFERROR(__xludf.DUMMYFUNCTION("""COMPUTED_VALUE"""),"SMK Negeri 1 Kolaka")</f>
        <v>SMK Negeri 1 Kolaka</v>
      </c>
      <c r="D726" s="24"/>
      <c r="E726" s="24"/>
      <c r="F726" s="24" t="str">
        <f>IFERROR(__xludf.DUMMYFUNCTION("""COMPUTED_VALUE"""),"I Made Ardi Restawan")</f>
        <v>I Made Ardi Restawan</v>
      </c>
      <c r="G726" s="86">
        <f>IFERROR(__xludf.DUMMYFUNCTION("""COMPUTED_VALUE"""),7.40118150799E15)</f>
        <v>7.40118E+15</v>
      </c>
      <c r="H726" s="24"/>
      <c r="I726" s="24"/>
      <c r="J726" s="24" t="str">
        <f>IFERROR(__xludf.DUMMYFUNCTION("""COMPUTED_VALUE"""),"LAKI-LAKI")</f>
        <v>LAKI-LAKI</v>
      </c>
      <c r="K726" s="24" t="str">
        <f>IFERROR(__xludf.DUMMYFUNCTION("""COMPUTED_VALUE"""),"Jl. Kecapi, Desa Rahanggada, Kec. Tanggetada, Kab. Kolaka")</f>
        <v>Jl. Kecapi, Desa Rahanggada, Kec. Tanggetada, Kab. Kolaka</v>
      </c>
      <c r="L726" s="24"/>
      <c r="M726" s="24"/>
      <c r="N726" s="24" t="str">
        <f>IFERROR(__xludf.DUMMYFUNCTION("""COMPUTED_VALUE"""),"SMA / SMK / MA")</f>
        <v>SMA / SMK / MA</v>
      </c>
      <c r="O726" s="24"/>
      <c r="P726" s="24"/>
      <c r="Q726" s="24"/>
      <c r="R726" s="24" t="str">
        <f>IFERROR(__xludf.DUMMYFUNCTION("""COMPUTED_VALUE"""),"K")</f>
        <v>K</v>
      </c>
      <c r="S726" s="25"/>
    </row>
    <row r="727" ht="22.5" customHeight="1">
      <c r="A727" s="22">
        <v>726.0</v>
      </c>
      <c r="B727" s="24" t="str">
        <f>IFERROR(__xludf.DUMMYFUNCTION("""COMPUTED_VALUE"""),"Pengelola Administrasi Perkantoran")</f>
        <v>Pengelola Administrasi Perkantoran</v>
      </c>
      <c r="C727" s="24" t="str">
        <f>IFERROR(__xludf.DUMMYFUNCTION("""COMPUTED_VALUE"""),"SMK Negeri 1 Kolaka")</f>
        <v>SMK Negeri 1 Kolaka</v>
      </c>
      <c r="D727" s="24"/>
      <c r="E727" s="24"/>
      <c r="F727" s="24" t="str">
        <f>IFERROR(__xludf.DUMMYFUNCTION("""COMPUTED_VALUE"""),"ABD. AZIS")</f>
        <v>ABD. AZIS</v>
      </c>
      <c r="G727" s="24" t="str">
        <f>IFERROR(__xludf.DUMMYFUNCTION("""COMPUTED_VALUE"""),"7401042012080003")</f>
        <v>7401042012080003</v>
      </c>
      <c r="H727" s="24"/>
      <c r="I727" s="24"/>
      <c r="J727" s="24" t="str">
        <f>IFERROR(__xludf.DUMMYFUNCTION("""COMPUTED_VALUE"""),"LAKI-LAKI")</f>
        <v>LAKI-LAKI</v>
      </c>
      <c r="K727" s="24" t="str">
        <f>IFERROR(__xludf.DUMMYFUNCTION("""COMPUTED_VALUE"""),"Jl. Pemuda, Kel. Laloeha")</f>
        <v>Jl. Pemuda, Kel. Laloeha</v>
      </c>
      <c r="L727" s="24"/>
      <c r="M727" s="24"/>
      <c r="N727" s="24" t="str">
        <f>IFERROR(__xludf.DUMMYFUNCTION("""COMPUTED_VALUE"""),"SMA / SMK / MA")</f>
        <v>SMA / SMK / MA</v>
      </c>
      <c r="O727" s="24"/>
      <c r="P727" s="24"/>
      <c r="Q727" s="24"/>
      <c r="R727" s="24" t="str">
        <f>IFERROR(__xludf.DUMMYFUNCTION("""COMPUTED_VALUE"""),"K")</f>
        <v>K</v>
      </c>
      <c r="S727" s="25"/>
    </row>
    <row r="728" ht="22.5" customHeight="1">
      <c r="A728" s="22">
        <v>727.0</v>
      </c>
      <c r="B728" s="24" t="str">
        <f>IFERROR(__xludf.DUMMYFUNCTION("""COMPUTED_VALUE"""),"Pengelola Administrasi Perkantoran")</f>
        <v>Pengelola Administrasi Perkantoran</v>
      </c>
      <c r="C728" s="24" t="str">
        <f>IFERROR(__xludf.DUMMYFUNCTION("""COMPUTED_VALUE"""),"SMK Negeri 1 Kolaka")</f>
        <v>SMK Negeri 1 Kolaka</v>
      </c>
      <c r="D728" s="24"/>
      <c r="E728" s="24"/>
      <c r="F728" s="24" t="str">
        <f>IFERROR(__xludf.DUMMYFUNCTION("""COMPUTED_VALUE"""),"ALFIANI ZALIA DEWI")</f>
        <v>ALFIANI ZALIA DEWI</v>
      </c>
      <c r="G728" s="24" t="str">
        <f>IFERROR(__xludf.DUMMYFUNCTION("""COMPUTED_VALUE"""),"7401146912060001")</f>
        <v>7401146912060001</v>
      </c>
      <c r="H728" s="24"/>
      <c r="I728" s="24"/>
      <c r="J728" s="24" t="str">
        <f>IFERROR(__xludf.DUMMYFUNCTION("""COMPUTED_VALUE"""),"PEREMPUAN")</f>
        <v>PEREMPUAN</v>
      </c>
      <c r="K728" s="24" t="str">
        <f>IFERROR(__xludf.DUMMYFUNCTION("""COMPUTED_VALUE"""),"Jl. Kanera")</f>
        <v>Jl. Kanera</v>
      </c>
      <c r="L728" s="24"/>
      <c r="M728" s="24"/>
      <c r="N728" s="24" t="str">
        <f>IFERROR(__xludf.DUMMYFUNCTION("""COMPUTED_VALUE"""),"SMA / SMK / MA")</f>
        <v>SMA / SMK / MA</v>
      </c>
      <c r="O728" s="24"/>
      <c r="P728" s="24"/>
      <c r="Q728" s="24"/>
      <c r="R728" s="24" t="str">
        <f>IFERROR(__xludf.DUMMYFUNCTION("""COMPUTED_VALUE"""),"K")</f>
        <v>K</v>
      </c>
      <c r="S728" s="25"/>
    </row>
    <row r="729" ht="22.5" customHeight="1">
      <c r="A729" s="22">
        <v>728.0</v>
      </c>
      <c r="B729" s="24" t="str">
        <f>IFERROR(__xludf.DUMMYFUNCTION("""COMPUTED_VALUE"""),"Pengelola Administrasi Perkantoran")</f>
        <v>Pengelola Administrasi Perkantoran</v>
      </c>
      <c r="C729" s="24" t="str">
        <f>IFERROR(__xludf.DUMMYFUNCTION("""COMPUTED_VALUE"""),"SMK Negeri 1 Kolaka")</f>
        <v>SMK Negeri 1 Kolaka</v>
      </c>
      <c r="D729" s="24"/>
      <c r="E729" s="24"/>
      <c r="F729" s="24" t="str">
        <f>IFERROR(__xludf.DUMMYFUNCTION("""COMPUTED_VALUE"""),"ANDI DEBY FATIMAH JUNISA")</f>
        <v>ANDI DEBY FATIMAH JUNISA</v>
      </c>
      <c r="G729" s="24" t="str">
        <f>IFERROR(__xludf.DUMMYFUNCTION("""COMPUTED_VALUE"""),"7401145806070003")</f>
        <v>7401145806070003</v>
      </c>
      <c r="H729" s="24"/>
      <c r="I729" s="24"/>
      <c r="J729" s="24" t="str">
        <f>IFERROR(__xludf.DUMMYFUNCTION("""COMPUTED_VALUE"""),"PEREMPUAN")</f>
        <v>PEREMPUAN</v>
      </c>
      <c r="K729" s="24" t="str">
        <f>IFERROR(__xludf.DUMMYFUNCTION("""COMPUTED_VALUE"""),"Jl. Aladi")</f>
        <v>Jl. Aladi</v>
      </c>
      <c r="L729" s="24"/>
      <c r="M729" s="24"/>
      <c r="N729" s="24" t="str">
        <f>IFERROR(__xludf.DUMMYFUNCTION("""COMPUTED_VALUE"""),"SMA / SMK / MA")</f>
        <v>SMA / SMK / MA</v>
      </c>
      <c r="O729" s="24"/>
      <c r="P729" s="24"/>
      <c r="Q729" s="24"/>
      <c r="R729" s="24" t="str">
        <f>IFERROR(__xludf.DUMMYFUNCTION("""COMPUTED_VALUE"""),"K")</f>
        <v>K</v>
      </c>
      <c r="S729" s="25"/>
    </row>
    <row r="730" ht="22.5" customHeight="1">
      <c r="A730" s="22">
        <v>729.0</v>
      </c>
      <c r="B730" s="24" t="str">
        <f>IFERROR(__xludf.DUMMYFUNCTION("""COMPUTED_VALUE"""),"Pengelola Administrasi Perkantoran")</f>
        <v>Pengelola Administrasi Perkantoran</v>
      </c>
      <c r="C730" s="24" t="str">
        <f>IFERROR(__xludf.DUMMYFUNCTION("""COMPUTED_VALUE"""),"SMK Negeri 1 Kolaka")</f>
        <v>SMK Negeri 1 Kolaka</v>
      </c>
      <c r="D730" s="24"/>
      <c r="E730" s="24"/>
      <c r="F730" s="24" t="str">
        <f>IFERROR(__xludf.DUMMYFUNCTION("""COMPUTED_VALUE"""),"Aril Arifin.S")</f>
        <v>Aril Arifin.S</v>
      </c>
      <c r="G730" s="24" t="str">
        <f>IFERROR(__xludf.DUMMYFUNCTION("""COMPUTED_VALUE"""),"7401141006080002")</f>
        <v>7401141006080002</v>
      </c>
      <c r="H730" s="24"/>
      <c r="I730" s="24"/>
      <c r="J730" s="24" t="str">
        <f>IFERROR(__xludf.DUMMYFUNCTION("""COMPUTED_VALUE"""),"LAKI-LAKI")</f>
        <v>LAKI-LAKI</v>
      </c>
      <c r="K730" s="24" t="str">
        <f>IFERROR(__xludf.DUMMYFUNCTION("""COMPUTED_VALUE"""),"Jl. Air Panas, Kel. Ulunggolaka, Kec. Latambaga")</f>
        <v>Jl. Air Panas, Kel. Ulunggolaka, Kec. Latambaga</v>
      </c>
      <c r="L730" s="24"/>
      <c r="M730" s="24"/>
      <c r="N730" s="24" t="str">
        <f>IFERROR(__xludf.DUMMYFUNCTION("""COMPUTED_VALUE"""),"SMA / SMK / MA")</f>
        <v>SMA / SMK / MA</v>
      </c>
      <c r="O730" s="24"/>
      <c r="P730" s="24"/>
      <c r="Q730" s="24"/>
      <c r="R730" s="24" t="str">
        <f>IFERROR(__xludf.DUMMYFUNCTION("""COMPUTED_VALUE"""),"K")</f>
        <v>K</v>
      </c>
      <c r="S730" s="25"/>
    </row>
    <row r="731" ht="22.5" customHeight="1">
      <c r="A731" s="22">
        <v>730.0</v>
      </c>
      <c r="B731" s="24" t="str">
        <f>IFERROR(__xludf.DUMMYFUNCTION("""COMPUTED_VALUE"""),"Pengelola Administrasi Perkantoran")</f>
        <v>Pengelola Administrasi Perkantoran</v>
      </c>
      <c r="C731" s="24" t="str">
        <f>IFERROR(__xludf.DUMMYFUNCTION("""COMPUTED_VALUE"""),"SMK Negeri 1 Kolaka")</f>
        <v>SMK Negeri 1 Kolaka</v>
      </c>
      <c r="D731" s="24"/>
      <c r="E731" s="24"/>
      <c r="F731" s="24" t="str">
        <f>IFERROR(__xludf.DUMMYFUNCTION("""COMPUTED_VALUE"""),"AZISAH")</f>
        <v>AZISAH</v>
      </c>
      <c r="G731" s="24" t="str">
        <f>IFERROR(__xludf.DUMMYFUNCTION("""COMPUTED_VALUE"""),"7401046101080001")</f>
        <v>7401046101080001</v>
      </c>
      <c r="H731" s="24"/>
      <c r="I731" s="24"/>
      <c r="J731" s="24" t="str">
        <f>IFERROR(__xludf.DUMMYFUNCTION("""COMPUTED_VALUE"""),"PEREMPUAN")</f>
        <v>PEREMPUAN</v>
      </c>
      <c r="K731" s="24" t="str">
        <f>IFERROR(__xludf.DUMMYFUNCTION("""COMPUTED_VALUE"""),"Jl. Dr. Samratulangi")</f>
        <v>Jl. Dr. Samratulangi</v>
      </c>
      <c r="L731" s="24"/>
      <c r="M731" s="24"/>
      <c r="N731" s="24" t="str">
        <f>IFERROR(__xludf.DUMMYFUNCTION("""COMPUTED_VALUE"""),"SMA / SMK / MA")</f>
        <v>SMA / SMK / MA</v>
      </c>
      <c r="O731" s="24"/>
      <c r="P731" s="24"/>
      <c r="Q731" s="24"/>
      <c r="R731" s="24" t="str">
        <f>IFERROR(__xludf.DUMMYFUNCTION("""COMPUTED_VALUE"""),"K")</f>
        <v>K</v>
      </c>
      <c r="S731" s="25"/>
    </row>
    <row r="732" ht="22.5" customHeight="1">
      <c r="A732" s="22">
        <v>731.0</v>
      </c>
      <c r="B732" s="24" t="str">
        <f>IFERROR(__xludf.DUMMYFUNCTION("""COMPUTED_VALUE"""),"Pengelola Administrasi Perkantoran")</f>
        <v>Pengelola Administrasi Perkantoran</v>
      </c>
      <c r="C732" s="24" t="str">
        <f>IFERROR(__xludf.DUMMYFUNCTION("""COMPUTED_VALUE"""),"SMK Negeri 1 Kolaka")</f>
        <v>SMK Negeri 1 Kolaka</v>
      </c>
      <c r="D732" s="24"/>
      <c r="E732" s="24"/>
      <c r="F732" s="24" t="str">
        <f>IFERROR(__xludf.DUMMYFUNCTION("""COMPUTED_VALUE"""),"BIMBIM SAKTI PRIBUMI")</f>
        <v>BIMBIM SAKTI PRIBUMI</v>
      </c>
      <c r="G732" s="24" t="str">
        <f>IFERROR(__xludf.DUMMYFUNCTION("""COMPUTED_VALUE"""),"7401141002080002")</f>
        <v>7401141002080002</v>
      </c>
      <c r="H732" s="24"/>
      <c r="I732" s="24"/>
      <c r="J732" s="24" t="str">
        <f>IFERROR(__xludf.DUMMYFUNCTION("""COMPUTED_VALUE"""),"LAKI-LAKI")</f>
        <v>LAKI-LAKI</v>
      </c>
      <c r="K732" s="24" t="str">
        <f>IFERROR(__xludf.DUMMYFUNCTION("""COMPUTED_VALUE"""),"Jl. Meohai")</f>
        <v>Jl. Meohai</v>
      </c>
      <c r="L732" s="24"/>
      <c r="M732" s="24"/>
      <c r="N732" s="24" t="str">
        <f>IFERROR(__xludf.DUMMYFUNCTION("""COMPUTED_VALUE"""),"SMA / SMK / MA")</f>
        <v>SMA / SMK / MA</v>
      </c>
      <c r="O732" s="24"/>
      <c r="P732" s="24"/>
      <c r="Q732" s="24"/>
      <c r="R732" s="24" t="str">
        <f>IFERROR(__xludf.DUMMYFUNCTION("""COMPUTED_VALUE"""),"K")</f>
        <v>K</v>
      </c>
      <c r="S732" s="25"/>
    </row>
    <row r="733" ht="22.5" customHeight="1">
      <c r="A733" s="22">
        <v>732.0</v>
      </c>
      <c r="B733" s="24" t="str">
        <f>IFERROR(__xludf.DUMMYFUNCTION("""COMPUTED_VALUE"""),"Pengelola Administrasi Perkantoran")</f>
        <v>Pengelola Administrasi Perkantoran</v>
      </c>
      <c r="C733" s="24" t="str">
        <f>IFERROR(__xludf.DUMMYFUNCTION("""COMPUTED_VALUE"""),"SMK Negeri 1 Kolaka")</f>
        <v>SMK Negeri 1 Kolaka</v>
      </c>
      <c r="D733" s="24"/>
      <c r="E733" s="24"/>
      <c r="F733" s="24" t="str">
        <f>IFERROR(__xludf.DUMMYFUNCTION("""COMPUTED_VALUE"""),"Bunga Ayu Andira")</f>
        <v>Bunga Ayu Andira</v>
      </c>
      <c r="G733" s="24" t="str">
        <f>IFERROR(__xludf.DUMMYFUNCTION("""COMPUTED_VALUE"""),"7401145707080002")</f>
        <v>7401145707080002</v>
      </c>
      <c r="H733" s="24"/>
      <c r="I733" s="24"/>
      <c r="J733" s="24" t="str">
        <f>IFERROR(__xludf.DUMMYFUNCTION("""COMPUTED_VALUE"""),"PEREMPUAN")</f>
        <v>PEREMPUAN</v>
      </c>
      <c r="K733" s="24" t="str">
        <f>IFERROR(__xludf.DUMMYFUNCTION("""COMPUTED_VALUE"""),"Jl. TPI No. 6 Kel. Kolakaasi, Kec. Latambaga")</f>
        <v>Jl. TPI No. 6 Kel. Kolakaasi, Kec. Latambaga</v>
      </c>
      <c r="L733" s="24"/>
      <c r="M733" s="24"/>
      <c r="N733" s="24" t="str">
        <f>IFERROR(__xludf.DUMMYFUNCTION("""COMPUTED_VALUE"""),"SMA / SMK / MA")</f>
        <v>SMA / SMK / MA</v>
      </c>
      <c r="O733" s="24"/>
      <c r="P733" s="24"/>
      <c r="Q733" s="24"/>
      <c r="R733" s="24" t="str">
        <f>IFERROR(__xludf.DUMMYFUNCTION("""COMPUTED_VALUE"""),"K")</f>
        <v>K</v>
      </c>
      <c r="S733" s="25"/>
    </row>
    <row r="734" ht="22.5" customHeight="1">
      <c r="A734" s="22">
        <v>733.0</v>
      </c>
      <c r="B734" s="24" t="str">
        <f>IFERROR(__xludf.DUMMYFUNCTION("""COMPUTED_VALUE"""),"Pengelola Administrasi Perkantoran")</f>
        <v>Pengelola Administrasi Perkantoran</v>
      </c>
      <c r="C734" s="24" t="str">
        <f>IFERROR(__xludf.DUMMYFUNCTION("""COMPUTED_VALUE"""),"SMK Negeri 1 Kolaka")</f>
        <v>SMK Negeri 1 Kolaka</v>
      </c>
      <c r="D734" s="24"/>
      <c r="E734" s="24"/>
      <c r="F734" s="24" t="str">
        <f>IFERROR(__xludf.DUMMYFUNCTION("""COMPUTED_VALUE"""),"BUQHARI B.")</f>
        <v>BUQHARI B.</v>
      </c>
      <c r="G734" s="24" t="str">
        <f>IFERROR(__xludf.DUMMYFUNCTION("""COMPUTED_VALUE"""),"7401012010080001")</f>
        <v>7401012010080001</v>
      </c>
      <c r="H734" s="24"/>
      <c r="I734" s="24"/>
      <c r="J734" s="24" t="str">
        <f>IFERROR(__xludf.DUMMYFUNCTION("""COMPUTED_VALUE"""),"LAKI-LAKI")</f>
        <v>LAKI-LAKI</v>
      </c>
      <c r="K734" s="24" t="str">
        <f>IFERROR(__xludf.DUMMYFUNCTION("""COMPUTED_VALUE"""),"Jl. bypass Kolaka Pomala")</f>
        <v>Jl. bypass Kolaka Pomala</v>
      </c>
      <c r="L734" s="24"/>
      <c r="M734" s="24"/>
      <c r="N734" s="24" t="str">
        <f>IFERROR(__xludf.DUMMYFUNCTION("""COMPUTED_VALUE"""),"SMA / SMK / MA")</f>
        <v>SMA / SMK / MA</v>
      </c>
      <c r="O734" s="24"/>
      <c r="P734" s="24"/>
      <c r="Q734" s="24"/>
      <c r="R734" s="24" t="str">
        <f>IFERROR(__xludf.DUMMYFUNCTION("""COMPUTED_VALUE"""),"K")</f>
        <v>K</v>
      </c>
      <c r="S734" s="25"/>
    </row>
    <row r="735" ht="22.5" customHeight="1">
      <c r="A735" s="22">
        <v>734.0</v>
      </c>
      <c r="B735" s="24" t="str">
        <f>IFERROR(__xludf.DUMMYFUNCTION("""COMPUTED_VALUE"""),"Pengelola Administrasi Perkantoran")</f>
        <v>Pengelola Administrasi Perkantoran</v>
      </c>
      <c r="C735" s="24" t="str">
        <f>IFERROR(__xludf.DUMMYFUNCTION("""COMPUTED_VALUE"""),"SMK Negeri 1 Kolaka")</f>
        <v>SMK Negeri 1 Kolaka</v>
      </c>
      <c r="D735" s="24"/>
      <c r="E735" s="24"/>
      <c r="F735" s="24" t="str">
        <f>IFERROR(__xludf.DUMMYFUNCTION("""COMPUTED_VALUE"""),"CAHAYA MADINA")</f>
        <v>CAHAYA MADINA</v>
      </c>
      <c r="G735" s="24" t="str">
        <f>IFERROR(__xludf.DUMMYFUNCTION("""COMPUTED_VALUE"""),"7401046711080001")</f>
        <v>7401046711080001</v>
      </c>
      <c r="H735" s="24"/>
      <c r="I735" s="24"/>
      <c r="J735" s="24" t="str">
        <f>IFERROR(__xludf.DUMMYFUNCTION("""COMPUTED_VALUE"""),"PEREMPUAN")</f>
        <v>PEREMPUAN</v>
      </c>
      <c r="K735" s="24" t="str">
        <f>IFERROR(__xludf.DUMMYFUNCTION("""COMPUTED_VALUE"""),"Jl. Halo-oleoh")</f>
        <v>Jl. Halo-oleoh</v>
      </c>
      <c r="L735" s="24"/>
      <c r="M735" s="24"/>
      <c r="N735" s="24" t="str">
        <f>IFERROR(__xludf.DUMMYFUNCTION("""COMPUTED_VALUE"""),"SMA / SMK / MA")</f>
        <v>SMA / SMK / MA</v>
      </c>
      <c r="O735" s="24"/>
      <c r="P735" s="24"/>
      <c r="Q735" s="24"/>
      <c r="R735" s="24" t="str">
        <f>IFERROR(__xludf.DUMMYFUNCTION("""COMPUTED_VALUE"""),"K")</f>
        <v>K</v>
      </c>
      <c r="S735" s="25"/>
    </row>
    <row r="736" ht="22.5" customHeight="1">
      <c r="A736" s="22">
        <v>735.0</v>
      </c>
      <c r="B736" s="24" t="str">
        <f>IFERROR(__xludf.DUMMYFUNCTION("""COMPUTED_VALUE"""),"Pengelola Administrasi Perkantoran")</f>
        <v>Pengelola Administrasi Perkantoran</v>
      </c>
      <c r="C736" s="24" t="str">
        <f>IFERROR(__xludf.DUMMYFUNCTION("""COMPUTED_VALUE"""),"SMK Negeri 1 Kolaka")</f>
        <v>SMK Negeri 1 Kolaka</v>
      </c>
      <c r="D736" s="24"/>
      <c r="E736" s="24"/>
      <c r="F736" s="24" t="str">
        <f>IFERROR(__xludf.DUMMYFUNCTION("""COMPUTED_VALUE"""),"CANDRA")</f>
        <v>CANDRA</v>
      </c>
      <c r="G736" s="24" t="str">
        <f>IFERROR(__xludf.DUMMYFUNCTION("""COMPUTED_VALUE"""),"7401140707080002")</f>
        <v>7401140707080002</v>
      </c>
      <c r="H736" s="24"/>
      <c r="I736" s="24"/>
      <c r="J736" s="24" t="str">
        <f>IFERROR(__xludf.DUMMYFUNCTION("""COMPUTED_VALUE"""),"LAKI-LAKI")</f>
        <v>LAKI-LAKI</v>
      </c>
      <c r="K736" s="24" t="str">
        <f>IFERROR(__xludf.DUMMYFUNCTION("""COMPUTED_VALUE"""),"Kel. Sakuli, Kec. Latambaga")</f>
        <v>Kel. Sakuli, Kec. Latambaga</v>
      </c>
      <c r="L736" s="24"/>
      <c r="M736" s="24"/>
      <c r="N736" s="24" t="str">
        <f>IFERROR(__xludf.DUMMYFUNCTION("""COMPUTED_VALUE"""),"SMA / SMK / MA")</f>
        <v>SMA / SMK / MA</v>
      </c>
      <c r="O736" s="24"/>
      <c r="P736" s="24"/>
      <c r="Q736" s="24"/>
      <c r="R736" s="24" t="str">
        <f>IFERROR(__xludf.DUMMYFUNCTION("""COMPUTED_VALUE"""),"K")</f>
        <v>K</v>
      </c>
      <c r="S736" s="25"/>
    </row>
    <row r="737" ht="22.5" customHeight="1">
      <c r="A737" s="22">
        <v>736.0</v>
      </c>
      <c r="B737" s="24" t="str">
        <f>IFERROR(__xludf.DUMMYFUNCTION("""COMPUTED_VALUE"""),"Pengelola Administrasi Perkantoran")</f>
        <v>Pengelola Administrasi Perkantoran</v>
      </c>
      <c r="C737" s="24" t="str">
        <f>IFERROR(__xludf.DUMMYFUNCTION("""COMPUTED_VALUE"""),"SMK Negeri 1 Kolaka")</f>
        <v>SMK Negeri 1 Kolaka</v>
      </c>
      <c r="D737" s="24"/>
      <c r="E737" s="24"/>
      <c r="F737" s="24" t="str">
        <f>IFERROR(__xludf.DUMMYFUNCTION("""COMPUTED_VALUE"""),"DEA JULIARTI JAENUDDIN")</f>
        <v>DEA JULIARTI JAENUDDIN</v>
      </c>
      <c r="G737" s="24" t="str">
        <f>IFERROR(__xludf.DUMMYFUNCTION("""COMPUTED_VALUE"""),"7401046907070003")</f>
        <v>7401046907070003</v>
      </c>
      <c r="H737" s="24"/>
      <c r="I737" s="24"/>
      <c r="J737" s="24" t="str">
        <f>IFERROR(__xludf.DUMMYFUNCTION("""COMPUTED_VALUE"""),"PEREMPUAN")</f>
        <v>PEREMPUAN</v>
      </c>
      <c r="K737" s="24" t="str">
        <f>IFERROR(__xludf.DUMMYFUNCTION("""COMPUTED_VALUE"""),"Jl. ponorogo No.10")</f>
        <v>Jl. ponorogo No.10</v>
      </c>
      <c r="L737" s="24"/>
      <c r="M737" s="24"/>
      <c r="N737" s="24" t="str">
        <f>IFERROR(__xludf.DUMMYFUNCTION("""COMPUTED_VALUE"""),"SMA / SMK / MA")</f>
        <v>SMA / SMK / MA</v>
      </c>
      <c r="O737" s="24"/>
      <c r="P737" s="24"/>
      <c r="Q737" s="24"/>
      <c r="R737" s="24" t="str">
        <f>IFERROR(__xludf.DUMMYFUNCTION("""COMPUTED_VALUE"""),"K")</f>
        <v>K</v>
      </c>
      <c r="S737" s="25"/>
    </row>
    <row r="738" ht="22.5" customHeight="1">
      <c r="A738" s="22">
        <v>737.0</v>
      </c>
      <c r="B738" s="24" t="str">
        <f>IFERROR(__xludf.DUMMYFUNCTION("""COMPUTED_VALUE"""),"Pengelola Administrasi Perkantoran")</f>
        <v>Pengelola Administrasi Perkantoran</v>
      </c>
      <c r="C738" s="24" t="str">
        <f>IFERROR(__xludf.DUMMYFUNCTION("""COMPUTED_VALUE"""),"SMK Negeri 1 Kolaka")</f>
        <v>SMK Negeri 1 Kolaka</v>
      </c>
      <c r="D738" s="24"/>
      <c r="E738" s="24"/>
      <c r="F738" s="24" t="str">
        <f>IFERROR(__xludf.DUMMYFUNCTION("""COMPUTED_VALUE"""),"DEVI")</f>
        <v>DEVI</v>
      </c>
      <c r="G738" s="24" t="str">
        <f>IFERROR(__xludf.DUMMYFUNCTION("""COMPUTED_VALUE"""),"7401144607090004")</f>
        <v>7401144607090004</v>
      </c>
      <c r="H738" s="24"/>
      <c r="I738" s="24"/>
      <c r="J738" s="24" t="str">
        <f>IFERROR(__xludf.DUMMYFUNCTION("""COMPUTED_VALUE"""),"PEREMPUAN")</f>
        <v>PEREMPUAN</v>
      </c>
      <c r="K738" s="24" t="str">
        <f>IFERROR(__xludf.DUMMYFUNCTION("""COMPUTED_VALUE"""),"Kel. Manggolo, Kec. Latambaga, Kab. Kolaka")</f>
        <v>Kel. Manggolo, Kec. Latambaga, Kab. Kolaka</v>
      </c>
      <c r="L738" s="24"/>
      <c r="M738" s="24"/>
      <c r="N738" s="24" t="str">
        <f>IFERROR(__xludf.DUMMYFUNCTION("""COMPUTED_VALUE"""),"SMA / SMK / MA")</f>
        <v>SMA / SMK / MA</v>
      </c>
      <c r="O738" s="24"/>
      <c r="P738" s="24"/>
      <c r="Q738" s="24"/>
      <c r="R738" s="24" t="str">
        <f>IFERROR(__xludf.DUMMYFUNCTION("""COMPUTED_VALUE"""),"K")</f>
        <v>K</v>
      </c>
      <c r="S738" s="25"/>
    </row>
    <row r="739" ht="22.5" customHeight="1">
      <c r="A739" s="22">
        <v>738.0</v>
      </c>
      <c r="B739" s="24" t="str">
        <f>IFERROR(__xludf.DUMMYFUNCTION("""COMPUTED_VALUE"""),"Pengelola Administrasi Perkantoran")</f>
        <v>Pengelola Administrasi Perkantoran</v>
      </c>
      <c r="C739" s="24" t="str">
        <f>IFERROR(__xludf.DUMMYFUNCTION("""COMPUTED_VALUE"""),"SMK Negeri 1 Kolaka")</f>
        <v>SMK Negeri 1 Kolaka</v>
      </c>
      <c r="D739" s="24"/>
      <c r="E739" s="24"/>
      <c r="F739" s="24" t="str">
        <f>IFERROR(__xludf.DUMMYFUNCTION("""COMPUTED_VALUE"""),"ELISAH BARRANG")</f>
        <v>ELISAH BARRANG</v>
      </c>
      <c r="G739" s="24" t="str">
        <f>IFERROR(__xludf.DUMMYFUNCTION("""COMPUTED_VALUE"""),"7401016105080002")</f>
        <v>7401016105080002</v>
      </c>
      <c r="H739" s="24"/>
      <c r="I739" s="24"/>
      <c r="J739" s="24" t="str">
        <f>IFERROR(__xludf.DUMMYFUNCTION("""COMPUTED_VALUE"""),"PEREMPUAN")</f>
        <v>PEREMPUAN</v>
      </c>
      <c r="K739" s="24" t="str">
        <f>IFERROR(__xludf.DUMMYFUNCTION("""COMPUTED_VALUE"""),"Jl. Sumber Rejeki")</f>
        <v>Jl. Sumber Rejeki</v>
      </c>
      <c r="L739" s="24"/>
      <c r="M739" s="24"/>
      <c r="N739" s="24" t="str">
        <f>IFERROR(__xludf.DUMMYFUNCTION("""COMPUTED_VALUE"""),"SMA / SMK / MA")</f>
        <v>SMA / SMK / MA</v>
      </c>
      <c r="O739" s="24"/>
      <c r="P739" s="24"/>
      <c r="Q739" s="24"/>
      <c r="R739" s="24" t="str">
        <f>IFERROR(__xludf.DUMMYFUNCTION("""COMPUTED_VALUE"""),"K")</f>
        <v>K</v>
      </c>
      <c r="S739" s="25"/>
    </row>
    <row r="740" ht="22.5" customHeight="1">
      <c r="A740" s="22">
        <v>739.0</v>
      </c>
      <c r="B740" s="24" t="str">
        <f>IFERROR(__xludf.DUMMYFUNCTION("""COMPUTED_VALUE"""),"Pengelola Administrasi Perkantoran")</f>
        <v>Pengelola Administrasi Perkantoran</v>
      </c>
      <c r="C740" s="24" t="str">
        <f>IFERROR(__xludf.DUMMYFUNCTION("""COMPUTED_VALUE"""),"SMK Negeri 1 Kolaka")</f>
        <v>SMK Negeri 1 Kolaka</v>
      </c>
      <c r="D740" s="24"/>
      <c r="E740" s="24"/>
      <c r="F740" s="24" t="str">
        <f>IFERROR(__xludf.DUMMYFUNCTION("""COMPUTED_VALUE"""),"FAREL ORZIDIQ POBELA")</f>
        <v>FAREL ORZIDIQ POBELA</v>
      </c>
      <c r="G740" s="24" t="str">
        <f>IFERROR(__xludf.DUMMYFUNCTION("""COMPUTED_VALUE"""),"7401042510070002")</f>
        <v>7401042510070002</v>
      </c>
      <c r="H740" s="24"/>
      <c r="I740" s="24"/>
      <c r="J740" s="24" t="str">
        <f>IFERROR(__xludf.DUMMYFUNCTION("""COMPUTED_VALUE"""),"LAKI-LAKI")</f>
        <v>LAKI-LAKI</v>
      </c>
      <c r="K740" s="24" t="str">
        <f>IFERROR(__xludf.DUMMYFUNCTION("""COMPUTED_VALUE"""),"Jl. Pendidikan")</f>
        <v>Jl. Pendidikan</v>
      </c>
      <c r="L740" s="24"/>
      <c r="M740" s="24"/>
      <c r="N740" s="24" t="str">
        <f>IFERROR(__xludf.DUMMYFUNCTION("""COMPUTED_VALUE"""),"SMA / SMK / MA")</f>
        <v>SMA / SMK / MA</v>
      </c>
      <c r="O740" s="24"/>
      <c r="P740" s="24"/>
      <c r="Q740" s="24"/>
      <c r="R740" s="24" t="str">
        <f>IFERROR(__xludf.DUMMYFUNCTION("""COMPUTED_VALUE"""),"K")</f>
        <v>K</v>
      </c>
      <c r="S740" s="25"/>
    </row>
    <row r="741" ht="22.5" customHeight="1">
      <c r="A741" s="22">
        <v>740.0</v>
      </c>
      <c r="B741" s="24" t="str">
        <f>IFERROR(__xludf.DUMMYFUNCTION("""COMPUTED_VALUE"""),"Pengelola Administrasi Perkantoran")</f>
        <v>Pengelola Administrasi Perkantoran</v>
      </c>
      <c r="C741" s="24" t="str">
        <f>IFERROR(__xludf.DUMMYFUNCTION("""COMPUTED_VALUE"""),"SMK Negeri 1 Kolaka")</f>
        <v>SMK Negeri 1 Kolaka</v>
      </c>
      <c r="D741" s="24"/>
      <c r="E741" s="24"/>
      <c r="F741" s="24" t="str">
        <f>IFERROR(__xludf.DUMMYFUNCTION("""COMPUTED_VALUE"""),"MARSEL DA'WA PUTRA")</f>
        <v>MARSEL DA'WA PUTRA</v>
      </c>
      <c r="G741" s="24" t="str">
        <f>IFERROR(__xludf.DUMMYFUNCTION("""COMPUTED_VALUE"""),"7401010609080001")</f>
        <v>7401010609080001</v>
      </c>
      <c r="H741" s="24"/>
      <c r="I741" s="24"/>
      <c r="J741" s="24" t="str">
        <f>IFERROR(__xludf.DUMMYFUNCTION("""COMPUTED_VALUE"""),"LAKI-LAKI")</f>
        <v>LAKI-LAKI</v>
      </c>
      <c r="K741" s="24" t="str">
        <f>IFERROR(__xludf.DUMMYFUNCTION("""COMPUTED_VALUE"""),"By Pas Kolaka, Pomala")</f>
        <v>By Pas Kolaka, Pomala</v>
      </c>
      <c r="L741" s="24"/>
      <c r="M741" s="24"/>
      <c r="N741" s="24" t="str">
        <f>IFERROR(__xludf.DUMMYFUNCTION("""COMPUTED_VALUE"""),"SMA / SMK / MA")</f>
        <v>SMA / SMK / MA</v>
      </c>
      <c r="O741" s="24"/>
      <c r="P741" s="24"/>
      <c r="Q741" s="24"/>
      <c r="R741" s="24" t="str">
        <f>IFERROR(__xludf.DUMMYFUNCTION("""COMPUTED_VALUE"""),"K")</f>
        <v>K</v>
      </c>
      <c r="S741" s="25"/>
    </row>
    <row r="742" ht="22.5" customHeight="1">
      <c r="A742" s="22">
        <v>741.0</v>
      </c>
      <c r="B742" s="24" t="str">
        <f>IFERROR(__xludf.DUMMYFUNCTION("""COMPUTED_VALUE"""),"Pengelola Administrasi Perkantoran")</f>
        <v>Pengelola Administrasi Perkantoran</v>
      </c>
      <c r="C742" s="24" t="str">
        <f>IFERROR(__xludf.DUMMYFUNCTION("""COMPUTED_VALUE"""),"SMK Negeri 1 Kolaka")</f>
        <v>SMK Negeri 1 Kolaka</v>
      </c>
      <c r="D742" s="24"/>
      <c r="E742" s="24"/>
      <c r="F742" s="24" t="str">
        <f>IFERROR(__xludf.DUMMYFUNCTION("""COMPUTED_VALUE"""),"Muh. Khaerul Ramadhan")</f>
        <v>Muh. Khaerul Ramadhan</v>
      </c>
      <c r="G742" s="24" t="str">
        <f>IFERROR(__xludf.DUMMYFUNCTION("""COMPUTED_VALUE"""),"7401140609080001")</f>
        <v>7401140609080001</v>
      </c>
      <c r="H742" s="24"/>
      <c r="I742" s="24"/>
      <c r="J742" s="24" t="str">
        <f>IFERROR(__xludf.DUMMYFUNCTION("""COMPUTED_VALUE"""),"LAKI-LAKI")</f>
        <v>LAKI-LAKI</v>
      </c>
      <c r="K742" s="24" t="str">
        <f>IFERROR(__xludf.DUMMYFUNCTION("""COMPUTED_VALUE"""),"Jl. Durian, Kel. sakuli, Kab. Kolaka")</f>
        <v>Jl. Durian, Kel. sakuli, Kab. Kolaka</v>
      </c>
      <c r="L742" s="24"/>
      <c r="M742" s="24"/>
      <c r="N742" s="24" t="str">
        <f>IFERROR(__xludf.DUMMYFUNCTION("""COMPUTED_VALUE"""),"SMA / SMK / MA")</f>
        <v>SMA / SMK / MA</v>
      </c>
      <c r="O742" s="24"/>
      <c r="P742" s="24"/>
      <c r="Q742" s="24"/>
      <c r="R742" s="24" t="str">
        <f>IFERROR(__xludf.DUMMYFUNCTION("""COMPUTED_VALUE"""),"K")</f>
        <v>K</v>
      </c>
      <c r="S742" s="25"/>
    </row>
    <row r="743" ht="22.5" customHeight="1">
      <c r="A743" s="22">
        <v>742.0</v>
      </c>
      <c r="B743" s="24" t="str">
        <f>IFERROR(__xludf.DUMMYFUNCTION("""COMPUTED_VALUE"""),"Pengelola Administrasi Perkantoran")</f>
        <v>Pengelola Administrasi Perkantoran</v>
      </c>
      <c r="C743" s="24" t="str">
        <f>IFERROR(__xludf.DUMMYFUNCTION("""COMPUTED_VALUE"""),"SMK Negeri 1 Kolaka")</f>
        <v>SMK Negeri 1 Kolaka</v>
      </c>
      <c r="D743" s="24"/>
      <c r="E743" s="24"/>
      <c r="F743" s="24" t="str">
        <f>IFERROR(__xludf.DUMMYFUNCTION("""COMPUTED_VALUE"""),"Rangga Renaldy")</f>
        <v>Rangga Renaldy</v>
      </c>
      <c r="G743" s="24" t="str">
        <f>IFERROR(__xludf.DUMMYFUNCTION("""COMPUTED_VALUE"""),"7401140406070002")</f>
        <v>7401140406070002</v>
      </c>
      <c r="H743" s="24"/>
      <c r="I743" s="24"/>
      <c r="J743" s="24" t="str">
        <f>IFERROR(__xludf.DUMMYFUNCTION("""COMPUTED_VALUE"""),"LAKI-LAKI")</f>
        <v>LAKI-LAKI</v>
      </c>
      <c r="K743" s="24" t="str">
        <f>IFERROR(__xludf.DUMMYFUNCTION("""COMPUTED_VALUE"""),"Ulunggolaka")</f>
        <v>Ulunggolaka</v>
      </c>
      <c r="L743" s="24"/>
      <c r="M743" s="24"/>
      <c r="N743" s="24" t="str">
        <f>IFERROR(__xludf.DUMMYFUNCTION("""COMPUTED_VALUE"""),"SMA / SMK / MA")</f>
        <v>SMA / SMK / MA</v>
      </c>
      <c r="O743" s="24"/>
      <c r="P743" s="24"/>
      <c r="Q743" s="24"/>
      <c r="R743" s="24" t="str">
        <f>IFERROR(__xludf.DUMMYFUNCTION("""COMPUTED_VALUE"""),"K")</f>
        <v>K</v>
      </c>
      <c r="S743" s="25"/>
    </row>
    <row r="744" ht="22.5" customHeight="1">
      <c r="A744" s="22">
        <v>743.0</v>
      </c>
      <c r="B744" s="24" t="str">
        <f>IFERROR(__xludf.DUMMYFUNCTION("""COMPUTED_VALUE"""),"Pengelola Administrasi Perkantoran")</f>
        <v>Pengelola Administrasi Perkantoran</v>
      </c>
      <c r="C744" s="24" t="str">
        <f>IFERROR(__xludf.DUMMYFUNCTION("""COMPUTED_VALUE"""),"SMK Negeri 1 Kolaka")</f>
        <v>SMK Negeri 1 Kolaka</v>
      </c>
      <c r="D744" s="24"/>
      <c r="E744" s="24"/>
      <c r="F744" s="24" t="str">
        <f>IFERROR(__xludf.DUMMYFUNCTION("""COMPUTED_VALUE"""),"Rasti")</f>
        <v>Rasti</v>
      </c>
      <c r="G744" s="24" t="str">
        <f>IFERROR(__xludf.DUMMYFUNCTION("""COMPUTED_VALUE"""),"7401144101070002")</f>
        <v>7401144101070002</v>
      </c>
      <c r="H744" s="24"/>
      <c r="I744" s="24"/>
      <c r="J744" s="24" t="str">
        <f>IFERROR(__xludf.DUMMYFUNCTION("""COMPUTED_VALUE"""),"PEREMPUAN")</f>
        <v>PEREMPUAN</v>
      </c>
      <c r="K744" s="24" t="str">
        <f>IFERROR(__xludf.DUMMYFUNCTION("""COMPUTED_VALUE"""),"Jl. TPI")</f>
        <v>Jl. TPI</v>
      </c>
      <c r="L744" s="24"/>
      <c r="M744" s="24"/>
      <c r="N744" s="24" t="str">
        <f>IFERROR(__xludf.DUMMYFUNCTION("""COMPUTED_VALUE"""),"SMA / SMK / MA")</f>
        <v>SMA / SMK / MA</v>
      </c>
      <c r="O744" s="24"/>
      <c r="P744" s="24"/>
      <c r="Q744" s="24"/>
      <c r="R744" s="24" t="str">
        <f>IFERROR(__xludf.DUMMYFUNCTION("""COMPUTED_VALUE"""),"K")</f>
        <v>K</v>
      </c>
      <c r="S744" s="25"/>
    </row>
    <row r="745" ht="22.5" customHeight="1">
      <c r="A745" s="22">
        <v>744.0</v>
      </c>
      <c r="B745" s="24" t="str">
        <f>IFERROR(__xludf.DUMMYFUNCTION("""COMPUTED_VALUE"""),"Pengelola Administrasi Perkantoran")</f>
        <v>Pengelola Administrasi Perkantoran</v>
      </c>
      <c r="C745" s="24" t="str">
        <f>IFERROR(__xludf.DUMMYFUNCTION("""COMPUTED_VALUE"""),"SMK Negeri 1 Kolaka")</f>
        <v>SMK Negeri 1 Kolaka</v>
      </c>
      <c r="D745" s="24"/>
      <c r="E745" s="24"/>
      <c r="F745" s="24" t="str">
        <f>IFERROR(__xludf.DUMMYFUNCTION("""COMPUTED_VALUE"""),"REFALDO")</f>
        <v>REFALDO</v>
      </c>
      <c r="G745" s="24" t="str">
        <f>IFERROR(__xludf.DUMMYFUNCTION("""COMPUTED_VALUE"""),"7401142507080002")</f>
        <v>7401142507080002</v>
      </c>
      <c r="H745" s="24"/>
      <c r="I745" s="24"/>
      <c r="J745" s="24" t="str">
        <f>IFERROR(__xludf.DUMMYFUNCTION("""COMPUTED_VALUE"""),"LAKI-LAKI")</f>
        <v>LAKI-LAKI</v>
      </c>
      <c r="K745" s="24" t="str">
        <f>IFERROR(__xludf.DUMMYFUNCTION("""COMPUTED_VALUE"""),"Jl. Delima")</f>
        <v>Jl. Delima</v>
      </c>
      <c r="L745" s="24"/>
      <c r="M745" s="24"/>
      <c r="N745" s="24" t="str">
        <f>IFERROR(__xludf.DUMMYFUNCTION("""COMPUTED_VALUE"""),"SMA / SMK / MA")</f>
        <v>SMA / SMK / MA</v>
      </c>
      <c r="O745" s="24"/>
      <c r="P745" s="24"/>
      <c r="Q745" s="24"/>
      <c r="R745" s="24" t="str">
        <f>IFERROR(__xludf.DUMMYFUNCTION("""COMPUTED_VALUE"""),"K")</f>
        <v>K</v>
      </c>
      <c r="S745" s="25"/>
    </row>
    <row r="746" ht="22.5" customHeight="1">
      <c r="A746" s="22">
        <v>745.0</v>
      </c>
      <c r="B746" s="24" t="str">
        <f>IFERROR(__xludf.DUMMYFUNCTION("""COMPUTED_VALUE"""),"Pengelola Administrasi Perkantoran")</f>
        <v>Pengelola Administrasi Perkantoran</v>
      </c>
      <c r="C746" s="24" t="str">
        <f>IFERROR(__xludf.DUMMYFUNCTION("""COMPUTED_VALUE"""),"SMK Negeri 1 Kolaka")</f>
        <v>SMK Negeri 1 Kolaka</v>
      </c>
      <c r="D746" s="24"/>
      <c r="E746" s="24"/>
      <c r="F746" s="24" t="str">
        <f>IFERROR(__xludf.DUMMYFUNCTION("""COMPUTED_VALUE"""),"Rezky")</f>
        <v>Rezky</v>
      </c>
      <c r="G746" s="24" t="str">
        <f>IFERROR(__xludf.DUMMYFUNCTION("""COMPUTED_VALUE"""),"7401042201090002")</f>
        <v>7401042201090002</v>
      </c>
      <c r="H746" s="24"/>
      <c r="I746" s="24"/>
      <c r="J746" s="24" t="str">
        <f>IFERROR(__xludf.DUMMYFUNCTION("""COMPUTED_VALUE"""),"LAKI-LAKI")</f>
        <v>LAKI-LAKI</v>
      </c>
      <c r="K746" s="24" t="str">
        <f>IFERROR(__xludf.DUMMYFUNCTION("""COMPUTED_VALUE"""),"Jl. Pemuda")</f>
        <v>Jl. Pemuda</v>
      </c>
      <c r="L746" s="24"/>
      <c r="M746" s="24"/>
      <c r="N746" s="24" t="str">
        <f>IFERROR(__xludf.DUMMYFUNCTION("""COMPUTED_VALUE"""),"SMA / SMK / MA")</f>
        <v>SMA / SMK / MA</v>
      </c>
      <c r="O746" s="24"/>
      <c r="P746" s="24"/>
      <c r="Q746" s="24"/>
      <c r="R746" s="24" t="str">
        <f>IFERROR(__xludf.DUMMYFUNCTION("""COMPUTED_VALUE"""),"K")</f>
        <v>K</v>
      </c>
      <c r="S746" s="25"/>
    </row>
    <row r="747" ht="22.5" customHeight="1">
      <c r="A747" s="22">
        <v>746.0</v>
      </c>
      <c r="B747" s="24" t="str">
        <f>IFERROR(__xludf.DUMMYFUNCTION("""COMPUTED_VALUE"""),"Pengelola Administrasi Perkantoran")</f>
        <v>Pengelola Administrasi Perkantoran</v>
      </c>
      <c r="C747" s="24" t="str">
        <f>IFERROR(__xludf.DUMMYFUNCTION("""COMPUTED_VALUE"""),"SMK Negeri 1 Kolaka")</f>
        <v>SMK Negeri 1 Kolaka</v>
      </c>
      <c r="D747" s="24"/>
      <c r="E747" s="24"/>
      <c r="F747" s="24" t="str">
        <f>IFERROR(__xludf.DUMMYFUNCTION("""COMPUTED_VALUE"""),"RISKA")</f>
        <v>RISKA</v>
      </c>
      <c r="G747" s="24" t="str">
        <f>IFERROR(__xludf.DUMMYFUNCTION("""COMPUTED_VALUE"""),"7307076910060001")</f>
        <v>7307076910060001</v>
      </c>
      <c r="H747" s="24"/>
      <c r="I747" s="24"/>
      <c r="J747" s="24" t="str">
        <f>IFERROR(__xludf.DUMMYFUNCTION("""COMPUTED_VALUE"""),"PEREMPUAN")</f>
        <v>PEREMPUAN</v>
      </c>
      <c r="K747" s="24" t="str">
        <f>IFERROR(__xludf.DUMMYFUNCTION("""COMPUTED_VALUE"""),"Kilo 11, Jalan Poros Kalaka Kendari")</f>
        <v>Kilo 11, Jalan Poros Kalaka Kendari</v>
      </c>
      <c r="L747" s="24"/>
      <c r="M747" s="24"/>
      <c r="N747" s="24" t="str">
        <f>IFERROR(__xludf.DUMMYFUNCTION("""COMPUTED_VALUE"""),"SMA / SMK / MA")</f>
        <v>SMA / SMK / MA</v>
      </c>
      <c r="O747" s="24"/>
      <c r="P747" s="24"/>
      <c r="Q747" s="24"/>
      <c r="R747" s="24" t="str">
        <f>IFERROR(__xludf.DUMMYFUNCTION("""COMPUTED_VALUE"""),"K")</f>
        <v>K</v>
      </c>
      <c r="S747" s="25"/>
    </row>
    <row r="748" ht="22.5" customHeight="1">
      <c r="A748" s="22">
        <v>747.0</v>
      </c>
      <c r="B748" s="24" t="str">
        <f>IFERROR(__xludf.DUMMYFUNCTION("""COMPUTED_VALUE"""),"Pengelola Administrasi Perkantoran")</f>
        <v>Pengelola Administrasi Perkantoran</v>
      </c>
      <c r="C748" s="24" t="str">
        <f>IFERROR(__xludf.DUMMYFUNCTION("""COMPUTED_VALUE"""),"SMK Negeri 1 Kolaka")</f>
        <v>SMK Negeri 1 Kolaka</v>
      </c>
      <c r="D748" s="24"/>
      <c r="E748" s="24"/>
      <c r="F748" s="24" t="str">
        <f>IFERROR(__xludf.DUMMYFUNCTION("""COMPUTED_VALUE"""),"Satriani")</f>
        <v>Satriani</v>
      </c>
      <c r="G748" s="24" t="str">
        <f>IFERROR(__xludf.DUMMYFUNCTION("""COMPUTED_VALUE"""),"7401146911080002")</f>
        <v>7401146911080002</v>
      </c>
      <c r="H748" s="24"/>
      <c r="I748" s="24"/>
      <c r="J748" s="24" t="str">
        <f>IFERROR(__xludf.DUMMYFUNCTION("""COMPUTED_VALUE"""),"PEREMPUAN")</f>
        <v>PEREMPUAN</v>
      </c>
      <c r="K748" s="24" t="str">
        <f>IFERROR(__xludf.DUMMYFUNCTION("""COMPUTED_VALUE"""),"Jl. Durian, Kel. Sakuli, Kec. Latambaga")</f>
        <v>Jl. Durian, Kel. Sakuli, Kec. Latambaga</v>
      </c>
      <c r="L748" s="24"/>
      <c r="M748" s="24"/>
      <c r="N748" s="24" t="str">
        <f>IFERROR(__xludf.DUMMYFUNCTION("""COMPUTED_VALUE"""),"SMA / SMK / MA")</f>
        <v>SMA / SMK / MA</v>
      </c>
      <c r="O748" s="24"/>
      <c r="P748" s="24"/>
      <c r="Q748" s="24"/>
      <c r="R748" s="24" t="str">
        <f>IFERROR(__xludf.DUMMYFUNCTION("""COMPUTED_VALUE"""),"K")</f>
        <v>K</v>
      </c>
      <c r="S748" s="25"/>
    </row>
    <row r="749" ht="22.5" customHeight="1">
      <c r="A749" s="22">
        <v>748.0</v>
      </c>
      <c r="B749" s="24" t="str">
        <f>IFERROR(__xludf.DUMMYFUNCTION("""COMPUTED_VALUE"""),"Pengelola Administrasi Perkantoran")</f>
        <v>Pengelola Administrasi Perkantoran</v>
      </c>
      <c r="C749" s="24" t="str">
        <f>IFERROR(__xludf.DUMMYFUNCTION("""COMPUTED_VALUE"""),"SMK Negeri 1 Kolaka")</f>
        <v>SMK Negeri 1 Kolaka</v>
      </c>
      <c r="D749" s="24"/>
      <c r="E749" s="24"/>
      <c r="F749" s="24" t="str">
        <f>IFERROR(__xludf.DUMMYFUNCTION("""COMPUTED_VALUE"""),"SELSIA BELLA")</f>
        <v>SELSIA BELLA</v>
      </c>
      <c r="G749" s="24" t="str">
        <f>IFERROR(__xludf.DUMMYFUNCTION("""COMPUTED_VALUE"""),"7401047105080001")</f>
        <v>7401047105080001</v>
      </c>
      <c r="H749" s="24"/>
      <c r="I749" s="24"/>
      <c r="J749" s="24" t="str">
        <f>IFERROR(__xludf.DUMMYFUNCTION("""COMPUTED_VALUE"""),"PEREMPUAN")</f>
        <v>PEREMPUAN</v>
      </c>
      <c r="K749" s="24" t="str">
        <f>IFERROR(__xludf.DUMMYFUNCTION("""COMPUTED_VALUE"""),"Tamalaki 1")</f>
        <v>Tamalaki 1</v>
      </c>
      <c r="L749" s="24"/>
      <c r="M749" s="24"/>
      <c r="N749" s="24" t="str">
        <f>IFERROR(__xludf.DUMMYFUNCTION("""COMPUTED_VALUE"""),"SMA / SMK / MA")</f>
        <v>SMA / SMK / MA</v>
      </c>
      <c r="O749" s="24"/>
      <c r="P749" s="24"/>
      <c r="Q749" s="24"/>
      <c r="R749" s="24" t="str">
        <f>IFERROR(__xludf.DUMMYFUNCTION("""COMPUTED_VALUE"""),"K")</f>
        <v>K</v>
      </c>
      <c r="S749" s="25"/>
    </row>
    <row r="750" ht="22.5" customHeight="1">
      <c r="A750" s="22">
        <v>749.0</v>
      </c>
      <c r="B750" s="24" t="str">
        <f>IFERROR(__xludf.DUMMYFUNCTION("""COMPUTED_VALUE"""),"Pengelola Administrasi Perkantoran")</f>
        <v>Pengelola Administrasi Perkantoran</v>
      </c>
      <c r="C750" s="24" t="str">
        <f>IFERROR(__xludf.DUMMYFUNCTION("""COMPUTED_VALUE"""),"SMK Negeri 1 Kolaka")</f>
        <v>SMK Negeri 1 Kolaka</v>
      </c>
      <c r="D750" s="24"/>
      <c r="E750" s="24"/>
      <c r="F750" s="24" t="str">
        <f>IFERROR(__xludf.DUMMYFUNCTION("""COMPUTED_VALUE"""),"Tias Najwa Sinistia Wadhi")</f>
        <v>Tias Najwa Sinistia Wadhi</v>
      </c>
      <c r="G750" s="24" t="str">
        <f>IFERROR(__xludf.DUMMYFUNCTION("""COMPUTED_VALUE"""),"7401045306080001")</f>
        <v>7401045306080001</v>
      </c>
      <c r="H750" s="24"/>
      <c r="I750" s="24"/>
      <c r="J750" s="24" t="str">
        <f>IFERROR(__xludf.DUMMYFUNCTION("""COMPUTED_VALUE"""),"PEREMPUAN")</f>
        <v>PEREMPUAN</v>
      </c>
      <c r="K750" s="24" t="str">
        <f>IFERROR(__xludf.DUMMYFUNCTION("""COMPUTED_VALUE"""),"Jl. Pramuka")</f>
        <v>Jl. Pramuka</v>
      </c>
      <c r="L750" s="24"/>
      <c r="M750" s="24"/>
      <c r="N750" s="24" t="str">
        <f>IFERROR(__xludf.DUMMYFUNCTION("""COMPUTED_VALUE"""),"SMA / SMK / MA")</f>
        <v>SMA / SMK / MA</v>
      </c>
      <c r="O750" s="24"/>
      <c r="P750" s="24"/>
      <c r="Q750" s="24"/>
      <c r="R750" s="24" t="str">
        <f>IFERROR(__xludf.DUMMYFUNCTION("""COMPUTED_VALUE"""),"K")</f>
        <v>K</v>
      </c>
      <c r="S750" s="25"/>
    </row>
    <row r="751" ht="22.5" customHeight="1">
      <c r="A751" s="22">
        <v>750.0</v>
      </c>
      <c r="B751" s="24" t="str">
        <f>IFERROR(__xludf.DUMMYFUNCTION("""COMPUTED_VALUE"""),"Pengelola Administrasi Perkantoran")</f>
        <v>Pengelola Administrasi Perkantoran</v>
      </c>
      <c r="C751" s="24" t="str">
        <f>IFERROR(__xludf.DUMMYFUNCTION("""COMPUTED_VALUE"""),"SMK Negeri 1 Kolaka")</f>
        <v>SMK Negeri 1 Kolaka</v>
      </c>
      <c r="D751" s="24"/>
      <c r="E751" s="24"/>
      <c r="F751" s="24" t="str">
        <f>IFERROR(__xludf.DUMMYFUNCTION("""COMPUTED_VALUE"""),"TRI INDAR AULIA")</f>
        <v>TRI INDAR AULIA</v>
      </c>
      <c r="G751" s="24" t="str">
        <f>IFERROR(__xludf.DUMMYFUNCTION("""COMPUTED_VALUE"""),"7401046003090001")</f>
        <v>7401046003090001</v>
      </c>
      <c r="H751" s="24"/>
      <c r="I751" s="24"/>
      <c r="J751" s="24" t="str">
        <f>IFERROR(__xludf.DUMMYFUNCTION("""COMPUTED_VALUE"""),"PEREMPUAN")</f>
        <v>PEREMPUAN</v>
      </c>
      <c r="K751" s="24" t="str">
        <f>IFERROR(__xludf.DUMMYFUNCTION("""COMPUTED_VALUE"""),"Jl. H. Ukkas B")</f>
        <v>Jl. H. Ukkas B</v>
      </c>
      <c r="L751" s="24"/>
      <c r="M751" s="24"/>
      <c r="N751" s="24" t="str">
        <f>IFERROR(__xludf.DUMMYFUNCTION("""COMPUTED_VALUE"""),"SMA / SMK / MA")</f>
        <v>SMA / SMK / MA</v>
      </c>
      <c r="O751" s="24"/>
      <c r="P751" s="24"/>
      <c r="Q751" s="24"/>
      <c r="R751" s="24" t="str">
        <f>IFERROR(__xludf.DUMMYFUNCTION("""COMPUTED_VALUE"""),"K")</f>
        <v>K</v>
      </c>
      <c r="S751" s="25"/>
    </row>
    <row r="752" ht="22.5" customHeight="1">
      <c r="A752" s="22">
        <v>751.0</v>
      </c>
      <c r="B752" s="24" t="str">
        <f>IFERROR(__xludf.DUMMYFUNCTION("""COMPUTED_VALUE"""),"Pengelola Administrasi Perkantoran")</f>
        <v>Pengelola Administrasi Perkantoran</v>
      </c>
      <c r="C752" s="24" t="str">
        <f>IFERROR(__xludf.DUMMYFUNCTION("""COMPUTED_VALUE"""),"SMK Negeri 1 Kolaka")</f>
        <v>SMK Negeri 1 Kolaka</v>
      </c>
      <c r="D752" s="24"/>
      <c r="E752" s="24"/>
      <c r="F752" s="24" t="str">
        <f>IFERROR(__xludf.DUMMYFUNCTION("""COMPUTED_VALUE"""),"Vanessa Aurel Princes Dianto")</f>
        <v>Vanessa Aurel Princes Dianto</v>
      </c>
      <c r="G752" s="24" t="str">
        <f>IFERROR(__xludf.DUMMYFUNCTION("""COMPUTED_VALUE"""),"7401146208080001")</f>
        <v>7401146208080001</v>
      </c>
      <c r="H752" s="24"/>
      <c r="I752" s="24"/>
      <c r="J752" s="24" t="str">
        <f>IFERROR(__xludf.DUMMYFUNCTION("""COMPUTED_VALUE"""),"PEREMPUAN")</f>
        <v>PEREMPUAN</v>
      </c>
      <c r="K752" s="24" t="str">
        <f>IFERROR(__xludf.DUMMYFUNCTION("""COMPUTED_VALUE"""),"Jl. Abadi No. 46")</f>
        <v>Jl. Abadi No. 46</v>
      </c>
      <c r="L752" s="24"/>
      <c r="M752" s="24"/>
      <c r="N752" s="24" t="str">
        <f>IFERROR(__xludf.DUMMYFUNCTION("""COMPUTED_VALUE"""),"SMA / SMK / MA")</f>
        <v>SMA / SMK / MA</v>
      </c>
      <c r="O752" s="24"/>
      <c r="P752" s="24"/>
      <c r="Q752" s="24"/>
      <c r="R752" s="24" t="str">
        <f>IFERROR(__xludf.DUMMYFUNCTION("""COMPUTED_VALUE"""),"K")</f>
        <v>K</v>
      </c>
      <c r="S752" s="25"/>
    </row>
    <row r="753" ht="22.5" customHeight="1">
      <c r="A753" s="22">
        <v>752.0</v>
      </c>
      <c r="B753" s="24" t="str">
        <f>IFERROR(__xludf.DUMMYFUNCTION("""COMPUTED_VALUE"""),"Pengelola Administrasi Perkantoran")</f>
        <v>Pengelola Administrasi Perkantoran</v>
      </c>
      <c r="C753" s="24" t="str">
        <f>IFERROR(__xludf.DUMMYFUNCTION("""COMPUTED_VALUE"""),"SMK Negeri 1 Kolaka")</f>
        <v>SMK Negeri 1 Kolaka</v>
      </c>
      <c r="D753" s="24"/>
      <c r="E753" s="24"/>
      <c r="F753" s="24" t="str">
        <f>IFERROR(__xludf.DUMMYFUNCTION("""COMPUTED_VALUE"""),"FERDI")</f>
        <v>FERDI</v>
      </c>
      <c r="G753" s="24" t="str">
        <f>IFERROR(__xludf.DUMMYFUNCTION("""COMPUTED_VALUE"""),"7401142710080002")</f>
        <v>7401142710080002</v>
      </c>
      <c r="H753" s="24"/>
      <c r="I753" s="24"/>
      <c r="J753" s="24" t="str">
        <f>IFERROR(__xludf.DUMMYFUNCTION("""COMPUTED_VALUE"""),"LAKI-LAKI")</f>
        <v>LAKI-LAKI</v>
      </c>
      <c r="K753" s="24" t="str">
        <f>IFERROR(__xludf.DUMMYFUNCTION("""COMPUTED_VALUE"""),"Jl. Kemakmuran No. 50")</f>
        <v>Jl. Kemakmuran No. 50</v>
      </c>
      <c r="L753" s="24"/>
      <c r="M753" s="24"/>
      <c r="N753" s="24" t="str">
        <f>IFERROR(__xludf.DUMMYFUNCTION("""COMPUTED_VALUE"""),"SMA / SMK / MA")</f>
        <v>SMA / SMK / MA</v>
      </c>
      <c r="O753" s="24"/>
      <c r="P753" s="24"/>
      <c r="Q753" s="24"/>
      <c r="R753" s="24" t="str">
        <f>IFERROR(__xludf.DUMMYFUNCTION("""COMPUTED_VALUE"""),"K")</f>
        <v>K</v>
      </c>
      <c r="S753" s="25"/>
    </row>
    <row r="754" ht="22.5" customHeight="1">
      <c r="A754" s="22">
        <v>753.0</v>
      </c>
      <c r="B754" s="24" t="str">
        <f>IFERROR(__xludf.DUMMYFUNCTION("""COMPUTED_VALUE"""),"Pengelola Administrasi Perkantoran")</f>
        <v>Pengelola Administrasi Perkantoran</v>
      </c>
      <c r="C754" s="24" t="str">
        <f>IFERROR(__xludf.DUMMYFUNCTION("""COMPUTED_VALUE"""),"SMK Negeri 1 Kolaka")</f>
        <v>SMK Negeri 1 Kolaka</v>
      </c>
      <c r="D754" s="24"/>
      <c r="E754" s="24"/>
      <c r="F754" s="24" t="str">
        <f>IFERROR(__xludf.DUMMYFUNCTION("""COMPUTED_VALUE"""),"ADAM")</f>
        <v>ADAM</v>
      </c>
      <c r="G754" s="24" t="str">
        <f>IFERROR(__xludf.DUMMYFUNCTION("""COMPUTED_VALUE"""),"7401202103070003")</f>
        <v>7401202103070003</v>
      </c>
      <c r="H754" s="24"/>
      <c r="I754" s="24"/>
      <c r="J754" s="24" t="str">
        <f>IFERROR(__xludf.DUMMYFUNCTION("""COMPUTED_VALUE"""),"LAKI-LAKI")</f>
        <v>LAKI-LAKI</v>
      </c>
      <c r="K754" s="24" t="str">
        <f>IFERROR(__xludf.DUMMYFUNCTION("""COMPUTED_VALUE"""),"Jln. Muara Kolaka")</f>
        <v>Jln. Muara Kolaka</v>
      </c>
      <c r="L754" s="24"/>
      <c r="M754" s="24"/>
      <c r="N754" s="24" t="str">
        <f>IFERROR(__xludf.DUMMYFUNCTION("""COMPUTED_VALUE"""),"SMA / SMK / MA")</f>
        <v>SMA / SMK / MA</v>
      </c>
      <c r="O754" s="24"/>
      <c r="P754" s="24"/>
      <c r="Q754" s="24"/>
      <c r="R754" s="24" t="str">
        <f>IFERROR(__xludf.DUMMYFUNCTION("""COMPUTED_VALUE"""),"K")</f>
        <v>K</v>
      </c>
      <c r="S754" s="25"/>
    </row>
    <row r="755" ht="22.5" customHeight="1">
      <c r="A755" s="22">
        <v>754.0</v>
      </c>
      <c r="B755" s="24" t="str">
        <f>IFERROR(__xludf.DUMMYFUNCTION("""COMPUTED_VALUE"""),"Pengelola Administrasi Perkantoran")</f>
        <v>Pengelola Administrasi Perkantoran</v>
      </c>
      <c r="C755" s="24" t="str">
        <f>IFERROR(__xludf.DUMMYFUNCTION("""COMPUTED_VALUE"""),"SMK Negeri 1 Kolaka")</f>
        <v>SMK Negeri 1 Kolaka</v>
      </c>
      <c r="D755" s="24"/>
      <c r="E755" s="24"/>
      <c r="F755" s="24" t="str">
        <f>IFERROR(__xludf.DUMMYFUNCTION("""COMPUTED_VALUE"""),"AMANDA MUTMAINNA")</f>
        <v>AMANDA MUTMAINNA</v>
      </c>
      <c r="G755" s="24" t="str">
        <f>IFERROR(__xludf.DUMMYFUNCTION("""COMPUTED_VALUE"""),"7401206802080002")</f>
        <v>7401206802080002</v>
      </c>
      <c r="H755" s="24"/>
      <c r="I755" s="24"/>
      <c r="J755" s="24" t="str">
        <f>IFERROR(__xludf.DUMMYFUNCTION("""COMPUTED_VALUE"""),"PEREMPUAN")</f>
        <v>PEREMPUAN</v>
      </c>
      <c r="K755" s="24" t="str">
        <f>IFERROR(__xludf.DUMMYFUNCTION("""COMPUTED_VALUE"""),"Dusun V Towua, Kec. Wandulako")</f>
        <v>Dusun V Towua, Kec. Wandulako</v>
      </c>
      <c r="L755" s="24"/>
      <c r="M755" s="24"/>
      <c r="N755" s="24" t="str">
        <f>IFERROR(__xludf.DUMMYFUNCTION("""COMPUTED_VALUE"""),"SMA / SMK / MA")</f>
        <v>SMA / SMK / MA</v>
      </c>
      <c r="O755" s="24"/>
      <c r="P755" s="24"/>
      <c r="Q755" s="24"/>
      <c r="R755" s="24" t="str">
        <f>IFERROR(__xludf.DUMMYFUNCTION("""COMPUTED_VALUE"""),"K")</f>
        <v>K</v>
      </c>
      <c r="S755" s="25"/>
    </row>
    <row r="756" ht="22.5" customHeight="1">
      <c r="A756" s="22">
        <v>755.0</v>
      </c>
      <c r="B756" s="24" t="str">
        <f>IFERROR(__xludf.DUMMYFUNCTION("""COMPUTED_VALUE"""),"Pengelola Administrasi Perkantoran")</f>
        <v>Pengelola Administrasi Perkantoran</v>
      </c>
      <c r="C756" s="24" t="str">
        <f>IFERROR(__xludf.DUMMYFUNCTION("""COMPUTED_VALUE"""),"SMK Negeri 1 Kolaka")</f>
        <v>SMK Negeri 1 Kolaka</v>
      </c>
      <c r="D756" s="24"/>
      <c r="E756" s="24"/>
      <c r="F756" s="24" t="str">
        <f>IFERROR(__xludf.DUMMYFUNCTION("""COMPUTED_VALUE"""),"ANASTASYA")</f>
        <v>ANASTASYA</v>
      </c>
      <c r="G756" s="24" t="str">
        <f>IFERROR(__xludf.DUMMYFUNCTION("""COMPUTED_VALUE"""),"7401146508080001")</f>
        <v>7401146508080001</v>
      </c>
      <c r="H756" s="24"/>
      <c r="I756" s="24"/>
      <c r="J756" s="24" t="str">
        <f>IFERROR(__xludf.DUMMYFUNCTION("""COMPUTED_VALUE"""),"PEREMPUAN")</f>
        <v>PEREMPUAN</v>
      </c>
      <c r="K756" s="24" t="str">
        <f>IFERROR(__xludf.DUMMYFUNCTION("""COMPUTED_VALUE"""),"Jl. Permata Biru")</f>
        <v>Jl. Permata Biru</v>
      </c>
      <c r="L756" s="24"/>
      <c r="M756" s="24"/>
      <c r="N756" s="24" t="str">
        <f>IFERROR(__xludf.DUMMYFUNCTION("""COMPUTED_VALUE"""),"SMA / SMK / MA")</f>
        <v>SMA / SMK / MA</v>
      </c>
      <c r="O756" s="24"/>
      <c r="P756" s="24"/>
      <c r="Q756" s="24"/>
      <c r="R756" s="24" t="str">
        <f>IFERROR(__xludf.DUMMYFUNCTION("""COMPUTED_VALUE"""),"K")</f>
        <v>K</v>
      </c>
      <c r="S756" s="25"/>
    </row>
    <row r="757" ht="22.5" customHeight="1">
      <c r="A757" s="22">
        <v>756.0</v>
      </c>
      <c r="B757" s="24" t="str">
        <f>IFERROR(__xludf.DUMMYFUNCTION("""COMPUTED_VALUE"""),"Pengelola Administrasi Perkantoran")</f>
        <v>Pengelola Administrasi Perkantoran</v>
      </c>
      <c r="C757" s="24" t="str">
        <f>IFERROR(__xludf.DUMMYFUNCTION("""COMPUTED_VALUE"""),"SMK Negeri 1 Kolaka")</f>
        <v>SMK Negeri 1 Kolaka</v>
      </c>
      <c r="D757" s="24"/>
      <c r="E757" s="24"/>
      <c r="F757" s="24" t="str">
        <f>IFERROR(__xludf.DUMMYFUNCTION("""COMPUTED_VALUE"""),"Avrilia")</f>
        <v>Avrilia</v>
      </c>
      <c r="G757" s="24" t="str">
        <f>IFERROR(__xludf.DUMMYFUNCTION("""COMPUTED_VALUE"""),"7401146904080002")</f>
        <v>7401146904080002</v>
      </c>
      <c r="H757" s="24"/>
      <c r="I757" s="24"/>
      <c r="J757" s="24" t="str">
        <f>IFERROR(__xludf.DUMMYFUNCTION("""COMPUTED_VALUE"""),"PEREMPUAN")</f>
        <v>PEREMPUAN</v>
      </c>
      <c r="K757" s="24" t="str">
        <f>IFERROR(__xludf.DUMMYFUNCTION("""COMPUTED_VALUE"""),"Jl. Opo")</f>
        <v>Jl. Opo</v>
      </c>
      <c r="L757" s="24"/>
      <c r="M757" s="24"/>
      <c r="N757" s="24" t="str">
        <f>IFERROR(__xludf.DUMMYFUNCTION("""COMPUTED_VALUE"""),"SMA / SMK / MA")</f>
        <v>SMA / SMK / MA</v>
      </c>
      <c r="O757" s="24"/>
      <c r="P757" s="24"/>
      <c r="Q757" s="24"/>
      <c r="R757" s="24" t="str">
        <f>IFERROR(__xludf.DUMMYFUNCTION("""COMPUTED_VALUE"""),"K")</f>
        <v>K</v>
      </c>
      <c r="S757" s="25"/>
    </row>
    <row r="758" ht="22.5" customHeight="1">
      <c r="A758" s="22">
        <v>757.0</v>
      </c>
      <c r="B758" s="24" t="str">
        <f>IFERROR(__xludf.DUMMYFUNCTION("""COMPUTED_VALUE"""),"Pengelola Administrasi Perkantoran")</f>
        <v>Pengelola Administrasi Perkantoran</v>
      </c>
      <c r="C758" s="24" t="str">
        <f>IFERROR(__xludf.DUMMYFUNCTION("""COMPUTED_VALUE"""),"SMK Negeri 1 Kolaka")</f>
        <v>SMK Negeri 1 Kolaka</v>
      </c>
      <c r="D758" s="24"/>
      <c r="E758" s="24"/>
      <c r="F758" s="24" t="str">
        <f>IFERROR(__xludf.DUMMYFUNCTION("""COMPUTED_VALUE"""),"Fani Rahmawati")</f>
        <v>Fani Rahmawati</v>
      </c>
      <c r="G758" s="24" t="str">
        <f>IFERROR(__xludf.DUMMYFUNCTION("""COMPUTED_VALUE"""),"7401046905090001")</f>
        <v>7401046905090001</v>
      </c>
      <c r="H758" s="24"/>
      <c r="I758" s="24"/>
      <c r="J758" s="24" t="str">
        <f>IFERROR(__xludf.DUMMYFUNCTION("""COMPUTED_VALUE"""),"PEREMPUAN")</f>
        <v>PEREMPUAN</v>
      </c>
      <c r="K758" s="24" t="str">
        <f>IFERROR(__xludf.DUMMYFUNCTION("""COMPUTED_VALUE"""),"Lalomba Jl. Gajah")</f>
        <v>Lalomba Jl. Gajah</v>
      </c>
      <c r="L758" s="24"/>
      <c r="M758" s="24"/>
      <c r="N758" s="24" t="str">
        <f>IFERROR(__xludf.DUMMYFUNCTION("""COMPUTED_VALUE"""),"SMA / SMK / MA")</f>
        <v>SMA / SMK / MA</v>
      </c>
      <c r="O758" s="24"/>
      <c r="P758" s="24"/>
      <c r="Q758" s="24"/>
      <c r="R758" s="24" t="str">
        <f>IFERROR(__xludf.DUMMYFUNCTION("""COMPUTED_VALUE"""),"K")</f>
        <v>K</v>
      </c>
      <c r="S758" s="25"/>
    </row>
    <row r="759" ht="22.5" customHeight="1">
      <c r="A759" s="22">
        <v>758.0</v>
      </c>
      <c r="B759" s="24" t="str">
        <f>IFERROR(__xludf.DUMMYFUNCTION("""COMPUTED_VALUE"""),"Pengelola Administrasi Perkantoran")</f>
        <v>Pengelola Administrasi Perkantoran</v>
      </c>
      <c r="C759" s="24" t="str">
        <f>IFERROR(__xludf.DUMMYFUNCTION("""COMPUTED_VALUE"""),"SMK Negeri 1 Kolaka")</f>
        <v>SMK Negeri 1 Kolaka</v>
      </c>
      <c r="D759" s="24"/>
      <c r="E759" s="24"/>
      <c r="F759" s="24" t="str">
        <f>IFERROR(__xludf.DUMMYFUNCTION("""COMPUTED_VALUE"""),"FEBRILIYANTI ZYAKILHA R.")</f>
        <v>FEBRILIYANTI ZYAKILHA R.</v>
      </c>
      <c r="G759" s="24" t="str">
        <f>IFERROR(__xludf.DUMMYFUNCTION("""COMPUTED_VALUE"""),"7401045601080001")</f>
        <v>7401045601080001</v>
      </c>
      <c r="H759" s="24"/>
      <c r="I759" s="24"/>
      <c r="J759" s="24" t="str">
        <f>IFERROR(__xludf.DUMMYFUNCTION("""COMPUTED_VALUE"""),"PEREMPUAN")</f>
        <v>PEREMPUAN</v>
      </c>
      <c r="K759" s="24" t="str">
        <f>IFERROR(__xludf.DUMMYFUNCTION("""COMPUTED_VALUE"""),"Jl. Mekongga Indah")</f>
        <v>Jl. Mekongga Indah</v>
      </c>
      <c r="L759" s="24"/>
      <c r="M759" s="24"/>
      <c r="N759" s="24" t="str">
        <f>IFERROR(__xludf.DUMMYFUNCTION("""COMPUTED_VALUE"""),"SMA / SMK / MA")</f>
        <v>SMA / SMK / MA</v>
      </c>
      <c r="O759" s="24"/>
      <c r="P759" s="24"/>
      <c r="Q759" s="24"/>
      <c r="R759" s="24" t="str">
        <f>IFERROR(__xludf.DUMMYFUNCTION("""COMPUTED_VALUE"""),"K")</f>
        <v>K</v>
      </c>
      <c r="S759" s="25"/>
    </row>
    <row r="760" ht="22.5" customHeight="1">
      <c r="A760" s="22">
        <v>759.0</v>
      </c>
      <c r="B760" s="24" t="str">
        <f>IFERROR(__xludf.DUMMYFUNCTION("""COMPUTED_VALUE"""),"Pengelola Administrasi Perkantoran")</f>
        <v>Pengelola Administrasi Perkantoran</v>
      </c>
      <c r="C760" s="24" t="str">
        <f>IFERROR(__xludf.DUMMYFUNCTION("""COMPUTED_VALUE"""),"SMK Negeri 1 Kolaka")</f>
        <v>SMK Negeri 1 Kolaka</v>
      </c>
      <c r="D760" s="24"/>
      <c r="E760" s="24"/>
      <c r="F760" s="24" t="str">
        <f>IFERROR(__xludf.DUMMYFUNCTION("""COMPUTED_VALUE"""),"HIKMA")</f>
        <v>HIKMA</v>
      </c>
      <c r="G760" s="24" t="str">
        <f>IFERROR(__xludf.DUMMYFUNCTION("""COMPUTED_VALUE"""),"7401044701090001")</f>
        <v>7401044701090001</v>
      </c>
      <c r="H760" s="24"/>
      <c r="I760" s="24"/>
      <c r="J760" s="24" t="str">
        <f>IFERROR(__xludf.DUMMYFUNCTION("""COMPUTED_VALUE"""),"PEREMPUAN")</f>
        <v>PEREMPUAN</v>
      </c>
      <c r="K760" s="24" t="str">
        <f>IFERROR(__xludf.DUMMYFUNCTION("""COMPUTED_VALUE"""),"Jalan Poros Kolaka - Kendari KM 16")</f>
        <v>Jalan Poros Kolaka - Kendari KM 16</v>
      </c>
      <c r="L760" s="24"/>
      <c r="M760" s="24"/>
      <c r="N760" s="24" t="str">
        <f>IFERROR(__xludf.DUMMYFUNCTION("""COMPUTED_VALUE"""),"SMA / SMK / MA")</f>
        <v>SMA / SMK / MA</v>
      </c>
      <c r="O760" s="24"/>
      <c r="P760" s="24"/>
      <c r="Q760" s="24"/>
      <c r="R760" s="24" t="str">
        <f>IFERROR(__xludf.DUMMYFUNCTION("""COMPUTED_VALUE"""),"K")</f>
        <v>K</v>
      </c>
      <c r="S760" s="25"/>
    </row>
    <row r="761" ht="22.5" customHeight="1">
      <c r="A761" s="22">
        <v>760.0</v>
      </c>
      <c r="B761" s="24" t="str">
        <f>IFERROR(__xludf.DUMMYFUNCTION("""COMPUTED_VALUE"""),"Pengelola Administrasi Perkantoran")</f>
        <v>Pengelola Administrasi Perkantoran</v>
      </c>
      <c r="C761" s="24" t="str">
        <f>IFERROR(__xludf.DUMMYFUNCTION("""COMPUTED_VALUE"""),"SMK Negeri 1 Kolaka")</f>
        <v>SMK Negeri 1 Kolaka</v>
      </c>
      <c r="D761" s="24"/>
      <c r="E761" s="24"/>
      <c r="F761" s="24" t="str">
        <f>IFERROR(__xludf.DUMMYFUNCTION("""COMPUTED_VALUE"""),"INDRI SAFITRI")</f>
        <v>INDRI SAFITRI</v>
      </c>
      <c r="G761" s="24" t="str">
        <f>IFERROR(__xludf.DUMMYFUNCTION("""COMPUTED_VALUE"""),"7401204109070003")</f>
        <v>7401204109070003</v>
      </c>
      <c r="H761" s="24"/>
      <c r="I761" s="24"/>
      <c r="J761" s="24" t="str">
        <f>IFERROR(__xludf.DUMMYFUNCTION("""COMPUTED_VALUE"""),"PEREMPUAN")</f>
        <v>PEREMPUAN</v>
      </c>
      <c r="K761" s="24" t="str">
        <f>IFERROR(__xludf.DUMMYFUNCTION("""COMPUTED_VALUE"""),"Balandete")</f>
        <v>Balandete</v>
      </c>
      <c r="L761" s="24"/>
      <c r="M761" s="24"/>
      <c r="N761" s="24" t="str">
        <f>IFERROR(__xludf.DUMMYFUNCTION("""COMPUTED_VALUE"""),"SMA / SMK / MA")</f>
        <v>SMA / SMK / MA</v>
      </c>
      <c r="O761" s="24"/>
      <c r="P761" s="24"/>
      <c r="Q761" s="24"/>
      <c r="R761" s="24" t="str">
        <f>IFERROR(__xludf.DUMMYFUNCTION("""COMPUTED_VALUE"""),"K")</f>
        <v>K</v>
      </c>
      <c r="S761" s="25"/>
    </row>
    <row r="762" ht="22.5" customHeight="1">
      <c r="A762" s="22">
        <v>761.0</v>
      </c>
      <c r="B762" s="24" t="str">
        <f>IFERROR(__xludf.DUMMYFUNCTION("""COMPUTED_VALUE"""),"Pengelola Administrasi Perkantoran")</f>
        <v>Pengelola Administrasi Perkantoran</v>
      </c>
      <c r="C762" s="24" t="str">
        <f>IFERROR(__xludf.DUMMYFUNCTION("""COMPUTED_VALUE"""),"SMK Negeri 1 Kolaka")</f>
        <v>SMK Negeri 1 Kolaka</v>
      </c>
      <c r="D762" s="24"/>
      <c r="E762" s="24"/>
      <c r="F762" s="24" t="str">
        <f>IFERROR(__xludf.DUMMYFUNCTION("""COMPUTED_VALUE"""),"Kasih")</f>
        <v>Kasih</v>
      </c>
      <c r="G762" s="24" t="str">
        <f>IFERROR(__xludf.DUMMYFUNCTION("""COMPUTED_VALUE"""),"7406076305080002")</f>
        <v>7406076305080002</v>
      </c>
      <c r="H762" s="24"/>
      <c r="I762" s="24"/>
      <c r="J762" s="24" t="str">
        <f>IFERROR(__xludf.DUMMYFUNCTION("""COMPUTED_VALUE"""),"PEREMPUAN")</f>
        <v>PEREMPUAN</v>
      </c>
      <c r="K762" s="24" t="str">
        <f>IFERROR(__xludf.DUMMYFUNCTION("""COMPUTED_VALUE"""),"Laloha, Kecamatan Kolaka")</f>
        <v>Laloha, Kecamatan Kolaka</v>
      </c>
      <c r="L762" s="24"/>
      <c r="M762" s="24"/>
      <c r="N762" s="24" t="str">
        <f>IFERROR(__xludf.DUMMYFUNCTION("""COMPUTED_VALUE"""),"SMA / SMK / MA")</f>
        <v>SMA / SMK / MA</v>
      </c>
      <c r="O762" s="24"/>
      <c r="P762" s="24"/>
      <c r="Q762" s="24"/>
      <c r="R762" s="24" t="str">
        <f>IFERROR(__xludf.DUMMYFUNCTION("""COMPUTED_VALUE"""),"K")</f>
        <v>K</v>
      </c>
      <c r="S762" s="25"/>
    </row>
    <row r="763" ht="22.5" customHeight="1">
      <c r="A763" s="22">
        <v>762.0</v>
      </c>
      <c r="B763" s="24" t="str">
        <f>IFERROR(__xludf.DUMMYFUNCTION("""COMPUTED_VALUE"""),"Pengelola Administrasi Perkantoran")</f>
        <v>Pengelola Administrasi Perkantoran</v>
      </c>
      <c r="C763" s="24" t="str">
        <f>IFERROR(__xludf.DUMMYFUNCTION("""COMPUTED_VALUE"""),"SMK Negeri 1 Kolaka")</f>
        <v>SMK Negeri 1 Kolaka</v>
      </c>
      <c r="D763" s="24"/>
      <c r="E763" s="24"/>
      <c r="F763" s="24" t="str">
        <f>IFERROR(__xludf.DUMMYFUNCTION("""COMPUTED_VALUE"""),"Mega")</f>
        <v>Mega</v>
      </c>
      <c r="G763" s="24" t="str">
        <f>IFERROR(__xludf.DUMMYFUNCTION("""COMPUTED_VALUE"""),"7401145011070003")</f>
        <v>7401145011070003</v>
      </c>
      <c r="H763" s="24"/>
      <c r="I763" s="24"/>
      <c r="J763" s="24" t="str">
        <f>IFERROR(__xludf.DUMMYFUNCTION("""COMPUTED_VALUE"""),"PEREMPUAN")</f>
        <v>PEREMPUAN</v>
      </c>
      <c r="K763" s="24" t="str">
        <f>IFERROR(__xludf.DUMMYFUNCTION("""COMPUTED_VALUE"""),"Jl. Mangiweng, Kel. Kolakaasi, Kec. Latambaga")</f>
        <v>Jl. Mangiweng, Kel. Kolakaasi, Kec. Latambaga</v>
      </c>
      <c r="L763" s="24"/>
      <c r="M763" s="24"/>
      <c r="N763" s="24" t="str">
        <f>IFERROR(__xludf.DUMMYFUNCTION("""COMPUTED_VALUE"""),"SMA / SMK / MA")</f>
        <v>SMA / SMK / MA</v>
      </c>
      <c r="O763" s="24"/>
      <c r="P763" s="24"/>
      <c r="Q763" s="24"/>
      <c r="R763" s="24" t="str">
        <f>IFERROR(__xludf.DUMMYFUNCTION("""COMPUTED_VALUE"""),"K")</f>
        <v>K</v>
      </c>
      <c r="S763" s="25"/>
    </row>
    <row r="764" ht="22.5" customHeight="1">
      <c r="A764" s="22">
        <v>763.0</v>
      </c>
      <c r="B764" s="24" t="str">
        <f>IFERROR(__xludf.DUMMYFUNCTION("""COMPUTED_VALUE"""),"Pengelola Administrasi Perkantoran")</f>
        <v>Pengelola Administrasi Perkantoran</v>
      </c>
      <c r="C764" s="24" t="str">
        <f>IFERROR(__xludf.DUMMYFUNCTION("""COMPUTED_VALUE"""),"SMK Negeri 1 Kolaka")</f>
        <v>SMK Negeri 1 Kolaka</v>
      </c>
      <c r="D764" s="24"/>
      <c r="E764" s="24"/>
      <c r="F764" s="24" t="str">
        <f>IFERROR(__xludf.DUMMYFUNCTION("""COMPUTED_VALUE"""),"Monalisa")</f>
        <v>Monalisa</v>
      </c>
      <c r="G764" s="24" t="str">
        <f>IFERROR(__xludf.DUMMYFUNCTION("""COMPUTED_VALUE"""),"7401144606080001")</f>
        <v>7401144606080001</v>
      </c>
      <c r="H764" s="24"/>
      <c r="I764" s="24"/>
      <c r="J764" s="24" t="str">
        <f>IFERROR(__xludf.DUMMYFUNCTION("""COMPUTED_VALUE"""),"PEREMPUAN")</f>
        <v>PEREMPUAN</v>
      </c>
      <c r="K764" s="24" t="str">
        <f>IFERROR(__xludf.DUMMYFUNCTION("""COMPUTED_VALUE"""),"Jl. Sunu Ujung")</f>
        <v>Jl. Sunu Ujung</v>
      </c>
      <c r="L764" s="24"/>
      <c r="M764" s="24"/>
      <c r="N764" s="24" t="str">
        <f>IFERROR(__xludf.DUMMYFUNCTION("""COMPUTED_VALUE"""),"SMA / SMK / MA")</f>
        <v>SMA / SMK / MA</v>
      </c>
      <c r="O764" s="24"/>
      <c r="P764" s="24"/>
      <c r="Q764" s="24"/>
      <c r="R764" s="24" t="str">
        <f>IFERROR(__xludf.DUMMYFUNCTION("""COMPUTED_VALUE"""),"K")</f>
        <v>K</v>
      </c>
      <c r="S764" s="25"/>
    </row>
    <row r="765" ht="22.5" customHeight="1">
      <c r="A765" s="22">
        <v>764.0</v>
      </c>
      <c r="B765" s="24" t="str">
        <f>IFERROR(__xludf.DUMMYFUNCTION("""COMPUTED_VALUE"""),"Pengelola Administrasi Perkantoran")</f>
        <v>Pengelola Administrasi Perkantoran</v>
      </c>
      <c r="C765" s="24" t="str">
        <f>IFERROR(__xludf.DUMMYFUNCTION("""COMPUTED_VALUE"""),"SMK Negeri 1 Kolaka")</f>
        <v>SMK Negeri 1 Kolaka</v>
      </c>
      <c r="D765" s="24"/>
      <c r="E765" s="24"/>
      <c r="F765" s="24" t="str">
        <f>IFERROR(__xludf.DUMMYFUNCTION("""COMPUTED_VALUE"""),"Muh. Farel")</f>
        <v>Muh. Farel</v>
      </c>
      <c r="G765" s="24" t="str">
        <f>IFERROR(__xludf.DUMMYFUNCTION("""COMPUTED_VALUE"""),"7408072502080003")</f>
        <v>7408072502080003</v>
      </c>
      <c r="H765" s="24"/>
      <c r="I765" s="24"/>
      <c r="J765" s="24" t="str">
        <f>IFERROR(__xludf.DUMMYFUNCTION("""COMPUTED_VALUE"""),"LAKI-LAKI")</f>
        <v>LAKI-LAKI</v>
      </c>
      <c r="K765" s="24" t="str">
        <f>IFERROR(__xludf.DUMMYFUNCTION("""COMPUTED_VALUE"""),"Perumnas No. 8 Blok H")</f>
        <v>Perumnas No. 8 Blok H</v>
      </c>
      <c r="L765" s="24"/>
      <c r="M765" s="24"/>
      <c r="N765" s="24" t="str">
        <f>IFERROR(__xludf.DUMMYFUNCTION("""COMPUTED_VALUE"""),"SMA / SMK / MA")</f>
        <v>SMA / SMK / MA</v>
      </c>
      <c r="O765" s="24"/>
      <c r="P765" s="24"/>
      <c r="Q765" s="24"/>
      <c r="R765" s="24" t="str">
        <f>IFERROR(__xludf.DUMMYFUNCTION("""COMPUTED_VALUE"""),"K")</f>
        <v>K</v>
      </c>
      <c r="S765" s="25"/>
    </row>
    <row r="766" ht="22.5" customHeight="1">
      <c r="A766" s="22">
        <v>765.0</v>
      </c>
      <c r="B766" s="24" t="str">
        <f>IFERROR(__xludf.DUMMYFUNCTION("""COMPUTED_VALUE"""),"Pengelola Administrasi Perkantoran")</f>
        <v>Pengelola Administrasi Perkantoran</v>
      </c>
      <c r="C766" s="24" t="str">
        <f>IFERROR(__xludf.DUMMYFUNCTION("""COMPUTED_VALUE"""),"SMK Negeri 1 Kolaka")</f>
        <v>SMK Negeri 1 Kolaka</v>
      </c>
      <c r="D766" s="24"/>
      <c r="E766" s="24"/>
      <c r="F766" s="24" t="str">
        <f>IFERROR(__xludf.DUMMYFUNCTION("""COMPUTED_VALUE"""),"MUH. FIQRI")</f>
        <v>MUH. FIQRI</v>
      </c>
      <c r="G766" s="24" t="str">
        <f>IFERROR(__xludf.DUMMYFUNCTION("""COMPUTED_VALUE"""),"7401142507080001")</f>
        <v>7401142507080001</v>
      </c>
      <c r="H766" s="24"/>
      <c r="I766" s="24"/>
      <c r="J766" s="24" t="str">
        <f>IFERROR(__xludf.DUMMYFUNCTION("""COMPUTED_VALUE"""),"LAKI-LAKI")</f>
        <v>LAKI-LAKI</v>
      </c>
      <c r="K766" s="24" t="str">
        <f>IFERROR(__xludf.DUMMYFUNCTION("""COMPUTED_VALUE"""),"Jl. Cakalang")</f>
        <v>Jl. Cakalang</v>
      </c>
      <c r="L766" s="24"/>
      <c r="M766" s="24"/>
      <c r="N766" s="24" t="str">
        <f>IFERROR(__xludf.DUMMYFUNCTION("""COMPUTED_VALUE"""),"SMA / SMK / MA")</f>
        <v>SMA / SMK / MA</v>
      </c>
      <c r="O766" s="24"/>
      <c r="P766" s="24"/>
      <c r="Q766" s="24"/>
      <c r="R766" s="24" t="str">
        <f>IFERROR(__xludf.DUMMYFUNCTION("""COMPUTED_VALUE"""),"K")</f>
        <v>K</v>
      </c>
      <c r="S766" s="25"/>
    </row>
    <row r="767" ht="22.5" customHeight="1">
      <c r="A767" s="22">
        <v>766.0</v>
      </c>
      <c r="B767" s="24" t="str">
        <f>IFERROR(__xludf.DUMMYFUNCTION("""COMPUTED_VALUE"""),"Pengelola Administrasi Perkantoran")</f>
        <v>Pengelola Administrasi Perkantoran</v>
      </c>
      <c r="C767" s="24" t="str">
        <f>IFERROR(__xludf.DUMMYFUNCTION("""COMPUTED_VALUE"""),"SMK Negeri 1 Kolaka")</f>
        <v>SMK Negeri 1 Kolaka</v>
      </c>
      <c r="D767" s="24"/>
      <c r="E767" s="24"/>
      <c r="F767" s="24" t="str">
        <f>IFERROR(__xludf.DUMMYFUNCTION("""COMPUTED_VALUE"""),"MUH. IQSHAN")</f>
        <v>MUH. IQSHAN</v>
      </c>
      <c r="G767" s="24" t="str">
        <f>IFERROR(__xludf.DUMMYFUNCTION("""COMPUTED_VALUE"""),"7401010305080001")</f>
        <v>7401010305080001</v>
      </c>
      <c r="H767" s="24"/>
      <c r="I767" s="24"/>
      <c r="J767" s="24" t="str">
        <f>IFERROR(__xludf.DUMMYFUNCTION("""COMPUTED_VALUE"""),"LAKI-LAKI")</f>
        <v>LAKI-LAKI</v>
      </c>
      <c r="K767" s="24" t="str">
        <f>IFERROR(__xludf.DUMMYFUNCTION("""COMPUTED_VALUE"""),"Dusun IV Towua")</f>
        <v>Dusun IV Towua</v>
      </c>
      <c r="L767" s="24"/>
      <c r="M767" s="24"/>
      <c r="N767" s="24" t="str">
        <f>IFERROR(__xludf.DUMMYFUNCTION("""COMPUTED_VALUE"""),"SMA / SMK / MA")</f>
        <v>SMA / SMK / MA</v>
      </c>
      <c r="O767" s="24"/>
      <c r="P767" s="24"/>
      <c r="Q767" s="24"/>
      <c r="R767" s="24" t="str">
        <f>IFERROR(__xludf.DUMMYFUNCTION("""COMPUTED_VALUE"""),"K")</f>
        <v>K</v>
      </c>
      <c r="S767" s="25"/>
    </row>
    <row r="768" ht="22.5" customHeight="1">
      <c r="A768" s="22">
        <v>767.0</v>
      </c>
      <c r="B768" s="24" t="str">
        <f>IFERROR(__xludf.DUMMYFUNCTION("""COMPUTED_VALUE"""),"Pengelola Administrasi Perkantoran")</f>
        <v>Pengelola Administrasi Perkantoran</v>
      </c>
      <c r="C768" s="24" t="str">
        <f>IFERROR(__xludf.DUMMYFUNCTION("""COMPUTED_VALUE"""),"SMK Negeri 1 Kolaka")</f>
        <v>SMK Negeri 1 Kolaka</v>
      </c>
      <c r="D768" s="24"/>
      <c r="E768" s="24"/>
      <c r="F768" s="24" t="str">
        <f>IFERROR(__xludf.DUMMYFUNCTION("""COMPUTED_VALUE"""),"MUH. JEFRI MAULANA")</f>
        <v>MUH. JEFRI MAULANA</v>
      </c>
      <c r="G768" s="24" t="str">
        <f>IFERROR(__xludf.DUMMYFUNCTION("""COMPUTED_VALUE"""),"7401140110060001")</f>
        <v>7401140110060001</v>
      </c>
      <c r="H768" s="24"/>
      <c r="I768" s="24"/>
      <c r="J768" s="24" t="str">
        <f>IFERROR(__xludf.DUMMYFUNCTION("""COMPUTED_VALUE"""),"LAKI-LAKI")</f>
        <v>LAKI-LAKI</v>
      </c>
      <c r="K768" s="24" t="str">
        <f>IFERROR(__xludf.DUMMYFUNCTION("""COMPUTED_VALUE"""),"Kolakasi/Latambaga")</f>
        <v>Kolakasi/Latambaga</v>
      </c>
      <c r="L768" s="24"/>
      <c r="M768" s="24"/>
      <c r="N768" s="24" t="str">
        <f>IFERROR(__xludf.DUMMYFUNCTION("""COMPUTED_VALUE"""),"SMA / SMK / MA")</f>
        <v>SMA / SMK / MA</v>
      </c>
      <c r="O768" s="24"/>
      <c r="P768" s="24"/>
      <c r="Q768" s="24"/>
      <c r="R768" s="24" t="str">
        <f>IFERROR(__xludf.DUMMYFUNCTION("""COMPUTED_VALUE"""),"K")</f>
        <v>K</v>
      </c>
      <c r="S768" s="25"/>
    </row>
    <row r="769" ht="22.5" customHeight="1">
      <c r="A769" s="22">
        <v>768.0</v>
      </c>
      <c r="B769" s="24" t="str">
        <f>IFERROR(__xludf.DUMMYFUNCTION("""COMPUTED_VALUE"""),"Pengelola Administrasi Perkantoran")</f>
        <v>Pengelola Administrasi Perkantoran</v>
      </c>
      <c r="C769" s="24" t="str">
        <f>IFERROR(__xludf.DUMMYFUNCTION("""COMPUTED_VALUE"""),"SMK Negeri 1 Kolaka")</f>
        <v>SMK Negeri 1 Kolaka</v>
      </c>
      <c r="D769" s="24"/>
      <c r="E769" s="24"/>
      <c r="F769" s="24" t="str">
        <f>IFERROR(__xludf.DUMMYFUNCTION("""COMPUTED_VALUE"""),"MUH. NUR RAHMAT")</f>
        <v>MUH. NUR RAHMAT</v>
      </c>
      <c r="G769" s="24" t="str">
        <f>IFERROR(__xludf.DUMMYFUNCTION("""COMPUTED_VALUE"""),"7401140604080001")</f>
        <v>7401140604080001</v>
      </c>
      <c r="H769" s="24"/>
      <c r="I769" s="24"/>
      <c r="J769" s="24" t="str">
        <f>IFERROR(__xludf.DUMMYFUNCTION("""COMPUTED_VALUE"""),"LAKI-LAKI")</f>
        <v>LAKI-LAKI</v>
      </c>
      <c r="K769" s="24" t="str">
        <f>IFERROR(__xludf.DUMMYFUNCTION("""COMPUTED_VALUE"""),"Ulunggolaka")</f>
        <v>Ulunggolaka</v>
      </c>
      <c r="L769" s="24"/>
      <c r="M769" s="24"/>
      <c r="N769" s="24" t="str">
        <f>IFERROR(__xludf.DUMMYFUNCTION("""COMPUTED_VALUE"""),"SMA / SMK / MA")</f>
        <v>SMA / SMK / MA</v>
      </c>
      <c r="O769" s="24"/>
      <c r="P769" s="24"/>
      <c r="Q769" s="24"/>
      <c r="R769" s="24" t="str">
        <f>IFERROR(__xludf.DUMMYFUNCTION("""COMPUTED_VALUE"""),"K")</f>
        <v>K</v>
      </c>
      <c r="S769" s="25"/>
    </row>
    <row r="770" ht="22.5" customHeight="1">
      <c r="A770" s="22">
        <v>769.0</v>
      </c>
      <c r="B770" s="24" t="str">
        <f>IFERROR(__xludf.DUMMYFUNCTION("""COMPUTED_VALUE"""),"Pengelola Administrasi Perkantoran")</f>
        <v>Pengelola Administrasi Perkantoran</v>
      </c>
      <c r="C770" s="24" t="str">
        <f>IFERROR(__xludf.DUMMYFUNCTION("""COMPUTED_VALUE"""),"SMK Negeri 1 Kolaka")</f>
        <v>SMK Negeri 1 Kolaka</v>
      </c>
      <c r="D770" s="24"/>
      <c r="E770" s="24"/>
      <c r="F770" s="24" t="str">
        <f>IFERROR(__xludf.DUMMYFUNCTION("""COMPUTED_VALUE"""),"MUH. REKAFID SULTRA")</f>
        <v>MUH. REKAFID SULTRA</v>
      </c>
      <c r="G770" s="24" t="str">
        <f>IFERROR(__xludf.DUMMYFUNCTION("""COMPUTED_VALUE"""),"7401042004080001")</f>
        <v>7401042004080001</v>
      </c>
      <c r="H770" s="24"/>
      <c r="I770" s="24"/>
      <c r="J770" s="24" t="str">
        <f>IFERROR(__xludf.DUMMYFUNCTION("""COMPUTED_VALUE"""),"LAKI-LAKI")</f>
        <v>LAKI-LAKI</v>
      </c>
      <c r="K770" s="24" t="str">
        <f>IFERROR(__xludf.DUMMYFUNCTION("""COMPUTED_VALUE"""),"Jl. Sultan Hasanuddin No. 19")</f>
        <v>Jl. Sultan Hasanuddin No. 19</v>
      </c>
      <c r="L770" s="24"/>
      <c r="M770" s="24"/>
      <c r="N770" s="24" t="str">
        <f>IFERROR(__xludf.DUMMYFUNCTION("""COMPUTED_VALUE"""),"SMA / SMK / MA")</f>
        <v>SMA / SMK / MA</v>
      </c>
      <c r="O770" s="24"/>
      <c r="P770" s="24"/>
      <c r="Q770" s="24"/>
      <c r="R770" s="24" t="str">
        <f>IFERROR(__xludf.DUMMYFUNCTION("""COMPUTED_VALUE"""),"K")</f>
        <v>K</v>
      </c>
      <c r="S770" s="25"/>
    </row>
    <row r="771" ht="22.5" customHeight="1">
      <c r="A771" s="22">
        <v>770.0</v>
      </c>
      <c r="B771" s="24" t="str">
        <f>IFERROR(__xludf.DUMMYFUNCTION("""COMPUTED_VALUE"""),"Pengelola Administrasi Perkantoran")</f>
        <v>Pengelola Administrasi Perkantoran</v>
      </c>
      <c r="C771" s="24" t="str">
        <f>IFERROR(__xludf.DUMMYFUNCTION("""COMPUTED_VALUE"""),"SMK Negeri 1 Kolaka")</f>
        <v>SMK Negeri 1 Kolaka</v>
      </c>
      <c r="D771" s="24"/>
      <c r="E771" s="24"/>
      <c r="F771" s="24" t="str">
        <f>IFERROR(__xludf.DUMMYFUNCTION("""COMPUTED_VALUE"""),"MUH. RESKY ALSYAH PUTRA")</f>
        <v>MUH. RESKY ALSYAH PUTRA</v>
      </c>
      <c r="G771" s="24" t="str">
        <f>IFERROR(__xludf.DUMMYFUNCTION("""COMPUTED_VALUE"""),"7401010406080002")</f>
        <v>7401010406080002</v>
      </c>
      <c r="H771" s="24"/>
      <c r="I771" s="24"/>
      <c r="J771" s="24" t="str">
        <f>IFERROR(__xludf.DUMMYFUNCTION("""COMPUTED_VALUE"""),"LAKI-LAKI")</f>
        <v>LAKI-LAKI</v>
      </c>
      <c r="K771" s="24" t="str">
        <f>IFERROR(__xludf.DUMMYFUNCTION("""COMPUTED_VALUE"""),"Wundulako")</f>
        <v>Wundulako</v>
      </c>
      <c r="L771" s="24"/>
      <c r="M771" s="24"/>
      <c r="N771" s="24" t="str">
        <f>IFERROR(__xludf.DUMMYFUNCTION("""COMPUTED_VALUE"""),"SMA / SMK / MA")</f>
        <v>SMA / SMK / MA</v>
      </c>
      <c r="O771" s="24"/>
      <c r="P771" s="24"/>
      <c r="Q771" s="24"/>
      <c r="R771" s="24" t="str">
        <f>IFERROR(__xludf.DUMMYFUNCTION("""COMPUTED_VALUE"""),"K")</f>
        <v>K</v>
      </c>
      <c r="S771" s="25"/>
    </row>
    <row r="772" ht="22.5" customHeight="1">
      <c r="A772" s="22">
        <v>771.0</v>
      </c>
      <c r="B772" s="24" t="str">
        <f>IFERROR(__xludf.DUMMYFUNCTION("""COMPUTED_VALUE"""),"Pengelola Administrasi Perkantoran")</f>
        <v>Pengelola Administrasi Perkantoran</v>
      </c>
      <c r="C772" s="24" t="str">
        <f>IFERROR(__xludf.DUMMYFUNCTION("""COMPUTED_VALUE"""),"SMK Negeri 1 Kolaka")</f>
        <v>SMK Negeri 1 Kolaka</v>
      </c>
      <c r="D772" s="24"/>
      <c r="E772" s="24"/>
      <c r="F772" s="24" t="str">
        <f>IFERROR(__xludf.DUMMYFUNCTION("""COMPUTED_VALUE"""),"nandayani")</f>
        <v>nandayani</v>
      </c>
      <c r="G772" s="24" t="str">
        <f>IFERROR(__xludf.DUMMYFUNCTION("""COMPUTED_VALUE"""),"7401045604080002")</f>
        <v>7401045604080002</v>
      </c>
      <c r="H772" s="24"/>
      <c r="I772" s="24"/>
      <c r="J772" s="24" t="str">
        <f>IFERROR(__xludf.DUMMYFUNCTION("""COMPUTED_VALUE"""),"PEREMPUAN")</f>
        <v>PEREMPUAN</v>
      </c>
      <c r="K772" s="24" t="str">
        <f>IFERROR(__xludf.DUMMYFUNCTION("""COMPUTED_VALUE"""),"Jl. Cendrawasih")</f>
        <v>Jl. Cendrawasih</v>
      </c>
      <c r="L772" s="24"/>
      <c r="M772" s="24"/>
      <c r="N772" s="24" t="str">
        <f>IFERROR(__xludf.DUMMYFUNCTION("""COMPUTED_VALUE"""),"SMA / SMK / MA")</f>
        <v>SMA / SMK / MA</v>
      </c>
      <c r="O772" s="24"/>
      <c r="P772" s="24"/>
      <c r="Q772" s="24"/>
      <c r="R772" s="24" t="str">
        <f>IFERROR(__xludf.DUMMYFUNCTION("""COMPUTED_VALUE"""),"K")</f>
        <v>K</v>
      </c>
      <c r="S772" s="25"/>
    </row>
    <row r="773" ht="22.5" customHeight="1">
      <c r="A773" s="22">
        <v>772.0</v>
      </c>
      <c r="B773" s="24" t="str">
        <f>IFERROR(__xludf.DUMMYFUNCTION("""COMPUTED_VALUE"""),"Pengelola Administrasi Perkantoran")</f>
        <v>Pengelola Administrasi Perkantoran</v>
      </c>
      <c r="C773" s="24" t="str">
        <f>IFERROR(__xludf.DUMMYFUNCTION("""COMPUTED_VALUE"""),"SMK Negeri 1 Kolaka")</f>
        <v>SMK Negeri 1 Kolaka</v>
      </c>
      <c r="D773" s="24"/>
      <c r="E773" s="24"/>
      <c r="F773" s="24" t="str">
        <f>IFERROR(__xludf.DUMMYFUNCTION("""COMPUTED_VALUE"""),"PUTRI NIARAMADANI")</f>
        <v>PUTRI NIARAMADANI</v>
      </c>
      <c r="G773" s="24" t="str">
        <f>IFERROR(__xludf.DUMMYFUNCTION("""COMPUTED_VALUE"""),"7401206706080002")</f>
        <v>7401206706080002</v>
      </c>
      <c r="H773" s="24"/>
      <c r="I773" s="24"/>
      <c r="J773" s="24" t="str">
        <f>IFERROR(__xludf.DUMMYFUNCTION("""COMPUTED_VALUE"""),"PEREMPUAN")</f>
        <v>PEREMPUAN</v>
      </c>
      <c r="K773" s="24" t="str">
        <f>IFERROR(__xludf.DUMMYFUNCTION("""COMPUTED_VALUE"""),"Dusun I Liku")</f>
        <v>Dusun I Liku</v>
      </c>
      <c r="L773" s="24"/>
      <c r="M773" s="24"/>
      <c r="N773" s="24" t="str">
        <f>IFERROR(__xludf.DUMMYFUNCTION("""COMPUTED_VALUE"""),"SMA / SMK / MA")</f>
        <v>SMA / SMK / MA</v>
      </c>
      <c r="O773" s="24"/>
      <c r="P773" s="24"/>
      <c r="Q773" s="24"/>
      <c r="R773" s="24" t="str">
        <f>IFERROR(__xludf.DUMMYFUNCTION("""COMPUTED_VALUE"""),"K")</f>
        <v>K</v>
      </c>
      <c r="S773" s="25"/>
    </row>
    <row r="774" ht="22.5" customHeight="1">
      <c r="A774" s="22">
        <v>773.0</v>
      </c>
      <c r="B774" s="24" t="str">
        <f>IFERROR(__xludf.DUMMYFUNCTION("""COMPUTED_VALUE"""),"Pengelola Administrasi Perkantoran")</f>
        <v>Pengelola Administrasi Perkantoran</v>
      </c>
      <c r="C774" s="24" t="str">
        <f>IFERROR(__xludf.DUMMYFUNCTION("""COMPUTED_VALUE"""),"SMK Negeri 1 Kolaka")</f>
        <v>SMK Negeri 1 Kolaka</v>
      </c>
      <c r="D774" s="24"/>
      <c r="E774" s="24"/>
      <c r="F774" s="24" t="str">
        <f>IFERROR(__xludf.DUMMYFUNCTION("""COMPUTED_VALUE"""),"RANGGA SAPUTRA")</f>
        <v>RANGGA SAPUTRA</v>
      </c>
      <c r="G774" s="24" t="str">
        <f>IFERROR(__xludf.DUMMYFUNCTION("""COMPUTED_VALUE"""),"7401102210080001")</f>
        <v>7401102210080001</v>
      </c>
      <c r="H774" s="24"/>
      <c r="I774" s="24"/>
      <c r="J774" s="24" t="str">
        <f>IFERROR(__xludf.DUMMYFUNCTION("""COMPUTED_VALUE"""),"LAKI-LAKI")</f>
        <v>LAKI-LAKI</v>
      </c>
      <c r="K774" s="24" t="str">
        <f>IFERROR(__xludf.DUMMYFUNCTION("""COMPUTED_VALUE"""),"Jl. Permata Biru")</f>
        <v>Jl. Permata Biru</v>
      </c>
      <c r="L774" s="24"/>
      <c r="M774" s="24"/>
      <c r="N774" s="24" t="str">
        <f>IFERROR(__xludf.DUMMYFUNCTION("""COMPUTED_VALUE"""),"SMA / SMK / MA")</f>
        <v>SMA / SMK / MA</v>
      </c>
      <c r="O774" s="24"/>
      <c r="P774" s="24"/>
      <c r="Q774" s="24"/>
      <c r="R774" s="24" t="str">
        <f>IFERROR(__xludf.DUMMYFUNCTION("""COMPUTED_VALUE"""),"K")</f>
        <v>K</v>
      </c>
      <c r="S774" s="25"/>
    </row>
    <row r="775" ht="22.5" customHeight="1">
      <c r="A775" s="22">
        <v>774.0</v>
      </c>
      <c r="B775" s="24" t="str">
        <f>IFERROR(__xludf.DUMMYFUNCTION("""COMPUTED_VALUE"""),"Pengelola Administrasi Perkantoran")</f>
        <v>Pengelola Administrasi Perkantoran</v>
      </c>
      <c r="C775" s="24" t="str">
        <f>IFERROR(__xludf.DUMMYFUNCTION("""COMPUTED_VALUE"""),"SMK Negeri 1 Kolaka")</f>
        <v>SMK Negeri 1 Kolaka</v>
      </c>
      <c r="D775" s="24"/>
      <c r="E775" s="24"/>
      <c r="F775" s="24" t="str">
        <f>IFERROR(__xludf.DUMMYFUNCTION("""COMPUTED_VALUE"""),"Rasti Ayu Ningsi")</f>
        <v>Rasti Ayu Ningsi</v>
      </c>
      <c r="G775" s="24" t="str">
        <f>IFERROR(__xludf.DUMMYFUNCTION("""COMPUTED_VALUE"""),"7401146910080001")</f>
        <v>7401146910080001</v>
      </c>
      <c r="H775" s="24"/>
      <c r="I775" s="24"/>
      <c r="J775" s="24" t="str">
        <f>IFERROR(__xludf.DUMMYFUNCTION("""COMPUTED_VALUE"""),"PEREMPUAN")</f>
        <v>PEREMPUAN</v>
      </c>
      <c r="K775" s="24" t="str">
        <f>IFERROR(__xludf.DUMMYFUNCTION("""COMPUTED_VALUE"""),"Jl. Durian")</f>
        <v>Jl. Durian</v>
      </c>
      <c r="L775" s="24"/>
      <c r="M775" s="24"/>
      <c r="N775" s="24" t="str">
        <f>IFERROR(__xludf.DUMMYFUNCTION("""COMPUTED_VALUE"""),"SMA / SMK / MA")</f>
        <v>SMA / SMK / MA</v>
      </c>
      <c r="O775" s="24"/>
      <c r="P775" s="24"/>
      <c r="Q775" s="24"/>
      <c r="R775" s="24" t="str">
        <f>IFERROR(__xludf.DUMMYFUNCTION("""COMPUTED_VALUE"""),"K")</f>
        <v>K</v>
      </c>
      <c r="S775" s="25"/>
    </row>
    <row r="776" ht="22.5" customHeight="1">
      <c r="A776" s="22">
        <v>775.0</v>
      </c>
      <c r="B776" s="24" t="str">
        <f>IFERROR(__xludf.DUMMYFUNCTION("""COMPUTED_VALUE"""),"Pengelola Administrasi Perkantoran")</f>
        <v>Pengelola Administrasi Perkantoran</v>
      </c>
      <c r="C776" s="24" t="str">
        <f>IFERROR(__xludf.DUMMYFUNCTION("""COMPUTED_VALUE"""),"SMK Negeri 1 Kolaka")</f>
        <v>SMK Negeri 1 Kolaka</v>
      </c>
      <c r="D776" s="24"/>
      <c r="E776" s="24"/>
      <c r="F776" s="24" t="str">
        <f>IFERROR(__xludf.DUMMYFUNCTION("""COMPUTED_VALUE"""),"REGINA PUTRI")</f>
        <v>REGINA PUTRI</v>
      </c>
      <c r="G776" s="24" t="str">
        <f>IFERROR(__xludf.DUMMYFUNCTION("""COMPUTED_VALUE"""),"7401045107080002")</f>
        <v>7401045107080002</v>
      </c>
      <c r="H776" s="24"/>
      <c r="I776" s="24"/>
      <c r="J776" s="24" t="str">
        <f>IFERROR(__xludf.DUMMYFUNCTION("""COMPUTED_VALUE"""),"PEREMPUAN")</f>
        <v>PEREMPUAN</v>
      </c>
      <c r="K776" s="24"/>
      <c r="L776" s="24"/>
      <c r="M776" s="24"/>
      <c r="N776" s="24" t="str">
        <f>IFERROR(__xludf.DUMMYFUNCTION("""COMPUTED_VALUE"""),"SMA / SMK / MA")</f>
        <v>SMA / SMK / MA</v>
      </c>
      <c r="O776" s="24"/>
      <c r="P776" s="24"/>
      <c r="Q776" s="24"/>
      <c r="R776" s="24" t="str">
        <f>IFERROR(__xludf.DUMMYFUNCTION("""COMPUTED_VALUE"""),"K")</f>
        <v>K</v>
      </c>
      <c r="S776" s="25"/>
    </row>
    <row r="777" ht="22.5" customHeight="1">
      <c r="A777" s="22">
        <v>776.0</v>
      </c>
      <c r="B777" s="24" t="str">
        <f>IFERROR(__xludf.DUMMYFUNCTION("""COMPUTED_VALUE"""),"Pengelola Administrasi Perkantoran")</f>
        <v>Pengelola Administrasi Perkantoran</v>
      </c>
      <c r="C777" s="24" t="str">
        <f>IFERROR(__xludf.DUMMYFUNCTION("""COMPUTED_VALUE"""),"SMK Negeri 1 Kolaka")</f>
        <v>SMK Negeri 1 Kolaka</v>
      </c>
      <c r="D777" s="24"/>
      <c r="E777" s="24"/>
      <c r="F777" s="24" t="str">
        <f>IFERROR(__xludf.DUMMYFUNCTION("""COMPUTED_VALUE"""),"Riski Nurul hikma")</f>
        <v>Riski Nurul hikma</v>
      </c>
      <c r="G777" s="24" t="str">
        <f>IFERROR(__xludf.DUMMYFUNCTION("""COMPUTED_VALUE"""),"7401146607080001")</f>
        <v>7401146607080001</v>
      </c>
      <c r="H777" s="24"/>
      <c r="I777" s="24"/>
      <c r="J777" s="24" t="str">
        <f>IFERROR(__xludf.DUMMYFUNCTION("""COMPUTED_VALUE"""),"PEREMPUAN")</f>
        <v>PEREMPUAN</v>
      </c>
      <c r="K777" s="24" t="str">
        <f>IFERROR(__xludf.DUMMYFUNCTION("""COMPUTED_VALUE"""),"Jl. Durian")</f>
        <v>Jl. Durian</v>
      </c>
      <c r="L777" s="24"/>
      <c r="M777" s="24"/>
      <c r="N777" s="24" t="str">
        <f>IFERROR(__xludf.DUMMYFUNCTION("""COMPUTED_VALUE"""),"SMA / SMK / MA")</f>
        <v>SMA / SMK / MA</v>
      </c>
      <c r="O777" s="24"/>
      <c r="P777" s="24"/>
      <c r="Q777" s="24"/>
      <c r="R777" s="24" t="str">
        <f>IFERROR(__xludf.DUMMYFUNCTION("""COMPUTED_VALUE"""),"K")</f>
        <v>K</v>
      </c>
      <c r="S777" s="25"/>
    </row>
    <row r="778" ht="22.5" customHeight="1">
      <c r="A778" s="22">
        <v>777.0</v>
      </c>
      <c r="B778" s="24" t="str">
        <f>IFERROR(__xludf.DUMMYFUNCTION("""COMPUTED_VALUE"""),"Pengelola Administrasi Perkantoran")</f>
        <v>Pengelola Administrasi Perkantoran</v>
      </c>
      <c r="C778" s="24" t="str">
        <f>IFERROR(__xludf.DUMMYFUNCTION("""COMPUTED_VALUE"""),"SMK Negeri 1 Kolaka")</f>
        <v>SMK Negeri 1 Kolaka</v>
      </c>
      <c r="D778" s="24"/>
      <c r="E778" s="24"/>
      <c r="F778" s="24" t="str">
        <f>IFERROR(__xludf.DUMMYFUNCTION("""COMPUTED_VALUE"""),"Salsa Indah Kirana")</f>
        <v>Salsa Indah Kirana</v>
      </c>
      <c r="G778" s="24" t="str">
        <f>IFERROR(__xludf.DUMMYFUNCTION("""COMPUTED_VALUE"""),"6401056004080001")</f>
        <v>6401056004080001</v>
      </c>
      <c r="H778" s="24"/>
      <c r="I778" s="24"/>
      <c r="J778" s="24" t="str">
        <f>IFERROR(__xludf.DUMMYFUNCTION("""COMPUTED_VALUE"""),"PEREMPUAN")</f>
        <v>PEREMPUAN</v>
      </c>
      <c r="K778" s="24" t="str">
        <f>IFERROR(__xludf.DUMMYFUNCTION("""COMPUTED_VALUE"""),"Jl. Bolu")</f>
        <v>Jl. Bolu</v>
      </c>
      <c r="L778" s="24"/>
      <c r="M778" s="24"/>
      <c r="N778" s="24" t="str">
        <f>IFERROR(__xludf.DUMMYFUNCTION("""COMPUTED_VALUE"""),"SMA / SMK / MA")</f>
        <v>SMA / SMK / MA</v>
      </c>
      <c r="O778" s="24"/>
      <c r="P778" s="24"/>
      <c r="Q778" s="24"/>
      <c r="R778" s="24" t="str">
        <f>IFERROR(__xludf.DUMMYFUNCTION("""COMPUTED_VALUE"""),"K")</f>
        <v>K</v>
      </c>
      <c r="S778" s="25"/>
    </row>
    <row r="779" ht="22.5" customHeight="1">
      <c r="A779" s="22">
        <v>778.0</v>
      </c>
      <c r="B779" s="24" t="str">
        <f>IFERROR(__xludf.DUMMYFUNCTION("""COMPUTED_VALUE"""),"Pengelola Administrasi Perkantoran")</f>
        <v>Pengelola Administrasi Perkantoran</v>
      </c>
      <c r="C779" s="24" t="str">
        <f>IFERROR(__xludf.DUMMYFUNCTION("""COMPUTED_VALUE"""),"SMK Negeri 1 Kolaka")</f>
        <v>SMK Negeri 1 Kolaka</v>
      </c>
      <c r="D779" s="24"/>
      <c r="E779" s="24"/>
      <c r="F779" s="24" t="str">
        <f>IFERROR(__xludf.DUMMYFUNCTION("""COMPUTED_VALUE"""),"SELVIA APRILIA NINGSIH")</f>
        <v>SELVIA APRILIA NINGSIH</v>
      </c>
      <c r="G779" s="24" t="str">
        <f>IFERROR(__xludf.DUMMYFUNCTION("""COMPUTED_VALUE"""),"7401046802080002")</f>
        <v>7401046802080002</v>
      </c>
      <c r="H779" s="24"/>
      <c r="I779" s="24"/>
      <c r="J779" s="24" t="str">
        <f>IFERROR(__xludf.DUMMYFUNCTION("""COMPUTED_VALUE"""),"PEREMPUAN")</f>
        <v>PEREMPUAN</v>
      </c>
      <c r="K779" s="24" t="str">
        <f>IFERROR(__xludf.DUMMYFUNCTION("""COMPUTED_VALUE"""),"Jl. Badewi")</f>
        <v>Jl. Badewi</v>
      </c>
      <c r="L779" s="24"/>
      <c r="M779" s="24"/>
      <c r="N779" s="24" t="str">
        <f>IFERROR(__xludf.DUMMYFUNCTION("""COMPUTED_VALUE"""),"SMA / SMK / MA")</f>
        <v>SMA / SMK / MA</v>
      </c>
      <c r="O779" s="24"/>
      <c r="P779" s="24"/>
      <c r="Q779" s="24"/>
      <c r="R779" s="24" t="str">
        <f>IFERROR(__xludf.DUMMYFUNCTION("""COMPUTED_VALUE"""),"K")</f>
        <v>K</v>
      </c>
      <c r="S779" s="25"/>
    </row>
    <row r="780" ht="22.5" customHeight="1">
      <c r="A780" s="22">
        <v>779.0</v>
      </c>
      <c r="B780" s="24" t="str">
        <f>IFERROR(__xludf.DUMMYFUNCTION("""COMPUTED_VALUE"""),"Pengelola Administrasi Perkantoran")</f>
        <v>Pengelola Administrasi Perkantoran</v>
      </c>
      <c r="C780" s="24" t="str">
        <f>IFERROR(__xludf.DUMMYFUNCTION("""COMPUTED_VALUE"""),"SMK Negeri 1 Kolaka")</f>
        <v>SMK Negeri 1 Kolaka</v>
      </c>
      <c r="D780" s="24"/>
      <c r="E780" s="24"/>
      <c r="F780" s="24" t="str">
        <f>IFERROR(__xludf.DUMMYFUNCTION("""COMPUTED_VALUE"""),"SITI FATIMA AZYARA")</f>
        <v>SITI FATIMA AZYARA</v>
      </c>
      <c r="G780" s="24" t="str">
        <f>IFERROR(__xludf.DUMMYFUNCTION("""COMPUTED_VALUE"""),"7401014505080001")</f>
        <v>7401014505080001</v>
      </c>
      <c r="H780" s="24"/>
      <c r="I780" s="24"/>
      <c r="J780" s="24" t="str">
        <f>IFERROR(__xludf.DUMMYFUNCTION("""COMPUTED_VALUE"""),"PEREMPUAN")</f>
        <v>PEREMPUAN</v>
      </c>
      <c r="K780" s="24" t="str">
        <f>IFERROR(__xludf.DUMMYFUNCTION("""COMPUTED_VALUE"""),"Wundulako")</f>
        <v>Wundulako</v>
      </c>
      <c r="L780" s="24"/>
      <c r="M780" s="24"/>
      <c r="N780" s="24" t="str">
        <f>IFERROR(__xludf.DUMMYFUNCTION("""COMPUTED_VALUE"""),"SMA / SMK / MA")</f>
        <v>SMA / SMK / MA</v>
      </c>
      <c r="O780" s="24"/>
      <c r="P780" s="24"/>
      <c r="Q780" s="24"/>
      <c r="R780" s="24" t="str">
        <f>IFERROR(__xludf.DUMMYFUNCTION("""COMPUTED_VALUE"""),"K")</f>
        <v>K</v>
      </c>
      <c r="S780" s="25"/>
    </row>
    <row r="781" ht="22.5" customHeight="1">
      <c r="A781" s="22">
        <v>780.0</v>
      </c>
      <c r="B781" s="24" t="str">
        <f>IFERROR(__xludf.DUMMYFUNCTION("""COMPUTED_VALUE"""),"Pengelola Administrasi Perkantoran")</f>
        <v>Pengelola Administrasi Perkantoran</v>
      </c>
      <c r="C781" s="24" t="str">
        <f>IFERROR(__xludf.DUMMYFUNCTION("""COMPUTED_VALUE"""),"SMK Negeri 1 Kolaka")</f>
        <v>SMK Negeri 1 Kolaka</v>
      </c>
      <c r="D781" s="24"/>
      <c r="E781" s="24"/>
      <c r="F781" s="24" t="str">
        <f>IFERROR(__xludf.DUMMYFUNCTION("""COMPUTED_VALUE"""),"Wahyu Amir")</f>
        <v>Wahyu Amir</v>
      </c>
      <c r="G781" s="24" t="str">
        <f>IFERROR(__xludf.DUMMYFUNCTION("""COMPUTED_VALUE"""),"7401140107080001")</f>
        <v>7401140107080001</v>
      </c>
      <c r="H781" s="24"/>
      <c r="I781" s="24"/>
      <c r="J781" s="24" t="str">
        <f>IFERROR(__xludf.DUMMYFUNCTION("""COMPUTED_VALUE"""),"LAKI-LAKI")</f>
        <v>LAKI-LAKI</v>
      </c>
      <c r="K781" s="24" t="str">
        <f>IFERROR(__xludf.DUMMYFUNCTION("""COMPUTED_VALUE"""),"j")</f>
        <v>j</v>
      </c>
      <c r="L781" s="24"/>
      <c r="M781" s="24"/>
      <c r="N781" s="24" t="str">
        <f>IFERROR(__xludf.DUMMYFUNCTION("""COMPUTED_VALUE"""),"SMA / SMK / MA")</f>
        <v>SMA / SMK / MA</v>
      </c>
      <c r="O781" s="24"/>
      <c r="P781" s="24"/>
      <c r="Q781" s="24"/>
      <c r="R781" s="24" t="str">
        <f>IFERROR(__xludf.DUMMYFUNCTION("""COMPUTED_VALUE"""),"K")</f>
        <v>K</v>
      </c>
      <c r="S781" s="25"/>
    </row>
    <row r="782" ht="22.5" customHeight="1">
      <c r="A782" s="22">
        <v>781.0</v>
      </c>
      <c r="B782" s="24" t="str">
        <f>IFERROR(__xludf.DUMMYFUNCTION("""COMPUTED_VALUE"""),"Menjahit Pakaian Wanita Dewasa")</f>
        <v>Menjahit Pakaian Wanita Dewasa</v>
      </c>
      <c r="C782" s="24" t="str">
        <f>IFERROR(__xludf.DUMMYFUNCTION("""COMPUTED_VALUE"""),"SMK Negeri 3 Kendari")</f>
        <v>SMK Negeri 3 Kendari</v>
      </c>
      <c r="D782" s="24"/>
      <c r="E782" s="24"/>
      <c r="F782" s="24" t="str">
        <f>IFERROR(__xludf.DUMMYFUNCTION("""COMPUTED_VALUE"""),"Khumaira")</f>
        <v>Khumaira</v>
      </c>
      <c r="G782" s="24" t="str">
        <f>IFERROR(__xludf.DUMMYFUNCTION("""COMPUTED_VALUE"""),"7407016208080003")</f>
        <v>7407016208080003</v>
      </c>
      <c r="H782" s="24"/>
      <c r="I782" s="24"/>
      <c r="J782" s="24" t="str">
        <f>IFERROR(__xludf.DUMMYFUNCTION("""COMPUTED_VALUE"""),"PEREMPUAN")</f>
        <v>PEREMPUAN</v>
      </c>
      <c r="K782" s="24" t="str">
        <f>IFERROR(__xludf.DUMMYFUNCTION("""COMPUTED_VALUE"""),"Kec. Wua-wua, Anawai")</f>
        <v>Kec. Wua-wua, Anawai</v>
      </c>
      <c r="L782" s="24"/>
      <c r="M782" s="24"/>
      <c r="N782" s="24" t="str">
        <f>IFERROR(__xludf.DUMMYFUNCTION("""COMPUTED_VALUE"""),"SMA / SMK / MA")</f>
        <v>SMA / SMK / MA</v>
      </c>
      <c r="O782" s="24"/>
      <c r="P782" s="24"/>
      <c r="Q782" s="24"/>
      <c r="R782" s="24" t="str">
        <f>IFERROR(__xludf.DUMMYFUNCTION("""COMPUTED_VALUE"""),"K")</f>
        <v>K</v>
      </c>
      <c r="S782" s="25"/>
    </row>
    <row r="783" ht="22.5" customHeight="1">
      <c r="A783" s="22">
        <v>782.0</v>
      </c>
      <c r="B783" s="24" t="str">
        <f>IFERROR(__xludf.DUMMYFUNCTION("""COMPUTED_VALUE"""),"Menjahit Pakaian Wanita Dewasa")</f>
        <v>Menjahit Pakaian Wanita Dewasa</v>
      </c>
      <c r="C783" s="24" t="str">
        <f>IFERROR(__xludf.DUMMYFUNCTION("""COMPUTED_VALUE"""),"SMK Negeri 3 Kendari")</f>
        <v>SMK Negeri 3 Kendari</v>
      </c>
      <c r="D783" s="24"/>
      <c r="E783" s="24"/>
      <c r="F783" s="24" t="str">
        <f>IFERROR(__xludf.DUMMYFUNCTION("""COMPUTED_VALUE"""),"Zahrattul Jannah")</f>
        <v>Zahrattul Jannah</v>
      </c>
      <c r="G783" s="24" t="str">
        <f>IFERROR(__xludf.DUMMYFUNCTION("""COMPUTED_VALUE"""),"7471084703080001")</f>
        <v>7471084703080001</v>
      </c>
      <c r="H783" s="24"/>
      <c r="I783" s="24"/>
      <c r="J783" s="24" t="str">
        <f>IFERROR(__xludf.DUMMYFUNCTION("""COMPUTED_VALUE"""),"PEREMPUAN")</f>
        <v>PEREMPUAN</v>
      </c>
      <c r="K783" s="24" t="str">
        <f>IFERROR(__xludf.DUMMYFUNCTION("""COMPUTED_VALUE"""),"Jln. Chairil Anwar, Lrg. Tanah Air")</f>
        <v>Jln. Chairil Anwar, Lrg. Tanah Air</v>
      </c>
      <c r="L783" s="24"/>
      <c r="M783" s="24"/>
      <c r="N783" s="24" t="str">
        <f>IFERROR(__xludf.DUMMYFUNCTION("""COMPUTED_VALUE"""),"SMA / SMK / MA")</f>
        <v>SMA / SMK / MA</v>
      </c>
      <c r="O783" s="24"/>
      <c r="P783" s="24"/>
      <c r="Q783" s="24"/>
      <c r="R783" s="24" t="str">
        <f>IFERROR(__xludf.DUMMYFUNCTION("""COMPUTED_VALUE"""),"K")</f>
        <v>K</v>
      </c>
      <c r="S783" s="25"/>
    </row>
    <row r="784" ht="22.5" customHeight="1">
      <c r="A784" s="22">
        <v>783.0</v>
      </c>
      <c r="B784" s="24" t="str">
        <f>IFERROR(__xludf.DUMMYFUNCTION("""COMPUTED_VALUE"""),"Menjahit Pakaian Wanita Dewasa")</f>
        <v>Menjahit Pakaian Wanita Dewasa</v>
      </c>
      <c r="C784" s="24" t="str">
        <f>IFERROR(__xludf.DUMMYFUNCTION("""COMPUTED_VALUE"""),"SMK Negeri 3 Kendari")</f>
        <v>SMK Negeri 3 Kendari</v>
      </c>
      <c r="D784" s="24"/>
      <c r="E784" s="24"/>
      <c r="F784" s="24" t="str">
        <f>IFERROR(__xludf.DUMMYFUNCTION("""COMPUTED_VALUE"""),"SITI KHADIJAH")</f>
        <v>SITI KHADIJAH</v>
      </c>
      <c r="G784" s="24" t="str">
        <f>IFERROR(__xludf.DUMMYFUNCTION("""COMPUTED_VALUE"""),"7471045801090001")</f>
        <v>7471045801090001</v>
      </c>
      <c r="H784" s="24"/>
      <c r="I784" s="24"/>
      <c r="J784" s="24" t="str">
        <f>IFERROR(__xludf.DUMMYFUNCTION("""COMPUTED_VALUE"""),"PEREMPUAN")</f>
        <v>PEREMPUAN</v>
      </c>
      <c r="K784" s="24" t="str">
        <f>IFERROR(__xludf.DUMMYFUNCTION("""COMPUTED_VALUE"""),"BTN Graha Aksa Mandiri Blok D No. 9")</f>
        <v>BTN Graha Aksa Mandiri Blok D No. 9</v>
      </c>
      <c r="L784" s="24"/>
      <c r="M784" s="24"/>
      <c r="N784" s="24" t="str">
        <f>IFERROR(__xludf.DUMMYFUNCTION("""COMPUTED_VALUE"""),"SMA / SMK / MA")</f>
        <v>SMA / SMK / MA</v>
      </c>
      <c r="O784" s="24"/>
      <c r="P784" s="24"/>
      <c r="Q784" s="24"/>
      <c r="R784" s="24" t="str">
        <f>IFERROR(__xludf.DUMMYFUNCTION("""COMPUTED_VALUE"""),"K")</f>
        <v>K</v>
      </c>
      <c r="S784" s="25"/>
    </row>
    <row r="785" ht="22.5" customHeight="1">
      <c r="A785" s="22">
        <v>784.0</v>
      </c>
      <c r="B785" s="24" t="str">
        <f>IFERROR(__xludf.DUMMYFUNCTION("""COMPUTED_VALUE"""),"Menjahit Pakaian Wanita Dewasa")</f>
        <v>Menjahit Pakaian Wanita Dewasa</v>
      </c>
      <c r="C785" s="24" t="str">
        <f>IFERROR(__xludf.DUMMYFUNCTION("""COMPUTED_VALUE"""),"SMK Negeri 3 Kendari")</f>
        <v>SMK Negeri 3 Kendari</v>
      </c>
      <c r="D785" s="24"/>
      <c r="E785" s="24"/>
      <c r="F785" s="24" t="str">
        <f>IFERROR(__xludf.DUMMYFUNCTION("""COMPUTED_VALUE"""),"SITI NURUL SHAFIRA")</f>
        <v>SITI NURUL SHAFIRA</v>
      </c>
      <c r="G785" s="24" t="str">
        <f>IFERROR(__xludf.DUMMYFUNCTION("""COMPUTED_VALUE"""),"7471085901080001")</f>
        <v>7471085901080001</v>
      </c>
      <c r="H785" s="24"/>
      <c r="I785" s="24"/>
      <c r="J785" s="24" t="str">
        <f>IFERROR(__xludf.DUMMYFUNCTION("""COMPUTED_VALUE"""),"PEREMPUAN")</f>
        <v>PEREMPUAN</v>
      </c>
      <c r="K785" s="24" t="str">
        <f>IFERROR(__xludf.DUMMYFUNCTION("""COMPUTED_VALUE"""),"Jl. Lumba-lumba, Lr. Lajang")</f>
        <v>Jl. Lumba-lumba, Lr. Lajang</v>
      </c>
      <c r="L785" s="24"/>
      <c r="M785" s="24"/>
      <c r="N785" s="24" t="str">
        <f>IFERROR(__xludf.DUMMYFUNCTION("""COMPUTED_VALUE"""),"SMA / SMK / MA")</f>
        <v>SMA / SMK / MA</v>
      </c>
      <c r="O785" s="24"/>
      <c r="P785" s="24"/>
      <c r="Q785" s="24"/>
      <c r="R785" s="24" t="str">
        <f>IFERROR(__xludf.DUMMYFUNCTION("""COMPUTED_VALUE"""),"K")</f>
        <v>K</v>
      </c>
      <c r="S785" s="25"/>
    </row>
    <row r="786" ht="22.5" customHeight="1">
      <c r="A786" s="22">
        <v>785.0</v>
      </c>
      <c r="B786" s="24" t="str">
        <f>IFERROR(__xludf.DUMMYFUNCTION("""COMPUTED_VALUE"""),"Menjahit Pakaian Wanita Dewasa")</f>
        <v>Menjahit Pakaian Wanita Dewasa</v>
      </c>
      <c r="C786" s="24" t="str">
        <f>IFERROR(__xludf.DUMMYFUNCTION("""COMPUTED_VALUE"""),"SMK Negeri 3 Kendari")</f>
        <v>SMK Negeri 3 Kendari</v>
      </c>
      <c r="D786" s="24"/>
      <c r="E786" s="24"/>
      <c r="F786" s="24" t="str">
        <f>IFERROR(__xludf.DUMMYFUNCTION("""COMPUTED_VALUE"""),"PUTRI AYU LESTARI")</f>
        <v>PUTRI AYU LESTARI</v>
      </c>
      <c r="G786" s="24" t="str">
        <f>IFERROR(__xludf.DUMMYFUNCTION("""COMPUTED_VALUE"""),"7471044408070002")</f>
        <v>7471044408070002</v>
      </c>
      <c r="H786" s="24"/>
      <c r="I786" s="24"/>
      <c r="J786" s="24" t="str">
        <f>IFERROR(__xludf.DUMMYFUNCTION("""COMPUTED_VALUE"""),"PEREMPUAN")</f>
        <v>PEREMPUAN</v>
      </c>
      <c r="K786" s="24" t="str">
        <f>IFERROR(__xludf.DUMMYFUNCTION("""COMPUTED_VALUE"""),"Jln, Ruruhi, Lrg. Saramnase")</f>
        <v>Jln, Ruruhi, Lrg. Saramnase</v>
      </c>
      <c r="L786" s="24"/>
      <c r="M786" s="24"/>
      <c r="N786" s="24" t="str">
        <f>IFERROR(__xludf.DUMMYFUNCTION("""COMPUTED_VALUE"""),"SMA / SMK / MA")</f>
        <v>SMA / SMK / MA</v>
      </c>
      <c r="O786" s="24"/>
      <c r="P786" s="24"/>
      <c r="Q786" s="24"/>
      <c r="R786" s="24" t="str">
        <f>IFERROR(__xludf.DUMMYFUNCTION("""COMPUTED_VALUE"""),"K")</f>
        <v>K</v>
      </c>
      <c r="S786" s="25"/>
    </row>
    <row r="787" ht="22.5" customHeight="1">
      <c r="A787" s="22">
        <v>786.0</v>
      </c>
      <c r="B787" s="24" t="str">
        <f>IFERROR(__xludf.DUMMYFUNCTION("""COMPUTED_VALUE"""),"Menjahit Pakaian Wanita Dewasa")</f>
        <v>Menjahit Pakaian Wanita Dewasa</v>
      </c>
      <c r="C787" s="24" t="str">
        <f>IFERROR(__xludf.DUMMYFUNCTION("""COMPUTED_VALUE"""),"SMK Negeri 3 Kendari")</f>
        <v>SMK Negeri 3 Kendari</v>
      </c>
      <c r="D787" s="24"/>
      <c r="E787" s="24"/>
      <c r="F787" s="24" t="str">
        <f>IFERROR(__xludf.DUMMYFUNCTION("""COMPUTED_VALUE"""),"SAFIRA RAHMAYANTI")</f>
        <v>SAFIRA RAHMAYANTI</v>
      </c>
      <c r="G787" s="24" t="str">
        <f>IFERROR(__xludf.DUMMYFUNCTION("""COMPUTED_VALUE"""),"7471096310080001")</f>
        <v>7471096310080001</v>
      </c>
      <c r="H787" s="24"/>
      <c r="I787" s="24"/>
      <c r="J787" s="24" t="str">
        <f>IFERROR(__xludf.DUMMYFUNCTION("""COMPUTED_VALUE"""),"PEREMPUAN")</f>
        <v>PEREMPUAN</v>
      </c>
      <c r="K787" s="24" t="str">
        <f>IFERROR(__xludf.DUMMYFUNCTION("""COMPUTED_VALUE"""),"Jl. Laode Hadi By Pass")</f>
        <v>Jl. Laode Hadi By Pass</v>
      </c>
      <c r="L787" s="24"/>
      <c r="M787" s="24"/>
      <c r="N787" s="24" t="str">
        <f>IFERROR(__xludf.DUMMYFUNCTION("""COMPUTED_VALUE"""),"SMA / SMK / MA")</f>
        <v>SMA / SMK / MA</v>
      </c>
      <c r="O787" s="24"/>
      <c r="P787" s="24"/>
      <c r="Q787" s="24"/>
      <c r="R787" s="24" t="str">
        <f>IFERROR(__xludf.DUMMYFUNCTION("""COMPUTED_VALUE"""),"K")</f>
        <v>K</v>
      </c>
      <c r="S787" s="25"/>
    </row>
    <row r="788" ht="22.5" customHeight="1">
      <c r="A788" s="22">
        <v>787.0</v>
      </c>
      <c r="B788" s="24" t="str">
        <f>IFERROR(__xludf.DUMMYFUNCTION("""COMPUTED_VALUE"""),"Menjahit Pakaian Wanita Dewasa")</f>
        <v>Menjahit Pakaian Wanita Dewasa</v>
      </c>
      <c r="C788" s="24" t="str">
        <f>IFERROR(__xludf.DUMMYFUNCTION("""COMPUTED_VALUE"""),"SMK Negeri 3 Kendari")</f>
        <v>SMK Negeri 3 Kendari</v>
      </c>
      <c r="D788" s="24"/>
      <c r="E788" s="24"/>
      <c r="F788" s="24" t="str">
        <f>IFERROR(__xludf.DUMMYFUNCTION("""COMPUTED_VALUE"""),"TATA BUANA")</f>
        <v>TATA BUANA</v>
      </c>
      <c r="G788" s="24" t="str">
        <f>IFERROR(__xludf.DUMMYFUNCTION("""COMPUTED_VALUE"""),"7471073004080001")</f>
        <v>7471073004080001</v>
      </c>
      <c r="H788" s="24"/>
      <c r="I788" s="24"/>
      <c r="J788" s="24" t="str">
        <f>IFERROR(__xludf.DUMMYFUNCTION("""COMPUTED_VALUE"""),"LAKI-LAKI")</f>
        <v>LAKI-LAKI</v>
      </c>
      <c r="K788" s="24" t="str">
        <f>IFERROR(__xludf.DUMMYFUNCTION("""COMPUTED_VALUE"""),"Jl. Chairil Anwar")</f>
        <v>Jl. Chairil Anwar</v>
      </c>
      <c r="L788" s="24"/>
      <c r="M788" s="24"/>
      <c r="N788" s="24" t="str">
        <f>IFERROR(__xludf.DUMMYFUNCTION("""COMPUTED_VALUE"""),"SMA / SMK / MA")</f>
        <v>SMA / SMK / MA</v>
      </c>
      <c r="O788" s="24"/>
      <c r="P788" s="24"/>
      <c r="Q788" s="24"/>
      <c r="R788" s="24" t="str">
        <f>IFERROR(__xludf.DUMMYFUNCTION("""COMPUTED_VALUE"""),"K")</f>
        <v>K</v>
      </c>
      <c r="S788" s="25"/>
    </row>
    <row r="789" ht="22.5" customHeight="1">
      <c r="A789" s="22">
        <v>788.0</v>
      </c>
      <c r="B789" s="24" t="str">
        <f>IFERROR(__xludf.DUMMYFUNCTION("""COMPUTED_VALUE"""),"Merias Wajah")</f>
        <v>Merias Wajah</v>
      </c>
      <c r="C789" s="24" t="str">
        <f>IFERROR(__xludf.DUMMYFUNCTION("""COMPUTED_VALUE"""),"SMK Negeri 3 Kendari")</f>
        <v>SMK Negeri 3 Kendari</v>
      </c>
      <c r="D789" s="24"/>
      <c r="E789" s="24"/>
      <c r="F789" s="24" t="str">
        <f>IFERROR(__xludf.DUMMYFUNCTION("""COMPUTED_VALUE"""),"Efrianti")</f>
        <v>Efrianti</v>
      </c>
      <c r="G789" s="24" t="str">
        <f>IFERROR(__xludf.DUMMYFUNCTION("""COMPUTED_VALUE"""),"7402056601090001")</f>
        <v>7402056601090001</v>
      </c>
      <c r="H789" s="24"/>
      <c r="I789" s="24"/>
      <c r="J789" s="24" t="str">
        <f>IFERROR(__xludf.DUMMYFUNCTION("""COMPUTED_VALUE"""),"PEREMPUAN")</f>
        <v>PEREMPUAN</v>
      </c>
      <c r="K789" s="24" t="str">
        <f>IFERROR(__xludf.DUMMYFUNCTION("""COMPUTED_VALUE"""),"Andaduwi, Kec. Sampara, Kab. Konawe")</f>
        <v>Andaduwi, Kec. Sampara, Kab. Konawe</v>
      </c>
      <c r="L789" s="24"/>
      <c r="M789" s="24"/>
      <c r="N789" s="24" t="str">
        <f>IFERROR(__xludf.DUMMYFUNCTION("""COMPUTED_VALUE"""),"SMA / SMK / MA")</f>
        <v>SMA / SMK / MA</v>
      </c>
      <c r="O789" s="24"/>
      <c r="P789" s="24"/>
      <c r="Q789" s="24"/>
      <c r="R789" s="24" t="str">
        <f>IFERROR(__xludf.DUMMYFUNCTION("""COMPUTED_VALUE"""),"K")</f>
        <v>K</v>
      </c>
      <c r="S789" s="25"/>
    </row>
    <row r="790" ht="22.5" customHeight="1">
      <c r="A790" s="22">
        <v>789.0</v>
      </c>
      <c r="B790" s="24" t="str">
        <f>IFERROR(__xludf.DUMMYFUNCTION("""COMPUTED_VALUE"""),"Merias Wajah")</f>
        <v>Merias Wajah</v>
      </c>
      <c r="C790" s="24" t="str">
        <f>IFERROR(__xludf.DUMMYFUNCTION("""COMPUTED_VALUE"""),"SMK Negeri 3 Kendari")</f>
        <v>SMK Negeri 3 Kendari</v>
      </c>
      <c r="D790" s="24"/>
      <c r="E790" s="24"/>
      <c r="F790" s="24" t="str">
        <f>IFERROR(__xludf.DUMMYFUNCTION("""COMPUTED_VALUE"""),"Firna Damaris")</f>
        <v>Firna Damaris</v>
      </c>
      <c r="G790" s="24" t="str">
        <f>IFERROR(__xludf.DUMMYFUNCTION("""COMPUTED_VALUE"""),"7403304610080001")</f>
        <v>7403304610080001</v>
      </c>
      <c r="H790" s="24"/>
      <c r="I790" s="24"/>
      <c r="J790" s="24" t="str">
        <f>IFERROR(__xludf.DUMMYFUNCTION("""COMPUTED_VALUE"""),"PEREMPUAN")</f>
        <v>PEREMPUAN</v>
      </c>
      <c r="K790" s="24" t="str">
        <f>IFERROR(__xludf.DUMMYFUNCTION("""COMPUTED_VALUE"""),"Kontukowuna")</f>
        <v>Kontukowuna</v>
      </c>
      <c r="L790" s="24"/>
      <c r="M790" s="24"/>
      <c r="N790" s="24" t="str">
        <f>IFERROR(__xludf.DUMMYFUNCTION("""COMPUTED_VALUE"""),"SMA / SMK / MA")</f>
        <v>SMA / SMK / MA</v>
      </c>
      <c r="O790" s="24"/>
      <c r="P790" s="24"/>
      <c r="Q790" s="24"/>
      <c r="R790" s="24" t="str">
        <f>IFERROR(__xludf.DUMMYFUNCTION("""COMPUTED_VALUE"""),"K")</f>
        <v>K</v>
      </c>
      <c r="S790" s="25"/>
    </row>
    <row r="791" ht="22.5" customHeight="1">
      <c r="A791" s="22">
        <v>790.0</v>
      </c>
      <c r="B791" s="24" t="str">
        <f>IFERROR(__xludf.DUMMYFUNCTION("""COMPUTED_VALUE"""),"Merias Wajah")</f>
        <v>Merias Wajah</v>
      </c>
      <c r="C791" s="24" t="str">
        <f>IFERROR(__xludf.DUMMYFUNCTION("""COMPUTED_VALUE"""),"SMK Negeri 3 Kendari")</f>
        <v>SMK Negeri 3 Kendari</v>
      </c>
      <c r="D791" s="24"/>
      <c r="E791" s="24"/>
      <c r="F791" s="24" t="str">
        <f>IFERROR(__xludf.DUMMYFUNCTION("""COMPUTED_VALUE"""),"Kaila Salsabila Wahyu Saputri")</f>
        <v>Kaila Salsabila Wahyu Saputri</v>
      </c>
      <c r="G791" s="24" t="str">
        <f>IFERROR(__xludf.DUMMYFUNCTION("""COMPUTED_VALUE"""),"9104015501080003")</f>
        <v>9104015501080003</v>
      </c>
      <c r="H791" s="24"/>
      <c r="I791" s="24"/>
      <c r="J791" s="24" t="str">
        <f>IFERROR(__xludf.DUMMYFUNCTION("""COMPUTED_VALUE"""),"PEREMPUAN")</f>
        <v>PEREMPUAN</v>
      </c>
      <c r="K791" s="24" t="str">
        <f>IFERROR(__xludf.DUMMYFUNCTION("""COMPUTED_VALUE"""),"Asrama Denzibang 3 Kamp. Salo")</f>
        <v>Asrama Denzibang 3 Kamp. Salo</v>
      </c>
      <c r="L791" s="24"/>
      <c r="M791" s="24"/>
      <c r="N791" s="24" t="str">
        <f>IFERROR(__xludf.DUMMYFUNCTION("""COMPUTED_VALUE"""),"SMA / SMK / MA")</f>
        <v>SMA / SMK / MA</v>
      </c>
      <c r="O791" s="24"/>
      <c r="P791" s="24"/>
      <c r="Q791" s="24"/>
      <c r="R791" s="24" t="str">
        <f>IFERROR(__xludf.DUMMYFUNCTION("""COMPUTED_VALUE"""),"K")</f>
        <v>K</v>
      </c>
      <c r="S791" s="25"/>
    </row>
    <row r="792" ht="22.5" customHeight="1">
      <c r="A792" s="22">
        <v>791.0</v>
      </c>
      <c r="B792" s="24" t="str">
        <f>IFERROR(__xludf.DUMMYFUNCTION("""COMPUTED_VALUE"""),"Merias Wajah")</f>
        <v>Merias Wajah</v>
      </c>
      <c r="C792" s="24" t="str">
        <f>IFERROR(__xludf.DUMMYFUNCTION("""COMPUTED_VALUE"""),"SMK Negeri 3 Kendari")</f>
        <v>SMK Negeri 3 Kendari</v>
      </c>
      <c r="D792" s="24"/>
      <c r="E792" s="24"/>
      <c r="F792" s="24" t="str">
        <f>IFERROR(__xludf.DUMMYFUNCTION("""COMPUTED_VALUE"""),"Putriana Clara Da Silva")</f>
        <v>Putriana Clara Da Silva</v>
      </c>
      <c r="G792" s="24" t="str">
        <f>IFERROR(__xludf.DUMMYFUNCTION("""COMPUTED_VALUE"""),"7403326108080001")</f>
        <v>7403326108080001</v>
      </c>
      <c r="H792" s="24"/>
      <c r="I792" s="24"/>
      <c r="J792" s="24" t="str">
        <f>IFERROR(__xludf.DUMMYFUNCTION("""COMPUTED_VALUE"""),"PEREMPUAN")</f>
        <v>PEREMPUAN</v>
      </c>
      <c r="K792" s="24" t="str">
        <f>IFERROR(__xludf.DUMMYFUNCTION("""COMPUTED_VALUE"""),"Muna Tongkuno Selatan")</f>
        <v>Muna Tongkuno Selatan</v>
      </c>
      <c r="L792" s="24"/>
      <c r="M792" s="24"/>
      <c r="N792" s="24" t="str">
        <f>IFERROR(__xludf.DUMMYFUNCTION("""COMPUTED_VALUE"""),"SMA / SMK / MA")</f>
        <v>SMA / SMK / MA</v>
      </c>
      <c r="O792" s="24"/>
      <c r="P792" s="24"/>
      <c r="Q792" s="24"/>
      <c r="R792" s="24" t="str">
        <f>IFERROR(__xludf.DUMMYFUNCTION("""COMPUTED_VALUE"""),"K")</f>
        <v>K</v>
      </c>
      <c r="S792" s="25"/>
    </row>
    <row r="793" ht="22.5" customHeight="1">
      <c r="A793" s="22">
        <v>792.0</v>
      </c>
      <c r="B793" s="24" t="str">
        <f>IFERROR(__xludf.DUMMYFUNCTION("""COMPUTED_VALUE"""),"Merias Wajah")</f>
        <v>Merias Wajah</v>
      </c>
      <c r="C793" s="24" t="str">
        <f>IFERROR(__xludf.DUMMYFUNCTION("""COMPUTED_VALUE"""),"SMK Negeri 3 Kendari")</f>
        <v>SMK Negeri 3 Kendari</v>
      </c>
      <c r="D793" s="24"/>
      <c r="E793" s="24"/>
      <c r="F793" s="24" t="str">
        <f>IFERROR(__xludf.DUMMYFUNCTION("""COMPUTED_VALUE"""),"Syailah Fardhillah")</f>
        <v>Syailah Fardhillah</v>
      </c>
      <c r="G793" s="24" t="str">
        <f>IFERROR(__xludf.DUMMYFUNCTION("""COMPUTED_VALUE"""),"7471107103080001")</f>
        <v>7471107103080001</v>
      </c>
      <c r="H793" s="24"/>
      <c r="I793" s="24"/>
      <c r="J793" s="24" t="str">
        <f>IFERROR(__xludf.DUMMYFUNCTION("""COMPUTED_VALUE"""),"PEREMPUAN")</f>
        <v>PEREMPUAN</v>
      </c>
      <c r="K793" s="24" t="str">
        <f>IFERROR(__xludf.DUMMYFUNCTION("""COMPUTED_VALUE"""),"BTN Kendari Permai Blok S4 No. 12")</f>
        <v>BTN Kendari Permai Blok S4 No. 12</v>
      </c>
      <c r="L793" s="24"/>
      <c r="M793" s="24"/>
      <c r="N793" s="24" t="str">
        <f>IFERROR(__xludf.DUMMYFUNCTION("""COMPUTED_VALUE"""),"SMA / SMK / MA")</f>
        <v>SMA / SMK / MA</v>
      </c>
      <c r="O793" s="24"/>
      <c r="P793" s="24"/>
      <c r="Q793" s="24"/>
      <c r="R793" s="24" t="str">
        <f>IFERROR(__xludf.DUMMYFUNCTION("""COMPUTED_VALUE"""),"K")</f>
        <v>K</v>
      </c>
      <c r="S793" s="25"/>
    </row>
    <row r="794" ht="22.5" customHeight="1">
      <c r="A794" s="22">
        <v>793.0</v>
      </c>
      <c r="B794" s="24" t="str">
        <f>IFERROR(__xludf.DUMMYFUNCTION("""COMPUTED_VALUE"""),"Merias Wajah")</f>
        <v>Merias Wajah</v>
      </c>
      <c r="C794" s="24" t="str">
        <f>IFERROR(__xludf.DUMMYFUNCTION("""COMPUTED_VALUE"""),"SMK Negeri 3 Kendari")</f>
        <v>SMK Negeri 3 Kendari</v>
      </c>
      <c r="D794" s="24"/>
      <c r="E794" s="24"/>
      <c r="F794" s="24" t="str">
        <f>IFERROR(__xludf.DUMMYFUNCTION("""COMPUTED_VALUE"""),"Anisa Sekar Sari")</f>
        <v>Anisa Sekar Sari</v>
      </c>
      <c r="G794" s="24" t="str">
        <f>IFERROR(__xludf.DUMMYFUNCTION("""COMPUTED_VALUE"""),"7405084701080001")</f>
        <v>7405084701080001</v>
      </c>
      <c r="H794" s="24"/>
      <c r="I794" s="24"/>
      <c r="J794" s="24" t="str">
        <f>IFERROR(__xludf.DUMMYFUNCTION("""COMPUTED_VALUE"""),"PEREMPUAN")</f>
        <v>PEREMPUAN</v>
      </c>
      <c r="K794" s="24" t="str">
        <f>IFERROR(__xludf.DUMMYFUNCTION("""COMPUTED_VALUE"""),"Desa Langgea")</f>
        <v>Desa Langgea</v>
      </c>
      <c r="L794" s="24"/>
      <c r="M794" s="24"/>
      <c r="N794" s="24" t="str">
        <f>IFERROR(__xludf.DUMMYFUNCTION("""COMPUTED_VALUE"""),"SMA / SMK / MA")</f>
        <v>SMA / SMK / MA</v>
      </c>
      <c r="O794" s="24"/>
      <c r="P794" s="24"/>
      <c r="Q794" s="24"/>
      <c r="R794" s="24" t="str">
        <f>IFERROR(__xludf.DUMMYFUNCTION("""COMPUTED_VALUE"""),"K")</f>
        <v>K</v>
      </c>
      <c r="S794" s="25"/>
    </row>
    <row r="795" ht="22.5" customHeight="1">
      <c r="A795" s="22">
        <v>794.0</v>
      </c>
      <c r="B795" s="24" t="str">
        <f>IFERROR(__xludf.DUMMYFUNCTION("""COMPUTED_VALUE"""),"Merias Wajah")</f>
        <v>Merias Wajah</v>
      </c>
      <c r="C795" s="24" t="str">
        <f>IFERROR(__xludf.DUMMYFUNCTION("""COMPUTED_VALUE"""),"SMK Negeri 3 Kendari")</f>
        <v>SMK Negeri 3 Kendari</v>
      </c>
      <c r="D795" s="24"/>
      <c r="E795" s="24"/>
      <c r="F795" s="24" t="str">
        <f>IFERROR(__xludf.DUMMYFUNCTION("""COMPUTED_VALUE"""),"Irmadani")</f>
        <v>Irmadani</v>
      </c>
      <c r="G795" s="24" t="str">
        <f>IFERROR(__xludf.DUMMYFUNCTION("""COMPUTED_VALUE"""),"7471035709070001")</f>
        <v>7471035709070001</v>
      </c>
      <c r="H795" s="24"/>
      <c r="I795" s="24"/>
      <c r="J795" s="24" t="str">
        <f>IFERROR(__xludf.DUMMYFUNCTION("""COMPUTED_VALUE"""),"PEREMPUAN")</f>
        <v>PEREMPUAN</v>
      </c>
      <c r="K795" s="24" t="str">
        <f>IFERROR(__xludf.DUMMYFUNCTION("""COMPUTED_VALUE"""),"Jl. Patimura Lr. Watulondo")</f>
        <v>Jl. Patimura Lr. Watulondo</v>
      </c>
      <c r="L795" s="24"/>
      <c r="M795" s="24"/>
      <c r="N795" s="24" t="str">
        <f>IFERROR(__xludf.DUMMYFUNCTION("""COMPUTED_VALUE"""),"SMA / SMK / MA")</f>
        <v>SMA / SMK / MA</v>
      </c>
      <c r="O795" s="24"/>
      <c r="P795" s="24"/>
      <c r="Q795" s="24"/>
      <c r="R795" s="24" t="str">
        <f>IFERROR(__xludf.DUMMYFUNCTION("""COMPUTED_VALUE"""),"K")</f>
        <v>K</v>
      </c>
      <c r="S795" s="25"/>
    </row>
    <row r="796" ht="22.5" customHeight="1">
      <c r="A796" s="22">
        <v>795.0</v>
      </c>
      <c r="B796" s="24" t="str">
        <f>IFERROR(__xludf.DUMMYFUNCTION("""COMPUTED_VALUE"""),"Merias Wajah")</f>
        <v>Merias Wajah</v>
      </c>
      <c r="C796" s="24" t="str">
        <f>IFERROR(__xludf.DUMMYFUNCTION("""COMPUTED_VALUE"""),"SMK Negeri 3 Kendari")</f>
        <v>SMK Negeri 3 Kendari</v>
      </c>
      <c r="D796" s="24"/>
      <c r="E796" s="24"/>
      <c r="F796" s="24" t="str">
        <f>IFERROR(__xludf.DUMMYFUNCTION("""COMPUTED_VALUE"""),"Nurdian Din Tomanga")</f>
        <v>Nurdian Din Tomanga</v>
      </c>
      <c r="G796" s="24" t="str">
        <f>IFERROR(__xludf.DUMMYFUNCTION("""COMPUTED_VALUE"""),"7471076008070001")</f>
        <v>7471076008070001</v>
      </c>
      <c r="H796" s="24"/>
      <c r="I796" s="24"/>
      <c r="J796" s="24" t="str">
        <f>IFERROR(__xludf.DUMMYFUNCTION("""COMPUTED_VALUE"""),"PEREMPUAN")</f>
        <v>PEREMPUAN</v>
      </c>
      <c r="K796" s="24" t="str">
        <f>IFERROR(__xludf.DUMMYFUNCTION("""COMPUTED_VALUE"""),"Jl.D.I. Panjaitan Lepo-lepo Permai")</f>
        <v>Jl.D.I. Panjaitan Lepo-lepo Permai</v>
      </c>
      <c r="L796" s="24"/>
      <c r="M796" s="24"/>
      <c r="N796" s="24" t="str">
        <f>IFERROR(__xludf.DUMMYFUNCTION("""COMPUTED_VALUE"""),"SMA / SMK / MA")</f>
        <v>SMA / SMK / MA</v>
      </c>
      <c r="O796" s="24"/>
      <c r="P796" s="24"/>
      <c r="Q796" s="24"/>
      <c r="R796" s="24" t="str">
        <f>IFERROR(__xludf.DUMMYFUNCTION("""COMPUTED_VALUE"""),"K")</f>
        <v>K</v>
      </c>
      <c r="S796" s="25"/>
    </row>
    <row r="797" ht="22.5" customHeight="1">
      <c r="A797" s="22">
        <v>796.0</v>
      </c>
      <c r="B797" s="24" t="str">
        <f>IFERROR(__xludf.DUMMYFUNCTION("""COMPUTED_VALUE"""),"Merias Wajah")</f>
        <v>Merias Wajah</v>
      </c>
      <c r="C797" s="24" t="str">
        <f>IFERROR(__xludf.DUMMYFUNCTION("""COMPUTED_VALUE"""),"SMK Negeri 3 Kendari")</f>
        <v>SMK Negeri 3 Kendari</v>
      </c>
      <c r="D797" s="24"/>
      <c r="E797" s="24"/>
      <c r="F797" s="24" t="str">
        <f>IFERROR(__xludf.DUMMYFUNCTION("""COMPUTED_VALUE"""),"Karina")</f>
        <v>Karina</v>
      </c>
      <c r="G797" s="24" t="str">
        <f>IFERROR(__xludf.DUMMYFUNCTION("""COMPUTED_VALUE"""),"7405155606080004")</f>
        <v>7405155606080004</v>
      </c>
      <c r="H797" s="24"/>
      <c r="I797" s="24"/>
      <c r="J797" s="24" t="str">
        <f>IFERROR(__xludf.DUMMYFUNCTION("""COMPUTED_VALUE"""),"PEREMPUAN")</f>
        <v>PEREMPUAN</v>
      </c>
      <c r="K797" s="24" t="str">
        <f>IFERROR(__xludf.DUMMYFUNCTION("""COMPUTED_VALUE"""),"Jl. Panjaitan")</f>
        <v>Jl. Panjaitan</v>
      </c>
      <c r="L797" s="24"/>
      <c r="M797" s="24"/>
      <c r="N797" s="24" t="str">
        <f>IFERROR(__xludf.DUMMYFUNCTION("""COMPUTED_VALUE"""),"SMA / SMK / MA")</f>
        <v>SMA / SMK / MA</v>
      </c>
      <c r="O797" s="24"/>
      <c r="P797" s="24"/>
      <c r="Q797" s="24"/>
      <c r="R797" s="24" t="str">
        <f>IFERROR(__xludf.DUMMYFUNCTION("""COMPUTED_VALUE"""),"K")</f>
        <v>K</v>
      </c>
      <c r="S797" s="25"/>
    </row>
    <row r="798" ht="22.5" customHeight="1">
      <c r="A798" s="22">
        <v>797.0</v>
      </c>
      <c r="B798" s="24" t="str">
        <f>IFERROR(__xludf.DUMMYFUNCTION("""COMPUTED_VALUE"""),"Merias Wajah")</f>
        <v>Merias Wajah</v>
      </c>
      <c r="C798" s="24" t="str">
        <f>IFERROR(__xludf.DUMMYFUNCTION("""COMPUTED_VALUE"""),"SMK Negeri 3 Kendari")</f>
        <v>SMK Negeri 3 Kendari</v>
      </c>
      <c r="D798" s="24"/>
      <c r="E798" s="24"/>
      <c r="F798" s="24" t="str">
        <f>IFERROR(__xludf.DUMMYFUNCTION("""COMPUTED_VALUE"""),"Wa Ode Alikha Chantika")</f>
        <v>Wa Ode Alikha Chantika</v>
      </c>
      <c r="G798" s="24" t="str">
        <f>IFERROR(__xludf.DUMMYFUNCTION("""COMPUTED_VALUE"""),"7471095808080001")</f>
        <v>7471095808080001</v>
      </c>
      <c r="H798" s="24"/>
      <c r="I798" s="24"/>
      <c r="J798" s="24" t="str">
        <f>IFERROR(__xludf.DUMMYFUNCTION("""COMPUTED_VALUE"""),"PEREMPUAN")</f>
        <v>PEREMPUAN</v>
      </c>
      <c r="K798" s="24" t="str">
        <f>IFERROR(__xludf.DUMMYFUNCTION("""COMPUTED_VALUE"""),"Jl. A. Yani Belakang BTN III")</f>
        <v>Jl. A. Yani Belakang BTN III</v>
      </c>
      <c r="L798" s="24"/>
      <c r="M798" s="24"/>
      <c r="N798" s="24" t="str">
        <f>IFERROR(__xludf.DUMMYFUNCTION("""COMPUTED_VALUE"""),"SMA / SMK / MA")</f>
        <v>SMA / SMK / MA</v>
      </c>
      <c r="O798" s="24"/>
      <c r="P798" s="24"/>
      <c r="Q798" s="24"/>
      <c r="R798" s="24" t="str">
        <f>IFERROR(__xludf.DUMMYFUNCTION("""COMPUTED_VALUE"""),"K")</f>
        <v>K</v>
      </c>
      <c r="S798" s="25"/>
    </row>
    <row r="799" ht="22.5" customHeight="1">
      <c r="A799" s="22">
        <v>798.0</v>
      </c>
      <c r="B799" s="24" t="str">
        <f>IFERROR(__xludf.DUMMYFUNCTION("""COMPUTED_VALUE"""),"Pembuatan Roti dan Kue")</f>
        <v>Pembuatan Roti dan Kue</v>
      </c>
      <c r="C799" s="24" t="str">
        <f>IFERROR(__xludf.DUMMYFUNCTION("""COMPUTED_VALUE"""),"SMK Negeri 3 Kendari")</f>
        <v>SMK Negeri 3 Kendari</v>
      </c>
      <c r="D799" s="24"/>
      <c r="E799" s="24"/>
      <c r="F799" s="24" t="str">
        <f>IFERROR(__xludf.DUMMYFUNCTION("""COMPUTED_VALUE"""),"WAHYUNI ANDRIANI")</f>
        <v>WAHYUNI ANDRIANI</v>
      </c>
      <c r="G799" s="24" t="str">
        <f>IFERROR(__xludf.DUMMYFUNCTION("""COMPUTED_VALUE"""),"7471095510080002")</f>
        <v>7471095510080002</v>
      </c>
      <c r="H799" s="24"/>
      <c r="I799" s="24"/>
      <c r="J799" s="24" t="str">
        <f>IFERROR(__xludf.DUMMYFUNCTION("""COMPUTED_VALUE"""),"PEREMPUAN")</f>
        <v>PEREMPUAN</v>
      </c>
      <c r="K799" s="24" t="str">
        <f>IFERROR(__xludf.DUMMYFUNCTION("""COMPUTED_VALUE"""),"BTN Villa Ibis Blok C1/16")</f>
        <v>BTN Villa Ibis Blok C1/16</v>
      </c>
      <c r="L799" s="24"/>
      <c r="M799" s="24"/>
      <c r="N799" s="24" t="str">
        <f>IFERROR(__xludf.DUMMYFUNCTION("""COMPUTED_VALUE"""),"SMA / SMK / MA")</f>
        <v>SMA / SMK / MA</v>
      </c>
      <c r="O799" s="24"/>
      <c r="P799" s="24"/>
      <c r="Q799" s="24"/>
      <c r="R799" s="24" t="str">
        <f>IFERROR(__xludf.DUMMYFUNCTION("""COMPUTED_VALUE"""),"K")</f>
        <v>K</v>
      </c>
      <c r="S799" s="25"/>
    </row>
    <row r="800" ht="22.5" customHeight="1">
      <c r="A800" s="22">
        <v>799.0</v>
      </c>
      <c r="B800" s="24" t="str">
        <f>IFERROR(__xludf.DUMMYFUNCTION("""COMPUTED_VALUE"""),"Pembuatan Roti dan Kue")</f>
        <v>Pembuatan Roti dan Kue</v>
      </c>
      <c r="C800" s="24" t="str">
        <f>IFERROR(__xludf.DUMMYFUNCTION("""COMPUTED_VALUE"""),"SMK Negeri 3 Kendari")</f>
        <v>SMK Negeri 3 Kendari</v>
      </c>
      <c r="D800" s="24"/>
      <c r="E800" s="24"/>
      <c r="F800" s="24" t="str">
        <f>IFERROR(__xludf.DUMMYFUNCTION("""COMPUTED_VALUE"""),"SENTIYA DEWI")</f>
        <v>SENTIYA DEWI</v>
      </c>
      <c r="G800" s="86">
        <f>IFERROR(__xludf.DUMMYFUNCTION("""COMPUTED_VALUE"""),7.40522531108E15)</f>
        <v>7.40523E+15</v>
      </c>
      <c r="H800" s="24"/>
      <c r="I800" s="24"/>
      <c r="J800" s="24" t="str">
        <f>IFERROR(__xludf.DUMMYFUNCTION("""COMPUTED_VALUE"""),"PEREMPUAN")</f>
        <v>PEREMPUAN</v>
      </c>
      <c r="K800" s="24" t="str">
        <f>IFERROR(__xludf.DUMMYFUNCTION("""COMPUTED_VALUE"""),"Desa Amokuni")</f>
        <v>Desa Amokuni</v>
      </c>
      <c r="L800" s="24"/>
      <c r="M800" s="24"/>
      <c r="N800" s="24" t="str">
        <f>IFERROR(__xludf.DUMMYFUNCTION("""COMPUTED_VALUE"""),"SMA / SMK / MA")</f>
        <v>SMA / SMK / MA</v>
      </c>
      <c r="O800" s="24"/>
      <c r="P800" s="24"/>
      <c r="Q800" s="24"/>
      <c r="R800" s="24" t="str">
        <f>IFERROR(__xludf.DUMMYFUNCTION("""COMPUTED_VALUE"""),"K")</f>
        <v>K</v>
      </c>
      <c r="S800" s="25"/>
    </row>
    <row r="801" ht="22.5" customHeight="1">
      <c r="A801" s="22">
        <v>800.0</v>
      </c>
      <c r="B801" s="24" t="str">
        <f>IFERROR(__xludf.DUMMYFUNCTION("""COMPUTED_VALUE"""),"Pembuatan Roti dan Kue")</f>
        <v>Pembuatan Roti dan Kue</v>
      </c>
      <c r="C801" s="24" t="str">
        <f>IFERROR(__xludf.DUMMYFUNCTION("""COMPUTED_VALUE"""),"SMK Negeri 3 Kendari")</f>
        <v>SMK Negeri 3 Kendari</v>
      </c>
      <c r="D801" s="24"/>
      <c r="E801" s="24"/>
      <c r="F801" s="24" t="str">
        <f>IFERROR(__xludf.DUMMYFUNCTION("""COMPUTED_VALUE"""),"SUCI RAHMAWATI")</f>
        <v>SUCI RAHMAWATI</v>
      </c>
      <c r="G801" s="86">
        <f>IFERROR(__xludf.DUMMYFUNCTION("""COMPUTED_VALUE"""),7.471104801309E16)</f>
        <v>7.4711E+16</v>
      </c>
      <c r="H801" s="24"/>
      <c r="I801" s="24"/>
      <c r="J801" s="24" t="str">
        <f>IFERROR(__xludf.DUMMYFUNCTION("""COMPUTED_VALUE"""),"PEREMPUAN")</f>
        <v>PEREMPUAN</v>
      </c>
      <c r="K801" s="24" t="str">
        <f>IFERROR(__xludf.DUMMYFUNCTION("""COMPUTED_VALUE"""),"Jln. Di Panjaitan")</f>
        <v>Jln. Di Panjaitan</v>
      </c>
      <c r="L801" s="24"/>
      <c r="M801" s="24"/>
      <c r="N801" s="24" t="str">
        <f>IFERROR(__xludf.DUMMYFUNCTION("""COMPUTED_VALUE"""),"SMA / SMK / MA")</f>
        <v>SMA / SMK / MA</v>
      </c>
      <c r="O801" s="24"/>
      <c r="P801" s="24"/>
      <c r="Q801" s="24"/>
      <c r="R801" s="24" t="str">
        <f>IFERROR(__xludf.DUMMYFUNCTION("""COMPUTED_VALUE"""),"K")</f>
        <v>K</v>
      </c>
      <c r="S801" s="25"/>
    </row>
    <row r="802" ht="22.5" customHeight="1">
      <c r="A802" s="22"/>
      <c r="B802" s="24" t="str">
        <f>IFERROR(__xludf.DUMMYFUNCTION("""COMPUTED_VALUE"""),"Pembuatan Roti dan Kue")</f>
        <v>Pembuatan Roti dan Kue</v>
      </c>
      <c r="C802" s="24" t="str">
        <f>IFERROR(__xludf.DUMMYFUNCTION("""COMPUTED_VALUE"""),"SMK Negeri 3 Kendari")</f>
        <v>SMK Negeri 3 Kendari</v>
      </c>
      <c r="D802" s="24"/>
      <c r="E802" s="24"/>
      <c r="F802" s="24" t="str">
        <f>IFERROR(__xludf.DUMMYFUNCTION("""COMPUTED_VALUE"""),"ZASKIA SALSABILLAH")</f>
        <v>ZASKIA SALSABILLAH</v>
      </c>
      <c r="G802" s="86">
        <f>IFERROR(__xludf.DUMMYFUNCTION("""COMPUTED_VALUE"""),7.47109641080001E14)</f>
        <v>747109641080001</v>
      </c>
      <c r="H802" s="24"/>
      <c r="I802" s="24"/>
      <c r="J802" s="24" t="str">
        <f>IFERROR(__xludf.DUMMYFUNCTION("""COMPUTED_VALUE"""),"PEREMPUAN")</f>
        <v>PEREMPUAN</v>
      </c>
      <c r="K802" s="24" t="str">
        <f>IFERROR(__xludf.DUMMYFUNCTION("""COMPUTED_VALUE"""),"Jl. Prof Muh. Yamin No.1")</f>
        <v>Jl. Prof Muh. Yamin No.1</v>
      </c>
      <c r="L802" s="24"/>
      <c r="M802" s="24"/>
      <c r="N802" s="24" t="str">
        <f>IFERROR(__xludf.DUMMYFUNCTION("""COMPUTED_VALUE"""),"SMA / SMK / MA")</f>
        <v>SMA / SMK / MA</v>
      </c>
      <c r="O802" s="24"/>
      <c r="P802" s="24"/>
      <c r="Q802" s="24"/>
      <c r="R802" s="24" t="str">
        <f>IFERROR(__xludf.DUMMYFUNCTION("""COMPUTED_VALUE"""),"K")</f>
        <v>K</v>
      </c>
      <c r="S802" s="25"/>
    </row>
    <row r="803" ht="22.5" customHeight="1">
      <c r="A803" s="22"/>
      <c r="B803" s="24" t="str">
        <f>IFERROR(__xludf.DUMMYFUNCTION("""COMPUTED_VALUE"""),"Pembuatan Roti dan Kue")</f>
        <v>Pembuatan Roti dan Kue</v>
      </c>
      <c r="C803" s="24" t="str">
        <f>IFERROR(__xludf.DUMMYFUNCTION("""COMPUTED_VALUE"""),"SMK Negeri 3 Kendari")</f>
        <v>SMK Negeri 3 Kendari</v>
      </c>
      <c r="D803" s="24"/>
      <c r="E803" s="24"/>
      <c r="F803" s="24" t="str">
        <f>IFERROR(__xludf.DUMMYFUNCTION("""COMPUTED_VALUE"""),"KHOLISA NURZAKIA")</f>
        <v>KHOLISA NURZAKIA</v>
      </c>
      <c r="G803" s="86">
        <f>IFERROR(__xludf.DUMMYFUNCTION("""COMPUTED_VALUE"""),7.47110520109E15)</f>
        <v>7.47111E+15</v>
      </c>
      <c r="H803" s="24"/>
      <c r="I803" s="24"/>
      <c r="J803" s="24" t="str">
        <f>IFERROR(__xludf.DUMMYFUNCTION("""COMPUTED_VALUE"""),"PEREMPUAN")</f>
        <v>PEREMPUAN</v>
      </c>
      <c r="K803" s="24" t="str">
        <f>IFERROR(__xludf.DUMMYFUNCTION("""COMPUTED_VALUE"""),"Jl. Pasar Baruga")</f>
        <v>Jl. Pasar Baruga</v>
      </c>
      <c r="L803" s="24"/>
      <c r="M803" s="24"/>
      <c r="N803" s="24" t="str">
        <f>IFERROR(__xludf.DUMMYFUNCTION("""COMPUTED_VALUE"""),"SMA / SMK / MA")</f>
        <v>SMA / SMK / MA</v>
      </c>
      <c r="O803" s="24"/>
      <c r="P803" s="24"/>
      <c r="Q803" s="24"/>
      <c r="R803" s="24" t="str">
        <f>IFERROR(__xludf.DUMMYFUNCTION("""COMPUTED_VALUE"""),"K")</f>
        <v>K</v>
      </c>
      <c r="S803" s="25"/>
    </row>
    <row r="804" ht="22.5" customHeight="1">
      <c r="A804" s="22"/>
      <c r="B804" s="24" t="str">
        <f>IFERROR(__xludf.DUMMYFUNCTION("""COMPUTED_VALUE"""),"Pembuatan Roti dan Kue")</f>
        <v>Pembuatan Roti dan Kue</v>
      </c>
      <c r="C804" s="24" t="str">
        <f>IFERROR(__xludf.DUMMYFUNCTION("""COMPUTED_VALUE"""),"SMK Negeri 3 Kendari")</f>
        <v>SMK Negeri 3 Kendari</v>
      </c>
      <c r="D804" s="24"/>
      <c r="E804" s="24"/>
      <c r="F804" s="24" t="str">
        <f>IFERROR(__xludf.DUMMYFUNCTION("""COMPUTED_VALUE"""),"SUCI HERMINA")</f>
        <v>SUCI HERMINA</v>
      </c>
      <c r="G804" s="86">
        <f>IFERROR(__xludf.DUMMYFUNCTION("""COMPUTED_VALUE"""),7.40119411008E15)</f>
        <v>7.40119E+15</v>
      </c>
      <c r="H804" s="24"/>
      <c r="I804" s="24"/>
      <c r="J804" s="24" t="str">
        <f>IFERROR(__xludf.DUMMYFUNCTION("""COMPUTED_VALUE"""),"PEREMPUAN")</f>
        <v>PEREMPUAN</v>
      </c>
      <c r="K804" s="24" t="str">
        <f>IFERROR(__xludf.DUMMYFUNCTION("""COMPUTED_VALUE"""),"Baruga")</f>
        <v>Baruga</v>
      </c>
      <c r="L804" s="24"/>
      <c r="M804" s="24"/>
      <c r="N804" s="24" t="str">
        <f>IFERROR(__xludf.DUMMYFUNCTION("""COMPUTED_VALUE"""),"SMA / SMK / MA")</f>
        <v>SMA / SMK / MA</v>
      </c>
      <c r="O804" s="24"/>
      <c r="P804" s="24"/>
      <c r="Q804" s="24"/>
      <c r="R804" s="24" t="str">
        <f>IFERROR(__xludf.DUMMYFUNCTION("""COMPUTED_VALUE"""),"K")</f>
        <v>K</v>
      </c>
      <c r="S804" s="25"/>
    </row>
    <row r="805" ht="22.5" customHeight="1">
      <c r="A805" s="22"/>
      <c r="B805" s="24" t="str">
        <f>IFERROR(__xludf.DUMMYFUNCTION("""COMPUTED_VALUE"""),"Pembuatan Roti dan Kue")</f>
        <v>Pembuatan Roti dan Kue</v>
      </c>
      <c r="C805" s="24" t="str">
        <f>IFERROR(__xludf.DUMMYFUNCTION("""COMPUTED_VALUE"""),"SMK Negeri 3 Kendari")</f>
        <v>SMK Negeri 3 Kendari</v>
      </c>
      <c r="D805" s="24"/>
      <c r="E805" s="24"/>
      <c r="F805" s="24" t="str">
        <f>IFERROR(__xludf.DUMMYFUNCTION("""COMPUTED_VALUE"""),"MUHAMMAD SYAFII MUBAROK")</f>
        <v>MUHAMMAD SYAFII MUBAROK</v>
      </c>
      <c r="G805" s="86">
        <f>IFERROR(__xludf.DUMMYFUNCTION("""COMPUTED_VALUE"""),7.471008020908E16)</f>
        <v>7.47101E+16</v>
      </c>
      <c r="H805" s="24"/>
      <c r="I805" s="24"/>
      <c r="J805" s="24" t="str">
        <f>IFERROR(__xludf.DUMMYFUNCTION("""COMPUTED_VALUE"""),"PEREMPUAN")</f>
        <v>PEREMPUAN</v>
      </c>
      <c r="K805" s="24" t="str">
        <f>IFERROR(__xludf.DUMMYFUNCTION("""COMPUTED_VALUE"""),"Jl. Bunga Matahari")</f>
        <v>Jl. Bunga Matahari</v>
      </c>
      <c r="L805" s="24"/>
      <c r="M805" s="24"/>
      <c r="N805" s="24" t="str">
        <f>IFERROR(__xludf.DUMMYFUNCTION("""COMPUTED_VALUE"""),"SMA / SMK / MA")</f>
        <v>SMA / SMK / MA</v>
      </c>
      <c r="O805" s="24"/>
      <c r="P805" s="24"/>
      <c r="Q805" s="24"/>
      <c r="R805" s="24" t="str">
        <f>IFERROR(__xludf.DUMMYFUNCTION("""COMPUTED_VALUE"""),"K")</f>
        <v>K</v>
      </c>
      <c r="S805" s="25"/>
    </row>
    <row r="806" ht="22.5" customHeight="1">
      <c r="A806" s="22"/>
      <c r="B806" s="24" t="str">
        <f>IFERROR(__xludf.DUMMYFUNCTION("""COMPUTED_VALUE"""),"Pembuatan Roti dan Kue")</f>
        <v>Pembuatan Roti dan Kue</v>
      </c>
      <c r="C806" s="24" t="str">
        <f>IFERROR(__xludf.DUMMYFUNCTION("""COMPUTED_VALUE"""),"SMK Negeri 3 Kendari")</f>
        <v>SMK Negeri 3 Kendari</v>
      </c>
      <c r="D806" s="24"/>
      <c r="E806" s="24"/>
      <c r="F806" s="24" t="str">
        <f>IFERROR(__xludf.DUMMYFUNCTION("""COMPUTED_VALUE"""),"RAHMAD SAPUTRA")</f>
        <v>RAHMAD SAPUTRA</v>
      </c>
      <c r="G806" s="86">
        <f>IFERROR(__xludf.DUMMYFUNCTION("""COMPUTED_VALUE"""),7.40228190308E15)</f>
        <v>7.40228E+15</v>
      </c>
      <c r="H806" s="24"/>
      <c r="I806" s="24"/>
      <c r="J806" s="24" t="str">
        <f>IFERROR(__xludf.DUMMYFUNCTION("""COMPUTED_VALUE"""),"LAKI-LAKI")</f>
        <v>LAKI-LAKI</v>
      </c>
      <c r="K806" s="24" t="str">
        <f>IFERROR(__xludf.DUMMYFUNCTION("""COMPUTED_VALUE"""),"RT 003 RW 001, Anggilowu, Kec. Mandonga, Kota Kendari")</f>
        <v>RT 003 RW 001, Anggilowu, Kec. Mandonga, Kota Kendari</v>
      </c>
      <c r="L806" s="24"/>
      <c r="M806" s="24"/>
      <c r="N806" s="24" t="str">
        <f>IFERROR(__xludf.DUMMYFUNCTION("""COMPUTED_VALUE"""),"SMA / SMK / MA")</f>
        <v>SMA / SMK / MA</v>
      </c>
      <c r="O806" s="24"/>
      <c r="P806" s="24"/>
      <c r="Q806" s="24"/>
      <c r="R806" s="24" t="str">
        <f>IFERROR(__xludf.DUMMYFUNCTION("""COMPUTED_VALUE"""),"K")</f>
        <v>K</v>
      </c>
      <c r="S806" s="25"/>
    </row>
    <row r="807" ht="22.5" customHeight="1">
      <c r="A807" s="22"/>
      <c r="B807" s="24" t="str">
        <f>IFERROR(__xludf.DUMMYFUNCTION("""COMPUTED_VALUE"""),"Pembuatan Roti dan Kue")</f>
        <v>Pembuatan Roti dan Kue</v>
      </c>
      <c r="C807" s="24" t="str">
        <f>IFERROR(__xludf.DUMMYFUNCTION("""COMPUTED_VALUE"""),"SMK Negeri 3 Kendari")</f>
        <v>SMK Negeri 3 Kendari</v>
      </c>
      <c r="D807" s="24"/>
      <c r="E807" s="24"/>
      <c r="F807" s="24" t="str">
        <f>IFERROR(__xludf.DUMMYFUNCTION("""COMPUTED_VALUE"""),"DINA ATHIRAH")</f>
        <v>DINA ATHIRAH</v>
      </c>
      <c r="G807" s="86">
        <f>IFERROR(__xludf.DUMMYFUNCTION("""COMPUTED_VALUE"""),7.47110470208E15)</f>
        <v>7.4711E+15</v>
      </c>
      <c r="H807" s="24"/>
      <c r="I807" s="24"/>
      <c r="J807" s="24" t="str">
        <f>IFERROR(__xludf.DUMMYFUNCTION("""COMPUTED_VALUE"""),"PEREMPUAN")</f>
        <v>PEREMPUAN</v>
      </c>
      <c r="K807" s="24" t="str">
        <f>IFERROR(__xludf.DUMMYFUNCTION("""COMPUTED_VALUE"""),"Jl.H. E. A. Mokodompit Lrg. Pelangi no.2")</f>
        <v>Jl.H. E. A. Mokodompit Lrg. Pelangi no.2</v>
      </c>
      <c r="L807" s="24"/>
      <c r="M807" s="24"/>
      <c r="N807" s="24" t="str">
        <f>IFERROR(__xludf.DUMMYFUNCTION("""COMPUTED_VALUE"""),"SMA / SMK / MA")</f>
        <v>SMA / SMK / MA</v>
      </c>
      <c r="O807" s="24"/>
      <c r="P807" s="24"/>
      <c r="Q807" s="24"/>
      <c r="R807" s="24" t="str">
        <f>IFERROR(__xludf.DUMMYFUNCTION("""COMPUTED_VALUE"""),"K")</f>
        <v>K</v>
      </c>
      <c r="S807" s="25"/>
    </row>
    <row r="808" ht="22.5" customHeight="1">
      <c r="A808" s="22"/>
      <c r="B808" s="24" t="str">
        <f>IFERROR(__xludf.DUMMYFUNCTION("""COMPUTED_VALUE"""),"Pembuatan Roti dan Kue")</f>
        <v>Pembuatan Roti dan Kue</v>
      </c>
      <c r="C808" s="24" t="str">
        <f>IFERROR(__xludf.DUMMYFUNCTION("""COMPUTED_VALUE"""),"SMK Negeri 5 Kendari")</f>
        <v>SMK Negeri 5 Kendari</v>
      </c>
      <c r="D808" s="24"/>
      <c r="E808" s="24"/>
      <c r="F808" s="24" t="str">
        <f>IFERROR(__xludf.DUMMYFUNCTION("""COMPUTED_VALUE"""),"AGISKA PUTRI DEVINA ")</f>
        <v>AGISKA PUTRI DEVINA </v>
      </c>
      <c r="G808" s="24">
        <f>IFERROR(__xludf.DUMMYFUNCTION("""COMPUTED_VALUE"""),7.4710344180003E13)</f>
        <v>74710344180003</v>
      </c>
      <c r="H808" s="24"/>
      <c r="I808" s="24"/>
      <c r="J808" s="24" t="str">
        <f>IFERROR(__xludf.DUMMYFUNCTION("""COMPUTED_VALUE"""),"PEREMPUAN")</f>
        <v>PEREMPUAN</v>
      </c>
      <c r="K808" s="24" t="str">
        <f>IFERROR(__xludf.DUMMYFUNCTION("""COMPUTED_VALUE"""),"Lepo - Lepo ")</f>
        <v>Lepo - Lepo </v>
      </c>
      <c r="L808" s="24"/>
      <c r="M808" s="24"/>
      <c r="N808" s="24" t="str">
        <f>IFERROR(__xludf.DUMMYFUNCTION("""COMPUTED_VALUE"""),"SMA / SMK / MA")</f>
        <v>SMA / SMK / MA</v>
      </c>
      <c r="O808" s="24"/>
      <c r="P808" s="24"/>
      <c r="Q808" s="24"/>
      <c r="R808" s="24" t="str">
        <f>IFERROR(__xludf.DUMMYFUNCTION("""COMPUTED_VALUE"""),"K")</f>
        <v>K</v>
      </c>
      <c r="S808" s="25"/>
    </row>
    <row r="809" ht="22.5" customHeight="1">
      <c r="A809" s="22"/>
      <c r="B809" s="24" t="str">
        <f>IFERROR(__xludf.DUMMYFUNCTION("""COMPUTED_VALUE"""),"Pembuatan Roti dan Kue")</f>
        <v>Pembuatan Roti dan Kue</v>
      </c>
      <c r="C809" s="24" t="str">
        <f>IFERROR(__xludf.DUMMYFUNCTION("""COMPUTED_VALUE"""),"SMK Negeri 5 Kendari")</f>
        <v>SMK Negeri 5 Kendari</v>
      </c>
      <c r="D809" s="24"/>
      <c r="E809" s="24"/>
      <c r="F809" s="24" t="str">
        <f>IFERROR(__xludf.DUMMYFUNCTION("""COMPUTED_VALUE"""),"AL VAREZ  ZULFIKAR ADO")</f>
        <v>AL VAREZ  ZULFIKAR ADO</v>
      </c>
      <c r="G809" s="24" t="str">
        <f>IFERROR(__xludf.DUMMYFUNCTION("""COMPUTED_VALUE"""),"7471030306060007")</f>
        <v>7471030306060007</v>
      </c>
      <c r="H809" s="24"/>
      <c r="I809" s="24"/>
      <c r="J809" s="24" t="str">
        <f>IFERROR(__xludf.DUMMYFUNCTION("""COMPUTED_VALUE"""),"LAKI-LAKI")</f>
        <v>LAKI-LAKI</v>
      </c>
      <c r="K809" s="24" t="str">
        <f>IFERROR(__xludf.DUMMYFUNCTION("""COMPUTED_VALUE"""),"Jl. Sanggoleo, Lr.Safari")</f>
        <v>Jl. Sanggoleo, Lr.Safari</v>
      </c>
      <c r="L809" s="24"/>
      <c r="M809" s="24"/>
      <c r="N809" s="24" t="str">
        <f>IFERROR(__xludf.DUMMYFUNCTION("""COMPUTED_VALUE"""),"SMA / SMK / MA")</f>
        <v>SMA / SMK / MA</v>
      </c>
      <c r="O809" s="24"/>
      <c r="P809" s="24"/>
      <c r="Q809" s="24"/>
      <c r="R809" s="24" t="str">
        <f>IFERROR(__xludf.DUMMYFUNCTION("""COMPUTED_VALUE"""),"K")</f>
        <v>K</v>
      </c>
      <c r="S809" s="25"/>
    </row>
    <row r="810" ht="22.5" customHeight="1">
      <c r="A810" s="22"/>
      <c r="B810" s="24" t="str">
        <f>IFERROR(__xludf.DUMMYFUNCTION("""COMPUTED_VALUE"""),"Pembuatan Roti dan Kue")</f>
        <v>Pembuatan Roti dan Kue</v>
      </c>
      <c r="C810" s="24" t="str">
        <f>IFERROR(__xludf.DUMMYFUNCTION("""COMPUTED_VALUE"""),"SMK Negeri 5 Kendari")</f>
        <v>SMK Negeri 5 Kendari</v>
      </c>
      <c r="D810" s="24"/>
      <c r="E810" s="24"/>
      <c r="F810" s="24" t="str">
        <f>IFERROR(__xludf.DUMMYFUNCTION("""COMPUTED_VALUE"""),"ALIVYA ANANTHA")</f>
        <v>ALIVYA ANANTHA</v>
      </c>
      <c r="G810" s="24" t="str">
        <f>IFERROR(__xludf.DUMMYFUNCTION("""COMPUTED_VALUE"""),"7309686003070001")</f>
        <v>7309686003070001</v>
      </c>
      <c r="H810" s="24"/>
      <c r="I810" s="24"/>
      <c r="J810" s="24" t="str">
        <f>IFERROR(__xludf.DUMMYFUNCTION("""COMPUTED_VALUE"""),"PEREMPUAN")</f>
        <v>PEREMPUAN</v>
      </c>
      <c r="K810" s="24" t="str">
        <f>IFERROR(__xludf.DUMMYFUNCTION("""COMPUTED_VALUE"""),"Jl. Dr. Moh. Hatta")</f>
        <v>Jl. Dr. Moh. Hatta</v>
      </c>
      <c r="L810" s="24"/>
      <c r="M810" s="24"/>
      <c r="N810" s="24" t="str">
        <f>IFERROR(__xludf.DUMMYFUNCTION("""COMPUTED_VALUE"""),"SMA / SMK / MA")</f>
        <v>SMA / SMK / MA</v>
      </c>
      <c r="O810" s="24"/>
      <c r="P810" s="24"/>
      <c r="Q810" s="24"/>
      <c r="R810" s="24" t="str">
        <f>IFERROR(__xludf.DUMMYFUNCTION("""COMPUTED_VALUE"""),"K")</f>
        <v>K</v>
      </c>
      <c r="S810" s="25"/>
    </row>
    <row r="811" ht="22.5" customHeight="1">
      <c r="A811" s="22"/>
      <c r="B811" s="24" t="str">
        <f>IFERROR(__xludf.DUMMYFUNCTION("""COMPUTED_VALUE"""),"Pembuatan Roti dan Kue")</f>
        <v>Pembuatan Roti dan Kue</v>
      </c>
      <c r="C811" s="24" t="str">
        <f>IFERROR(__xludf.DUMMYFUNCTION("""COMPUTED_VALUE"""),"SMK Negeri 5 Kendari")</f>
        <v>SMK Negeri 5 Kendari</v>
      </c>
      <c r="D811" s="24"/>
      <c r="E811" s="24"/>
      <c r="F811" s="24" t="str">
        <f>IFERROR(__xludf.DUMMYFUNCTION("""COMPUTED_VALUE"""),"FADRIANUS RIFAN HALISNA")</f>
        <v>FADRIANUS RIFAN HALISNA</v>
      </c>
      <c r="G811" s="24" t="str">
        <f>IFERROR(__xludf.DUMMYFUNCTION("""COMPUTED_VALUE"""),"7471051507080001")</f>
        <v>7471051507080001</v>
      </c>
      <c r="H811" s="24"/>
      <c r="I811" s="24"/>
      <c r="J811" s="24" t="str">
        <f>IFERROR(__xludf.DUMMYFUNCTION("""COMPUTED_VALUE"""),"LAKI-LAKI")</f>
        <v>LAKI-LAKI</v>
      </c>
      <c r="K811" s="24" t="str">
        <f>IFERROR(__xludf.DUMMYFUNCTION("""COMPUTED_VALUE"""),"Jl. K.S. Tubuh, Nanga-nanga")</f>
        <v>Jl. K.S. Tubuh, Nanga-nanga</v>
      </c>
      <c r="L811" s="24"/>
      <c r="M811" s="24"/>
      <c r="N811" s="24" t="str">
        <f>IFERROR(__xludf.DUMMYFUNCTION("""COMPUTED_VALUE"""),"SMA / SMK / MA")</f>
        <v>SMA / SMK / MA</v>
      </c>
      <c r="O811" s="24"/>
      <c r="P811" s="24"/>
      <c r="Q811" s="24"/>
      <c r="R811" s="24" t="str">
        <f>IFERROR(__xludf.DUMMYFUNCTION("""COMPUTED_VALUE"""),"K")</f>
        <v>K</v>
      </c>
      <c r="S811" s="25"/>
    </row>
    <row r="812" ht="22.5" customHeight="1">
      <c r="A812" s="22"/>
      <c r="B812" s="24" t="str">
        <f>IFERROR(__xludf.DUMMYFUNCTION("""COMPUTED_VALUE"""),"Pembuatan Roti dan Kue")</f>
        <v>Pembuatan Roti dan Kue</v>
      </c>
      <c r="C812" s="24" t="str">
        <f>IFERROR(__xludf.DUMMYFUNCTION("""COMPUTED_VALUE"""),"SMK Negeri 5 Kendari")</f>
        <v>SMK Negeri 5 Kendari</v>
      </c>
      <c r="D812" s="24"/>
      <c r="E812" s="24"/>
      <c r="F812" s="24" t="str">
        <f>IFERROR(__xludf.DUMMYFUNCTION("""COMPUTED_VALUE"""),"FELIKS YANTO ASMAN")</f>
        <v>FELIKS YANTO ASMAN</v>
      </c>
      <c r="G812" s="24" t="str">
        <f>IFERROR(__xludf.DUMMYFUNCTION("""COMPUTED_VALUE"""),"5310061401070002")</f>
        <v>5310061401070002</v>
      </c>
      <c r="H812" s="24"/>
      <c r="I812" s="24"/>
      <c r="J812" s="24" t="str">
        <f>IFERROR(__xludf.DUMMYFUNCTION("""COMPUTED_VALUE"""),"LAKI-LAKI")</f>
        <v>LAKI-LAKI</v>
      </c>
      <c r="K812" s="24" t="str">
        <f>IFERROR(__xludf.DUMMYFUNCTION("""COMPUTED_VALUE"""),"Ranometo")</f>
        <v>Ranometo</v>
      </c>
      <c r="L812" s="24"/>
      <c r="M812" s="24"/>
      <c r="N812" s="24" t="str">
        <f>IFERROR(__xludf.DUMMYFUNCTION("""COMPUTED_VALUE"""),"SMA / SMK / MA")</f>
        <v>SMA / SMK / MA</v>
      </c>
      <c r="O812" s="24"/>
      <c r="P812" s="24"/>
      <c r="Q812" s="24"/>
      <c r="R812" s="24" t="str">
        <f>IFERROR(__xludf.DUMMYFUNCTION("""COMPUTED_VALUE"""),"K")</f>
        <v>K</v>
      </c>
      <c r="S812" s="25"/>
    </row>
    <row r="813" ht="22.5" customHeight="1">
      <c r="A813" s="22"/>
      <c r="B813" s="24" t="str">
        <f>IFERROR(__xludf.DUMMYFUNCTION("""COMPUTED_VALUE"""),"Pembuatan Roti dan Kue")</f>
        <v>Pembuatan Roti dan Kue</v>
      </c>
      <c r="C813" s="24" t="str">
        <f>IFERROR(__xludf.DUMMYFUNCTION("""COMPUTED_VALUE"""),"SMK Negeri 5 Kendari")</f>
        <v>SMK Negeri 5 Kendari</v>
      </c>
      <c r="D813" s="24"/>
      <c r="E813" s="24"/>
      <c r="F813" s="24" t="str">
        <f>IFERROR(__xludf.DUMMYFUNCTION("""COMPUTED_VALUE"""),"GESTIYA RAHMADANI")</f>
        <v>GESTIYA RAHMADANI</v>
      </c>
      <c r="G813" s="24" t="str">
        <f>IFERROR(__xludf.DUMMYFUNCTION("""COMPUTED_VALUE"""),"7405067509080001")</f>
        <v>7405067509080001</v>
      </c>
      <c r="H813" s="24"/>
      <c r="I813" s="24"/>
      <c r="J813" s="24" t="str">
        <f>IFERROR(__xludf.DUMMYFUNCTION("""COMPUTED_VALUE"""),"PEREMPUAN")</f>
        <v>PEREMPUAN</v>
      </c>
      <c r="K813" s="24" t="str">
        <f>IFERROR(__xludf.DUMMYFUNCTION("""COMPUTED_VALUE"""),"Lawoila, Konda, Konawe Selatan, Sulawesi Tenggara ")</f>
        <v>Lawoila, Konda, Konawe Selatan, Sulawesi Tenggara </v>
      </c>
      <c r="L813" s="24"/>
      <c r="M813" s="24"/>
      <c r="N813" s="24" t="str">
        <f>IFERROR(__xludf.DUMMYFUNCTION("""COMPUTED_VALUE"""),"SMA / SMK / MA")</f>
        <v>SMA / SMK / MA</v>
      </c>
      <c r="O813" s="24"/>
      <c r="P813" s="24"/>
      <c r="Q813" s="24"/>
      <c r="R813" s="24" t="str">
        <f>IFERROR(__xludf.DUMMYFUNCTION("""COMPUTED_VALUE"""),"K")</f>
        <v>K</v>
      </c>
      <c r="S813" s="25"/>
    </row>
    <row r="814" ht="22.5" customHeight="1">
      <c r="A814" s="22"/>
      <c r="B814" s="24" t="str">
        <f>IFERROR(__xludf.DUMMYFUNCTION("""COMPUTED_VALUE"""),"Pembuatan Roti dan Kue")</f>
        <v>Pembuatan Roti dan Kue</v>
      </c>
      <c r="C814" s="24" t="str">
        <f>IFERROR(__xludf.DUMMYFUNCTION("""COMPUTED_VALUE"""),"SMK Negeri 5 Kendari")</f>
        <v>SMK Negeri 5 Kendari</v>
      </c>
      <c r="D814" s="24"/>
      <c r="E814" s="24"/>
      <c r="F814" s="24" t="str">
        <f>IFERROR(__xludf.DUMMYFUNCTION("""COMPUTED_VALUE"""),"HAERULLAH TINDO")</f>
        <v>HAERULLAH TINDO</v>
      </c>
      <c r="G814" s="24" t="str">
        <f>IFERROR(__xludf.DUMMYFUNCTION("""COMPUTED_VALUE"""),"7402180802090002")</f>
        <v>7402180802090002</v>
      </c>
      <c r="H814" s="24"/>
      <c r="I814" s="24"/>
      <c r="J814" s="24" t="str">
        <f>IFERROR(__xludf.DUMMYFUNCTION("""COMPUTED_VALUE"""),"LAKI-LAKI")</f>
        <v>LAKI-LAKI</v>
      </c>
      <c r="K814" s="24" t="str">
        <f>IFERROR(__xludf.DUMMYFUNCTION("""COMPUTED_VALUE"""),"Kendari, Alojaya")</f>
        <v>Kendari, Alojaya</v>
      </c>
      <c r="L814" s="24"/>
      <c r="M814" s="24"/>
      <c r="N814" s="24" t="str">
        <f>IFERROR(__xludf.DUMMYFUNCTION("""COMPUTED_VALUE"""),"SMA / SMK / MA")</f>
        <v>SMA / SMK / MA</v>
      </c>
      <c r="O814" s="24"/>
      <c r="P814" s="24"/>
      <c r="Q814" s="24"/>
      <c r="R814" s="24" t="str">
        <f>IFERROR(__xludf.DUMMYFUNCTION("""COMPUTED_VALUE"""),"K")</f>
        <v>K</v>
      </c>
      <c r="S814" s="25"/>
    </row>
    <row r="815" ht="22.5" customHeight="1">
      <c r="A815" s="22"/>
      <c r="B815" s="24" t="str">
        <f>IFERROR(__xludf.DUMMYFUNCTION("""COMPUTED_VALUE"""),"Pembuatan Roti dan Kue")</f>
        <v>Pembuatan Roti dan Kue</v>
      </c>
      <c r="C815" s="24" t="str">
        <f>IFERROR(__xludf.DUMMYFUNCTION("""COMPUTED_VALUE"""),"SMK Negeri 5 Kendari")</f>
        <v>SMK Negeri 5 Kendari</v>
      </c>
      <c r="D815" s="24"/>
      <c r="E815" s="24"/>
      <c r="F815" s="24" t="str">
        <f>IFERROR(__xludf.DUMMYFUNCTION("""COMPUTED_VALUE"""),"HELMI TRI JUWANSYAH")</f>
        <v>HELMI TRI JUWANSYAH</v>
      </c>
      <c r="G815" s="24" t="str">
        <f>IFERROR(__xludf.DUMMYFUNCTION("""COMPUTED_VALUE"""),"7405071105080001")</f>
        <v>7405071105080001</v>
      </c>
      <c r="H815" s="24"/>
      <c r="I815" s="24"/>
      <c r="J815" s="24" t="str">
        <f>IFERROR(__xludf.DUMMYFUNCTION("""COMPUTED_VALUE"""),"LAKI-LAKI")</f>
        <v>LAKI-LAKI</v>
      </c>
      <c r="K815" s="24" t="str">
        <f>IFERROR(__xludf.DUMMYFUNCTION("""COMPUTED_VALUE"""),"Kec.Konda, Desa Puosu Jaya")</f>
        <v>Kec.Konda, Desa Puosu Jaya</v>
      </c>
      <c r="L815" s="24"/>
      <c r="M815" s="24"/>
      <c r="N815" s="24" t="str">
        <f>IFERROR(__xludf.DUMMYFUNCTION("""COMPUTED_VALUE"""),"SMA / SMK / MA")</f>
        <v>SMA / SMK / MA</v>
      </c>
      <c r="O815" s="24"/>
      <c r="P815" s="24"/>
      <c r="Q815" s="24"/>
      <c r="R815" s="24" t="str">
        <f>IFERROR(__xludf.DUMMYFUNCTION("""COMPUTED_VALUE"""),"K")</f>
        <v>K</v>
      </c>
      <c r="S815" s="25"/>
    </row>
    <row r="816" ht="22.5" customHeight="1">
      <c r="A816" s="22"/>
      <c r="B816" s="24" t="str">
        <f>IFERROR(__xludf.DUMMYFUNCTION("""COMPUTED_VALUE"""),"Pembuatan Roti dan Kue")</f>
        <v>Pembuatan Roti dan Kue</v>
      </c>
      <c r="C816" s="24" t="str">
        <f>IFERROR(__xludf.DUMMYFUNCTION("""COMPUTED_VALUE"""),"SMK Negeri 5 Kendari")</f>
        <v>SMK Negeri 5 Kendari</v>
      </c>
      <c r="D816" s="24"/>
      <c r="E816" s="24"/>
      <c r="F816" s="24" t="str">
        <f>IFERROR(__xludf.DUMMYFUNCTION("""COMPUTED_VALUE"""),"INDRIANI")</f>
        <v>INDRIANI</v>
      </c>
      <c r="G816" s="24" t="str">
        <f>IFERROR(__xludf.DUMMYFUNCTION("""COMPUTED_VALUE"""),"7405076707070001")</f>
        <v>7405076707070001</v>
      </c>
      <c r="H816" s="24"/>
      <c r="I816" s="24"/>
      <c r="J816" s="24" t="str">
        <f>IFERROR(__xludf.DUMMYFUNCTION("""COMPUTED_VALUE"""),"PEREMPUAN")</f>
        <v>PEREMPUAN</v>
      </c>
      <c r="K816" s="24" t="str">
        <f>IFERROR(__xludf.DUMMYFUNCTION("""COMPUTED_VALUE"""),"Desa Wonua, Kec. Konda, Konawe Selatan")</f>
        <v>Desa Wonua, Kec. Konda, Konawe Selatan</v>
      </c>
      <c r="L816" s="24"/>
      <c r="M816" s="24"/>
      <c r="N816" s="24" t="str">
        <f>IFERROR(__xludf.DUMMYFUNCTION("""COMPUTED_VALUE"""),"SMA / SMK / MA")</f>
        <v>SMA / SMK / MA</v>
      </c>
      <c r="O816" s="24"/>
      <c r="P816" s="24"/>
      <c r="Q816" s="24"/>
      <c r="R816" s="24" t="str">
        <f>IFERROR(__xludf.DUMMYFUNCTION("""COMPUTED_VALUE"""),"K")</f>
        <v>K</v>
      </c>
      <c r="S816" s="25"/>
    </row>
    <row r="817" ht="22.5" customHeight="1">
      <c r="A817" s="22"/>
      <c r="B817" s="24" t="str">
        <f>IFERROR(__xludf.DUMMYFUNCTION("""COMPUTED_VALUE"""),"Pembuatan Roti dan Kue")</f>
        <v>Pembuatan Roti dan Kue</v>
      </c>
      <c r="C817" s="24" t="str">
        <f>IFERROR(__xludf.DUMMYFUNCTION("""COMPUTED_VALUE"""),"SMK Negeri 5 Kendari")</f>
        <v>SMK Negeri 5 Kendari</v>
      </c>
      <c r="D817" s="24"/>
      <c r="E817" s="24"/>
      <c r="F817" s="24" t="str">
        <f>IFERROR(__xludf.DUMMYFUNCTION("""COMPUTED_VALUE"""),"KEYLA TRIANA")</f>
        <v>KEYLA TRIANA</v>
      </c>
      <c r="G817" s="24" t="str">
        <f>IFERROR(__xludf.DUMMYFUNCTION("""COMPUTED_VALUE"""),"7471036107080001")</f>
        <v>7471036107080001</v>
      </c>
      <c r="H817" s="24"/>
      <c r="I817" s="24"/>
      <c r="J817" s="24" t="str">
        <f>IFERROR(__xludf.DUMMYFUNCTION("""COMPUTED_VALUE"""),"PEREMPUAN")</f>
        <v>PEREMPUAN</v>
      </c>
      <c r="K817" s="24" t="str">
        <f>IFERROR(__xludf.DUMMYFUNCTION("""COMPUTED_VALUE"""),"Jl. Sanggoleo")</f>
        <v>Jl. Sanggoleo</v>
      </c>
      <c r="L817" s="24"/>
      <c r="M817" s="24"/>
      <c r="N817" s="24" t="str">
        <f>IFERROR(__xludf.DUMMYFUNCTION("""COMPUTED_VALUE"""),"SMA / SMK / MA")</f>
        <v>SMA / SMK / MA</v>
      </c>
      <c r="O817" s="24"/>
      <c r="P817" s="24"/>
      <c r="Q817" s="24"/>
      <c r="R817" s="24" t="str">
        <f>IFERROR(__xludf.DUMMYFUNCTION("""COMPUTED_VALUE"""),"K")</f>
        <v>K</v>
      </c>
      <c r="S817" s="25"/>
    </row>
    <row r="818" ht="22.5" customHeight="1">
      <c r="A818" s="22"/>
      <c r="B818" s="24" t="str">
        <f>IFERROR(__xludf.DUMMYFUNCTION("""COMPUTED_VALUE"""),"Pembuatan Roti dan Kue")</f>
        <v>Pembuatan Roti dan Kue</v>
      </c>
      <c r="C818" s="24" t="str">
        <f>IFERROR(__xludf.DUMMYFUNCTION("""COMPUTED_VALUE"""),"SMK Negeri 5 Kendari")</f>
        <v>SMK Negeri 5 Kendari</v>
      </c>
      <c r="D818" s="24"/>
      <c r="E818" s="24"/>
      <c r="F818" s="24" t="str">
        <f>IFERROR(__xludf.DUMMYFUNCTION("""COMPUTED_VALUE"""),"LILIHARDINA")</f>
        <v>LILIHARDINA</v>
      </c>
      <c r="G818" s="24" t="str">
        <f>IFERROR(__xludf.DUMMYFUNCTION("""COMPUTED_VALUE"""),"7471035111070004")</f>
        <v>7471035111070004</v>
      </c>
      <c r="H818" s="24"/>
      <c r="I818" s="24"/>
      <c r="J818" s="24" t="str">
        <f>IFERROR(__xludf.DUMMYFUNCTION("""COMPUTED_VALUE"""),"PEREMPUAN")</f>
        <v>PEREMPUAN</v>
      </c>
      <c r="K818" s="24" t="str">
        <f>IFERROR(__xludf.DUMMYFUNCTION("""COMPUTED_VALUE"""),"Hombis, Jl. Ade Irma Nasution")</f>
        <v>Hombis, Jl. Ade Irma Nasution</v>
      </c>
      <c r="L818" s="24"/>
      <c r="M818" s="24"/>
      <c r="N818" s="24" t="str">
        <f>IFERROR(__xludf.DUMMYFUNCTION("""COMPUTED_VALUE"""),"SMA / SMK / MA")</f>
        <v>SMA / SMK / MA</v>
      </c>
      <c r="O818" s="24"/>
      <c r="P818" s="24"/>
      <c r="Q818" s="24"/>
      <c r="R818" s="24" t="str">
        <f>IFERROR(__xludf.DUMMYFUNCTION("""COMPUTED_VALUE"""),"K")</f>
        <v>K</v>
      </c>
      <c r="S818" s="25"/>
    </row>
    <row r="819" ht="22.5" customHeight="1">
      <c r="A819" s="22"/>
      <c r="B819" s="24" t="str">
        <f>IFERROR(__xludf.DUMMYFUNCTION("""COMPUTED_VALUE"""),"Pembuatan Roti dan Kue")</f>
        <v>Pembuatan Roti dan Kue</v>
      </c>
      <c r="C819" s="24" t="str">
        <f>IFERROR(__xludf.DUMMYFUNCTION("""COMPUTED_VALUE"""),"SMK Negeri 5 Kendari")</f>
        <v>SMK Negeri 5 Kendari</v>
      </c>
      <c r="D819" s="24"/>
      <c r="E819" s="24"/>
      <c r="F819" s="24" t="str">
        <f>IFERROR(__xludf.DUMMYFUNCTION("""COMPUTED_VALUE"""),"MUHAMMAD FARKHAN AL MA'SUM")</f>
        <v>MUHAMMAD FARKHAN AL MA'SUM</v>
      </c>
      <c r="G819" s="24" t="str">
        <f>IFERROR(__xludf.DUMMYFUNCTION("""COMPUTED_VALUE"""),"3525131005070001")</f>
        <v>3525131005070001</v>
      </c>
      <c r="H819" s="24"/>
      <c r="I819" s="24"/>
      <c r="J819" s="24" t="str">
        <f>IFERROR(__xludf.DUMMYFUNCTION("""COMPUTED_VALUE"""),"LAKI-LAKI")</f>
        <v>LAKI-LAKI</v>
      </c>
      <c r="K819" s="24" t="str">
        <f>IFERROR(__xludf.DUMMYFUNCTION("""COMPUTED_VALUE"""),"-")</f>
        <v>-</v>
      </c>
      <c r="L819" s="24"/>
      <c r="M819" s="24"/>
      <c r="N819" s="24" t="str">
        <f>IFERROR(__xludf.DUMMYFUNCTION("""COMPUTED_VALUE"""),"SMA / SMK / MA")</f>
        <v>SMA / SMK / MA</v>
      </c>
      <c r="O819" s="24"/>
      <c r="P819" s="24"/>
      <c r="Q819" s="24"/>
      <c r="R819" s="24" t="str">
        <f>IFERROR(__xludf.DUMMYFUNCTION("""COMPUTED_VALUE"""),"K")</f>
        <v>K</v>
      </c>
      <c r="S819" s="25"/>
    </row>
    <row r="820" ht="22.5" customHeight="1">
      <c r="A820" s="22"/>
      <c r="B820" s="24" t="str">
        <f>IFERROR(__xludf.DUMMYFUNCTION("""COMPUTED_VALUE"""),"Pembuatan Roti dan Kue")</f>
        <v>Pembuatan Roti dan Kue</v>
      </c>
      <c r="C820" s="24" t="str">
        <f>IFERROR(__xludf.DUMMYFUNCTION("""COMPUTED_VALUE"""),"SMK Negeri 5 Kendari")</f>
        <v>SMK Negeri 5 Kendari</v>
      </c>
      <c r="D820" s="24"/>
      <c r="E820" s="24"/>
      <c r="F820" s="24" t="str">
        <f>IFERROR(__xludf.DUMMYFUNCTION("""COMPUTED_VALUE"""),"NIRMAWATI")</f>
        <v>NIRMAWATI</v>
      </c>
      <c r="G820" s="24" t="str">
        <f>IFERROR(__xludf.DUMMYFUNCTION("""COMPUTED_VALUE"""),"7405076604070002")</f>
        <v>7405076604070002</v>
      </c>
      <c r="H820" s="24"/>
      <c r="I820" s="24"/>
      <c r="J820" s="24" t="str">
        <f>IFERROR(__xludf.DUMMYFUNCTION("""COMPUTED_VALUE"""),"PEREMPUAN")</f>
        <v>PEREMPUAN</v>
      </c>
      <c r="K820" s="24" t="str">
        <f>IFERROR(__xludf.DUMMYFUNCTION("""COMPUTED_VALUE"""),"Desa Lawoila, Kec. Konda")</f>
        <v>Desa Lawoila, Kec. Konda</v>
      </c>
      <c r="L820" s="24"/>
      <c r="M820" s="24"/>
      <c r="N820" s="24" t="str">
        <f>IFERROR(__xludf.DUMMYFUNCTION("""COMPUTED_VALUE"""),"SMA / SMK / MA")</f>
        <v>SMA / SMK / MA</v>
      </c>
      <c r="O820" s="24"/>
      <c r="P820" s="24"/>
      <c r="Q820" s="22"/>
      <c r="R820" s="24" t="str">
        <f>IFERROR(__xludf.DUMMYFUNCTION("""COMPUTED_VALUE"""),"K")</f>
        <v>K</v>
      </c>
      <c r="S820" s="25"/>
    </row>
    <row r="821" ht="22.5" customHeight="1">
      <c r="A821" s="22"/>
      <c r="B821" s="24" t="str">
        <f>IFERROR(__xludf.DUMMYFUNCTION("""COMPUTED_VALUE"""),"Pembuatan Roti dan Kue")</f>
        <v>Pembuatan Roti dan Kue</v>
      </c>
      <c r="C821" s="24" t="str">
        <f>IFERROR(__xludf.DUMMYFUNCTION("""COMPUTED_VALUE"""),"SMK Negeri 5 Kendari")</f>
        <v>SMK Negeri 5 Kendari</v>
      </c>
      <c r="D821" s="24"/>
      <c r="E821" s="24"/>
      <c r="F821" s="24" t="str">
        <f>IFERROR(__xludf.DUMMYFUNCTION("""COMPUTED_VALUE"""),"NOVA KHAERANI")</f>
        <v>NOVA KHAERANI</v>
      </c>
      <c r="G821" s="24" t="str">
        <f>IFERROR(__xludf.DUMMYFUNCTION("""COMPUTED_VALUE"""),"7471096811080002")</f>
        <v>7471096811080002</v>
      </c>
      <c r="H821" s="24"/>
      <c r="I821" s="24"/>
      <c r="J821" s="24" t="str">
        <f>IFERROR(__xludf.DUMMYFUNCTION("""COMPUTED_VALUE"""),"PEREMPUAN")</f>
        <v>PEREMPUAN</v>
      </c>
      <c r="K821" s="24" t="str">
        <f>IFERROR(__xludf.DUMMYFUNCTION("""COMPUTED_VALUE"""),"Ranometo, Kota Bangun, Jl. Empatpuluh")</f>
        <v>Ranometo, Kota Bangun, Jl. Empatpuluh</v>
      </c>
      <c r="L821" s="24"/>
      <c r="M821" s="24"/>
      <c r="N821" s="24" t="str">
        <f>IFERROR(__xludf.DUMMYFUNCTION("""COMPUTED_VALUE"""),"SMA / SMK / MA")</f>
        <v>SMA / SMK / MA</v>
      </c>
      <c r="O821" s="24"/>
      <c r="P821" s="24"/>
      <c r="Q821" s="22"/>
      <c r="R821" s="24" t="str">
        <f>IFERROR(__xludf.DUMMYFUNCTION("""COMPUTED_VALUE"""),"K")</f>
        <v>K</v>
      </c>
      <c r="S821" s="25"/>
    </row>
    <row r="822">
      <c r="A822" s="104"/>
      <c r="B822" s="67" t="str">
        <f>IFERROR(__xludf.DUMMYFUNCTION("""COMPUTED_VALUE"""),"Pembuatan Roti dan Kue")</f>
        <v>Pembuatan Roti dan Kue</v>
      </c>
      <c r="C822" s="67" t="str">
        <f>IFERROR(__xludf.DUMMYFUNCTION("""COMPUTED_VALUE"""),"SMK Negeri 5 Kendari")</f>
        <v>SMK Negeri 5 Kendari</v>
      </c>
      <c r="D822" s="67"/>
      <c r="E822" s="67"/>
      <c r="F822" s="67" t="str">
        <f>IFERROR(__xludf.DUMMYFUNCTION("""COMPUTED_VALUE"""),"SILVIA FEBRIANTI")</f>
        <v>SILVIA FEBRIANTI</v>
      </c>
      <c r="G822" s="67" t="str">
        <f>IFERROR(__xludf.DUMMYFUNCTION("""COMPUTED_VALUE"""),"7505074102090003")</f>
        <v>7505074102090003</v>
      </c>
      <c r="H822" s="67"/>
      <c r="I822" s="67"/>
      <c r="J822" s="67" t="str">
        <f>IFERROR(__xludf.DUMMYFUNCTION("""COMPUTED_VALUE"""),"PEREMPUAN")</f>
        <v>PEREMPUAN</v>
      </c>
      <c r="K822" s="67" t="str">
        <f>IFERROR(__xludf.DUMMYFUNCTION("""COMPUTED_VALUE"""),"Lalowiu, Kec. Konda, Konawe Selatan")</f>
        <v>Lalowiu, Kec. Konda, Konawe Selatan</v>
      </c>
      <c r="L822" s="67"/>
      <c r="M822" s="67"/>
      <c r="N822" s="67" t="str">
        <f>IFERROR(__xludf.DUMMYFUNCTION("""COMPUTED_VALUE"""),"SMA / SMK / MA")</f>
        <v>SMA / SMK / MA</v>
      </c>
      <c r="O822" s="67"/>
      <c r="P822" s="67"/>
      <c r="Q822" s="67"/>
      <c r="R822" s="67" t="str">
        <f>IFERROR(__xludf.DUMMYFUNCTION("""COMPUTED_VALUE"""),"K")</f>
        <v>K</v>
      </c>
      <c r="S822" s="39"/>
    </row>
    <row r="823">
      <c r="A823" s="104"/>
      <c r="B823" s="67" t="str">
        <f>IFERROR(__xludf.DUMMYFUNCTION("""COMPUTED_VALUE"""),"Pembuatan Roti dan Kue")</f>
        <v>Pembuatan Roti dan Kue</v>
      </c>
      <c r="C823" s="67" t="str">
        <f>IFERROR(__xludf.DUMMYFUNCTION("""COMPUTED_VALUE"""),"SMK Negeri 5 Kendari")</f>
        <v>SMK Negeri 5 Kendari</v>
      </c>
      <c r="D823" s="67"/>
      <c r="E823" s="67"/>
      <c r="F823" s="67" t="str">
        <f>IFERROR(__xludf.DUMMYFUNCTION("""COMPUTED_VALUE"""),"WINDA  KlRANA")</f>
        <v>WINDA  KlRANA</v>
      </c>
      <c r="G823" s="67" t="str">
        <f>IFERROR(__xludf.DUMMYFUNCTION("""COMPUTED_VALUE"""),"7471054701080006")</f>
        <v>7471054701080006</v>
      </c>
      <c r="H823" s="67"/>
      <c r="I823" s="67"/>
      <c r="J823" s="67" t="str">
        <f>IFERROR(__xludf.DUMMYFUNCTION("""COMPUTED_VALUE"""),"PEREMPUAN")</f>
        <v>PEREMPUAN</v>
      </c>
      <c r="K823" s="67" t="str">
        <f>IFERROR(__xludf.DUMMYFUNCTION("""COMPUTED_VALUE"""),"Hombis, Jl. Ade Irma Nasution")</f>
        <v>Hombis, Jl. Ade Irma Nasution</v>
      </c>
      <c r="L823" s="67"/>
      <c r="M823" s="67"/>
      <c r="N823" s="67" t="str">
        <f>IFERROR(__xludf.DUMMYFUNCTION("""COMPUTED_VALUE"""),"SMA / SMK / MA")</f>
        <v>SMA / SMK / MA</v>
      </c>
      <c r="O823" s="67"/>
      <c r="P823" s="67"/>
      <c r="Q823" s="67"/>
      <c r="R823" s="67" t="str">
        <f>IFERROR(__xludf.DUMMYFUNCTION("""COMPUTED_VALUE"""),"K")</f>
        <v>K</v>
      </c>
      <c r="S823" s="39"/>
    </row>
    <row r="824">
      <c r="A824" s="104"/>
      <c r="B824" s="67" t="str">
        <f>IFERROR(__xludf.DUMMYFUNCTION("""COMPUTED_VALUE"""),"Merias Wajah")</f>
        <v>Merias Wajah</v>
      </c>
      <c r="C824" s="67" t="str">
        <f>IFERROR(__xludf.DUMMYFUNCTION("""COMPUTED_VALUE"""),"BLK Konawe Selatan")</f>
        <v>BLK Konawe Selatan</v>
      </c>
      <c r="D824" s="67"/>
      <c r="E824" s="67"/>
      <c r="F824" s="67" t="str">
        <f>IFERROR(__xludf.DUMMYFUNCTION("""COMPUTED_VALUE"""),"Shilmi Pebrina Syarif")</f>
        <v>Shilmi Pebrina Syarif</v>
      </c>
      <c r="G824" s="105">
        <f>IFERROR(__xludf.DUMMYFUNCTION("""COMPUTED_VALUE"""),7.40519050206E15)</f>
        <v>7.40519E+15</v>
      </c>
      <c r="H824" s="67"/>
      <c r="I824" s="67"/>
      <c r="J824" s="67" t="str">
        <f>IFERROR(__xludf.DUMMYFUNCTION("""COMPUTED_VALUE"""),"LAKI-LAKI")</f>
        <v>LAKI-LAKI</v>
      </c>
      <c r="K824" s="67" t="str">
        <f>IFERROR(__xludf.DUMMYFUNCTION("""COMPUTED_VALUE"""),"Desa Ambesea, Dusun IV, Kec. Laeya")</f>
        <v>Desa Ambesea, Dusun IV, Kec. Laeya</v>
      </c>
      <c r="L824" s="67"/>
      <c r="M824" s="67"/>
      <c r="N824" s="67"/>
      <c r="O824" s="67"/>
      <c r="P824" s="67"/>
      <c r="Q824" s="67"/>
      <c r="R824" s="67" t="str">
        <f>IFERROR(__xludf.DUMMYFUNCTION("""COMPUTED_VALUE"""),"K")</f>
        <v>K</v>
      </c>
      <c r="S824" s="39"/>
    </row>
    <row r="825">
      <c r="A825" s="104"/>
      <c r="B825" s="67" t="str">
        <f>IFERROR(__xludf.DUMMYFUNCTION("""COMPUTED_VALUE"""),"Merias Wajah")</f>
        <v>Merias Wajah</v>
      </c>
      <c r="C825" s="67" t="str">
        <f>IFERROR(__xludf.DUMMYFUNCTION("""COMPUTED_VALUE"""),"BLK Konawe Selatan")</f>
        <v>BLK Konawe Selatan</v>
      </c>
      <c r="D825" s="67"/>
      <c r="E825" s="67"/>
      <c r="F825" s="67" t="str">
        <f>IFERROR(__xludf.DUMMYFUNCTION("""COMPUTED_VALUE"""),"Waliadin")</f>
        <v>Waliadin</v>
      </c>
      <c r="G825" s="105">
        <f>IFERROR(__xludf.DUMMYFUNCTION("""COMPUTED_VALUE"""),7.405196805E15)</f>
        <v>7.4052E+15</v>
      </c>
      <c r="H825" s="67"/>
      <c r="I825" s="67"/>
      <c r="J825" s="67" t="str">
        <f>IFERROR(__xludf.DUMMYFUNCTION("""COMPUTED_VALUE"""),"PEREMPUAN")</f>
        <v>PEREMPUAN</v>
      </c>
      <c r="K825" s="67" t="str">
        <f>IFERROR(__xludf.DUMMYFUNCTION("""COMPUTED_VALUE"""),"Desa Wonua Kongga, Kec. Laeya")</f>
        <v>Desa Wonua Kongga, Kec. Laeya</v>
      </c>
      <c r="L825" s="67"/>
      <c r="M825" s="67"/>
      <c r="N825" s="67"/>
      <c r="O825" s="67"/>
      <c r="P825" s="67"/>
      <c r="Q825" s="67"/>
      <c r="R825" s="67" t="str">
        <f>IFERROR(__xludf.DUMMYFUNCTION("""COMPUTED_VALUE"""),"BK")</f>
        <v>BK</v>
      </c>
      <c r="S825" s="39"/>
    </row>
    <row r="826">
      <c r="A826" s="104"/>
      <c r="B826" s="36" t="str">
        <f>IFERROR(__xludf.DUMMYFUNCTION("""COMPUTED_VALUE"""),"Merias Wajah")</f>
        <v>Merias Wajah</v>
      </c>
      <c r="C826" s="36" t="str">
        <f>IFERROR(__xludf.DUMMYFUNCTION("""COMPUTED_VALUE"""),"BLK Konawe Selatan")</f>
        <v>BLK Konawe Selatan</v>
      </c>
      <c r="D826" s="36"/>
      <c r="E826" s="36"/>
      <c r="F826" s="36" t="str">
        <f>IFERROR(__xludf.DUMMYFUNCTION("""COMPUTED_VALUE"""),"Ulfa Safitri")</f>
        <v>Ulfa Safitri</v>
      </c>
      <c r="G826" s="106">
        <f>IFERROR(__xludf.DUMMYFUNCTION("""COMPUTED_VALUE"""),7.40519410786002E15)</f>
        <v>7.40519E+15</v>
      </c>
      <c r="H826" s="36"/>
      <c r="I826" s="36"/>
      <c r="J826" s="36" t="str">
        <f>IFERROR(__xludf.DUMMYFUNCTION("""COMPUTED_VALUE"""),"PEREMPUAN")</f>
        <v>PEREMPUAN</v>
      </c>
      <c r="K826" s="36" t="str">
        <f>IFERROR(__xludf.DUMMYFUNCTION("""COMPUTED_VALUE"""),"Desa Lambakara, Kec. Laeya")</f>
        <v>Desa Lambakara, Kec. Laeya</v>
      </c>
      <c r="L826" s="36"/>
      <c r="M826" s="36"/>
      <c r="N826" s="36"/>
      <c r="O826" s="36"/>
      <c r="P826" s="36"/>
      <c r="Q826" s="36"/>
      <c r="R826" s="36" t="str">
        <f>IFERROR(__xludf.DUMMYFUNCTION("""COMPUTED_VALUE"""),"K")</f>
        <v>K</v>
      </c>
      <c r="S826" s="39"/>
    </row>
    <row r="827">
      <c r="A827" s="104"/>
      <c r="B827" s="36" t="str">
        <f>IFERROR(__xludf.DUMMYFUNCTION("""COMPUTED_VALUE"""),"Merias Wajah")</f>
        <v>Merias Wajah</v>
      </c>
      <c r="C827" s="36" t="str">
        <f>IFERROR(__xludf.DUMMYFUNCTION("""COMPUTED_VALUE"""),"BLK Konawe Selatan")</f>
        <v>BLK Konawe Selatan</v>
      </c>
      <c r="D827" s="36"/>
      <c r="E827" s="36"/>
      <c r="F827" s="36" t="str">
        <f>IFERROR(__xludf.DUMMYFUNCTION("""COMPUTED_VALUE"""),"Tugi Nurhidayah")</f>
        <v>Tugi Nurhidayah</v>
      </c>
      <c r="G827" s="106">
        <f>IFERROR(__xludf.DUMMYFUNCTION("""COMPUTED_VALUE"""),7.40519100503E15)</f>
        <v>7.40519E+15</v>
      </c>
      <c r="H827" s="36"/>
      <c r="I827" s="36"/>
      <c r="J827" s="36" t="str">
        <f>IFERROR(__xludf.DUMMYFUNCTION("""COMPUTED_VALUE"""),"LAKI-LAKI")</f>
        <v>LAKI-LAKI</v>
      </c>
      <c r="K827" s="36" t="str">
        <f>IFERROR(__xludf.DUMMYFUNCTION("""COMPUTED_VALUE"""),"Desa Lamong Jaya, Kec. Laeya")</f>
        <v>Desa Lamong Jaya, Kec. Laeya</v>
      </c>
      <c r="L827" s="36"/>
      <c r="M827" s="36"/>
      <c r="N827" s="36"/>
      <c r="O827" s="36"/>
      <c r="P827" s="36"/>
      <c r="Q827" s="36"/>
      <c r="R827" s="36" t="str">
        <f>IFERROR(__xludf.DUMMYFUNCTION("""COMPUTED_VALUE"""),"K")</f>
        <v>K</v>
      </c>
      <c r="S827" s="39"/>
    </row>
    <row r="828">
      <c r="A828" s="104"/>
      <c r="B828" s="36" t="str">
        <f>IFERROR(__xludf.DUMMYFUNCTION("""COMPUTED_VALUE"""),"Merias Wajah")</f>
        <v>Merias Wajah</v>
      </c>
      <c r="C828" s="36" t="str">
        <f>IFERROR(__xludf.DUMMYFUNCTION("""COMPUTED_VALUE"""),"BLK Konawe Selatan")</f>
        <v>BLK Konawe Selatan</v>
      </c>
      <c r="D828" s="36"/>
      <c r="E828" s="36"/>
      <c r="F828" s="36" t="str">
        <f>IFERROR(__xludf.DUMMYFUNCTION("""COMPUTED_VALUE"""),"Sari Izzanty")</f>
        <v>Sari Izzanty</v>
      </c>
      <c r="G828" s="106">
        <f>IFERROR(__xludf.DUMMYFUNCTION("""COMPUTED_VALUE"""),7.40504580989E15)</f>
        <v>7.40505E+15</v>
      </c>
      <c r="H828" s="36"/>
      <c r="I828" s="36"/>
      <c r="J828" s="36" t="str">
        <f>IFERROR(__xludf.DUMMYFUNCTION("""COMPUTED_VALUE"""),"PEREMPUAN")</f>
        <v>PEREMPUAN</v>
      </c>
      <c r="K828" s="36" t="str">
        <f>IFERROR(__xludf.DUMMYFUNCTION("""COMPUTED_VALUE"""),"Desa Anggondara, Kec. Palangga")</f>
        <v>Desa Anggondara, Kec. Palangga</v>
      </c>
      <c r="L828" s="36"/>
      <c r="M828" s="36"/>
      <c r="N828" s="36"/>
      <c r="O828" s="36"/>
      <c r="P828" s="36"/>
      <c r="Q828" s="36"/>
      <c r="R828" s="36" t="str">
        <f>IFERROR(__xludf.DUMMYFUNCTION("""COMPUTED_VALUE"""),"K")</f>
        <v>K</v>
      </c>
      <c r="S828" s="39"/>
    </row>
    <row r="829">
      <c r="A829" s="104"/>
      <c r="B829" s="36" t="str">
        <f>IFERROR(__xludf.DUMMYFUNCTION("""COMPUTED_VALUE"""),"Merias Wajah")</f>
        <v>Merias Wajah</v>
      </c>
      <c r="C829" s="36" t="str">
        <f>IFERROR(__xludf.DUMMYFUNCTION("""COMPUTED_VALUE"""),"BLK Konawe Selatan")</f>
        <v>BLK Konawe Selatan</v>
      </c>
      <c r="D829" s="36"/>
      <c r="E829" s="36"/>
      <c r="F829" s="36" t="str">
        <f>IFERROR(__xludf.DUMMYFUNCTION("""COMPUTED_VALUE"""),"Siti Mahmudah")</f>
        <v>Siti Mahmudah</v>
      </c>
      <c r="G829" s="106">
        <f>IFERROR(__xludf.DUMMYFUNCTION("""COMPUTED_VALUE"""),7.40519620776E15)</f>
        <v>7.4052E+15</v>
      </c>
      <c r="H829" s="36"/>
      <c r="I829" s="36"/>
      <c r="J829" s="36" t="str">
        <f>IFERROR(__xludf.DUMMYFUNCTION("""COMPUTED_VALUE"""),"PEREMPUAN")</f>
        <v>PEREMPUAN</v>
      </c>
      <c r="K829" s="36" t="str">
        <f>IFERROR(__xludf.DUMMYFUNCTION("""COMPUTED_VALUE"""),"Lrg BLK, Desa Lamong Jaya, Kec. Laeya")</f>
        <v>Lrg BLK, Desa Lamong Jaya, Kec. Laeya</v>
      </c>
      <c r="L829" s="36"/>
      <c r="M829" s="36"/>
      <c r="N829" s="36"/>
      <c r="O829" s="36"/>
      <c r="P829" s="36"/>
      <c r="Q829" s="36"/>
      <c r="R829" s="36" t="str">
        <f>IFERROR(__xludf.DUMMYFUNCTION("""COMPUTED_VALUE"""),"K")</f>
        <v>K</v>
      </c>
      <c r="S829" s="39"/>
    </row>
    <row r="830">
      <c r="A830" s="104"/>
      <c r="B830" s="36" t="str">
        <f>IFERROR(__xludf.DUMMYFUNCTION("""COMPUTED_VALUE"""),"Merias Wajah")</f>
        <v>Merias Wajah</v>
      </c>
      <c r="C830" s="36" t="str">
        <f>IFERROR(__xludf.DUMMYFUNCTION("""COMPUTED_VALUE"""),"BLK Konawe Selatan")</f>
        <v>BLK Konawe Selatan</v>
      </c>
      <c r="D830" s="36"/>
      <c r="E830" s="36"/>
      <c r="F830" s="36" t="str">
        <f>IFERROR(__xludf.DUMMYFUNCTION("""COMPUTED_VALUE"""),"Mirna Yanti")</f>
        <v>Mirna Yanti</v>
      </c>
      <c r="G830" s="106">
        <f>IFERROR(__xludf.DUMMYFUNCTION("""COMPUTED_VALUE"""),7.40519410786003E15)</f>
        <v>7.40519E+15</v>
      </c>
      <c r="H830" s="36"/>
      <c r="I830" s="36"/>
      <c r="J830" s="36" t="str">
        <f>IFERROR(__xludf.DUMMYFUNCTION("""COMPUTED_VALUE"""),"PEREMPUAN")</f>
        <v>PEREMPUAN</v>
      </c>
      <c r="K830" s="36" t="str">
        <f>IFERROR(__xludf.DUMMYFUNCTION("""COMPUTED_VALUE"""),"Desa Lambakara, Kec. Laeya")</f>
        <v>Desa Lambakara, Kec. Laeya</v>
      </c>
      <c r="L830" s="36"/>
      <c r="M830" s="36"/>
      <c r="N830" s="36"/>
      <c r="O830" s="36"/>
      <c r="P830" s="36"/>
      <c r="Q830" s="36"/>
      <c r="R830" s="36" t="str">
        <f>IFERROR(__xludf.DUMMYFUNCTION("""COMPUTED_VALUE"""),"K")</f>
        <v>K</v>
      </c>
      <c r="S830" s="39"/>
    </row>
    <row r="831">
      <c r="A831" s="104"/>
      <c r="B831" s="36" t="str">
        <f>IFERROR(__xludf.DUMMYFUNCTION("""COMPUTED_VALUE"""),"Merias Wajah")</f>
        <v>Merias Wajah</v>
      </c>
      <c r="C831" s="36" t="str">
        <f>IFERROR(__xludf.DUMMYFUNCTION("""COMPUTED_VALUE"""),"BLK Konawe Selatan")</f>
        <v>BLK Konawe Selatan</v>
      </c>
      <c r="D831" s="36"/>
      <c r="E831" s="36"/>
      <c r="F831" s="36" t="str">
        <f>IFERROR(__xludf.DUMMYFUNCTION("""COMPUTED_VALUE"""),"Marsa Wulandari")</f>
        <v>Marsa Wulandari</v>
      </c>
      <c r="G831" s="106">
        <f>IFERROR(__xludf.DUMMYFUNCTION("""COMPUTED_VALUE"""),7.40506410306E15)</f>
        <v>7.40506E+15</v>
      </c>
      <c r="H831" s="36"/>
      <c r="I831" s="36"/>
      <c r="J831" s="36" t="str">
        <f>IFERROR(__xludf.DUMMYFUNCTION("""COMPUTED_VALUE"""),"PEREMPUAN")</f>
        <v>PEREMPUAN</v>
      </c>
      <c r="K831" s="36" t="str">
        <f>IFERROR(__xludf.DUMMYFUNCTION("""COMPUTED_VALUE"""),"Desa Aoreo, Kec. Lainea")</f>
        <v>Desa Aoreo, Kec. Lainea</v>
      </c>
      <c r="L831" s="36"/>
      <c r="M831" s="36"/>
      <c r="N831" s="36"/>
      <c r="O831" s="36"/>
      <c r="P831" s="36"/>
      <c r="Q831" s="36"/>
      <c r="R831" s="36" t="str">
        <f>IFERROR(__xludf.DUMMYFUNCTION("""COMPUTED_VALUE"""),"K")</f>
        <v>K</v>
      </c>
      <c r="S831" s="39"/>
    </row>
    <row r="832">
      <c r="A832" s="104"/>
      <c r="B832" s="36" t="str">
        <f>IFERROR(__xludf.DUMMYFUNCTION("""COMPUTED_VALUE"""),"Merias Wajah")</f>
        <v>Merias Wajah</v>
      </c>
      <c r="C832" s="36" t="str">
        <f>IFERROR(__xludf.DUMMYFUNCTION("""COMPUTED_VALUE"""),"BLK Konawe Selatan")</f>
        <v>BLK Konawe Selatan</v>
      </c>
      <c r="D832" s="36"/>
      <c r="E832" s="36"/>
      <c r="F832" s="36" t="str">
        <f>IFERROR(__xludf.DUMMYFUNCTION("""COMPUTED_VALUE"""),"Ice Yustika")</f>
        <v>Ice Yustika</v>
      </c>
      <c r="G832" s="106">
        <f>IFERROR(__xludf.DUMMYFUNCTION("""COMPUTED_VALUE"""),7.40519491201E15)</f>
        <v>7.40519E+15</v>
      </c>
      <c r="H832" s="36"/>
      <c r="I832" s="36"/>
      <c r="J832" s="36" t="str">
        <f>IFERROR(__xludf.DUMMYFUNCTION("""COMPUTED_VALUE"""),"PEREMPUAN")</f>
        <v>PEREMPUAN</v>
      </c>
      <c r="K832" s="36" t="str">
        <f>IFERROR(__xludf.DUMMYFUNCTION("""COMPUTED_VALUE"""),"Desa Buke, Kec. Buke")</f>
        <v>Desa Buke, Kec. Buke</v>
      </c>
      <c r="L832" s="36"/>
      <c r="M832" s="36"/>
      <c r="N832" s="36"/>
      <c r="O832" s="36"/>
      <c r="P832" s="36"/>
      <c r="Q832" s="36"/>
      <c r="R832" s="36" t="str">
        <f>IFERROR(__xludf.DUMMYFUNCTION("""COMPUTED_VALUE"""),"K")</f>
        <v>K</v>
      </c>
      <c r="S832" s="39"/>
    </row>
    <row r="833">
      <c r="A833" s="104"/>
      <c r="B833" s="36" t="str">
        <f>IFERROR(__xludf.DUMMYFUNCTION("""COMPUTED_VALUE"""),"Merias Wajah")</f>
        <v>Merias Wajah</v>
      </c>
      <c r="C833" s="36" t="str">
        <f>IFERROR(__xludf.DUMMYFUNCTION("""COMPUTED_VALUE"""),"BLK Konawe Selatan")</f>
        <v>BLK Konawe Selatan</v>
      </c>
      <c r="D833" s="36"/>
      <c r="E833" s="36"/>
      <c r="F833" s="36" t="str">
        <f>IFERROR(__xludf.DUMMYFUNCTION("""COMPUTED_VALUE"""),"Fransiska Aulia")</f>
        <v>Fransiska Aulia</v>
      </c>
      <c r="G833" s="106">
        <f>IFERROR(__xludf.DUMMYFUNCTION("""COMPUTED_VALUE"""),7.40504570208E15)</f>
        <v>7.40505E+15</v>
      </c>
      <c r="H833" s="36"/>
      <c r="I833" s="36"/>
      <c r="J833" s="36" t="str">
        <f>IFERROR(__xludf.DUMMYFUNCTION("""COMPUTED_VALUE"""),"PEREMPUAN")</f>
        <v>PEREMPUAN</v>
      </c>
      <c r="K833" s="36" t="str">
        <f>IFERROR(__xludf.DUMMYFUNCTION("""COMPUTED_VALUE"""),"Desa Anggondara, Kec. Palangga")</f>
        <v>Desa Anggondara, Kec. Palangga</v>
      </c>
      <c r="L833" s="36"/>
      <c r="M833" s="36"/>
      <c r="N833" s="36"/>
      <c r="O833" s="36"/>
      <c r="P833" s="36"/>
      <c r="Q833" s="36"/>
      <c r="R833" s="36" t="str">
        <f>IFERROR(__xludf.DUMMYFUNCTION("""COMPUTED_VALUE"""),"K")</f>
        <v>K</v>
      </c>
      <c r="S833" s="39"/>
    </row>
    <row r="834">
      <c r="A834" s="104"/>
      <c r="B834" s="36" t="str">
        <f>IFERROR(__xludf.DUMMYFUNCTION("""COMPUTED_VALUE"""),"Merias Wajah")</f>
        <v>Merias Wajah</v>
      </c>
      <c r="C834" s="36" t="str">
        <f>IFERROR(__xludf.DUMMYFUNCTION("""COMPUTED_VALUE"""),"BLK Konawe Selatan")</f>
        <v>BLK Konawe Selatan</v>
      </c>
      <c r="D834" s="36"/>
      <c r="E834" s="36"/>
      <c r="F834" s="36" t="str">
        <f>IFERROR(__xludf.DUMMYFUNCTION("""COMPUTED_VALUE"""),"Dwi Indah Prasetyani")</f>
        <v>Dwi Indah Prasetyani</v>
      </c>
      <c r="G834" s="106">
        <f>IFERROR(__xludf.DUMMYFUNCTION("""COMPUTED_VALUE"""),7.40519410702001E15)</f>
        <v>7.40519E+15</v>
      </c>
      <c r="H834" s="36"/>
      <c r="I834" s="36"/>
      <c r="J834" s="36" t="str">
        <f>IFERROR(__xludf.DUMMYFUNCTION("""COMPUTED_VALUE"""),"PEREMPUAN")</f>
        <v>PEREMPUAN</v>
      </c>
      <c r="K834" s="36" t="str">
        <f>IFERROR(__xludf.DUMMYFUNCTION("""COMPUTED_VALUE"""),"Desa Lambakara, Kec. Laeya")</f>
        <v>Desa Lambakara, Kec. Laeya</v>
      </c>
      <c r="L834" s="36"/>
      <c r="M834" s="36"/>
      <c r="N834" s="36"/>
      <c r="O834" s="36"/>
      <c r="P834" s="36"/>
      <c r="Q834" s="36"/>
      <c r="R834" s="36" t="str">
        <f>IFERROR(__xludf.DUMMYFUNCTION("""COMPUTED_VALUE"""),"K")</f>
        <v>K</v>
      </c>
      <c r="S834" s="39"/>
    </row>
    <row r="835">
      <c r="A835" s="104"/>
      <c r="B835" s="36" t="str">
        <f>IFERROR(__xludf.DUMMYFUNCTION("""COMPUTED_VALUE"""),"Merias Wajah")</f>
        <v>Merias Wajah</v>
      </c>
      <c r="C835" s="36" t="str">
        <f>IFERROR(__xludf.DUMMYFUNCTION("""COMPUTED_VALUE"""),"BLK Konawe Selatan")</f>
        <v>BLK Konawe Selatan</v>
      </c>
      <c r="D835" s="36"/>
      <c r="E835" s="36"/>
      <c r="F835" s="36" t="str">
        <f>IFERROR(__xludf.DUMMYFUNCTION("""COMPUTED_VALUE"""),"Chici Fatmala Dewi")</f>
        <v>Chici Fatmala Dewi</v>
      </c>
      <c r="G835" s="106">
        <f>IFERROR(__xludf.DUMMYFUNCTION("""COMPUTED_VALUE"""),7.40519660504E15)</f>
        <v>7.4052E+15</v>
      </c>
      <c r="H835" s="36"/>
      <c r="I835" s="36"/>
      <c r="J835" s="36" t="str">
        <f>IFERROR(__xludf.DUMMYFUNCTION("""COMPUTED_VALUE"""),"PEREMPUAN")</f>
        <v>PEREMPUAN</v>
      </c>
      <c r="K835" s="36" t="str">
        <f>IFERROR(__xludf.DUMMYFUNCTION("""COMPUTED_VALUE"""),"Kel. Punggaluku, Kec. Laeya")</f>
        <v>Kel. Punggaluku, Kec. Laeya</v>
      </c>
      <c r="L835" s="36"/>
      <c r="M835" s="36"/>
      <c r="N835" s="36"/>
      <c r="O835" s="36"/>
      <c r="P835" s="36"/>
      <c r="Q835" s="36"/>
      <c r="R835" s="36" t="str">
        <f>IFERROR(__xludf.DUMMYFUNCTION("""COMPUTED_VALUE"""),"BK")</f>
        <v>BK</v>
      </c>
      <c r="S835" s="39"/>
    </row>
    <row r="836">
      <c r="A836" s="104"/>
      <c r="B836" s="36" t="str">
        <f>IFERROR(__xludf.DUMMYFUNCTION("""COMPUTED_VALUE"""),"Merias Wajah")</f>
        <v>Merias Wajah</v>
      </c>
      <c r="C836" s="36" t="str">
        <f>IFERROR(__xludf.DUMMYFUNCTION("""COMPUTED_VALUE"""),"BLK Konawe Selatan")</f>
        <v>BLK Konawe Selatan</v>
      </c>
      <c r="D836" s="36"/>
      <c r="E836" s="36"/>
      <c r="F836" s="36" t="str">
        <f>IFERROR(__xludf.DUMMYFUNCTION("""COMPUTED_VALUE"""),"Cindy Ayu Rahmadany")</f>
        <v>Cindy Ayu Rahmadany</v>
      </c>
      <c r="G836" s="106">
        <f>IFERROR(__xludf.DUMMYFUNCTION("""COMPUTED_VALUE"""),7.405196505E15)</f>
        <v>7.4052E+15</v>
      </c>
      <c r="H836" s="36"/>
      <c r="I836" s="36"/>
      <c r="J836" s="36" t="str">
        <f>IFERROR(__xludf.DUMMYFUNCTION("""COMPUTED_VALUE"""),"PEREMPUAN")</f>
        <v>PEREMPUAN</v>
      </c>
      <c r="K836" s="36" t="str">
        <f>IFERROR(__xludf.DUMMYFUNCTION("""COMPUTED_VALUE"""),"Kel. Punggaluku, Kec. Laeya")</f>
        <v>Kel. Punggaluku, Kec. Laeya</v>
      </c>
      <c r="L836" s="36"/>
      <c r="M836" s="36"/>
      <c r="N836" s="36"/>
      <c r="O836" s="36"/>
      <c r="P836" s="36"/>
      <c r="Q836" s="36"/>
      <c r="R836" s="36" t="str">
        <f>IFERROR(__xludf.DUMMYFUNCTION("""COMPUTED_VALUE"""),"K")</f>
        <v>K</v>
      </c>
      <c r="S836" s="39"/>
    </row>
    <row r="837">
      <c r="A837" s="104"/>
      <c r="B837" s="36" t="str">
        <f>IFERROR(__xludf.DUMMYFUNCTION("""COMPUTED_VALUE"""),"Merias Wajah")</f>
        <v>Merias Wajah</v>
      </c>
      <c r="C837" s="36" t="str">
        <f>IFERROR(__xludf.DUMMYFUNCTION("""COMPUTED_VALUE"""),"BLK Konawe Selatan")</f>
        <v>BLK Konawe Selatan</v>
      </c>
      <c r="D837" s="36"/>
      <c r="E837" s="36"/>
      <c r="F837" s="36" t="str">
        <f>IFERROR(__xludf.DUMMYFUNCTION("""COMPUTED_VALUE"""),"Ambarwati")</f>
        <v>Ambarwati</v>
      </c>
      <c r="G837" s="106">
        <f>IFERROR(__xludf.DUMMYFUNCTION("""COMPUTED_VALUE"""),7.40504661088E15)</f>
        <v>7.40505E+15</v>
      </c>
      <c r="H837" s="36"/>
      <c r="I837" s="36"/>
      <c r="J837" s="36" t="str">
        <f>IFERROR(__xludf.DUMMYFUNCTION("""COMPUTED_VALUE"""),"PEREMPUAN")</f>
        <v>PEREMPUAN</v>
      </c>
      <c r="K837" s="36" t="str">
        <f>IFERROR(__xludf.DUMMYFUNCTION("""COMPUTED_VALUE"""),"Desa Wawouru, Kec. Palangga")</f>
        <v>Desa Wawouru, Kec. Palangga</v>
      </c>
      <c r="L837" s="36"/>
      <c r="M837" s="36"/>
      <c r="N837" s="36"/>
      <c r="O837" s="36"/>
      <c r="P837" s="36"/>
      <c r="Q837" s="36"/>
      <c r="R837" s="36" t="str">
        <f>IFERROR(__xludf.DUMMYFUNCTION("""COMPUTED_VALUE"""),"K")</f>
        <v>K</v>
      </c>
      <c r="S837" s="39"/>
    </row>
    <row r="838">
      <c r="A838" s="104"/>
      <c r="B838" s="36" t="str">
        <f>IFERROR(__xludf.DUMMYFUNCTION("""COMPUTED_VALUE"""),"Merias Wajah")</f>
        <v>Merias Wajah</v>
      </c>
      <c r="C838" s="36" t="str">
        <f>IFERROR(__xludf.DUMMYFUNCTION("""COMPUTED_VALUE"""),"BLK Konawe Selatan")</f>
        <v>BLK Konawe Selatan</v>
      </c>
      <c r="D838" s="36"/>
      <c r="E838" s="36"/>
      <c r="F838" s="36" t="str">
        <f>IFERROR(__xludf.DUMMYFUNCTION("""COMPUTED_VALUE"""),"Aulia Ayu Pika Nanda")</f>
        <v>Aulia Ayu Pika Nanda</v>
      </c>
      <c r="G838" s="106">
        <f>IFERROR(__xludf.DUMMYFUNCTION("""COMPUTED_VALUE"""),7.40519640106E15)</f>
        <v>7.4052E+15</v>
      </c>
      <c r="H838" s="36"/>
      <c r="I838" s="36"/>
      <c r="J838" s="36" t="str">
        <f>IFERROR(__xludf.DUMMYFUNCTION("""COMPUTED_VALUE"""),"PEREMPUAN")</f>
        <v>PEREMPUAN</v>
      </c>
      <c r="K838" s="36" t="str">
        <f>IFERROR(__xludf.DUMMYFUNCTION("""COMPUTED_VALUE"""),"Kel. Ambalodangge, Kec. Laeya")</f>
        <v>Kel. Ambalodangge, Kec. Laeya</v>
      </c>
      <c r="L838" s="36"/>
      <c r="M838" s="36"/>
      <c r="N838" s="36"/>
      <c r="O838" s="36"/>
      <c r="P838" s="36"/>
      <c r="Q838" s="36"/>
      <c r="R838" s="36" t="str">
        <f>IFERROR(__xludf.DUMMYFUNCTION("""COMPUTED_VALUE"""),"BK")</f>
        <v>BK</v>
      </c>
      <c r="S838" s="39"/>
    </row>
    <row r="839">
      <c r="A839" s="104"/>
      <c r="B839" s="36" t="str">
        <f>IFERROR(__xludf.DUMMYFUNCTION("""COMPUTED_VALUE"""),"Merias Wajah")</f>
        <v>Merias Wajah</v>
      </c>
      <c r="C839" s="36" t="str">
        <f>IFERROR(__xludf.DUMMYFUNCTION("""COMPUTED_VALUE"""),"BLK Konawe Selatan")</f>
        <v>BLK Konawe Selatan</v>
      </c>
      <c r="D839" s="36"/>
      <c r="E839" s="36"/>
      <c r="F839" s="36" t="str">
        <f>IFERROR(__xludf.DUMMYFUNCTION("""COMPUTED_VALUE"""),"Ayu Wulandari")</f>
        <v>Ayu Wulandari</v>
      </c>
      <c r="G839" s="106">
        <f>IFERROR(__xludf.DUMMYFUNCTION("""COMPUTED_VALUE"""),7.40519560297E15)</f>
        <v>7.4052E+15</v>
      </c>
      <c r="H839" s="36"/>
      <c r="I839" s="36"/>
      <c r="J839" s="36" t="str">
        <f>IFERROR(__xludf.DUMMYFUNCTION("""COMPUTED_VALUE"""),"PEREMPUAN")</f>
        <v>PEREMPUAN</v>
      </c>
      <c r="K839" s="36" t="str">
        <f>IFERROR(__xludf.DUMMYFUNCTION("""COMPUTED_VALUE"""),"Desa Lerepako, Kec. Laeya")</f>
        <v>Desa Lerepako, Kec. Laeya</v>
      </c>
      <c r="L839" s="36"/>
      <c r="M839" s="36"/>
      <c r="N839" s="36"/>
      <c r="O839" s="36"/>
      <c r="P839" s="36"/>
      <c r="Q839" s="36"/>
      <c r="R839" s="36" t="str">
        <f>IFERROR(__xludf.DUMMYFUNCTION("""COMPUTED_VALUE"""),"K")</f>
        <v>K</v>
      </c>
      <c r="S839" s="39"/>
    </row>
    <row r="840">
      <c r="A840" s="104"/>
      <c r="B840" s="36" t="str">
        <f>IFERROR(__xludf.DUMMYFUNCTION("""COMPUTED_VALUE"""),"Merias Wajah")</f>
        <v>Merias Wajah</v>
      </c>
      <c r="C840" s="36" t="str">
        <f>IFERROR(__xludf.DUMMYFUNCTION("""COMPUTED_VALUE"""),"BPVP Kendari")</f>
        <v>BPVP Kendari</v>
      </c>
      <c r="D840" s="36"/>
      <c r="E840" s="36"/>
      <c r="F840" s="36" t="str">
        <f>IFERROR(__xludf.DUMMYFUNCTION("""COMPUTED_VALUE"""),"Alfira Rusmaya Bin Hamid")</f>
        <v>Alfira Rusmaya Bin Hamid</v>
      </c>
      <c r="G840" s="36" t="str">
        <f>IFERROR(__xludf.DUMMYFUNCTION("""COMPUTED_VALUE"""),"7471044607060001")</f>
        <v>7471044607060001</v>
      </c>
      <c r="H840" s="36"/>
      <c r="I840" s="36"/>
      <c r="J840" s="36" t="str">
        <f>IFERROR(__xludf.DUMMYFUNCTION("""COMPUTED_VALUE"""),"PEREMPUAN")</f>
        <v>PEREMPUAN</v>
      </c>
      <c r="K840" s="36" t="str">
        <f>IFERROR(__xludf.DUMMYFUNCTION("""COMPUTED_VALUE"""),"Anawai, Kec. Wua-Wua, Kota Kendari")</f>
        <v>Anawai, Kec. Wua-Wua, Kota Kendari</v>
      </c>
      <c r="L840" s="36"/>
      <c r="M840" s="36"/>
      <c r="N840" s="36"/>
      <c r="O840" s="36"/>
      <c r="P840" s="36"/>
      <c r="Q840" s="36"/>
      <c r="R840" s="36" t="str">
        <f>IFERROR(__xludf.DUMMYFUNCTION("""COMPUTED_VALUE"""),"K")</f>
        <v>K</v>
      </c>
      <c r="S840" s="39"/>
    </row>
    <row r="841">
      <c r="B841" s="36" t="str">
        <f>IFERROR(__xludf.DUMMYFUNCTION("""COMPUTED_VALUE"""),"Merias Wajah")</f>
        <v>Merias Wajah</v>
      </c>
      <c r="C841" s="36" t="str">
        <f>IFERROR(__xludf.DUMMYFUNCTION("""COMPUTED_VALUE"""),"BPVP Kendari")</f>
        <v>BPVP Kendari</v>
      </c>
      <c r="D841" s="36"/>
      <c r="E841" s="36"/>
      <c r="F841" s="36" t="str">
        <f>IFERROR(__xludf.DUMMYFUNCTION("""COMPUTED_VALUE"""),"Anggi Andriani")</f>
        <v>Anggi Andriani</v>
      </c>
      <c r="G841" s="36" t="str">
        <f>IFERROR(__xludf.DUMMYFUNCTION("""COMPUTED_VALUE"""),"7471064305010001")</f>
        <v>7471064305010001</v>
      </c>
      <c r="H841" s="36"/>
      <c r="I841" s="36"/>
      <c r="J841" s="36" t="str">
        <f>IFERROR(__xludf.DUMMYFUNCTION("""COMPUTED_VALUE"""),"PEREMPUAN")</f>
        <v>PEREMPUAN</v>
      </c>
      <c r="K841" s="36" t="str">
        <f>IFERROR(__xludf.DUMMYFUNCTION("""COMPUTED_VALUE"""),"Desa Alosi, Kec. Kolono , Kab.Konawe Selatan")</f>
        <v>Desa Alosi, Kec. Kolono , Kab.Konawe Selatan</v>
      </c>
      <c r="L841" s="36"/>
      <c r="M841" s="36"/>
      <c r="N841" s="36"/>
      <c r="O841" s="36"/>
      <c r="P841" s="36"/>
      <c r="Q841" s="36"/>
      <c r="R841" s="36" t="str">
        <f>IFERROR(__xludf.DUMMYFUNCTION("""COMPUTED_VALUE"""),"K")</f>
        <v>K</v>
      </c>
      <c r="S841" s="39"/>
    </row>
    <row r="842">
      <c r="B842" s="36" t="str">
        <f>IFERROR(__xludf.DUMMYFUNCTION("""COMPUTED_VALUE"""),"Merias Wajah")</f>
        <v>Merias Wajah</v>
      </c>
      <c r="C842" s="36" t="str">
        <f>IFERROR(__xludf.DUMMYFUNCTION("""COMPUTED_VALUE"""),"BPVP Kendari")</f>
        <v>BPVP Kendari</v>
      </c>
      <c r="D842" s="36"/>
      <c r="E842" s="36"/>
      <c r="F842" s="36" t="str">
        <f>IFERROR(__xludf.DUMMYFUNCTION("""COMPUTED_VALUE"""),"Artiani")</f>
        <v>Artiani</v>
      </c>
      <c r="G842" s="36" t="str">
        <f>IFERROR(__xludf.DUMMYFUNCTION("""COMPUTED_VALUE"""),"7471064407030001")</f>
        <v>7471064407030001</v>
      </c>
      <c r="H842" s="36"/>
      <c r="I842" s="36"/>
      <c r="J842" s="36" t="str">
        <f>IFERROR(__xludf.DUMMYFUNCTION("""COMPUTED_VALUE"""),"PEREMPUAN")</f>
        <v>PEREMPUAN</v>
      </c>
      <c r="K842" s="36" t="str">
        <f>IFERROR(__xludf.DUMMYFUNCTION("""COMPUTED_VALUE"""),"Desa Alosi, Kec. Kolono , Kab.Konawe Selatan")</f>
        <v>Desa Alosi, Kec. Kolono , Kab.Konawe Selatan</v>
      </c>
      <c r="L842" s="36"/>
      <c r="M842" s="36"/>
      <c r="N842" s="36"/>
      <c r="O842" s="36"/>
      <c r="P842" s="36"/>
      <c r="Q842" s="36"/>
      <c r="R842" s="36" t="str">
        <f>IFERROR(__xludf.DUMMYFUNCTION("""COMPUTED_VALUE"""),"K")</f>
        <v>K</v>
      </c>
      <c r="S842" s="39"/>
    </row>
    <row r="843">
      <c r="B843" s="36" t="str">
        <f>IFERROR(__xludf.DUMMYFUNCTION("""COMPUTED_VALUE"""),"Merias Wajah")</f>
        <v>Merias Wajah</v>
      </c>
      <c r="C843" s="36" t="str">
        <f>IFERROR(__xludf.DUMMYFUNCTION("""COMPUTED_VALUE"""),"BPVP Kendari")</f>
        <v>BPVP Kendari</v>
      </c>
      <c r="D843" s="36"/>
      <c r="E843" s="36"/>
      <c r="F843" s="36" t="str">
        <f>IFERROR(__xludf.DUMMYFUNCTION("""COMPUTED_VALUE"""),"Dinda Cahyani")</f>
        <v>Dinda Cahyani</v>
      </c>
      <c r="G843" s="36" t="str">
        <f>IFERROR(__xludf.DUMMYFUNCTION("""COMPUTED_VALUE"""),"7402054807020002")</f>
        <v>7402054807020002</v>
      </c>
      <c r="H843" s="36"/>
      <c r="I843" s="36"/>
      <c r="J843" s="36" t="str">
        <f>IFERROR(__xludf.DUMMYFUNCTION("""COMPUTED_VALUE"""),"PEREMPUAN")</f>
        <v>PEREMPUAN</v>
      </c>
      <c r="K843" s="36" t="str">
        <f>IFERROR(__xludf.DUMMYFUNCTION("""COMPUTED_VALUE"""),"Desa Bao Bao, Kec. Sampara, Kab.Konawe")</f>
        <v>Desa Bao Bao, Kec. Sampara, Kab.Konawe</v>
      </c>
      <c r="L843" s="36"/>
      <c r="M843" s="36"/>
      <c r="N843" s="36"/>
      <c r="O843" s="36"/>
      <c r="P843" s="36"/>
      <c r="Q843" s="36"/>
      <c r="R843" s="36" t="str">
        <f>IFERROR(__xludf.DUMMYFUNCTION("""COMPUTED_VALUE"""),"K")</f>
        <v>K</v>
      </c>
      <c r="S843" s="39"/>
    </row>
    <row r="844">
      <c r="B844" s="36" t="str">
        <f>IFERROR(__xludf.DUMMYFUNCTION("""COMPUTED_VALUE"""),"Merias Wajah")</f>
        <v>Merias Wajah</v>
      </c>
      <c r="C844" s="36" t="str">
        <f>IFERROR(__xludf.DUMMYFUNCTION("""COMPUTED_VALUE"""),"BPVP Kendari")</f>
        <v>BPVP Kendari</v>
      </c>
      <c r="D844" s="36"/>
      <c r="E844" s="36"/>
      <c r="F844" s="36" t="str">
        <f>IFERROR(__xludf.DUMMYFUNCTION("""COMPUTED_VALUE"""),"Jelita Silaban")</f>
        <v>Jelita Silaban</v>
      </c>
      <c r="G844" s="36" t="str">
        <f>IFERROR(__xludf.DUMMYFUNCTION("""COMPUTED_VALUE"""),"7405026102040001")</f>
        <v>7405026102040001</v>
      </c>
      <c r="H844" s="36"/>
      <c r="I844" s="36"/>
      <c r="J844" s="36" t="str">
        <f>IFERROR(__xludf.DUMMYFUNCTION("""COMPUTED_VALUE"""),"PEREMPUAN")</f>
        <v>PEREMPUAN</v>
      </c>
      <c r="K844" s="36" t="str">
        <f>IFERROR(__xludf.DUMMYFUNCTION("""COMPUTED_VALUE"""),"Desa Lamoeri, Kec. Angata, Kab.Konawe Selatan")</f>
        <v>Desa Lamoeri, Kec. Angata, Kab.Konawe Selatan</v>
      </c>
      <c r="L844" s="36"/>
      <c r="M844" s="36"/>
      <c r="N844" s="36"/>
      <c r="O844" s="36"/>
      <c r="P844" s="36"/>
      <c r="Q844" s="36"/>
      <c r="R844" s="36" t="str">
        <f>IFERROR(__xludf.DUMMYFUNCTION("""COMPUTED_VALUE"""),"K")</f>
        <v>K</v>
      </c>
      <c r="S844" s="39"/>
    </row>
    <row r="845">
      <c r="B845" s="36" t="str">
        <f>IFERROR(__xludf.DUMMYFUNCTION("""COMPUTED_VALUE"""),"Merias Wajah")</f>
        <v>Merias Wajah</v>
      </c>
      <c r="C845" s="36" t="str">
        <f>IFERROR(__xludf.DUMMYFUNCTION("""COMPUTED_VALUE"""),"BPVP Kendari")</f>
        <v>BPVP Kendari</v>
      </c>
      <c r="D845" s="36"/>
      <c r="E845" s="36"/>
      <c r="F845" s="36" t="str">
        <f>IFERROR(__xludf.DUMMYFUNCTION("""COMPUTED_VALUE"""),"Mika Mona")</f>
        <v>Mika Mona</v>
      </c>
      <c r="G845" s="36" t="str">
        <f>IFERROR(__xludf.DUMMYFUNCTION("""COMPUTED_VALUE"""),"7405115806030002")</f>
        <v>7405115806030002</v>
      </c>
      <c r="H845" s="36"/>
      <c r="I845" s="36"/>
      <c r="J845" s="36" t="str">
        <f>IFERROR(__xludf.DUMMYFUNCTION("""COMPUTED_VALUE"""),"PEREMPUAN")</f>
        <v>PEREMPUAN</v>
      </c>
      <c r="K845" s="36" t="str">
        <f>IFERROR(__xludf.DUMMYFUNCTION("""COMPUTED_VALUE"""),"Desa Batu Jaya, Kec. Laonti, Kab.Konawe selatan")</f>
        <v>Desa Batu Jaya, Kec. Laonti, Kab.Konawe selatan</v>
      </c>
      <c r="L845" s="36"/>
      <c r="M845" s="36"/>
      <c r="N845" s="36"/>
      <c r="O845" s="36"/>
      <c r="P845" s="36"/>
      <c r="Q845" s="36"/>
      <c r="R845" s="36" t="str">
        <f>IFERROR(__xludf.DUMMYFUNCTION("""COMPUTED_VALUE"""),"K")</f>
        <v>K</v>
      </c>
      <c r="S845" s="39"/>
    </row>
    <row r="846">
      <c r="B846" s="36" t="str">
        <f>IFERROR(__xludf.DUMMYFUNCTION("""COMPUTED_VALUE"""),"Merias Wajah")</f>
        <v>Merias Wajah</v>
      </c>
      <c r="C846" s="36" t="str">
        <f>IFERROR(__xludf.DUMMYFUNCTION("""COMPUTED_VALUE"""),"BPVP Kendari")</f>
        <v>BPVP Kendari</v>
      </c>
      <c r="D846" s="36"/>
      <c r="E846" s="36"/>
      <c r="F846" s="36" t="str">
        <f>IFERROR(__xludf.DUMMYFUNCTION("""COMPUTED_VALUE"""),"Rada Deviana Safitri Al-Hasni")</f>
        <v>Rada Deviana Safitri Al-Hasni</v>
      </c>
      <c r="G846" s="36" t="str">
        <f>IFERROR(__xludf.DUMMYFUNCTION("""COMPUTED_VALUE"""),"7402036112980002")</f>
        <v>7402036112980002</v>
      </c>
      <c r="H846" s="36"/>
      <c r="I846" s="36"/>
      <c r="J846" s="36" t="str">
        <f>IFERROR(__xludf.DUMMYFUNCTION("""COMPUTED_VALUE"""),"PEREMPUAN")</f>
        <v>PEREMPUAN</v>
      </c>
      <c r="K846" s="36" t="str">
        <f>IFERROR(__xludf.DUMMYFUNCTION("""COMPUTED_VALUE"""),"Kel.Konawe, Kec. Konawe, Kab.konawe")</f>
        <v>Kel.Konawe, Kec. Konawe, Kab.konawe</v>
      </c>
      <c r="L846" s="36"/>
      <c r="M846" s="36"/>
      <c r="N846" s="36"/>
      <c r="O846" s="36"/>
      <c r="P846" s="36"/>
      <c r="Q846" s="36"/>
      <c r="R846" s="36" t="str">
        <f>IFERROR(__xludf.DUMMYFUNCTION("""COMPUTED_VALUE"""),"K")</f>
        <v>K</v>
      </c>
      <c r="S846" s="39"/>
    </row>
    <row r="847">
      <c r="B847" s="36" t="str">
        <f>IFERROR(__xludf.DUMMYFUNCTION("""COMPUTED_VALUE"""),"Merias Wajah")</f>
        <v>Merias Wajah</v>
      </c>
      <c r="C847" s="36" t="str">
        <f>IFERROR(__xludf.DUMMYFUNCTION("""COMPUTED_VALUE"""),"BPVP Kendari")</f>
        <v>BPVP Kendari</v>
      </c>
      <c r="D847" s="36"/>
      <c r="E847" s="36"/>
      <c r="F847" s="36" t="str">
        <f>IFERROR(__xludf.DUMMYFUNCTION("""COMPUTED_VALUE"""),"Rezky Pebriani Latif")</f>
        <v>Rezky Pebriani Latif</v>
      </c>
      <c r="G847" s="36" t="str">
        <f>IFERROR(__xludf.DUMMYFUNCTION("""COMPUTED_VALUE"""),"7471016702030002")</f>
        <v>7471016702030002</v>
      </c>
      <c r="H847" s="36"/>
      <c r="I847" s="36"/>
      <c r="J847" s="36" t="str">
        <f>IFERROR(__xludf.DUMMYFUNCTION("""COMPUTED_VALUE"""),"PEREMPUAN")</f>
        <v>PEREMPUAN</v>
      </c>
      <c r="K847" s="36" t="str">
        <f>IFERROR(__xludf.DUMMYFUNCTION("""COMPUTED_VALUE"""),"Desa Aopa, Kec. Angata, Kab.Konawe Selatan")</f>
        <v>Desa Aopa, Kec. Angata, Kab.Konawe Selatan</v>
      </c>
      <c r="L847" s="36"/>
      <c r="M847" s="36"/>
      <c r="N847" s="36"/>
      <c r="O847" s="36"/>
      <c r="P847" s="36"/>
      <c r="Q847" s="36"/>
      <c r="R847" s="36" t="str">
        <f>IFERROR(__xludf.DUMMYFUNCTION("""COMPUTED_VALUE"""),"K")</f>
        <v>K</v>
      </c>
      <c r="S847" s="39"/>
    </row>
    <row r="848">
      <c r="B848" s="36" t="str">
        <f>IFERROR(__xludf.DUMMYFUNCTION("""COMPUTED_VALUE"""),"Merias Wajah")</f>
        <v>Merias Wajah</v>
      </c>
      <c r="C848" s="36" t="str">
        <f>IFERROR(__xludf.DUMMYFUNCTION("""COMPUTED_VALUE"""),"BPVP Kendari")</f>
        <v>BPVP Kendari</v>
      </c>
      <c r="D848" s="36"/>
      <c r="E848" s="36"/>
      <c r="F848" s="36" t="str">
        <f>IFERROR(__xludf.DUMMYFUNCTION("""COMPUTED_VALUE"""),"Syarifah Ananda Putri")</f>
        <v>Syarifah Ananda Putri</v>
      </c>
      <c r="G848" s="36" t="str">
        <f>IFERROR(__xludf.DUMMYFUNCTION("""COMPUTED_VALUE"""),"7471066209030002")</f>
        <v>7471066209030002</v>
      </c>
      <c r="H848" s="36"/>
      <c r="I848" s="36"/>
      <c r="J848" s="36" t="str">
        <f>IFERROR(__xludf.DUMMYFUNCTION("""COMPUTED_VALUE"""),"PEREMPUAN")</f>
        <v>PEREMPUAN</v>
      </c>
      <c r="K848" s="36" t="str">
        <f>IFERROR(__xludf.DUMMYFUNCTION("""COMPUTED_VALUE"""),"Kel.Sambuli, Kec. Abeli, Kota Kendari")</f>
        <v>Kel.Sambuli, Kec. Abeli, Kota Kendari</v>
      </c>
      <c r="L848" s="36"/>
      <c r="M848" s="36"/>
      <c r="N848" s="36"/>
      <c r="O848" s="36"/>
      <c r="P848" s="36"/>
      <c r="Q848" s="36"/>
      <c r="R848" s="36" t="str">
        <f>IFERROR(__xludf.DUMMYFUNCTION("""COMPUTED_VALUE"""),"K")</f>
        <v>K</v>
      </c>
      <c r="S848" s="39"/>
    </row>
    <row r="849">
      <c r="B849" s="36" t="str">
        <f>IFERROR(__xludf.DUMMYFUNCTION("""COMPUTED_VALUE"""),"Merias Wajah")</f>
        <v>Merias Wajah</v>
      </c>
      <c r="C849" s="36" t="str">
        <f>IFERROR(__xludf.DUMMYFUNCTION("""COMPUTED_VALUE"""),"BPVP Kendari")</f>
        <v>BPVP Kendari</v>
      </c>
      <c r="D849" s="36"/>
      <c r="E849" s="36"/>
      <c r="F849" s="36" t="str">
        <f>IFERROR(__xludf.DUMMYFUNCTION("""COMPUTED_VALUE"""),"Tiara Wardani")</f>
        <v>Tiara Wardani</v>
      </c>
      <c r="G849" s="36">
        <f>IFERROR(__xludf.DUMMYFUNCTION("""COMPUTED_VALUE"""),7.40311603980201E14)</f>
        <v>740311603980201</v>
      </c>
      <c r="H849" s="36"/>
      <c r="I849" s="36"/>
      <c r="J849" s="36" t="str">
        <f>IFERROR(__xludf.DUMMYFUNCTION("""COMPUTED_VALUE"""),"PEREMPUAN")</f>
        <v>PEREMPUAN</v>
      </c>
      <c r="K849" s="36" t="str">
        <f>IFERROR(__xludf.DUMMYFUNCTION("""COMPUTED_VALUE"""),"Desa Loghiya, Kec. Lohia, Kab.Muna")</f>
        <v>Desa Loghiya, Kec. Lohia, Kab.Muna</v>
      </c>
      <c r="L849" s="36"/>
      <c r="M849" s="36"/>
      <c r="N849" s="36"/>
      <c r="O849" s="36"/>
      <c r="P849" s="36"/>
      <c r="Q849" s="36"/>
      <c r="R849" s="36" t="str">
        <f>IFERROR(__xludf.DUMMYFUNCTION("""COMPUTED_VALUE"""),"K")</f>
        <v>K</v>
      </c>
      <c r="S849" s="39"/>
    </row>
    <row r="850">
      <c r="B850" s="36" t="str">
        <f>IFERROR(__xludf.DUMMYFUNCTION("""COMPUTED_VALUE"""),"Merakit Komponen Fabrikasi")</f>
        <v>Merakit Komponen Fabrikasi</v>
      </c>
      <c r="C850" s="36" t="str">
        <f>IFERROR(__xludf.DUMMYFUNCTION("""COMPUTED_VALUE"""),"BPVP Kendari")</f>
        <v>BPVP Kendari</v>
      </c>
      <c r="D850" s="36"/>
      <c r="E850" s="36"/>
      <c r="F850" s="36" t="str">
        <f>IFERROR(__xludf.DUMMYFUNCTION("""COMPUTED_VALUE"""),"Alham")</f>
        <v>Alham</v>
      </c>
      <c r="G850" s="36" t="str">
        <f>IFERROR(__xludf.DUMMYFUNCTION("""COMPUTED_VALUE"""),"7405190407930001")</f>
        <v>7405190407930001</v>
      </c>
      <c r="H850" s="36"/>
      <c r="I850" s="36"/>
      <c r="J850" s="36" t="str">
        <f>IFERROR(__xludf.DUMMYFUNCTION("""COMPUTED_VALUE"""),"LAKI-LAKI")</f>
        <v>LAKI-LAKI</v>
      </c>
      <c r="K850" s="36" t="str">
        <f>IFERROR(__xludf.DUMMYFUNCTION("""COMPUTED_VALUE"""),"Punggaluku, Kec. Laeya, Kab. Konawe Selatan")</f>
        <v>Punggaluku, Kec. Laeya, Kab. Konawe Selatan</v>
      </c>
      <c r="L850" s="36"/>
      <c r="M850" s="36"/>
      <c r="N850" s="36"/>
      <c r="O850" s="36"/>
      <c r="P850" s="36"/>
      <c r="Q850" s="36"/>
      <c r="R850" s="36" t="str">
        <f>IFERROR(__xludf.DUMMYFUNCTION("""COMPUTED_VALUE"""),"K")</f>
        <v>K</v>
      </c>
      <c r="S850" s="39"/>
    </row>
    <row r="851">
      <c r="B851" s="36" t="str">
        <f>IFERROR(__xludf.DUMMYFUNCTION("""COMPUTED_VALUE"""),"Merakit Komponen Fabrikasi")</f>
        <v>Merakit Komponen Fabrikasi</v>
      </c>
      <c r="C851" s="36" t="str">
        <f>IFERROR(__xludf.DUMMYFUNCTION("""COMPUTED_VALUE"""),"BPVP Kendari")</f>
        <v>BPVP Kendari</v>
      </c>
      <c r="D851" s="36"/>
      <c r="E851" s="36"/>
      <c r="F851" s="36" t="str">
        <f>IFERROR(__xludf.DUMMYFUNCTION("""COMPUTED_VALUE"""),"Andi Muh. Fajrin")</f>
        <v>Andi Muh. Fajrin</v>
      </c>
      <c r="G851" s="36" t="str">
        <f>IFERROR(__xludf.DUMMYFUNCTION("""COMPUTED_VALUE"""),"7402022407030001")</f>
        <v>7402022407030001</v>
      </c>
      <c r="H851" s="36"/>
      <c r="I851" s="36"/>
      <c r="J851" s="36" t="str">
        <f>IFERROR(__xludf.DUMMYFUNCTION("""COMPUTED_VALUE"""),"LAKI-LAKI")</f>
        <v>LAKI-LAKI</v>
      </c>
      <c r="K851" s="36" t="str">
        <f>IFERROR(__xludf.DUMMYFUNCTION("""COMPUTED_VALUE"""),"Wawonggole, Kec. Unaha, Kab. Konawe")</f>
        <v>Wawonggole, Kec. Unaha, Kab. Konawe</v>
      </c>
      <c r="L851" s="36"/>
      <c r="M851" s="36"/>
      <c r="N851" s="36"/>
      <c r="O851" s="36"/>
      <c r="P851" s="36"/>
      <c r="Q851" s="36"/>
      <c r="R851" s="36" t="str">
        <f>IFERROR(__xludf.DUMMYFUNCTION("""COMPUTED_VALUE"""),"K")</f>
        <v>K</v>
      </c>
      <c r="S851" s="39"/>
    </row>
    <row r="852">
      <c r="B852" s="36" t="str">
        <f>IFERROR(__xludf.DUMMYFUNCTION("""COMPUTED_VALUE"""),"Merakit Komponen Fabrikasi")</f>
        <v>Merakit Komponen Fabrikasi</v>
      </c>
      <c r="C852" s="36" t="str">
        <f>IFERROR(__xludf.DUMMYFUNCTION("""COMPUTED_VALUE"""),"BPVP Kendari")</f>
        <v>BPVP Kendari</v>
      </c>
      <c r="D852" s="36"/>
      <c r="E852" s="36"/>
      <c r="F852" s="36" t="str">
        <f>IFERROR(__xludf.DUMMYFUNCTION("""COMPUTED_VALUE"""),"Fahril Eka Syaputra")</f>
        <v>Fahril Eka Syaputra</v>
      </c>
      <c r="G852" s="36" t="str">
        <f>IFERROR(__xludf.DUMMYFUNCTION("""COMPUTED_VALUE"""),"7403270601060001")</f>
        <v>7403270601060001</v>
      </c>
      <c r="H852" s="36"/>
      <c r="I852" s="36"/>
      <c r="J852" s="36" t="str">
        <f>IFERROR(__xludf.DUMMYFUNCTION("""COMPUTED_VALUE"""),"LAKI-LAKI")</f>
        <v>LAKI-LAKI</v>
      </c>
      <c r="K852" s="36" t="str">
        <f>IFERROR(__xludf.DUMMYFUNCTION("""COMPUTED_VALUE"""),"Lahontohe, Kec. Tongkuno, Kab. Muna")</f>
        <v>Lahontohe, Kec. Tongkuno, Kab. Muna</v>
      </c>
      <c r="L852" s="36"/>
      <c r="M852" s="36"/>
      <c r="N852" s="36"/>
      <c r="O852" s="36"/>
      <c r="P852" s="36"/>
      <c r="Q852" s="36"/>
      <c r="R852" s="36" t="str">
        <f>IFERROR(__xludf.DUMMYFUNCTION("""COMPUTED_VALUE"""),"K")</f>
        <v>K</v>
      </c>
      <c r="S852" s="39"/>
    </row>
    <row r="853">
      <c r="B853" s="36" t="str">
        <f>IFERROR(__xludf.DUMMYFUNCTION("""COMPUTED_VALUE"""),"Merakit Komponen Fabrikasi")</f>
        <v>Merakit Komponen Fabrikasi</v>
      </c>
      <c r="C853" s="36" t="str">
        <f>IFERROR(__xludf.DUMMYFUNCTION("""COMPUTED_VALUE"""),"BPVP Kendari")</f>
        <v>BPVP Kendari</v>
      </c>
      <c r="D853" s="36"/>
      <c r="E853" s="36"/>
      <c r="F853" s="36" t="str">
        <f>IFERROR(__xludf.DUMMYFUNCTION("""COMPUTED_VALUE"""),"Hendrik Syaputra")</f>
        <v>Hendrik Syaputra</v>
      </c>
      <c r="G853" s="36" t="str">
        <f>IFERROR(__xludf.DUMMYFUNCTION("""COMPUTED_VALUE"""),"7401020612950001")</f>
        <v>7401020612950001</v>
      </c>
      <c r="H853" s="36"/>
      <c r="I853" s="36"/>
      <c r="J853" s="36" t="str">
        <f>IFERROR(__xludf.DUMMYFUNCTION("""COMPUTED_VALUE"""),"LAKI-LAKI")</f>
        <v>LAKI-LAKI</v>
      </c>
      <c r="K853" s="36" t="str">
        <f>IFERROR(__xludf.DUMMYFUNCTION("""COMPUTED_VALUE"""),"Tirawuta, Kec. Tirawuta, Kolaka Timur")</f>
        <v>Tirawuta, Kec. Tirawuta, Kolaka Timur</v>
      </c>
      <c r="L853" s="36"/>
      <c r="M853" s="36"/>
      <c r="N853" s="36"/>
      <c r="O853" s="36"/>
      <c r="P853" s="36"/>
      <c r="Q853" s="36"/>
      <c r="R853" s="36" t="str">
        <f>IFERROR(__xludf.DUMMYFUNCTION("""COMPUTED_VALUE"""),"K")</f>
        <v>K</v>
      </c>
      <c r="S853" s="39"/>
    </row>
    <row r="854">
      <c r="B854" s="36" t="str">
        <f>IFERROR(__xludf.DUMMYFUNCTION("""COMPUTED_VALUE"""),"Merakit Komponen Fabrikasi")</f>
        <v>Merakit Komponen Fabrikasi</v>
      </c>
      <c r="C854" s="36" t="str">
        <f>IFERROR(__xludf.DUMMYFUNCTION("""COMPUTED_VALUE"""),"BPVP Kendari")</f>
        <v>BPVP Kendari</v>
      </c>
      <c r="D854" s="36"/>
      <c r="E854" s="36"/>
      <c r="F854" s="36" t="str">
        <f>IFERROR(__xludf.DUMMYFUNCTION("""COMPUTED_VALUE"""),"Muh. Alfin Sandi Pratama")</f>
        <v>Muh. Alfin Sandi Pratama</v>
      </c>
      <c r="G854" s="36" t="str">
        <f>IFERROR(__xludf.DUMMYFUNCTION("""COMPUTED_VALUE"""),"7405161109040001")</f>
        <v>7405161109040001</v>
      </c>
      <c r="H854" s="36"/>
      <c r="I854" s="36"/>
      <c r="J854" s="36" t="str">
        <f>IFERROR(__xludf.DUMMYFUNCTION("""COMPUTED_VALUE"""),"LAKI-LAKI")</f>
        <v>LAKI-LAKI</v>
      </c>
      <c r="K854" s="36" t="str">
        <f>IFERROR(__xludf.DUMMYFUNCTION("""COMPUTED_VALUE"""),"Sanggula, Kec. Moramo Utara, Kab. Konawe Selatan")</f>
        <v>Sanggula, Kec. Moramo Utara, Kab. Konawe Selatan</v>
      </c>
      <c r="L854" s="36"/>
      <c r="M854" s="36"/>
      <c r="N854" s="36"/>
      <c r="O854" s="36"/>
      <c r="P854" s="36"/>
      <c r="Q854" s="36"/>
      <c r="R854" s="36" t="str">
        <f>IFERROR(__xludf.DUMMYFUNCTION("""COMPUTED_VALUE"""),"K")</f>
        <v>K</v>
      </c>
      <c r="S854" s="39"/>
    </row>
    <row r="855">
      <c r="B855" s="36" t="str">
        <f>IFERROR(__xludf.DUMMYFUNCTION("""COMPUTED_VALUE"""),"Merakit Komponen Fabrikasi")</f>
        <v>Merakit Komponen Fabrikasi</v>
      </c>
      <c r="C855" s="36" t="str">
        <f>IFERROR(__xludf.DUMMYFUNCTION("""COMPUTED_VALUE"""),"BPVP Kendari")</f>
        <v>BPVP Kendari</v>
      </c>
      <c r="D855" s="36"/>
      <c r="E855" s="36"/>
      <c r="F855" s="36" t="str">
        <f>IFERROR(__xludf.DUMMYFUNCTION("""COMPUTED_VALUE"""),"Muhamad Jakir")</f>
        <v>Muhamad Jakir</v>
      </c>
      <c r="G855" s="36" t="str">
        <f>IFERROR(__xludf.DUMMYFUNCTION("""COMPUTED_VALUE"""),"7403251407050001")</f>
        <v>7403251407050001</v>
      </c>
      <c r="H855" s="36"/>
      <c r="I855" s="36"/>
      <c r="J855" s="36" t="str">
        <f>IFERROR(__xludf.DUMMYFUNCTION("""COMPUTED_VALUE"""),"LAKI-LAKI")</f>
        <v>LAKI-LAKI</v>
      </c>
      <c r="K855" s="36" t="str">
        <f>IFERROR(__xludf.DUMMYFUNCTION("""COMPUTED_VALUE"""),"Walambeno Wite, Kec. Parigi, Kab. Muna")</f>
        <v>Walambeno Wite, Kec. Parigi, Kab. Muna</v>
      </c>
      <c r="L855" s="36"/>
      <c r="M855" s="36"/>
      <c r="N855" s="36"/>
      <c r="O855" s="36"/>
      <c r="P855" s="36"/>
      <c r="Q855" s="36"/>
      <c r="R855" s="36" t="str">
        <f>IFERROR(__xludf.DUMMYFUNCTION("""COMPUTED_VALUE"""),"K")</f>
        <v>K</v>
      </c>
      <c r="S855" s="39"/>
    </row>
    <row r="856">
      <c r="B856" s="36" t="str">
        <f>IFERROR(__xludf.DUMMYFUNCTION("""COMPUTED_VALUE"""),"Merakit Komponen Fabrikasi")</f>
        <v>Merakit Komponen Fabrikasi</v>
      </c>
      <c r="C856" s="36" t="str">
        <f>IFERROR(__xludf.DUMMYFUNCTION("""COMPUTED_VALUE"""),"BPVP Kendari")</f>
        <v>BPVP Kendari</v>
      </c>
      <c r="D856" s="36"/>
      <c r="E856" s="36"/>
      <c r="F856" s="36" t="str">
        <f>IFERROR(__xludf.DUMMYFUNCTION("""COMPUTED_VALUE"""),"Muhammad Sobri Salam")</f>
        <v>Muhammad Sobri Salam</v>
      </c>
      <c r="G856" s="106">
        <f>IFERROR(__xludf.DUMMYFUNCTION("""COMPUTED_VALUE"""),7.40204080805E15)</f>
        <v>7.40204E+15</v>
      </c>
      <c r="H856" s="36"/>
      <c r="I856" s="36"/>
      <c r="J856" s="36" t="str">
        <f>IFERROR(__xludf.DUMMYFUNCTION("""COMPUTED_VALUE"""),"LAKI-LAKI")</f>
        <v>LAKI-LAKI</v>
      </c>
      <c r="K856" s="36" t="str">
        <f>IFERROR(__xludf.DUMMYFUNCTION("""COMPUTED_VALUE"""),"Laloika, Kec. Pondidaha, Kab. Konawe")</f>
        <v>Laloika, Kec. Pondidaha, Kab. Konawe</v>
      </c>
      <c r="L856" s="36"/>
      <c r="M856" s="36"/>
      <c r="N856" s="36"/>
      <c r="O856" s="36"/>
      <c r="P856" s="36"/>
      <c r="Q856" s="36"/>
      <c r="R856" s="36" t="str">
        <f>IFERROR(__xludf.DUMMYFUNCTION("""COMPUTED_VALUE"""),"K")</f>
        <v>K</v>
      </c>
      <c r="S856" s="39"/>
    </row>
    <row r="857">
      <c r="B857" s="36" t="str">
        <f>IFERROR(__xludf.DUMMYFUNCTION("""COMPUTED_VALUE"""),"Pengelolaan Administrasi Kantor Digital Berbasis Google Workspace")</f>
        <v>Pengelolaan Administrasi Kantor Digital Berbasis Google Workspace</v>
      </c>
      <c r="C857" s="36" t="str">
        <f>IFERROR(__xludf.DUMMYFUNCTION("""COMPUTED_VALUE"""),"BPVP Kendari")</f>
        <v>BPVP Kendari</v>
      </c>
      <c r="D857" s="36"/>
      <c r="E857" s="36"/>
      <c r="F857" s="36" t="str">
        <f>IFERROR(__xludf.DUMMYFUNCTION("""COMPUTED_VALUE"""),"Desty Aulia Ramadhani")</f>
        <v>Desty Aulia Ramadhani</v>
      </c>
      <c r="G857" s="36" t="str">
        <f>IFERROR(__xludf.DUMMYFUNCTION("""COMPUTED_VALUE"""),"7471035011040003")</f>
        <v>7471035011040003</v>
      </c>
      <c r="H857" s="36"/>
      <c r="I857" s="36"/>
      <c r="J857" s="36" t="str">
        <f>IFERROR(__xludf.DUMMYFUNCTION("""COMPUTED_VALUE"""),"PEREMPUAN")</f>
        <v>PEREMPUAN</v>
      </c>
      <c r="K857" s="36" t="str">
        <f>IFERROR(__xludf.DUMMYFUNCTION("""COMPUTED_VALUE"""),"Baruga, Kec. Baruga, Kota Kendari")</f>
        <v>Baruga, Kec. Baruga, Kota Kendari</v>
      </c>
      <c r="L857" s="36"/>
      <c r="M857" s="36"/>
      <c r="N857" s="36"/>
      <c r="O857" s="36"/>
      <c r="P857" s="36"/>
      <c r="Q857" s="36"/>
      <c r="R857" s="36" t="str">
        <f>IFERROR(__xludf.DUMMYFUNCTION("""COMPUTED_VALUE"""),"K")</f>
        <v>K</v>
      </c>
      <c r="S857" s="39"/>
    </row>
    <row r="858">
      <c r="B858" s="36" t="str">
        <f>IFERROR(__xludf.DUMMYFUNCTION("""COMPUTED_VALUE"""),"Pengelolaan Administrasi Kantor Digital Berbasis Google Workspace")</f>
        <v>Pengelolaan Administrasi Kantor Digital Berbasis Google Workspace</v>
      </c>
      <c r="C858" s="36" t="str">
        <f>IFERROR(__xludf.DUMMYFUNCTION("""COMPUTED_VALUE"""),"BPVP Kendari")</f>
        <v>BPVP Kendari</v>
      </c>
      <c r="D858" s="36"/>
      <c r="E858" s="36"/>
      <c r="F858" s="36" t="str">
        <f>IFERROR(__xludf.DUMMYFUNCTION("""COMPUTED_VALUE"""),"Devi Permata Indah")</f>
        <v>Devi Permata Indah</v>
      </c>
      <c r="G858" s="36" t="str">
        <f>IFERROR(__xludf.DUMMYFUNCTION("""COMPUTED_VALUE"""),"7471054907000002")</f>
        <v>7471054907000002</v>
      </c>
      <c r="H858" s="36"/>
      <c r="I858" s="36"/>
      <c r="J858" s="36" t="str">
        <f>IFERROR(__xludf.DUMMYFUNCTION("""COMPUTED_VALUE"""),"PEREMPUAN")</f>
        <v>PEREMPUAN</v>
      </c>
      <c r="K858" s="36" t="str">
        <f>IFERROR(__xludf.DUMMYFUNCTION("""COMPUTED_VALUE"""),"Padaleu, Kec. Kambu, Kota Kendari")</f>
        <v>Padaleu, Kec. Kambu, Kota Kendari</v>
      </c>
      <c r="L858" s="36"/>
      <c r="M858" s="36"/>
      <c r="N858" s="36"/>
      <c r="O858" s="36"/>
      <c r="P858" s="36"/>
      <c r="Q858" s="36"/>
      <c r="R858" s="36" t="str">
        <f>IFERROR(__xludf.DUMMYFUNCTION("""COMPUTED_VALUE"""),"K")</f>
        <v>K</v>
      </c>
      <c r="S858" s="39"/>
    </row>
    <row r="859">
      <c r="B859" s="36" t="str">
        <f>IFERROR(__xludf.DUMMYFUNCTION("""COMPUTED_VALUE"""),"Pengelolaan Administrasi Kantor Digital Berbasis Google Workspace")</f>
        <v>Pengelolaan Administrasi Kantor Digital Berbasis Google Workspace</v>
      </c>
      <c r="C859" s="36" t="str">
        <f>IFERROR(__xludf.DUMMYFUNCTION("""COMPUTED_VALUE"""),"BPVP Kendari")</f>
        <v>BPVP Kendari</v>
      </c>
      <c r="D859" s="36"/>
      <c r="E859" s="36"/>
      <c r="F859" s="36" t="str">
        <f>IFERROR(__xludf.DUMMYFUNCTION("""COMPUTED_VALUE"""),"Indriantari")</f>
        <v>Indriantari</v>
      </c>
      <c r="G859" s="36" t="str">
        <f>IFERROR(__xludf.DUMMYFUNCTION("""COMPUTED_VALUE"""),"7405084806000001")</f>
        <v>7405084806000001</v>
      </c>
      <c r="H859" s="36"/>
      <c r="I859" s="36"/>
      <c r="J859" s="36" t="str">
        <f>IFERROR(__xludf.DUMMYFUNCTION("""COMPUTED_VALUE"""),"PEREMPUAN")</f>
        <v>PEREMPUAN</v>
      </c>
      <c r="K859" s="36" t="str">
        <f>IFERROR(__xludf.DUMMYFUNCTION("""COMPUTED_VALUE"""),"Kota Bangun, Kec. Ranomeeto, Kab.    Konawe Selatan")</f>
        <v>Kota Bangun, Kec. Ranomeeto, Kab.    Konawe Selatan</v>
      </c>
      <c r="L859" s="36"/>
      <c r="M859" s="36"/>
      <c r="N859" s="36"/>
      <c r="O859" s="36"/>
      <c r="P859" s="36"/>
      <c r="Q859" s="36"/>
      <c r="R859" s="36" t="str">
        <f>IFERROR(__xludf.DUMMYFUNCTION("""COMPUTED_VALUE"""),"K")</f>
        <v>K</v>
      </c>
      <c r="S859" s="39"/>
    </row>
    <row r="860">
      <c r="B860" s="36" t="str">
        <f>IFERROR(__xludf.DUMMYFUNCTION("""COMPUTED_VALUE"""),"Pengelolaan Administrasi Kantor Digital Berbasis Google Workspace")</f>
        <v>Pengelolaan Administrasi Kantor Digital Berbasis Google Workspace</v>
      </c>
      <c r="C860" s="36" t="str">
        <f>IFERROR(__xludf.DUMMYFUNCTION("""COMPUTED_VALUE"""),"BPVP Kendari")</f>
        <v>BPVP Kendari</v>
      </c>
      <c r="D860" s="36"/>
      <c r="E860" s="36"/>
      <c r="F860" s="36" t="str">
        <f>IFERROR(__xludf.DUMMYFUNCTION("""COMPUTED_VALUE"""),"Milda Andriani")</f>
        <v>Milda Andriani</v>
      </c>
      <c r="G860" s="36" t="str">
        <f>IFERROR(__xludf.DUMMYFUNCTION("""COMPUTED_VALUE"""),"7401026212030001")</f>
        <v>7401026212030001</v>
      </c>
      <c r="H860" s="36"/>
      <c r="I860" s="36"/>
      <c r="J860" s="36" t="str">
        <f>IFERROR(__xludf.DUMMYFUNCTION("""COMPUTED_VALUE"""),"PEREMPUAN")</f>
        <v>PEREMPUAN</v>
      </c>
      <c r="K860" s="36" t="str">
        <f>IFERROR(__xludf.DUMMYFUNCTION("""COMPUTED_VALUE"""),"Tababu, Kec. Tirawuta, Kab. Kolaka Timur")</f>
        <v>Tababu, Kec. Tirawuta, Kab. Kolaka Timur</v>
      </c>
      <c r="L860" s="36"/>
      <c r="M860" s="36"/>
      <c r="N860" s="36"/>
      <c r="O860" s="36"/>
      <c r="P860" s="36"/>
      <c r="Q860" s="36"/>
      <c r="R860" s="36" t="str">
        <f>IFERROR(__xludf.DUMMYFUNCTION("""COMPUTED_VALUE"""),"K")</f>
        <v>K</v>
      </c>
      <c r="S860" s="39"/>
    </row>
    <row r="861">
      <c r="B861" s="36" t="str">
        <f>IFERROR(__xludf.DUMMYFUNCTION("""COMPUTED_VALUE"""),"Pengelolaan Administrasi Kantor Digital Berbasis Google Workspace")</f>
        <v>Pengelolaan Administrasi Kantor Digital Berbasis Google Workspace</v>
      </c>
      <c r="C861" s="36" t="str">
        <f>IFERROR(__xludf.DUMMYFUNCTION("""COMPUTED_VALUE"""),"BPVP Kendari")</f>
        <v>BPVP Kendari</v>
      </c>
      <c r="D861" s="36"/>
      <c r="E861" s="36"/>
      <c r="F861" s="36" t="str">
        <f>IFERROR(__xludf.DUMMYFUNCTION("""COMPUTED_VALUE"""),"Misyou Suryana Putri")</f>
        <v>Misyou Suryana Putri</v>
      </c>
      <c r="G861" s="36" t="str">
        <f>IFERROR(__xludf.DUMMYFUNCTION("""COMPUTED_VALUE"""),"7401077105080001")</f>
        <v>7401077105080001</v>
      </c>
      <c r="H861" s="36"/>
      <c r="I861" s="36"/>
      <c r="J861" s="36" t="str">
        <f>IFERROR(__xludf.DUMMYFUNCTION("""COMPUTED_VALUE"""),"PEREMPUAN")</f>
        <v>PEREMPUAN</v>
      </c>
      <c r="K861" s="36" t="str">
        <f>IFERROR(__xludf.DUMMYFUNCTION("""COMPUTED_VALUE"""),"Walasiho, Kec. Wawo, Kab. Kolaka Utara")</f>
        <v>Walasiho, Kec. Wawo, Kab. Kolaka Utara</v>
      </c>
      <c r="L861" s="36"/>
      <c r="M861" s="36"/>
      <c r="N861" s="36"/>
      <c r="O861" s="36"/>
      <c r="P861" s="36"/>
      <c r="Q861" s="36"/>
      <c r="R861" s="36" t="str">
        <f>IFERROR(__xludf.DUMMYFUNCTION("""COMPUTED_VALUE"""),"BK")</f>
        <v>BK</v>
      </c>
      <c r="S861" s="39"/>
    </row>
    <row r="862">
      <c r="B862" s="36" t="str">
        <f>IFERROR(__xludf.DUMMYFUNCTION("""COMPUTED_VALUE"""),"Pengelolaan Administrasi Kantor Digital Berbasis Google Workspace")</f>
        <v>Pengelolaan Administrasi Kantor Digital Berbasis Google Workspace</v>
      </c>
      <c r="C862" s="36" t="str">
        <f>IFERROR(__xludf.DUMMYFUNCTION("""COMPUTED_VALUE"""),"BPVP Kendari")</f>
        <v>BPVP Kendari</v>
      </c>
      <c r="D862" s="36"/>
      <c r="E862" s="36"/>
      <c r="F862" s="36" t="str">
        <f>IFERROR(__xludf.DUMMYFUNCTION("""COMPUTED_VALUE"""),"Pratiwi Oktaviana")</f>
        <v>Pratiwi Oktaviana</v>
      </c>
      <c r="G862" s="36" t="str">
        <f>IFERROR(__xludf.DUMMYFUNCTION("""COMPUTED_VALUE"""),"7405084105040002")</f>
        <v>7405084105040002</v>
      </c>
      <c r="H862" s="36"/>
      <c r="I862" s="36"/>
      <c r="J862" s="36" t="str">
        <f>IFERROR(__xludf.DUMMYFUNCTION("""COMPUTED_VALUE"""),"PEREMPUAN")</f>
        <v>PEREMPUAN</v>
      </c>
      <c r="K862" s="36" t="str">
        <f>IFERROR(__xludf.DUMMYFUNCTION("""COMPUTED_VALUE"""),"Rambu-Rambu Jaya, Kec. Ranomeeto, Kab. Konawe Selatan")</f>
        <v>Rambu-Rambu Jaya, Kec. Ranomeeto, Kab. Konawe Selatan</v>
      </c>
      <c r="L862" s="36"/>
      <c r="M862" s="36"/>
      <c r="N862" s="36"/>
      <c r="O862" s="36"/>
      <c r="P862" s="36"/>
      <c r="Q862" s="36"/>
      <c r="R862" s="36" t="str">
        <f>IFERROR(__xludf.DUMMYFUNCTION("""COMPUTED_VALUE"""),"K")</f>
        <v>K</v>
      </c>
      <c r="S862" s="39"/>
    </row>
    <row r="863">
      <c r="B863" s="36" t="str">
        <f>IFERROR(__xludf.DUMMYFUNCTION("""COMPUTED_VALUE"""),"Pengelolaan Administrasi Kantor Digital Berbasis Google Workspace")</f>
        <v>Pengelolaan Administrasi Kantor Digital Berbasis Google Workspace</v>
      </c>
      <c r="C863" s="36" t="str">
        <f>IFERROR(__xludf.DUMMYFUNCTION("""COMPUTED_VALUE"""),"BPVP Kendari")</f>
        <v>BPVP Kendari</v>
      </c>
      <c r="D863" s="36"/>
      <c r="E863" s="36"/>
      <c r="F863" s="36" t="str">
        <f>IFERROR(__xludf.DUMMYFUNCTION("""COMPUTED_VALUE"""),"Sarli Alkholifatun")</f>
        <v>Sarli Alkholifatun</v>
      </c>
      <c r="G863" s="36" t="str">
        <f>IFERROR(__xludf.DUMMYFUNCTION("""COMPUTED_VALUE"""),"7405125802040002")</f>
        <v>7405125802040002</v>
      </c>
      <c r="H863" s="36"/>
      <c r="I863" s="36"/>
      <c r="J863" s="36" t="str">
        <f>IFERROR(__xludf.DUMMYFUNCTION("""COMPUTED_VALUE"""),"PEREMPUAN")</f>
        <v>PEREMPUAN</v>
      </c>
      <c r="K863" s="36" t="str">
        <f>IFERROR(__xludf.DUMMYFUNCTION("""COMPUTED_VALUE"""),"Sukamukti, Kec. Lalembuu, Kab. Konawe Selatan")</f>
        <v>Sukamukti, Kec. Lalembuu, Kab. Konawe Selatan</v>
      </c>
      <c r="L863" s="36"/>
      <c r="M863" s="36"/>
      <c r="N863" s="36"/>
      <c r="O863" s="36"/>
      <c r="P863" s="36"/>
      <c r="Q863" s="36"/>
      <c r="R863" s="36" t="str">
        <f>IFERROR(__xludf.DUMMYFUNCTION("""COMPUTED_VALUE"""),"K")</f>
        <v>K</v>
      </c>
      <c r="S863" s="39"/>
    </row>
    <row r="864">
      <c r="B864" s="36" t="str">
        <f>IFERROR(__xludf.DUMMYFUNCTION("""COMPUTED_VALUE"""),"Pengelolaan Administrasi Kantor Digital Berbasis Google Workspace")</f>
        <v>Pengelolaan Administrasi Kantor Digital Berbasis Google Workspace</v>
      </c>
      <c r="C864" s="36" t="str">
        <f>IFERROR(__xludf.DUMMYFUNCTION("""COMPUTED_VALUE"""),"BPVP Kendari")</f>
        <v>BPVP Kendari</v>
      </c>
      <c r="D864" s="36"/>
      <c r="E864" s="36"/>
      <c r="F864" s="36" t="str">
        <f>IFERROR(__xludf.DUMMYFUNCTION("""COMPUTED_VALUE"""),"Sindi Mardasari")</f>
        <v>Sindi Mardasari</v>
      </c>
      <c r="G864" s="36" t="str">
        <f>IFERROR(__xludf.DUMMYFUNCTION("""COMPUTED_VALUE"""),"7403385211030001")</f>
        <v>7403385211030001</v>
      </c>
      <c r="H864" s="36"/>
      <c r="I864" s="36"/>
      <c r="J864" s="36" t="str">
        <f>IFERROR(__xludf.DUMMYFUNCTION("""COMPUTED_VALUE"""),"PEREMPUAN")</f>
        <v>PEREMPUAN</v>
      </c>
      <c r="K864" s="36" t="str">
        <f>IFERROR(__xludf.DUMMYFUNCTION("""COMPUTED_VALUE"""),"Barakkah, Kec. Tiworo Selatan, Kab. Muna Barat")</f>
        <v>Barakkah, Kec. Tiworo Selatan, Kab. Muna Barat</v>
      </c>
      <c r="L864" s="36"/>
      <c r="M864" s="36"/>
      <c r="N864" s="36"/>
      <c r="O864" s="36"/>
      <c r="P864" s="36"/>
      <c r="Q864" s="36"/>
      <c r="R864" s="36" t="str">
        <f>IFERROR(__xludf.DUMMYFUNCTION("""COMPUTED_VALUE"""),"K")</f>
        <v>K</v>
      </c>
      <c r="S864" s="39"/>
    </row>
    <row r="865">
      <c r="B865" s="36" t="str">
        <f>IFERROR(__xludf.DUMMYFUNCTION("""COMPUTED_VALUE"""),"Pengelolaan Administrasi Kantor Digital Berbasis Google Workspace")</f>
        <v>Pengelolaan Administrasi Kantor Digital Berbasis Google Workspace</v>
      </c>
      <c r="C865" s="36" t="str">
        <f>IFERROR(__xludf.DUMMYFUNCTION("""COMPUTED_VALUE"""),"BPVP Kendari")</f>
        <v>BPVP Kendari</v>
      </c>
      <c r="D865" s="36"/>
      <c r="E865" s="36"/>
      <c r="F865" s="36" t="str">
        <f>IFERROR(__xludf.DUMMYFUNCTION("""COMPUTED_VALUE"""),"Srikana")</f>
        <v>Srikana</v>
      </c>
      <c r="G865" s="36" t="str">
        <f>IFERROR(__xludf.DUMMYFUNCTION("""COMPUTED_VALUE"""),"7407025101020001")</f>
        <v>7407025101020001</v>
      </c>
      <c r="H865" s="36"/>
      <c r="I865" s="36"/>
      <c r="J865" s="36" t="str">
        <f>IFERROR(__xludf.DUMMYFUNCTION("""COMPUTED_VALUE"""),"PEREMPUAN")</f>
        <v>PEREMPUAN</v>
      </c>
      <c r="K865" s="36" t="str">
        <f>IFERROR(__xludf.DUMMYFUNCTION("""COMPUTED_VALUE"""),"Sainoa Indah, Kec. Wawonii Tenggara, Kab. Konawe Kepelauan")</f>
        <v>Sainoa Indah, Kec. Wawonii Tenggara, Kab. Konawe Kepelauan</v>
      </c>
      <c r="L865" s="36"/>
      <c r="M865" s="36"/>
      <c r="N865" s="36"/>
      <c r="O865" s="36"/>
      <c r="P865" s="36"/>
      <c r="Q865" s="36"/>
      <c r="R865" s="36" t="str">
        <f>IFERROR(__xludf.DUMMYFUNCTION("""COMPUTED_VALUE"""),"K")</f>
        <v>K</v>
      </c>
      <c r="S865" s="39"/>
    </row>
    <row r="866">
      <c r="B866" s="36" t="str">
        <f>IFERROR(__xludf.DUMMYFUNCTION("""COMPUTED_VALUE"""),"Pengelolaan Administrasi Kantor Digital Berbasis Google Workspace")</f>
        <v>Pengelolaan Administrasi Kantor Digital Berbasis Google Workspace</v>
      </c>
      <c r="C866" s="36" t="str">
        <f>IFERROR(__xludf.DUMMYFUNCTION("""COMPUTED_VALUE"""),"BPVP Kendari")</f>
        <v>BPVP Kendari</v>
      </c>
      <c r="D866" s="36"/>
      <c r="E866" s="36"/>
      <c r="F866" s="36" t="str">
        <f>IFERROR(__xludf.DUMMYFUNCTION("""COMPUTED_VALUE"""),"Zalsa Bila S. Piabang")</f>
        <v>Zalsa Bila S. Piabang</v>
      </c>
      <c r="G866" s="36" t="str">
        <f>IFERROR(__xludf.DUMMYFUNCTION("""COMPUTED_VALUE"""),"7471034502050003")</f>
        <v>7471034502050003</v>
      </c>
      <c r="H866" s="36"/>
      <c r="I866" s="36"/>
      <c r="J866" s="36" t="str">
        <f>IFERROR(__xludf.DUMMYFUNCTION("""COMPUTED_VALUE"""),"PEREMPUAN")</f>
        <v>PEREMPUAN</v>
      </c>
      <c r="K866" s="36" t="str">
        <f>IFERROR(__xludf.DUMMYFUNCTION("""COMPUTED_VALUE"""),"Wundudopi, Kec. Baruga, Kota Kendari")</f>
        <v>Wundudopi, Kec. Baruga, Kota Kendari</v>
      </c>
      <c r="L866" s="36"/>
      <c r="M866" s="36"/>
      <c r="N866" s="36"/>
      <c r="O866" s="36"/>
      <c r="P866" s="36"/>
      <c r="Q866" s="36"/>
      <c r="R866" s="36" t="str">
        <f>IFERROR(__xludf.DUMMYFUNCTION("""COMPUTED_VALUE"""),"K")</f>
        <v>K</v>
      </c>
      <c r="S866" s="39"/>
    </row>
    <row r="867">
      <c r="B867" s="36" t="str">
        <f>IFERROR(__xludf.DUMMYFUNCTION("""COMPUTED_VALUE"""),"Computer Operator Assistant ")</f>
        <v>Computer Operator Assistant </v>
      </c>
      <c r="C867" s="36" t="str">
        <f>IFERROR(__xludf.DUMMYFUNCTION("""COMPUTED_VALUE"""),"BLK Kolaka")</f>
        <v>BLK Kolaka</v>
      </c>
      <c r="D867" s="36"/>
      <c r="E867" s="36"/>
      <c r="F867" s="36" t="str">
        <f>IFERROR(__xludf.DUMMYFUNCTION("""COMPUTED_VALUE"""),"Annisa")</f>
        <v>Annisa</v>
      </c>
      <c r="G867" s="36" t="str">
        <f>IFERROR(__xludf.DUMMYFUNCTION("""COMPUTED_VALUE"""),"7401124104070001")</f>
        <v>7401124104070001</v>
      </c>
      <c r="H867" s="36"/>
      <c r="I867" s="36"/>
      <c r="J867" s="36" t="str">
        <f>IFERROR(__xludf.DUMMYFUNCTION("""COMPUTED_VALUE"""),"PEREMPUAN")</f>
        <v>PEREMPUAN</v>
      </c>
      <c r="K867" s="36" t="str">
        <f>IFERROR(__xludf.DUMMYFUNCTION("""COMPUTED_VALUE"""),"Lingk. II Lalondangge, Kel. Puundoho, Kec. Baula, Kab. Kolaka")</f>
        <v>Lingk. II Lalondangge, Kel. Puundoho, Kec. Baula, Kab. Kolaka</v>
      </c>
      <c r="L867" s="36"/>
      <c r="M867" s="36"/>
      <c r="N867" s="36"/>
      <c r="O867" s="36"/>
      <c r="P867" s="36"/>
      <c r="Q867" s="36"/>
      <c r="R867" s="36" t="str">
        <f>IFERROR(__xludf.DUMMYFUNCTION("""COMPUTED_VALUE"""),"K")</f>
        <v>K</v>
      </c>
      <c r="S867" s="39"/>
    </row>
    <row r="868">
      <c r="B868" s="36" t="str">
        <f>IFERROR(__xludf.DUMMYFUNCTION("""COMPUTED_VALUE"""),"Computer Operator Assistant ")</f>
        <v>Computer Operator Assistant </v>
      </c>
      <c r="C868" s="36" t="str">
        <f>IFERROR(__xludf.DUMMYFUNCTION("""COMPUTED_VALUE"""),"BLK Kolaka")</f>
        <v>BLK Kolaka</v>
      </c>
      <c r="D868" s="36"/>
      <c r="E868" s="36"/>
      <c r="F868" s="36" t="str">
        <f>IFERROR(__xludf.DUMMYFUNCTION("""COMPUTED_VALUE"""),"Asyifa Manokasi")</f>
        <v>Asyifa Manokasi</v>
      </c>
      <c r="G868" s="36" t="str">
        <f>IFERROR(__xludf.DUMMYFUNCTION("""COMPUTED_VALUE"""),"7401144303080001")</f>
        <v>7401144303080001</v>
      </c>
      <c r="H868" s="36"/>
      <c r="I868" s="36"/>
      <c r="J868" s="36" t="str">
        <f>IFERROR(__xludf.DUMMYFUNCTION("""COMPUTED_VALUE"""),"PEREMPUAN")</f>
        <v>PEREMPUAN</v>
      </c>
      <c r="K868" s="36" t="str">
        <f>IFERROR(__xludf.DUMMYFUNCTION("""COMPUTED_VALUE"""),"Jl. Abadi, Kel. Kolakaasi, Kec. Kolaka, Kab. Kolaka")</f>
        <v>Jl. Abadi, Kel. Kolakaasi, Kec. Kolaka, Kab. Kolaka</v>
      </c>
      <c r="L868" s="36"/>
      <c r="M868" s="36"/>
      <c r="N868" s="36"/>
      <c r="O868" s="36"/>
      <c r="P868" s="36"/>
      <c r="Q868" s="36"/>
      <c r="R868" s="36" t="str">
        <f>IFERROR(__xludf.DUMMYFUNCTION("""COMPUTED_VALUE"""),"K")</f>
        <v>K</v>
      </c>
      <c r="S868" s="39"/>
    </row>
    <row r="869">
      <c r="B869" s="36" t="str">
        <f>IFERROR(__xludf.DUMMYFUNCTION("""COMPUTED_VALUE"""),"Computer Operator Assistant ")</f>
        <v>Computer Operator Assistant </v>
      </c>
      <c r="C869" s="36" t="str">
        <f>IFERROR(__xludf.DUMMYFUNCTION("""COMPUTED_VALUE"""),"BLK Kolaka")</f>
        <v>BLK Kolaka</v>
      </c>
      <c r="D869" s="36"/>
      <c r="E869" s="36"/>
      <c r="F869" s="36" t="str">
        <f>IFERROR(__xludf.DUMMYFUNCTION("""COMPUTED_VALUE"""),"Erin Febriani Rahman")</f>
        <v>Erin Febriani Rahman</v>
      </c>
      <c r="G869" s="36" t="str">
        <f>IFERROR(__xludf.DUMMYFUNCTION("""COMPUTED_VALUE"""),"7401145402070001")</f>
        <v>7401145402070001</v>
      </c>
      <c r="H869" s="36"/>
      <c r="I869" s="36"/>
      <c r="J869" s="36" t="str">
        <f>IFERROR(__xludf.DUMMYFUNCTION("""COMPUTED_VALUE"""),"PEREMPUAN")</f>
        <v>PEREMPUAN</v>
      </c>
      <c r="K869" s="36" t="str">
        <f>IFERROR(__xludf.DUMMYFUNCTION("""COMPUTED_VALUE"""),"Jl. Abadi No. 127, Kel. Kolakaasi, Kec. Latambaga, Kab. Kolaka")</f>
        <v>Jl. Abadi No. 127, Kel. Kolakaasi, Kec. Latambaga, Kab. Kolaka</v>
      </c>
      <c r="L869" s="36"/>
      <c r="M869" s="36"/>
      <c r="N869" s="36"/>
      <c r="O869" s="36"/>
      <c r="P869" s="36"/>
      <c r="Q869" s="36"/>
      <c r="R869" s="36" t="str">
        <f>IFERROR(__xludf.DUMMYFUNCTION("""COMPUTED_VALUE"""),"K")</f>
        <v>K</v>
      </c>
      <c r="S869" s="39"/>
    </row>
    <row r="870">
      <c r="B870" s="36" t="str">
        <f>IFERROR(__xludf.DUMMYFUNCTION("""COMPUTED_VALUE"""),"Computer Operator Assistant ")</f>
        <v>Computer Operator Assistant </v>
      </c>
      <c r="C870" s="36" t="str">
        <f>IFERROR(__xludf.DUMMYFUNCTION("""COMPUTED_VALUE"""),"BLK Kolaka")</f>
        <v>BLK Kolaka</v>
      </c>
      <c r="D870" s="36"/>
      <c r="E870" s="36"/>
      <c r="F870" s="36" t="str">
        <f>IFERROR(__xludf.DUMMYFUNCTION("""COMPUTED_VALUE"""),"Jihan Kharera Munandita")</f>
        <v>Jihan Kharera Munandita</v>
      </c>
      <c r="G870" s="36" t="str">
        <f>IFERROR(__xludf.DUMMYFUNCTION("""COMPUTED_VALUE"""),"7401244302060001")</f>
        <v>7401244302060001</v>
      </c>
      <c r="H870" s="36"/>
      <c r="I870" s="36"/>
      <c r="J870" s="36" t="str">
        <f>IFERROR(__xludf.DUMMYFUNCTION("""COMPUTED_VALUE"""),"PEREMPUAN")</f>
        <v>PEREMPUAN</v>
      </c>
      <c r="K870" s="36" t="str">
        <f>IFERROR(__xludf.DUMMYFUNCTION("""COMPUTED_VALUE"""),"Dusun I Sumber Agung, Desa Rano Jaya, Kec. Toari, Kab. Kolaka")</f>
        <v>Dusun I Sumber Agung, Desa Rano Jaya, Kec. Toari, Kab. Kolaka</v>
      </c>
      <c r="L870" s="36"/>
      <c r="M870" s="36"/>
      <c r="N870" s="36"/>
      <c r="O870" s="36"/>
      <c r="P870" s="36"/>
      <c r="Q870" s="36"/>
      <c r="R870" s="36" t="str">
        <f>IFERROR(__xludf.DUMMYFUNCTION("""COMPUTED_VALUE"""),"K")</f>
        <v>K</v>
      </c>
      <c r="S870" s="39"/>
    </row>
    <row r="871">
      <c r="B871" s="36" t="str">
        <f>IFERROR(__xludf.DUMMYFUNCTION("""COMPUTED_VALUE"""),"Computer Operator Assistant ")</f>
        <v>Computer Operator Assistant </v>
      </c>
      <c r="C871" s="36" t="str">
        <f>IFERROR(__xludf.DUMMYFUNCTION("""COMPUTED_VALUE"""),"BLK Kolaka")</f>
        <v>BLK Kolaka</v>
      </c>
      <c r="D871" s="36"/>
      <c r="E871" s="36"/>
      <c r="F871" s="36" t="str">
        <f>IFERROR(__xludf.DUMMYFUNCTION("""COMPUTED_VALUE"""),"Khurun Aini Nazhwa")</f>
        <v>Khurun Aini Nazhwa</v>
      </c>
      <c r="G871" s="36" t="str">
        <f>IFERROR(__xludf.DUMMYFUNCTION("""COMPUTED_VALUE"""),"7401076512070001")</f>
        <v>7401076512070001</v>
      </c>
      <c r="H871" s="36"/>
      <c r="I871" s="36"/>
      <c r="J871" s="36" t="str">
        <f>IFERROR(__xludf.DUMMYFUNCTION("""COMPUTED_VALUE"""),"PEREMPUAN")</f>
        <v>PEREMPUAN</v>
      </c>
      <c r="K871" s="36" t="str">
        <f>IFERROR(__xludf.DUMMYFUNCTION("""COMPUTED_VALUE"""),"Jl. Ekonomi No. 91A, Kel. Dawi-Dawi, Kec. Pomalaa, Kab. Kolaka")</f>
        <v>Jl. Ekonomi No. 91A, Kel. Dawi-Dawi, Kec. Pomalaa, Kab. Kolaka</v>
      </c>
      <c r="L871" s="36"/>
      <c r="M871" s="36"/>
      <c r="N871" s="36"/>
      <c r="O871" s="36"/>
      <c r="P871" s="36"/>
      <c r="Q871" s="36"/>
      <c r="R871" s="36" t="str">
        <f>IFERROR(__xludf.DUMMYFUNCTION("""COMPUTED_VALUE"""),"K")</f>
        <v>K</v>
      </c>
      <c r="S871" s="39"/>
    </row>
    <row r="872">
      <c r="B872" s="36" t="str">
        <f>IFERROR(__xludf.DUMMYFUNCTION("""COMPUTED_VALUE"""),"Computer Operator Assistant ")</f>
        <v>Computer Operator Assistant </v>
      </c>
      <c r="C872" s="36" t="str">
        <f>IFERROR(__xludf.DUMMYFUNCTION("""COMPUTED_VALUE"""),"BLK Kolaka")</f>
        <v>BLK Kolaka</v>
      </c>
      <c r="D872" s="36"/>
      <c r="E872" s="36"/>
      <c r="F872" s="36" t="str">
        <f>IFERROR(__xludf.DUMMYFUNCTION("""COMPUTED_VALUE"""),"Lola Amelia")</f>
        <v>Lola Amelia</v>
      </c>
      <c r="G872" s="36" t="str">
        <f>IFERROR(__xludf.DUMMYFUNCTION("""COMPUTED_VALUE"""),"7371115703070005")</f>
        <v>7371115703070005</v>
      </c>
      <c r="H872" s="36"/>
      <c r="I872" s="36"/>
      <c r="J872" s="36" t="str">
        <f>IFERROR(__xludf.DUMMYFUNCTION("""COMPUTED_VALUE"""),"PEREMPUAN")</f>
        <v>PEREMPUAN</v>
      </c>
      <c r="K872" s="36" t="str">
        <f>IFERROR(__xludf.DUMMYFUNCTION("""COMPUTED_VALUE"""),"Tinengi, Kec. Tinondo, Kab. Kolaka Timur")</f>
        <v>Tinengi, Kec. Tinondo, Kab. Kolaka Timur</v>
      </c>
      <c r="L872" s="36"/>
      <c r="M872" s="36"/>
      <c r="N872" s="36"/>
      <c r="O872" s="36"/>
      <c r="P872" s="36"/>
      <c r="Q872" s="36"/>
      <c r="R872" s="36" t="str">
        <f>IFERROR(__xludf.DUMMYFUNCTION("""COMPUTED_VALUE"""),"K")</f>
        <v>K</v>
      </c>
      <c r="S872" s="39"/>
    </row>
    <row r="873">
      <c r="B873" s="36" t="str">
        <f>IFERROR(__xludf.DUMMYFUNCTION("""COMPUTED_VALUE"""),"Computer Operator Assistant ")</f>
        <v>Computer Operator Assistant </v>
      </c>
      <c r="C873" s="36" t="str">
        <f>IFERROR(__xludf.DUMMYFUNCTION("""COMPUTED_VALUE"""),"BLK Kolaka")</f>
        <v>BLK Kolaka</v>
      </c>
      <c r="D873" s="36"/>
      <c r="E873" s="36"/>
      <c r="F873" s="36" t="str">
        <f>IFERROR(__xludf.DUMMYFUNCTION("""COMPUTED_VALUE"""),"Maniza Muhtar")</f>
        <v>Maniza Muhtar</v>
      </c>
      <c r="G873" s="36" t="str">
        <f>IFERROR(__xludf.DUMMYFUNCTION("""COMPUTED_VALUE"""),"7401074909070003")</f>
        <v>7401074909070003</v>
      </c>
      <c r="H873" s="36"/>
      <c r="I873" s="36"/>
      <c r="J873" s="36" t="str">
        <f>IFERROR(__xludf.DUMMYFUNCTION("""COMPUTED_VALUE"""),"PEREMPUAN")</f>
        <v>PEREMPUAN</v>
      </c>
      <c r="K873" s="36" t="str">
        <f>IFERROR(__xludf.DUMMYFUNCTION("""COMPUTED_VALUE"""),"Dusun Lalonggulahi, Desa Oko-Oko, Kec. Pomalaa, Kab. Kolaka")</f>
        <v>Dusun Lalonggulahi, Desa Oko-Oko, Kec. Pomalaa, Kab. Kolaka</v>
      </c>
      <c r="L873" s="36"/>
      <c r="M873" s="36"/>
      <c r="N873" s="36"/>
      <c r="O873" s="36"/>
      <c r="P873" s="36"/>
      <c r="Q873" s="36"/>
      <c r="R873" s="36" t="str">
        <f>IFERROR(__xludf.DUMMYFUNCTION("""COMPUTED_VALUE"""),"K")</f>
        <v>K</v>
      </c>
      <c r="S873" s="39"/>
    </row>
    <row r="874">
      <c r="B874" s="36" t="str">
        <f>IFERROR(__xludf.DUMMYFUNCTION("""COMPUTED_VALUE"""),"Computer Operator Assistant ")</f>
        <v>Computer Operator Assistant </v>
      </c>
      <c r="C874" s="36" t="str">
        <f>IFERROR(__xludf.DUMMYFUNCTION("""COMPUTED_VALUE"""),"BLK Kolaka")</f>
        <v>BLK Kolaka</v>
      </c>
      <c r="D874" s="36"/>
      <c r="E874" s="36"/>
      <c r="F874" s="36" t="str">
        <f>IFERROR(__xludf.DUMMYFUNCTION("""COMPUTED_VALUE"""),"Maya Santika")</f>
        <v>Maya Santika</v>
      </c>
      <c r="G874" s="36" t="str">
        <f>IFERROR(__xludf.DUMMYFUNCTION("""COMPUTED_VALUE"""),"7401014908050001")</f>
        <v>7401014908050001</v>
      </c>
      <c r="H874" s="36"/>
      <c r="I874" s="36"/>
      <c r="J874" s="36" t="str">
        <f>IFERROR(__xludf.DUMMYFUNCTION("""COMPUTED_VALUE"""),"PEREMPUAN")</f>
        <v>PEREMPUAN</v>
      </c>
      <c r="K874" s="36" t="str">
        <f>IFERROR(__xludf.DUMMYFUNCTION("""COMPUTED_VALUE"""),"Lingk. II Matabondu, Kel. Silea, Kec. Wundulako, Kab. Kolaka")</f>
        <v>Lingk. II Matabondu, Kel. Silea, Kec. Wundulako, Kab. Kolaka</v>
      </c>
      <c r="L874" s="36"/>
      <c r="M874" s="36"/>
      <c r="N874" s="36"/>
      <c r="O874" s="36"/>
      <c r="P874" s="36"/>
      <c r="Q874" s="36"/>
      <c r="R874" s="36" t="str">
        <f>IFERROR(__xludf.DUMMYFUNCTION("""COMPUTED_VALUE"""),"K")</f>
        <v>K</v>
      </c>
      <c r="S874" s="39"/>
    </row>
    <row r="875">
      <c r="B875" s="36" t="str">
        <f>IFERROR(__xludf.DUMMYFUNCTION("""COMPUTED_VALUE"""),"Computer Operator Assistant ")</f>
        <v>Computer Operator Assistant </v>
      </c>
      <c r="C875" s="36" t="str">
        <f>IFERROR(__xludf.DUMMYFUNCTION("""COMPUTED_VALUE"""),"BLK Kolaka")</f>
        <v>BLK Kolaka</v>
      </c>
      <c r="D875" s="36"/>
      <c r="E875" s="36"/>
      <c r="F875" s="36" t="str">
        <f>IFERROR(__xludf.DUMMYFUNCTION("""COMPUTED_VALUE"""),"Munawarah")</f>
        <v>Munawarah</v>
      </c>
      <c r="G875" s="36" t="str">
        <f>IFERROR(__xludf.DUMMYFUNCTION("""COMPUTED_VALUE"""),"7401074401080002")</f>
        <v>7401074401080002</v>
      </c>
      <c r="H875" s="36"/>
      <c r="I875" s="36"/>
      <c r="J875" s="36" t="str">
        <f>IFERROR(__xludf.DUMMYFUNCTION("""COMPUTED_VALUE"""),"PEREMPUAN")</f>
        <v>PEREMPUAN</v>
      </c>
      <c r="K875" s="36" t="str">
        <f>IFERROR(__xludf.DUMMYFUNCTION("""COMPUTED_VALUE"""),"Dusun III Pasir Putih, Desa Oko-oko, Kec. Pomalaa, Kab. Kolaka")</f>
        <v>Dusun III Pasir Putih, Desa Oko-oko, Kec. Pomalaa, Kab. Kolaka</v>
      </c>
      <c r="L875" s="36"/>
      <c r="M875" s="36"/>
      <c r="N875" s="36"/>
      <c r="O875" s="36"/>
      <c r="P875" s="36"/>
      <c r="Q875" s="36"/>
      <c r="R875" s="36" t="str">
        <f>IFERROR(__xludf.DUMMYFUNCTION("""COMPUTED_VALUE"""),"K")</f>
        <v>K</v>
      </c>
      <c r="S875" s="39"/>
    </row>
    <row r="876">
      <c r="B876" s="36" t="str">
        <f>IFERROR(__xludf.DUMMYFUNCTION("""COMPUTED_VALUE"""),"Computer Operator Assistant ")</f>
        <v>Computer Operator Assistant </v>
      </c>
      <c r="C876" s="36" t="str">
        <f>IFERROR(__xludf.DUMMYFUNCTION("""COMPUTED_VALUE"""),"BLK Kolaka")</f>
        <v>BLK Kolaka</v>
      </c>
      <c r="D876" s="36"/>
      <c r="E876" s="36"/>
      <c r="F876" s="36" t="str">
        <f>IFERROR(__xludf.DUMMYFUNCTION("""COMPUTED_VALUE"""),"Nikki Nakesyah Ramadhani")</f>
        <v>Nikki Nakesyah Ramadhani</v>
      </c>
      <c r="G876" s="36" t="str">
        <f>IFERROR(__xludf.DUMMYFUNCTION("""COMPUTED_VALUE"""),"7401075010060001")</f>
        <v>7401075010060001</v>
      </c>
      <c r="H876" s="36"/>
      <c r="I876" s="36"/>
      <c r="J876" s="36" t="str">
        <f>IFERROR(__xludf.DUMMYFUNCTION("""COMPUTED_VALUE"""),"PEREMPUAN")</f>
        <v>PEREMPUAN</v>
      </c>
      <c r="K876" s="36" t="str">
        <f>IFERROR(__xludf.DUMMYFUNCTION("""COMPUTED_VALUE"""),"Dusun II, Desa Baula, Kec. Baula, Kab. Kolaka")</f>
        <v>Dusun II, Desa Baula, Kec. Baula, Kab. Kolaka</v>
      </c>
      <c r="L876" s="36"/>
      <c r="M876" s="36"/>
      <c r="N876" s="36"/>
      <c r="O876" s="36"/>
      <c r="P876" s="36"/>
      <c r="Q876" s="36"/>
      <c r="R876" s="36" t="str">
        <f>IFERROR(__xludf.DUMMYFUNCTION("""COMPUTED_VALUE"""),"K")</f>
        <v>K</v>
      </c>
      <c r="S876" s="39"/>
    </row>
    <row r="877">
      <c r="B877" s="36" t="str">
        <f>IFERROR(__xludf.DUMMYFUNCTION("""COMPUTED_VALUE"""),"Computer Operator Assistant ")</f>
        <v>Computer Operator Assistant </v>
      </c>
      <c r="C877" s="36" t="str">
        <f>IFERROR(__xludf.DUMMYFUNCTION("""COMPUTED_VALUE"""),"BLK Kolaka")</f>
        <v>BLK Kolaka</v>
      </c>
      <c r="D877" s="36"/>
      <c r="E877" s="36"/>
      <c r="F877" s="36" t="str">
        <f>IFERROR(__xludf.DUMMYFUNCTION("""COMPUTED_VALUE"""),"Nilam")</f>
        <v>Nilam</v>
      </c>
      <c r="G877" s="106">
        <f>IFERROR(__xludf.DUMMYFUNCTION("""COMPUTED_VALUE"""),7.40503410706002E15)</f>
        <v>7.40503E+15</v>
      </c>
      <c r="H877" s="36"/>
      <c r="I877" s="36"/>
      <c r="J877" s="36" t="str">
        <f>IFERROR(__xludf.DUMMYFUNCTION("""COMPUTED_VALUE"""),"PEREMPUAN")</f>
        <v>PEREMPUAN</v>
      </c>
      <c r="K877" s="36" t="str">
        <f>IFERROR(__xludf.DUMMYFUNCTION("""COMPUTED_VALUE"""),"Dusun II, Desa Palewai, Kec. Tanggetada, Kab. Kolaka")</f>
        <v>Dusun II, Desa Palewai, Kec. Tanggetada, Kab. Kolaka</v>
      </c>
      <c r="L877" s="36"/>
      <c r="M877" s="36"/>
      <c r="N877" s="36"/>
      <c r="O877" s="36"/>
      <c r="P877" s="36"/>
      <c r="Q877" s="36"/>
      <c r="R877" s="36" t="str">
        <f>IFERROR(__xludf.DUMMYFUNCTION("""COMPUTED_VALUE"""),"K")</f>
        <v>K</v>
      </c>
      <c r="S877" s="39"/>
    </row>
    <row r="878">
      <c r="B878" s="36" t="str">
        <f>IFERROR(__xludf.DUMMYFUNCTION("""COMPUTED_VALUE"""),"Computer Operator Assistant ")</f>
        <v>Computer Operator Assistant </v>
      </c>
      <c r="C878" s="36" t="str">
        <f>IFERROR(__xludf.DUMMYFUNCTION("""COMPUTED_VALUE"""),"BLK Kolaka")</f>
        <v>BLK Kolaka</v>
      </c>
      <c r="D878" s="36"/>
      <c r="E878" s="36"/>
      <c r="F878" s="36" t="str">
        <f>IFERROR(__xludf.DUMMYFUNCTION("""COMPUTED_VALUE"""),"Nurliani")</f>
        <v>Nurliani</v>
      </c>
      <c r="G878" s="36" t="str">
        <f>IFERROR(__xludf.DUMMYFUNCTION("""COMPUTED_VALUE"""),"7401126205050002")</f>
        <v>7401126205050002</v>
      </c>
      <c r="H878" s="36"/>
      <c r="I878" s="36"/>
      <c r="J878" s="36" t="str">
        <f>IFERROR(__xludf.DUMMYFUNCTION("""COMPUTED_VALUE"""),"PEREMPUAN")</f>
        <v>PEREMPUAN</v>
      </c>
      <c r="K878" s="36" t="str">
        <f>IFERROR(__xludf.DUMMYFUNCTION("""COMPUTED_VALUE"""),"Dusun II Anggowala, Desa Baula, Kec. Baula, Kab. Kolaka")</f>
        <v>Dusun II Anggowala, Desa Baula, Kec. Baula, Kab. Kolaka</v>
      </c>
      <c r="L878" s="36"/>
      <c r="M878" s="36"/>
      <c r="N878" s="36"/>
      <c r="O878" s="36"/>
      <c r="P878" s="36"/>
      <c r="Q878" s="36"/>
      <c r="R878" s="36" t="str">
        <f>IFERROR(__xludf.DUMMYFUNCTION("""COMPUTED_VALUE"""),"K")</f>
        <v>K</v>
      </c>
      <c r="S878" s="39"/>
    </row>
    <row r="879">
      <c r="B879" s="36" t="str">
        <f>IFERROR(__xludf.DUMMYFUNCTION("""COMPUTED_VALUE"""),"Computer Operator Assistant ")</f>
        <v>Computer Operator Assistant </v>
      </c>
      <c r="C879" s="36" t="str">
        <f>IFERROR(__xludf.DUMMYFUNCTION("""COMPUTED_VALUE"""),"BLK Kolaka")</f>
        <v>BLK Kolaka</v>
      </c>
      <c r="D879" s="36"/>
      <c r="E879" s="36"/>
      <c r="F879" s="36" t="str">
        <f>IFERROR(__xludf.DUMMYFUNCTION("""COMPUTED_VALUE"""),"Reva Anindita")</f>
        <v>Reva Anindita</v>
      </c>
      <c r="G879" s="36" t="str">
        <f>IFERROR(__xludf.DUMMYFUNCTION("""COMPUTED_VALUE"""),"7401145912070002")</f>
        <v>7401145912070002</v>
      </c>
      <c r="H879" s="36"/>
      <c r="I879" s="36"/>
      <c r="J879" s="36" t="str">
        <f>IFERROR(__xludf.DUMMYFUNCTION("""COMPUTED_VALUE"""),"PEREMPUAN")</f>
        <v>PEREMPUAN</v>
      </c>
      <c r="K879" s="36" t="str">
        <f>IFERROR(__xludf.DUMMYFUNCTION("""COMPUTED_VALUE"""),"Jl. Abadi No.53, Kel. Kolakaasi, Kec. Latambaga, Kab. Kolaka")</f>
        <v>Jl. Abadi No.53, Kel. Kolakaasi, Kec. Latambaga, Kab. Kolaka</v>
      </c>
      <c r="L879" s="36"/>
      <c r="M879" s="36"/>
      <c r="N879" s="36"/>
      <c r="O879" s="36"/>
      <c r="P879" s="36"/>
      <c r="Q879" s="36"/>
      <c r="R879" s="36" t="str">
        <f>IFERROR(__xludf.DUMMYFUNCTION("""COMPUTED_VALUE"""),"K")</f>
        <v>K</v>
      </c>
      <c r="S879" s="39"/>
    </row>
    <row r="880">
      <c r="B880" s="36" t="str">
        <f>IFERROR(__xludf.DUMMYFUNCTION("""COMPUTED_VALUE"""),"Computer Operator Assistant ")</f>
        <v>Computer Operator Assistant </v>
      </c>
      <c r="C880" s="36" t="str">
        <f>IFERROR(__xludf.DUMMYFUNCTION("""COMPUTED_VALUE"""),"BLK Kolaka")</f>
        <v>BLK Kolaka</v>
      </c>
      <c r="D880" s="36"/>
      <c r="E880" s="36"/>
      <c r="F880" s="36" t="str">
        <f>IFERROR(__xludf.DUMMYFUNCTION("""COMPUTED_VALUE"""),"Ulfiah Salsabilla Kurniawan")</f>
        <v>Ulfiah Salsabilla Kurniawan</v>
      </c>
      <c r="G880" s="36" t="str">
        <f>IFERROR(__xludf.DUMMYFUNCTION("""COMPUTED_VALUE"""),"7401045503060001")</f>
        <v>7401045503060001</v>
      </c>
      <c r="H880" s="36"/>
      <c r="I880" s="36"/>
      <c r="J880" s="36" t="str">
        <f>IFERROR(__xludf.DUMMYFUNCTION("""COMPUTED_VALUE"""),"PEREMPUAN")</f>
        <v>PEREMPUAN</v>
      </c>
      <c r="K880" s="36" t="str">
        <f>IFERROR(__xludf.DUMMYFUNCTION("""COMPUTED_VALUE"""),"Jl. Pemuda, Kel. Balandete, kec. Kolaka, Kab. Kolaka")</f>
        <v>Jl. Pemuda, Kel. Balandete, kec. Kolaka, Kab. Kolaka</v>
      </c>
      <c r="L880" s="36"/>
      <c r="M880" s="36"/>
      <c r="N880" s="36"/>
      <c r="O880" s="36"/>
      <c r="P880" s="36"/>
      <c r="Q880" s="36"/>
      <c r="R880" s="36" t="str">
        <f>IFERROR(__xludf.DUMMYFUNCTION("""COMPUTED_VALUE"""),"K")</f>
        <v>K</v>
      </c>
      <c r="S880" s="39"/>
    </row>
    <row r="881">
      <c r="B881" s="36" t="str">
        <f>IFERROR(__xludf.DUMMYFUNCTION("""COMPUTED_VALUE"""),"Computer Operator Assistant ")</f>
        <v>Computer Operator Assistant </v>
      </c>
      <c r="C881" s="36" t="str">
        <f>IFERROR(__xludf.DUMMYFUNCTION("""COMPUTED_VALUE"""),"BPVP Kendari")</f>
        <v>BPVP Kendari</v>
      </c>
      <c r="D881" s="36"/>
      <c r="E881" s="36"/>
      <c r="F881" s="36" t="str">
        <f>IFERROR(__xludf.DUMMYFUNCTION("""COMPUTED_VALUE"""),"ANDI ADIN DWI WARDANA")</f>
        <v>ANDI ADIN DWI WARDANA</v>
      </c>
      <c r="G881" s="36" t="str">
        <f>IFERROR(__xludf.DUMMYFUNCTION("""COMPUTED_VALUE"""),"7471080107990028")</f>
        <v>7471080107990028</v>
      </c>
      <c r="H881" s="36"/>
      <c r="I881" s="36"/>
      <c r="J881" s="36" t="str">
        <f>IFERROR(__xludf.DUMMYFUNCTION("""COMPUTED_VALUE"""),"LAKI-LAKI")</f>
        <v>LAKI-LAKI</v>
      </c>
      <c r="K881" s="36" t="str">
        <f>IFERROR(__xludf.DUMMYFUNCTION("""COMPUTED_VALUE"""),"JL. BRIGJEN A SUGIANTO")</f>
        <v>JL. BRIGJEN A SUGIANTO</v>
      </c>
      <c r="L881" s="36"/>
      <c r="M881" s="36"/>
      <c r="N881" s="36"/>
      <c r="O881" s="36"/>
      <c r="P881" s="36"/>
      <c r="Q881" s="36"/>
      <c r="R881" s="36" t="str">
        <f>IFERROR(__xludf.DUMMYFUNCTION("""COMPUTED_VALUE"""),"K")</f>
        <v>K</v>
      </c>
      <c r="S881" s="39"/>
    </row>
    <row r="882">
      <c r="B882" s="36" t="str">
        <f>IFERROR(__xludf.DUMMYFUNCTION("""COMPUTED_VALUE"""),"Computer Operator Assistant ")</f>
        <v>Computer Operator Assistant </v>
      </c>
      <c r="C882" s="36" t="str">
        <f>IFERROR(__xludf.DUMMYFUNCTION("""COMPUTED_VALUE"""),"BPVP Kendari")</f>
        <v>BPVP Kendari</v>
      </c>
      <c r="D882" s="36"/>
      <c r="E882" s="36"/>
      <c r="F882" s="36" t="str">
        <f>IFERROR(__xludf.DUMMYFUNCTION("""COMPUTED_VALUE"""),"ANNISA TIARA AMIR")</f>
        <v>ANNISA TIARA AMIR</v>
      </c>
      <c r="G882" s="36" t="str">
        <f>IFERROR(__xludf.DUMMYFUNCTION("""COMPUTED_VALUE"""),"7306084608060007")</f>
        <v>7306084608060007</v>
      </c>
      <c r="H882" s="36"/>
      <c r="I882" s="36"/>
      <c r="J882" s="36" t="str">
        <f>IFERROR(__xludf.DUMMYFUNCTION("""COMPUTED_VALUE"""),"PEREMPUAN")</f>
        <v>PEREMPUAN</v>
      </c>
      <c r="K882" s="36" t="str">
        <f>IFERROR(__xludf.DUMMYFUNCTION("""COMPUTED_VALUE"""),"BTN MUTIARA ATIRA 3 BARUGA ")</f>
        <v>BTN MUTIARA ATIRA 3 BARUGA </v>
      </c>
      <c r="L882" s="36"/>
      <c r="M882" s="36"/>
      <c r="N882" s="36"/>
      <c r="O882" s="36"/>
      <c r="P882" s="36"/>
      <c r="Q882" s="36"/>
      <c r="R882" s="36" t="str">
        <f>IFERROR(__xludf.DUMMYFUNCTION("""COMPUTED_VALUE"""),"K")</f>
        <v>K</v>
      </c>
      <c r="S882" s="39"/>
    </row>
    <row r="883">
      <c r="B883" s="36" t="str">
        <f>IFERROR(__xludf.DUMMYFUNCTION("""COMPUTED_VALUE"""),"Computer Operator Assistant ")</f>
        <v>Computer Operator Assistant </v>
      </c>
      <c r="C883" s="36" t="str">
        <f>IFERROR(__xludf.DUMMYFUNCTION("""COMPUTED_VALUE"""),"BPVP Kendari")</f>
        <v>BPVP Kendari</v>
      </c>
      <c r="D883" s="36"/>
      <c r="E883" s="36"/>
      <c r="F883" s="36" t="str">
        <f>IFERROR(__xludf.DUMMYFUNCTION("""COMPUTED_VALUE"""),"AQILAH SUCIAFITRA ")</f>
        <v>AQILAH SUCIAFITRA </v>
      </c>
      <c r="G883" s="36" t="str">
        <f>IFERROR(__xludf.DUMMYFUNCTION("""COMPUTED_VALUE"""),"7401036206050001")</f>
        <v>7401036206050001</v>
      </c>
      <c r="H883" s="36"/>
      <c r="I883" s="36"/>
      <c r="J883" s="36" t="str">
        <f>IFERROR(__xludf.DUMMYFUNCTION("""COMPUTED_VALUE"""),"PEREMPUAN")</f>
        <v>PEREMPUAN</v>
      </c>
      <c r="K883" s="36" t="str">
        <f>IFERROR(__xludf.DUMMYFUNCTION("""COMPUTED_VALUE"""),"Lrg, Rezky hidayatullah ")</f>
        <v>Lrg, Rezky hidayatullah </v>
      </c>
      <c r="L883" s="36"/>
      <c r="M883" s="36"/>
      <c r="N883" s="36"/>
      <c r="O883" s="36"/>
      <c r="P883" s="36"/>
      <c r="Q883" s="36"/>
      <c r="R883" s="36" t="str">
        <f>IFERROR(__xludf.DUMMYFUNCTION("""COMPUTED_VALUE"""),"K")</f>
        <v>K</v>
      </c>
      <c r="S883" s="39"/>
    </row>
    <row r="884">
      <c r="B884" s="36" t="str">
        <f>IFERROR(__xludf.DUMMYFUNCTION("""COMPUTED_VALUE"""),"Computer Operator Assistant ")</f>
        <v>Computer Operator Assistant </v>
      </c>
      <c r="C884" s="36" t="str">
        <f>IFERROR(__xludf.DUMMYFUNCTION("""COMPUTED_VALUE"""),"BPVP Kendari")</f>
        <v>BPVP Kendari</v>
      </c>
      <c r="D884" s="36"/>
      <c r="E884" s="36"/>
      <c r="F884" s="36" t="str">
        <f>IFERROR(__xludf.DUMMYFUNCTION("""COMPUTED_VALUE"""),"ASKIA PUTRI R. BASANUNGGU")</f>
        <v>ASKIA PUTRI R. BASANUNGGU</v>
      </c>
      <c r="G884" s="36" t="str">
        <f>IFERROR(__xludf.DUMMYFUNCTION("""COMPUTED_VALUE"""),"7405074811060001")</f>
        <v>7405074811060001</v>
      </c>
      <c r="H884" s="36"/>
      <c r="I884" s="36"/>
      <c r="J884" s="36" t="str">
        <f>IFERROR(__xludf.DUMMYFUNCTION("""COMPUTED_VALUE"""),"PEREMPUAN")</f>
        <v>PEREMPUAN</v>
      </c>
      <c r="K884" s="36" t="str">
        <f>IFERROR(__xludf.DUMMYFUNCTION("""COMPUTED_VALUE"""),"Ambololi, Kec. Konda, Kab. Konawe Selatan")</f>
        <v>Ambololi, Kec. Konda, Kab. Konawe Selatan</v>
      </c>
      <c r="L884" s="36"/>
      <c r="M884" s="36"/>
      <c r="N884" s="36"/>
      <c r="O884" s="36"/>
      <c r="P884" s="36"/>
      <c r="Q884" s="36"/>
      <c r="R884" s="36" t="str">
        <f>IFERROR(__xludf.DUMMYFUNCTION("""COMPUTED_VALUE"""),"K")</f>
        <v>K</v>
      </c>
      <c r="S884" s="39"/>
    </row>
    <row r="885">
      <c r="B885" s="36" t="str">
        <f>IFERROR(__xludf.DUMMYFUNCTION("""COMPUTED_VALUE"""),"Computer Operator Assistant ")</f>
        <v>Computer Operator Assistant </v>
      </c>
      <c r="C885" s="36" t="str">
        <f>IFERROR(__xludf.DUMMYFUNCTION("""COMPUTED_VALUE"""),"BPVP Kendari")</f>
        <v>BPVP Kendari</v>
      </c>
      <c r="D885" s="36"/>
      <c r="E885" s="36"/>
      <c r="F885" s="36" t="str">
        <f>IFERROR(__xludf.DUMMYFUNCTION("""COMPUTED_VALUE"""),"FAISHAL ABDULLAH")</f>
        <v>FAISHAL ABDULLAH</v>
      </c>
      <c r="G885" s="36" t="str">
        <f>IFERROR(__xludf.DUMMYFUNCTION("""COMPUTED_VALUE"""),"7471052806950001")</f>
        <v>7471052806950001</v>
      </c>
      <c r="H885" s="36"/>
      <c r="I885" s="36"/>
      <c r="J885" s="36" t="str">
        <f>IFERROR(__xludf.DUMMYFUNCTION("""COMPUTED_VALUE"""),"LAKI-LAKI")</f>
        <v>LAKI-LAKI</v>
      </c>
      <c r="K885" s="36" t="str">
        <f>IFERROR(__xludf.DUMMYFUNCTION("""COMPUTED_VALUE"""),"Jln.Bunga Matahari I no.25")</f>
        <v>Jln.Bunga Matahari I no.25</v>
      </c>
      <c r="L885" s="36"/>
      <c r="M885" s="36"/>
      <c r="N885" s="36"/>
      <c r="O885" s="36"/>
      <c r="P885" s="36"/>
      <c r="Q885" s="36"/>
      <c r="R885" s="36" t="str">
        <f>IFERROR(__xludf.DUMMYFUNCTION("""COMPUTED_VALUE"""),"K")</f>
        <v>K</v>
      </c>
      <c r="S885" s="39"/>
    </row>
    <row r="886">
      <c r="B886" s="36" t="str">
        <f>IFERROR(__xludf.DUMMYFUNCTION("""COMPUTED_VALUE"""),"Computer Operator Assistant ")</f>
        <v>Computer Operator Assistant </v>
      </c>
      <c r="C886" s="36" t="str">
        <f>IFERROR(__xludf.DUMMYFUNCTION("""COMPUTED_VALUE"""),"BPVP Kendari")</f>
        <v>BPVP Kendari</v>
      </c>
      <c r="D886" s="36"/>
      <c r="E886" s="36"/>
      <c r="F886" s="36" t="str">
        <f>IFERROR(__xludf.DUMMYFUNCTION("""COMPUTED_VALUE"""),"GIANY OLIVIA ARSAL")</f>
        <v>GIANY OLIVIA ARSAL</v>
      </c>
      <c r="G886" s="36" t="str">
        <f>IFERROR(__xludf.DUMMYFUNCTION("""COMPUTED_VALUE"""),"7471055603050003")</f>
        <v>7471055603050003</v>
      </c>
      <c r="H886" s="36"/>
      <c r="I886" s="36"/>
      <c r="J886" s="36" t="str">
        <f>IFERROR(__xludf.DUMMYFUNCTION("""COMPUTED_VALUE"""),"PEREMPUAN")</f>
        <v>PEREMPUAN</v>
      </c>
      <c r="K886" s="36" t="str">
        <f>IFERROR(__xludf.DUMMYFUNCTION("""COMPUTED_VALUE"""),"Jln Kijang")</f>
        <v>Jln Kijang</v>
      </c>
      <c r="L886" s="36"/>
      <c r="M886" s="36"/>
      <c r="N886" s="36"/>
      <c r="O886" s="36"/>
      <c r="P886" s="36"/>
      <c r="Q886" s="36"/>
      <c r="R886" s="36" t="str">
        <f>IFERROR(__xludf.DUMMYFUNCTION("""COMPUTED_VALUE"""),"K")</f>
        <v>K</v>
      </c>
      <c r="S886" s="39"/>
    </row>
    <row r="887">
      <c r="B887" s="36" t="str">
        <f>IFERROR(__xludf.DUMMYFUNCTION("""COMPUTED_VALUE"""),"Computer Operator Assistant ")</f>
        <v>Computer Operator Assistant </v>
      </c>
      <c r="C887" s="36" t="str">
        <f>IFERROR(__xludf.DUMMYFUNCTION("""COMPUTED_VALUE"""),"BPVP Kendari")</f>
        <v>BPVP Kendari</v>
      </c>
      <c r="D887" s="36"/>
      <c r="E887" s="36"/>
      <c r="F887" s="36" t="str">
        <f>IFERROR(__xludf.DUMMYFUNCTION("""COMPUTED_VALUE"""),"HASMAYANI")</f>
        <v>HASMAYANI</v>
      </c>
      <c r="G887" s="36" t="str">
        <f>IFERROR(__xludf.DUMMYFUNCTION("""COMPUTED_VALUE"""),"7405086310030003")</f>
        <v>7405086310030003</v>
      </c>
      <c r="H887" s="36"/>
      <c r="I887" s="36"/>
      <c r="J887" s="36" t="str">
        <f>IFERROR(__xludf.DUMMYFUNCTION("""COMPUTED_VALUE"""),"PEREMPUAN")</f>
        <v>PEREMPUAN</v>
      </c>
      <c r="K887" s="36" t="str">
        <f>IFERROR(__xludf.DUMMYFUNCTION("""COMPUTED_VALUE"""),"Ranomeeto, Kec. Ranomeeto, Kab. Konawe Selatan")</f>
        <v>Ranomeeto, Kec. Ranomeeto, Kab. Konawe Selatan</v>
      </c>
      <c r="L887" s="36"/>
      <c r="M887" s="36"/>
      <c r="N887" s="36"/>
      <c r="O887" s="36"/>
      <c r="P887" s="36"/>
      <c r="Q887" s="36"/>
      <c r="R887" s="36" t="str">
        <f>IFERROR(__xludf.DUMMYFUNCTION("""COMPUTED_VALUE"""),"K")</f>
        <v>K</v>
      </c>
      <c r="S887" s="39"/>
    </row>
    <row r="888">
      <c r="B888" s="36" t="str">
        <f>IFERROR(__xludf.DUMMYFUNCTION("""COMPUTED_VALUE"""),"Computer Operator Assistant ")</f>
        <v>Computer Operator Assistant </v>
      </c>
      <c r="C888" s="36" t="str">
        <f>IFERROR(__xludf.DUMMYFUNCTION("""COMPUTED_VALUE"""),"BPVP Kendari")</f>
        <v>BPVP Kendari</v>
      </c>
      <c r="D888" s="36"/>
      <c r="E888" s="36"/>
      <c r="F888" s="36" t="str">
        <f>IFERROR(__xludf.DUMMYFUNCTION("""COMPUTED_VALUE"""),"HELMI YATIN")</f>
        <v>HELMI YATIN</v>
      </c>
      <c r="G888" s="36" t="str">
        <f>IFERROR(__xludf.DUMMYFUNCTION("""COMPUTED_VALUE"""),"7471016510990001")</f>
        <v>7471016510990001</v>
      </c>
      <c r="H888" s="36"/>
      <c r="I888" s="36"/>
      <c r="J888" s="36" t="str">
        <f>IFERROR(__xludf.DUMMYFUNCTION("""COMPUTED_VALUE"""),"PEREMPUAN")</f>
        <v>PEREMPUAN</v>
      </c>
      <c r="K888" s="36" t="str">
        <f>IFERROR(__xludf.DUMMYFUNCTION("""COMPUTED_VALUE"""),"JL. IMAM BONJOL")</f>
        <v>JL. IMAM BONJOL</v>
      </c>
      <c r="L888" s="36"/>
      <c r="M888" s="36"/>
      <c r="N888" s="36"/>
      <c r="O888" s="36"/>
      <c r="P888" s="36"/>
      <c r="Q888" s="36"/>
      <c r="R888" s="36" t="str">
        <f>IFERROR(__xludf.DUMMYFUNCTION("""COMPUTED_VALUE"""),"K")</f>
        <v>K</v>
      </c>
      <c r="S888" s="39"/>
    </row>
    <row r="889">
      <c r="B889" s="36" t="str">
        <f>IFERROR(__xludf.DUMMYFUNCTION("""COMPUTED_VALUE"""),"Computer Operator Assistant ")</f>
        <v>Computer Operator Assistant </v>
      </c>
      <c r="C889" s="36" t="str">
        <f>IFERROR(__xludf.DUMMYFUNCTION("""COMPUTED_VALUE"""),"BPVP Kendari")</f>
        <v>BPVP Kendari</v>
      </c>
      <c r="D889" s="36"/>
      <c r="E889" s="36"/>
      <c r="F889" s="36" t="str">
        <f>IFERROR(__xludf.DUMMYFUNCTION("""COMPUTED_VALUE"""),"MUH SABRI")</f>
        <v>MUH SABRI</v>
      </c>
      <c r="G889" s="36" t="str">
        <f>IFERROR(__xludf.DUMMYFUNCTION("""COMPUTED_VALUE"""),"7471061505040001")</f>
        <v>7471061505040001</v>
      </c>
      <c r="H889" s="36"/>
      <c r="I889" s="36"/>
      <c r="J889" s="36" t="str">
        <f>IFERROR(__xludf.DUMMYFUNCTION("""COMPUTED_VALUE"""),"LAKI-LAKI")</f>
        <v>LAKI-LAKI</v>
      </c>
      <c r="K889" s="36" t="str">
        <f>IFERROR(__xludf.DUMMYFUNCTION("""COMPUTED_VALUE"""),"JL. Garuda No. 21, Kel. Petoaha, Kec. Nambo, Kota Kendari")</f>
        <v>JL. Garuda No. 21, Kel. Petoaha, Kec. Nambo, Kota Kendari</v>
      </c>
      <c r="L889" s="36"/>
      <c r="M889" s="36"/>
      <c r="N889" s="36"/>
      <c r="O889" s="36"/>
      <c r="P889" s="36"/>
      <c r="Q889" s="36"/>
      <c r="R889" s="36" t="str">
        <f>IFERROR(__xludf.DUMMYFUNCTION("""COMPUTED_VALUE"""),"K")</f>
        <v>K</v>
      </c>
      <c r="S889" s="39"/>
    </row>
    <row r="890">
      <c r="B890" s="36" t="str">
        <f>IFERROR(__xludf.DUMMYFUNCTION("""COMPUTED_VALUE"""),"Computer Operator Assistant ")</f>
        <v>Computer Operator Assistant </v>
      </c>
      <c r="C890" s="36" t="str">
        <f>IFERROR(__xludf.DUMMYFUNCTION("""COMPUTED_VALUE"""),"BPVP Kendari")</f>
        <v>BPVP Kendari</v>
      </c>
      <c r="D890" s="36"/>
      <c r="E890" s="36"/>
      <c r="F890" s="36" t="str">
        <f>IFERROR(__xludf.DUMMYFUNCTION("""COMPUTED_VALUE"""),"MUHAMAD IZHAR WARDANA")</f>
        <v>MUHAMAD IZHAR WARDANA</v>
      </c>
      <c r="G890" s="36" t="str">
        <f>IFERROR(__xludf.DUMMYFUNCTION("""COMPUTED_VALUE"""),"7471050206000002")</f>
        <v>7471050206000002</v>
      </c>
      <c r="H890" s="36"/>
      <c r="I890" s="36"/>
      <c r="J890" s="36" t="str">
        <f>IFERROR(__xludf.DUMMYFUNCTION("""COMPUTED_VALUE"""),"LAKI-LAKI")</f>
        <v>LAKI-LAKI</v>
      </c>
      <c r="K890" s="36" t="str">
        <f>IFERROR(__xludf.DUMMYFUNCTION("""COMPUTED_VALUE"""),"BTN GRAHA MANDIRI PERMAI BLOCK I NO 15")</f>
        <v>BTN GRAHA MANDIRI PERMAI BLOCK I NO 15</v>
      </c>
      <c r="L890" s="36"/>
      <c r="M890" s="36"/>
      <c r="N890" s="36"/>
      <c r="O890" s="36"/>
      <c r="P890" s="36"/>
      <c r="Q890" s="36"/>
      <c r="R890" s="36" t="str">
        <f>IFERROR(__xludf.DUMMYFUNCTION("""COMPUTED_VALUE"""),"K")</f>
        <v>K</v>
      </c>
      <c r="S890" s="39"/>
    </row>
    <row r="891">
      <c r="B891" s="36" t="str">
        <f>IFERROR(__xludf.DUMMYFUNCTION("""COMPUTED_VALUE"""),"Computer Operator Assistant ")</f>
        <v>Computer Operator Assistant </v>
      </c>
      <c r="C891" s="36" t="str">
        <f>IFERROR(__xludf.DUMMYFUNCTION("""COMPUTED_VALUE"""),"BPVP Kendari")</f>
        <v>BPVP Kendari</v>
      </c>
      <c r="D891" s="36"/>
      <c r="E891" s="36"/>
      <c r="F891" s="36" t="str">
        <f>IFERROR(__xludf.DUMMYFUNCTION("""COMPUTED_VALUE"""),"MUHAMMAD ALGAZEL ZULYADAIN")</f>
        <v>MUHAMMAD ALGAZEL ZULYADAIN</v>
      </c>
      <c r="G891" s="36" t="str">
        <f>IFERROR(__xludf.DUMMYFUNCTION("""COMPUTED_VALUE"""),"7402191005030002")</f>
        <v>7402191005030002</v>
      </c>
      <c r="H891" s="36"/>
      <c r="I891" s="36"/>
      <c r="J891" s="36" t="str">
        <f>IFERROR(__xludf.DUMMYFUNCTION("""COMPUTED_VALUE"""),"LAKI-LAKI")</f>
        <v>LAKI-LAKI</v>
      </c>
      <c r="K891" s="36" t="str">
        <f>IFERROR(__xludf.DUMMYFUNCTION("""COMPUTED_VALUE"""),"Kadia")</f>
        <v>Kadia</v>
      </c>
      <c r="L891" s="36"/>
      <c r="M891" s="36"/>
      <c r="N891" s="36"/>
      <c r="O891" s="36"/>
      <c r="P891" s="36"/>
      <c r="Q891" s="36"/>
      <c r="R891" s="36" t="str">
        <f>IFERROR(__xludf.DUMMYFUNCTION("""COMPUTED_VALUE"""),"K")</f>
        <v>K</v>
      </c>
      <c r="S891" s="39"/>
    </row>
    <row r="892">
      <c r="B892" s="36" t="str">
        <f>IFERROR(__xludf.DUMMYFUNCTION("""COMPUTED_VALUE"""),"Computer Operator Assistant ")</f>
        <v>Computer Operator Assistant </v>
      </c>
      <c r="C892" s="36" t="str">
        <f>IFERROR(__xludf.DUMMYFUNCTION("""COMPUTED_VALUE"""),"BPVP Kendari")</f>
        <v>BPVP Kendari</v>
      </c>
      <c r="D892" s="36"/>
      <c r="E892" s="36"/>
      <c r="F892" s="36" t="str">
        <f>IFERROR(__xludf.DUMMYFUNCTION("""COMPUTED_VALUE"""),"MUHAMMAD FAKIN WIRANATA ")</f>
        <v>MUHAMMAD FAKIN WIRANATA </v>
      </c>
      <c r="G892" s="36" t="str">
        <f>IFERROR(__xludf.DUMMYFUNCTION("""COMPUTED_VALUE"""),"7471051709980001")</f>
        <v>7471051709980001</v>
      </c>
      <c r="H892" s="36"/>
      <c r="I892" s="36"/>
      <c r="J892" s="36" t="str">
        <f>IFERROR(__xludf.DUMMYFUNCTION("""COMPUTED_VALUE"""),"LAKI-LAKI")</f>
        <v>LAKI-LAKI</v>
      </c>
      <c r="K892" s="36" t="str">
        <f>IFERROR(__xludf.DUMMYFUNCTION("""COMPUTED_VALUE"""),"JL.BUNGA MATAHARI 1 NO. 29 RT/RW 002/001 KEL. LAHUNDAPE KEC. KENDARI BARAT")</f>
        <v>JL.BUNGA MATAHARI 1 NO. 29 RT/RW 002/001 KEL. LAHUNDAPE KEC. KENDARI BARAT</v>
      </c>
      <c r="L892" s="36"/>
      <c r="M892" s="36"/>
      <c r="N892" s="36"/>
      <c r="O892" s="36"/>
      <c r="P892" s="36"/>
      <c r="Q892" s="36"/>
      <c r="R892" s="36" t="str">
        <f>IFERROR(__xludf.DUMMYFUNCTION("""COMPUTED_VALUE"""),"K")</f>
        <v>K</v>
      </c>
      <c r="S892" s="39"/>
    </row>
    <row r="893">
      <c r="B893" s="36" t="str">
        <f>IFERROR(__xludf.DUMMYFUNCTION("""COMPUTED_VALUE"""),"Computer Operator Assistant ")</f>
        <v>Computer Operator Assistant </v>
      </c>
      <c r="C893" s="36" t="str">
        <f>IFERROR(__xludf.DUMMYFUNCTION("""COMPUTED_VALUE"""),"BPVP Kendari")</f>
        <v>BPVP Kendari</v>
      </c>
      <c r="D893" s="36"/>
      <c r="E893" s="36"/>
      <c r="F893" s="36" t="str">
        <f>IFERROR(__xludf.DUMMYFUNCTION("""COMPUTED_VALUE"""),"NUR RESA INDARWATI RAZAK")</f>
        <v>NUR RESA INDARWATI RAZAK</v>
      </c>
      <c r="G893" s="36" t="str">
        <f>IFERROR(__xludf.DUMMYFUNCTION("""COMPUTED_VALUE"""),"7471016701010003")</f>
        <v>7471016701010003</v>
      </c>
      <c r="H893" s="36"/>
      <c r="I893" s="36"/>
      <c r="J893" s="36" t="str">
        <f>IFERROR(__xludf.DUMMYFUNCTION("""COMPUTED_VALUE"""),"PEREMPUAN")</f>
        <v>PEREMPUAN</v>
      </c>
      <c r="K893" s="36" t="str">
        <f>IFERROR(__xludf.DUMMYFUNCTION("""COMPUTED_VALUE"""),"JLN. R. SUPRAPTO")</f>
        <v>JLN. R. SUPRAPTO</v>
      </c>
      <c r="L893" s="36"/>
      <c r="M893" s="36"/>
      <c r="N893" s="36"/>
      <c r="O893" s="36"/>
      <c r="P893" s="36"/>
      <c r="Q893" s="36"/>
      <c r="R893" s="36" t="str">
        <f>IFERROR(__xludf.DUMMYFUNCTION("""COMPUTED_VALUE"""),"K")</f>
        <v>K</v>
      </c>
      <c r="S893" s="39"/>
    </row>
    <row r="894">
      <c r="B894" s="36" t="str">
        <f>IFERROR(__xludf.DUMMYFUNCTION("""COMPUTED_VALUE"""),"Computer Operator Assistant ")</f>
        <v>Computer Operator Assistant </v>
      </c>
      <c r="C894" s="36" t="str">
        <f>IFERROR(__xludf.DUMMYFUNCTION("""COMPUTED_VALUE"""),"BPVP Kendari")</f>
        <v>BPVP Kendari</v>
      </c>
      <c r="D894" s="36"/>
      <c r="E894" s="36"/>
      <c r="F894" s="36" t="str">
        <f>IFERROR(__xludf.DUMMYFUNCTION("""COMPUTED_VALUE"""),"NURJANI")</f>
        <v>NURJANI</v>
      </c>
      <c r="G894" s="36" t="str">
        <f>IFERROR(__xludf.DUMMYFUNCTION("""COMPUTED_VALUE"""),"7471025111060001")</f>
        <v>7471025111060001</v>
      </c>
      <c r="H894" s="36"/>
      <c r="I894" s="36"/>
      <c r="J894" s="36" t="str">
        <f>IFERROR(__xludf.DUMMYFUNCTION("""COMPUTED_VALUE"""),"PEREMPUAN")</f>
        <v>PEREMPUAN</v>
      </c>
      <c r="K894" s="36" t="str">
        <f>IFERROR(__xludf.DUMMYFUNCTION("""COMPUTED_VALUE"""),"KEL. MANGGA DUA")</f>
        <v>KEL. MANGGA DUA</v>
      </c>
      <c r="L894" s="36"/>
      <c r="M894" s="36"/>
      <c r="N894" s="36"/>
      <c r="O894" s="36"/>
      <c r="P894" s="36"/>
      <c r="Q894" s="36"/>
      <c r="R894" s="36" t="str">
        <f>IFERROR(__xludf.DUMMYFUNCTION("""COMPUTED_VALUE"""),"K")</f>
        <v>K</v>
      </c>
      <c r="S894" s="39"/>
    </row>
    <row r="895">
      <c r="B895" s="36" t="str">
        <f>IFERROR(__xludf.DUMMYFUNCTION("""COMPUTED_VALUE"""),"Computer Operator Assistant ")</f>
        <v>Computer Operator Assistant </v>
      </c>
      <c r="C895" s="36" t="str">
        <f>IFERROR(__xludf.DUMMYFUNCTION("""COMPUTED_VALUE"""),"BPVP Kendari")</f>
        <v>BPVP Kendari</v>
      </c>
      <c r="D895" s="36"/>
      <c r="E895" s="36"/>
      <c r="F895" s="36" t="str">
        <f>IFERROR(__xludf.DUMMYFUNCTION("""COMPUTED_VALUE"""),"ROSMAYANTI")</f>
        <v>ROSMAYANTI</v>
      </c>
      <c r="G895" s="36" t="str">
        <f>IFERROR(__xludf.DUMMYFUNCTION("""COMPUTED_VALUE"""),"7406145611040001")</f>
        <v>7406145611040001</v>
      </c>
      <c r="H895" s="36"/>
      <c r="I895" s="36"/>
      <c r="J895" s="36" t="str">
        <f>IFERROR(__xludf.DUMMYFUNCTION("""COMPUTED_VALUE"""),"PEREMPUAN")</f>
        <v>PEREMPUAN</v>
      </c>
      <c r="K895" s="36" t="str">
        <f>IFERROR(__xludf.DUMMYFUNCTION("""COMPUTED_VALUE"""),"SIKELI, KEC. KABAENA BARAT, KAB. BOMBANA")</f>
        <v>SIKELI, KEC. KABAENA BARAT, KAB. BOMBANA</v>
      </c>
      <c r="L895" s="36"/>
      <c r="M895" s="36"/>
      <c r="N895" s="36"/>
      <c r="O895" s="36"/>
      <c r="P895" s="36"/>
      <c r="Q895" s="36"/>
      <c r="R895" s="36" t="str">
        <f>IFERROR(__xludf.DUMMYFUNCTION("""COMPUTED_VALUE"""),"K")</f>
        <v>K</v>
      </c>
      <c r="S895" s="39"/>
    </row>
    <row r="896">
      <c r="B896" s="36" t="str">
        <f>IFERROR(__xludf.DUMMYFUNCTION("""COMPUTED_VALUE"""),"Computer Operator Assistant ")</f>
        <v>Computer Operator Assistant </v>
      </c>
      <c r="C896" s="36" t="str">
        <f>IFERROR(__xludf.DUMMYFUNCTION("""COMPUTED_VALUE"""),"BPVP Kendari")</f>
        <v>BPVP Kendari</v>
      </c>
      <c r="D896" s="36"/>
      <c r="E896" s="36"/>
      <c r="F896" s="36" t="str">
        <f>IFERROR(__xludf.DUMMYFUNCTION("""COMPUTED_VALUE"""),"VELLA ZULAIHA PUTRI")</f>
        <v>VELLA ZULAIHA PUTRI</v>
      </c>
      <c r="G896" s="36" t="str">
        <f>IFERROR(__xludf.DUMMYFUNCTION("""COMPUTED_VALUE"""),"7405085007010002")</f>
        <v>7405085007010002</v>
      </c>
      <c r="H896" s="36"/>
      <c r="I896" s="36"/>
      <c r="J896" s="36" t="str">
        <f>IFERROR(__xludf.DUMMYFUNCTION("""COMPUTED_VALUE"""),"PEREMPUAN")</f>
        <v>PEREMPUAN</v>
      </c>
      <c r="K896" s="36" t="str">
        <f>IFERROR(__xludf.DUMMYFUNCTION("""COMPUTED_VALUE"""),"JL.MAWAR,DS.KOTA BANGUN,KEC.RANOMEETO,KAB.KONAWE SELATAN")</f>
        <v>JL.MAWAR,DS.KOTA BANGUN,KEC.RANOMEETO,KAB.KONAWE SELATAN</v>
      </c>
      <c r="L896" s="36"/>
      <c r="M896" s="36"/>
      <c r="N896" s="36"/>
      <c r="O896" s="36"/>
      <c r="P896" s="36"/>
      <c r="Q896" s="36"/>
      <c r="R896" s="36" t="str">
        <f>IFERROR(__xludf.DUMMYFUNCTION("""COMPUTED_VALUE"""),"K")</f>
        <v>K</v>
      </c>
      <c r="S896" s="39"/>
    </row>
    <row r="897">
      <c r="B897" s="36" t="str">
        <f>IFERROR(__xludf.DUMMYFUNCTION("""COMPUTED_VALUE"""),"Computer Operator Assistant ")</f>
        <v>Computer Operator Assistant </v>
      </c>
      <c r="C897" s="36" t="str">
        <f>IFERROR(__xludf.DUMMYFUNCTION("""COMPUTED_VALUE"""),"BPVP Kendari")</f>
        <v>BPVP Kendari</v>
      </c>
      <c r="D897" s="36"/>
      <c r="E897" s="36"/>
      <c r="F897" s="36" t="str">
        <f>IFERROR(__xludf.DUMMYFUNCTION("""COMPUTED_VALUE"""),"VEN SHELYANA DUMA")</f>
        <v>VEN SHELYANA DUMA</v>
      </c>
      <c r="G897" s="36" t="str">
        <f>IFERROR(__xludf.DUMMYFUNCTION("""COMPUTED_VALUE"""),"7405075407040001")</f>
        <v>7405075407040001</v>
      </c>
      <c r="H897" s="36"/>
      <c r="I897" s="36"/>
      <c r="J897" s="36" t="str">
        <f>IFERROR(__xludf.DUMMYFUNCTION("""COMPUTED_VALUE"""),"PEREMPUAN")</f>
        <v>PEREMPUAN</v>
      </c>
      <c r="K897" s="36" t="str">
        <f>IFERROR(__xludf.DUMMYFUNCTION("""COMPUTED_VALUE"""),"DESA PAMBULSA JAYA, KEC.KONDA, KAB. KONAWE SELATAN ")</f>
        <v>DESA PAMBULSA JAYA, KEC.KONDA, KAB. KONAWE SELATAN </v>
      </c>
      <c r="L897" s="36"/>
      <c r="M897" s="36"/>
      <c r="N897" s="36"/>
      <c r="O897" s="36"/>
      <c r="P897" s="36"/>
      <c r="Q897" s="36"/>
      <c r="R897" s="36" t="str">
        <f>IFERROR(__xludf.DUMMYFUNCTION("""COMPUTED_VALUE"""),"K")</f>
        <v>K</v>
      </c>
      <c r="S897" s="39"/>
    </row>
    <row r="898">
      <c r="B898" s="36" t="str">
        <f>IFERROR(__xludf.DUMMYFUNCTION("""COMPUTED_VALUE"""),"Computer Operator Assistant ")</f>
        <v>Computer Operator Assistant </v>
      </c>
      <c r="C898" s="36" t="str">
        <f>IFERROR(__xludf.DUMMYFUNCTION("""COMPUTED_VALUE"""),"BPVP Kendari")</f>
        <v>BPVP Kendari</v>
      </c>
      <c r="D898" s="36"/>
      <c r="E898" s="36"/>
      <c r="F898" s="36" t="str">
        <f>IFERROR(__xludf.DUMMYFUNCTION("""COMPUTED_VALUE"""),"VILSA ARINA ZAHRA")</f>
        <v>VILSA ARINA ZAHRA</v>
      </c>
      <c r="G898" s="36" t="str">
        <f>IFERROR(__xludf.DUMMYFUNCTION("""COMPUTED_VALUE"""),"7371146103070005")</f>
        <v>7371146103070005</v>
      </c>
      <c r="H898" s="36"/>
      <c r="I898" s="36"/>
      <c r="J898" s="36" t="str">
        <f>IFERROR(__xludf.DUMMYFUNCTION("""COMPUTED_VALUE"""),"PEREMPUAN")</f>
        <v>PEREMPUAN</v>
      </c>
      <c r="K898" s="36" t="str">
        <f>IFERROR(__xludf.DUMMYFUNCTION("""COMPUTED_VALUE"""),"JL. D.I PANJAITAN")</f>
        <v>JL. D.I PANJAITAN</v>
      </c>
      <c r="L898" s="36"/>
      <c r="M898" s="36"/>
      <c r="N898" s="36"/>
      <c r="O898" s="36"/>
      <c r="P898" s="36"/>
      <c r="Q898" s="36"/>
      <c r="R898" s="36" t="str">
        <f>IFERROR(__xludf.DUMMYFUNCTION("""COMPUTED_VALUE"""),"K")</f>
        <v>K</v>
      </c>
      <c r="S898" s="39"/>
    </row>
    <row r="899">
      <c r="B899" s="36" t="str">
        <f>IFERROR(__xludf.DUMMYFUNCTION("""COMPUTED_VALUE"""),"Computer Operator Assistant ")</f>
        <v>Computer Operator Assistant </v>
      </c>
      <c r="C899" s="36" t="str">
        <f>IFERROR(__xludf.DUMMYFUNCTION("""COMPUTED_VALUE"""),"BPVP Kendari")</f>
        <v>BPVP Kendari</v>
      </c>
      <c r="D899" s="36"/>
      <c r="E899" s="36"/>
      <c r="F899" s="36" t="str">
        <f>IFERROR(__xludf.DUMMYFUNCTION("""COMPUTED_VALUE"""),"WIWIN NOFITA SARI")</f>
        <v>WIWIN NOFITA SARI</v>
      </c>
      <c r="G899" s="36" t="str">
        <f>IFERROR(__xludf.DUMMYFUNCTION("""COMPUTED_VALUE"""),"7471026901030001")</f>
        <v>7471026901030001</v>
      </c>
      <c r="H899" s="36"/>
      <c r="I899" s="36"/>
      <c r="J899" s="36" t="str">
        <f>IFERROR(__xludf.DUMMYFUNCTION("""COMPUTED_VALUE"""),"PEREMPUAN")</f>
        <v>PEREMPUAN</v>
      </c>
      <c r="K899" s="36" t="str">
        <f>IFERROR(__xludf.DUMMYFUNCTION("""COMPUTED_VALUE"""),"KELURAHAN GUNUNG JATI")</f>
        <v>KELURAHAN GUNUNG JATI</v>
      </c>
      <c r="L899" s="36"/>
      <c r="M899" s="36"/>
      <c r="N899" s="36"/>
      <c r="O899" s="36"/>
      <c r="P899" s="36"/>
      <c r="Q899" s="36"/>
      <c r="R899" s="36" t="str">
        <f>IFERROR(__xludf.DUMMYFUNCTION("""COMPUTED_VALUE"""),"K")</f>
        <v>K</v>
      </c>
      <c r="S899" s="39"/>
    </row>
    <row r="900">
      <c r="B900" s="36" t="str">
        <f>IFERROR(__xludf.DUMMYFUNCTION("""COMPUTED_VALUE"""),"Pengelolaan Administrasi Perkantoraan")</f>
        <v>Pengelolaan Administrasi Perkantoraan</v>
      </c>
      <c r="C900" s="36" t="str">
        <f>IFERROR(__xludf.DUMMYFUNCTION("""COMPUTED_VALUE"""),"BPVP Kendari")</f>
        <v>BPVP Kendari</v>
      </c>
      <c r="D900" s="36"/>
      <c r="E900" s="36"/>
      <c r="F900" s="36" t="str">
        <f>IFERROR(__xludf.DUMMYFUNCTION("""COMPUTED_VALUE"""),"Sahlan")</f>
        <v>Sahlan</v>
      </c>
      <c r="G900" s="36" t="str">
        <f>IFERROR(__xludf.DUMMYFUNCTION("""COMPUTED_VALUE"""),"7403170705040001")</f>
        <v>7403170705040001</v>
      </c>
      <c r="H900" s="36"/>
      <c r="I900" s="36"/>
      <c r="J900" s="36" t="str">
        <f>IFERROR(__xludf.DUMMYFUNCTION("""COMPUTED_VALUE"""),"LAKI-LAKI")</f>
        <v>LAKI-LAKI</v>
      </c>
      <c r="K900" s="36" t="str">
        <f>IFERROR(__xludf.DUMMYFUNCTION("""COMPUTED_VALUE"""),"Desa Lasosodo, kec. Wadaga, kab. Muna Barat")</f>
        <v>Desa Lasosodo, kec. Wadaga, kab. Muna Barat</v>
      </c>
      <c r="L900" s="36"/>
      <c r="M900" s="36"/>
      <c r="N900" s="36"/>
      <c r="O900" s="36"/>
      <c r="P900" s="36"/>
      <c r="Q900" s="36"/>
      <c r="R900" s="36" t="str">
        <f>IFERROR(__xludf.DUMMYFUNCTION("""COMPUTED_VALUE"""),"K")</f>
        <v>K</v>
      </c>
      <c r="S900" s="39"/>
    </row>
    <row r="901">
      <c r="B901" s="36" t="str">
        <f>IFERROR(__xludf.DUMMYFUNCTION("""COMPUTED_VALUE"""),"Analis Data (Data Analyst)")</f>
        <v>Analis Data (Data Analyst)</v>
      </c>
      <c r="C901" s="36" t="str">
        <f>IFERROR(__xludf.DUMMYFUNCTION("""COMPUTED_VALUE"""),"BPVP Kendari")</f>
        <v>BPVP Kendari</v>
      </c>
      <c r="D901" s="36"/>
      <c r="E901" s="36"/>
      <c r="F901" s="36" t="str">
        <f>IFERROR(__xludf.DUMMYFUNCTION("""COMPUTED_VALUE"""),"Alni")</f>
        <v>Alni</v>
      </c>
      <c r="G901" s="36" t="str">
        <f>IFERROR(__xludf.DUMMYFUNCTION("""COMPUTED_VALUE"""),"7404236709040000")</f>
        <v>7404236709040000</v>
      </c>
      <c r="H901" s="36"/>
      <c r="I901" s="36"/>
      <c r="J901" s="36" t="str">
        <f>IFERROR(__xludf.DUMMYFUNCTION("""COMPUTED_VALUE"""),"PEREMPUAN")</f>
        <v>PEREMPUAN</v>
      </c>
      <c r="K901" s="36" t="str">
        <f>IFERROR(__xludf.DUMMYFUNCTION("""COMPUTED_VALUE"""),"Desa Lapandewa")</f>
        <v>Desa Lapandewa</v>
      </c>
      <c r="L901" s="36"/>
      <c r="M901" s="36"/>
      <c r="N901" s="36"/>
      <c r="O901" s="36"/>
      <c r="P901" s="36"/>
      <c r="Q901" s="36"/>
      <c r="R901" s="36" t="str">
        <f>IFERROR(__xludf.DUMMYFUNCTION("""COMPUTED_VALUE"""),"K")</f>
        <v>K</v>
      </c>
      <c r="S901" s="39"/>
    </row>
    <row r="902">
      <c r="B902" s="36" t="str">
        <f>IFERROR(__xludf.DUMMYFUNCTION("""COMPUTED_VALUE"""),"Analis Data (Data Analyst)")</f>
        <v>Analis Data (Data Analyst)</v>
      </c>
      <c r="C902" s="36" t="str">
        <f>IFERROR(__xludf.DUMMYFUNCTION("""COMPUTED_VALUE"""),"BPVP Kendari")</f>
        <v>BPVP Kendari</v>
      </c>
      <c r="D902" s="36"/>
      <c r="E902" s="36"/>
      <c r="F902" s="36" t="str">
        <f>IFERROR(__xludf.DUMMYFUNCTION("""COMPUTED_VALUE"""),"Adinda Agustina")</f>
        <v>Adinda Agustina</v>
      </c>
      <c r="G902" s="36" t="str">
        <f>IFERROR(__xludf.DUMMYFUNCTION("""COMPUTED_VALUE"""),"7472066208040004")</f>
        <v>7472066208040004</v>
      </c>
      <c r="H902" s="36"/>
      <c r="I902" s="36"/>
      <c r="J902" s="36" t="str">
        <f>IFERROR(__xludf.DUMMYFUNCTION("""COMPUTED_VALUE"""),"PEREMPUAN")</f>
        <v>PEREMPUAN</v>
      </c>
      <c r="K902" s="36" t="str">
        <f>IFERROR(__xludf.DUMMYFUNCTION("""COMPUTED_VALUE"""),"Jalan Hayam Wuruk Kelurahan Tarufu")</f>
        <v>Jalan Hayam Wuruk Kelurahan Tarufu</v>
      </c>
      <c r="L902" s="36"/>
      <c r="M902" s="36"/>
      <c r="N902" s="36"/>
      <c r="O902" s="36"/>
      <c r="P902" s="36"/>
      <c r="Q902" s="36"/>
      <c r="R902" s="36" t="str">
        <f>IFERROR(__xludf.DUMMYFUNCTION("""COMPUTED_VALUE"""),"K")</f>
        <v>K</v>
      </c>
      <c r="S902" s="39"/>
    </row>
    <row r="903">
      <c r="B903" s="36" t="str">
        <f>IFERROR(__xludf.DUMMYFUNCTION("""COMPUTED_VALUE"""),"Analis Data (Data Analyst)")</f>
        <v>Analis Data (Data Analyst)</v>
      </c>
      <c r="C903" s="36" t="str">
        <f>IFERROR(__xludf.DUMMYFUNCTION("""COMPUTED_VALUE"""),"BPVP Kendari")</f>
        <v>BPVP Kendari</v>
      </c>
      <c r="D903" s="36"/>
      <c r="E903" s="36"/>
      <c r="F903" s="36" t="str">
        <f>IFERROR(__xludf.DUMMYFUNCTION("""COMPUTED_VALUE"""),"Andi Nurainun")</f>
        <v>Andi Nurainun</v>
      </c>
      <c r="G903" s="36" t="str">
        <f>IFERROR(__xludf.DUMMYFUNCTION("""COMPUTED_VALUE"""),"7472025001010001")</f>
        <v>7472025001010001</v>
      </c>
      <c r="H903" s="36"/>
      <c r="I903" s="36"/>
      <c r="J903" s="36" t="str">
        <f>IFERROR(__xludf.DUMMYFUNCTION("""COMPUTED_VALUE"""),"PEREMPUAN")</f>
        <v>PEREMPUAN</v>
      </c>
      <c r="K903" s="36" t="str">
        <f>IFERROR(__xludf.DUMMYFUNCTION("""COMPUTED_VALUE"""),"Jalan Kelapa Kilo 1 Lorong 1 No 9")</f>
        <v>Jalan Kelapa Kilo 1 Lorong 1 No 9</v>
      </c>
      <c r="L903" s="36"/>
      <c r="M903" s="36"/>
      <c r="N903" s="36"/>
      <c r="O903" s="36"/>
      <c r="P903" s="36"/>
      <c r="Q903" s="36"/>
      <c r="R903" s="36" t="str">
        <f>IFERROR(__xludf.DUMMYFUNCTION("""COMPUTED_VALUE"""),"K")</f>
        <v>K</v>
      </c>
      <c r="S903" s="39"/>
    </row>
    <row r="904">
      <c r="B904" s="36" t="str">
        <f>IFERROR(__xludf.DUMMYFUNCTION("""COMPUTED_VALUE"""),"Pengelolaan Administrasi Perkantoraan")</f>
        <v>Pengelolaan Administrasi Perkantoraan</v>
      </c>
      <c r="C904" s="36" t="str">
        <f>IFERROR(__xludf.DUMMYFUNCTION("""COMPUTED_VALUE"""),"BPVP Kendari")</f>
        <v>BPVP Kendari</v>
      </c>
      <c r="D904" s="36"/>
      <c r="E904" s="36"/>
      <c r="F904" s="36" t="str">
        <f>IFERROR(__xludf.DUMMYFUNCTION("""COMPUTED_VALUE"""),"Ida Fadhillah As'adiyah")</f>
        <v>Ida Fadhillah As'adiyah</v>
      </c>
      <c r="G904" s="36" t="str">
        <f>IFERROR(__xludf.DUMMYFUNCTION("""COMPUTED_VALUE"""),"7403164905040201")</f>
        <v>7403164905040201</v>
      </c>
      <c r="H904" s="36"/>
      <c r="I904" s="36"/>
      <c r="J904" s="36" t="str">
        <f>IFERROR(__xludf.DUMMYFUNCTION("""COMPUTED_VALUE"""),"PEREMPUAN")</f>
        <v>PEREMPUAN</v>
      </c>
      <c r="K904" s="36" t="str">
        <f>IFERROR(__xludf.DUMMYFUNCTION("""COMPUTED_VALUE"""),"Desa Sawerigadi, Kec. Barangka, Kab. Muna Barat")</f>
        <v>Desa Sawerigadi, Kec. Barangka, Kab. Muna Barat</v>
      </c>
      <c r="L904" s="36"/>
      <c r="M904" s="36"/>
      <c r="N904" s="36"/>
      <c r="O904" s="36"/>
      <c r="P904" s="36"/>
      <c r="Q904" s="36"/>
      <c r="R904" s="36" t="str">
        <f>IFERROR(__xludf.DUMMYFUNCTION("""COMPUTED_VALUE"""),"K")</f>
        <v>K</v>
      </c>
      <c r="S904" s="39"/>
    </row>
    <row r="905">
      <c r="B905" s="36" t="str">
        <f>IFERROR(__xludf.DUMMYFUNCTION("""COMPUTED_VALUE"""),"Petugas Keselamatan dan Kesehatan Kerja")</f>
        <v>Petugas Keselamatan dan Kesehatan Kerja</v>
      </c>
      <c r="C905" s="36" t="str">
        <f>IFERROR(__xludf.DUMMYFUNCTION("""COMPUTED_VALUE"""),"BPVP Kendari")</f>
        <v>BPVP Kendari</v>
      </c>
      <c r="D905" s="36"/>
      <c r="E905" s="36"/>
      <c r="F905" s="36" t="str">
        <f>IFERROR(__xludf.DUMMYFUNCTION("""COMPUTED_VALUE"""),"Nabilah Khairunnisa")</f>
        <v>Nabilah Khairunnisa</v>
      </c>
      <c r="G905" s="36" t="str">
        <f>IFERROR(__xludf.DUMMYFUNCTION("""COMPUTED_VALUE"""),"7405035001030001")</f>
        <v>7405035001030001</v>
      </c>
      <c r="H905" s="36"/>
      <c r="I905" s="36"/>
      <c r="J905" s="36" t="str">
        <f>IFERROR(__xludf.DUMMYFUNCTION("""COMPUTED_VALUE"""),"PEREMPUAN")</f>
        <v>PEREMPUAN</v>
      </c>
      <c r="K905" s="36" t="str">
        <f>IFERROR(__xludf.DUMMYFUNCTION("""COMPUTED_VALUE"""),"perumahan baruga permai blok E2 no.2")</f>
        <v>perumahan baruga permai blok E2 no.2</v>
      </c>
      <c r="L905" s="36"/>
      <c r="M905" s="36"/>
      <c r="N905" s="36"/>
      <c r="O905" s="36"/>
      <c r="P905" s="36"/>
      <c r="Q905" s="36"/>
      <c r="R905" s="36" t="str">
        <f>IFERROR(__xludf.DUMMYFUNCTION("""COMPUTED_VALUE"""),"BK")</f>
        <v>BK</v>
      </c>
      <c r="S905" s="39"/>
    </row>
    <row r="906">
      <c r="B906" s="36" t="str">
        <f>IFERROR(__xludf.DUMMYFUNCTION("""COMPUTED_VALUE"""),"Petugas Keselamatan dan Kesehatan Kerja")</f>
        <v>Petugas Keselamatan dan Kesehatan Kerja</v>
      </c>
      <c r="C906" s="36" t="str">
        <f>IFERROR(__xludf.DUMMYFUNCTION("""COMPUTED_VALUE"""),"BPVP Kendari")</f>
        <v>BPVP Kendari</v>
      </c>
      <c r="D906" s="36"/>
      <c r="E906" s="36"/>
      <c r="F906" s="36" t="str">
        <f>IFERROR(__xludf.DUMMYFUNCTION("""COMPUTED_VALUE"""),"Bimo Alif Rasqal")</f>
        <v>Bimo Alif Rasqal</v>
      </c>
      <c r="G906" s="36" t="str">
        <f>IFERROR(__xludf.DUMMYFUNCTION("""COMPUTED_VALUE"""),"7471062604020002")</f>
        <v>7471062604020002</v>
      </c>
      <c r="H906" s="36"/>
      <c r="I906" s="36"/>
      <c r="J906" s="36" t="str">
        <f>IFERROR(__xludf.DUMMYFUNCTION("""COMPUTED_VALUE"""),"LAKI-LAKI")</f>
        <v>LAKI-LAKI</v>
      </c>
      <c r="K906" s="36" t="str">
        <f>IFERROR(__xludf.DUMMYFUNCTION("""COMPUTED_VALUE"""),"jalan konawe kelurahan tobimeita")</f>
        <v>jalan konawe kelurahan tobimeita</v>
      </c>
      <c r="L906" s="36"/>
      <c r="M906" s="36"/>
      <c r="N906" s="36"/>
      <c r="O906" s="36"/>
      <c r="P906" s="36"/>
      <c r="Q906" s="36"/>
      <c r="R906" s="36" t="str">
        <f>IFERROR(__xludf.DUMMYFUNCTION("""COMPUTED_VALUE"""),"K")</f>
        <v>K</v>
      </c>
      <c r="S906" s="39"/>
    </row>
    <row r="907">
      <c r="B907" s="36" t="str">
        <f>IFERROR(__xludf.DUMMYFUNCTION("""COMPUTED_VALUE"""),"Petugas Keselamatan dan Kesehatan Kerja")</f>
        <v>Petugas Keselamatan dan Kesehatan Kerja</v>
      </c>
      <c r="C907" s="36" t="str">
        <f>IFERROR(__xludf.DUMMYFUNCTION("""COMPUTED_VALUE"""),"BPVP Kendari")</f>
        <v>BPVP Kendari</v>
      </c>
      <c r="D907" s="36"/>
      <c r="E907" s="36"/>
      <c r="F907" s="36" t="str">
        <f>IFERROR(__xludf.DUMMYFUNCTION("""COMPUTED_VALUE"""),"Andi Zakia Sholehah")</f>
        <v>Andi Zakia Sholehah</v>
      </c>
      <c r="G907" s="36" t="str">
        <f>IFERROR(__xludf.DUMMYFUNCTION("""COMPUTED_VALUE"""),"7308275910020001")</f>
        <v>7308275910020001</v>
      </c>
      <c r="H907" s="36"/>
      <c r="I907" s="36"/>
      <c r="J907" s="36" t="str">
        <f>IFERROR(__xludf.DUMMYFUNCTION("""COMPUTED_VALUE"""),"PEREMPUAN")</f>
        <v>PEREMPUAN</v>
      </c>
      <c r="K907" s="36" t="str">
        <f>IFERROR(__xludf.DUMMYFUNCTION("""COMPUTED_VALUE"""),"btn bukit Cempaka blok c no 14")</f>
        <v>btn bukit Cempaka blok c no 14</v>
      </c>
      <c r="L907" s="36"/>
      <c r="M907" s="36"/>
      <c r="N907" s="36"/>
      <c r="O907" s="36"/>
      <c r="P907" s="36"/>
      <c r="Q907" s="36"/>
      <c r="R907" s="36" t="str">
        <f>IFERROR(__xludf.DUMMYFUNCTION("""COMPUTED_VALUE"""),"BK")</f>
        <v>BK</v>
      </c>
      <c r="S907" s="39"/>
    </row>
    <row r="908">
      <c r="B908" s="36" t="str">
        <f>IFERROR(__xludf.DUMMYFUNCTION("""COMPUTED_VALUE"""),"Petugas Keselamatan dan Kesehatan Kerja")</f>
        <v>Petugas Keselamatan dan Kesehatan Kerja</v>
      </c>
      <c r="C908" s="36" t="str">
        <f>IFERROR(__xludf.DUMMYFUNCTION("""COMPUTED_VALUE"""),"BPVP Kendari")</f>
        <v>BPVP Kendari</v>
      </c>
      <c r="D908" s="36"/>
      <c r="E908" s="36"/>
      <c r="F908" s="36" t="str">
        <f>IFERROR(__xludf.DUMMYFUNCTION("""COMPUTED_VALUE"""),"Sri Muliyani Jubir")</f>
        <v>Sri Muliyani Jubir</v>
      </c>
      <c r="G908" s="36" t="str">
        <f>IFERROR(__xludf.DUMMYFUNCTION("""COMPUTED_VALUE"""),"7471045003030003")</f>
        <v>7471045003030003</v>
      </c>
      <c r="H908" s="36"/>
      <c r="I908" s="36"/>
      <c r="J908" s="36" t="str">
        <f>IFERROR(__xludf.DUMMYFUNCTION("""COMPUTED_VALUE"""),"PEREMPUAN")</f>
        <v>PEREMPUAN</v>
      </c>
      <c r="K908" s="36" t="str">
        <f>IFERROR(__xludf.DUMMYFUNCTION("""COMPUTED_VALUE"""),"Jl. Srikaya Anduonohu")</f>
        <v>Jl. Srikaya Anduonohu</v>
      </c>
      <c r="L908" s="36"/>
      <c r="M908" s="36"/>
      <c r="N908" s="36"/>
      <c r="O908" s="36"/>
      <c r="P908" s="36"/>
      <c r="Q908" s="36"/>
      <c r="R908" s="36" t="str">
        <f>IFERROR(__xludf.DUMMYFUNCTION("""COMPUTED_VALUE"""),"K")</f>
        <v>K</v>
      </c>
      <c r="S908" s="39"/>
    </row>
    <row r="909">
      <c r="B909" s="36" t="str">
        <f>IFERROR(__xludf.DUMMYFUNCTION("""COMPUTED_VALUE"""),"Petugas Keselamatan dan Kesehatan Kerja")</f>
        <v>Petugas Keselamatan dan Kesehatan Kerja</v>
      </c>
      <c r="C909" s="36" t="str">
        <f>IFERROR(__xludf.DUMMYFUNCTION("""COMPUTED_VALUE"""),"BPVP Kendari")</f>
        <v>BPVP Kendari</v>
      </c>
      <c r="D909" s="36"/>
      <c r="E909" s="36"/>
      <c r="F909" s="36" t="str">
        <f>IFERROR(__xludf.DUMMYFUNCTION("""COMPUTED_VALUE"""),"Belgis Livania")</f>
        <v>Belgis Livania</v>
      </c>
      <c r="G909" s="36" t="str">
        <f>IFERROR(__xludf.DUMMYFUNCTION("""COMPUTED_VALUE"""),"7405194806030001")</f>
        <v>7405194806030001</v>
      </c>
      <c r="H909" s="36"/>
      <c r="I909" s="36"/>
      <c r="J909" s="36" t="str">
        <f>IFERROR(__xludf.DUMMYFUNCTION("""COMPUTED_VALUE"""),"PEREMPUAN")</f>
        <v>PEREMPUAN</v>
      </c>
      <c r="K909" s="36" t="str">
        <f>IFERROR(__xludf.DUMMYFUNCTION("""COMPUTED_VALUE"""),"perumahan kota praja, padaleu, Kambu, kota Kendari, Sulawesi tenggara, indonesia")</f>
        <v>perumahan kota praja, padaleu, Kambu, kota Kendari, Sulawesi tenggara, indonesia</v>
      </c>
      <c r="L909" s="36"/>
      <c r="M909" s="36"/>
      <c r="N909" s="36"/>
      <c r="O909" s="36"/>
      <c r="P909" s="36"/>
      <c r="Q909" s="36"/>
      <c r="R909" s="36" t="str">
        <f>IFERROR(__xludf.DUMMYFUNCTION("""COMPUTED_VALUE"""),"K")</f>
        <v>K</v>
      </c>
      <c r="S909" s="39"/>
    </row>
    <row r="910">
      <c r="B910" s="36" t="str">
        <f>IFERROR(__xludf.DUMMYFUNCTION("""COMPUTED_VALUE"""),"Petugas Keselamatan dan Kesehatan Kerja")</f>
        <v>Petugas Keselamatan dan Kesehatan Kerja</v>
      </c>
      <c r="C910" s="36" t="str">
        <f>IFERROR(__xludf.DUMMYFUNCTION("""COMPUTED_VALUE"""),"BPVP Kendari")</f>
        <v>BPVP Kendari</v>
      </c>
      <c r="D910" s="36"/>
      <c r="E910" s="36"/>
      <c r="F910" s="36" t="str">
        <f>IFERROR(__xludf.DUMMYFUNCTION("""COMPUTED_VALUE"""),"Reynald Lucky Ananta")</f>
        <v>Reynald Lucky Ananta</v>
      </c>
      <c r="G910" s="36" t="str">
        <f>IFERROR(__xludf.DUMMYFUNCTION("""COMPUTED_VALUE"""),"7402050609020002")</f>
        <v>7402050609020002</v>
      </c>
      <c r="H910" s="36"/>
      <c r="I910" s="36"/>
      <c r="J910" s="36" t="str">
        <f>IFERROR(__xludf.DUMMYFUNCTION("""COMPUTED_VALUE"""),"LAKI-LAKI")</f>
        <v>LAKI-LAKI</v>
      </c>
      <c r="K910" s="36" t="str">
        <f>IFERROR(__xludf.DUMMYFUNCTION("""COMPUTED_VALUE"""),"LAKOMEA")</f>
        <v>LAKOMEA</v>
      </c>
      <c r="L910" s="36"/>
      <c r="M910" s="36"/>
      <c r="N910" s="36"/>
      <c r="O910" s="36"/>
      <c r="P910" s="36"/>
      <c r="Q910" s="36"/>
      <c r="R910" s="36" t="str">
        <f>IFERROR(__xludf.DUMMYFUNCTION("""COMPUTED_VALUE"""),"BK")</f>
        <v>BK</v>
      </c>
      <c r="S910" s="39"/>
    </row>
    <row r="911">
      <c r="B911" s="36" t="str">
        <f>IFERROR(__xludf.DUMMYFUNCTION("""COMPUTED_VALUE"""),"Petugas Keselamatan dan Kesehatan Kerja")</f>
        <v>Petugas Keselamatan dan Kesehatan Kerja</v>
      </c>
      <c r="C911" s="36" t="str">
        <f>IFERROR(__xludf.DUMMYFUNCTION("""COMPUTED_VALUE"""),"BPVP Kendari")</f>
        <v>BPVP Kendari</v>
      </c>
      <c r="D911" s="36"/>
      <c r="E911" s="36"/>
      <c r="F911" s="36" t="str">
        <f>IFERROR(__xludf.DUMMYFUNCTION("""COMPUTED_VALUE"""),"Nuralisya")</f>
        <v>Nuralisya</v>
      </c>
      <c r="G911" s="36" t="str">
        <f>IFERROR(__xludf.DUMMYFUNCTION("""COMPUTED_VALUE"""),"7406074810040001")</f>
        <v>7406074810040001</v>
      </c>
      <c r="H911" s="36"/>
      <c r="I911" s="36"/>
      <c r="J911" s="36" t="str">
        <f>IFERROR(__xludf.DUMMYFUNCTION("""COMPUTED_VALUE"""),"PEREMPUAN")</f>
        <v>PEREMPUAN</v>
      </c>
      <c r="K911" s="36" t="str">
        <f>IFERROR(__xludf.DUMMYFUNCTION("""COMPUTED_VALUE"""),"Balasari, Poleang barat, Kab. Bombana, Sulawesi Tenggara, Indonesia")</f>
        <v>Balasari, Poleang barat, Kab. Bombana, Sulawesi Tenggara, Indonesia</v>
      </c>
      <c r="L911" s="36"/>
      <c r="M911" s="36"/>
      <c r="N911" s="36"/>
      <c r="O911" s="36"/>
      <c r="P911" s="36"/>
      <c r="Q911" s="36"/>
      <c r="R911" s="36" t="str">
        <f>IFERROR(__xludf.DUMMYFUNCTION("""COMPUTED_VALUE"""),"K")</f>
        <v>K</v>
      </c>
      <c r="S911" s="39"/>
    </row>
    <row r="912">
      <c r="B912" s="36" t="str">
        <f>IFERROR(__xludf.DUMMYFUNCTION("""COMPUTED_VALUE"""),"Petugas Keselamatan dan Kesehatan Kerja")</f>
        <v>Petugas Keselamatan dan Kesehatan Kerja</v>
      </c>
      <c r="C912" s="36" t="str">
        <f>IFERROR(__xludf.DUMMYFUNCTION("""COMPUTED_VALUE"""),"BPVP Kendari")</f>
        <v>BPVP Kendari</v>
      </c>
      <c r="D912" s="36"/>
      <c r="E912" s="36"/>
      <c r="F912" s="36" t="str">
        <f>IFERROR(__xludf.DUMMYFUNCTION("""COMPUTED_VALUE"""),"Dwi Nova Yanti De Gani")</f>
        <v>Dwi Nova Yanti De Gani</v>
      </c>
      <c r="G912" s="36" t="str">
        <f>IFERROR(__xludf.DUMMYFUNCTION("""COMPUTED_VALUE"""),"7403166811030001")</f>
        <v>7403166811030001</v>
      </c>
      <c r="H912" s="36"/>
      <c r="I912" s="36"/>
      <c r="J912" s="36" t="str">
        <f>IFERROR(__xludf.DUMMYFUNCTION("""COMPUTED_VALUE"""),"PEREMPUAN")</f>
        <v>PEREMPUAN</v>
      </c>
      <c r="K912" s="36" t="str">
        <f>IFERROR(__xludf.DUMMYFUNCTION("""COMPUTED_VALUE"""),"BTN BUMI ANAWAI LAND")</f>
        <v>BTN BUMI ANAWAI LAND</v>
      </c>
      <c r="L912" s="36"/>
      <c r="M912" s="36"/>
      <c r="N912" s="36"/>
      <c r="O912" s="36"/>
      <c r="P912" s="36"/>
      <c r="Q912" s="36"/>
      <c r="R912" s="36" t="str">
        <f>IFERROR(__xludf.DUMMYFUNCTION("""COMPUTED_VALUE"""),"BK")</f>
        <v>BK</v>
      </c>
      <c r="S912" s="39"/>
    </row>
    <row r="913">
      <c r="B913" s="36" t="str">
        <f>IFERROR(__xludf.DUMMYFUNCTION("""COMPUTED_VALUE"""),"Petugas Keselamatan dan Kesehatan Kerja")</f>
        <v>Petugas Keselamatan dan Kesehatan Kerja</v>
      </c>
      <c r="C913" s="36" t="str">
        <f>IFERROR(__xludf.DUMMYFUNCTION("""COMPUTED_VALUE"""),"BPVP Kendari")</f>
        <v>BPVP Kendari</v>
      </c>
      <c r="D913" s="36"/>
      <c r="E913" s="36"/>
      <c r="F913" s="36" t="str">
        <f>IFERROR(__xludf.DUMMYFUNCTION("""COMPUTED_VALUE"""),"Alam Purnomo")</f>
        <v>Alam Purnomo</v>
      </c>
      <c r="G913" s="36" t="str">
        <f>IFERROR(__xludf.DUMMYFUNCTION("""COMPUTED_VALUE"""),"7403170707020201")</f>
        <v>7403170707020201</v>
      </c>
      <c r="H913" s="36"/>
      <c r="I913" s="36"/>
      <c r="J913" s="36" t="str">
        <f>IFERROR(__xludf.DUMMYFUNCTION("""COMPUTED_VALUE"""),"LAKI-LAKI")</f>
        <v>LAKI-LAKI</v>
      </c>
      <c r="K913" s="36" t="str">
        <f>IFERROR(__xludf.DUMMYFUNCTION("""COMPUTED_VALUE"""),"KOTA KENDARI PERUMAHAN BTN BOULEVAR BLOK A NO 39")</f>
        <v>KOTA KENDARI PERUMAHAN BTN BOULEVAR BLOK A NO 39</v>
      </c>
      <c r="L913" s="36"/>
      <c r="M913" s="36"/>
      <c r="N913" s="36"/>
      <c r="O913" s="36"/>
      <c r="P913" s="36"/>
      <c r="Q913" s="36"/>
      <c r="R913" s="36" t="str">
        <f>IFERROR(__xludf.DUMMYFUNCTION("""COMPUTED_VALUE"""),"K")</f>
        <v>K</v>
      </c>
      <c r="S913" s="39"/>
    </row>
    <row r="914">
      <c r="B914" s="36" t="str">
        <f>IFERROR(__xludf.DUMMYFUNCTION("""COMPUTED_VALUE"""),"Petugas Keselamatan dan Kesehatan Kerja")</f>
        <v>Petugas Keselamatan dan Kesehatan Kerja</v>
      </c>
      <c r="C914" s="36" t="str">
        <f>IFERROR(__xludf.DUMMYFUNCTION("""COMPUTED_VALUE"""),"BPVP Kendari")</f>
        <v>BPVP Kendari</v>
      </c>
      <c r="D914" s="36"/>
      <c r="E914" s="36"/>
      <c r="F914" s="36" t="str">
        <f>IFERROR(__xludf.DUMMYFUNCTION("""COMPUTED_VALUE"""),"Muh Fahrian")</f>
        <v>Muh Fahrian</v>
      </c>
      <c r="G914" s="36" t="str">
        <f>IFERROR(__xludf.DUMMYFUNCTION("""COMPUTED_VALUE"""),"7409070305030004")</f>
        <v>7409070305030004</v>
      </c>
      <c r="H914" s="36"/>
      <c r="I914" s="36"/>
      <c r="J914" s="36" t="str">
        <f>IFERROR(__xludf.DUMMYFUNCTION("""COMPUTED_VALUE"""),"LAKI-LAKI")</f>
        <v>LAKI-LAKI</v>
      </c>
      <c r="K914" s="36" t="str">
        <f>IFERROR(__xludf.DUMMYFUNCTION("""COMPUTED_VALUE"""),"Jalan Tunggala, Anawai, Kec. Wua-Wua, Kota Kendari, Sulawesi Tenggara")</f>
        <v>Jalan Tunggala, Anawai, Kec. Wua-Wua, Kota Kendari, Sulawesi Tenggara</v>
      </c>
      <c r="L914" s="36"/>
      <c r="M914" s="36"/>
      <c r="N914" s="36"/>
      <c r="O914" s="36"/>
      <c r="P914" s="36"/>
      <c r="Q914" s="36"/>
      <c r="R914" s="36" t="str">
        <f>IFERROR(__xludf.DUMMYFUNCTION("""COMPUTED_VALUE"""),"BK")</f>
        <v>BK</v>
      </c>
      <c r="S914" s="39"/>
    </row>
    <row r="915">
      <c r="B915" s="36" t="str">
        <f>IFERROR(__xludf.DUMMYFUNCTION("""COMPUTED_VALUE"""),"Petugas Keselamatan dan Kesehatan Kerja")</f>
        <v>Petugas Keselamatan dan Kesehatan Kerja</v>
      </c>
      <c r="C915" s="36" t="str">
        <f>IFERROR(__xludf.DUMMYFUNCTION("""COMPUTED_VALUE"""),"BPVP Kendari")</f>
        <v>BPVP Kendari</v>
      </c>
      <c r="D915" s="36"/>
      <c r="E915" s="36"/>
      <c r="F915" s="36" t="str">
        <f>IFERROR(__xludf.DUMMYFUNCTION("""COMPUTED_VALUE"""),"Muh. Septian Putra Arisandi")</f>
        <v>Muh. Septian Putra Arisandi</v>
      </c>
      <c r="G915" s="36" t="str">
        <f>IFERROR(__xludf.DUMMYFUNCTION("""COMPUTED_VALUE"""),"7401140509030002")</f>
        <v>7401140509030002</v>
      </c>
      <c r="H915" s="36"/>
      <c r="I915" s="36"/>
      <c r="J915" s="36" t="str">
        <f>IFERROR(__xludf.DUMMYFUNCTION("""COMPUTED_VALUE"""),"LAKI-LAKI")</f>
        <v>LAKI-LAKI</v>
      </c>
      <c r="K915" s="36" t="str">
        <f>IFERROR(__xludf.DUMMYFUNCTION("""COMPUTED_VALUE"""),"LINGK. IV WOWOTA, RT/RW : 001/00 ,kel.MANGOLO Kec.LATAMBAGA")</f>
        <v>LINGK. IV WOWOTA, RT/RW : 001/00 ,kel.MANGOLO Kec.LATAMBAGA</v>
      </c>
      <c r="L915" s="36"/>
      <c r="M915" s="36"/>
      <c r="N915" s="36"/>
      <c r="O915" s="36"/>
      <c r="P915" s="36"/>
      <c r="Q915" s="36"/>
      <c r="R915" s="36" t="str">
        <f>IFERROR(__xludf.DUMMYFUNCTION("""COMPUTED_VALUE"""),"K")</f>
        <v>K</v>
      </c>
      <c r="S915" s="39"/>
    </row>
    <row r="916">
      <c r="B916" s="36" t="str">
        <f>IFERROR(__xludf.DUMMYFUNCTION("""COMPUTED_VALUE"""),"Petugas Keselamatan dan Kesehatan Kerja")</f>
        <v>Petugas Keselamatan dan Kesehatan Kerja</v>
      </c>
      <c r="C916" s="36" t="str">
        <f>IFERROR(__xludf.DUMMYFUNCTION("""COMPUTED_VALUE"""),"BPVP Kendari")</f>
        <v>BPVP Kendari</v>
      </c>
      <c r="D916" s="36"/>
      <c r="E916" s="36"/>
      <c r="F916" s="36" t="str">
        <f>IFERROR(__xludf.DUMMYFUNCTION("""COMPUTED_VALUE"""),"Ikhlas Ibnu Isnaini")</f>
        <v>Ikhlas Ibnu Isnaini</v>
      </c>
      <c r="G916" s="36" t="str">
        <f>IFERROR(__xludf.DUMMYFUNCTION("""COMPUTED_VALUE"""),"7403190807030201")</f>
        <v>7403190807030201</v>
      </c>
      <c r="H916" s="36"/>
      <c r="I916" s="36"/>
      <c r="J916" s="36" t="str">
        <f>IFERROR(__xludf.DUMMYFUNCTION("""COMPUTED_VALUE"""),"LAKI-LAKI")</f>
        <v>LAKI-LAKI</v>
      </c>
      <c r="K916" s="36" t="str">
        <f>IFERROR(__xludf.DUMMYFUNCTION("""COMPUTED_VALUE"""),"Desa Lamanu, Kecamatan Kabawo, Kabupaten Muna")</f>
        <v>Desa Lamanu, Kecamatan Kabawo, Kabupaten Muna</v>
      </c>
      <c r="L916" s="36"/>
      <c r="M916" s="36"/>
      <c r="N916" s="36"/>
      <c r="O916" s="36"/>
      <c r="P916" s="36"/>
      <c r="Q916" s="36"/>
      <c r="R916" s="36" t="str">
        <f>IFERROR(__xludf.DUMMYFUNCTION("""COMPUTED_VALUE"""),"K")</f>
        <v>K</v>
      </c>
      <c r="S916" s="39"/>
    </row>
    <row r="917">
      <c r="B917" s="36" t="str">
        <f>IFERROR(__xludf.DUMMYFUNCTION("""COMPUTED_VALUE"""),"Petugas Keselamatan dan Kesehatan Kerja")</f>
        <v>Petugas Keselamatan dan Kesehatan Kerja</v>
      </c>
      <c r="C917" s="36" t="str">
        <f>IFERROR(__xludf.DUMMYFUNCTION("""COMPUTED_VALUE"""),"BPVP Kendari")</f>
        <v>BPVP Kendari</v>
      </c>
      <c r="D917" s="36"/>
      <c r="E917" s="36"/>
      <c r="F917" s="36" t="str">
        <f>IFERROR(__xludf.DUMMYFUNCTION("""COMPUTED_VALUE"""),"Wilda Afrianti")</f>
        <v>Wilda Afrianti</v>
      </c>
      <c r="G917" s="36" t="str">
        <f>IFERROR(__xludf.DUMMYFUNCTION("""COMPUTED_VALUE"""),"7402035705040001")</f>
        <v>7402035705040001</v>
      </c>
      <c r="H917" s="36"/>
      <c r="I917" s="36"/>
      <c r="J917" s="36" t="str">
        <f>IFERROR(__xludf.DUMMYFUNCTION("""COMPUTED_VALUE"""),"PEREMPUAN")</f>
        <v>PEREMPUAN</v>
      </c>
      <c r="K917" s="36" t="str">
        <f>IFERROR(__xludf.DUMMYFUNCTION("""COMPUTED_VALUE"""),"Kel.nohu-nohu RT. 2 Nohu - Nohu , Wawotobi , Konawe Sulawesi Tenggara")</f>
        <v>Kel.nohu-nohu RT. 2 Nohu - Nohu , Wawotobi , Konawe Sulawesi Tenggara</v>
      </c>
      <c r="L917" s="36"/>
      <c r="M917" s="36"/>
      <c r="N917" s="36"/>
      <c r="O917" s="36"/>
      <c r="P917" s="36"/>
      <c r="Q917" s="36"/>
      <c r="R917" s="36" t="str">
        <f>IFERROR(__xludf.DUMMYFUNCTION("""COMPUTED_VALUE"""),"BK")</f>
        <v>BK</v>
      </c>
      <c r="S917" s="39"/>
    </row>
    <row r="918">
      <c r="B918" s="36" t="str">
        <f>IFERROR(__xludf.DUMMYFUNCTION("""COMPUTED_VALUE"""),"Petugas Keselamatan dan Kesehatan Kerja")</f>
        <v>Petugas Keselamatan dan Kesehatan Kerja</v>
      </c>
      <c r="C918" s="36" t="str">
        <f>IFERROR(__xludf.DUMMYFUNCTION("""COMPUTED_VALUE"""),"BPVP Kendari")</f>
        <v>BPVP Kendari</v>
      </c>
      <c r="D918" s="36"/>
      <c r="E918" s="36"/>
      <c r="F918" s="36" t="str">
        <f>IFERROR(__xludf.DUMMYFUNCTION("""COMPUTED_VALUE"""),"Muh. Fadjryansyah Silondae")</f>
        <v>Muh. Fadjryansyah Silondae</v>
      </c>
      <c r="G918" s="36" t="str">
        <f>IFERROR(__xludf.DUMMYFUNCTION("""COMPUTED_VALUE"""),"7405032006030002")</f>
        <v>7405032006030002</v>
      </c>
      <c r="H918" s="36"/>
      <c r="I918" s="36"/>
      <c r="J918" s="36" t="str">
        <f>IFERROR(__xludf.DUMMYFUNCTION("""COMPUTED_VALUE"""),"LAKI-LAKI")</f>
        <v>LAKI-LAKI</v>
      </c>
      <c r="K918" s="36" t="str">
        <f>IFERROR(__xludf.DUMMYFUNCTION("""COMPUTED_VALUE"""),"BTN Graha Raya Blok A/6, JL. DI. Pandjaitan, Wundudopi, Kota Kendari, Sulawesi Tenggara, Indonesia")</f>
        <v>BTN Graha Raya Blok A/6, JL. DI. Pandjaitan, Wundudopi, Kota Kendari, Sulawesi Tenggara, Indonesia</v>
      </c>
      <c r="L918" s="36"/>
      <c r="M918" s="36"/>
      <c r="N918" s="36"/>
      <c r="O918" s="36"/>
      <c r="P918" s="36"/>
      <c r="Q918" s="36"/>
      <c r="R918" s="36" t="str">
        <f>IFERROR(__xludf.DUMMYFUNCTION("""COMPUTED_VALUE"""),"K")</f>
        <v>K</v>
      </c>
      <c r="S918" s="39"/>
    </row>
    <row r="919">
      <c r="B919" s="36" t="str">
        <f>IFERROR(__xludf.DUMMYFUNCTION("""COMPUTED_VALUE"""),"Petugas Keselamatan dan Kesehatan Kerja")</f>
        <v>Petugas Keselamatan dan Kesehatan Kerja</v>
      </c>
      <c r="C919" s="36" t="str">
        <f>IFERROR(__xludf.DUMMYFUNCTION("""COMPUTED_VALUE"""),"BPVP Kendari")</f>
        <v>BPVP Kendari</v>
      </c>
      <c r="D919" s="36"/>
      <c r="E919" s="36"/>
      <c r="F919" s="36" t="str">
        <f>IFERROR(__xludf.DUMMYFUNCTION("""COMPUTED_VALUE"""),"Reinerd Adventhree Karimo")</f>
        <v>Reinerd Adventhree Karimo</v>
      </c>
      <c r="G919" s="36" t="str">
        <f>IFERROR(__xludf.DUMMYFUNCTION("""COMPUTED_VALUE"""),"7326111612970001")</f>
        <v>7326111612970001</v>
      </c>
      <c r="H919" s="36"/>
      <c r="I919" s="36"/>
      <c r="J919" s="36" t="str">
        <f>IFERROR(__xludf.DUMMYFUNCTION("""COMPUTED_VALUE"""),"LAKI-LAKI")</f>
        <v>LAKI-LAKI</v>
      </c>
      <c r="K919" s="36" t="str">
        <f>IFERROR(__xludf.DUMMYFUNCTION("""COMPUTED_VALUE"""),"Tampo Tallunglipu, Kecamatan Tallunglipu, Kabupaten Toraja Utara, Provinsi Sulawesi Selatan")</f>
        <v>Tampo Tallunglipu, Kecamatan Tallunglipu, Kabupaten Toraja Utara, Provinsi Sulawesi Selatan</v>
      </c>
      <c r="L919" s="36"/>
      <c r="M919" s="36"/>
      <c r="N919" s="36"/>
      <c r="O919" s="36"/>
      <c r="P919" s="36"/>
      <c r="Q919" s="36"/>
      <c r="R919" s="36" t="str">
        <f>IFERROR(__xludf.DUMMYFUNCTION("""COMPUTED_VALUE"""),"K")</f>
        <v>K</v>
      </c>
      <c r="S919" s="39"/>
    </row>
    <row r="920">
      <c r="B920" s="36" t="str">
        <f>IFERROR(__xludf.DUMMYFUNCTION("""COMPUTED_VALUE"""),"Petugas Keselamatan dan Kesehatan Kerja")</f>
        <v>Petugas Keselamatan dan Kesehatan Kerja</v>
      </c>
      <c r="C920" s="36" t="str">
        <f>IFERROR(__xludf.DUMMYFUNCTION("""COMPUTED_VALUE"""),"BPVP Kendari")</f>
        <v>BPVP Kendari</v>
      </c>
      <c r="D920" s="36"/>
      <c r="E920" s="36"/>
      <c r="F920" s="36" t="str">
        <f>IFERROR(__xludf.DUMMYFUNCTION("""COMPUTED_VALUE"""),"Venesa")</f>
        <v>Venesa</v>
      </c>
      <c r="G920" s="36" t="str">
        <f>IFERROR(__xludf.DUMMYFUNCTION("""COMPUTED_VALUE"""),"7472075107030001")</f>
        <v>7472075107030001</v>
      </c>
      <c r="H920" s="36"/>
      <c r="I920" s="36"/>
      <c r="J920" s="36" t="str">
        <f>IFERROR(__xludf.DUMMYFUNCTION("""COMPUTED_VALUE"""),"PEREMPUAN")</f>
        <v>PEREMPUAN</v>
      </c>
      <c r="K920" s="36" t="str">
        <f>IFERROR(__xludf.DUMMYFUNCTION("""COMPUTED_VALUE"""),"Lingkungan Baru, RT/001 RW/002, Kelurahan Palabusa, Kecamatan Lea-Lea, Kota Baubau")</f>
        <v>Lingkungan Baru, RT/001 RW/002, Kelurahan Palabusa, Kecamatan Lea-Lea, Kota Baubau</v>
      </c>
      <c r="L920" s="36"/>
      <c r="M920" s="36"/>
      <c r="N920" s="36"/>
      <c r="O920" s="36"/>
      <c r="P920" s="36"/>
      <c r="Q920" s="36"/>
      <c r="R920" s="36" t="str">
        <f>IFERROR(__xludf.DUMMYFUNCTION("""COMPUTED_VALUE"""),"K")</f>
        <v>K</v>
      </c>
      <c r="S920" s="39"/>
    </row>
    <row r="921">
      <c r="B921" s="36" t="str">
        <f>IFERROR(__xludf.DUMMYFUNCTION("""COMPUTED_VALUE"""),"Pengelolaan Administrasi Perkantoraan")</f>
        <v>Pengelolaan Administrasi Perkantoraan</v>
      </c>
      <c r="C921" s="36" t="str">
        <f>IFERROR(__xludf.DUMMYFUNCTION("""COMPUTED_VALUE"""),"BPVP Kendari")</f>
        <v>BPVP Kendari</v>
      </c>
      <c r="D921" s="36"/>
      <c r="E921" s="36"/>
      <c r="F921" s="36" t="str">
        <f>IFERROR(__xludf.DUMMYFUNCTION("""COMPUTED_VALUE"""),"LHELY SARTIKA QUR’AN")</f>
        <v>LHELY SARTIKA QUR’AN</v>
      </c>
      <c r="G921" s="36" t="str">
        <f>IFERROR(__xludf.DUMMYFUNCTION("""COMPUTED_VALUE"""),"7310114208030002")</f>
        <v>7310114208030002</v>
      </c>
      <c r="H921" s="36"/>
      <c r="I921" s="36"/>
      <c r="J921" s="36" t="str">
        <f>IFERROR(__xludf.DUMMYFUNCTION("""COMPUTED_VALUE"""),"PEREMPUAN")</f>
        <v>PEREMPUAN</v>
      </c>
      <c r="K921" s="36" t="str">
        <f>IFERROR(__xludf.DUMMYFUNCTION("""COMPUTED_VALUE"""),"Mandalle")</f>
        <v>Mandalle</v>
      </c>
      <c r="L921" s="36"/>
      <c r="M921" s="36"/>
      <c r="N921" s="36"/>
      <c r="O921" s="36"/>
      <c r="P921" s="36"/>
      <c r="Q921" s="36"/>
      <c r="R921" s="36" t="str">
        <f>IFERROR(__xludf.DUMMYFUNCTION("""COMPUTED_VALUE"""),"K")</f>
        <v>K</v>
      </c>
      <c r="S921" s="39"/>
    </row>
    <row r="922">
      <c r="B922" s="36" t="str">
        <f>IFERROR(__xludf.DUMMYFUNCTION("""COMPUTED_VALUE"""),"Pengelolaan Administrasi Perkantoraan")</f>
        <v>Pengelolaan Administrasi Perkantoraan</v>
      </c>
      <c r="C922" s="36" t="str">
        <f>IFERROR(__xludf.DUMMYFUNCTION("""COMPUTED_VALUE"""),"BPVP Kendari")</f>
        <v>BPVP Kendari</v>
      </c>
      <c r="D922" s="36"/>
      <c r="E922" s="36"/>
      <c r="F922" s="36" t="str">
        <f>IFERROR(__xludf.DUMMYFUNCTION("""COMPUTED_VALUE"""),"EUNIKE PATA DATU")</f>
        <v>EUNIKE PATA DATU</v>
      </c>
      <c r="G922" s="36" t="str">
        <f>IFERROR(__xludf.DUMMYFUNCTION("""COMPUTED_VALUE"""),"7401075210030001")</f>
        <v>7401075210030001</v>
      </c>
      <c r="H922" s="36"/>
      <c r="I922" s="36"/>
      <c r="J922" s="36" t="str">
        <f>IFERROR(__xludf.DUMMYFUNCTION("""COMPUTED_VALUE"""),"PEREMPUAN")</f>
        <v>PEREMPUAN</v>
      </c>
      <c r="K922" s="36" t="str">
        <f>IFERROR(__xludf.DUMMYFUNCTION("""COMPUTED_VALUE"""),"Btn Grand Boulevard Regency Blok B/39, kelurahan Mokoau, Kecamatan kambu, Kota Kendari, Sulawesi Tenggara. ")</f>
        <v>Btn Grand Boulevard Regency Blok B/39, kelurahan Mokoau, Kecamatan kambu, Kota Kendari, Sulawesi Tenggara. </v>
      </c>
      <c r="L922" s="36"/>
      <c r="M922" s="36"/>
      <c r="N922" s="36"/>
      <c r="O922" s="36"/>
      <c r="P922" s="36"/>
      <c r="Q922" s="36"/>
      <c r="R922" s="36" t="str">
        <f>IFERROR(__xludf.DUMMYFUNCTION("""COMPUTED_VALUE"""),"K")</f>
        <v>K</v>
      </c>
      <c r="S922" s="39"/>
    </row>
    <row r="923">
      <c r="B923" s="36" t="str">
        <f>IFERROR(__xludf.DUMMYFUNCTION("""COMPUTED_VALUE"""),"Pengelolaan Administrasi Perkantoraan")</f>
        <v>Pengelolaan Administrasi Perkantoraan</v>
      </c>
      <c r="C923" s="36" t="str">
        <f>IFERROR(__xludf.DUMMYFUNCTION("""COMPUTED_VALUE"""),"BPVP Kendari")</f>
        <v>BPVP Kendari</v>
      </c>
      <c r="D923" s="36"/>
      <c r="E923" s="36"/>
      <c r="F923" s="36" t="str">
        <f>IFERROR(__xludf.DUMMYFUNCTION("""COMPUTED_VALUE"""),"EKA NURFADILA")</f>
        <v>EKA NURFADILA</v>
      </c>
      <c r="G923" s="36" t="str">
        <f>IFERROR(__xludf.DUMMYFUNCTION("""COMPUTED_VALUE"""),"7472056306030001")</f>
        <v>7472056306030001</v>
      </c>
      <c r="H923" s="36"/>
      <c r="I923" s="36"/>
      <c r="J923" s="36" t="str">
        <f>IFERROR(__xludf.DUMMYFUNCTION("""COMPUTED_VALUE"""),"PEREMPUAN")</f>
        <v>PEREMPUAN</v>
      </c>
      <c r="K923" s="36" t="str">
        <f>IFERROR(__xludf.DUMMYFUNCTION("""COMPUTED_VALUE"""),"JL. BUKIT PERMAI, RT/RW.003/001, KEL. KADOLO, KEC. KOKALUKUNA, KOTA BAUBAU SULAWESI TENGGARA")</f>
        <v>JL. BUKIT PERMAI, RT/RW.003/001, KEL. KADOLO, KEC. KOKALUKUNA, KOTA BAUBAU SULAWESI TENGGARA</v>
      </c>
      <c r="L923" s="36"/>
      <c r="M923" s="36"/>
      <c r="N923" s="36"/>
      <c r="O923" s="36"/>
      <c r="P923" s="36"/>
      <c r="Q923" s="36"/>
      <c r="R923" s="36" t="str">
        <f>IFERROR(__xludf.DUMMYFUNCTION("""COMPUTED_VALUE"""),"K")</f>
        <v>K</v>
      </c>
      <c r="S923" s="39"/>
    </row>
    <row r="924">
      <c r="B924" s="36" t="str">
        <f>IFERROR(__xludf.DUMMYFUNCTION("""COMPUTED_VALUE"""),"Pengelolaan Administrasi Perkantoraan")</f>
        <v>Pengelolaan Administrasi Perkantoraan</v>
      </c>
      <c r="C924" s="36" t="str">
        <f>IFERROR(__xludf.DUMMYFUNCTION("""COMPUTED_VALUE"""),"BPVP Kendari")</f>
        <v>BPVP Kendari</v>
      </c>
      <c r="D924" s="36"/>
      <c r="E924" s="36"/>
      <c r="F924" s="36" t="str">
        <f>IFERROR(__xludf.DUMMYFUNCTION("""COMPUTED_VALUE"""),"Regina Tiara Velaski")</f>
        <v>Regina Tiara Velaski</v>
      </c>
      <c r="G924" s="36" t="str">
        <f>IFERROR(__xludf.DUMMYFUNCTION("""COMPUTED_VALUE"""),"7471084803040003")</f>
        <v>7471084803040003</v>
      </c>
      <c r="H924" s="36"/>
      <c r="I924" s="36"/>
      <c r="J924" s="36" t="str">
        <f>IFERROR(__xludf.DUMMYFUNCTION("""COMPUTED_VALUE"""),"PEREMPUAN")</f>
        <v>PEREMPUAN</v>
      </c>
      <c r="K924" s="36" t="str">
        <f>IFERROR(__xludf.DUMMYFUNCTION("""COMPUTED_VALUE"""),"Jl. sao-sao no.11 perumnas")</f>
        <v>Jl. sao-sao no.11 perumnas</v>
      </c>
      <c r="L924" s="36"/>
      <c r="M924" s="36"/>
      <c r="N924" s="36"/>
      <c r="O924" s="36"/>
      <c r="P924" s="36"/>
      <c r="Q924" s="36"/>
      <c r="R924" s="36" t="str">
        <f>IFERROR(__xludf.DUMMYFUNCTION("""COMPUTED_VALUE"""),"K")</f>
        <v>K</v>
      </c>
      <c r="S924" s="39"/>
    </row>
    <row r="925">
      <c r="B925" s="36" t="str">
        <f>IFERROR(__xludf.DUMMYFUNCTION("""COMPUTED_VALUE"""),"Pengelolaan Administrasi Perkantoraan")</f>
        <v>Pengelolaan Administrasi Perkantoraan</v>
      </c>
      <c r="C925" s="36" t="str">
        <f>IFERROR(__xludf.DUMMYFUNCTION("""COMPUTED_VALUE"""),"BPVP Kendari")</f>
        <v>BPVP Kendari</v>
      </c>
      <c r="D925" s="36"/>
      <c r="E925" s="36"/>
      <c r="F925" s="36" t="str">
        <f>IFERROR(__xludf.DUMMYFUNCTION("""COMPUTED_VALUE"""),"AFDAL NUR")</f>
        <v>AFDAL NUR</v>
      </c>
      <c r="G925" s="36" t="str">
        <f>IFERROR(__xludf.DUMMYFUNCTION("""COMPUTED_VALUE"""),"7406022510000002")</f>
        <v>7406022510000002</v>
      </c>
      <c r="H925" s="36"/>
      <c r="I925" s="36"/>
      <c r="J925" s="36" t="str">
        <f>IFERROR(__xludf.DUMMYFUNCTION("""COMPUTED_VALUE"""),"LAKI-LAKI")</f>
        <v>LAKI-LAKI</v>
      </c>
      <c r="K925" s="36" t="str">
        <f>IFERROR(__xludf.DUMMYFUNCTION("""COMPUTED_VALUE"""),"Kel.Puulemo, Kec.Poleang Timur, Kab.Bombana.")</f>
        <v>Kel.Puulemo, Kec.Poleang Timur, Kab.Bombana.</v>
      </c>
      <c r="L925" s="36"/>
      <c r="M925" s="36"/>
      <c r="N925" s="36"/>
      <c r="O925" s="36"/>
      <c r="P925" s="36"/>
      <c r="Q925" s="36"/>
      <c r="R925" s="36" t="str">
        <f>IFERROR(__xludf.DUMMYFUNCTION("""COMPUTED_VALUE"""),"K")</f>
        <v>K</v>
      </c>
      <c r="S925" s="39"/>
    </row>
    <row r="926">
      <c r="B926" s="36" t="str">
        <f>IFERROR(__xludf.DUMMYFUNCTION("""COMPUTED_VALUE"""),"Pengelolaan Administrasi Perkantoraan")</f>
        <v>Pengelolaan Administrasi Perkantoraan</v>
      </c>
      <c r="C926" s="36" t="str">
        <f>IFERROR(__xludf.DUMMYFUNCTION("""COMPUTED_VALUE"""),"BPVP Kendari")</f>
        <v>BPVP Kendari</v>
      </c>
      <c r="D926" s="36"/>
      <c r="E926" s="36"/>
      <c r="F926" s="36" t="str">
        <f>IFERROR(__xludf.DUMMYFUNCTION("""COMPUTED_VALUE"""),"WULAN SAFITRI AGUSPIN ")</f>
        <v>WULAN SAFITRI AGUSPIN </v>
      </c>
      <c r="G926" s="36" t="str">
        <f>IFERROR(__xludf.DUMMYFUNCTION("""COMPUTED_VALUE"""),"7471035412020001")</f>
        <v>7471035412020001</v>
      </c>
      <c r="H926" s="36"/>
      <c r="I926" s="36"/>
      <c r="J926" s="36" t="str">
        <f>IFERROR(__xludf.DUMMYFUNCTION("""COMPUTED_VALUE"""),"PEREMPUAN")</f>
        <v>PEREMPUAN</v>
      </c>
      <c r="K926" s="36" t="str">
        <f>IFERROR(__xludf.DUMMYFUNCTION("""COMPUTED_VALUE"""),"JL. LAPAS BARUGA ")</f>
        <v>JL. LAPAS BARUGA </v>
      </c>
      <c r="L926" s="36"/>
      <c r="M926" s="36"/>
      <c r="N926" s="36"/>
      <c r="O926" s="36"/>
      <c r="P926" s="36"/>
      <c r="Q926" s="36"/>
      <c r="R926" s="36" t="str">
        <f>IFERROR(__xludf.DUMMYFUNCTION("""COMPUTED_VALUE"""),"K")</f>
        <v>K</v>
      </c>
      <c r="S926" s="39"/>
    </row>
    <row r="927">
      <c r="B927" s="36" t="str">
        <f>IFERROR(__xludf.DUMMYFUNCTION("""COMPUTED_VALUE"""),"Pengelolaan Administrasi Perkantoraan")</f>
        <v>Pengelolaan Administrasi Perkantoraan</v>
      </c>
      <c r="C927" s="36" t="str">
        <f>IFERROR(__xludf.DUMMYFUNCTION("""COMPUTED_VALUE"""),"BPVP Kendari")</f>
        <v>BPVP Kendari</v>
      </c>
      <c r="D927" s="36"/>
      <c r="E927" s="36"/>
      <c r="F927" s="36" t="str">
        <f>IFERROR(__xludf.DUMMYFUNCTION("""COMPUTED_VALUE"""),"Sri Wulandari ")</f>
        <v>Sri Wulandari </v>
      </c>
      <c r="G927" s="36" t="str">
        <f>IFERROR(__xludf.DUMMYFUNCTION("""COMPUTED_VALUE"""),"7410014612020001")</f>
        <v>7410014612020001</v>
      </c>
      <c r="H927" s="36"/>
      <c r="I927" s="36"/>
      <c r="J927" s="36" t="str">
        <f>IFERROR(__xludf.DUMMYFUNCTION("""COMPUTED_VALUE"""),"PEREMPUAN")</f>
        <v>PEREMPUAN</v>
      </c>
      <c r="K927" s="36" t="str">
        <f>IFERROR(__xludf.DUMMYFUNCTION("""COMPUTED_VALUE"""),"Mekar ")</f>
        <v>Mekar </v>
      </c>
      <c r="L927" s="36"/>
      <c r="M927" s="36"/>
      <c r="N927" s="36"/>
      <c r="O927" s="36"/>
      <c r="P927" s="36"/>
      <c r="Q927" s="36"/>
      <c r="R927" s="36" t="str">
        <f>IFERROR(__xludf.DUMMYFUNCTION("""COMPUTED_VALUE"""),"K")</f>
        <v>K</v>
      </c>
      <c r="S927" s="39"/>
    </row>
    <row r="928">
      <c r="B928" s="36" t="str">
        <f>IFERROR(__xludf.DUMMYFUNCTION("""COMPUTED_VALUE"""),"Pengelolaan Administrasi Perkantoraan")</f>
        <v>Pengelolaan Administrasi Perkantoraan</v>
      </c>
      <c r="C928" s="36" t="str">
        <f>IFERROR(__xludf.DUMMYFUNCTION("""COMPUTED_VALUE"""),"BPVP Kendari")</f>
        <v>BPVP Kendari</v>
      </c>
      <c r="D928" s="36"/>
      <c r="E928" s="36"/>
      <c r="F928" s="36" t="str">
        <f>IFERROR(__xludf.DUMMYFUNCTION("""COMPUTED_VALUE"""),"SISRI SIAGIAN")</f>
        <v>SISRI SIAGIAN</v>
      </c>
      <c r="G928" s="36" t="str">
        <f>IFERROR(__xludf.DUMMYFUNCTION("""COMPUTED_VALUE"""),"7402235809030001")</f>
        <v>7402235809030001</v>
      </c>
      <c r="H928" s="36"/>
      <c r="I928" s="36"/>
      <c r="J928" s="36" t="str">
        <f>IFERROR(__xludf.DUMMYFUNCTION("""COMPUTED_VALUE"""),"PEREMPUAN")</f>
        <v>PEREMPUAN</v>
      </c>
      <c r="K928" s="36" t="str">
        <f>IFERROR(__xludf.DUMMYFUNCTION("""COMPUTED_VALUE"""),"Desa Puosu Jaya, Kecamatan Konda, Kabupaten Konawe Selatan, Provinsi Sulawesi Tenggara ")</f>
        <v>Desa Puosu Jaya, Kecamatan Konda, Kabupaten Konawe Selatan, Provinsi Sulawesi Tenggara </v>
      </c>
      <c r="L928" s="36"/>
      <c r="M928" s="36"/>
      <c r="N928" s="36"/>
      <c r="O928" s="36"/>
      <c r="P928" s="36"/>
      <c r="Q928" s="36"/>
      <c r="R928" s="36" t="str">
        <f>IFERROR(__xludf.DUMMYFUNCTION("""COMPUTED_VALUE"""),"K")</f>
        <v>K</v>
      </c>
      <c r="S928" s="39"/>
    </row>
    <row r="929">
      <c r="B929" s="36" t="str">
        <f>IFERROR(__xludf.DUMMYFUNCTION("""COMPUTED_VALUE"""),"Pengelolaan Administrasi Perkantoraan")</f>
        <v>Pengelolaan Administrasi Perkantoraan</v>
      </c>
      <c r="C929" s="36" t="str">
        <f>IFERROR(__xludf.DUMMYFUNCTION("""COMPUTED_VALUE"""),"BPVP Kendari")</f>
        <v>BPVP Kendari</v>
      </c>
      <c r="D929" s="36"/>
      <c r="E929" s="36"/>
      <c r="F929" s="36" t="str">
        <f>IFERROR(__xludf.DUMMYFUNCTION("""COMPUTED_VALUE"""),"Andi Salsabila Annisa Fitri")</f>
        <v>Andi Salsabila Annisa Fitri</v>
      </c>
      <c r="G929" s="36" t="str">
        <f>IFERROR(__xludf.DUMMYFUNCTION("""COMPUTED_VALUE"""),"7402016411030001")</f>
        <v>7402016411030001</v>
      </c>
      <c r="H929" s="36"/>
      <c r="I929" s="36"/>
      <c r="J929" s="36" t="str">
        <f>IFERROR(__xludf.DUMMYFUNCTION("""COMPUTED_VALUE"""),"PEREMPUAN")</f>
        <v>PEREMPUAN</v>
      </c>
      <c r="K929" s="36" t="str">
        <f>IFERROR(__xludf.DUMMYFUNCTION("""COMPUTED_VALUE"""),"Lrg. Buah Eha, Anduonohu")</f>
        <v>Lrg. Buah Eha, Anduonohu</v>
      </c>
      <c r="L929" s="36"/>
      <c r="M929" s="36"/>
      <c r="N929" s="36"/>
      <c r="O929" s="36"/>
      <c r="P929" s="36"/>
      <c r="Q929" s="36"/>
      <c r="R929" s="36" t="str">
        <f>IFERROR(__xludf.DUMMYFUNCTION("""COMPUTED_VALUE"""),"K")</f>
        <v>K</v>
      </c>
      <c r="S929" s="39"/>
    </row>
    <row r="930">
      <c r="B930" s="36" t="str">
        <f>IFERROR(__xludf.DUMMYFUNCTION("""COMPUTED_VALUE"""),"Pengelolaan Administrasi Perkantoraan")</f>
        <v>Pengelolaan Administrasi Perkantoraan</v>
      </c>
      <c r="C930" s="36" t="str">
        <f>IFERROR(__xludf.DUMMYFUNCTION("""COMPUTED_VALUE"""),"BPVP Kendari")</f>
        <v>BPVP Kendari</v>
      </c>
      <c r="D930" s="36"/>
      <c r="E930" s="36"/>
      <c r="F930" s="36" t="str">
        <f>IFERROR(__xludf.DUMMYFUNCTION("""COMPUTED_VALUE"""),"Reny Meylani Sudarman")</f>
        <v>Reny Meylani Sudarman</v>
      </c>
      <c r="G930" s="36" t="str">
        <f>IFERROR(__xludf.DUMMYFUNCTION("""COMPUTED_VALUE"""),"7472064705030001")</f>
        <v>7472064705030001</v>
      </c>
      <c r="H930" s="36"/>
      <c r="I930" s="36"/>
      <c r="J930" s="36" t="str">
        <f>IFERROR(__xludf.DUMMYFUNCTION("""COMPUTED_VALUE"""),"PEREMPUAN")</f>
        <v>PEREMPUAN</v>
      </c>
      <c r="K930" s="36" t="str">
        <f>IFERROR(__xludf.DUMMYFUNCTION("""COMPUTED_VALUE"""),"Jl. Gaja Mada Kel. Wajo, Kec. Murhum")</f>
        <v>Jl. Gaja Mada Kel. Wajo, Kec. Murhum</v>
      </c>
      <c r="L930" s="36"/>
      <c r="M930" s="36"/>
      <c r="N930" s="36"/>
      <c r="O930" s="36"/>
      <c r="P930" s="36"/>
      <c r="Q930" s="36"/>
      <c r="R930" s="36" t="str">
        <f>IFERROR(__xludf.DUMMYFUNCTION("""COMPUTED_VALUE"""),"K")</f>
        <v>K</v>
      </c>
      <c r="S930" s="39"/>
    </row>
    <row r="931">
      <c r="B931" s="36" t="str">
        <f>IFERROR(__xludf.DUMMYFUNCTION("""COMPUTED_VALUE"""),"Pengelolaan Administrasi Perkantoraan")</f>
        <v>Pengelolaan Administrasi Perkantoraan</v>
      </c>
      <c r="C931" s="36" t="str">
        <f>IFERROR(__xludf.DUMMYFUNCTION("""COMPUTED_VALUE"""),"BPVP Kendari")</f>
        <v>BPVP Kendari</v>
      </c>
      <c r="D931" s="36"/>
      <c r="E931" s="36"/>
      <c r="F931" s="36" t="str">
        <f>IFERROR(__xludf.DUMMYFUNCTION("""COMPUTED_VALUE"""),"SUKMA NINGSI JAMUDDIN ")</f>
        <v>SUKMA NINGSI JAMUDDIN </v>
      </c>
      <c r="G931" s="36" t="str">
        <f>IFERROR(__xludf.DUMMYFUNCTION("""COMPUTED_VALUE"""),"7471065601030001")</f>
        <v>7471065601030001</v>
      </c>
      <c r="H931" s="36"/>
      <c r="I931" s="36"/>
      <c r="J931" s="36" t="str">
        <f>IFERROR(__xludf.DUMMYFUNCTION("""COMPUTED_VALUE"""),"PEREMPUAN")</f>
        <v>PEREMPUAN</v>
      </c>
      <c r="K931" s="36" t="str">
        <f>IFERROR(__xludf.DUMMYFUNCTION("""COMPUTED_VALUE"""),"Kelurahan Tobimeita Kecamatan Nambo ")</f>
        <v>Kelurahan Tobimeita Kecamatan Nambo </v>
      </c>
      <c r="L931" s="36"/>
      <c r="M931" s="36"/>
      <c r="N931" s="36"/>
      <c r="O931" s="36"/>
      <c r="P931" s="36"/>
      <c r="Q931" s="36"/>
      <c r="R931" s="36" t="str">
        <f>IFERROR(__xludf.DUMMYFUNCTION("""COMPUTED_VALUE"""),"K")</f>
        <v>K</v>
      </c>
      <c r="S931" s="39"/>
    </row>
    <row r="932">
      <c r="B932" s="36" t="str">
        <f>IFERROR(__xludf.DUMMYFUNCTION("""COMPUTED_VALUE"""),"Pengelolaan Administrasi Perkantoraan")</f>
        <v>Pengelolaan Administrasi Perkantoraan</v>
      </c>
      <c r="C932" s="36" t="str">
        <f>IFERROR(__xludf.DUMMYFUNCTION("""COMPUTED_VALUE"""),"BPVP Kendari")</f>
        <v>BPVP Kendari</v>
      </c>
      <c r="D932" s="36"/>
      <c r="E932" s="36"/>
      <c r="F932" s="36" t="str">
        <f>IFERROR(__xludf.DUMMYFUNCTION("""COMPUTED_VALUE"""),"Harni")</f>
        <v>Harni</v>
      </c>
      <c r="G932" s="36" t="str">
        <f>IFERROR(__xludf.DUMMYFUNCTION("""COMPUTED_VALUE"""),"7410016312010001")</f>
        <v>7410016312010001</v>
      </c>
      <c r="H932" s="36"/>
      <c r="I932" s="36"/>
      <c r="J932" s="36" t="str">
        <f>IFERROR(__xludf.DUMMYFUNCTION("""COMPUTED_VALUE"""),"PEREMPUAN")</f>
        <v>PEREMPUAN</v>
      </c>
      <c r="K932" s="36" t="str">
        <f>IFERROR(__xludf.DUMMYFUNCTION("""COMPUTED_VALUE"""),"Eelahaji")</f>
        <v>Eelahaji</v>
      </c>
      <c r="L932" s="36"/>
      <c r="M932" s="36"/>
      <c r="N932" s="36"/>
      <c r="O932" s="36"/>
      <c r="P932" s="36"/>
      <c r="Q932" s="36"/>
      <c r="R932" s="36" t="str">
        <f>IFERROR(__xludf.DUMMYFUNCTION("""COMPUTED_VALUE"""),"K")</f>
        <v>K</v>
      </c>
      <c r="S932" s="39"/>
    </row>
    <row r="933">
      <c r="B933" s="36" t="str">
        <f>IFERROR(__xludf.DUMMYFUNCTION("""COMPUTED_VALUE"""),"Pengelolaan Administrasi Perkantoraan")</f>
        <v>Pengelolaan Administrasi Perkantoraan</v>
      </c>
      <c r="C933" s="36" t="str">
        <f>IFERROR(__xludf.DUMMYFUNCTION("""COMPUTED_VALUE"""),"BPVP Kendari")</f>
        <v>BPVP Kendari</v>
      </c>
      <c r="D933" s="36"/>
      <c r="E933" s="36"/>
      <c r="F933" s="36" t="str">
        <f>IFERROR(__xludf.DUMMYFUNCTION("""COMPUTED_VALUE"""),"Musfira Putri Damayanti")</f>
        <v>Musfira Putri Damayanti</v>
      </c>
      <c r="G933" s="36" t="str">
        <f>IFERROR(__xludf.DUMMYFUNCTION("""COMPUTED_VALUE"""),"7471054508030003")</f>
        <v>7471054508030003</v>
      </c>
      <c r="H933" s="36"/>
      <c r="I933" s="36"/>
      <c r="J933" s="36" t="str">
        <f>IFERROR(__xludf.DUMMYFUNCTION("""COMPUTED_VALUE"""),"PEREMPUAN")</f>
        <v>PEREMPUAN</v>
      </c>
      <c r="K933" s="36" t="str">
        <f>IFERROR(__xludf.DUMMYFUNCTION("""COMPUTED_VALUE"""),"jln.lasolo")</f>
        <v>jln.lasolo</v>
      </c>
      <c r="L933" s="36"/>
      <c r="M933" s="36"/>
      <c r="N933" s="36"/>
      <c r="O933" s="36"/>
      <c r="P933" s="36"/>
      <c r="Q933" s="36"/>
      <c r="R933" s="36" t="str">
        <f>IFERROR(__xludf.DUMMYFUNCTION("""COMPUTED_VALUE"""),"K")</f>
        <v>K</v>
      </c>
      <c r="S933" s="39"/>
    </row>
    <row r="934">
      <c r="B934" s="36" t="str">
        <f>IFERROR(__xludf.DUMMYFUNCTION("""COMPUTED_VALUE"""),"Pengelolaan Administrasi Perkantoraan")</f>
        <v>Pengelolaan Administrasi Perkantoraan</v>
      </c>
      <c r="C934" s="36" t="str">
        <f>IFERROR(__xludf.DUMMYFUNCTION("""COMPUTED_VALUE"""),"BPVP Kendari")</f>
        <v>BPVP Kendari</v>
      </c>
      <c r="D934" s="36"/>
      <c r="E934" s="36"/>
      <c r="F934" s="36" t="str">
        <f>IFERROR(__xludf.DUMMYFUNCTION("""COMPUTED_VALUE"""),"Hikmah Juhuria")</f>
        <v>Hikmah Juhuria</v>
      </c>
      <c r="G934" s="36" t="str">
        <f>IFERROR(__xludf.DUMMYFUNCTION("""COMPUTED_VALUE"""),"7404111411030001")</f>
        <v>7404111411030001</v>
      </c>
      <c r="H934" s="36"/>
      <c r="I934" s="36"/>
      <c r="J934" s="36" t="str">
        <f>IFERROR(__xludf.DUMMYFUNCTION("""COMPUTED_VALUE"""),"PEREMPUAN")</f>
        <v>PEREMPUAN</v>
      </c>
      <c r="K934" s="36" t="str">
        <f>IFERROR(__xludf.DUMMYFUNCTION("""COMPUTED_VALUE"""),"Desa Laburunci")</f>
        <v>Desa Laburunci</v>
      </c>
      <c r="L934" s="36"/>
      <c r="M934" s="36"/>
      <c r="N934" s="36"/>
      <c r="O934" s="36"/>
      <c r="P934" s="36"/>
      <c r="Q934" s="36"/>
      <c r="R934" s="36" t="str">
        <f>IFERROR(__xludf.DUMMYFUNCTION("""COMPUTED_VALUE"""),"K")</f>
        <v>K</v>
      </c>
      <c r="S934" s="39"/>
    </row>
    <row r="935">
      <c r="B935" s="36" t="str">
        <f>IFERROR(__xludf.DUMMYFUNCTION("""COMPUTED_VALUE"""),"Pengelolaan Administrasi Perkantoraan")</f>
        <v>Pengelolaan Administrasi Perkantoraan</v>
      </c>
      <c r="C935" s="36" t="str">
        <f>IFERROR(__xludf.DUMMYFUNCTION("""COMPUTED_VALUE"""),"BPVP Kendari")</f>
        <v>BPVP Kendari</v>
      </c>
      <c r="D935" s="36"/>
      <c r="E935" s="36"/>
      <c r="F935" s="36" t="str">
        <f>IFERROR(__xludf.DUMMYFUNCTION("""COMPUTED_VALUE"""),"Annisa Sakinah")</f>
        <v>Annisa Sakinah</v>
      </c>
      <c r="G935" s="36" t="str">
        <f>IFERROR(__xludf.DUMMYFUNCTION("""COMPUTED_VALUE"""),"7472024605030001")</f>
        <v>7472024605030001</v>
      </c>
      <c r="H935" s="36"/>
      <c r="I935" s="36"/>
      <c r="J935" s="36" t="str">
        <f>IFERROR(__xludf.DUMMYFUNCTION("""COMPUTED_VALUE"""),"PEREMPUAN")</f>
        <v>PEREMPUAN</v>
      </c>
      <c r="K935" s="36" t="str">
        <f>IFERROR(__xludf.DUMMYFUNCTION("""COMPUTED_VALUE"""),"Jalan Kelapa, Kel. Wangkanapi, Kec. Wolio")</f>
        <v>Jalan Kelapa, Kel. Wangkanapi, Kec. Wolio</v>
      </c>
      <c r="L935" s="36"/>
      <c r="M935" s="36"/>
      <c r="N935" s="36"/>
      <c r="O935" s="36"/>
      <c r="P935" s="36"/>
      <c r="Q935" s="36"/>
      <c r="R935" s="36" t="str">
        <f>IFERROR(__xludf.DUMMYFUNCTION("""COMPUTED_VALUE"""),"K")</f>
        <v>K</v>
      </c>
      <c r="S935" s="39"/>
    </row>
    <row r="936">
      <c r="B936" s="36" t="str">
        <f>IFERROR(__xludf.DUMMYFUNCTION("""COMPUTED_VALUE"""),"Pengelolaan Administrasi Perkantoraan")</f>
        <v>Pengelolaan Administrasi Perkantoraan</v>
      </c>
      <c r="C936" s="36" t="str">
        <f>IFERROR(__xludf.DUMMYFUNCTION("""COMPUTED_VALUE"""),"BPVP Kendari")</f>
        <v>BPVP Kendari</v>
      </c>
      <c r="D936" s="36"/>
      <c r="E936" s="36"/>
      <c r="F936" s="36" t="str">
        <f>IFERROR(__xludf.DUMMYFUNCTION("""COMPUTED_VALUE"""),"Lina Papalia ")</f>
        <v>Lina Papalia </v>
      </c>
      <c r="G936" s="36" t="str">
        <f>IFERROR(__xludf.DUMMYFUNCTION("""COMPUTED_VALUE"""),"7404304308040001")</f>
        <v>7404304308040001</v>
      </c>
      <c r="H936" s="36"/>
      <c r="I936" s="36"/>
      <c r="J936" s="36" t="str">
        <f>IFERROR(__xludf.DUMMYFUNCTION("""COMPUTED_VALUE"""),"PEREMPUAN")</f>
        <v>PEREMPUAN</v>
      </c>
      <c r="K936" s="36" t="str">
        <f>IFERROR(__xludf.DUMMYFUNCTION("""COMPUTED_VALUE"""),"Desa Wolowa kecamatan Wolowa ")</f>
        <v>Desa Wolowa kecamatan Wolowa </v>
      </c>
      <c r="L936" s="36"/>
      <c r="M936" s="36"/>
      <c r="N936" s="36"/>
      <c r="O936" s="36"/>
      <c r="P936" s="36"/>
      <c r="Q936" s="36"/>
      <c r="R936" s="36" t="str">
        <f>IFERROR(__xludf.DUMMYFUNCTION("""COMPUTED_VALUE"""),"K")</f>
        <v>K</v>
      </c>
      <c r="S936" s="39"/>
    </row>
    <row r="937">
      <c r="B937" s="36" t="str">
        <f>IFERROR(__xludf.DUMMYFUNCTION("""COMPUTED_VALUE"""),"Pengelolaan Administrasi Perkantoraan")</f>
        <v>Pengelolaan Administrasi Perkantoraan</v>
      </c>
      <c r="C937" s="36" t="str">
        <f>IFERROR(__xludf.DUMMYFUNCTION("""COMPUTED_VALUE"""),"BPVP Kendari")</f>
        <v>BPVP Kendari</v>
      </c>
      <c r="D937" s="36"/>
      <c r="E937" s="36"/>
      <c r="F937" s="36" t="str">
        <f>IFERROR(__xludf.DUMMYFUNCTION("""COMPUTED_VALUE"""),"Ria Tantri Amelia")</f>
        <v>Ria Tantri Amelia</v>
      </c>
      <c r="G937" s="36" t="str">
        <f>IFERROR(__xludf.DUMMYFUNCTION("""COMPUTED_VALUE"""),"7471037012030001")</f>
        <v>7471037012030001</v>
      </c>
      <c r="H937" s="36"/>
      <c r="I937" s="36"/>
      <c r="J937" s="36" t="str">
        <f>IFERROR(__xludf.DUMMYFUNCTION("""COMPUTED_VALUE"""),"PEREMPUAN")</f>
        <v>PEREMPUAN</v>
      </c>
      <c r="K937" s="36" t="str">
        <f>IFERROR(__xludf.DUMMYFUNCTION("""COMPUTED_VALUE"""),"BTN BUKIT PERMATA HIJAU C1 NO 5")</f>
        <v>BTN BUKIT PERMATA HIJAU C1 NO 5</v>
      </c>
      <c r="L937" s="36"/>
      <c r="M937" s="36"/>
      <c r="N937" s="36"/>
      <c r="O937" s="36"/>
      <c r="P937" s="36"/>
      <c r="Q937" s="36"/>
      <c r="R937" s="36" t="str">
        <f>IFERROR(__xludf.DUMMYFUNCTION("""COMPUTED_VALUE"""),"K")</f>
        <v>K</v>
      </c>
      <c r="S937" s="39"/>
    </row>
    <row r="938">
      <c r="B938" s="36" t="str">
        <f>IFERROR(__xludf.DUMMYFUNCTION("""COMPUTED_VALUE"""),"Pengelolaan Administrasi Perkantoraan")</f>
        <v>Pengelolaan Administrasi Perkantoraan</v>
      </c>
      <c r="C938" s="36" t="str">
        <f>IFERROR(__xludf.DUMMYFUNCTION("""COMPUTED_VALUE"""),"BPVP Kendari")</f>
        <v>BPVP Kendari</v>
      </c>
      <c r="D938" s="36"/>
      <c r="E938" s="36"/>
      <c r="F938" s="36" t="str">
        <f>IFERROR(__xludf.DUMMYFUNCTION("""COMPUTED_VALUE"""),"Muhammad Rahmadani")</f>
        <v>Muhammad Rahmadani</v>
      </c>
      <c r="G938" s="36" t="str">
        <f>IFERROR(__xludf.DUMMYFUNCTION("""COMPUTED_VALUE"""),"7471077011030001")</f>
        <v>7471077011030001</v>
      </c>
      <c r="H938" s="36"/>
      <c r="I938" s="36"/>
      <c r="J938" s="36" t="str">
        <f>IFERROR(__xludf.DUMMYFUNCTION("""COMPUTED_VALUE"""),"LAKI-LAKI")</f>
        <v>LAKI-LAKI</v>
      </c>
      <c r="K938" s="36" t="str">
        <f>IFERROR(__xludf.DUMMYFUNCTION("""COMPUTED_VALUE"""),"jln. pattimura")</f>
        <v>jln. pattimura</v>
      </c>
      <c r="L938" s="36"/>
      <c r="M938" s="36"/>
      <c r="N938" s="36"/>
      <c r="O938" s="36"/>
      <c r="P938" s="36"/>
      <c r="Q938" s="36"/>
      <c r="R938" s="36" t="str">
        <f>IFERROR(__xludf.DUMMYFUNCTION("""COMPUTED_VALUE"""),"K")</f>
        <v>K</v>
      </c>
      <c r="S938" s="39"/>
    </row>
    <row r="939">
      <c r="B939" s="36" t="str">
        <f>IFERROR(__xludf.DUMMYFUNCTION("""COMPUTED_VALUE"""),"Pengelolaan Administrasi Perkantoraan")</f>
        <v>Pengelolaan Administrasi Perkantoraan</v>
      </c>
      <c r="C939" s="36" t="str">
        <f>IFERROR(__xludf.DUMMYFUNCTION("""COMPUTED_VALUE"""),"BPVP Kendari")</f>
        <v>BPVP Kendari</v>
      </c>
      <c r="D939" s="36"/>
      <c r="E939" s="36"/>
      <c r="F939" s="36" t="str">
        <f>IFERROR(__xludf.DUMMYFUNCTION("""COMPUTED_VALUE"""),"Tiara Nur Jumei")</f>
        <v>Tiara Nur Jumei</v>
      </c>
      <c r="G939" s="36" t="str">
        <f>IFERROR(__xludf.DUMMYFUNCTION("""COMPUTED_VALUE"""),"7402054905030001")</f>
        <v>7402054905030001</v>
      </c>
      <c r="H939" s="36"/>
      <c r="I939" s="36"/>
      <c r="J939" s="36" t="str">
        <f>IFERROR(__xludf.DUMMYFUNCTION("""COMPUTED_VALUE"""),"PEREMPUAN")</f>
        <v>PEREMPUAN</v>
      </c>
      <c r="K939" s="36" t="str">
        <f>IFERROR(__xludf.DUMMYFUNCTION("""COMPUTED_VALUE"""),"Desa Andadowi Kecamatan Sampara Kabupaten Konawe")</f>
        <v>Desa Andadowi Kecamatan Sampara Kabupaten Konawe</v>
      </c>
      <c r="L939" s="36"/>
      <c r="M939" s="36"/>
      <c r="N939" s="36"/>
      <c r="O939" s="36"/>
      <c r="P939" s="36"/>
      <c r="Q939" s="36"/>
      <c r="R939" s="36" t="str">
        <f>IFERROR(__xludf.DUMMYFUNCTION("""COMPUTED_VALUE"""),"K")</f>
        <v>K</v>
      </c>
      <c r="S939" s="39"/>
    </row>
    <row r="940">
      <c r="B940" s="36" t="str">
        <f>IFERROR(__xludf.DUMMYFUNCTION("""COMPUTED_VALUE"""),"Pengelolaan Administrasi Perkantoraan")</f>
        <v>Pengelolaan Administrasi Perkantoraan</v>
      </c>
      <c r="C940" s="36" t="str">
        <f>IFERROR(__xludf.DUMMYFUNCTION("""COMPUTED_VALUE"""),"BPVP Kendari")</f>
        <v>BPVP Kendari</v>
      </c>
      <c r="D940" s="36"/>
      <c r="E940" s="36"/>
      <c r="F940" s="36" t="str">
        <f>IFERROR(__xludf.DUMMYFUNCTION("""COMPUTED_VALUE"""),"Susi Widianti")</f>
        <v>Susi Widianti</v>
      </c>
      <c r="G940" s="36" t="str">
        <f>IFERROR(__xludf.DUMMYFUNCTION("""COMPUTED_VALUE"""),"7404075812030001")</f>
        <v>7404075812030001</v>
      </c>
      <c r="H940" s="36"/>
      <c r="I940" s="36"/>
      <c r="J940" s="36" t="str">
        <f>IFERROR(__xludf.DUMMYFUNCTION("""COMPUTED_VALUE"""),"PEREMPUAN")</f>
        <v>PEREMPUAN</v>
      </c>
      <c r="K940" s="36" t="str">
        <f>IFERROR(__xludf.DUMMYFUNCTION("""COMPUTED_VALUE"""),"Desa Wajogu, Kec. Lakudo, Kab. Buton Tengah")</f>
        <v>Desa Wajogu, Kec. Lakudo, Kab. Buton Tengah</v>
      </c>
      <c r="L940" s="36"/>
      <c r="M940" s="36"/>
      <c r="N940" s="36"/>
      <c r="O940" s="36"/>
      <c r="P940" s="36"/>
      <c r="Q940" s="36"/>
      <c r="R940" s="36" t="str">
        <f>IFERROR(__xludf.DUMMYFUNCTION("""COMPUTED_VALUE"""),"K")</f>
        <v>K</v>
      </c>
      <c r="S940" s="39"/>
    </row>
    <row r="941">
      <c r="B941" s="36" t="str">
        <f>IFERROR(__xludf.DUMMYFUNCTION("""COMPUTED_VALUE"""),"Asisten Pengembangan Web (Assistant Web Developer)")</f>
        <v>Asisten Pengembangan Web (Assistant Web Developer)</v>
      </c>
      <c r="C941" s="36" t="str">
        <f>IFERROR(__xludf.DUMMYFUNCTION("""COMPUTED_VALUE"""),"BPVP Kendari")</f>
        <v>BPVP Kendari</v>
      </c>
      <c r="D941" s="36"/>
      <c r="E941" s="36"/>
      <c r="F941" s="36" t="str">
        <f>IFERROR(__xludf.DUMMYFUNCTION("""COMPUTED_VALUE"""),"Ikhsanuddin Rezki")</f>
        <v>Ikhsanuddin Rezki</v>
      </c>
      <c r="G941" s="36" t="str">
        <f>IFERROR(__xludf.DUMMYFUNCTION("""COMPUTED_VALUE"""),"7471091101040003")</f>
        <v>7471091101040003</v>
      </c>
      <c r="H941" s="36"/>
      <c r="I941" s="36"/>
      <c r="J941" s="36" t="str">
        <f>IFERROR(__xludf.DUMMYFUNCTION("""COMPUTED_VALUE"""),"LAKI-LAKI")</f>
        <v>LAKI-LAKI</v>
      </c>
      <c r="K941" s="36" t="str">
        <f>IFERROR(__xludf.DUMMYFUNCTION("""COMPUTED_VALUE"""),"Jl Budi Utomo RT 008, RW 003")</f>
        <v>Jl Budi Utomo RT 008, RW 003</v>
      </c>
      <c r="L941" s="36"/>
      <c r="M941" s="36"/>
      <c r="N941" s="36"/>
      <c r="O941" s="36"/>
      <c r="P941" s="36"/>
      <c r="Q941" s="36"/>
      <c r="R941" s="36" t="str">
        <f>IFERROR(__xludf.DUMMYFUNCTION("""COMPUTED_VALUE"""),"K")</f>
        <v>K</v>
      </c>
      <c r="S941" s="39"/>
    </row>
    <row r="942">
      <c r="B942" s="36" t="str">
        <f>IFERROR(__xludf.DUMMYFUNCTION("""COMPUTED_VALUE"""),"Asisten Pengembangan Web (Assistant Web Developer)")</f>
        <v>Asisten Pengembangan Web (Assistant Web Developer)</v>
      </c>
      <c r="C942" s="36" t="str">
        <f>IFERROR(__xludf.DUMMYFUNCTION("""COMPUTED_VALUE"""),"BPVP Kendari")</f>
        <v>BPVP Kendari</v>
      </c>
      <c r="D942" s="36"/>
      <c r="E942" s="36"/>
      <c r="F942" s="36" t="str">
        <f>IFERROR(__xludf.DUMMYFUNCTION("""COMPUTED_VALUE"""),"Widya Tridamayana")</f>
        <v>Widya Tridamayana</v>
      </c>
      <c r="G942" s="36" t="str">
        <f>IFERROR(__xludf.DUMMYFUNCTION("""COMPUTED_VALUE"""),"7207064803030001")</f>
        <v>7207064803030001</v>
      </c>
      <c r="H942" s="36"/>
      <c r="I942" s="36"/>
      <c r="J942" s="36" t="str">
        <f>IFERROR(__xludf.DUMMYFUNCTION("""COMPUTED_VALUE"""),"PEREMPUAN")</f>
        <v>PEREMPUAN</v>
      </c>
      <c r="K942" s="36" t="str">
        <f>IFERROR(__xludf.DUMMYFUNCTION("""COMPUTED_VALUE"""),"PROV.SULAWESI TENGAH, KAB.KABUPATEN BANGGAI,KEC.LUWUK UTARA,KEL.KILONGAN PERMAI")</f>
        <v>PROV.SULAWESI TENGAH, KAB.KABUPATEN BANGGAI,KEC.LUWUK UTARA,KEL.KILONGAN PERMAI</v>
      </c>
      <c r="L942" s="36"/>
      <c r="M942" s="36"/>
      <c r="N942" s="36"/>
      <c r="O942" s="36"/>
      <c r="P942" s="36"/>
      <c r="Q942" s="36"/>
      <c r="R942" s="36" t="str">
        <f>IFERROR(__xludf.DUMMYFUNCTION("""COMPUTED_VALUE"""),"K")</f>
        <v>K</v>
      </c>
      <c r="S942" s="39"/>
    </row>
    <row r="943">
      <c r="B943" s="36" t="str">
        <f>IFERROR(__xludf.DUMMYFUNCTION("""COMPUTED_VALUE"""),"Asisten Pengembangan Web (Assistant Web Developer)")</f>
        <v>Asisten Pengembangan Web (Assistant Web Developer)</v>
      </c>
      <c r="C943" s="36" t="str">
        <f>IFERROR(__xludf.DUMMYFUNCTION("""COMPUTED_VALUE"""),"BPVP Kendari")</f>
        <v>BPVP Kendari</v>
      </c>
      <c r="D943" s="36"/>
      <c r="E943" s="36"/>
      <c r="F943" s="36" t="str">
        <f>IFERROR(__xludf.DUMMYFUNCTION("""COMPUTED_VALUE"""),"Fildzah Khalishah Ghassani")</f>
        <v>Fildzah Khalishah Ghassani</v>
      </c>
      <c r="G943" s="36" t="str">
        <f>IFERROR(__xludf.DUMMYFUNCTION("""COMPUTED_VALUE"""),"7471102011030001")</f>
        <v>7471102011030001</v>
      </c>
      <c r="H943" s="36"/>
      <c r="I943" s="36"/>
      <c r="J943" s="36" t="str">
        <f>IFERROR(__xludf.DUMMYFUNCTION("""COMPUTED_VALUE"""),"PEREMPUAN")</f>
        <v>PEREMPUAN</v>
      </c>
      <c r="K943" s="36" t="str">
        <f>IFERROR(__xludf.DUMMYFUNCTION("""COMPUTED_VALUE"""),"BTN Kendari Permai Blok B4 No. 8")</f>
        <v>BTN Kendari Permai Blok B4 No. 8</v>
      </c>
      <c r="L943" s="36"/>
      <c r="M943" s="36"/>
      <c r="N943" s="36"/>
      <c r="O943" s="36"/>
      <c r="P943" s="36"/>
      <c r="Q943" s="36"/>
      <c r="R943" s="36" t="str">
        <f>IFERROR(__xludf.DUMMYFUNCTION("""COMPUTED_VALUE"""),"K")</f>
        <v>K</v>
      </c>
      <c r="S943" s="39"/>
    </row>
    <row r="944">
      <c r="B944" s="36" t="str">
        <f>IFERROR(__xludf.DUMMYFUNCTION("""COMPUTED_VALUE"""),"Asisten Pengembangan Web (Assistant Web Developer)")</f>
        <v>Asisten Pengembangan Web (Assistant Web Developer)</v>
      </c>
      <c r="C944" s="36" t="str">
        <f>IFERROR(__xludf.DUMMYFUNCTION("""COMPUTED_VALUE"""),"BPVP Kendari")</f>
        <v>BPVP Kendari</v>
      </c>
      <c r="D944" s="36"/>
      <c r="E944" s="36"/>
      <c r="F944" s="36" t="str">
        <f>IFERROR(__xludf.DUMMYFUNCTION("""COMPUTED_VALUE"""),"Agrian Wahab")</f>
        <v>Agrian Wahab</v>
      </c>
      <c r="G944" s="36" t="str">
        <f>IFERROR(__xludf.DUMMYFUNCTION("""COMPUTED_VALUE"""),"7471032907030001")</f>
        <v>7471032907030001</v>
      </c>
      <c r="H944" s="36"/>
      <c r="I944" s="36"/>
      <c r="J944" s="36" t="str">
        <f>IFERROR(__xludf.DUMMYFUNCTION("""COMPUTED_VALUE"""),"LAKI-LAKI")</f>
        <v>LAKI-LAKI</v>
      </c>
      <c r="K944" s="36" t="str">
        <f>IFERROR(__xludf.DUMMYFUNCTION("""COMPUTED_VALUE"""),"jalan kapten piere tendean")</f>
        <v>jalan kapten piere tendean</v>
      </c>
      <c r="L944" s="36"/>
      <c r="M944" s="36"/>
      <c r="N944" s="36"/>
      <c r="O944" s="36"/>
      <c r="P944" s="36"/>
      <c r="Q944" s="36"/>
      <c r="R944" s="36" t="str">
        <f>IFERROR(__xludf.DUMMYFUNCTION("""COMPUTED_VALUE"""),"K")</f>
        <v>K</v>
      </c>
      <c r="S944" s="39"/>
    </row>
    <row r="945">
      <c r="B945" s="36" t="str">
        <f>IFERROR(__xludf.DUMMYFUNCTION("""COMPUTED_VALUE"""),"Supervisor Sumber Daya Manusia")</f>
        <v>Supervisor Sumber Daya Manusia</v>
      </c>
      <c r="C945" s="36" t="str">
        <f>IFERROR(__xludf.DUMMYFUNCTION("""COMPUTED_VALUE"""),"BPVP Kendari")</f>
        <v>BPVP Kendari</v>
      </c>
      <c r="D945" s="36"/>
      <c r="E945" s="36"/>
      <c r="F945" s="36" t="str">
        <f>IFERROR(__xludf.DUMMYFUNCTION("""COMPUTED_VALUE"""),"Henra Hermawan")</f>
        <v>Henra Hermawan</v>
      </c>
      <c r="G945" s="36" t="str">
        <f>IFERROR(__xludf.DUMMYFUNCTION("""COMPUTED_VALUE"""),"7322117103030001")</f>
        <v>7322117103030001</v>
      </c>
      <c r="H945" s="36"/>
      <c r="I945" s="36"/>
      <c r="J945" s="36" t="str">
        <f>IFERROR(__xludf.DUMMYFUNCTION("""COMPUTED_VALUE"""),"PEREMPUAN")</f>
        <v>PEREMPUAN</v>
      </c>
      <c r="K945" s="36" t="str">
        <f>IFERROR(__xludf.DUMMYFUNCTION("""COMPUTED_VALUE"""),"Jl. Kamande, Desa Lara, Kec. Baebunta Selatan, Kab. Luwu Utara ")</f>
        <v>Jl. Kamande, Desa Lara, Kec. Baebunta Selatan, Kab. Luwu Utara </v>
      </c>
      <c r="L945" s="36"/>
      <c r="M945" s="36"/>
      <c r="N945" s="36"/>
      <c r="O945" s="36"/>
      <c r="P945" s="36"/>
      <c r="Q945" s="36"/>
      <c r="R945" s="36" t="str">
        <f>IFERROR(__xludf.DUMMYFUNCTION("""COMPUTED_VALUE"""),"K")</f>
        <v>K</v>
      </c>
      <c r="S945" s="39"/>
    </row>
    <row r="946">
      <c r="B946" s="36" t="str">
        <f>IFERROR(__xludf.DUMMYFUNCTION("""COMPUTED_VALUE"""),"Supervisor Sumber Daya Manusia")</f>
        <v>Supervisor Sumber Daya Manusia</v>
      </c>
      <c r="C946" s="36" t="str">
        <f>IFERROR(__xludf.DUMMYFUNCTION("""COMPUTED_VALUE"""),"BPVP Kendari")</f>
        <v>BPVP Kendari</v>
      </c>
      <c r="D946" s="36"/>
      <c r="E946" s="36"/>
      <c r="F946" s="36" t="str">
        <f>IFERROR(__xludf.DUMMYFUNCTION("""COMPUTED_VALUE"""),"ANGGUNLINA DARMAWATI BANGGUT")</f>
        <v>ANGGUNLINA DARMAWATI BANGGUT</v>
      </c>
      <c r="G946" s="36" t="str">
        <f>IFERROR(__xludf.DUMMYFUNCTION("""COMPUTED_VALUE"""),"7407016508030001")</f>
        <v>7407016508030001</v>
      </c>
      <c r="H946" s="36"/>
      <c r="I946" s="36"/>
      <c r="J946" s="36" t="str">
        <f>IFERROR(__xludf.DUMMYFUNCTION("""COMPUTED_VALUE"""),"PEREMPUAN")</f>
        <v>PEREMPUAN</v>
      </c>
      <c r="K946" s="36" t="str">
        <f>IFERROR(__xludf.DUMMYFUNCTION("""COMPUTED_VALUE"""),"Jl. Lawata")</f>
        <v>Jl. Lawata</v>
      </c>
      <c r="L946" s="36"/>
      <c r="M946" s="36"/>
      <c r="N946" s="36"/>
      <c r="O946" s="36"/>
      <c r="P946" s="36"/>
      <c r="Q946" s="36"/>
      <c r="R946" s="36" t="str">
        <f>IFERROR(__xludf.DUMMYFUNCTION("""COMPUTED_VALUE"""),"K")</f>
        <v>K</v>
      </c>
      <c r="S946" s="39"/>
    </row>
    <row r="947">
      <c r="B947" s="36" t="str">
        <f>IFERROR(__xludf.DUMMYFUNCTION("""COMPUTED_VALUE"""),"Supervisor Sumber Daya Manusia")</f>
        <v>Supervisor Sumber Daya Manusia</v>
      </c>
      <c r="C947" s="36" t="str">
        <f>IFERROR(__xludf.DUMMYFUNCTION("""COMPUTED_VALUE"""),"BPVP Kendari")</f>
        <v>BPVP Kendari</v>
      </c>
      <c r="D947" s="36"/>
      <c r="E947" s="36"/>
      <c r="F947" s="36" t="str">
        <f>IFERROR(__xludf.DUMMYFUNCTION("""COMPUTED_VALUE"""),"Akmal Maulana Al Juwaeni")</f>
        <v>Akmal Maulana Al Juwaeni</v>
      </c>
      <c r="G947" s="36" t="str">
        <f>IFERROR(__xludf.DUMMYFUNCTION("""COMPUTED_VALUE"""),"3573031803030002")</f>
        <v>3573031803030002</v>
      </c>
      <c r="H947" s="36"/>
      <c r="I947" s="36"/>
      <c r="J947" s="36" t="str">
        <f>IFERROR(__xludf.DUMMYFUNCTION("""COMPUTED_VALUE"""),"LAKI-LAKI")</f>
        <v>LAKI-LAKI</v>
      </c>
      <c r="K947" s="36" t="str">
        <f>IFERROR(__xludf.DUMMYFUNCTION("""COMPUTED_VALUE"""),"Jl Christina Martha Tiahahu Rt 02 Rw 01 Kel. Lepo lepo. Kec Baruga Kota Kendari Sulawesi Tenggara")</f>
        <v>Jl Christina Martha Tiahahu Rt 02 Rw 01 Kel. Lepo lepo. Kec Baruga Kota Kendari Sulawesi Tenggara</v>
      </c>
      <c r="L947" s="36"/>
      <c r="M947" s="36"/>
      <c r="N947" s="36"/>
      <c r="O947" s="36"/>
      <c r="P947" s="36"/>
      <c r="Q947" s="36"/>
      <c r="R947" s="36" t="str">
        <f>IFERROR(__xludf.DUMMYFUNCTION("""COMPUTED_VALUE"""),"K")</f>
        <v>K</v>
      </c>
      <c r="S947" s="39"/>
    </row>
    <row r="948">
      <c r="B948" s="36" t="str">
        <f>IFERROR(__xludf.DUMMYFUNCTION("""COMPUTED_VALUE"""),"Supervisor Sumber Daya Manusia")</f>
        <v>Supervisor Sumber Daya Manusia</v>
      </c>
      <c r="C948" s="36" t="str">
        <f>IFERROR(__xludf.DUMMYFUNCTION("""COMPUTED_VALUE"""),"BPVP Kendari")</f>
        <v>BPVP Kendari</v>
      </c>
      <c r="D948" s="36"/>
      <c r="E948" s="36"/>
      <c r="F948" s="36" t="str">
        <f>IFERROR(__xludf.DUMMYFUNCTION("""COMPUTED_VALUE"""),"Fahrani Saleh")</f>
        <v>Fahrani Saleh</v>
      </c>
      <c r="G948" s="36" t="str">
        <f>IFERROR(__xludf.DUMMYFUNCTION("""COMPUTED_VALUE"""),"7472024804010002")</f>
        <v>7472024804010002</v>
      </c>
      <c r="H948" s="36"/>
      <c r="I948" s="36"/>
      <c r="J948" s="36" t="str">
        <f>IFERROR(__xludf.DUMMYFUNCTION("""COMPUTED_VALUE"""),"PEREMPUAN")</f>
        <v>PEREMPUAN</v>
      </c>
      <c r="K948" s="36" t="str">
        <f>IFERROR(__xludf.DUMMYFUNCTION("""COMPUTED_VALUE"""),"Lingkungan Jabal Rahmah, Kel. Kadolo Katapi, Kec. Wolio, Kota Baubau")</f>
        <v>Lingkungan Jabal Rahmah, Kel. Kadolo Katapi, Kec. Wolio, Kota Baubau</v>
      </c>
      <c r="L948" s="36"/>
      <c r="M948" s="36"/>
      <c r="N948" s="36"/>
      <c r="O948" s="36"/>
      <c r="P948" s="36"/>
      <c r="Q948" s="36"/>
      <c r="R948" s="36" t="str">
        <f>IFERROR(__xludf.DUMMYFUNCTION("""COMPUTED_VALUE"""),"K")</f>
        <v>K</v>
      </c>
      <c r="S948" s="39"/>
    </row>
    <row r="949">
      <c r="B949" s="36" t="str">
        <f>IFERROR(__xludf.DUMMYFUNCTION("""COMPUTED_VALUE"""),"Analis Data (Data Analyst)")</f>
        <v>Analis Data (Data Analyst)</v>
      </c>
      <c r="C949" s="36" t="str">
        <f>IFERROR(__xludf.DUMMYFUNCTION("""COMPUTED_VALUE"""),"BPVP Kendari")</f>
        <v>BPVP Kendari</v>
      </c>
      <c r="D949" s="36"/>
      <c r="E949" s="36"/>
      <c r="F949" s="36" t="str">
        <f>IFERROR(__xludf.DUMMYFUNCTION("""COMPUTED_VALUE"""),"Muhamad Fajrianza ")</f>
        <v>Muhamad Fajrianza </v>
      </c>
      <c r="G949" s="36" t="str">
        <f>IFERROR(__xludf.DUMMYFUNCTION("""COMPUTED_VALUE"""),"7402201408030003")</f>
        <v>7402201408030003</v>
      </c>
      <c r="H949" s="36"/>
      <c r="I949" s="36"/>
      <c r="J949" s="36" t="str">
        <f>IFERROR(__xludf.DUMMYFUNCTION("""COMPUTED_VALUE"""),"LAKI-LAKI")</f>
        <v>LAKI-LAKI</v>
      </c>
      <c r="K949" s="36" t="str">
        <f>IFERROR(__xludf.DUMMYFUNCTION("""COMPUTED_VALUE"""),"Ulupohara")</f>
        <v>Ulupohara</v>
      </c>
      <c r="L949" s="36"/>
      <c r="M949" s="36"/>
      <c r="N949" s="36"/>
      <c r="O949" s="36"/>
      <c r="P949" s="36"/>
      <c r="Q949" s="36"/>
      <c r="R949" s="36" t="str">
        <f>IFERROR(__xludf.DUMMYFUNCTION("""COMPUTED_VALUE"""),"K")</f>
        <v>K</v>
      </c>
      <c r="S949" s="39"/>
    </row>
    <row r="950">
      <c r="B950" s="36" t="str">
        <f>IFERROR(__xludf.DUMMYFUNCTION("""COMPUTED_VALUE"""),"Analis Data (Data Analyst)")</f>
        <v>Analis Data (Data Analyst)</v>
      </c>
      <c r="C950" s="36" t="str">
        <f>IFERROR(__xludf.DUMMYFUNCTION("""COMPUTED_VALUE"""),"BPVP Kendari")</f>
        <v>BPVP Kendari</v>
      </c>
      <c r="D950" s="36"/>
      <c r="E950" s="36"/>
      <c r="F950" s="36" t="str">
        <f>IFERROR(__xludf.DUMMYFUNCTION("""COMPUTED_VALUE"""),"WA ODE HASNAWATI RAJAB")</f>
        <v>WA ODE HASNAWATI RAJAB</v>
      </c>
      <c r="G950" s="36" t="str">
        <f>IFERROR(__xludf.DUMMYFUNCTION("""COMPUTED_VALUE"""),"7472016308020002")</f>
        <v>7472016308020002</v>
      </c>
      <c r="H950" s="36"/>
      <c r="I950" s="36"/>
      <c r="J950" s="36" t="str">
        <f>IFERROR(__xludf.DUMMYFUNCTION("""COMPUTED_VALUE"""),"PEREMPUAN")</f>
        <v>PEREMPUAN</v>
      </c>
      <c r="K950" s="36" t="str">
        <f>IFERROR(__xludf.DUMMYFUNCTION("""COMPUTED_VALUE"""),"jalan gajah mada no 150, kel lipu")</f>
        <v>jalan gajah mada no 150, kel lipu</v>
      </c>
      <c r="L950" s="36"/>
      <c r="M950" s="36"/>
      <c r="N950" s="36"/>
      <c r="O950" s="36"/>
      <c r="P950" s="36"/>
      <c r="Q950" s="36"/>
      <c r="R950" s="36" t="str">
        <f>IFERROR(__xludf.DUMMYFUNCTION("""COMPUTED_VALUE"""),"K")</f>
        <v>K</v>
      </c>
      <c r="S950" s="39"/>
    </row>
    <row r="951">
      <c r="B951" s="36" t="str">
        <f>IFERROR(__xludf.DUMMYFUNCTION("""COMPUTED_VALUE"""),"Digital Marketing")</f>
        <v>Digital Marketing</v>
      </c>
      <c r="C951" s="36" t="str">
        <f>IFERROR(__xludf.DUMMYFUNCTION("""COMPUTED_VALUE"""),"BPVP Kendari")</f>
        <v>BPVP Kendari</v>
      </c>
      <c r="D951" s="36"/>
      <c r="E951" s="36"/>
      <c r="F951" s="36" t="str">
        <f>IFERROR(__xludf.DUMMYFUNCTION("""COMPUTED_VALUE"""),"Novrianti")</f>
        <v>Novrianti</v>
      </c>
      <c r="G951" s="36" t="str">
        <f>IFERROR(__xludf.DUMMYFUNCTION("""COMPUTED_VALUE"""),"7401024503000002")</f>
        <v>7401024503000002</v>
      </c>
      <c r="H951" s="36"/>
      <c r="I951" s="36"/>
      <c r="J951" s="36" t="str">
        <f>IFERROR(__xludf.DUMMYFUNCTION("""COMPUTED_VALUE"""),"PEREMPUAN")</f>
        <v>PEREMPUAN</v>
      </c>
      <c r="K951" s="36" t="str">
        <f>IFERROR(__xludf.DUMMYFUNCTION("""COMPUTED_VALUE"""),"Jl. Lumba-Lumba")</f>
        <v>Jl. Lumba-Lumba</v>
      </c>
      <c r="L951" s="36"/>
      <c r="M951" s="36"/>
      <c r="N951" s="36"/>
      <c r="O951" s="36"/>
      <c r="P951" s="36"/>
      <c r="Q951" s="36"/>
      <c r="R951" s="36" t="str">
        <f>IFERROR(__xludf.DUMMYFUNCTION("""COMPUTED_VALUE"""),"K")</f>
        <v>K</v>
      </c>
      <c r="S951" s="39"/>
    </row>
    <row r="952">
      <c r="B952" s="36" t="str">
        <f>IFERROR(__xludf.DUMMYFUNCTION("""COMPUTED_VALUE"""),"Pelayanan Pelanggan")</f>
        <v>Pelayanan Pelanggan</v>
      </c>
      <c r="C952" s="36" t="str">
        <f>IFERROR(__xludf.DUMMYFUNCTION("""COMPUTED_VALUE"""),"BPVP Kendari")</f>
        <v>BPVP Kendari</v>
      </c>
      <c r="D952" s="36"/>
      <c r="E952" s="36"/>
      <c r="F952" s="36" t="str">
        <f>IFERROR(__xludf.DUMMYFUNCTION("""COMPUTED_VALUE"""),"Cici Oktavia")</f>
        <v>Cici Oktavia</v>
      </c>
      <c r="G952" s="36" t="str">
        <f>IFERROR(__xludf.DUMMYFUNCTION("""COMPUTED_VALUE"""),"7402164202020001")</f>
        <v>7402164202020001</v>
      </c>
      <c r="H952" s="36"/>
      <c r="I952" s="36"/>
      <c r="J952" s="36" t="str">
        <f>IFERROR(__xludf.DUMMYFUNCTION("""COMPUTED_VALUE"""),"PEREMPUAN")</f>
        <v>PEREMPUAN</v>
      </c>
      <c r="K952" s="36" t="str">
        <f>IFERROR(__xludf.DUMMYFUNCTION("""COMPUTED_VALUE"""),"Latoma ")</f>
        <v>Latoma </v>
      </c>
      <c r="L952" s="36"/>
      <c r="M952" s="36"/>
      <c r="N952" s="36"/>
      <c r="O952" s="36"/>
      <c r="P952" s="36"/>
      <c r="Q952" s="36"/>
      <c r="R952" s="36" t="str">
        <f>IFERROR(__xludf.DUMMYFUNCTION("""COMPUTED_VALUE"""),"K")</f>
        <v>K</v>
      </c>
      <c r="S952" s="39"/>
    </row>
    <row r="953">
      <c r="B953" s="36" t="str">
        <f>IFERROR(__xludf.DUMMYFUNCTION("""COMPUTED_VALUE"""),"Pelayanan Pelanggan")</f>
        <v>Pelayanan Pelanggan</v>
      </c>
      <c r="C953" s="36" t="str">
        <f>IFERROR(__xludf.DUMMYFUNCTION("""COMPUTED_VALUE"""),"BPVP Kendari")</f>
        <v>BPVP Kendari</v>
      </c>
      <c r="D953" s="36"/>
      <c r="E953" s="36"/>
      <c r="F953" s="36" t="str">
        <f>IFERROR(__xludf.DUMMYFUNCTION("""COMPUTED_VALUE"""),"NUR AISYAH ")</f>
        <v>NUR AISYAH </v>
      </c>
      <c r="G953" s="36" t="str">
        <f>IFERROR(__xludf.DUMMYFUNCTION("""COMPUTED_VALUE"""),"7371136006030017")</f>
        <v>7371136006030017</v>
      </c>
      <c r="H953" s="36"/>
      <c r="I953" s="36"/>
      <c r="J953" s="36" t="str">
        <f>IFERROR(__xludf.DUMMYFUNCTION("""COMPUTED_VALUE"""),"PEREMPUAN")</f>
        <v>PEREMPUAN</v>
      </c>
      <c r="K953" s="36" t="str">
        <f>IFERROR(__xludf.DUMMYFUNCTION("""COMPUTED_VALUE"""),"Jl. Ade Irma Nasution, Watubangga, Kec. Baruga Perumahan Baruga Harmoni 3")</f>
        <v>Jl. Ade Irma Nasution, Watubangga, Kec. Baruga Perumahan Baruga Harmoni 3</v>
      </c>
      <c r="L953" s="36"/>
      <c r="M953" s="36"/>
      <c r="N953" s="36"/>
      <c r="O953" s="36"/>
      <c r="P953" s="36"/>
      <c r="Q953" s="36"/>
      <c r="R953" s="36" t="str">
        <f>IFERROR(__xludf.DUMMYFUNCTION("""COMPUTED_VALUE"""),"K")</f>
        <v>K</v>
      </c>
      <c r="S953" s="39"/>
    </row>
    <row r="954">
      <c r="B954" s="36" t="str">
        <f>IFERROR(__xludf.DUMMYFUNCTION("""COMPUTED_VALUE"""),"Pelayanan Pelanggan")</f>
        <v>Pelayanan Pelanggan</v>
      </c>
      <c r="C954" s="36" t="str">
        <f>IFERROR(__xludf.DUMMYFUNCTION("""COMPUTED_VALUE"""),"BPVP Kendari")</f>
        <v>BPVP Kendari</v>
      </c>
      <c r="D954" s="36"/>
      <c r="E954" s="36"/>
      <c r="F954" s="36" t="str">
        <f>IFERROR(__xludf.DUMMYFUNCTION("""COMPUTED_VALUE"""),"Noni Fadila ")</f>
        <v>Noni Fadila </v>
      </c>
      <c r="G954" s="36" t="str">
        <f>IFERROR(__xludf.DUMMYFUNCTION("""COMPUTED_VALUE"""),"7403086409020201")</f>
        <v>7403086409020201</v>
      </c>
      <c r="H954" s="36"/>
      <c r="I954" s="36"/>
      <c r="J954" s="36" t="str">
        <f>IFERROR(__xludf.DUMMYFUNCTION("""COMPUTED_VALUE"""),"PEREMPUAN")</f>
        <v>PEREMPUAN</v>
      </c>
      <c r="K954" s="36" t="str">
        <f>IFERROR(__xludf.DUMMYFUNCTION("""COMPUTED_VALUE"""),"Desa Pure")</f>
        <v>Desa Pure</v>
      </c>
      <c r="L954" s="36"/>
      <c r="M954" s="36"/>
      <c r="N954" s="36"/>
      <c r="O954" s="36"/>
      <c r="P954" s="36"/>
      <c r="Q954" s="36"/>
      <c r="R954" s="36" t="str">
        <f>IFERROR(__xludf.DUMMYFUNCTION("""COMPUTED_VALUE"""),"K")</f>
        <v>K</v>
      </c>
      <c r="S954" s="39"/>
    </row>
    <row r="955">
      <c r="B955" s="36" t="str">
        <f>IFERROR(__xludf.DUMMYFUNCTION("""COMPUTED_VALUE"""),"Pelayanan Pelanggan")</f>
        <v>Pelayanan Pelanggan</v>
      </c>
      <c r="C955" s="36" t="str">
        <f>IFERROR(__xludf.DUMMYFUNCTION("""COMPUTED_VALUE"""),"BPVP Kendari")</f>
        <v>BPVP Kendari</v>
      </c>
      <c r="D955" s="36"/>
      <c r="E955" s="36"/>
      <c r="F955" s="36" t="str">
        <f>IFERROR(__xludf.DUMMYFUNCTION("""COMPUTED_VALUE"""),"Widia Astuti. R")</f>
        <v>Widia Astuti. R</v>
      </c>
      <c r="G955" s="36" t="str">
        <f>IFERROR(__xludf.DUMMYFUNCTION("""COMPUTED_VALUE"""),"7405076008030001")</f>
        <v>7405076008030001</v>
      </c>
      <c r="H955" s="36"/>
      <c r="I955" s="36"/>
      <c r="J955" s="36" t="str">
        <f>IFERROR(__xludf.DUMMYFUNCTION("""COMPUTED_VALUE"""),"PEREMPUAN")</f>
        <v>PEREMPUAN</v>
      </c>
      <c r="K955" s="36" t="str">
        <f>IFERROR(__xludf.DUMMYFUNCTION("""COMPUTED_VALUE"""),"Desa Morome ")</f>
        <v>Desa Morome </v>
      </c>
      <c r="L955" s="36"/>
      <c r="M955" s="36"/>
      <c r="N955" s="36"/>
      <c r="O955" s="36"/>
      <c r="P955" s="36"/>
      <c r="Q955" s="36"/>
      <c r="R955" s="36" t="str">
        <f>IFERROR(__xludf.DUMMYFUNCTION("""COMPUTED_VALUE"""),"K")</f>
        <v>K</v>
      </c>
      <c r="S955" s="39"/>
    </row>
    <row r="956">
      <c r="B956" s="36" t="str">
        <f>IFERROR(__xludf.DUMMYFUNCTION("""COMPUTED_VALUE"""),"Pelayanan Pelanggan")</f>
        <v>Pelayanan Pelanggan</v>
      </c>
      <c r="C956" s="36" t="str">
        <f>IFERROR(__xludf.DUMMYFUNCTION("""COMPUTED_VALUE"""),"BPVP Kendari")</f>
        <v>BPVP Kendari</v>
      </c>
      <c r="D956" s="36"/>
      <c r="E956" s="36"/>
      <c r="F956" s="36" t="str">
        <f>IFERROR(__xludf.DUMMYFUNCTION("""COMPUTED_VALUE"""),"MUHAMMAD AL FANDI BASKARA ")</f>
        <v>MUHAMMAD AL FANDI BASKARA </v>
      </c>
      <c r="G956" s="36" t="str">
        <f>IFERROR(__xludf.DUMMYFUNCTION("""COMPUTED_VALUE"""),"7406041403040001")</f>
        <v>7406041403040001</v>
      </c>
      <c r="H956" s="36"/>
      <c r="I956" s="36"/>
      <c r="J956" s="36" t="str">
        <f>IFERROR(__xludf.DUMMYFUNCTION("""COMPUTED_VALUE"""),"LAKI-LAKI")</f>
        <v>LAKI-LAKI</v>
      </c>
      <c r="K956" s="36" t="str">
        <f>IFERROR(__xludf.DUMMYFUNCTION("""COMPUTED_VALUE"""),"Kel.Lameroro ")</f>
        <v>Kel.Lameroro </v>
      </c>
      <c r="L956" s="36"/>
      <c r="M956" s="36"/>
      <c r="N956" s="36"/>
      <c r="O956" s="36"/>
      <c r="P956" s="36"/>
      <c r="Q956" s="36"/>
      <c r="R956" s="36" t="str">
        <f>IFERROR(__xludf.DUMMYFUNCTION("""COMPUTED_VALUE"""),"K")</f>
        <v>K</v>
      </c>
      <c r="S956" s="39"/>
    </row>
    <row r="957">
      <c r="B957" s="36" t="str">
        <f>IFERROR(__xludf.DUMMYFUNCTION("""COMPUTED_VALUE"""),"Pelayanan Pelanggan")</f>
        <v>Pelayanan Pelanggan</v>
      </c>
      <c r="C957" s="36" t="str">
        <f>IFERROR(__xludf.DUMMYFUNCTION("""COMPUTED_VALUE"""),"BPVP Kendari")</f>
        <v>BPVP Kendari</v>
      </c>
      <c r="D957" s="36"/>
      <c r="E957" s="36"/>
      <c r="F957" s="36" t="str">
        <f>IFERROR(__xludf.DUMMYFUNCTION("""COMPUTED_VALUE"""),"Zahrah Faradilla")</f>
        <v>Zahrah Faradilla</v>
      </c>
      <c r="G957" s="36" t="str">
        <f>IFERROR(__xludf.DUMMYFUNCTION("""COMPUTED_VALUE"""),"6471045102030002")</f>
        <v>6471045102030002</v>
      </c>
      <c r="H957" s="36"/>
      <c r="I957" s="36"/>
      <c r="J957" s="36" t="str">
        <f>IFERROR(__xludf.DUMMYFUNCTION("""COMPUTED_VALUE"""),"PEREMPUAN")</f>
        <v>PEREMPUAN</v>
      </c>
      <c r="K957" s="36" t="str">
        <f>IFERROR(__xludf.DUMMYFUNCTION("""COMPUTED_VALUE"""),"Jl.Anawai")</f>
        <v>Jl.Anawai</v>
      </c>
      <c r="L957" s="36"/>
      <c r="M957" s="36"/>
      <c r="N957" s="36"/>
      <c r="O957" s="36"/>
      <c r="P957" s="36"/>
      <c r="Q957" s="36"/>
      <c r="R957" s="36" t="str">
        <f>IFERROR(__xludf.DUMMYFUNCTION("""COMPUTED_VALUE"""),"K")</f>
        <v>K</v>
      </c>
      <c r="S957" s="39"/>
    </row>
    <row r="958">
      <c r="B958" s="36" t="str">
        <f>IFERROR(__xludf.DUMMYFUNCTION("""COMPUTED_VALUE"""),"Pelayanan Pelanggan")</f>
        <v>Pelayanan Pelanggan</v>
      </c>
      <c r="C958" s="36" t="str">
        <f>IFERROR(__xludf.DUMMYFUNCTION("""COMPUTED_VALUE"""),"BPVP Kendari")</f>
        <v>BPVP Kendari</v>
      </c>
      <c r="D958" s="36"/>
      <c r="E958" s="36"/>
      <c r="F958" s="36" t="str">
        <f>IFERROR(__xludf.DUMMYFUNCTION("""COMPUTED_VALUE"""),"Susmita")</f>
        <v>Susmita</v>
      </c>
      <c r="G958" s="36" t="str">
        <f>IFERROR(__xludf.DUMMYFUNCTION("""COMPUTED_VALUE"""),"7404116003030001")</f>
        <v>7404116003030001</v>
      </c>
      <c r="H958" s="36"/>
      <c r="I958" s="36"/>
      <c r="J958" s="36" t="str">
        <f>IFERROR(__xludf.DUMMYFUNCTION("""COMPUTED_VALUE"""),"PEREMPUAN")</f>
        <v>PEREMPUAN</v>
      </c>
      <c r="K958" s="36" t="str">
        <f>IFERROR(__xludf.DUMMYFUNCTION("""COMPUTED_VALUE"""),"Lorong Berlian, Jalan H.E.A Mokodompit (akses Kampus Baru UHO), Kelurahan Kambu, Kecamatan Kambu, Kota Kendari.")</f>
        <v>Lorong Berlian, Jalan H.E.A Mokodompit (akses Kampus Baru UHO), Kelurahan Kambu, Kecamatan Kambu, Kota Kendari.</v>
      </c>
      <c r="L958" s="36"/>
      <c r="M958" s="36"/>
      <c r="N958" s="36"/>
      <c r="O958" s="36"/>
      <c r="P958" s="36"/>
      <c r="Q958" s="36"/>
      <c r="R958" s="36" t="str">
        <f>IFERROR(__xludf.DUMMYFUNCTION("""COMPUTED_VALUE"""),"K")</f>
        <v>K</v>
      </c>
      <c r="S958" s="39"/>
    </row>
    <row r="959">
      <c r="B959" s="36" t="str">
        <f>IFERROR(__xludf.DUMMYFUNCTION("""COMPUTED_VALUE"""),"Pelayanan Pelanggan")</f>
        <v>Pelayanan Pelanggan</v>
      </c>
      <c r="C959" s="36" t="str">
        <f>IFERROR(__xludf.DUMMYFUNCTION("""COMPUTED_VALUE"""),"BPVP Kendari")</f>
        <v>BPVP Kendari</v>
      </c>
      <c r="D959" s="36"/>
      <c r="E959" s="36"/>
      <c r="F959" s="36" t="str">
        <f>IFERROR(__xludf.DUMMYFUNCTION("""COMPUTED_VALUE"""),"Citra Atma Sasmita ")</f>
        <v>Citra Atma Sasmita </v>
      </c>
      <c r="G959" s="36" t="str">
        <f>IFERROR(__xludf.DUMMYFUNCTION("""COMPUTED_VALUE"""),"7402205104030002")</f>
        <v>7402205104030002</v>
      </c>
      <c r="H959" s="36"/>
      <c r="I959" s="36"/>
      <c r="J959" s="36" t="str">
        <f>IFERROR(__xludf.DUMMYFUNCTION("""COMPUTED_VALUE"""),"PEREMPUAN")</f>
        <v>PEREMPUAN</v>
      </c>
      <c r="K959" s="36" t="str">
        <f>IFERROR(__xludf.DUMMYFUNCTION("""COMPUTED_VALUE"""),"Jl. Poros Kendari-Unaaha, Ds. Asunde, Kec. Besulutu, Kab. Konawe ")</f>
        <v>Jl. Poros Kendari-Unaaha, Ds. Asunde, Kec. Besulutu, Kab. Konawe </v>
      </c>
      <c r="L959" s="36"/>
      <c r="M959" s="36"/>
      <c r="N959" s="36"/>
      <c r="O959" s="36"/>
      <c r="P959" s="36"/>
      <c r="Q959" s="36"/>
      <c r="R959" s="36" t="str">
        <f>IFERROR(__xludf.DUMMYFUNCTION("""COMPUTED_VALUE"""),"K")</f>
        <v>K</v>
      </c>
      <c r="S959" s="39"/>
    </row>
    <row r="960">
      <c r="B960" s="36" t="str">
        <f>IFERROR(__xludf.DUMMYFUNCTION("""COMPUTED_VALUE"""),"Pelayanan Pelanggan")</f>
        <v>Pelayanan Pelanggan</v>
      </c>
      <c r="C960" s="36" t="str">
        <f>IFERROR(__xludf.DUMMYFUNCTION("""COMPUTED_VALUE"""),"BPVP Kendari")</f>
        <v>BPVP Kendari</v>
      </c>
      <c r="D960" s="36"/>
      <c r="E960" s="36"/>
      <c r="F960" s="36" t="str">
        <f>IFERROR(__xludf.DUMMYFUNCTION("""COMPUTED_VALUE"""),"Yulita")</f>
        <v>Yulita</v>
      </c>
      <c r="G960" s="36" t="str">
        <f>IFERROR(__xludf.DUMMYFUNCTION("""COMPUTED_VALUE"""),"7471035107010001")</f>
        <v>7471035107010001</v>
      </c>
      <c r="H960" s="36"/>
      <c r="I960" s="36"/>
      <c r="J960" s="36" t="str">
        <f>IFERROR(__xludf.DUMMYFUNCTION("""COMPUTED_VALUE"""),"PEREMPUAN")</f>
        <v>PEREMPUAN</v>
      </c>
      <c r="K960" s="36" t="str">
        <f>IFERROR(__xludf.DUMMYFUNCTION("""COMPUTED_VALUE"""),"Jln. Ade Irma Nasution")</f>
        <v>Jln. Ade Irma Nasution</v>
      </c>
      <c r="L960" s="36"/>
      <c r="M960" s="36"/>
      <c r="N960" s="36"/>
      <c r="O960" s="36"/>
      <c r="P960" s="36"/>
      <c r="Q960" s="36"/>
      <c r="R960" s="36" t="str">
        <f>IFERROR(__xludf.DUMMYFUNCTION("""COMPUTED_VALUE"""),"K")</f>
        <v>K</v>
      </c>
      <c r="S960" s="39"/>
    </row>
    <row r="961">
      <c r="B961" s="36" t="str">
        <f>IFERROR(__xludf.DUMMYFUNCTION("""COMPUTED_VALUE"""),"Pelayanan Pelanggan")</f>
        <v>Pelayanan Pelanggan</v>
      </c>
      <c r="C961" s="36" t="str">
        <f>IFERROR(__xludf.DUMMYFUNCTION("""COMPUTED_VALUE"""),"BPVP Kendari")</f>
        <v>BPVP Kendari</v>
      </c>
      <c r="D961" s="36"/>
      <c r="E961" s="36"/>
      <c r="F961" s="36" t="str">
        <f>IFERROR(__xludf.DUMMYFUNCTION("""COMPUTED_VALUE"""),"SALIMIN")</f>
        <v>SALIMIN</v>
      </c>
      <c r="G961" s="36" t="str">
        <f>IFERROR(__xludf.DUMMYFUNCTION("""COMPUTED_VALUE"""),"7403060110020201")</f>
        <v>7403060110020201</v>
      </c>
      <c r="H961" s="36"/>
      <c r="I961" s="36"/>
      <c r="J961" s="36" t="str">
        <f>IFERROR(__xludf.DUMMYFUNCTION("""COMPUTED_VALUE"""),"LAKI-LAKI")</f>
        <v>LAKI-LAKI</v>
      </c>
      <c r="K961" s="36" t="str">
        <f>IFERROR(__xludf.DUMMYFUNCTION("""COMPUTED_VALUE"""),"Jl. Malaka Lorong Anaway, Lalolara, Kec. Kambu, Kota Kendari, Sulawesi Tenggara")</f>
        <v>Jl. Malaka Lorong Anaway, Lalolara, Kec. Kambu, Kota Kendari, Sulawesi Tenggara</v>
      </c>
      <c r="L961" s="36"/>
      <c r="M961" s="36"/>
      <c r="N961" s="36"/>
      <c r="O961" s="36"/>
      <c r="P961" s="36"/>
      <c r="Q961" s="36"/>
      <c r="R961" s="36" t="str">
        <f>IFERROR(__xludf.DUMMYFUNCTION("""COMPUTED_VALUE"""),"K")</f>
        <v>K</v>
      </c>
      <c r="S961" s="39"/>
    </row>
    <row r="962">
      <c r="B962" s="36" t="str">
        <f>IFERROR(__xludf.DUMMYFUNCTION("""COMPUTED_VALUE"""),"Pelayanan Pelanggan")</f>
        <v>Pelayanan Pelanggan</v>
      </c>
      <c r="C962" s="36" t="str">
        <f>IFERROR(__xludf.DUMMYFUNCTION("""COMPUTED_VALUE"""),"BPVP Kendari")</f>
        <v>BPVP Kendari</v>
      </c>
      <c r="D962" s="36"/>
      <c r="E962" s="36"/>
      <c r="F962" s="36" t="str">
        <f>IFERROR(__xludf.DUMMYFUNCTION("""COMPUTED_VALUE"""),"SRI SELVI")</f>
        <v>SRI SELVI</v>
      </c>
      <c r="G962" s="36" t="str">
        <f>IFERROR(__xludf.DUMMYFUNCTION("""COMPUTED_VALUE"""),"7406154806030002")</f>
        <v>7406154806030002</v>
      </c>
      <c r="H962" s="36"/>
      <c r="I962" s="36"/>
      <c r="J962" s="36" t="str">
        <f>IFERROR(__xludf.DUMMYFUNCTION("""COMPUTED_VALUE"""),"PEREMPUAN")</f>
        <v>PEREMPUAN</v>
      </c>
      <c r="K962" s="36" t="str">
        <f>IFERROR(__xludf.DUMMYFUNCTION("""COMPUTED_VALUE"""),"desa tedubara")</f>
        <v>desa tedubara</v>
      </c>
      <c r="L962" s="36"/>
      <c r="M962" s="36"/>
      <c r="N962" s="36"/>
      <c r="O962" s="36"/>
      <c r="P962" s="36"/>
      <c r="Q962" s="36"/>
      <c r="R962" s="36" t="str">
        <f>IFERROR(__xludf.DUMMYFUNCTION("""COMPUTED_VALUE"""),"K")</f>
        <v>K</v>
      </c>
      <c r="S962" s="39"/>
    </row>
    <row r="963">
      <c r="B963" s="36" t="str">
        <f>IFERROR(__xludf.DUMMYFUNCTION("""COMPUTED_VALUE"""),"Pelayanan Pelanggan")</f>
        <v>Pelayanan Pelanggan</v>
      </c>
      <c r="C963" s="36" t="str">
        <f>IFERROR(__xludf.DUMMYFUNCTION("""COMPUTED_VALUE"""),"BPVP Kendari")</f>
        <v>BPVP Kendari</v>
      </c>
      <c r="D963" s="36"/>
      <c r="E963" s="36"/>
      <c r="F963" s="36" t="str">
        <f>IFERROR(__xludf.DUMMYFUNCTION("""COMPUTED_VALUE"""),"Niki Martin")</f>
        <v>Niki Martin</v>
      </c>
      <c r="G963" s="36" t="str">
        <f>IFERROR(__xludf.DUMMYFUNCTION("""COMPUTED_VALUE"""),"7402044405030001")</f>
        <v>7402044405030001</v>
      </c>
      <c r="H963" s="36"/>
      <c r="I963" s="36"/>
      <c r="J963" s="36" t="str">
        <f>IFERROR(__xludf.DUMMYFUNCTION("""COMPUTED_VALUE"""),"PEREMPUAN")</f>
        <v>PEREMPUAN</v>
      </c>
      <c r="K963" s="36" t="str">
        <f>IFERROR(__xludf.DUMMYFUNCTION("""COMPUTED_VALUE"""),"Desa Lahunggumbi kec Pondidaha")</f>
        <v>Desa Lahunggumbi kec Pondidaha</v>
      </c>
      <c r="L963" s="36"/>
      <c r="M963" s="36"/>
      <c r="N963" s="36"/>
      <c r="O963" s="36"/>
      <c r="P963" s="36"/>
      <c r="Q963" s="36"/>
      <c r="R963" s="36" t="str">
        <f>IFERROR(__xludf.DUMMYFUNCTION("""COMPUTED_VALUE"""),"K")</f>
        <v>K</v>
      </c>
      <c r="S963" s="39"/>
    </row>
    <row r="964">
      <c r="B964" s="36" t="str">
        <f>IFERROR(__xludf.DUMMYFUNCTION("""COMPUTED_VALUE"""),"Pelayanan Pelanggan")</f>
        <v>Pelayanan Pelanggan</v>
      </c>
      <c r="C964" s="36" t="str">
        <f>IFERROR(__xludf.DUMMYFUNCTION("""COMPUTED_VALUE"""),"BPVP Kendari")</f>
        <v>BPVP Kendari</v>
      </c>
      <c r="D964" s="36"/>
      <c r="E964" s="36"/>
      <c r="F964" s="36" t="str">
        <f>IFERROR(__xludf.DUMMYFUNCTION("""COMPUTED_VALUE"""),"AMAR MA'RUF")</f>
        <v>AMAR MA'RUF</v>
      </c>
      <c r="G964" s="36" t="str">
        <f>IFERROR(__xludf.DUMMYFUNCTION("""COMPUTED_VALUE"""),"7471071005020001")</f>
        <v>7471071005020001</v>
      </c>
      <c r="H964" s="36"/>
      <c r="I964" s="36"/>
      <c r="J964" s="36" t="str">
        <f>IFERROR(__xludf.DUMMYFUNCTION("""COMPUTED_VALUE"""),"LAKI-LAKI")</f>
        <v>LAKI-LAKI</v>
      </c>
      <c r="K964" s="36" t="str">
        <f>IFERROR(__xludf.DUMMYFUNCTION("""COMPUTED_VALUE"""),"JLN RATNASARI BLOK K NO 10")</f>
        <v>JLN RATNASARI BLOK K NO 10</v>
      </c>
      <c r="L964" s="36"/>
      <c r="M964" s="36"/>
      <c r="N964" s="36"/>
      <c r="O964" s="36"/>
      <c r="P964" s="36"/>
      <c r="Q964" s="36"/>
      <c r="R964" s="36" t="str">
        <f>IFERROR(__xludf.DUMMYFUNCTION("""COMPUTED_VALUE"""),"K")</f>
        <v>K</v>
      </c>
      <c r="S964" s="39"/>
    </row>
    <row r="965">
      <c r="B965" s="36" t="str">
        <f>IFERROR(__xludf.DUMMYFUNCTION("""COMPUTED_VALUE"""),"Pelayanan Pelanggan")</f>
        <v>Pelayanan Pelanggan</v>
      </c>
      <c r="C965" s="36" t="str">
        <f>IFERROR(__xludf.DUMMYFUNCTION("""COMPUTED_VALUE"""),"BPVP Kendari")</f>
        <v>BPVP Kendari</v>
      </c>
      <c r="D965" s="36"/>
      <c r="E965" s="36"/>
      <c r="F965" s="36" t="str">
        <f>IFERROR(__xludf.DUMMYFUNCTION("""COMPUTED_VALUE"""),"Zainatul Naim ")</f>
        <v>Zainatul Naim </v>
      </c>
      <c r="G965" s="36" t="str">
        <f>IFERROR(__xludf.DUMMYFUNCTION("""COMPUTED_VALUE"""),"7404082508010001")</f>
        <v>7404082508010001</v>
      </c>
      <c r="H965" s="36"/>
      <c r="I965" s="36"/>
      <c r="J965" s="36" t="str">
        <f>IFERROR(__xludf.DUMMYFUNCTION("""COMPUTED_VALUE"""),"LAKI-LAKI")</f>
        <v>LAKI-LAKI</v>
      </c>
      <c r="K965" s="36" t="str">
        <f>IFERROR(__xludf.DUMMYFUNCTION("""COMPUTED_VALUE"""),"Kampung Baru,Desa Waliko")</f>
        <v>Kampung Baru,Desa Waliko</v>
      </c>
      <c r="L965" s="36"/>
      <c r="M965" s="36"/>
      <c r="N965" s="36"/>
      <c r="O965" s="36"/>
      <c r="P965" s="36"/>
      <c r="Q965" s="36"/>
      <c r="R965" s="36" t="str">
        <f>IFERROR(__xludf.DUMMYFUNCTION("""COMPUTED_VALUE"""),"K")</f>
        <v>K</v>
      </c>
      <c r="S965" s="39"/>
    </row>
    <row r="966">
      <c r="B966" s="36" t="str">
        <f>IFERROR(__xludf.DUMMYFUNCTION("""COMPUTED_VALUE"""),"Pelayanan Pelanggan")</f>
        <v>Pelayanan Pelanggan</v>
      </c>
      <c r="C966" s="36" t="str">
        <f>IFERROR(__xludf.DUMMYFUNCTION("""COMPUTED_VALUE"""),"BPVP Kendari")</f>
        <v>BPVP Kendari</v>
      </c>
      <c r="D966" s="36"/>
      <c r="E966" s="36"/>
      <c r="F966" s="36" t="str">
        <f>IFERROR(__xludf.DUMMYFUNCTION("""COMPUTED_VALUE"""),"Nova Arfiah")</f>
        <v>Nova Arfiah</v>
      </c>
      <c r="G966" s="36" t="str">
        <f>IFERROR(__xludf.DUMMYFUNCTION("""COMPUTED_VALUE"""),"7472025411030001")</f>
        <v>7472025411030001</v>
      </c>
      <c r="H966" s="36"/>
      <c r="I966" s="36"/>
      <c r="J966" s="36" t="str">
        <f>IFERROR(__xludf.DUMMYFUNCTION("""COMPUTED_VALUE"""),"PEREMPUAN")</f>
        <v>PEREMPUAN</v>
      </c>
      <c r="K966" s="36" t="str">
        <f>IFERROR(__xludf.DUMMYFUNCTION("""COMPUTED_VALUE"""),"Jalan Limbo Wolio, Kelurahan Katobengke, Kecamatan Betoambari")</f>
        <v>Jalan Limbo Wolio, Kelurahan Katobengke, Kecamatan Betoambari</v>
      </c>
      <c r="L966" s="36"/>
      <c r="M966" s="36"/>
      <c r="N966" s="36"/>
      <c r="O966" s="36"/>
      <c r="P966" s="36"/>
      <c r="Q966" s="36"/>
      <c r="R966" s="36" t="str">
        <f>IFERROR(__xludf.DUMMYFUNCTION("""COMPUTED_VALUE"""),"K")</f>
        <v>K</v>
      </c>
      <c r="S966" s="39"/>
    </row>
    <row r="967">
      <c r="B967" s="36" t="str">
        <f>IFERROR(__xludf.DUMMYFUNCTION("""COMPUTED_VALUE"""),"Pelayanan Pelanggan")</f>
        <v>Pelayanan Pelanggan</v>
      </c>
      <c r="C967" s="36" t="str">
        <f>IFERROR(__xludf.DUMMYFUNCTION("""COMPUTED_VALUE"""),"BPVP Kendari")</f>
        <v>BPVP Kendari</v>
      </c>
      <c r="D967" s="36"/>
      <c r="E967" s="36"/>
      <c r="F967" s="36" t="str">
        <f>IFERROR(__xludf.DUMMYFUNCTION("""COMPUTED_VALUE"""),"Nurela")</f>
        <v>Nurela</v>
      </c>
      <c r="G967" s="36" t="str">
        <f>IFERROR(__xludf.DUMMYFUNCTION("""COMPUTED_VALUE"""),"7401235609020001")</f>
        <v>7401235609020001</v>
      </c>
      <c r="H967" s="36"/>
      <c r="I967" s="36"/>
      <c r="J967" s="36" t="str">
        <f>IFERROR(__xludf.DUMMYFUNCTION("""COMPUTED_VALUE"""),"PEREMPUAN")</f>
        <v>PEREMPUAN</v>
      </c>
      <c r="K967" s="36" t="str">
        <f>IFERROR(__xludf.DUMMYFUNCTION("""COMPUTED_VALUE"""),"Desa Lalosingi, Kec. Lalolae, Kab. Kolaka Timur, Sulawesi Tenggara.")</f>
        <v>Desa Lalosingi, Kec. Lalolae, Kab. Kolaka Timur, Sulawesi Tenggara.</v>
      </c>
      <c r="L967" s="36"/>
      <c r="M967" s="36"/>
      <c r="N967" s="36"/>
      <c r="O967" s="36"/>
      <c r="P967" s="36"/>
      <c r="Q967" s="36"/>
      <c r="R967" s="36" t="str">
        <f>IFERROR(__xludf.DUMMYFUNCTION("""COMPUTED_VALUE"""),"K")</f>
        <v>K</v>
      </c>
      <c r="S967" s="39"/>
    </row>
    <row r="968">
      <c r="B968" s="36" t="str">
        <f>IFERROR(__xludf.DUMMYFUNCTION("""COMPUTED_VALUE"""),"Pelayanan Pelanggan")</f>
        <v>Pelayanan Pelanggan</v>
      </c>
      <c r="C968" s="36" t="str">
        <f>IFERROR(__xludf.DUMMYFUNCTION("""COMPUTED_VALUE"""),"BPVP Kendari")</f>
        <v>BPVP Kendari</v>
      </c>
      <c r="D968" s="36"/>
      <c r="E968" s="36"/>
      <c r="F968" s="36" t="str">
        <f>IFERROR(__xludf.DUMMYFUNCTION("""COMPUTED_VALUE"""),"HADIJA")</f>
        <v>HADIJA</v>
      </c>
      <c r="G968" s="36" t="str">
        <f>IFERROR(__xludf.DUMMYFUNCTION("""COMPUTED_VALUE"""),"7408076312010001")</f>
        <v>7408076312010001</v>
      </c>
      <c r="H968" s="36"/>
      <c r="I968" s="36"/>
      <c r="J968" s="36" t="str">
        <f>IFERROR(__xludf.DUMMYFUNCTION("""COMPUTED_VALUE"""),"PEREMPUAN")</f>
        <v>PEREMPUAN</v>
      </c>
      <c r="K968" s="36" t="str">
        <f>IFERROR(__xludf.DUMMYFUNCTION("""COMPUTED_VALUE"""),"Desa Tinukari Kec.Wawo Kab.Kolaka Utara Prov. Sulawesi Tenggara")</f>
        <v>Desa Tinukari Kec.Wawo Kab.Kolaka Utara Prov. Sulawesi Tenggara</v>
      </c>
      <c r="L968" s="36"/>
      <c r="M968" s="36"/>
      <c r="N968" s="36"/>
      <c r="O968" s="36"/>
      <c r="P968" s="36"/>
      <c r="Q968" s="36"/>
      <c r="R968" s="36" t="str">
        <f>IFERROR(__xludf.DUMMYFUNCTION("""COMPUTED_VALUE"""),"K")</f>
        <v>K</v>
      </c>
      <c r="S968" s="39"/>
    </row>
    <row r="969">
      <c r="B969" s="36" t="str">
        <f>IFERROR(__xludf.DUMMYFUNCTION("""COMPUTED_VALUE"""),"Pelayanan Pelanggan")</f>
        <v>Pelayanan Pelanggan</v>
      </c>
      <c r="C969" s="36" t="str">
        <f>IFERROR(__xludf.DUMMYFUNCTION("""COMPUTED_VALUE"""),"BPVP Kendari")</f>
        <v>BPVP Kendari</v>
      </c>
      <c r="D969" s="36"/>
      <c r="E969" s="36"/>
      <c r="F969" s="36" t="str">
        <f>IFERROR(__xludf.DUMMYFUNCTION("""COMPUTED_VALUE"""),"Wa Ode Sulfiani")</f>
        <v>Wa Ode Sulfiani</v>
      </c>
      <c r="G969" s="36" t="str">
        <f>IFERROR(__xludf.DUMMYFUNCTION("""COMPUTED_VALUE"""),"7404104105030003")</f>
        <v>7404104105030003</v>
      </c>
      <c r="H969" s="36"/>
      <c r="I969" s="36"/>
      <c r="J969" s="36" t="str">
        <f>IFERROR(__xludf.DUMMYFUNCTION("""COMPUTED_VALUE"""),"PEREMPUAN")</f>
        <v>PEREMPUAN</v>
      </c>
      <c r="K969" s="36" t="str">
        <f>IFERROR(__xludf.DUMMYFUNCTION("""COMPUTED_VALUE"""),"LANDE, DESA GERAK MAKMUR, KEC. SAMPOLAWA, KAB. BUTON SELATAN, PROVINSI SULAWESI TENGGARA, INDONESIA")</f>
        <v>LANDE, DESA GERAK MAKMUR, KEC. SAMPOLAWA, KAB. BUTON SELATAN, PROVINSI SULAWESI TENGGARA, INDONESIA</v>
      </c>
      <c r="L969" s="36"/>
      <c r="M969" s="36"/>
      <c r="N969" s="36"/>
      <c r="O969" s="36"/>
      <c r="P969" s="36"/>
      <c r="Q969" s="36"/>
      <c r="R969" s="36" t="str">
        <f>IFERROR(__xludf.DUMMYFUNCTION("""COMPUTED_VALUE"""),"K")</f>
        <v>K</v>
      </c>
      <c r="S969" s="39"/>
    </row>
    <row r="970">
      <c r="B970" s="36" t="str">
        <f>IFERROR(__xludf.DUMMYFUNCTION("""COMPUTED_VALUE"""),"Pelayanan Pelanggan")</f>
        <v>Pelayanan Pelanggan</v>
      </c>
      <c r="C970" s="36" t="str">
        <f>IFERROR(__xludf.DUMMYFUNCTION("""COMPUTED_VALUE"""),"BPVP Kendari")</f>
        <v>BPVP Kendari</v>
      </c>
      <c r="D970" s="36"/>
      <c r="E970" s="36"/>
      <c r="F970" s="36" t="str">
        <f>IFERROR(__xludf.DUMMYFUNCTION("""COMPUTED_VALUE"""),"Wiwin Indrayani")</f>
        <v>Wiwin Indrayani</v>
      </c>
      <c r="G970" s="36" t="str">
        <f>IFERROR(__xludf.DUMMYFUNCTION("""COMPUTED_VALUE"""),"7407056101030002")</f>
        <v>7407056101030002</v>
      </c>
      <c r="H970" s="36"/>
      <c r="I970" s="36"/>
      <c r="J970" s="36" t="str">
        <f>IFERROR(__xludf.DUMMYFUNCTION("""COMPUTED_VALUE"""),"PEREMPUAN")</f>
        <v>PEREMPUAN</v>
      </c>
      <c r="K970" s="36" t="str">
        <f>IFERROR(__xludf.DUMMYFUNCTION("""COMPUTED_VALUE"""),"Jl. Dusun Nelayan, Mola Selatan, Wangi-wangi Selatan, Kab. Wakatobi, Sulawesi Tenggara")</f>
        <v>Jl. Dusun Nelayan, Mola Selatan, Wangi-wangi Selatan, Kab. Wakatobi, Sulawesi Tenggara</v>
      </c>
      <c r="L970" s="36"/>
      <c r="M970" s="36"/>
      <c r="N970" s="36"/>
      <c r="O970" s="36"/>
      <c r="P970" s="36"/>
      <c r="Q970" s="36"/>
      <c r="R970" s="36" t="str">
        <f>IFERROR(__xludf.DUMMYFUNCTION("""COMPUTED_VALUE"""),"K")</f>
        <v>K</v>
      </c>
      <c r="S970" s="39"/>
    </row>
    <row r="971">
      <c r="B971" s="36" t="str">
        <f>IFERROR(__xludf.DUMMYFUNCTION("""COMPUTED_VALUE"""),"Pelayanan Pelanggan")</f>
        <v>Pelayanan Pelanggan</v>
      </c>
      <c r="C971" s="36" t="str">
        <f>IFERROR(__xludf.DUMMYFUNCTION("""COMPUTED_VALUE"""),"BPVP Kendari")</f>
        <v>BPVP Kendari</v>
      </c>
      <c r="D971" s="36"/>
      <c r="E971" s="36"/>
      <c r="F971" s="36" t="str">
        <f>IFERROR(__xludf.DUMMYFUNCTION("""COMPUTED_VALUE"""),"Ali Furqon Romadhoni")</f>
        <v>Ali Furqon Romadhoni</v>
      </c>
      <c r="G971" s="36" t="str">
        <f>IFERROR(__xludf.DUMMYFUNCTION("""COMPUTED_VALUE"""),"7405012311030002")</f>
        <v>7405012311030002</v>
      </c>
      <c r="H971" s="36"/>
      <c r="I971" s="36"/>
      <c r="J971" s="36" t="str">
        <f>IFERROR(__xludf.DUMMYFUNCTION("""COMPUTED_VALUE"""),"LAKI-LAKI")</f>
        <v>LAKI-LAKI</v>
      </c>
      <c r="K971" s="36" t="str">
        <f>IFERROR(__xludf.DUMMYFUNCTION("""COMPUTED_VALUE"""),"Asingi, Tinanggea, kab. Konawe Selatan, Sulawesi tenggara")</f>
        <v>Asingi, Tinanggea, kab. Konawe Selatan, Sulawesi tenggara</v>
      </c>
      <c r="L971" s="36"/>
      <c r="M971" s="36"/>
      <c r="N971" s="36"/>
      <c r="O971" s="36"/>
      <c r="P971" s="36"/>
      <c r="Q971" s="36"/>
      <c r="R971" s="36" t="str">
        <f>IFERROR(__xludf.DUMMYFUNCTION("""COMPUTED_VALUE"""),"K")</f>
        <v>K</v>
      </c>
      <c r="S971" s="39"/>
    </row>
    <row r="972">
      <c r="B972" s="36" t="str">
        <f>IFERROR(__xludf.DUMMYFUNCTION("""COMPUTED_VALUE"""),"Pelayanan Pelanggan")</f>
        <v>Pelayanan Pelanggan</v>
      </c>
      <c r="C972" s="36" t="str">
        <f>IFERROR(__xludf.DUMMYFUNCTION("""COMPUTED_VALUE"""),"BPVP Kendari")</f>
        <v>BPVP Kendari</v>
      </c>
      <c r="D972" s="36"/>
      <c r="E972" s="36"/>
      <c r="F972" s="36" t="str">
        <f>IFERROR(__xludf.DUMMYFUNCTION("""COMPUTED_VALUE"""),"JURAENI")</f>
        <v>JURAENI</v>
      </c>
      <c r="G972" s="36" t="str">
        <f>IFERROR(__xludf.DUMMYFUNCTION("""COMPUTED_VALUE"""),"7408015310010001")</f>
        <v>7408015310010001</v>
      </c>
      <c r="H972" s="36"/>
      <c r="I972" s="36"/>
      <c r="J972" s="36" t="str">
        <f>IFERROR(__xludf.DUMMYFUNCTION("""COMPUTED_VALUE"""),"PEREMPUAN")</f>
        <v>PEREMPUAN</v>
      </c>
      <c r="K972" s="36" t="str">
        <f>IFERROR(__xludf.DUMMYFUNCTION("""COMPUTED_VALUE"""),"Desa puncak monapa kec. Lasusua Kab. Kolaka utara Provinsi Sulawesi Tenggara")</f>
        <v>Desa puncak monapa kec. Lasusua Kab. Kolaka utara Provinsi Sulawesi Tenggara</v>
      </c>
      <c r="L972" s="36"/>
      <c r="M972" s="36"/>
      <c r="N972" s="36"/>
      <c r="O972" s="36"/>
      <c r="P972" s="36"/>
      <c r="Q972" s="36"/>
      <c r="R972" s="36" t="str">
        <f>IFERROR(__xludf.DUMMYFUNCTION("""COMPUTED_VALUE"""),"K")</f>
        <v>K</v>
      </c>
      <c r="S972" s="39"/>
    </row>
    <row r="973">
      <c r="B973" s="36" t="str">
        <f>IFERROR(__xludf.DUMMYFUNCTION("""COMPUTED_VALUE"""),"Penyusunan Laporan Keuangan Untuk Pemula")</f>
        <v>Penyusunan Laporan Keuangan Untuk Pemula</v>
      </c>
      <c r="C973" s="36" t="str">
        <f>IFERROR(__xludf.DUMMYFUNCTION("""COMPUTED_VALUE"""),"BPVP Kendari")</f>
        <v>BPVP Kendari</v>
      </c>
      <c r="D973" s="36"/>
      <c r="E973" s="36"/>
      <c r="F973" s="36" t="str">
        <f>IFERROR(__xludf.DUMMYFUNCTION("""COMPUTED_VALUE"""),"Nur Dhea Ananda Arsyad ")</f>
        <v>Nur Dhea Ananda Arsyad </v>
      </c>
      <c r="G973" s="36" t="str">
        <f>IFERROR(__xludf.DUMMYFUNCTION("""COMPUTED_VALUE"""),"7201045501020001")</f>
        <v>7201045501020001</v>
      </c>
      <c r="H973" s="36"/>
      <c r="I973" s="36"/>
      <c r="J973" s="36" t="str">
        <f>IFERROR(__xludf.DUMMYFUNCTION("""COMPUTED_VALUE"""),"PEREMPUAN")</f>
        <v>PEREMPUAN</v>
      </c>
      <c r="K973" s="36" t="str">
        <f>IFERROR(__xludf.DUMMYFUNCTION("""COMPUTED_VALUE"""),"Jalan imam Bonjol Km2 ")</f>
        <v>Jalan imam Bonjol Km2 </v>
      </c>
      <c r="L973" s="36"/>
      <c r="M973" s="36"/>
      <c r="N973" s="36"/>
      <c r="O973" s="36"/>
      <c r="P973" s="36"/>
      <c r="Q973" s="36"/>
      <c r="R973" s="36" t="str">
        <f>IFERROR(__xludf.DUMMYFUNCTION("""COMPUTED_VALUE"""),"K")</f>
        <v>K</v>
      </c>
      <c r="S973" s="39"/>
    </row>
    <row r="974">
      <c r="B974" s="36" t="str">
        <f>IFERROR(__xludf.DUMMYFUNCTION("""COMPUTED_VALUE"""),"Penyusunan Laporan Keuangan Untuk Pemula")</f>
        <v>Penyusunan Laporan Keuangan Untuk Pemula</v>
      </c>
      <c r="C974" s="36" t="str">
        <f>IFERROR(__xludf.DUMMYFUNCTION("""COMPUTED_VALUE"""),"BPVP Kendari")</f>
        <v>BPVP Kendari</v>
      </c>
      <c r="D974" s="36"/>
      <c r="E974" s="36"/>
      <c r="F974" s="36" t="str">
        <f>IFERROR(__xludf.DUMMYFUNCTION("""COMPUTED_VALUE"""),"KOMANG CINDY DIAH PRAMESTI")</f>
        <v>KOMANG CINDY DIAH PRAMESTI</v>
      </c>
      <c r="G974" s="36" t="str">
        <f>IFERROR(__xludf.DUMMYFUNCTION("""COMPUTED_VALUE"""),"7403115003040201")</f>
        <v>7403115003040201</v>
      </c>
      <c r="H974" s="36"/>
      <c r="I974" s="36"/>
      <c r="J974" s="36" t="str">
        <f>IFERROR(__xludf.DUMMYFUNCTION("""COMPUTED_VALUE"""),"PEREMPUAN")</f>
        <v>PEREMPUAN</v>
      </c>
      <c r="K974" s="36" t="str">
        <f>IFERROR(__xludf.DUMMYFUNCTION("""COMPUTED_VALUE"""),"Jl. Subsidi, Perumahan Griya Lepo-Lepo")</f>
        <v>Jl. Subsidi, Perumahan Griya Lepo-Lepo</v>
      </c>
      <c r="L974" s="36"/>
      <c r="M974" s="36"/>
      <c r="N974" s="36"/>
      <c r="O974" s="36"/>
      <c r="P974" s="36"/>
      <c r="Q974" s="36"/>
      <c r="R974" s="36" t="str">
        <f>IFERROR(__xludf.DUMMYFUNCTION("""COMPUTED_VALUE"""),"K")</f>
        <v>K</v>
      </c>
      <c r="S974" s="39"/>
    </row>
    <row r="975">
      <c r="B975" s="36" t="str">
        <f>IFERROR(__xludf.DUMMYFUNCTION("""COMPUTED_VALUE"""),"Penyusunan Laporan Keuangan Untuk Pemula")</f>
        <v>Penyusunan Laporan Keuangan Untuk Pemula</v>
      </c>
      <c r="C975" s="36" t="str">
        <f>IFERROR(__xludf.DUMMYFUNCTION("""COMPUTED_VALUE"""),"BPVP Kendari")</f>
        <v>BPVP Kendari</v>
      </c>
      <c r="D975" s="36"/>
      <c r="E975" s="36"/>
      <c r="F975" s="36" t="str">
        <f>IFERROR(__xludf.DUMMYFUNCTION("""COMPUTED_VALUE"""),"SARLINA")</f>
        <v>SARLINA</v>
      </c>
      <c r="G975" s="36" t="str">
        <f>IFERROR(__xludf.DUMMYFUNCTION("""COMPUTED_VALUE"""),"7410025105030001")</f>
        <v>7410025105030001</v>
      </c>
      <c r="H975" s="36"/>
      <c r="I975" s="36"/>
      <c r="J975" s="36" t="str">
        <f>IFERROR(__xludf.DUMMYFUNCTION("""COMPUTED_VALUE"""),"PEREMPUAN")</f>
        <v>PEREMPUAN</v>
      </c>
      <c r="K975" s="36" t="str">
        <f>IFERROR(__xludf.DUMMYFUNCTION("""COMPUTED_VALUE"""),"BTN Kendari Permai, Blok G2 Kel. Padaleu, Kambu, Kota Kendari")</f>
        <v>BTN Kendari Permai, Blok G2 Kel. Padaleu, Kambu, Kota Kendari</v>
      </c>
      <c r="L975" s="36"/>
      <c r="M975" s="36"/>
      <c r="N975" s="36"/>
      <c r="O975" s="36"/>
      <c r="P975" s="36"/>
      <c r="Q975" s="36"/>
      <c r="R975" s="36" t="str">
        <f>IFERROR(__xludf.DUMMYFUNCTION("""COMPUTED_VALUE"""),"K")</f>
        <v>K</v>
      </c>
      <c r="S975" s="39"/>
    </row>
    <row r="976">
      <c r="B976" s="36" t="str">
        <f>IFERROR(__xludf.DUMMYFUNCTION("""COMPUTED_VALUE"""),"Penyusunan Laporan Keuangan Untuk Pemula")</f>
        <v>Penyusunan Laporan Keuangan Untuk Pemula</v>
      </c>
      <c r="C976" s="36" t="str">
        <f>IFERROR(__xludf.DUMMYFUNCTION("""COMPUTED_VALUE"""),"BPVP Kendari")</f>
        <v>BPVP Kendari</v>
      </c>
      <c r="D976" s="36"/>
      <c r="E976" s="36"/>
      <c r="F976" s="36" t="str">
        <f>IFERROR(__xludf.DUMMYFUNCTION("""COMPUTED_VALUE"""),"Husniatin")</f>
        <v>Husniatin</v>
      </c>
      <c r="G976" s="36" t="str">
        <f>IFERROR(__xludf.DUMMYFUNCTION("""COMPUTED_VALUE"""),"7402326411020001")</f>
        <v>7402326411020001</v>
      </c>
      <c r="H976" s="36"/>
      <c r="I976" s="36"/>
      <c r="J976" s="36" t="str">
        <f>IFERROR(__xludf.DUMMYFUNCTION("""COMPUTED_VALUE"""),"PEREMPUAN")</f>
        <v>PEREMPUAN</v>
      </c>
      <c r="K976" s="36" t="str">
        <f>IFERROR(__xludf.DUMMYFUNCTION("""COMPUTED_VALUE"""),"Baruga, Kota Kendari")</f>
        <v>Baruga, Kota Kendari</v>
      </c>
      <c r="L976" s="36"/>
      <c r="M976" s="36"/>
      <c r="N976" s="36"/>
      <c r="O976" s="36"/>
      <c r="P976" s="36"/>
      <c r="Q976" s="36"/>
      <c r="R976" s="36" t="str">
        <f>IFERROR(__xludf.DUMMYFUNCTION("""COMPUTED_VALUE"""),"K")</f>
        <v>K</v>
      </c>
      <c r="S976" s="39"/>
    </row>
    <row r="977">
      <c r="B977" s="36" t="str">
        <f>IFERROR(__xludf.DUMMYFUNCTION("""COMPUTED_VALUE"""),"Petugas Keselematan dan Kesehatan Kerja")</f>
        <v>Petugas Keselematan dan Kesehatan Kerja</v>
      </c>
      <c r="C977" s="36" t="str">
        <f>IFERROR(__xludf.DUMMYFUNCTION("""COMPUTED_VALUE"""),"BPVP Kendari")</f>
        <v>BPVP Kendari</v>
      </c>
      <c r="D977" s="36"/>
      <c r="E977" s="36"/>
      <c r="F977" s="36" t="str">
        <f>IFERROR(__xludf.DUMMYFUNCTION("""COMPUTED_VALUE"""),"Muhamad Arief Akbar Bora ")</f>
        <v>Muhamad Arief Akbar Bora </v>
      </c>
      <c r="G977" s="36" t="str">
        <f>IFERROR(__xludf.DUMMYFUNCTION("""COMPUTED_VALUE"""),"7403161012040001")</f>
        <v>7403161012040001</v>
      </c>
      <c r="H977" s="36"/>
      <c r="I977" s="36"/>
      <c r="J977" s="36" t="str">
        <f>IFERROR(__xludf.DUMMYFUNCTION("""COMPUTED_VALUE"""),"LAKI-LAKI")</f>
        <v>LAKI-LAKI</v>
      </c>
      <c r="K977" s="36" t="str">
        <f>IFERROR(__xludf.DUMMYFUNCTION("""COMPUTED_VALUE"""),"jl kontukowuna")</f>
        <v>jl kontukowuna</v>
      </c>
      <c r="L977" s="36"/>
      <c r="M977" s="36"/>
      <c r="N977" s="36"/>
      <c r="O977" s="36"/>
      <c r="P977" s="36"/>
      <c r="Q977" s="36"/>
      <c r="R977" s="36" t="str">
        <f>IFERROR(__xludf.DUMMYFUNCTION("""COMPUTED_VALUE"""),"BK")</f>
        <v>BK</v>
      </c>
      <c r="S977" s="39"/>
    </row>
    <row r="978">
      <c r="B978" s="36" t="str">
        <f>IFERROR(__xludf.DUMMYFUNCTION("""COMPUTED_VALUE"""),"Petugas Keselematan dan Kesehatan Kerja")</f>
        <v>Petugas Keselematan dan Kesehatan Kerja</v>
      </c>
      <c r="C978" s="36" t="str">
        <f>IFERROR(__xludf.DUMMYFUNCTION("""COMPUTED_VALUE"""),"BPVP Kendari")</f>
        <v>BPVP Kendari</v>
      </c>
      <c r="D978" s="36"/>
      <c r="E978" s="36"/>
      <c r="F978" s="36" t="str">
        <f>IFERROR(__xludf.DUMMYFUNCTION("""COMPUTED_VALUE"""),"M. Halilgibran")</f>
        <v>M. Halilgibran</v>
      </c>
      <c r="G978" s="36" t="str">
        <f>IFERROR(__xludf.DUMMYFUNCTION("""COMPUTED_VALUE"""),"7314052703030002")</f>
        <v>7314052703030002</v>
      </c>
      <c r="H978" s="36"/>
      <c r="I978" s="36"/>
      <c r="J978" s="36" t="str">
        <f>IFERROR(__xludf.DUMMYFUNCTION("""COMPUTED_VALUE"""),"LAKI-LAKI")</f>
        <v>LAKI-LAKI</v>
      </c>
      <c r="K978" s="36" t="str">
        <f>IFERROR(__xludf.DUMMYFUNCTION("""COMPUTED_VALUE"""),"Jl. Ahmad taufik, Kel. Lalebata, Kec. Pancarijang")</f>
        <v>Jl. Ahmad taufik, Kel. Lalebata, Kec. Pancarijang</v>
      </c>
      <c r="L978" s="36"/>
      <c r="M978" s="36"/>
      <c r="N978" s="36"/>
      <c r="O978" s="36"/>
      <c r="P978" s="36"/>
      <c r="Q978" s="36"/>
      <c r="R978" s="36" t="str">
        <f>IFERROR(__xludf.DUMMYFUNCTION("""COMPUTED_VALUE"""),"K")</f>
        <v>K</v>
      </c>
      <c r="S978" s="39"/>
    </row>
    <row r="979">
      <c r="B979" s="36" t="str">
        <f>IFERROR(__xludf.DUMMYFUNCTION("""COMPUTED_VALUE"""),"Petugas Keselematan dan Kesehatan Kerja")</f>
        <v>Petugas Keselematan dan Kesehatan Kerja</v>
      </c>
      <c r="C979" s="36" t="str">
        <f>IFERROR(__xludf.DUMMYFUNCTION("""COMPUTED_VALUE"""),"BPVP Kendari")</f>
        <v>BPVP Kendari</v>
      </c>
      <c r="D979" s="36"/>
      <c r="E979" s="36"/>
      <c r="F979" s="36" t="str">
        <f>IFERROR(__xludf.DUMMYFUNCTION("""COMPUTED_VALUE"""),"Wa Ode Nurwahyuni Mbay")</f>
        <v>Wa Ode Nurwahyuni Mbay</v>
      </c>
      <c r="G979" s="36" t="str">
        <f>IFERROR(__xludf.DUMMYFUNCTION("""COMPUTED_VALUE"""),"7472066208030001")</f>
        <v>7472066208030001</v>
      </c>
      <c r="H979" s="36"/>
      <c r="I979" s="36"/>
      <c r="J979" s="36" t="str">
        <f>IFERROR(__xludf.DUMMYFUNCTION("""COMPUTED_VALUE"""),"PEREMPUAN")</f>
        <v>PEREMPUAN</v>
      </c>
      <c r="K979" s="36" t="str">
        <f>IFERROR(__xludf.DUMMYFUNCTION("""COMPUTED_VALUE"""),"Jl. Labuke, Kel. Melai. Kec. Murhum")</f>
        <v>Jl. Labuke, Kel. Melai. Kec. Murhum</v>
      </c>
      <c r="L979" s="36"/>
      <c r="M979" s="36"/>
      <c r="N979" s="36"/>
      <c r="O979" s="36"/>
      <c r="P979" s="36"/>
      <c r="Q979" s="36"/>
      <c r="R979" s="36" t="str">
        <f>IFERROR(__xludf.DUMMYFUNCTION("""COMPUTED_VALUE"""),"K")</f>
        <v>K</v>
      </c>
      <c r="S979" s="39"/>
    </row>
    <row r="980">
      <c r="B980" s="36" t="str">
        <f>IFERROR(__xludf.DUMMYFUNCTION("""COMPUTED_VALUE"""),"Petugas Keselematan dan Kesehatan Kerja")</f>
        <v>Petugas Keselematan dan Kesehatan Kerja</v>
      </c>
      <c r="C980" s="36" t="str">
        <f>IFERROR(__xludf.DUMMYFUNCTION("""COMPUTED_VALUE"""),"BPVP Kendari")</f>
        <v>BPVP Kendari</v>
      </c>
      <c r="D980" s="36"/>
      <c r="E980" s="36"/>
      <c r="F980" s="36" t="str">
        <f>IFERROR(__xludf.DUMMYFUNCTION("""COMPUTED_VALUE"""),"Novianti ")</f>
        <v>Novianti </v>
      </c>
      <c r="G980" s="36" t="str">
        <f>IFERROR(__xludf.DUMMYFUNCTION("""COMPUTED_VALUE"""),"7404054305030003")</f>
        <v>7404054305030003</v>
      </c>
      <c r="H980" s="36"/>
      <c r="I980" s="36"/>
      <c r="J980" s="36" t="str">
        <f>IFERROR(__xludf.DUMMYFUNCTION("""COMPUTED_VALUE"""),"PEREMPUAN")</f>
        <v>PEREMPUAN</v>
      </c>
      <c r="K980" s="36" t="str">
        <f>IFERROR(__xludf.DUMMYFUNCTION("""COMPUTED_VALUE"""),"Lingk.Jalan Layang Kel. Watolo Kec. Mawasangka ")</f>
        <v>Lingk.Jalan Layang Kel. Watolo Kec. Mawasangka </v>
      </c>
      <c r="L980" s="36"/>
      <c r="M980" s="36"/>
      <c r="N980" s="36"/>
      <c r="O980" s="36"/>
      <c r="P980" s="36"/>
      <c r="Q980" s="36"/>
      <c r="R980" s="36" t="str">
        <f>IFERROR(__xludf.DUMMYFUNCTION("""COMPUTED_VALUE"""),"K")</f>
        <v>K</v>
      </c>
      <c r="S980" s="39"/>
    </row>
    <row r="981">
      <c r="B981" s="36" t="str">
        <f>IFERROR(__xludf.DUMMYFUNCTION("""COMPUTED_VALUE"""),"Petugas Keselematan dan Kesehatan Kerja")</f>
        <v>Petugas Keselematan dan Kesehatan Kerja</v>
      </c>
      <c r="C981" s="36" t="str">
        <f>IFERROR(__xludf.DUMMYFUNCTION("""COMPUTED_VALUE"""),"BPVP Kendari")</f>
        <v>BPVP Kendari</v>
      </c>
      <c r="D981" s="36"/>
      <c r="E981" s="36"/>
      <c r="F981" s="36" t="str">
        <f>IFERROR(__xludf.DUMMYFUNCTION("""COMPUTED_VALUE"""),"Gianni Aisyah Saputri ")</f>
        <v>Gianni Aisyah Saputri </v>
      </c>
      <c r="G981" s="36" t="str">
        <f>IFERROR(__xludf.DUMMYFUNCTION("""COMPUTED_VALUE"""),"7471105512030002")</f>
        <v>7471105512030002</v>
      </c>
      <c r="H981" s="36"/>
      <c r="I981" s="36"/>
      <c r="J981" s="36" t="str">
        <f>IFERROR(__xludf.DUMMYFUNCTION("""COMPUTED_VALUE"""),"PEREMPUAN")</f>
        <v>PEREMPUAN</v>
      </c>
      <c r="K981" s="36" t="str">
        <f>IFERROR(__xludf.DUMMYFUNCTION("""COMPUTED_VALUE"""),"Btn Azatata Citra Blok K/3")</f>
        <v>Btn Azatata Citra Blok K/3</v>
      </c>
      <c r="L981" s="36"/>
      <c r="M981" s="36"/>
      <c r="N981" s="36"/>
      <c r="O981" s="36"/>
      <c r="P981" s="36"/>
      <c r="Q981" s="36"/>
      <c r="R981" s="36" t="str">
        <f>IFERROR(__xludf.DUMMYFUNCTION("""COMPUTED_VALUE"""),"K")</f>
        <v>K</v>
      </c>
      <c r="S981" s="39"/>
    </row>
    <row r="982">
      <c r="B982" s="36" t="str">
        <f>IFERROR(__xludf.DUMMYFUNCTION("""COMPUTED_VALUE"""),"Petugas Keselematan dan Kesehatan Kerja")</f>
        <v>Petugas Keselematan dan Kesehatan Kerja</v>
      </c>
      <c r="C982" s="36" t="str">
        <f>IFERROR(__xludf.DUMMYFUNCTION("""COMPUTED_VALUE"""),"BPVP Kendari")</f>
        <v>BPVP Kendari</v>
      </c>
      <c r="D982" s="36"/>
      <c r="E982" s="36"/>
      <c r="F982" s="36" t="str">
        <f>IFERROR(__xludf.DUMMYFUNCTION("""COMPUTED_VALUE"""),"Anggli Febrina R.")</f>
        <v>Anggli Febrina R.</v>
      </c>
      <c r="G982" s="36" t="str">
        <f>IFERROR(__xludf.DUMMYFUNCTION("""COMPUTED_VALUE"""),"7405084502030002")</f>
        <v>7405084502030002</v>
      </c>
      <c r="H982" s="36"/>
      <c r="I982" s="36"/>
      <c r="J982" s="36" t="str">
        <f>IFERROR(__xludf.DUMMYFUNCTION("""COMPUTED_VALUE"""),"PEREMPUAN")</f>
        <v>PEREMPUAN</v>
      </c>
      <c r="K982" s="36" t="str">
        <f>IFERROR(__xludf.DUMMYFUNCTION("""COMPUTED_VALUE"""),"Desa Ambaipua, Kec Ranomeeto, Kab Konsel")</f>
        <v>Desa Ambaipua, Kec Ranomeeto, Kab Konsel</v>
      </c>
      <c r="L982" s="36"/>
      <c r="M982" s="36"/>
      <c r="N982" s="36"/>
      <c r="O982" s="36"/>
      <c r="P982" s="36"/>
      <c r="Q982" s="36"/>
      <c r="R982" s="36" t="str">
        <f>IFERROR(__xludf.DUMMYFUNCTION("""COMPUTED_VALUE"""),"K")</f>
        <v>K</v>
      </c>
      <c r="S982" s="39"/>
    </row>
    <row r="983">
      <c r="B983" s="36" t="str">
        <f>IFERROR(__xludf.DUMMYFUNCTION("""COMPUTED_VALUE"""),"Petugas Keselematan dan Kesehatan Kerja")</f>
        <v>Petugas Keselematan dan Kesehatan Kerja</v>
      </c>
      <c r="C983" s="36" t="str">
        <f>IFERROR(__xludf.DUMMYFUNCTION("""COMPUTED_VALUE"""),"BPVP Kendari")</f>
        <v>BPVP Kendari</v>
      </c>
      <c r="D983" s="36"/>
      <c r="E983" s="36"/>
      <c r="F983" s="36" t="str">
        <f>IFERROR(__xludf.DUMMYFUNCTION("""COMPUTED_VALUE"""),"YULI RAHAYU")</f>
        <v>YULI RAHAYU</v>
      </c>
      <c r="G983" s="36" t="str">
        <f>IFERROR(__xludf.DUMMYFUNCTION("""COMPUTED_VALUE"""),"7403115107030001")</f>
        <v>7403115107030001</v>
      </c>
      <c r="H983" s="36"/>
      <c r="I983" s="36"/>
      <c r="J983" s="36" t="str">
        <f>IFERROR(__xludf.DUMMYFUNCTION("""COMPUTED_VALUE"""),"PEREMPUAN")</f>
        <v>PEREMPUAN</v>
      </c>
      <c r="K983" s="36" t="str">
        <f>IFERROR(__xludf.DUMMYFUNCTION("""COMPUTED_VALUE"""),"Jl. Pendidikan")</f>
        <v>Jl. Pendidikan</v>
      </c>
      <c r="L983" s="36"/>
      <c r="M983" s="36"/>
      <c r="N983" s="36"/>
      <c r="O983" s="36"/>
      <c r="P983" s="36"/>
      <c r="Q983" s="36"/>
      <c r="R983" s="36" t="str">
        <f>IFERROR(__xludf.DUMMYFUNCTION("""COMPUTED_VALUE"""),"K")</f>
        <v>K</v>
      </c>
      <c r="S983" s="39"/>
    </row>
    <row r="984">
      <c r="B984" s="36" t="str">
        <f>IFERROR(__xludf.DUMMYFUNCTION("""COMPUTED_VALUE"""),"Petugas Keselematan dan Kesehatan Kerja")</f>
        <v>Petugas Keselematan dan Kesehatan Kerja</v>
      </c>
      <c r="C984" s="36" t="str">
        <f>IFERROR(__xludf.DUMMYFUNCTION("""COMPUTED_VALUE"""),"BPVP Kendari")</f>
        <v>BPVP Kendari</v>
      </c>
      <c r="D984" s="36"/>
      <c r="E984" s="36"/>
      <c r="F984" s="36" t="str">
        <f>IFERROR(__xludf.DUMMYFUNCTION("""COMPUTED_VALUE"""),"Akbar budiarsa")</f>
        <v>Akbar budiarsa</v>
      </c>
      <c r="G984" s="36" t="str">
        <f>IFERROR(__xludf.DUMMYFUNCTION("""COMPUTED_VALUE"""),"7403112806010202")</f>
        <v>7403112806010202</v>
      </c>
      <c r="H984" s="36"/>
      <c r="I984" s="36"/>
      <c r="J984" s="36" t="str">
        <f>IFERROR(__xludf.DUMMYFUNCTION("""COMPUTED_VALUE"""),"LAKI-LAKI")</f>
        <v>LAKI-LAKI</v>
      </c>
      <c r="K984" s="36" t="str">
        <f>IFERROR(__xludf.DUMMYFUNCTION("""COMPUTED_VALUE"""),"Jalan pendidikan(lrg kantor kpu muna)")</f>
        <v>Jalan pendidikan(lrg kantor kpu muna)</v>
      </c>
      <c r="L984" s="36"/>
      <c r="M984" s="36"/>
      <c r="N984" s="36"/>
      <c r="O984" s="36"/>
      <c r="P984" s="36"/>
      <c r="Q984" s="36"/>
      <c r="R984" s="36" t="str">
        <f>IFERROR(__xludf.DUMMYFUNCTION("""COMPUTED_VALUE"""),"BK")</f>
        <v>BK</v>
      </c>
      <c r="S984" s="39"/>
    </row>
    <row r="985">
      <c r="B985" s="36" t="str">
        <f>IFERROR(__xludf.DUMMYFUNCTION("""COMPUTED_VALUE"""),"Petugas Keselematan dan Kesehatan Kerja")</f>
        <v>Petugas Keselematan dan Kesehatan Kerja</v>
      </c>
      <c r="C985" s="36" t="str">
        <f>IFERROR(__xludf.DUMMYFUNCTION("""COMPUTED_VALUE"""),"BPVP Kendari")</f>
        <v>BPVP Kendari</v>
      </c>
      <c r="D985" s="36"/>
      <c r="E985" s="36"/>
      <c r="F985" s="36" t="str">
        <f>IFERROR(__xludf.DUMMYFUNCTION("""COMPUTED_VALUE"""),"Nadya Shafira")</f>
        <v>Nadya Shafira</v>
      </c>
      <c r="G985" s="36" t="str">
        <f>IFERROR(__xludf.DUMMYFUNCTION("""COMPUTED_VALUE"""),"7371115912010010")</f>
        <v>7371115912010010</v>
      </c>
      <c r="H985" s="36"/>
      <c r="I985" s="36"/>
      <c r="J985" s="36" t="str">
        <f>IFERROR(__xludf.DUMMYFUNCTION("""COMPUTED_VALUE"""),"PEREMPUAN")</f>
        <v>PEREMPUAN</v>
      </c>
      <c r="K985" s="36" t="str">
        <f>IFERROR(__xludf.DUMMYFUNCTION("""COMPUTED_VALUE"""),"Jl. Rajawali I no 100")</f>
        <v>Jl. Rajawali I no 100</v>
      </c>
      <c r="L985" s="36"/>
      <c r="M985" s="36"/>
      <c r="N985" s="36"/>
      <c r="O985" s="36"/>
      <c r="P985" s="36"/>
      <c r="Q985" s="36"/>
      <c r="R985" s="36" t="str">
        <f>IFERROR(__xludf.DUMMYFUNCTION("""COMPUTED_VALUE"""),"K")</f>
        <v>K</v>
      </c>
      <c r="S985" s="39"/>
    </row>
    <row r="986">
      <c r="B986" s="36" t="str">
        <f>IFERROR(__xludf.DUMMYFUNCTION("""COMPUTED_VALUE"""),"Petugas Keselematan dan Kesehatan Kerja")</f>
        <v>Petugas Keselematan dan Kesehatan Kerja</v>
      </c>
      <c r="C986" s="36" t="str">
        <f>IFERROR(__xludf.DUMMYFUNCTION("""COMPUTED_VALUE"""),"BPVP Kendari")</f>
        <v>BPVP Kendari</v>
      </c>
      <c r="D986" s="36"/>
      <c r="E986" s="36"/>
      <c r="F986" s="36" t="str">
        <f>IFERROR(__xludf.DUMMYFUNCTION("""COMPUTED_VALUE"""),"Salwa Ramadhani")</f>
        <v>Salwa Ramadhani</v>
      </c>
      <c r="G986" s="36" t="str">
        <f>IFERROR(__xludf.DUMMYFUNCTION("""COMPUTED_VALUE"""),"7471014411030001")</f>
        <v>7471014411030001</v>
      </c>
      <c r="H986" s="36"/>
      <c r="I986" s="36"/>
      <c r="J986" s="36" t="str">
        <f>IFERROR(__xludf.DUMMYFUNCTION("""COMPUTED_VALUE"""),"PEREMPUAN")</f>
        <v>PEREMPUAN</v>
      </c>
      <c r="K986" s="36" t="str">
        <f>IFERROR(__xludf.DUMMYFUNCTION("""COMPUTED_VALUE"""),"Jl. Made Sabara")</f>
        <v>Jl. Made Sabara</v>
      </c>
      <c r="L986" s="36"/>
      <c r="M986" s="36"/>
      <c r="N986" s="36"/>
      <c r="O986" s="36"/>
      <c r="P986" s="36"/>
      <c r="Q986" s="36"/>
      <c r="R986" s="36" t="str">
        <f>IFERROR(__xludf.DUMMYFUNCTION("""COMPUTED_VALUE"""),"BK")</f>
        <v>BK</v>
      </c>
      <c r="S986" s="39"/>
    </row>
    <row r="987">
      <c r="B987" s="36" t="str">
        <f>IFERROR(__xludf.DUMMYFUNCTION("""COMPUTED_VALUE"""),"Petugas Keselematan dan Kesehatan Kerja")</f>
        <v>Petugas Keselematan dan Kesehatan Kerja</v>
      </c>
      <c r="C987" s="36" t="str">
        <f>IFERROR(__xludf.DUMMYFUNCTION("""COMPUTED_VALUE"""),"BPVP Kendari")</f>
        <v>BPVP Kendari</v>
      </c>
      <c r="D987" s="36"/>
      <c r="E987" s="36"/>
      <c r="F987" s="36" t="str">
        <f>IFERROR(__xludf.DUMMYFUNCTION("""COMPUTED_VALUE"""),"Keke Nur Eka Prayana")</f>
        <v>Keke Nur Eka Prayana</v>
      </c>
      <c r="G987" s="36" t="str">
        <f>IFERROR(__xludf.DUMMYFUNCTION("""COMPUTED_VALUE"""),"7405044701040002")</f>
        <v>7405044701040002</v>
      </c>
      <c r="H987" s="36"/>
      <c r="I987" s="36"/>
      <c r="J987" s="36" t="str">
        <f>IFERROR(__xludf.DUMMYFUNCTION("""COMPUTED_VALUE"""),"PEREMPUAN")</f>
        <v>PEREMPUAN</v>
      </c>
      <c r="K987" s="36" t="str">
        <f>IFERROR(__xludf.DUMMYFUNCTION("""COMPUTED_VALUE"""),"DESA EEWA KECAMATAN PALANGGA KABUPATEN KONAWE SELATAN PROVINSI SULAWESI TENGGARA")</f>
        <v>DESA EEWA KECAMATAN PALANGGA KABUPATEN KONAWE SELATAN PROVINSI SULAWESI TENGGARA</v>
      </c>
      <c r="L987" s="36"/>
      <c r="M987" s="36"/>
      <c r="N987" s="36"/>
      <c r="O987" s="36"/>
      <c r="P987" s="36"/>
      <c r="Q987" s="36"/>
      <c r="R987" s="36" t="str">
        <f>IFERROR(__xludf.DUMMYFUNCTION("""COMPUTED_VALUE"""),"BK")</f>
        <v>BK</v>
      </c>
      <c r="S987" s="39"/>
    </row>
    <row r="988">
      <c r="B988" s="36" t="str">
        <f>IFERROR(__xludf.DUMMYFUNCTION("""COMPUTED_VALUE"""),"Petugas Keselematan dan Kesehatan Kerja")</f>
        <v>Petugas Keselematan dan Kesehatan Kerja</v>
      </c>
      <c r="C988" s="36" t="str">
        <f>IFERROR(__xludf.DUMMYFUNCTION("""COMPUTED_VALUE"""),"BPVP Kendari")</f>
        <v>BPVP Kendari</v>
      </c>
      <c r="D988" s="36"/>
      <c r="E988" s="36"/>
      <c r="F988" s="36" t="str">
        <f>IFERROR(__xludf.DUMMYFUNCTION("""COMPUTED_VALUE"""),"Fitrah Daulia")</f>
        <v>Fitrah Daulia</v>
      </c>
      <c r="G988" s="36" t="str">
        <f>IFERROR(__xludf.DUMMYFUNCTION("""COMPUTED_VALUE"""),"7406054412020001")</f>
        <v>7406054412020001</v>
      </c>
      <c r="H988" s="36"/>
      <c r="I988" s="36"/>
      <c r="J988" s="36" t="str">
        <f>IFERROR(__xludf.DUMMYFUNCTION("""COMPUTED_VALUE"""),"PEREMPUAN")</f>
        <v>PEREMPUAN</v>
      </c>
      <c r="K988" s="36" t="str">
        <f>IFERROR(__xludf.DUMMYFUNCTION("""COMPUTED_VALUE"""),"BTN TAWANG ALUN 8, JL.LEMPARENG 2 ANDONOHU, POASIA KOTA KENDARI, SULAWESI TENGGARA")</f>
        <v>BTN TAWANG ALUN 8, JL.LEMPARENG 2 ANDONOHU, POASIA KOTA KENDARI, SULAWESI TENGGARA</v>
      </c>
      <c r="L988" s="36"/>
      <c r="M988" s="36"/>
      <c r="N988" s="36"/>
      <c r="O988" s="36"/>
      <c r="P988" s="36"/>
      <c r="Q988" s="36"/>
      <c r="R988" s="36" t="str">
        <f>IFERROR(__xludf.DUMMYFUNCTION("""COMPUTED_VALUE"""),"BK")</f>
        <v>BK</v>
      </c>
      <c r="S988" s="39"/>
    </row>
    <row r="989">
      <c r="B989" s="36" t="str">
        <f>IFERROR(__xludf.DUMMYFUNCTION("""COMPUTED_VALUE"""),"Petugas Keselematan dan Kesehatan Kerja")</f>
        <v>Petugas Keselematan dan Kesehatan Kerja</v>
      </c>
      <c r="C989" s="36" t="str">
        <f>IFERROR(__xludf.DUMMYFUNCTION("""COMPUTED_VALUE"""),"BPVP Kendari")</f>
        <v>BPVP Kendari</v>
      </c>
      <c r="D989" s="36"/>
      <c r="E989" s="36"/>
      <c r="F989" s="36" t="str">
        <f>IFERROR(__xludf.DUMMYFUNCTION("""COMPUTED_VALUE"""),"Irgy Adhipramana")</f>
        <v>Irgy Adhipramana</v>
      </c>
      <c r="G989" s="36" t="str">
        <f>IFERROR(__xludf.DUMMYFUNCTION("""COMPUTED_VALUE"""),"7403111208030001")</f>
        <v>7403111208030001</v>
      </c>
      <c r="H989" s="36"/>
      <c r="I989" s="36"/>
      <c r="J989" s="36" t="str">
        <f>IFERROR(__xludf.DUMMYFUNCTION("""COMPUTED_VALUE"""),"LAKI-LAKI")</f>
        <v>LAKI-LAKI</v>
      </c>
      <c r="K989" s="36" t="str">
        <f>IFERROR(__xludf.DUMMYFUNCTION("""COMPUTED_VALUE"""),"Jl Ronggo Warsito, Sanenrejo, Kec. Tempurejo, Kabupaten Jember, Jawa Timur")</f>
        <v>Jl Ronggo Warsito, Sanenrejo, Kec. Tempurejo, Kabupaten Jember, Jawa Timur</v>
      </c>
      <c r="L989" s="36"/>
      <c r="M989" s="36"/>
      <c r="N989" s="36"/>
      <c r="O989" s="36"/>
      <c r="P989" s="36"/>
      <c r="Q989" s="36"/>
      <c r="R989" s="36" t="str">
        <f>IFERROR(__xludf.DUMMYFUNCTION("""COMPUTED_VALUE"""),"BK")</f>
        <v>BK</v>
      </c>
      <c r="S989" s="39"/>
    </row>
    <row r="990">
      <c r="B990" s="36" t="str">
        <f>IFERROR(__xludf.DUMMYFUNCTION("""COMPUTED_VALUE"""),"Petugas Keselematan dan Kesehatan Kerja")</f>
        <v>Petugas Keselematan dan Kesehatan Kerja</v>
      </c>
      <c r="C990" s="36" t="str">
        <f>IFERROR(__xludf.DUMMYFUNCTION("""COMPUTED_VALUE"""),"BPVP Kendari")</f>
        <v>BPVP Kendari</v>
      </c>
      <c r="D990" s="36"/>
      <c r="E990" s="36"/>
      <c r="F990" s="36" t="str">
        <f>IFERROR(__xludf.DUMMYFUNCTION("""COMPUTED_VALUE"""),"Ananta Novianty")</f>
        <v>Ananta Novianty</v>
      </c>
      <c r="G990" s="36" t="str">
        <f>IFERROR(__xludf.DUMMYFUNCTION("""COMPUTED_VALUE"""),"7405196111030001")</f>
        <v>7405196111030001</v>
      </c>
      <c r="H990" s="36"/>
      <c r="I990" s="36"/>
      <c r="J990" s="36" t="str">
        <f>IFERROR(__xludf.DUMMYFUNCTION("""COMPUTED_VALUE"""),"PEREMPUAN")</f>
        <v>PEREMPUAN</v>
      </c>
      <c r="K990" s="36" t="str">
        <f>IFERROR(__xludf.DUMMYFUNCTION("""COMPUTED_VALUE"""),"Kel. punggaluku")</f>
        <v>Kel. punggaluku</v>
      </c>
      <c r="L990" s="36"/>
      <c r="M990" s="36"/>
      <c r="N990" s="36"/>
      <c r="O990" s="36"/>
      <c r="P990" s="36"/>
      <c r="Q990" s="36"/>
      <c r="R990" s="36" t="str">
        <f>IFERROR(__xludf.DUMMYFUNCTION("""COMPUTED_VALUE"""),"K")</f>
        <v>K</v>
      </c>
      <c r="S990" s="39"/>
    </row>
    <row r="991">
      <c r="B991" s="36" t="str">
        <f>IFERROR(__xludf.DUMMYFUNCTION("""COMPUTED_VALUE"""),"Petugas Keselematan dan Kesehatan Kerja")</f>
        <v>Petugas Keselematan dan Kesehatan Kerja</v>
      </c>
      <c r="C991" s="36" t="str">
        <f>IFERROR(__xludf.DUMMYFUNCTION("""COMPUTED_VALUE"""),"BPVP Kendari")</f>
        <v>BPVP Kendari</v>
      </c>
      <c r="D991" s="36"/>
      <c r="E991" s="36"/>
      <c r="F991" s="36" t="str">
        <f>IFERROR(__xludf.DUMMYFUNCTION("""COMPUTED_VALUE"""),"Nurul Maghfirah")</f>
        <v>Nurul Maghfirah</v>
      </c>
      <c r="G991" s="36" t="str">
        <f>IFERROR(__xludf.DUMMYFUNCTION("""COMPUTED_VALUE"""),"7403034107020206")</f>
        <v>7403034107020206</v>
      </c>
      <c r="H991" s="36"/>
      <c r="I991" s="36"/>
      <c r="J991" s="36" t="str">
        <f>IFERROR(__xludf.DUMMYFUNCTION("""COMPUTED_VALUE"""),"PEREMPUAN")</f>
        <v>PEREMPUAN</v>
      </c>
      <c r="K991" s="36" t="str">
        <f>IFERROR(__xludf.DUMMYFUNCTION("""COMPUTED_VALUE"""),"KEL. WAUMERE")</f>
        <v>KEL. WAUMERE</v>
      </c>
      <c r="L991" s="36"/>
      <c r="M991" s="36"/>
      <c r="N991" s="36"/>
      <c r="O991" s="36"/>
      <c r="P991" s="36"/>
      <c r="Q991" s="36"/>
      <c r="R991" s="36" t="str">
        <f>IFERROR(__xludf.DUMMYFUNCTION("""COMPUTED_VALUE"""),"BK")</f>
        <v>BK</v>
      </c>
      <c r="S991" s="39"/>
    </row>
    <row r="992">
      <c r="B992" s="36" t="str">
        <f>IFERROR(__xludf.DUMMYFUNCTION("""COMPUTED_VALUE"""),"Supervisor Sumber Daya Manusia")</f>
        <v>Supervisor Sumber Daya Manusia</v>
      </c>
      <c r="C992" s="36" t="str">
        <f>IFERROR(__xludf.DUMMYFUNCTION("""COMPUTED_VALUE"""),"BPVP Kendari")</f>
        <v>BPVP Kendari</v>
      </c>
      <c r="D992" s="36"/>
      <c r="E992" s="36"/>
      <c r="F992" s="36" t="str">
        <f>IFERROR(__xludf.DUMMYFUNCTION("""COMPUTED_VALUE"""),"Vito Aldino")</f>
        <v>Vito Aldino</v>
      </c>
      <c r="G992" s="36" t="str">
        <f>IFERROR(__xludf.DUMMYFUNCTION("""COMPUTED_VALUE"""),"7404081211010002")</f>
        <v>7404081211010002</v>
      </c>
      <c r="H992" s="36"/>
      <c r="I992" s="36"/>
      <c r="J992" s="36" t="str">
        <f>IFERROR(__xludf.DUMMYFUNCTION("""COMPUTED_VALUE"""),"LAKI-LAKI")</f>
        <v>LAKI-LAKI</v>
      </c>
      <c r="K992" s="36" t="str">
        <f>IFERROR(__xludf.DUMMYFUNCTION("""COMPUTED_VALUE"""),"BTN Anduonohu Kemilau, Blok E No. 4")</f>
        <v>BTN Anduonohu Kemilau, Blok E No. 4</v>
      </c>
      <c r="L992" s="36"/>
      <c r="M992" s="36"/>
      <c r="N992" s="36"/>
      <c r="O992" s="36"/>
      <c r="P992" s="36"/>
      <c r="Q992" s="36"/>
      <c r="R992" s="36" t="str">
        <f>IFERROR(__xludf.DUMMYFUNCTION("""COMPUTED_VALUE"""),"K")</f>
        <v>K</v>
      </c>
      <c r="S992" s="39"/>
    </row>
    <row r="993">
      <c r="B993" s="36" t="str">
        <f>IFERROR(__xludf.DUMMYFUNCTION("""COMPUTED_VALUE"""),"Supervisor Sumber Daya Manusia")</f>
        <v>Supervisor Sumber Daya Manusia</v>
      </c>
      <c r="C993" s="36" t="str">
        <f>IFERROR(__xludf.DUMMYFUNCTION("""COMPUTED_VALUE"""),"BPVP Kendari")</f>
        <v>BPVP Kendari</v>
      </c>
      <c r="D993" s="36"/>
      <c r="E993" s="36"/>
      <c r="F993" s="36" t="str">
        <f>IFERROR(__xludf.DUMMYFUNCTION("""COMPUTED_VALUE"""),"Afriani Wulandari")</f>
        <v>Afriani Wulandari</v>
      </c>
      <c r="G993" s="36" t="str">
        <f>IFERROR(__xludf.DUMMYFUNCTION("""COMPUTED_VALUE"""),"7405044804030002")</f>
        <v>7405044804030002</v>
      </c>
      <c r="H993" s="36"/>
      <c r="I993" s="36"/>
      <c r="J993" s="36" t="str">
        <f>IFERROR(__xludf.DUMMYFUNCTION("""COMPUTED_VALUE"""),"PEREMPUAN")</f>
        <v>PEREMPUAN</v>
      </c>
      <c r="K993" s="36" t="str">
        <f>IFERROR(__xludf.DUMMYFUNCTION("""COMPUTED_VALUE"""),"Kec. Baruga")</f>
        <v>Kec. Baruga</v>
      </c>
      <c r="L993" s="36"/>
      <c r="M993" s="36"/>
      <c r="N993" s="36"/>
      <c r="O993" s="36"/>
      <c r="P993" s="36"/>
      <c r="Q993" s="36"/>
      <c r="R993" s="36" t="str">
        <f>IFERROR(__xludf.DUMMYFUNCTION("""COMPUTED_VALUE"""),"K")</f>
        <v>K</v>
      </c>
      <c r="S993" s="39"/>
    </row>
    <row r="994">
      <c r="B994" s="36" t="str">
        <f>IFERROR(__xludf.DUMMYFUNCTION("""COMPUTED_VALUE"""),"Supervisor Sumber Daya Manusia")</f>
        <v>Supervisor Sumber Daya Manusia</v>
      </c>
      <c r="C994" s="36" t="str">
        <f>IFERROR(__xludf.DUMMYFUNCTION("""COMPUTED_VALUE"""),"BPVP Kendari")</f>
        <v>BPVP Kendari</v>
      </c>
      <c r="D994" s="36"/>
      <c r="E994" s="36"/>
      <c r="F994" s="36" t="str">
        <f>IFERROR(__xludf.DUMMYFUNCTION("""COMPUTED_VALUE"""),"Mustika Ayu Permata Sari ")</f>
        <v>Mustika Ayu Permata Sari </v>
      </c>
      <c r="G994" s="36">
        <f>IFERROR(__xludf.DUMMYFUNCTION("""COMPUTED_VALUE"""),7.47108507050002E14)</f>
        <v>747108507050002</v>
      </c>
      <c r="H994" s="36"/>
      <c r="I994" s="36"/>
      <c r="J994" s="36" t="str">
        <f>IFERROR(__xludf.DUMMYFUNCTION("""COMPUTED_VALUE"""),"PEREMPUAN")</f>
        <v>PEREMPUAN</v>
      </c>
      <c r="K994" s="36" t="str">
        <f>IFERROR(__xludf.DUMMYFUNCTION("""COMPUTED_VALUE"""),"Jl. Latalambe No.31 ")</f>
        <v>Jl. Latalambe No.31 </v>
      </c>
      <c r="L994" s="36"/>
      <c r="M994" s="36"/>
      <c r="N994" s="36"/>
      <c r="O994" s="36"/>
      <c r="P994" s="36"/>
      <c r="Q994" s="36"/>
      <c r="R994" s="36" t="str">
        <f>IFERROR(__xludf.DUMMYFUNCTION("""COMPUTED_VALUE"""),"K")</f>
        <v>K</v>
      </c>
      <c r="S994" s="39"/>
    </row>
    <row r="995">
      <c r="B995" s="36" t="str">
        <f>IFERROR(__xludf.DUMMYFUNCTION("""COMPUTED_VALUE"""),"Supervisor Sumber Daya Manusia")</f>
        <v>Supervisor Sumber Daya Manusia</v>
      </c>
      <c r="C995" s="36" t="str">
        <f>IFERROR(__xludf.DUMMYFUNCTION("""COMPUTED_VALUE"""),"BPVP Kendari")</f>
        <v>BPVP Kendari</v>
      </c>
      <c r="D995" s="36"/>
      <c r="E995" s="36"/>
      <c r="F995" s="36" t="str">
        <f>IFERROR(__xludf.DUMMYFUNCTION("""COMPUTED_VALUE"""),"Sisna")</f>
        <v>Sisna</v>
      </c>
      <c r="G995" s="36" t="str">
        <f>IFERROR(__xludf.DUMMYFUNCTION("""COMPUTED_VALUE"""),"7404056701030001")</f>
        <v>7404056701030001</v>
      </c>
      <c r="H995" s="36"/>
      <c r="I995" s="36"/>
      <c r="J995" s="36" t="str">
        <f>IFERROR(__xludf.DUMMYFUNCTION("""COMPUTED_VALUE"""),"PEREMPUAN")</f>
        <v>PEREMPUAN</v>
      </c>
      <c r="K995" s="36" t="str">
        <f>IFERROR(__xludf.DUMMYFUNCTION("""COMPUTED_VALUE"""),"Desa Wasilomata, kec. Mawasangka")</f>
        <v>Desa Wasilomata, kec. Mawasangka</v>
      </c>
      <c r="L995" s="36"/>
      <c r="M995" s="36"/>
      <c r="N995" s="36"/>
      <c r="O995" s="36"/>
      <c r="P995" s="36"/>
      <c r="Q995" s="36"/>
      <c r="R995" s="36" t="str">
        <f>IFERROR(__xludf.DUMMYFUNCTION("""COMPUTED_VALUE"""),"K")</f>
        <v>K</v>
      </c>
      <c r="S995" s="39"/>
    </row>
    <row r="996">
      <c r="B996" s="36" t="str">
        <f>IFERROR(__xludf.DUMMYFUNCTION("""COMPUTED_VALUE"""),"Supervisor Sumber Daya Manusia")</f>
        <v>Supervisor Sumber Daya Manusia</v>
      </c>
      <c r="C996" s="36" t="str">
        <f>IFERROR(__xludf.DUMMYFUNCTION("""COMPUTED_VALUE"""),"BPVP Kendari")</f>
        <v>BPVP Kendari</v>
      </c>
      <c r="D996" s="36"/>
      <c r="E996" s="36"/>
      <c r="F996" s="36" t="str">
        <f>IFERROR(__xludf.DUMMYFUNCTION("""COMPUTED_VALUE"""),"Husniati Astuti, S.E")</f>
        <v>Husniati Astuti, S.E</v>
      </c>
      <c r="G996" s="36" t="str">
        <f>IFERROR(__xludf.DUMMYFUNCTION("""COMPUTED_VALUE"""),"7403115108070201")</f>
        <v>7403115108070201</v>
      </c>
      <c r="H996" s="36"/>
      <c r="I996" s="36"/>
      <c r="J996" s="36" t="str">
        <f>IFERROR(__xludf.DUMMYFUNCTION("""COMPUTED_VALUE"""),"PEREMPUAN")</f>
        <v>PEREMPUAN</v>
      </c>
      <c r="K996" s="36" t="str">
        <f>IFERROR(__xludf.DUMMYFUNCTION("""COMPUTED_VALUE"""),"Jl Abdul Kudus RT/RW 001/001, Watonea, Katobu, Kab. Muna, Sulawesi Tenggara ")</f>
        <v>Jl Abdul Kudus RT/RW 001/001, Watonea, Katobu, Kab. Muna, Sulawesi Tenggara </v>
      </c>
      <c r="L996" s="36"/>
      <c r="M996" s="36"/>
      <c r="N996" s="36"/>
      <c r="O996" s="36"/>
      <c r="P996" s="36"/>
      <c r="Q996" s="36"/>
      <c r="R996" s="36" t="str">
        <f>IFERROR(__xludf.DUMMYFUNCTION("""COMPUTED_VALUE"""),"K")</f>
        <v>K</v>
      </c>
      <c r="S996" s="39"/>
    </row>
    <row r="997">
      <c r="B997" s="36" t="str">
        <f>IFERROR(__xludf.DUMMYFUNCTION("""COMPUTED_VALUE"""),"Supervisor Sumber Daya Manusia")</f>
        <v>Supervisor Sumber Daya Manusia</v>
      </c>
      <c r="C997" s="36" t="str">
        <f>IFERROR(__xludf.DUMMYFUNCTION("""COMPUTED_VALUE"""),"BPVP Kendari")</f>
        <v>BPVP Kendari</v>
      </c>
      <c r="D997" s="36"/>
      <c r="E997" s="36"/>
      <c r="F997" s="36" t="str">
        <f>IFERROR(__xludf.DUMMYFUNCTION("""COMPUTED_VALUE"""),"Nur Pausia Salsabila")</f>
        <v>Nur Pausia Salsabila</v>
      </c>
      <c r="G997" s="36" t="str">
        <f>IFERROR(__xludf.DUMMYFUNCTION("""COMPUTED_VALUE"""),"7402195409030002")</f>
        <v>7402195409030002</v>
      </c>
      <c r="H997" s="36"/>
      <c r="I997" s="36"/>
      <c r="J997" s="36" t="str">
        <f>IFERROR(__xludf.DUMMYFUNCTION("""COMPUTED_VALUE"""),"PEREMPUAN")</f>
        <v>PEREMPUAN</v>
      </c>
      <c r="K997" s="36" t="str">
        <f>IFERROR(__xludf.DUMMYFUNCTION("""COMPUTED_VALUE"""),"Desa Tobimeita, Kecamatan Wonggeduku Barat, Kabupaten Konawe")</f>
        <v>Desa Tobimeita, Kecamatan Wonggeduku Barat, Kabupaten Konawe</v>
      </c>
      <c r="L997" s="36"/>
      <c r="M997" s="36"/>
      <c r="N997" s="36"/>
      <c r="O997" s="36"/>
      <c r="P997" s="36"/>
      <c r="Q997" s="36"/>
      <c r="R997" s="36" t="str">
        <f>IFERROR(__xludf.DUMMYFUNCTION("""COMPUTED_VALUE"""),"K")</f>
        <v>K</v>
      </c>
      <c r="S997" s="39"/>
    </row>
    <row r="998">
      <c r="B998" s="36" t="str">
        <f>IFERROR(__xludf.DUMMYFUNCTION("""COMPUTED_VALUE"""),"Merias Wajah")</f>
        <v>Merias Wajah</v>
      </c>
      <c r="C998" s="36" t="str">
        <f>IFERROR(__xludf.DUMMYFUNCTION("""COMPUTED_VALUE"""),"BPVP Kendari")</f>
        <v>BPVP Kendari</v>
      </c>
      <c r="D998" s="36"/>
      <c r="E998" s="36"/>
      <c r="F998" s="36" t="str">
        <f>IFERROR(__xludf.DUMMYFUNCTION("""COMPUTED_VALUE"""),"Alfira Rusmaya Bin Hamid")</f>
        <v>Alfira Rusmaya Bin Hamid</v>
      </c>
      <c r="G998" s="36" t="str">
        <f>IFERROR(__xludf.DUMMYFUNCTION("""COMPUTED_VALUE"""),"7471044607060001")</f>
        <v>7471044607060001</v>
      </c>
      <c r="H998" s="36"/>
      <c r="I998" s="36"/>
      <c r="J998" s="36" t="str">
        <f>IFERROR(__xludf.DUMMYFUNCTION("""COMPUTED_VALUE"""),"PEREMPUAN")</f>
        <v>PEREMPUAN</v>
      </c>
      <c r="K998" s="36" t="str">
        <f>IFERROR(__xludf.DUMMYFUNCTION("""COMPUTED_VALUE"""),"Kendari, Kec. 38904, PEREMPUAN")</f>
        <v>Kendari, Kec. 38904, PEREMPUAN</v>
      </c>
      <c r="L998" s="36"/>
      <c r="M998" s="36"/>
      <c r="N998" s="36"/>
      <c r="O998" s="36"/>
      <c r="P998" s="36"/>
      <c r="Q998" s="36"/>
      <c r="R998" s="36" t="str">
        <f>IFERROR(__xludf.DUMMYFUNCTION("""COMPUTED_VALUE"""),"K")</f>
        <v>K</v>
      </c>
      <c r="S998" s="39"/>
    </row>
    <row r="999">
      <c r="B999" s="36" t="str">
        <f>IFERROR(__xludf.DUMMYFUNCTION("""COMPUTED_VALUE"""),"Merias Wajah")</f>
        <v>Merias Wajah</v>
      </c>
      <c r="C999" s="36" t="str">
        <f>IFERROR(__xludf.DUMMYFUNCTION("""COMPUTED_VALUE"""),"BPVP Kendari")</f>
        <v>BPVP Kendari</v>
      </c>
      <c r="D999" s="36"/>
      <c r="E999" s="36"/>
      <c r="F999" s="36" t="str">
        <f>IFERROR(__xludf.DUMMYFUNCTION("""COMPUTED_VALUE"""),"Anggi Andriani")</f>
        <v>Anggi Andriani</v>
      </c>
      <c r="G999" s="36" t="str">
        <f>IFERROR(__xludf.DUMMYFUNCTION("""COMPUTED_VALUE"""),"7471064305010001")</f>
        <v>7471064305010001</v>
      </c>
      <c r="H999" s="36"/>
      <c r="I999" s="36"/>
      <c r="J999" s="36" t="str">
        <f>IFERROR(__xludf.DUMMYFUNCTION("""COMPUTED_VALUE"""),"PEREMPUAN")</f>
        <v>PEREMPUAN</v>
      </c>
      <c r="K999" s="36" t="str">
        <f>IFERROR(__xludf.DUMMYFUNCTION("""COMPUTED_VALUE"""),"Abeli, Kec. 36944, PEREMPUAN")</f>
        <v>Abeli, Kec. 36944, PEREMPUAN</v>
      </c>
      <c r="L999" s="36"/>
      <c r="M999" s="36"/>
      <c r="N999" s="36"/>
      <c r="O999" s="36"/>
      <c r="P999" s="36"/>
      <c r="Q999" s="36"/>
      <c r="R999" s="36" t="str">
        <f>IFERROR(__xludf.DUMMYFUNCTION("""COMPUTED_VALUE"""),"K")</f>
        <v>K</v>
      </c>
      <c r="S999" s="39"/>
    </row>
    <row r="1000">
      <c r="B1000" s="36" t="str">
        <f>IFERROR(__xludf.DUMMYFUNCTION("""COMPUTED_VALUE"""),"Merias Wajah")</f>
        <v>Merias Wajah</v>
      </c>
      <c r="C1000" s="36" t="str">
        <f>IFERROR(__xludf.DUMMYFUNCTION("""COMPUTED_VALUE"""),"BPVP Kendari")</f>
        <v>BPVP Kendari</v>
      </c>
      <c r="D1000" s="36"/>
      <c r="E1000" s="36"/>
      <c r="F1000" s="36" t="str">
        <f>IFERROR(__xludf.DUMMYFUNCTION("""COMPUTED_VALUE"""),"Artiani")</f>
        <v>Artiani</v>
      </c>
      <c r="G1000" s="36" t="str">
        <f>IFERROR(__xludf.DUMMYFUNCTION("""COMPUTED_VALUE"""),"7471064407030001")</f>
        <v>7471064407030001</v>
      </c>
      <c r="H1000" s="36"/>
      <c r="I1000" s="36"/>
      <c r="J1000" s="36" t="str">
        <f>IFERROR(__xludf.DUMMYFUNCTION("""COMPUTED_VALUE"""),"PEREMPUAN")</f>
        <v>PEREMPUAN</v>
      </c>
      <c r="K1000" s="36" t="str">
        <f>IFERROR(__xludf.DUMMYFUNCTION("""COMPUTED_VALUE"""),"Abeli, Kec. 37719, PEREMPUAN")</f>
        <v>Abeli, Kec. 37719, PEREMPUAN</v>
      </c>
      <c r="L1000" s="36"/>
      <c r="M1000" s="36"/>
      <c r="N1000" s="36"/>
      <c r="O1000" s="36"/>
      <c r="P1000" s="36"/>
      <c r="Q1000" s="36"/>
      <c r="R1000" s="36" t="str">
        <f>IFERROR(__xludf.DUMMYFUNCTION("""COMPUTED_VALUE"""),"K")</f>
        <v>K</v>
      </c>
      <c r="S1000" s="39"/>
    </row>
    <row r="1001">
      <c r="B1001" s="36" t="str">
        <f>IFERROR(__xludf.DUMMYFUNCTION("""COMPUTED_VALUE"""),"Merias Wajah")</f>
        <v>Merias Wajah</v>
      </c>
      <c r="C1001" s="36" t="str">
        <f>IFERROR(__xludf.DUMMYFUNCTION("""COMPUTED_VALUE"""),"BPVP Kendari")</f>
        <v>BPVP Kendari</v>
      </c>
      <c r="D1001" s="36"/>
      <c r="E1001" s="36"/>
      <c r="F1001" s="36" t="str">
        <f>IFERROR(__xludf.DUMMYFUNCTION("""COMPUTED_VALUE"""),"Dinda Cahyani")</f>
        <v>Dinda Cahyani</v>
      </c>
      <c r="G1001" s="36" t="str">
        <f>IFERROR(__xludf.DUMMYFUNCTION("""COMPUTED_VALUE"""),"7402054807020002")</f>
        <v>7402054807020002</v>
      </c>
      <c r="H1001" s="36"/>
      <c r="I1001" s="36"/>
      <c r="J1001" s="36" t="str">
        <f>IFERROR(__xludf.DUMMYFUNCTION("""COMPUTED_VALUE"""),"PEREMPUAN")</f>
        <v>PEREMPUAN</v>
      </c>
      <c r="K1001" s="36" t="str">
        <f>IFERROR(__xludf.DUMMYFUNCTION("""COMPUTED_VALUE"""),"Bao Bao, Kec. 37445, PEREMPUAN")</f>
        <v>Bao Bao, Kec. 37445, PEREMPUAN</v>
      </c>
      <c r="L1001" s="36"/>
      <c r="M1001" s="36"/>
      <c r="N1001" s="36"/>
      <c r="O1001" s="36"/>
      <c r="P1001" s="36"/>
      <c r="Q1001" s="36"/>
      <c r="R1001" s="36" t="str">
        <f>IFERROR(__xludf.DUMMYFUNCTION("""COMPUTED_VALUE"""),"K")</f>
        <v>K</v>
      </c>
      <c r="S1001" s="39"/>
    </row>
    <row r="1002">
      <c r="B1002" s="36" t="str">
        <f>IFERROR(__xludf.DUMMYFUNCTION("""COMPUTED_VALUE"""),"Merias Wajah")</f>
        <v>Merias Wajah</v>
      </c>
      <c r="C1002" s="36" t="str">
        <f>IFERROR(__xludf.DUMMYFUNCTION("""COMPUTED_VALUE"""),"BPVP Kendari")</f>
        <v>BPVP Kendari</v>
      </c>
      <c r="D1002" s="36"/>
      <c r="E1002" s="36"/>
      <c r="F1002" s="36" t="str">
        <f>IFERROR(__xludf.DUMMYFUNCTION("""COMPUTED_VALUE"""),"Jelita Silaban")</f>
        <v>Jelita Silaban</v>
      </c>
      <c r="G1002" s="36" t="str">
        <f>IFERROR(__xludf.DUMMYFUNCTION("""COMPUTED_VALUE"""),"7405026102040001")</f>
        <v>7405026102040001</v>
      </c>
      <c r="H1002" s="36"/>
      <c r="I1002" s="36"/>
      <c r="J1002" s="36" t="str">
        <f>IFERROR(__xludf.DUMMYFUNCTION("""COMPUTED_VALUE"""),"PEREMPUAN")</f>
        <v>PEREMPUAN</v>
      </c>
      <c r="K1002" s="36" t="str">
        <f>IFERROR(__xludf.DUMMYFUNCTION("""COMPUTED_VALUE"""),"Lamoeri, Kec. 38038, PEREMPUAN")</f>
        <v>Lamoeri, Kec. 38038, PEREMPUAN</v>
      </c>
      <c r="L1002" s="36"/>
      <c r="M1002" s="36"/>
      <c r="N1002" s="36"/>
      <c r="O1002" s="36"/>
      <c r="P1002" s="36"/>
      <c r="Q1002" s="36"/>
      <c r="R1002" s="36" t="str">
        <f>IFERROR(__xludf.DUMMYFUNCTION("""COMPUTED_VALUE"""),"K")</f>
        <v>K</v>
      </c>
      <c r="S1002" s="39"/>
    </row>
    <row r="1003">
      <c r="B1003" s="36" t="str">
        <f>IFERROR(__xludf.DUMMYFUNCTION("""COMPUTED_VALUE"""),"Merias Wajah")</f>
        <v>Merias Wajah</v>
      </c>
      <c r="C1003" s="36" t="str">
        <f>IFERROR(__xludf.DUMMYFUNCTION("""COMPUTED_VALUE"""),"BPVP Kendari")</f>
        <v>BPVP Kendari</v>
      </c>
      <c r="D1003" s="36"/>
      <c r="E1003" s="36"/>
      <c r="F1003" s="36" t="str">
        <f>IFERROR(__xludf.DUMMYFUNCTION("""COMPUTED_VALUE"""),"Mika Mona")</f>
        <v>Mika Mona</v>
      </c>
      <c r="G1003" s="36" t="str">
        <f>IFERROR(__xludf.DUMMYFUNCTION("""COMPUTED_VALUE"""),"7405115806030002")</f>
        <v>7405115806030002</v>
      </c>
      <c r="H1003" s="36"/>
      <c r="I1003" s="36"/>
      <c r="J1003" s="36" t="str">
        <f>IFERROR(__xludf.DUMMYFUNCTION("""COMPUTED_VALUE"""),"PEREMPUAN")</f>
        <v>PEREMPUAN</v>
      </c>
      <c r="K1003" s="36" t="str">
        <f>IFERROR(__xludf.DUMMYFUNCTION("""COMPUTED_VALUE"""),"Torombia, Kec. 37790, PEREMPUAN")</f>
        <v>Torombia, Kec. 37790, PEREMPUAN</v>
      </c>
      <c r="L1003" s="36"/>
      <c r="M1003" s="36"/>
      <c r="N1003" s="36"/>
      <c r="O1003" s="36"/>
      <c r="P1003" s="36"/>
      <c r="Q1003" s="36"/>
      <c r="R1003" s="36" t="str">
        <f>IFERROR(__xludf.DUMMYFUNCTION("""COMPUTED_VALUE"""),"K")</f>
        <v>K</v>
      </c>
      <c r="S1003" s="39"/>
    </row>
    <row r="1004">
      <c r="B1004" s="36" t="str">
        <f>IFERROR(__xludf.DUMMYFUNCTION("""COMPUTED_VALUE"""),"Merias Wajah")</f>
        <v>Merias Wajah</v>
      </c>
      <c r="C1004" s="36" t="str">
        <f>IFERROR(__xludf.DUMMYFUNCTION("""COMPUTED_VALUE"""),"BPVP Kendari")</f>
        <v>BPVP Kendari</v>
      </c>
      <c r="D1004" s="36"/>
      <c r="E1004" s="36"/>
      <c r="F1004" s="36" t="str">
        <f>IFERROR(__xludf.DUMMYFUNCTION("""COMPUTED_VALUE"""),"Rada Deviana Safitri Al-Hasni")</f>
        <v>Rada Deviana Safitri Al-Hasni</v>
      </c>
      <c r="G1004" s="36" t="str">
        <f>IFERROR(__xludf.DUMMYFUNCTION("""COMPUTED_VALUE"""),"7402036112980002")</f>
        <v>7402036112980002</v>
      </c>
      <c r="H1004" s="36"/>
      <c r="I1004" s="36"/>
      <c r="J1004" s="36" t="str">
        <f>IFERROR(__xludf.DUMMYFUNCTION("""COMPUTED_VALUE"""),"PEREMPUAN")</f>
        <v>PEREMPUAN</v>
      </c>
      <c r="K1004" s="36" t="str">
        <f>IFERROR(__xludf.DUMMYFUNCTION("""COMPUTED_VALUE"""),"Makassar, Kec. 36150, PEREMPUAN")</f>
        <v>Makassar, Kec. 36150, PEREMPUAN</v>
      </c>
      <c r="L1004" s="36"/>
      <c r="M1004" s="36"/>
      <c r="N1004" s="36"/>
      <c r="O1004" s="36"/>
      <c r="P1004" s="36"/>
      <c r="Q1004" s="36"/>
      <c r="R1004" s="36" t="str">
        <f>IFERROR(__xludf.DUMMYFUNCTION("""COMPUTED_VALUE"""),"K")</f>
        <v>K</v>
      </c>
      <c r="S1004" s="39"/>
    </row>
    <row r="1005">
      <c r="B1005" s="36" t="str">
        <f>IFERROR(__xludf.DUMMYFUNCTION("""COMPUTED_VALUE"""),"Merias Wajah")</f>
        <v>Merias Wajah</v>
      </c>
      <c r="C1005" s="36" t="str">
        <f>IFERROR(__xludf.DUMMYFUNCTION("""COMPUTED_VALUE"""),"BPVP Kendari")</f>
        <v>BPVP Kendari</v>
      </c>
      <c r="D1005" s="36"/>
      <c r="E1005" s="36"/>
      <c r="F1005" s="36" t="str">
        <f>IFERROR(__xludf.DUMMYFUNCTION("""COMPUTED_VALUE"""),"Rezky Pebriani Latif")</f>
        <v>Rezky Pebriani Latif</v>
      </c>
      <c r="G1005" s="36" t="str">
        <f>IFERROR(__xludf.DUMMYFUNCTION("""COMPUTED_VALUE"""),"7471016702030002")</f>
        <v>7471016702030002</v>
      </c>
      <c r="H1005" s="36"/>
      <c r="I1005" s="36"/>
      <c r="J1005" s="36" t="str">
        <f>IFERROR(__xludf.DUMMYFUNCTION("""COMPUTED_VALUE"""),"PEREMPUAN")</f>
        <v>PEREMPUAN</v>
      </c>
      <c r="K1005" s="36" t="str">
        <f>IFERROR(__xludf.DUMMYFUNCTION("""COMPUTED_VALUE"""),"Kendari, Kec. 37679, PEREMPUAN")</f>
        <v>Kendari, Kec. 37679, PEREMPUAN</v>
      </c>
      <c r="L1005" s="36"/>
      <c r="M1005" s="36"/>
      <c r="N1005" s="36"/>
      <c r="O1005" s="36"/>
      <c r="P1005" s="36"/>
      <c r="Q1005" s="36"/>
      <c r="R1005" s="36" t="str">
        <f>IFERROR(__xludf.DUMMYFUNCTION("""COMPUTED_VALUE"""),"K")</f>
        <v>K</v>
      </c>
      <c r="S1005" s="39"/>
    </row>
    <row r="1006">
      <c r="B1006" s="36" t="str">
        <f>IFERROR(__xludf.DUMMYFUNCTION("""COMPUTED_VALUE"""),"Merias Wajah")</f>
        <v>Merias Wajah</v>
      </c>
      <c r="C1006" s="36" t="str">
        <f>IFERROR(__xludf.DUMMYFUNCTION("""COMPUTED_VALUE"""),"BPVP Kendari")</f>
        <v>BPVP Kendari</v>
      </c>
      <c r="D1006" s="36"/>
      <c r="E1006" s="36"/>
      <c r="F1006" s="36" t="str">
        <f>IFERROR(__xludf.DUMMYFUNCTION("""COMPUTED_VALUE"""),"Syarifah Ananda Putri")</f>
        <v>Syarifah Ananda Putri</v>
      </c>
      <c r="G1006" s="36" t="str">
        <f>IFERROR(__xludf.DUMMYFUNCTION("""COMPUTED_VALUE"""),"7471066209030002")</f>
        <v>7471066209030002</v>
      </c>
      <c r="H1006" s="36"/>
      <c r="I1006" s="36"/>
      <c r="J1006" s="36" t="str">
        <f>IFERROR(__xludf.DUMMYFUNCTION("""COMPUTED_VALUE"""),"PEREMPUAN")</f>
        <v>PEREMPUAN</v>
      </c>
      <c r="K1006" s="36" t="str">
        <f>IFERROR(__xludf.DUMMYFUNCTION("""COMPUTED_VALUE"""),"Sambuli, Kec. 37509, PEREMPUAN")</f>
        <v>Sambuli, Kec. 37509, PEREMPUAN</v>
      </c>
      <c r="L1006" s="36"/>
      <c r="M1006" s="36"/>
      <c r="N1006" s="36"/>
      <c r="O1006" s="36"/>
      <c r="P1006" s="36"/>
      <c r="Q1006" s="36"/>
      <c r="R1006" s="36" t="str">
        <f>IFERROR(__xludf.DUMMYFUNCTION("""COMPUTED_VALUE"""),"K")</f>
        <v>K</v>
      </c>
      <c r="S1006" s="39"/>
    </row>
    <row r="1007">
      <c r="B1007" s="36" t="str">
        <f>IFERROR(__xludf.DUMMYFUNCTION("""COMPUTED_VALUE"""),"Merias Wajah")</f>
        <v>Merias Wajah</v>
      </c>
      <c r="C1007" s="36" t="str">
        <f>IFERROR(__xludf.DUMMYFUNCTION("""COMPUTED_VALUE"""),"BPVP Kendari")</f>
        <v>BPVP Kendari</v>
      </c>
      <c r="D1007" s="36"/>
      <c r="E1007" s="36"/>
      <c r="F1007" s="36" t="str">
        <f>IFERROR(__xludf.DUMMYFUNCTION("""COMPUTED_VALUE"""),"Tiara Wardani")</f>
        <v>Tiara Wardani</v>
      </c>
      <c r="G1007" s="36" t="str">
        <f>IFERROR(__xludf.DUMMYFUNCTION("""COMPUTED_VALUE"""),"740311603980201")</f>
        <v>740311603980201</v>
      </c>
      <c r="H1007" s="36"/>
      <c r="I1007" s="36"/>
      <c r="J1007" s="36" t="str">
        <f>IFERROR(__xludf.DUMMYFUNCTION("""COMPUTED_VALUE"""),"PEREMPUAN")</f>
        <v>PEREMPUAN</v>
      </c>
      <c r="K1007" s="36" t="str">
        <f>IFERROR(__xludf.DUMMYFUNCTION("""COMPUTED_VALUE"""),"Raha, Kec. 35877, PEREMPUAN")</f>
        <v>Raha, Kec. 35877, PEREMPUAN</v>
      </c>
      <c r="L1007" s="36"/>
      <c r="M1007" s="36"/>
      <c r="N1007" s="36"/>
      <c r="O1007" s="36"/>
      <c r="P1007" s="36"/>
      <c r="Q1007" s="36"/>
      <c r="R1007" s="36" t="str">
        <f>IFERROR(__xludf.DUMMYFUNCTION("""COMPUTED_VALUE"""),"K")</f>
        <v>K</v>
      </c>
      <c r="S1007" s="39"/>
    </row>
    <row r="1008">
      <c r="B1008" s="36" t="str">
        <f>IFERROR(__xludf.DUMMYFUNCTION("""COMPUTED_VALUE"""),"Merias Wajah")</f>
        <v>Merias Wajah</v>
      </c>
      <c r="C1008" s="36" t="str">
        <f>IFERROR(__xludf.DUMMYFUNCTION("""COMPUTED_VALUE"""),"BPVP Kendari")</f>
        <v>BPVP Kendari</v>
      </c>
      <c r="D1008" s="36"/>
      <c r="E1008" s="36"/>
      <c r="F1008" s="36" t="str">
        <f>IFERROR(__xludf.DUMMYFUNCTION("""COMPUTED_VALUE"""),"Ambar Wati")</f>
        <v>Ambar Wati</v>
      </c>
      <c r="G1008" s="36" t="str">
        <f>IFERROR(__xludf.DUMMYFUNCTION("""COMPUTED_VALUE"""),"7405046610880001")</f>
        <v>7405046610880001</v>
      </c>
      <c r="H1008" s="36"/>
      <c r="I1008" s="36"/>
      <c r="J1008" s="36" t="str">
        <f>IFERROR(__xludf.DUMMYFUNCTION("""COMPUTED_VALUE"""),"PEREMPUAN")</f>
        <v>PEREMPUAN</v>
      </c>
      <c r="K1008" s="36" t="str">
        <f>IFERROR(__xludf.DUMMYFUNCTION("""COMPUTED_VALUE"""),"Desa Wawouru Kec. Palangga Selatan ")</f>
        <v>Desa Wawouru Kec. Palangga Selatan </v>
      </c>
      <c r="L1008" s="36"/>
      <c r="M1008" s="36"/>
      <c r="N1008" s="36"/>
      <c r="O1008" s="36"/>
      <c r="P1008" s="36"/>
      <c r="Q1008" s="36"/>
      <c r="R1008" s="36" t="str">
        <f>IFERROR(__xludf.DUMMYFUNCTION("""COMPUTED_VALUE"""),"K")</f>
        <v>K</v>
      </c>
      <c r="S1008" s="39"/>
    </row>
    <row r="1009">
      <c r="B1009" s="36" t="str">
        <f>IFERROR(__xludf.DUMMYFUNCTION("""COMPUTED_VALUE"""),"Merias Wajah")</f>
        <v>Merias Wajah</v>
      </c>
      <c r="C1009" s="36" t="str">
        <f>IFERROR(__xludf.DUMMYFUNCTION("""COMPUTED_VALUE"""),"BPVP Kendari")</f>
        <v>BPVP Kendari</v>
      </c>
      <c r="D1009" s="36"/>
      <c r="E1009" s="36"/>
      <c r="F1009" s="36" t="str">
        <f>IFERROR(__xludf.DUMMYFUNCTION("""COMPUTED_VALUE"""),"Aulia Ayu Pika Nanda")</f>
        <v>Aulia Ayu Pika Nanda</v>
      </c>
      <c r="G1009" s="36" t="str">
        <f>IFERROR(__xludf.DUMMYFUNCTION("""COMPUTED_VALUE"""),"7405196401060001")</f>
        <v>7405196401060001</v>
      </c>
      <c r="H1009" s="36"/>
      <c r="I1009" s="36"/>
      <c r="J1009" s="36" t="str">
        <f>IFERROR(__xludf.DUMMYFUNCTION("""COMPUTED_VALUE"""),"PEREMPUAN")</f>
        <v>PEREMPUAN</v>
      </c>
      <c r="K1009" s="36" t="str">
        <f>IFERROR(__xludf.DUMMYFUNCTION("""COMPUTED_VALUE"""),"Kel. Ambalodangge Kec. Laeya ")</f>
        <v>Kel. Ambalodangge Kec. Laeya </v>
      </c>
      <c r="L1009" s="36"/>
      <c r="M1009" s="36"/>
      <c r="N1009" s="36"/>
      <c r="O1009" s="36"/>
      <c r="P1009" s="36"/>
      <c r="Q1009" s="36"/>
      <c r="R1009" s="36" t="str">
        <f>IFERROR(__xludf.DUMMYFUNCTION("""COMPUTED_VALUE"""),"K")</f>
        <v>K</v>
      </c>
      <c r="S1009" s="39"/>
    </row>
    <row r="1010">
      <c r="B1010" s="36" t="str">
        <f>IFERROR(__xludf.DUMMYFUNCTION("""COMPUTED_VALUE"""),"Merias Wajah")</f>
        <v>Merias Wajah</v>
      </c>
      <c r="C1010" s="36" t="str">
        <f>IFERROR(__xludf.DUMMYFUNCTION("""COMPUTED_VALUE"""),"BPVP Kendari")</f>
        <v>BPVP Kendari</v>
      </c>
      <c r="D1010" s="36"/>
      <c r="E1010" s="36"/>
      <c r="F1010" s="36" t="str">
        <f>IFERROR(__xludf.DUMMYFUNCTION("""COMPUTED_VALUE"""),"Ayu Wulandari")</f>
        <v>Ayu Wulandari</v>
      </c>
      <c r="G1010" s="36" t="str">
        <f>IFERROR(__xludf.DUMMYFUNCTION("""COMPUTED_VALUE"""),"7405195602970001")</f>
        <v>7405195602970001</v>
      </c>
      <c r="H1010" s="36"/>
      <c r="I1010" s="36"/>
      <c r="J1010" s="36" t="str">
        <f>IFERROR(__xludf.DUMMYFUNCTION("""COMPUTED_VALUE"""),"PEREMPUAN")</f>
        <v>PEREMPUAN</v>
      </c>
      <c r="K1010" s="36" t="str">
        <f>IFERROR(__xludf.DUMMYFUNCTION("""COMPUTED_VALUE"""),"Desa Lerepako Kec. Laeya ")</f>
        <v>Desa Lerepako Kec. Laeya </v>
      </c>
      <c r="L1010" s="36"/>
      <c r="M1010" s="36"/>
      <c r="N1010" s="36"/>
      <c r="O1010" s="36"/>
      <c r="P1010" s="36"/>
      <c r="Q1010" s="36"/>
      <c r="R1010" s="36" t="str">
        <f>IFERROR(__xludf.DUMMYFUNCTION("""COMPUTED_VALUE"""),"K")</f>
        <v>K</v>
      </c>
      <c r="S1010" s="39"/>
    </row>
    <row r="1011">
      <c r="B1011" s="36" t="str">
        <f>IFERROR(__xludf.DUMMYFUNCTION("""COMPUTED_VALUE"""),"Merias Wajah")</f>
        <v>Merias Wajah</v>
      </c>
      <c r="C1011" s="36" t="str">
        <f>IFERROR(__xludf.DUMMYFUNCTION("""COMPUTED_VALUE"""),"BPVP Kendari")</f>
        <v>BPVP Kendari</v>
      </c>
      <c r="D1011" s="36"/>
      <c r="E1011" s="36"/>
      <c r="F1011" s="36" t="str">
        <f>IFERROR(__xludf.DUMMYFUNCTION("""COMPUTED_VALUE"""),"Chici Fatmala Dewi")</f>
        <v>Chici Fatmala Dewi</v>
      </c>
      <c r="G1011" s="36" t="str">
        <f>IFERROR(__xludf.DUMMYFUNCTION("""COMPUTED_VALUE"""),"7405196605040001")</f>
        <v>7405196605040001</v>
      </c>
      <c r="H1011" s="36"/>
      <c r="I1011" s="36"/>
      <c r="J1011" s="36" t="str">
        <f>IFERROR(__xludf.DUMMYFUNCTION("""COMPUTED_VALUE"""),"PEREMPUAN")</f>
        <v>PEREMPUAN</v>
      </c>
      <c r="K1011" s="36" t="str">
        <f>IFERROR(__xludf.DUMMYFUNCTION("""COMPUTED_VALUE"""),"Kel. Punggaluku Kec. Laeya")</f>
        <v>Kel. Punggaluku Kec. Laeya</v>
      </c>
      <c r="L1011" s="36"/>
      <c r="M1011" s="36"/>
      <c r="N1011" s="36"/>
      <c r="O1011" s="36"/>
      <c r="P1011" s="36"/>
      <c r="Q1011" s="36"/>
      <c r="R1011" s="36" t="str">
        <f>IFERROR(__xludf.DUMMYFUNCTION("""COMPUTED_VALUE"""),"K")</f>
        <v>K</v>
      </c>
      <c r="S1011" s="39"/>
    </row>
    <row r="1012">
      <c r="B1012" s="36" t="str">
        <f>IFERROR(__xludf.DUMMYFUNCTION("""COMPUTED_VALUE"""),"Merias Wajah")</f>
        <v>Merias Wajah</v>
      </c>
      <c r="C1012" s="36" t="str">
        <f>IFERROR(__xludf.DUMMYFUNCTION("""COMPUTED_VALUE"""),"BPVP Kendari")</f>
        <v>BPVP Kendari</v>
      </c>
      <c r="D1012" s="36"/>
      <c r="E1012" s="36"/>
      <c r="F1012" s="36" t="str">
        <f>IFERROR(__xludf.DUMMYFUNCTION("""COMPUTED_VALUE"""),"Cindy Ayu Rahmadany")</f>
        <v>Cindy Ayu Rahmadany</v>
      </c>
      <c r="G1012" s="36" t="str">
        <f>IFERROR(__xludf.DUMMYFUNCTION("""COMPUTED_VALUE"""),"7405196505000002")</f>
        <v>7405196505000002</v>
      </c>
      <c r="H1012" s="36"/>
      <c r="I1012" s="36"/>
      <c r="J1012" s="36" t="str">
        <f>IFERROR(__xludf.DUMMYFUNCTION("""COMPUTED_VALUE"""),"PEREMPUAN")</f>
        <v>PEREMPUAN</v>
      </c>
      <c r="K1012" s="36" t="str">
        <f>IFERROR(__xludf.DUMMYFUNCTION("""COMPUTED_VALUE"""),"Kel. Punggaluku Kec. Laeya")</f>
        <v>Kel. Punggaluku Kec. Laeya</v>
      </c>
      <c r="L1012" s="36"/>
      <c r="M1012" s="36"/>
      <c r="N1012" s="36"/>
      <c r="O1012" s="36"/>
      <c r="P1012" s="36"/>
      <c r="Q1012" s="36"/>
      <c r="R1012" s="36" t="str">
        <f>IFERROR(__xludf.DUMMYFUNCTION("""COMPUTED_VALUE"""),"K")</f>
        <v>K</v>
      </c>
      <c r="S1012" s="39"/>
    </row>
    <row r="1013">
      <c r="B1013" s="36" t="str">
        <f>IFERROR(__xludf.DUMMYFUNCTION("""COMPUTED_VALUE"""),"Merias Wajah")</f>
        <v>Merias Wajah</v>
      </c>
      <c r="C1013" s="36" t="str">
        <f>IFERROR(__xludf.DUMMYFUNCTION("""COMPUTED_VALUE"""),"BPVP Kendari")</f>
        <v>BPVP Kendari</v>
      </c>
      <c r="D1013" s="36"/>
      <c r="E1013" s="36"/>
      <c r="F1013" s="36" t="str">
        <f>IFERROR(__xludf.DUMMYFUNCTION("""COMPUTED_VALUE"""),"Dwi Indah Prasetyani")</f>
        <v>Dwi Indah Prasetyani</v>
      </c>
      <c r="G1013" s="36" t="str">
        <f>IFERROR(__xludf.DUMMYFUNCTION("""COMPUTED_VALUE"""),"7405194107020014")</f>
        <v>7405194107020014</v>
      </c>
      <c r="H1013" s="36"/>
      <c r="I1013" s="36"/>
      <c r="J1013" s="36" t="str">
        <f>IFERROR(__xludf.DUMMYFUNCTION("""COMPUTED_VALUE"""),"PEREMPUAN")</f>
        <v>PEREMPUAN</v>
      </c>
      <c r="K1013" s="36" t="str">
        <f>IFERROR(__xludf.DUMMYFUNCTION("""COMPUTED_VALUE"""),"Desa Lambakara Kec. Laeya ")</f>
        <v>Desa Lambakara Kec. Laeya </v>
      </c>
      <c r="L1013" s="36"/>
      <c r="M1013" s="36"/>
      <c r="N1013" s="36"/>
      <c r="O1013" s="36"/>
      <c r="P1013" s="36"/>
      <c r="Q1013" s="36"/>
      <c r="R1013" s="36" t="str">
        <f>IFERROR(__xludf.DUMMYFUNCTION("""COMPUTED_VALUE"""),"K")</f>
        <v>K</v>
      </c>
      <c r="S1013" s="39"/>
    </row>
    <row r="1014">
      <c r="B1014" s="36" t="str">
        <f>IFERROR(__xludf.DUMMYFUNCTION("""COMPUTED_VALUE"""),"Merias Wajah")</f>
        <v>Merias Wajah</v>
      </c>
      <c r="C1014" s="36" t="str">
        <f>IFERROR(__xludf.DUMMYFUNCTION("""COMPUTED_VALUE"""),"BPVP Kendari")</f>
        <v>BPVP Kendari</v>
      </c>
      <c r="D1014" s="36"/>
      <c r="E1014" s="36"/>
      <c r="F1014" s="36" t="str">
        <f>IFERROR(__xludf.DUMMYFUNCTION("""COMPUTED_VALUE"""),"Fransiska Aulia")</f>
        <v>Fransiska Aulia</v>
      </c>
      <c r="G1014" s="36" t="str">
        <f>IFERROR(__xludf.DUMMYFUNCTION("""COMPUTED_VALUE"""),"7405045702080001")</f>
        <v>7405045702080001</v>
      </c>
      <c r="H1014" s="36"/>
      <c r="I1014" s="36"/>
      <c r="J1014" s="36" t="str">
        <f>IFERROR(__xludf.DUMMYFUNCTION("""COMPUTED_VALUE"""),"PEREMPUAN")</f>
        <v>PEREMPUAN</v>
      </c>
      <c r="K1014" s="36" t="str">
        <f>IFERROR(__xludf.DUMMYFUNCTION("""COMPUTED_VALUE"""),"Desa Anggondara Kec. Palangga ")</f>
        <v>Desa Anggondara Kec. Palangga </v>
      </c>
      <c r="L1014" s="36"/>
      <c r="M1014" s="36"/>
      <c r="N1014" s="36"/>
      <c r="O1014" s="36"/>
      <c r="P1014" s="36"/>
      <c r="Q1014" s="36"/>
      <c r="R1014" s="36" t="str">
        <f>IFERROR(__xludf.DUMMYFUNCTION("""COMPUTED_VALUE"""),"K")</f>
        <v>K</v>
      </c>
      <c r="S1014" s="39"/>
    </row>
    <row r="1015">
      <c r="B1015" s="36" t="str">
        <f>IFERROR(__xludf.DUMMYFUNCTION("""COMPUTED_VALUE"""),"Merias Wajah")</f>
        <v>Merias Wajah</v>
      </c>
      <c r="C1015" s="36" t="str">
        <f>IFERROR(__xludf.DUMMYFUNCTION("""COMPUTED_VALUE"""),"BPVP Kendari")</f>
        <v>BPVP Kendari</v>
      </c>
      <c r="D1015" s="36"/>
      <c r="E1015" s="36"/>
      <c r="F1015" s="36" t="str">
        <f>IFERROR(__xludf.DUMMYFUNCTION("""COMPUTED_VALUE"""),"Ice Yustika")</f>
        <v>Ice Yustika</v>
      </c>
      <c r="G1015" s="36" t="str">
        <f>IFERROR(__xludf.DUMMYFUNCTION("""COMPUTED_VALUE"""),"7405194912010001")</f>
        <v>7405194912010001</v>
      </c>
      <c r="H1015" s="36"/>
      <c r="I1015" s="36"/>
      <c r="J1015" s="36" t="str">
        <f>IFERROR(__xludf.DUMMYFUNCTION("""COMPUTED_VALUE"""),"PEREMPUAN")</f>
        <v>PEREMPUAN</v>
      </c>
      <c r="K1015" s="36" t="str">
        <f>IFERROR(__xludf.DUMMYFUNCTION("""COMPUTED_VALUE"""),"Desa Buke Kec. Buke ")</f>
        <v>Desa Buke Kec. Buke </v>
      </c>
      <c r="L1015" s="36"/>
      <c r="M1015" s="36"/>
      <c r="N1015" s="36"/>
      <c r="O1015" s="36"/>
      <c r="P1015" s="36"/>
      <c r="Q1015" s="36"/>
      <c r="R1015" s="36" t="str">
        <f>IFERROR(__xludf.DUMMYFUNCTION("""COMPUTED_VALUE"""),"K")</f>
        <v>K</v>
      </c>
      <c r="S1015" s="39"/>
    </row>
    <row r="1016">
      <c r="B1016" s="36" t="str">
        <f>IFERROR(__xludf.DUMMYFUNCTION("""COMPUTED_VALUE"""),"Merias Wajah")</f>
        <v>Merias Wajah</v>
      </c>
      <c r="C1016" s="36" t="str">
        <f>IFERROR(__xludf.DUMMYFUNCTION("""COMPUTED_VALUE"""),"BPVP Kendari")</f>
        <v>BPVP Kendari</v>
      </c>
      <c r="D1016" s="36"/>
      <c r="E1016" s="36"/>
      <c r="F1016" s="36" t="str">
        <f>IFERROR(__xludf.DUMMYFUNCTION("""COMPUTED_VALUE"""),"Marsa Wulandari")</f>
        <v>Marsa Wulandari</v>
      </c>
      <c r="G1016" s="36" t="str">
        <f>IFERROR(__xludf.DUMMYFUNCTION("""COMPUTED_VALUE"""),"7405064103060001")</f>
        <v>7405064103060001</v>
      </c>
      <c r="H1016" s="36"/>
      <c r="I1016" s="36"/>
      <c r="J1016" s="36" t="str">
        <f>IFERROR(__xludf.DUMMYFUNCTION("""COMPUTED_VALUE"""),"PEREMPUAN")</f>
        <v>PEREMPUAN</v>
      </c>
      <c r="K1016" s="36" t="str">
        <f>IFERROR(__xludf.DUMMYFUNCTION("""COMPUTED_VALUE"""),"Desa Aoreo Kec. Lainea ")</f>
        <v>Desa Aoreo Kec. Lainea </v>
      </c>
      <c r="L1016" s="36"/>
      <c r="M1016" s="36"/>
      <c r="N1016" s="36"/>
      <c r="O1016" s="36"/>
      <c r="P1016" s="36"/>
      <c r="Q1016" s="36"/>
      <c r="R1016" s="36" t="str">
        <f>IFERROR(__xludf.DUMMYFUNCTION("""COMPUTED_VALUE"""),"K")</f>
        <v>K</v>
      </c>
      <c r="S1016" s="39"/>
    </row>
    <row r="1017">
      <c r="B1017" s="36" t="str">
        <f>IFERROR(__xludf.DUMMYFUNCTION("""COMPUTED_VALUE"""),"Merias Wajah")</f>
        <v>Merias Wajah</v>
      </c>
      <c r="C1017" s="36" t="str">
        <f>IFERROR(__xludf.DUMMYFUNCTION("""COMPUTED_VALUE"""),"BPVP Kendari")</f>
        <v>BPVP Kendari</v>
      </c>
      <c r="D1017" s="36"/>
      <c r="E1017" s="36"/>
      <c r="F1017" s="36" t="str">
        <f>IFERROR(__xludf.DUMMYFUNCTION("""COMPUTED_VALUE"""),"Mirnayanti")</f>
        <v>Mirnayanti</v>
      </c>
      <c r="G1017" s="36" t="str">
        <f>IFERROR(__xludf.DUMMYFUNCTION("""COMPUTED_VALUE"""),"7405194107860030")</f>
        <v>7405194107860030</v>
      </c>
      <c r="H1017" s="36"/>
      <c r="I1017" s="36"/>
      <c r="J1017" s="36" t="str">
        <f>IFERROR(__xludf.DUMMYFUNCTION("""COMPUTED_VALUE"""),"PEREMPUAN")</f>
        <v>PEREMPUAN</v>
      </c>
      <c r="K1017" s="36" t="str">
        <f>IFERROR(__xludf.DUMMYFUNCTION("""COMPUTED_VALUE"""),"Desa Lambakara Kec. Laeya ")</f>
        <v>Desa Lambakara Kec. Laeya </v>
      </c>
      <c r="L1017" s="36"/>
      <c r="M1017" s="36"/>
      <c r="N1017" s="36"/>
      <c r="O1017" s="36"/>
      <c r="P1017" s="36"/>
      <c r="Q1017" s="36"/>
      <c r="R1017" s="36" t="str">
        <f>IFERROR(__xludf.DUMMYFUNCTION("""COMPUTED_VALUE"""),"K")</f>
        <v>K</v>
      </c>
      <c r="S1017" s="39"/>
    </row>
    <row r="1018">
      <c r="B1018" s="36" t="str">
        <f>IFERROR(__xludf.DUMMYFUNCTION("""COMPUTED_VALUE"""),"Merias Wajah")</f>
        <v>Merias Wajah</v>
      </c>
      <c r="C1018" s="36" t="str">
        <f>IFERROR(__xludf.DUMMYFUNCTION("""COMPUTED_VALUE"""),"BPVP Kendari")</f>
        <v>BPVP Kendari</v>
      </c>
      <c r="D1018" s="36"/>
      <c r="E1018" s="36"/>
      <c r="F1018" s="36" t="str">
        <f>IFERROR(__xludf.DUMMYFUNCTION("""COMPUTED_VALUE"""),"Sari Izzanty")</f>
        <v>Sari Izzanty</v>
      </c>
      <c r="G1018" s="36" t="str">
        <f>IFERROR(__xludf.DUMMYFUNCTION("""COMPUTED_VALUE"""),"7405045809890001")</f>
        <v>7405045809890001</v>
      </c>
      <c r="H1018" s="36"/>
      <c r="I1018" s="36"/>
      <c r="J1018" s="36" t="str">
        <f>IFERROR(__xludf.DUMMYFUNCTION("""COMPUTED_VALUE"""),"PEREMPUAN")</f>
        <v>PEREMPUAN</v>
      </c>
      <c r="K1018" s="36" t="str">
        <f>IFERROR(__xludf.DUMMYFUNCTION("""COMPUTED_VALUE"""),"Desa Anggondara Kec. Palangga ")</f>
        <v>Desa Anggondara Kec. Palangga </v>
      </c>
      <c r="L1018" s="36"/>
      <c r="M1018" s="36"/>
      <c r="N1018" s="36"/>
      <c r="O1018" s="36"/>
      <c r="P1018" s="36"/>
      <c r="Q1018" s="36"/>
      <c r="R1018" s="36" t="str">
        <f>IFERROR(__xludf.DUMMYFUNCTION("""COMPUTED_VALUE"""),"K")</f>
        <v>K</v>
      </c>
      <c r="S1018" s="39"/>
    </row>
    <row r="1019">
      <c r="B1019" s="36" t="str">
        <f>IFERROR(__xludf.DUMMYFUNCTION("""COMPUTED_VALUE"""),"Merias Wajah")</f>
        <v>Merias Wajah</v>
      </c>
      <c r="C1019" s="36" t="str">
        <f>IFERROR(__xludf.DUMMYFUNCTION("""COMPUTED_VALUE"""),"BPVP Kendari")</f>
        <v>BPVP Kendari</v>
      </c>
      <c r="D1019" s="36"/>
      <c r="E1019" s="36"/>
      <c r="F1019" s="36" t="str">
        <f>IFERROR(__xludf.DUMMYFUNCTION("""COMPUTED_VALUE"""),"Shilmi Pebrina Syarif")</f>
        <v>Shilmi Pebrina Syarif</v>
      </c>
      <c r="G1019" s="36" t="str">
        <f>IFERROR(__xludf.DUMMYFUNCTION("""COMPUTED_VALUE"""),"7405190502060001")</f>
        <v>7405190502060001</v>
      </c>
      <c r="H1019" s="36"/>
      <c r="I1019" s="36"/>
      <c r="J1019" s="36" t="str">
        <f>IFERROR(__xludf.DUMMYFUNCTION("""COMPUTED_VALUE"""),"LAKI-LAKI")</f>
        <v>LAKI-LAKI</v>
      </c>
      <c r="K1019" s="36" t="str">
        <f>IFERROR(__xludf.DUMMYFUNCTION("""COMPUTED_VALUE"""),"Desa Ambesea Kec. Laeya ")</f>
        <v>Desa Ambesea Kec. Laeya </v>
      </c>
      <c r="L1019" s="36"/>
      <c r="M1019" s="36"/>
      <c r="N1019" s="36"/>
      <c r="O1019" s="36"/>
      <c r="P1019" s="36"/>
      <c r="Q1019" s="36"/>
      <c r="R1019" s="36" t="str">
        <f>IFERROR(__xludf.DUMMYFUNCTION("""COMPUTED_VALUE"""),"K")</f>
        <v>K</v>
      </c>
      <c r="S1019" s="39"/>
    </row>
    <row r="1020">
      <c r="B1020" s="36" t="str">
        <f>IFERROR(__xludf.DUMMYFUNCTION("""COMPUTED_VALUE"""),"Merias Wajah")</f>
        <v>Merias Wajah</v>
      </c>
      <c r="C1020" s="36" t="str">
        <f>IFERROR(__xludf.DUMMYFUNCTION("""COMPUTED_VALUE"""),"BPVP Kendari")</f>
        <v>BPVP Kendari</v>
      </c>
      <c r="D1020" s="36"/>
      <c r="E1020" s="36"/>
      <c r="F1020" s="36" t="str">
        <f>IFERROR(__xludf.DUMMYFUNCTION("""COMPUTED_VALUE"""),"Siti Mahmudah")</f>
        <v>Siti Mahmudah</v>
      </c>
      <c r="G1020" s="36" t="str">
        <f>IFERROR(__xludf.DUMMYFUNCTION("""COMPUTED_VALUE"""),"7405196207760002")</f>
        <v>7405196207760002</v>
      </c>
      <c r="H1020" s="36"/>
      <c r="I1020" s="36"/>
      <c r="J1020" s="36" t="str">
        <f>IFERROR(__xludf.DUMMYFUNCTION("""COMPUTED_VALUE"""),"PEREMPUAN")</f>
        <v>PEREMPUAN</v>
      </c>
      <c r="K1020" s="36" t="str">
        <f>IFERROR(__xludf.DUMMYFUNCTION("""COMPUTED_VALUE"""),"Desa Lamong Jaya Kec. Laeya ")</f>
        <v>Desa Lamong Jaya Kec. Laeya </v>
      </c>
      <c r="L1020" s="36"/>
      <c r="M1020" s="36"/>
      <c r="N1020" s="36"/>
      <c r="O1020" s="36"/>
      <c r="P1020" s="36"/>
      <c r="Q1020" s="36"/>
      <c r="R1020" s="36" t="str">
        <f>IFERROR(__xludf.DUMMYFUNCTION("""COMPUTED_VALUE"""),"K")</f>
        <v>K</v>
      </c>
      <c r="S1020" s="39"/>
    </row>
    <row r="1021">
      <c r="B1021" s="36" t="str">
        <f>IFERROR(__xludf.DUMMYFUNCTION("""COMPUTED_VALUE"""),"Merias Wajah")</f>
        <v>Merias Wajah</v>
      </c>
      <c r="C1021" s="36" t="str">
        <f>IFERROR(__xludf.DUMMYFUNCTION("""COMPUTED_VALUE"""),"BPVP Kendari")</f>
        <v>BPVP Kendari</v>
      </c>
      <c r="D1021" s="36"/>
      <c r="E1021" s="36"/>
      <c r="F1021" s="36" t="str">
        <f>IFERROR(__xludf.DUMMYFUNCTION("""COMPUTED_VALUE"""),"Tugi Nurhidayah")</f>
        <v>Tugi Nurhidayah</v>
      </c>
      <c r="G1021" s="36" t="str">
        <f>IFERROR(__xludf.DUMMYFUNCTION("""COMPUTED_VALUE"""),"7405191005030002")</f>
        <v>7405191005030002</v>
      </c>
      <c r="H1021" s="36"/>
      <c r="I1021" s="36"/>
      <c r="J1021" s="36" t="str">
        <f>IFERROR(__xludf.DUMMYFUNCTION("""COMPUTED_VALUE"""),"LAKI-LAKI")</f>
        <v>LAKI-LAKI</v>
      </c>
      <c r="K1021" s="36" t="str">
        <f>IFERROR(__xludf.DUMMYFUNCTION("""COMPUTED_VALUE"""),"Desa Lamong Jaya Kec. Laeya ")</f>
        <v>Desa Lamong Jaya Kec. Laeya </v>
      </c>
      <c r="L1021" s="36"/>
      <c r="M1021" s="36"/>
      <c r="N1021" s="36"/>
      <c r="O1021" s="36"/>
      <c r="P1021" s="36"/>
      <c r="Q1021" s="36"/>
      <c r="R1021" s="36" t="str">
        <f>IFERROR(__xludf.DUMMYFUNCTION("""COMPUTED_VALUE"""),"K")</f>
        <v>K</v>
      </c>
      <c r="S1021" s="39"/>
    </row>
    <row r="1022">
      <c r="B1022" s="36" t="str">
        <f>IFERROR(__xludf.DUMMYFUNCTION("""COMPUTED_VALUE"""),"Merias Wajah")</f>
        <v>Merias Wajah</v>
      </c>
      <c r="C1022" s="36" t="str">
        <f>IFERROR(__xludf.DUMMYFUNCTION("""COMPUTED_VALUE"""),"BPVP Kendari")</f>
        <v>BPVP Kendari</v>
      </c>
      <c r="D1022" s="36"/>
      <c r="E1022" s="36"/>
      <c r="F1022" s="36" t="str">
        <f>IFERROR(__xludf.DUMMYFUNCTION("""COMPUTED_VALUE"""),"Ulfa Safitri")</f>
        <v>Ulfa Safitri</v>
      </c>
      <c r="G1022" s="36" t="str">
        <f>IFERROR(__xludf.DUMMYFUNCTION("""COMPUTED_VALUE"""),"7405194107860028")</f>
        <v>7405194107860028</v>
      </c>
      <c r="H1022" s="36"/>
      <c r="I1022" s="36"/>
      <c r="J1022" s="36" t="str">
        <f>IFERROR(__xludf.DUMMYFUNCTION("""COMPUTED_VALUE"""),"PEREMPUAN")</f>
        <v>PEREMPUAN</v>
      </c>
      <c r="K1022" s="36" t="str">
        <f>IFERROR(__xludf.DUMMYFUNCTION("""COMPUTED_VALUE"""),"Desa Lambakara Kec. Laeya ")</f>
        <v>Desa Lambakara Kec. Laeya </v>
      </c>
      <c r="L1022" s="36"/>
      <c r="M1022" s="36"/>
      <c r="N1022" s="36"/>
      <c r="O1022" s="36"/>
      <c r="P1022" s="36"/>
      <c r="Q1022" s="36"/>
      <c r="R1022" s="36" t="str">
        <f>IFERROR(__xludf.DUMMYFUNCTION("""COMPUTED_VALUE"""),"K")</f>
        <v>K</v>
      </c>
      <c r="S1022" s="39"/>
    </row>
    <row r="1023">
      <c r="B1023" s="36" t="str">
        <f>IFERROR(__xludf.DUMMYFUNCTION("""COMPUTED_VALUE"""),"Merias Wajah")</f>
        <v>Merias Wajah</v>
      </c>
      <c r="C1023" s="36" t="str">
        <f>IFERROR(__xludf.DUMMYFUNCTION("""COMPUTED_VALUE"""),"BPVP Kendari")</f>
        <v>BPVP Kendari</v>
      </c>
      <c r="D1023" s="36"/>
      <c r="E1023" s="36"/>
      <c r="F1023" s="36" t="str">
        <f>IFERROR(__xludf.DUMMYFUNCTION("""COMPUTED_VALUE"""),"Waliadin")</f>
        <v>Waliadin</v>
      </c>
      <c r="G1023" s="36" t="str">
        <f>IFERROR(__xludf.DUMMYFUNCTION("""COMPUTED_VALUE"""),"7405196805000001")</f>
        <v>7405196805000001</v>
      </c>
      <c r="H1023" s="36"/>
      <c r="I1023" s="36"/>
      <c r="J1023" s="36" t="str">
        <f>IFERROR(__xludf.DUMMYFUNCTION("""COMPUTED_VALUE"""),"PEREMPUAN")</f>
        <v>PEREMPUAN</v>
      </c>
      <c r="K1023" s="36" t="str">
        <f>IFERROR(__xludf.DUMMYFUNCTION("""COMPUTED_VALUE"""),"Desa Wonua Kongga Kec. Laeya ")</f>
        <v>Desa Wonua Kongga Kec. Laeya </v>
      </c>
      <c r="L1023" s="36"/>
      <c r="M1023" s="36"/>
      <c r="N1023" s="36"/>
      <c r="O1023" s="36"/>
      <c r="P1023" s="36"/>
      <c r="Q1023" s="36"/>
      <c r="R1023" s="36" t="str">
        <f>IFERROR(__xludf.DUMMYFUNCTION("""COMPUTED_VALUE"""),"K")</f>
        <v>K</v>
      </c>
      <c r="S1023" s="39"/>
    </row>
    <row r="1024">
      <c r="B1024" s="36" t="str">
        <f>IFERROR(__xludf.DUMMYFUNCTION("""COMPUTED_VALUE"""),"Perakitan Komponen Fabrikasi")</f>
        <v>Perakitan Komponen Fabrikasi</v>
      </c>
      <c r="C1024" s="36" t="str">
        <f>IFERROR(__xludf.DUMMYFUNCTION("""COMPUTED_VALUE"""),"BPVP Kendari")</f>
        <v>BPVP Kendari</v>
      </c>
      <c r="D1024" s="36"/>
      <c r="E1024" s="36"/>
      <c r="F1024" s="36" t="str">
        <f>IFERROR(__xludf.DUMMYFUNCTION("""COMPUTED_VALUE"""),"MUHAMMAD SOBRI SALAM")</f>
        <v>MUHAMMAD SOBRI SALAM</v>
      </c>
      <c r="G1024" s="36" t="str">
        <f>IFERROR(__xludf.DUMMYFUNCTION("""COMPUTED_VALUE"""),"7402040808050001")</f>
        <v>7402040808050001</v>
      </c>
      <c r="H1024" s="36"/>
      <c r="I1024" s="36"/>
      <c r="J1024" s="36" t="str">
        <f>IFERROR(__xludf.DUMMYFUNCTION("""COMPUTED_VALUE"""),"LAKI-LAKI")</f>
        <v>LAKI-LAKI</v>
      </c>
      <c r="K1024" s="36" t="str">
        <f>IFERROR(__xludf.DUMMYFUNCTION("""COMPUTED_VALUE"""),"LALOIKA")</f>
        <v>LALOIKA</v>
      </c>
      <c r="L1024" s="36"/>
      <c r="M1024" s="36"/>
      <c r="N1024" s="36"/>
      <c r="O1024" s="36"/>
      <c r="P1024" s="36"/>
      <c r="Q1024" s="36"/>
      <c r="R1024" s="36" t="str">
        <f>IFERROR(__xludf.DUMMYFUNCTION("""COMPUTED_VALUE"""),"K")</f>
        <v>K</v>
      </c>
      <c r="S1024" s="39"/>
    </row>
    <row r="1025">
      <c r="B1025" s="36" t="str">
        <f>IFERROR(__xludf.DUMMYFUNCTION("""COMPUTED_VALUE"""),"Perakitan Komponen Fabrikasi")</f>
        <v>Perakitan Komponen Fabrikasi</v>
      </c>
      <c r="C1025" s="36" t="str">
        <f>IFERROR(__xludf.DUMMYFUNCTION("""COMPUTED_VALUE"""),"BPVP Kendari")</f>
        <v>BPVP Kendari</v>
      </c>
      <c r="D1025" s="36"/>
      <c r="E1025" s="36"/>
      <c r="F1025" s="36" t="str">
        <f>IFERROR(__xludf.DUMMYFUNCTION("""COMPUTED_VALUE"""),"HENDRIK SAPUTRA")</f>
        <v>HENDRIK SAPUTRA</v>
      </c>
      <c r="G1025" s="36" t="str">
        <f>IFERROR(__xludf.DUMMYFUNCTION("""COMPUTED_VALUE"""),"7401020612950001")</f>
        <v>7401020612950001</v>
      </c>
      <c r="H1025" s="36"/>
      <c r="I1025" s="36"/>
      <c r="J1025" s="36" t="str">
        <f>IFERROR(__xludf.DUMMYFUNCTION("""COMPUTED_VALUE"""),"LAKI-LAKI")</f>
        <v>LAKI-LAKI</v>
      </c>
      <c r="K1025" s="36" t="str">
        <f>IFERROR(__xludf.DUMMYFUNCTION("""COMPUTED_VALUE"""),"DUSUN.1 DESA.TIRAWUTA KEC.TIRAWUTA")</f>
        <v>DUSUN.1 DESA.TIRAWUTA KEC.TIRAWUTA</v>
      </c>
      <c r="L1025" s="36"/>
      <c r="M1025" s="36"/>
      <c r="N1025" s="36"/>
      <c r="O1025" s="36"/>
      <c r="P1025" s="36"/>
      <c r="Q1025" s="36"/>
      <c r="R1025" s="36" t="str">
        <f>IFERROR(__xludf.DUMMYFUNCTION("""COMPUTED_VALUE"""),"K")</f>
        <v>K</v>
      </c>
      <c r="S1025" s="39"/>
    </row>
    <row r="1026">
      <c r="B1026" s="36" t="str">
        <f>IFERROR(__xludf.DUMMYFUNCTION("""COMPUTED_VALUE"""),"Perakitan Komponen Fabrikasi")</f>
        <v>Perakitan Komponen Fabrikasi</v>
      </c>
      <c r="C1026" s="36" t="str">
        <f>IFERROR(__xludf.DUMMYFUNCTION("""COMPUTED_VALUE"""),"BPVP Kendari")</f>
        <v>BPVP Kendari</v>
      </c>
      <c r="D1026" s="36"/>
      <c r="E1026" s="36"/>
      <c r="F1026" s="36" t="str">
        <f>IFERROR(__xludf.DUMMYFUNCTION("""COMPUTED_VALUE"""),"ALHAM")</f>
        <v>ALHAM</v>
      </c>
      <c r="G1026" s="36" t="str">
        <f>IFERROR(__xludf.DUMMYFUNCTION("""COMPUTED_VALUE"""),"7405190407930001")</f>
        <v>7405190407930001</v>
      </c>
      <c r="H1026" s="36"/>
      <c r="I1026" s="36"/>
      <c r="J1026" s="36" t="str">
        <f>IFERROR(__xludf.DUMMYFUNCTION("""COMPUTED_VALUE"""),"LAKI-LAKI")</f>
        <v>LAKI-LAKI</v>
      </c>
      <c r="K1026" s="36" t="str">
        <f>IFERROR(__xludf.DUMMYFUNCTION("""COMPUTED_VALUE"""),"KEL. PUNGGALUKU 
KEC. LAEYA
KAB. KONSEL")</f>
        <v>KEL. PUNGGALUKU 
KEC. LAEYA
KAB. KONSEL</v>
      </c>
      <c r="L1026" s="36"/>
      <c r="M1026" s="36"/>
      <c r="N1026" s="36"/>
      <c r="O1026" s="36"/>
      <c r="P1026" s="36"/>
      <c r="Q1026" s="36"/>
      <c r="R1026" s="36" t="str">
        <f>IFERROR(__xludf.DUMMYFUNCTION("""COMPUTED_VALUE"""),"K")</f>
        <v>K</v>
      </c>
      <c r="S1026" s="39"/>
    </row>
    <row r="1027">
      <c r="B1027" s="36" t="str">
        <f>IFERROR(__xludf.DUMMYFUNCTION("""COMPUTED_VALUE"""),"Perakitan Komponen Fabrikasi")</f>
        <v>Perakitan Komponen Fabrikasi</v>
      </c>
      <c r="C1027" s="36" t="str">
        <f>IFERROR(__xludf.DUMMYFUNCTION("""COMPUTED_VALUE"""),"BPVP Kendari")</f>
        <v>BPVP Kendari</v>
      </c>
      <c r="D1027" s="36"/>
      <c r="E1027" s="36"/>
      <c r="F1027" s="36" t="str">
        <f>IFERROR(__xludf.DUMMYFUNCTION("""COMPUTED_VALUE"""),"MUHAMMAD ALFIN SANDI PRATAMA")</f>
        <v>MUHAMMAD ALFIN SANDI PRATAMA</v>
      </c>
      <c r="G1027" s="36" t="str">
        <f>IFERROR(__xludf.DUMMYFUNCTION("""COMPUTED_VALUE"""),"7405161109040001")</f>
        <v>7405161109040001</v>
      </c>
      <c r="H1027" s="36"/>
      <c r="I1027" s="36"/>
      <c r="J1027" s="36" t="str">
        <f>IFERROR(__xludf.DUMMYFUNCTION("""COMPUTED_VALUE"""),"LAKI-LAKI")</f>
        <v>LAKI-LAKI</v>
      </c>
      <c r="K1027" s="36" t="str">
        <f>IFERROR(__xludf.DUMMYFUNCTION("""COMPUTED_VALUE"""),"DUSUN 2 RT001/RW001 KEL.SANGGULA KEC. MORAMO UTARA")</f>
        <v>DUSUN 2 RT001/RW001 KEL.SANGGULA KEC. MORAMO UTARA</v>
      </c>
      <c r="L1027" s="36"/>
      <c r="M1027" s="36"/>
      <c r="N1027" s="36"/>
      <c r="O1027" s="36"/>
      <c r="P1027" s="36"/>
      <c r="Q1027" s="36"/>
      <c r="R1027" s="36" t="str">
        <f>IFERROR(__xludf.DUMMYFUNCTION("""COMPUTED_VALUE"""),"K")</f>
        <v>K</v>
      </c>
      <c r="S1027" s="39"/>
    </row>
    <row r="1028">
      <c r="B1028" s="36" t="str">
        <f>IFERROR(__xludf.DUMMYFUNCTION("""COMPUTED_VALUE"""),"Perakitan Komponen Fabrikasi")</f>
        <v>Perakitan Komponen Fabrikasi</v>
      </c>
      <c r="C1028" s="36" t="str">
        <f>IFERROR(__xludf.DUMMYFUNCTION("""COMPUTED_VALUE"""),"BPVP Kendari")</f>
        <v>BPVP Kendari</v>
      </c>
      <c r="D1028" s="36"/>
      <c r="E1028" s="36"/>
      <c r="F1028" s="36" t="str">
        <f>IFERROR(__xludf.DUMMYFUNCTION("""COMPUTED_VALUE"""),"MUHAMAD JAKIR")</f>
        <v>MUHAMAD JAKIR</v>
      </c>
      <c r="G1028" s="36" t="str">
        <f>IFERROR(__xludf.DUMMYFUNCTION("""COMPUTED_VALUE"""),"7403251407050001")</f>
        <v>7403251407050001</v>
      </c>
      <c r="H1028" s="36"/>
      <c r="I1028" s="36"/>
      <c r="J1028" s="36" t="str">
        <f>IFERROR(__xludf.DUMMYFUNCTION("""COMPUTED_VALUE"""),"LAKI-LAKI")</f>
        <v>LAKI-LAKI</v>
      </c>
      <c r="K1028" s="36" t="str">
        <f>IFERROR(__xludf.DUMMYFUNCTION("""COMPUTED_VALUE"""),"KEL.WALAMBENO WITE")</f>
        <v>KEL.WALAMBENO WITE</v>
      </c>
      <c r="L1028" s="36"/>
      <c r="M1028" s="36"/>
      <c r="N1028" s="36"/>
      <c r="O1028" s="36"/>
      <c r="P1028" s="36"/>
      <c r="Q1028" s="36"/>
      <c r="R1028" s="36" t="str">
        <f>IFERROR(__xludf.DUMMYFUNCTION("""COMPUTED_VALUE"""),"K")</f>
        <v>K</v>
      </c>
      <c r="S1028" s="39"/>
    </row>
    <row r="1029">
      <c r="B1029" s="36" t="str">
        <f>IFERROR(__xludf.DUMMYFUNCTION("""COMPUTED_VALUE"""),"Perakitan Komponen Fabrikasi")</f>
        <v>Perakitan Komponen Fabrikasi</v>
      </c>
      <c r="C1029" s="36" t="str">
        <f>IFERROR(__xludf.DUMMYFUNCTION("""COMPUTED_VALUE"""),"BPVP Kendari")</f>
        <v>BPVP Kendari</v>
      </c>
      <c r="D1029" s="36"/>
      <c r="E1029" s="36"/>
      <c r="F1029" s="36" t="str">
        <f>IFERROR(__xludf.DUMMYFUNCTION("""COMPUTED_VALUE"""),"ANDI MUH. FAJRIN")</f>
        <v>ANDI MUH. FAJRIN</v>
      </c>
      <c r="G1029" s="36" t="str">
        <f>IFERROR(__xludf.DUMMYFUNCTION("""COMPUTED_VALUE"""),"7402022407030001")</f>
        <v>7402022407030001</v>
      </c>
      <c r="H1029" s="36"/>
      <c r="I1029" s="36"/>
      <c r="J1029" s="36" t="str">
        <f>IFERROR(__xludf.DUMMYFUNCTION("""COMPUTED_VALUE"""),"LAKI-LAKI")</f>
        <v>LAKI-LAKI</v>
      </c>
      <c r="K1029" s="36" t="str">
        <f>IFERROR(__xludf.DUMMYFUNCTION("""COMPUTED_VALUE"""),"JL.PALUWU, KEL.WAWONGGOLE, KEC.UNAAHA, KAB.KONAWE")</f>
        <v>JL.PALUWU, KEL.WAWONGGOLE, KEC.UNAAHA, KAB.KONAWE</v>
      </c>
      <c r="L1029" s="36"/>
      <c r="M1029" s="36"/>
      <c r="N1029" s="36"/>
      <c r="O1029" s="36"/>
      <c r="P1029" s="36"/>
      <c r="Q1029" s="36"/>
      <c r="R1029" s="36" t="str">
        <f>IFERROR(__xludf.DUMMYFUNCTION("""COMPUTED_VALUE"""),"K")</f>
        <v>K</v>
      </c>
      <c r="S1029" s="39"/>
    </row>
    <row r="1030">
      <c r="B1030" s="36" t="str">
        <f>IFERROR(__xludf.DUMMYFUNCTION("""COMPUTED_VALUE"""),"Perakitan Komponen Fabrikasi")</f>
        <v>Perakitan Komponen Fabrikasi</v>
      </c>
      <c r="C1030" s="36" t="str">
        <f>IFERROR(__xludf.DUMMYFUNCTION("""COMPUTED_VALUE"""),"BPVP Kendari")</f>
        <v>BPVP Kendari</v>
      </c>
      <c r="D1030" s="36"/>
      <c r="E1030" s="36"/>
      <c r="F1030" s="36" t="str">
        <f>IFERROR(__xludf.DUMMYFUNCTION("""COMPUTED_VALUE"""),"Fahril Eka Syaputra")</f>
        <v>Fahril Eka Syaputra</v>
      </c>
      <c r="G1030" s="36" t="str">
        <f>IFERROR(__xludf.DUMMYFUNCTION("""COMPUTED_VALUE"""),"7403270601060001")</f>
        <v>7403270601060001</v>
      </c>
      <c r="H1030" s="36"/>
      <c r="I1030" s="36"/>
      <c r="J1030" s="36" t="str">
        <f>IFERROR(__xludf.DUMMYFUNCTION("""COMPUTED_VALUE"""),"LAKI-LAKI")</f>
        <v>LAKI-LAKI</v>
      </c>
      <c r="K1030" s="36" t="str">
        <f>IFERROR(__xludf.DUMMYFUNCTION("""COMPUTED_VALUE"""),"LAHONTOHE, KEC. TONGKUBO")</f>
        <v>LAHONTOHE, KEC. TONGKUBO</v>
      </c>
      <c r="L1030" s="36"/>
      <c r="M1030" s="36"/>
      <c r="N1030" s="36"/>
      <c r="O1030" s="36"/>
      <c r="P1030" s="36"/>
      <c r="Q1030" s="36"/>
      <c r="R1030" s="36" t="str">
        <f>IFERROR(__xludf.DUMMYFUNCTION("""COMPUTED_VALUE"""),"K")</f>
        <v>K</v>
      </c>
      <c r="S1030" s="39"/>
    </row>
    <row r="1031">
      <c r="B1031" s="36" t="str">
        <f>IFERROR(__xludf.DUMMYFUNCTION("""COMPUTED_VALUE"""),"Merias Wajah")</f>
        <v>Merias Wajah</v>
      </c>
      <c r="C1031" s="36" t="str">
        <f>IFERROR(__xludf.DUMMYFUNCTION("""COMPUTED_VALUE"""),"BPVP Kendari")</f>
        <v>BPVP Kendari</v>
      </c>
      <c r="D1031" s="36"/>
      <c r="E1031" s="36"/>
      <c r="F1031" s="36" t="str">
        <f>IFERROR(__xludf.DUMMYFUNCTION("""COMPUTED_VALUE"""),"ST FARAH MADINAH")</f>
        <v>ST FARAH MADINAH</v>
      </c>
      <c r="G1031" s="36" t="str">
        <f>IFERROR(__xludf.DUMMYFUNCTION("""COMPUTED_VALUE"""),"7471046812050004")</f>
        <v>7471046812050004</v>
      </c>
      <c r="H1031" s="36"/>
      <c r="I1031" s="36"/>
      <c r="J1031" s="36" t="str">
        <f>IFERROR(__xludf.DUMMYFUNCTION("""COMPUTED_VALUE"""),"PEREMPUAN")</f>
        <v>PEREMPUAN</v>
      </c>
      <c r="K1031" s="36" t="str">
        <f>IFERROR(__xludf.DUMMYFUNCTION("""COMPUTED_VALUE"""),"BTN MULTI GRAHA BLOK G/2")</f>
        <v>BTN MULTI GRAHA BLOK G/2</v>
      </c>
      <c r="L1031" s="36"/>
      <c r="M1031" s="36"/>
      <c r="N1031" s="36"/>
      <c r="O1031" s="36"/>
      <c r="P1031" s="36"/>
      <c r="Q1031" s="36"/>
      <c r="R1031" s="36" t="str">
        <f>IFERROR(__xludf.DUMMYFUNCTION("""COMPUTED_VALUE"""),"K")</f>
        <v>K</v>
      </c>
      <c r="S1031" s="39"/>
    </row>
    <row r="1032">
      <c r="B1032" s="36" t="str">
        <f>IFERROR(__xludf.DUMMYFUNCTION("""COMPUTED_VALUE"""),"Merias Wajah")</f>
        <v>Merias Wajah</v>
      </c>
      <c r="C1032" s="36" t="str">
        <f>IFERROR(__xludf.DUMMYFUNCTION("""COMPUTED_VALUE"""),"BPVP Kendari")</f>
        <v>BPVP Kendari</v>
      </c>
      <c r="D1032" s="36"/>
      <c r="E1032" s="36"/>
      <c r="F1032" s="36" t="str">
        <f>IFERROR(__xludf.DUMMYFUNCTION("""COMPUTED_VALUE"""),"AYU MEYLIANA")</f>
        <v>AYU MEYLIANA</v>
      </c>
      <c r="G1032" s="36" t="str">
        <f>IFERROR(__xludf.DUMMYFUNCTION("""COMPUTED_VALUE"""),"7471066205980001")</f>
        <v>7471066205980001</v>
      </c>
      <c r="H1032" s="36"/>
      <c r="I1032" s="36"/>
      <c r="J1032" s="36" t="str">
        <f>IFERROR(__xludf.DUMMYFUNCTION("""COMPUTED_VALUE"""),"PEREMPUAN")</f>
        <v>PEREMPUAN</v>
      </c>
      <c r="K1032" s="36" t="str">
        <f>IFERROR(__xludf.DUMMYFUNCTION("""COMPUTED_VALUE"""),"JL DEWI SARTIKA ANGGOEYA POASIA")</f>
        <v>JL DEWI SARTIKA ANGGOEYA POASIA</v>
      </c>
      <c r="L1032" s="36"/>
      <c r="M1032" s="36"/>
      <c r="N1032" s="36"/>
      <c r="O1032" s="36"/>
      <c r="P1032" s="36"/>
      <c r="Q1032" s="36"/>
      <c r="R1032" s="36" t="str">
        <f>IFERROR(__xludf.DUMMYFUNCTION("""COMPUTED_VALUE"""),"K")</f>
        <v>K</v>
      </c>
      <c r="S1032" s="39"/>
    </row>
    <row r="1033">
      <c r="B1033" s="36" t="str">
        <f>IFERROR(__xludf.DUMMYFUNCTION("""COMPUTED_VALUE"""),"Merias Wajah")</f>
        <v>Merias Wajah</v>
      </c>
      <c r="C1033" s="36" t="str">
        <f>IFERROR(__xludf.DUMMYFUNCTION("""COMPUTED_VALUE"""),"BPVP Kendari")</f>
        <v>BPVP Kendari</v>
      </c>
      <c r="D1033" s="36"/>
      <c r="E1033" s="36"/>
      <c r="F1033" s="36" t="str">
        <f>IFERROR(__xludf.DUMMYFUNCTION("""COMPUTED_VALUE"""),"WULANDARI")</f>
        <v>WULANDARI</v>
      </c>
      <c r="G1033" s="36" t="str">
        <f>IFERROR(__xludf.DUMMYFUNCTION("""COMPUTED_VALUE"""),"7406185304080001")</f>
        <v>7406185304080001</v>
      </c>
      <c r="H1033" s="36"/>
      <c r="I1033" s="36"/>
      <c r="J1033" s="36" t="str">
        <f>IFERROR(__xludf.DUMMYFUNCTION("""COMPUTED_VALUE"""),"PEREMPUAN")</f>
        <v>PEREMPUAN</v>
      </c>
      <c r="K1033" s="36" t="str">
        <f>IFERROR(__xludf.DUMMYFUNCTION("""COMPUTED_VALUE"""),"JL. RUSA")</f>
        <v>JL. RUSA</v>
      </c>
      <c r="L1033" s="36"/>
      <c r="M1033" s="36"/>
      <c r="N1033" s="36"/>
      <c r="O1033" s="36"/>
      <c r="P1033" s="36"/>
      <c r="Q1033" s="36"/>
      <c r="R1033" s="36" t="str">
        <f>IFERROR(__xludf.DUMMYFUNCTION("""COMPUTED_VALUE"""),"K")</f>
        <v>K</v>
      </c>
      <c r="S1033" s="39"/>
    </row>
    <row r="1034">
      <c r="B1034" s="36" t="str">
        <f>IFERROR(__xludf.DUMMYFUNCTION("""COMPUTED_VALUE"""),"Merias Wajah")</f>
        <v>Merias Wajah</v>
      </c>
      <c r="C1034" s="36" t="str">
        <f>IFERROR(__xludf.DUMMYFUNCTION("""COMPUTED_VALUE"""),"BPVP Kendari")</f>
        <v>BPVP Kendari</v>
      </c>
      <c r="D1034" s="36"/>
      <c r="E1034" s="36"/>
      <c r="F1034" s="36" t="str">
        <f>IFERROR(__xludf.DUMMYFUNCTION("""COMPUTED_VALUE"""),"AMELIA CAHYANI")</f>
        <v>AMELIA CAHYANI</v>
      </c>
      <c r="G1034" s="36" t="str">
        <f>IFERROR(__xludf.DUMMYFUNCTION("""COMPUTED_VALUE"""),"7405076408080003")</f>
        <v>7405076408080003</v>
      </c>
      <c r="H1034" s="36"/>
      <c r="I1034" s="36"/>
      <c r="J1034" s="36" t="str">
        <f>IFERROR(__xludf.DUMMYFUNCTION("""COMPUTED_VALUE"""),"PEREMPUAN")</f>
        <v>PEREMPUAN</v>
      </c>
      <c r="K1034" s="36" t="str">
        <f>IFERROR(__xludf.DUMMYFUNCTION("""COMPUTED_VALUE"""),"DESA: ALEBO
RT/RW: 003/002
KECAMATAN: KONDA
")</f>
        <v>DESA: ALEBO
RT/RW: 003/002
KECAMATAN: KONDA
</v>
      </c>
      <c r="L1034" s="36"/>
      <c r="M1034" s="36"/>
      <c r="N1034" s="36"/>
      <c r="O1034" s="36"/>
      <c r="P1034" s="36"/>
      <c r="Q1034" s="36"/>
      <c r="R1034" s="36" t="str">
        <f>IFERROR(__xludf.DUMMYFUNCTION("""COMPUTED_VALUE"""),"K")</f>
        <v>K</v>
      </c>
      <c r="S1034" s="39"/>
    </row>
    <row r="1035">
      <c r="B1035" s="36" t="str">
        <f>IFERROR(__xludf.DUMMYFUNCTION("""COMPUTED_VALUE"""),"Merias Wajah")</f>
        <v>Merias Wajah</v>
      </c>
      <c r="C1035" s="36" t="str">
        <f>IFERROR(__xludf.DUMMYFUNCTION("""COMPUTED_VALUE"""),"BPVP Kendari")</f>
        <v>BPVP Kendari</v>
      </c>
      <c r="D1035" s="36"/>
      <c r="E1035" s="36"/>
      <c r="F1035" s="36" t="str">
        <f>IFERROR(__xludf.DUMMYFUNCTION("""COMPUTED_VALUE"""),"INDO RAPPE")</f>
        <v>INDO RAPPE</v>
      </c>
      <c r="G1035" s="36" t="str">
        <f>IFERROR(__xludf.DUMMYFUNCTION("""COMPUTED_VALUE"""),"7401224909920001")</f>
        <v>7401224909920001</v>
      </c>
      <c r="H1035" s="36"/>
      <c r="I1035" s="36"/>
      <c r="J1035" s="36" t="str">
        <f>IFERROR(__xludf.DUMMYFUNCTION("""COMPUTED_VALUE"""),"PEREMPUAN")</f>
        <v>PEREMPUAN</v>
      </c>
      <c r="K1035" s="36" t="str">
        <f>IFERROR(__xludf.DUMMYFUNCTION("""COMPUTED_VALUE"""),"JLN DR SUTOMO, RT 002 RW 001 KEL. LALODATI KEC. PUUWATU KOTA KENDARI")</f>
        <v>JLN DR SUTOMO, RT 002 RW 001 KEL. LALODATI KEC. PUUWATU KOTA KENDARI</v>
      </c>
      <c r="L1035" s="36"/>
      <c r="M1035" s="36"/>
      <c r="N1035" s="36"/>
      <c r="O1035" s="36"/>
      <c r="P1035" s="36"/>
      <c r="Q1035" s="36"/>
      <c r="R1035" s="36" t="str">
        <f>IFERROR(__xludf.DUMMYFUNCTION("""COMPUTED_VALUE"""),"K")</f>
        <v>K</v>
      </c>
      <c r="S1035" s="39"/>
    </row>
    <row r="1036">
      <c r="B1036" s="36" t="str">
        <f>IFERROR(__xludf.DUMMYFUNCTION("""COMPUTED_VALUE"""),"Merias Wajah")</f>
        <v>Merias Wajah</v>
      </c>
      <c r="C1036" s="36" t="str">
        <f>IFERROR(__xludf.DUMMYFUNCTION("""COMPUTED_VALUE"""),"BPVP Kendari")</f>
        <v>BPVP Kendari</v>
      </c>
      <c r="D1036" s="36"/>
      <c r="E1036" s="36"/>
      <c r="F1036" s="36" t="str">
        <f>IFERROR(__xludf.DUMMYFUNCTION("""COMPUTED_VALUE"""),"MAFA SHOLEHA MELISA")</f>
        <v>MAFA SHOLEHA MELISA</v>
      </c>
      <c r="G1036" s="36" t="str">
        <f>IFERROR(__xludf.DUMMYFUNCTION("""COMPUTED_VALUE"""),"7471064306080002")</f>
        <v>7471064306080002</v>
      </c>
      <c r="H1036" s="36"/>
      <c r="I1036" s="36"/>
      <c r="J1036" s="36" t="str">
        <f>IFERROR(__xludf.DUMMYFUNCTION("""COMPUTED_VALUE"""),"PEREMPUAN")</f>
        <v>PEREMPUAN</v>
      </c>
      <c r="K1036" s="36" t="str">
        <f>IFERROR(__xludf.DUMMYFUNCTION("""COMPUTED_VALUE"""),"JL BAYANGKARA BAHARI")</f>
        <v>JL BAYANGKARA BAHARI</v>
      </c>
      <c r="L1036" s="36"/>
      <c r="M1036" s="36"/>
      <c r="N1036" s="36"/>
      <c r="O1036" s="36"/>
      <c r="P1036" s="36"/>
      <c r="Q1036" s="36"/>
      <c r="R1036" s="36" t="str">
        <f>IFERROR(__xludf.DUMMYFUNCTION("""COMPUTED_VALUE"""),"K")</f>
        <v>K</v>
      </c>
      <c r="S1036" s="39"/>
    </row>
    <row r="1037">
      <c r="B1037" s="36" t="str">
        <f>IFERROR(__xludf.DUMMYFUNCTION("""COMPUTED_VALUE"""),"Merias Wajah")</f>
        <v>Merias Wajah</v>
      </c>
      <c r="C1037" s="36" t="str">
        <f>IFERROR(__xludf.DUMMYFUNCTION("""COMPUTED_VALUE"""),"BPVP Kendari")</f>
        <v>BPVP Kendari</v>
      </c>
      <c r="D1037" s="36"/>
      <c r="E1037" s="36"/>
      <c r="F1037" s="36" t="str">
        <f>IFERROR(__xludf.DUMMYFUNCTION("""COMPUTED_VALUE"""),"MIRA ANDRIANI")</f>
        <v>MIRA ANDRIANI</v>
      </c>
      <c r="G1037" s="36" t="str">
        <f>IFERROR(__xludf.DUMMYFUNCTION("""COMPUTED_VALUE"""),"7405085605990001")</f>
        <v>7405085605990001</v>
      </c>
      <c r="H1037" s="36"/>
      <c r="I1037" s="36"/>
      <c r="J1037" s="36" t="str">
        <f>IFERROR(__xludf.DUMMYFUNCTION("""COMPUTED_VALUE"""),"PEREMPUAN")</f>
        <v>PEREMPUAN</v>
      </c>
      <c r="K1037" s="36" t="str">
        <f>IFERROR(__xludf.DUMMYFUNCTION("""COMPUTED_VALUE"""),"LRG. KAMBOJA, DESA LANGGEA, KEC. RANOMEETO")</f>
        <v>LRG. KAMBOJA, DESA LANGGEA, KEC. RANOMEETO</v>
      </c>
      <c r="L1037" s="36"/>
      <c r="M1037" s="36"/>
      <c r="N1037" s="36"/>
      <c r="O1037" s="36"/>
      <c r="P1037" s="36"/>
      <c r="Q1037" s="36"/>
      <c r="R1037" s="36" t="str">
        <f>IFERROR(__xludf.DUMMYFUNCTION("""COMPUTED_VALUE"""),"K")</f>
        <v>K</v>
      </c>
      <c r="S1037" s="39"/>
    </row>
    <row r="1038">
      <c r="B1038" s="36" t="str">
        <f>IFERROR(__xludf.DUMMYFUNCTION("""COMPUTED_VALUE"""),"Merias Wajah")</f>
        <v>Merias Wajah</v>
      </c>
      <c r="C1038" s="36" t="str">
        <f>IFERROR(__xludf.DUMMYFUNCTION("""COMPUTED_VALUE"""),"BPVP Kendari")</f>
        <v>BPVP Kendari</v>
      </c>
      <c r="D1038" s="36"/>
      <c r="E1038" s="36"/>
      <c r="F1038" s="36" t="str">
        <f>IFERROR(__xludf.DUMMYFUNCTION("""COMPUTED_VALUE"""),"UMIYANTI")</f>
        <v>UMIYANTI</v>
      </c>
      <c r="G1038" s="36" t="str">
        <f>IFERROR(__xludf.DUMMYFUNCTION("""COMPUTED_VALUE"""),"7405015603000001")</f>
        <v>7405015603000001</v>
      </c>
      <c r="H1038" s="36"/>
      <c r="I1038" s="36"/>
      <c r="J1038" s="36" t="str">
        <f>IFERROR(__xludf.DUMMYFUNCTION("""COMPUTED_VALUE"""),"PEREMPUAN")</f>
        <v>PEREMPUAN</v>
      </c>
      <c r="K1038" s="36" t="str">
        <f>IFERROR(__xludf.DUMMYFUNCTION("""COMPUTED_VALUE"""),"MATAMBAWI")</f>
        <v>MATAMBAWI</v>
      </c>
      <c r="L1038" s="36"/>
      <c r="M1038" s="36"/>
      <c r="N1038" s="36"/>
      <c r="O1038" s="36"/>
      <c r="P1038" s="36"/>
      <c r="Q1038" s="36"/>
      <c r="R1038" s="36" t="str">
        <f>IFERROR(__xludf.DUMMYFUNCTION("""COMPUTED_VALUE"""),"K")</f>
        <v>K</v>
      </c>
      <c r="S1038" s="39"/>
    </row>
    <row r="1039">
      <c r="B1039" s="36" t="str">
        <f>IFERROR(__xludf.DUMMYFUNCTION("""COMPUTED_VALUE"""),"Merias Wajah")</f>
        <v>Merias Wajah</v>
      </c>
      <c r="C1039" s="36" t="str">
        <f>IFERROR(__xludf.DUMMYFUNCTION("""COMPUTED_VALUE"""),"BPVP Kendari")</f>
        <v>BPVP Kendari</v>
      </c>
      <c r="D1039" s="36"/>
      <c r="E1039" s="36"/>
      <c r="F1039" s="36" t="str">
        <f>IFERROR(__xludf.DUMMYFUNCTION("""COMPUTED_VALUE"""),"RABIATUL DAWYAH")</f>
        <v>RABIATUL DAWYAH</v>
      </c>
      <c r="G1039" s="36" t="str">
        <f>IFERROR(__xludf.DUMMYFUNCTION("""COMPUTED_VALUE"""),"7403195711070001")</f>
        <v>7403195711070001</v>
      </c>
      <c r="H1039" s="36"/>
      <c r="I1039" s="36"/>
      <c r="J1039" s="36" t="str">
        <f>IFERROR(__xludf.DUMMYFUNCTION("""COMPUTED_VALUE"""),"PEREMPUAN")</f>
        <v>PEREMPUAN</v>
      </c>
      <c r="K1039" s="36" t="str">
        <f>IFERROR(__xludf.DUMMYFUNCTION("""COMPUTED_VALUE"""),"Btn griya asri,lepo lepo indah")</f>
        <v>Btn griya asri,lepo lepo indah</v>
      </c>
      <c r="L1039" s="36"/>
      <c r="M1039" s="36"/>
      <c r="N1039" s="36"/>
      <c r="O1039" s="36"/>
      <c r="P1039" s="36"/>
      <c r="Q1039" s="36"/>
      <c r="R1039" s="36" t="str">
        <f>IFERROR(__xludf.DUMMYFUNCTION("""COMPUTED_VALUE"""),"K")</f>
        <v>K</v>
      </c>
      <c r="S1039" s="39"/>
    </row>
    <row r="1040">
      <c r="B1040" s="36" t="str">
        <f>IFERROR(__xludf.DUMMYFUNCTION("""COMPUTED_VALUE"""),"Merias Wajah")</f>
        <v>Merias Wajah</v>
      </c>
      <c r="C1040" s="36" t="str">
        <f>IFERROR(__xludf.DUMMYFUNCTION("""COMPUTED_VALUE"""),"BPVP Kendari")</f>
        <v>BPVP Kendari</v>
      </c>
      <c r="D1040" s="36"/>
      <c r="E1040" s="36"/>
      <c r="F1040" s="36" t="str">
        <f>IFERROR(__xludf.DUMMYFUNCTION("""COMPUTED_VALUE"""),"INES AURELIA AFRIANTI ")</f>
        <v>INES AURELIA AFRIANTI </v>
      </c>
      <c r="G1040" s="36" t="str">
        <f>IFERROR(__xludf.DUMMYFUNCTION("""COMPUTED_VALUE"""),"7405185309010002")</f>
        <v>7405185309010002</v>
      </c>
      <c r="H1040" s="36"/>
      <c r="I1040" s="36"/>
      <c r="J1040" s="36" t="str">
        <f>IFERROR(__xludf.DUMMYFUNCTION("""COMPUTED_VALUE"""),"PEREMPUAN")</f>
        <v>PEREMPUAN</v>
      </c>
      <c r="K1040" s="36" t="str">
        <f>IFERROR(__xludf.DUMMYFUNCTION("""COMPUTED_VALUE"""),"DESA MATA WOLASI, KEC. WOLASI, KAB. KONAWE SELATAN ")</f>
        <v>DESA MATA WOLASI, KEC. WOLASI, KAB. KONAWE SELATAN </v>
      </c>
      <c r="L1040" s="36"/>
      <c r="M1040" s="36"/>
      <c r="N1040" s="36"/>
      <c r="O1040" s="36"/>
      <c r="P1040" s="36"/>
      <c r="Q1040" s="36"/>
      <c r="R1040" s="36" t="str">
        <f>IFERROR(__xludf.DUMMYFUNCTION("""COMPUTED_VALUE"""),"K")</f>
        <v>K</v>
      </c>
      <c r="S1040" s="39"/>
    </row>
    <row r="1041">
      <c r="B1041" s="36" t="str">
        <f>IFERROR(__xludf.DUMMYFUNCTION("""COMPUTED_VALUE"""),"Merias Wajah")</f>
        <v>Merias Wajah</v>
      </c>
      <c r="C1041" s="36" t="str">
        <f>IFERROR(__xludf.DUMMYFUNCTION("""COMPUTED_VALUE"""),"BPVP Kendari")</f>
        <v>BPVP Kendari</v>
      </c>
      <c r="D1041" s="36"/>
      <c r="E1041" s="36"/>
      <c r="F1041" s="36" t="str">
        <f>IFERROR(__xludf.DUMMYFUNCTION("""COMPUTED_VALUE"""),"NELSY PAMARU' ")</f>
        <v>NELSY PAMARU' </v>
      </c>
      <c r="G1041" s="36" t="str">
        <f>IFERROR(__xludf.DUMMYFUNCTION("""COMPUTED_VALUE"""),"7318125305080003")</f>
        <v>7318125305080003</v>
      </c>
      <c r="H1041" s="36"/>
      <c r="I1041" s="36"/>
      <c r="J1041" s="36" t="str">
        <f>IFERROR(__xludf.DUMMYFUNCTION("""COMPUTED_VALUE"""),"PEREMPUAN")</f>
        <v>PEREMPUAN</v>
      </c>
      <c r="K1041" s="36" t="str">
        <f>IFERROR(__xludf.DUMMYFUNCTION("""COMPUTED_VALUE"""),"JLN. BANDA ")</f>
        <v>JLN. BANDA </v>
      </c>
      <c r="L1041" s="36"/>
      <c r="M1041" s="36"/>
      <c r="N1041" s="36"/>
      <c r="O1041" s="36"/>
      <c r="P1041" s="36"/>
      <c r="Q1041" s="36"/>
      <c r="R1041" s="36" t="str">
        <f>IFERROR(__xludf.DUMMYFUNCTION("""COMPUTED_VALUE"""),"K")</f>
        <v>K</v>
      </c>
      <c r="S1041" s="39"/>
    </row>
    <row r="1042">
      <c r="B1042" s="36" t="str">
        <f>IFERROR(__xludf.DUMMYFUNCTION("""COMPUTED_VALUE"""),"Merias Wajah")</f>
        <v>Merias Wajah</v>
      </c>
      <c r="C1042" s="36" t="str">
        <f>IFERROR(__xludf.DUMMYFUNCTION("""COMPUTED_VALUE"""),"BPVP Kendari")</f>
        <v>BPVP Kendari</v>
      </c>
      <c r="D1042" s="36"/>
      <c r="E1042" s="36"/>
      <c r="F1042" s="36" t="str">
        <f>IFERROR(__xludf.DUMMYFUNCTION("""COMPUTED_VALUE"""),"SITI NUR ASIRA")</f>
        <v>SITI NUR ASIRA</v>
      </c>
      <c r="G1042" s="36" t="str">
        <f>IFERROR(__xludf.DUMMYFUNCTION("""COMPUTED_VALUE"""),"7413085611070001")</f>
        <v>7413085611070001</v>
      </c>
      <c r="H1042" s="36"/>
      <c r="I1042" s="36"/>
      <c r="J1042" s="36" t="str">
        <f>IFERROR(__xludf.DUMMYFUNCTION("""COMPUTED_VALUE"""),"PEREMPUAN")</f>
        <v>PEREMPUAN</v>
      </c>
      <c r="K1042" s="36" t="str">
        <f>IFERROR(__xludf.DUMMYFUNCTION("""COMPUTED_VALUE"""),"ZELIKA  RESIDENCE")</f>
        <v>ZELIKA  RESIDENCE</v>
      </c>
      <c r="L1042" s="36"/>
      <c r="M1042" s="36"/>
      <c r="N1042" s="36"/>
      <c r="O1042" s="36"/>
      <c r="P1042" s="36"/>
      <c r="Q1042" s="36"/>
      <c r="R1042" s="36" t="str">
        <f>IFERROR(__xludf.DUMMYFUNCTION("""COMPUTED_VALUE"""),"K")</f>
        <v>K</v>
      </c>
      <c r="S1042" s="39"/>
    </row>
    <row r="1043">
      <c r="B1043" s="36" t="str">
        <f>IFERROR(__xludf.DUMMYFUNCTION("""COMPUTED_VALUE"""),"Merias Wajah")</f>
        <v>Merias Wajah</v>
      </c>
      <c r="C1043" s="36" t="str">
        <f>IFERROR(__xludf.DUMMYFUNCTION("""COMPUTED_VALUE"""),"BPVP Kendari")</f>
        <v>BPVP Kendari</v>
      </c>
      <c r="D1043" s="36"/>
      <c r="E1043" s="36"/>
      <c r="F1043" s="36" t="str">
        <f>IFERROR(__xludf.DUMMYFUNCTION("""COMPUTED_VALUE"""),"DESTA AYU PRATIWI ")</f>
        <v>DESTA AYU PRATIWI </v>
      </c>
      <c r="G1043" s="36">
        <f>IFERROR(__xludf.DUMMYFUNCTION("""COMPUTED_VALUE"""),7.40507512070002E14)</f>
        <v>740507512070002</v>
      </c>
      <c r="H1043" s="36"/>
      <c r="I1043" s="36"/>
      <c r="J1043" s="36" t="str">
        <f>IFERROR(__xludf.DUMMYFUNCTION("""COMPUTED_VALUE"""),"PEREMPUAN")</f>
        <v>PEREMPUAN</v>
      </c>
      <c r="K1043" s="36" t="str">
        <f>IFERROR(__xludf.DUMMYFUNCTION("""COMPUTED_VALUE"""),"DESA LAWOILA KECAMATAN KONDA KAB. KONAWE SELATAN ")</f>
        <v>DESA LAWOILA KECAMATAN KONDA KAB. KONAWE SELATAN </v>
      </c>
      <c r="L1043" s="36"/>
      <c r="M1043" s="36"/>
      <c r="N1043" s="36"/>
      <c r="O1043" s="36"/>
      <c r="P1043" s="36"/>
      <c r="Q1043" s="36"/>
      <c r="R1043" s="36" t="str">
        <f>IFERROR(__xludf.DUMMYFUNCTION("""COMPUTED_VALUE"""),"K")</f>
        <v>K</v>
      </c>
      <c r="S1043" s="39"/>
    </row>
    <row r="1044">
      <c r="B1044" s="36" t="str">
        <f>IFERROR(__xludf.DUMMYFUNCTION("""COMPUTED_VALUE"""),"Merias Wajah")</f>
        <v>Merias Wajah</v>
      </c>
      <c r="C1044" s="36" t="str">
        <f>IFERROR(__xludf.DUMMYFUNCTION("""COMPUTED_VALUE"""),"BPVP Kendari")</f>
        <v>BPVP Kendari</v>
      </c>
      <c r="D1044" s="36"/>
      <c r="E1044" s="36"/>
      <c r="F1044" s="36" t="str">
        <f>IFERROR(__xludf.DUMMYFUNCTION("""COMPUTED_VALUE"""),"SEPTYA RAHMADANI")</f>
        <v>SEPTYA RAHMADANI</v>
      </c>
      <c r="G1044" s="36" t="str">
        <f>IFERROR(__xludf.DUMMYFUNCTION("""COMPUTED_VALUE"""),"7405176209080001")</f>
        <v>7405176209080001</v>
      </c>
      <c r="H1044" s="36"/>
      <c r="I1044" s="36"/>
      <c r="J1044" s="36" t="str">
        <f>IFERROR(__xludf.DUMMYFUNCTION("""COMPUTED_VALUE"""),"PEREMPUAN")</f>
        <v>PEREMPUAN</v>
      </c>
      <c r="K1044" s="36" t="str">
        <f>IFERROR(__xludf.DUMMYFUNCTION("""COMPUTED_VALUE"""),"DESA RANOOHA LESTARI")</f>
        <v>DESA RANOOHA LESTARI</v>
      </c>
      <c r="L1044" s="36"/>
      <c r="M1044" s="36"/>
      <c r="N1044" s="36"/>
      <c r="O1044" s="36"/>
      <c r="P1044" s="36"/>
      <c r="Q1044" s="36"/>
      <c r="R1044" s="36" t="str">
        <f>IFERROR(__xludf.DUMMYFUNCTION("""COMPUTED_VALUE"""),"K")</f>
        <v>K</v>
      </c>
      <c r="S1044" s="39"/>
    </row>
    <row r="1045">
      <c r="B1045" s="36" t="str">
        <f>IFERROR(__xludf.DUMMYFUNCTION("""COMPUTED_VALUE"""),"Merias Wajah")</f>
        <v>Merias Wajah</v>
      </c>
      <c r="C1045" s="36" t="str">
        <f>IFERROR(__xludf.DUMMYFUNCTION("""COMPUTED_VALUE"""),"BPVP Kendari")</f>
        <v>BPVP Kendari</v>
      </c>
      <c r="D1045" s="36"/>
      <c r="E1045" s="36"/>
      <c r="F1045" s="36" t="str">
        <f>IFERROR(__xludf.DUMMYFUNCTION("""COMPUTED_VALUE"""),"NAYLA ANABELLA PUTRI ")</f>
        <v>NAYLA ANABELLA PUTRI </v>
      </c>
      <c r="G1045" s="36" t="str">
        <f>IFERROR(__xludf.DUMMYFUNCTION("""COMPUTED_VALUE"""),"7405176506080001")</f>
        <v>7405176506080001</v>
      </c>
      <c r="H1045" s="36"/>
      <c r="I1045" s="36"/>
      <c r="J1045" s="36" t="str">
        <f>IFERROR(__xludf.DUMMYFUNCTION("""COMPUTED_VALUE"""),"PEREMPUAN")</f>
        <v>PEREMPUAN</v>
      </c>
      <c r="K1045" s="36" t="str">
        <f>IFERROR(__xludf.DUMMYFUNCTION("""COMPUTED_VALUE"""),"ANDOOLO UTAMA ")</f>
        <v>ANDOOLO UTAMA </v>
      </c>
      <c r="L1045" s="36"/>
      <c r="M1045" s="36"/>
      <c r="N1045" s="36"/>
      <c r="O1045" s="36"/>
      <c r="P1045" s="36"/>
      <c r="Q1045" s="36"/>
      <c r="R1045" s="36" t="str">
        <f>IFERROR(__xludf.DUMMYFUNCTION("""COMPUTED_VALUE"""),"K")</f>
        <v>K</v>
      </c>
      <c r="S1045" s="39"/>
    </row>
    <row r="1046">
      <c r="B1046" s="36" t="str">
        <f>IFERROR(__xludf.DUMMYFUNCTION("""COMPUTED_VALUE"""),"Penyusunan Laporan Keuangan Untuk Pemula")</f>
        <v>Penyusunan Laporan Keuangan Untuk Pemula</v>
      </c>
      <c r="C1046" s="36"/>
      <c r="D1046" s="36"/>
      <c r="E1046" s="36"/>
      <c r="F1046" s="36" t="str">
        <f>IFERROR(__xludf.DUMMYFUNCTION("""COMPUTED_VALUE"""),"Husniatin")</f>
        <v>Husniatin</v>
      </c>
      <c r="G1046" s="36" t="str">
        <f>IFERROR(__xludf.DUMMYFUNCTION("""COMPUTED_VALUE"""),"7402326411020001")</f>
        <v>7402326411020001</v>
      </c>
      <c r="H1046" s="36"/>
      <c r="I1046" s="36"/>
      <c r="J1046" s="36" t="str">
        <f>IFERROR(__xludf.DUMMYFUNCTION("""COMPUTED_VALUE"""),"PEREMPUAN")</f>
        <v>PEREMPUAN</v>
      </c>
      <c r="K1046" s="36" t="str">
        <f>IFERROR(__xludf.DUMMYFUNCTION("""COMPUTED_VALUE"""),"Baruga, Kota Kendari")</f>
        <v>Baruga, Kota Kendari</v>
      </c>
      <c r="L1046" s="36"/>
      <c r="M1046" s="36"/>
      <c r="N1046" s="36"/>
      <c r="O1046" s="36"/>
      <c r="P1046" s="36"/>
      <c r="Q1046" s="36"/>
      <c r="R1046" s="36" t="str">
        <f>IFERROR(__xludf.DUMMYFUNCTION("""COMPUTED_VALUE"""),"K")</f>
        <v>K</v>
      </c>
      <c r="S1046" s="39"/>
    </row>
    <row r="1047">
      <c r="B1047" s="36" t="str">
        <f>IFERROR(__xludf.DUMMYFUNCTION("""COMPUTED_VALUE"""),"Pengelolaan Administrasi Perkantoraan")</f>
        <v>Pengelolaan Administrasi Perkantoraan</v>
      </c>
      <c r="C1047" s="36"/>
      <c r="D1047" s="36"/>
      <c r="E1047" s="36"/>
      <c r="F1047" s="36" t="str">
        <f>IFERROR(__xludf.DUMMYFUNCTION("""COMPUTED_VALUE"""),"Syarif Hidayatullah ")</f>
        <v>Syarif Hidayatullah </v>
      </c>
      <c r="G1047" s="36" t="str">
        <f>IFERROR(__xludf.DUMMYFUNCTION("""COMPUTED_VALUE"""),"7410010109030001")</f>
        <v>7410010109030001</v>
      </c>
      <c r="H1047" s="36"/>
      <c r="I1047" s="36"/>
      <c r="J1047" s="36" t="str">
        <f>IFERROR(__xludf.DUMMYFUNCTION("""COMPUTED_VALUE"""),"LAKI-LAKI")</f>
        <v>LAKI-LAKI</v>
      </c>
      <c r="K1047" s="36" t="str">
        <f>IFERROR(__xludf.DUMMYFUNCTION("""COMPUTED_VALUE"""),"BTN boulevard regency ")</f>
        <v>BTN boulevard regency </v>
      </c>
      <c r="L1047" s="36"/>
      <c r="M1047" s="36"/>
      <c r="N1047" s="36"/>
      <c r="O1047" s="36"/>
      <c r="P1047" s="36"/>
      <c r="Q1047" s="36"/>
      <c r="R1047" s="36" t="str">
        <f>IFERROR(__xludf.DUMMYFUNCTION("""COMPUTED_VALUE"""),"BK")</f>
        <v>BK</v>
      </c>
      <c r="S1047" s="39"/>
    </row>
    <row r="1048">
      <c r="B1048" s="36" t="str">
        <f>IFERROR(__xludf.DUMMYFUNCTION("""COMPUTED_VALUE"""),"Pengelolaan Administrasi Perkantoraan")</f>
        <v>Pengelolaan Administrasi Perkantoraan</v>
      </c>
      <c r="C1048" s="36"/>
      <c r="D1048" s="36"/>
      <c r="E1048" s="36"/>
      <c r="F1048" s="36" t="str">
        <f>IFERROR(__xludf.DUMMYFUNCTION("""COMPUTED_VALUE"""),"Muchlis Yafandi")</f>
        <v>Muchlis Yafandi</v>
      </c>
      <c r="G1048" s="36" t="str">
        <f>IFERROR(__xludf.DUMMYFUNCTION("""COMPUTED_VALUE"""),"7403171004040203")</f>
        <v>7403171004040203</v>
      </c>
      <c r="H1048" s="36"/>
      <c r="I1048" s="36"/>
      <c r="J1048" s="36" t="str">
        <f>IFERROR(__xludf.DUMMYFUNCTION("""COMPUTED_VALUE"""),"LAKI-LAKI")</f>
        <v>LAKI-LAKI</v>
      </c>
      <c r="K1048" s="36" t="str">
        <f>IFERROR(__xludf.DUMMYFUNCTION("""COMPUTED_VALUE"""),"Desa Banggai, Kecamatan Duruka")</f>
        <v>Desa Banggai, Kecamatan Duruka</v>
      </c>
      <c r="L1048" s="36"/>
      <c r="M1048" s="36"/>
      <c r="N1048" s="36"/>
      <c r="O1048" s="36"/>
      <c r="P1048" s="36"/>
      <c r="Q1048" s="36"/>
      <c r="R1048" s="36" t="str">
        <f>IFERROR(__xludf.DUMMYFUNCTION("""COMPUTED_VALUE"""),"K")</f>
        <v>K</v>
      </c>
      <c r="S1048" s="39"/>
    </row>
    <row r="1049">
      <c r="B1049" s="36" t="str">
        <f>IFERROR(__xludf.DUMMYFUNCTION("""COMPUTED_VALUE"""),"Pengelolaan Administrasi Perkantoraan")</f>
        <v>Pengelolaan Administrasi Perkantoraan</v>
      </c>
      <c r="C1049" s="36"/>
      <c r="D1049" s="36"/>
      <c r="E1049" s="36"/>
      <c r="F1049" s="36" t="str">
        <f>IFERROR(__xludf.DUMMYFUNCTION("""COMPUTED_VALUE"""),"HAIKAL GILANG SAMUDRA")</f>
        <v>HAIKAL GILANG SAMUDRA</v>
      </c>
      <c r="G1049" s="36" t="str">
        <f>IFERROR(__xludf.DUMMYFUNCTION("""COMPUTED_VALUE"""),"7472060608030001")</f>
        <v>7472060608030001</v>
      </c>
      <c r="H1049" s="36"/>
      <c r="I1049" s="36"/>
      <c r="J1049" s="36" t="str">
        <f>IFERROR(__xludf.DUMMYFUNCTION("""COMPUTED_VALUE"""),"LAKI-LAKI")</f>
        <v>LAKI-LAKI</v>
      </c>
      <c r="K1049" s="36" t="str">
        <f>IFERROR(__xludf.DUMMYFUNCTION("""COMPUTED_VALUE"""),"Jl. Terong, Mokoau, Kec. Kambu, Kota Kendari, Sulawesi Tenggara")</f>
        <v>Jl. Terong, Mokoau, Kec. Kambu, Kota Kendari, Sulawesi Tenggara</v>
      </c>
      <c r="L1049" s="36"/>
      <c r="M1049" s="36"/>
      <c r="N1049" s="36"/>
      <c r="O1049" s="36"/>
      <c r="P1049" s="36"/>
      <c r="Q1049" s="36"/>
      <c r="R1049" s="36" t="str">
        <f>IFERROR(__xludf.DUMMYFUNCTION("""COMPUTED_VALUE"""),"K")</f>
        <v>K</v>
      </c>
      <c r="S1049" s="39"/>
    </row>
    <row r="1050">
      <c r="B1050" s="36" t="str">
        <f>IFERROR(__xludf.DUMMYFUNCTION("""COMPUTED_VALUE"""),"Pengelolaan Administrasi Perkantoraan")</f>
        <v>Pengelolaan Administrasi Perkantoraan</v>
      </c>
      <c r="C1050" s="36"/>
      <c r="D1050" s="36"/>
      <c r="E1050" s="36"/>
      <c r="F1050" s="36" t="str">
        <f>IFERROR(__xludf.DUMMYFUNCTION("""COMPUTED_VALUE"""),"Nur Alpinansyah")</f>
        <v>Nur Alpinansyah</v>
      </c>
      <c r="G1050" s="36" t="str">
        <f>IFERROR(__xludf.DUMMYFUNCTION("""COMPUTED_VALUE"""),"7402116909030003")</f>
        <v>7402116909030003</v>
      </c>
      <c r="H1050" s="36"/>
      <c r="I1050" s="36"/>
      <c r="J1050" s="36" t="str">
        <f>IFERROR(__xludf.DUMMYFUNCTION("""COMPUTED_VALUE"""),"PEREMPUAN")</f>
        <v>PEREMPUAN</v>
      </c>
      <c r="K1050" s="36" t="str">
        <f>IFERROR(__xludf.DUMMYFUNCTION("""COMPUTED_VALUE"""),"Jl. RE. Martadinata, RT 1 RW1")</f>
        <v>Jl. RE. Martadinata, RT 1 RW1</v>
      </c>
      <c r="L1050" s="36"/>
      <c r="M1050" s="36"/>
      <c r="N1050" s="36"/>
      <c r="O1050" s="36"/>
      <c r="P1050" s="36"/>
      <c r="Q1050" s="36"/>
      <c r="R1050" s="36" t="str">
        <f>IFERROR(__xludf.DUMMYFUNCTION("""COMPUTED_VALUE"""),"K")</f>
        <v>K</v>
      </c>
      <c r="S1050" s="39"/>
    </row>
    <row r="1051">
      <c r="B1051" s="36" t="str">
        <f>IFERROR(__xludf.DUMMYFUNCTION("""COMPUTED_VALUE"""),"Pengelolaan Administrasi Perkantoraan")</f>
        <v>Pengelolaan Administrasi Perkantoraan</v>
      </c>
      <c r="C1051" s="36"/>
      <c r="D1051" s="36"/>
      <c r="E1051" s="36"/>
      <c r="F1051" s="36" t="str">
        <f>IFERROR(__xludf.DUMMYFUNCTION("""COMPUTED_VALUE"""),"Asmah Kharija ")</f>
        <v>Asmah Kharija </v>
      </c>
      <c r="G1051" s="36" t="str">
        <f>IFERROR(__xludf.DUMMYFUNCTION("""COMPUTED_VALUE"""),"7406144203040001")</f>
        <v>7406144203040001</v>
      </c>
      <c r="H1051" s="36"/>
      <c r="I1051" s="36"/>
      <c r="J1051" s="36" t="str">
        <f>IFERROR(__xludf.DUMMYFUNCTION("""COMPUTED_VALUE"""),"PEREMPUAN")</f>
        <v>PEREMPUAN</v>
      </c>
      <c r="K1051" s="36" t="str">
        <f>IFERROR(__xludf.DUMMYFUNCTION("""COMPUTED_VALUE"""),"Desa Baliara Selatan, kecamatan Kabaena Barat")</f>
        <v>Desa Baliara Selatan, kecamatan Kabaena Barat</v>
      </c>
      <c r="L1051" s="36"/>
      <c r="M1051" s="36"/>
      <c r="N1051" s="36"/>
      <c r="O1051" s="36"/>
      <c r="P1051" s="36"/>
      <c r="Q1051" s="36"/>
      <c r="R1051" s="36" t="str">
        <f>IFERROR(__xludf.DUMMYFUNCTION("""COMPUTED_VALUE"""),"K")</f>
        <v>K</v>
      </c>
      <c r="S1051" s="39"/>
    </row>
    <row r="1052">
      <c r="B1052" s="36" t="str">
        <f>IFERROR(__xludf.DUMMYFUNCTION("""COMPUTED_VALUE"""),"Pengelolaan Administrasi Perkantoraan")</f>
        <v>Pengelolaan Administrasi Perkantoraan</v>
      </c>
      <c r="C1052" s="36"/>
      <c r="D1052" s="36"/>
      <c r="E1052" s="36"/>
      <c r="F1052" s="36" t="str">
        <f>IFERROR(__xludf.DUMMYFUNCTION("""COMPUTED_VALUE"""),"ZASKIA TSALSABILLAH")</f>
        <v>ZASKIA TSALSABILLAH</v>
      </c>
      <c r="G1052" s="36" t="str">
        <f>IFERROR(__xludf.DUMMYFUNCTION("""COMPUTED_VALUE"""),"7403064108030001")</f>
        <v>7403064108030001</v>
      </c>
      <c r="H1052" s="36"/>
      <c r="I1052" s="36"/>
      <c r="J1052" s="36" t="str">
        <f>IFERROR(__xludf.DUMMYFUNCTION("""COMPUTED_VALUE"""),"PEREMPUAN")</f>
        <v>PEREMPUAN</v>
      </c>
      <c r="K1052" s="36" t="str">
        <f>IFERROR(__xludf.DUMMYFUNCTION("""COMPUTED_VALUE"""),"JL. H. SURABAYA, BTN GRAHA TERATAI INDAH 4")</f>
        <v>JL. H. SURABAYA, BTN GRAHA TERATAI INDAH 4</v>
      </c>
      <c r="L1052" s="36"/>
      <c r="M1052" s="36"/>
      <c r="N1052" s="36"/>
      <c r="O1052" s="36"/>
      <c r="P1052" s="36"/>
      <c r="Q1052" s="36"/>
      <c r="R1052" s="36" t="str">
        <f>IFERROR(__xludf.DUMMYFUNCTION("""COMPUTED_VALUE"""),"K")</f>
        <v>K</v>
      </c>
      <c r="S1052" s="39"/>
    </row>
    <row r="1053">
      <c r="B1053" s="36" t="str">
        <f>IFERROR(__xludf.DUMMYFUNCTION("""COMPUTED_VALUE"""),"Pengelolaan Administrasi Perkantoraan")</f>
        <v>Pengelolaan Administrasi Perkantoraan</v>
      </c>
      <c r="C1053" s="36"/>
      <c r="D1053" s="36"/>
      <c r="E1053" s="36"/>
      <c r="F1053" s="36" t="str">
        <f>IFERROR(__xludf.DUMMYFUNCTION("""COMPUTED_VALUE"""),"Nurhadi Ramadhan")</f>
        <v>Nurhadi Ramadhan</v>
      </c>
      <c r="G1053" s="36" t="str">
        <f>IFERROR(__xludf.DUMMYFUNCTION("""COMPUTED_VALUE"""),"7471082212980002")</f>
        <v>7471082212980002</v>
      </c>
      <c r="H1053" s="36"/>
      <c r="I1053" s="36"/>
      <c r="J1053" s="36" t="str">
        <f>IFERROR(__xludf.DUMMYFUNCTION("""COMPUTED_VALUE"""),"LAKI-LAKI")</f>
        <v>LAKI-LAKI</v>
      </c>
      <c r="K1053" s="36" t="str">
        <f>IFERROR(__xludf.DUMMYFUNCTION("""COMPUTED_VALUE"""),"Jl. Boulevard, Lrg. Tolagu, RT. 001 / RW. 001, Kel. Baruga, Kec. Baruga")</f>
        <v>Jl. Boulevard, Lrg. Tolagu, RT. 001 / RW. 001, Kel. Baruga, Kec. Baruga</v>
      </c>
      <c r="L1053" s="36"/>
      <c r="M1053" s="36"/>
      <c r="N1053" s="36"/>
      <c r="O1053" s="36"/>
      <c r="P1053" s="36"/>
      <c r="Q1053" s="36"/>
      <c r="R1053" s="36" t="str">
        <f>IFERROR(__xludf.DUMMYFUNCTION("""COMPUTED_VALUE"""),"K")</f>
        <v>K</v>
      </c>
      <c r="S1053" s="39"/>
    </row>
    <row r="1054">
      <c r="B1054" s="36" t="str">
        <f>IFERROR(__xludf.DUMMYFUNCTION("""COMPUTED_VALUE"""),"Pengelolaan Administrasi Perkantoraan")</f>
        <v>Pengelolaan Administrasi Perkantoraan</v>
      </c>
      <c r="C1054" s="36"/>
      <c r="D1054" s="36"/>
      <c r="E1054" s="36"/>
      <c r="F1054" s="36" t="str">
        <f>IFERROR(__xludf.DUMMYFUNCTION("""COMPUTED_VALUE"""),"Andry Yusmin Nompo")</f>
        <v>Andry Yusmin Nompo</v>
      </c>
      <c r="G1054" s="36" t="str">
        <f>IFERROR(__xludf.DUMMYFUNCTION("""COMPUTED_VALUE"""),"7404080604020001")</f>
        <v>7404080604020001</v>
      </c>
      <c r="H1054" s="36"/>
      <c r="I1054" s="36"/>
      <c r="J1054" s="36" t="str">
        <f>IFERROR(__xludf.DUMMYFUNCTION("""COMPUTED_VALUE"""),"LAKI-LAKI")</f>
        <v>LAKI-LAKI</v>
      </c>
      <c r="K1054" s="36" t="str">
        <f>IFERROR(__xludf.DUMMYFUNCTION("""COMPUTED_VALUE"""),"Ranomeeto")</f>
        <v>Ranomeeto</v>
      </c>
      <c r="L1054" s="36"/>
      <c r="M1054" s="36"/>
      <c r="N1054" s="36"/>
      <c r="O1054" s="36"/>
      <c r="P1054" s="36"/>
      <c r="Q1054" s="36"/>
      <c r="R1054" s="36" t="str">
        <f>IFERROR(__xludf.DUMMYFUNCTION("""COMPUTED_VALUE"""),"K")</f>
        <v>K</v>
      </c>
      <c r="S1054" s="39"/>
    </row>
    <row r="1055">
      <c r="B1055" s="36" t="str">
        <f>IFERROR(__xludf.DUMMYFUNCTION("""COMPUTED_VALUE"""),"Pengelolaan Administrasi Perkantoraan")</f>
        <v>Pengelolaan Administrasi Perkantoraan</v>
      </c>
      <c r="C1055" s="36"/>
      <c r="D1055" s="36"/>
      <c r="E1055" s="36"/>
      <c r="F1055" s="36" t="str">
        <f>IFERROR(__xludf.DUMMYFUNCTION("""COMPUTED_VALUE"""),"Syaffikka")</f>
        <v>Syaffikka</v>
      </c>
      <c r="G1055" s="36" t="str">
        <f>IFERROR(__xludf.DUMMYFUNCTION("""COMPUTED_VALUE"""),"7403114301040001")</f>
        <v>7403114301040001</v>
      </c>
      <c r="H1055" s="36"/>
      <c r="I1055" s="36"/>
      <c r="J1055" s="36" t="str">
        <f>IFERROR(__xludf.DUMMYFUNCTION("""COMPUTED_VALUE"""),"PEREMPUAN")</f>
        <v>PEREMPUAN</v>
      </c>
      <c r="K1055" s="36" t="str">
        <f>IFERROR(__xludf.DUMMYFUNCTION("""COMPUTED_VALUE"""),"Jalan Kontukowuna RT001 RW 003")</f>
        <v>Jalan Kontukowuna RT001 RW 003</v>
      </c>
      <c r="L1055" s="36"/>
      <c r="M1055" s="36"/>
      <c r="N1055" s="36"/>
      <c r="O1055" s="36"/>
      <c r="P1055" s="36"/>
      <c r="Q1055" s="36"/>
      <c r="R1055" s="36" t="str">
        <f>IFERROR(__xludf.DUMMYFUNCTION("""COMPUTED_VALUE"""),"K")</f>
        <v>K</v>
      </c>
      <c r="S1055" s="39"/>
    </row>
    <row r="1056">
      <c r="B1056" s="36" t="str">
        <f>IFERROR(__xludf.DUMMYFUNCTION("""COMPUTED_VALUE"""),"Pengelolaan Administrasi Perkantoraan")</f>
        <v>Pengelolaan Administrasi Perkantoraan</v>
      </c>
      <c r="C1056" s="36"/>
      <c r="D1056" s="36"/>
      <c r="E1056" s="36"/>
      <c r="F1056" s="36" t="str">
        <f>IFERROR(__xludf.DUMMYFUNCTION("""COMPUTED_VALUE"""),"Ulfa Hardianti")</f>
        <v>Ulfa Hardianti</v>
      </c>
      <c r="G1056" s="36" t="str">
        <f>IFERROR(__xludf.DUMMYFUNCTION("""COMPUTED_VALUE"""),"7371065410030003")</f>
        <v>7371065410030003</v>
      </c>
      <c r="H1056" s="36"/>
      <c r="I1056" s="36"/>
      <c r="J1056" s="36" t="str">
        <f>IFERROR(__xludf.DUMMYFUNCTION("""COMPUTED_VALUE"""),"PEREMPUAN")</f>
        <v>PEREMPUAN</v>
      </c>
      <c r="K1056" s="36" t="str">
        <f>IFERROR(__xludf.DUMMYFUNCTION("""COMPUTED_VALUE"""),"Desa Matanauwe,Kecamatan Siotapina,Kabupaten Buton, Sulawesi Tenggara")</f>
        <v>Desa Matanauwe,Kecamatan Siotapina,Kabupaten Buton, Sulawesi Tenggara</v>
      </c>
      <c r="L1056" s="36"/>
      <c r="M1056" s="36"/>
      <c r="N1056" s="36"/>
      <c r="O1056" s="36"/>
      <c r="P1056" s="36"/>
      <c r="Q1056" s="36"/>
      <c r="R1056" s="36" t="str">
        <f>IFERROR(__xludf.DUMMYFUNCTION("""COMPUTED_VALUE"""),"K")</f>
        <v>K</v>
      </c>
      <c r="S1056" s="39"/>
    </row>
    <row r="1057">
      <c r="B1057" s="36" t="str">
        <f>IFERROR(__xludf.DUMMYFUNCTION("""COMPUTED_VALUE"""),"Pengelolaan Administrasi Perkantoraan")</f>
        <v>Pengelolaan Administrasi Perkantoraan</v>
      </c>
      <c r="C1057" s="36"/>
      <c r="D1057" s="36"/>
      <c r="E1057" s="36"/>
      <c r="F1057" s="36" t="str">
        <f>IFERROR(__xludf.DUMMYFUNCTION("""COMPUTED_VALUE"""),"Hamid")</f>
        <v>Hamid</v>
      </c>
      <c r="G1057" s="36" t="str">
        <f>IFERROR(__xludf.DUMMYFUNCTION("""COMPUTED_VALUE"""),"7404221501050001")</f>
        <v>7404221501050001</v>
      </c>
      <c r="H1057" s="36"/>
      <c r="I1057" s="36"/>
      <c r="J1057" s="36" t="str">
        <f>IFERROR(__xludf.DUMMYFUNCTION("""COMPUTED_VALUE"""),"LAKI-LAKI")</f>
        <v>LAKI-LAKI</v>
      </c>
      <c r="K1057" s="36" t="str">
        <f>IFERROR(__xludf.DUMMYFUNCTION("""COMPUTED_VALUE"""),"Dusun P.P. Selatan, Desa Mabulugo, Kec. Kapontori")</f>
        <v>Dusun P.P. Selatan, Desa Mabulugo, Kec. Kapontori</v>
      </c>
      <c r="L1057" s="36"/>
      <c r="M1057" s="36"/>
      <c r="N1057" s="36"/>
      <c r="O1057" s="36"/>
      <c r="P1057" s="36"/>
      <c r="Q1057" s="36"/>
      <c r="R1057" s="36" t="str">
        <f>IFERROR(__xludf.DUMMYFUNCTION("""COMPUTED_VALUE"""),"K")</f>
        <v>K</v>
      </c>
      <c r="S1057" s="39"/>
    </row>
    <row r="1058">
      <c r="B1058" s="36" t="str">
        <f>IFERROR(__xludf.DUMMYFUNCTION("""COMPUTED_VALUE"""),"Pengelolaan Administrasi Perkantoraan")</f>
        <v>Pengelolaan Administrasi Perkantoraan</v>
      </c>
      <c r="C1058" s="36"/>
      <c r="D1058" s="36"/>
      <c r="E1058" s="36"/>
      <c r="F1058" s="36" t="str">
        <f>IFERROR(__xludf.DUMMYFUNCTION("""COMPUTED_VALUE"""),"Nasywa Rasyifa ")</f>
        <v>Nasywa Rasyifa </v>
      </c>
      <c r="G1058" s="36" t="str">
        <f>IFERROR(__xludf.DUMMYFUNCTION("""COMPUTED_VALUE"""),"7401044911030002")</f>
        <v>7401044911030002</v>
      </c>
      <c r="H1058" s="36"/>
      <c r="I1058" s="36"/>
      <c r="J1058" s="36" t="str">
        <f>IFERROR(__xludf.DUMMYFUNCTION("""COMPUTED_VALUE"""),"PEREMPUAN")</f>
        <v>PEREMPUAN</v>
      </c>
      <c r="K1058" s="36" t="str">
        <f>IFERROR(__xludf.DUMMYFUNCTION("""COMPUTED_VALUE"""),"Komp. Perumnas No. 135 Lalombaa")</f>
        <v>Komp. Perumnas No. 135 Lalombaa</v>
      </c>
      <c r="L1058" s="36"/>
      <c r="M1058" s="36"/>
      <c r="N1058" s="36"/>
      <c r="O1058" s="36"/>
      <c r="P1058" s="36"/>
      <c r="Q1058" s="36"/>
      <c r="R1058" s="36" t="str">
        <f>IFERROR(__xludf.DUMMYFUNCTION("""COMPUTED_VALUE"""),"K")</f>
        <v>K</v>
      </c>
      <c r="S1058" s="39"/>
    </row>
    <row r="1059">
      <c r="B1059" s="36" t="str">
        <f>IFERROR(__xludf.DUMMYFUNCTION("""COMPUTED_VALUE"""),"Pengelolaan Administrasi Perkantoraan")</f>
        <v>Pengelolaan Administrasi Perkantoraan</v>
      </c>
      <c r="C1059" s="36"/>
      <c r="D1059" s="36"/>
      <c r="E1059" s="36"/>
      <c r="F1059" s="36" t="str">
        <f>IFERROR(__xludf.DUMMYFUNCTION("""COMPUTED_VALUE"""),"Wa Ode Indy Astika Vera")</f>
        <v>Wa Ode Indy Astika Vera</v>
      </c>
      <c r="G1059" s="36" t="str">
        <f>IFERROR(__xludf.DUMMYFUNCTION("""COMPUTED_VALUE"""),"7403125606030001")</f>
        <v>7403125606030001</v>
      </c>
      <c r="H1059" s="36"/>
      <c r="I1059" s="36"/>
      <c r="J1059" s="36" t="str">
        <f>IFERROR(__xludf.DUMMYFUNCTION("""COMPUTED_VALUE"""),"PEREMPUAN")</f>
        <v>PEREMPUAN</v>
      </c>
      <c r="K1059" s="36" t="str">
        <f>IFERROR(__xludf.DUMMYFUNCTION("""COMPUTED_VALUE"""),"Jl. Sutan Syahrir, Kel. Wapunto, Kec. Duruka")</f>
        <v>Jl. Sutan Syahrir, Kel. Wapunto, Kec. Duruka</v>
      </c>
      <c r="L1059" s="36"/>
      <c r="M1059" s="36"/>
      <c r="N1059" s="36"/>
      <c r="O1059" s="36"/>
      <c r="P1059" s="36"/>
      <c r="Q1059" s="36"/>
      <c r="R1059" s="36" t="str">
        <f>IFERROR(__xludf.DUMMYFUNCTION("""COMPUTED_VALUE"""),"K")</f>
        <v>K</v>
      </c>
      <c r="S1059" s="39"/>
    </row>
    <row r="1060">
      <c r="B1060" s="36" t="str">
        <f>IFERROR(__xludf.DUMMYFUNCTION("""COMPUTED_VALUE"""),"Pengelolaan Administrasi Perkantoraan")</f>
        <v>Pengelolaan Administrasi Perkantoraan</v>
      </c>
      <c r="C1060" s="36"/>
      <c r="D1060" s="36"/>
      <c r="E1060" s="36"/>
      <c r="F1060" s="36" t="str">
        <f>IFERROR(__xludf.DUMMYFUNCTION("""COMPUTED_VALUE"""),"Irmawati")</f>
        <v>Irmawati</v>
      </c>
      <c r="G1060" s="36" t="str">
        <f>IFERROR(__xludf.DUMMYFUNCTION("""COMPUTED_VALUE"""),"7409105309030001")</f>
        <v>7409105309030001</v>
      </c>
      <c r="H1060" s="36"/>
      <c r="I1060" s="36"/>
      <c r="J1060" s="36" t="str">
        <f>IFERROR(__xludf.DUMMYFUNCTION("""COMPUTED_VALUE"""),"PEREMPUAN")</f>
        <v>PEREMPUAN</v>
      </c>
      <c r="K1060" s="36" t="str">
        <f>IFERROR(__xludf.DUMMYFUNCTION("""COMPUTED_VALUE"""),"Desa Kapolano, Kecamatan Motui")</f>
        <v>Desa Kapolano, Kecamatan Motui</v>
      </c>
      <c r="L1060" s="36"/>
      <c r="M1060" s="36"/>
      <c r="N1060" s="36"/>
      <c r="O1060" s="36"/>
      <c r="P1060" s="36"/>
      <c r="Q1060" s="36"/>
      <c r="R1060" s="36" t="str">
        <f>IFERROR(__xludf.DUMMYFUNCTION("""COMPUTED_VALUE"""),"K")</f>
        <v>K</v>
      </c>
      <c r="S1060" s="39"/>
    </row>
    <row r="1061">
      <c r="B1061" s="36" t="str">
        <f>IFERROR(__xludf.DUMMYFUNCTION("""COMPUTED_VALUE"""),"Pengelolaan Administrasi Perkantoraan")</f>
        <v>Pengelolaan Administrasi Perkantoraan</v>
      </c>
      <c r="C1061" s="36"/>
      <c r="D1061" s="36"/>
      <c r="E1061" s="36"/>
      <c r="F1061" s="36" t="str">
        <f>IFERROR(__xludf.DUMMYFUNCTION("""COMPUTED_VALUE"""),"Muh. Fadlan")</f>
        <v>Muh. Fadlan</v>
      </c>
      <c r="G1061" s="36" t="str">
        <f>IFERROR(__xludf.DUMMYFUNCTION("""COMPUTED_VALUE"""),"7401010404020003")</f>
        <v>7401010404020003</v>
      </c>
      <c r="H1061" s="36"/>
      <c r="I1061" s="36"/>
      <c r="J1061" s="36" t="str">
        <f>IFERROR(__xludf.DUMMYFUNCTION("""COMPUTED_VALUE"""),"LAKI-LAKI")</f>
        <v>LAKI-LAKI</v>
      </c>
      <c r="K1061" s="36" t="str">
        <f>IFERROR(__xludf.DUMMYFUNCTION("""COMPUTED_VALUE"""),"Wundulako")</f>
        <v>Wundulako</v>
      </c>
      <c r="L1061" s="36"/>
      <c r="M1061" s="36"/>
      <c r="N1061" s="36"/>
      <c r="O1061" s="36"/>
      <c r="P1061" s="36"/>
      <c r="Q1061" s="36"/>
      <c r="R1061" s="36" t="str">
        <f>IFERROR(__xludf.DUMMYFUNCTION("""COMPUTED_VALUE"""),"K")</f>
        <v>K</v>
      </c>
      <c r="S1061" s="39"/>
    </row>
    <row r="1062">
      <c r="B1062" s="36" t="str">
        <f>IFERROR(__xludf.DUMMYFUNCTION("""COMPUTED_VALUE"""),"Pengelolaan Administrasi Perkantoraan")</f>
        <v>Pengelolaan Administrasi Perkantoraan</v>
      </c>
      <c r="C1062" s="36"/>
      <c r="D1062" s="36"/>
      <c r="E1062" s="36"/>
      <c r="F1062" s="36" t="str">
        <f>IFERROR(__xludf.DUMMYFUNCTION("""COMPUTED_VALUE"""),"Asmin")</f>
        <v>Asmin</v>
      </c>
      <c r="G1062" s="36" t="str">
        <f>IFERROR(__xludf.DUMMYFUNCTION("""COMPUTED_VALUE"""),"7404100507030002")</f>
        <v>7404100507030002</v>
      </c>
      <c r="H1062" s="36"/>
      <c r="I1062" s="36"/>
      <c r="J1062" s="36" t="str">
        <f>IFERROR(__xludf.DUMMYFUNCTION("""COMPUTED_VALUE"""),"LAKI-LAKI")</f>
        <v>LAKI-LAKI</v>
      </c>
      <c r="K1062" s="36" t="str">
        <f>IFERROR(__xludf.DUMMYFUNCTION("""COMPUTED_VALUE"""),"Kel. Kambu, Kec. Kambu")</f>
        <v>Kel. Kambu, Kec. Kambu</v>
      </c>
      <c r="L1062" s="36"/>
      <c r="M1062" s="36"/>
      <c r="N1062" s="36"/>
      <c r="O1062" s="36"/>
      <c r="P1062" s="36"/>
      <c r="Q1062" s="36"/>
      <c r="R1062" s="36" t="str">
        <f>IFERROR(__xludf.DUMMYFUNCTION("""COMPUTED_VALUE"""),"K")</f>
        <v>K</v>
      </c>
      <c r="S1062" s="39"/>
    </row>
    <row r="1063">
      <c r="B1063" s="36" t="str">
        <f>IFERROR(__xludf.DUMMYFUNCTION("""COMPUTED_VALUE"""),"Pengelolaan Administrasi Perkantoraan")</f>
        <v>Pengelolaan Administrasi Perkantoraan</v>
      </c>
      <c r="C1063" s="36"/>
      <c r="D1063" s="36"/>
      <c r="E1063" s="36"/>
      <c r="F1063" s="36" t="str">
        <f>IFERROR(__xludf.DUMMYFUNCTION("""COMPUTED_VALUE"""),"Pinkan Mulyani ")</f>
        <v>Pinkan Mulyani </v>
      </c>
      <c r="G1063" s="36" t="str">
        <f>IFERROR(__xludf.DUMMYFUNCTION("""COMPUTED_VALUE"""),"7402024205040005")</f>
        <v>7402024205040005</v>
      </c>
      <c r="H1063" s="36"/>
      <c r="I1063" s="36"/>
      <c r="J1063" s="36" t="str">
        <f>IFERROR(__xludf.DUMMYFUNCTION("""COMPUTED_VALUE"""),"PEREMPUAN")</f>
        <v>PEREMPUAN</v>
      </c>
      <c r="K1063" s="36" t="str">
        <f>IFERROR(__xludf.DUMMYFUNCTION("""COMPUTED_VALUE"""),"Desa Sindangkasih")</f>
        <v>Desa Sindangkasih</v>
      </c>
      <c r="L1063" s="36"/>
      <c r="M1063" s="36"/>
      <c r="N1063" s="36"/>
      <c r="O1063" s="36"/>
      <c r="P1063" s="36"/>
      <c r="Q1063" s="36"/>
      <c r="R1063" s="36" t="str">
        <f>IFERROR(__xludf.DUMMYFUNCTION("""COMPUTED_VALUE"""),"K")</f>
        <v>K</v>
      </c>
      <c r="S1063" s="39"/>
    </row>
    <row r="1064">
      <c r="B1064" s="36" t="str">
        <f>IFERROR(__xludf.DUMMYFUNCTION("""COMPUTED_VALUE"""),"Pengelolaan Administrasi Perkantoraan")</f>
        <v>Pengelolaan Administrasi Perkantoraan</v>
      </c>
      <c r="C1064" s="36"/>
      <c r="D1064" s="36"/>
      <c r="E1064" s="36"/>
      <c r="F1064" s="36" t="str">
        <f>IFERROR(__xludf.DUMMYFUNCTION("""COMPUTED_VALUE"""),"Abdul Somad")</f>
        <v>Abdul Somad</v>
      </c>
      <c r="G1064" s="36" t="str">
        <f>IFERROR(__xludf.DUMMYFUNCTION("""COMPUTED_VALUE"""),"7410051004030001")</f>
        <v>7410051004030001</v>
      </c>
      <c r="H1064" s="36"/>
      <c r="I1064" s="36"/>
      <c r="J1064" s="36" t="str">
        <f>IFERROR(__xludf.DUMMYFUNCTION("""COMPUTED_VALUE"""),"LAKI-LAKI")</f>
        <v>LAKI-LAKI</v>
      </c>
      <c r="K1064" s="36" t="str">
        <f>IFERROR(__xludf.DUMMYFUNCTION("""COMPUTED_VALUE"""),"Btn Jambu Regency")</f>
        <v>Btn Jambu Regency</v>
      </c>
      <c r="L1064" s="36"/>
      <c r="M1064" s="36"/>
      <c r="N1064" s="36"/>
      <c r="O1064" s="36"/>
      <c r="P1064" s="36"/>
      <c r="Q1064" s="36"/>
      <c r="R1064" s="36" t="str">
        <f>IFERROR(__xludf.DUMMYFUNCTION("""COMPUTED_VALUE"""),"K")</f>
        <v>K</v>
      </c>
      <c r="S1064" s="39"/>
    </row>
    <row r="1065">
      <c r="B1065" s="36" t="str">
        <f>IFERROR(__xludf.DUMMYFUNCTION("""COMPUTED_VALUE"""),"Pengelolaan Administrasi Perkantoraan")</f>
        <v>Pengelolaan Administrasi Perkantoraan</v>
      </c>
      <c r="C1065" s="36"/>
      <c r="D1065" s="36"/>
      <c r="E1065" s="36"/>
      <c r="F1065" s="36" t="str">
        <f>IFERROR(__xludf.DUMMYFUNCTION("""COMPUTED_VALUE"""),"Iis Pratiwi")</f>
        <v>Iis Pratiwi</v>
      </c>
      <c r="G1065" s="36" t="str">
        <f>IFERROR(__xludf.DUMMYFUNCTION("""COMPUTED_VALUE"""),"7410016304030001")</f>
        <v>7410016304030001</v>
      </c>
      <c r="H1065" s="36"/>
      <c r="I1065" s="36"/>
      <c r="J1065" s="36" t="str">
        <f>IFERROR(__xludf.DUMMYFUNCTION("""COMPUTED_VALUE"""),"PEREMPUAN")</f>
        <v>PEREMPUAN</v>
      </c>
      <c r="K1065" s="36" t="str">
        <f>IFERROR(__xludf.DUMMYFUNCTION("""COMPUTED_VALUE"""),"Desa guali")</f>
        <v>Desa guali</v>
      </c>
      <c r="L1065" s="36"/>
      <c r="M1065" s="36"/>
      <c r="N1065" s="36"/>
      <c r="O1065" s="36"/>
      <c r="P1065" s="36"/>
      <c r="Q1065" s="36"/>
      <c r="R1065" s="36" t="str">
        <f>IFERROR(__xludf.DUMMYFUNCTION("""COMPUTED_VALUE"""),"K")</f>
        <v>K</v>
      </c>
      <c r="S1065" s="39"/>
    </row>
    <row r="1066">
      <c r="B1066" s="36" t="str">
        <f>IFERROR(__xludf.DUMMYFUNCTION("""COMPUTED_VALUE"""),"Pengelolaan Administrasi Perkantoraan")</f>
        <v>Pengelolaan Administrasi Perkantoraan</v>
      </c>
      <c r="C1066" s="36"/>
      <c r="D1066" s="36"/>
      <c r="E1066" s="36"/>
      <c r="F1066" s="36" t="str">
        <f>IFERROR(__xludf.DUMMYFUNCTION("""COMPUTED_VALUE"""),"Difa Indriani")</f>
        <v>Difa Indriani</v>
      </c>
      <c r="G1066" s="36" t="str">
        <f>IFERROR(__xludf.DUMMYFUNCTION("""COMPUTED_VALUE"""),"7403124401030001")</f>
        <v>7403124401030001</v>
      </c>
      <c r="H1066" s="36"/>
      <c r="I1066" s="36"/>
      <c r="J1066" s="36" t="str">
        <f>IFERROR(__xludf.DUMMYFUNCTION("""COMPUTED_VALUE"""),"PEREMPUAN")</f>
        <v>PEREMPUAN</v>
      </c>
      <c r="K1066" s="36" t="str">
        <f>IFERROR(__xludf.DUMMYFUNCTION("""COMPUTED_VALUE"""),"jl.Ir.Soekarno")</f>
        <v>jl.Ir.Soekarno</v>
      </c>
      <c r="L1066" s="36"/>
      <c r="M1066" s="36"/>
      <c r="N1066" s="36"/>
      <c r="O1066" s="36"/>
      <c r="P1066" s="36"/>
      <c r="Q1066" s="36"/>
      <c r="R1066" s="36" t="str">
        <f>IFERROR(__xludf.DUMMYFUNCTION("""COMPUTED_VALUE"""),"K")</f>
        <v>K</v>
      </c>
      <c r="S1066" s="39"/>
    </row>
    <row r="1067">
      <c r="B1067" s="36" t="str">
        <f>IFERROR(__xludf.DUMMYFUNCTION("""COMPUTED_VALUE"""),"Pengelolaan Administrasi Perkantoraan")</f>
        <v>Pengelolaan Administrasi Perkantoraan</v>
      </c>
      <c r="C1067" s="36"/>
      <c r="D1067" s="36"/>
      <c r="E1067" s="36"/>
      <c r="F1067" s="36" t="str">
        <f>IFERROR(__xludf.DUMMYFUNCTION("""COMPUTED_VALUE"""),"Andi Muh Farid Aby Ayazi")</f>
        <v>Andi Muh Farid Aby Ayazi</v>
      </c>
      <c r="G1067" s="36" t="str">
        <f>IFERROR(__xludf.DUMMYFUNCTION("""COMPUTED_VALUE"""),"7471081904040001")</f>
        <v>7471081904040001</v>
      </c>
      <c r="H1067" s="36"/>
      <c r="I1067" s="36"/>
      <c r="J1067" s="36" t="str">
        <f>IFERROR(__xludf.DUMMYFUNCTION("""COMPUTED_VALUE"""),"LAKI-LAKI")</f>
        <v>LAKI-LAKI</v>
      </c>
      <c r="K1067" s="36" t="str">
        <f>IFERROR(__xludf.DUMMYFUNCTION("""COMPUTED_VALUE"""),"Jl Polingai")</f>
        <v>Jl Polingai</v>
      </c>
      <c r="L1067" s="36"/>
      <c r="M1067" s="36"/>
      <c r="N1067" s="36"/>
      <c r="O1067" s="36"/>
      <c r="P1067" s="36"/>
      <c r="Q1067" s="36"/>
      <c r="R1067" s="36" t="str">
        <f>IFERROR(__xludf.DUMMYFUNCTION("""COMPUTED_VALUE"""),"K")</f>
        <v>K</v>
      </c>
      <c r="S1067" s="39"/>
    </row>
    <row r="1068">
      <c r="B1068" s="36" t="str">
        <f>IFERROR(__xludf.DUMMYFUNCTION("""COMPUTED_VALUE"""),"Pengelolaan Administrasi Perkantoraan")</f>
        <v>Pengelolaan Administrasi Perkantoraan</v>
      </c>
      <c r="C1068" s="36"/>
      <c r="D1068" s="36"/>
      <c r="E1068" s="36"/>
      <c r="F1068" s="36" t="str">
        <f>IFERROR(__xludf.DUMMYFUNCTION("""COMPUTED_VALUE"""),"Anggun Astria")</f>
        <v>Anggun Astria</v>
      </c>
      <c r="G1068" s="36" t="str">
        <f>IFERROR(__xludf.DUMMYFUNCTION("""COMPUTED_VALUE"""),"7407067105030002")</f>
        <v>7407067105030002</v>
      </c>
      <c r="H1068" s="36"/>
      <c r="I1068" s="36"/>
      <c r="J1068" s="36" t="str">
        <f>IFERROR(__xludf.DUMMYFUNCTION("""COMPUTED_VALUE"""),"PEREMPUAN")</f>
        <v>PEREMPUAN</v>
      </c>
      <c r="K1068" s="36" t="str">
        <f>IFERROR(__xludf.DUMMYFUNCTION("""COMPUTED_VALUE"""),"Jl. Gatot Subroto, Kec. Wolio, Kota Baubau, Sulawesi Tenggara.enggara")</f>
        <v>Jl. Gatot Subroto, Kec. Wolio, Kota Baubau, Sulawesi Tenggara.enggara</v>
      </c>
      <c r="L1068" s="36"/>
      <c r="M1068" s="36"/>
      <c r="N1068" s="36"/>
      <c r="O1068" s="36"/>
      <c r="P1068" s="36"/>
      <c r="Q1068" s="36"/>
      <c r="R1068" s="36" t="str">
        <f>IFERROR(__xludf.DUMMYFUNCTION("""COMPUTED_VALUE"""),"K")</f>
        <v>K</v>
      </c>
      <c r="S1068" s="39"/>
    </row>
    <row r="1069">
      <c r="B1069" s="36" t="str">
        <f>IFERROR(__xludf.DUMMYFUNCTION("""COMPUTED_VALUE"""),"Pengelolaan Administrasi Perkantoraan")</f>
        <v>Pengelolaan Administrasi Perkantoraan</v>
      </c>
      <c r="C1069" s="36"/>
      <c r="D1069" s="36"/>
      <c r="E1069" s="36"/>
      <c r="F1069" s="36" t="str">
        <f>IFERROR(__xludf.DUMMYFUNCTION("""COMPUTED_VALUE"""),"Muh. Rezky Ramadhan Sarif")</f>
        <v>Muh. Rezky Ramadhan Sarif</v>
      </c>
      <c r="G1069" s="36" t="str">
        <f>IFERROR(__xludf.DUMMYFUNCTION("""COMPUTED_VALUE"""),"7471072711020002")</f>
        <v>7471072711020002</v>
      </c>
      <c r="H1069" s="36"/>
      <c r="I1069" s="36"/>
      <c r="J1069" s="36" t="str">
        <f>IFERROR(__xludf.DUMMYFUNCTION("""COMPUTED_VALUE"""),"LAKI-LAKI")</f>
        <v>LAKI-LAKI</v>
      </c>
      <c r="K1069" s="36" t="str">
        <f>IFERROR(__xludf.DUMMYFUNCTION("""COMPUTED_VALUE"""),"Jl. Lawata Lrg. 21 No. 1")</f>
        <v>Jl. Lawata Lrg. 21 No. 1</v>
      </c>
      <c r="L1069" s="36"/>
      <c r="M1069" s="36"/>
      <c r="N1069" s="36"/>
      <c r="O1069" s="36"/>
      <c r="P1069" s="36"/>
      <c r="Q1069" s="36"/>
      <c r="R1069" s="36" t="str">
        <f>IFERROR(__xludf.DUMMYFUNCTION("""COMPUTED_VALUE"""),"K")</f>
        <v>K</v>
      </c>
      <c r="S1069" s="39"/>
    </row>
    <row r="1070">
      <c r="B1070" s="36" t="str">
        <f>IFERROR(__xludf.DUMMYFUNCTION("""COMPUTED_VALUE"""),"Pengelolaan Administrasi Perkantoraan")</f>
        <v>Pengelolaan Administrasi Perkantoraan</v>
      </c>
      <c r="C1070" s="36"/>
      <c r="D1070" s="36"/>
      <c r="E1070" s="36"/>
      <c r="F1070" s="36" t="str">
        <f>IFERROR(__xludf.DUMMYFUNCTION("""COMPUTED_VALUE"""),"ENDANG WARLIAN ")</f>
        <v>ENDANG WARLIAN </v>
      </c>
      <c r="G1070" s="36" t="str">
        <f>IFERROR(__xludf.DUMMYFUNCTION("""COMPUTED_VALUE"""),"7401184107030003")</f>
        <v>7401184107030003</v>
      </c>
      <c r="H1070" s="36"/>
      <c r="I1070" s="36"/>
      <c r="J1070" s="36" t="str">
        <f>IFERROR(__xludf.DUMMYFUNCTION("""COMPUTED_VALUE"""),"PEREMPUAN")</f>
        <v>PEREMPUAN</v>
      </c>
      <c r="K1070" s="36" t="str">
        <f>IFERROR(__xludf.DUMMYFUNCTION("""COMPUTED_VALUE"""),"Jln. Ekonomi, Kel. Anaiwoi, Kec. Tanggetada, Kab. Kolaka")</f>
        <v>Jln. Ekonomi, Kel. Anaiwoi, Kec. Tanggetada, Kab. Kolaka</v>
      </c>
      <c r="L1070" s="36"/>
      <c r="M1070" s="36"/>
      <c r="N1070" s="36"/>
      <c r="O1070" s="36"/>
      <c r="P1070" s="36"/>
      <c r="Q1070" s="36"/>
      <c r="R1070" s="36" t="str">
        <f>IFERROR(__xludf.DUMMYFUNCTION("""COMPUTED_VALUE"""),"K")</f>
        <v>K</v>
      </c>
      <c r="S1070" s="39"/>
    </row>
    <row r="1071">
      <c r="B1071" s="36" t="str">
        <f>IFERROR(__xludf.DUMMYFUNCTION("""COMPUTED_VALUE"""),"Pengelolaan Administrasi Perkantoraan")</f>
        <v>Pengelolaan Administrasi Perkantoraan</v>
      </c>
      <c r="C1071" s="36"/>
      <c r="D1071" s="36"/>
      <c r="E1071" s="36"/>
      <c r="F1071" s="36" t="str">
        <f>IFERROR(__xludf.DUMMYFUNCTION("""COMPUTED_VALUE"""),"Cantika Wulele Mosiusiu")</f>
        <v>Cantika Wulele Mosiusiu</v>
      </c>
      <c r="G1071" s="36" t="str">
        <f>IFERROR(__xludf.DUMMYFUNCTION("""COMPUTED_VALUE"""),"7471064904030001")</f>
        <v>7471064904030001</v>
      </c>
      <c r="H1071" s="36"/>
      <c r="I1071" s="36"/>
      <c r="J1071" s="36" t="str">
        <f>IFERROR(__xludf.DUMMYFUNCTION("""COMPUTED_VALUE"""),"PEREMPUAN")</f>
        <v>PEREMPUAN</v>
      </c>
      <c r="K1071" s="36" t="str">
        <f>IFERROR(__xludf.DUMMYFUNCTION("""COMPUTED_VALUE"""),"jln.wedahu, RT.01, RW.01")</f>
        <v>jln.wedahu, RT.01, RW.01</v>
      </c>
      <c r="L1071" s="36"/>
      <c r="M1071" s="36"/>
      <c r="N1071" s="36"/>
      <c r="O1071" s="36"/>
      <c r="P1071" s="36"/>
      <c r="Q1071" s="36"/>
      <c r="R1071" s="36" t="str">
        <f>IFERROR(__xludf.DUMMYFUNCTION("""COMPUTED_VALUE"""),"K")</f>
        <v>K</v>
      </c>
      <c r="S1071" s="39"/>
    </row>
    <row r="1072">
      <c r="B1072" s="36" t="str">
        <f>IFERROR(__xludf.DUMMYFUNCTION("""COMPUTED_VALUE"""),"Pengelolaan Administrasi Perkantoraan")</f>
        <v>Pengelolaan Administrasi Perkantoraan</v>
      </c>
      <c r="C1072" s="36"/>
      <c r="D1072" s="36"/>
      <c r="E1072" s="36"/>
      <c r="F1072" s="36" t="str">
        <f>IFERROR(__xludf.DUMMYFUNCTION("""COMPUTED_VALUE"""),"Hesty Majid")</f>
        <v>Hesty Majid</v>
      </c>
      <c r="G1072" s="36" t="str">
        <f>IFERROR(__xludf.DUMMYFUNCTION("""COMPUTED_VALUE"""),"7471084111020002")</f>
        <v>7471084111020002</v>
      </c>
      <c r="H1072" s="36"/>
      <c r="I1072" s="36"/>
      <c r="J1072" s="36" t="str">
        <f>IFERROR(__xludf.DUMMYFUNCTION("""COMPUTED_VALUE"""),"PEREMPUAN")</f>
        <v>PEREMPUAN</v>
      </c>
      <c r="K1072" s="36" t="str">
        <f>IFERROR(__xludf.DUMMYFUNCTION("""COMPUTED_VALUE"""),"jl. Budi Utomo lrg. Merak")</f>
        <v>jl. Budi Utomo lrg. Merak</v>
      </c>
      <c r="L1072" s="36"/>
      <c r="M1072" s="36"/>
      <c r="N1072" s="36"/>
      <c r="O1072" s="36"/>
      <c r="P1072" s="36"/>
      <c r="Q1072" s="36"/>
      <c r="R1072" s="36" t="str">
        <f>IFERROR(__xludf.DUMMYFUNCTION("""COMPUTED_VALUE"""),"K")</f>
        <v>K</v>
      </c>
      <c r="S1072" s="39"/>
    </row>
    <row r="1073">
      <c r="B1073" s="36" t="str">
        <f>IFERROR(__xludf.DUMMYFUNCTION("""COMPUTED_VALUE"""),"Pengelolaan Administrasi Perkantoraan")</f>
        <v>Pengelolaan Administrasi Perkantoraan</v>
      </c>
      <c r="C1073" s="36"/>
      <c r="D1073" s="36"/>
      <c r="E1073" s="36"/>
      <c r="F1073" s="36" t="str">
        <f>IFERROR(__xludf.DUMMYFUNCTION("""COMPUTED_VALUE"""),"Nuur Sholiha Salimin S.M")</f>
        <v>Nuur Sholiha Salimin S.M</v>
      </c>
      <c r="G1073" s="36" t="str">
        <f>IFERROR(__xludf.DUMMYFUNCTION("""COMPUTED_VALUE"""),"7471085703020003")</f>
        <v>7471085703020003</v>
      </c>
      <c r="H1073" s="36"/>
      <c r="I1073" s="36"/>
      <c r="J1073" s="36" t="str">
        <f>IFERROR(__xludf.DUMMYFUNCTION("""COMPUTED_VALUE"""),"PEREMPUAN")</f>
        <v>PEREMPUAN</v>
      </c>
      <c r="K1073" s="36" t="str">
        <f>IFERROR(__xludf.DUMMYFUNCTION("""COMPUTED_VALUE"""),"Jalan mekar no 89")</f>
        <v>Jalan mekar no 89</v>
      </c>
      <c r="L1073" s="36"/>
      <c r="M1073" s="36"/>
      <c r="N1073" s="36"/>
      <c r="O1073" s="36"/>
      <c r="P1073" s="36"/>
      <c r="Q1073" s="36"/>
      <c r="R1073" s="36" t="str">
        <f>IFERROR(__xludf.DUMMYFUNCTION("""COMPUTED_VALUE"""),"K")</f>
        <v>K</v>
      </c>
      <c r="S1073" s="39"/>
    </row>
    <row r="1074">
      <c r="B1074" s="36" t="str">
        <f>IFERROR(__xludf.DUMMYFUNCTION("""COMPUTED_VALUE"""),"Pengelolaan Administrasi Perkantoraan")</f>
        <v>Pengelolaan Administrasi Perkantoraan</v>
      </c>
      <c r="C1074" s="36"/>
      <c r="D1074" s="36"/>
      <c r="E1074" s="36"/>
      <c r="F1074" s="36" t="str">
        <f>IFERROR(__xludf.DUMMYFUNCTION("""COMPUTED_VALUE"""),"Raihan Khairun Nisa")</f>
        <v>Raihan Khairun Nisa</v>
      </c>
      <c r="G1074" s="36" t="str">
        <f>IFERROR(__xludf.DUMMYFUNCTION("""COMPUTED_VALUE"""),"7471086906030001")</f>
        <v>7471086906030001</v>
      </c>
      <c r="H1074" s="36"/>
      <c r="I1074" s="36"/>
      <c r="J1074" s="36" t="str">
        <f>IFERROR(__xludf.DUMMYFUNCTION("""COMPUTED_VALUE"""),"PEREMPUAN")</f>
        <v>PEREMPUAN</v>
      </c>
      <c r="K1074" s="36" t="str">
        <f>IFERROR(__xludf.DUMMYFUNCTION("""COMPUTED_VALUE"""),"Jl. Pasaeno Lr. Aliyah")</f>
        <v>Jl. Pasaeno Lr. Aliyah</v>
      </c>
      <c r="L1074" s="36"/>
      <c r="M1074" s="36"/>
      <c r="N1074" s="36"/>
      <c r="O1074" s="36"/>
      <c r="P1074" s="36"/>
      <c r="Q1074" s="36"/>
      <c r="R1074" s="36" t="str">
        <f>IFERROR(__xludf.DUMMYFUNCTION("""COMPUTED_VALUE"""),"K")</f>
        <v>K</v>
      </c>
      <c r="S1074" s="39"/>
    </row>
    <row r="1075">
      <c r="B1075" s="36" t="str">
        <f>IFERROR(__xludf.DUMMYFUNCTION("""COMPUTED_VALUE"""),"Pengelolaan Administrasi Perkantoraan")</f>
        <v>Pengelolaan Administrasi Perkantoraan</v>
      </c>
      <c r="C1075" s="36"/>
      <c r="D1075" s="36"/>
      <c r="E1075" s="36"/>
      <c r="F1075" s="36" t="str">
        <f>IFERROR(__xludf.DUMMYFUNCTION("""COMPUTED_VALUE"""),"Alatas")</f>
        <v>Alatas</v>
      </c>
      <c r="G1075" s="36" t="str">
        <f>IFERROR(__xludf.DUMMYFUNCTION("""COMPUTED_VALUE"""),"7472070305020001")</f>
        <v>7472070305020001</v>
      </c>
      <c r="H1075" s="36"/>
      <c r="I1075" s="36"/>
      <c r="J1075" s="36" t="str">
        <f>IFERROR(__xludf.DUMMYFUNCTION("""COMPUTED_VALUE"""),"LAKI-LAKI")</f>
        <v>LAKI-LAKI</v>
      </c>
      <c r="K1075" s="36" t="str">
        <f>IFERROR(__xludf.DUMMYFUNCTION("""COMPUTED_VALUE"""),"Jl.Koreasa Rt.003 Rw.003 Kel.LowuLowu Kec.LeaLea Kota.BauBau Sulawesi Tenggara")</f>
        <v>Jl.Koreasa Rt.003 Rw.003 Kel.LowuLowu Kec.LeaLea Kota.BauBau Sulawesi Tenggara</v>
      </c>
      <c r="L1075" s="36"/>
      <c r="M1075" s="36"/>
      <c r="N1075" s="36"/>
      <c r="O1075" s="36"/>
      <c r="P1075" s="36"/>
      <c r="Q1075" s="36"/>
      <c r="R1075" s="36" t="str">
        <f>IFERROR(__xludf.DUMMYFUNCTION("""COMPUTED_VALUE"""),"K")</f>
        <v>K</v>
      </c>
      <c r="S1075" s="39"/>
    </row>
    <row r="1076">
      <c r="B1076" s="36" t="str">
        <f>IFERROR(__xludf.DUMMYFUNCTION("""COMPUTED_VALUE"""),"Pengelolaan Administrasi Perkantoraan")</f>
        <v>Pengelolaan Administrasi Perkantoraan</v>
      </c>
      <c r="C1076" s="36"/>
      <c r="D1076" s="36"/>
      <c r="E1076" s="36"/>
      <c r="F1076" s="36" t="str">
        <f>IFERROR(__xludf.DUMMYFUNCTION("""COMPUTED_VALUE"""),"Ivo Meilani")</f>
        <v>Ivo Meilani</v>
      </c>
      <c r="G1076" s="36" t="str">
        <f>IFERROR(__xludf.DUMMYFUNCTION("""COMPUTED_VALUE"""),"7408044606000001")</f>
        <v>7408044606000001</v>
      </c>
      <c r="H1076" s="36"/>
      <c r="I1076" s="36"/>
      <c r="J1076" s="36" t="str">
        <f>IFERROR(__xludf.DUMMYFUNCTION("""COMPUTED_VALUE"""),"PEREMPUAN")</f>
        <v>PEREMPUAN</v>
      </c>
      <c r="K1076" s="36" t="str">
        <f>IFERROR(__xludf.DUMMYFUNCTION("""COMPUTED_VALUE"""),"Desa Torotuo, Kec. Ranteangin, Kab. Kolaka Utara, Sulawesi Tenggara, Indonesia")</f>
        <v>Desa Torotuo, Kec. Ranteangin, Kab. Kolaka Utara, Sulawesi Tenggara, Indonesia</v>
      </c>
      <c r="L1076" s="36"/>
      <c r="M1076" s="36"/>
      <c r="N1076" s="36"/>
      <c r="O1076" s="36"/>
      <c r="P1076" s="36"/>
      <c r="Q1076" s="36"/>
      <c r="R1076" s="36" t="str">
        <f>IFERROR(__xludf.DUMMYFUNCTION("""COMPUTED_VALUE"""),"K")</f>
        <v>K</v>
      </c>
      <c r="S1076" s="39"/>
    </row>
    <row r="1077">
      <c r="B1077" s="36" t="str">
        <f>IFERROR(__xludf.DUMMYFUNCTION("""COMPUTED_VALUE"""),"Pengelolaan Administrasi Perkantoraan")</f>
        <v>Pengelolaan Administrasi Perkantoraan</v>
      </c>
      <c r="C1077" s="36"/>
      <c r="D1077" s="36"/>
      <c r="E1077" s="36"/>
      <c r="F1077" s="36" t="str">
        <f>IFERROR(__xludf.DUMMYFUNCTION("""COMPUTED_VALUE"""),"Tri Handayani Rahayu")</f>
        <v>Tri Handayani Rahayu</v>
      </c>
      <c r="G1077" s="36" t="str">
        <f>IFERROR(__xludf.DUMMYFUNCTION("""COMPUTED_VALUE"""),"7472034408020001")</f>
        <v>7472034408020001</v>
      </c>
      <c r="H1077" s="36"/>
      <c r="I1077" s="36"/>
      <c r="J1077" s="36" t="str">
        <f>IFERROR(__xludf.DUMMYFUNCTION("""COMPUTED_VALUE"""),"PEREMPUAN")</f>
        <v>PEREMPUAN</v>
      </c>
      <c r="K1077" s="36" t="str">
        <f>IFERROR(__xludf.DUMMYFUNCTION("""COMPUTED_VALUE"""),"Lingkungan Amanasi, RT 01/RW 01, Kel. Gonda Baru, Kec. Sorawolio Kota Baubau")</f>
        <v>Lingkungan Amanasi, RT 01/RW 01, Kel. Gonda Baru, Kec. Sorawolio Kota Baubau</v>
      </c>
      <c r="L1077" s="36"/>
      <c r="M1077" s="36"/>
      <c r="N1077" s="36"/>
      <c r="O1077" s="36"/>
      <c r="P1077" s="36"/>
      <c r="Q1077" s="36"/>
      <c r="R1077" s="36" t="str">
        <f>IFERROR(__xludf.DUMMYFUNCTION("""COMPUTED_VALUE"""),"K")</f>
        <v>K</v>
      </c>
      <c r="S1077" s="39"/>
    </row>
    <row r="1078">
      <c r="B1078" s="36" t="str">
        <f>IFERROR(__xludf.DUMMYFUNCTION("""COMPUTED_VALUE"""),"Analis Data (Data Analyst)")</f>
        <v>Analis Data (Data Analyst)</v>
      </c>
      <c r="C1078" s="36"/>
      <c r="D1078" s="36"/>
      <c r="E1078" s="36"/>
      <c r="F1078" s="36" t="str">
        <f>IFERROR(__xludf.DUMMYFUNCTION("""COMPUTED_VALUE"""),"Putri Adelia Yunanto")</f>
        <v>Putri Adelia Yunanto</v>
      </c>
      <c r="G1078" s="36" t="str">
        <f>IFERROR(__xludf.DUMMYFUNCTION("""COMPUTED_VALUE"""),"7472066707030003")</f>
        <v>7472066707030003</v>
      </c>
      <c r="H1078" s="36"/>
      <c r="I1078" s="36"/>
      <c r="J1078" s="36" t="str">
        <f>IFERROR(__xludf.DUMMYFUNCTION("""COMPUTED_VALUE"""),"PEREMPUAN")</f>
        <v>PEREMPUAN</v>
      </c>
      <c r="K1078" s="36" t="str">
        <f>IFERROR(__xludf.DUMMYFUNCTION("""COMPUTED_VALUE"""),"Jalan Pendidikan")</f>
        <v>Jalan Pendidikan</v>
      </c>
      <c r="L1078" s="36"/>
      <c r="M1078" s="36"/>
      <c r="N1078" s="36"/>
      <c r="O1078" s="36"/>
      <c r="P1078" s="36"/>
      <c r="Q1078" s="36"/>
      <c r="R1078" s="36" t="str">
        <f>IFERROR(__xludf.DUMMYFUNCTION("""COMPUTED_VALUE"""),"K")</f>
        <v>K</v>
      </c>
      <c r="S1078" s="39"/>
    </row>
    <row r="1079">
      <c r="B1079" s="36" t="str">
        <f>IFERROR(__xludf.DUMMYFUNCTION("""COMPUTED_VALUE"""),"Digital Marketing")</f>
        <v>Digital Marketing</v>
      </c>
      <c r="C1079" s="36"/>
      <c r="D1079" s="36"/>
      <c r="E1079" s="36"/>
      <c r="F1079" s="36" t="str">
        <f>IFERROR(__xludf.DUMMYFUNCTION("""COMPUTED_VALUE"""),"GILANG BARGAMORENO")</f>
        <v>GILANG BARGAMORENO</v>
      </c>
      <c r="G1079" s="36" t="str">
        <f>IFERROR(__xludf.DUMMYFUNCTION("""COMPUTED_VALUE"""),"7471100406030001")</f>
        <v>7471100406030001</v>
      </c>
      <c r="H1079" s="36"/>
      <c r="I1079" s="36"/>
      <c r="J1079" s="36" t="str">
        <f>IFERROR(__xludf.DUMMYFUNCTION("""COMPUTED_VALUE"""),"LAKI-LAKI")</f>
        <v>LAKI-LAKI</v>
      </c>
      <c r="K1079" s="36" t="str">
        <f>IFERROR(__xludf.DUMMYFUNCTION("""COMPUTED_VALUE"""),"BTN UNHALU BLOK X NO 14")</f>
        <v>BTN UNHALU BLOK X NO 14</v>
      </c>
      <c r="L1079" s="36"/>
      <c r="M1079" s="36"/>
      <c r="N1079" s="36"/>
      <c r="O1079" s="36"/>
      <c r="P1079" s="36"/>
      <c r="Q1079" s="36"/>
      <c r="R1079" s="36" t="str">
        <f>IFERROR(__xludf.DUMMYFUNCTION("""COMPUTED_VALUE"""),"K")</f>
        <v>K</v>
      </c>
      <c r="S1079" s="39"/>
    </row>
    <row r="1080">
      <c r="B1080" s="36" t="str">
        <f>IFERROR(__xludf.DUMMYFUNCTION("""COMPUTED_VALUE"""),"Digital Marketing")</f>
        <v>Digital Marketing</v>
      </c>
      <c r="C1080" s="36"/>
      <c r="D1080" s="36"/>
      <c r="E1080" s="36"/>
      <c r="F1080" s="36" t="str">
        <f>IFERROR(__xludf.DUMMYFUNCTION("""COMPUTED_VALUE"""),"Rezki Miftahul Royan")</f>
        <v>Rezki Miftahul Royan</v>
      </c>
      <c r="G1080" s="36" t="str">
        <f>IFERROR(__xludf.DUMMYFUNCTION("""COMPUTED_VALUE"""),"7407012206030001")</f>
        <v>7407012206030001</v>
      </c>
      <c r="H1080" s="36"/>
      <c r="I1080" s="36"/>
      <c r="J1080" s="36" t="str">
        <f>IFERROR(__xludf.DUMMYFUNCTION("""COMPUTED_VALUE"""),"LAKI-LAKI")</f>
        <v>LAKI-LAKI</v>
      </c>
      <c r="K1080" s="36" t="str">
        <f>IFERROR(__xludf.DUMMYFUNCTION("""COMPUTED_VALUE"""),"Limbotonga, Waha, Wangi-wangi, Wakatobi")</f>
        <v>Limbotonga, Waha, Wangi-wangi, Wakatobi</v>
      </c>
      <c r="L1080" s="36"/>
      <c r="M1080" s="36"/>
      <c r="N1080" s="36"/>
      <c r="O1080" s="36"/>
      <c r="P1080" s="36"/>
      <c r="Q1080" s="36"/>
      <c r="R1080" s="36" t="str">
        <f>IFERROR(__xludf.DUMMYFUNCTION("""COMPUTED_VALUE"""),"K")</f>
        <v>K</v>
      </c>
      <c r="S1080" s="39"/>
    </row>
    <row r="1081">
      <c r="B1081" s="36" t="str">
        <f>IFERROR(__xludf.DUMMYFUNCTION("""COMPUTED_VALUE"""),"Pelayanan Pelanggan")</f>
        <v>Pelayanan Pelanggan</v>
      </c>
      <c r="C1081" s="36"/>
      <c r="D1081" s="36"/>
      <c r="E1081" s="36"/>
      <c r="F1081" s="36" t="str">
        <f>IFERROR(__xludf.DUMMYFUNCTION("""COMPUTED_VALUE"""),"LA ODE AZNIL")</f>
        <v>LA ODE AZNIL</v>
      </c>
      <c r="G1081" s="36" t="str">
        <f>IFERROR(__xludf.DUMMYFUNCTION("""COMPUTED_VALUE"""),"7404082104030001")</f>
        <v>7404082104030001</v>
      </c>
      <c r="H1081" s="36"/>
      <c r="I1081" s="36"/>
      <c r="J1081" s="36" t="str">
        <f>IFERROR(__xludf.DUMMYFUNCTION("""COMPUTED_VALUE"""),"Laki-Laki")</f>
        <v>Laki-Laki</v>
      </c>
      <c r="K1081" s="36" t="str">
        <f>IFERROR(__xludf.DUMMYFUNCTION("""COMPUTED_VALUE"""),"Desa Tanjung")</f>
        <v>Desa Tanjung</v>
      </c>
      <c r="L1081" s="36"/>
      <c r="M1081" s="36"/>
      <c r="N1081" s="36"/>
      <c r="O1081" s="36"/>
      <c r="P1081" s="36"/>
      <c r="Q1081" s="36"/>
      <c r="R1081" s="36" t="str">
        <f>IFERROR(__xludf.DUMMYFUNCTION("""COMPUTED_VALUE"""),"K")</f>
        <v>K</v>
      </c>
      <c r="S1081" s="39"/>
    </row>
    <row r="1082">
      <c r="B1082" s="36" t="str">
        <f>IFERROR(__xludf.DUMMYFUNCTION("""COMPUTED_VALUE"""),"Pelayanan Pelanggan")</f>
        <v>Pelayanan Pelanggan</v>
      </c>
      <c r="C1082" s="36"/>
      <c r="D1082" s="36"/>
      <c r="E1082" s="36"/>
      <c r="F1082" s="36" t="str">
        <f>IFERROR(__xludf.DUMMYFUNCTION("""COMPUTED_VALUE"""),"Veni Lutfiah Syamsudin")</f>
        <v>Veni Lutfiah Syamsudin</v>
      </c>
      <c r="G1082" s="36" t="str">
        <f>IFERROR(__xludf.DUMMYFUNCTION("""COMPUTED_VALUE"""),"7406024404030001")</f>
        <v>7406024404030001</v>
      </c>
      <c r="H1082" s="36"/>
      <c r="I1082" s="36"/>
      <c r="J1082" s="36" t="str">
        <f>IFERROR(__xludf.DUMMYFUNCTION("""COMPUTED_VALUE"""),"PEREMPUAN")</f>
        <v>PEREMPUAN</v>
      </c>
      <c r="K1082" s="36" t="str">
        <f>IFERROR(__xludf.DUMMYFUNCTION("""COMPUTED_VALUE"""),"Jl. R. Soeprapto, Mandonga")</f>
        <v>Jl. R. Soeprapto, Mandonga</v>
      </c>
      <c r="L1082" s="36"/>
      <c r="M1082" s="36"/>
      <c r="N1082" s="36"/>
      <c r="O1082" s="36"/>
      <c r="P1082" s="36"/>
      <c r="Q1082" s="36"/>
      <c r="R1082" s="36" t="str">
        <f>IFERROR(__xludf.DUMMYFUNCTION("""COMPUTED_VALUE"""),"K")</f>
        <v>K</v>
      </c>
      <c r="S1082" s="39"/>
    </row>
    <row r="1083">
      <c r="B1083" s="36" t="str">
        <f>IFERROR(__xludf.DUMMYFUNCTION("""COMPUTED_VALUE"""),"Pelayanan Pelanggan")</f>
        <v>Pelayanan Pelanggan</v>
      </c>
      <c r="C1083" s="36"/>
      <c r="D1083" s="36"/>
      <c r="E1083" s="36"/>
      <c r="F1083" s="36" t="str">
        <f>IFERROR(__xludf.DUMMYFUNCTION("""COMPUTED_VALUE"""),"Nadyah Anatonga")</f>
        <v>Nadyah Anatonga</v>
      </c>
      <c r="G1083" s="36" t="str">
        <f>IFERROR(__xludf.DUMMYFUNCTION("""COMPUTED_VALUE"""),"7406034710000001")</f>
        <v>7406034710000001</v>
      </c>
      <c r="H1083" s="36"/>
      <c r="I1083" s="36"/>
      <c r="J1083" s="36" t="str">
        <f>IFERROR(__xludf.DUMMYFUNCTION("""COMPUTED_VALUE"""),"PEREMPUAN")</f>
        <v>PEREMPUAN</v>
      </c>
      <c r="K1083" s="36" t="str">
        <f>IFERROR(__xludf.DUMMYFUNCTION("""COMPUTED_VALUE"""),"Btn djavino 6 blok i 20 ")</f>
        <v>Btn djavino 6 blok i 20 </v>
      </c>
      <c r="L1083" s="36"/>
      <c r="M1083" s="36"/>
      <c r="N1083" s="36"/>
      <c r="O1083" s="36"/>
      <c r="P1083" s="36"/>
      <c r="Q1083" s="36"/>
      <c r="R1083" s="36" t="str">
        <f>IFERROR(__xludf.DUMMYFUNCTION("""COMPUTED_VALUE"""),"K")</f>
        <v>K</v>
      </c>
      <c r="S1083" s="39"/>
    </row>
    <row r="1084">
      <c r="B1084" s="36" t="str">
        <f>IFERROR(__xludf.DUMMYFUNCTION("""COMPUTED_VALUE"""),"Pelayanan Pelanggan")</f>
        <v>Pelayanan Pelanggan</v>
      </c>
      <c r="C1084" s="36"/>
      <c r="D1084" s="36"/>
      <c r="E1084" s="36"/>
      <c r="F1084" s="36" t="str">
        <f>IFERROR(__xludf.DUMMYFUNCTION("""COMPUTED_VALUE"""),"Salmawati")</f>
        <v>Salmawati</v>
      </c>
      <c r="G1084" s="36" t="str">
        <f>IFERROR(__xludf.DUMMYFUNCTION("""COMPUTED_VALUE"""),"7472066805030005")</f>
        <v>7472066805030005</v>
      </c>
      <c r="H1084" s="36"/>
      <c r="I1084" s="36"/>
      <c r="J1084" s="36" t="str">
        <f>IFERROR(__xludf.DUMMYFUNCTION("""COMPUTED_VALUE"""),"PEREMPUAN")</f>
        <v>PEREMPUAN</v>
      </c>
      <c r="K1084" s="36" t="str">
        <f>IFERROR(__xludf.DUMMYFUNCTION("""COMPUTED_VALUE"""),"Jl. Betoambari, Lrg. Penerangan Kota Baubau")</f>
        <v>Jl. Betoambari, Lrg. Penerangan Kota Baubau</v>
      </c>
      <c r="L1084" s="36"/>
      <c r="M1084" s="36"/>
      <c r="N1084" s="36"/>
      <c r="O1084" s="36"/>
      <c r="P1084" s="36"/>
      <c r="Q1084" s="36"/>
      <c r="R1084" s="36" t="str">
        <f>IFERROR(__xludf.DUMMYFUNCTION("""COMPUTED_VALUE"""),"K")</f>
        <v>K</v>
      </c>
      <c r="S1084" s="39"/>
    </row>
    <row r="1085">
      <c r="B1085" s="36" t="str">
        <f>IFERROR(__xludf.DUMMYFUNCTION("""COMPUTED_VALUE"""),"Pelayanan Pelanggan")</f>
        <v>Pelayanan Pelanggan</v>
      </c>
      <c r="C1085" s="36"/>
      <c r="D1085" s="36"/>
      <c r="E1085" s="36"/>
      <c r="F1085" s="36" t="str">
        <f>IFERROR(__xludf.DUMMYFUNCTION("""COMPUTED_VALUE"""),"HADRILLAN ALWI")</f>
        <v>HADRILLAN ALWI</v>
      </c>
      <c r="G1085" s="36" t="str">
        <f>IFERROR(__xludf.DUMMYFUNCTION("""COMPUTED_VALUE"""),"7403114606030001")</f>
        <v>7403114606030001</v>
      </c>
      <c r="H1085" s="36"/>
      <c r="I1085" s="36"/>
      <c r="J1085" s="36" t="str">
        <f>IFERROR(__xludf.DUMMYFUNCTION("""COMPUTED_VALUE"""),"PEREMPUAN")</f>
        <v>PEREMPUAN</v>
      </c>
      <c r="K1085" s="36" t="str">
        <f>IFERROR(__xludf.DUMMYFUNCTION("""COMPUTED_VALUE"""),"Jalan Mangkerey")</f>
        <v>Jalan Mangkerey</v>
      </c>
      <c r="L1085" s="36"/>
      <c r="M1085" s="36"/>
      <c r="N1085" s="36"/>
      <c r="O1085" s="36"/>
      <c r="P1085" s="36"/>
      <c r="Q1085" s="36"/>
      <c r="R1085" s="36" t="str">
        <f>IFERROR(__xludf.DUMMYFUNCTION("""COMPUTED_VALUE"""),"K")</f>
        <v>K</v>
      </c>
      <c r="S1085" s="39"/>
    </row>
    <row r="1086">
      <c r="B1086" s="36" t="str">
        <f>IFERROR(__xludf.DUMMYFUNCTION("""COMPUTED_VALUE"""),"Pelayanan Pelanggan")</f>
        <v>Pelayanan Pelanggan</v>
      </c>
      <c r="C1086" s="36"/>
      <c r="D1086" s="36"/>
      <c r="E1086" s="36"/>
      <c r="F1086" s="36" t="str">
        <f>IFERROR(__xludf.DUMMYFUNCTION("""COMPUTED_VALUE"""),"Magfirah Radianhy")</f>
        <v>Magfirah Radianhy</v>
      </c>
      <c r="G1086" s="36" t="str">
        <f>IFERROR(__xludf.DUMMYFUNCTION("""COMPUTED_VALUE"""),"7407054804030001")</f>
        <v>7407054804030001</v>
      </c>
      <c r="H1086" s="36"/>
      <c r="I1086" s="36"/>
      <c r="J1086" s="36" t="str">
        <f>IFERROR(__xludf.DUMMYFUNCTION("""COMPUTED_VALUE"""),"PEREMPUAN")</f>
        <v>PEREMPUAN</v>
      </c>
      <c r="K1086" s="36" t="str">
        <f>IFERROR(__xludf.DUMMYFUNCTION("""COMPUTED_VALUE"""),"Dusun walando, desa walando")</f>
        <v>Dusun walando, desa walando</v>
      </c>
      <c r="L1086" s="36"/>
      <c r="M1086" s="36"/>
      <c r="N1086" s="36"/>
      <c r="O1086" s="36"/>
      <c r="P1086" s="36"/>
      <c r="Q1086" s="36"/>
      <c r="R1086" s="36" t="str">
        <f>IFERROR(__xludf.DUMMYFUNCTION("""COMPUTED_VALUE"""),"K")</f>
        <v>K</v>
      </c>
      <c r="S1086" s="39"/>
    </row>
    <row r="1087">
      <c r="B1087" s="36" t="str">
        <f>IFERROR(__xludf.DUMMYFUNCTION("""COMPUTED_VALUE"""),"Pelayanan Pelanggan")</f>
        <v>Pelayanan Pelanggan</v>
      </c>
      <c r="C1087" s="36"/>
      <c r="D1087" s="36"/>
      <c r="E1087" s="36"/>
      <c r="F1087" s="36" t="str">
        <f>IFERROR(__xludf.DUMMYFUNCTION("""COMPUTED_VALUE"""),"Firly Aulia Farani ")</f>
        <v>Firly Aulia Farani </v>
      </c>
      <c r="G1087" s="36" t="str">
        <f>IFERROR(__xludf.DUMMYFUNCTION("""COMPUTED_VALUE"""),"7471104905030001")</f>
        <v>7471104905030001</v>
      </c>
      <c r="H1087" s="36"/>
      <c r="I1087" s="36"/>
      <c r="J1087" s="36" t="str">
        <f>IFERROR(__xludf.DUMMYFUNCTION("""COMPUTED_VALUE"""),"PEREMPUAN")</f>
        <v>PEREMPUAN</v>
      </c>
      <c r="K1087" s="36" t="str">
        <f>IFERROR(__xludf.DUMMYFUNCTION("""COMPUTED_VALUE"""),"LINGK. IV POEA")</f>
        <v>LINGK. IV POEA</v>
      </c>
      <c r="L1087" s="36"/>
      <c r="M1087" s="36"/>
      <c r="N1087" s="36"/>
      <c r="O1087" s="36"/>
      <c r="P1087" s="36"/>
      <c r="Q1087" s="36"/>
      <c r="R1087" s="36" t="str">
        <f>IFERROR(__xludf.DUMMYFUNCTION("""COMPUTED_VALUE"""),"K")</f>
        <v>K</v>
      </c>
      <c r="S1087" s="39"/>
    </row>
    <row r="1088">
      <c r="B1088" s="36" t="str">
        <f>IFERROR(__xludf.DUMMYFUNCTION("""COMPUTED_VALUE"""),"Pelayanan Pelanggan")</f>
        <v>Pelayanan Pelanggan</v>
      </c>
      <c r="C1088" s="36"/>
      <c r="D1088" s="36"/>
      <c r="E1088" s="36"/>
      <c r="F1088" s="36" t="str">
        <f>IFERROR(__xludf.DUMMYFUNCTION("""COMPUTED_VALUE"""),"SITTI NUR ZAYANTI UDU ")</f>
        <v>SITTI NUR ZAYANTI UDU </v>
      </c>
      <c r="G1088" s="36" t="str">
        <f>IFERROR(__xludf.DUMMYFUNCTION("""COMPUTED_VALUE"""),"7403156810010001")</f>
        <v>7403156810010001</v>
      </c>
      <c r="H1088" s="36"/>
      <c r="I1088" s="36"/>
      <c r="J1088" s="36" t="str">
        <f>IFERROR(__xludf.DUMMYFUNCTION("""COMPUTED_VALUE"""),"PEREMPUAN")</f>
        <v>PEREMPUAN</v>
      </c>
      <c r="K1088" s="36" t="str">
        <f>IFERROR(__xludf.DUMMYFUNCTION("""COMPUTED_VALUE"""),"Jl. Made Sabara ")</f>
        <v>Jl. Made Sabara </v>
      </c>
      <c r="L1088" s="36"/>
      <c r="M1088" s="36"/>
      <c r="N1088" s="36"/>
      <c r="O1088" s="36"/>
      <c r="P1088" s="36"/>
      <c r="Q1088" s="36"/>
      <c r="R1088" s="36" t="str">
        <f>IFERROR(__xludf.DUMMYFUNCTION("""COMPUTED_VALUE"""),"K")</f>
        <v>K</v>
      </c>
      <c r="S1088" s="39"/>
    </row>
    <row r="1089">
      <c r="B1089" s="36" t="str">
        <f>IFERROR(__xludf.DUMMYFUNCTION("""COMPUTED_VALUE"""),"Pelayanan Pelanggan")</f>
        <v>Pelayanan Pelanggan</v>
      </c>
      <c r="C1089" s="36"/>
      <c r="D1089" s="36"/>
      <c r="E1089" s="36"/>
      <c r="F1089" s="36" t="str">
        <f>IFERROR(__xludf.DUMMYFUNCTION("""COMPUTED_VALUE"""),"Sabah Rianthy")</f>
        <v>Sabah Rianthy</v>
      </c>
      <c r="G1089" s="36" t="str">
        <f>IFERROR(__xludf.DUMMYFUNCTION("""COMPUTED_VALUE"""),"7407055303030001")</f>
        <v>7407055303030001</v>
      </c>
      <c r="H1089" s="36"/>
      <c r="I1089" s="36"/>
      <c r="J1089" s="36" t="str">
        <f>IFERROR(__xludf.DUMMYFUNCTION("""COMPUTED_VALUE"""),"PEREMPUAN")</f>
        <v>PEREMPUAN</v>
      </c>
      <c r="K1089" s="36" t="str">
        <f>IFERROR(__xludf.DUMMYFUNCTION("""COMPUTED_VALUE"""),"Bantea II, Kel. Mandati II, Kec. Wangi-Wangi Selatan")</f>
        <v>Bantea II, Kel. Mandati II, Kec. Wangi-Wangi Selatan</v>
      </c>
      <c r="L1089" s="36"/>
      <c r="M1089" s="36"/>
      <c r="N1089" s="36"/>
      <c r="O1089" s="36"/>
      <c r="P1089" s="36"/>
      <c r="Q1089" s="36"/>
      <c r="R1089" s="36" t="str">
        <f>IFERROR(__xludf.DUMMYFUNCTION("""COMPUTED_VALUE"""),"K")</f>
        <v>K</v>
      </c>
      <c r="S1089" s="39"/>
    </row>
    <row r="1090">
      <c r="B1090" s="36" t="str">
        <f>IFERROR(__xludf.DUMMYFUNCTION("""COMPUTED_VALUE"""),"Pembuatan Desain Grafis")</f>
        <v>Pembuatan Desain Grafis</v>
      </c>
      <c r="C1090" s="36"/>
      <c r="D1090" s="36"/>
      <c r="E1090" s="36"/>
      <c r="F1090" s="36" t="str">
        <f>IFERROR(__xludf.DUMMYFUNCTION("""COMPUTED_VALUE"""),"Audi Hamid")</f>
        <v>Audi Hamid</v>
      </c>
      <c r="G1090" s="36" t="str">
        <f>IFERROR(__xludf.DUMMYFUNCTION("""COMPUTED_VALUE"""),"7471035306030001")</f>
        <v>7471035306030001</v>
      </c>
      <c r="H1090" s="36"/>
      <c r="I1090" s="36"/>
      <c r="J1090" s="36" t="str">
        <f>IFERROR(__xludf.DUMMYFUNCTION("""COMPUTED_VALUE"""),"PEREMPUAN")</f>
        <v>PEREMPUAN</v>
      </c>
      <c r="K1090" s="36" t="str">
        <f>IFERROR(__xludf.DUMMYFUNCTION("""COMPUTED_VALUE"""),"Jl. Cristina M. Tiahahu, No. 9, RT 003, RW 002, Kelurahan Lepo-lepo, Kecamatan Baruga")</f>
        <v>Jl. Cristina M. Tiahahu, No. 9, RT 003, RW 002, Kelurahan Lepo-lepo, Kecamatan Baruga</v>
      </c>
      <c r="L1090" s="36"/>
      <c r="M1090" s="36"/>
      <c r="N1090" s="36"/>
      <c r="O1090" s="36"/>
      <c r="P1090" s="36"/>
      <c r="Q1090" s="36"/>
      <c r="R1090" s="36" t="str">
        <f>IFERROR(__xludf.DUMMYFUNCTION("""COMPUTED_VALUE"""),"K")</f>
        <v>K</v>
      </c>
      <c r="S1090" s="39"/>
    </row>
    <row r="1091">
      <c r="B1091" s="36" t="str">
        <f>IFERROR(__xludf.DUMMYFUNCTION("""COMPUTED_VALUE"""),"Pembuatan Desain Grafis")</f>
        <v>Pembuatan Desain Grafis</v>
      </c>
      <c r="C1091" s="36"/>
      <c r="D1091" s="36"/>
      <c r="E1091" s="36"/>
      <c r="F1091" s="36" t="str">
        <f>IFERROR(__xludf.DUMMYFUNCTION("""COMPUTED_VALUE"""),"Rizky Prasetya Ardana")</f>
        <v>Rizky Prasetya Ardana</v>
      </c>
      <c r="G1091" s="36" t="str">
        <f>IFERROR(__xludf.DUMMYFUNCTION("""COMPUTED_VALUE"""),"7471102801020002")</f>
        <v>7471102801020002</v>
      </c>
      <c r="H1091" s="36"/>
      <c r="I1091" s="36"/>
      <c r="J1091" s="36" t="str">
        <f>IFERROR(__xludf.DUMMYFUNCTION("""COMPUTED_VALUE"""),"LAKI-LAKI")</f>
        <v>LAKI-LAKI</v>
      </c>
      <c r="K1091" s="36" t="str">
        <f>IFERROR(__xludf.DUMMYFUNCTION("""COMPUTED_VALUE"""),"BTN  Grand Boulevard Regency Blok B14")</f>
        <v>BTN  Grand Boulevard Regency Blok B14</v>
      </c>
      <c r="L1091" s="36"/>
      <c r="M1091" s="36"/>
      <c r="N1091" s="36"/>
      <c r="O1091" s="36"/>
      <c r="P1091" s="36"/>
      <c r="Q1091" s="36"/>
      <c r="R1091" s="36" t="str">
        <f>IFERROR(__xludf.DUMMYFUNCTION("""COMPUTED_VALUE"""),"K")</f>
        <v>K</v>
      </c>
      <c r="S1091" s="39"/>
    </row>
    <row r="1092">
      <c r="B1092" s="36" t="str">
        <f>IFERROR(__xludf.DUMMYFUNCTION("""COMPUTED_VALUE"""),"Pembuatan Desain Grafis")</f>
        <v>Pembuatan Desain Grafis</v>
      </c>
      <c r="C1092" s="36"/>
      <c r="D1092" s="36"/>
      <c r="E1092" s="36"/>
      <c r="F1092" s="36" t="str">
        <f>IFERROR(__xludf.DUMMYFUNCTION("""COMPUTED_VALUE"""),"FARHAN HIDAYAT")</f>
        <v>FARHAN HIDAYAT</v>
      </c>
      <c r="G1092" s="36" t="str">
        <f>IFERROR(__xludf.DUMMYFUNCTION("""COMPUTED_VALUE"""),"6371032003030008")</f>
        <v>6371032003030008</v>
      </c>
      <c r="H1092" s="36"/>
      <c r="I1092" s="36"/>
      <c r="J1092" s="36" t="str">
        <f>IFERROR(__xludf.DUMMYFUNCTION("""COMPUTED_VALUE"""),"LAKI-LAKI")</f>
        <v>LAKI-LAKI</v>
      </c>
      <c r="K1092" s="36" t="str">
        <f>IFERROR(__xludf.DUMMYFUNCTION("""COMPUTED_VALUE"""),"Lr. Stai Jl. K.H. Syukur")</f>
        <v>Lr. Stai Jl. K.H. Syukur</v>
      </c>
      <c r="L1092" s="36"/>
      <c r="M1092" s="36"/>
      <c r="N1092" s="36"/>
      <c r="O1092" s="36"/>
      <c r="P1092" s="36"/>
      <c r="Q1092" s="36"/>
      <c r="R1092" s="36" t="str">
        <f>IFERROR(__xludf.DUMMYFUNCTION("""COMPUTED_VALUE"""),"K")</f>
        <v>K</v>
      </c>
      <c r="S1092" s="39"/>
    </row>
    <row r="1093">
      <c r="B1093" s="36" t="str">
        <f>IFERROR(__xludf.DUMMYFUNCTION("""COMPUTED_VALUE"""),"Pembuatan Desain Grafis")</f>
        <v>Pembuatan Desain Grafis</v>
      </c>
      <c r="C1093" s="36"/>
      <c r="D1093" s="36"/>
      <c r="E1093" s="36"/>
      <c r="F1093" s="36" t="str">
        <f>IFERROR(__xludf.DUMMYFUNCTION("""COMPUTED_VALUE"""),"Wanda")</f>
        <v>Wanda</v>
      </c>
      <c r="G1093" s="36" t="str">
        <f>IFERROR(__xludf.DUMMYFUNCTION("""COMPUTED_VALUE"""),"7404196812020003")</f>
        <v>7404196812020003</v>
      </c>
      <c r="H1093" s="36"/>
      <c r="I1093" s="36"/>
      <c r="J1093" s="36" t="str">
        <f>IFERROR(__xludf.DUMMYFUNCTION("""COMPUTED_VALUE"""),"PEREMPUAN")</f>
        <v>PEREMPUAN</v>
      </c>
      <c r="K1093" s="36" t="str">
        <f>IFERROR(__xludf.DUMMYFUNCTION("""COMPUTED_VALUE"""),"Kaofe, Kecamatan Kadatua, Kabupaten Buton Selatan")</f>
        <v>Kaofe, Kecamatan Kadatua, Kabupaten Buton Selatan</v>
      </c>
      <c r="L1093" s="36"/>
      <c r="M1093" s="36"/>
      <c r="N1093" s="36"/>
      <c r="O1093" s="36"/>
      <c r="P1093" s="36"/>
      <c r="Q1093" s="36"/>
      <c r="R1093" s="36" t="str">
        <f>IFERROR(__xludf.DUMMYFUNCTION("""COMPUTED_VALUE"""),"K")</f>
        <v>K</v>
      </c>
      <c r="S1093" s="39"/>
    </row>
    <row r="1094">
      <c r="B1094" s="36" t="str">
        <f>IFERROR(__xludf.DUMMYFUNCTION("""COMPUTED_VALUE"""),"Operator Komputer (Computer Operator")</f>
        <v>Operator Komputer (Computer Operator</v>
      </c>
      <c r="C1094" s="36"/>
      <c r="D1094" s="36"/>
      <c r="E1094" s="36"/>
      <c r="F1094" s="36" t="str">
        <f>IFERROR(__xludf.DUMMYFUNCTION("""COMPUTED_VALUE"""),"SITTI NUR HALIZA")</f>
        <v>SITTI NUR HALIZA</v>
      </c>
      <c r="G1094" s="36" t="str">
        <f>IFERROR(__xludf.DUMMYFUNCTION("""COMPUTED_VALUE"""),"7471095210020003")</f>
        <v>7471095210020003</v>
      </c>
      <c r="H1094" s="36"/>
      <c r="I1094" s="36"/>
      <c r="J1094" s="36" t="str">
        <f>IFERROR(__xludf.DUMMYFUNCTION("""COMPUTED_VALUE"""),"PEREMPUAN")</f>
        <v>PEREMPUAN</v>
      </c>
      <c r="K1094" s="36" t="str">
        <f>IFERROR(__xludf.DUMMYFUNCTION("""COMPUTED_VALUE"""),"Jl. Haeba Ujung No. 32")</f>
        <v>Jl. Haeba Ujung No. 32</v>
      </c>
      <c r="L1094" s="36"/>
      <c r="M1094" s="36"/>
      <c r="N1094" s="36"/>
      <c r="O1094" s="36"/>
      <c r="P1094" s="36"/>
      <c r="Q1094" s="36"/>
      <c r="R1094" s="36" t="str">
        <f>IFERROR(__xludf.DUMMYFUNCTION("""COMPUTED_VALUE"""),"K")</f>
        <v>K</v>
      </c>
      <c r="S1094" s="39"/>
    </row>
    <row r="1095">
      <c r="B1095" s="36" t="str">
        <f>IFERROR(__xludf.DUMMYFUNCTION("""COMPUTED_VALUE"""),"Operator Komputer (Computer Operator")</f>
        <v>Operator Komputer (Computer Operator</v>
      </c>
      <c r="C1095" s="36"/>
      <c r="D1095" s="36"/>
      <c r="E1095" s="36"/>
      <c r="F1095" s="36" t="str">
        <f>IFERROR(__xludf.DUMMYFUNCTION("""COMPUTED_VALUE"""),"Muhammad Akbar As'ad Ishaq")</f>
        <v>Muhammad Akbar As'ad Ishaq</v>
      </c>
      <c r="G1095" s="36" t="str">
        <f>IFERROR(__xludf.DUMMYFUNCTION("""COMPUTED_VALUE"""),"7471042106020003")</f>
        <v>7471042106020003</v>
      </c>
      <c r="H1095" s="36"/>
      <c r="I1095" s="36"/>
      <c r="J1095" s="36" t="str">
        <f>IFERROR(__xludf.DUMMYFUNCTION("""COMPUTED_VALUE"""),"LAKI-LAKI")</f>
        <v>LAKI-LAKI</v>
      </c>
      <c r="K1095" s="36" t="str">
        <f>IFERROR(__xludf.DUMMYFUNCTION("""COMPUTED_VALUE"""),"Btn Mahkota Hijau Blok H/9")</f>
        <v>Btn Mahkota Hijau Blok H/9</v>
      </c>
      <c r="L1095" s="36"/>
      <c r="M1095" s="36"/>
      <c r="N1095" s="36"/>
      <c r="O1095" s="36"/>
      <c r="P1095" s="36"/>
      <c r="Q1095" s="36"/>
      <c r="R1095" s="36" t="str">
        <f>IFERROR(__xludf.DUMMYFUNCTION("""COMPUTED_VALUE"""),"K")</f>
        <v>K</v>
      </c>
      <c r="S1095" s="39"/>
    </row>
    <row r="1096">
      <c r="B1096" s="36" t="str">
        <f>IFERROR(__xludf.DUMMYFUNCTION("""COMPUTED_VALUE"""),"Operator Komputer (Computer Operator")</f>
        <v>Operator Komputer (Computer Operator</v>
      </c>
      <c r="C1096" s="36"/>
      <c r="D1096" s="36"/>
      <c r="E1096" s="36"/>
      <c r="F1096" s="36" t="str">
        <f>IFERROR(__xludf.DUMMYFUNCTION("""COMPUTED_VALUE"""),"Nur Hirawati")</f>
        <v>Nur Hirawati</v>
      </c>
      <c r="G1096" s="36" t="str">
        <f>IFERROR(__xludf.DUMMYFUNCTION("""COMPUTED_VALUE"""),"7408024807030001")</f>
        <v>7408024807030001</v>
      </c>
      <c r="H1096" s="36"/>
      <c r="I1096" s="36"/>
      <c r="J1096" s="36" t="str">
        <f>IFERROR(__xludf.DUMMYFUNCTION("""COMPUTED_VALUE"""),"PEREMPUAN")</f>
        <v>PEREMPUAN</v>
      </c>
      <c r="K1096" s="36" t="str">
        <f>IFERROR(__xludf.DUMMYFUNCTION("""COMPUTED_VALUE"""),"Desa Lalume, Kecamatan Pakue, Kabupaten Kolaka Utara, Sulawesi Tenggara")</f>
        <v>Desa Lalume, Kecamatan Pakue, Kabupaten Kolaka Utara, Sulawesi Tenggara</v>
      </c>
      <c r="L1096" s="36"/>
      <c r="M1096" s="36"/>
      <c r="N1096" s="36"/>
      <c r="O1096" s="36"/>
      <c r="P1096" s="36"/>
      <c r="Q1096" s="36"/>
      <c r="R1096" s="36" t="str">
        <f>IFERROR(__xludf.DUMMYFUNCTION("""COMPUTED_VALUE"""),"K")</f>
        <v>K</v>
      </c>
      <c r="S1096" s="39"/>
    </row>
    <row r="1097">
      <c r="B1097" s="36" t="str">
        <f>IFERROR(__xludf.DUMMYFUNCTION("""COMPUTED_VALUE"""),"Operator Komputer (Computer Operator")</f>
        <v>Operator Komputer (Computer Operator</v>
      </c>
      <c r="C1097" s="36"/>
      <c r="D1097" s="36"/>
      <c r="E1097" s="36"/>
      <c r="F1097" s="36" t="str">
        <f>IFERROR(__xludf.DUMMYFUNCTION("""COMPUTED_VALUE"""),"NASRULLAH FATURACHMADDIN ")</f>
        <v>NASRULLAH FATURACHMADDIN </v>
      </c>
      <c r="G1097" s="36" t="str">
        <f>IFERROR(__xludf.DUMMYFUNCTION("""COMPUTED_VALUE"""),"9171020703030002")</f>
        <v>9171020703030002</v>
      </c>
      <c r="H1097" s="36"/>
      <c r="I1097" s="36"/>
      <c r="J1097" s="36" t="str">
        <f>IFERROR(__xludf.DUMMYFUNCTION("""COMPUTED_VALUE"""),"LAKI-LAKI")</f>
        <v>LAKI-LAKI</v>
      </c>
      <c r="K1097" s="36" t="str">
        <f>IFERROR(__xludf.DUMMYFUNCTION("""COMPUTED_VALUE"""),"JL. BUDI UTOMO NO.2 B")</f>
        <v>JL. BUDI UTOMO NO.2 B</v>
      </c>
      <c r="L1097" s="36"/>
      <c r="M1097" s="36"/>
      <c r="N1097" s="36"/>
      <c r="O1097" s="36"/>
      <c r="P1097" s="36"/>
      <c r="Q1097" s="36"/>
      <c r="R1097" s="36" t="str">
        <f>IFERROR(__xludf.DUMMYFUNCTION("""COMPUTED_VALUE"""),"K")</f>
        <v>K</v>
      </c>
      <c r="S1097" s="39"/>
    </row>
    <row r="1098">
      <c r="B1098" s="36" t="str">
        <f>IFERROR(__xludf.DUMMYFUNCTION("""COMPUTED_VALUE"""),"Operator Komputer (Computer Operator")</f>
        <v>Operator Komputer (Computer Operator</v>
      </c>
      <c r="C1098" s="36"/>
      <c r="D1098" s="36"/>
      <c r="E1098" s="36"/>
      <c r="F1098" s="36" t="str">
        <f>IFERROR(__xludf.DUMMYFUNCTION("""COMPUTED_VALUE"""),"WA ODE ULFA FIDARNI")</f>
        <v>WA ODE ULFA FIDARNI</v>
      </c>
      <c r="G1098" s="36" t="str">
        <f>IFERROR(__xludf.DUMMYFUNCTION("""COMPUTED_VALUE"""),"7404064108030001")</f>
        <v>7404064108030001</v>
      </c>
      <c r="H1098" s="36"/>
      <c r="I1098" s="36"/>
      <c r="J1098" s="36" t="str">
        <f>IFERROR(__xludf.DUMMYFUNCTION("""COMPUTED_VALUE"""),"PEREMPUAN")</f>
        <v>PEREMPUAN</v>
      </c>
      <c r="K1098" s="36" t="str">
        <f>IFERROR(__xludf.DUMMYFUNCTION("""COMPUTED_VALUE"""),"Jl. Bataraguru, Kel. Bataraguru, Kec. Wolio, Kota Baubau, Sulawesi Tenggara")</f>
        <v>Jl. Bataraguru, Kel. Bataraguru, Kec. Wolio, Kota Baubau, Sulawesi Tenggara</v>
      </c>
      <c r="L1098" s="36"/>
      <c r="M1098" s="36"/>
      <c r="N1098" s="36"/>
      <c r="O1098" s="36"/>
      <c r="P1098" s="36"/>
      <c r="Q1098" s="36"/>
      <c r="R1098" s="36" t="str">
        <f>IFERROR(__xludf.DUMMYFUNCTION("""COMPUTED_VALUE"""),"K")</f>
        <v>K</v>
      </c>
      <c r="S1098" s="39"/>
    </row>
    <row r="1099">
      <c r="B1099" s="36" t="str">
        <f>IFERROR(__xludf.DUMMYFUNCTION("""COMPUTED_VALUE"""),"Operator Komputer (Computer Operator")</f>
        <v>Operator Komputer (Computer Operator</v>
      </c>
      <c r="C1099" s="36"/>
      <c r="D1099" s="36"/>
      <c r="E1099" s="36"/>
      <c r="F1099" s="36" t="str">
        <f>IFERROR(__xludf.DUMMYFUNCTION("""COMPUTED_VALUE"""),"Rahul Hadi Prayitno ")</f>
        <v>Rahul Hadi Prayitno </v>
      </c>
      <c r="G1099" s="36" t="str">
        <f>IFERROR(__xludf.DUMMYFUNCTION("""COMPUTED_VALUE"""),"7410042106030001")</f>
        <v>7410042106030001</v>
      </c>
      <c r="H1099" s="36"/>
      <c r="I1099" s="36"/>
      <c r="J1099" s="36" t="str">
        <f>IFERROR(__xludf.DUMMYFUNCTION("""COMPUTED_VALUE"""),"LAKI-LAKI")</f>
        <v>LAKI-LAKI</v>
      </c>
      <c r="K1099" s="36" t="str">
        <f>IFERROR(__xludf.DUMMYFUNCTION("""COMPUTED_VALUE"""),"BTN palagimata no 1 blok 2")</f>
        <v>BTN palagimata no 1 blok 2</v>
      </c>
      <c r="L1099" s="36"/>
      <c r="M1099" s="36"/>
      <c r="N1099" s="36"/>
      <c r="O1099" s="36"/>
      <c r="P1099" s="36"/>
      <c r="Q1099" s="36"/>
      <c r="R1099" s="36" t="str">
        <f>IFERROR(__xludf.DUMMYFUNCTION("""COMPUTED_VALUE"""),"K")</f>
        <v>K</v>
      </c>
      <c r="S1099" s="39"/>
    </row>
    <row r="1100">
      <c r="B1100" s="36" t="str">
        <f>IFERROR(__xludf.DUMMYFUNCTION("""COMPUTED_VALUE"""),"Penyusunan Laporan Keuangan Untuk Pemula")</f>
        <v>Penyusunan Laporan Keuangan Untuk Pemula</v>
      </c>
      <c r="C1100" s="36"/>
      <c r="D1100" s="36"/>
      <c r="E1100" s="36"/>
      <c r="F1100" s="36" t="str">
        <f>IFERROR(__xludf.DUMMYFUNCTION("""COMPUTED_VALUE"""),"Fachrul Fachrozi Basrah")</f>
        <v>Fachrul Fachrozi Basrah</v>
      </c>
      <c r="G1100" s="36" t="str">
        <f>IFERROR(__xludf.DUMMYFUNCTION("""COMPUTED_VALUE"""),"7371030810030004")</f>
        <v>7371030810030004</v>
      </c>
      <c r="H1100" s="36"/>
      <c r="I1100" s="36"/>
      <c r="J1100" s="36" t="str">
        <f>IFERROR(__xludf.DUMMYFUNCTION("""COMPUTED_VALUE"""),"LAKI-LAKI")</f>
        <v>LAKI-LAKI</v>
      </c>
      <c r="K1100" s="36" t="str">
        <f>IFERROR(__xludf.DUMMYFUNCTION("""COMPUTED_VALUE"""),"Jl. Toddopuli 15 Baru")</f>
        <v>Jl. Toddopuli 15 Baru</v>
      </c>
      <c r="L1100" s="36"/>
      <c r="M1100" s="36"/>
      <c r="N1100" s="36"/>
      <c r="O1100" s="36"/>
      <c r="P1100" s="36"/>
      <c r="Q1100" s="36"/>
      <c r="R1100" s="36" t="str">
        <f>IFERROR(__xludf.DUMMYFUNCTION("""COMPUTED_VALUE"""),"K")</f>
        <v>K</v>
      </c>
      <c r="S1100" s="39"/>
    </row>
    <row r="1101">
      <c r="B1101" s="36" t="str">
        <f>IFERROR(__xludf.DUMMYFUNCTION("""COMPUTED_VALUE"""),"Penyusunan Laporan Keuangan Untuk Pemula")</f>
        <v>Penyusunan Laporan Keuangan Untuk Pemula</v>
      </c>
      <c r="C1101" s="36"/>
      <c r="D1101" s="36"/>
      <c r="E1101" s="36"/>
      <c r="F1101" s="36" t="str">
        <f>IFERROR(__xludf.DUMMYFUNCTION("""COMPUTED_VALUE"""),"Siska Kasmaniar Husrani")</f>
        <v>Siska Kasmaniar Husrani</v>
      </c>
      <c r="G1101" s="36" t="str">
        <f>IFERROR(__xludf.DUMMYFUNCTION("""COMPUTED_VALUE"""),"7472016505030003")</f>
        <v>7472016505030003</v>
      </c>
      <c r="H1101" s="36"/>
      <c r="I1101" s="36"/>
      <c r="J1101" s="36" t="str">
        <f>IFERROR(__xludf.DUMMYFUNCTION("""COMPUTED_VALUE"""),"PEREMPUAN")</f>
        <v>PEREMPUAN</v>
      </c>
      <c r="K1101" s="36" t="str">
        <f>IFERROR(__xludf.DUMMYFUNCTION("""COMPUTED_VALUE"""),"Jl. Limbo Wolio, No.3, Kel.Lipu, Kec.Betoambari, Kota BauBau")</f>
        <v>Jl. Limbo Wolio, No.3, Kel.Lipu, Kec.Betoambari, Kota BauBau</v>
      </c>
      <c r="L1101" s="36"/>
      <c r="M1101" s="36"/>
      <c r="N1101" s="36"/>
      <c r="O1101" s="36"/>
      <c r="P1101" s="36"/>
      <c r="Q1101" s="36"/>
      <c r="R1101" s="36" t="str">
        <f>IFERROR(__xludf.DUMMYFUNCTION("""COMPUTED_VALUE"""),"K")</f>
        <v>K</v>
      </c>
      <c r="S1101" s="39"/>
    </row>
    <row r="1102">
      <c r="B1102" s="36" t="str">
        <f>IFERROR(__xludf.DUMMYFUNCTION("""COMPUTED_VALUE"""),"Penyusunan Laporan Keuangan Untuk Pemula")</f>
        <v>Penyusunan Laporan Keuangan Untuk Pemula</v>
      </c>
      <c r="C1102" s="36"/>
      <c r="D1102" s="36"/>
      <c r="E1102" s="36"/>
      <c r="F1102" s="36" t="str">
        <f>IFERROR(__xludf.DUMMYFUNCTION("""COMPUTED_VALUE"""),"Dikna Dwicolyn Malik")</f>
        <v>Dikna Dwicolyn Malik</v>
      </c>
      <c r="G1102" s="36" t="str">
        <f>IFERROR(__xludf.DUMMYFUNCTION("""COMPUTED_VALUE"""),"7403154403010001")</f>
        <v>7403154403010001</v>
      </c>
      <c r="H1102" s="36"/>
      <c r="I1102" s="36"/>
      <c r="J1102" s="36" t="str">
        <f>IFERROR(__xludf.DUMMYFUNCTION("""COMPUTED_VALUE"""),"PEREMPUAN")</f>
        <v>PEREMPUAN</v>
      </c>
      <c r="K1102" s="36" t="str">
        <f>IFERROR(__xludf.DUMMYFUNCTION("""COMPUTED_VALUE"""),"BOULVARD-BRISTOWN HOUSE")</f>
        <v>BOULVARD-BRISTOWN HOUSE</v>
      </c>
      <c r="L1102" s="36"/>
      <c r="M1102" s="36"/>
      <c r="N1102" s="36"/>
      <c r="O1102" s="36"/>
      <c r="P1102" s="36"/>
      <c r="Q1102" s="36"/>
      <c r="R1102" s="36" t="str">
        <f>IFERROR(__xludf.DUMMYFUNCTION("""COMPUTED_VALUE"""),"K")</f>
        <v>K</v>
      </c>
      <c r="S1102" s="39"/>
    </row>
    <row r="1103">
      <c r="B1103" s="36" t="str">
        <f>IFERROR(__xludf.DUMMYFUNCTION("""COMPUTED_VALUE"""),"Asisten Pengembangan Web (Assistant Web Developer)")</f>
        <v>Asisten Pengembangan Web (Assistant Web Developer)</v>
      </c>
      <c r="C1103" s="36"/>
      <c r="D1103" s="36"/>
      <c r="E1103" s="36"/>
      <c r="F1103" s="36" t="str">
        <f>IFERROR(__xludf.DUMMYFUNCTION("""COMPUTED_VALUE"""),"SYADAD RIFA'AH SYAIFULLAH")</f>
        <v>SYADAD RIFA'AH SYAIFULLAH</v>
      </c>
      <c r="G1103" s="36" t="str">
        <f>IFERROR(__xludf.DUMMYFUNCTION("""COMPUTED_VALUE"""),"7471051209020001")</f>
        <v>7471051209020001</v>
      </c>
      <c r="H1103" s="36"/>
      <c r="I1103" s="36"/>
      <c r="J1103" s="36" t="str">
        <f>IFERROR(__xludf.DUMMYFUNCTION("""COMPUTED_VALUE"""),"LAKI-LAKI")</f>
        <v>LAKI-LAKI</v>
      </c>
      <c r="K1103" s="36" t="str">
        <f>IFERROR(__xludf.DUMMYFUNCTION("""COMPUTED_VALUE"""),"Jalan Tupai, Tipulu, Kec. Kendari Barat")</f>
        <v>Jalan Tupai, Tipulu, Kec. Kendari Barat</v>
      </c>
      <c r="L1103" s="36"/>
      <c r="M1103" s="36"/>
      <c r="N1103" s="36"/>
      <c r="O1103" s="36"/>
      <c r="P1103" s="36"/>
      <c r="Q1103" s="36"/>
      <c r="R1103" s="36" t="str">
        <f>IFERROR(__xludf.DUMMYFUNCTION("""COMPUTED_VALUE"""),"K")</f>
        <v>K</v>
      </c>
      <c r="S1103" s="39"/>
    </row>
    <row r="1104">
      <c r="B1104" s="36" t="str">
        <f>IFERROR(__xludf.DUMMYFUNCTION("""COMPUTED_VALUE"""),"Asisten Pengembangan Web (Assistant Web Developer)")</f>
        <v>Asisten Pengembangan Web (Assistant Web Developer)</v>
      </c>
      <c r="C1104" s="36"/>
      <c r="D1104" s="36"/>
      <c r="E1104" s="36"/>
      <c r="F1104" s="36" t="str">
        <f>IFERROR(__xludf.DUMMYFUNCTION("""COMPUTED_VALUE"""),"Salsabila Qodriyah")</f>
        <v>Salsabila Qodriyah</v>
      </c>
      <c r="G1104" s="36" t="str">
        <f>IFERROR(__xludf.DUMMYFUNCTION("""COMPUTED_VALUE"""),"7403035806030202")</f>
        <v>7403035806030202</v>
      </c>
      <c r="H1104" s="36"/>
      <c r="I1104" s="36"/>
      <c r="J1104" s="36" t="str">
        <f>IFERROR(__xludf.DUMMYFUNCTION("""COMPUTED_VALUE"""),"PEREMPUAN")</f>
        <v>PEREMPUAN</v>
      </c>
      <c r="K1104" s="36" t="str">
        <f>IFERROR(__xludf.DUMMYFUNCTION("""COMPUTED_VALUE"""),"Lingkungan Benteng, Kel. Waumere, Kec. Tikep, Kab. Muna Barat")</f>
        <v>Lingkungan Benteng, Kel. Waumere, Kec. Tikep, Kab. Muna Barat</v>
      </c>
      <c r="L1104" s="36"/>
      <c r="M1104" s="36"/>
      <c r="N1104" s="36"/>
      <c r="O1104" s="36"/>
      <c r="P1104" s="36"/>
      <c r="Q1104" s="36"/>
      <c r="R1104" s="36" t="str">
        <f>IFERROR(__xludf.DUMMYFUNCTION("""COMPUTED_VALUE"""),"K")</f>
        <v>K</v>
      </c>
      <c r="S1104" s="39"/>
    </row>
    <row r="1105">
      <c r="B1105" s="36" t="str">
        <f>IFERROR(__xludf.DUMMYFUNCTION("""COMPUTED_VALUE"""),"Petugas Keselematan dan Kesehatan Kerja")</f>
        <v>Petugas Keselematan dan Kesehatan Kerja</v>
      </c>
      <c r="C1105" s="36"/>
      <c r="D1105" s="36"/>
      <c r="E1105" s="36"/>
      <c r="F1105" s="36" t="str">
        <f>IFERROR(__xludf.DUMMYFUNCTION("""COMPUTED_VALUE"""),"WA ODE EKA APRIANA SARI")</f>
        <v>WA ODE EKA APRIANA SARI</v>
      </c>
      <c r="G1105" s="36" t="str">
        <f>IFERROR(__xludf.DUMMYFUNCTION("""COMPUTED_VALUE"""),"9104075709020001")</f>
        <v>9104075709020001</v>
      </c>
      <c r="H1105" s="36"/>
      <c r="I1105" s="36"/>
      <c r="J1105" s="36" t="str">
        <f>IFERROR(__xludf.DUMMYFUNCTION("""COMPUTED_VALUE"""),"PEREMPUAN")</f>
        <v>PEREMPUAN</v>
      </c>
      <c r="K1105" s="36" t="str">
        <f>IFERROR(__xludf.DUMMYFUNCTION("""COMPUTED_VALUE"""),"Desa Labaha, RT 002/ RW 002/, Kecamatan Watopute, Kabupaten Muna, Provinsi Sulawesi Tenggara ")</f>
        <v>Desa Labaha, RT 002/ RW 002/, Kecamatan Watopute, Kabupaten Muna, Provinsi Sulawesi Tenggara </v>
      </c>
      <c r="L1105" s="36"/>
      <c r="M1105" s="36"/>
      <c r="N1105" s="36"/>
      <c r="O1105" s="36"/>
      <c r="P1105" s="36"/>
      <c r="Q1105" s="36"/>
      <c r="R1105" s="36" t="str">
        <f>IFERROR(__xludf.DUMMYFUNCTION("""COMPUTED_VALUE"""),"K")</f>
        <v>K</v>
      </c>
      <c r="S1105" s="39"/>
    </row>
    <row r="1106">
      <c r="B1106" s="36" t="str">
        <f>IFERROR(__xludf.DUMMYFUNCTION("""COMPUTED_VALUE"""),"Petugas Keselematan dan Kesehatan Kerja")</f>
        <v>Petugas Keselematan dan Kesehatan Kerja</v>
      </c>
      <c r="C1106" s="36"/>
      <c r="D1106" s="36"/>
      <c r="E1106" s="36"/>
      <c r="F1106" s="36" t="str">
        <f>IFERROR(__xludf.DUMMYFUNCTION("""COMPUTED_VALUE"""),"Rizki Nur Alfiyan ")</f>
        <v>Rizki Nur Alfiyan </v>
      </c>
      <c r="G1106" s="36" t="str">
        <f>IFERROR(__xludf.DUMMYFUNCTION("""COMPUTED_VALUE"""),"7471080708030002")</f>
        <v>7471080708030002</v>
      </c>
      <c r="H1106" s="36"/>
      <c r="I1106" s="36"/>
      <c r="J1106" s="36" t="str">
        <f>IFERROR(__xludf.DUMMYFUNCTION("""COMPUTED_VALUE"""),"LAKI-LAKI")</f>
        <v>LAKI-LAKI</v>
      </c>
      <c r="K1106" s="36" t="str">
        <f>IFERROR(__xludf.DUMMYFUNCTION("""COMPUTED_VALUE"""),"Jl. Abunawas VII")</f>
        <v>Jl. Abunawas VII</v>
      </c>
      <c r="L1106" s="36"/>
      <c r="M1106" s="36"/>
      <c r="N1106" s="36"/>
      <c r="O1106" s="36"/>
      <c r="P1106" s="36"/>
      <c r="Q1106" s="36"/>
      <c r="R1106" s="36" t="str">
        <f>IFERROR(__xludf.DUMMYFUNCTION("""COMPUTED_VALUE"""),"K")</f>
        <v>K</v>
      </c>
      <c r="S1106" s="39"/>
    </row>
    <row r="1107">
      <c r="B1107" s="36" t="str">
        <f>IFERROR(__xludf.DUMMYFUNCTION("""COMPUTED_VALUE"""),"Petugas Keselematan dan Kesehatan Kerja")</f>
        <v>Petugas Keselematan dan Kesehatan Kerja</v>
      </c>
      <c r="C1107" s="36"/>
      <c r="D1107" s="36"/>
      <c r="E1107" s="36"/>
      <c r="F1107" s="36" t="str">
        <f>IFERROR(__xludf.DUMMYFUNCTION("""COMPUTED_VALUE"""),"DWI OKTAVIA SETIAWATI")</f>
        <v>DWI OKTAVIA SETIAWATI</v>
      </c>
      <c r="G1107" s="36" t="str">
        <f>IFERROR(__xludf.DUMMYFUNCTION("""COMPUTED_VALUE"""),"7405044110030001")</f>
        <v>7405044110030001</v>
      </c>
      <c r="H1107" s="36"/>
      <c r="I1107" s="36"/>
      <c r="J1107" s="36" t="str">
        <f>IFERROR(__xludf.DUMMYFUNCTION("""COMPUTED_VALUE"""),"PEREMPUAN")</f>
        <v>PEREMPUAN</v>
      </c>
      <c r="K1107" s="36" t="str">
        <f>IFERROR(__xludf.DUMMYFUNCTION("""COMPUTED_VALUE"""),"Dusun Bangun sari Desa mekar sari Kec. Palangga Kab. Konawe selatan")</f>
        <v>Dusun Bangun sari Desa mekar sari Kec. Palangga Kab. Konawe selatan</v>
      </c>
      <c r="L1107" s="36"/>
      <c r="M1107" s="36"/>
      <c r="N1107" s="36"/>
      <c r="O1107" s="36"/>
      <c r="P1107" s="36"/>
      <c r="Q1107" s="36"/>
      <c r="R1107" s="36" t="str">
        <f>IFERROR(__xludf.DUMMYFUNCTION("""COMPUTED_VALUE"""),"K")</f>
        <v>K</v>
      </c>
      <c r="S1107" s="39"/>
    </row>
    <row r="1108">
      <c r="B1108" s="36" t="str">
        <f>IFERROR(__xludf.DUMMYFUNCTION("""COMPUTED_VALUE"""),"Petugas Keselematan dan Kesehatan Kerja")</f>
        <v>Petugas Keselematan dan Kesehatan Kerja</v>
      </c>
      <c r="C1108" s="36"/>
      <c r="D1108" s="36"/>
      <c r="E1108" s="36"/>
      <c r="F1108" s="36" t="str">
        <f>IFERROR(__xludf.DUMMYFUNCTION("""COMPUTED_VALUE"""),"Sitti Normalindah")</f>
        <v>Sitti Normalindah</v>
      </c>
      <c r="G1108" s="36" t="str">
        <f>IFERROR(__xludf.DUMMYFUNCTION("""COMPUTED_VALUE"""),"7403225705030201")</f>
        <v>7403225705030201</v>
      </c>
      <c r="H1108" s="36"/>
      <c r="I1108" s="36"/>
      <c r="J1108" s="36" t="str">
        <f>IFERROR(__xludf.DUMMYFUNCTION("""COMPUTED_VALUE"""),"PEREMPUAN")</f>
        <v>PEREMPUAN</v>
      </c>
      <c r="K1108" s="36" t="str">
        <f>IFERROR(__xludf.DUMMYFUNCTION("""COMPUTED_VALUE"""),"Desa Labasa, Kecamatan Tongkuno Selatan, Kabupaten Muna")</f>
        <v>Desa Labasa, Kecamatan Tongkuno Selatan, Kabupaten Muna</v>
      </c>
      <c r="L1108" s="36"/>
      <c r="M1108" s="36"/>
      <c r="N1108" s="36"/>
      <c r="O1108" s="36"/>
      <c r="P1108" s="36"/>
      <c r="Q1108" s="36"/>
      <c r="R1108" s="36" t="str">
        <f>IFERROR(__xludf.DUMMYFUNCTION("""COMPUTED_VALUE"""),"K")</f>
        <v>K</v>
      </c>
      <c r="S1108" s="39"/>
    </row>
    <row r="1109">
      <c r="B1109" s="36" t="str">
        <f>IFERROR(__xludf.DUMMYFUNCTION("""COMPUTED_VALUE"""),"Petugas Keselematan dan Kesehatan Kerja")</f>
        <v>Petugas Keselematan dan Kesehatan Kerja</v>
      </c>
      <c r="C1109" s="36"/>
      <c r="D1109" s="36"/>
      <c r="E1109" s="36"/>
      <c r="F1109" s="36" t="str">
        <f>IFERROR(__xludf.DUMMYFUNCTION("""COMPUTED_VALUE"""),"Esti Agusrianti")</f>
        <v>Esti Agusrianti</v>
      </c>
      <c r="G1109" s="36" t="str">
        <f>IFERROR(__xludf.DUMMYFUNCTION("""COMPUTED_VALUE"""),"7471065708030001")</f>
        <v>7471065708030001</v>
      </c>
      <c r="H1109" s="36"/>
      <c r="I1109" s="36"/>
      <c r="J1109" s="36" t="str">
        <f>IFERROR(__xludf.DUMMYFUNCTION("""COMPUTED_VALUE"""),"PEREMPUAN")</f>
        <v>PEREMPUAN</v>
      </c>
      <c r="K1109" s="36" t="str">
        <f>IFERROR(__xludf.DUMMYFUNCTION("""COMPUTED_VALUE"""),"Kelurahan Benuanirae")</f>
        <v>Kelurahan Benuanirae</v>
      </c>
      <c r="L1109" s="36"/>
      <c r="M1109" s="36"/>
      <c r="N1109" s="36"/>
      <c r="O1109" s="36"/>
      <c r="P1109" s="36"/>
      <c r="Q1109" s="36"/>
      <c r="R1109" s="36" t="str">
        <f>IFERROR(__xludf.DUMMYFUNCTION("""COMPUTED_VALUE"""),"K")</f>
        <v>K</v>
      </c>
      <c r="S1109" s="39"/>
    </row>
    <row r="1110">
      <c r="B1110" s="36" t="str">
        <f>IFERROR(__xludf.DUMMYFUNCTION("""COMPUTED_VALUE"""),"Petugas Keselematan dan Kesehatan Kerja")</f>
        <v>Petugas Keselematan dan Kesehatan Kerja</v>
      </c>
      <c r="C1110" s="36"/>
      <c r="D1110" s="36"/>
      <c r="E1110" s="36"/>
      <c r="F1110" s="36" t="str">
        <f>IFERROR(__xludf.DUMMYFUNCTION("""COMPUTED_VALUE"""),"Moh. Zulfikar")</f>
        <v>Moh. Zulfikar</v>
      </c>
      <c r="G1110" s="36" t="str">
        <f>IFERROR(__xludf.DUMMYFUNCTION("""COMPUTED_VALUE"""),"7203102401000005")</f>
        <v>7203102401000005</v>
      </c>
      <c r="H1110" s="36"/>
      <c r="I1110" s="36"/>
      <c r="J1110" s="36" t="str">
        <f>IFERROR(__xludf.DUMMYFUNCTION("""COMPUTED_VALUE"""),"LAKI-LAKI")</f>
        <v>LAKI-LAKI</v>
      </c>
      <c r="K1110" s="36" t="str">
        <f>IFERROR(__xludf.DUMMYFUNCTION("""COMPUTED_VALUE"""),"Jl. Puskesmas Dusun III")</f>
        <v>Jl. Puskesmas Dusun III</v>
      </c>
      <c r="L1110" s="36"/>
      <c r="M1110" s="36"/>
      <c r="N1110" s="36"/>
      <c r="O1110" s="36"/>
      <c r="P1110" s="36"/>
      <c r="Q1110" s="36"/>
      <c r="R1110" s="36" t="str">
        <f>IFERROR(__xludf.DUMMYFUNCTION("""COMPUTED_VALUE"""),"BK")</f>
        <v>BK</v>
      </c>
      <c r="S1110" s="39"/>
    </row>
    <row r="1111">
      <c r="B1111" s="36" t="str">
        <f>IFERROR(__xludf.DUMMYFUNCTION("""COMPUTED_VALUE"""),"Petugas Keselematan dan Kesehatan Kerja")</f>
        <v>Petugas Keselematan dan Kesehatan Kerja</v>
      </c>
      <c r="C1111" s="36"/>
      <c r="D1111" s="36"/>
      <c r="E1111" s="36"/>
      <c r="F1111" s="36" t="str">
        <f>IFERROR(__xludf.DUMMYFUNCTION("""COMPUTED_VALUE"""),"Misyuni Sartika ")</f>
        <v>Misyuni Sartika </v>
      </c>
      <c r="G1111" s="36" t="str">
        <f>IFERROR(__xludf.DUMMYFUNCTION("""COMPUTED_VALUE"""),"7404114306030001")</f>
        <v>7404114306030001</v>
      </c>
      <c r="H1111" s="36"/>
      <c r="I1111" s="36"/>
      <c r="J1111" s="36" t="str">
        <f>IFERROR(__xludf.DUMMYFUNCTION("""COMPUTED_VALUE"""),"PEREMPUAN")</f>
        <v>PEREMPUAN</v>
      </c>
      <c r="K1111" s="36" t="str">
        <f>IFERROR(__xludf.DUMMYFUNCTION("""COMPUTED_VALUE"""),"Desa dongkala, kecamatan pasarwajo")</f>
        <v>Desa dongkala, kecamatan pasarwajo</v>
      </c>
      <c r="L1111" s="36"/>
      <c r="M1111" s="36"/>
      <c r="N1111" s="36"/>
      <c r="O1111" s="36"/>
      <c r="P1111" s="36"/>
      <c r="Q1111" s="36"/>
      <c r="R1111" s="36" t="str">
        <f>IFERROR(__xludf.DUMMYFUNCTION("""COMPUTED_VALUE"""),"BK")</f>
        <v>BK</v>
      </c>
      <c r="S1111" s="39"/>
    </row>
    <row r="1112">
      <c r="B1112" s="36" t="str">
        <f>IFERROR(__xludf.DUMMYFUNCTION("""COMPUTED_VALUE"""),"Petugas Keselematan dan Kesehatan Kerja")</f>
        <v>Petugas Keselematan dan Kesehatan Kerja</v>
      </c>
      <c r="C1112" s="36"/>
      <c r="D1112" s="36"/>
      <c r="E1112" s="36"/>
      <c r="F1112" s="36" t="str">
        <f>IFERROR(__xludf.DUMMYFUNCTION("""COMPUTED_VALUE"""),"Multi Viorera")</f>
        <v>Multi Viorera</v>
      </c>
      <c r="G1112" s="36" t="str">
        <f>IFERROR(__xludf.DUMMYFUNCTION("""COMPUTED_VALUE"""),"7403144907080001")</f>
        <v>7403144907080001</v>
      </c>
      <c r="H1112" s="36"/>
      <c r="I1112" s="36"/>
      <c r="J1112" s="36" t="str">
        <f>IFERROR(__xludf.DUMMYFUNCTION("""COMPUTED_VALUE"""),"PEREMPUAN")</f>
        <v>PEREMPUAN</v>
      </c>
      <c r="K1112" s="36" t="str">
        <f>IFERROR(__xludf.DUMMYFUNCTION("""COMPUTED_VALUE"""),"Desa Labaha")</f>
        <v>Desa Labaha</v>
      </c>
      <c r="L1112" s="36"/>
      <c r="M1112" s="36"/>
      <c r="N1112" s="36"/>
      <c r="O1112" s="36"/>
      <c r="P1112" s="36"/>
      <c r="Q1112" s="36"/>
      <c r="R1112" s="36" t="str">
        <f>IFERROR(__xludf.DUMMYFUNCTION("""COMPUTED_VALUE"""),"BK")</f>
        <v>BK</v>
      </c>
      <c r="S1112" s="39"/>
    </row>
    <row r="1113">
      <c r="B1113" s="36" t="str">
        <f>IFERROR(__xludf.DUMMYFUNCTION("""COMPUTED_VALUE"""),"Petugas Keselematan dan Kesehatan Kerja")</f>
        <v>Petugas Keselematan dan Kesehatan Kerja</v>
      </c>
      <c r="C1113" s="36"/>
      <c r="D1113" s="36"/>
      <c r="E1113" s="36"/>
      <c r="F1113" s="36" t="str">
        <f>IFERROR(__xludf.DUMMYFUNCTION("""COMPUTED_VALUE"""),"Secsio Jezzy Wandani")</f>
        <v>Secsio Jezzy Wandani</v>
      </c>
      <c r="G1113" s="36" t="str">
        <f>IFERROR(__xludf.DUMMYFUNCTION("""COMPUTED_VALUE"""),"7406046106030002")</f>
        <v>7406046106030002</v>
      </c>
      <c r="H1113" s="36"/>
      <c r="I1113" s="36"/>
      <c r="J1113" s="36" t="str">
        <f>IFERROR(__xludf.DUMMYFUNCTION("""COMPUTED_VALUE"""),"PEREMPUAN")</f>
        <v>PEREMPUAN</v>
      </c>
      <c r="K1113" s="36" t="str">
        <f>IFERROR(__xludf.DUMMYFUNCTION("""COMPUTED_VALUE"""),"Lameroro")</f>
        <v>Lameroro</v>
      </c>
      <c r="L1113" s="36"/>
      <c r="M1113" s="36"/>
      <c r="N1113" s="36"/>
      <c r="O1113" s="36"/>
      <c r="P1113" s="36"/>
      <c r="Q1113" s="36"/>
      <c r="R1113" s="36" t="str">
        <f>IFERROR(__xludf.DUMMYFUNCTION("""COMPUTED_VALUE"""),"BK")</f>
        <v>BK</v>
      </c>
      <c r="S1113" s="39"/>
    </row>
    <row r="1114">
      <c r="B1114" s="36" t="str">
        <f>IFERROR(__xludf.DUMMYFUNCTION("""COMPUTED_VALUE"""),"Petugas Keselematan dan Kesehatan Kerja")</f>
        <v>Petugas Keselematan dan Kesehatan Kerja</v>
      </c>
      <c r="C1114" s="36"/>
      <c r="D1114" s="36"/>
      <c r="E1114" s="36"/>
      <c r="F1114" s="36" t="str">
        <f>IFERROR(__xludf.DUMMYFUNCTION("""COMPUTED_VALUE"""),"Rindi Saputri")</f>
        <v>Rindi Saputri</v>
      </c>
      <c r="G1114" s="36" t="str">
        <f>IFERROR(__xludf.DUMMYFUNCTION("""COMPUTED_VALUE"""),"7472024707040002")</f>
        <v>7472024707040002</v>
      </c>
      <c r="H1114" s="36"/>
      <c r="I1114" s="36"/>
      <c r="J1114" s="36" t="str">
        <f>IFERROR(__xludf.DUMMYFUNCTION("""COMPUTED_VALUE"""),"PEREMPUAN")</f>
        <v>PEREMPUAN</v>
      </c>
      <c r="K1114" s="36" t="str">
        <f>IFERROR(__xludf.DUMMYFUNCTION("""COMPUTED_VALUE"""),"Jl. Gatot Subroto")</f>
        <v>Jl. Gatot Subroto</v>
      </c>
      <c r="L1114" s="36"/>
      <c r="M1114" s="36"/>
      <c r="N1114" s="36"/>
      <c r="O1114" s="36"/>
      <c r="P1114" s="36"/>
      <c r="Q1114" s="36"/>
      <c r="R1114" s="36" t="str">
        <f>IFERROR(__xludf.DUMMYFUNCTION("""COMPUTED_VALUE"""),"BK")</f>
        <v>BK</v>
      </c>
      <c r="S1114" s="39"/>
    </row>
    <row r="1115">
      <c r="B1115" s="36" t="str">
        <f>IFERROR(__xludf.DUMMYFUNCTION("""COMPUTED_VALUE"""),"Petugas Keselematan dan Kesehatan Kerja")</f>
        <v>Petugas Keselematan dan Kesehatan Kerja</v>
      </c>
      <c r="C1115" s="36"/>
      <c r="D1115" s="36"/>
      <c r="E1115" s="36"/>
      <c r="F1115" s="36" t="str">
        <f>IFERROR(__xludf.DUMMYFUNCTION("""COMPUTED_VALUE"""),"Ronald Resky As")</f>
        <v>Ronald Resky As</v>
      </c>
      <c r="G1115" s="36" t="str">
        <f>IFERROR(__xludf.DUMMYFUNCTION("""COMPUTED_VALUE"""),"7405090201030001")</f>
        <v>7405090201030001</v>
      </c>
      <c r="H1115" s="36"/>
      <c r="I1115" s="36"/>
      <c r="J1115" s="36" t="str">
        <f>IFERROR(__xludf.DUMMYFUNCTION("""COMPUTED_VALUE"""),"LAKI-LAKI")</f>
        <v>LAKI-LAKI</v>
      </c>
      <c r="K1115" s="36" t="str">
        <f>IFERROR(__xludf.DUMMYFUNCTION("""COMPUTED_VALUE"""),"Mondoe Jaya, Dusun 4")</f>
        <v>Mondoe Jaya, Dusun 4</v>
      </c>
      <c r="L1115" s="36"/>
      <c r="M1115" s="36"/>
      <c r="N1115" s="36"/>
      <c r="O1115" s="36"/>
      <c r="P1115" s="36"/>
      <c r="Q1115" s="36"/>
      <c r="R1115" s="36" t="str">
        <f>IFERROR(__xludf.DUMMYFUNCTION("""COMPUTED_VALUE"""),"BK")</f>
        <v>BK</v>
      </c>
      <c r="S1115" s="39"/>
    </row>
    <row r="1116">
      <c r="B1116" s="36" t="str">
        <f>IFERROR(__xludf.DUMMYFUNCTION("""COMPUTED_VALUE"""),"Petugas Keselematan dan Kesehatan Kerja")</f>
        <v>Petugas Keselematan dan Kesehatan Kerja</v>
      </c>
      <c r="C1116" s="36"/>
      <c r="D1116" s="36"/>
      <c r="E1116" s="36"/>
      <c r="F1116" s="36" t="str">
        <f>IFERROR(__xludf.DUMMYFUNCTION("""COMPUTED_VALUE"""),"Indah Asriani Firman")</f>
        <v>Indah Asriani Firman</v>
      </c>
      <c r="G1116" s="36" t="str">
        <f>IFERROR(__xludf.DUMMYFUNCTION("""COMPUTED_VALUE"""),"7472026504030002")</f>
        <v>7472026504030002</v>
      </c>
      <c r="H1116" s="36"/>
      <c r="I1116" s="36"/>
      <c r="J1116" s="36" t="str">
        <f>IFERROR(__xludf.DUMMYFUNCTION("""COMPUTED_VALUE"""),"PEREMPUAN")</f>
        <v>PEREMPUAN</v>
      </c>
      <c r="K1116" s="36" t="str">
        <f>IFERROR(__xludf.DUMMYFUNCTION("""COMPUTED_VALUE"""),"JL.Bhakti Abri")</f>
        <v>JL.Bhakti Abri</v>
      </c>
      <c r="L1116" s="36"/>
      <c r="M1116" s="36"/>
      <c r="N1116" s="36"/>
      <c r="O1116" s="36"/>
      <c r="P1116" s="36"/>
      <c r="Q1116" s="36"/>
      <c r="R1116" s="36" t="str">
        <f>IFERROR(__xludf.DUMMYFUNCTION("""COMPUTED_VALUE"""),"BK")</f>
        <v>BK</v>
      </c>
      <c r="S1116" s="39"/>
    </row>
    <row r="1117">
      <c r="B1117" s="36" t="str">
        <f>IFERROR(__xludf.DUMMYFUNCTION("""COMPUTED_VALUE"""),"Pengelolaan Administrasi Perkantoraan")</f>
        <v>Pengelolaan Administrasi Perkantoraan</v>
      </c>
      <c r="C1117" s="36"/>
      <c r="D1117" s="36"/>
      <c r="E1117" s="36"/>
      <c r="F1117" s="36" t="str">
        <f>IFERROR(__xludf.DUMMYFUNCTION("""COMPUTED_VALUE"""),"Ishak Zakariah Rante")</f>
        <v>Ishak Zakariah Rante</v>
      </c>
      <c r="G1117" s="36" t="str">
        <f>IFERROR(__xludf.DUMMYFUNCTION("""COMPUTED_VALUE"""),"7472062012010002")</f>
        <v>7472062012010002</v>
      </c>
      <c r="H1117" s="36"/>
      <c r="I1117" s="36"/>
      <c r="J1117" s="36" t="str">
        <f>IFERROR(__xludf.DUMMYFUNCTION("""COMPUTED_VALUE"""),"LAKI-LAKI")</f>
        <v>LAKI-LAKI</v>
      </c>
      <c r="K1117" s="36" t="str">
        <f>IFERROR(__xludf.DUMMYFUNCTION("""COMPUTED_VALUE"""),"Jl. Pendidikan, kel. Bone-bone, kec. Batupoaro, Kota Baubau")</f>
        <v>Jl. Pendidikan, kel. Bone-bone, kec. Batupoaro, Kota Baubau</v>
      </c>
      <c r="L1117" s="36"/>
      <c r="M1117" s="36"/>
      <c r="N1117" s="36"/>
      <c r="O1117" s="36"/>
      <c r="P1117" s="36"/>
      <c r="Q1117" s="36"/>
      <c r="R1117" s="36" t="str">
        <f>IFERROR(__xludf.DUMMYFUNCTION("""COMPUTED_VALUE"""),"K")</f>
        <v>K</v>
      </c>
      <c r="S1117" s="39"/>
    </row>
    <row r="1118">
      <c r="B1118" s="36" t="str">
        <f>IFERROR(__xludf.DUMMYFUNCTION("""COMPUTED_VALUE"""),"Pengelolaan Administrasi Perkantoraan")</f>
        <v>Pengelolaan Administrasi Perkantoraan</v>
      </c>
      <c r="C1118" s="36"/>
      <c r="D1118" s="36"/>
      <c r="E1118" s="36"/>
      <c r="F1118" s="36" t="str">
        <f>IFERROR(__xludf.DUMMYFUNCTION("""COMPUTED_VALUE"""),"MUH. AMTSAL BIN SAMSULI ")</f>
        <v>MUH. AMTSAL BIN SAMSULI </v>
      </c>
      <c r="G1118" s="36" t="str">
        <f>IFERROR(__xludf.DUMMYFUNCTION("""COMPUTED_VALUE"""),"8205041207010001")</f>
        <v>8205041207010001</v>
      </c>
      <c r="H1118" s="36"/>
      <c r="I1118" s="36"/>
      <c r="J1118" s="36" t="str">
        <f>IFERROR(__xludf.DUMMYFUNCTION("""COMPUTED_VALUE"""),"LAKI-LAKI")</f>
        <v>LAKI-LAKI</v>
      </c>
      <c r="K1118" s="36" t="str">
        <f>IFERROR(__xludf.DUMMYFUNCTION("""COMPUTED_VALUE"""),"Jl. Bataraguru RT014/RW 004 Kel. Nganganaumala, Kec. Batupuaro, Kota. Baubau, Prov. Sulawesi Tenggara")</f>
        <v>Jl. Bataraguru RT014/RW 004 Kel. Nganganaumala, Kec. Batupuaro, Kota. Baubau, Prov. Sulawesi Tenggara</v>
      </c>
      <c r="L1118" s="36"/>
      <c r="M1118" s="36"/>
      <c r="N1118" s="36"/>
      <c r="O1118" s="36"/>
      <c r="P1118" s="36"/>
      <c r="Q1118" s="36"/>
      <c r="R1118" s="36" t="str">
        <f>IFERROR(__xludf.DUMMYFUNCTION("""COMPUTED_VALUE"""),"K")</f>
        <v>K</v>
      </c>
      <c r="S1118" s="39"/>
    </row>
    <row r="1119">
      <c r="B1119" s="36" t="str">
        <f>IFERROR(__xludf.DUMMYFUNCTION("""COMPUTED_VALUE"""),"Pengelolaan Administrasi Perkantoraan")</f>
        <v>Pengelolaan Administrasi Perkantoraan</v>
      </c>
      <c r="C1119" s="36"/>
      <c r="D1119" s="36"/>
      <c r="E1119" s="36"/>
      <c r="F1119" s="36" t="str">
        <f>IFERROR(__xludf.DUMMYFUNCTION("""COMPUTED_VALUE"""),"Nur Ainun Musliah")</f>
        <v>Nur Ainun Musliah</v>
      </c>
      <c r="G1119" s="36" t="str">
        <f>IFERROR(__xludf.DUMMYFUNCTION("""COMPUTED_VALUE"""),"7472064501020001")</f>
        <v>7472064501020001</v>
      </c>
      <c r="H1119" s="36"/>
      <c r="I1119" s="36"/>
      <c r="J1119" s="36" t="str">
        <f>IFERROR(__xludf.DUMMYFUNCTION("""COMPUTED_VALUE"""),"PEREMPUAN")</f>
        <v>PEREMPUAN</v>
      </c>
      <c r="K1119" s="36" t="str">
        <f>IFERROR(__xludf.DUMMYFUNCTION("""COMPUTED_VALUE"""),"Jl. Limbo Wolio, Kel Tanganapada Kec. Murhum ")</f>
        <v>Jl. Limbo Wolio, Kel Tanganapada Kec. Murhum </v>
      </c>
      <c r="L1119" s="36"/>
      <c r="M1119" s="36"/>
      <c r="N1119" s="36"/>
      <c r="O1119" s="36"/>
      <c r="P1119" s="36"/>
      <c r="Q1119" s="36"/>
      <c r="R1119" s="36" t="str">
        <f>IFERROR(__xludf.DUMMYFUNCTION("""COMPUTED_VALUE"""),"K")</f>
        <v>K</v>
      </c>
      <c r="S1119" s="39"/>
    </row>
    <row r="1120">
      <c r="B1120" s="36" t="str">
        <f>IFERROR(__xludf.DUMMYFUNCTION("""COMPUTED_VALUE"""),"Pengelolaan Administrasi Perkantoraan")</f>
        <v>Pengelolaan Administrasi Perkantoraan</v>
      </c>
      <c r="C1120" s="36"/>
      <c r="D1120" s="36"/>
      <c r="E1120" s="36"/>
      <c r="F1120" s="36" t="str">
        <f>IFERROR(__xludf.DUMMYFUNCTION("""COMPUTED_VALUE"""),"Ramlan")</f>
        <v>Ramlan</v>
      </c>
      <c r="G1120" s="36" t="str">
        <f>IFERROR(__xludf.DUMMYFUNCTION("""COMPUTED_VALUE"""),"7404115311020003")</f>
        <v>7404115311020003</v>
      </c>
      <c r="H1120" s="36"/>
      <c r="I1120" s="36"/>
      <c r="J1120" s="36" t="str">
        <f>IFERROR(__xludf.DUMMYFUNCTION("""COMPUTED_VALUE"""),"PEREMPUAN")</f>
        <v>PEREMPUAN</v>
      </c>
      <c r="K1120" s="36" t="str">
        <f>IFERROR(__xludf.DUMMYFUNCTION("""COMPUTED_VALUE"""),"Desa Kaongkeongkea")</f>
        <v>Desa Kaongkeongkea</v>
      </c>
      <c r="L1120" s="36"/>
      <c r="M1120" s="36"/>
      <c r="N1120" s="36"/>
      <c r="O1120" s="36"/>
      <c r="P1120" s="36"/>
      <c r="Q1120" s="36"/>
      <c r="R1120" s="36" t="str">
        <f>IFERROR(__xludf.DUMMYFUNCTION("""COMPUTED_VALUE"""),"K")</f>
        <v>K</v>
      </c>
      <c r="S1120" s="39"/>
    </row>
    <row r="1121">
      <c r="B1121" s="36" t="str">
        <f>IFERROR(__xludf.DUMMYFUNCTION("""COMPUTED_VALUE"""),"Pengelolaan Administrasi Perkantoraan")</f>
        <v>Pengelolaan Administrasi Perkantoraan</v>
      </c>
      <c r="C1121" s="36"/>
      <c r="D1121" s="36"/>
      <c r="E1121" s="36"/>
      <c r="F1121" s="36" t="str">
        <f>IFERROR(__xludf.DUMMYFUNCTION("""COMPUTED_VALUE"""),"Firman")</f>
        <v>Firman</v>
      </c>
      <c r="G1121" s="36" t="str">
        <f>IFERROR(__xludf.DUMMYFUNCTION("""COMPUTED_VALUE"""),"7472022906970001")</f>
        <v>7472022906970001</v>
      </c>
      <c r="H1121" s="36"/>
      <c r="I1121" s="36"/>
      <c r="J1121" s="36" t="str">
        <f>IFERROR(__xludf.DUMMYFUNCTION("""COMPUTED_VALUE"""),"LAKI-LAKI")</f>
        <v>LAKI-LAKI</v>
      </c>
      <c r="K1121" s="36" t="str">
        <f>IFERROR(__xludf.DUMMYFUNCTION("""COMPUTED_VALUE"""),"Jl. Wortel Monginsidi")</f>
        <v>Jl. Wortel Monginsidi</v>
      </c>
      <c r="L1121" s="36"/>
      <c r="M1121" s="36"/>
      <c r="N1121" s="36"/>
      <c r="O1121" s="36"/>
      <c r="P1121" s="36"/>
      <c r="Q1121" s="36"/>
      <c r="R1121" s="36" t="str">
        <f>IFERROR(__xludf.DUMMYFUNCTION("""COMPUTED_VALUE"""),"K")</f>
        <v>K</v>
      </c>
      <c r="S1121" s="39"/>
    </row>
    <row r="1122">
      <c r="B1122" s="36" t="str">
        <f>IFERROR(__xludf.DUMMYFUNCTION("""COMPUTED_VALUE"""),"Pengelolaan Administrasi Perkantoraan")</f>
        <v>Pengelolaan Administrasi Perkantoraan</v>
      </c>
      <c r="C1122" s="36"/>
      <c r="D1122" s="36"/>
      <c r="E1122" s="36"/>
      <c r="F1122" s="36" t="str">
        <f>IFERROR(__xludf.DUMMYFUNCTION("""COMPUTED_VALUE"""),"FATWAULY HAMUZAN SUJANA ")</f>
        <v>FATWAULY HAMUZAN SUJANA </v>
      </c>
      <c r="G1122" s="36" t="str">
        <f>IFERROR(__xludf.DUMMYFUNCTION("""COMPUTED_VALUE"""),"7472064506010001")</f>
        <v>7472064506010001</v>
      </c>
      <c r="H1122" s="36"/>
      <c r="I1122" s="36"/>
      <c r="J1122" s="36" t="str">
        <f>IFERROR(__xludf.DUMMYFUNCTION("""COMPUTED_VALUE"""),"PEREMPUAN")</f>
        <v>PEREMPUAN</v>
      </c>
      <c r="K1122" s="36" t="str">
        <f>IFERROR(__xludf.DUMMYFUNCTION("""COMPUTED_VALUE"""),"Jl. Hayam Wuruk No.92")</f>
        <v>Jl. Hayam Wuruk No.92</v>
      </c>
      <c r="L1122" s="36"/>
      <c r="M1122" s="36"/>
      <c r="N1122" s="36"/>
      <c r="O1122" s="36"/>
      <c r="P1122" s="36"/>
      <c r="Q1122" s="36"/>
      <c r="R1122" s="36" t="str">
        <f>IFERROR(__xludf.DUMMYFUNCTION("""COMPUTED_VALUE"""),"K")</f>
        <v>K</v>
      </c>
      <c r="S1122" s="39"/>
    </row>
    <row r="1123">
      <c r="B1123" s="36" t="str">
        <f>IFERROR(__xludf.DUMMYFUNCTION("""COMPUTED_VALUE"""),"Pengelolaan Administrasi Perkantoraan")</f>
        <v>Pengelolaan Administrasi Perkantoraan</v>
      </c>
      <c r="C1123" s="36"/>
      <c r="D1123" s="36"/>
      <c r="E1123" s="36"/>
      <c r="F1123" s="36" t="str">
        <f>IFERROR(__xludf.DUMMYFUNCTION("""COMPUTED_VALUE"""),"NUR ABSA")</f>
        <v>NUR ABSA</v>
      </c>
      <c r="G1123" s="36" t="str">
        <f>IFERROR(__xludf.DUMMYFUNCTION("""COMPUTED_VALUE"""),"7407065304030001")</f>
        <v>7407065304030001</v>
      </c>
      <c r="H1123" s="36"/>
      <c r="I1123" s="36"/>
      <c r="J1123" s="36" t="str">
        <f>IFERROR(__xludf.DUMMYFUNCTION("""COMPUTED_VALUE"""),"PEREMPUAN")</f>
        <v>PEREMPUAN</v>
      </c>
      <c r="K1123" s="36" t="str">
        <f>IFERROR(__xludf.DUMMYFUNCTION("""COMPUTED_VALUE"""),"BTN Anggoro, Kec Wolio, Kota Baubau")</f>
        <v>BTN Anggoro, Kec Wolio, Kota Baubau</v>
      </c>
      <c r="L1123" s="36"/>
      <c r="M1123" s="36"/>
      <c r="N1123" s="36"/>
      <c r="O1123" s="36"/>
      <c r="P1123" s="36"/>
      <c r="Q1123" s="36"/>
      <c r="R1123" s="36" t="str">
        <f>IFERROR(__xludf.DUMMYFUNCTION("""COMPUTED_VALUE"""),"K")</f>
        <v>K</v>
      </c>
      <c r="S1123" s="39"/>
    </row>
    <row r="1124">
      <c r="B1124" s="36" t="str">
        <f>IFERROR(__xludf.DUMMYFUNCTION("""COMPUTED_VALUE"""),"Pengelolaan Administrasi Perkantoraan")</f>
        <v>Pengelolaan Administrasi Perkantoraan</v>
      </c>
      <c r="C1124" s="36"/>
      <c r="D1124" s="36"/>
      <c r="E1124" s="36"/>
      <c r="F1124" s="36" t="str">
        <f>IFERROR(__xludf.DUMMYFUNCTION("""COMPUTED_VALUE"""),"WAODE SRI MULYAH HIDAYANTI")</f>
        <v>WAODE SRI MULYAH HIDAYANTI</v>
      </c>
      <c r="G1124" s="36" t="str">
        <f>IFERROR(__xludf.DUMMYFUNCTION("""COMPUTED_VALUE"""),"7471095512020001")</f>
        <v>7471095512020001</v>
      </c>
      <c r="H1124" s="36"/>
      <c r="I1124" s="36"/>
      <c r="J1124" s="36" t="str">
        <f>IFERROR(__xludf.DUMMYFUNCTION("""COMPUTED_VALUE"""),"PEREMPUAN")</f>
        <v>PEREMPUAN</v>
      </c>
      <c r="K1124" s="36" t="str">
        <f>IFERROR(__xludf.DUMMYFUNCTION("""COMPUTED_VALUE"""),"Jln. Nangka batulo kota baubau")</f>
        <v>Jln. Nangka batulo kota baubau</v>
      </c>
      <c r="L1124" s="36"/>
      <c r="M1124" s="36"/>
      <c r="N1124" s="36"/>
      <c r="O1124" s="36"/>
      <c r="P1124" s="36"/>
      <c r="Q1124" s="36"/>
      <c r="R1124" s="36" t="str">
        <f>IFERROR(__xludf.DUMMYFUNCTION("""COMPUTED_VALUE"""),"K")</f>
        <v>K</v>
      </c>
      <c r="S1124" s="39"/>
    </row>
    <row r="1125">
      <c r="B1125" s="36" t="str">
        <f>IFERROR(__xludf.DUMMYFUNCTION("""COMPUTED_VALUE"""),"Pengelolaan Administrasi Perkantoraan")</f>
        <v>Pengelolaan Administrasi Perkantoraan</v>
      </c>
      <c r="C1125" s="36"/>
      <c r="D1125" s="36"/>
      <c r="E1125" s="36"/>
      <c r="F1125" s="36" t="str">
        <f>IFERROR(__xludf.DUMMYFUNCTION("""COMPUTED_VALUE"""),"Aulia Maghfirah")</f>
        <v>Aulia Maghfirah</v>
      </c>
      <c r="G1125" s="36" t="str">
        <f>IFERROR(__xludf.DUMMYFUNCTION("""COMPUTED_VALUE"""),"7471016310030003")</f>
        <v>7471016310030003</v>
      </c>
      <c r="H1125" s="36"/>
      <c r="I1125" s="36"/>
      <c r="J1125" s="36" t="str">
        <f>IFERROR(__xludf.DUMMYFUNCTION("""COMPUTED_VALUE"""),"PEREMPUAN")</f>
        <v>PEREMPUAN</v>
      </c>
      <c r="K1125" s="36" t="str">
        <f>IFERROR(__xludf.DUMMYFUNCTION("""COMPUTED_VALUE"""),"JL. R. SUPRAPTO N0.100 C")</f>
        <v>JL. R. SUPRAPTO N0.100 C</v>
      </c>
      <c r="L1125" s="36"/>
      <c r="M1125" s="36"/>
      <c r="N1125" s="36"/>
      <c r="O1125" s="36"/>
      <c r="P1125" s="36"/>
      <c r="Q1125" s="36"/>
      <c r="R1125" s="36" t="str">
        <f>IFERROR(__xludf.DUMMYFUNCTION("""COMPUTED_VALUE"""),"K")</f>
        <v>K</v>
      </c>
      <c r="S1125" s="39"/>
    </row>
    <row r="1126">
      <c r="B1126" s="36" t="str">
        <f>IFERROR(__xludf.DUMMYFUNCTION("""COMPUTED_VALUE"""),"Pengelolaan Administrasi Perkantoraan")</f>
        <v>Pengelolaan Administrasi Perkantoraan</v>
      </c>
      <c r="C1126" s="36"/>
      <c r="D1126" s="36"/>
      <c r="E1126" s="36"/>
      <c r="F1126" s="36" t="str">
        <f>IFERROR(__xludf.DUMMYFUNCTION("""COMPUTED_VALUE"""),"Annisa Alifia Annas")</f>
        <v>Annisa Alifia Annas</v>
      </c>
      <c r="G1126" s="36" t="str">
        <f>IFERROR(__xludf.DUMMYFUNCTION("""COMPUTED_VALUE"""),"7401076403000001")</f>
        <v>7401076403000001</v>
      </c>
      <c r="H1126" s="36"/>
      <c r="I1126" s="36"/>
      <c r="J1126" s="36" t="str">
        <f>IFERROR(__xludf.DUMMYFUNCTION("""COMPUTED_VALUE"""),"PEREMPUAN")</f>
        <v>PEREMPUAN</v>
      </c>
      <c r="K1126" s="36" t="str">
        <f>IFERROR(__xludf.DUMMYFUNCTION("""COMPUTED_VALUE"""),"jl. pulau maniang no.7b kecamatan pomala kab. kolaka")</f>
        <v>jl. pulau maniang no.7b kecamatan pomala kab. kolaka</v>
      </c>
      <c r="L1126" s="36"/>
      <c r="M1126" s="36"/>
      <c r="N1126" s="36"/>
      <c r="O1126" s="36"/>
      <c r="P1126" s="36"/>
      <c r="Q1126" s="36"/>
      <c r="R1126" s="36" t="str">
        <f>IFERROR(__xludf.DUMMYFUNCTION("""COMPUTED_VALUE"""),"K")</f>
        <v>K</v>
      </c>
      <c r="S1126" s="39"/>
    </row>
    <row r="1127">
      <c r="B1127" s="36" t="str">
        <f>IFERROR(__xludf.DUMMYFUNCTION("""COMPUTED_VALUE"""),"Pengelolaan Administrasi Perkantoraan")</f>
        <v>Pengelolaan Administrasi Perkantoraan</v>
      </c>
      <c r="C1127" s="36"/>
      <c r="D1127" s="36"/>
      <c r="E1127" s="36"/>
      <c r="F1127" s="36" t="str">
        <f>IFERROR(__xludf.DUMMYFUNCTION("""COMPUTED_VALUE"""),"A. TENRI DIZA FM")</f>
        <v>A. TENRI DIZA FM</v>
      </c>
      <c r="G1127" s="36" t="str">
        <f>IFERROR(__xludf.DUMMYFUNCTION("""COMPUTED_VALUE"""),"7401145102020001")</f>
        <v>7401145102020001</v>
      </c>
      <c r="H1127" s="36"/>
      <c r="I1127" s="36"/>
      <c r="J1127" s="36" t="str">
        <f>IFERROR(__xludf.DUMMYFUNCTION("""COMPUTED_VALUE"""),"PEREMPUAN")</f>
        <v>PEREMPUAN</v>
      </c>
      <c r="K1127" s="36" t="str">
        <f>IFERROR(__xludf.DUMMYFUNCTION("""COMPUTED_VALUE"""),"Jl. Repelita ")</f>
        <v>Jl. Repelita </v>
      </c>
      <c r="L1127" s="36"/>
      <c r="M1127" s="36"/>
      <c r="N1127" s="36"/>
      <c r="O1127" s="36"/>
      <c r="P1127" s="36"/>
      <c r="Q1127" s="36"/>
      <c r="R1127" s="36" t="str">
        <f>IFERROR(__xludf.DUMMYFUNCTION("""COMPUTED_VALUE"""),"K")</f>
        <v>K</v>
      </c>
      <c r="S1127" s="39"/>
    </row>
    <row r="1128">
      <c r="B1128" s="36" t="str">
        <f>IFERROR(__xludf.DUMMYFUNCTION("""COMPUTED_VALUE"""),"Pengelolaan Administrasi Perkantoraan")</f>
        <v>Pengelolaan Administrasi Perkantoraan</v>
      </c>
      <c r="C1128" s="36"/>
      <c r="D1128" s="36"/>
      <c r="E1128" s="36"/>
      <c r="F1128" s="36" t="str">
        <f>IFERROR(__xludf.DUMMYFUNCTION("""COMPUTED_VALUE"""),"FADILLA LESTARINI. M")</f>
        <v>FADILLA LESTARINI. M</v>
      </c>
      <c r="G1128" s="36" t="str">
        <f>IFERROR(__xludf.DUMMYFUNCTION("""COMPUTED_VALUE"""),"7472065508030001")</f>
        <v>7472065508030001</v>
      </c>
      <c r="H1128" s="36"/>
      <c r="I1128" s="36"/>
      <c r="J1128" s="36" t="str">
        <f>IFERROR(__xludf.DUMMYFUNCTION("""COMPUTED_VALUE"""),"PEREMPUAN")</f>
        <v>PEREMPUAN</v>
      </c>
      <c r="K1128" s="36" t="str">
        <f>IFERROR(__xludf.DUMMYFUNCTION("""COMPUTED_VALUE"""),"Jl. Gajah Mada No. 23, Kel. Wajo, Kec. Murhum")</f>
        <v>Jl. Gajah Mada No. 23, Kel. Wajo, Kec. Murhum</v>
      </c>
      <c r="L1128" s="36"/>
      <c r="M1128" s="36"/>
      <c r="N1128" s="36"/>
      <c r="O1128" s="36"/>
      <c r="P1128" s="36"/>
      <c r="Q1128" s="36"/>
      <c r="R1128" s="36" t="str">
        <f>IFERROR(__xludf.DUMMYFUNCTION("""COMPUTED_VALUE"""),"K")</f>
        <v>K</v>
      </c>
      <c r="S1128" s="39"/>
    </row>
    <row r="1129">
      <c r="B1129" s="36" t="str">
        <f>IFERROR(__xludf.DUMMYFUNCTION("""COMPUTED_VALUE"""),"Pengelolaan Administrasi Perkantoraan")</f>
        <v>Pengelolaan Administrasi Perkantoraan</v>
      </c>
      <c r="C1129" s="36"/>
      <c r="D1129" s="36"/>
      <c r="E1129" s="36"/>
      <c r="F1129" s="36" t="str">
        <f>IFERROR(__xludf.DUMMYFUNCTION("""COMPUTED_VALUE"""),"RANI SAPUTRI ")</f>
        <v>RANI SAPUTRI </v>
      </c>
      <c r="G1129" s="36" t="str">
        <f>IFERROR(__xludf.DUMMYFUNCTION("""COMPUTED_VALUE"""),"7471027001040001")</f>
        <v>7471027001040001</v>
      </c>
      <c r="H1129" s="36"/>
      <c r="I1129" s="36"/>
      <c r="J1129" s="36" t="str">
        <f>IFERROR(__xludf.DUMMYFUNCTION("""COMPUTED_VALUE"""),"PEREMPUAN")</f>
        <v>PEREMPUAN</v>
      </c>
      <c r="K1129" s="36" t="str">
        <f>IFERROR(__xludf.DUMMYFUNCTION("""COMPUTED_VALUE"""),"JL. POROS GUNUNG JATI RT 001/RW 001, Kel. Jati Mekar, Kec. Kendari")</f>
        <v>JL. POROS GUNUNG JATI RT 001/RW 001, Kel. Jati Mekar, Kec. Kendari</v>
      </c>
      <c r="L1129" s="36"/>
      <c r="M1129" s="36"/>
      <c r="N1129" s="36"/>
      <c r="O1129" s="36"/>
      <c r="P1129" s="36"/>
      <c r="Q1129" s="36"/>
      <c r="R1129" s="36" t="str">
        <f>IFERROR(__xludf.DUMMYFUNCTION("""COMPUTED_VALUE"""),"K")</f>
        <v>K</v>
      </c>
      <c r="S1129" s="39"/>
    </row>
    <row r="1130">
      <c r="B1130" s="36" t="str">
        <f>IFERROR(__xludf.DUMMYFUNCTION("""COMPUTED_VALUE"""),"Pengelolaan Administrasi Perkantoraan")</f>
        <v>Pengelolaan Administrasi Perkantoraan</v>
      </c>
      <c r="C1130" s="36"/>
      <c r="D1130" s="36"/>
      <c r="E1130" s="36"/>
      <c r="F1130" s="36" t="str">
        <f>IFERROR(__xludf.DUMMYFUNCTION("""COMPUTED_VALUE"""),"Choirul Fatih Fahresi ")</f>
        <v>Choirul Fatih Fahresi </v>
      </c>
      <c r="G1130" s="36" t="str">
        <f>IFERROR(__xludf.DUMMYFUNCTION("""COMPUTED_VALUE"""),"7405075710030001")</f>
        <v>7405075710030001</v>
      </c>
      <c r="H1130" s="36"/>
      <c r="I1130" s="36"/>
      <c r="J1130" s="36" t="str">
        <f>IFERROR(__xludf.DUMMYFUNCTION("""COMPUTED_VALUE"""),"PEREMPUAN")</f>
        <v>PEREMPUAN</v>
      </c>
      <c r="K1130" s="36" t="str">
        <f>IFERROR(__xludf.DUMMYFUNCTION("""COMPUTED_VALUE"""),"Kecamatan Konda, Kabupaten Konawe Selatan ")</f>
        <v>Kecamatan Konda, Kabupaten Konawe Selatan </v>
      </c>
      <c r="L1130" s="36"/>
      <c r="M1130" s="36"/>
      <c r="N1130" s="36"/>
      <c r="O1130" s="36"/>
      <c r="P1130" s="36"/>
      <c r="Q1130" s="36"/>
      <c r="R1130" s="36" t="str">
        <f>IFERROR(__xludf.DUMMYFUNCTION("""COMPUTED_VALUE"""),"K")</f>
        <v>K</v>
      </c>
      <c r="S1130" s="39"/>
    </row>
    <row r="1131">
      <c r="B1131" s="36" t="str">
        <f>IFERROR(__xludf.DUMMYFUNCTION("""COMPUTED_VALUE"""),"Pengelolaan Administrasi Perkantoraan")</f>
        <v>Pengelolaan Administrasi Perkantoraan</v>
      </c>
      <c r="C1131" s="36"/>
      <c r="D1131" s="36"/>
      <c r="E1131" s="36"/>
      <c r="F1131" s="36" t="str">
        <f>IFERROR(__xludf.DUMMYFUNCTION("""COMPUTED_VALUE"""),"NUR RESKI AFRILIA")</f>
        <v>NUR RESKI AFRILIA</v>
      </c>
      <c r="G1131" s="36" t="str">
        <f>IFERROR(__xludf.DUMMYFUNCTION("""COMPUTED_VALUE"""),"7401096005020002")</f>
        <v>7401096005020002</v>
      </c>
      <c r="H1131" s="36"/>
      <c r="I1131" s="36"/>
      <c r="J1131" s="36" t="str">
        <f>IFERROR(__xludf.DUMMYFUNCTION("""COMPUTED_VALUE"""),"PEREMPUAN")</f>
        <v>PEREMPUAN</v>
      </c>
      <c r="K1131" s="36" t="str">
        <f>IFERROR(__xludf.DUMMYFUNCTION("""COMPUTED_VALUE"""),"Desa Ana Onembute, Kab. Konawe, Sulawesi Tenggara")</f>
        <v>Desa Ana Onembute, Kab. Konawe, Sulawesi Tenggara</v>
      </c>
      <c r="L1131" s="36"/>
      <c r="M1131" s="36"/>
      <c r="N1131" s="36"/>
      <c r="O1131" s="36"/>
      <c r="P1131" s="36"/>
      <c r="Q1131" s="36"/>
      <c r="R1131" s="36" t="str">
        <f>IFERROR(__xludf.DUMMYFUNCTION("""COMPUTED_VALUE"""),"K")</f>
        <v>K</v>
      </c>
      <c r="S1131" s="39"/>
    </row>
    <row r="1132">
      <c r="B1132" s="36" t="str">
        <f>IFERROR(__xludf.DUMMYFUNCTION("""COMPUTED_VALUE"""),"Pengelolaan Administrasi Perkantoraan")</f>
        <v>Pengelolaan Administrasi Perkantoraan</v>
      </c>
      <c r="C1132" s="36"/>
      <c r="D1132" s="36"/>
      <c r="E1132" s="36"/>
      <c r="F1132" s="36" t="str">
        <f>IFERROR(__xludf.DUMMYFUNCTION("""COMPUTED_VALUE"""),"Warda Alamri")</f>
        <v>Warda Alamri</v>
      </c>
      <c r="G1132" s="36" t="str">
        <f>IFERROR(__xludf.DUMMYFUNCTION("""COMPUTED_VALUE"""),"7471104908030002")</f>
        <v>7471104908030002</v>
      </c>
      <c r="H1132" s="36"/>
      <c r="I1132" s="36"/>
      <c r="J1132" s="36" t="str">
        <f>IFERROR(__xludf.DUMMYFUNCTION("""COMPUTED_VALUE"""),"PEREMPUAN")</f>
        <v>PEREMPUAN</v>
      </c>
      <c r="K1132" s="36" t="str">
        <f>IFERROR(__xludf.DUMMYFUNCTION("""COMPUTED_VALUE"""),"BTN Kendari Permai, Blok P1 no 15")</f>
        <v>BTN Kendari Permai, Blok P1 no 15</v>
      </c>
      <c r="L1132" s="36"/>
      <c r="M1132" s="36"/>
      <c r="N1132" s="36"/>
      <c r="O1132" s="36"/>
      <c r="P1132" s="36"/>
      <c r="Q1132" s="36"/>
      <c r="R1132" s="36" t="str">
        <f>IFERROR(__xludf.DUMMYFUNCTION("""COMPUTED_VALUE"""),"K")</f>
        <v>K</v>
      </c>
      <c r="S1132" s="39"/>
    </row>
    <row r="1133">
      <c r="B1133" s="36" t="str">
        <f>IFERROR(__xludf.DUMMYFUNCTION("""COMPUTED_VALUE"""),"Pengelolaan Administrasi Perkantoraan")</f>
        <v>Pengelolaan Administrasi Perkantoraan</v>
      </c>
      <c r="C1133" s="36"/>
      <c r="D1133" s="36"/>
      <c r="E1133" s="36"/>
      <c r="F1133" s="36" t="str">
        <f>IFERROR(__xludf.DUMMYFUNCTION("""COMPUTED_VALUE"""),"ISRA SALSABILA")</f>
        <v>ISRA SALSABILA</v>
      </c>
      <c r="G1133" s="36" t="str">
        <f>IFERROR(__xludf.DUMMYFUNCTION("""COMPUTED_VALUE"""),"7471066412000002")</f>
        <v>7471066412000002</v>
      </c>
      <c r="H1133" s="36"/>
      <c r="I1133" s="36"/>
      <c r="J1133" s="36" t="str">
        <f>IFERROR(__xludf.DUMMYFUNCTION("""COMPUTED_VALUE"""),"PEREMPUAN")</f>
        <v>PEREMPUAN</v>
      </c>
      <c r="K1133" s="36" t="str">
        <f>IFERROR(__xludf.DUMMYFUNCTION("""COMPUTED_VALUE"""),"JL DERMAGA LAPULU")</f>
        <v>JL DERMAGA LAPULU</v>
      </c>
      <c r="L1133" s="36"/>
      <c r="M1133" s="36"/>
      <c r="N1133" s="36"/>
      <c r="O1133" s="36"/>
      <c r="P1133" s="36"/>
      <c r="Q1133" s="36"/>
      <c r="R1133" s="36" t="str">
        <f>IFERROR(__xludf.DUMMYFUNCTION("""COMPUTED_VALUE"""),"K")</f>
        <v>K</v>
      </c>
      <c r="S1133" s="39"/>
    </row>
    <row r="1134">
      <c r="B1134" s="36" t="str">
        <f>IFERROR(__xludf.DUMMYFUNCTION("""COMPUTED_VALUE"""),"Pengelolaan Administrasi Perkantoraan")</f>
        <v>Pengelolaan Administrasi Perkantoraan</v>
      </c>
      <c r="C1134" s="36"/>
      <c r="D1134" s="36"/>
      <c r="E1134" s="36"/>
      <c r="F1134" s="36" t="str">
        <f>IFERROR(__xludf.DUMMYFUNCTION("""COMPUTED_VALUE"""),"Nur Ainun")</f>
        <v>Nur Ainun</v>
      </c>
      <c r="G1134" s="36" t="str">
        <f>IFERROR(__xludf.DUMMYFUNCTION("""COMPUTED_VALUE"""),"7401047009030003")</f>
        <v>7401047009030003</v>
      </c>
      <c r="H1134" s="36"/>
      <c r="I1134" s="36"/>
      <c r="J1134" s="36" t="str">
        <f>IFERROR(__xludf.DUMMYFUNCTION("""COMPUTED_VALUE"""),"PEREMPUAN")</f>
        <v>PEREMPUAN</v>
      </c>
      <c r="K1134" s="36" t="str">
        <f>IFERROR(__xludf.DUMMYFUNCTION("""COMPUTED_VALUE"""),"Jln dr sutomo no.4")</f>
        <v>Jln dr sutomo no.4</v>
      </c>
      <c r="L1134" s="36"/>
      <c r="M1134" s="36"/>
      <c r="N1134" s="36"/>
      <c r="O1134" s="36"/>
      <c r="P1134" s="36"/>
      <c r="Q1134" s="36"/>
      <c r="R1134" s="36" t="str">
        <f>IFERROR(__xludf.DUMMYFUNCTION("""COMPUTED_VALUE"""),"K")</f>
        <v>K</v>
      </c>
      <c r="S1134" s="39"/>
    </row>
    <row r="1135">
      <c r="B1135" s="36" t="str">
        <f>IFERROR(__xludf.DUMMYFUNCTION("""COMPUTED_VALUE"""),"Pengelolaan Administrasi Perkantoraan")</f>
        <v>Pengelolaan Administrasi Perkantoraan</v>
      </c>
      <c r="C1135" s="36"/>
      <c r="D1135" s="36"/>
      <c r="E1135" s="36"/>
      <c r="F1135" s="36" t="str">
        <f>IFERROR(__xludf.DUMMYFUNCTION("""COMPUTED_VALUE"""),"AULIA FATMALA PUTRI BASIRUN")</f>
        <v>AULIA FATMALA PUTRI BASIRUN</v>
      </c>
      <c r="G1135" s="36" t="str">
        <f>IFERROR(__xludf.DUMMYFUNCTION("""COMPUTED_VALUE"""),"7472025801040002")</f>
        <v>7472025801040002</v>
      </c>
      <c r="H1135" s="36"/>
      <c r="I1135" s="36"/>
      <c r="J1135" s="36" t="str">
        <f>IFERROR(__xludf.DUMMYFUNCTION("""COMPUTED_VALUE"""),"PEREMPUAN")</f>
        <v>PEREMPUAN</v>
      </c>
      <c r="K1135" s="36" t="str">
        <f>IFERROR(__xludf.DUMMYFUNCTION("""COMPUTED_VALUE"""),"Jl. H. Agus Salim No. 25")</f>
        <v>Jl. H. Agus Salim No. 25</v>
      </c>
      <c r="L1135" s="36"/>
      <c r="M1135" s="36"/>
      <c r="N1135" s="36"/>
      <c r="O1135" s="36"/>
      <c r="P1135" s="36"/>
      <c r="Q1135" s="36"/>
      <c r="R1135" s="36" t="str">
        <f>IFERROR(__xludf.DUMMYFUNCTION("""COMPUTED_VALUE"""),"K")</f>
        <v>K</v>
      </c>
      <c r="S1135" s="39"/>
    </row>
    <row r="1136">
      <c r="B1136" s="36" t="str">
        <f>IFERROR(__xludf.DUMMYFUNCTION("""COMPUTED_VALUE"""),"Pengelolaan Administrasi Perkantoraan")</f>
        <v>Pengelolaan Administrasi Perkantoraan</v>
      </c>
      <c r="C1136" s="36"/>
      <c r="D1136" s="36"/>
      <c r="E1136" s="36"/>
      <c r="F1136" s="36" t="str">
        <f>IFERROR(__xludf.DUMMYFUNCTION("""COMPUTED_VALUE"""),"MERLINA WATI")</f>
        <v>MERLINA WATI</v>
      </c>
      <c r="G1136" s="36" t="str">
        <f>IFERROR(__xludf.DUMMYFUNCTION("""COMPUTED_VALUE"""),"7407015012030001")</f>
        <v>7407015012030001</v>
      </c>
      <c r="H1136" s="36"/>
      <c r="I1136" s="36"/>
      <c r="J1136" s="36" t="str">
        <f>IFERROR(__xludf.DUMMYFUNCTION("""COMPUTED_VALUE"""),"PEREMPUAN")</f>
        <v>PEREMPUAN</v>
      </c>
      <c r="K1136" s="36" t="str">
        <f>IFERROR(__xludf.DUMMYFUNCTION("""COMPUTED_VALUE"""),"LA SUMPA")</f>
        <v>LA SUMPA</v>
      </c>
      <c r="L1136" s="36"/>
      <c r="M1136" s="36"/>
      <c r="N1136" s="36"/>
      <c r="O1136" s="36"/>
      <c r="P1136" s="36"/>
      <c r="Q1136" s="36"/>
      <c r="R1136" s="36" t="str">
        <f>IFERROR(__xludf.DUMMYFUNCTION("""COMPUTED_VALUE"""),"K")</f>
        <v>K</v>
      </c>
      <c r="S1136" s="39"/>
    </row>
    <row r="1137">
      <c r="B1137" s="36" t="str">
        <f>IFERROR(__xludf.DUMMYFUNCTION("""COMPUTED_VALUE"""),"Pengelolaan Administrasi Perkantoraan")</f>
        <v>Pengelolaan Administrasi Perkantoraan</v>
      </c>
      <c r="C1137" s="36"/>
      <c r="D1137" s="36"/>
      <c r="E1137" s="36"/>
      <c r="F1137" s="36" t="str">
        <f>IFERROR(__xludf.DUMMYFUNCTION("""COMPUTED_VALUE"""),"Waode Intan Gebrina")</f>
        <v>Waode Intan Gebrina</v>
      </c>
      <c r="G1137" s="36" t="str">
        <f>IFERROR(__xludf.DUMMYFUNCTION("""COMPUTED_VALUE"""),"7403156004030001")</f>
        <v>7403156004030001</v>
      </c>
      <c r="H1137" s="36"/>
      <c r="I1137" s="36"/>
      <c r="J1137" s="36" t="str">
        <f>IFERROR(__xludf.DUMMYFUNCTION("""COMPUTED_VALUE"""),"PEREMPUAN")</f>
        <v>PEREMPUAN</v>
      </c>
      <c r="K1137" s="36" t="str">
        <f>IFERROR(__xludf.DUMMYFUNCTION("""COMPUTED_VALUE"""),"BTN Baruga Lestari Blok C5, Kelurahan Watubangga, Kecamatan Baruga, Kota Kendari")</f>
        <v>BTN Baruga Lestari Blok C5, Kelurahan Watubangga, Kecamatan Baruga, Kota Kendari</v>
      </c>
      <c r="L1137" s="36"/>
      <c r="M1137" s="36"/>
      <c r="N1137" s="36"/>
      <c r="O1137" s="36"/>
      <c r="P1137" s="36"/>
      <c r="Q1137" s="36"/>
      <c r="R1137" s="36" t="str">
        <f>IFERROR(__xludf.DUMMYFUNCTION("""COMPUTED_VALUE"""),"K")</f>
        <v>K</v>
      </c>
      <c r="S1137" s="39"/>
    </row>
    <row r="1138">
      <c r="B1138" s="36" t="str">
        <f>IFERROR(__xludf.DUMMYFUNCTION("""COMPUTED_VALUE"""),"Pengelolaan Administrasi Perkantoraan")</f>
        <v>Pengelolaan Administrasi Perkantoraan</v>
      </c>
      <c r="C1138" s="36"/>
      <c r="D1138" s="36"/>
      <c r="E1138" s="36"/>
      <c r="F1138" s="36" t="str">
        <f>IFERROR(__xludf.DUMMYFUNCTION("""COMPUTED_VALUE"""),"Rony Kurniawan")</f>
        <v>Rony Kurniawan</v>
      </c>
      <c r="G1138" s="36" t="str">
        <f>IFERROR(__xludf.DUMMYFUNCTION("""COMPUTED_VALUE"""),"7471010409020001")</f>
        <v>7471010409020001</v>
      </c>
      <c r="H1138" s="36"/>
      <c r="I1138" s="36"/>
      <c r="J1138" s="36" t="str">
        <f>IFERROR(__xludf.DUMMYFUNCTION("""COMPUTED_VALUE"""),"LAKI-LAKI")</f>
        <v>LAKI-LAKI</v>
      </c>
      <c r="K1138" s="36" t="str">
        <f>IFERROR(__xludf.DUMMYFUNCTION("""COMPUTED_VALUE"""),"Jl. Balai Kota I")</f>
        <v>Jl. Balai Kota I</v>
      </c>
      <c r="L1138" s="36"/>
      <c r="M1138" s="36"/>
      <c r="N1138" s="36"/>
      <c r="O1138" s="36"/>
      <c r="P1138" s="36"/>
      <c r="Q1138" s="36"/>
      <c r="R1138" s="36" t="str">
        <f>IFERROR(__xludf.DUMMYFUNCTION("""COMPUTED_VALUE"""),"K")</f>
        <v>K</v>
      </c>
      <c r="S1138" s="39"/>
    </row>
    <row r="1139">
      <c r="B1139" s="36" t="str">
        <f>IFERROR(__xludf.DUMMYFUNCTION("""COMPUTED_VALUE"""),"Pengelolaan Administrasi Perkantoraan")</f>
        <v>Pengelolaan Administrasi Perkantoraan</v>
      </c>
      <c r="C1139" s="36"/>
      <c r="D1139" s="36"/>
      <c r="E1139" s="36"/>
      <c r="F1139" s="36" t="str">
        <f>IFERROR(__xludf.DUMMYFUNCTION("""COMPUTED_VALUE"""),"WA ODE INTAN CAHYANI")</f>
        <v>WA ODE INTAN CAHYANI</v>
      </c>
      <c r="G1139" s="36" t="str">
        <f>IFERROR(__xludf.DUMMYFUNCTION("""COMPUTED_VALUE"""),"8101155009040005")</f>
        <v>8101155009040005</v>
      </c>
      <c r="H1139" s="36"/>
      <c r="I1139" s="36"/>
      <c r="J1139" s="36" t="str">
        <f>IFERROR(__xludf.DUMMYFUNCTION("""COMPUTED_VALUE"""),"PEREMPUAN")</f>
        <v>PEREMPUAN</v>
      </c>
      <c r="K1139" s="36" t="str">
        <f>IFERROR(__xludf.DUMMYFUNCTION("""COMPUTED_VALUE"""),"Jl. Baru Gundu-Gundu Kel, Lipu Kec, Betoambari")</f>
        <v>Jl. Baru Gundu-Gundu Kel, Lipu Kec, Betoambari</v>
      </c>
      <c r="L1139" s="36"/>
      <c r="M1139" s="36"/>
      <c r="N1139" s="36"/>
      <c r="O1139" s="36"/>
      <c r="P1139" s="36"/>
      <c r="Q1139" s="36"/>
      <c r="R1139" s="36" t="str">
        <f>IFERROR(__xludf.DUMMYFUNCTION("""COMPUTED_VALUE"""),"K")</f>
        <v>K</v>
      </c>
      <c r="S1139" s="39"/>
    </row>
    <row r="1140">
      <c r="B1140" s="36" t="str">
        <f>IFERROR(__xludf.DUMMYFUNCTION("""COMPUTED_VALUE"""),"Pengelolaan Administrasi Perkantoraan")</f>
        <v>Pengelolaan Administrasi Perkantoraan</v>
      </c>
      <c r="C1140" s="36"/>
      <c r="D1140" s="36"/>
      <c r="E1140" s="36"/>
      <c r="F1140" s="36" t="str">
        <f>IFERROR(__xludf.DUMMYFUNCTION("""COMPUTED_VALUE"""),"Rizka Ananda Chaisarah ")</f>
        <v>Rizka Ananda Chaisarah </v>
      </c>
      <c r="G1140" s="36" t="str">
        <f>IFERROR(__xludf.DUMMYFUNCTION("""COMPUTED_VALUE"""),"7471106704040002")</f>
        <v>7471106704040002</v>
      </c>
      <c r="H1140" s="36"/>
      <c r="I1140" s="36"/>
      <c r="J1140" s="36" t="str">
        <f>IFERROR(__xludf.DUMMYFUNCTION("""COMPUTED_VALUE"""),"PEREMPUAN")</f>
        <v>PEREMPUAN</v>
      </c>
      <c r="K1140" s="36" t="str">
        <f>IFERROR(__xludf.DUMMYFUNCTION("""COMPUTED_VALUE"""),"Jl. Malaka, kambu")</f>
        <v>Jl. Malaka, kambu</v>
      </c>
      <c r="L1140" s="36"/>
      <c r="M1140" s="36"/>
      <c r="N1140" s="36"/>
      <c r="O1140" s="36"/>
      <c r="P1140" s="36"/>
      <c r="Q1140" s="36"/>
      <c r="R1140" s="36" t="str">
        <f>IFERROR(__xludf.DUMMYFUNCTION("""COMPUTED_VALUE"""),"K")</f>
        <v>K</v>
      </c>
      <c r="S1140" s="39"/>
    </row>
    <row r="1141">
      <c r="B1141" s="36" t="str">
        <f>IFERROR(__xludf.DUMMYFUNCTION("""COMPUTED_VALUE"""),"Pengelolaan Administrasi Perkantoraan")</f>
        <v>Pengelolaan Administrasi Perkantoraan</v>
      </c>
      <c r="C1141" s="36"/>
      <c r="D1141" s="36"/>
      <c r="E1141" s="36"/>
      <c r="F1141" s="36" t="str">
        <f>IFERROR(__xludf.DUMMYFUNCTION("""COMPUTED_VALUE"""),"Andini Pramesty")</f>
        <v>Andini Pramesty</v>
      </c>
      <c r="G1141" s="36" t="str">
        <f>IFERROR(__xludf.DUMMYFUNCTION("""COMPUTED_VALUE"""),"7403105007030001")</f>
        <v>7403105007030001</v>
      </c>
      <c r="H1141" s="36"/>
      <c r="I1141" s="36"/>
      <c r="J1141" s="36" t="str">
        <f>IFERROR(__xludf.DUMMYFUNCTION("""COMPUTED_VALUE"""),"PEREMPUAN")</f>
        <v>PEREMPUAN</v>
      </c>
      <c r="K1141" s="36" t="str">
        <f>IFERROR(__xludf.DUMMYFUNCTION("""COMPUTED_VALUE"""),"Jalan banteng ")</f>
        <v>Jalan banteng </v>
      </c>
      <c r="L1141" s="36"/>
      <c r="M1141" s="36"/>
      <c r="N1141" s="36"/>
      <c r="O1141" s="36"/>
      <c r="P1141" s="36"/>
      <c r="Q1141" s="36"/>
      <c r="R1141" s="36" t="str">
        <f>IFERROR(__xludf.DUMMYFUNCTION("""COMPUTED_VALUE"""),"K")</f>
        <v>K</v>
      </c>
      <c r="S1141" s="39"/>
    </row>
    <row r="1142">
      <c r="B1142" s="36" t="str">
        <f>IFERROR(__xludf.DUMMYFUNCTION("""COMPUTED_VALUE"""),"Pengelolaan Administrasi Perkantoraan")</f>
        <v>Pengelolaan Administrasi Perkantoraan</v>
      </c>
      <c r="C1142" s="36"/>
      <c r="D1142" s="36"/>
      <c r="E1142" s="36"/>
      <c r="F1142" s="36" t="str">
        <f>IFERROR(__xludf.DUMMYFUNCTION("""COMPUTED_VALUE"""),"ROY ASTUTI")</f>
        <v>ROY ASTUTI</v>
      </c>
      <c r="G1142" s="36" t="str">
        <f>IFERROR(__xludf.DUMMYFUNCTION("""COMPUTED_VALUE"""),"7404115309030004")</f>
        <v>7404115309030004</v>
      </c>
      <c r="H1142" s="36"/>
      <c r="I1142" s="36"/>
      <c r="J1142" s="36" t="str">
        <f>IFERROR(__xludf.DUMMYFUNCTION("""COMPUTED_VALUE"""),"PEREMPUAN")</f>
        <v>PEREMPUAN</v>
      </c>
      <c r="K1142" s="36" t="str">
        <f>IFERROR(__xludf.DUMMYFUNCTION("""COMPUTED_VALUE"""),"Jl. H.E.A Mokodompit, Depan UHO, lorong perintis, asrama wabula")</f>
        <v>Jl. H.E.A Mokodompit, Depan UHO, lorong perintis, asrama wabula</v>
      </c>
      <c r="L1142" s="36"/>
      <c r="M1142" s="36"/>
      <c r="N1142" s="36"/>
      <c r="O1142" s="36"/>
      <c r="P1142" s="36"/>
      <c r="Q1142" s="36"/>
      <c r="R1142" s="36" t="str">
        <f>IFERROR(__xludf.DUMMYFUNCTION("""COMPUTED_VALUE"""),"K")</f>
        <v>K</v>
      </c>
      <c r="S1142" s="39"/>
    </row>
    <row r="1143">
      <c r="B1143" s="36" t="str">
        <f>IFERROR(__xludf.DUMMYFUNCTION("""COMPUTED_VALUE"""),"Pengelolaan Administrasi Perkantoraan")</f>
        <v>Pengelolaan Administrasi Perkantoraan</v>
      </c>
      <c r="C1143" s="36"/>
      <c r="D1143" s="36"/>
      <c r="E1143" s="36"/>
      <c r="F1143" s="36" t="str">
        <f>IFERROR(__xludf.DUMMYFUNCTION("""COMPUTED_VALUE"""),"Riski")</f>
        <v>Riski</v>
      </c>
      <c r="G1143" s="36" t="str">
        <f>IFERROR(__xludf.DUMMYFUNCTION("""COMPUTED_VALUE"""),"7404316608030004")</f>
        <v>7404316608030004</v>
      </c>
      <c r="H1143" s="36"/>
      <c r="I1143" s="36"/>
      <c r="J1143" s="36" t="str">
        <f>IFERROR(__xludf.DUMMYFUNCTION("""COMPUTED_VALUE"""),"PEREMPUAN")</f>
        <v>PEREMPUAN</v>
      </c>
      <c r="K1143" s="36" t="str">
        <f>IFERROR(__xludf.DUMMYFUNCTION("""COMPUTED_VALUE"""),"Desa Karya Jaya, Kec. Siotapina, Kab. Buton")</f>
        <v>Desa Karya Jaya, Kec. Siotapina, Kab. Buton</v>
      </c>
      <c r="L1143" s="36"/>
      <c r="M1143" s="36"/>
      <c r="N1143" s="36"/>
      <c r="O1143" s="36"/>
      <c r="P1143" s="36"/>
      <c r="Q1143" s="36"/>
      <c r="R1143" s="36" t="str">
        <f>IFERROR(__xludf.DUMMYFUNCTION("""COMPUTED_VALUE"""),"K")</f>
        <v>K</v>
      </c>
      <c r="S1143" s="39"/>
    </row>
    <row r="1144">
      <c r="B1144" s="36" t="str">
        <f>IFERROR(__xludf.DUMMYFUNCTION("""COMPUTED_VALUE"""),"Pengelolaan Administrasi Perkantoraan")</f>
        <v>Pengelolaan Administrasi Perkantoraan</v>
      </c>
      <c r="C1144" s="36"/>
      <c r="D1144" s="36"/>
      <c r="E1144" s="36"/>
      <c r="F1144" s="36" t="str">
        <f>IFERROR(__xludf.DUMMYFUNCTION("""COMPUTED_VALUE"""),"Sitti Nur Aulia Ghani")</f>
        <v>Sitti Nur Aulia Ghani</v>
      </c>
      <c r="G1144" s="36" t="str">
        <f>IFERROR(__xludf.DUMMYFUNCTION("""COMPUTED_VALUE"""),"7471014205020004")</f>
        <v>7471014205020004</v>
      </c>
      <c r="H1144" s="36"/>
      <c r="I1144" s="36"/>
      <c r="J1144" s="36" t="str">
        <f>IFERROR(__xludf.DUMMYFUNCTION("""COMPUTED_VALUE"""),"PEREMPUAN")</f>
        <v>PEREMPUAN</v>
      </c>
      <c r="K1144" s="36" t="str">
        <f>IFERROR(__xludf.DUMMYFUNCTION("""COMPUTED_VALUE"""),"JL. TAMAN SURAPATI")</f>
        <v>JL. TAMAN SURAPATI</v>
      </c>
      <c r="L1144" s="36"/>
      <c r="M1144" s="36"/>
      <c r="N1144" s="36"/>
      <c r="O1144" s="36"/>
      <c r="P1144" s="36"/>
      <c r="Q1144" s="36"/>
      <c r="R1144" s="36" t="str">
        <f>IFERROR(__xludf.DUMMYFUNCTION("""COMPUTED_VALUE"""),"K")</f>
        <v>K</v>
      </c>
      <c r="S1144" s="39"/>
    </row>
    <row r="1145">
      <c r="B1145" s="36" t="str">
        <f>IFERROR(__xludf.DUMMYFUNCTION("""COMPUTED_VALUE"""),"Pengelolaan Administrasi Perkantoraan")</f>
        <v>Pengelolaan Administrasi Perkantoraan</v>
      </c>
      <c r="C1145" s="36"/>
      <c r="D1145" s="36"/>
      <c r="E1145" s="36"/>
      <c r="F1145" s="36" t="str">
        <f>IFERROR(__xludf.DUMMYFUNCTION("""COMPUTED_VALUE"""),"Nur Afifa Putri Risna")</f>
        <v>Nur Afifa Putri Risna</v>
      </c>
      <c r="G1145" s="36" t="str">
        <f>IFERROR(__xludf.DUMMYFUNCTION("""COMPUTED_VALUE"""),"7406016404030001")</f>
        <v>7406016404030001</v>
      </c>
      <c r="H1145" s="36"/>
      <c r="I1145" s="36"/>
      <c r="J1145" s="36" t="str">
        <f>IFERROR(__xludf.DUMMYFUNCTION("""COMPUTED_VALUE"""),"PEREMPUAN")</f>
        <v>PEREMPUAN</v>
      </c>
      <c r="K1145" s="36" t="str">
        <f>IFERROR(__xludf.DUMMYFUNCTION("""COMPUTED_VALUE"""),"Topa I, Kel. Wanci, Kec. Wangi-wangi, Kab. Wakatobi")</f>
        <v>Topa I, Kel. Wanci, Kec. Wangi-wangi, Kab. Wakatobi</v>
      </c>
      <c r="L1145" s="36"/>
      <c r="M1145" s="36"/>
      <c r="N1145" s="36"/>
      <c r="O1145" s="36"/>
      <c r="P1145" s="36"/>
      <c r="Q1145" s="36"/>
      <c r="R1145" s="36" t="str">
        <f>IFERROR(__xludf.DUMMYFUNCTION("""COMPUTED_VALUE"""),"K")</f>
        <v>K</v>
      </c>
      <c r="S1145" s="39"/>
    </row>
    <row r="1146">
      <c r="B1146" s="36" t="str">
        <f>IFERROR(__xludf.DUMMYFUNCTION("""COMPUTED_VALUE"""),"Operator Komputer (Computer Operator")</f>
        <v>Operator Komputer (Computer Operator</v>
      </c>
      <c r="C1146" s="36"/>
      <c r="D1146" s="36"/>
      <c r="E1146" s="36"/>
      <c r="F1146" s="36" t="str">
        <f>IFERROR(__xludf.DUMMYFUNCTION("""COMPUTED_VALUE"""),"Sardianto Rahman")</f>
        <v>Sardianto Rahman</v>
      </c>
      <c r="G1146" s="36" t="str">
        <f>IFERROR(__xludf.DUMMYFUNCTION("""COMPUTED_VALUE"""),"7407062701030001")</f>
        <v>7407062701030001</v>
      </c>
      <c r="H1146" s="36"/>
      <c r="I1146" s="36"/>
      <c r="J1146" s="36" t="str">
        <f>IFERROR(__xludf.DUMMYFUNCTION("""COMPUTED_VALUE"""),"LAKI-LAKI")</f>
        <v>LAKI-LAKI</v>
      </c>
      <c r="K1146" s="36" t="str">
        <f>IFERROR(__xludf.DUMMYFUNCTION("""COMPUTED_VALUE"""),"Dusun Haliba, Desa Lede, Kec. Lede")</f>
        <v>Dusun Haliba, Desa Lede, Kec. Lede</v>
      </c>
      <c r="L1146" s="36"/>
      <c r="M1146" s="36"/>
      <c r="N1146" s="36"/>
      <c r="O1146" s="36"/>
      <c r="P1146" s="36"/>
      <c r="Q1146" s="36"/>
      <c r="R1146" s="36" t="str">
        <f>IFERROR(__xludf.DUMMYFUNCTION("""COMPUTED_VALUE"""),"K")</f>
        <v>K</v>
      </c>
      <c r="S1146" s="39"/>
    </row>
    <row r="1147">
      <c r="B1147" s="36" t="str">
        <f>IFERROR(__xludf.DUMMYFUNCTION("""COMPUTED_VALUE"""),"Pengelolaan Administrasi Perkantoraan")</f>
        <v>Pengelolaan Administrasi Perkantoraan</v>
      </c>
      <c r="C1147" s="36"/>
      <c r="D1147" s="36"/>
      <c r="E1147" s="36"/>
      <c r="F1147" s="36" t="str">
        <f>IFERROR(__xludf.DUMMYFUNCTION("""COMPUTED_VALUE"""),"Zaskia Zahrani Yusman")</f>
        <v>Zaskia Zahrani Yusman</v>
      </c>
      <c r="G1147" s="36" t="str">
        <f>IFERROR(__xludf.DUMMYFUNCTION("""COMPUTED_VALUE"""),"7402184408020001")</f>
        <v>7402184408020001</v>
      </c>
      <c r="H1147" s="36"/>
      <c r="I1147" s="36"/>
      <c r="J1147" s="36" t="str">
        <f>IFERROR(__xludf.DUMMYFUNCTION("""COMPUTED_VALUE"""),"PEREMPUAN")</f>
        <v>PEREMPUAN</v>
      </c>
      <c r="K1147" s="36" t="str">
        <f>IFERROR(__xludf.DUMMYFUNCTION("""COMPUTED_VALUE"""),"Jln. Saranani No. 33 B")</f>
        <v>Jln. Saranani No. 33 B</v>
      </c>
      <c r="L1147" s="36"/>
      <c r="M1147" s="36"/>
      <c r="N1147" s="36"/>
      <c r="O1147" s="36"/>
      <c r="P1147" s="36"/>
      <c r="Q1147" s="36"/>
      <c r="R1147" s="36" t="str">
        <f>IFERROR(__xludf.DUMMYFUNCTION("""COMPUTED_VALUE"""),"K")</f>
        <v>K</v>
      </c>
      <c r="S1147" s="39"/>
    </row>
    <row r="1148">
      <c r="B1148" s="36" t="str">
        <f>IFERROR(__xludf.DUMMYFUNCTION("""COMPUTED_VALUE"""),"Pengelolaan Administrasi Perkantoraan")</f>
        <v>Pengelolaan Administrasi Perkantoraan</v>
      </c>
      <c r="C1148" s="36"/>
      <c r="D1148" s="36"/>
      <c r="E1148" s="36"/>
      <c r="F1148" s="36" t="str">
        <f>IFERROR(__xludf.DUMMYFUNCTION("""COMPUTED_VALUE"""),"SANI R.ABD LATIB")</f>
        <v>SANI R.ABD LATIB</v>
      </c>
      <c r="G1148" s="36" t="str">
        <f>IFERROR(__xludf.DUMMYFUNCTION("""COMPUTED_VALUE"""),"7207011008010001")</f>
        <v>7207011008010001</v>
      </c>
      <c r="H1148" s="36"/>
      <c r="I1148" s="36"/>
      <c r="J1148" s="36" t="str">
        <f>IFERROR(__xludf.DUMMYFUNCTION("""COMPUTED_VALUE"""),"LAKI-LAKI")</f>
        <v>LAKI-LAKI</v>
      </c>
      <c r="K1148" s="36" t="str">
        <f>IFERROR(__xludf.DUMMYFUNCTION("""COMPUTED_VALUE"""),"Desa Lipulalongo")</f>
        <v>Desa Lipulalongo</v>
      </c>
      <c r="L1148" s="36"/>
      <c r="M1148" s="36"/>
      <c r="N1148" s="36"/>
      <c r="O1148" s="36"/>
      <c r="P1148" s="36"/>
      <c r="Q1148" s="36"/>
      <c r="R1148" s="36" t="str">
        <f>IFERROR(__xludf.DUMMYFUNCTION("""COMPUTED_VALUE"""),"K")</f>
        <v>K</v>
      </c>
      <c r="S1148" s="39"/>
    </row>
    <row r="1149">
      <c r="B1149" s="36" t="str">
        <f>IFERROR(__xludf.DUMMYFUNCTION("""COMPUTED_VALUE"""),"Petugas Keselematan dan Kesehatan Kerja")</f>
        <v>Petugas Keselematan dan Kesehatan Kerja</v>
      </c>
      <c r="C1149" s="36"/>
      <c r="D1149" s="36"/>
      <c r="E1149" s="36"/>
      <c r="F1149" s="36" t="str">
        <f>IFERROR(__xludf.DUMMYFUNCTION("""COMPUTED_VALUE"""),"Khusnul Khatimah")</f>
        <v>Khusnul Khatimah</v>
      </c>
      <c r="G1149" s="36" t="str">
        <f>IFERROR(__xludf.DUMMYFUNCTION("""COMPUTED_VALUE"""),"7371116801030001")</f>
        <v>7371116801030001</v>
      </c>
      <c r="H1149" s="36"/>
      <c r="I1149" s="36"/>
      <c r="J1149" s="36" t="str">
        <f>IFERROR(__xludf.DUMMYFUNCTION("""COMPUTED_VALUE"""),"PEREMPUAN")</f>
        <v>PEREMPUAN</v>
      </c>
      <c r="K1149" s="36" t="str">
        <f>IFERROR(__xludf.DUMMYFUNCTION("""COMPUTED_VALUE"""),"BTN KODAM III BLOK C4/13")</f>
        <v>BTN KODAM III BLOK C4/13</v>
      </c>
      <c r="L1149" s="36"/>
      <c r="M1149" s="36"/>
      <c r="N1149" s="36"/>
      <c r="O1149" s="36"/>
      <c r="P1149" s="36"/>
      <c r="Q1149" s="36"/>
      <c r="R1149" s="36" t="str">
        <f>IFERROR(__xludf.DUMMYFUNCTION("""COMPUTED_VALUE"""),"K")</f>
        <v>K</v>
      </c>
      <c r="S1149" s="39"/>
    </row>
    <row r="1150">
      <c r="B1150" s="36" t="str">
        <f>IFERROR(__xludf.DUMMYFUNCTION("""COMPUTED_VALUE"""),"Petugas Keselematan dan Kesehatan Kerja")</f>
        <v>Petugas Keselematan dan Kesehatan Kerja</v>
      </c>
      <c r="C1150" s="36"/>
      <c r="D1150" s="36"/>
      <c r="E1150" s="36"/>
      <c r="F1150" s="36" t="str">
        <f>IFERROR(__xludf.DUMMYFUNCTION("""COMPUTED_VALUE"""),"Alfiah Galuh Candraningrum")</f>
        <v>Alfiah Galuh Candraningrum</v>
      </c>
      <c r="G1150" s="36" t="str">
        <f>IFERROR(__xludf.DUMMYFUNCTION("""COMPUTED_VALUE"""),"1803024107000093")</f>
        <v>1803024107000093</v>
      </c>
      <c r="H1150" s="36"/>
      <c r="I1150" s="36"/>
      <c r="J1150" s="36" t="str">
        <f>IFERROR(__xludf.DUMMYFUNCTION("""COMPUTED_VALUE"""),"PEREMPUAN")</f>
        <v>PEREMPUAN</v>
      </c>
      <c r="K1150" s="36" t="str">
        <f>IFERROR(__xludf.DUMMYFUNCTION("""COMPUTED_VALUE"""),"Jl. Lebung Curup, Rejo Sari, Kotabumi, Lampung Utara, Lampung")</f>
        <v>Jl. Lebung Curup, Rejo Sari, Kotabumi, Lampung Utara, Lampung</v>
      </c>
      <c r="L1150" s="36"/>
      <c r="M1150" s="36"/>
      <c r="N1150" s="36"/>
      <c r="O1150" s="36"/>
      <c r="P1150" s="36"/>
      <c r="Q1150" s="36"/>
      <c r="R1150" s="36" t="str">
        <f>IFERROR(__xludf.DUMMYFUNCTION("""COMPUTED_VALUE"""),"K")</f>
        <v>K</v>
      </c>
      <c r="S1150" s="39"/>
    </row>
    <row r="1151">
      <c r="B1151" s="36" t="str">
        <f>IFERROR(__xludf.DUMMYFUNCTION("""COMPUTED_VALUE"""),"Petugas Keselematan dan Kesehatan Kerja")</f>
        <v>Petugas Keselematan dan Kesehatan Kerja</v>
      </c>
      <c r="C1151" s="36"/>
      <c r="D1151" s="36"/>
      <c r="E1151" s="36"/>
      <c r="F1151" s="36" t="str">
        <f>IFERROR(__xludf.DUMMYFUNCTION("""COMPUTED_VALUE"""),"MIRAWATI")</f>
        <v>MIRAWATI</v>
      </c>
      <c r="G1151" s="36" t="str">
        <f>IFERROR(__xludf.DUMMYFUNCTION("""COMPUTED_VALUE"""),"7403224601040202")</f>
        <v>7403224601040202</v>
      </c>
      <c r="H1151" s="36"/>
      <c r="I1151" s="36"/>
      <c r="J1151" s="36" t="str">
        <f>IFERROR(__xludf.DUMMYFUNCTION("""COMPUTED_VALUE"""),"PEREMPUAN")</f>
        <v>PEREMPUAN</v>
      </c>
      <c r="K1151" s="36" t="str">
        <f>IFERROR(__xludf.DUMMYFUNCTION("""COMPUTED_VALUE"""),"Desa Fongkaniwa")</f>
        <v>Desa Fongkaniwa</v>
      </c>
      <c r="L1151" s="36"/>
      <c r="M1151" s="36"/>
      <c r="N1151" s="36"/>
      <c r="O1151" s="36"/>
      <c r="P1151" s="36"/>
      <c r="Q1151" s="36"/>
      <c r="R1151" s="36" t="str">
        <f>IFERROR(__xludf.DUMMYFUNCTION("""COMPUTED_VALUE"""),"K")</f>
        <v>K</v>
      </c>
      <c r="S1151" s="39"/>
    </row>
    <row r="1152">
      <c r="B1152" s="36" t="str">
        <f>IFERROR(__xludf.DUMMYFUNCTION("""COMPUTED_VALUE"""),"Petugas Keselematan dan Kesehatan Kerja")</f>
        <v>Petugas Keselematan dan Kesehatan Kerja</v>
      </c>
      <c r="C1152" s="36"/>
      <c r="D1152" s="36"/>
      <c r="E1152" s="36"/>
      <c r="F1152" s="36" t="str">
        <f>IFERROR(__xludf.DUMMYFUNCTION("""COMPUTED_VALUE"""),"LA ODE LUKMAN ")</f>
        <v>LA ODE LUKMAN </v>
      </c>
      <c r="G1152" s="36" t="str">
        <f>IFERROR(__xludf.DUMMYFUNCTION("""COMPUTED_VALUE"""),"7404310107000052")</f>
        <v>7404310107000052</v>
      </c>
      <c r="H1152" s="36"/>
      <c r="I1152" s="36"/>
      <c r="J1152" s="36" t="str">
        <f>IFERROR(__xludf.DUMMYFUNCTION("""COMPUTED_VALUE"""),"LAKI-LAKI")</f>
        <v>LAKI-LAKI</v>
      </c>
      <c r="K1152" s="36" t="str">
        <f>IFERROR(__xludf.DUMMYFUNCTION("""COMPUTED_VALUE"""),"Sampuabalo Mekar ")</f>
        <v>Sampuabalo Mekar </v>
      </c>
      <c r="L1152" s="36"/>
      <c r="M1152" s="36"/>
      <c r="N1152" s="36"/>
      <c r="O1152" s="36"/>
      <c r="P1152" s="36"/>
      <c r="Q1152" s="36"/>
      <c r="R1152" s="36" t="str">
        <f>IFERROR(__xludf.DUMMYFUNCTION("""COMPUTED_VALUE"""),"BK")</f>
        <v>BK</v>
      </c>
      <c r="S1152" s="39"/>
    </row>
    <row r="1153">
      <c r="B1153" s="36" t="str">
        <f>IFERROR(__xludf.DUMMYFUNCTION("""COMPUTED_VALUE"""),"Petugas Keselematan dan Kesehatan Kerja")</f>
        <v>Petugas Keselematan dan Kesehatan Kerja</v>
      </c>
      <c r="C1153" s="36"/>
      <c r="D1153" s="36"/>
      <c r="E1153" s="36"/>
      <c r="F1153" s="36" t="str">
        <f>IFERROR(__xludf.DUMMYFUNCTION("""COMPUTED_VALUE"""),"La ode muhammad maulidin")</f>
        <v>La ode muhammad maulidin</v>
      </c>
      <c r="G1153" s="36" t="str">
        <f>IFERROR(__xludf.DUMMYFUNCTION("""COMPUTED_VALUE"""),"7403111405030201")</f>
        <v>7403111405030201</v>
      </c>
      <c r="H1153" s="36"/>
      <c r="I1153" s="36"/>
      <c r="J1153" s="36" t="str">
        <f>IFERROR(__xludf.DUMMYFUNCTION("""COMPUTED_VALUE"""),"LAKI-LAKI")</f>
        <v>LAKI-LAKI</v>
      </c>
      <c r="K1153" s="36" t="str">
        <f>IFERROR(__xludf.DUMMYFUNCTION("""COMPUTED_VALUE"""),"Jalan Sawerigading")</f>
        <v>Jalan Sawerigading</v>
      </c>
      <c r="L1153" s="36"/>
      <c r="M1153" s="36"/>
      <c r="N1153" s="36"/>
      <c r="O1153" s="36"/>
      <c r="P1153" s="36"/>
      <c r="Q1153" s="36"/>
      <c r="R1153" s="36" t="str">
        <f>IFERROR(__xludf.DUMMYFUNCTION("""COMPUTED_VALUE"""),"K")</f>
        <v>K</v>
      </c>
      <c r="S1153" s="39"/>
    </row>
    <row r="1154">
      <c r="B1154" s="36" t="str">
        <f>IFERROR(__xludf.DUMMYFUNCTION("""COMPUTED_VALUE"""),"Petugas Keselematan dan Kesehatan Kerja")</f>
        <v>Petugas Keselematan dan Kesehatan Kerja</v>
      </c>
      <c r="C1154" s="36"/>
      <c r="D1154" s="36"/>
      <c r="E1154" s="36"/>
      <c r="F1154" s="36" t="str">
        <f>IFERROR(__xludf.DUMMYFUNCTION("""COMPUTED_VALUE"""),"Arlis")</f>
        <v>Arlis</v>
      </c>
      <c r="G1154" s="36" t="str">
        <f>IFERROR(__xludf.DUMMYFUNCTION("""COMPUTED_VALUE"""),"7401090802010001")</f>
        <v>7401090802010001</v>
      </c>
      <c r="H1154" s="36"/>
      <c r="I1154" s="36"/>
      <c r="J1154" s="36" t="str">
        <f>IFERROR(__xludf.DUMMYFUNCTION("""COMPUTED_VALUE"""),"LAKI-LAKI")</f>
        <v>LAKI-LAKI</v>
      </c>
      <c r="K1154" s="36" t="str">
        <f>IFERROR(__xludf.DUMMYFUNCTION("""COMPUTED_VALUE"""),"Lingk IV. Kel. Ladongi, Kec. Ladongi Kab. Kolaka Timur")</f>
        <v>Lingk IV. Kel. Ladongi, Kec. Ladongi Kab. Kolaka Timur</v>
      </c>
      <c r="L1154" s="36"/>
      <c r="M1154" s="36"/>
      <c r="N1154" s="36"/>
      <c r="O1154" s="36"/>
      <c r="P1154" s="36"/>
      <c r="Q1154" s="36"/>
      <c r="R1154" s="36" t="str">
        <f>IFERROR(__xludf.DUMMYFUNCTION("""COMPUTED_VALUE"""),"K")</f>
        <v>K</v>
      </c>
      <c r="S1154" s="39"/>
    </row>
    <row r="1155">
      <c r="B1155" s="36" t="str">
        <f>IFERROR(__xludf.DUMMYFUNCTION("""COMPUTED_VALUE"""),"Petugas Keselematan dan Kesehatan Kerja")</f>
        <v>Petugas Keselematan dan Kesehatan Kerja</v>
      </c>
      <c r="C1155" s="36"/>
      <c r="D1155" s="36"/>
      <c r="E1155" s="36"/>
      <c r="F1155" s="36" t="str">
        <f>IFERROR(__xludf.DUMMYFUNCTION("""COMPUTED_VALUE"""),"Muhamad Anggi ")</f>
        <v>Muhamad Anggi </v>
      </c>
      <c r="G1155" s="36" t="str">
        <f>IFERROR(__xludf.DUMMYFUNCTION("""COMPUTED_VALUE"""),"7472022901020002")</f>
        <v>7472022901020002</v>
      </c>
      <c r="H1155" s="36"/>
      <c r="I1155" s="36"/>
      <c r="J1155" s="36" t="str">
        <f>IFERROR(__xludf.DUMMYFUNCTION("""COMPUTED_VALUE"""),"LAKI-LAKI")</f>
        <v>LAKI-LAKI</v>
      </c>
      <c r="K1155" s="36" t="str">
        <f>IFERROR(__xludf.DUMMYFUNCTION("""COMPUTED_VALUE"""),"Anawai, Kec. Wua-Wua, Kota Kendari, Sulawesi Tenggara 93117")</f>
        <v>Anawai, Kec. Wua-Wua, Kota Kendari, Sulawesi Tenggara 93117</v>
      </c>
      <c r="L1155" s="36"/>
      <c r="M1155" s="36"/>
      <c r="N1155" s="36"/>
      <c r="O1155" s="36"/>
      <c r="P1155" s="36"/>
      <c r="Q1155" s="36"/>
      <c r="R1155" s="36" t="str">
        <f>IFERROR(__xludf.DUMMYFUNCTION("""COMPUTED_VALUE"""),"k")</f>
        <v>k</v>
      </c>
      <c r="S1155" s="39"/>
    </row>
    <row r="1156">
      <c r="B1156" s="36" t="str">
        <f>IFERROR(__xludf.DUMMYFUNCTION("""COMPUTED_VALUE"""),"Petugas Keselematan dan Kesehatan Kerja")</f>
        <v>Petugas Keselematan dan Kesehatan Kerja</v>
      </c>
      <c r="C1156" s="36"/>
      <c r="D1156" s="36"/>
      <c r="E1156" s="36"/>
      <c r="F1156" s="36" t="str">
        <f>IFERROR(__xludf.DUMMYFUNCTION("""COMPUTED_VALUE"""),"Yudya Kurnia Sari")</f>
        <v>Yudya Kurnia Sari</v>
      </c>
      <c r="G1156" s="36" t="str">
        <f>IFERROR(__xludf.DUMMYFUNCTION("""COMPUTED_VALUE"""),"7318204310020001")</f>
        <v>7318204310020001</v>
      </c>
      <c r="H1156" s="36"/>
      <c r="I1156" s="36"/>
      <c r="J1156" s="36" t="str">
        <f>IFERROR(__xludf.DUMMYFUNCTION("""COMPUTED_VALUE"""),"PEREMPUAN")</f>
        <v>PEREMPUAN</v>
      </c>
      <c r="K1156" s="36" t="str">
        <f>IFERROR(__xludf.DUMMYFUNCTION("""COMPUTED_VALUE"""),"Buttang, Kecamatan Malimbong Balepe, Kabupaten Tana Toraja, Provinsi Sulawesi Selatan")</f>
        <v>Buttang, Kecamatan Malimbong Balepe, Kabupaten Tana Toraja, Provinsi Sulawesi Selatan</v>
      </c>
      <c r="L1156" s="36"/>
      <c r="M1156" s="36"/>
      <c r="N1156" s="36"/>
      <c r="O1156" s="36"/>
      <c r="P1156" s="36"/>
      <c r="Q1156" s="36"/>
      <c r="R1156" s="36" t="str">
        <f>IFERROR(__xludf.DUMMYFUNCTION("""COMPUTED_VALUE"""),"K")</f>
        <v>K</v>
      </c>
      <c r="S1156" s="39"/>
    </row>
    <row r="1157">
      <c r="B1157" s="36" t="str">
        <f>IFERROR(__xludf.DUMMYFUNCTION("""COMPUTED_VALUE"""),"Petugas Keselematan dan Kesehatan Kerja")</f>
        <v>Petugas Keselematan dan Kesehatan Kerja</v>
      </c>
      <c r="C1157" s="36"/>
      <c r="D1157" s="36"/>
      <c r="E1157" s="36"/>
      <c r="F1157" s="36" t="str">
        <f>IFERROR(__xludf.DUMMYFUNCTION("""COMPUTED_VALUE"""),"Dewi Sri Hartini")</f>
        <v>Dewi Sri Hartini</v>
      </c>
      <c r="G1157" s="36" t="str">
        <f>IFERROR(__xludf.DUMMYFUNCTION("""COMPUTED_VALUE"""),"7302016905030003")</f>
        <v>7302016905030003</v>
      </c>
      <c r="H1157" s="36"/>
      <c r="I1157" s="36"/>
      <c r="J1157" s="36" t="str">
        <f>IFERROR(__xludf.DUMMYFUNCTION("""COMPUTED_VALUE"""),"PEREMPUAN")</f>
        <v>PEREMPUAN</v>
      </c>
      <c r="K1157" s="36" t="str">
        <f>IFERROR(__xludf.DUMMYFUNCTION("""COMPUTED_VALUE"""),"BTN KUNIMOTO INDAH GRAHA, KAB.BULUKUMBA, SULAWESI SELATAN")</f>
        <v>BTN KUNIMOTO INDAH GRAHA, KAB.BULUKUMBA, SULAWESI SELATAN</v>
      </c>
      <c r="L1157" s="36"/>
      <c r="M1157" s="36"/>
      <c r="N1157" s="36"/>
      <c r="O1157" s="36"/>
      <c r="P1157" s="36"/>
      <c r="Q1157" s="36"/>
      <c r="R1157" s="36" t="str">
        <f>IFERROR(__xludf.DUMMYFUNCTION("""COMPUTED_VALUE"""),"K")</f>
        <v>K</v>
      </c>
      <c r="S1157" s="39"/>
    </row>
    <row r="1158">
      <c r="B1158" s="36" t="str">
        <f>IFERROR(__xludf.DUMMYFUNCTION("""COMPUTED_VALUE"""),"Petugas Keselematan dan Kesehatan Kerja")</f>
        <v>Petugas Keselematan dan Kesehatan Kerja</v>
      </c>
      <c r="C1158" s="36"/>
      <c r="D1158" s="36"/>
      <c r="E1158" s="36"/>
      <c r="F1158" s="36" t="str">
        <f>IFERROR(__xludf.DUMMYFUNCTION("""COMPUTED_VALUE"""),"Luluk Nofitasari Wijayanti ")</f>
        <v>Luluk Nofitasari Wijayanti </v>
      </c>
      <c r="G1158" s="36" t="str">
        <f>IFERROR(__xludf.DUMMYFUNCTION("""COMPUTED_VALUE"""),"3316106709010002")</f>
        <v>3316106709010002</v>
      </c>
      <c r="H1158" s="36"/>
      <c r="I1158" s="36"/>
      <c r="J1158" s="36" t="str">
        <f>IFERROR(__xludf.DUMMYFUNCTION("""COMPUTED_VALUE"""),"PEREMPUAN")</f>
        <v>PEREMPUAN</v>
      </c>
      <c r="K1158" s="36" t="str">
        <f>IFERROR(__xludf.DUMMYFUNCTION("""COMPUTED_VALUE"""),"Dk. Dongaren, RT 01/RW 01, Ds. Kedungrejo, Kec. Tunjungan, ")</f>
        <v>Dk. Dongaren, RT 01/RW 01, Ds. Kedungrejo, Kec. Tunjungan, </v>
      </c>
      <c r="L1158" s="36"/>
      <c r="M1158" s="36"/>
      <c r="N1158" s="36"/>
      <c r="O1158" s="36"/>
      <c r="P1158" s="36"/>
      <c r="Q1158" s="36"/>
      <c r="R1158" s="36" t="str">
        <f>IFERROR(__xludf.DUMMYFUNCTION("""COMPUTED_VALUE"""),"K")</f>
        <v>K</v>
      </c>
      <c r="S1158" s="39"/>
    </row>
    <row r="1159">
      <c r="B1159" s="36" t="str">
        <f>IFERROR(__xludf.DUMMYFUNCTION("""COMPUTED_VALUE"""),"Petugas Keselematan dan Kesehatan Kerja")</f>
        <v>Petugas Keselematan dan Kesehatan Kerja</v>
      </c>
      <c r="C1159" s="36"/>
      <c r="D1159" s="36"/>
      <c r="E1159" s="36"/>
      <c r="F1159" s="36" t="str">
        <f>IFERROR(__xludf.DUMMYFUNCTION("""COMPUTED_VALUE"""),"Wasriana")</f>
        <v>Wasriana</v>
      </c>
      <c r="G1159" s="36" t="str">
        <f>IFERROR(__xludf.DUMMYFUNCTION("""COMPUTED_VALUE"""),"7405134209010001")</f>
        <v>7405134209010001</v>
      </c>
      <c r="H1159" s="36"/>
      <c r="I1159" s="36"/>
      <c r="J1159" s="36" t="str">
        <f>IFERROR(__xludf.DUMMYFUNCTION("""COMPUTED_VALUE"""),"PEREMPUAN")</f>
        <v>PEREMPUAN</v>
      </c>
      <c r="K1159" s="36" t="str">
        <f>IFERROR(__xludf.DUMMYFUNCTION("""COMPUTED_VALUE"""),"desa benua,kecamatan benua, kabupaten Konawe selatan")</f>
        <v>desa benua,kecamatan benua, kabupaten Konawe selatan</v>
      </c>
      <c r="L1159" s="36"/>
      <c r="M1159" s="36"/>
      <c r="N1159" s="36"/>
      <c r="O1159" s="36"/>
      <c r="P1159" s="36"/>
      <c r="Q1159" s="36"/>
      <c r="R1159" s="36" t="str">
        <f>IFERROR(__xludf.DUMMYFUNCTION("""COMPUTED_VALUE"""),"K")</f>
        <v>K</v>
      </c>
      <c r="S1159" s="39"/>
    </row>
    <row r="1160">
      <c r="B1160" s="36" t="str">
        <f>IFERROR(__xludf.DUMMYFUNCTION("""COMPUTED_VALUE"""),"Petugas Keselematan dan Kesehatan Kerja")</f>
        <v>Petugas Keselematan dan Kesehatan Kerja</v>
      </c>
      <c r="C1160" s="36"/>
      <c r="D1160" s="36"/>
      <c r="E1160" s="36"/>
      <c r="F1160" s="36" t="str">
        <f>IFERROR(__xludf.DUMMYFUNCTION("""COMPUTED_VALUE"""),"Hamdana Nur Magfirah")</f>
        <v>Hamdana Nur Magfirah</v>
      </c>
      <c r="G1160" s="36" t="str">
        <f>IFERROR(__xludf.DUMMYFUNCTION("""COMPUTED_VALUE"""),"7302024611030002")</f>
        <v>7302024611030002</v>
      </c>
      <c r="H1160" s="36"/>
      <c r="I1160" s="36"/>
      <c r="J1160" s="36" t="str">
        <f>IFERROR(__xludf.DUMMYFUNCTION("""COMPUTED_VALUE"""),"PEREMPUAN")</f>
        <v>PEREMPUAN</v>
      </c>
      <c r="K1160" s="36" t="str">
        <f>IFERROR(__xludf.DUMMYFUNCTION("""COMPUTED_VALUE"""),"Btn. Grand Asri")</f>
        <v>Btn. Grand Asri</v>
      </c>
      <c r="L1160" s="36"/>
      <c r="M1160" s="36"/>
      <c r="N1160" s="36"/>
      <c r="O1160" s="36"/>
      <c r="P1160" s="36"/>
      <c r="Q1160" s="36"/>
      <c r="R1160" s="36" t="str">
        <f>IFERROR(__xludf.DUMMYFUNCTION("""COMPUTED_VALUE"""),"K")</f>
        <v>K</v>
      </c>
      <c r="S1160" s="39"/>
    </row>
    <row r="1161">
      <c r="B1161" s="36" t="str">
        <f>IFERROR(__xludf.DUMMYFUNCTION("""COMPUTED_VALUE"""),"Petugas Keselematan dan Kesehatan Kerja")</f>
        <v>Petugas Keselematan dan Kesehatan Kerja</v>
      </c>
      <c r="C1161" s="36"/>
      <c r="D1161" s="36"/>
      <c r="E1161" s="36"/>
      <c r="F1161" s="36" t="str">
        <f>IFERROR(__xludf.DUMMYFUNCTION("""COMPUTED_VALUE"""),"Ayu Ristika Dewi")</f>
        <v>Ayu Ristika Dewi</v>
      </c>
      <c r="G1161" s="36" t="str">
        <f>IFERROR(__xludf.DUMMYFUNCTION("""COMPUTED_VALUE"""),"7471046105030001")</f>
        <v>7471046105030001</v>
      </c>
      <c r="H1161" s="36"/>
      <c r="I1161" s="36"/>
      <c r="J1161" s="36" t="str">
        <f>IFERROR(__xludf.DUMMYFUNCTION("""COMPUTED_VALUE"""),"PEREMPUAN")</f>
        <v>PEREMPUAN</v>
      </c>
      <c r="K1161" s="36" t="str">
        <f>IFERROR(__xludf.DUMMYFUNCTION("""COMPUTED_VALUE"""),"Btn rezky III anggoeya blok.A no.36")</f>
        <v>Btn rezky III anggoeya blok.A no.36</v>
      </c>
      <c r="L1161" s="36"/>
      <c r="M1161" s="36"/>
      <c r="N1161" s="36"/>
      <c r="O1161" s="36"/>
      <c r="P1161" s="36"/>
      <c r="Q1161" s="36"/>
      <c r="R1161" s="36" t="str">
        <f>IFERROR(__xludf.DUMMYFUNCTION("""COMPUTED_VALUE"""),"K")</f>
        <v>K</v>
      </c>
      <c r="S1161" s="39"/>
    </row>
    <row r="1162">
      <c r="B1162" s="36" t="str">
        <f>IFERROR(__xludf.DUMMYFUNCTION("""COMPUTED_VALUE"""),"Petugas Keselematan dan Kesehatan Kerja")</f>
        <v>Petugas Keselematan dan Kesehatan Kerja</v>
      </c>
      <c r="C1162" s="36"/>
      <c r="D1162" s="36"/>
      <c r="E1162" s="36"/>
      <c r="F1162" s="36" t="str">
        <f>IFERROR(__xludf.DUMMYFUNCTION("""COMPUTED_VALUE"""),"Indy Fatikasari Mahruddin")</f>
        <v>Indy Fatikasari Mahruddin</v>
      </c>
      <c r="G1162" s="36" t="str">
        <f>IFERROR(__xludf.DUMMYFUNCTION("""COMPUTED_VALUE"""),"7311025307030001")</f>
        <v>7311025307030001</v>
      </c>
      <c r="H1162" s="36"/>
      <c r="I1162" s="36"/>
      <c r="J1162" s="36" t="str">
        <f>IFERROR(__xludf.DUMMYFUNCTION("""COMPUTED_VALUE"""),"PEREMPUAN")</f>
        <v>PEREMPUAN</v>
      </c>
      <c r="K1162" s="36" t="str">
        <f>IFERROR(__xludf.DUMMYFUNCTION("""COMPUTED_VALUE"""),"Mate'ne, Kel. Tanete, Kec. Tanete Rilau")</f>
        <v>Mate'ne, Kel. Tanete, Kec. Tanete Rilau</v>
      </c>
      <c r="L1162" s="36"/>
      <c r="M1162" s="36"/>
      <c r="N1162" s="36"/>
      <c r="O1162" s="36"/>
      <c r="P1162" s="36"/>
      <c r="Q1162" s="36"/>
      <c r="R1162" s="36" t="str">
        <f>IFERROR(__xludf.DUMMYFUNCTION("""COMPUTED_VALUE"""),"K")</f>
        <v>K</v>
      </c>
      <c r="S1162" s="39"/>
    </row>
    <row r="1163">
      <c r="B1163" s="36" t="str">
        <f>IFERROR(__xludf.DUMMYFUNCTION("""COMPUTED_VALUE"""),"Supervisor Sumber Daya Manusia")</f>
        <v>Supervisor Sumber Daya Manusia</v>
      </c>
      <c r="C1163" s="36"/>
      <c r="D1163" s="36"/>
      <c r="E1163" s="36"/>
      <c r="F1163" s="36" t="str">
        <f>IFERROR(__xludf.DUMMYFUNCTION("""COMPUTED_VALUE"""),"AHMAD SYAHDAN")</f>
        <v>AHMAD SYAHDAN</v>
      </c>
      <c r="G1163" s="36" t="str">
        <f>IFERROR(__xludf.DUMMYFUNCTION("""COMPUTED_VALUE"""),"7402303001010001")</f>
        <v>7402303001010001</v>
      </c>
      <c r="H1163" s="36"/>
      <c r="I1163" s="36"/>
      <c r="J1163" s="36" t="str">
        <f>IFERROR(__xludf.DUMMYFUNCTION("""COMPUTED_VALUE"""),"LAKI-LAKI")</f>
        <v>LAKI-LAKI</v>
      </c>
      <c r="K1163" s="36" t="str">
        <f>IFERROR(__xludf.DUMMYFUNCTION("""COMPUTED_VALUE"""),"Kel. Lampeapi, kec. Wawonii tengah, kab. Konawe Kepulauan ")</f>
        <v>Kel. Lampeapi, kec. Wawonii tengah, kab. Konawe Kepulauan </v>
      </c>
      <c r="L1163" s="36"/>
      <c r="M1163" s="36"/>
      <c r="N1163" s="36"/>
      <c r="O1163" s="36"/>
      <c r="P1163" s="36"/>
      <c r="Q1163" s="36"/>
      <c r="R1163" s="36" t="str">
        <f>IFERROR(__xludf.DUMMYFUNCTION("""COMPUTED_VALUE"""),"K")</f>
        <v>K</v>
      </c>
      <c r="S1163" s="39"/>
    </row>
    <row r="1164">
      <c r="B1164" s="36" t="str">
        <f>IFERROR(__xludf.DUMMYFUNCTION("""COMPUTED_VALUE"""),"Supervisor Sumber Daya Manusia")</f>
        <v>Supervisor Sumber Daya Manusia</v>
      </c>
      <c r="C1164" s="36"/>
      <c r="D1164" s="36"/>
      <c r="E1164" s="36"/>
      <c r="F1164" s="36" t="str">
        <f>IFERROR(__xludf.DUMMYFUNCTION("""COMPUTED_VALUE"""),"Alfrida Palangda")</f>
        <v>Alfrida Palangda</v>
      </c>
      <c r="G1164" s="36" t="str">
        <f>IFERROR(__xludf.DUMMYFUNCTION("""COMPUTED_VALUE"""),"7318294804030001")</f>
        <v>7318294804030001</v>
      </c>
      <c r="H1164" s="36"/>
      <c r="I1164" s="36"/>
      <c r="J1164" s="36" t="str">
        <f>IFERROR(__xludf.DUMMYFUNCTION("""COMPUTED_VALUE"""),"PEREMPUAN")</f>
        <v>PEREMPUAN</v>
      </c>
      <c r="K1164" s="36" t="str">
        <f>IFERROR(__xludf.DUMMYFUNCTION("""COMPUTED_VALUE"""),"Tana Toraja")</f>
        <v>Tana Toraja</v>
      </c>
      <c r="L1164" s="36"/>
      <c r="M1164" s="36"/>
      <c r="N1164" s="36"/>
      <c r="O1164" s="36"/>
      <c r="P1164" s="36"/>
      <c r="Q1164" s="36"/>
      <c r="R1164" s="36" t="str">
        <f>IFERROR(__xludf.DUMMYFUNCTION("""COMPUTED_VALUE"""),"K")</f>
        <v>K</v>
      </c>
      <c r="S1164" s="39"/>
    </row>
    <row r="1165">
      <c r="B1165" s="36" t="str">
        <f>IFERROR(__xludf.DUMMYFUNCTION("""COMPUTED_VALUE"""),"Analis Data (Data Analyst)")</f>
        <v>Analis Data (Data Analyst)</v>
      </c>
      <c r="C1165" s="36"/>
      <c r="D1165" s="36"/>
      <c r="E1165" s="36"/>
      <c r="F1165" s="36" t="str">
        <f>IFERROR(__xludf.DUMMYFUNCTION("""COMPUTED_VALUE"""),"Anis Raudhatul Eni")</f>
        <v>Anis Raudhatul Eni</v>
      </c>
      <c r="G1165" s="36" t="str">
        <f>IFERROR(__xludf.DUMMYFUNCTION("""COMPUTED_VALUE"""),"7471104501040001")</f>
        <v>7471104501040001</v>
      </c>
      <c r="H1165" s="36"/>
      <c r="I1165" s="36"/>
      <c r="J1165" s="36" t="str">
        <f>IFERROR(__xludf.DUMMYFUNCTION("""COMPUTED_VALUE"""),"PEREMPUAN")</f>
        <v>PEREMPUAN</v>
      </c>
      <c r="K1165" s="36" t="str">
        <f>IFERROR(__xludf.DUMMYFUNCTION("""COMPUTED_VALUE"""),"Kompleks Manggarai Residence, Blok D No 9")</f>
        <v>Kompleks Manggarai Residence, Blok D No 9</v>
      </c>
      <c r="L1165" s="36"/>
      <c r="M1165" s="36"/>
      <c r="N1165" s="36"/>
      <c r="O1165" s="36"/>
      <c r="P1165" s="36"/>
      <c r="Q1165" s="36"/>
      <c r="R1165" s="36" t="str">
        <f>IFERROR(__xludf.DUMMYFUNCTION("""COMPUTED_VALUE"""),"K")</f>
        <v>K</v>
      </c>
      <c r="S1165" s="39"/>
    </row>
    <row r="1166">
      <c r="B1166" s="36" t="str">
        <f>IFERROR(__xludf.DUMMYFUNCTION("""COMPUTED_VALUE"""),"Analis Data (Data Analyst)")</f>
        <v>Analis Data (Data Analyst)</v>
      </c>
      <c r="C1166" s="36"/>
      <c r="D1166" s="36"/>
      <c r="E1166" s="36"/>
      <c r="F1166" s="36" t="str">
        <f>IFERROR(__xludf.DUMMYFUNCTION("""COMPUTED_VALUE"""),"Rina")</f>
        <v>Rina</v>
      </c>
      <c r="G1166" s="36" t="str">
        <f>IFERROR(__xludf.DUMMYFUNCTION("""COMPUTED_VALUE"""),"7403194705020201")</f>
        <v>7403194705020201</v>
      </c>
      <c r="H1166" s="36"/>
      <c r="I1166" s="36"/>
      <c r="J1166" s="36" t="str">
        <f>IFERROR(__xludf.DUMMYFUNCTION("""COMPUTED_VALUE"""),"PEREMPUAN")</f>
        <v>PEREMPUAN</v>
      </c>
      <c r="K1166" s="36" t="str">
        <f>IFERROR(__xludf.DUMMYFUNCTION("""COMPUTED_VALUE"""),"Wanggu Permai, Lepo-Lepo, Baruga")</f>
        <v>Wanggu Permai, Lepo-Lepo, Baruga</v>
      </c>
      <c r="L1166" s="36"/>
      <c r="M1166" s="36"/>
      <c r="N1166" s="36"/>
      <c r="O1166" s="36"/>
      <c r="P1166" s="36"/>
      <c r="Q1166" s="36"/>
      <c r="R1166" s="36" t="str">
        <f>IFERROR(__xludf.DUMMYFUNCTION("""COMPUTED_VALUE"""),"K")</f>
        <v>K</v>
      </c>
      <c r="S1166" s="39"/>
    </row>
    <row r="1167">
      <c r="B1167" s="36" t="str">
        <f>IFERROR(__xludf.DUMMYFUNCTION("""COMPUTED_VALUE"""),"Pembuatan Desain Grafis")</f>
        <v>Pembuatan Desain Grafis</v>
      </c>
      <c r="C1167" s="36"/>
      <c r="D1167" s="36"/>
      <c r="E1167" s="36"/>
      <c r="F1167" s="36" t="str">
        <f>IFERROR(__xludf.DUMMYFUNCTION("""COMPUTED_VALUE"""),"Dika Saputra, S.T.P")</f>
        <v>Dika Saputra, S.T.P</v>
      </c>
      <c r="G1167" s="36" t="str">
        <f>IFERROR(__xludf.DUMMYFUNCTION("""COMPUTED_VALUE"""),"7410011101020002")</f>
        <v>7410011101020002</v>
      </c>
      <c r="H1167" s="36"/>
      <c r="I1167" s="36"/>
      <c r="J1167" s="36" t="str">
        <f>IFERROR(__xludf.DUMMYFUNCTION("""COMPUTED_VALUE"""),"LAKI-LAKI")</f>
        <v>LAKI-LAKI</v>
      </c>
      <c r="K1167" s="36" t="str">
        <f>IFERROR(__xludf.DUMMYFUNCTION("""COMPUTED_VALUE"""),"Jl. Hati Bi'Ea Kel. Wandaka Kec. Kulisusu ")</f>
        <v>Jl. Hati Bi'Ea Kel. Wandaka Kec. Kulisusu </v>
      </c>
      <c r="L1167" s="36"/>
      <c r="M1167" s="36"/>
      <c r="N1167" s="36"/>
      <c r="O1167" s="36"/>
      <c r="P1167" s="36"/>
      <c r="Q1167" s="36"/>
      <c r="R1167" s="36" t="str">
        <f>IFERROR(__xludf.DUMMYFUNCTION("""COMPUTED_VALUE"""),"BK")</f>
        <v>BK</v>
      </c>
      <c r="S1167" s="39"/>
    </row>
    <row r="1168">
      <c r="B1168" s="36" t="str">
        <f>IFERROR(__xludf.DUMMYFUNCTION("""COMPUTED_VALUE"""),"Pembuatan Desain Grafis")</f>
        <v>Pembuatan Desain Grafis</v>
      </c>
      <c r="C1168" s="36"/>
      <c r="D1168" s="36"/>
      <c r="E1168" s="36"/>
      <c r="F1168" s="36" t="str">
        <f>IFERROR(__xludf.DUMMYFUNCTION("""COMPUTED_VALUE"""),"Dian Ayu Lestari ")</f>
        <v>Dian Ayu Lestari </v>
      </c>
      <c r="G1168" s="36" t="str">
        <f>IFERROR(__xludf.DUMMYFUNCTION("""COMPUTED_VALUE"""),"7406086112030001")</f>
        <v>7406086112030001</v>
      </c>
      <c r="H1168" s="36"/>
      <c r="I1168" s="36"/>
      <c r="J1168" s="36" t="str">
        <f>IFERROR(__xludf.DUMMYFUNCTION("""COMPUTED_VALUE"""),"PEREMPUAN")</f>
        <v>PEREMPUAN</v>
      </c>
      <c r="K1168" s="36" t="str">
        <f>IFERROR(__xludf.DUMMYFUNCTION("""COMPUTED_VALUE"""),"Jl.haluoleo, lrg. Lampareng 2, BTN. Bukit Madani Permai, Kel. Andonohu, Kec. Poasia, Kota Kendari")</f>
        <v>Jl.haluoleo, lrg. Lampareng 2, BTN. Bukit Madani Permai, Kel. Andonohu, Kec. Poasia, Kota Kendari</v>
      </c>
      <c r="L1168" s="36"/>
      <c r="M1168" s="36"/>
      <c r="N1168" s="36"/>
      <c r="O1168" s="36"/>
      <c r="P1168" s="36"/>
      <c r="Q1168" s="36"/>
      <c r="R1168" s="36" t="str">
        <f>IFERROR(__xludf.DUMMYFUNCTION("""COMPUTED_VALUE"""),"K")</f>
        <v>K</v>
      </c>
      <c r="S1168" s="39"/>
    </row>
    <row r="1169">
      <c r="B1169" s="36" t="str">
        <f>IFERROR(__xludf.DUMMYFUNCTION("""COMPUTED_VALUE"""),"Pelayanan Pelanggan")</f>
        <v>Pelayanan Pelanggan</v>
      </c>
      <c r="C1169" s="36"/>
      <c r="D1169" s="36"/>
      <c r="E1169" s="36"/>
      <c r="F1169" s="36" t="str">
        <f>IFERROR(__xludf.DUMMYFUNCTION("""COMPUTED_VALUE"""),"AQIM THOYYIB MUSIDI")</f>
        <v>AQIM THOYYIB MUSIDI</v>
      </c>
      <c r="G1169" s="36" t="str">
        <f>IFERROR(__xludf.DUMMYFUNCTION("""COMPUTED_VALUE"""),"7472032104020001")</f>
        <v>7472032104020001</v>
      </c>
      <c r="H1169" s="36"/>
      <c r="I1169" s="36"/>
      <c r="J1169" s="36" t="str">
        <f>IFERROR(__xludf.DUMMYFUNCTION("""COMPUTED_VALUE"""),"LAKI-LAKI")</f>
        <v>LAKI-LAKI</v>
      </c>
      <c r="K1169" s="36" t="str">
        <f>IFERROR(__xludf.DUMMYFUNCTION("""COMPUTED_VALUE"""),"Kel. Kaisabu Baru, Kec. Sorawolio")</f>
        <v>Kel. Kaisabu Baru, Kec. Sorawolio</v>
      </c>
      <c r="L1169" s="36"/>
      <c r="M1169" s="36"/>
      <c r="N1169" s="36"/>
      <c r="O1169" s="36"/>
      <c r="P1169" s="36"/>
      <c r="Q1169" s="36"/>
      <c r="R1169" s="36" t="str">
        <f>IFERROR(__xludf.DUMMYFUNCTION("""COMPUTED_VALUE"""),"K")</f>
        <v>K</v>
      </c>
      <c r="S1169" s="39"/>
    </row>
    <row r="1170">
      <c r="B1170" s="36" t="str">
        <f>IFERROR(__xludf.DUMMYFUNCTION("""COMPUTED_VALUE"""),"Pengelolaan Administrasi Perkantoraan")</f>
        <v>Pengelolaan Administrasi Perkantoraan</v>
      </c>
      <c r="C1170" s="36"/>
      <c r="D1170" s="36"/>
      <c r="E1170" s="36"/>
      <c r="F1170" s="36" t="str">
        <f>IFERROR(__xludf.DUMMYFUNCTION("""COMPUTED_VALUE"""),"Yulianus Palette ")</f>
        <v>Yulianus Palette </v>
      </c>
      <c r="G1170" s="36" t="str">
        <f>IFERROR(__xludf.DUMMYFUNCTION("""COMPUTED_VALUE"""),"7471072607020001")</f>
        <v>7471072607020001</v>
      </c>
      <c r="H1170" s="36"/>
      <c r="I1170" s="36"/>
      <c r="J1170" s="36" t="str">
        <f>IFERROR(__xludf.DUMMYFUNCTION("""COMPUTED_VALUE"""),"LAKI-LAKI")</f>
        <v>LAKI-LAKI</v>
      </c>
      <c r="K1170" s="36" t="str">
        <f>IFERROR(__xludf.DUMMYFUNCTION("""COMPUTED_VALUE"""),"Jl. R Soeprapto ")</f>
        <v>Jl. R Soeprapto </v>
      </c>
      <c r="L1170" s="36"/>
      <c r="M1170" s="36"/>
      <c r="N1170" s="36"/>
      <c r="O1170" s="36"/>
      <c r="P1170" s="36"/>
      <c r="Q1170" s="36"/>
      <c r="R1170" s="36" t="str">
        <f>IFERROR(__xludf.DUMMYFUNCTION("""COMPUTED_VALUE"""),"K")</f>
        <v>K</v>
      </c>
      <c r="S1170" s="39"/>
    </row>
    <row r="1171">
      <c r="B1171" s="36" t="str">
        <f>IFERROR(__xludf.DUMMYFUNCTION("""COMPUTED_VALUE"""),"Pengelolaan Administrasi Perkantoraan")</f>
        <v>Pengelolaan Administrasi Perkantoraan</v>
      </c>
      <c r="C1171" s="36"/>
      <c r="D1171" s="36"/>
      <c r="E1171" s="36"/>
      <c r="F1171" s="36" t="str">
        <f>IFERROR(__xludf.DUMMYFUNCTION("""COMPUTED_VALUE"""),"YULI MULYANA")</f>
        <v>YULI MULYANA</v>
      </c>
      <c r="G1171" s="36" t="str">
        <f>IFERROR(__xludf.DUMMYFUNCTION("""COMPUTED_VALUE"""),"7401195209030005")</f>
        <v>7401195209030005</v>
      </c>
      <c r="H1171" s="36"/>
      <c r="I1171" s="36"/>
      <c r="J1171" s="36" t="str">
        <f>IFERROR(__xludf.DUMMYFUNCTION("""COMPUTED_VALUE"""),"PEREMPUAN")</f>
        <v>PEREMPUAN</v>
      </c>
      <c r="K1171" s="36" t="str">
        <f>IFERROR(__xludf.DUMMYFUNCTION("""COMPUTED_VALUE"""),"Desa Mondoke, Kec. Lambandia, Kab. Kolaka Timur")</f>
        <v>Desa Mondoke, Kec. Lambandia, Kab. Kolaka Timur</v>
      </c>
      <c r="L1171" s="36"/>
      <c r="M1171" s="36"/>
      <c r="N1171" s="36"/>
      <c r="O1171" s="36"/>
      <c r="P1171" s="36"/>
      <c r="Q1171" s="36"/>
      <c r="R1171" s="36" t="str">
        <f>IFERROR(__xludf.DUMMYFUNCTION("""COMPUTED_VALUE"""),"K")</f>
        <v>K</v>
      </c>
      <c r="S1171" s="39"/>
    </row>
    <row r="1172">
      <c r="B1172" s="36" t="str">
        <f>IFERROR(__xludf.DUMMYFUNCTION("""COMPUTED_VALUE"""),"Pengelolaan Administrasi Perkantoraan")</f>
        <v>Pengelolaan Administrasi Perkantoraan</v>
      </c>
      <c r="C1172" s="36"/>
      <c r="D1172" s="36"/>
      <c r="E1172" s="36"/>
      <c r="F1172" s="36" t="str">
        <f>IFERROR(__xludf.DUMMYFUNCTION("""COMPUTED_VALUE"""),"JORDI SETIAWAN")</f>
        <v>JORDI SETIAWAN</v>
      </c>
      <c r="G1172" s="36" t="str">
        <f>IFERROR(__xludf.DUMMYFUNCTION("""COMPUTED_VALUE"""),"7405151301030001")</f>
        <v>7405151301030001</v>
      </c>
      <c r="H1172" s="36"/>
      <c r="I1172" s="36"/>
      <c r="J1172" s="36" t="str">
        <f>IFERROR(__xludf.DUMMYFUNCTION("""COMPUTED_VALUE"""),"LAKI-LAKI")</f>
        <v>LAKI-LAKI</v>
      </c>
      <c r="K1172" s="36" t="str">
        <f>IFERROR(__xludf.DUMMYFUNCTION("""COMPUTED_VALUE"""),"Jl. Belimbing, BTN WIRABUANA BLOK H1 No.14")</f>
        <v>Jl. Belimbing, BTN WIRABUANA BLOK H1 No.14</v>
      </c>
      <c r="L1172" s="36"/>
      <c r="M1172" s="36"/>
      <c r="N1172" s="36"/>
      <c r="O1172" s="36"/>
      <c r="P1172" s="36"/>
      <c r="Q1172" s="36"/>
      <c r="R1172" s="36" t="str">
        <f>IFERROR(__xludf.DUMMYFUNCTION("""COMPUTED_VALUE"""),"K")</f>
        <v>K</v>
      </c>
      <c r="S1172" s="39"/>
    </row>
    <row r="1173">
      <c r="B1173" s="36" t="str">
        <f>IFERROR(__xludf.DUMMYFUNCTION("""COMPUTED_VALUE"""),"Operator Komputer (Computer Operator")</f>
        <v>Operator Komputer (Computer Operator</v>
      </c>
      <c r="C1173" s="36"/>
      <c r="D1173" s="36"/>
      <c r="E1173" s="36"/>
      <c r="F1173" s="36" t="str">
        <f>IFERROR(__xludf.DUMMYFUNCTION("""COMPUTED_VALUE"""),"Mamat Maulana Salim")</f>
        <v>Mamat Maulana Salim</v>
      </c>
      <c r="G1173" s="36" t="str">
        <f>IFERROR(__xludf.DUMMYFUNCTION("""COMPUTED_VALUE"""),"7403222405020001")</f>
        <v>7403222405020001</v>
      </c>
      <c r="H1173" s="36"/>
      <c r="I1173" s="36"/>
      <c r="J1173" s="36" t="str">
        <f>IFERROR(__xludf.DUMMYFUNCTION("""COMPUTED_VALUE"""),"LAKI-LAKI")</f>
        <v>LAKI-LAKI</v>
      </c>
      <c r="K1173" s="36" t="str">
        <f>IFERROR(__xludf.DUMMYFUNCTION("""COMPUTED_VALUE"""),"Kelurahan Tombula, Kecamatan Tongkuno, Kabupaten Muna")</f>
        <v>Kelurahan Tombula, Kecamatan Tongkuno, Kabupaten Muna</v>
      </c>
      <c r="L1173" s="36"/>
      <c r="M1173" s="36"/>
      <c r="N1173" s="36"/>
      <c r="O1173" s="36"/>
      <c r="P1173" s="36"/>
      <c r="Q1173" s="36"/>
      <c r="R1173" s="36" t="str">
        <f>IFERROR(__xludf.DUMMYFUNCTION("""COMPUTED_VALUE"""),"K")</f>
        <v>K</v>
      </c>
      <c r="S1173" s="39"/>
    </row>
    <row r="1174">
      <c r="B1174" s="36" t="str">
        <f>IFERROR(__xludf.DUMMYFUNCTION("""COMPUTED_VALUE"""),"Operator Komputer (Computer Operator")</f>
        <v>Operator Komputer (Computer Operator</v>
      </c>
      <c r="C1174" s="36"/>
      <c r="D1174" s="36"/>
      <c r="E1174" s="36"/>
      <c r="F1174" s="36" t="str">
        <f>IFERROR(__xludf.DUMMYFUNCTION("""COMPUTED_VALUE"""),"Fenti Nur")</f>
        <v>Fenti Nur</v>
      </c>
      <c r="G1174" s="36" t="str">
        <f>IFERROR(__xludf.DUMMYFUNCTION("""COMPUTED_VALUE"""),"7407055006040001")</f>
        <v>7407055006040001</v>
      </c>
      <c r="H1174" s="36"/>
      <c r="I1174" s="36"/>
      <c r="J1174" s="36" t="str">
        <f>IFERROR(__xludf.DUMMYFUNCTION("""COMPUTED_VALUE"""),"PEREMPUAN")</f>
        <v>PEREMPUAN</v>
      </c>
      <c r="K1174" s="36" t="str">
        <f>IFERROR(__xludf.DUMMYFUNCTION("""COMPUTED_VALUE"""),"Laengga")</f>
        <v>Laengga</v>
      </c>
      <c r="L1174" s="36"/>
      <c r="M1174" s="36"/>
      <c r="N1174" s="36"/>
      <c r="O1174" s="36"/>
      <c r="P1174" s="36"/>
      <c r="Q1174" s="36"/>
      <c r="R1174" s="36" t="str">
        <f>IFERROR(__xludf.DUMMYFUNCTION("""COMPUTED_VALUE"""),"K")</f>
        <v>K</v>
      </c>
      <c r="S1174" s="39"/>
    </row>
    <row r="1175">
      <c r="B1175" s="36" t="str">
        <f>IFERROR(__xludf.DUMMYFUNCTION("""COMPUTED_VALUE"""),"Operator Komputer (Computer Operator")</f>
        <v>Operator Komputer (Computer Operator</v>
      </c>
      <c r="C1175" s="36"/>
      <c r="D1175" s="36"/>
      <c r="E1175" s="36"/>
      <c r="F1175" s="36" t="str">
        <f>IFERROR(__xludf.DUMMYFUNCTION("""COMPUTED_VALUE"""),"Ilham Asi")</f>
        <v>Ilham Asi</v>
      </c>
      <c r="G1175" s="36" t="str">
        <f>IFERROR(__xludf.DUMMYFUNCTION("""COMPUTED_VALUE"""),"7404310510030003")</f>
        <v>7404310510030003</v>
      </c>
      <c r="H1175" s="36"/>
      <c r="I1175" s="36"/>
      <c r="J1175" s="36" t="str">
        <f>IFERROR(__xludf.DUMMYFUNCTION("""COMPUTED_VALUE"""),"LAKI-LAKI")</f>
        <v>LAKI-LAKI</v>
      </c>
      <c r="K1175" s="36" t="str">
        <f>IFERROR(__xludf.DUMMYFUNCTION("""COMPUTED_VALUE"""),"JL. POROS PASARWAJO-LASALIMU")</f>
        <v>JL. POROS PASARWAJO-LASALIMU</v>
      </c>
      <c r="L1175" s="36"/>
      <c r="M1175" s="36"/>
      <c r="N1175" s="36"/>
      <c r="O1175" s="36"/>
      <c r="P1175" s="36"/>
      <c r="Q1175" s="36"/>
      <c r="R1175" s="36" t="str">
        <f>IFERROR(__xludf.DUMMYFUNCTION("""COMPUTED_VALUE"""),"K")</f>
        <v>K</v>
      </c>
      <c r="S1175" s="39"/>
    </row>
    <row r="1176">
      <c r="B1176" s="36" t="str">
        <f>IFERROR(__xludf.DUMMYFUNCTION("""COMPUTED_VALUE"""),"Operator Komputer (Computer Operator")</f>
        <v>Operator Komputer (Computer Operator</v>
      </c>
      <c r="C1176" s="36"/>
      <c r="D1176" s="36"/>
      <c r="E1176" s="36"/>
      <c r="F1176" s="36" t="str">
        <f>IFERROR(__xludf.DUMMYFUNCTION("""COMPUTED_VALUE"""),"La Ode Reynald Ibrahim")</f>
        <v>La Ode Reynald Ibrahim</v>
      </c>
      <c r="G1176" s="36" t="str">
        <f>IFERROR(__xludf.DUMMYFUNCTION("""COMPUTED_VALUE"""),"7407051205020001")</f>
        <v>7407051205020001</v>
      </c>
      <c r="H1176" s="36"/>
      <c r="I1176" s="36"/>
      <c r="J1176" s="36" t="str">
        <f>IFERROR(__xludf.DUMMYFUNCTION("""COMPUTED_VALUE"""),"LAKI-LAKI")</f>
        <v>LAKI-LAKI</v>
      </c>
      <c r="K1176" s="36" t="str">
        <f>IFERROR(__xludf.DUMMYFUNCTION("""COMPUTED_VALUE"""),"dusun woru, Desa Liya Mawi")</f>
        <v>dusun woru, Desa Liya Mawi</v>
      </c>
      <c r="L1176" s="36"/>
      <c r="M1176" s="36"/>
      <c r="N1176" s="36"/>
      <c r="O1176" s="36"/>
      <c r="P1176" s="36"/>
      <c r="Q1176" s="36"/>
      <c r="R1176" s="36" t="str">
        <f>IFERROR(__xludf.DUMMYFUNCTION("""COMPUTED_VALUE"""),"K")</f>
        <v>K</v>
      </c>
      <c r="S1176" s="39"/>
    </row>
    <row r="1177">
      <c r="B1177" s="36" t="str">
        <f>IFERROR(__xludf.DUMMYFUNCTION("""COMPUTED_VALUE"""),"Analis Data (Data Analyst)")</f>
        <v>Analis Data (Data Analyst)</v>
      </c>
      <c r="C1177" s="36"/>
      <c r="D1177" s="36"/>
      <c r="E1177" s="36"/>
      <c r="F1177" s="36" t="str">
        <f>IFERROR(__xludf.DUMMYFUNCTION("""COMPUTED_VALUE"""),"MUHAMMAD ADLAN FIKRI")</f>
        <v>MUHAMMAD ADLAN FIKRI</v>
      </c>
      <c r="G1177" s="36" t="str">
        <f>IFERROR(__xludf.DUMMYFUNCTION("""COMPUTED_VALUE"""),"7406042503030001")</f>
        <v>7406042503030001</v>
      </c>
      <c r="H1177" s="36"/>
      <c r="I1177" s="36"/>
      <c r="J1177" s="36" t="str">
        <f>IFERROR(__xludf.DUMMYFUNCTION("""COMPUTED_VALUE"""),"LAKI-LAKI")</f>
        <v>LAKI-LAKI</v>
      </c>
      <c r="K1177" s="36" t="str">
        <f>IFERROR(__xludf.DUMMYFUNCTION("""COMPUTED_VALUE"""),"BTN Pasir Putih A No. 9")</f>
        <v>BTN Pasir Putih A No. 9</v>
      </c>
      <c r="L1177" s="36"/>
      <c r="M1177" s="36"/>
      <c r="N1177" s="36"/>
      <c r="O1177" s="36"/>
      <c r="P1177" s="36"/>
      <c r="Q1177" s="36"/>
      <c r="R1177" s="36" t="str">
        <f>IFERROR(__xludf.DUMMYFUNCTION("""COMPUTED_VALUE"""),"K")</f>
        <v>K</v>
      </c>
      <c r="S1177" s="39"/>
    </row>
    <row r="1178">
      <c r="B1178" s="36" t="str">
        <f>IFERROR(__xludf.DUMMYFUNCTION("""COMPUTED_VALUE"""),"Analis Data (Data Analyst)")</f>
        <v>Analis Data (Data Analyst)</v>
      </c>
      <c r="C1178" s="36"/>
      <c r="D1178" s="36"/>
      <c r="E1178" s="36"/>
      <c r="F1178" s="36" t="str">
        <f>IFERROR(__xludf.DUMMYFUNCTION("""COMPUTED_VALUE"""),"NOVIA TRI ANANDA ")</f>
        <v>NOVIA TRI ANANDA </v>
      </c>
      <c r="G1178" s="36" t="str">
        <f>IFERROR(__xludf.DUMMYFUNCTION("""COMPUTED_VALUE"""),"7402367003040001")</f>
        <v>7402367003040001</v>
      </c>
      <c r="H1178" s="36"/>
      <c r="I1178" s="36"/>
      <c r="J1178" s="36" t="str">
        <f>IFERROR(__xludf.DUMMYFUNCTION("""COMPUTED_VALUE"""),"PEREMPUAN")</f>
        <v>PEREMPUAN</v>
      </c>
      <c r="K1178" s="36" t="str">
        <f>IFERROR(__xludf.DUMMYFUNCTION("""COMPUTED_VALUE"""),"Desa Watunggarandu")</f>
        <v>Desa Watunggarandu</v>
      </c>
      <c r="L1178" s="36"/>
      <c r="M1178" s="36"/>
      <c r="N1178" s="36"/>
      <c r="O1178" s="36"/>
      <c r="P1178" s="36"/>
      <c r="Q1178" s="36"/>
      <c r="R1178" s="36" t="str">
        <f>IFERROR(__xludf.DUMMYFUNCTION("""COMPUTED_VALUE"""),"K")</f>
        <v>K</v>
      </c>
      <c r="S1178" s="39"/>
    </row>
    <row r="1179">
      <c r="B1179" s="36" t="str">
        <f>IFERROR(__xludf.DUMMYFUNCTION("""COMPUTED_VALUE"""),"Analis Data (Data Analyst)")</f>
        <v>Analis Data (Data Analyst)</v>
      </c>
      <c r="C1179" s="36"/>
      <c r="D1179" s="36"/>
      <c r="E1179" s="36"/>
      <c r="F1179" s="36" t="str">
        <f>IFERROR(__xludf.DUMMYFUNCTION("""COMPUTED_VALUE"""),"Asni Ningri Sari Nazar")</f>
        <v>Asni Ningri Sari Nazar</v>
      </c>
      <c r="G1179" s="36" t="str">
        <f>IFERROR(__xludf.DUMMYFUNCTION("""COMPUTED_VALUE"""),"7472064807000002")</f>
        <v>7472064807000002</v>
      </c>
      <c r="H1179" s="36"/>
      <c r="I1179" s="36"/>
      <c r="J1179" s="36" t="str">
        <f>IFERROR(__xludf.DUMMYFUNCTION("""COMPUTED_VALUE"""),"PEREMPUAN")</f>
        <v>PEREMPUAN</v>
      </c>
      <c r="K1179" s="36" t="str">
        <f>IFERROR(__xludf.DUMMYFUNCTION("""COMPUTED_VALUE"""),"Dusun melai, desa banabungi")</f>
        <v>Dusun melai, desa banabungi</v>
      </c>
      <c r="L1179" s="36"/>
      <c r="M1179" s="36"/>
      <c r="N1179" s="36"/>
      <c r="O1179" s="36"/>
      <c r="P1179" s="36"/>
      <c r="Q1179" s="36"/>
      <c r="R1179" s="36" t="str">
        <f>IFERROR(__xludf.DUMMYFUNCTION("""COMPUTED_VALUE"""),"K")</f>
        <v>K</v>
      </c>
      <c r="S1179" s="39"/>
    </row>
    <row r="1180">
      <c r="B1180" s="36" t="str">
        <f>IFERROR(__xludf.DUMMYFUNCTION("""COMPUTED_VALUE"""),"Analis Data (Data Analyst)")</f>
        <v>Analis Data (Data Analyst)</v>
      </c>
      <c r="C1180" s="36"/>
      <c r="D1180" s="36"/>
      <c r="E1180" s="36"/>
      <c r="F1180" s="36" t="str">
        <f>IFERROR(__xludf.DUMMYFUNCTION("""COMPUTED_VALUE"""),"SITI WAHYUNI")</f>
        <v>SITI WAHYUNI</v>
      </c>
      <c r="G1180" s="36" t="str">
        <f>IFERROR(__xludf.DUMMYFUNCTION("""COMPUTED_VALUE"""),"7472055306020001")</f>
        <v>7472055306020001</v>
      </c>
      <c r="H1180" s="36"/>
      <c r="I1180" s="36"/>
      <c r="J1180" s="36" t="str">
        <f>IFERROR(__xludf.DUMMYFUNCTION("""COMPUTED_VALUE"""),"PEREMPUAN")</f>
        <v>PEREMPUAN</v>
      </c>
      <c r="K1180" s="36" t="str">
        <f>IFERROR(__xludf.DUMMYFUNCTION("""COMPUTED_VALUE"""),"Jl. Sarikaya, Kel. Kadolo, Kec. Kokalukuna, Kota Baubau")</f>
        <v>Jl. Sarikaya, Kel. Kadolo, Kec. Kokalukuna, Kota Baubau</v>
      </c>
      <c r="L1180" s="36"/>
      <c r="M1180" s="36"/>
      <c r="N1180" s="36"/>
      <c r="O1180" s="36"/>
      <c r="P1180" s="36"/>
      <c r="Q1180" s="36"/>
      <c r="R1180" s="36" t="str">
        <f>IFERROR(__xludf.DUMMYFUNCTION("""COMPUTED_VALUE"""),"K")</f>
        <v>K</v>
      </c>
      <c r="S1180" s="39"/>
    </row>
    <row r="1181">
      <c r="B1181" s="36" t="str">
        <f>IFERROR(__xludf.DUMMYFUNCTION("""COMPUTED_VALUE"""),"Pengelolaan Administrasi Perkantoraan")</f>
        <v>Pengelolaan Administrasi Perkantoraan</v>
      </c>
      <c r="C1181" s="36"/>
      <c r="D1181" s="36"/>
      <c r="E1181" s="36"/>
      <c r="F1181" s="36" t="str">
        <f>IFERROR(__xludf.DUMMYFUNCTION("""COMPUTED_VALUE"""),"Muhammad Ferdin")</f>
        <v>Muhammad Ferdin</v>
      </c>
      <c r="G1181" s="36" t="str">
        <f>IFERROR(__xludf.DUMMYFUNCTION("""COMPUTED_VALUE"""),"7404180504020001")</f>
        <v>7404180504020001</v>
      </c>
      <c r="H1181" s="36"/>
      <c r="I1181" s="36"/>
      <c r="J1181" s="36" t="str">
        <f>IFERROR(__xludf.DUMMYFUNCTION("""COMPUTED_VALUE"""),"LAKI-LAKI")</f>
        <v>LAKI-LAKI</v>
      </c>
      <c r="K1181" s="36" t="str">
        <f>IFERROR(__xludf.DUMMYFUNCTION("""COMPUTED_VALUE"""),"Jln. Laelangi No. 7 Kel. Lanto Kec. Batupoaro")</f>
        <v>Jln. Laelangi No. 7 Kel. Lanto Kec. Batupoaro</v>
      </c>
      <c r="L1181" s="36"/>
      <c r="M1181" s="36"/>
      <c r="N1181" s="36"/>
      <c r="O1181" s="36"/>
      <c r="P1181" s="36"/>
      <c r="Q1181" s="36"/>
      <c r="R1181" s="36" t="str">
        <f>IFERROR(__xludf.DUMMYFUNCTION("""COMPUTED_VALUE"""),"K")</f>
        <v>K</v>
      </c>
      <c r="S1181" s="39"/>
    </row>
    <row r="1182">
      <c r="B1182" s="36" t="str">
        <f>IFERROR(__xludf.DUMMYFUNCTION("""COMPUTED_VALUE"""),"Pengelolaan Administrasi Perkantoraan")</f>
        <v>Pengelolaan Administrasi Perkantoraan</v>
      </c>
      <c r="C1182" s="36"/>
      <c r="D1182" s="36"/>
      <c r="E1182" s="36"/>
      <c r="F1182" s="36" t="str">
        <f>IFERROR(__xludf.DUMMYFUNCTION("""COMPUTED_VALUE"""),"Hardiansyah")</f>
        <v>Hardiansyah</v>
      </c>
      <c r="G1182" s="36" t="str">
        <f>IFERROR(__xludf.DUMMYFUNCTION("""COMPUTED_VALUE"""),"7404091610030001")</f>
        <v>7404091610030001</v>
      </c>
      <c r="H1182" s="36"/>
      <c r="I1182" s="36"/>
      <c r="J1182" s="36" t="str">
        <f>IFERROR(__xludf.DUMMYFUNCTION("""COMPUTED_VALUE"""),"LAKI-LAKI")</f>
        <v>LAKI-LAKI</v>
      </c>
      <c r="K1182" s="36" t="str">
        <f>IFERROR(__xludf.DUMMYFUNCTION("""COMPUTED_VALUE"""),"Jln. Gajah Mada kel. Lakambau kec. Batauga. ")</f>
        <v>Jln. Gajah Mada kel. Lakambau kec. Batauga. </v>
      </c>
      <c r="L1182" s="36"/>
      <c r="M1182" s="36"/>
      <c r="N1182" s="36"/>
      <c r="O1182" s="36"/>
      <c r="P1182" s="36"/>
      <c r="Q1182" s="36"/>
      <c r="R1182" s="36" t="str">
        <f>IFERROR(__xludf.DUMMYFUNCTION("""COMPUTED_VALUE"""),"K")</f>
        <v>K</v>
      </c>
      <c r="S1182" s="39"/>
    </row>
    <row r="1183">
      <c r="B1183" s="36" t="str">
        <f>IFERROR(__xludf.DUMMYFUNCTION("""COMPUTED_VALUE"""),"Pengelolaan Administrasi Perkantoraan")</f>
        <v>Pengelolaan Administrasi Perkantoraan</v>
      </c>
      <c r="C1183" s="36"/>
      <c r="D1183" s="36"/>
      <c r="E1183" s="36"/>
      <c r="F1183" s="36" t="str">
        <f>IFERROR(__xludf.DUMMYFUNCTION("""COMPUTED_VALUE"""),"Chintia Berliana Rizky")</f>
        <v>Chintia Berliana Rizky</v>
      </c>
      <c r="G1183" s="36" t="str">
        <f>IFERROR(__xludf.DUMMYFUNCTION("""COMPUTED_VALUE"""),"7472056606030001")</f>
        <v>7472056606030001</v>
      </c>
      <c r="H1183" s="36"/>
      <c r="I1183" s="36"/>
      <c r="J1183" s="36" t="str">
        <f>IFERROR(__xludf.DUMMYFUNCTION("""COMPUTED_VALUE"""),"PEREMPUAN")</f>
        <v>PEREMPUAN</v>
      </c>
      <c r="K1183" s="36" t="str">
        <f>IFERROR(__xludf.DUMMYFUNCTION("""COMPUTED_VALUE"""),"Jl. Anoa No 56. C")</f>
        <v>Jl. Anoa No 56. C</v>
      </c>
      <c r="L1183" s="36"/>
      <c r="M1183" s="36"/>
      <c r="N1183" s="36"/>
      <c r="O1183" s="36"/>
      <c r="P1183" s="36"/>
      <c r="Q1183" s="36"/>
      <c r="R1183" s="36" t="str">
        <f>IFERROR(__xludf.DUMMYFUNCTION("""COMPUTED_VALUE"""),"K")</f>
        <v>K</v>
      </c>
      <c r="S1183" s="39"/>
    </row>
    <row r="1184">
      <c r="B1184" s="36" t="str">
        <f>IFERROR(__xludf.DUMMYFUNCTION("""COMPUTED_VALUE"""),"Pengelolaan Administrasi Perkantoraan")</f>
        <v>Pengelolaan Administrasi Perkantoraan</v>
      </c>
      <c r="C1184" s="36"/>
      <c r="D1184" s="36"/>
      <c r="E1184" s="36"/>
      <c r="F1184" s="36" t="str">
        <f>IFERROR(__xludf.DUMMYFUNCTION("""COMPUTED_VALUE"""),"Ismawati")</f>
        <v>Ismawati</v>
      </c>
      <c r="G1184" s="36" t="str">
        <f>IFERROR(__xludf.DUMMYFUNCTION("""COMPUTED_VALUE"""),"7406044809030001")</f>
        <v>7406044809030001</v>
      </c>
      <c r="H1184" s="36"/>
      <c r="I1184" s="36"/>
      <c r="J1184" s="36" t="str">
        <f>IFERROR(__xludf.DUMMYFUNCTION("""COMPUTED_VALUE"""),"PEREMPUAN")</f>
        <v>PEREMPUAN</v>
      </c>
      <c r="K1184" s="36" t="str">
        <f>IFERROR(__xludf.DUMMYFUNCTION("""COMPUTED_VALUE"""),"Lampopala")</f>
        <v>Lampopala</v>
      </c>
      <c r="L1184" s="36"/>
      <c r="M1184" s="36"/>
      <c r="N1184" s="36"/>
      <c r="O1184" s="36"/>
      <c r="P1184" s="36"/>
      <c r="Q1184" s="36"/>
      <c r="R1184" s="36" t="str">
        <f>IFERROR(__xludf.DUMMYFUNCTION("""COMPUTED_VALUE"""),"K")</f>
        <v>K</v>
      </c>
      <c r="S1184" s="39"/>
    </row>
    <row r="1185">
      <c r="B1185" s="36" t="str">
        <f>IFERROR(__xludf.DUMMYFUNCTION("""COMPUTED_VALUE"""),"Pengelolaan Administrasi Perkantoraan")</f>
        <v>Pengelolaan Administrasi Perkantoraan</v>
      </c>
      <c r="C1185" s="36"/>
      <c r="D1185" s="36"/>
      <c r="E1185" s="36"/>
      <c r="F1185" s="36" t="str">
        <f>IFERROR(__xludf.DUMMYFUNCTION("""COMPUTED_VALUE"""),"Juita Febriani")</f>
        <v>Juita Febriani</v>
      </c>
      <c r="G1185" s="36" t="str">
        <f>IFERROR(__xludf.DUMMYFUNCTION("""COMPUTED_VALUE"""),"7403076802040201")</f>
        <v>7403076802040201</v>
      </c>
      <c r="H1185" s="36"/>
      <c r="I1185" s="36"/>
      <c r="J1185" s="36" t="str">
        <f>IFERROR(__xludf.DUMMYFUNCTION("""COMPUTED_VALUE"""),"PEREMPUAN")</f>
        <v>PEREMPUAN</v>
      </c>
      <c r="K1185" s="36" t="str">
        <f>IFERROR(__xludf.DUMMYFUNCTION("""COMPUTED_VALUE"""),"Jln Poros Maligano - Ronta")</f>
        <v>Jln Poros Maligano - Ronta</v>
      </c>
      <c r="L1185" s="36"/>
      <c r="M1185" s="36"/>
      <c r="N1185" s="36"/>
      <c r="O1185" s="36"/>
      <c r="P1185" s="36"/>
      <c r="Q1185" s="36"/>
      <c r="R1185" s="36" t="str">
        <f>IFERROR(__xludf.DUMMYFUNCTION("""COMPUTED_VALUE"""),"K")</f>
        <v>K</v>
      </c>
      <c r="S1185" s="39"/>
    </row>
    <row r="1186">
      <c r="B1186" s="36" t="str">
        <f>IFERROR(__xludf.DUMMYFUNCTION("""COMPUTED_VALUE"""),"Pengelolaan Administrasi Perkantoraan")</f>
        <v>Pengelolaan Administrasi Perkantoraan</v>
      </c>
      <c r="C1186" s="36"/>
      <c r="D1186" s="36"/>
      <c r="E1186" s="36"/>
      <c r="F1186" s="36" t="str">
        <f>IFERROR(__xludf.DUMMYFUNCTION("""COMPUTED_VALUE"""),"ASRIANTI")</f>
        <v>ASRIANTI</v>
      </c>
      <c r="G1186" s="36" t="str">
        <f>IFERROR(__xludf.DUMMYFUNCTION("""COMPUTED_VALUE"""),"7403237012030001")</f>
        <v>7403237012030001</v>
      </c>
      <c r="H1186" s="36"/>
      <c r="I1186" s="36"/>
      <c r="J1186" s="36" t="str">
        <f>IFERROR(__xludf.DUMMYFUNCTION("""COMPUTED_VALUE"""),"PEREMPUAN")</f>
        <v>PEREMPUAN</v>
      </c>
      <c r="K1186" s="36" t="str">
        <f>IFERROR(__xludf.DUMMYFUNCTION("""COMPUTED_VALUE"""),"Kel.Poea,Kec.Rumbia Tengah,Kab.Bombana ,Sulawesi Tenggara")</f>
        <v>Kel.Poea,Kec.Rumbia Tengah,Kab.Bombana ,Sulawesi Tenggara</v>
      </c>
      <c r="L1186" s="36"/>
      <c r="M1186" s="36"/>
      <c r="N1186" s="36"/>
      <c r="O1186" s="36"/>
      <c r="P1186" s="36"/>
      <c r="Q1186" s="36"/>
      <c r="R1186" s="36" t="str">
        <f>IFERROR(__xludf.DUMMYFUNCTION("""COMPUTED_VALUE"""),"K")</f>
        <v>K</v>
      </c>
      <c r="S1186" s="39"/>
    </row>
    <row r="1187">
      <c r="B1187" s="36" t="str">
        <f>IFERROR(__xludf.DUMMYFUNCTION("""COMPUTED_VALUE"""),"Pengelolaan Administrasi Perkantoraan")</f>
        <v>Pengelolaan Administrasi Perkantoraan</v>
      </c>
      <c r="C1187" s="36"/>
      <c r="D1187" s="36"/>
      <c r="E1187" s="36"/>
      <c r="F1187" s="36" t="str">
        <f>IFERROR(__xludf.DUMMYFUNCTION("""COMPUTED_VALUE"""),"Sitti Nur Fadillah Jasir")</f>
        <v>Sitti Nur Fadillah Jasir</v>
      </c>
      <c r="G1187" s="36" t="str">
        <f>IFERROR(__xludf.DUMMYFUNCTION("""COMPUTED_VALUE"""),"7472054709010001")</f>
        <v>7472054709010001</v>
      </c>
      <c r="H1187" s="36"/>
      <c r="I1187" s="36"/>
      <c r="J1187" s="36" t="str">
        <f>IFERROR(__xludf.DUMMYFUNCTION("""COMPUTED_VALUE"""),"PEREMPUAN")</f>
        <v>PEREMPUAN</v>
      </c>
      <c r="K1187" s="36" t="str">
        <f>IFERROR(__xludf.DUMMYFUNCTION("""COMPUTED_VALUE"""),"Jln Anggrek No 294, RT 003, RW 001, Kel Waruruma, Kec Kokalukuna, Kota Baubau")</f>
        <v>Jln Anggrek No 294, RT 003, RW 001, Kel Waruruma, Kec Kokalukuna, Kota Baubau</v>
      </c>
      <c r="L1187" s="36"/>
      <c r="M1187" s="36"/>
      <c r="N1187" s="36"/>
      <c r="O1187" s="36"/>
      <c r="P1187" s="36"/>
      <c r="Q1187" s="36"/>
      <c r="R1187" s="36" t="str">
        <f>IFERROR(__xludf.DUMMYFUNCTION("""COMPUTED_VALUE"""),"K")</f>
        <v>K</v>
      </c>
      <c r="S1187" s="39"/>
    </row>
    <row r="1188">
      <c r="B1188" s="36" t="str">
        <f>IFERROR(__xludf.DUMMYFUNCTION("""COMPUTED_VALUE"""),"Pengelolaan Administrasi Perkantoraan")</f>
        <v>Pengelolaan Administrasi Perkantoraan</v>
      </c>
      <c r="C1188" s="36"/>
      <c r="D1188" s="36"/>
      <c r="E1188" s="36"/>
      <c r="F1188" s="36" t="str">
        <f>IFERROR(__xludf.DUMMYFUNCTION("""COMPUTED_VALUE"""),"MARLINA")</f>
        <v>MARLINA</v>
      </c>
      <c r="G1188" s="36" t="str">
        <f>IFERROR(__xludf.DUMMYFUNCTION("""COMPUTED_VALUE"""),"7403036406030001")</f>
        <v>7403036406030001</v>
      </c>
      <c r="H1188" s="36"/>
      <c r="I1188" s="36"/>
      <c r="J1188" s="36" t="str">
        <f>IFERROR(__xludf.DUMMYFUNCTION("""COMPUTED_VALUE"""),"PEREMPUAN")</f>
        <v>PEREMPUAN</v>
      </c>
      <c r="K1188" s="36" t="str">
        <f>IFERROR(__xludf.DUMMYFUNCTION("""COMPUTED_VALUE"""),"Desa wandoke kec. Tikep kab. muna barat")</f>
        <v>Desa wandoke kec. Tikep kab. muna barat</v>
      </c>
      <c r="L1188" s="36"/>
      <c r="M1188" s="36"/>
      <c r="N1188" s="36"/>
      <c r="O1188" s="36"/>
      <c r="P1188" s="36"/>
      <c r="Q1188" s="36"/>
      <c r="R1188" s="36" t="str">
        <f>IFERROR(__xludf.DUMMYFUNCTION("""COMPUTED_VALUE"""),"K")</f>
        <v>K</v>
      </c>
      <c r="S1188" s="39"/>
    </row>
    <row r="1189">
      <c r="B1189" s="36" t="str">
        <f>IFERROR(__xludf.DUMMYFUNCTION("""COMPUTED_VALUE"""),"Asisten Pengembangan Web (Assistant Web Developer)")</f>
        <v>Asisten Pengembangan Web (Assistant Web Developer)</v>
      </c>
      <c r="C1189" s="36"/>
      <c r="D1189" s="36"/>
      <c r="E1189" s="36"/>
      <c r="F1189" s="36" t="str">
        <f>IFERROR(__xludf.DUMMYFUNCTION("""COMPUTED_VALUE"""),"Adam Alrajab")</f>
        <v>Adam Alrajab</v>
      </c>
      <c r="G1189" s="36" t="str">
        <f>IFERROR(__xludf.DUMMYFUNCTION("""COMPUTED_VALUE"""),"7403062309020001")</f>
        <v>7403062309020001</v>
      </c>
      <c r="H1189" s="36"/>
      <c r="I1189" s="36"/>
      <c r="J1189" s="36" t="str">
        <f>IFERROR(__xludf.DUMMYFUNCTION("""COMPUTED_VALUE"""),"LAKI-LAKI")</f>
        <v>LAKI-LAKI</v>
      </c>
      <c r="K1189" s="36" t="str">
        <f>IFERROR(__xludf.DUMMYFUNCTION("""COMPUTED_VALUE"""),"Jalan Kancil, Andounuhu")</f>
        <v>Jalan Kancil, Andounuhu</v>
      </c>
      <c r="L1189" s="36"/>
      <c r="M1189" s="36"/>
      <c r="N1189" s="36"/>
      <c r="O1189" s="36"/>
      <c r="P1189" s="36"/>
      <c r="Q1189" s="36"/>
      <c r="R1189" s="36" t="str">
        <f>IFERROR(__xludf.DUMMYFUNCTION("""COMPUTED_VALUE"""),"BK")</f>
        <v>BK</v>
      </c>
      <c r="S1189" s="39"/>
    </row>
    <row r="1190">
      <c r="B1190" s="36" t="str">
        <f>IFERROR(__xludf.DUMMYFUNCTION("""COMPUTED_VALUE"""),"Asisten Pengembangan Web (Assistant Web Developer)")</f>
        <v>Asisten Pengembangan Web (Assistant Web Developer)</v>
      </c>
      <c r="C1190" s="36"/>
      <c r="D1190" s="36"/>
      <c r="E1190" s="36"/>
      <c r="F1190" s="36" t="str">
        <f>IFERROR(__xludf.DUMMYFUNCTION("""COMPUTED_VALUE"""),"Duwi Nurmayanti")</f>
        <v>Duwi Nurmayanti</v>
      </c>
      <c r="G1190" s="36" t="str">
        <f>IFERROR(__xludf.DUMMYFUNCTION("""COMPUTED_VALUE"""),"7401264611030001")</f>
        <v>7401264611030001</v>
      </c>
      <c r="H1190" s="36"/>
      <c r="I1190" s="36"/>
      <c r="J1190" s="36" t="str">
        <f>IFERROR(__xludf.DUMMYFUNCTION("""COMPUTED_VALUE"""),"PEREMPUAN")</f>
        <v>PEREMPUAN</v>
      </c>
      <c r="K1190" s="36" t="str">
        <f>IFERROR(__xludf.DUMMYFUNCTION("""COMPUTED_VALUE"""),"Jl.H.Abd Silondae, Desa Lamore, Kec Loea")</f>
        <v>Jl.H.Abd Silondae, Desa Lamore, Kec Loea</v>
      </c>
      <c r="L1190" s="36"/>
      <c r="M1190" s="36"/>
      <c r="N1190" s="36"/>
      <c r="O1190" s="36"/>
      <c r="P1190" s="36"/>
      <c r="Q1190" s="36"/>
      <c r="R1190" s="36" t="str">
        <f>IFERROR(__xludf.DUMMYFUNCTION("""COMPUTED_VALUE"""),"K")</f>
        <v>K</v>
      </c>
      <c r="S1190" s="39"/>
    </row>
    <row r="1191">
      <c r="B1191" s="36" t="str">
        <f>IFERROR(__xludf.DUMMYFUNCTION("""COMPUTED_VALUE"""),"Asisten Pengembangan Web (Assistant Web Developer)")</f>
        <v>Asisten Pengembangan Web (Assistant Web Developer)</v>
      </c>
      <c r="C1191" s="36"/>
      <c r="D1191" s="36"/>
      <c r="E1191" s="36"/>
      <c r="F1191" s="36" t="str">
        <f>IFERROR(__xludf.DUMMYFUNCTION("""COMPUTED_VALUE"""),"Zahra Maharani Aulia ")</f>
        <v>Zahra Maharani Aulia </v>
      </c>
      <c r="G1191" s="36" t="str">
        <f>IFERROR(__xludf.DUMMYFUNCTION("""COMPUTED_VALUE"""),"7405086108030002")</f>
        <v>7405086108030002</v>
      </c>
      <c r="H1191" s="36"/>
      <c r="I1191" s="36"/>
      <c r="J1191" s="36" t="str">
        <f>IFERROR(__xludf.DUMMYFUNCTION("""COMPUTED_VALUE"""),"PEREMPUAN")</f>
        <v>PEREMPUAN</v>
      </c>
      <c r="K1191" s="36" t="str">
        <f>IFERROR(__xludf.DUMMYFUNCTION("""COMPUTED_VALUE"""),"BTN GRANDCITY GERSAMATA A No.1")</f>
        <v>BTN GRANDCITY GERSAMATA A No.1</v>
      </c>
      <c r="L1191" s="36"/>
      <c r="M1191" s="36"/>
      <c r="N1191" s="36"/>
      <c r="O1191" s="36"/>
      <c r="P1191" s="36"/>
      <c r="Q1191" s="36"/>
      <c r="R1191" s="36" t="str">
        <f>IFERROR(__xludf.DUMMYFUNCTION("""COMPUTED_VALUE"""),"K")</f>
        <v>K</v>
      </c>
      <c r="S1191" s="39"/>
    </row>
    <row r="1192">
      <c r="B1192" s="36" t="str">
        <f>IFERROR(__xludf.DUMMYFUNCTION("""COMPUTED_VALUE"""),"Asisten Pengembangan Web (Assistant Web Developer)")</f>
        <v>Asisten Pengembangan Web (Assistant Web Developer)</v>
      </c>
      <c r="C1192" s="36"/>
      <c r="D1192" s="36"/>
      <c r="E1192" s="36"/>
      <c r="F1192" s="36" t="str">
        <f>IFERROR(__xludf.DUMMYFUNCTION("""COMPUTED_VALUE"""),"MUH SALEH BADAWI")</f>
        <v>MUH SALEH BADAWI</v>
      </c>
      <c r="G1192" s="36" t="str">
        <f>IFERROR(__xludf.DUMMYFUNCTION("""COMPUTED_VALUE"""),"7471092805030001")</f>
        <v>7471092805030001</v>
      </c>
      <c r="H1192" s="36"/>
      <c r="I1192" s="36"/>
      <c r="J1192" s="36" t="str">
        <f>IFERROR(__xludf.DUMMYFUNCTION("""COMPUTED_VALUE"""),"LAKI-LAKI")</f>
        <v>LAKI-LAKI</v>
      </c>
      <c r="K1192" s="36" t="str">
        <f>IFERROR(__xludf.DUMMYFUNCTION("""COMPUTED_VALUE"""),"JL. LALONGGIDA")</f>
        <v>JL. LALONGGIDA</v>
      </c>
      <c r="L1192" s="36"/>
      <c r="M1192" s="36"/>
      <c r="N1192" s="36"/>
      <c r="O1192" s="36"/>
      <c r="P1192" s="36"/>
      <c r="Q1192" s="36"/>
      <c r="R1192" s="36" t="str">
        <f>IFERROR(__xludf.DUMMYFUNCTION("""COMPUTED_VALUE"""),"K")</f>
        <v>K</v>
      </c>
      <c r="S1192" s="39"/>
    </row>
    <row r="1193">
      <c r="B1193" s="36" t="str">
        <f>IFERROR(__xludf.DUMMYFUNCTION("""COMPUTED_VALUE"""),"Asisten Pengembangan Web (Assistant Web Developer)")</f>
        <v>Asisten Pengembangan Web (Assistant Web Developer)</v>
      </c>
      <c r="C1193" s="36"/>
      <c r="D1193" s="36"/>
      <c r="E1193" s="36"/>
      <c r="F1193" s="36" t="str">
        <f>IFERROR(__xludf.DUMMYFUNCTION("""COMPUTED_VALUE"""),"Dwi Hikmah Ramadhani ")</f>
        <v>Dwi Hikmah Ramadhani </v>
      </c>
      <c r="G1193" s="36" t="str">
        <f>IFERROR(__xludf.DUMMYFUNCTION("""COMPUTED_VALUE"""),"7402194312020004")</f>
        <v>7402194312020004</v>
      </c>
      <c r="H1193" s="36"/>
      <c r="I1193" s="36"/>
      <c r="J1193" s="36" t="str">
        <f>IFERROR(__xludf.DUMMYFUNCTION("""COMPUTED_VALUE"""),"PEREMPUAN")</f>
        <v>PEREMPUAN</v>
      </c>
      <c r="K1193" s="36" t="str">
        <f>IFERROR(__xludf.DUMMYFUNCTION("""COMPUTED_VALUE"""),"BTN Bukit Lepo-Lepo Indah")</f>
        <v>BTN Bukit Lepo-Lepo Indah</v>
      </c>
      <c r="L1193" s="36"/>
      <c r="M1193" s="36"/>
      <c r="N1193" s="36"/>
      <c r="O1193" s="36"/>
      <c r="P1193" s="36"/>
      <c r="Q1193" s="36"/>
      <c r="R1193" s="36" t="str">
        <f>IFERROR(__xludf.DUMMYFUNCTION("""COMPUTED_VALUE"""),"K")</f>
        <v>K</v>
      </c>
      <c r="S1193" s="39"/>
    </row>
    <row r="1194">
      <c r="B1194" s="36" t="str">
        <f>IFERROR(__xludf.DUMMYFUNCTION("""COMPUTED_VALUE"""),"Asisten Pengembangan Web (Assistant Web Developer)")</f>
        <v>Asisten Pengembangan Web (Assistant Web Developer)</v>
      </c>
      <c r="C1194" s="36"/>
      <c r="D1194" s="36"/>
      <c r="E1194" s="36"/>
      <c r="F1194" s="36" t="str">
        <f>IFERROR(__xludf.DUMMYFUNCTION("""COMPUTED_VALUE"""),"Ilyas")</f>
        <v>Ilyas</v>
      </c>
      <c r="G1194" s="36" t="str">
        <f>IFERROR(__xludf.DUMMYFUNCTION("""COMPUTED_VALUE"""),"7472062801030002")</f>
        <v>7472062801030002</v>
      </c>
      <c r="H1194" s="36"/>
      <c r="I1194" s="36"/>
      <c r="J1194" s="36" t="str">
        <f>IFERROR(__xludf.DUMMYFUNCTION("""COMPUTED_VALUE"""),"LAKI-LAKI")</f>
        <v>LAKI-LAKI</v>
      </c>
      <c r="K1194" s="36" t="str">
        <f>IFERROR(__xludf.DUMMYFUNCTION("""COMPUTED_VALUE"""),"Jl. Gajah Mada (Lingkungan Lamangga) RT 01 / RW 01 Kel. Lamangga Kec. Murhum")</f>
        <v>Jl. Gajah Mada (Lingkungan Lamangga) RT 01 / RW 01 Kel. Lamangga Kec. Murhum</v>
      </c>
      <c r="L1194" s="36"/>
      <c r="M1194" s="36"/>
      <c r="N1194" s="36"/>
      <c r="O1194" s="36"/>
      <c r="P1194" s="36"/>
      <c r="Q1194" s="36"/>
      <c r="R1194" s="36" t="str">
        <f>IFERROR(__xludf.DUMMYFUNCTION("""COMPUTED_VALUE"""),"K")</f>
        <v>K</v>
      </c>
      <c r="S1194" s="39"/>
    </row>
    <row r="1195">
      <c r="B1195" s="36" t="str">
        <f>IFERROR(__xludf.DUMMYFUNCTION("""COMPUTED_VALUE"""),"Asisten Pengembangan Web (Assistant Web Developer)")</f>
        <v>Asisten Pengembangan Web (Assistant Web Developer)</v>
      </c>
      <c r="C1195" s="36"/>
      <c r="D1195" s="36"/>
      <c r="E1195" s="36"/>
      <c r="F1195" s="36" t="str">
        <f>IFERROR(__xludf.DUMMYFUNCTION("""COMPUTED_VALUE"""),"Annisa Az'zahra Tarimana")</f>
        <v>Annisa Az'zahra Tarimana</v>
      </c>
      <c r="G1195" s="36" t="str">
        <f>IFERROR(__xludf.DUMMYFUNCTION("""COMPUTED_VALUE"""),"7471104406030003")</f>
        <v>7471104406030003</v>
      </c>
      <c r="H1195" s="36"/>
      <c r="I1195" s="36"/>
      <c r="J1195" s="36" t="str">
        <f>IFERROR(__xludf.DUMMYFUNCTION("""COMPUTED_VALUE"""),"PEREMPUAN")</f>
        <v>PEREMPUAN</v>
      </c>
      <c r="K1195" s="36" t="str">
        <f>IFERROR(__xludf.DUMMYFUNCTION("""COMPUTED_VALUE"""),"BTN UNHALU BLOK T 9")</f>
        <v>BTN UNHALU BLOK T 9</v>
      </c>
      <c r="L1195" s="36"/>
      <c r="M1195" s="36"/>
      <c r="N1195" s="36"/>
      <c r="O1195" s="36"/>
      <c r="P1195" s="36"/>
      <c r="Q1195" s="36"/>
      <c r="R1195" s="36" t="str">
        <f>IFERROR(__xludf.DUMMYFUNCTION("""COMPUTED_VALUE"""),"K")</f>
        <v>K</v>
      </c>
      <c r="S1195" s="39"/>
    </row>
    <row r="1196">
      <c r="B1196" s="36" t="str">
        <f>IFERROR(__xludf.DUMMYFUNCTION("""COMPUTED_VALUE"""),"Supervisor Sumber Daya Manusia")</f>
        <v>Supervisor Sumber Daya Manusia</v>
      </c>
      <c r="C1196" s="36"/>
      <c r="D1196" s="36"/>
      <c r="E1196" s="36"/>
      <c r="F1196" s="36" t="str">
        <f>IFERROR(__xludf.DUMMYFUNCTION("""COMPUTED_VALUE"""),"Silviana Fitriyani")</f>
        <v>Silviana Fitriyani</v>
      </c>
      <c r="G1196" s="36" t="str">
        <f>IFERROR(__xludf.DUMMYFUNCTION("""COMPUTED_VALUE"""),"7401075706030001")</f>
        <v>7401075706030001</v>
      </c>
      <c r="H1196" s="36"/>
      <c r="I1196" s="36"/>
      <c r="J1196" s="36" t="str">
        <f>IFERROR(__xludf.DUMMYFUNCTION("""COMPUTED_VALUE"""),"PEREMPUAN")</f>
        <v>PEREMPUAN</v>
      </c>
      <c r="K1196" s="36" t="str">
        <f>IFERROR(__xludf.DUMMYFUNCTION("""COMPUTED_VALUE"""),"jl.persawahan desa huko-huko kec.pomalaa kab.kolaka")</f>
        <v>jl.persawahan desa huko-huko kec.pomalaa kab.kolaka</v>
      </c>
      <c r="L1196" s="36"/>
      <c r="M1196" s="36"/>
      <c r="N1196" s="36"/>
      <c r="O1196" s="36"/>
      <c r="P1196" s="36"/>
      <c r="Q1196" s="36"/>
      <c r="R1196" s="36" t="str">
        <f>IFERROR(__xludf.DUMMYFUNCTION("""COMPUTED_VALUE"""),"K")</f>
        <v>K</v>
      </c>
      <c r="S1196" s="39"/>
    </row>
    <row r="1197">
      <c r="B1197" s="36" t="str">
        <f>IFERROR(__xludf.DUMMYFUNCTION("""COMPUTED_VALUE"""),"Supervisor Sumber Daya Manusia")</f>
        <v>Supervisor Sumber Daya Manusia</v>
      </c>
      <c r="C1197" s="36"/>
      <c r="D1197" s="36"/>
      <c r="E1197" s="36"/>
      <c r="F1197" s="36" t="str">
        <f>IFERROR(__xludf.DUMMYFUNCTION("""COMPUTED_VALUE"""),"La Ode Muhamad Rolan")</f>
        <v>La Ode Muhamad Rolan</v>
      </c>
      <c r="G1197" s="36" t="str">
        <f>IFERROR(__xludf.DUMMYFUNCTION("""COMPUTED_VALUE"""),"7403052510020201")</f>
        <v>7403052510020201</v>
      </c>
      <c r="H1197" s="36"/>
      <c r="I1197" s="36"/>
      <c r="J1197" s="36" t="str">
        <f>IFERROR(__xludf.DUMMYFUNCTION("""COMPUTED_VALUE"""),"LAKI-LAKI")</f>
        <v>LAKI-LAKI</v>
      </c>
      <c r="K1197" s="36" t="str">
        <f>IFERROR(__xludf.DUMMYFUNCTION("""COMPUTED_VALUE"""),"Jln. Ade Irma Nasution, Baruga")</f>
        <v>Jln. Ade Irma Nasution, Baruga</v>
      </c>
      <c r="L1197" s="36"/>
      <c r="M1197" s="36"/>
      <c r="N1197" s="36"/>
      <c r="O1197" s="36"/>
      <c r="P1197" s="36"/>
      <c r="Q1197" s="36"/>
      <c r="R1197" s="36" t="str">
        <f>IFERROR(__xludf.DUMMYFUNCTION("""COMPUTED_VALUE"""),"K")</f>
        <v>K</v>
      </c>
      <c r="S1197" s="39"/>
    </row>
    <row r="1198">
      <c r="B1198" s="36" t="str">
        <f>IFERROR(__xludf.DUMMYFUNCTION("""COMPUTED_VALUE"""),"Supervisor Sumber Daya Manusia")</f>
        <v>Supervisor Sumber Daya Manusia</v>
      </c>
      <c r="C1198" s="36"/>
      <c r="D1198" s="36"/>
      <c r="E1198" s="36"/>
      <c r="F1198" s="36" t="str">
        <f>IFERROR(__xludf.DUMMYFUNCTION("""COMPUTED_VALUE"""),"FERDIAN DWI NUGRAHA")</f>
        <v>FERDIAN DWI NUGRAHA</v>
      </c>
      <c r="G1198" s="36" t="str">
        <f>IFERROR(__xludf.DUMMYFUNCTION("""COMPUTED_VALUE"""),"7405091001040001")</f>
        <v>7405091001040001</v>
      </c>
      <c r="H1198" s="36"/>
      <c r="I1198" s="36"/>
      <c r="J1198" s="36" t="str">
        <f>IFERROR(__xludf.DUMMYFUNCTION("""COMPUTED_VALUE"""),"LAKI-LAKI")</f>
        <v>LAKI-LAKI</v>
      </c>
      <c r="K1198" s="36" t="str">
        <f>IFERROR(__xludf.DUMMYFUNCTION("""COMPUTED_VALUE"""),"BTN Pesona Alam Tahap 2 Blok E No. 2, Anduonohu, Kota Kendari ")</f>
        <v>BTN Pesona Alam Tahap 2 Blok E No. 2, Anduonohu, Kota Kendari </v>
      </c>
      <c r="L1198" s="36"/>
      <c r="M1198" s="36"/>
      <c r="N1198" s="36"/>
      <c r="O1198" s="36"/>
      <c r="P1198" s="36"/>
      <c r="Q1198" s="36"/>
      <c r="R1198" s="36" t="str">
        <f>IFERROR(__xludf.DUMMYFUNCTION("""COMPUTED_VALUE"""),"K")</f>
        <v>K</v>
      </c>
      <c r="S1198" s="39"/>
    </row>
    <row r="1199">
      <c r="B1199" s="36" t="str">
        <f>IFERROR(__xludf.DUMMYFUNCTION("""COMPUTED_VALUE"""),"Supervisor Sumber Daya Manusia")</f>
        <v>Supervisor Sumber Daya Manusia</v>
      </c>
      <c r="C1199" s="36"/>
      <c r="D1199" s="36"/>
      <c r="E1199" s="36"/>
      <c r="F1199" s="36" t="str">
        <f>IFERROR(__xludf.DUMMYFUNCTION("""COMPUTED_VALUE"""),"MOHAMAD RAIHAN")</f>
        <v>MOHAMAD RAIHAN</v>
      </c>
      <c r="G1199" s="36" t="str">
        <f>IFERROR(__xludf.DUMMYFUNCTION("""COMPUTED_VALUE"""),"7203083010020008")</f>
        <v>7203083010020008</v>
      </c>
      <c r="H1199" s="36"/>
      <c r="I1199" s="36"/>
      <c r="J1199" s="36" t="str">
        <f>IFERROR(__xludf.DUMMYFUNCTION("""COMPUTED_VALUE"""),"LAKI-LAKI")</f>
        <v>LAKI-LAKI</v>
      </c>
      <c r="K1199" s="36" t="str">
        <f>IFERROR(__xludf.DUMMYFUNCTION("""COMPUTED_VALUE"""),"Loli Dondo,Banawa,kab.Donggala,Sulawesi Tengah,indonesia")</f>
        <v>Loli Dondo,Banawa,kab.Donggala,Sulawesi Tengah,indonesia</v>
      </c>
      <c r="L1199" s="36"/>
      <c r="M1199" s="36"/>
      <c r="N1199" s="36"/>
      <c r="O1199" s="36"/>
      <c r="P1199" s="36"/>
      <c r="Q1199" s="36"/>
      <c r="R1199" s="36" t="str">
        <f>IFERROR(__xludf.DUMMYFUNCTION("""COMPUTED_VALUE"""),"K")</f>
        <v>K</v>
      </c>
      <c r="S1199" s="39"/>
    </row>
    <row r="1200">
      <c r="B1200" s="36" t="str">
        <f>IFERROR(__xludf.DUMMYFUNCTION("""COMPUTED_VALUE"""),"Supervisor Sumber Daya Manusia")</f>
        <v>Supervisor Sumber Daya Manusia</v>
      </c>
      <c r="C1200" s="36"/>
      <c r="D1200" s="36"/>
      <c r="E1200" s="36"/>
      <c r="F1200" s="36" t="str">
        <f>IFERROR(__xludf.DUMMYFUNCTION("""COMPUTED_VALUE"""),"Muhammad Zulfajri")</f>
        <v>Muhammad Zulfajri</v>
      </c>
      <c r="G1200" s="36" t="str">
        <f>IFERROR(__xludf.DUMMYFUNCTION("""COMPUTED_VALUE"""),"7206031806000001")</f>
        <v>7206031806000001</v>
      </c>
      <c r="H1200" s="36"/>
      <c r="I1200" s="36"/>
      <c r="J1200" s="36" t="str">
        <f>IFERROR(__xludf.DUMMYFUNCTION("""COMPUTED_VALUE"""),"LAKI-LAKI")</f>
        <v>LAKI-LAKI</v>
      </c>
      <c r="K1200" s="36" t="str">
        <f>IFERROR(__xludf.DUMMYFUNCTION("""COMPUTED_VALUE"""),"Kolonodale, Petasia")</f>
        <v>Kolonodale, Petasia</v>
      </c>
      <c r="L1200" s="36"/>
      <c r="M1200" s="36"/>
      <c r="N1200" s="36"/>
      <c r="O1200" s="36"/>
      <c r="P1200" s="36"/>
      <c r="Q1200" s="36"/>
      <c r="R1200" s="36" t="str">
        <f>IFERROR(__xludf.DUMMYFUNCTION("""COMPUTED_VALUE"""),"K")</f>
        <v>K</v>
      </c>
      <c r="S1200" s="39"/>
    </row>
    <row r="1201">
      <c r="B1201" s="36" t="str">
        <f>IFERROR(__xludf.DUMMYFUNCTION("""COMPUTED_VALUE"""),"Petugas Keselematan dan Kesehatan Kerja")</f>
        <v>Petugas Keselematan dan Kesehatan Kerja</v>
      </c>
      <c r="C1201" s="36"/>
      <c r="D1201" s="36"/>
      <c r="E1201" s="36"/>
      <c r="F1201" s="36" t="str">
        <f>IFERROR(__xludf.DUMMYFUNCTION("""COMPUTED_VALUE"""),"Marwati")</f>
        <v>Marwati</v>
      </c>
      <c r="G1201" s="36" t="str">
        <f>IFERROR(__xludf.DUMMYFUNCTION("""COMPUTED_VALUE"""),"7404076104030001")</f>
        <v>7404076104030001</v>
      </c>
      <c r="H1201" s="36"/>
      <c r="I1201" s="36"/>
      <c r="J1201" s="36" t="str">
        <f>IFERROR(__xludf.DUMMYFUNCTION("""COMPUTED_VALUE"""),"PEREMPUAN")</f>
        <v>PEREMPUAN</v>
      </c>
      <c r="K1201" s="36" t="str">
        <f>IFERROR(__xludf.DUMMYFUNCTION("""COMPUTED_VALUE"""),"Desa Nepa Mekar, Kec. Lakudo, Kab. Buton Tengah")</f>
        <v>Desa Nepa Mekar, Kec. Lakudo, Kab. Buton Tengah</v>
      </c>
      <c r="L1201" s="36"/>
      <c r="M1201" s="36"/>
      <c r="N1201" s="36"/>
      <c r="O1201" s="36"/>
      <c r="P1201" s="36"/>
      <c r="Q1201" s="36"/>
      <c r="R1201" s="36" t="str">
        <f>IFERROR(__xludf.DUMMYFUNCTION("""COMPUTED_VALUE"""),"BK")</f>
        <v>BK</v>
      </c>
      <c r="S1201" s="39"/>
    </row>
    <row r="1202">
      <c r="B1202" s="36" t="str">
        <f>IFERROR(__xludf.DUMMYFUNCTION("""COMPUTED_VALUE"""),"Petugas Keselematan dan Kesehatan Kerja")</f>
        <v>Petugas Keselematan dan Kesehatan Kerja</v>
      </c>
      <c r="C1202" s="36"/>
      <c r="D1202" s="36"/>
      <c r="E1202" s="36"/>
      <c r="F1202" s="36" t="str">
        <f>IFERROR(__xludf.DUMMYFUNCTION("""COMPUTED_VALUE"""),"DERIS")</f>
        <v>DERIS</v>
      </c>
      <c r="G1202" s="36" t="str">
        <f>IFERROR(__xludf.DUMMYFUNCTION("""COMPUTED_VALUE"""),"7404101407020004")</f>
        <v>7404101407020004</v>
      </c>
      <c r="H1202" s="36"/>
      <c r="I1202" s="36"/>
      <c r="J1202" s="36" t="str">
        <f>IFERROR(__xludf.DUMMYFUNCTION("""COMPUTED_VALUE"""),"LAKI-LAKI")</f>
        <v>LAKI-LAKI</v>
      </c>
      <c r="K1202" s="36" t="str">
        <f>IFERROR(__xludf.DUMMYFUNCTION("""COMPUTED_VALUE"""),"WINDU MAKMUR")</f>
        <v>WINDU MAKMUR</v>
      </c>
      <c r="L1202" s="36"/>
      <c r="M1202" s="36"/>
      <c r="N1202" s="36"/>
      <c r="O1202" s="36"/>
      <c r="P1202" s="36"/>
      <c r="Q1202" s="36"/>
      <c r="R1202" s="36" t="str">
        <f>IFERROR(__xludf.DUMMYFUNCTION("""COMPUTED_VALUE"""),"K")</f>
        <v>K</v>
      </c>
      <c r="S1202" s="39"/>
    </row>
    <row r="1203">
      <c r="B1203" s="36" t="str">
        <f>IFERROR(__xludf.DUMMYFUNCTION("""COMPUTED_VALUE"""),"Petugas Keselematan dan Kesehatan Kerja")</f>
        <v>Petugas Keselematan dan Kesehatan Kerja</v>
      </c>
      <c r="C1203" s="36"/>
      <c r="D1203" s="36"/>
      <c r="E1203" s="36"/>
      <c r="F1203" s="36" t="str">
        <f>IFERROR(__xludf.DUMMYFUNCTION("""COMPUTED_VALUE"""),"Wa Ode Saleha")</f>
        <v>Wa Ode Saleha</v>
      </c>
      <c r="G1203" s="36" t="str">
        <f>IFERROR(__xludf.DUMMYFUNCTION("""COMPUTED_VALUE"""),"7472065207030001")</f>
        <v>7472065207030001</v>
      </c>
      <c r="H1203" s="36"/>
      <c r="I1203" s="36"/>
      <c r="J1203" s="36" t="str">
        <f>IFERROR(__xludf.DUMMYFUNCTION("""COMPUTED_VALUE"""),"PEREMPUAN")</f>
        <v>PEREMPUAN</v>
      </c>
      <c r="K1203" s="36" t="str">
        <f>IFERROR(__xludf.DUMMYFUNCTION("""COMPUTED_VALUE"""),"Jl. Betoambari")</f>
        <v>Jl. Betoambari</v>
      </c>
      <c r="L1203" s="36"/>
      <c r="M1203" s="36"/>
      <c r="N1203" s="36"/>
      <c r="O1203" s="36"/>
      <c r="P1203" s="36"/>
      <c r="Q1203" s="36"/>
      <c r="R1203" s="36" t="str">
        <f>IFERROR(__xludf.DUMMYFUNCTION("""COMPUTED_VALUE"""),"K")</f>
        <v>K</v>
      </c>
      <c r="S1203" s="39"/>
    </row>
    <row r="1204">
      <c r="B1204" s="36" t="str">
        <f>IFERROR(__xludf.DUMMYFUNCTION("""COMPUTED_VALUE"""),"Petugas Keselematan dan Kesehatan Kerja")</f>
        <v>Petugas Keselematan dan Kesehatan Kerja</v>
      </c>
      <c r="C1204" s="36"/>
      <c r="D1204" s="36"/>
      <c r="E1204" s="36"/>
      <c r="F1204" s="36" t="str">
        <f>IFERROR(__xludf.DUMMYFUNCTION("""COMPUTED_VALUE"""),"Ade Irma ")</f>
        <v>Ade Irma </v>
      </c>
      <c r="G1204" s="36" t="str">
        <f>IFERROR(__xludf.DUMMYFUNCTION("""COMPUTED_VALUE"""),"7403096105010201")</f>
        <v>7403096105010201</v>
      </c>
      <c r="H1204" s="36"/>
      <c r="I1204" s="36"/>
      <c r="J1204" s="36" t="str">
        <f>IFERROR(__xludf.DUMMYFUNCTION("""COMPUTED_VALUE"""),"PEREMPUAN")</f>
        <v>PEREMPUAN</v>
      </c>
      <c r="K1204" s="36" t="str">
        <f>IFERROR(__xludf.DUMMYFUNCTION("""COMPUTED_VALUE"""),"Desa parida, kec. Lasalepa, kab Muna")</f>
        <v>Desa parida, kec. Lasalepa, kab Muna</v>
      </c>
      <c r="L1204" s="36"/>
      <c r="M1204" s="36"/>
      <c r="N1204" s="36"/>
      <c r="O1204" s="36"/>
      <c r="P1204" s="36"/>
      <c r="Q1204" s="36"/>
      <c r="R1204" s="36" t="str">
        <f>IFERROR(__xludf.DUMMYFUNCTION("""COMPUTED_VALUE"""),"K")</f>
        <v>K</v>
      </c>
      <c r="S1204" s="39"/>
    </row>
    <row r="1205">
      <c r="B1205" s="36" t="str">
        <f>IFERROR(__xludf.DUMMYFUNCTION("""COMPUTED_VALUE"""),"Petugas Keselematan dan Kesehatan Kerja")</f>
        <v>Petugas Keselematan dan Kesehatan Kerja</v>
      </c>
      <c r="C1205" s="36"/>
      <c r="D1205" s="36"/>
      <c r="E1205" s="36"/>
      <c r="F1205" s="36" t="str">
        <f>IFERROR(__xludf.DUMMYFUNCTION("""COMPUTED_VALUE"""),"Findri Findriyanti")</f>
        <v>Findri Findriyanti</v>
      </c>
      <c r="G1205" s="36" t="str">
        <f>IFERROR(__xludf.DUMMYFUNCTION("""COMPUTED_VALUE"""),"7402064210030002")</f>
        <v>7402064210030002</v>
      </c>
      <c r="H1205" s="36"/>
      <c r="I1205" s="36"/>
      <c r="J1205" s="36" t="str">
        <f>IFERROR(__xludf.DUMMYFUNCTION("""COMPUTED_VALUE"""),"PEREMPUAN")</f>
        <v>PEREMPUAN</v>
      </c>
      <c r="K1205" s="36" t="str">
        <f>IFERROR(__xludf.DUMMYFUNCTION("""COMPUTED_VALUE"""),"Desa langara iwawo kecamatan wawonii barat")</f>
        <v>Desa langara iwawo kecamatan wawonii barat</v>
      </c>
      <c r="L1205" s="36"/>
      <c r="M1205" s="36"/>
      <c r="N1205" s="36"/>
      <c r="O1205" s="36"/>
      <c r="P1205" s="36"/>
      <c r="Q1205" s="36"/>
      <c r="R1205" s="36" t="str">
        <f>IFERROR(__xludf.DUMMYFUNCTION("""COMPUTED_VALUE"""),"K")</f>
        <v>K</v>
      </c>
      <c r="S1205" s="39"/>
    </row>
    <row r="1206">
      <c r="B1206" s="36" t="str">
        <f>IFERROR(__xludf.DUMMYFUNCTION("""COMPUTED_VALUE"""),"Petugas Keselematan dan Kesehatan Kerja")</f>
        <v>Petugas Keselematan dan Kesehatan Kerja</v>
      </c>
      <c r="C1206" s="36"/>
      <c r="D1206" s="36"/>
      <c r="E1206" s="36"/>
      <c r="F1206" s="36" t="str">
        <f>IFERROR(__xludf.DUMMYFUNCTION("""COMPUTED_VALUE"""),"Nur Hafizah")</f>
        <v>Nur Hafizah</v>
      </c>
      <c r="G1206" s="36" t="str">
        <f>IFERROR(__xludf.DUMMYFUNCTION("""COMPUTED_VALUE"""),"6405026404020007")</f>
        <v>6405026404020007</v>
      </c>
      <c r="H1206" s="36"/>
      <c r="I1206" s="36"/>
      <c r="J1206" s="36" t="str">
        <f>IFERROR(__xludf.DUMMYFUNCTION("""COMPUTED_VALUE"""),"PEREMPUAN")</f>
        <v>PEREMPUAN</v>
      </c>
      <c r="K1206" s="36" t="str">
        <f>IFERROR(__xludf.DUMMYFUNCTION("""COMPUTED_VALUE"""),"Landuke, Desa Siawung, Kec. Barru")</f>
        <v>Landuke, Desa Siawung, Kec. Barru</v>
      </c>
      <c r="L1206" s="36"/>
      <c r="M1206" s="36"/>
      <c r="N1206" s="36"/>
      <c r="O1206" s="36"/>
      <c r="P1206" s="36"/>
      <c r="Q1206" s="36"/>
      <c r="R1206" s="36" t="str">
        <f>IFERROR(__xludf.DUMMYFUNCTION("""COMPUTED_VALUE"""),"K")</f>
        <v>K</v>
      </c>
      <c r="S1206" s="39"/>
    </row>
    <row r="1207">
      <c r="B1207" s="36" t="str">
        <f>IFERROR(__xludf.DUMMYFUNCTION("""COMPUTED_VALUE"""),"Petugas Keselematan dan Kesehatan Kerja")</f>
        <v>Petugas Keselematan dan Kesehatan Kerja</v>
      </c>
      <c r="C1207" s="36"/>
      <c r="D1207" s="36"/>
      <c r="E1207" s="36"/>
      <c r="F1207" s="36" t="str">
        <f>IFERROR(__xludf.DUMMYFUNCTION("""COMPUTED_VALUE"""),"Mutmainna Tamrin")</f>
        <v>Mutmainna Tamrin</v>
      </c>
      <c r="G1207" s="36" t="str">
        <f>IFERROR(__xludf.DUMMYFUNCTION("""COMPUTED_VALUE"""),"7315056812020002")</f>
        <v>7315056812020002</v>
      </c>
      <c r="H1207" s="36"/>
      <c r="I1207" s="36"/>
      <c r="J1207" s="36" t="str">
        <f>IFERROR(__xludf.DUMMYFUNCTION("""COMPUTED_VALUE"""),"PEREMPUAN")</f>
        <v>PEREMPUAN</v>
      </c>
      <c r="K1207" s="36" t="str">
        <f>IFERROR(__xludf.DUMMYFUNCTION("""COMPUTED_VALUE"""),"SENGAE UTARA,DUSUN SENGAE")</f>
        <v>SENGAE UTARA,DUSUN SENGAE</v>
      </c>
      <c r="L1207" s="36"/>
      <c r="M1207" s="36"/>
      <c r="N1207" s="36"/>
      <c r="O1207" s="36"/>
      <c r="P1207" s="36"/>
      <c r="Q1207" s="36"/>
      <c r="R1207" s="36" t="str">
        <f>IFERROR(__xludf.DUMMYFUNCTION("""COMPUTED_VALUE"""),"K")</f>
        <v>K</v>
      </c>
      <c r="S1207" s="39"/>
    </row>
    <row r="1208">
      <c r="B1208" s="36" t="str">
        <f>IFERROR(__xludf.DUMMYFUNCTION("""COMPUTED_VALUE"""),"Pengelolaan Administrasi Perkantoraan")</f>
        <v>Pengelolaan Administrasi Perkantoraan</v>
      </c>
      <c r="C1208" s="36"/>
      <c r="D1208" s="36"/>
      <c r="E1208" s="36"/>
      <c r="F1208" s="36" t="str">
        <f>IFERROR(__xludf.DUMMYFUNCTION("""COMPUTED_VALUE"""),"Aulia Adel Mulia")</f>
        <v>Aulia Adel Mulia</v>
      </c>
      <c r="G1208" s="36" t="str">
        <f>IFERROR(__xludf.DUMMYFUNCTION("""COMPUTED_VALUE"""),"7471034111030001")</f>
        <v>7471034111030001</v>
      </c>
      <c r="H1208" s="36"/>
      <c r="I1208" s="36"/>
      <c r="J1208" s="36" t="str">
        <f>IFERROR(__xludf.DUMMYFUNCTION("""COMPUTED_VALUE"""),"PEREMPUAN")</f>
        <v>PEREMPUAN</v>
      </c>
      <c r="K1208" s="36" t="str">
        <f>IFERROR(__xludf.DUMMYFUNCTION("""COMPUTED_VALUE"""),"btn findayani indah blok b/6")</f>
        <v>btn findayani indah blok b/6</v>
      </c>
      <c r="L1208" s="36"/>
      <c r="M1208" s="36"/>
      <c r="N1208" s="36"/>
      <c r="O1208" s="36"/>
      <c r="P1208" s="36"/>
      <c r="Q1208" s="36"/>
      <c r="R1208" s="36" t="str">
        <f>IFERROR(__xludf.DUMMYFUNCTION("""COMPUTED_VALUE"""),"K")</f>
        <v>K</v>
      </c>
      <c r="S1208" s="39"/>
    </row>
    <row r="1209">
      <c r="B1209" s="36" t="str">
        <f>IFERROR(__xludf.DUMMYFUNCTION("""COMPUTED_VALUE"""),"Pengelolaan Administrasi Perkantoraan")</f>
        <v>Pengelolaan Administrasi Perkantoraan</v>
      </c>
      <c r="C1209" s="36"/>
      <c r="D1209" s="36"/>
      <c r="E1209" s="36"/>
      <c r="F1209" s="36" t="str">
        <f>IFERROR(__xludf.DUMMYFUNCTION("""COMPUTED_VALUE"""),"Astria Putri Ning Hidayah")</f>
        <v>Astria Putri Ning Hidayah</v>
      </c>
      <c r="G1209" s="36" t="str">
        <f>IFERROR(__xludf.DUMMYFUNCTION("""COMPUTED_VALUE"""),"7472066112020004")</f>
        <v>7472066112020004</v>
      </c>
      <c r="H1209" s="36"/>
      <c r="I1209" s="36"/>
      <c r="J1209" s="36" t="str">
        <f>IFERROR(__xludf.DUMMYFUNCTION("""COMPUTED_VALUE"""),"PEREMPUAN")</f>
        <v>PEREMPUAN</v>
      </c>
      <c r="K1209" s="36" t="str">
        <f>IFERROR(__xludf.DUMMYFUNCTION("""COMPUTED_VALUE"""),"Jalan Salangga")</f>
        <v>Jalan Salangga</v>
      </c>
      <c r="L1209" s="36"/>
      <c r="M1209" s="36"/>
      <c r="N1209" s="36"/>
      <c r="O1209" s="36"/>
      <c r="P1209" s="36"/>
      <c r="Q1209" s="36"/>
      <c r="R1209" s="36" t="str">
        <f>IFERROR(__xludf.DUMMYFUNCTION("""COMPUTED_VALUE"""),"K")</f>
        <v>K</v>
      </c>
      <c r="S1209" s="39"/>
    </row>
    <row r="1210">
      <c r="B1210" s="36" t="str">
        <f>IFERROR(__xludf.DUMMYFUNCTION("""COMPUTED_VALUE"""),"Pengelolaan Administrasi Perkantoraan")</f>
        <v>Pengelolaan Administrasi Perkantoraan</v>
      </c>
      <c r="C1210" s="36"/>
      <c r="D1210" s="36"/>
      <c r="E1210" s="36"/>
      <c r="F1210" s="36" t="str">
        <f>IFERROR(__xludf.DUMMYFUNCTION("""COMPUTED_VALUE"""),"SITTI KHADIJAH ")</f>
        <v>SITTI KHADIJAH </v>
      </c>
      <c r="G1210" s="36" t="str">
        <f>IFERROR(__xludf.DUMMYFUNCTION("""COMPUTED_VALUE"""),"7402195209040003")</f>
        <v>7402195209040003</v>
      </c>
      <c r="H1210" s="36"/>
      <c r="I1210" s="36"/>
      <c r="J1210" s="36" t="str">
        <f>IFERROR(__xludf.DUMMYFUNCTION("""COMPUTED_VALUE"""),"PEREMPUAN")</f>
        <v>PEREMPUAN</v>
      </c>
      <c r="K1210" s="36" t="str">
        <f>IFERROR(__xludf.DUMMYFUNCTION("""COMPUTED_VALUE"""),"Desa lahotutu kecamatan wonggeduku barat kabupaten Konawe Sulawesi tenggara")</f>
        <v>Desa lahotutu kecamatan wonggeduku barat kabupaten Konawe Sulawesi tenggara</v>
      </c>
      <c r="L1210" s="36"/>
      <c r="M1210" s="36"/>
      <c r="N1210" s="36"/>
      <c r="O1210" s="36"/>
      <c r="P1210" s="36"/>
      <c r="Q1210" s="36"/>
      <c r="R1210" s="36" t="str">
        <f>IFERROR(__xludf.DUMMYFUNCTION("""COMPUTED_VALUE"""),"K")</f>
        <v>K</v>
      </c>
      <c r="S1210" s="39"/>
    </row>
    <row r="1211">
      <c r="B1211" s="36" t="str">
        <f>IFERROR(__xludf.DUMMYFUNCTION("""COMPUTED_VALUE"""),"Pengelolaan Administrasi Perkantoraan")</f>
        <v>Pengelolaan Administrasi Perkantoraan</v>
      </c>
      <c r="C1211" s="36"/>
      <c r="D1211" s="36"/>
      <c r="E1211" s="36"/>
      <c r="F1211" s="36" t="str">
        <f>IFERROR(__xludf.DUMMYFUNCTION("""COMPUTED_VALUE"""),"Zahra Vebryan Maharani")</f>
        <v>Zahra Vebryan Maharani</v>
      </c>
      <c r="G1211" s="36" t="str">
        <f>IFERROR(__xludf.DUMMYFUNCTION("""COMPUTED_VALUE"""),"7403116202040203")</f>
        <v>7403116202040203</v>
      </c>
      <c r="H1211" s="36"/>
      <c r="I1211" s="36"/>
      <c r="J1211" s="36" t="str">
        <f>IFERROR(__xludf.DUMMYFUNCTION("""COMPUTED_VALUE"""),"PEREMPUAN")</f>
        <v>PEREMPUAN</v>
      </c>
      <c r="K1211" s="36" t="str">
        <f>IFERROR(__xludf.DUMMYFUNCTION("""COMPUTED_VALUE"""),"BTN Bukit Kartika II Lepo Lepo")</f>
        <v>BTN Bukit Kartika II Lepo Lepo</v>
      </c>
      <c r="L1211" s="36"/>
      <c r="M1211" s="36"/>
      <c r="N1211" s="36"/>
      <c r="O1211" s="36"/>
      <c r="P1211" s="36"/>
      <c r="Q1211" s="36"/>
      <c r="R1211" s="36" t="str">
        <f>IFERROR(__xludf.DUMMYFUNCTION("""COMPUTED_VALUE"""),"K")</f>
        <v>K</v>
      </c>
      <c r="S1211" s="39"/>
    </row>
    <row r="1212">
      <c r="B1212" s="36" t="str">
        <f>IFERROR(__xludf.DUMMYFUNCTION("""COMPUTED_VALUE"""),"Pengelolaan Administrasi Perkantoraan")</f>
        <v>Pengelolaan Administrasi Perkantoraan</v>
      </c>
      <c r="C1212" s="36"/>
      <c r="D1212" s="36"/>
      <c r="E1212" s="36"/>
      <c r="F1212" s="36" t="str">
        <f>IFERROR(__xludf.DUMMYFUNCTION("""COMPUTED_VALUE"""),"PUSPITA MAHARANI HASAN")</f>
        <v>PUSPITA MAHARANI HASAN</v>
      </c>
      <c r="G1212" s="36" t="str">
        <f>IFERROR(__xludf.DUMMYFUNCTION("""COMPUTED_VALUE"""),"7472065805020001")</f>
        <v>7472065805020001</v>
      </c>
      <c r="H1212" s="36"/>
      <c r="I1212" s="36"/>
      <c r="J1212" s="36" t="str">
        <f>IFERROR(__xludf.DUMMYFUNCTION("""COMPUTED_VALUE"""),"PEREMPUAN")</f>
        <v>PEREMPUAN</v>
      </c>
      <c r="K1212" s="36" t="str">
        <f>IFERROR(__xludf.DUMMYFUNCTION("""COMPUTED_VALUE"""),"JL. SAKURA")</f>
        <v>JL. SAKURA</v>
      </c>
      <c r="L1212" s="36"/>
      <c r="M1212" s="36"/>
      <c r="N1212" s="36"/>
      <c r="O1212" s="36"/>
      <c r="P1212" s="36"/>
      <c r="Q1212" s="36"/>
      <c r="R1212" s="36" t="str">
        <f>IFERROR(__xludf.DUMMYFUNCTION("""COMPUTED_VALUE"""),"K")</f>
        <v>K</v>
      </c>
      <c r="S1212" s="39"/>
    </row>
    <row r="1213">
      <c r="B1213" s="36" t="str">
        <f>IFERROR(__xludf.DUMMYFUNCTION("""COMPUTED_VALUE"""),"Pengelolaan Administrasi Perkantoraan")</f>
        <v>Pengelolaan Administrasi Perkantoraan</v>
      </c>
      <c r="C1213" s="36"/>
      <c r="D1213" s="36"/>
      <c r="E1213" s="36"/>
      <c r="F1213" s="36" t="str">
        <f>IFERROR(__xludf.DUMMYFUNCTION("""COMPUTED_VALUE"""),"Hijrah Rahim")</f>
        <v>Hijrah Rahim</v>
      </c>
      <c r="G1213" s="36" t="str">
        <f>IFERROR(__xludf.DUMMYFUNCTION("""COMPUTED_VALUE"""),"5305065309020001")</f>
        <v>5305065309020001</v>
      </c>
      <c r="H1213" s="36"/>
      <c r="I1213" s="36"/>
      <c r="J1213" s="36" t="str">
        <f>IFERROR(__xludf.DUMMYFUNCTION("""COMPUTED_VALUE"""),"PEREMPUAN")</f>
        <v>PEREMPUAN</v>
      </c>
      <c r="K1213" s="36" t="str">
        <f>IFERROR(__xludf.DUMMYFUNCTION("""COMPUTED_VALUE"""),"Kabir, Kec. Pantar, Kab. Alor, Provinsi NTT")</f>
        <v>Kabir, Kec. Pantar, Kab. Alor, Provinsi NTT</v>
      </c>
      <c r="L1213" s="36"/>
      <c r="M1213" s="36"/>
      <c r="N1213" s="36"/>
      <c r="O1213" s="36"/>
      <c r="P1213" s="36"/>
      <c r="Q1213" s="36"/>
      <c r="R1213" s="36" t="str">
        <f>IFERROR(__xludf.DUMMYFUNCTION("""COMPUTED_VALUE"""),"K")</f>
        <v>K</v>
      </c>
      <c r="S1213" s="39"/>
    </row>
    <row r="1214">
      <c r="B1214" s="36" t="str">
        <f>IFERROR(__xludf.DUMMYFUNCTION("""COMPUTED_VALUE"""),"Petugas Keselematan dan Kesehatan Kerja")</f>
        <v>Petugas Keselematan dan Kesehatan Kerja</v>
      </c>
      <c r="C1214" s="36"/>
      <c r="D1214" s="36"/>
      <c r="E1214" s="36"/>
      <c r="F1214" s="36" t="str">
        <f>IFERROR(__xludf.DUMMYFUNCTION("""COMPUTED_VALUE"""),"Muhammad Mei Saputra")</f>
        <v>Muhammad Mei Saputra</v>
      </c>
      <c r="G1214" s="36" t="str">
        <f>IFERROR(__xludf.DUMMYFUNCTION("""COMPUTED_VALUE"""),"7403380105040001")</f>
        <v>7403380105040001</v>
      </c>
      <c r="H1214" s="36"/>
      <c r="I1214" s="36"/>
      <c r="J1214" s="36" t="str">
        <f>IFERROR(__xludf.DUMMYFUNCTION("""COMPUTED_VALUE"""),"LAKI-LAKI")</f>
        <v>LAKI-LAKI</v>
      </c>
      <c r="K1214" s="36" t="str">
        <f>IFERROR(__xludf.DUMMYFUNCTION("""COMPUTED_VALUE"""),"Desa Kasimpa Jaya")</f>
        <v>Desa Kasimpa Jaya</v>
      </c>
      <c r="L1214" s="36"/>
      <c r="M1214" s="36"/>
      <c r="N1214" s="36"/>
      <c r="O1214" s="36"/>
      <c r="P1214" s="36"/>
      <c r="Q1214" s="36"/>
      <c r="R1214" s="36" t="str">
        <f>IFERROR(__xludf.DUMMYFUNCTION("""COMPUTED_VALUE"""),"K")</f>
        <v>K</v>
      </c>
      <c r="S1214" s="39"/>
    </row>
    <row r="1215">
      <c r="B1215" s="36" t="str">
        <f>IFERROR(__xludf.DUMMYFUNCTION("""COMPUTED_VALUE"""),"Petugas Keselematan dan Kesehatan Kerja")</f>
        <v>Petugas Keselematan dan Kesehatan Kerja</v>
      </c>
      <c r="C1215" s="36"/>
      <c r="D1215" s="36"/>
      <c r="E1215" s="36"/>
      <c r="F1215" s="36" t="str">
        <f>IFERROR(__xludf.DUMMYFUNCTION("""COMPUTED_VALUE"""),"ANGRAENI CHAYATULLAH DASLIN")</f>
        <v>ANGRAENI CHAYATULLAH DASLIN</v>
      </c>
      <c r="G1215" s="36" t="str">
        <f>IFERROR(__xludf.DUMMYFUNCTION("""COMPUTED_VALUE"""),"7311055810030003")</f>
        <v>7311055810030003</v>
      </c>
      <c r="H1215" s="36"/>
      <c r="I1215" s="36"/>
      <c r="J1215" s="36" t="str">
        <f>IFERROR(__xludf.DUMMYFUNCTION("""COMPUTED_VALUE"""),"PEREMPUAN")</f>
        <v>PEREMPUAN</v>
      </c>
      <c r="K1215" s="36" t="str">
        <f>IFERROR(__xludf.DUMMYFUNCTION("""COMPUTED_VALUE"""),"Jl. Andi Pananong, Palanro, Kec. Mallusetasi Kab. Barru")</f>
        <v>Jl. Andi Pananong, Palanro, Kec. Mallusetasi Kab. Barru</v>
      </c>
      <c r="L1215" s="36"/>
      <c r="M1215" s="36"/>
      <c r="N1215" s="36"/>
      <c r="O1215" s="36"/>
      <c r="P1215" s="36"/>
      <c r="Q1215" s="36"/>
      <c r="R1215" s="36" t="str">
        <f>IFERROR(__xludf.DUMMYFUNCTION("""COMPUTED_VALUE"""),"K")</f>
        <v>K</v>
      </c>
      <c r="S1215" s="39"/>
    </row>
    <row r="1216">
      <c r="B1216" s="36" t="str">
        <f>IFERROR(__xludf.DUMMYFUNCTION("""COMPUTED_VALUE"""),"Petugas Keselematan dan Kesehatan Kerja")</f>
        <v>Petugas Keselematan dan Kesehatan Kerja</v>
      </c>
      <c r="C1216" s="36"/>
      <c r="D1216" s="36"/>
      <c r="E1216" s="36"/>
      <c r="F1216" s="36" t="str">
        <f>IFERROR(__xludf.DUMMYFUNCTION("""COMPUTED_VALUE"""),"Defrin")</f>
        <v>Defrin</v>
      </c>
      <c r="G1216" s="36" t="str">
        <f>IFERROR(__xludf.DUMMYFUNCTION("""COMPUTED_VALUE"""),"7407022702010001")</f>
        <v>7407022702010001</v>
      </c>
      <c r="H1216" s="36"/>
      <c r="I1216" s="36"/>
      <c r="J1216" s="36" t="str">
        <f>IFERROR(__xludf.DUMMYFUNCTION("""COMPUTED_VALUE"""),"LAKI-LAKI")</f>
        <v>LAKI-LAKI</v>
      </c>
      <c r="K1216" s="36" t="str">
        <f>IFERROR(__xludf.DUMMYFUNCTION("""COMPUTED_VALUE"""),"Balasuna")</f>
        <v>Balasuna</v>
      </c>
      <c r="L1216" s="36"/>
      <c r="M1216" s="36"/>
      <c r="N1216" s="36"/>
      <c r="O1216" s="36"/>
      <c r="P1216" s="36"/>
      <c r="Q1216" s="36"/>
      <c r="R1216" s="36" t="str">
        <f>IFERROR(__xludf.DUMMYFUNCTION("""COMPUTED_VALUE"""),"BK")</f>
        <v>BK</v>
      </c>
      <c r="S1216" s="39"/>
    </row>
    <row r="1217">
      <c r="B1217" s="36" t="str">
        <f>IFERROR(__xludf.DUMMYFUNCTION("""COMPUTED_VALUE"""),"Analis Data (Data Analyst)")</f>
        <v>Analis Data (Data Analyst)</v>
      </c>
      <c r="C1217" s="36"/>
      <c r="D1217" s="36"/>
      <c r="E1217" s="36"/>
      <c r="F1217" s="36" t="str">
        <f>IFERROR(__xludf.DUMMYFUNCTION("""COMPUTED_VALUE"""),"Aldi")</f>
        <v>Aldi</v>
      </c>
      <c r="G1217" s="36" t="str">
        <f>IFERROR(__xludf.DUMMYFUNCTION("""COMPUTED_VALUE"""),"7407012911020001")</f>
        <v>7407012911020001</v>
      </c>
      <c r="H1217" s="36"/>
      <c r="I1217" s="36"/>
      <c r="J1217" s="36" t="str">
        <f>IFERROR(__xludf.DUMMYFUNCTION("""COMPUTED_VALUE"""),"LAKI-LAKI")</f>
        <v>LAKI-LAKI</v>
      </c>
      <c r="K1217" s="36" t="str">
        <f>IFERROR(__xludf.DUMMYFUNCTION("""COMPUTED_VALUE"""),"Lorong Ambon Permai, Kambu")</f>
        <v>Lorong Ambon Permai, Kambu</v>
      </c>
      <c r="L1217" s="36"/>
      <c r="M1217" s="36"/>
      <c r="N1217" s="36"/>
      <c r="O1217" s="36"/>
      <c r="P1217" s="36"/>
      <c r="Q1217" s="36"/>
      <c r="R1217" s="36" t="str">
        <f>IFERROR(__xludf.DUMMYFUNCTION("""COMPUTED_VALUE"""),"K")</f>
        <v>K</v>
      </c>
      <c r="S1217" s="39"/>
    </row>
    <row r="1218">
      <c r="B1218" s="36" t="str">
        <f>IFERROR(__xludf.DUMMYFUNCTION("""COMPUTED_VALUE"""),"Operator Komputer (Computer Operator")</f>
        <v>Operator Komputer (Computer Operator</v>
      </c>
      <c r="C1218" s="36"/>
      <c r="D1218" s="36"/>
      <c r="E1218" s="36"/>
      <c r="F1218" s="36" t="str">
        <f>IFERROR(__xludf.DUMMYFUNCTION("""COMPUTED_VALUE"""),"Chafifah Apriliani Asrat")</f>
        <v>Chafifah Apriliani Asrat</v>
      </c>
      <c r="G1218" s="36" t="str">
        <f>IFERROR(__xludf.DUMMYFUNCTION("""COMPUTED_VALUE"""),"7402026004040001")</f>
        <v>7402026004040001</v>
      </c>
      <c r="H1218" s="36"/>
      <c r="I1218" s="36"/>
      <c r="J1218" s="36" t="str">
        <f>IFERROR(__xludf.DUMMYFUNCTION("""COMPUTED_VALUE"""),"PEREMPUAN")</f>
        <v>PEREMPUAN</v>
      </c>
      <c r="K1218" s="36" t="str">
        <f>IFERROR(__xludf.DUMMYFUNCTION("""COMPUTED_VALUE"""),"Kel. Tumpas, Kec. Unaaha, Kab. Konawe")</f>
        <v>Kel. Tumpas, Kec. Unaaha, Kab. Konawe</v>
      </c>
      <c r="L1218" s="36"/>
      <c r="M1218" s="36"/>
      <c r="N1218" s="36"/>
      <c r="O1218" s="36"/>
      <c r="P1218" s="36"/>
      <c r="Q1218" s="36"/>
      <c r="R1218" s="36" t="str">
        <f>IFERROR(__xludf.DUMMYFUNCTION("""COMPUTED_VALUE"""),"K")</f>
        <v>K</v>
      </c>
      <c r="S1218" s="39"/>
    </row>
    <row r="1219">
      <c r="B1219" s="36" t="str">
        <f>IFERROR(__xludf.DUMMYFUNCTION("""COMPUTED_VALUE"""),"Pembuatan Desain Grafis")</f>
        <v>Pembuatan Desain Grafis</v>
      </c>
      <c r="C1219" s="36"/>
      <c r="D1219" s="36"/>
      <c r="E1219" s="36"/>
      <c r="F1219" s="36" t="str">
        <f>IFERROR(__xludf.DUMMYFUNCTION("""COMPUTED_VALUE"""),"Wiwin Rahmawati ")</f>
        <v>Wiwin Rahmawati </v>
      </c>
      <c r="G1219" s="36" t="str">
        <f>IFERROR(__xludf.DUMMYFUNCTION("""COMPUTED_VALUE"""),"7405015907030004")</f>
        <v>7405015907030004</v>
      </c>
      <c r="H1219" s="36"/>
      <c r="I1219" s="36"/>
      <c r="J1219" s="36" t="str">
        <f>IFERROR(__xludf.DUMMYFUNCTION("""COMPUTED_VALUE"""),"PEREMPUAN")</f>
        <v>PEREMPUAN</v>
      </c>
      <c r="K1219" s="36" t="str">
        <f>IFERROR(__xludf.DUMMYFUNCTION("""COMPUTED_VALUE"""),"Asingi, Kec. Tinanggea ")</f>
        <v>Asingi, Kec. Tinanggea </v>
      </c>
      <c r="L1219" s="36"/>
      <c r="M1219" s="36"/>
      <c r="N1219" s="36"/>
      <c r="O1219" s="36"/>
      <c r="P1219" s="36"/>
      <c r="Q1219" s="36"/>
      <c r="R1219" s="36" t="str">
        <f>IFERROR(__xludf.DUMMYFUNCTION("""COMPUTED_VALUE"""),"K")</f>
        <v>K</v>
      </c>
      <c r="S1219" s="39"/>
    </row>
    <row r="1220">
      <c r="B1220" s="36" t="str">
        <f>IFERROR(__xludf.DUMMYFUNCTION("""COMPUTED_VALUE"""),"Pelayanan Pelanggan")</f>
        <v>Pelayanan Pelanggan</v>
      </c>
      <c r="C1220" s="36"/>
      <c r="D1220" s="36"/>
      <c r="E1220" s="36"/>
      <c r="F1220" s="36" t="str">
        <f>IFERROR(__xludf.DUMMYFUNCTION("""COMPUTED_VALUE"""),"KHAIRUNNISA")</f>
        <v>KHAIRUNNISA</v>
      </c>
      <c r="G1220" s="36">
        <f>IFERROR(__xludf.DUMMYFUNCTION("""COMPUTED_VALUE"""),7.40508490503002E14)</f>
        <v>740508490503002</v>
      </c>
      <c r="H1220" s="36"/>
      <c r="I1220" s="36"/>
      <c r="J1220" s="36" t="str">
        <f>IFERROR(__xludf.DUMMYFUNCTION("""COMPUTED_VALUE"""),"PEREMPUAN")</f>
        <v>PEREMPUAN</v>
      </c>
      <c r="K1220" s="36" t="str">
        <f>IFERROR(__xludf.DUMMYFUNCTION("""COMPUTED_VALUE"""),"BTN MALEO 1 BLOK J1 NO.5")</f>
        <v>BTN MALEO 1 BLOK J1 NO.5</v>
      </c>
      <c r="L1220" s="36"/>
      <c r="M1220" s="36"/>
      <c r="N1220" s="36"/>
      <c r="O1220" s="36"/>
      <c r="P1220" s="36"/>
      <c r="Q1220" s="36"/>
      <c r="R1220" s="36" t="str">
        <f>IFERROR(__xludf.DUMMYFUNCTION("""COMPUTED_VALUE"""),"K")</f>
        <v>K</v>
      </c>
      <c r="S1220" s="39"/>
    </row>
    <row r="1221">
      <c r="B1221" s="36" t="str">
        <f>IFERROR(__xludf.DUMMYFUNCTION("""COMPUTED_VALUE"""),"Pelayanan Pelanggan")</f>
        <v>Pelayanan Pelanggan</v>
      </c>
      <c r="C1221" s="36"/>
      <c r="D1221" s="36"/>
      <c r="E1221" s="36"/>
      <c r="F1221" s="36" t="str">
        <f>IFERROR(__xludf.DUMMYFUNCTION("""COMPUTED_VALUE"""),"SARMILA ZALISA")</f>
        <v>SARMILA ZALISA</v>
      </c>
      <c r="G1221" s="36" t="str">
        <f>IFERROR(__xludf.DUMMYFUNCTION("""COMPUTED_VALUE"""),"7472014903030001")</f>
        <v>7472014903030001</v>
      </c>
      <c r="H1221" s="36"/>
      <c r="I1221" s="36"/>
      <c r="J1221" s="36" t="str">
        <f>IFERROR(__xludf.DUMMYFUNCTION("""COMPUTED_VALUE"""),"PEREMPUAN")</f>
        <v>PEREMPUAN</v>
      </c>
      <c r="K1221" s="36" t="str">
        <f>IFERROR(__xludf.DUMMYFUNCTION("""COMPUTED_VALUE"""),"Jl. Betoambari")</f>
        <v>Jl. Betoambari</v>
      </c>
      <c r="L1221" s="36"/>
      <c r="M1221" s="36"/>
      <c r="N1221" s="36"/>
      <c r="O1221" s="36"/>
      <c r="P1221" s="36"/>
      <c r="Q1221" s="36"/>
      <c r="R1221" s="36" t="str">
        <f>IFERROR(__xludf.DUMMYFUNCTION("""COMPUTED_VALUE"""),"K")</f>
        <v>K</v>
      </c>
      <c r="S1221" s="39"/>
    </row>
    <row r="1222">
      <c r="B1222" s="36" t="str">
        <f>IFERROR(__xludf.DUMMYFUNCTION("""COMPUTED_VALUE"""),"Pelayanan Pelanggan")</f>
        <v>Pelayanan Pelanggan</v>
      </c>
      <c r="C1222" s="36"/>
      <c r="D1222" s="36"/>
      <c r="E1222" s="36"/>
      <c r="F1222" s="36" t="str">
        <f>IFERROR(__xludf.DUMMYFUNCTION("""COMPUTED_VALUE"""),"ISRA MAYANTI ")</f>
        <v>ISRA MAYANTI </v>
      </c>
      <c r="G1222" s="36" t="str">
        <f>IFERROR(__xludf.DUMMYFUNCTION("""COMPUTED_VALUE"""),"7410025202020001")</f>
        <v>7410025202020001</v>
      </c>
      <c r="H1222" s="36"/>
      <c r="I1222" s="36"/>
      <c r="J1222" s="36" t="str">
        <f>IFERROR(__xludf.DUMMYFUNCTION("""COMPUTED_VALUE"""),"PEREMPUAN")</f>
        <v>PEREMPUAN</v>
      </c>
      <c r="K1222" s="36" t="str">
        <f>IFERROR(__xludf.DUMMYFUNCTION("""COMPUTED_VALUE"""),"Dusun Baluara,Kec Kambowa,Kab.Buton Utara ")</f>
        <v>Dusun Baluara,Kec Kambowa,Kab.Buton Utara </v>
      </c>
      <c r="L1222" s="36"/>
      <c r="M1222" s="36"/>
      <c r="N1222" s="36"/>
      <c r="O1222" s="36"/>
      <c r="P1222" s="36"/>
      <c r="Q1222" s="36"/>
      <c r="R1222" s="36" t="str">
        <f>IFERROR(__xludf.DUMMYFUNCTION("""COMPUTED_VALUE"""),"K")</f>
        <v>K</v>
      </c>
      <c r="S1222" s="39"/>
    </row>
    <row r="1223">
      <c r="B1223" s="36" t="str">
        <f>IFERROR(__xludf.DUMMYFUNCTION("""COMPUTED_VALUE"""),"Pelayanan Pelanggan")</f>
        <v>Pelayanan Pelanggan</v>
      </c>
      <c r="C1223" s="36"/>
      <c r="D1223" s="36"/>
      <c r="E1223" s="36"/>
      <c r="F1223" s="36" t="str">
        <f>IFERROR(__xludf.DUMMYFUNCTION("""COMPUTED_VALUE"""),"Sufiani")</f>
        <v>Sufiani</v>
      </c>
      <c r="G1223" s="36" t="str">
        <f>IFERROR(__xludf.DUMMYFUNCTION("""COMPUTED_VALUE"""),"7406066404030002")</f>
        <v>7406066404030002</v>
      </c>
      <c r="H1223" s="36"/>
      <c r="I1223" s="36"/>
      <c r="J1223" s="36" t="str">
        <f>IFERROR(__xludf.DUMMYFUNCTION("""COMPUTED_VALUE"""),"PEREMPUAN")</f>
        <v>PEREMPUAN</v>
      </c>
      <c r="K1223" s="36" t="str">
        <f>IFERROR(__xludf.DUMMYFUNCTION("""COMPUTED_VALUE"""),"Dongkala Kabaena timur kabupaten Bombana ")</f>
        <v>Dongkala Kabaena timur kabupaten Bombana </v>
      </c>
      <c r="L1223" s="36"/>
      <c r="M1223" s="36"/>
      <c r="N1223" s="36"/>
      <c r="O1223" s="36"/>
      <c r="P1223" s="36"/>
      <c r="Q1223" s="36"/>
      <c r="R1223" s="36" t="str">
        <f>IFERROR(__xludf.DUMMYFUNCTION("""COMPUTED_VALUE"""),"K")</f>
        <v>K</v>
      </c>
      <c r="S1223" s="39"/>
    </row>
    <row r="1224">
      <c r="B1224" s="36" t="str">
        <f>IFERROR(__xludf.DUMMYFUNCTION("""COMPUTED_VALUE"""),"Pelayanan Pelanggan")</f>
        <v>Pelayanan Pelanggan</v>
      </c>
      <c r="C1224" s="36"/>
      <c r="D1224" s="36"/>
      <c r="E1224" s="36"/>
      <c r="F1224" s="36" t="str">
        <f>IFERROR(__xludf.DUMMYFUNCTION("""COMPUTED_VALUE"""),"Amalia Latif")</f>
        <v>Amalia Latif</v>
      </c>
      <c r="G1224" s="36" t="str">
        <f>IFERROR(__xludf.DUMMYFUNCTION("""COMPUTED_VALUE"""),"7472024907010001")</f>
        <v>7472024907010001</v>
      </c>
      <c r="H1224" s="36"/>
      <c r="I1224" s="36"/>
      <c r="J1224" s="36" t="str">
        <f>IFERROR(__xludf.DUMMYFUNCTION("""COMPUTED_VALUE"""),"PEREMPUAN")</f>
        <v>PEREMPUAN</v>
      </c>
      <c r="K1224" s="36" t="str">
        <f>IFERROR(__xludf.DUMMYFUNCTION("""COMPUTED_VALUE"""),"Lingkungan kuala, RT/RW 002/006, Kel. Bataraguru, Kec. Wolio, Kota Baubau")</f>
        <v>Lingkungan kuala, RT/RW 002/006, Kel. Bataraguru, Kec. Wolio, Kota Baubau</v>
      </c>
      <c r="L1224" s="36"/>
      <c r="M1224" s="36"/>
      <c r="N1224" s="36"/>
      <c r="O1224" s="36"/>
      <c r="P1224" s="36"/>
      <c r="Q1224" s="36"/>
      <c r="R1224" s="36" t="str">
        <f>IFERROR(__xludf.DUMMYFUNCTION("""COMPUTED_VALUE"""),"K")</f>
        <v>K</v>
      </c>
      <c r="S1224" s="39"/>
    </row>
    <row r="1225">
      <c r="B1225" s="36" t="str">
        <f>IFERROR(__xludf.DUMMYFUNCTION("""COMPUTED_VALUE"""),"Pelayanan Pelanggan")</f>
        <v>Pelayanan Pelanggan</v>
      </c>
      <c r="C1225" s="36"/>
      <c r="D1225" s="36"/>
      <c r="E1225" s="36"/>
      <c r="F1225" s="36" t="str">
        <f>IFERROR(__xludf.DUMMYFUNCTION("""COMPUTED_VALUE"""),"NUR FADHILAH")</f>
        <v>NUR FADHILAH</v>
      </c>
      <c r="G1225" s="36" t="str">
        <f>IFERROR(__xludf.DUMMYFUNCTION("""COMPUTED_VALUE"""),"7405106106050001")</f>
        <v>7405106106050001</v>
      </c>
      <c r="H1225" s="36"/>
      <c r="I1225" s="36"/>
      <c r="J1225" s="36" t="str">
        <f>IFERROR(__xludf.DUMMYFUNCTION("""COMPUTED_VALUE"""),"PEREMPUAN")</f>
        <v>PEREMPUAN</v>
      </c>
      <c r="K1225" s="36" t="str">
        <f>IFERROR(__xludf.DUMMYFUNCTION("""COMPUTED_VALUE"""),"Desa watu porambaa, kec. Moramo")</f>
        <v>Desa watu porambaa, kec. Moramo</v>
      </c>
      <c r="L1225" s="36"/>
      <c r="M1225" s="36"/>
      <c r="N1225" s="36"/>
      <c r="O1225" s="36"/>
      <c r="P1225" s="36"/>
      <c r="Q1225" s="36"/>
      <c r="R1225" s="36" t="str">
        <f>IFERROR(__xludf.DUMMYFUNCTION("""COMPUTED_VALUE"""),"K")</f>
        <v>K</v>
      </c>
      <c r="S1225" s="39"/>
    </row>
    <row r="1226">
      <c r="B1226" s="36" t="str">
        <f>IFERROR(__xludf.DUMMYFUNCTION("""COMPUTED_VALUE"""),"Pelayanan Pelanggan")</f>
        <v>Pelayanan Pelanggan</v>
      </c>
      <c r="C1226" s="36"/>
      <c r="D1226" s="36"/>
      <c r="E1226" s="36"/>
      <c r="F1226" s="36" t="str">
        <f>IFERROR(__xludf.DUMMYFUNCTION("""COMPUTED_VALUE"""),"Lisnawati, S. Pd.")</f>
        <v>Lisnawati, S. Pd.</v>
      </c>
      <c r="G1226" s="36" t="str">
        <f>IFERROR(__xludf.DUMMYFUNCTION("""COMPUTED_VALUE"""),"7407075508940001")</f>
        <v>7407075508940001</v>
      </c>
      <c r="H1226" s="36"/>
      <c r="I1226" s="36"/>
      <c r="J1226" s="36" t="str">
        <f>IFERROR(__xludf.DUMMYFUNCTION("""COMPUTED_VALUE"""),"PEREMPUAN")</f>
        <v>PEREMPUAN</v>
      </c>
      <c r="K1226" s="36" t="str">
        <f>IFERROR(__xludf.DUMMYFUNCTION("""COMPUTED_VALUE"""),"Dusun Bente, Desa Kahiyanga, Kecamatan Tomia Timur, Kabupaten Wakatobi, Sulawesi Tenggara ")</f>
        <v>Dusun Bente, Desa Kahiyanga, Kecamatan Tomia Timur, Kabupaten Wakatobi, Sulawesi Tenggara </v>
      </c>
      <c r="L1226" s="36"/>
      <c r="M1226" s="36"/>
      <c r="N1226" s="36"/>
      <c r="O1226" s="36"/>
      <c r="P1226" s="36"/>
      <c r="Q1226" s="36"/>
      <c r="R1226" s="36" t="str">
        <f>IFERROR(__xludf.DUMMYFUNCTION("""COMPUTED_VALUE"""),"K")</f>
        <v>K</v>
      </c>
      <c r="S1226" s="39"/>
    </row>
    <row r="1227">
      <c r="B1227" s="36" t="str">
        <f>IFERROR(__xludf.DUMMYFUNCTION("""COMPUTED_VALUE"""),"Pengelolaan Administrasi Perkantoraan")</f>
        <v>Pengelolaan Administrasi Perkantoraan</v>
      </c>
      <c r="C1227" s="36"/>
      <c r="D1227" s="36"/>
      <c r="E1227" s="36"/>
      <c r="F1227" s="36" t="str">
        <f>IFERROR(__xludf.DUMMYFUNCTION("""COMPUTED_VALUE"""),"Faradilla Cahya Wahyuni")</f>
        <v>Faradilla Cahya Wahyuni</v>
      </c>
      <c r="G1227" s="36" t="str">
        <f>IFERROR(__xludf.DUMMYFUNCTION("""COMPUTED_VALUE"""),"7471015802030003")</f>
        <v>7471015802030003</v>
      </c>
      <c r="H1227" s="36"/>
      <c r="I1227" s="36"/>
      <c r="J1227" s="36" t="str">
        <f>IFERROR(__xludf.DUMMYFUNCTION("""COMPUTED_VALUE"""),"PEREMPUAN")</f>
        <v>PEREMPUAN</v>
      </c>
      <c r="K1227" s="36" t="str">
        <f>IFERROR(__xludf.DUMMYFUNCTION("""COMPUTED_VALUE"""),"Jl.Drs.H.Abdullah Silondae")</f>
        <v>Jl.Drs.H.Abdullah Silondae</v>
      </c>
      <c r="L1227" s="36"/>
      <c r="M1227" s="36"/>
      <c r="N1227" s="36"/>
      <c r="O1227" s="36"/>
      <c r="P1227" s="36"/>
      <c r="Q1227" s="36"/>
      <c r="R1227" s="36" t="str">
        <f>IFERROR(__xludf.DUMMYFUNCTION("""COMPUTED_VALUE"""),"K")</f>
        <v>K</v>
      </c>
      <c r="S1227" s="39"/>
    </row>
    <row r="1228">
      <c r="B1228" s="36" t="str">
        <f>IFERROR(__xludf.DUMMYFUNCTION("""COMPUTED_VALUE"""),"Pengelolaan Administrasi Perkantoraan")</f>
        <v>Pengelolaan Administrasi Perkantoraan</v>
      </c>
      <c r="C1228" s="36"/>
      <c r="D1228" s="36"/>
      <c r="E1228" s="36"/>
      <c r="F1228" s="36" t="str">
        <f>IFERROR(__xludf.DUMMYFUNCTION("""COMPUTED_VALUE"""),"Muh. Zulkifli")</f>
        <v>Muh. Zulkifli</v>
      </c>
      <c r="G1228" s="36" t="str">
        <f>IFERROR(__xludf.DUMMYFUNCTION("""COMPUTED_VALUE"""),"7406010612030001")</f>
        <v>7406010612030001</v>
      </c>
      <c r="H1228" s="36"/>
      <c r="I1228" s="36"/>
      <c r="J1228" s="36" t="str">
        <f>IFERROR(__xludf.DUMMYFUNCTION("""COMPUTED_VALUE"""),"LAKI-LAKI")</f>
        <v>LAKI-LAKI</v>
      </c>
      <c r="K1228" s="36" t="str">
        <f>IFERROR(__xludf.DUMMYFUNCTION("""COMPUTED_VALUE"""),"Bajo Barat, Kec. Poleang")</f>
        <v>Bajo Barat, Kec. Poleang</v>
      </c>
      <c r="L1228" s="36"/>
      <c r="M1228" s="36"/>
      <c r="N1228" s="36"/>
      <c r="O1228" s="36"/>
      <c r="P1228" s="36"/>
      <c r="Q1228" s="36"/>
      <c r="R1228" s="36" t="str">
        <f>IFERROR(__xludf.DUMMYFUNCTION("""COMPUTED_VALUE"""),"K")</f>
        <v>K</v>
      </c>
      <c r="S1228" s="39"/>
    </row>
    <row r="1229">
      <c r="B1229" s="36" t="str">
        <f>IFERROR(__xludf.DUMMYFUNCTION("""COMPUTED_VALUE"""),"Pengelolaan Administrasi Perkantoraan")</f>
        <v>Pengelolaan Administrasi Perkantoraan</v>
      </c>
      <c r="C1229" s="36"/>
      <c r="D1229" s="36"/>
      <c r="E1229" s="36"/>
      <c r="F1229" s="36" t="str">
        <f>IFERROR(__xludf.DUMMYFUNCTION("""COMPUTED_VALUE"""),"Fiskayanti")</f>
        <v>Fiskayanti</v>
      </c>
      <c r="G1229" s="36" t="str">
        <f>IFERROR(__xludf.DUMMYFUNCTION("""COMPUTED_VALUE"""),"7471074505020001")</f>
        <v>7471074505020001</v>
      </c>
      <c r="H1229" s="36"/>
      <c r="I1229" s="36"/>
      <c r="J1229" s="36" t="str">
        <f>IFERROR(__xludf.DUMMYFUNCTION("""COMPUTED_VALUE"""),"PEREMPUAN")</f>
        <v>PEREMPUAN</v>
      </c>
      <c r="K1229" s="36" t="str">
        <f>IFERROR(__xludf.DUMMYFUNCTION("""COMPUTED_VALUE"""),"Jl. Salemba, Kel. Punggulaka, Kec. Puuwatu")</f>
        <v>Jl. Salemba, Kel. Punggulaka, Kec. Puuwatu</v>
      </c>
      <c r="L1229" s="36"/>
      <c r="M1229" s="36"/>
      <c r="N1229" s="36"/>
      <c r="O1229" s="36"/>
      <c r="P1229" s="36"/>
      <c r="Q1229" s="36"/>
      <c r="R1229" s="36" t="str">
        <f>IFERROR(__xludf.DUMMYFUNCTION("""COMPUTED_VALUE"""),"K")</f>
        <v>K</v>
      </c>
      <c r="S1229" s="39"/>
    </row>
    <row r="1230">
      <c r="B1230" s="36" t="str">
        <f>IFERROR(__xludf.DUMMYFUNCTION("""COMPUTED_VALUE"""),"Pengelolaan Administrasi Perkantoraan")</f>
        <v>Pengelolaan Administrasi Perkantoraan</v>
      </c>
      <c r="C1230" s="36"/>
      <c r="D1230" s="36"/>
      <c r="E1230" s="36"/>
      <c r="F1230" s="36" t="str">
        <f>IFERROR(__xludf.DUMMYFUNCTION("""COMPUTED_VALUE"""),"FEBY NURAMALYA")</f>
        <v>FEBY NURAMALYA</v>
      </c>
      <c r="G1230" s="36" t="str">
        <f>IFERROR(__xludf.DUMMYFUNCTION("""COMPUTED_VALUE"""),"7471105902020001")</f>
        <v>7471105902020001</v>
      </c>
      <c r="H1230" s="36"/>
      <c r="I1230" s="36"/>
      <c r="J1230" s="36" t="str">
        <f>IFERROR(__xludf.DUMMYFUNCTION("""COMPUTED_VALUE"""),"PEREMPUAN")</f>
        <v>PEREMPUAN</v>
      </c>
      <c r="K1230" s="36" t="str">
        <f>IFERROR(__xludf.DUMMYFUNCTION("""COMPUTED_VALUE"""),"Jalan Lumba-Lumba, Kec. Kambu, Kel. Lalolara")</f>
        <v>Jalan Lumba-Lumba, Kec. Kambu, Kel. Lalolara</v>
      </c>
      <c r="L1230" s="36"/>
      <c r="M1230" s="36"/>
      <c r="N1230" s="36"/>
      <c r="O1230" s="36"/>
      <c r="P1230" s="36"/>
      <c r="Q1230" s="36"/>
      <c r="R1230" s="36" t="str">
        <f>IFERROR(__xludf.DUMMYFUNCTION("""COMPUTED_VALUE"""),"K")</f>
        <v>K</v>
      </c>
      <c r="S1230" s="39"/>
    </row>
    <row r="1231">
      <c r="B1231" s="36" t="str">
        <f>IFERROR(__xludf.DUMMYFUNCTION("""COMPUTED_VALUE"""),"Pengelolaan Administrasi Perkantoraan")</f>
        <v>Pengelolaan Administrasi Perkantoraan</v>
      </c>
      <c r="C1231" s="36"/>
      <c r="D1231" s="36"/>
      <c r="E1231" s="36"/>
      <c r="F1231" s="36" t="str">
        <f>IFERROR(__xludf.DUMMYFUNCTION("""COMPUTED_VALUE"""),"Nuraini Intan Pertiwi")</f>
        <v>Nuraini Intan Pertiwi</v>
      </c>
      <c r="G1231" s="36" t="str">
        <f>IFERROR(__xludf.DUMMYFUNCTION("""COMPUTED_VALUE"""),"7201045812000001")</f>
        <v>7201045812000001</v>
      </c>
      <c r="H1231" s="36"/>
      <c r="I1231" s="36"/>
      <c r="J1231" s="36" t="str">
        <f>IFERROR(__xludf.DUMMYFUNCTION("""COMPUTED_VALUE"""),"PEREMPUAN")</f>
        <v>PEREMPUAN</v>
      </c>
      <c r="K1231" s="36" t="str">
        <f>IFERROR(__xludf.DUMMYFUNCTION("""COMPUTED_VALUE"""),"Jl. Bunga Sedap Malam, RT/RW 02/01, Kel. Hanga-Hanga, Kec. Luwuk Selatan")</f>
        <v>Jl. Bunga Sedap Malam, RT/RW 02/01, Kel. Hanga-Hanga, Kec. Luwuk Selatan</v>
      </c>
      <c r="L1231" s="36"/>
      <c r="M1231" s="36"/>
      <c r="N1231" s="36"/>
      <c r="O1231" s="36"/>
      <c r="P1231" s="36"/>
      <c r="Q1231" s="36"/>
      <c r="R1231" s="36" t="str">
        <f>IFERROR(__xludf.DUMMYFUNCTION("""COMPUTED_VALUE"""),"K")</f>
        <v>K</v>
      </c>
      <c r="S1231" s="39"/>
    </row>
    <row r="1232">
      <c r="B1232" s="36" t="str">
        <f>IFERROR(__xludf.DUMMYFUNCTION("""COMPUTED_VALUE"""),"Pengelolaan Administrasi Perkantoraan")</f>
        <v>Pengelolaan Administrasi Perkantoraan</v>
      </c>
      <c r="C1232" s="36"/>
      <c r="D1232" s="36"/>
      <c r="E1232" s="36"/>
      <c r="F1232" s="36" t="str">
        <f>IFERROR(__xludf.DUMMYFUNCTION("""COMPUTED_VALUE"""),"MUHAMMAD SYAMSUL RAMADAN")</f>
        <v>MUHAMMAD SYAMSUL RAMADAN</v>
      </c>
      <c r="G1232" s="36" t="str">
        <f>IFERROR(__xludf.DUMMYFUNCTION("""COMPUTED_VALUE"""),"7471051711030001")</f>
        <v>7471051711030001</v>
      </c>
      <c r="H1232" s="36"/>
      <c r="I1232" s="36"/>
      <c r="J1232" s="36" t="str">
        <f>IFERROR(__xludf.DUMMYFUNCTION("""COMPUTED_VALUE"""),"LAKI-LAKI")</f>
        <v>LAKI-LAKI</v>
      </c>
      <c r="K1232" s="36" t="str">
        <f>IFERROR(__xludf.DUMMYFUNCTION("""COMPUTED_VALUE"""),"Jl. Bunga Duri 3 No. 18, RT 012, RW 005, Kel. Lahundape, Kec. Kendari Barat, Kota Kendari, Sulawesi Tenggara")</f>
        <v>Jl. Bunga Duri 3 No. 18, RT 012, RW 005, Kel. Lahundape, Kec. Kendari Barat, Kota Kendari, Sulawesi Tenggara</v>
      </c>
      <c r="L1232" s="36"/>
      <c r="M1232" s="36"/>
      <c r="N1232" s="36"/>
      <c r="O1232" s="36"/>
      <c r="P1232" s="36"/>
      <c r="Q1232" s="36"/>
      <c r="R1232" s="36" t="str">
        <f>IFERROR(__xludf.DUMMYFUNCTION("""COMPUTED_VALUE"""),"K")</f>
        <v>K</v>
      </c>
      <c r="S1232" s="39"/>
    </row>
    <row r="1233">
      <c r="B1233" s="36" t="str">
        <f>IFERROR(__xludf.DUMMYFUNCTION("""COMPUTED_VALUE"""),"Pengelolaan Administrasi Perkantoraan")</f>
        <v>Pengelolaan Administrasi Perkantoraan</v>
      </c>
      <c r="C1233" s="36"/>
      <c r="D1233" s="36"/>
      <c r="E1233" s="36"/>
      <c r="F1233" s="36" t="str">
        <f>IFERROR(__xludf.DUMMYFUNCTION("""COMPUTED_VALUE"""),"Sajel")</f>
        <v>Sajel</v>
      </c>
      <c r="G1233" s="36" t="str">
        <f>IFERROR(__xludf.DUMMYFUNCTION("""COMPUTED_VALUE"""),"7404116807030002")</f>
        <v>7404116807030002</v>
      </c>
      <c r="H1233" s="36"/>
      <c r="I1233" s="36"/>
      <c r="J1233" s="36" t="str">
        <f>IFERROR(__xludf.DUMMYFUNCTION("""COMPUTED_VALUE"""),"LAKI-LAKI")</f>
        <v>LAKI-LAKI</v>
      </c>
      <c r="K1233" s="36" t="str">
        <f>IFERROR(__xludf.DUMMYFUNCTION("""COMPUTED_VALUE"""),"Kel. Awainulu, Kecamatan Pasarwajo, Kabupaten Buton")</f>
        <v>Kel. Awainulu, Kecamatan Pasarwajo, Kabupaten Buton</v>
      </c>
      <c r="L1233" s="36"/>
      <c r="M1233" s="36"/>
      <c r="N1233" s="36"/>
      <c r="O1233" s="36"/>
      <c r="P1233" s="36"/>
      <c r="Q1233" s="36"/>
      <c r="R1233" s="36" t="str">
        <f>IFERROR(__xludf.DUMMYFUNCTION("""COMPUTED_VALUE"""),"K")</f>
        <v>K</v>
      </c>
      <c r="S1233" s="39"/>
    </row>
    <row r="1234">
      <c r="B1234" s="36" t="str">
        <f>IFERROR(__xludf.DUMMYFUNCTION("""COMPUTED_VALUE"""),"Pengelolaan Administrasi Perkantoraan")</f>
        <v>Pengelolaan Administrasi Perkantoraan</v>
      </c>
      <c r="C1234" s="36"/>
      <c r="D1234" s="36"/>
      <c r="E1234" s="36"/>
      <c r="F1234" s="36" t="str">
        <f>IFERROR(__xludf.DUMMYFUNCTION("""COMPUTED_VALUE"""),"La Ode Muhammad Albar")</f>
        <v>La Ode Muhammad Albar</v>
      </c>
      <c r="G1234" s="36" t="str">
        <f>IFERROR(__xludf.DUMMYFUNCTION("""COMPUTED_VALUE"""),"7403160305030001")</f>
        <v>7403160305030001</v>
      </c>
      <c r="H1234" s="36"/>
      <c r="I1234" s="36"/>
      <c r="J1234" s="36" t="str">
        <f>IFERROR(__xludf.DUMMYFUNCTION("""COMPUTED_VALUE"""),"laodemuhammadalbar3@gmail.com")</f>
        <v>laodemuhammadalbar3@gmail.com</v>
      </c>
      <c r="K1234" s="36" t="str">
        <f>IFERROR(__xludf.DUMMYFUNCTION("""COMPUTED_VALUE"""),"Desa Waulai, Kecamatan Barangka, Kabupaten Muna Barat")</f>
        <v>Desa Waulai, Kecamatan Barangka, Kabupaten Muna Barat</v>
      </c>
      <c r="L1234" s="36"/>
      <c r="M1234" s="36"/>
      <c r="N1234" s="36"/>
      <c r="O1234" s="36"/>
      <c r="P1234" s="36"/>
      <c r="Q1234" s="36"/>
      <c r="R1234" s="36" t="str">
        <f>IFERROR(__xludf.DUMMYFUNCTION("""COMPUTED_VALUE"""),"K")</f>
        <v>K</v>
      </c>
      <c r="S1234" s="39"/>
    </row>
    <row r="1235">
      <c r="B1235" s="36" t="str">
        <f>IFERROR(__xludf.DUMMYFUNCTION("""COMPUTED_VALUE"""),"Analis Data (Data Analyst)")</f>
        <v>Analis Data (Data Analyst)</v>
      </c>
      <c r="C1235" s="36"/>
      <c r="D1235" s="36"/>
      <c r="E1235" s="36"/>
      <c r="F1235" s="36" t="str">
        <f>IFERROR(__xludf.DUMMYFUNCTION("""COMPUTED_VALUE"""),"Indah Sahara")</f>
        <v>Indah Sahara</v>
      </c>
      <c r="G1235" s="36" t="str">
        <f>IFERROR(__xludf.DUMMYFUNCTION("""COMPUTED_VALUE"""),"7408016503030001")</f>
        <v>7408016503030001</v>
      </c>
      <c r="H1235" s="36"/>
      <c r="I1235" s="36"/>
      <c r="J1235" s="36" t="str">
        <f>IFERROR(__xludf.DUMMYFUNCTION("""COMPUTED_VALUE"""),"PEREMPUAN")</f>
        <v>PEREMPUAN</v>
      </c>
      <c r="K1235" s="36" t="str">
        <f>IFERROR(__xludf.DUMMYFUNCTION("""COMPUTED_VALUE"""),"Jl. Tomagellang, Kel. Lasusua, Kec. Lasusua")</f>
        <v>Jl. Tomagellang, Kel. Lasusua, Kec. Lasusua</v>
      </c>
      <c r="L1235" s="36"/>
      <c r="M1235" s="36"/>
      <c r="N1235" s="36"/>
      <c r="O1235" s="36"/>
      <c r="P1235" s="36"/>
      <c r="Q1235" s="36"/>
      <c r="R1235" s="36" t="str">
        <f>IFERROR(__xludf.DUMMYFUNCTION("""COMPUTED_VALUE"""),"K")</f>
        <v>K</v>
      </c>
      <c r="S1235" s="39"/>
    </row>
    <row r="1236">
      <c r="B1236" s="36" t="str">
        <f>IFERROR(__xludf.DUMMYFUNCTION("""COMPUTED_VALUE"""),"Analis Data (Data Analyst)")</f>
        <v>Analis Data (Data Analyst)</v>
      </c>
      <c r="C1236" s="36"/>
      <c r="D1236" s="36"/>
      <c r="E1236" s="36"/>
      <c r="F1236" s="36" t="str">
        <f>IFERROR(__xludf.DUMMYFUNCTION("""COMPUTED_VALUE"""),"Yuzni Oktavianti")</f>
        <v>Yuzni Oktavianti</v>
      </c>
      <c r="G1236" s="36" t="str">
        <f>IFERROR(__xludf.DUMMYFUNCTION("""COMPUTED_VALUE"""),"7403194110040001")</f>
        <v>7403194110040001</v>
      </c>
      <c r="H1236" s="36"/>
      <c r="I1236" s="36"/>
      <c r="J1236" s="36" t="str">
        <f>IFERROR(__xludf.DUMMYFUNCTION("""COMPUTED_VALUE"""),"PEREMPUAN")</f>
        <v>PEREMPUAN</v>
      </c>
      <c r="K1236" s="36" t="str">
        <f>IFERROR(__xludf.DUMMYFUNCTION("""COMPUTED_VALUE"""),"Kel. Dana, Kec. Watopute, Kab. Muna")</f>
        <v>Kel. Dana, Kec. Watopute, Kab. Muna</v>
      </c>
      <c r="L1236" s="36"/>
      <c r="M1236" s="36"/>
      <c r="N1236" s="36"/>
      <c r="O1236" s="36"/>
      <c r="P1236" s="36"/>
      <c r="Q1236" s="36"/>
      <c r="R1236" s="36" t="str">
        <f>IFERROR(__xludf.DUMMYFUNCTION("""COMPUTED_VALUE"""),"K")</f>
        <v>K</v>
      </c>
      <c r="S1236" s="39"/>
    </row>
    <row r="1237">
      <c r="B1237" s="36" t="str">
        <f>IFERROR(__xludf.DUMMYFUNCTION("""COMPUTED_VALUE"""),"Analis Data (Data Analyst)")</f>
        <v>Analis Data (Data Analyst)</v>
      </c>
      <c r="C1237" s="36"/>
      <c r="D1237" s="36"/>
      <c r="E1237" s="36"/>
      <c r="F1237" s="36" t="str">
        <f>IFERROR(__xludf.DUMMYFUNCTION("""COMPUTED_VALUE"""),"MEI IMELIA ")</f>
        <v>MEI IMELIA </v>
      </c>
      <c r="G1237" s="36" t="str">
        <f>IFERROR(__xludf.DUMMYFUNCTION("""COMPUTED_VALUE"""),"7472044305040001")</f>
        <v>7472044305040001</v>
      </c>
      <c r="H1237" s="36"/>
      <c r="I1237" s="36"/>
      <c r="J1237" s="36" t="str">
        <f>IFERROR(__xludf.DUMMYFUNCTION("""COMPUTED_VALUE"""),"PEREMPUAN")</f>
        <v>PEREMPUAN</v>
      </c>
      <c r="K1237" s="36" t="str">
        <f>IFERROR(__xludf.DUMMYFUNCTION("""COMPUTED_VALUE"""),"Lingkungan Topa, Kelurahan Lowu-Lowu, Kecamatan Lea-Lea, Kota Baubau")</f>
        <v>Lingkungan Topa, Kelurahan Lowu-Lowu, Kecamatan Lea-Lea, Kota Baubau</v>
      </c>
      <c r="L1237" s="36"/>
      <c r="M1237" s="36"/>
      <c r="N1237" s="36"/>
      <c r="O1237" s="36"/>
      <c r="P1237" s="36"/>
      <c r="Q1237" s="36"/>
      <c r="R1237" s="36" t="str">
        <f>IFERROR(__xludf.DUMMYFUNCTION("""COMPUTED_VALUE"""),"K")</f>
        <v>K</v>
      </c>
      <c r="S1237" s="39"/>
    </row>
    <row r="1238">
      <c r="B1238" s="36" t="str">
        <f>IFERROR(__xludf.DUMMYFUNCTION("""COMPUTED_VALUE"""),"Analis Data (Data Analyst)")</f>
        <v>Analis Data (Data Analyst)</v>
      </c>
      <c r="C1238" s="36"/>
      <c r="D1238" s="36"/>
      <c r="E1238" s="36"/>
      <c r="F1238" s="36" t="str">
        <f>IFERROR(__xludf.DUMMYFUNCTION("""COMPUTED_VALUE"""),"NURUL HAYYU FADILLAH")</f>
        <v>NURUL HAYYU FADILLAH</v>
      </c>
      <c r="G1238" s="36" t="str">
        <f>IFERROR(__xludf.DUMMYFUNCTION("""COMPUTED_VALUE"""),"7472066506040002")</f>
        <v>7472066506040002</v>
      </c>
      <c r="H1238" s="36"/>
      <c r="I1238" s="36"/>
      <c r="J1238" s="36" t="str">
        <f>IFERROR(__xludf.DUMMYFUNCTION("""COMPUTED_VALUE"""),"PEREMPUAN")</f>
        <v>PEREMPUAN</v>
      </c>
      <c r="K1238" s="36" t="str">
        <f>IFERROR(__xludf.DUMMYFUNCTION("""COMPUTED_VALUE"""),"JL. BETOAMBARI, KEL. BONE-BONE, KEC. BATUPOARO")</f>
        <v>JL. BETOAMBARI, KEL. BONE-BONE, KEC. BATUPOARO</v>
      </c>
      <c r="L1238" s="36"/>
      <c r="M1238" s="36"/>
      <c r="N1238" s="36"/>
      <c r="O1238" s="36"/>
      <c r="P1238" s="36"/>
      <c r="Q1238" s="36"/>
      <c r="R1238" s="36" t="str">
        <f>IFERROR(__xludf.DUMMYFUNCTION("""COMPUTED_VALUE"""),"K")</f>
        <v>K</v>
      </c>
      <c r="S1238" s="39"/>
    </row>
    <row r="1239">
      <c r="B1239" s="36" t="str">
        <f>IFERROR(__xludf.DUMMYFUNCTION("""COMPUTED_VALUE"""),"Analis Data (Data Analyst)")</f>
        <v>Analis Data (Data Analyst)</v>
      </c>
      <c r="C1239" s="36"/>
      <c r="D1239" s="36"/>
      <c r="E1239" s="36"/>
      <c r="F1239" s="36" t="str">
        <f>IFERROR(__xludf.DUMMYFUNCTION("""COMPUTED_VALUE"""),"Sherina Afrisya")</f>
        <v>Sherina Afrisya</v>
      </c>
      <c r="G1239" s="36" t="str">
        <f>IFERROR(__xludf.DUMMYFUNCTION("""COMPUTED_VALUE"""),"7405025706030003")</f>
        <v>7405025706030003</v>
      </c>
      <c r="H1239" s="36"/>
      <c r="I1239" s="36"/>
      <c r="J1239" s="36" t="str">
        <f>IFERROR(__xludf.DUMMYFUNCTION("""COMPUTED_VALUE"""),"PEREMPUAN")</f>
        <v>PEREMPUAN</v>
      </c>
      <c r="K1239" s="36" t="str">
        <f>IFERROR(__xludf.DUMMYFUNCTION("""COMPUTED_VALUE"""),"Jln. Motaha - Lambuya, Desa Motaha")</f>
        <v>Jln. Motaha - Lambuya, Desa Motaha</v>
      </c>
      <c r="L1239" s="36"/>
      <c r="M1239" s="36"/>
      <c r="N1239" s="36"/>
      <c r="O1239" s="36"/>
      <c r="P1239" s="36"/>
      <c r="Q1239" s="36"/>
      <c r="R1239" s="36" t="str">
        <f>IFERROR(__xludf.DUMMYFUNCTION("""COMPUTED_VALUE"""),"K")</f>
        <v>K</v>
      </c>
      <c r="S1239" s="39"/>
    </row>
    <row r="1240">
      <c r="B1240" s="36" t="str">
        <f>IFERROR(__xludf.DUMMYFUNCTION("""COMPUTED_VALUE"""),"Analis Data (Data Analyst)")</f>
        <v>Analis Data (Data Analyst)</v>
      </c>
      <c r="C1240" s="36"/>
      <c r="D1240" s="36"/>
      <c r="E1240" s="36"/>
      <c r="F1240" s="36" t="str">
        <f>IFERROR(__xludf.DUMMYFUNCTION("""COMPUTED_VALUE"""),"FIRDA")</f>
        <v>FIRDA</v>
      </c>
      <c r="G1240" s="36" t="str">
        <f>IFERROR(__xludf.DUMMYFUNCTION("""COMPUTED_VALUE"""),"7402045101040001")</f>
        <v>7402045101040001</v>
      </c>
      <c r="H1240" s="36"/>
      <c r="I1240" s="36"/>
      <c r="J1240" s="36" t="str">
        <f>IFERROR(__xludf.DUMMYFUNCTION("""COMPUTED_VALUE"""),"PEREMPUAN")</f>
        <v>PEREMPUAN</v>
      </c>
      <c r="K1240" s="36" t="str">
        <f>IFERROR(__xludf.DUMMYFUNCTION("""COMPUTED_VALUE"""),"Desa Lalonggotomi, Kec. Pondidaha, Kab. Konawe")</f>
        <v>Desa Lalonggotomi, Kec. Pondidaha, Kab. Konawe</v>
      </c>
      <c r="L1240" s="36"/>
      <c r="M1240" s="36"/>
      <c r="N1240" s="36"/>
      <c r="O1240" s="36"/>
      <c r="P1240" s="36"/>
      <c r="Q1240" s="36"/>
      <c r="R1240" s="36" t="str">
        <f>IFERROR(__xludf.DUMMYFUNCTION("""COMPUTED_VALUE"""),"K")</f>
        <v>K</v>
      </c>
      <c r="S1240" s="39"/>
    </row>
    <row r="1241">
      <c r="B1241" s="36" t="str">
        <f>IFERROR(__xludf.DUMMYFUNCTION("""COMPUTED_VALUE"""),"Petugas Keselematan dan Kesehatan Kerja")</f>
        <v>Petugas Keselematan dan Kesehatan Kerja</v>
      </c>
      <c r="C1241" s="36"/>
      <c r="D1241" s="36"/>
      <c r="E1241" s="36"/>
      <c r="F1241" s="36" t="str">
        <f>IFERROR(__xludf.DUMMYFUNCTION("""COMPUTED_VALUE"""),"ANDRIANTO TORE")</f>
        <v>ANDRIANTO TORE</v>
      </c>
      <c r="G1241" s="36" t="str">
        <f>IFERROR(__xludf.DUMMYFUNCTION("""COMPUTED_VALUE"""),"7317040406020001")</f>
        <v>7317040406020001</v>
      </c>
      <c r="H1241" s="36"/>
      <c r="I1241" s="36"/>
      <c r="J1241" s="36" t="str">
        <f>IFERROR(__xludf.DUMMYFUNCTION("""COMPUTED_VALUE"""),"LAKI-LAKI")</f>
        <v>LAKI-LAKI</v>
      </c>
      <c r="K1241" s="36" t="str">
        <f>IFERROR(__xludf.DUMMYFUNCTION("""COMPUTED_VALUE"""),"Dsn Mappolo, RT/RW 002/005, Dsa Sampa, Kec. Bajo, Kab. Luwu, Prov. Sulawesi Selatan")</f>
        <v>Dsn Mappolo, RT/RW 002/005, Dsa Sampa, Kec. Bajo, Kab. Luwu, Prov. Sulawesi Selatan</v>
      </c>
      <c r="L1241" s="36"/>
      <c r="M1241" s="36"/>
      <c r="N1241" s="36"/>
      <c r="O1241" s="36"/>
      <c r="P1241" s="36"/>
      <c r="Q1241" s="36"/>
      <c r="R1241" s="36" t="str">
        <f>IFERROR(__xludf.DUMMYFUNCTION("""COMPUTED_VALUE"""),"K")</f>
        <v>K</v>
      </c>
      <c r="S1241" s="39"/>
    </row>
    <row r="1242">
      <c r="B1242" s="36" t="str">
        <f>IFERROR(__xludf.DUMMYFUNCTION("""COMPUTED_VALUE"""),"Petugas Keselematan dan Kesehatan Kerja")</f>
        <v>Petugas Keselematan dan Kesehatan Kerja</v>
      </c>
      <c r="C1242" s="36"/>
      <c r="D1242" s="36"/>
      <c r="E1242" s="36"/>
      <c r="F1242" s="36" t="str">
        <f>IFERROR(__xludf.DUMMYFUNCTION("""COMPUTED_VALUE"""),"elfira ayu")</f>
        <v>elfira ayu</v>
      </c>
      <c r="G1242" s="36" t="str">
        <f>IFERROR(__xludf.DUMMYFUNCTION("""COMPUTED_VALUE"""),"7404054210020003")</f>
        <v>7404054210020003</v>
      </c>
      <c r="H1242" s="36"/>
      <c r="I1242" s="36"/>
      <c r="J1242" s="36" t="str">
        <f>IFERROR(__xludf.DUMMYFUNCTION("""COMPUTED_VALUE"""),"PEREMPUAN")</f>
        <v>PEREMPUAN</v>
      </c>
      <c r="K1242" s="36" t="str">
        <f>IFERROR(__xludf.DUMMYFUNCTION("""COMPUTED_VALUE"""),"desa kanapa-napa kecamatan mawasangka kabupaten buton tengah ")</f>
        <v>desa kanapa-napa kecamatan mawasangka kabupaten buton tengah </v>
      </c>
      <c r="L1242" s="36"/>
      <c r="M1242" s="36"/>
      <c r="N1242" s="36"/>
      <c r="O1242" s="36"/>
      <c r="P1242" s="36"/>
      <c r="Q1242" s="36"/>
      <c r="R1242" s="36" t="str">
        <f>IFERROR(__xludf.DUMMYFUNCTION("""COMPUTED_VALUE"""),"K")</f>
        <v>K</v>
      </c>
      <c r="S1242" s="39"/>
    </row>
    <row r="1243">
      <c r="B1243" s="36" t="str">
        <f>IFERROR(__xludf.DUMMYFUNCTION("""COMPUTED_VALUE"""),"Petugas Keselematan dan Kesehatan Kerja")</f>
        <v>Petugas Keselematan dan Kesehatan Kerja</v>
      </c>
      <c r="C1243" s="36"/>
      <c r="D1243" s="36"/>
      <c r="E1243" s="36"/>
      <c r="F1243" s="36" t="str">
        <f>IFERROR(__xludf.DUMMYFUNCTION("""COMPUTED_VALUE"""),"Ahmad Ismail")</f>
        <v>Ahmad Ismail</v>
      </c>
      <c r="G1243" s="36" t="str">
        <f>IFERROR(__xludf.DUMMYFUNCTION("""COMPUTED_VALUE"""),"7408062805020002")</f>
        <v>7408062805020002</v>
      </c>
      <c r="H1243" s="36"/>
      <c r="I1243" s="36"/>
      <c r="J1243" s="36" t="str">
        <f>IFERROR(__xludf.DUMMYFUNCTION("""COMPUTED_VALUE"""),"LAKI-LAKI")</f>
        <v>LAKI-LAKI</v>
      </c>
      <c r="K1243" s="36" t="str">
        <f>IFERROR(__xludf.DUMMYFUNCTION("""COMPUTED_VALUE"""),"Desa Mataiwoi, Kecamatan Ngapa, Kabupaten Kolaka Utara.")</f>
        <v>Desa Mataiwoi, Kecamatan Ngapa, Kabupaten Kolaka Utara.</v>
      </c>
      <c r="L1243" s="36"/>
      <c r="M1243" s="36"/>
      <c r="N1243" s="36"/>
      <c r="O1243" s="36"/>
      <c r="P1243" s="36"/>
      <c r="Q1243" s="36"/>
      <c r="R1243" s="36" t="str">
        <f>IFERROR(__xludf.DUMMYFUNCTION("""COMPUTED_VALUE"""),"K")</f>
        <v>K</v>
      </c>
      <c r="S1243" s="39"/>
    </row>
    <row r="1244">
      <c r="B1244" s="36" t="str">
        <f>IFERROR(__xludf.DUMMYFUNCTION("""COMPUTED_VALUE"""),"Petugas Keselematan dan Kesehatan Kerja")</f>
        <v>Petugas Keselematan dan Kesehatan Kerja</v>
      </c>
      <c r="C1244" s="36"/>
      <c r="D1244" s="36"/>
      <c r="E1244" s="36"/>
      <c r="F1244" s="36" t="str">
        <f>IFERROR(__xludf.DUMMYFUNCTION("""COMPUTED_VALUE"""),"TETA DWI KUSUMA")</f>
        <v>TETA DWI KUSUMA</v>
      </c>
      <c r="G1244" s="36" t="str">
        <f>IFERROR(__xludf.DUMMYFUNCTION("""COMPUTED_VALUE"""),"7471103003020001")</f>
        <v>7471103003020001</v>
      </c>
      <c r="H1244" s="36"/>
      <c r="I1244" s="36"/>
      <c r="J1244" s="36" t="str">
        <f>IFERROR(__xludf.DUMMYFUNCTION("""COMPUTED_VALUE"""),"LAKI-LAKI")</f>
        <v>LAKI-LAKI</v>
      </c>
      <c r="K1244" s="36" t="str">
        <f>IFERROR(__xludf.DUMMYFUNCTION("""COMPUTED_VALUE"""),"Jln orinunggu lrg btn medibrata")</f>
        <v>Jln orinunggu lrg btn medibrata</v>
      </c>
      <c r="L1244" s="36"/>
      <c r="M1244" s="36"/>
      <c r="N1244" s="36"/>
      <c r="O1244" s="36"/>
      <c r="P1244" s="36"/>
      <c r="Q1244" s="36"/>
      <c r="R1244" s="36" t="str">
        <f>IFERROR(__xludf.DUMMYFUNCTION("""COMPUTED_VALUE"""),"BK")</f>
        <v>BK</v>
      </c>
      <c r="S1244" s="39"/>
    </row>
    <row r="1245">
      <c r="B1245" s="36" t="str">
        <f>IFERROR(__xludf.DUMMYFUNCTION("""COMPUTED_VALUE"""),"Petugas Keselematan dan Kesehatan Kerja")</f>
        <v>Petugas Keselematan dan Kesehatan Kerja</v>
      </c>
      <c r="C1245" s="36"/>
      <c r="D1245" s="36"/>
      <c r="E1245" s="36"/>
      <c r="F1245" s="36" t="str">
        <f>IFERROR(__xludf.DUMMYFUNCTION("""COMPUTED_VALUE"""),"Egisal")</f>
        <v>Egisal</v>
      </c>
      <c r="G1245" s="36" t="str">
        <f>IFERROR(__xludf.DUMMYFUNCTION("""COMPUTED_VALUE"""),"7405100407040001")</f>
        <v>7405100407040001</v>
      </c>
      <c r="H1245" s="36"/>
      <c r="I1245" s="36"/>
      <c r="J1245" s="36" t="str">
        <f>IFERROR(__xludf.DUMMYFUNCTION("""COMPUTED_VALUE"""),"LAKI-LAKI")</f>
        <v>LAKI-LAKI</v>
      </c>
      <c r="K1245" s="36" t="str">
        <f>IFERROR(__xludf.DUMMYFUNCTION("""COMPUTED_VALUE"""),"Amohola")</f>
        <v>Amohola</v>
      </c>
      <c r="L1245" s="36"/>
      <c r="M1245" s="36"/>
      <c r="N1245" s="36"/>
      <c r="O1245" s="36"/>
      <c r="P1245" s="36"/>
      <c r="Q1245" s="36"/>
      <c r="R1245" s="36" t="str">
        <f>IFERROR(__xludf.DUMMYFUNCTION("""COMPUTED_VALUE"""),"K")</f>
        <v>K</v>
      </c>
      <c r="S1245" s="39"/>
    </row>
    <row r="1246">
      <c r="B1246" s="36" t="str">
        <f>IFERROR(__xludf.DUMMYFUNCTION("""COMPUTED_VALUE"""),"Petugas Keselematan dan Kesehatan Kerja")</f>
        <v>Petugas Keselematan dan Kesehatan Kerja</v>
      </c>
      <c r="C1246" s="36"/>
      <c r="D1246" s="36"/>
      <c r="E1246" s="36"/>
      <c r="F1246" s="36" t="str">
        <f>IFERROR(__xludf.DUMMYFUNCTION("""COMPUTED_VALUE"""),"Mirnawati")</f>
        <v>Mirnawati</v>
      </c>
      <c r="G1246" s="36" t="str">
        <f>IFERROR(__xludf.DUMMYFUNCTION("""COMPUTED_VALUE"""),"7404224309990001")</f>
        <v>7404224309990001</v>
      </c>
      <c r="H1246" s="36"/>
      <c r="I1246" s="36"/>
      <c r="J1246" s="36" t="str">
        <f>IFERROR(__xludf.DUMMYFUNCTION("""COMPUTED_VALUE"""),"PEREMPUAN")</f>
        <v>PEREMPUAN</v>
      </c>
      <c r="K1246" s="36" t="str">
        <f>IFERROR(__xludf.DUMMYFUNCTION("""COMPUTED_VALUE"""),"Asri Mulya RT/RW 000, Desa Bukit Asri, Kec. Kapontori, Kab. Buton, SULAWESI TENGGARA")</f>
        <v>Asri Mulya RT/RW 000, Desa Bukit Asri, Kec. Kapontori, Kab. Buton, SULAWESI TENGGARA</v>
      </c>
      <c r="L1246" s="36"/>
      <c r="M1246" s="36"/>
      <c r="N1246" s="36"/>
      <c r="O1246" s="36"/>
      <c r="P1246" s="36"/>
      <c r="Q1246" s="36"/>
      <c r="R1246" s="36" t="str">
        <f>IFERROR(__xludf.DUMMYFUNCTION("""COMPUTED_VALUE"""),"BK")</f>
        <v>BK</v>
      </c>
      <c r="S1246" s="39"/>
    </row>
    <row r="1247">
      <c r="B1247" s="36" t="str">
        <f>IFERROR(__xludf.DUMMYFUNCTION("""COMPUTED_VALUE"""),"Pelayanan Pelanggan")</f>
        <v>Pelayanan Pelanggan</v>
      </c>
      <c r="C1247" s="36"/>
      <c r="D1247" s="36"/>
      <c r="E1247" s="36"/>
      <c r="F1247" s="36" t="str">
        <f>IFERROR(__xludf.DUMMYFUNCTION("""COMPUTED_VALUE"""),"Nursyifa Zahra")</f>
        <v>Nursyifa Zahra</v>
      </c>
      <c r="G1247" s="36" t="str">
        <f>IFERROR(__xludf.DUMMYFUNCTION("""COMPUTED_VALUE"""),"7406046903040001")</f>
        <v>7406046903040001</v>
      </c>
      <c r="H1247" s="36"/>
      <c r="I1247" s="36"/>
      <c r="J1247" s="36" t="str">
        <f>IFERROR(__xludf.DUMMYFUNCTION("""COMPUTED_VALUE"""),"PEREMPUAN")</f>
        <v>PEREMPUAN</v>
      </c>
      <c r="K1247" s="36" t="str">
        <f>IFERROR(__xludf.DUMMYFUNCTION("""COMPUTED_VALUE"""),"Jl balaikota III indah")</f>
        <v>Jl balaikota III indah</v>
      </c>
      <c r="L1247" s="36"/>
      <c r="M1247" s="36"/>
      <c r="N1247" s="36"/>
      <c r="O1247" s="36"/>
      <c r="P1247" s="36"/>
      <c r="Q1247" s="36"/>
      <c r="R1247" s="36" t="str">
        <f>IFERROR(__xludf.DUMMYFUNCTION("""COMPUTED_VALUE"""),"K")</f>
        <v>K</v>
      </c>
      <c r="S1247" s="39"/>
    </row>
    <row r="1248">
      <c r="B1248" s="36" t="str">
        <f>IFERROR(__xludf.DUMMYFUNCTION("""COMPUTED_VALUE"""),"Pelayanan Pelanggan")</f>
        <v>Pelayanan Pelanggan</v>
      </c>
      <c r="C1248" s="36"/>
      <c r="D1248" s="36"/>
      <c r="E1248" s="36"/>
      <c r="F1248" s="36" t="str">
        <f>IFERROR(__xludf.DUMMYFUNCTION("""COMPUTED_VALUE"""),"Fajri Al Ghifari")</f>
        <v>Fajri Al Ghifari</v>
      </c>
      <c r="G1248" s="36" t="str">
        <f>IFERROR(__xludf.DUMMYFUNCTION("""COMPUTED_VALUE"""),"7471082205030001")</f>
        <v>7471082205030001</v>
      </c>
      <c r="H1248" s="36"/>
      <c r="I1248" s="36"/>
      <c r="J1248" s="36" t="str">
        <f>IFERROR(__xludf.DUMMYFUNCTION("""COMPUTED_VALUE"""),"LAKI-LAKI")</f>
        <v>LAKI-LAKI</v>
      </c>
      <c r="K1248" s="36" t="str">
        <f>IFERROR(__xludf.DUMMYFUNCTION("""COMPUTED_VALUE"""),"Jl.Sorumba Lr.Kelapa Kuning No.20")</f>
        <v>Jl.Sorumba Lr.Kelapa Kuning No.20</v>
      </c>
      <c r="L1248" s="36"/>
      <c r="M1248" s="36"/>
      <c r="N1248" s="36"/>
      <c r="O1248" s="36"/>
      <c r="P1248" s="36"/>
      <c r="Q1248" s="36"/>
      <c r="R1248" s="36" t="str">
        <f>IFERROR(__xludf.DUMMYFUNCTION("""COMPUTED_VALUE"""),"K")</f>
        <v>K</v>
      </c>
      <c r="S1248" s="39"/>
    </row>
    <row r="1249">
      <c r="B1249" s="36" t="str">
        <f>IFERROR(__xludf.DUMMYFUNCTION("""COMPUTED_VALUE"""),"Asisten Pengembangan Web (Assistant Web Developer)")</f>
        <v>Asisten Pengembangan Web (Assistant Web Developer)</v>
      </c>
      <c r="C1249" s="36"/>
      <c r="D1249" s="36"/>
      <c r="E1249" s="36"/>
      <c r="F1249" s="36" t="str">
        <f>IFERROR(__xludf.DUMMYFUNCTION("""COMPUTED_VALUE"""),"Sitti May Akhir")</f>
        <v>Sitti May Akhir</v>
      </c>
      <c r="G1249" s="36" t="str">
        <f>IFERROR(__xludf.DUMMYFUNCTION("""COMPUTED_VALUE"""),"7471086205030001")</f>
        <v>7471086205030001</v>
      </c>
      <c r="H1249" s="36"/>
      <c r="I1249" s="36"/>
      <c r="J1249" s="36" t="str">
        <f>IFERROR(__xludf.DUMMYFUNCTION("""COMPUTED_VALUE"""),"PEREMPUAN")</f>
        <v>PEREMPUAN</v>
      </c>
      <c r="K1249" s="36" t="str">
        <f>IFERROR(__xludf.DUMMYFUNCTION("""COMPUTED_VALUE"""),"jalan rambutan")</f>
        <v>jalan rambutan</v>
      </c>
      <c r="L1249" s="36"/>
      <c r="M1249" s="36"/>
      <c r="N1249" s="36"/>
      <c r="O1249" s="36"/>
      <c r="P1249" s="36"/>
      <c r="Q1249" s="36"/>
      <c r="R1249" s="36" t="str">
        <f>IFERROR(__xludf.DUMMYFUNCTION("""COMPUTED_VALUE"""),"K")</f>
        <v>K</v>
      </c>
      <c r="S1249" s="39"/>
    </row>
    <row r="1250">
      <c r="B1250" s="36" t="str">
        <f>IFERROR(__xludf.DUMMYFUNCTION("""COMPUTED_VALUE"""),"Petugas Keselematan dan Kesehatan Kerja")</f>
        <v>Petugas Keselematan dan Kesehatan Kerja</v>
      </c>
      <c r="C1250" s="36"/>
      <c r="D1250" s="36"/>
      <c r="E1250" s="36"/>
      <c r="F1250" s="36" t="str">
        <f>IFERROR(__xludf.DUMMYFUNCTION("""COMPUTED_VALUE"""),"Aldi Tri Setiawan Tasrif ")</f>
        <v>Aldi Tri Setiawan Tasrif </v>
      </c>
      <c r="G1250" s="36" t="str">
        <f>IFERROR(__xludf.DUMMYFUNCTION("""COMPUTED_VALUE"""),"7404080305030001")</f>
        <v>7404080305030001</v>
      </c>
      <c r="H1250" s="36"/>
      <c r="I1250" s="36"/>
      <c r="J1250" s="36" t="str">
        <f>IFERROR(__xludf.DUMMYFUNCTION("""COMPUTED_VALUE"""),"LAKI-LAKI")</f>
        <v>LAKI-LAKI</v>
      </c>
      <c r="K1250" s="36" t="str">
        <f>IFERROR(__xludf.DUMMYFUNCTION("""COMPUTED_VALUE"""),"Kel. Watulea, Kec. Gu, Kab. Buton Tengah, Sulawesi Tenggara ")</f>
        <v>Kel. Watulea, Kec. Gu, Kab. Buton Tengah, Sulawesi Tenggara </v>
      </c>
      <c r="L1250" s="36"/>
      <c r="M1250" s="36"/>
      <c r="N1250" s="36"/>
      <c r="O1250" s="36"/>
      <c r="P1250" s="36"/>
      <c r="Q1250" s="36"/>
      <c r="R1250" s="36" t="str">
        <f>IFERROR(__xludf.DUMMYFUNCTION("""COMPUTED_VALUE"""),"K")</f>
        <v>K</v>
      </c>
      <c r="S1250" s="39"/>
    </row>
    <row r="1251">
      <c r="B1251" s="36" t="str">
        <f>IFERROR(__xludf.DUMMYFUNCTION("""COMPUTED_VALUE"""),"Petugas Keselematan dan Kesehatan Kerja")</f>
        <v>Petugas Keselematan dan Kesehatan Kerja</v>
      </c>
      <c r="C1251" s="36"/>
      <c r="D1251" s="36"/>
      <c r="E1251" s="36"/>
      <c r="F1251" s="36" t="str">
        <f>IFERROR(__xludf.DUMMYFUNCTION("""COMPUTED_VALUE"""),"Mustari")</f>
        <v>Mustari</v>
      </c>
      <c r="G1251" s="36" t="str">
        <f>IFERROR(__xludf.DUMMYFUNCTION("""COMPUTED_VALUE"""),"7407053001040003")</f>
        <v>7407053001040003</v>
      </c>
      <c r="H1251" s="36"/>
      <c r="I1251" s="36"/>
      <c r="J1251" s="36" t="str">
        <f>IFERROR(__xludf.DUMMYFUNCTION("""COMPUTED_VALUE"""),"LAKI-LAKI")</f>
        <v>LAKI-LAKI</v>
      </c>
      <c r="K1251" s="36" t="str">
        <f>IFERROR(__xludf.DUMMYFUNCTION("""COMPUTED_VALUE"""),"Mina bahari, desa mola nelayan bakti, kec. Wangi-wangi selatan")</f>
        <v>Mina bahari, desa mola nelayan bakti, kec. Wangi-wangi selatan</v>
      </c>
      <c r="L1251" s="36"/>
      <c r="M1251" s="36"/>
      <c r="N1251" s="36"/>
      <c r="O1251" s="36"/>
      <c r="P1251" s="36"/>
      <c r="Q1251" s="36"/>
      <c r="R1251" s="36" t="str">
        <f>IFERROR(__xludf.DUMMYFUNCTION("""COMPUTED_VALUE"""),"BK")</f>
        <v>BK</v>
      </c>
      <c r="S1251" s="39"/>
    </row>
    <row r="1252">
      <c r="B1252" s="36" t="str">
        <f>IFERROR(__xludf.DUMMYFUNCTION("""COMPUTED_VALUE"""),"Petugas Keselematan dan Kesehatan Kerja")</f>
        <v>Petugas Keselematan dan Kesehatan Kerja</v>
      </c>
      <c r="C1252" s="36"/>
      <c r="D1252" s="36"/>
      <c r="E1252" s="36"/>
      <c r="F1252" s="36" t="str">
        <f>IFERROR(__xludf.DUMMYFUNCTION("""COMPUTED_VALUE"""),"Herlin")</f>
        <v>Herlin</v>
      </c>
      <c r="G1252" s="36" t="str">
        <f>IFERROR(__xludf.DUMMYFUNCTION("""COMPUTED_VALUE"""),"7404231609030001")</f>
        <v>7404231609030001</v>
      </c>
      <c r="H1252" s="36"/>
      <c r="I1252" s="36"/>
      <c r="J1252" s="36" t="str">
        <f>IFERROR(__xludf.DUMMYFUNCTION("""COMPUTED_VALUE"""),"PEREMPUAN")</f>
        <v>PEREMPUAN</v>
      </c>
      <c r="K1252" s="36" t="str">
        <f>IFERROR(__xludf.DUMMYFUNCTION("""COMPUTED_VALUE""")," Jl. Jend. Ahmad Yani, Anawai, Kec. Wua-Wua, Kota Kendari, Sulawesi Tenggara")</f>
        <v> Jl. Jend. Ahmad Yani, Anawai, Kec. Wua-Wua, Kota Kendari, Sulawesi Tenggara</v>
      </c>
      <c r="L1252" s="36"/>
      <c r="M1252" s="36"/>
      <c r="N1252" s="36"/>
      <c r="O1252" s="36"/>
      <c r="P1252" s="36"/>
      <c r="Q1252" s="36"/>
      <c r="R1252" s="36" t="str">
        <f>IFERROR(__xludf.DUMMYFUNCTION("""COMPUTED_VALUE"""),"K")</f>
        <v>K</v>
      </c>
      <c r="S1252" s="39"/>
    </row>
    <row r="1253">
      <c r="B1253" s="36" t="str">
        <f>IFERROR(__xludf.DUMMYFUNCTION("""COMPUTED_VALUE"""),"Pengelolaan Administrasi Perkantoraan")</f>
        <v>Pengelolaan Administrasi Perkantoraan</v>
      </c>
      <c r="C1253" s="36"/>
      <c r="D1253" s="36"/>
      <c r="E1253" s="36"/>
      <c r="F1253" s="36" t="str">
        <f>IFERROR(__xludf.DUMMYFUNCTION("""COMPUTED_VALUE"""),"DEA AZHARI")</f>
        <v>DEA AZHARI</v>
      </c>
      <c r="G1253" s="36" t="str">
        <f>IFERROR(__xludf.DUMMYFUNCTION("""COMPUTED_VALUE"""),"7405014612030002")</f>
        <v>7405014612030002</v>
      </c>
      <c r="H1253" s="36"/>
      <c r="I1253" s="36"/>
      <c r="J1253" s="36" t="str">
        <f>IFERROR(__xludf.DUMMYFUNCTION("""COMPUTED_VALUE"""),"PEREMPUAN")</f>
        <v>PEREMPUAN</v>
      </c>
      <c r="K1253" s="36" t="str">
        <f>IFERROR(__xludf.DUMMYFUNCTION("""COMPUTED_VALUE"""),"Desa Asingi Kecamatan Tinanggea")</f>
        <v>Desa Asingi Kecamatan Tinanggea</v>
      </c>
      <c r="L1253" s="36"/>
      <c r="M1253" s="36"/>
      <c r="N1253" s="36"/>
      <c r="O1253" s="36"/>
      <c r="P1253" s="36"/>
      <c r="Q1253" s="36"/>
      <c r="R1253" s="36" t="str">
        <f>IFERROR(__xludf.DUMMYFUNCTION("""COMPUTED_VALUE"""),"K")</f>
        <v>K</v>
      </c>
      <c r="S1253" s="39"/>
    </row>
    <row r="1254">
      <c r="B1254" s="36" t="str">
        <f>IFERROR(__xludf.DUMMYFUNCTION("""COMPUTED_VALUE"""),"Pengelolaan Administrasi Perkantoraan")</f>
        <v>Pengelolaan Administrasi Perkantoraan</v>
      </c>
      <c r="C1254" s="36"/>
      <c r="D1254" s="36"/>
      <c r="E1254" s="36"/>
      <c r="F1254" s="36" t="str">
        <f>IFERROR(__xludf.DUMMYFUNCTION("""COMPUTED_VALUE"""),"Hashimatul Zaria")</f>
        <v>Hashimatul Zaria</v>
      </c>
      <c r="G1254" s="36" t="str">
        <f>IFERROR(__xludf.DUMMYFUNCTION("""COMPUTED_VALUE"""),"7403226107030001")</f>
        <v>7403226107030001</v>
      </c>
      <c r="H1254" s="36"/>
      <c r="I1254" s="36"/>
      <c r="J1254" s="36" t="str">
        <f>IFERROR(__xludf.DUMMYFUNCTION("""COMPUTED_VALUE"""),"PEREMPUAN")</f>
        <v>PEREMPUAN</v>
      </c>
      <c r="K1254" s="36" t="str">
        <f>IFERROR(__xludf.DUMMYFUNCTION("""COMPUTED_VALUE"""),"Kelurahan Tombula")</f>
        <v>Kelurahan Tombula</v>
      </c>
      <c r="L1254" s="36"/>
      <c r="M1254" s="36"/>
      <c r="N1254" s="36"/>
      <c r="O1254" s="36"/>
      <c r="P1254" s="36"/>
      <c r="Q1254" s="36"/>
      <c r="R1254" s="36" t="str">
        <f>IFERROR(__xludf.DUMMYFUNCTION("""COMPUTED_VALUE"""),"K")</f>
        <v>K</v>
      </c>
      <c r="S1254" s="39"/>
    </row>
    <row r="1255">
      <c r="B1255" s="36" t="str">
        <f>IFERROR(__xludf.DUMMYFUNCTION("""COMPUTED_VALUE"""),"Pelayanan Pelanggan")</f>
        <v>Pelayanan Pelanggan</v>
      </c>
      <c r="C1255" s="36"/>
      <c r="D1255" s="36"/>
      <c r="E1255" s="36"/>
      <c r="F1255" s="36" t="str">
        <f>IFERROR(__xludf.DUMMYFUNCTION("""COMPUTED_VALUE"""),"Risna Ningsih Sardin ")</f>
        <v>Risna Ningsih Sardin </v>
      </c>
      <c r="G1255" s="36" t="str">
        <f>IFERROR(__xludf.DUMMYFUNCTION("""COMPUTED_VALUE"""),"7405016707030003")</f>
        <v>7405016707030003</v>
      </c>
      <c r="H1255" s="36"/>
      <c r="I1255" s="36"/>
      <c r="J1255" s="36" t="str">
        <f>IFERROR(__xludf.DUMMYFUNCTION("""COMPUTED_VALUE"""),"PEREMPUAN")</f>
        <v>PEREMPUAN</v>
      </c>
      <c r="K1255" s="36" t="str">
        <f>IFERROR(__xludf.DUMMYFUNCTION("""COMPUTED_VALUE"""),"Desa Lalonggasu, Kec. Tinanggea")</f>
        <v>Desa Lalonggasu, Kec. Tinanggea</v>
      </c>
      <c r="L1255" s="36"/>
      <c r="M1255" s="36"/>
      <c r="N1255" s="36"/>
      <c r="O1255" s="36"/>
      <c r="P1255" s="36"/>
      <c r="Q1255" s="36"/>
      <c r="R1255" s="36" t="str">
        <f>IFERROR(__xludf.DUMMYFUNCTION("""COMPUTED_VALUE"""),"K")</f>
        <v>K</v>
      </c>
      <c r="S1255" s="39"/>
    </row>
    <row r="1256">
      <c r="B1256" s="36" t="str">
        <f>IFERROR(__xludf.DUMMYFUNCTION("""COMPUTED_VALUE"""),"Asisten Pembuat Pakaian")</f>
        <v>Asisten Pembuat Pakaian</v>
      </c>
      <c r="C1256" s="36"/>
      <c r="D1256" s="36"/>
      <c r="E1256" s="36"/>
      <c r="F1256" s="36" t="str">
        <f>IFERROR(__xludf.DUMMYFUNCTION("""COMPUTED_VALUE"""),"CINTA RAHMAWATI")</f>
        <v>CINTA RAHMAWATI</v>
      </c>
      <c r="G1256" s="36" t="str">
        <f>IFERROR(__xludf.DUMMYFUNCTION("""COMPUTED_VALUE"""),"7405176905040001")</f>
        <v>7405176905040001</v>
      </c>
      <c r="H1256" s="36"/>
      <c r="I1256" s="36"/>
      <c r="J1256" s="36" t="str">
        <f>IFERROR(__xludf.DUMMYFUNCTION("""COMPUTED_VALUE"""),"PEREMPUAN")</f>
        <v>PEREMPUAN</v>
      </c>
      <c r="K1256" s="36" t="str">
        <f>IFERROR(__xludf.DUMMYFUNCTION("""COMPUTED_VALUE"""),"ANDUONOHU")</f>
        <v>ANDUONOHU</v>
      </c>
      <c r="L1256" s="36"/>
      <c r="M1256" s="36"/>
      <c r="N1256" s="36"/>
      <c r="O1256" s="36"/>
      <c r="P1256" s="36"/>
      <c r="Q1256" s="36"/>
      <c r="R1256" s="36" t="str">
        <f>IFERROR(__xludf.DUMMYFUNCTION("""COMPUTED_VALUE"""),"K")</f>
        <v>K</v>
      </c>
      <c r="S1256" s="39"/>
    </row>
    <row r="1257">
      <c r="B1257" s="36" t="str">
        <f>IFERROR(__xludf.DUMMYFUNCTION("""COMPUTED_VALUE"""),"Asisten Pembuat Pakaian")</f>
        <v>Asisten Pembuat Pakaian</v>
      </c>
      <c r="C1257" s="36"/>
      <c r="D1257" s="36"/>
      <c r="E1257" s="36"/>
      <c r="F1257" s="36" t="str">
        <f>IFERROR(__xludf.DUMMYFUNCTION("""COMPUTED_VALUE"""),"FARA DWI SURYANI")</f>
        <v>FARA DWI SURYANI</v>
      </c>
      <c r="G1257" s="36" t="str">
        <f>IFERROR(__xludf.DUMMYFUNCTION("""COMPUTED_VALUE"""),"7405174208080003")</f>
        <v>7405174208080003</v>
      </c>
      <c r="H1257" s="36"/>
      <c r="I1257" s="36"/>
      <c r="J1257" s="36" t="str">
        <f>IFERROR(__xludf.DUMMYFUNCTION("""COMPUTED_VALUE"""),"PEREMPUAN")</f>
        <v>PEREMPUAN</v>
      </c>
      <c r="K1257" s="36" t="str">
        <f>IFERROR(__xludf.DUMMYFUNCTION("""COMPUTED_VALUE"""),"DESA ANDOOLO UTAMA ")</f>
        <v>DESA ANDOOLO UTAMA </v>
      </c>
      <c r="L1257" s="36"/>
      <c r="M1257" s="36"/>
      <c r="N1257" s="36"/>
      <c r="O1257" s="36"/>
      <c r="P1257" s="36"/>
      <c r="Q1257" s="36"/>
      <c r="R1257" s="36" t="str">
        <f>IFERROR(__xludf.DUMMYFUNCTION("""COMPUTED_VALUE"""),"K")</f>
        <v>K</v>
      </c>
      <c r="S1257" s="39"/>
    </row>
    <row r="1258">
      <c r="B1258" s="36" t="str">
        <f>IFERROR(__xludf.DUMMYFUNCTION("""COMPUTED_VALUE"""),"Asisten Pembuat Pakaian")</f>
        <v>Asisten Pembuat Pakaian</v>
      </c>
      <c r="C1258" s="36"/>
      <c r="D1258" s="36"/>
      <c r="E1258" s="36"/>
      <c r="F1258" s="36" t="str">
        <f>IFERROR(__xludf.DUMMYFUNCTION("""COMPUTED_VALUE"""),"RIKI AFRIYANTI")</f>
        <v>RIKI AFRIYANTI</v>
      </c>
      <c r="G1258" s="36" t="str">
        <f>IFERROR(__xludf.DUMMYFUNCTION("""COMPUTED_VALUE"""),"7405151103000001 7405151103000001")</f>
        <v>7405151103000001 7405151103000001</v>
      </c>
      <c r="H1258" s="36"/>
      <c r="I1258" s="36"/>
      <c r="J1258" s="36" t="str">
        <f>IFERROR(__xludf.DUMMYFUNCTION("""COMPUTED_VALUE"""),"PEREMPUAN")</f>
        <v>PEREMPUAN</v>
      </c>
      <c r="K1258" s="36" t="str">
        <f>IFERROR(__xludf.DUMMYFUNCTION("""COMPUTED_VALUE"""),"DESA MATAIWOI,KEC MOWILA,KAB KONAWE SELATAN")</f>
        <v>DESA MATAIWOI,KEC MOWILA,KAB KONAWE SELATAN</v>
      </c>
      <c r="L1258" s="36"/>
      <c r="M1258" s="36"/>
      <c r="N1258" s="36"/>
      <c r="O1258" s="36"/>
      <c r="P1258" s="36"/>
      <c r="Q1258" s="36"/>
      <c r="R1258" s="36" t="str">
        <f>IFERROR(__xludf.DUMMYFUNCTION("""COMPUTED_VALUE"""),"BK")</f>
        <v>BK</v>
      </c>
      <c r="S1258" s="39"/>
    </row>
    <row r="1259">
      <c r="B1259" s="36" t="str">
        <f>IFERROR(__xludf.DUMMYFUNCTION("""COMPUTED_VALUE"""),"Asisten Pembuat Pakaian")</f>
        <v>Asisten Pembuat Pakaian</v>
      </c>
      <c r="C1259" s="36"/>
      <c r="D1259" s="36"/>
      <c r="E1259" s="36"/>
      <c r="F1259" s="36" t="str">
        <f>IFERROR(__xludf.DUMMYFUNCTION("""COMPUTED_VALUE"""),"SRI WAHYUNI")</f>
        <v>SRI WAHYUNI</v>
      </c>
      <c r="G1259" s="36" t="str">
        <f>IFERROR(__xludf.DUMMYFUNCTION("""COMPUTED_VALUE"""),"7405084308970001")</f>
        <v>7405084308970001</v>
      </c>
      <c r="H1259" s="36"/>
      <c r="I1259" s="36"/>
      <c r="J1259" s="36" t="str">
        <f>IFERROR(__xludf.DUMMYFUNCTION("""COMPUTED_VALUE"""),"PEREMPUAN")</f>
        <v>PEREMPUAN</v>
      </c>
      <c r="K1259" s="36" t="str">
        <f>IFERROR(__xludf.DUMMYFUNCTION("""COMPUTED_VALUE"""),"JL.HATI SUCI")</f>
        <v>JL.HATI SUCI</v>
      </c>
      <c r="L1259" s="36"/>
      <c r="M1259" s="36"/>
      <c r="N1259" s="36"/>
      <c r="O1259" s="36"/>
      <c r="P1259" s="36"/>
      <c r="Q1259" s="36"/>
      <c r="R1259" s="36" t="str">
        <f>IFERROR(__xludf.DUMMYFUNCTION("""COMPUTED_VALUE"""),"BK")</f>
        <v>BK</v>
      </c>
      <c r="S1259" s="39"/>
    </row>
    <row r="1260">
      <c r="B1260" s="36" t="str">
        <f>IFERROR(__xludf.DUMMYFUNCTION("""COMPUTED_VALUE"""),"Asisten Pembuat Pakaian")</f>
        <v>Asisten Pembuat Pakaian</v>
      </c>
      <c r="C1260" s="36"/>
      <c r="D1260" s="36"/>
      <c r="E1260" s="36"/>
      <c r="F1260" s="36" t="str">
        <f>IFERROR(__xludf.DUMMYFUNCTION("""COMPUTED_VALUE"""),"REVI ANDRIANI PUTRI ")</f>
        <v>REVI ANDRIANI PUTRI </v>
      </c>
      <c r="G1260" s="36" t="str">
        <f>IFERROR(__xludf.DUMMYFUNCTION("""COMPUTED_VALUE"""),"7405016709020001")</f>
        <v>7405016709020001</v>
      </c>
      <c r="H1260" s="36"/>
      <c r="I1260" s="36"/>
      <c r="J1260" s="36" t="str">
        <f>IFERROR(__xludf.DUMMYFUNCTION("""COMPUTED_VALUE"""),"PEREMPUAN")</f>
        <v>PEREMPUAN</v>
      </c>
      <c r="K1260" s="36" t="str">
        <f>IFERROR(__xludf.DUMMYFUNCTION("""COMPUTED_VALUE"""),"JL H BANAWULA SINAPOY, ANGGOEYA, POASIA ")</f>
        <v>JL H BANAWULA SINAPOY, ANGGOEYA, POASIA </v>
      </c>
      <c r="L1260" s="36"/>
      <c r="M1260" s="36"/>
      <c r="N1260" s="36"/>
      <c r="O1260" s="36"/>
      <c r="P1260" s="36"/>
      <c r="Q1260" s="36"/>
      <c r="R1260" s="36" t="str">
        <f>IFERROR(__xludf.DUMMYFUNCTION("""COMPUTED_VALUE"""),"K")</f>
        <v>K</v>
      </c>
      <c r="S1260" s="39"/>
    </row>
    <row r="1261">
      <c r="B1261" s="36" t="str">
        <f>IFERROR(__xludf.DUMMYFUNCTION("""COMPUTED_VALUE"""),"Asisten Pembuat Pakaian")</f>
        <v>Asisten Pembuat Pakaian</v>
      </c>
      <c r="C1261" s="36"/>
      <c r="D1261" s="36"/>
      <c r="E1261" s="36"/>
      <c r="F1261" s="36" t="str">
        <f>IFERROR(__xludf.DUMMYFUNCTION("""COMPUTED_VALUE"""),"SELA SILFIA")</f>
        <v>SELA SILFIA</v>
      </c>
      <c r="G1261" s="36" t="str">
        <f>IFERROR(__xludf.DUMMYFUNCTION("""COMPUTED_VALUE"""),"7405016004070001")</f>
        <v>7405016004070001</v>
      </c>
      <c r="H1261" s="36"/>
      <c r="I1261" s="36"/>
      <c r="J1261" s="36" t="str">
        <f>IFERROR(__xludf.DUMMYFUNCTION("""COMPUTED_VALUE"""),"PEREMPUAN")</f>
        <v>PEREMPUAN</v>
      </c>
      <c r="K1261" s="36" t="str">
        <f>IFERROR(__xludf.DUMMYFUNCTION("""COMPUTED_VALUE"""),"DESA WATUMELEWE, JALAN TENGGIRI")</f>
        <v>DESA WATUMELEWE, JALAN TENGGIRI</v>
      </c>
      <c r="L1261" s="36"/>
      <c r="M1261" s="36"/>
      <c r="N1261" s="36"/>
      <c r="O1261" s="36"/>
      <c r="P1261" s="36"/>
      <c r="Q1261" s="36"/>
      <c r="R1261" s="36" t="str">
        <f>IFERROR(__xludf.DUMMYFUNCTION("""COMPUTED_VALUE"""),"K")</f>
        <v>K</v>
      </c>
      <c r="S1261" s="39"/>
    </row>
    <row r="1262">
      <c r="B1262" s="36" t="str">
        <f>IFERROR(__xludf.DUMMYFUNCTION("""COMPUTED_VALUE"""),"Asisten Pembuat Pakaian")</f>
        <v>Asisten Pembuat Pakaian</v>
      </c>
      <c r="C1262" s="36"/>
      <c r="D1262" s="36"/>
      <c r="E1262" s="36"/>
      <c r="F1262" s="36" t="str">
        <f>IFERROR(__xludf.DUMMYFUNCTION("""COMPUTED_VALUE"""),"CHANTIKA")</f>
        <v>CHANTIKA</v>
      </c>
      <c r="G1262" s="36" t="str">
        <f>IFERROR(__xludf.DUMMYFUNCTION("""COMPUTED_VALUE"""),"7471036802080003")</f>
        <v>7471036802080003</v>
      </c>
      <c r="H1262" s="36"/>
      <c r="I1262" s="36"/>
      <c r="J1262" s="36" t="str">
        <f>IFERROR(__xludf.DUMMYFUNCTION("""COMPUTED_VALUE"""),"PEREMPUAN")</f>
        <v>PEREMPUAN</v>
      </c>
      <c r="K1262" s="36" t="str">
        <f>IFERROR(__xludf.DUMMYFUNCTION("""COMPUTED_VALUE"""),"BTN.PNS BLOK 41 NO.11")</f>
        <v>BTN.PNS BLOK 41 NO.11</v>
      </c>
      <c r="L1262" s="36"/>
      <c r="M1262" s="36"/>
      <c r="N1262" s="36"/>
      <c r="O1262" s="36"/>
      <c r="P1262" s="36"/>
      <c r="Q1262" s="36"/>
      <c r="R1262" s="36" t="str">
        <f>IFERROR(__xludf.DUMMYFUNCTION("""COMPUTED_VALUE"""),"K")</f>
        <v>K</v>
      </c>
      <c r="S1262" s="39"/>
    </row>
    <row r="1263">
      <c r="B1263" s="36" t="str">
        <f>IFERROR(__xludf.DUMMYFUNCTION("""COMPUTED_VALUE"""),"Asisten Pembuat Pakaian")</f>
        <v>Asisten Pembuat Pakaian</v>
      </c>
      <c r="C1263" s="36"/>
      <c r="D1263" s="36"/>
      <c r="E1263" s="36"/>
      <c r="F1263" s="36" t="str">
        <f>IFERROR(__xludf.DUMMYFUNCTION("""COMPUTED_VALUE"""),"NUR INTANG")</f>
        <v>NUR INTANG</v>
      </c>
      <c r="G1263" s="36" t="str">
        <f>IFERROR(__xludf.DUMMYFUNCTION("""COMPUTED_VALUE"""),"7401026410080001")</f>
        <v>7401026410080001</v>
      </c>
      <c r="H1263" s="36"/>
      <c r="I1263" s="36"/>
      <c r="J1263" s="36" t="str">
        <f>IFERROR(__xludf.DUMMYFUNCTION("""COMPUTED_VALUE"""),"PEREMPUAN")</f>
        <v>PEREMPUAN</v>
      </c>
      <c r="K1263" s="36" t="str">
        <f>IFERROR(__xludf.DUMMYFUNCTION("""COMPUTED_VALUE"""),"DUSUN. PALOSILAE")</f>
        <v>DUSUN. PALOSILAE</v>
      </c>
      <c r="L1263" s="36"/>
      <c r="M1263" s="36"/>
      <c r="N1263" s="36"/>
      <c r="O1263" s="36"/>
      <c r="P1263" s="36"/>
      <c r="Q1263" s="36"/>
      <c r="R1263" s="36" t="str">
        <f>IFERROR(__xludf.DUMMYFUNCTION("""COMPUTED_VALUE"""),"K")</f>
        <v>K</v>
      </c>
      <c r="S1263" s="39"/>
    </row>
    <row r="1264">
      <c r="B1264" s="36" t="str">
        <f>IFERROR(__xludf.DUMMYFUNCTION("""COMPUTED_VALUE"""),"Asisten Pembuat Pakaian")</f>
        <v>Asisten Pembuat Pakaian</v>
      </c>
      <c r="C1264" s="36"/>
      <c r="D1264" s="36"/>
      <c r="E1264" s="36"/>
      <c r="F1264" s="36" t="str">
        <f>IFERROR(__xludf.DUMMYFUNCTION("""COMPUTED_VALUE"""),"NUR HIDAYAH AFIDA")</f>
        <v>NUR HIDAYAH AFIDA</v>
      </c>
      <c r="G1264" s="36" t="str">
        <f>IFERROR(__xludf.DUMMYFUNCTION("""COMPUTED_VALUE"""),"7472064206080001")</f>
        <v>7472064206080001</v>
      </c>
      <c r="H1264" s="36"/>
      <c r="I1264" s="36"/>
      <c r="J1264" s="36" t="str">
        <f>IFERROR(__xludf.DUMMYFUNCTION("""COMPUTED_VALUE"""),"PEREMPUAN")</f>
        <v>PEREMPUAN</v>
      </c>
      <c r="K1264" s="36" t="str">
        <f>IFERROR(__xludf.DUMMYFUNCTION("""COMPUTED_VALUE"""),"JL. LA BUKE")</f>
        <v>JL. LA BUKE</v>
      </c>
      <c r="L1264" s="36"/>
      <c r="M1264" s="36"/>
      <c r="N1264" s="36"/>
      <c r="O1264" s="36"/>
      <c r="P1264" s="36"/>
      <c r="Q1264" s="36"/>
      <c r="R1264" s="36" t="str">
        <f>IFERROR(__xludf.DUMMYFUNCTION("""COMPUTED_VALUE"""),"K")</f>
        <v>K</v>
      </c>
      <c r="S1264" s="39"/>
    </row>
    <row r="1265">
      <c r="B1265" s="36" t="str">
        <f>IFERROR(__xludf.DUMMYFUNCTION("""COMPUTED_VALUE"""),"Asisten Pembuat Pakaian")</f>
        <v>Asisten Pembuat Pakaian</v>
      </c>
      <c r="C1265" s="36"/>
      <c r="D1265" s="36"/>
      <c r="E1265" s="36"/>
      <c r="F1265" s="36" t="str">
        <f>IFERROR(__xludf.DUMMYFUNCTION("""COMPUTED_VALUE"""),"ASMIRANDAH DG. SUCI")</f>
        <v>ASMIRANDAH DG. SUCI</v>
      </c>
      <c r="G1265" s="36" t="str">
        <f>IFERROR(__xludf.DUMMYFUNCTION("""COMPUTED_VALUE"""),"7471095906090001")</f>
        <v>7471095906090001</v>
      </c>
      <c r="H1265" s="36"/>
      <c r="I1265" s="36"/>
      <c r="J1265" s="36" t="str">
        <f>IFERROR(__xludf.DUMMYFUNCTION("""COMPUTED_VALUE"""),"PEREMPUAN")</f>
        <v>PEREMPUAN</v>
      </c>
      <c r="K1265" s="36" t="str">
        <f>IFERROR(__xludf.DUMMYFUNCTION("""COMPUTED_VALUE"""),"JL. JEND. A. YANI LR. ILMIAH")</f>
        <v>JL. JEND. A. YANI LR. ILMIAH</v>
      </c>
      <c r="L1265" s="36"/>
      <c r="M1265" s="36"/>
      <c r="N1265" s="36"/>
      <c r="O1265" s="36"/>
      <c r="P1265" s="36"/>
      <c r="Q1265" s="36"/>
      <c r="R1265" s="36" t="str">
        <f>IFERROR(__xludf.DUMMYFUNCTION("""COMPUTED_VALUE"""),"K")</f>
        <v>K</v>
      </c>
      <c r="S1265" s="39"/>
    </row>
    <row r="1266">
      <c r="B1266" s="36" t="str">
        <f>IFERROR(__xludf.DUMMYFUNCTION("""COMPUTED_VALUE"""),"Asisten Pembuat Pakaian")</f>
        <v>Asisten Pembuat Pakaian</v>
      </c>
      <c r="C1266" s="36"/>
      <c r="D1266" s="36"/>
      <c r="E1266" s="36"/>
      <c r="F1266" s="36" t="str">
        <f>IFERROR(__xludf.DUMMYFUNCTION("""COMPUTED_VALUE"""),"OLIVIA TRY WULANDARI.M ")</f>
        <v>OLIVIA TRY WULANDARI.M </v>
      </c>
      <c r="G1266" s="36" t="str">
        <f>IFERROR(__xludf.DUMMYFUNCTION("""COMPUTED_VALUE"""),"7405066506060001")</f>
        <v>7405066506060001</v>
      </c>
      <c r="H1266" s="36"/>
      <c r="I1266" s="36"/>
      <c r="J1266" s="36" t="str">
        <f>IFERROR(__xludf.DUMMYFUNCTION("""COMPUTED_VALUE"""),"PEREMPUAN")</f>
        <v>PEREMPUAN</v>
      </c>
      <c r="K1266" s="36" t="str">
        <f>IFERROR(__xludf.DUMMYFUNCTION("""COMPUTED_VALUE"""),"DESA PAMANDATI, RW 001, KECAMATAN LAINEA")</f>
        <v>DESA PAMANDATI, RW 001, KECAMATAN LAINEA</v>
      </c>
      <c r="L1266" s="36"/>
      <c r="M1266" s="36"/>
      <c r="N1266" s="36"/>
      <c r="O1266" s="36"/>
      <c r="P1266" s="36"/>
      <c r="Q1266" s="36"/>
      <c r="R1266" s="36" t="str">
        <f>IFERROR(__xludf.DUMMYFUNCTION("""COMPUTED_VALUE"""),"K")</f>
        <v>K</v>
      </c>
      <c r="S1266" s="39"/>
    </row>
    <row r="1267">
      <c r="B1267" s="36" t="str">
        <f>IFERROR(__xludf.DUMMYFUNCTION("""COMPUTED_VALUE"""),"Asisten Pembuat Pakaian")</f>
        <v>Asisten Pembuat Pakaian</v>
      </c>
      <c r="C1267" s="36"/>
      <c r="D1267" s="36"/>
      <c r="E1267" s="36"/>
      <c r="F1267" s="36" t="str">
        <f>IFERROR(__xludf.DUMMYFUNCTION("""COMPUTED_VALUE"""),"SITI HUMAIRAH")</f>
        <v>SITI HUMAIRAH</v>
      </c>
      <c r="G1267" s="36" t="str">
        <f>IFERROR(__xludf.DUMMYFUNCTION("""COMPUTED_VALUE"""),"7471024707080002")</f>
        <v>7471024707080002</v>
      </c>
      <c r="H1267" s="36"/>
      <c r="I1267" s="36"/>
      <c r="J1267" s="36" t="str">
        <f>IFERROR(__xludf.DUMMYFUNCTION("""COMPUTED_VALUE"""),"PEREMPUAN")</f>
        <v>PEREMPUAN</v>
      </c>
      <c r="K1267" s="36" t="str">
        <f>IFERROR(__xludf.DUMMYFUNCTION("""COMPUTED_VALUE"""),"Jl.akasia langi bajo")</f>
        <v>Jl.akasia langi bajo</v>
      </c>
      <c r="L1267" s="36"/>
      <c r="M1267" s="36"/>
      <c r="N1267" s="36"/>
      <c r="O1267" s="36"/>
      <c r="P1267" s="36"/>
      <c r="Q1267" s="36"/>
      <c r="R1267" s="36" t="str">
        <f>IFERROR(__xludf.DUMMYFUNCTION("""COMPUTED_VALUE"""),"K")</f>
        <v>K</v>
      </c>
      <c r="S1267" s="39"/>
    </row>
    <row r="1268">
      <c r="B1268" s="36" t="str">
        <f>IFERROR(__xludf.DUMMYFUNCTION("""COMPUTED_VALUE"""),"Asisten Pembuat Pakaian")</f>
        <v>Asisten Pembuat Pakaian</v>
      </c>
      <c r="C1268" s="36"/>
      <c r="D1268" s="36"/>
      <c r="E1268" s="36"/>
      <c r="F1268" s="36" t="str">
        <f>IFERROR(__xludf.DUMMYFUNCTION("""COMPUTED_VALUE"""),"ILIN ROSIANA")</f>
        <v>ILIN ROSIANA</v>
      </c>
      <c r="G1268" s="36">
        <f>IFERROR(__xludf.DUMMYFUNCTION("""COMPUTED_VALUE"""),7.37114410686001E15)</f>
        <v>7.37114E+15</v>
      </c>
      <c r="H1268" s="36"/>
      <c r="I1268" s="36"/>
      <c r="J1268" s="36" t="str">
        <f>IFERROR(__xludf.DUMMYFUNCTION("""COMPUTED_VALUE"""),"PEREMPUAN")</f>
        <v>PEREMPUAN</v>
      </c>
      <c r="K1268" s="36" t="str">
        <f>IFERROR(__xludf.DUMMYFUNCTION("""COMPUTED_VALUE"""),"BTN GRIYA BARUGA INDAH BLOK DD 23")</f>
        <v>BTN GRIYA BARUGA INDAH BLOK DD 23</v>
      </c>
      <c r="L1268" s="36"/>
      <c r="M1268" s="36"/>
      <c r="N1268" s="36"/>
      <c r="O1268" s="36"/>
      <c r="P1268" s="36"/>
      <c r="Q1268" s="36"/>
      <c r="R1268" s="36" t="str">
        <f>IFERROR(__xludf.DUMMYFUNCTION("""COMPUTED_VALUE"""),"BK")</f>
        <v>BK</v>
      </c>
      <c r="S1268" s="39"/>
    </row>
    <row r="1269">
      <c r="B1269" s="36" t="str">
        <f>IFERROR(__xludf.DUMMYFUNCTION("""COMPUTED_VALUE"""),"Asisten Pembuat Pakaian")</f>
        <v>Asisten Pembuat Pakaian</v>
      </c>
      <c r="C1269" s="36"/>
      <c r="D1269" s="36"/>
      <c r="E1269" s="36"/>
      <c r="F1269" s="36" t="str">
        <f>IFERROR(__xludf.DUMMYFUNCTION("""COMPUTED_VALUE"""),"SITI AISYAH AMINI ")</f>
        <v>SITI AISYAH AMINI </v>
      </c>
      <c r="G1269" s="36" t="str">
        <f>IFERROR(__xludf.DUMMYFUNCTION("""COMPUTED_VALUE"""),"7471016806080001")</f>
        <v>7471016806080001</v>
      </c>
      <c r="H1269" s="36"/>
      <c r="I1269" s="36"/>
      <c r="J1269" s="36" t="str">
        <f>IFERROR(__xludf.DUMMYFUNCTION("""COMPUTED_VALUE"""),"PEREMPUAN")</f>
        <v>PEREMPUAN</v>
      </c>
      <c r="K1269" s="36" t="str">
        <f>IFERROR(__xludf.DUMMYFUNCTION("""COMPUTED_VALUE"""),"JL. R SOEPRAPTO, LR. SUBSIDI 2, KEL. ANGGILOWU, KEC. MANDONGA ")</f>
        <v>JL. R SOEPRAPTO, LR. SUBSIDI 2, KEL. ANGGILOWU, KEC. MANDONGA </v>
      </c>
      <c r="L1269" s="36"/>
      <c r="M1269" s="36"/>
      <c r="N1269" s="36"/>
      <c r="O1269" s="36"/>
      <c r="P1269" s="36"/>
      <c r="Q1269" s="36"/>
      <c r="R1269" s="36" t="str">
        <f>IFERROR(__xludf.DUMMYFUNCTION("""COMPUTED_VALUE"""),"K")</f>
        <v>K</v>
      </c>
      <c r="S1269" s="39"/>
    </row>
    <row r="1270">
      <c r="B1270" s="36" t="str">
        <f>IFERROR(__xludf.DUMMYFUNCTION("""COMPUTED_VALUE"""),"Asisten Pembuat Pakaian")</f>
        <v>Asisten Pembuat Pakaian</v>
      </c>
      <c r="C1270" s="36"/>
      <c r="D1270" s="36"/>
      <c r="E1270" s="36"/>
      <c r="F1270" s="36" t="str">
        <f>IFERROR(__xludf.DUMMYFUNCTION("""COMPUTED_VALUE"""),"TRIFENA SINTIA PONDE")</f>
        <v>TRIFENA SINTIA PONDE</v>
      </c>
      <c r="G1270" s="36" t="str">
        <f>IFERROR(__xludf.DUMMYFUNCTION("""COMPUTED_VALUE"""),"7471035707050001")</f>
        <v>7471035707050001</v>
      </c>
      <c r="H1270" s="36"/>
      <c r="I1270" s="36"/>
      <c r="J1270" s="36" t="str">
        <f>IFERROR(__xludf.DUMMYFUNCTION("""COMPUTED_VALUE"""),"PEREMPUAN")</f>
        <v>PEREMPUAN</v>
      </c>
      <c r="K1270" s="36" t="str">
        <f>IFERROR(__xludf.DUMMYFUNCTION("""COMPUTED_VALUE"""),"JL. MAYJEN KATAMSO")</f>
        <v>JL. MAYJEN KATAMSO</v>
      </c>
      <c r="L1270" s="36"/>
      <c r="M1270" s="36"/>
      <c r="N1270" s="36"/>
      <c r="O1270" s="36"/>
      <c r="P1270" s="36"/>
      <c r="Q1270" s="36"/>
      <c r="R1270" s="36" t="str">
        <f>IFERROR(__xludf.DUMMYFUNCTION("""COMPUTED_VALUE"""),"K")</f>
        <v>K</v>
      </c>
      <c r="S1270" s="39"/>
    </row>
    <row r="1271">
      <c r="B1271" s="36" t="str">
        <f>IFERROR(__xludf.DUMMYFUNCTION("""COMPUTED_VALUE"""),"Asisten Pembuat Pakaian")</f>
        <v>Asisten Pembuat Pakaian</v>
      </c>
      <c r="C1271" s="36"/>
      <c r="D1271" s="36"/>
      <c r="E1271" s="36"/>
      <c r="F1271" s="36" t="str">
        <f>IFERROR(__xludf.DUMMYFUNCTION("""COMPUTED_VALUE"""),"Lilis Ayu Nindita")</f>
        <v>Lilis Ayu Nindita</v>
      </c>
      <c r="G1271" s="36" t="str">
        <f>IFERROR(__xludf.DUMMYFUNCTION("""COMPUTED_VALUE"""),"7405166511070001")</f>
        <v>7405166511070001</v>
      </c>
      <c r="H1271" s="36"/>
      <c r="I1271" s="36"/>
      <c r="J1271" s="36" t="str">
        <f>IFERROR(__xludf.DUMMYFUNCTION("""COMPUTED_VALUE"""),"PEREMPUAN")</f>
        <v>PEREMPUAN</v>
      </c>
      <c r="K1271" s="36" t="str">
        <f>IFERROR(__xludf.DUMMYFUNCTION("""COMPUTED_VALUE"""),"Mekar Jaya, 25 November 2007")</f>
        <v>Mekar Jaya, 25 November 2007</v>
      </c>
      <c r="L1271" s="36"/>
      <c r="M1271" s="36"/>
      <c r="N1271" s="36"/>
      <c r="O1271" s="36"/>
      <c r="P1271" s="36"/>
      <c r="Q1271" s="36"/>
      <c r="R1271" s="36" t="str">
        <f>IFERROR(__xludf.DUMMYFUNCTION("""COMPUTED_VALUE"""),"K")</f>
        <v>K</v>
      </c>
      <c r="S1271" s="39"/>
    </row>
    <row r="1272">
      <c r="B1272" s="36" t="str">
        <f>IFERROR(__xludf.DUMMYFUNCTION("""COMPUTED_VALUE"""),"Peracikan Minuman Kopi ")</f>
        <v>Peracikan Minuman Kopi </v>
      </c>
      <c r="C1272" s="36"/>
      <c r="D1272" s="36"/>
      <c r="E1272" s="36"/>
      <c r="F1272" s="36" t="str">
        <f>IFERROR(__xludf.DUMMYFUNCTION("""COMPUTED_VALUE"""),"St. Kirana Lisa Herul")</f>
        <v>St. Kirana Lisa Herul</v>
      </c>
      <c r="G1272" s="36" t="str">
        <f>IFERROR(__xludf.DUMMYFUNCTION("""COMPUTED_VALUE"""),"7309035503090002")</f>
        <v>7309035503090002</v>
      </c>
      <c r="H1272" s="36"/>
      <c r="I1272" s="36"/>
      <c r="J1272" s="36" t="str">
        <f>IFERROR(__xludf.DUMMYFUNCTION("""COMPUTED_VALUE"""),"PEREMPUAN")</f>
        <v>PEREMPUAN</v>
      </c>
      <c r="K1272" s="36" t="str">
        <f>IFERROR(__xludf.DUMMYFUNCTION("""COMPUTED_VALUE"""),"Kambu, Kec. kambu, Kota Kendari")</f>
        <v>Kambu, Kec. kambu, Kota Kendari</v>
      </c>
      <c r="L1272" s="36"/>
      <c r="M1272" s="36"/>
      <c r="N1272" s="36"/>
      <c r="O1272" s="36"/>
      <c r="P1272" s="36"/>
      <c r="Q1272" s="36"/>
      <c r="R1272" s="36" t="str">
        <f>IFERROR(__xludf.DUMMYFUNCTION("""COMPUTED_VALUE"""),"K")</f>
        <v>K</v>
      </c>
      <c r="S1272" s="39"/>
    </row>
    <row r="1273">
      <c r="B1273" s="36" t="str">
        <f>IFERROR(__xludf.DUMMYFUNCTION("""COMPUTED_VALUE"""),"Peracikan Minuman Kopi ")</f>
        <v>Peracikan Minuman Kopi </v>
      </c>
      <c r="C1273" s="36"/>
      <c r="D1273" s="36"/>
      <c r="E1273" s="36"/>
      <c r="F1273" s="36" t="str">
        <f>IFERROR(__xludf.DUMMYFUNCTION("""COMPUTED_VALUE"""),"INAYATI SALSABILLAH")</f>
        <v>INAYATI SALSABILLAH</v>
      </c>
      <c r="G1273" s="36" t="str">
        <f>IFERROR(__xludf.DUMMYFUNCTION("""COMPUTED_VALUE"""),"5313086407040001")</f>
        <v>5313086407040001</v>
      </c>
      <c r="H1273" s="36"/>
      <c r="I1273" s="36"/>
      <c r="J1273" s="36" t="str">
        <f>IFERROR(__xludf.DUMMYFUNCTION("""COMPUTED_VALUE"""),"PEREMPUAN")</f>
        <v>PEREMPUAN</v>
      </c>
      <c r="K1273" s="36" t="str">
        <f>IFERROR(__xludf.DUMMYFUNCTION("""COMPUTED_VALUE"""),"LABALA, LEWORAJA, KEC. WULANDONI, KAB. LEMBATA, PROV. NUSA TENGGARA TIMUR")</f>
        <v>LABALA, LEWORAJA, KEC. WULANDONI, KAB. LEMBATA, PROV. NUSA TENGGARA TIMUR</v>
      </c>
      <c r="L1273" s="36"/>
      <c r="M1273" s="36"/>
      <c r="N1273" s="36"/>
      <c r="O1273" s="36"/>
      <c r="P1273" s="36"/>
      <c r="Q1273" s="36"/>
      <c r="R1273" s="36" t="str">
        <f>IFERROR(__xludf.DUMMYFUNCTION("""COMPUTED_VALUE"""),"K")</f>
        <v>K</v>
      </c>
      <c r="S1273" s="39"/>
    </row>
    <row r="1274">
      <c r="B1274" s="36" t="str">
        <f>IFERROR(__xludf.DUMMYFUNCTION("""COMPUTED_VALUE"""),"Peracikan Minuman Kopi ")</f>
        <v>Peracikan Minuman Kopi </v>
      </c>
      <c r="C1274" s="36"/>
      <c r="D1274" s="36"/>
      <c r="E1274" s="36"/>
      <c r="F1274" s="36" t="str">
        <f>IFERROR(__xludf.DUMMYFUNCTION("""COMPUTED_VALUE"""),"NIDHAL HUSNUL AQIB")</f>
        <v>NIDHAL HUSNUL AQIB</v>
      </c>
      <c r="G1274" s="36" t="str">
        <f>IFERROR(__xludf.DUMMYFUNCTION("""COMPUTED_VALUE"""),"7471031002080001")</f>
        <v>7471031002080001</v>
      </c>
      <c r="H1274" s="36"/>
      <c r="I1274" s="36"/>
      <c r="J1274" s="36" t="str">
        <f>IFERROR(__xludf.DUMMYFUNCTION("""COMPUTED_VALUE"""),"LAKI-LAKI")</f>
        <v>LAKI-LAKI</v>
      </c>
      <c r="K1274" s="36" t="str">
        <f>IFERROR(__xludf.DUMMYFUNCTION("""COMPUTED_VALUE"""),"BTN.BUKIT KENDARI INDAH")</f>
        <v>BTN.BUKIT KENDARI INDAH</v>
      </c>
      <c r="L1274" s="36"/>
      <c r="M1274" s="36"/>
      <c r="N1274" s="36"/>
      <c r="O1274" s="36"/>
      <c r="P1274" s="36"/>
      <c r="Q1274" s="36"/>
      <c r="R1274" s="36" t="str">
        <f>IFERROR(__xludf.DUMMYFUNCTION("""COMPUTED_VALUE"""),"K")</f>
        <v>K</v>
      </c>
      <c r="S1274" s="39"/>
    </row>
    <row r="1275">
      <c r="B1275" s="36" t="str">
        <f>IFERROR(__xludf.DUMMYFUNCTION("""COMPUTED_VALUE"""),"Peracikan Minuman Kopi ")</f>
        <v>Peracikan Minuman Kopi </v>
      </c>
      <c r="C1275" s="36"/>
      <c r="D1275" s="36"/>
      <c r="E1275" s="36"/>
      <c r="F1275" s="36" t="str">
        <f>IFERROR(__xludf.DUMMYFUNCTION("""COMPUTED_VALUE"""),"MUHAMMAD ZULBAR")</f>
        <v>MUHAMMAD ZULBAR</v>
      </c>
      <c r="G1275" s="36" t="str">
        <f>IFERROR(__xludf.DUMMYFUNCTION("""COMPUTED_VALUE"""),"7471072806080001")</f>
        <v>7471072806080001</v>
      </c>
      <c r="H1275" s="36"/>
      <c r="I1275" s="36"/>
      <c r="J1275" s="36" t="str">
        <f>IFERROR(__xludf.DUMMYFUNCTION("""COMPUTED_VALUE"""),"LAKI-LAKI")</f>
        <v>LAKI-LAKI</v>
      </c>
      <c r="K1275" s="36" t="str">
        <f>IFERROR(__xludf.DUMMYFUNCTION("""COMPUTED_VALUE"""),"JLN PERKUBURAN PUNGGOLAKA")</f>
        <v>JLN PERKUBURAN PUNGGOLAKA</v>
      </c>
      <c r="L1275" s="36"/>
      <c r="M1275" s="36"/>
      <c r="N1275" s="36"/>
      <c r="O1275" s="36"/>
      <c r="P1275" s="36"/>
      <c r="Q1275" s="36"/>
      <c r="R1275" s="36" t="str">
        <f>IFERROR(__xludf.DUMMYFUNCTION("""COMPUTED_VALUE"""),"K")</f>
        <v>K</v>
      </c>
      <c r="S1275" s="39"/>
    </row>
    <row r="1276">
      <c r="B1276" s="36" t="str">
        <f>IFERROR(__xludf.DUMMYFUNCTION("""COMPUTED_VALUE"""),"Peracikan Minuman Kopi ")</f>
        <v>Peracikan Minuman Kopi </v>
      </c>
      <c r="C1276" s="36"/>
      <c r="D1276" s="36"/>
      <c r="E1276" s="36"/>
      <c r="F1276" s="36" t="str">
        <f>IFERROR(__xludf.DUMMYFUNCTION("""COMPUTED_VALUE"""),"CHELSEA MARVIONA RUMONDOR")</f>
        <v>CHELSEA MARVIONA RUMONDOR</v>
      </c>
      <c r="G1276" s="36" t="str">
        <f>IFERROR(__xludf.DUMMYFUNCTION("""COMPUTED_VALUE"""),"7405086302080001")</f>
        <v>7405086302080001</v>
      </c>
      <c r="H1276" s="36"/>
      <c r="I1276" s="36"/>
      <c r="J1276" s="36" t="str">
        <f>IFERROR(__xludf.DUMMYFUNCTION("""COMPUTED_VALUE"""),"PEREMPUAN")</f>
        <v>PEREMPUAN</v>
      </c>
      <c r="K1276" s="36" t="str">
        <f>IFERROR(__xludf.DUMMYFUNCTION("""COMPUTED_VALUE"""),"JL. MAWAR, PERUMAHAN MAWAR SARON BLOK A. 12")</f>
        <v>JL. MAWAR, PERUMAHAN MAWAR SARON BLOK A. 12</v>
      </c>
      <c r="L1276" s="36"/>
      <c r="M1276" s="36"/>
      <c r="N1276" s="36"/>
      <c r="O1276" s="36"/>
      <c r="P1276" s="36"/>
      <c r="Q1276" s="36"/>
      <c r="R1276" s="36" t="str">
        <f>IFERROR(__xludf.DUMMYFUNCTION("""COMPUTED_VALUE"""),"K")</f>
        <v>K</v>
      </c>
      <c r="S1276" s="39"/>
    </row>
    <row r="1277">
      <c r="B1277" s="36" t="str">
        <f>IFERROR(__xludf.DUMMYFUNCTION("""COMPUTED_VALUE"""),"Peracikan Minuman Kopi ")</f>
        <v>Peracikan Minuman Kopi </v>
      </c>
      <c r="C1277" s="36"/>
      <c r="D1277" s="36"/>
      <c r="E1277" s="36"/>
      <c r="F1277" s="36" t="str">
        <f>IFERROR(__xludf.DUMMYFUNCTION("""COMPUTED_VALUE"""),"MARDIN")</f>
        <v>MARDIN</v>
      </c>
      <c r="G1277" s="36" t="str">
        <f>IFERROR(__xludf.DUMMYFUNCTION("""COMPUTED_VALUE"""),"7404283103040001")</f>
        <v>7404283103040001</v>
      </c>
      <c r="H1277" s="36"/>
      <c r="I1277" s="36"/>
      <c r="J1277" s="36" t="str">
        <f>IFERROR(__xludf.DUMMYFUNCTION("""COMPUTED_VALUE"""),"LAKI-LAKI")</f>
        <v>LAKI-LAKI</v>
      </c>
      <c r="K1277" s="36" t="str">
        <f>IFERROR(__xludf.DUMMYFUNCTION("""COMPUTED_VALUE"""),"DUSUN PATAMBARA, DESA BURANGASI, KEC.LAPANDEWA, KAB. BUTON SELATAN")</f>
        <v>DUSUN PATAMBARA, DESA BURANGASI, KEC.LAPANDEWA, KAB. BUTON SELATAN</v>
      </c>
      <c r="L1277" s="36"/>
      <c r="M1277" s="36"/>
      <c r="N1277" s="36"/>
      <c r="O1277" s="36"/>
      <c r="P1277" s="36"/>
      <c r="Q1277" s="36"/>
      <c r="R1277" s="36" t="str">
        <f>IFERROR(__xludf.DUMMYFUNCTION("""COMPUTED_VALUE"""),"K")</f>
        <v>K</v>
      </c>
      <c r="S1277" s="39"/>
    </row>
    <row r="1278">
      <c r="B1278" s="36" t="str">
        <f>IFERROR(__xludf.DUMMYFUNCTION("""COMPUTED_VALUE"""),"Peracikan Minuman Kopi ")</f>
        <v>Peracikan Minuman Kopi </v>
      </c>
      <c r="C1278" s="36"/>
      <c r="D1278" s="36"/>
      <c r="E1278" s="36"/>
      <c r="F1278" s="36" t="str">
        <f>IFERROR(__xludf.DUMMYFUNCTION("""COMPUTED_VALUE"""),"TEJA SUBAGJA AJIJI ROHIM")</f>
        <v>TEJA SUBAGJA AJIJI ROHIM</v>
      </c>
      <c r="G1278" s="36" t="str">
        <f>IFERROR(__xludf.DUMMYFUNCTION("""COMPUTED_VALUE"""),"7405102008060001")</f>
        <v>7405102008060001</v>
      </c>
      <c r="H1278" s="36"/>
      <c r="I1278" s="36"/>
      <c r="J1278" s="36" t="str">
        <f>IFERROR(__xludf.DUMMYFUNCTION("""COMPUTED_VALUE"""),"LAKI-LAKI")</f>
        <v>LAKI-LAKI</v>
      </c>
      <c r="K1278" s="36" t="str">
        <f>IFERROR(__xludf.DUMMYFUNCTION("""COMPUTED_VALUE"""),"JL.PASAR BARUGA ")</f>
        <v>JL.PASAR BARUGA </v>
      </c>
      <c r="L1278" s="36"/>
      <c r="M1278" s="36"/>
      <c r="N1278" s="36"/>
      <c r="O1278" s="36"/>
      <c r="P1278" s="36"/>
      <c r="Q1278" s="36"/>
      <c r="R1278" s="36" t="str">
        <f>IFERROR(__xludf.DUMMYFUNCTION("""COMPUTED_VALUE"""),"K")</f>
        <v>K</v>
      </c>
      <c r="S1278" s="39"/>
    </row>
    <row r="1279">
      <c r="B1279" s="36" t="str">
        <f>IFERROR(__xludf.DUMMYFUNCTION("""COMPUTED_VALUE"""),"Peracikan Minuman Kopi ")</f>
        <v>Peracikan Minuman Kopi </v>
      </c>
      <c r="C1279" s="36"/>
      <c r="D1279" s="36"/>
      <c r="E1279" s="36"/>
      <c r="F1279" s="36" t="str">
        <f>IFERROR(__xludf.DUMMYFUNCTION("""COMPUTED_VALUE"""),"FREDLY CHRISTIAN RIZKY SAKKE")</f>
        <v>FREDLY CHRISTIAN RIZKY SAKKE</v>
      </c>
      <c r="G1279" s="36" t="str">
        <f>IFERROR(__xludf.DUMMYFUNCTION("""COMPUTED_VALUE"""),"7471021502060003")</f>
        <v>7471021502060003</v>
      </c>
      <c r="H1279" s="36"/>
      <c r="I1279" s="36"/>
      <c r="J1279" s="36" t="str">
        <f>IFERROR(__xludf.DUMMYFUNCTION("""COMPUTED_VALUE"""),"LAKI-LAKI")</f>
        <v>LAKI-LAKI</v>
      </c>
      <c r="K1279" s="36" t="str">
        <f>IFERROR(__xludf.DUMMYFUNCTION("""COMPUTED_VALUE"""),"BTN A99 Corp. land")</f>
        <v>BTN A99 Corp. land</v>
      </c>
      <c r="L1279" s="36"/>
      <c r="M1279" s="36"/>
      <c r="N1279" s="36"/>
      <c r="O1279" s="36"/>
      <c r="P1279" s="36"/>
      <c r="Q1279" s="36"/>
      <c r="R1279" s="36" t="str">
        <f>IFERROR(__xludf.DUMMYFUNCTION("""COMPUTED_VALUE"""),"K")</f>
        <v>K</v>
      </c>
      <c r="S1279" s="39"/>
    </row>
    <row r="1280">
      <c r="B1280" s="36" t="str">
        <f>IFERROR(__xludf.DUMMYFUNCTION("""COMPUTED_VALUE"""),"Peracikan Minuman Kopi ")</f>
        <v>Peracikan Minuman Kopi </v>
      </c>
      <c r="C1280" s="36"/>
      <c r="D1280" s="36"/>
      <c r="E1280" s="36"/>
      <c r="F1280" s="36" t="str">
        <f>IFERROR(__xludf.DUMMYFUNCTION("""COMPUTED_VALUE"""),"CAESAR JUSTICIO ")</f>
        <v>CAESAR JUSTICIO </v>
      </c>
      <c r="G1280" s="36" t="str">
        <f>IFERROR(__xludf.DUMMYFUNCTION("""COMPUTED_VALUE"""),"7402031601060003")</f>
        <v>7402031601060003</v>
      </c>
      <c r="H1280" s="36"/>
      <c r="I1280" s="36"/>
      <c r="J1280" s="36" t="str">
        <f>IFERROR(__xludf.DUMMYFUNCTION("""COMPUTED_VALUE"""),"LAKI-LAKI")</f>
        <v>LAKI-LAKI</v>
      </c>
      <c r="K1280" s="36" t="str">
        <f>IFERROR(__xludf.DUMMYFUNCTION("""COMPUTED_VALUE"""),"KEL.TORIKI. KEC.ANGGABERI KAB.KONAWE")</f>
        <v>KEL.TORIKI. KEC.ANGGABERI KAB.KONAWE</v>
      </c>
      <c r="L1280" s="36"/>
      <c r="M1280" s="36"/>
      <c r="N1280" s="36"/>
      <c r="O1280" s="36"/>
      <c r="P1280" s="36"/>
      <c r="Q1280" s="36"/>
      <c r="R1280" s="36" t="str">
        <f>IFERROR(__xludf.DUMMYFUNCTION("""COMPUTED_VALUE"""),"K")</f>
        <v>K</v>
      </c>
      <c r="S1280" s="39"/>
    </row>
    <row r="1281">
      <c r="B1281" s="36" t="str">
        <f>IFERROR(__xludf.DUMMYFUNCTION("""COMPUTED_VALUE"""),"Peracikan Minuman Kopi ")</f>
        <v>Peracikan Minuman Kopi </v>
      </c>
      <c r="C1281" s="36"/>
      <c r="D1281" s="36"/>
      <c r="E1281" s="36"/>
      <c r="F1281" s="36" t="str">
        <f>IFERROR(__xludf.DUMMYFUNCTION("""COMPUTED_VALUE"""),"ANDRA NAUFAL ")</f>
        <v>ANDRA NAUFAL </v>
      </c>
      <c r="G1281" s="36" t="str">
        <f>IFERROR(__xludf.DUMMYFUNCTION("""COMPUTED_VALUE"""),"7401022803070001")</f>
        <v>7401022803070001</v>
      </c>
      <c r="H1281" s="36"/>
      <c r="I1281" s="36"/>
      <c r="J1281" s="36" t="str">
        <f>IFERROR(__xludf.DUMMYFUNCTION("""COMPUTED_VALUE"""),"LAKI-LAKI")</f>
        <v>LAKI-LAKI</v>
      </c>
      <c r="K1281" s="36" t="str">
        <f>IFERROR(__xludf.DUMMYFUNCTION("""COMPUTED_VALUE"""),"DESA WOIHA ")</f>
        <v>DESA WOIHA </v>
      </c>
      <c r="L1281" s="36"/>
      <c r="M1281" s="36"/>
      <c r="N1281" s="36"/>
      <c r="O1281" s="36"/>
      <c r="P1281" s="36"/>
      <c r="Q1281" s="36"/>
      <c r="R1281" s="36" t="str">
        <f>IFERROR(__xludf.DUMMYFUNCTION("""COMPUTED_VALUE"""),"K")</f>
        <v>K</v>
      </c>
      <c r="S1281" s="39"/>
    </row>
    <row r="1282">
      <c r="B1282" s="36" t="str">
        <f>IFERROR(__xludf.DUMMYFUNCTION("""COMPUTED_VALUE"""),"Peracikan Minuman Kopi ")</f>
        <v>Peracikan Minuman Kopi </v>
      </c>
      <c r="C1282" s="36"/>
      <c r="D1282" s="36"/>
      <c r="E1282" s="36"/>
      <c r="F1282" s="36" t="str">
        <f>IFERROR(__xludf.DUMMYFUNCTION("""COMPUTED_VALUE"""),"SRI ASTUTI S")</f>
        <v>SRI ASTUTI S</v>
      </c>
      <c r="G1282" s="36" t="str">
        <f>IFERROR(__xludf.DUMMYFUNCTION("""COMPUTED_VALUE"""),"7471086012980001")</f>
        <v>7471086012980001</v>
      </c>
      <c r="H1282" s="36"/>
      <c r="I1282" s="36"/>
      <c r="J1282" s="36" t="str">
        <f>IFERROR(__xludf.DUMMYFUNCTION("""COMPUTED_VALUE"""),"PEREMPUAN")</f>
        <v>PEREMPUAN</v>
      </c>
      <c r="K1282" s="36" t="str">
        <f>IFERROR(__xludf.DUMMYFUNCTION("""COMPUTED_VALUE"""),"JL MEKAR, LR MANDIRI ")</f>
        <v>JL MEKAR, LR MANDIRI </v>
      </c>
      <c r="L1282" s="36"/>
      <c r="M1282" s="36"/>
      <c r="N1282" s="36"/>
      <c r="O1282" s="36"/>
      <c r="P1282" s="36"/>
      <c r="Q1282" s="36"/>
      <c r="R1282" s="36" t="str">
        <f>IFERROR(__xludf.DUMMYFUNCTION("""COMPUTED_VALUE"""),"K")</f>
        <v>K</v>
      </c>
      <c r="S1282" s="39"/>
    </row>
    <row r="1283">
      <c r="B1283" s="36" t="str">
        <f>IFERROR(__xludf.DUMMYFUNCTION("""COMPUTED_VALUE"""),"Peracikan Minuman Kopi ")</f>
        <v>Peracikan Minuman Kopi </v>
      </c>
      <c r="C1283" s="36"/>
      <c r="D1283" s="36"/>
      <c r="E1283" s="36"/>
      <c r="F1283" s="36" t="str">
        <f>IFERROR(__xludf.DUMMYFUNCTION("""COMPUTED_VALUE"""),"IYAN ADRYAN")</f>
        <v>IYAN ADRYAN</v>
      </c>
      <c r="G1283" s="36" t="str">
        <f>IFERROR(__xludf.DUMMYFUNCTION("""COMPUTED_VALUE"""),"7471051603060001")</f>
        <v>7471051603060001</v>
      </c>
      <c r="H1283" s="36"/>
      <c r="I1283" s="36"/>
      <c r="J1283" s="36" t="str">
        <f>IFERROR(__xludf.DUMMYFUNCTION("""COMPUTED_VALUE"""),"LAKI-LAKI")</f>
        <v>LAKI-LAKI</v>
      </c>
      <c r="K1283" s="36" t="str">
        <f>IFERROR(__xludf.DUMMYFUNCTION("""COMPUTED_VALUE"""),"BTN PINANG KUNING")</f>
        <v>BTN PINANG KUNING</v>
      </c>
      <c r="L1283" s="36"/>
      <c r="M1283" s="36"/>
      <c r="N1283" s="36"/>
      <c r="O1283" s="36"/>
      <c r="P1283" s="36"/>
      <c r="Q1283" s="36"/>
      <c r="R1283" s="36" t="str">
        <f>IFERROR(__xludf.DUMMYFUNCTION("""COMPUTED_VALUE"""),"K")</f>
        <v>K</v>
      </c>
      <c r="S1283" s="39"/>
    </row>
    <row r="1284">
      <c r="B1284" s="36" t="str">
        <f>IFERROR(__xludf.DUMMYFUNCTION("""COMPUTED_VALUE"""),"Perakitan Komponen Fabrikasi")</f>
        <v>Perakitan Komponen Fabrikasi</v>
      </c>
      <c r="C1284" s="36"/>
      <c r="D1284" s="36"/>
      <c r="E1284" s="36"/>
      <c r="F1284" s="36" t="str">
        <f>IFERROR(__xludf.DUMMYFUNCTION("""COMPUTED_VALUE"""),"HERCULES AGUS PRABOWO HAERUL")</f>
        <v>HERCULES AGUS PRABOWO HAERUL</v>
      </c>
      <c r="G1284" s="36" t="str">
        <f>IFERROR(__xludf.DUMMYFUNCTION("""COMPUTED_VALUE"""),"3525041708060001")</f>
        <v>3525041708060001</v>
      </c>
      <c r="H1284" s="36"/>
      <c r="I1284" s="36"/>
      <c r="J1284" s="36" t="str">
        <f>IFERROR(__xludf.DUMMYFUNCTION("""COMPUTED_VALUE"""),"LAKI-LAKI")</f>
        <v>LAKI-LAKI</v>
      </c>
      <c r="K1284" s="36" t="str">
        <f>IFERROR(__xludf.DUMMYFUNCTION("""COMPUTED_VALUE"""),"JL. R. SUPRAPTO. NO 9")</f>
        <v>JL. R. SUPRAPTO. NO 9</v>
      </c>
      <c r="L1284" s="36"/>
      <c r="M1284" s="36"/>
      <c r="N1284" s="36"/>
      <c r="O1284" s="36"/>
      <c r="P1284" s="36"/>
      <c r="Q1284" s="36"/>
      <c r="R1284" s="36" t="str">
        <f>IFERROR(__xludf.DUMMYFUNCTION("""COMPUTED_VALUE"""),"K")</f>
        <v>K</v>
      </c>
      <c r="S1284" s="39"/>
    </row>
    <row r="1285">
      <c r="B1285" s="36" t="str">
        <f>IFERROR(__xludf.DUMMYFUNCTION("""COMPUTED_VALUE"""),"Perakitan Komponen Fabrikasi")</f>
        <v>Perakitan Komponen Fabrikasi</v>
      </c>
      <c r="C1285" s="36"/>
      <c r="D1285" s="36"/>
      <c r="E1285" s="36"/>
      <c r="F1285" s="36" t="str">
        <f>IFERROR(__xludf.DUMMYFUNCTION("""COMPUTED_VALUE"""),"ALDY JULIANSYAH")</f>
        <v>ALDY JULIANSYAH</v>
      </c>
      <c r="G1285" s="36" t="str">
        <f>IFERROR(__xludf.DUMMYFUNCTION("""COMPUTED_VALUE"""),"7471091507080001")</f>
        <v>7471091507080001</v>
      </c>
      <c r="H1285" s="36"/>
      <c r="I1285" s="36"/>
      <c r="J1285" s="36" t="str">
        <f>IFERROR(__xludf.DUMMYFUNCTION("""COMPUTED_VALUE"""),"LAKI-LAKI")</f>
        <v>LAKI-LAKI</v>
      </c>
      <c r="K1285" s="36" t="str">
        <f>IFERROR(__xludf.DUMMYFUNCTION("""COMPUTED_VALUE"""),"JL. CHAIRIL ANWAR LR. DURIAN KEC. WUA-WUA KEL. WUA-WUA")</f>
        <v>JL. CHAIRIL ANWAR LR. DURIAN KEC. WUA-WUA KEL. WUA-WUA</v>
      </c>
      <c r="L1285" s="36"/>
      <c r="M1285" s="36"/>
      <c r="N1285" s="36"/>
      <c r="O1285" s="36"/>
      <c r="P1285" s="36"/>
      <c r="Q1285" s="36"/>
      <c r="R1285" s="36" t="str">
        <f>IFERROR(__xludf.DUMMYFUNCTION("""COMPUTED_VALUE"""),"BK")</f>
        <v>BK</v>
      </c>
      <c r="S1285" s="39"/>
    </row>
    <row r="1286">
      <c r="B1286" s="36" t="str">
        <f>IFERROR(__xludf.DUMMYFUNCTION("""COMPUTED_VALUE"""),"Perakitan Komponen Fabrikasi")</f>
        <v>Perakitan Komponen Fabrikasi</v>
      </c>
      <c r="C1286" s="36"/>
      <c r="D1286" s="36"/>
      <c r="E1286" s="36"/>
      <c r="F1286" s="36" t="str">
        <f>IFERROR(__xludf.DUMMYFUNCTION("""COMPUTED_VALUE"""),"AKMAL NORMANTO ")</f>
        <v>AKMAL NORMANTO </v>
      </c>
      <c r="G1286" s="36" t="str">
        <f>IFERROR(__xludf.DUMMYFUNCTION("""COMPUTED_VALUE"""),"7471082702080001")</f>
        <v>7471082702080001</v>
      </c>
      <c r="H1286" s="36"/>
      <c r="I1286" s="36"/>
      <c r="J1286" s="36" t="str">
        <f>IFERROR(__xludf.DUMMYFUNCTION("""COMPUTED_VALUE"""),"LAKI-LAKI")</f>
        <v>LAKI-LAKI</v>
      </c>
      <c r="K1286" s="36" t="str">
        <f>IFERROR(__xludf.DUMMYFUNCTION("""COMPUTED_VALUE"""),"JL. LASANDARA")</f>
        <v>JL. LASANDARA</v>
      </c>
      <c r="L1286" s="36"/>
      <c r="M1286" s="36"/>
      <c r="N1286" s="36"/>
      <c r="O1286" s="36"/>
      <c r="P1286" s="36"/>
      <c r="Q1286" s="36"/>
      <c r="R1286" s="36" t="str">
        <f>IFERROR(__xludf.DUMMYFUNCTION("""COMPUTED_VALUE"""),"BK")</f>
        <v>BK</v>
      </c>
      <c r="S1286" s="39"/>
    </row>
    <row r="1287">
      <c r="B1287" s="36" t="str">
        <f>IFERROR(__xludf.DUMMYFUNCTION("""COMPUTED_VALUE"""),"Perakitan Komponen Fabrikasi")</f>
        <v>Perakitan Komponen Fabrikasi</v>
      </c>
      <c r="C1287" s="36"/>
      <c r="D1287" s="36"/>
      <c r="E1287" s="36"/>
      <c r="F1287" s="36" t="str">
        <f>IFERROR(__xludf.DUMMYFUNCTION("""COMPUTED_VALUE"""),"FERDI APRILIAN SAPUTRA")</f>
        <v>FERDI APRILIAN SAPUTRA</v>
      </c>
      <c r="G1287" s="36" t="str">
        <f>IFERROR(__xludf.DUMMYFUNCTION("""COMPUTED_VALUE"""),"7402101004070003")</f>
        <v>7402101004070003</v>
      </c>
      <c r="H1287" s="36"/>
      <c r="I1287" s="36"/>
      <c r="J1287" s="36" t="str">
        <f>IFERROR(__xludf.DUMMYFUNCTION("""COMPUTED_VALUE"""),"LAKI-LAKI")</f>
        <v>LAKI-LAKI</v>
      </c>
      <c r="K1287" s="36" t="str">
        <f>IFERROR(__xludf.DUMMYFUNCTION("""COMPUTED_VALUE"""),"JLN. TELUK")</f>
        <v>JLN. TELUK</v>
      </c>
      <c r="L1287" s="36"/>
      <c r="M1287" s="36"/>
      <c r="N1287" s="36"/>
      <c r="O1287" s="36"/>
      <c r="P1287" s="36"/>
      <c r="Q1287" s="36"/>
      <c r="R1287" s="36" t="str">
        <f>IFERROR(__xludf.DUMMYFUNCTION("""COMPUTED_VALUE"""),"BK")</f>
        <v>BK</v>
      </c>
      <c r="S1287" s="39"/>
    </row>
    <row r="1288">
      <c r="B1288" s="36" t="str">
        <f>IFERROR(__xludf.DUMMYFUNCTION("""COMPUTED_VALUE"""),"Perakitan Komponen Fabrikasi")</f>
        <v>Perakitan Komponen Fabrikasi</v>
      </c>
      <c r="C1288" s="36"/>
      <c r="D1288" s="36"/>
      <c r="E1288" s="36"/>
      <c r="F1288" s="36" t="str">
        <f>IFERROR(__xludf.DUMMYFUNCTION("""COMPUTED_VALUE"""),"LA ODE SULTHAN MURAQIBI AMBIYA ")</f>
        <v>LA ODE SULTHAN MURAQIBI AMBIYA </v>
      </c>
      <c r="G1288" s="36" t="str">
        <f>IFERROR(__xludf.DUMMYFUNCTION("""COMPUTED_VALUE"""),"7471011509030001")</f>
        <v>7471011509030001</v>
      </c>
      <c r="H1288" s="36"/>
      <c r="I1288" s="36"/>
      <c r="J1288" s="36" t="str">
        <f>IFERROR(__xludf.DUMMYFUNCTION("""COMPUTED_VALUE"""),"LAKI-LAKI")</f>
        <v>LAKI-LAKI</v>
      </c>
      <c r="K1288" s="36" t="str">
        <f>IFERROR(__xludf.DUMMYFUNCTION("""COMPUTED_VALUE"""),"JALAN LAUTE 3")</f>
        <v>JALAN LAUTE 3</v>
      </c>
      <c r="L1288" s="36"/>
      <c r="M1288" s="36"/>
      <c r="N1288" s="36"/>
      <c r="O1288" s="36"/>
      <c r="P1288" s="36"/>
      <c r="Q1288" s="36"/>
      <c r="R1288" s="36" t="str">
        <f>IFERROR(__xludf.DUMMYFUNCTION("""COMPUTED_VALUE"""),"BK")</f>
        <v>BK</v>
      </c>
      <c r="S1288" s="39"/>
    </row>
    <row r="1289">
      <c r="B1289" s="36" t="str">
        <f>IFERROR(__xludf.DUMMYFUNCTION("""COMPUTED_VALUE"""),"Perakitan Komponen Fabrikasi")</f>
        <v>Perakitan Komponen Fabrikasi</v>
      </c>
      <c r="C1289" s="36"/>
      <c r="D1289" s="36"/>
      <c r="E1289" s="36"/>
      <c r="F1289" s="36" t="str">
        <f>IFERROR(__xludf.DUMMYFUNCTION("""COMPUTED_VALUE"""),"ADHIT RAHMAT SYAIFULLAH")</f>
        <v>ADHIT RAHMAT SYAIFULLAH</v>
      </c>
      <c r="G1289" s="36" t="str">
        <f>IFERROR(__xludf.DUMMYFUNCTION("""COMPUTED_VALUE"""),"7472061811070002")</f>
        <v>7472061811070002</v>
      </c>
      <c r="H1289" s="36"/>
      <c r="I1289" s="36"/>
      <c r="J1289" s="36" t="str">
        <f>IFERROR(__xludf.DUMMYFUNCTION("""COMPUTED_VALUE"""),"LAKI-LAKI")</f>
        <v>LAKI-LAKI</v>
      </c>
      <c r="K1289" s="36" t="str">
        <f>IFERROR(__xludf.DUMMYFUNCTION("""COMPUTED_VALUE"""),"JL. SULTAN LABUKE")</f>
        <v>JL. SULTAN LABUKE</v>
      </c>
      <c r="L1289" s="36"/>
      <c r="M1289" s="36"/>
      <c r="N1289" s="36"/>
      <c r="O1289" s="36"/>
      <c r="P1289" s="36"/>
      <c r="Q1289" s="36"/>
      <c r="R1289" s="36" t="str">
        <f>IFERROR(__xludf.DUMMYFUNCTION("""COMPUTED_VALUE"""),"K")</f>
        <v>K</v>
      </c>
      <c r="S1289" s="39"/>
    </row>
    <row r="1290">
      <c r="B1290" s="36" t="str">
        <f>IFERROR(__xludf.DUMMYFUNCTION("""COMPUTED_VALUE"""),"Perakitan Komponen Fabrikasi")</f>
        <v>Perakitan Komponen Fabrikasi</v>
      </c>
      <c r="C1290" s="36"/>
      <c r="D1290" s="36"/>
      <c r="E1290" s="36"/>
      <c r="F1290" s="36" t="str">
        <f>IFERROR(__xludf.DUMMYFUNCTION("""COMPUTED_VALUE"""),"VIRGIAWAN LISTANTO WAIMURI")</f>
        <v>VIRGIAWAN LISTANTO WAIMURI</v>
      </c>
      <c r="G1290" s="36" t="str">
        <f>IFERROR(__xludf.DUMMYFUNCTION("""COMPUTED_VALUE"""),"9171022711040001")</f>
        <v>9171022711040001</v>
      </c>
      <c r="H1290" s="36"/>
      <c r="I1290" s="36"/>
      <c r="J1290" s="36" t="str">
        <f>IFERROR(__xludf.DUMMYFUNCTION("""COMPUTED_VALUE"""),"LAKI-LAKI")</f>
        <v>LAKI-LAKI</v>
      </c>
      <c r="K1290" s="36" t="str">
        <f>IFERROR(__xludf.DUMMYFUNCTION("""COMPUTED_VALUE"""),"JL BATU KARANG")</f>
        <v>JL BATU KARANG</v>
      </c>
      <c r="L1290" s="36"/>
      <c r="M1290" s="36"/>
      <c r="N1290" s="36"/>
      <c r="O1290" s="36"/>
      <c r="P1290" s="36"/>
      <c r="Q1290" s="36"/>
      <c r="R1290" s="36" t="str">
        <f>IFERROR(__xludf.DUMMYFUNCTION("""COMPUTED_VALUE"""),"BK")</f>
        <v>BK</v>
      </c>
      <c r="S1290" s="39"/>
    </row>
    <row r="1291">
      <c r="B1291" s="36" t="str">
        <f>IFERROR(__xludf.DUMMYFUNCTION("""COMPUTED_VALUE"""),"Perakitan Komponen Fabrikasi")</f>
        <v>Perakitan Komponen Fabrikasi</v>
      </c>
      <c r="C1291" s="36"/>
      <c r="D1291" s="36"/>
      <c r="E1291" s="36"/>
      <c r="F1291" s="36" t="str">
        <f>IFERROR(__xludf.DUMMYFUNCTION("""COMPUTED_VALUE"""),"BAHARUDIN")</f>
        <v>BAHARUDIN</v>
      </c>
      <c r="G1291" s="36" t="str">
        <f>IFERROR(__xludf.DUMMYFUNCTION("""COMPUTED_VALUE"""),"7403321810070001")</f>
        <v>7403321810070001</v>
      </c>
      <c r="H1291" s="36"/>
      <c r="I1291" s="36"/>
      <c r="J1291" s="36" t="str">
        <f>IFERROR(__xludf.DUMMYFUNCTION("""COMPUTED_VALUE"""),"LAKI-LAKI")</f>
        <v>LAKI-LAKI</v>
      </c>
      <c r="K1291" s="36" t="str">
        <f>IFERROR(__xludf.DUMMYFUNCTION("""COMPUTED_VALUE"""),"DESA WALE ALE")</f>
        <v>DESA WALE ALE</v>
      </c>
      <c r="L1291" s="36"/>
      <c r="M1291" s="36"/>
      <c r="N1291" s="36"/>
      <c r="O1291" s="36"/>
      <c r="P1291" s="36"/>
      <c r="Q1291" s="36"/>
      <c r="R1291" s="36" t="str">
        <f>IFERROR(__xludf.DUMMYFUNCTION("""COMPUTED_VALUE"""),"K")</f>
        <v>K</v>
      </c>
      <c r="S1291" s="39"/>
    </row>
    <row r="1292">
      <c r="B1292" s="36" t="str">
        <f>IFERROR(__xludf.DUMMYFUNCTION("""COMPUTED_VALUE"""),"Perakitan Komponen Fabrikasi")</f>
        <v>Perakitan Komponen Fabrikasi</v>
      </c>
      <c r="C1292" s="36"/>
      <c r="D1292" s="36"/>
      <c r="E1292" s="36"/>
      <c r="F1292" s="36" t="str">
        <f>IFERROR(__xludf.DUMMYFUNCTION("""COMPUTED_VALUE"""),"IZHAR")</f>
        <v>IZHAR</v>
      </c>
      <c r="G1292" s="36" t="str">
        <f>IFERROR(__xludf.DUMMYFUNCTION("""COMPUTED_VALUE"""),"7410011405780001")</f>
        <v>7410011405780001</v>
      </c>
      <c r="H1292" s="36"/>
      <c r="I1292" s="36"/>
      <c r="J1292" s="36" t="str">
        <f>IFERROR(__xludf.DUMMYFUNCTION("""COMPUTED_VALUE"""),"LAKI-LAKI")</f>
        <v>LAKI-LAKI</v>
      </c>
      <c r="K1292" s="36" t="str">
        <f>IFERROR(__xludf.DUMMYFUNCTION("""COMPUTED_VALUE"""),"PORIS GAGA. RT/RW 003/001. BATU CEPER. TANGERANG KOTA, BANTEN.")</f>
        <v>PORIS GAGA. RT/RW 003/001. BATU CEPER. TANGERANG KOTA, BANTEN.</v>
      </c>
      <c r="L1292" s="36"/>
      <c r="M1292" s="36"/>
      <c r="N1292" s="36"/>
      <c r="O1292" s="36"/>
      <c r="P1292" s="36"/>
      <c r="Q1292" s="36"/>
      <c r="R1292" s="36" t="str">
        <f>IFERROR(__xludf.DUMMYFUNCTION("""COMPUTED_VALUE"""),"K")</f>
        <v>K</v>
      </c>
      <c r="S1292" s="39"/>
    </row>
    <row r="1293">
      <c r="B1293" s="36" t="str">
        <f>IFERROR(__xludf.DUMMYFUNCTION("""COMPUTED_VALUE"""),"Perakitan Komponen Fabrikasi")</f>
        <v>Perakitan Komponen Fabrikasi</v>
      </c>
      <c r="C1293" s="36"/>
      <c r="D1293" s="36"/>
      <c r="E1293" s="36"/>
      <c r="F1293" s="36" t="str">
        <f>IFERROR(__xludf.DUMMYFUNCTION("""COMPUTED_VALUE"""),"MUHAMMAD PUTRA FAJAR T. ")</f>
        <v>MUHAMMAD PUTRA FAJAR T. </v>
      </c>
      <c r="G1293" s="36" t="str">
        <f>IFERROR(__xludf.DUMMYFUNCTION("""COMPUTED_VALUE"""),"7405192209960001")</f>
        <v>7405192209960001</v>
      </c>
      <c r="H1293" s="36"/>
      <c r="I1293" s="36"/>
      <c r="J1293" s="36" t="str">
        <f>IFERROR(__xludf.DUMMYFUNCTION("""COMPUTED_VALUE"""),"LAKI-LAKI")</f>
        <v>LAKI-LAKI</v>
      </c>
      <c r="K1293" s="36" t="str">
        <f>IFERROR(__xludf.DUMMYFUNCTION("""COMPUTED_VALUE"""),"RT 002 RW 001,DESA MEKARSARI, KECAMATAN PALANGGA, KABUPATEN KONAWE SELATAN")</f>
        <v>RT 002 RW 001,DESA MEKARSARI, KECAMATAN PALANGGA, KABUPATEN KONAWE SELATAN</v>
      </c>
      <c r="L1293" s="36"/>
      <c r="M1293" s="36"/>
      <c r="N1293" s="36"/>
      <c r="O1293" s="36"/>
      <c r="P1293" s="36"/>
      <c r="Q1293" s="36"/>
      <c r="R1293" s="36" t="str">
        <f>IFERROR(__xludf.DUMMYFUNCTION("""COMPUTED_VALUE"""),"K")</f>
        <v>K</v>
      </c>
      <c r="S1293" s="39"/>
    </row>
    <row r="1294">
      <c r="B1294" s="36" t="str">
        <f>IFERROR(__xludf.DUMMYFUNCTION("""COMPUTED_VALUE"""),"Perakitan Komponen Fabrikasi")</f>
        <v>Perakitan Komponen Fabrikasi</v>
      </c>
      <c r="C1294" s="36"/>
      <c r="D1294" s="36"/>
      <c r="E1294" s="36"/>
      <c r="F1294" s="36" t="str">
        <f>IFERROR(__xludf.DUMMYFUNCTION("""COMPUTED_VALUE"""),"MUHAMAD ALHADY HASIB")</f>
        <v>MUHAMAD ALHADY HASIB</v>
      </c>
      <c r="G1294" s="36" t="str">
        <f>IFERROR(__xludf.DUMMYFUNCTION("""COMPUTED_VALUE"""),"9109012306030002")</f>
        <v>9109012306030002</v>
      </c>
      <c r="H1294" s="36"/>
      <c r="I1294" s="36"/>
      <c r="J1294" s="36" t="str">
        <f>IFERROR(__xludf.DUMMYFUNCTION("""COMPUTED_VALUE"""),"LAKI-LAKI")</f>
        <v>LAKI-LAKI</v>
      </c>
      <c r="K1294" s="36" t="str">
        <f>IFERROR(__xludf.DUMMYFUNCTION("""COMPUTED_VALUE"""),"JL. MARTADINATA NO 54, RT 003/ RW 002, KEL. BATULO, KECAMATAN WOLIO")</f>
        <v>JL. MARTADINATA NO 54, RT 003/ RW 002, KEL. BATULO, KECAMATAN WOLIO</v>
      </c>
      <c r="L1294" s="36"/>
      <c r="M1294" s="36"/>
      <c r="N1294" s="36"/>
      <c r="O1294" s="36"/>
      <c r="P1294" s="36"/>
      <c r="Q1294" s="36"/>
      <c r="R1294" s="36" t="str">
        <f>IFERROR(__xludf.DUMMYFUNCTION("""COMPUTED_VALUE"""),"K")</f>
        <v>K</v>
      </c>
      <c r="S1294" s="39"/>
    </row>
    <row r="1295">
      <c r="B1295" s="36" t="str">
        <f>IFERROR(__xludf.DUMMYFUNCTION("""COMPUTED_VALUE"""),"Perakitan Komponen Fabrikasi")</f>
        <v>Perakitan Komponen Fabrikasi</v>
      </c>
      <c r="C1295" s="36"/>
      <c r="D1295" s="36"/>
      <c r="E1295" s="36"/>
      <c r="F1295" s="36" t="str">
        <f>IFERROR(__xludf.DUMMYFUNCTION("""COMPUTED_VALUE"""),"ANDI RAHMAT HIDAYAT ")</f>
        <v>ANDI RAHMAT HIDAYAT </v>
      </c>
      <c r="G1295" s="36" t="str">
        <f>IFERROR(__xludf.DUMMYFUNCTION("""COMPUTED_VALUE"""),"7403140412030201")</f>
        <v>7403140412030201</v>
      </c>
      <c r="H1295" s="36"/>
      <c r="I1295" s="36"/>
      <c r="J1295" s="36" t="str">
        <f>IFERROR(__xludf.DUMMYFUNCTION("""COMPUTED_VALUE"""),"LAKI-LAKI")</f>
        <v>LAKI-LAKI</v>
      </c>
      <c r="K1295" s="36" t="str">
        <f>IFERROR(__xludf.DUMMYFUNCTION("""COMPUTED_VALUE"""),"KELURAHAN DANA, KECAMATAN WATOPUTE")</f>
        <v>KELURAHAN DANA, KECAMATAN WATOPUTE</v>
      </c>
      <c r="L1295" s="36"/>
      <c r="M1295" s="36"/>
      <c r="N1295" s="36"/>
      <c r="O1295" s="36"/>
      <c r="P1295" s="36"/>
      <c r="Q1295" s="36"/>
      <c r="R1295" s="36" t="str">
        <f>IFERROR(__xludf.DUMMYFUNCTION("""COMPUTED_VALUE"""),"K")</f>
        <v>K</v>
      </c>
      <c r="S1295" s="39"/>
    </row>
    <row r="1296">
      <c r="B1296" s="36" t="str">
        <f>IFERROR(__xludf.DUMMYFUNCTION("""COMPUTED_VALUE"""),"Perakitan Komponen Fabrikasi")</f>
        <v>Perakitan Komponen Fabrikasi</v>
      </c>
      <c r="C1296" s="36"/>
      <c r="D1296" s="36"/>
      <c r="E1296" s="36"/>
      <c r="F1296" s="36" t="str">
        <f>IFERROR(__xludf.DUMMYFUNCTION("""COMPUTED_VALUE"""),"KTT FERRY SP")</f>
        <v>KTT FERRY SP</v>
      </c>
      <c r="G1296" s="36" t="str">
        <f>IFERROR(__xludf.DUMMYFUNCTION("""COMPUTED_VALUE"""),"7471031809040001")</f>
        <v>7471031809040001</v>
      </c>
      <c r="H1296" s="36"/>
      <c r="I1296" s="36"/>
      <c r="J1296" s="36" t="str">
        <f>IFERROR(__xludf.DUMMYFUNCTION("""COMPUTED_VALUE"""),"LAKI-LAKI")</f>
        <v>LAKI-LAKI</v>
      </c>
      <c r="K1296" s="36" t="str">
        <f>IFERROR(__xludf.DUMMYFUNCTION("""COMPUTED_VALUE"""),"JL.KOSGORO")</f>
        <v>JL.KOSGORO</v>
      </c>
      <c r="L1296" s="36"/>
      <c r="M1296" s="36"/>
      <c r="N1296" s="36"/>
      <c r="O1296" s="36"/>
      <c r="P1296" s="36"/>
      <c r="Q1296" s="36"/>
      <c r="R1296" s="36" t="str">
        <f>IFERROR(__xludf.DUMMYFUNCTION("""COMPUTED_VALUE"""),"BK")</f>
        <v>BK</v>
      </c>
      <c r="S1296" s="39"/>
    </row>
    <row r="1297">
      <c r="B1297" s="36" t="str">
        <f>IFERROR(__xludf.DUMMYFUNCTION("""COMPUTED_VALUE"""),"Perakitan Komponen Fabrikasi")</f>
        <v>Perakitan Komponen Fabrikasi</v>
      </c>
      <c r="C1297" s="36"/>
      <c r="D1297" s="36"/>
      <c r="E1297" s="36"/>
      <c r="F1297" s="36" t="str">
        <f>IFERROR(__xludf.DUMMYFUNCTION("""COMPUTED_VALUE"""),"RAMLI")</f>
        <v>RAMLI</v>
      </c>
      <c r="G1297" s="36" t="str">
        <f>IFERROR(__xludf.DUMMYFUNCTION("""COMPUTED_VALUE"""),"7403322403070001")</f>
        <v>7403322403070001</v>
      </c>
      <c r="H1297" s="36"/>
      <c r="I1297" s="36"/>
      <c r="J1297" s="36" t="str">
        <f>IFERROR(__xludf.DUMMYFUNCTION("""COMPUTED_VALUE"""),"LAKI-LAKI")</f>
        <v>LAKI-LAKI</v>
      </c>
      <c r="K1297" s="36" t="str">
        <f>IFERROR(__xludf.DUMMYFUNCTION("""COMPUTED_VALUE"""),"DESA WALE ALE")</f>
        <v>DESA WALE ALE</v>
      </c>
      <c r="L1297" s="36"/>
      <c r="M1297" s="36"/>
      <c r="N1297" s="36"/>
      <c r="O1297" s="36"/>
      <c r="P1297" s="36"/>
      <c r="Q1297" s="36"/>
      <c r="R1297" s="36" t="str">
        <f>IFERROR(__xludf.DUMMYFUNCTION("""COMPUTED_VALUE"""),"BK")</f>
        <v>BK</v>
      </c>
      <c r="S1297" s="39"/>
    </row>
    <row r="1298">
      <c r="B1298" s="36" t="str">
        <f>IFERROR(__xludf.DUMMYFUNCTION("""COMPUTED_VALUE"""),"Perakitan Komponen Fabrikasi")</f>
        <v>Perakitan Komponen Fabrikasi</v>
      </c>
      <c r="C1298" s="36"/>
      <c r="D1298" s="36"/>
      <c r="E1298" s="36"/>
      <c r="F1298" s="36" t="str">
        <f>IFERROR(__xludf.DUMMYFUNCTION("""COMPUTED_VALUE"""),"SATRIA LEGI AWAL")</f>
        <v>SATRIA LEGI AWAL</v>
      </c>
      <c r="G1298" s="36" t="str">
        <f>IFERROR(__xludf.DUMMYFUNCTION("""COMPUTED_VALUE"""),"7471051311930001")</f>
        <v>7471051311930001</v>
      </c>
      <c r="H1298" s="36"/>
      <c r="I1298" s="36"/>
      <c r="J1298" s="36" t="str">
        <f>IFERROR(__xludf.DUMMYFUNCTION("""COMPUTED_VALUE"""),"LAKI-LAKI")</f>
        <v>LAKI-LAKI</v>
      </c>
      <c r="K1298" s="36" t="str">
        <f>IFERROR(__xludf.DUMMYFUNCTION("""COMPUTED_VALUE"""),"JL. DR MOH HATTA NO.8J")</f>
        <v>JL. DR MOH HATTA NO.8J</v>
      </c>
      <c r="L1298" s="36"/>
      <c r="M1298" s="36"/>
      <c r="N1298" s="36"/>
      <c r="O1298" s="36"/>
      <c r="P1298" s="36"/>
      <c r="Q1298" s="36"/>
      <c r="R1298" s="36" t="str">
        <f>IFERROR(__xludf.DUMMYFUNCTION("""COMPUTED_VALUE"""),"K")</f>
        <v>K</v>
      </c>
      <c r="S1298" s="39"/>
    </row>
    <row r="1299">
      <c r="B1299" s="36" t="str">
        <f>IFERROR(__xludf.DUMMYFUNCTION("""COMPUTED_VALUE"""),"Perakitan Komponen Fabrikasi")</f>
        <v>Perakitan Komponen Fabrikasi</v>
      </c>
      <c r="C1299" s="36"/>
      <c r="D1299" s="36"/>
      <c r="E1299" s="36"/>
      <c r="F1299" s="36" t="str">
        <f>IFERROR(__xludf.DUMMYFUNCTION("""COMPUTED_VALUE"""),"AHMAD GUSTAM ")</f>
        <v>AHMAD GUSTAM </v>
      </c>
      <c r="G1299" s="36" t="str">
        <f>IFERROR(__xludf.DUMMYFUNCTION("""COMPUTED_VALUE"""),"7485181208010002")</f>
        <v>7485181208010002</v>
      </c>
      <c r="H1299" s="36"/>
      <c r="I1299" s="36"/>
      <c r="J1299" s="36" t="str">
        <f>IFERROR(__xludf.DUMMYFUNCTION("""COMPUTED_VALUE"""),"LAKI-LAKI")</f>
        <v>LAKI-LAKI</v>
      </c>
      <c r="K1299" s="36" t="str">
        <f>IFERROR(__xludf.DUMMYFUNCTION("""COMPUTED_VALUE"""),"DESA AOMA KEC,WOLASI KAB,KONAWE SELATAN ")</f>
        <v>DESA AOMA KEC,WOLASI KAB,KONAWE SELATAN </v>
      </c>
      <c r="L1299" s="36"/>
      <c r="M1299" s="36"/>
      <c r="N1299" s="36"/>
      <c r="O1299" s="36"/>
      <c r="P1299" s="36"/>
      <c r="Q1299" s="36"/>
      <c r="R1299" s="36" t="str">
        <f>IFERROR(__xludf.DUMMYFUNCTION("""COMPUTED_VALUE"""),"K")</f>
        <v>K</v>
      </c>
      <c r="S1299" s="39"/>
    </row>
    <row r="1300">
      <c r="B1300" s="36" t="str">
        <f>IFERROR(__xludf.DUMMYFUNCTION("""COMPUTED_VALUE"""),"Perakitan Komponen Fabrikasi")</f>
        <v>Perakitan Komponen Fabrikasi</v>
      </c>
      <c r="C1300" s="36"/>
      <c r="D1300" s="36"/>
      <c r="E1300" s="36"/>
      <c r="F1300" s="36" t="str">
        <f>IFERROR(__xludf.DUMMYFUNCTION("""COMPUTED_VALUE"""),"SLAMET MULYONO ")</f>
        <v>SLAMET MULYONO </v>
      </c>
      <c r="G1300" s="36" t="str">
        <f>IFERROR(__xludf.DUMMYFUNCTION("""COMPUTED_VALUE"""),"7405081711710001")</f>
        <v>7405081711710001</v>
      </c>
      <c r="H1300" s="36"/>
      <c r="I1300" s="36"/>
      <c r="J1300" s="36" t="str">
        <f>IFERROR(__xludf.DUMMYFUNCTION("""COMPUTED_VALUE"""),"LAKI-LAKI")</f>
        <v>LAKI-LAKI</v>
      </c>
      <c r="K1300" s="36" t="str">
        <f>IFERROR(__xludf.DUMMYFUNCTION("""COMPUTED_VALUE"""),"BTN SILVA MAS BLOKA/9
KELURAHAN MOKOAU 
KECAMATAN KAMBU 
KOTA KENDARI 
SULAWESI TENGGARA ")</f>
        <v>BTN SILVA MAS BLOKA/9
KELURAHAN MOKOAU 
KECAMATAN KAMBU 
KOTA KENDARI 
SULAWESI TENGGARA </v>
      </c>
      <c r="L1300" s="36"/>
      <c r="M1300" s="36"/>
      <c r="N1300" s="36"/>
      <c r="O1300" s="36"/>
      <c r="P1300" s="36"/>
      <c r="Q1300" s="36"/>
      <c r="R1300" s="36" t="str">
        <f>IFERROR(__xludf.DUMMYFUNCTION("""COMPUTED_VALUE"""),"K")</f>
        <v>K</v>
      </c>
      <c r="S1300" s="39"/>
    </row>
    <row r="1301">
      <c r="B1301" s="36" t="str">
        <f>IFERROR(__xludf.DUMMYFUNCTION("""COMPUTED_VALUE"""),"Perakitan Komponen Fabrikasi")</f>
        <v>Perakitan Komponen Fabrikasi</v>
      </c>
      <c r="C1301" s="36"/>
      <c r="D1301" s="36"/>
      <c r="E1301" s="36"/>
      <c r="F1301" s="36" t="str">
        <f>IFERROR(__xludf.DUMMYFUNCTION("""COMPUTED_VALUE"""),"FADLI APRIYANTO ")</f>
        <v>FADLI APRIYANTO </v>
      </c>
      <c r="G1301" s="36" t="str">
        <f>IFERROR(__xludf.DUMMYFUNCTION("""COMPUTED_VALUE"""),"7471090422060002")</f>
        <v>7471090422060002</v>
      </c>
      <c r="H1301" s="36"/>
      <c r="I1301" s="36"/>
      <c r="J1301" s="36" t="str">
        <f>IFERROR(__xludf.DUMMYFUNCTION("""COMPUTED_VALUE"""),"LAKI-LAKI")</f>
        <v>LAKI-LAKI</v>
      </c>
      <c r="K1301" s="36" t="str">
        <f>IFERROR(__xludf.DUMMYFUNCTION("""COMPUTED_VALUE"""),"JL. HAEBA UJUNG ")</f>
        <v>JL. HAEBA UJUNG </v>
      </c>
      <c r="L1301" s="36"/>
      <c r="M1301" s="36"/>
      <c r="N1301" s="36"/>
      <c r="O1301" s="36"/>
      <c r="P1301" s="36"/>
      <c r="Q1301" s="36"/>
      <c r="R1301" s="36" t="str">
        <f>IFERROR(__xludf.DUMMYFUNCTION("""COMPUTED_VALUE"""),"K")</f>
        <v>K</v>
      </c>
      <c r="S1301" s="39"/>
    </row>
    <row r="1302">
      <c r="B1302" s="36" t="str">
        <f>IFERROR(__xludf.DUMMYFUNCTION("""COMPUTED_VALUE"""),"Perakitan Komponen Fabrikasi")</f>
        <v>Perakitan Komponen Fabrikasi</v>
      </c>
      <c r="C1302" s="36"/>
      <c r="D1302" s="36"/>
      <c r="E1302" s="36"/>
      <c r="F1302" s="36" t="str">
        <f>IFERROR(__xludf.DUMMYFUNCTION("""COMPUTED_VALUE"""),"FAUZI")</f>
        <v>FAUZI</v>
      </c>
      <c r="G1302" s="36" t="str">
        <f>IFERROR(__xludf.DUMMYFUNCTION("""COMPUTED_VALUE"""),"7404192505080001")</f>
        <v>7404192505080001</v>
      </c>
      <c r="H1302" s="36"/>
      <c r="I1302" s="36"/>
      <c r="J1302" s="36" t="str">
        <f>IFERROR(__xludf.DUMMYFUNCTION("""COMPUTED_VALUE"""),"LAKI-LAKI")</f>
        <v>LAKI-LAKI</v>
      </c>
      <c r="K1302" s="36" t="str">
        <f>IFERROR(__xludf.DUMMYFUNCTION("""COMPUTED_VALUE"""),"WAWOLAA")</f>
        <v>WAWOLAA</v>
      </c>
      <c r="L1302" s="36"/>
      <c r="M1302" s="36"/>
      <c r="N1302" s="36"/>
      <c r="O1302" s="36"/>
      <c r="P1302" s="36"/>
      <c r="Q1302" s="36"/>
      <c r="R1302" s="36" t="str">
        <f>IFERROR(__xludf.DUMMYFUNCTION("""COMPUTED_VALUE"""),"K")</f>
        <v>K</v>
      </c>
      <c r="S1302" s="39"/>
    </row>
    <row r="1303">
      <c r="B1303" s="36" t="str">
        <f>IFERROR(__xludf.DUMMYFUNCTION("""COMPUTED_VALUE"""),"Perakitan Komponen Fabrikasi")</f>
        <v>Perakitan Komponen Fabrikasi</v>
      </c>
      <c r="C1303" s="36"/>
      <c r="D1303" s="36"/>
      <c r="E1303" s="36"/>
      <c r="F1303" s="36" t="str">
        <f>IFERROR(__xludf.DUMMYFUNCTION("""COMPUTED_VALUE"""),"HIDAYAT AKBAR ")</f>
        <v>HIDAYAT AKBAR </v>
      </c>
      <c r="G1303" s="36" t="str">
        <f>IFERROR(__xludf.DUMMYFUNCTION("""COMPUTED_VALUE"""),"7471071311080002")</f>
        <v>7471071311080002</v>
      </c>
      <c r="H1303" s="36"/>
      <c r="I1303" s="36"/>
      <c r="J1303" s="36" t="str">
        <f>IFERROR(__xludf.DUMMYFUNCTION("""COMPUTED_VALUE"""),"LAKI-LAKI")</f>
        <v>LAKI-LAKI</v>
      </c>
      <c r="K1303" s="36" t="str">
        <f>IFERROR(__xludf.DUMMYFUNCTION("""COMPUTED_VALUE"""),"JL. TUNGGALA II")</f>
        <v>JL. TUNGGALA II</v>
      </c>
      <c r="L1303" s="36"/>
      <c r="M1303" s="36"/>
      <c r="N1303" s="36"/>
      <c r="O1303" s="36"/>
      <c r="P1303" s="36"/>
      <c r="Q1303" s="36"/>
      <c r="R1303" s="36" t="str">
        <f>IFERROR(__xludf.DUMMYFUNCTION("""COMPUTED_VALUE"""),"BK")</f>
        <v>BK</v>
      </c>
      <c r="S1303" s="39"/>
    </row>
    <row r="1304">
      <c r="B1304" s="36" t="str">
        <f>IFERROR(__xludf.DUMMYFUNCTION("""COMPUTED_VALUE"""),"Perakitan Komponen Fabrikasi")</f>
        <v>Perakitan Komponen Fabrikasi</v>
      </c>
      <c r="C1304" s="36"/>
      <c r="D1304" s="36"/>
      <c r="E1304" s="36"/>
      <c r="F1304" s="36" t="str">
        <f>IFERROR(__xludf.DUMMYFUNCTION("""COMPUTED_VALUE"""),"WAYAN ARYANDIKA ")</f>
        <v>WAYAN ARYANDIKA </v>
      </c>
      <c r="G1304" s="36" t="str">
        <f>IFERROR(__xludf.DUMMYFUNCTION("""COMPUTED_VALUE"""),"7405010506080001")</f>
        <v>7405010506080001</v>
      </c>
      <c r="H1304" s="36"/>
      <c r="I1304" s="36"/>
      <c r="J1304" s="36" t="str">
        <f>IFERROR(__xludf.DUMMYFUNCTION("""COMPUTED_VALUE"""),"LAKI-LAKI")</f>
        <v>LAKI-LAKI</v>
      </c>
      <c r="K1304" s="36" t="str">
        <f>IFERROR(__xludf.DUMMYFUNCTION("""COMPUTED_VALUE"""),"LASUAI,KEC.TINAGGEA,KAB.KONAWE SELATAN")</f>
        <v>LASUAI,KEC.TINAGGEA,KAB.KONAWE SELATAN</v>
      </c>
      <c r="L1304" s="36"/>
      <c r="M1304" s="36"/>
      <c r="N1304" s="36"/>
      <c r="O1304" s="36"/>
      <c r="P1304" s="36"/>
      <c r="Q1304" s="36"/>
      <c r="R1304" s="36" t="str">
        <f>IFERROR(__xludf.DUMMYFUNCTION("""COMPUTED_VALUE"""),"K")</f>
        <v>K</v>
      </c>
      <c r="S1304" s="39"/>
    </row>
    <row r="1305">
      <c r="B1305" s="36" t="str">
        <f>IFERROR(__xludf.DUMMYFUNCTION("""COMPUTED_VALUE"""),"Perakitan Komponen Fabrikasi")</f>
        <v>Perakitan Komponen Fabrikasi</v>
      </c>
      <c r="C1305" s="36"/>
      <c r="D1305" s="36"/>
      <c r="E1305" s="36"/>
      <c r="F1305" s="36" t="str">
        <f>IFERROR(__xludf.DUMMYFUNCTION("""COMPUTED_VALUE"""),"PUTU NESTA AGUS PERMANA ")</f>
        <v>PUTU NESTA AGUS PERMANA </v>
      </c>
      <c r="G1305" s="36" t="str">
        <f>IFERROR(__xludf.DUMMYFUNCTION("""COMPUTED_VALUE"""),"7405053108070002")</f>
        <v>7405053108070002</v>
      </c>
      <c r="H1305" s="36"/>
      <c r="I1305" s="36"/>
      <c r="J1305" s="36" t="str">
        <f>IFERROR(__xludf.DUMMYFUNCTION("""COMPUTED_VALUE"""),"LAKI-LAKI")</f>
        <v>LAKI-LAKI</v>
      </c>
      <c r="K1305" s="36" t="str">
        <f>IFERROR(__xludf.DUMMYFUNCTION("""COMPUTED_VALUE"""),"DUSU 11")</f>
        <v>DUSU 11</v>
      </c>
      <c r="L1305" s="36"/>
      <c r="M1305" s="36"/>
      <c r="N1305" s="36"/>
      <c r="O1305" s="36"/>
      <c r="P1305" s="36"/>
      <c r="Q1305" s="36"/>
      <c r="R1305" s="36" t="str">
        <f>IFERROR(__xludf.DUMMYFUNCTION("""COMPUTED_VALUE"""),"-")</f>
        <v>-</v>
      </c>
      <c r="S1305" s="39"/>
    </row>
    <row r="1306">
      <c r="B1306" s="36" t="str">
        <f>IFERROR(__xludf.DUMMYFUNCTION("""COMPUTED_VALUE"""),"Perakitan Komponen Fabrikasi")</f>
        <v>Perakitan Komponen Fabrikasi</v>
      </c>
      <c r="C1306" s="36"/>
      <c r="D1306" s="36"/>
      <c r="E1306" s="36"/>
      <c r="F1306" s="36" t="str">
        <f>IFERROR(__xludf.DUMMYFUNCTION("""COMPUTED_VALUE"""),"JUMAR PRATAMA AL HABIB")</f>
        <v>JUMAR PRATAMA AL HABIB</v>
      </c>
      <c r="G1306" s="36" t="str">
        <f>IFERROR(__xludf.DUMMYFUNCTION("""COMPUTED_VALUE"""),"7472050109000001")</f>
        <v>7472050109000001</v>
      </c>
      <c r="H1306" s="36"/>
      <c r="I1306" s="36"/>
      <c r="J1306" s="36" t="str">
        <f>IFERROR(__xludf.DUMMYFUNCTION("""COMPUTED_VALUE"""),"LAKI-LAKI")</f>
        <v>LAKI-LAKI</v>
      </c>
      <c r="K1306" s="36" t="str">
        <f>IFERROR(__xludf.DUMMYFUNCTION("""COMPUTED_VALUE"""),"BTN PERMATA ANAWAI")</f>
        <v>BTN PERMATA ANAWAI</v>
      </c>
      <c r="L1306" s="36"/>
      <c r="M1306" s="36"/>
      <c r="N1306" s="36"/>
      <c r="O1306" s="36"/>
      <c r="P1306" s="36"/>
      <c r="Q1306" s="36"/>
      <c r="R1306" s="36" t="str">
        <f>IFERROR(__xludf.DUMMYFUNCTION("""COMPUTED_VALUE"""),"BK")</f>
        <v>BK</v>
      </c>
      <c r="S1306" s="39"/>
    </row>
    <row r="1307">
      <c r="B1307" s="36" t="str">
        <f>IFERROR(__xludf.DUMMYFUNCTION("""COMPUTED_VALUE"""),"Perakitan Komponen Fabrikasi")</f>
        <v>Perakitan Komponen Fabrikasi</v>
      </c>
      <c r="C1307" s="36"/>
      <c r="D1307" s="36"/>
      <c r="E1307" s="36"/>
      <c r="F1307" s="36" t="str">
        <f>IFERROR(__xludf.DUMMYFUNCTION("""COMPUTED_VALUE"""),"MIRAD TRI AGUS SETIAWAN ")</f>
        <v>MIRAD TRI AGUS SETIAWAN </v>
      </c>
      <c r="G1307" s="36" t="str">
        <f>IFERROR(__xludf.DUMMYFUNCTION("""COMPUTED_VALUE"""),"7402030708070001")</f>
        <v>7402030708070001</v>
      </c>
      <c r="H1307" s="36"/>
      <c r="I1307" s="36"/>
      <c r="J1307" s="36" t="str">
        <f>IFERROR(__xludf.DUMMYFUNCTION("""COMPUTED_VALUE"""),"LAKI-LAKI")</f>
        <v>LAKI-LAKI</v>
      </c>
      <c r="K1307" s="36" t="str">
        <f>IFERROR(__xludf.DUMMYFUNCTION("""COMPUTED_VALUE"""),"KULAHI WAWOTOBI ")</f>
        <v>KULAHI WAWOTOBI </v>
      </c>
      <c r="L1307" s="36"/>
      <c r="M1307" s="36"/>
      <c r="N1307" s="36"/>
      <c r="O1307" s="36"/>
      <c r="P1307" s="36"/>
      <c r="Q1307" s="36"/>
      <c r="R1307" s="36" t="str">
        <f>IFERROR(__xludf.DUMMYFUNCTION("""COMPUTED_VALUE"""),"BK")</f>
        <v>BK</v>
      </c>
      <c r="S1307" s="39"/>
    </row>
    <row r="1308">
      <c r="B1308" s="36" t="str">
        <f>IFERROR(__xludf.DUMMYFUNCTION("""COMPUTED_VALUE"""),"Perakitan Komponen Fabrikasi")</f>
        <v>Perakitan Komponen Fabrikasi</v>
      </c>
      <c r="C1308" s="36"/>
      <c r="D1308" s="36"/>
      <c r="E1308" s="36"/>
      <c r="F1308" s="36" t="str">
        <f>IFERROR(__xludf.DUMMYFUNCTION("""COMPUTED_VALUE"""),"MAELANI")</f>
        <v>MAELANI</v>
      </c>
      <c r="G1308" s="36" t="str">
        <f>IFERROR(__xludf.DUMMYFUNCTION("""COMPUTED_VALUE"""),"7472962610050003")</f>
        <v>7472962610050003</v>
      </c>
      <c r="H1308" s="36"/>
      <c r="I1308" s="36"/>
      <c r="J1308" s="36" t="str">
        <f>IFERROR(__xludf.DUMMYFUNCTION("""COMPUTED_VALUE"""),"LAKI-LAKI")</f>
        <v>LAKI-LAKI</v>
      </c>
      <c r="K1308" s="36" t="str">
        <f>IFERROR(__xludf.DUMMYFUNCTION("""COMPUTED_VALUE"""),"LINGKUNGAN BARIYA")</f>
        <v>LINGKUNGAN BARIYA</v>
      </c>
      <c r="L1308" s="36"/>
      <c r="M1308" s="36"/>
      <c r="N1308" s="36"/>
      <c r="O1308" s="36"/>
      <c r="P1308" s="36"/>
      <c r="Q1308" s="36"/>
      <c r="R1308" s="36" t="str">
        <f>IFERROR(__xludf.DUMMYFUNCTION("""COMPUTED_VALUE"""),"K")</f>
        <v>K</v>
      </c>
      <c r="S1308" s="39"/>
    </row>
    <row r="1309">
      <c r="B1309" s="36" t="str">
        <f>IFERROR(__xludf.DUMMYFUNCTION("""COMPUTED_VALUE"""),"Perakitan Komponen Fabrikasi")</f>
        <v>Perakitan Komponen Fabrikasi</v>
      </c>
      <c r="C1309" s="36"/>
      <c r="D1309" s="36"/>
      <c r="E1309" s="36"/>
      <c r="F1309" s="36" t="str">
        <f>IFERROR(__xludf.DUMMYFUNCTION("""COMPUTED_VALUE"""),"IRFA ARDIANTO")</f>
        <v>IRFA ARDIANTO</v>
      </c>
      <c r="G1309" s="36" t="str">
        <f>IFERROR(__xludf.DUMMYFUNCTION("""COMPUTED_VALUE"""),"7405101703010001")</f>
        <v>7405101703010001</v>
      </c>
      <c r="H1309" s="36"/>
      <c r="I1309" s="36"/>
      <c r="J1309" s="36" t="str">
        <f>IFERROR(__xludf.DUMMYFUNCTION("""COMPUTED_VALUE"""),"LAKI-LAKI")</f>
        <v>LAKI-LAKI</v>
      </c>
      <c r="K1309" s="36" t="str">
        <f>IFERROR(__xludf.DUMMYFUNCTION("""COMPUTED_VALUE"""),"DESA MARGACINTA, KEC. MORAMO, KAB. KONAWE SELATAN")</f>
        <v>DESA MARGACINTA, KEC. MORAMO, KAB. KONAWE SELATAN</v>
      </c>
      <c r="L1309" s="36"/>
      <c r="M1309" s="36"/>
      <c r="N1309" s="36"/>
      <c r="O1309" s="36"/>
      <c r="P1309" s="36"/>
      <c r="Q1309" s="36"/>
      <c r="R1309" s="36" t="str">
        <f>IFERROR(__xludf.DUMMYFUNCTION("""COMPUTED_VALUE"""),"K")</f>
        <v>K</v>
      </c>
      <c r="S1309" s="39"/>
    </row>
    <row r="1310">
      <c r="B1310" s="36" t="str">
        <f>IFERROR(__xludf.DUMMYFUNCTION("""COMPUTED_VALUE"""),"Perakitan Komponen Fabrikasi")</f>
        <v>Perakitan Komponen Fabrikasi</v>
      </c>
      <c r="C1310" s="36"/>
      <c r="D1310" s="36"/>
      <c r="E1310" s="36"/>
      <c r="F1310" s="36" t="str">
        <f>IFERROR(__xludf.DUMMYFUNCTION("""COMPUTED_VALUE"""),"ADI RAHMAN")</f>
        <v>ADI RAHMAN</v>
      </c>
      <c r="G1310" s="36" t="str">
        <f>IFERROR(__xludf.DUMMYFUNCTION("""COMPUTED_VALUE"""),"9171031303070005")</f>
        <v>9171031303070005</v>
      </c>
      <c r="H1310" s="36"/>
      <c r="I1310" s="36"/>
      <c r="J1310" s="36" t="str">
        <f>IFERROR(__xludf.DUMMYFUNCTION("""COMPUTED_VALUE"""),"LAKI-LAKI")</f>
        <v>LAKI-LAKI</v>
      </c>
      <c r="K1310" s="36" t="str">
        <f>IFERROR(__xludf.DUMMYFUNCTION("""COMPUTED_VALUE"""),"ASDIM. KAMPUNG SALO ")</f>
        <v>ASDIM. KAMPUNG SALO </v>
      </c>
      <c r="L1310" s="36"/>
      <c r="M1310" s="36"/>
      <c r="N1310" s="36"/>
      <c r="O1310" s="36"/>
      <c r="P1310" s="36"/>
      <c r="Q1310" s="36"/>
      <c r="R1310" s="36" t="str">
        <f>IFERROR(__xludf.DUMMYFUNCTION("""COMPUTED_VALUE"""),"K")</f>
        <v>K</v>
      </c>
      <c r="S1310" s="39"/>
    </row>
    <row r="1311">
      <c r="B1311" s="36" t="str">
        <f>IFERROR(__xludf.DUMMYFUNCTION("""COMPUTED_VALUE"""),"Perakitan Komponen Fabrikasi")</f>
        <v>Perakitan Komponen Fabrikasi</v>
      </c>
      <c r="C1311" s="36"/>
      <c r="D1311" s="36"/>
      <c r="E1311" s="36"/>
      <c r="F1311" s="36" t="str">
        <f>IFERROR(__xludf.DUMMYFUNCTION("""COMPUTED_VALUE"""),"ANGGA LOGIS SAPUTRA")</f>
        <v>ANGGA LOGIS SAPUTRA</v>
      </c>
      <c r="G1311" s="36" t="str">
        <f>IFERROR(__xludf.DUMMYFUNCTION("""COMPUTED_VALUE"""),"7411012906050001")</f>
        <v>7411012906050001</v>
      </c>
      <c r="H1311" s="36"/>
      <c r="I1311" s="36"/>
      <c r="J1311" s="36" t="str">
        <f>IFERROR(__xludf.DUMMYFUNCTION("""COMPUTED_VALUE"""),"LAKI-LAKI")</f>
        <v>LAKI-LAKI</v>
      </c>
      <c r="K1311" s="36" t="str">
        <f>IFERROR(__xludf.DUMMYFUNCTION("""COMPUTED_VALUE"""),"DESA AHUAWATU")</f>
        <v>DESA AHUAWATU</v>
      </c>
      <c r="L1311" s="36"/>
      <c r="M1311" s="36"/>
      <c r="N1311" s="36"/>
      <c r="O1311" s="36"/>
      <c r="P1311" s="36"/>
      <c r="Q1311" s="36"/>
      <c r="R1311" s="36" t="str">
        <f>IFERROR(__xludf.DUMMYFUNCTION("""COMPUTED_VALUE"""),"K")</f>
        <v>K</v>
      </c>
      <c r="S1311" s="39"/>
    </row>
    <row r="1312">
      <c r="B1312" s="36" t="str">
        <f>IFERROR(__xludf.DUMMYFUNCTION("""COMPUTED_VALUE"""),"Perakitan Komponen Fabrikasi")</f>
        <v>Perakitan Komponen Fabrikasi</v>
      </c>
      <c r="C1312" s="36"/>
      <c r="D1312" s="36"/>
      <c r="E1312" s="36"/>
      <c r="F1312" s="36" t="str">
        <f>IFERROR(__xludf.DUMMYFUNCTION("""COMPUTED_VALUE"""),"SAID KURNIAWAN")</f>
        <v>SAID KURNIAWAN</v>
      </c>
      <c r="G1312" s="36" t="str">
        <f>IFERROR(__xludf.DUMMYFUNCTION("""COMPUTED_VALUE"""),"7,47106E+15")</f>
        <v>7,47106E+15</v>
      </c>
      <c r="H1312" s="36"/>
      <c r="I1312" s="36"/>
      <c r="J1312" s="36" t="str">
        <f>IFERROR(__xludf.DUMMYFUNCTION("""COMPUTED_VALUE"""),"LAKI-LAKI")</f>
        <v>LAKI-LAKI</v>
      </c>
      <c r="K1312" s="36" t="str">
        <f>IFERROR(__xludf.DUMMYFUNCTION("""COMPUTED_VALUE"""),"SAMBULI, JL. CUT NYAK DIEN,")</f>
        <v>SAMBULI, JL. CUT NYAK DIEN,</v>
      </c>
      <c r="L1312" s="36"/>
      <c r="M1312" s="36"/>
      <c r="N1312" s="36"/>
      <c r="O1312" s="36"/>
      <c r="P1312" s="36"/>
      <c r="Q1312" s="36"/>
      <c r="R1312" s="36" t="str">
        <f>IFERROR(__xludf.DUMMYFUNCTION("""COMPUTED_VALUE"""),"BK")</f>
        <v>BK</v>
      </c>
      <c r="S1312" s="39"/>
    </row>
    <row r="1313">
      <c r="B1313" s="36" t="str">
        <f>IFERROR(__xludf.DUMMYFUNCTION("""COMPUTED_VALUE"""),"Perakitan Komponen Fabrikasi")</f>
        <v>Perakitan Komponen Fabrikasi</v>
      </c>
      <c r="C1313" s="36"/>
      <c r="D1313" s="36"/>
      <c r="E1313" s="36"/>
      <c r="F1313" s="36" t="str">
        <f>IFERROR(__xludf.DUMMYFUNCTION("""COMPUTED_VALUE"""),"Nicky Mulya Firdaus. D")</f>
        <v>Nicky Mulya Firdaus. D</v>
      </c>
      <c r="G1313" s="36" t="str">
        <f>IFERROR(__xludf.DUMMYFUNCTION("""COMPUTED_VALUE"""),"7471032204070003")</f>
        <v>7471032204070003</v>
      </c>
      <c r="H1313" s="36"/>
      <c r="I1313" s="36"/>
      <c r="J1313" s="36" t="str">
        <f>IFERROR(__xludf.DUMMYFUNCTION("""COMPUTED_VALUE"""),"LAKI-LAKI")</f>
        <v>LAKI-LAKI</v>
      </c>
      <c r="K1313" s="36" t="str">
        <f>IFERROR(__xludf.DUMMYFUNCTION("""COMPUTED_VALUE"""),"Lepo- Lepo, Kec. Baruga , Kota Kendari")</f>
        <v>Lepo- Lepo, Kec. Baruga , Kota Kendari</v>
      </c>
      <c r="L1313" s="36"/>
      <c r="M1313" s="36"/>
      <c r="N1313" s="36"/>
      <c r="O1313" s="36"/>
      <c r="P1313" s="36"/>
      <c r="Q1313" s="36"/>
      <c r="R1313" s="36" t="str">
        <f>IFERROR(__xludf.DUMMYFUNCTION("""COMPUTED_VALUE"""),"K")</f>
        <v>K</v>
      </c>
      <c r="S1313" s="39"/>
    </row>
    <row r="1314">
      <c r="B1314" s="36" t="str">
        <f>IFERROR(__xludf.DUMMYFUNCTION("""COMPUTED_VALUE"""),"Perakitan Komponen Fabrikasi")</f>
        <v>Perakitan Komponen Fabrikasi</v>
      </c>
      <c r="C1314" s="36"/>
      <c r="D1314" s="36"/>
      <c r="E1314" s="36"/>
      <c r="F1314" s="36" t="str">
        <f>IFERROR(__xludf.DUMMYFUNCTION("""COMPUTED_VALUE"""),"Adi Irawan Azhar")</f>
        <v>Adi Irawan Azhar</v>
      </c>
      <c r="G1314" s="36" t="str">
        <f>IFERROR(__xludf.DUMMYFUNCTION("""COMPUTED_VALUE"""),"7471041503000002")</f>
        <v>7471041503000002</v>
      </c>
      <c r="H1314" s="36"/>
      <c r="I1314" s="36"/>
      <c r="J1314" s="36" t="str">
        <f>IFERROR(__xludf.DUMMYFUNCTION("""COMPUTED_VALUE"""),"LAKI-LAKI")</f>
        <v>LAKI-LAKI</v>
      </c>
      <c r="K1314" s="36" t="str">
        <f>IFERROR(__xludf.DUMMYFUNCTION("""COMPUTED_VALUE"""),"KECAMATAN POASIA KOTA KENDARI")</f>
        <v>KECAMATAN POASIA KOTA KENDARI</v>
      </c>
      <c r="L1314" s="36"/>
      <c r="M1314" s="36"/>
      <c r="N1314" s="36"/>
      <c r="O1314" s="36"/>
      <c r="P1314" s="36"/>
      <c r="Q1314" s="36"/>
      <c r="R1314" s="36" t="str">
        <f>IFERROR(__xludf.DUMMYFUNCTION("""COMPUTED_VALUE"""),"-")</f>
        <v>-</v>
      </c>
      <c r="S1314" s="39"/>
    </row>
    <row r="1315">
      <c r="B1315" s="36" t="str">
        <f>IFERROR(__xludf.DUMMYFUNCTION("""COMPUTED_VALUE"""),"Perakitan Komponen Fabrikasi")</f>
        <v>Perakitan Komponen Fabrikasi</v>
      </c>
      <c r="C1315" s="36"/>
      <c r="D1315" s="36"/>
      <c r="E1315" s="36"/>
      <c r="F1315" s="36" t="str">
        <f>IFERROR(__xludf.DUMMYFUNCTION("""COMPUTED_VALUE"""),"La Sukuru")</f>
        <v>La Sukuru</v>
      </c>
      <c r="G1315" s="36" t="str">
        <f>IFERROR(__xludf.DUMMYFUNCTION("""COMPUTED_VALUE"""),"7404070901050001")</f>
        <v>7404070901050001</v>
      </c>
      <c r="H1315" s="36"/>
      <c r="I1315" s="36"/>
      <c r="J1315" s="36" t="str">
        <f>IFERROR(__xludf.DUMMYFUNCTION("""COMPUTED_VALUE"""),"LAKI-LAKI")</f>
        <v>LAKI-LAKI</v>
      </c>
      <c r="K1315" s="36" t="str">
        <f>IFERROR(__xludf.DUMMYFUNCTION("""COMPUTED_VALUE"""),"One Waara, Kec. Lakudo, Kab.Buton Tenga")</f>
        <v>One Waara, Kec. Lakudo, Kab.Buton Tenga</v>
      </c>
      <c r="L1315" s="36"/>
      <c r="M1315" s="36"/>
      <c r="N1315" s="36"/>
      <c r="O1315" s="36"/>
      <c r="P1315" s="36"/>
      <c r="Q1315" s="36"/>
      <c r="R1315" s="36" t="str">
        <f>IFERROR(__xludf.DUMMYFUNCTION("""COMPUTED_VALUE"""),"K")</f>
        <v>K</v>
      </c>
      <c r="S1315" s="39"/>
    </row>
    <row r="1316">
      <c r="B1316" s="36" t="str">
        <f>IFERROR(__xludf.DUMMYFUNCTION("""COMPUTED_VALUE"""),"Produktivitas Jenjang 5")</f>
        <v>Produktivitas Jenjang 5</v>
      </c>
      <c r="C1316" s="36"/>
      <c r="D1316" s="36"/>
      <c r="E1316" s="36"/>
      <c r="F1316" s="36" t="str">
        <f>IFERROR(__xludf.DUMMYFUNCTION("""COMPUTED_VALUE"""),"FAIZAL HASTA AHMADANI")</f>
        <v>FAIZAL HASTA AHMADANI</v>
      </c>
      <c r="G1316" s="36" t="str">
        <f>IFERROR(__xludf.DUMMYFUNCTION("""COMPUTED_VALUE"""),"3573011312010009")</f>
        <v>3573011312010009</v>
      </c>
      <c r="H1316" s="36"/>
      <c r="I1316" s="36"/>
      <c r="J1316" s="36" t="str">
        <f>IFERROR(__xludf.DUMMYFUNCTION("""COMPUTED_VALUE"""),"LAKI-LAKI")</f>
        <v>LAKI-LAKI</v>
      </c>
      <c r="K1316" s="36" t="str">
        <f>IFERROR(__xludf.DUMMYFUNCTION("""COMPUTED_VALUE"""),"BTN MUTIARA GEMILANG BLOK H NO.15, POASIA")</f>
        <v>BTN MUTIARA GEMILANG BLOK H NO.15, POASIA</v>
      </c>
      <c r="L1316" s="36"/>
      <c r="M1316" s="36"/>
      <c r="N1316" s="36"/>
      <c r="O1316" s="36"/>
      <c r="P1316" s="36"/>
      <c r="Q1316" s="36"/>
      <c r="R1316" s="36" t="str">
        <f>IFERROR(__xludf.DUMMYFUNCTION("""COMPUTED_VALUE"""),"K")</f>
        <v>K</v>
      </c>
      <c r="S1316" s="39"/>
    </row>
    <row r="1317">
      <c r="B1317" s="36" t="str">
        <f>IFERROR(__xludf.DUMMYFUNCTION("""COMPUTED_VALUE"""),"Produktivitas Jenjang 5")</f>
        <v>Produktivitas Jenjang 5</v>
      </c>
      <c r="C1317" s="36"/>
      <c r="D1317" s="36"/>
      <c r="E1317" s="36"/>
      <c r="F1317" s="36" t="str">
        <f>IFERROR(__xludf.DUMMYFUNCTION("""COMPUTED_VALUE"""),"KHOLIDA AL TAQIYA")</f>
        <v>KHOLIDA AL TAQIYA</v>
      </c>
      <c r="G1317" s="36" t="str">
        <f>IFERROR(__xludf.DUMMYFUNCTION("""COMPUTED_VALUE"""),"3175075802050009")</f>
        <v>3175075802050009</v>
      </c>
      <c r="H1317" s="36"/>
      <c r="I1317" s="36"/>
      <c r="J1317" s="36" t="str">
        <f>IFERROR(__xludf.DUMMYFUNCTION("""COMPUTED_VALUE"""),"PEREMPUAN")</f>
        <v>PEREMPUAN</v>
      </c>
      <c r="K1317" s="36" t="str">
        <f>IFERROR(__xludf.DUMMYFUNCTION("""COMPUTED_VALUE"""),"BYPASS")</f>
        <v>BYPASS</v>
      </c>
      <c r="L1317" s="36"/>
      <c r="M1317" s="36"/>
      <c r="N1317" s="36"/>
      <c r="O1317" s="36"/>
      <c r="P1317" s="36"/>
      <c r="Q1317" s="36"/>
      <c r="R1317" s="36" t="str">
        <f>IFERROR(__xludf.DUMMYFUNCTION("""COMPUTED_VALUE"""),"K")</f>
        <v>K</v>
      </c>
      <c r="S1317" s="39"/>
    </row>
    <row r="1318">
      <c r="B1318" s="36" t="str">
        <f>IFERROR(__xludf.DUMMYFUNCTION("""COMPUTED_VALUE"""),"Produktivitas Jenjang 5")</f>
        <v>Produktivitas Jenjang 5</v>
      </c>
      <c r="C1318" s="36"/>
      <c r="D1318" s="36"/>
      <c r="E1318" s="36"/>
      <c r="F1318" s="36" t="str">
        <f>IFERROR(__xludf.DUMMYFUNCTION("""COMPUTED_VALUE"""),"IKA DIANPRIMAWATY ADO")</f>
        <v>IKA DIANPRIMAWATY ADO</v>
      </c>
      <c r="G1318" s="36" t="str">
        <f>IFERROR(__xludf.DUMMYFUNCTION("""COMPUTED_VALUE"""),"7471046108890003")</f>
        <v>7471046108890003</v>
      </c>
      <c r="H1318" s="36"/>
      <c r="I1318" s="36"/>
      <c r="J1318" s="36" t="str">
        <f>IFERROR(__xludf.DUMMYFUNCTION("""COMPUTED_VALUE"""),"PEREMPUAN")</f>
        <v>PEREMPUAN</v>
      </c>
      <c r="K1318" s="36" t="str">
        <f>IFERROR(__xludf.DUMMYFUNCTION("""COMPUTED_VALUE"""),"BTN. MAHKOTA HIJAU ")</f>
        <v>BTN. MAHKOTA HIJAU </v>
      </c>
      <c r="L1318" s="36"/>
      <c r="M1318" s="36"/>
      <c r="N1318" s="36"/>
      <c r="O1318" s="36"/>
      <c r="P1318" s="36"/>
      <c r="Q1318" s="36"/>
      <c r="R1318" s="36" t="str">
        <f>IFERROR(__xludf.DUMMYFUNCTION("""COMPUTED_VALUE"""),"K")</f>
        <v>K</v>
      </c>
      <c r="S1318" s="39"/>
    </row>
    <row r="1319">
      <c r="B1319" s="36" t="str">
        <f>IFERROR(__xludf.DUMMYFUNCTION("""COMPUTED_VALUE"""),"Produktivitas Jenjang 5")</f>
        <v>Produktivitas Jenjang 5</v>
      </c>
      <c r="C1319" s="36"/>
      <c r="D1319" s="36"/>
      <c r="E1319" s="36"/>
      <c r="F1319" s="36" t="str">
        <f>IFERROR(__xludf.DUMMYFUNCTION("""COMPUTED_VALUE"""),"SYAHRIN")</f>
        <v>SYAHRIN</v>
      </c>
      <c r="G1319" s="36" t="str">
        <f>IFERROR(__xludf.DUMMYFUNCTION("""COMPUTED_VALUE"""),"7471022607020001")</f>
        <v>7471022607020001</v>
      </c>
      <c r="H1319" s="36"/>
      <c r="I1319" s="36"/>
      <c r="J1319" s="36" t="str">
        <f>IFERROR(__xludf.DUMMYFUNCTION("""COMPUTED_VALUE"""),"LAKI-LAKI")</f>
        <v>LAKI-LAKI</v>
      </c>
      <c r="K1319" s="36" t="str">
        <f>IFERROR(__xludf.DUMMYFUNCTION("""COMPUTED_VALUE"""),"KEL. MANGGA DUA")</f>
        <v>KEL. MANGGA DUA</v>
      </c>
      <c r="L1319" s="36"/>
      <c r="M1319" s="36"/>
      <c r="N1319" s="36"/>
      <c r="O1319" s="36"/>
      <c r="P1319" s="36"/>
      <c r="Q1319" s="36"/>
      <c r="R1319" s="36" t="str">
        <f>IFERROR(__xludf.DUMMYFUNCTION("""COMPUTED_VALUE"""),"BK")</f>
        <v>BK</v>
      </c>
      <c r="S1319" s="39"/>
    </row>
    <row r="1320">
      <c r="B1320" s="36" t="str">
        <f>IFERROR(__xludf.DUMMYFUNCTION("""COMPUTED_VALUE"""),"Produktivitas Jenjang 5")</f>
        <v>Produktivitas Jenjang 5</v>
      </c>
      <c r="C1320" s="36"/>
      <c r="D1320" s="36"/>
      <c r="E1320" s="36"/>
      <c r="F1320" s="36" t="str">
        <f>IFERROR(__xludf.DUMMYFUNCTION("""COMPUTED_VALUE"""),"KARTIKA")</f>
        <v>KARTIKA</v>
      </c>
      <c r="G1320" s="36" t="str">
        <f>IFERROR(__xludf.DUMMYFUNCTION("""COMPUTED_VALUE"""),"7471056108980002")</f>
        <v>7471056108980002</v>
      </c>
      <c r="H1320" s="36"/>
      <c r="I1320" s="36"/>
      <c r="J1320" s="36" t="str">
        <f>IFERROR(__xludf.DUMMYFUNCTION("""COMPUTED_VALUE"""),"PEREMPUAN")</f>
        <v>PEREMPUAN</v>
      </c>
      <c r="K1320" s="36" t="str">
        <f>IFERROR(__xludf.DUMMYFUNCTION("""COMPUTED_VALUE"""),"JL.DR MOH HATTA")</f>
        <v>JL.DR MOH HATTA</v>
      </c>
      <c r="L1320" s="36"/>
      <c r="M1320" s="36"/>
      <c r="N1320" s="36"/>
      <c r="O1320" s="36"/>
      <c r="P1320" s="36"/>
      <c r="Q1320" s="36"/>
      <c r="R1320" s="36" t="str">
        <f>IFERROR(__xludf.DUMMYFUNCTION("""COMPUTED_VALUE"""),"K")</f>
        <v>K</v>
      </c>
      <c r="S1320" s="39"/>
    </row>
    <row r="1321">
      <c r="B1321" s="36" t="str">
        <f>IFERROR(__xludf.DUMMYFUNCTION("""COMPUTED_VALUE"""),"Produktivitas Jenjang 5")</f>
        <v>Produktivitas Jenjang 5</v>
      </c>
      <c r="C1321" s="36"/>
      <c r="D1321" s="36"/>
      <c r="E1321" s="36"/>
      <c r="F1321" s="36" t="str">
        <f>IFERROR(__xludf.DUMMYFUNCTION("""COMPUTED_VALUE"""),"RODAN HADID QOT'AN BAHARA")</f>
        <v>RODAN HADID QOT'AN BAHARA</v>
      </c>
      <c r="G1321" s="36" t="str">
        <f>IFERROR(__xludf.DUMMYFUNCTION("""COMPUTED_VALUE"""),"3578141107010001")</f>
        <v>3578141107010001</v>
      </c>
      <c r="H1321" s="36"/>
      <c r="I1321" s="36"/>
      <c r="J1321" s="36" t="str">
        <f>IFERROR(__xludf.DUMMYFUNCTION("""COMPUTED_VALUE"""),"LAKI-LAKI")</f>
        <v>LAKI-LAKI</v>
      </c>
      <c r="K1321" s="36" t="str">
        <f>IFERROR(__xludf.DUMMYFUNCTION("""COMPUTED_VALUE"""),"BTN MUTIARA GEMILANG BLOK H NO. 15")</f>
        <v>BTN MUTIARA GEMILANG BLOK H NO. 15</v>
      </c>
      <c r="L1321" s="36"/>
      <c r="M1321" s="36"/>
      <c r="N1321" s="36"/>
      <c r="O1321" s="36"/>
      <c r="P1321" s="36"/>
      <c r="Q1321" s="36"/>
      <c r="R1321" s="36" t="str">
        <f>IFERROR(__xludf.DUMMYFUNCTION("""COMPUTED_VALUE"""),"K")</f>
        <v>K</v>
      </c>
      <c r="S1321" s="39"/>
    </row>
    <row r="1322">
      <c r="B1322" s="36" t="str">
        <f>IFERROR(__xludf.DUMMYFUNCTION("""COMPUTED_VALUE"""),"Produktivitas Jenjang 5")</f>
        <v>Produktivitas Jenjang 5</v>
      </c>
      <c r="C1322" s="36"/>
      <c r="D1322" s="36"/>
      <c r="E1322" s="36"/>
      <c r="F1322" s="36" t="str">
        <f>IFERROR(__xludf.DUMMYFUNCTION("""COMPUTED_VALUE"""),"TERBIT NUR FATAHILLAH")</f>
        <v>TERBIT NUR FATAHILLAH</v>
      </c>
      <c r="G1322" s="36" t="str">
        <f>IFERROR(__xludf.DUMMYFUNCTION("""COMPUTED_VALUE"""),"3573010110930008")</f>
        <v>3573010110930008</v>
      </c>
      <c r="H1322" s="36"/>
      <c r="I1322" s="36"/>
      <c r="J1322" s="36" t="str">
        <f>IFERROR(__xludf.DUMMYFUNCTION("""COMPUTED_VALUE"""),"LAKI-LAKI")</f>
        <v>LAKI-LAKI</v>
      </c>
      <c r="K1322" s="36" t="str">
        <f>IFERROR(__xludf.DUMMYFUNCTION("""COMPUTED_VALUE"""),"JL TELUK MANDAR 55 KOTA MALANG")</f>
        <v>JL TELUK MANDAR 55 KOTA MALANG</v>
      </c>
      <c r="L1322" s="36"/>
      <c r="M1322" s="36"/>
      <c r="N1322" s="36"/>
      <c r="O1322" s="36"/>
      <c r="P1322" s="36"/>
      <c r="Q1322" s="36"/>
      <c r="R1322" s="36" t="str">
        <f>IFERROR(__xludf.DUMMYFUNCTION("""COMPUTED_VALUE"""),"K")</f>
        <v>K</v>
      </c>
      <c r="S1322" s="39"/>
    </row>
    <row r="1323">
      <c r="B1323" s="36" t="str">
        <f>IFERROR(__xludf.DUMMYFUNCTION("""COMPUTED_VALUE"""),"Produktivitas Jenjang 5")</f>
        <v>Produktivitas Jenjang 5</v>
      </c>
      <c r="C1323" s="36"/>
      <c r="D1323" s="36"/>
      <c r="E1323" s="36"/>
      <c r="F1323" s="36" t="str">
        <f>IFERROR(__xludf.DUMMYFUNCTION("""COMPUTED_VALUE"""),"ERIS ARIOS PRIADI")</f>
        <v>ERIS ARIOS PRIADI</v>
      </c>
      <c r="G1323" s="36" t="str">
        <f>IFERROR(__xludf.DUMMYFUNCTION("""COMPUTED_VALUE"""),"7471081103900004")</f>
        <v>7471081103900004</v>
      </c>
      <c r="H1323" s="36"/>
      <c r="I1323" s="36"/>
      <c r="J1323" s="36" t="str">
        <f>IFERROR(__xludf.DUMMYFUNCTION("""COMPUTED_VALUE"""),"LAKI-LAKI")</f>
        <v>LAKI-LAKI</v>
      </c>
      <c r="K1323" s="36" t="str">
        <f>IFERROR(__xludf.DUMMYFUNCTION("""COMPUTED_VALUE"""),"JL.PROF MUH YAMIN")</f>
        <v>JL.PROF MUH YAMIN</v>
      </c>
      <c r="L1323" s="36"/>
      <c r="M1323" s="36"/>
      <c r="N1323" s="36"/>
      <c r="O1323" s="36"/>
      <c r="P1323" s="36"/>
      <c r="Q1323" s="36"/>
      <c r="R1323" s="36" t="str">
        <f>IFERROR(__xludf.DUMMYFUNCTION("""COMPUTED_VALUE"""),"K")</f>
        <v>K</v>
      </c>
      <c r="S1323" s="39"/>
    </row>
    <row r="1324">
      <c r="B1324" s="36" t="str">
        <f>IFERROR(__xludf.DUMMYFUNCTION("""COMPUTED_VALUE"""),"Produktivitas Jenjang 5")</f>
        <v>Produktivitas Jenjang 5</v>
      </c>
      <c r="C1324" s="36"/>
      <c r="D1324" s="36"/>
      <c r="E1324" s="36"/>
      <c r="F1324" s="36" t="str">
        <f>IFERROR(__xludf.DUMMYFUNCTION("""COMPUTED_VALUE"""),"SRIATI")</f>
        <v>SRIATI</v>
      </c>
      <c r="G1324" s="36" t="str">
        <f>IFERROR(__xludf.DUMMYFUNCTION("""COMPUTED_VALUE"""),"3573015404750013")</f>
        <v>3573015404750013</v>
      </c>
      <c r="H1324" s="36"/>
      <c r="I1324" s="36"/>
      <c r="J1324" s="36" t="str">
        <f>IFERROR(__xludf.DUMMYFUNCTION("""COMPUTED_VALUE"""),"PEREMPUAN")</f>
        <v>PEREMPUAN</v>
      </c>
      <c r="K1324" s="36" t="str">
        <f>IFERROR(__xludf.DUMMYFUNCTION("""COMPUTED_VALUE"""),"JL.BANTENG PERUMAHAN BTN MUTIARA GEMILANG BLOK A15")</f>
        <v>JL.BANTENG PERUMAHAN BTN MUTIARA GEMILANG BLOK A15</v>
      </c>
      <c r="L1324" s="36"/>
      <c r="M1324" s="36"/>
      <c r="N1324" s="36"/>
      <c r="O1324" s="36"/>
      <c r="P1324" s="36"/>
      <c r="Q1324" s="36"/>
      <c r="R1324" s="36" t="str">
        <f>IFERROR(__xludf.DUMMYFUNCTION("""COMPUTED_VALUE"""),"K")</f>
        <v>K</v>
      </c>
      <c r="S1324" s="39"/>
    </row>
    <row r="1325">
      <c r="B1325" s="36" t="str">
        <f>IFERROR(__xludf.DUMMYFUNCTION("""COMPUTED_VALUE"""),"Produktivitas Jenjang 5")</f>
        <v>Produktivitas Jenjang 5</v>
      </c>
      <c r="C1325" s="36"/>
      <c r="D1325" s="36"/>
      <c r="E1325" s="36"/>
      <c r="F1325" s="36" t="str">
        <f>IFERROR(__xludf.DUMMYFUNCTION("""COMPUTED_VALUE"""),"WARIYO")</f>
        <v>WARIYO</v>
      </c>
      <c r="G1325" s="36" t="str">
        <f>IFERROR(__xludf.DUMMYFUNCTION("""COMPUTED_VALUE"""),"7207021107680001")</f>
        <v>7207021107680001</v>
      </c>
      <c r="H1325" s="36"/>
      <c r="I1325" s="36"/>
      <c r="J1325" s="36" t="str">
        <f>IFERROR(__xludf.DUMMYFUNCTION("""COMPUTED_VALUE"""),"LAKI-LAKI")</f>
        <v>LAKI-LAKI</v>
      </c>
      <c r="K1325" s="36" t="str">
        <f>IFERROR(__xludf.DUMMYFUNCTION("""COMPUTED_VALUE"""),"JL MARTANDU NO 99A, KAMBU, KENDARI")</f>
        <v>JL MARTANDU NO 99A, KAMBU, KENDARI</v>
      </c>
      <c r="L1325" s="36"/>
      <c r="M1325" s="36"/>
      <c r="N1325" s="36"/>
      <c r="O1325" s="36"/>
      <c r="P1325" s="36"/>
      <c r="Q1325" s="36"/>
      <c r="R1325" s="36" t="str">
        <f>IFERROR(__xludf.DUMMYFUNCTION("""COMPUTED_VALUE"""),"K")</f>
        <v>K</v>
      </c>
      <c r="S1325" s="39"/>
    </row>
    <row r="1326">
      <c r="B1326" s="36" t="str">
        <f>IFERROR(__xludf.DUMMYFUNCTION("""COMPUTED_VALUE"""),"Produktivitas Jenjang 5")</f>
        <v>Produktivitas Jenjang 5</v>
      </c>
      <c r="C1326" s="36"/>
      <c r="D1326" s="36"/>
      <c r="E1326" s="36"/>
      <c r="F1326" s="36" t="str">
        <f>IFERROR(__xludf.DUMMYFUNCTION("""COMPUTED_VALUE"""),"ROBERTUS BOTO")</f>
        <v>ROBERTUS BOTO</v>
      </c>
      <c r="G1326" s="36" t="str">
        <f>IFERROR(__xludf.DUMMYFUNCTION("""COMPUTED_VALUE"""),"7471013110800002")</f>
        <v>7471013110800002</v>
      </c>
      <c r="H1326" s="36"/>
      <c r="I1326" s="36"/>
      <c r="J1326" s="36" t="str">
        <f>IFERROR(__xludf.DUMMYFUNCTION("""COMPUTED_VALUE"""),"LAKI-LAKI")</f>
        <v>LAKI-LAKI</v>
      </c>
      <c r="K1326" s="36" t="str">
        <f>IFERROR(__xludf.DUMMYFUNCTION("""COMPUTED_VALUE"""),"BTN RESKY 3 ANGGOEYA BLOK B 25")</f>
        <v>BTN RESKY 3 ANGGOEYA BLOK B 25</v>
      </c>
      <c r="L1326" s="36"/>
      <c r="M1326" s="36"/>
      <c r="N1326" s="36"/>
      <c r="O1326" s="36"/>
      <c r="P1326" s="36"/>
      <c r="Q1326" s="36"/>
      <c r="R1326" s="36" t="str">
        <f>IFERROR(__xludf.DUMMYFUNCTION("""COMPUTED_VALUE"""),"K")</f>
        <v>K</v>
      </c>
      <c r="S1326" s="39"/>
    </row>
    <row r="1327">
      <c r="B1327" s="36" t="str">
        <f>IFERROR(__xludf.DUMMYFUNCTION("""COMPUTED_VALUE"""),"Produktivitas Jenjang 5")</f>
        <v>Produktivitas Jenjang 5</v>
      </c>
      <c r="C1327" s="36"/>
      <c r="D1327" s="36"/>
      <c r="E1327" s="36"/>
      <c r="F1327" s="36" t="str">
        <f>IFERROR(__xludf.DUMMYFUNCTION("""COMPUTED_VALUE"""),"MARTIANA")</f>
        <v>MARTIANA</v>
      </c>
      <c r="G1327" s="36" t="str">
        <f>IFERROR(__xludf.DUMMYFUNCTION("""COMPUTED_VALUE"""),"7402044303840001")</f>
        <v>7402044303840001</v>
      </c>
      <c r="H1327" s="36"/>
      <c r="I1327" s="36"/>
      <c r="J1327" s="36" t="str">
        <f>IFERROR(__xludf.DUMMYFUNCTION("""COMPUTED_VALUE"""),"PEREMPUAN")</f>
        <v>PEREMPUAN</v>
      </c>
      <c r="K1327" s="36" t="str">
        <f>IFERROR(__xludf.DUMMYFUNCTION("""COMPUTED_VALUE"""),"JL BANTENG , BTN DEWI BUNGA POASIA 2  BLOK E 16")</f>
        <v>JL BANTENG , BTN DEWI BUNGA POASIA 2  BLOK E 16</v>
      </c>
      <c r="L1327" s="36"/>
      <c r="M1327" s="36"/>
      <c r="N1327" s="36"/>
      <c r="O1327" s="36"/>
      <c r="P1327" s="36"/>
      <c r="Q1327" s="36"/>
      <c r="R1327" s="36" t="str">
        <f>IFERROR(__xludf.DUMMYFUNCTION("""COMPUTED_VALUE"""),"K")</f>
        <v>K</v>
      </c>
      <c r="S1327" s="39"/>
    </row>
    <row r="1328">
      <c r="B1328" s="36" t="str">
        <f>IFERROR(__xludf.DUMMYFUNCTION("""COMPUTED_VALUE"""),"Produktivitas Jenjang 5")</f>
        <v>Produktivitas Jenjang 5</v>
      </c>
      <c r="C1328" s="36"/>
      <c r="D1328" s="36"/>
      <c r="E1328" s="36"/>
      <c r="F1328" s="36" t="str">
        <f>IFERROR(__xludf.DUMMYFUNCTION("""COMPUTED_VALUE"""),"SURIYANA AMIR")</f>
        <v>SURIYANA AMIR</v>
      </c>
      <c r="G1328" s="36" t="str">
        <f>IFERROR(__xludf.DUMMYFUNCTION("""COMPUTED_VALUE"""),"7471054909920003")</f>
        <v>7471054909920003</v>
      </c>
      <c r="H1328" s="36"/>
      <c r="I1328" s="36"/>
      <c r="J1328" s="36" t="str">
        <f>IFERROR(__xludf.DUMMYFUNCTION("""COMPUTED_VALUE"""),"PEREMPUAN")</f>
        <v>PEREMPUAN</v>
      </c>
      <c r="K1328" s="36" t="str">
        <f>IFERROR(__xludf.DUMMYFUNCTION("""COMPUTED_VALUE"""),"JL.KIJANG ")</f>
        <v>JL.KIJANG </v>
      </c>
      <c r="L1328" s="36"/>
      <c r="M1328" s="36"/>
      <c r="N1328" s="36"/>
      <c r="O1328" s="36"/>
      <c r="P1328" s="36"/>
      <c r="Q1328" s="36"/>
      <c r="R1328" s="36" t="str">
        <f>IFERROR(__xludf.DUMMYFUNCTION("""COMPUTED_VALUE"""),"K")</f>
        <v>K</v>
      </c>
      <c r="S1328" s="39"/>
    </row>
    <row r="1329">
      <c r="B1329" s="36" t="str">
        <f>IFERROR(__xludf.DUMMYFUNCTION("""COMPUTED_VALUE"""),"Produktivitas Jenjang 5")</f>
        <v>Produktivitas Jenjang 5</v>
      </c>
      <c r="C1329" s="36"/>
      <c r="D1329" s="36"/>
      <c r="E1329" s="36"/>
      <c r="F1329" s="36" t="str">
        <f>IFERROR(__xludf.DUMMYFUNCTION("""COMPUTED_VALUE"""),"SUCI LARASATI AMD.KOM")</f>
        <v>SUCI LARASATI AMD.KOM</v>
      </c>
      <c r="G1329" s="36" t="str">
        <f>IFERROR(__xludf.DUMMYFUNCTION("""COMPUTED_VALUE"""),"7471076004900001")</f>
        <v>7471076004900001</v>
      </c>
      <c r="H1329" s="36"/>
      <c r="I1329" s="36"/>
      <c r="J1329" s="36" t="str">
        <f>IFERROR(__xludf.DUMMYFUNCTION("""COMPUTED_VALUE"""),"PEREMPUAN")</f>
        <v>PEREMPUAN</v>
      </c>
      <c r="K1329" s="36" t="str">
        <f>IFERROR(__xludf.DUMMYFUNCTION("""COMPUTED_VALUE"""),"JL.PROF.MUH.YAMIN")</f>
        <v>JL.PROF.MUH.YAMIN</v>
      </c>
      <c r="L1329" s="36"/>
      <c r="M1329" s="36"/>
      <c r="N1329" s="36"/>
      <c r="O1329" s="36"/>
      <c r="P1329" s="36"/>
      <c r="Q1329" s="36"/>
      <c r="R1329" s="36" t="str">
        <f>IFERROR(__xludf.DUMMYFUNCTION("""COMPUTED_VALUE"""),"K")</f>
        <v>K</v>
      </c>
      <c r="S1329" s="39"/>
    </row>
    <row r="1330">
      <c r="B1330" s="36" t="str">
        <f>IFERROR(__xludf.DUMMYFUNCTION("""COMPUTED_VALUE"""),"Produktivitas Jenjang 5")</f>
        <v>Produktivitas Jenjang 5</v>
      </c>
      <c r="C1330" s="36"/>
      <c r="D1330" s="36"/>
      <c r="E1330" s="36"/>
      <c r="F1330" s="36" t="str">
        <f>IFERROR(__xludf.DUMMYFUNCTION("""COMPUTED_VALUE"""),"AL FRIANSYAH AHMAD SIPA")</f>
        <v>AL FRIANSYAH AHMAD SIPA</v>
      </c>
      <c r="G1330" s="36" t="str">
        <f>IFERROR(__xludf.DUMMYFUNCTION("""COMPUTED_VALUE"""),"7471020206040001")</f>
        <v>7471020206040001</v>
      </c>
      <c r="H1330" s="36"/>
      <c r="I1330" s="36"/>
      <c r="J1330" s="36" t="str">
        <f>IFERROR(__xludf.DUMMYFUNCTION("""COMPUTED_VALUE"""),"LAKI-LAKI")</f>
        <v>LAKI-LAKI</v>
      </c>
      <c r="K1330" s="36" t="str">
        <f>IFERROR(__xludf.DUMMYFUNCTION("""COMPUTED_VALUE"""),"JI. MUTIARA")</f>
        <v>JI. MUTIARA</v>
      </c>
      <c r="L1330" s="36"/>
      <c r="M1330" s="36"/>
      <c r="N1330" s="36"/>
      <c r="O1330" s="36"/>
      <c r="P1330" s="36"/>
      <c r="Q1330" s="36"/>
      <c r="R1330" s="36" t="str">
        <f>IFERROR(__xludf.DUMMYFUNCTION("""COMPUTED_VALUE"""),"K")</f>
        <v>K</v>
      </c>
      <c r="S1330" s="39"/>
    </row>
    <row r="1331">
      <c r="B1331" s="36" t="str">
        <f>IFERROR(__xludf.DUMMYFUNCTION("""COMPUTED_VALUE"""),"Produktivitas Jenjang 5")</f>
        <v>Produktivitas Jenjang 5</v>
      </c>
      <c r="C1331" s="36"/>
      <c r="D1331" s="36"/>
      <c r="E1331" s="36"/>
      <c r="F1331" s="36" t="str">
        <f>IFERROR(__xludf.DUMMYFUNCTION("""COMPUTED_VALUE"""),"RISMAN")</f>
        <v>RISMAN</v>
      </c>
      <c r="G1331" s="36" t="str">
        <f>IFERROR(__xludf.DUMMYFUNCTION("""COMPUTED_VALUE"""),"7471010107820052")</f>
        <v>7471010107820052</v>
      </c>
      <c r="H1331" s="36"/>
      <c r="I1331" s="36"/>
      <c r="J1331" s="36" t="str">
        <f>IFERROR(__xludf.DUMMYFUNCTION("""COMPUTED_VALUE"""),"LAKI-LAKI")</f>
        <v>LAKI-LAKI</v>
      </c>
      <c r="K1331" s="36" t="str">
        <f>IFERROR(__xludf.DUMMYFUNCTION("""COMPUTED_VALUE"""),"JL. SAWERIGADING NO. 30")</f>
        <v>JL. SAWERIGADING NO. 30</v>
      </c>
      <c r="L1331" s="36"/>
      <c r="M1331" s="36"/>
      <c r="N1331" s="36"/>
      <c r="O1331" s="36"/>
      <c r="P1331" s="36"/>
      <c r="Q1331" s="36"/>
      <c r="R1331" s="36" t="str">
        <f>IFERROR(__xludf.DUMMYFUNCTION("""COMPUTED_VALUE"""),"K")</f>
        <v>K</v>
      </c>
      <c r="S1331" s="39"/>
    </row>
    <row r="1332">
      <c r="B1332" s="36" t="str">
        <f>IFERROR(__xludf.DUMMYFUNCTION("""COMPUTED_VALUE"""),"Produktivitas Jenjang 5")</f>
        <v>Produktivitas Jenjang 5</v>
      </c>
      <c r="C1332" s="36"/>
      <c r="D1332" s="36"/>
      <c r="E1332" s="36"/>
      <c r="F1332" s="36" t="str">
        <f>IFERROR(__xludf.DUMMYFUNCTION("""COMPUTED_VALUE"""),"DIRMAN")</f>
        <v>DIRMAN</v>
      </c>
      <c r="G1332" s="36" t="str">
        <f>IFERROR(__xludf.DUMMYFUNCTION("""COMPUTED_VALUE"""),"7471011409820003")</f>
        <v>7471011409820003</v>
      </c>
      <c r="H1332" s="36"/>
      <c r="I1332" s="36"/>
      <c r="J1332" s="36" t="str">
        <f>IFERROR(__xludf.DUMMYFUNCTION("""COMPUTED_VALUE"""),"LAKI-LAKI")</f>
        <v>LAKI-LAKI</v>
      </c>
      <c r="K1332" s="36" t="str">
        <f>IFERROR(__xludf.DUMMYFUNCTION("""COMPUTED_VALUE"""),"BTN GRIYA LALODATI PERMAI KEL.LALODATI")</f>
        <v>BTN GRIYA LALODATI PERMAI KEL.LALODATI</v>
      </c>
      <c r="L1332" s="36"/>
      <c r="M1332" s="36"/>
      <c r="N1332" s="36"/>
      <c r="O1332" s="36"/>
      <c r="P1332" s="36"/>
      <c r="Q1332" s="36"/>
      <c r="R1332" s="36" t="str">
        <f>IFERROR(__xludf.DUMMYFUNCTION("""COMPUTED_VALUE"""),"K")</f>
        <v>K</v>
      </c>
      <c r="S1332" s="39"/>
    </row>
    <row r="1333">
      <c r="B1333" s="36" t="str">
        <f>IFERROR(__xludf.DUMMYFUNCTION("""COMPUTED_VALUE"""),"Produktivitas Jenjang 5")</f>
        <v>Produktivitas Jenjang 5</v>
      </c>
      <c r="C1333" s="36"/>
      <c r="D1333" s="36"/>
      <c r="E1333" s="36"/>
      <c r="F1333" s="36" t="str">
        <f>IFERROR(__xludf.DUMMYFUNCTION("""COMPUTED_VALUE"""),"HIRO AKBAR CENDIKIAWAN")</f>
        <v>HIRO AKBAR CENDIKIAWAN</v>
      </c>
      <c r="G1333" s="36" t="str">
        <f>IFERROR(__xludf.DUMMYFUNCTION("""COMPUTED_VALUE"""),"3507242104040009")</f>
        <v>3507242104040009</v>
      </c>
      <c r="H1333" s="36"/>
      <c r="I1333" s="36"/>
      <c r="J1333" s="36" t="str">
        <f>IFERROR(__xludf.DUMMYFUNCTION("""COMPUTED_VALUE"""),"LAKI-LAKI")</f>
        <v>LAKI-LAKI</v>
      </c>
      <c r="K1333" s="36" t="str">
        <f>IFERROR(__xludf.DUMMYFUNCTION("""COMPUTED_VALUE"""),"JL. JEND. AH. NASUTION, KAMBU, KEC. KAMBU, KOTA KENDARI, SULAWESI TENGGARA")</f>
        <v>JL. JEND. AH. NASUTION, KAMBU, KEC. KAMBU, KOTA KENDARI, SULAWESI TENGGARA</v>
      </c>
      <c r="L1333" s="36"/>
      <c r="M1333" s="36"/>
      <c r="N1333" s="36"/>
      <c r="O1333" s="36"/>
      <c r="P1333" s="36"/>
      <c r="Q1333" s="36"/>
      <c r="R1333" s="36" t="str">
        <f>IFERROR(__xludf.DUMMYFUNCTION("""COMPUTED_VALUE"""),"K")</f>
        <v>K</v>
      </c>
      <c r="S1333" s="39"/>
    </row>
    <row r="1334">
      <c r="B1334" s="36" t="str">
        <f>IFERROR(__xludf.DUMMYFUNCTION("""COMPUTED_VALUE"""),"Produktivitas Jenjang 5")</f>
        <v>Produktivitas Jenjang 5</v>
      </c>
      <c r="C1334" s="36"/>
      <c r="D1334" s="36"/>
      <c r="E1334" s="36"/>
      <c r="F1334" s="36" t="str">
        <f>IFERROR(__xludf.DUMMYFUNCTION("""COMPUTED_VALUE"""),"ABANG")</f>
        <v>ABANG</v>
      </c>
      <c r="G1334" s="36" t="str">
        <f>IFERROR(__xludf.DUMMYFUNCTION("""COMPUTED_VALUE"""),"7471102706840001")</f>
        <v>7471102706840001</v>
      </c>
      <c r="H1334" s="36"/>
      <c r="I1334" s="36"/>
      <c r="J1334" s="36" t="str">
        <f>IFERROR(__xludf.DUMMYFUNCTION("""COMPUTED_VALUE"""),"LAKI-LAKI")</f>
        <v>LAKI-LAKI</v>
      </c>
      <c r="K1334" s="36" t="str">
        <f>IFERROR(__xludf.DUMMYFUNCTION("""COMPUTED_VALUE"""),"JALAN MAHKOTA")</f>
        <v>JALAN MAHKOTA</v>
      </c>
      <c r="L1334" s="36"/>
      <c r="M1334" s="36"/>
      <c r="N1334" s="36"/>
      <c r="O1334" s="36"/>
      <c r="P1334" s="36"/>
      <c r="Q1334" s="36"/>
      <c r="R1334" s="36" t="str">
        <f>IFERROR(__xludf.DUMMYFUNCTION("""COMPUTED_VALUE"""),"K")</f>
        <v>K</v>
      </c>
      <c r="S1334" s="39"/>
    </row>
    <row r="1335">
      <c r="B1335" s="36" t="str">
        <f>IFERROR(__xludf.DUMMYFUNCTION("""COMPUTED_VALUE"""),"Produktivitas Jenjang 5")</f>
        <v>Produktivitas Jenjang 5</v>
      </c>
      <c r="C1335" s="36"/>
      <c r="D1335" s="36"/>
      <c r="E1335" s="36"/>
      <c r="F1335" s="36" t="str">
        <f>IFERROR(__xludf.DUMMYFUNCTION("""COMPUTED_VALUE"""),"MURNI SURYANI")</f>
        <v>MURNI SURYANI</v>
      </c>
      <c r="G1335" s="36" t="str">
        <f>IFERROR(__xludf.DUMMYFUNCTION("""COMPUTED_VALUE"""),"7405085606850002")</f>
        <v>7405085606850002</v>
      </c>
      <c r="H1335" s="36"/>
      <c r="I1335" s="36"/>
      <c r="J1335" s="36" t="str">
        <f>IFERROR(__xludf.DUMMYFUNCTION("""COMPUTED_VALUE"""),"PEREMPUAN")</f>
        <v>PEREMPUAN</v>
      </c>
      <c r="K1335" s="36" t="str">
        <f>IFERROR(__xludf.DUMMYFUNCTION("""COMPUTED_VALUE"""),"JL. SIMBO BTN GRIYA SAFIKA BLOK G NO.3, BARUGA KOTA KENDARI")</f>
        <v>JL. SIMBO BTN GRIYA SAFIKA BLOK G NO.3, BARUGA KOTA KENDARI</v>
      </c>
      <c r="L1335" s="36"/>
      <c r="M1335" s="36"/>
      <c r="N1335" s="36"/>
      <c r="O1335" s="36"/>
      <c r="P1335" s="36"/>
      <c r="Q1335" s="36"/>
      <c r="R1335" s="36" t="str">
        <f>IFERROR(__xludf.DUMMYFUNCTION("""COMPUTED_VALUE"""),"K")</f>
        <v>K</v>
      </c>
      <c r="S1335" s="39"/>
    </row>
    <row r="1336">
      <c r="B1336" s="36" t="str">
        <f>IFERROR(__xludf.DUMMYFUNCTION("""COMPUTED_VALUE"""),"Produktivitas Jenjang 5")</f>
        <v>Produktivitas Jenjang 5</v>
      </c>
      <c r="C1336" s="36"/>
      <c r="D1336" s="36"/>
      <c r="E1336" s="36"/>
      <c r="F1336" s="36" t="str">
        <f>IFERROR(__xludf.DUMMYFUNCTION("""COMPUTED_VALUE"""),"ABANG")</f>
        <v>ABANG</v>
      </c>
      <c r="G1336" s="36" t="str">
        <f>IFERROR(__xludf.DUMMYFUNCTION("""COMPUTED_VALUE"""),"7471102706840001")</f>
        <v>7471102706840001</v>
      </c>
      <c r="H1336" s="36"/>
      <c r="I1336" s="36"/>
      <c r="J1336" s="36" t="str">
        <f>IFERROR(__xludf.DUMMYFUNCTION("""COMPUTED_VALUE"""),"LAKI-LAKI")</f>
        <v>LAKI-LAKI</v>
      </c>
      <c r="K1336" s="36" t="str">
        <f>IFERROR(__xludf.DUMMYFUNCTION("""COMPUTED_VALUE"""),"JALAN MAHKOTA")</f>
        <v>JALAN MAHKOTA</v>
      </c>
      <c r="L1336" s="36"/>
      <c r="M1336" s="36"/>
      <c r="N1336" s="36"/>
      <c r="O1336" s="36"/>
      <c r="P1336" s="36"/>
      <c r="Q1336" s="36"/>
      <c r="R1336" s="36" t="str">
        <f>IFERROR(__xludf.DUMMYFUNCTION("""COMPUTED_VALUE"""),"K")</f>
        <v>K</v>
      </c>
      <c r="S1336" s="39"/>
    </row>
    <row r="1337">
      <c r="B1337" s="36" t="str">
        <f>IFERROR(__xludf.DUMMYFUNCTION("""COMPUTED_VALUE"""),"Produktivitas Jenjang 5")</f>
        <v>Produktivitas Jenjang 5</v>
      </c>
      <c r="C1337" s="36"/>
      <c r="D1337" s="36"/>
      <c r="E1337" s="36"/>
      <c r="F1337" s="36" t="str">
        <f>IFERROR(__xludf.DUMMYFUNCTION("""COMPUTED_VALUE"""),"TAHTA GUBTA SAHAKA")</f>
        <v>TAHTA GUBTA SAHAKA</v>
      </c>
      <c r="G1337" s="36" t="str">
        <f>IFERROR(__xludf.DUMMYFUNCTION("""COMPUTED_VALUE"""),"7471053011940002")</f>
        <v>7471053011940002</v>
      </c>
      <c r="H1337" s="36"/>
      <c r="I1337" s="36"/>
      <c r="J1337" s="36" t="str">
        <f>IFERROR(__xludf.DUMMYFUNCTION("""COMPUTED_VALUE"""),"LAKI-LAKI")</f>
        <v>LAKI-LAKI</v>
      </c>
      <c r="K1337" s="36" t="str">
        <f>IFERROR(__xludf.DUMMYFUNCTION("""COMPUTED_VALUE"""),"JL. CHAIRIL ANWAR")</f>
        <v>JL. CHAIRIL ANWAR</v>
      </c>
      <c r="L1337" s="36"/>
      <c r="M1337" s="36"/>
      <c r="N1337" s="36"/>
      <c r="O1337" s="36"/>
      <c r="P1337" s="36"/>
      <c r="Q1337" s="36"/>
      <c r="R1337" s="36" t="str">
        <f>IFERROR(__xludf.DUMMYFUNCTION("""COMPUTED_VALUE"""),"K")</f>
        <v>K</v>
      </c>
      <c r="S1337" s="39"/>
    </row>
    <row r="1338">
      <c r="B1338" s="36" t="str">
        <f>IFERROR(__xludf.DUMMYFUNCTION("""COMPUTED_VALUE"""),"Produktivitas Jenjang 5")</f>
        <v>Produktivitas Jenjang 5</v>
      </c>
      <c r="C1338" s="36"/>
      <c r="D1338" s="36"/>
      <c r="E1338" s="36"/>
      <c r="F1338" s="36" t="str">
        <f>IFERROR(__xludf.DUMMYFUNCTION("""COMPUTED_VALUE"""),"FIGIT FERIAN PARMAN SAPUTRA")</f>
        <v>FIGIT FERIAN PARMAN SAPUTRA</v>
      </c>
      <c r="G1338" s="36" t="str">
        <f>IFERROR(__xludf.DUMMYFUNCTION("""COMPUTED_VALUE"""),"7471051604900002")</f>
        <v>7471051604900002</v>
      </c>
      <c r="H1338" s="36"/>
      <c r="I1338" s="36"/>
      <c r="J1338" s="36" t="str">
        <f>IFERROR(__xludf.DUMMYFUNCTION("""COMPUTED_VALUE"""),"LAKI-LAKI")</f>
        <v>LAKI-LAKI</v>
      </c>
      <c r="K1338" s="36" t="str">
        <f>IFERROR(__xludf.DUMMYFUNCTION("""COMPUTED_VALUE"""),"JL. KELAPA TIGA, RT.005/RW.002, KEL.LAHUNDAPE, KEC. KENDARI BARAT, KOTA KENDARI, 93127")</f>
        <v>JL. KELAPA TIGA, RT.005/RW.002, KEL.LAHUNDAPE, KEC. KENDARI BARAT, KOTA KENDARI, 93127</v>
      </c>
      <c r="L1338" s="36"/>
      <c r="M1338" s="36"/>
      <c r="N1338" s="36"/>
      <c r="O1338" s="36"/>
      <c r="P1338" s="36"/>
      <c r="Q1338" s="36"/>
      <c r="R1338" s="36" t="str">
        <f>IFERROR(__xludf.DUMMYFUNCTION("""COMPUTED_VALUE"""),"K")</f>
        <v>K</v>
      </c>
      <c r="S1338" s="39"/>
    </row>
    <row r="1339">
      <c r="B1339" s="36" t="str">
        <f>IFERROR(__xludf.DUMMYFUNCTION("""COMPUTED_VALUE"""),"Produktivitas Jenjang 5")</f>
        <v>Produktivitas Jenjang 5</v>
      </c>
      <c r="C1339" s="36"/>
      <c r="D1339" s="36"/>
      <c r="E1339" s="36"/>
      <c r="F1339" s="36" t="str">
        <f>IFERROR(__xludf.DUMMYFUNCTION("""COMPUTED_VALUE"""),"ALUNG RAMADAN ")</f>
        <v>ALUNG RAMADAN </v>
      </c>
      <c r="G1339" s="36">
        <f>IFERROR(__xludf.DUMMYFUNCTION("""COMPUTED_VALUE"""),7.4710528020002E13)</f>
        <v>74710528020002</v>
      </c>
      <c r="H1339" s="36"/>
      <c r="I1339" s="36"/>
      <c r="J1339" s="36" t="str">
        <f>IFERROR(__xludf.DUMMYFUNCTION("""COMPUTED_VALUE"""),"LAKI-LAKI")</f>
        <v>LAKI-LAKI</v>
      </c>
      <c r="K1339" s="36" t="str">
        <f>IFERROR(__xludf.DUMMYFUNCTION("""COMPUTED_VALUE"""),"JL DR MOHON HATTA")</f>
        <v>JL DR MOHON HATTA</v>
      </c>
      <c r="L1339" s="36"/>
      <c r="M1339" s="36"/>
      <c r="N1339" s="36"/>
      <c r="O1339" s="36"/>
      <c r="P1339" s="36"/>
      <c r="Q1339" s="36"/>
      <c r="R1339" s="36" t="str">
        <f>IFERROR(__xludf.DUMMYFUNCTION("""COMPUTED_VALUE"""),"K")</f>
        <v>K</v>
      </c>
      <c r="S1339" s="39"/>
    </row>
    <row r="1340">
      <c r="B1340" s="36" t="str">
        <f>IFERROR(__xludf.DUMMYFUNCTION("""COMPUTED_VALUE"""),"Produktivitas Jenjang 5")</f>
        <v>Produktivitas Jenjang 5</v>
      </c>
      <c r="C1340" s="36"/>
      <c r="D1340" s="36"/>
      <c r="E1340" s="36"/>
      <c r="F1340" s="36" t="str">
        <f>IFERROR(__xludf.DUMMYFUNCTION("""COMPUTED_VALUE"""),"SYAHRIN")</f>
        <v>SYAHRIN</v>
      </c>
      <c r="G1340" s="36" t="str">
        <f>IFERROR(__xludf.DUMMYFUNCTION("""COMPUTED_VALUE"""),"7471022607020001")</f>
        <v>7471022607020001</v>
      </c>
      <c r="H1340" s="36"/>
      <c r="I1340" s="36"/>
      <c r="J1340" s="36" t="str">
        <f>IFERROR(__xludf.DUMMYFUNCTION("""COMPUTED_VALUE"""),"LAKI-LAKI")</f>
        <v>LAKI-LAKI</v>
      </c>
      <c r="K1340" s="36" t="str">
        <f>IFERROR(__xludf.DUMMYFUNCTION("""COMPUTED_VALUE"""),"KEL. MANGGA DUA")</f>
        <v>KEL. MANGGA DUA</v>
      </c>
      <c r="L1340" s="36"/>
      <c r="M1340" s="36"/>
      <c r="N1340" s="36"/>
      <c r="O1340" s="36"/>
      <c r="P1340" s="36"/>
      <c r="Q1340" s="36"/>
      <c r="R1340" s="36" t="str">
        <f>IFERROR(__xludf.DUMMYFUNCTION("""COMPUTED_VALUE"""),"BK")</f>
        <v>BK</v>
      </c>
      <c r="S1340" s="39"/>
    </row>
    <row r="1341">
      <c r="B1341" s="36" t="str">
        <f>IFERROR(__xludf.DUMMYFUNCTION("""COMPUTED_VALUE"""),"Pengelolaan Administrasi Kantor Digital Berbasis Google Workspace")</f>
        <v>Pengelolaan Administrasi Kantor Digital Berbasis Google Workspace</v>
      </c>
      <c r="C1341" s="36"/>
      <c r="D1341" s="36"/>
      <c r="E1341" s="36"/>
      <c r="F1341" s="36" t="str">
        <f>IFERROR(__xludf.DUMMYFUNCTION("""COMPUTED_VALUE"""),"NURKHOTIMAH ADWIYANI")</f>
        <v>NURKHOTIMAH ADWIYANI</v>
      </c>
      <c r="G1341" s="36" t="str">
        <f>IFERROR(__xludf.DUMMYFUNCTION("""COMPUTED_VALUE"""),"")</f>
        <v/>
      </c>
      <c r="H1341" s="36"/>
      <c r="I1341" s="36"/>
      <c r="J1341" s="36" t="str">
        <f>IFERROR(__xludf.DUMMYFUNCTION("""COMPUTED_VALUE"""),"PEREMPUAN")</f>
        <v>PEREMPUAN</v>
      </c>
      <c r="K1341" s="36" t="str">
        <f>IFERROR(__xludf.DUMMYFUNCTION("""COMPUTED_VALUE"""),"")</f>
        <v/>
      </c>
      <c r="L1341" s="36"/>
      <c r="M1341" s="36"/>
      <c r="N1341" s="36"/>
      <c r="O1341" s="36"/>
      <c r="P1341" s="36"/>
      <c r="Q1341" s="36"/>
      <c r="R1341" s="36" t="str">
        <f>IFERROR(__xludf.DUMMYFUNCTION("""COMPUTED_VALUE"""),"K")</f>
        <v>K</v>
      </c>
      <c r="S1341" s="39"/>
    </row>
    <row r="1342">
      <c r="B1342" s="36" t="str">
        <f>IFERROR(__xludf.DUMMYFUNCTION("""COMPUTED_VALUE"""),"Pengelolaan Administrasi Kantor Digital Berbasis Google Workspace")</f>
        <v>Pengelolaan Administrasi Kantor Digital Berbasis Google Workspace</v>
      </c>
      <c r="C1342" s="36"/>
      <c r="D1342" s="36"/>
      <c r="E1342" s="36"/>
      <c r="F1342" s="36" t="str">
        <f>IFERROR(__xludf.DUMMYFUNCTION("""COMPUTED_VALUE"""),"RAHMAWATI HASAN")</f>
        <v>RAHMAWATI HASAN</v>
      </c>
      <c r="G1342" s="36" t="str">
        <f>IFERROR(__xludf.DUMMYFUNCTION("""COMPUTED_VALUE"""),"7402055212940001")</f>
        <v>7402055212940001</v>
      </c>
      <c r="H1342" s="36"/>
      <c r="I1342" s="36"/>
      <c r="J1342" s="36" t="str">
        <f>IFERROR(__xludf.DUMMYFUNCTION("""COMPUTED_VALUE"""),"PEREMPUAN")</f>
        <v>PEREMPUAN</v>
      </c>
      <c r="K1342" s="36" t="str">
        <f>IFERROR(__xludf.DUMMYFUNCTION("""COMPUTED_VALUE"""),"DESA PUSAWAH JAYA,KEC.ANGGALOMOARE, KAB. KONAWE")</f>
        <v>DESA PUSAWAH JAYA,KEC.ANGGALOMOARE, KAB. KONAWE</v>
      </c>
      <c r="L1342" s="36"/>
      <c r="M1342" s="36"/>
      <c r="N1342" s="36"/>
      <c r="O1342" s="36"/>
      <c r="P1342" s="36"/>
      <c r="Q1342" s="36"/>
      <c r="R1342" s="36" t="str">
        <f>IFERROR(__xludf.DUMMYFUNCTION("""COMPUTED_VALUE"""),"K")</f>
        <v>K</v>
      </c>
      <c r="S1342" s="39"/>
    </row>
    <row r="1343">
      <c r="B1343" s="36" t="str">
        <f>IFERROR(__xludf.DUMMYFUNCTION("""COMPUTED_VALUE"""),"Pengelolaan Administrasi Kantor Digital Berbasis Google Workspace")</f>
        <v>Pengelolaan Administrasi Kantor Digital Berbasis Google Workspace</v>
      </c>
      <c r="C1343" s="36"/>
      <c r="D1343" s="36"/>
      <c r="E1343" s="36"/>
      <c r="F1343" s="36" t="str">
        <f>IFERROR(__xludf.DUMMYFUNCTION("""COMPUTED_VALUE"""),"LISNAWATI")</f>
        <v>LISNAWATI</v>
      </c>
      <c r="G1343" s="36" t="str">
        <f>IFERROR(__xludf.DUMMYFUNCTION("""COMPUTED_VALUE"""),"740109450130002")</f>
        <v>740109450130002</v>
      </c>
      <c r="H1343" s="36"/>
      <c r="I1343" s="36"/>
      <c r="J1343" s="36" t="str">
        <f>IFERROR(__xludf.DUMMYFUNCTION("""COMPUTED_VALUE"""),"PEREMPUAN")</f>
        <v>PEREMPUAN</v>
      </c>
      <c r="K1343" s="36" t="str">
        <f>IFERROR(__xludf.DUMMYFUNCTION("""COMPUTED_VALUE"""),"DUSUN IV, KEL. HORODOPI, KEC. BENUA, KAB. KONSEL")</f>
        <v>DUSUN IV, KEL. HORODOPI, KEC. BENUA, KAB. KONSEL</v>
      </c>
      <c r="L1343" s="36"/>
      <c r="M1343" s="36"/>
      <c r="N1343" s="36"/>
      <c r="O1343" s="36"/>
      <c r="P1343" s="36"/>
      <c r="Q1343" s="36"/>
      <c r="R1343" s="36" t="str">
        <f>IFERROR(__xludf.DUMMYFUNCTION("""COMPUTED_VALUE"""),"K")</f>
        <v>K</v>
      </c>
      <c r="S1343" s="39"/>
    </row>
    <row r="1344">
      <c r="B1344" s="36" t="str">
        <f>IFERROR(__xludf.DUMMYFUNCTION("""COMPUTED_VALUE"""),"Pengelolaan Administrasi Kantor Digital Berbasis Google Workspace")</f>
        <v>Pengelolaan Administrasi Kantor Digital Berbasis Google Workspace</v>
      </c>
      <c r="C1344" s="36"/>
      <c r="D1344" s="36"/>
      <c r="E1344" s="36"/>
      <c r="F1344" s="36" t="str">
        <f>IFERROR(__xludf.DUMMYFUNCTION("""COMPUTED_VALUE"""),"ALISYAH PUTRI UTAMI ")</f>
        <v>ALISYAH PUTRI UTAMI </v>
      </c>
      <c r="G1344" s="36" t="str">
        <f>IFERROR(__xludf.DUMMYFUNCTION("""COMPUTED_VALUE"""),"7403125801050001")</f>
        <v>7403125801050001</v>
      </c>
      <c r="H1344" s="36"/>
      <c r="I1344" s="36"/>
      <c r="J1344" s="36" t="str">
        <f>IFERROR(__xludf.DUMMYFUNCTION("""COMPUTED_VALUE"""),"PEREMPUAN")</f>
        <v>PEREMPUAN</v>
      </c>
      <c r="K1344" s="36" t="str">
        <f>IFERROR(__xludf.DUMMYFUNCTION("""COMPUTED_VALUE"""),"JL.SUTAN SYAHRIR KELURAHAN PALANGGA KECAMATAN DURUKA KABUPATEN MUNA SULAWESI TENGGARA ")</f>
        <v>JL.SUTAN SYAHRIR KELURAHAN PALANGGA KECAMATAN DURUKA KABUPATEN MUNA SULAWESI TENGGARA </v>
      </c>
      <c r="L1344" s="36"/>
      <c r="M1344" s="36"/>
      <c r="N1344" s="36"/>
      <c r="O1344" s="36"/>
      <c r="P1344" s="36"/>
      <c r="Q1344" s="36"/>
      <c r="R1344" s="36" t="str">
        <f>IFERROR(__xludf.DUMMYFUNCTION("""COMPUTED_VALUE"""),"K")</f>
        <v>K</v>
      </c>
      <c r="S1344" s="39"/>
    </row>
    <row r="1345">
      <c r="B1345" s="36" t="str">
        <f>IFERROR(__xludf.DUMMYFUNCTION("""COMPUTED_VALUE"""),"Pengelolaan Administrasi Kantor Digital Berbasis Google Workspace")</f>
        <v>Pengelolaan Administrasi Kantor Digital Berbasis Google Workspace</v>
      </c>
      <c r="C1345" s="36"/>
      <c r="D1345" s="36"/>
      <c r="E1345" s="36"/>
      <c r="F1345" s="36" t="str">
        <f>IFERROR(__xludf.DUMMYFUNCTION("""COMPUTED_VALUE"""),"VIRA ZALIANTI")</f>
        <v>VIRA ZALIANTI</v>
      </c>
      <c r="G1345" s="36" t="str">
        <f>IFERROR(__xludf.DUMMYFUNCTION("""COMPUTED_VALUE"""),"7471055302080002")</f>
        <v>7471055302080002</v>
      </c>
      <c r="H1345" s="36"/>
      <c r="I1345" s="36"/>
      <c r="J1345" s="36" t="str">
        <f>IFERROR(__xludf.DUMMYFUNCTION("""COMPUTED_VALUE"""),"PEREMPUAN")</f>
        <v>PEREMPUAN</v>
      </c>
      <c r="K1345" s="36" t="str">
        <f>IFERROR(__xludf.DUMMYFUNCTION("""COMPUTED_VALUE"""),"JL. S KONAWEHA")</f>
        <v>JL. S KONAWEHA</v>
      </c>
      <c r="L1345" s="36"/>
      <c r="M1345" s="36"/>
      <c r="N1345" s="36"/>
      <c r="O1345" s="36"/>
      <c r="P1345" s="36"/>
      <c r="Q1345" s="36"/>
      <c r="R1345" s="36" t="str">
        <f>IFERROR(__xludf.DUMMYFUNCTION("""COMPUTED_VALUE"""),"K")</f>
        <v>K</v>
      </c>
      <c r="S1345" s="39"/>
    </row>
    <row r="1346">
      <c r="B1346" s="36" t="str">
        <f>IFERROR(__xludf.DUMMYFUNCTION("""COMPUTED_VALUE"""),"Pengelolaan Administrasi Kantor Digital Berbasis Google Workspace")</f>
        <v>Pengelolaan Administrasi Kantor Digital Berbasis Google Workspace</v>
      </c>
      <c r="C1346" s="36"/>
      <c r="D1346" s="36"/>
      <c r="E1346" s="36"/>
      <c r="F1346" s="36" t="str">
        <f>IFERROR(__xludf.DUMMYFUNCTION("""COMPUTED_VALUE"""),"RARA FEBRIAINI ")</f>
        <v>RARA FEBRIAINI </v>
      </c>
      <c r="G1346" s="36" t="str">
        <f>IFERROR(__xludf.DUMMYFUNCTION("""COMPUTED_VALUE"""),"7471014102060001")</f>
        <v>7471014102060001</v>
      </c>
      <c r="H1346" s="36"/>
      <c r="I1346" s="36"/>
      <c r="J1346" s="36" t="str">
        <f>IFERROR(__xludf.DUMMYFUNCTION("""COMPUTED_VALUE"""),"PEREMPUAN")</f>
        <v>PEREMPUAN</v>
      </c>
      <c r="K1346" s="36" t="str">
        <f>IFERROR(__xludf.DUMMYFUNCTION("""COMPUTED_VALUE"""),"JL. MEKAR BARU LR. BATU MERAH ")</f>
        <v>JL. MEKAR BARU LR. BATU MERAH </v>
      </c>
      <c r="L1346" s="36"/>
      <c r="M1346" s="36"/>
      <c r="N1346" s="36"/>
      <c r="O1346" s="36"/>
      <c r="P1346" s="36"/>
      <c r="Q1346" s="36"/>
      <c r="R1346" s="36" t="str">
        <f>IFERROR(__xludf.DUMMYFUNCTION("""COMPUTED_VALUE"""),"K")</f>
        <v>K</v>
      </c>
      <c r="S1346" s="39"/>
    </row>
    <row r="1347">
      <c r="B1347" s="36" t="str">
        <f>IFERROR(__xludf.DUMMYFUNCTION("""COMPUTED_VALUE"""),"Pengelolaan Administrasi Kantor Digital Berbasis Google Workspace")</f>
        <v>Pengelolaan Administrasi Kantor Digital Berbasis Google Workspace</v>
      </c>
      <c r="C1347" s="36"/>
      <c r="D1347" s="36"/>
      <c r="E1347" s="36"/>
      <c r="F1347" s="36" t="str">
        <f>IFERROR(__xludf.DUMMYFUNCTION("""COMPUTED_VALUE"""),"I GEDE PUTRA WARDANA ")</f>
        <v>I GEDE PUTRA WARDANA </v>
      </c>
      <c r="G1347" s="36" t="str">
        <f>IFERROR(__xludf.DUMMYFUNCTION("""COMPUTED_VALUE"""),"7472040406070001")</f>
        <v>7472040406070001</v>
      </c>
      <c r="H1347" s="36"/>
      <c r="I1347" s="36"/>
      <c r="J1347" s="36" t="str">
        <f>IFERROR(__xludf.DUMMYFUNCTION("""COMPUTED_VALUE"""),"LAKI-LAKI")</f>
        <v>LAKI-LAKI</v>
      </c>
      <c r="K1347" s="36" t="str">
        <f>IFERROR(__xludf.DUMMYFUNCTION("""COMPUTED_VALUE"""),"LINGKUNGAN BALI DWIPA")</f>
        <v>LINGKUNGAN BALI DWIPA</v>
      </c>
      <c r="L1347" s="36"/>
      <c r="M1347" s="36"/>
      <c r="N1347" s="36"/>
      <c r="O1347" s="36"/>
      <c r="P1347" s="36"/>
      <c r="Q1347" s="36"/>
      <c r="R1347" s="36" t="str">
        <f>IFERROR(__xludf.DUMMYFUNCTION("""COMPUTED_VALUE"""),"K")</f>
        <v>K</v>
      </c>
      <c r="S1347" s="39"/>
    </row>
    <row r="1348">
      <c r="B1348" s="36" t="str">
        <f>IFERROR(__xludf.DUMMYFUNCTION("""COMPUTED_VALUE"""),"Pengelolaan Administrasi Kantor Digital Berbasis Google Workspace")</f>
        <v>Pengelolaan Administrasi Kantor Digital Berbasis Google Workspace</v>
      </c>
      <c r="C1348" s="36"/>
      <c r="D1348" s="36"/>
      <c r="E1348" s="36"/>
      <c r="F1348" s="36" t="str">
        <f>IFERROR(__xludf.DUMMYFUNCTION("""COMPUTED_VALUE"""),"NURFADILLAH ")</f>
        <v>NURFADILLAH </v>
      </c>
      <c r="G1348" s="36" t="str">
        <f>IFERROR(__xludf.DUMMYFUNCTION("""COMPUTED_VALUE"""),"7405015005060003")</f>
        <v>7405015005060003</v>
      </c>
      <c r="H1348" s="36"/>
      <c r="I1348" s="36"/>
      <c r="J1348" s="36" t="str">
        <f>IFERROR(__xludf.DUMMYFUNCTION("""COMPUTED_VALUE"""),"PEREMPUAN")</f>
        <v>PEREMPUAN</v>
      </c>
      <c r="K1348" s="36" t="str">
        <f>IFERROR(__xludf.DUMMYFUNCTION("""COMPUTED_VALUE"""),"DESA AKUNI RT 000/RW 000 KEL/DESA. AKUNI KEC. TINANGGEA ")</f>
        <v>DESA AKUNI RT 000/RW 000 KEL/DESA. AKUNI KEC. TINANGGEA </v>
      </c>
      <c r="L1348" s="36"/>
      <c r="M1348" s="36"/>
      <c r="N1348" s="36"/>
      <c r="O1348" s="36"/>
      <c r="P1348" s="36"/>
      <c r="Q1348" s="36"/>
      <c r="R1348" s="36" t="str">
        <f>IFERROR(__xludf.DUMMYFUNCTION("""COMPUTED_VALUE"""),"BK")</f>
        <v>BK</v>
      </c>
      <c r="S1348" s="39"/>
    </row>
    <row r="1349">
      <c r="B1349" s="36" t="str">
        <f>IFERROR(__xludf.DUMMYFUNCTION("""COMPUTED_VALUE"""),"Pengelolaan Administrasi Kantor Digital Berbasis Google Workspace")</f>
        <v>Pengelolaan Administrasi Kantor Digital Berbasis Google Workspace</v>
      </c>
      <c r="C1349" s="36"/>
      <c r="D1349" s="36"/>
      <c r="E1349" s="36"/>
      <c r="F1349" s="36" t="str">
        <f>IFERROR(__xludf.DUMMYFUNCTION("""COMPUTED_VALUE"""),"RAGITA")</f>
        <v>RAGITA</v>
      </c>
      <c r="G1349" s="36" t="str">
        <f>IFERROR(__xludf.DUMMYFUNCTION("""COMPUTED_VALUE"""),"7471076812070001")</f>
        <v>7471076812070001</v>
      </c>
      <c r="H1349" s="36"/>
      <c r="I1349" s="36"/>
      <c r="J1349" s="36" t="str">
        <f>IFERROR(__xludf.DUMMYFUNCTION("""COMPUTED_VALUE"""),"PEREMPUAN")</f>
        <v>PEREMPUAN</v>
      </c>
      <c r="K1349" s="36" t="str">
        <f>IFERROR(__xludf.DUMMYFUNCTION("""COMPUTED_VALUE"""),"JL. PATIMURA LR. SUZUKI II")</f>
        <v>JL. PATIMURA LR. SUZUKI II</v>
      </c>
      <c r="L1349" s="36"/>
      <c r="M1349" s="36"/>
      <c r="N1349" s="36"/>
      <c r="O1349" s="36"/>
      <c r="P1349" s="36"/>
      <c r="Q1349" s="36"/>
      <c r="R1349" s="36" t="str">
        <f>IFERROR(__xludf.DUMMYFUNCTION("""COMPUTED_VALUE"""),"K")</f>
        <v>K</v>
      </c>
      <c r="S1349" s="39"/>
    </row>
    <row r="1350">
      <c r="B1350" s="36" t="str">
        <f>IFERROR(__xludf.DUMMYFUNCTION("""COMPUTED_VALUE"""),"Pengelolaan Administrasi Kantor Digital Berbasis Google Workspace")</f>
        <v>Pengelolaan Administrasi Kantor Digital Berbasis Google Workspace</v>
      </c>
      <c r="C1350" s="36"/>
      <c r="D1350" s="36"/>
      <c r="E1350" s="36"/>
      <c r="F1350" s="36" t="str">
        <f>IFERROR(__xludf.DUMMYFUNCTION("""COMPUTED_VALUE"""),"NUR LUTFIA AULIA")</f>
        <v>NUR LUTFIA AULIA</v>
      </c>
      <c r="G1350" s="36" t="str">
        <f>IFERROR(__xludf.DUMMYFUNCTION("""COMPUTED_VALUE"""),"7404316804080002")</f>
        <v>7404316804080002</v>
      </c>
      <c r="H1350" s="36"/>
      <c r="I1350" s="36"/>
      <c r="J1350" s="36" t="str">
        <f>IFERROR(__xludf.DUMMYFUNCTION("""COMPUTED_VALUE"""),"PEREMPUAN")</f>
        <v>PEREMPUAN</v>
      </c>
      <c r="K1350" s="36" t="str">
        <f>IFERROR(__xludf.DUMMYFUNCTION("""COMPUTED_VALUE"""),"JL. POROS PASARWAJO - LASALIMU")</f>
        <v>JL. POROS PASARWAJO - LASALIMU</v>
      </c>
      <c r="L1350" s="36"/>
      <c r="M1350" s="36"/>
      <c r="N1350" s="36"/>
      <c r="O1350" s="36"/>
      <c r="P1350" s="36"/>
      <c r="Q1350" s="36"/>
      <c r="R1350" s="36" t="str">
        <f>IFERROR(__xludf.DUMMYFUNCTION("""COMPUTED_VALUE"""),"K")</f>
        <v>K</v>
      </c>
      <c r="S1350" s="39"/>
    </row>
    <row r="1351">
      <c r="B1351" s="36" t="str">
        <f>IFERROR(__xludf.DUMMYFUNCTION("""COMPUTED_VALUE"""),"Pengelolaan Administrasi Kantor Digital Berbasis Google Workspace")</f>
        <v>Pengelolaan Administrasi Kantor Digital Berbasis Google Workspace</v>
      </c>
      <c r="C1351" s="36"/>
      <c r="D1351" s="36"/>
      <c r="E1351" s="36"/>
      <c r="F1351" s="36" t="str">
        <f>IFERROR(__xludf.DUMMYFUNCTION("""COMPUTED_VALUE"""),"MUARFAN SHIDICK")</f>
        <v>MUARFAN SHIDICK</v>
      </c>
      <c r="G1351" s="36" t="str">
        <f>IFERROR(__xludf.DUMMYFUNCTION("""COMPUTED_VALUE"""),"7403091103080001")</f>
        <v>7403091103080001</v>
      </c>
      <c r="H1351" s="36"/>
      <c r="I1351" s="36"/>
      <c r="J1351" s="36" t="str">
        <f>IFERROR(__xludf.DUMMYFUNCTION("""COMPUTED_VALUE"""),"LAKI-LAKI")</f>
        <v>LAKI-LAKI</v>
      </c>
      <c r="K1351" s="36" t="str">
        <f>IFERROR(__xludf.DUMMYFUNCTION("""COMPUTED_VALUE"""),"KEL.MANGGA DUA")</f>
        <v>KEL.MANGGA DUA</v>
      </c>
      <c r="L1351" s="36"/>
      <c r="M1351" s="36"/>
      <c r="N1351" s="36"/>
      <c r="O1351" s="36"/>
      <c r="P1351" s="36"/>
      <c r="Q1351" s="36"/>
      <c r="R1351" s="36" t="str">
        <f>IFERROR(__xludf.DUMMYFUNCTION("""COMPUTED_VALUE"""),"K")</f>
        <v>K</v>
      </c>
      <c r="S1351" s="39"/>
    </row>
    <row r="1352">
      <c r="B1352" s="36" t="str">
        <f>IFERROR(__xludf.DUMMYFUNCTION("""COMPUTED_VALUE"""),"Pengelolaan Administrasi Kantor Digital Berbasis Google Workspace")</f>
        <v>Pengelolaan Administrasi Kantor Digital Berbasis Google Workspace</v>
      </c>
      <c r="C1352" s="36"/>
      <c r="D1352" s="36"/>
      <c r="E1352" s="36"/>
      <c r="F1352" s="36" t="str">
        <f>IFERROR(__xludf.DUMMYFUNCTION("""COMPUTED_VALUE"""),"MUTHIARA SHALMA")</f>
        <v>MUTHIARA SHALMA</v>
      </c>
      <c r="G1352" s="36" t="str">
        <f>IFERROR(__xludf.DUMMYFUNCTION("""COMPUTED_VALUE"""),"6471045406080003")</f>
        <v>6471045406080003</v>
      </c>
      <c r="H1352" s="36"/>
      <c r="I1352" s="36"/>
      <c r="J1352" s="36" t="str">
        <f>IFERROR(__xludf.DUMMYFUNCTION("""COMPUTED_VALUE"""),"PEREMPUAN")</f>
        <v>PEREMPUAN</v>
      </c>
      <c r="K1352" s="36" t="str">
        <f>IFERROR(__xludf.DUMMYFUNCTION("""COMPUTED_VALUE"""),"JL.SWADAYA NO.09,KELURAHAN KARANG REJO,BALIKPAPAN TENGAH")</f>
        <v>JL.SWADAYA NO.09,KELURAHAN KARANG REJO,BALIKPAPAN TENGAH</v>
      </c>
      <c r="L1352" s="36"/>
      <c r="M1352" s="36"/>
      <c r="N1352" s="36"/>
      <c r="O1352" s="36"/>
      <c r="P1352" s="36"/>
      <c r="Q1352" s="36"/>
      <c r="R1352" s="36" t="str">
        <f>IFERROR(__xludf.DUMMYFUNCTION("""COMPUTED_VALUE"""),"K")</f>
        <v>K</v>
      </c>
      <c r="S1352" s="39"/>
    </row>
    <row r="1353">
      <c r="B1353" s="36" t="str">
        <f>IFERROR(__xludf.DUMMYFUNCTION("""COMPUTED_VALUE"""),"Pengelolaan Administrasi Kantor Digital Berbasis Google Workspace")</f>
        <v>Pengelolaan Administrasi Kantor Digital Berbasis Google Workspace</v>
      </c>
      <c r="C1353" s="36"/>
      <c r="D1353" s="36"/>
      <c r="E1353" s="36"/>
      <c r="F1353" s="36" t="str">
        <f>IFERROR(__xludf.DUMMYFUNCTION("""COMPUTED_VALUE"""),"HASNADA")</f>
        <v>HASNADA</v>
      </c>
      <c r="G1353" s="36" t="str">
        <f>IFERROR(__xludf.DUMMYFUNCTION("""COMPUTED_VALUE"""),"7403385802010001")</f>
        <v>7403385802010001</v>
      </c>
      <c r="H1353" s="36"/>
      <c r="I1353" s="36"/>
      <c r="J1353" s="36" t="str">
        <f>IFERROR(__xludf.DUMMYFUNCTION("""COMPUTED_VALUE"""),"PEREMPUAN")</f>
        <v>PEREMPUAN</v>
      </c>
      <c r="K1353" s="36" t="str">
        <f>IFERROR(__xludf.DUMMYFUNCTION("""COMPUTED_VALUE"""),"JLN. POROS, RT 001 / RW 001, DESA SANGIA TIWORO, KEC. TIWORO SELARAN, KAB. MUNA BARAT")</f>
        <v>JLN. POROS, RT 001 / RW 001, DESA SANGIA TIWORO, KEC. TIWORO SELARAN, KAB. MUNA BARAT</v>
      </c>
      <c r="L1353" s="36"/>
      <c r="M1353" s="36"/>
      <c r="N1353" s="36"/>
      <c r="O1353" s="36"/>
      <c r="P1353" s="36"/>
      <c r="Q1353" s="36"/>
      <c r="R1353" s="36" t="str">
        <f>IFERROR(__xludf.DUMMYFUNCTION("""COMPUTED_VALUE"""),"K")</f>
        <v>K</v>
      </c>
      <c r="S1353" s="39"/>
    </row>
    <row r="1354">
      <c r="B1354" s="36" t="str">
        <f>IFERROR(__xludf.DUMMYFUNCTION("""COMPUTED_VALUE"""),"Pengelolaan Administrasi Kantor Digital Berbasis Google Workspace")</f>
        <v>Pengelolaan Administrasi Kantor Digital Berbasis Google Workspace</v>
      </c>
      <c r="C1354" s="36"/>
      <c r="D1354" s="36"/>
      <c r="E1354" s="36"/>
      <c r="F1354" s="36" t="str">
        <f>IFERROR(__xludf.DUMMYFUNCTION("""COMPUTED_VALUE"""),"SHANIQUA PUTRI ANGGRAENI")</f>
        <v>SHANIQUA PUTRI ANGGRAENI</v>
      </c>
      <c r="G1354" s="36" t="str">
        <f>IFERROR(__xludf.DUMMYFUNCTION("""COMPUTED_VALUE"""),"")</f>
        <v/>
      </c>
      <c r="H1354" s="36"/>
      <c r="I1354" s="36"/>
      <c r="J1354" s="36" t="str">
        <f>IFERROR(__xludf.DUMMYFUNCTION("""COMPUTED_VALUE"""),"PEREMPUAN")</f>
        <v>PEREMPUAN</v>
      </c>
      <c r="K1354" s="36" t="str">
        <f>IFERROR(__xludf.DUMMYFUNCTION("""COMPUTED_VALUE"""),"")</f>
        <v/>
      </c>
      <c r="L1354" s="36"/>
      <c r="M1354" s="36"/>
      <c r="N1354" s="36"/>
      <c r="O1354" s="36"/>
      <c r="P1354" s="36"/>
      <c r="Q1354" s="36"/>
      <c r="R1354" s="36" t="str">
        <f>IFERROR(__xludf.DUMMYFUNCTION("""COMPUTED_VALUE"""),"K")</f>
        <v>K</v>
      </c>
      <c r="S1354" s="39"/>
    </row>
    <row r="1355">
      <c r="B1355" s="36" t="str">
        <f>IFERROR(__xludf.DUMMYFUNCTION("""COMPUTED_VALUE"""),"Pengelolaan Administrasi Kantor Digital Berbasis Google Workspace")</f>
        <v>Pengelolaan Administrasi Kantor Digital Berbasis Google Workspace</v>
      </c>
      <c r="C1355" s="36"/>
      <c r="D1355" s="36"/>
      <c r="E1355" s="36"/>
      <c r="F1355" s="36" t="str">
        <f>IFERROR(__xludf.DUMMYFUNCTION("""COMPUTED_VALUE"""),"SYAFITRI")</f>
        <v>SYAFITRI</v>
      </c>
      <c r="G1355" s="36" t="str">
        <f>IFERROR(__xludf.DUMMYFUNCTION("""COMPUTED_VALUE"""),"7471024110080002")</f>
        <v>7471024110080002</v>
      </c>
      <c r="H1355" s="36"/>
      <c r="I1355" s="36"/>
      <c r="J1355" s="36" t="str">
        <f>IFERROR(__xludf.DUMMYFUNCTION("""COMPUTED_VALUE"""),"PEREMPUAN")</f>
        <v>PEREMPUAN</v>
      </c>
      <c r="K1355" s="36" t="str">
        <f>IFERROR(__xludf.DUMMYFUNCTION("""COMPUTED_VALUE"""),"JL AKASIA LANGI BAJO")</f>
        <v>JL AKASIA LANGI BAJO</v>
      </c>
      <c r="L1355" s="36"/>
      <c r="M1355" s="36"/>
      <c r="N1355" s="36"/>
      <c r="O1355" s="36"/>
      <c r="P1355" s="36"/>
      <c r="Q1355" s="36"/>
      <c r="R1355" s="36" t="str">
        <f>IFERROR(__xludf.DUMMYFUNCTION("""COMPUTED_VALUE"""),"K")</f>
        <v>K</v>
      </c>
      <c r="S1355" s="39"/>
    </row>
    <row r="1356">
      <c r="B1356" s="36" t="str">
        <f>IFERROR(__xludf.DUMMYFUNCTION("""COMPUTED_VALUE"""),"Pengelolaan Administrasi Kantor Digital Berbasis Google Workspace")</f>
        <v>Pengelolaan Administrasi Kantor Digital Berbasis Google Workspace</v>
      </c>
      <c r="C1356" s="36"/>
      <c r="D1356" s="36"/>
      <c r="E1356" s="36"/>
      <c r="F1356" s="36" t="str">
        <f>IFERROR(__xludf.DUMMYFUNCTION("""COMPUTED_VALUE"""),"VALEN NURUL FEBRIANTI")</f>
        <v>VALEN NURUL FEBRIANTI</v>
      </c>
      <c r="G1356" s="36" t="str">
        <f>IFERROR(__xludf.DUMMYFUNCTION("""COMPUTED_VALUE"""),"7405225402090001")</f>
        <v>7405225402090001</v>
      </c>
      <c r="H1356" s="36"/>
      <c r="I1356" s="36"/>
      <c r="J1356" s="36" t="str">
        <f>IFERROR(__xludf.DUMMYFUNCTION("""COMPUTED_VALUE"""),"PEREMPUAN")</f>
        <v>PEREMPUAN</v>
      </c>
      <c r="K1356" s="36" t="str">
        <f>IFERROR(__xludf.DUMMYFUNCTION("""COMPUTED_VALUE"""),"JL.POROS ANDOOLO-BARUGA")</f>
        <v>JL.POROS ANDOOLO-BARUGA</v>
      </c>
      <c r="L1356" s="36"/>
      <c r="M1356" s="36"/>
      <c r="N1356" s="36"/>
      <c r="O1356" s="36"/>
      <c r="P1356" s="36"/>
      <c r="Q1356" s="36"/>
      <c r="R1356" s="36" t="str">
        <f>IFERROR(__xludf.DUMMYFUNCTION("""COMPUTED_VALUE"""),"K")</f>
        <v>K</v>
      </c>
      <c r="S1356" s="39"/>
    </row>
    <row r="1357">
      <c r="B1357" s="36" t="str">
        <f>IFERROR(__xludf.DUMMYFUNCTION("""COMPUTED_VALUE"""),"Pengelolaan Administrasi Kantor Digital Berbasis Google Workspace")</f>
        <v>Pengelolaan Administrasi Kantor Digital Berbasis Google Workspace</v>
      </c>
      <c r="C1357" s="36"/>
      <c r="D1357" s="36"/>
      <c r="E1357" s="36"/>
      <c r="F1357" s="36" t="str">
        <f>IFERROR(__xludf.DUMMYFUNCTION("""COMPUTED_VALUE"""),"SULIS TIYANINGSIH ")</f>
        <v>SULIS TIYANINGSIH </v>
      </c>
      <c r="G1357" s="36" t="str">
        <f>IFERROR(__xludf.DUMMYFUNCTION("""COMPUTED_VALUE"""),"7471074203080001")</f>
        <v>7471074203080001</v>
      </c>
      <c r="H1357" s="36"/>
      <c r="I1357" s="36"/>
      <c r="J1357" s="36" t="str">
        <f>IFERROR(__xludf.DUMMYFUNCTION("""COMPUTED_VALUE"""),"PEREMPUAN")</f>
        <v>PEREMPUAN</v>
      </c>
      <c r="K1357" s="36" t="str">
        <f>IFERROR(__xludf.DUMMYFUNCTION("""COMPUTED_VALUE"""),"JL. LALOMBAKU WATULONDO PUUWATU")</f>
        <v>JL. LALOMBAKU WATULONDO PUUWATU</v>
      </c>
      <c r="L1357" s="36"/>
      <c r="M1357" s="36"/>
      <c r="N1357" s="36"/>
      <c r="O1357" s="36"/>
      <c r="P1357" s="36"/>
      <c r="Q1357" s="36"/>
      <c r="R1357" s="36" t="str">
        <f>IFERROR(__xludf.DUMMYFUNCTION("""COMPUTED_VALUE"""),"K")</f>
        <v>K</v>
      </c>
      <c r="S1357" s="39"/>
    </row>
    <row r="1358">
      <c r="B1358" s="36" t="str">
        <f>IFERROR(__xludf.DUMMYFUNCTION("""COMPUTED_VALUE"""),"Pengelolaan Administrasi Kantor Digital Berbasis Google Workspace")</f>
        <v>Pengelolaan Administrasi Kantor Digital Berbasis Google Workspace</v>
      </c>
      <c r="C1358" s="36"/>
      <c r="D1358" s="36"/>
      <c r="E1358" s="36"/>
      <c r="F1358" s="36" t="str">
        <f>IFERROR(__xludf.DUMMYFUNCTION("""COMPUTED_VALUE"""),"AMELIA")</f>
        <v>AMELIA</v>
      </c>
      <c r="G1358" s="36" t="str">
        <f>IFERROR(__xludf.DUMMYFUNCTION("""COMPUTED_VALUE"""),"7471074307080003")</f>
        <v>7471074307080003</v>
      </c>
      <c r="H1358" s="36"/>
      <c r="I1358" s="36"/>
      <c r="J1358" s="36" t="str">
        <f>IFERROR(__xludf.DUMMYFUNCTION("""COMPUTED_VALUE"""),"PEREMPUAN")</f>
        <v>PEREMPUAN</v>
      </c>
      <c r="K1358" s="36" t="str">
        <f>IFERROR(__xludf.DUMMYFUNCTION("""COMPUTED_VALUE"""),"JL. PATTIMURA LR HURAMI NO 7 E")</f>
        <v>JL. PATTIMURA LR HURAMI NO 7 E</v>
      </c>
      <c r="L1358" s="36"/>
      <c r="M1358" s="36"/>
      <c r="N1358" s="36"/>
      <c r="O1358" s="36"/>
      <c r="P1358" s="36"/>
      <c r="Q1358" s="36"/>
      <c r="R1358" s="36" t="str">
        <f>IFERROR(__xludf.DUMMYFUNCTION("""COMPUTED_VALUE"""),"K")</f>
        <v>K</v>
      </c>
      <c r="S1358" s="39"/>
    </row>
    <row r="1359">
      <c r="B1359" s="36" t="str">
        <f>IFERROR(__xludf.DUMMYFUNCTION("""COMPUTED_VALUE"""),"Pengelolaan Administrasi Kantor Digital Berbasis Google Workspace")</f>
        <v>Pengelolaan Administrasi Kantor Digital Berbasis Google Workspace</v>
      </c>
      <c r="C1359" s="36"/>
      <c r="D1359" s="36"/>
      <c r="E1359" s="36"/>
      <c r="F1359" s="36" t="str">
        <f>IFERROR(__xludf.DUMMYFUNCTION("""COMPUTED_VALUE"""),"NAUFAL RIFQI WIRYAWAN")</f>
        <v>NAUFAL RIFQI WIRYAWAN</v>
      </c>
      <c r="G1359" s="36" t="str">
        <f>IFERROR(__xludf.DUMMYFUNCTION("""COMPUTED_VALUE"""),"7471081207080002")</f>
        <v>7471081207080002</v>
      </c>
      <c r="H1359" s="36"/>
      <c r="I1359" s="36"/>
      <c r="J1359" s="36" t="str">
        <f>IFERROR(__xludf.DUMMYFUNCTION("""COMPUTED_VALUE"""),"LAKI-LAKI")</f>
        <v>LAKI-LAKI</v>
      </c>
      <c r="K1359" s="36" t="str">
        <f>IFERROR(__xludf.DUMMYFUNCTION("""COMPUTED_VALUE"""),"BARUGA BTN TEPOROMBUA BLOK B4")</f>
        <v>BARUGA BTN TEPOROMBUA BLOK B4</v>
      </c>
      <c r="L1359" s="36"/>
      <c r="M1359" s="36"/>
      <c r="N1359" s="36"/>
      <c r="O1359" s="36"/>
      <c r="P1359" s="36"/>
      <c r="Q1359" s="36"/>
      <c r="R1359" s="36" t="str">
        <f>IFERROR(__xludf.DUMMYFUNCTION("""COMPUTED_VALUE"""),"K")</f>
        <v>K</v>
      </c>
      <c r="S1359" s="39"/>
    </row>
    <row r="1360">
      <c r="B1360" s="36" t="str">
        <f>IFERROR(__xludf.DUMMYFUNCTION("""COMPUTED_VALUE"""),"Pengelolaan Administrasi Kantor Digital Berbasis Google Workspace")</f>
        <v>Pengelolaan Administrasi Kantor Digital Berbasis Google Workspace</v>
      </c>
      <c r="C1360" s="36"/>
      <c r="D1360" s="36"/>
      <c r="E1360" s="36"/>
      <c r="F1360" s="36" t="str">
        <f>IFERROR(__xludf.DUMMYFUNCTION("""COMPUTED_VALUE"""),"SURYA RAFI MAHADANA")</f>
        <v>SURYA RAFI MAHADANA</v>
      </c>
      <c r="G1360" s="36" t="str">
        <f>IFERROR(__xludf.DUMMYFUNCTION("""COMPUTED_VALUE"""),"7404081012080001")</f>
        <v>7404081012080001</v>
      </c>
      <c r="H1360" s="36"/>
      <c r="I1360" s="36"/>
      <c r="J1360" s="36" t="str">
        <f>IFERROR(__xludf.DUMMYFUNCTION("""COMPUTED_VALUE"""),"LAKI-LAKI")</f>
        <v>LAKI-LAKI</v>
      </c>
      <c r="K1360" s="36" t="str">
        <f>IFERROR(__xludf.DUMMYFUNCTION("""COMPUTED_VALUE"""),"JL.SARANANI")</f>
        <v>JL.SARANANI</v>
      </c>
      <c r="L1360" s="36"/>
      <c r="M1360" s="36"/>
      <c r="N1360" s="36"/>
      <c r="O1360" s="36"/>
      <c r="P1360" s="36"/>
      <c r="Q1360" s="36"/>
      <c r="R1360" s="36" t="str">
        <f>IFERROR(__xludf.DUMMYFUNCTION("""COMPUTED_VALUE"""),"K")</f>
        <v>K</v>
      </c>
      <c r="S1360" s="39"/>
    </row>
    <row r="1361">
      <c r="B1361" s="36" t="str">
        <f>IFERROR(__xludf.DUMMYFUNCTION("""COMPUTED_VALUE"""),"Pengelolaan Administrasi Kantor Digital Berbasis Google Workspace")</f>
        <v>Pengelolaan Administrasi Kantor Digital Berbasis Google Workspace</v>
      </c>
      <c r="C1361" s="36"/>
      <c r="D1361" s="36"/>
      <c r="E1361" s="36"/>
      <c r="F1361" s="36" t="str">
        <f>IFERROR(__xludf.DUMMYFUNCTION("""COMPUTED_VALUE"""),"MUH.FATHUR FADIL RAMADAN")</f>
        <v>MUH.FATHUR FADIL RAMADAN</v>
      </c>
      <c r="G1361" s="36" t="str">
        <f>IFERROR(__xludf.DUMMYFUNCTION("""COMPUTED_VALUE"""),"7471070210070002")</f>
        <v>7471070210070002</v>
      </c>
      <c r="H1361" s="36"/>
      <c r="I1361" s="36"/>
      <c r="J1361" s="36" t="str">
        <f>IFERROR(__xludf.DUMMYFUNCTION("""COMPUTED_VALUE"""),"LAKI-LAKI")</f>
        <v>LAKI-LAKI</v>
      </c>
      <c r="K1361" s="36" t="str">
        <f>IFERROR(__xludf.DUMMYFUNCTION("""COMPUTED_VALUE"""),"JL. PROF. MUH. YAMIN")</f>
        <v>JL. PROF. MUH. YAMIN</v>
      </c>
      <c r="L1361" s="36"/>
      <c r="M1361" s="36"/>
      <c r="N1361" s="36"/>
      <c r="O1361" s="36"/>
      <c r="P1361" s="36"/>
      <c r="Q1361" s="36"/>
      <c r="R1361" s="36" t="str">
        <f>IFERROR(__xludf.DUMMYFUNCTION("""COMPUTED_VALUE"""),"K")</f>
        <v>K</v>
      </c>
      <c r="S1361" s="39"/>
    </row>
    <row r="1362">
      <c r="B1362" s="36" t="str">
        <f>IFERROR(__xludf.DUMMYFUNCTION("""COMPUTED_VALUE"""),"Pengelolaan Administrasi Kantor Digital Berbasis Google Workspace")</f>
        <v>Pengelolaan Administrasi Kantor Digital Berbasis Google Workspace</v>
      </c>
      <c r="C1362" s="36"/>
      <c r="D1362" s="36"/>
      <c r="E1362" s="36"/>
      <c r="F1362" s="36" t="str">
        <f>IFERROR(__xludf.DUMMYFUNCTION("""COMPUTED_VALUE"""),"SIRAH HASANAH")</f>
        <v>SIRAH HASANAH</v>
      </c>
      <c r="G1362" s="36" t="str">
        <f>IFERROR(__xludf.DUMMYFUNCTION("""COMPUTED_VALUE"""),"7403225609040001")</f>
        <v>7403225609040001</v>
      </c>
      <c r="H1362" s="36"/>
      <c r="I1362" s="36"/>
      <c r="J1362" s="36" t="str">
        <f>IFERROR(__xludf.DUMMYFUNCTION("""COMPUTED_VALUE"""),"PEREMPUAN")</f>
        <v>PEREMPUAN</v>
      </c>
      <c r="K1362" s="36" t="str">
        <f>IFERROR(__xludf.DUMMYFUNCTION("""COMPUTED_VALUE"""),"BTN PERMATA KHALILA ")</f>
        <v>BTN PERMATA KHALILA </v>
      </c>
      <c r="L1362" s="36"/>
      <c r="M1362" s="36"/>
      <c r="N1362" s="36"/>
      <c r="O1362" s="36"/>
      <c r="P1362" s="36"/>
      <c r="Q1362" s="36"/>
      <c r="R1362" s="36" t="str">
        <f>IFERROR(__xludf.DUMMYFUNCTION("""COMPUTED_VALUE"""),"K")</f>
        <v>K</v>
      </c>
      <c r="S1362" s="39"/>
    </row>
    <row r="1363">
      <c r="B1363" s="36" t="str">
        <f>IFERROR(__xludf.DUMMYFUNCTION("""COMPUTED_VALUE"""),"Pengelolaan Administrasi Kantor Digital Berbasis Google Workspace")</f>
        <v>Pengelolaan Administrasi Kantor Digital Berbasis Google Workspace</v>
      </c>
      <c r="C1363" s="36"/>
      <c r="D1363" s="36"/>
      <c r="E1363" s="36"/>
      <c r="F1363" s="36" t="str">
        <f>IFERROR(__xludf.DUMMYFUNCTION("""COMPUTED_VALUE"""),"MUHAMMAD RISWAN ARIS")</f>
        <v>MUHAMMAD RISWAN ARIS</v>
      </c>
      <c r="G1363" s="36" t="str">
        <f>IFERROR(__xludf.DUMMYFUNCTION("""COMPUTED_VALUE"""),"7401092812080002")</f>
        <v>7401092812080002</v>
      </c>
      <c r="H1363" s="36"/>
      <c r="I1363" s="36"/>
      <c r="J1363" s="36" t="str">
        <f>IFERROR(__xludf.DUMMYFUNCTION("""COMPUTED_VALUE"""),"LAKI-LAKI")</f>
        <v>LAKI-LAKI</v>
      </c>
      <c r="K1363" s="36" t="str">
        <f>IFERROR(__xludf.DUMMYFUNCTION("""COMPUTED_VALUE"""),"WANDE")</f>
        <v>WANDE</v>
      </c>
      <c r="L1363" s="36"/>
      <c r="M1363" s="36"/>
      <c r="N1363" s="36"/>
      <c r="O1363" s="36"/>
      <c r="P1363" s="36"/>
      <c r="Q1363" s="36"/>
      <c r="R1363" s="36" t="str">
        <f>IFERROR(__xludf.DUMMYFUNCTION("""COMPUTED_VALUE"""),"K")</f>
        <v>K</v>
      </c>
      <c r="S1363" s="39"/>
    </row>
    <row r="1364">
      <c r="B1364" s="36" t="str">
        <f>IFERROR(__xludf.DUMMYFUNCTION("""COMPUTED_VALUE"""),"Pengelolaan Administrasi Kantor Digital Berbasis Google Workspace")</f>
        <v>Pengelolaan Administrasi Kantor Digital Berbasis Google Workspace</v>
      </c>
      <c r="C1364" s="36"/>
      <c r="D1364" s="36"/>
      <c r="E1364" s="36"/>
      <c r="F1364" s="36" t="str">
        <f>IFERROR(__xludf.DUMMYFUNCTION("""COMPUTED_VALUE"""),"TYARA EKA RAHMADANI ")</f>
        <v>TYARA EKA RAHMADANI </v>
      </c>
      <c r="G1364" s="36" t="str">
        <f>IFERROR(__xludf.DUMMYFUNCTION("""COMPUTED_VALUE"""),"7201015509080001")</f>
        <v>7201015509080001</v>
      </c>
      <c r="H1364" s="36"/>
      <c r="I1364" s="36"/>
      <c r="J1364" s="36" t="str">
        <f>IFERROR(__xludf.DUMMYFUNCTION("""COMPUTED_VALUE"""),"PEREMPUAN")</f>
        <v>PEREMPUAN</v>
      </c>
      <c r="K1364" s="36" t="str">
        <f>IFERROR(__xludf.DUMMYFUNCTION("""COMPUTED_VALUE"""),"KELURAHAN SISIPAN KECAMATAN BATUI")</f>
        <v>KELURAHAN SISIPAN KECAMATAN BATUI</v>
      </c>
      <c r="L1364" s="36"/>
      <c r="M1364" s="36"/>
      <c r="N1364" s="36"/>
      <c r="O1364" s="36"/>
      <c r="P1364" s="36"/>
      <c r="Q1364" s="36"/>
      <c r="R1364" s="36" t="str">
        <f>IFERROR(__xludf.DUMMYFUNCTION("""COMPUTED_VALUE"""),"K")</f>
        <v>K</v>
      </c>
      <c r="S1364" s="39"/>
    </row>
    <row r="1365">
      <c r="B1365" s="36" t="str">
        <f>IFERROR(__xludf.DUMMYFUNCTION("""COMPUTED_VALUE"""),"Pengelolaan Administrasi Kantor Digital Berbasis Google Workspace")</f>
        <v>Pengelolaan Administrasi Kantor Digital Berbasis Google Workspace</v>
      </c>
      <c r="C1365" s="36"/>
      <c r="D1365" s="36"/>
      <c r="E1365" s="36"/>
      <c r="F1365" s="36" t="str">
        <f>IFERROR(__xludf.DUMMYFUNCTION("""COMPUTED_VALUE"""),"SELA RAMADHANI")</f>
        <v>SELA RAMADHANI</v>
      </c>
      <c r="G1365" s="36" t="str">
        <f>IFERROR(__xludf.DUMMYFUNCTION("""COMPUTED_VALUE"""),"7402286209080001")</f>
        <v>7402286209080001</v>
      </c>
      <c r="H1365" s="36"/>
      <c r="I1365" s="36"/>
      <c r="J1365" s="36" t="str">
        <f>IFERROR(__xludf.DUMMYFUNCTION("""COMPUTED_VALUE"""),"PEREMPUAN")</f>
        <v>PEREMPUAN</v>
      </c>
      <c r="K1365" s="36" t="str">
        <f>IFERROR(__xludf.DUMMYFUNCTION("""COMPUTED_VALUE"""),"DS. LALONONA, KEC. AMONGGEDO, KAB. KONAWE")</f>
        <v>DS. LALONONA, KEC. AMONGGEDO, KAB. KONAWE</v>
      </c>
      <c r="L1365" s="36"/>
      <c r="M1365" s="36"/>
      <c r="N1365" s="36"/>
      <c r="O1365" s="36"/>
      <c r="P1365" s="36"/>
      <c r="Q1365" s="36"/>
      <c r="R1365" s="36" t="str">
        <f>IFERROR(__xludf.DUMMYFUNCTION("""COMPUTED_VALUE"""),"K")</f>
        <v>K</v>
      </c>
      <c r="S1365" s="39"/>
    </row>
    <row r="1366">
      <c r="B1366" s="36" t="str">
        <f>IFERROR(__xludf.DUMMYFUNCTION("""COMPUTED_VALUE"""),"Pembuatan Konten Visual Untuk Media Sosial")</f>
        <v>Pembuatan Konten Visual Untuk Media Sosial</v>
      </c>
      <c r="C1366" s="36"/>
      <c r="D1366" s="36"/>
      <c r="E1366" s="36"/>
      <c r="F1366" s="36" t="str">
        <f>IFERROR(__xludf.DUMMYFUNCTION("""COMPUTED_VALUE"""),"SELSI MARDIANA")</f>
        <v>SELSI MARDIANA</v>
      </c>
      <c r="G1366" s="36" t="str">
        <f>IFERROR(__xludf.DUMMYFUNCTION("""COMPUTED_VALUE"""),"7402284603080001")</f>
        <v>7402284603080001</v>
      </c>
      <c r="H1366" s="36"/>
      <c r="I1366" s="36"/>
      <c r="J1366" s="36" t="str">
        <f>IFERROR(__xludf.DUMMYFUNCTION("""COMPUTED_VALUE"""),"PEREMPUAN")</f>
        <v>PEREMPUAN</v>
      </c>
      <c r="K1366" s="36" t="str">
        <f>IFERROR(__xludf.DUMMYFUNCTION("""COMPUTED_VALUE"""),"DES. MATAIWOI KEC. AMONGGEDO KAB. KONAWE")</f>
        <v>DES. MATAIWOI KEC. AMONGGEDO KAB. KONAWE</v>
      </c>
      <c r="L1366" s="36"/>
      <c r="M1366" s="36"/>
      <c r="N1366" s="36"/>
      <c r="O1366" s="36"/>
      <c r="P1366" s="36"/>
      <c r="Q1366" s="36"/>
      <c r="R1366" s="36" t="str">
        <f>IFERROR(__xludf.DUMMYFUNCTION("""COMPUTED_VALUE"""),"BK")</f>
        <v>BK</v>
      </c>
      <c r="S1366" s="39"/>
    </row>
    <row r="1367">
      <c r="B1367" s="36" t="str">
        <f>IFERROR(__xludf.DUMMYFUNCTION("""COMPUTED_VALUE"""),"Pembuatan Konten Visual Untuk Media Sosial")</f>
        <v>Pembuatan Konten Visual Untuk Media Sosial</v>
      </c>
      <c r="C1367" s="36"/>
      <c r="D1367" s="36"/>
      <c r="E1367" s="36"/>
      <c r="F1367" s="36" t="str">
        <f>IFERROR(__xludf.DUMMYFUNCTION("""COMPUTED_VALUE"""),"MUHAMMAD FADLY SAPUTRA")</f>
        <v>MUHAMMAD FADLY SAPUTRA</v>
      </c>
      <c r="G1367" s="36" t="str">
        <f>IFERROR(__xludf.DUMMYFUNCTION("""COMPUTED_VALUE"""),"7403111211080001")</f>
        <v>7403111211080001</v>
      </c>
      <c r="H1367" s="36"/>
      <c r="I1367" s="36"/>
      <c r="J1367" s="36" t="str">
        <f>IFERROR(__xludf.DUMMYFUNCTION("""COMPUTED_VALUE"""),"LAKI-LAKI")</f>
        <v>LAKI-LAKI</v>
      </c>
      <c r="K1367" s="36" t="str">
        <f>IFERROR(__xludf.DUMMYFUNCTION("""COMPUTED_VALUE"""),"JL. GUNUNG MERPATI BTN GRAHA KARTIKA INDAH B/06")</f>
        <v>JL. GUNUNG MERPATI BTN GRAHA KARTIKA INDAH B/06</v>
      </c>
      <c r="L1367" s="36"/>
      <c r="M1367" s="36"/>
      <c r="N1367" s="36"/>
      <c r="O1367" s="36"/>
      <c r="P1367" s="36"/>
      <c r="Q1367" s="36"/>
      <c r="R1367" s="36" t="str">
        <f>IFERROR(__xludf.DUMMYFUNCTION("""COMPUTED_VALUE"""),"BK")</f>
        <v>BK</v>
      </c>
      <c r="S1367" s="39"/>
    </row>
    <row r="1368">
      <c r="B1368" s="36" t="str">
        <f>IFERROR(__xludf.DUMMYFUNCTION("""COMPUTED_VALUE"""),"Pembuatan Konten Visual Untuk Media Sosial")</f>
        <v>Pembuatan Konten Visual Untuk Media Sosial</v>
      </c>
      <c r="C1368" s="36"/>
      <c r="D1368" s="36"/>
      <c r="E1368" s="36"/>
      <c r="F1368" s="36" t="str">
        <f>IFERROR(__xludf.DUMMYFUNCTION("""COMPUTED_VALUE"""),"LA DISMAN ")</f>
        <v>LA DISMAN </v>
      </c>
      <c r="G1368" s="36" t="str">
        <f>IFERROR(__xludf.DUMMYFUNCTION("""COMPUTED_VALUE"""),"7404101610040001")</f>
        <v>7404101610040001</v>
      </c>
      <c r="H1368" s="36"/>
      <c r="I1368" s="36"/>
      <c r="J1368" s="36" t="str">
        <f>IFERROR(__xludf.DUMMYFUNCTION("""COMPUTED_VALUE"""),"LAKI-LAKI")</f>
        <v>LAKI-LAKI</v>
      </c>
      <c r="K1368" s="36" t="str">
        <f>IFERROR(__xludf.DUMMYFUNCTION("""COMPUTED_VALUE"""),"BAHARI DUA DUSUN BUKU ")</f>
        <v>BAHARI DUA DUSUN BUKU </v>
      </c>
      <c r="L1368" s="36"/>
      <c r="M1368" s="36"/>
      <c r="N1368" s="36"/>
      <c r="O1368" s="36"/>
      <c r="P1368" s="36"/>
      <c r="Q1368" s="36"/>
      <c r="R1368" s="36" t="str">
        <f>IFERROR(__xludf.DUMMYFUNCTION("""COMPUTED_VALUE"""),"BK")</f>
        <v>BK</v>
      </c>
      <c r="S1368" s="39"/>
    </row>
    <row r="1369">
      <c r="B1369" s="36" t="str">
        <f>IFERROR(__xludf.DUMMYFUNCTION("""COMPUTED_VALUE"""),"Pembuatan Konten Visual Untuk Media Sosial")</f>
        <v>Pembuatan Konten Visual Untuk Media Sosial</v>
      </c>
      <c r="C1369" s="36"/>
      <c r="D1369" s="36"/>
      <c r="E1369" s="36"/>
      <c r="F1369" s="36" t="str">
        <f>IFERROR(__xludf.DUMMYFUNCTION("""COMPUTED_VALUE"""),"A. DEWI YANI")</f>
        <v>A. DEWI YANI</v>
      </c>
      <c r="G1369" s="36" t="str">
        <f>IFERROR(__xludf.DUMMYFUNCTION("""COMPUTED_VALUE"""),"7471015411720003")</f>
        <v>7471015411720003</v>
      </c>
      <c r="H1369" s="36"/>
      <c r="I1369" s="36"/>
      <c r="J1369" s="36" t="str">
        <f>IFERROR(__xludf.DUMMYFUNCTION("""COMPUTED_VALUE"""),"PEREMPUAN")</f>
        <v>PEREMPUAN</v>
      </c>
      <c r="K1369" s="36" t="str">
        <f>IFERROR(__xludf.DUMMYFUNCTION("""COMPUTED_VALUE"""),"JALAN RONGA 1 B 23 PERUMAHAN TUMBUH 1 KORUMBA")</f>
        <v>JALAN RONGA 1 B 23 PERUMAHAN TUMBUH 1 KORUMBA</v>
      </c>
      <c r="L1369" s="36"/>
      <c r="M1369" s="36"/>
      <c r="N1369" s="36"/>
      <c r="O1369" s="36"/>
      <c r="P1369" s="36"/>
      <c r="Q1369" s="36"/>
      <c r="R1369" s="36" t="str">
        <f>IFERROR(__xludf.DUMMYFUNCTION("""COMPUTED_VALUE"""),"K")</f>
        <v>K</v>
      </c>
      <c r="S1369" s="39"/>
    </row>
    <row r="1370">
      <c r="B1370" s="36" t="str">
        <f>IFERROR(__xludf.DUMMYFUNCTION("""COMPUTED_VALUE"""),"Pembuatan Konten Visual Untuk Media Sosial")</f>
        <v>Pembuatan Konten Visual Untuk Media Sosial</v>
      </c>
      <c r="C1370" s="36"/>
      <c r="D1370" s="36"/>
      <c r="E1370" s="36"/>
      <c r="F1370" s="36" t="str">
        <f>IFERROR(__xludf.DUMMYFUNCTION("""COMPUTED_VALUE"""),"IRAYANTI RUMPA")</f>
        <v>IRAYANTI RUMPA</v>
      </c>
      <c r="G1370" s="36" t="str">
        <f>IFERROR(__xludf.DUMMYFUNCTION("""COMPUTED_VALUE"""),"7402114605790001")</f>
        <v>7402114605790001</v>
      </c>
      <c r="H1370" s="36"/>
      <c r="I1370" s="36"/>
      <c r="J1370" s="36" t="str">
        <f>IFERROR(__xludf.DUMMYFUNCTION("""COMPUTED_VALUE"""),"PEREMPUAN")</f>
        <v>PEREMPUAN</v>
      </c>
      <c r="K1370" s="36" t="str">
        <f>IFERROR(__xludf.DUMMYFUNCTION("""COMPUTED_VALUE"""),"DESA.WAWORAHA KEC.SOROPIA KAB.KONAWE ")</f>
        <v>DESA.WAWORAHA KEC.SOROPIA KAB.KONAWE </v>
      </c>
      <c r="L1370" s="36"/>
      <c r="M1370" s="36"/>
      <c r="N1370" s="36"/>
      <c r="O1370" s="36"/>
      <c r="P1370" s="36"/>
      <c r="Q1370" s="36"/>
      <c r="R1370" s="36" t="str">
        <f>IFERROR(__xludf.DUMMYFUNCTION("""COMPUTED_VALUE"""),"K")</f>
        <v>K</v>
      </c>
      <c r="S1370" s="39"/>
    </row>
    <row r="1371">
      <c r="B1371" s="36" t="str">
        <f>IFERROR(__xludf.DUMMYFUNCTION("""COMPUTED_VALUE"""),"Pembuatan Konten Visual Untuk Media Sosial")</f>
        <v>Pembuatan Konten Visual Untuk Media Sosial</v>
      </c>
      <c r="C1371" s="36"/>
      <c r="D1371" s="36"/>
      <c r="E1371" s="36"/>
      <c r="F1371" s="36" t="str">
        <f>IFERROR(__xludf.DUMMYFUNCTION("""COMPUTED_VALUE"""),"JUMRIN")</f>
        <v>JUMRIN</v>
      </c>
      <c r="G1371" s="36" t="str">
        <f>IFERROR(__xludf.DUMMYFUNCTION("""COMPUTED_VALUE"""),"9171012509900005")</f>
        <v>9171012509900005</v>
      </c>
      <c r="H1371" s="36"/>
      <c r="I1371" s="36"/>
      <c r="J1371" s="36" t="str">
        <f>IFERROR(__xludf.DUMMYFUNCTION("""COMPUTED_VALUE"""),"LAKI-LAKI")</f>
        <v>LAKI-LAKI</v>
      </c>
      <c r="K1371" s="36" t="str">
        <f>IFERROR(__xludf.DUMMYFUNCTION("""COMPUTED_VALUE"""),"JL.POROS KDI-KLK KM23,RT/RW 001/001 KEL.RAWUA KEC.SAMPARA KAB KONAWE")</f>
        <v>JL.POROS KDI-KLK KM23,RT/RW 001/001 KEL.RAWUA KEC.SAMPARA KAB KONAWE</v>
      </c>
      <c r="L1371" s="36"/>
      <c r="M1371" s="36"/>
      <c r="N1371" s="36"/>
      <c r="O1371" s="36"/>
      <c r="P1371" s="36"/>
      <c r="Q1371" s="36"/>
      <c r="R1371" s="36" t="str">
        <f>IFERROR(__xludf.DUMMYFUNCTION("""COMPUTED_VALUE"""),"K")</f>
        <v>K</v>
      </c>
      <c r="S1371" s="39"/>
    </row>
    <row r="1372">
      <c r="B1372" s="36" t="str">
        <f>IFERROR(__xludf.DUMMYFUNCTION("""COMPUTED_VALUE"""),"Pembuatan Konten Visual Untuk Media Sosial")</f>
        <v>Pembuatan Konten Visual Untuk Media Sosial</v>
      </c>
      <c r="C1372" s="36"/>
      <c r="D1372" s="36"/>
      <c r="E1372" s="36"/>
      <c r="F1372" s="36" t="str">
        <f>IFERROR(__xludf.DUMMYFUNCTION("""COMPUTED_VALUE"""),"MUHAMMAD ARHAM MUSTAMIN")</f>
        <v>MUHAMMAD ARHAM MUSTAMIN</v>
      </c>
      <c r="G1372" s="36" t="str">
        <f>IFERROR(__xludf.DUMMYFUNCTION("""COMPUTED_VALUE"""),"7471091907070001")</f>
        <v>7471091907070001</v>
      </c>
      <c r="H1372" s="36"/>
      <c r="I1372" s="36"/>
      <c r="J1372" s="36" t="str">
        <f>IFERROR(__xludf.DUMMYFUNCTION("""COMPUTED_VALUE"""),"LAKI-LAKI")</f>
        <v>LAKI-LAKI</v>
      </c>
      <c r="K1372" s="36" t="str">
        <f>IFERROR(__xludf.DUMMYFUNCTION("""COMPUTED_VALUE"""),"JL HAEBA 4 NO 14")</f>
        <v>JL HAEBA 4 NO 14</v>
      </c>
      <c r="L1372" s="36"/>
      <c r="M1372" s="36"/>
      <c r="N1372" s="36"/>
      <c r="O1372" s="36"/>
      <c r="P1372" s="36"/>
      <c r="Q1372" s="36"/>
      <c r="R1372" s="36" t="str">
        <f>IFERROR(__xludf.DUMMYFUNCTION("""COMPUTED_VALUE"""),"K")</f>
        <v>K</v>
      </c>
      <c r="S1372" s="39"/>
    </row>
    <row r="1373">
      <c r="B1373" s="36" t="str">
        <f>IFERROR(__xludf.DUMMYFUNCTION("""COMPUTED_VALUE"""),"Pembuatan Konten Visual Untuk Media Sosial")</f>
        <v>Pembuatan Konten Visual Untuk Media Sosial</v>
      </c>
      <c r="C1373" s="36"/>
      <c r="D1373" s="36"/>
      <c r="E1373" s="36"/>
      <c r="F1373" s="36" t="str">
        <f>IFERROR(__xludf.DUMMYFUNCTION("""COMPUTED_VALUE"""),"LUTFI HAIQAL AL - MUBARAK")</f>
        <v>LUTFI HAIQAL AL - MUBARAK</v>
      </c>
      <c r="G1373" s="36" t="str">
        <f>IFERROR(__xludf.DUMMYFUNCTION("""COMPUTED_VALUE"""),"7471092505030001")</f>
        <v>7471092505030001</v>
      </c>
      <c r="H1373" s="36"/>
      <c r="I1373" s="36"/>
      <c r="J1373" s="36" t="str">
        <f>IFERROR(__xludf.DUMMYFUNCTION("""COMPUTED_VALUE"""),"LAKI-LAKI")</f>
        <v>LAKI-LAKI</v>
      </c>
      <c r="K1373" s="36" t="str">
        <f>IFERROR(__xludf.DUMMYFUNCTION("""COMPUTED_VALUE"""),"JL. CHAIRIL ANWAR KOMP PERMATA LIMA")</f>
        <v>JL. CHAIRIL ANWAR KOMP PERMATA LIMA</v>
      </c>
      <c r="L1373" s="36"/>
      <c r="M1373" s="36"/>
      <c r="N1373" s="36"/>
      <c r="O1373" s="36"/>
      <c r="P1373" s="36"/>
      <c r="Q1373" s="36"/>
      <c r="R1373" s="36" t="str">
        <f>IFERROR(__xludf.DUMMYFUNCTION("""COMPUTED_VALUE"""),"K")</f>
        <v>K</v>
      </c>
      <c r="S1373" s="39"/>
    </row>
    <row r="1374">
      <c r="B1374" s="36" t="str">
        <f>IFERROR(__xludf.DUMMYFUNCTION("""COMPUTED_VALUE"""),"Pembuatan Konten Visual Untuk Media Sosial")</f>
        <v>Pembuatan Konten Visual Untuk Media Sosial</v>
      </c>
      <c r="C1374" s="36"/>
      <c r="D1374" s="36"/>
      <c r="E1374" s="36"/>
      <c r="F1374" s="36" t="str">
        <f>IFERROR(__xludf.DUMMYFUNCTION("""COMPUTED_VALUE"""),"CAHAYA MUTIARA TOHAMBA")</f>
        <v>CAHAYA MUTIARA TOHAMBA</v>
      </c>
      <c r="G1374" s="36" t="str">
        <f>IFERROR(__xludf.DUMMYFUNCTION("""COMPUTED_VALUE"""),"7405194301080001")</f>
        <v>7405194301080001</v>
      </c>
      <c r="H1374" s="36"/>
      <c r="I1374" s="36"/>
      <c r="J1374" s="36" t="str">
        <f>IFERROR(__xludf.DUMMYFUNCTION("""COMPUTED_VALUE"""),"PEREMPUAN")</f>
        <v>PEREMPUAN</v>
      </c>
      <c r="K1374" s="36" t="str">
        <f>IFERROR(__xludf.DUMMYFUNCTION("""COMPUTED_VALUE"""),"DESA AMBESEA KEC LAEYA KAB KONAWE SELATAN")</f>
        <v>DESA AMBESEA KEC LAEYA KAB KONAWE SELATAN</v>
      </c>
      <c r="L1374" s="36"/>
      <c r="M1374" s="36"/>
      <c r="N1374" s="36"/>
      <c r="O1374" s="36"/>
      <c r="P1374" s="36"/>
      <c r="Q1374" s="36"/>
      <c r="R1374" s="36" t="str">
        <f>IFERROR(__xludf.DUMMYFUNCTION("""COMPUTED_VALUE"""),"K")</f>
        <v>K</v>
      </c>
      <c r="S1374" s="39"/>
    </row>
    <row r="1375">
      <c r="B1375" s="36" t="str">
        <f>IFERROR(__xludf.DUMMYFUNCTION("""COMPUTED_VALUE"""),"Pembuatan Konten Visual Untuk Media Sosial")</f>
        <v>Pembuatan Konten Visual Untuk Media Sosial</v>
      </c>
      <c r="C1375" s="36"/>
      <c r="D1375" s="36"/>
      <c r="E1375" s="36"/>
      <c r="F1375" s="36" t="str">
        <f>IFERROR(__xludf.DUMMYFUNCTION("""COMPUTED_VALUE"""),"WIDIASTATI")</f>
        <v>WIDIASTATI</v>
      </c>
      <c r="G1375" s="36" t="str">
        <f>IFERROR(__xludf.DUMMYFUNCTION("""COMPUTED_VALUE"""),"7403266908030002")</f>
        <v>7403266908030002</v>
      </c>
      <c r="H1375" s="36"/>
      <c r="I1375" s="36"/>
      <c r="J1375" s="36" t="str">
        <f>IFERROR(__xludf.DUMMYFUNCTION("""COMPUTED_VALUE"""),"PEREMPUAN")</f>
        <v>PEREMPUAN</v>
      </c>
      <c r="K1375" s="36" t="str">
        <f>IFERROR(__xludf.DUMMYFUNCTION("""COMPUTED_VALUE"""),"DESA LAFINDE, KEC. BARANGKA, KAB. MUNA BARAT")</f>
        <v>DESA LAFINDE, KEC. BARANGKA, KAB. MUNA BARAT</v>
      </c>
      <c r="L1375" s="36"/>
      <c r="M1375" s="36"/>
      <c r="N1375" s="36"/>
      <c r="O1375" s="36"/>
      <c r="P1375" s="36"/>
      <c r="Q1375" s="36"/>
      <c r="R1375" s="36" t="str">
        <f>IFERROR(__xludf.DUMMYFUNCTION("""COMPUTED_VALUE"""),"BK")</f>
        <v>BK</v>
      </c>
      <c r="S1375" s="39"/>
    </row>
    <row r="1376">
      <c r="B1376" s="36" t="str">
        <f>IFERROR(__xludf.DUMMYFUNCTION("""COMPUTED_VALUE"""),"Pembuatan Konten Visual Untuk Media Sosial")</f>
        <v>Pembuatan Konten Visual Untuk Media Sosial</v>
      </c>
      <c r="C1376" s="36"/>
      <c r="D1376" s="36"/>
      <c r="E1376" s="36"/>
      <c r="F1376" s="36" t="str">
        <f>IFERROR(__xludf.DUMMYFUNCTION("""COMPUTED_VALUE"""),"SALSA BILA KHAIRUNNISA")</f>
        <v>SALSA BILA KHAIRUNNISA</v>
      </c>
      <c r="G1376" s="36" t="str">
        <f>IFERROR(__xludf.DUMMYFUNCTION("""COMPUTED_VALUE"""),"7405014203080001")</f>
        <v>7405014203080001</v>
      </c>
      <c r="H1376" s="36"/>
      <c r="I1376" s="36"/>
      <c r="J1376" s="36" t="str">
        <f>IFERROR(__xludf.DUMMYFUNCTION("""COMPUTED_VALUE"""),"PEREMPUAN")</f>
        <v>PEREMPUAN</v>
      </c>
      <c r="K1376" s="36" t="str">
        <f>IFERROR(__xludf.DUMMYFUNCTION("""COMPUTED_VALUE"""),"DUSUN II BOMBA-BOMBA")</f>
        <v>DUSUN II BOMBA-BOMBA</v>
      </c>
      <c r="L1376" s="36"/>
      <c r="M1376" s="36"/>
      <c r="N1376" s="36"/>
      <c r="O1376" s="36"/>
      <c r="P1376" s="36"/>
      <c r="Q1376" s="36"/>
      <c r="R1376" s="36" t="str">
        <f>IFERROR(__xludf.DUMMYFUNCTION("""COMPUTED_VALUE"""),"BK")</f>
        <v>BK</v>
      </c>
      <c r="S1376" s="39"/>
    </row>
    <row r="1377">
      <c r="B1377" s="36" t="str">
        <f>IFERROR(__xludf.DUMMYFUNCTION("""COMPUTED_VALUE"""),"Pembuatan Konten Visual Untuk Media Sosial")</f>
        <v>Pembuatan Konten Visual Untuk Media Sosial</v>
      </c>
      <c r="C1377" s="36"/>
      <c r="D1377" s="36"/>
      <c r="E1377" s="36"/>
      <c r="F1377" s="36" t="str">
        <f>IFERROR(__xludf.DUMMYFUNCTION("""COMPUTED_VALUE"""),"MUCH.ZAKHARI ANWAR")</f>
        <v>MUCH.ZAKHARI ANWAR</v>
      </c>
      <c r="G1377" s="36" t="str">
        <f>IFERROR(__xludf.DUMMYFUNCTION("""COMPUTED_VALUE"""),"7471092806080001")</f>
        <v>7471092806080001</v>
      </c>
      <c r="H1377" s="36"/>
      <c r="I1377" s="36"/>
      <c r="J1377" s="36" t="str">
        <f>IFERROR(__xludf.DUMMYFUNCTION("""COMPUTED_VALUE"""),"LAKI-LAKI")</f>
        <v>LAKI-LAKI</v>
      </c>
      <c r="K1377" s="36" t="str">
        <f>IFERROR(__xludf.DUMMYFUNCTION("""COMPUTED_VALUE"""),"WUA WUA, KEC. WUA WUA, KOTA KENDARI")</f>
        <v>WUA WUA, KEC. WUA WUA, KOTA KENDARI</v>
      </c>
      <c r="L1377" s="36"/>
      <c r="M1377" s="36"/>
      <c r="N1377" s="36"/>
      <c r="O1377" s="36"/>
      <c r="P1377" s="36"/>
      <c r="Q1377" s="36"/>
      <c r="R1377" s="36" t="str">
        <f>IFERROR(__xludf.DUMMYFUNCTION("""COMPUTED_VALUE"""),"BK")</f>
        <v>BK</v>
      </c>
      <c r="S1377" s="39"/>
    </row>
    <row r="1378">
      <c r="B1378" s="36" t="str">
        <f>IFERROR(__xludf.DUMMYFUNCTION("""COMPUTED_VALUE"""),"Pengoperasian Tools Generative AI Untuk Konten Digital dan Bisnis")</f>
        <v>Pengoperasian Tools Generative AI Untuk Konten Digital dan Bisnis</v>
      </c>
      <c r="C1378" s="36"/>
      <c r="D1378" s="36"/>
      <c r="E1378" s="36"/>
      <c r="F1378" s="36" t="str">
        <f>IFERROR(__xludf.DUMMYFUNCTION("""COMPUTED_VALUE"""),"MUHAMMAD RAIL M")</f>
        <v>MUHAMMAD RAIL M</v>
      </c>
      <c r="G1378" s="36" t="str">
        <f>IFERROR(__xludf.DUMMYFUNCTION("""COMPUTED_VALUE"""),"7405162003060001")</f>
        <v>7405162003060001</v>
      </c>
      <c r="H1378" s="36"/>
      <c r="I1378" s="36"/>
      <c r="J1378" s="36" t="str">
        <f>IFERROR(__xludf.DUMMYFUNCTION("""COMPUTED_VALUE"""),"LAKI-LAKI")</f>
        <v>LAKI-LAKI</v>
      </c>
      <c r="K1378" s="36" t="str">
        <f>IFERROR(__xludf.DUMMYFUNCTION("""COMPUTED_VALUE"""),"LALOWARU, KEC. MORAMO UTARA, KAB.KONAWE SELATAN")</f>
        <v>LALOWARU, KEC. MORAMO UTARA, KAB.KONAWE SELATAN</v>
      </c>
      <c r="L1378" s="36"/>
      <c r="M1378" s="36"/>
      <c r="N1378" s="36"/>
      <c r="O1378" s="36"/>
      <c r="P1378" s="36"/>
      <c r="Q1378" s="36"/>
      <c r="R1378" s="36" t="str">
        <f>IFERROR(__xludf.DUMMYFUNCTION("""COMPUTED_VALUE"""),"K")</f>
        <v>K</v>
      </c>
      <c r="S1378" s="39"/>
    </row>
    <row r="1379">
      <c r="B1379" s="36" t="str">
        <f>IFERROR(__xludf.DUMMYFUNCTION("""COMPUTED_VALUE"""),"Pengoperasian Tools Generative AI Untuk Konten Digital dan Bisnis")</f>
        <v>Pengoperasian Tools Generative AI Untuk Konten Digital dan Bisnis</v>
      </c>
      <c r="C1379" s="36"/>
      <c r="D1379" s="36"/>
      <c r="E1379" s="36"/>
      <c r="F1379" s="36" t="str">
        <f>IFERROR(__xludf.DUMMYFUNCTION("""COMPUTED_VALUE"""),"RISAL USMAN")</f>
        <v>RISAL USMAN</v>
      </c>
      <c r="G1379" s="36" t="str">
        <f>IFERROR(__xludf.DUMMYFUNCTION("""COMPUTED_VALUE"""),"7302011011050005")</f>
        <v>7302011011050005</v>
      </c>
      <c r="H1379" s="36"/>
      <c r="I1379" s="36"/>
      <c r="J1379" s="36" t="str">
        <f>IFERROR(__xludf.DUMMYFUNCTION("""COMPUTED_VALUE"""),"LAKI-LAKI")</f>
        <v>LAKI-LAKI</v>
      </c>
      <c r="K1379" s="36" t="str">
        <f>IFERROR(__xludf.DUMMYFUNCTION("""COMPUTED_VALUE"""),"BONTOSUNGGU, KEC. GANTARANG, KAB. BULUKUMBA")</f>
        <v>BONTOSUNGGU, KEC. GANTARANG, KAB. BULUKUMBA</v>
      </c>
      <c r="L1379" s="36"/>
      <c r="M1379" s="36"/>
      <c r="N1379" s="36"/>
      <c r="O1379" s="36"/>
      <c r="P1379" s="36"/>
      <c r="Q1379" s="36"/>
      <c r="R1379" s="36" t="str">
        <f>IFERROR(__xludf.DUMMYFUNCTION("""COMPUTED_VALUE"""),"K")</f>
        <v>K</v>
      </c>
      <c r="S1379" s="39"/>
    </row>
    <row r="1380">
      <c r="B1380" s="36" t="str">
        <f>IFERROR(__xludf.DUMMYFUNCTION("""COMPUTED_VALUE"""),"Pengoperasian Tools Generative AI Untuk Konten Digital dan Bisnis")</f>
        <v>Pengoperasian Tools Generative AI Untuk Konten Digital dan Bisnis</v>
      </c>
      <c r="C1380" s="36"/>
      <c r="D1380" s="36"/>
      <c r="E1380" s="36"/>
      <c r="F1380" s="36" t="str">
        <f>IFERROR(__xludf.DUMMYFUNCTION("""COMPUTED_VALUE"""),"SAMURI ")</f>
        <v>SAMURI </v>
      </c>
      <c r="G1380" s="36" t="str">
        <f>IFERROR(__xludf.DUMMYFUNCTION("""COMPUTED_VALUE"""),"7471101404840002")</f>
        <v>7471101404840002</v>
      </c>
      <c r="H1380" s="36"/>
      <c r="I1380" s="36"/>
      <c r="J1380" s="36" t="str">
        <f>IFERROR(__xludf.DUMMYFUNCTION("""COMPUTED_VALUE"""),"LAKI-LAKI")</f>
        <v>LAKI-LAKI</v>
      </c>
      <c r="K1380" s="36" t="str">
        <f>IFERROR(__xludf.DUMMYFUNCTION("""COMPUTED_VALUE"""),"JL BANTENG PERUMAHAN NASWA HILLS BLOK A NO 5 KEL. RAHANDOUNA KEC POASIA KOTA KENDARI SULTRA")</f>
        <v>JL BANTENG PERUMAHAN NASWA HILLS BLOK A NO 5 KEL. RAHANDOUNA KEC POASIA KOTA KENDARI SULTRA</v>
      </c>
      <c r="L1380" s="36"/>
      <c r="M1380" s="36"/>
      <c r="N1380" s="36"/>
      <c r="O1380" s="36"/>
      <c r="P1380" s="36"/>
      <c r="Q1380" s="36"/>
      <c r="R1380" s="36" t="str">
        <f>IFERROR(__xludf.DUMMYFUNCTION("""COMPUTED_VALUE"""),"K")</f>
        <v>K</v>
      </c>
      <c r="S1380" s="39"/>
    </row>
    <row r="1381">
      <c r="B1381" s="36" t="str">
        <f>IFERROR(__xludf.DUMMYFUNCTION("""COMPUTED_VALUE"""),"Pengoperasian Tools Generative AI Untuk Konten Digital dan Bisnis")</f>
        <v>Pengoperasian Tools Generative AI Untuk Konten Digital dan Bisnis</v>
      </c>
      <c r="C1381" s="36"/>
      <c r="D1381" s="36"/>
      <c r="E1381" s="36"/>
      <c r="F1381" s="36" t="str">
        <f>IFERROR(__xludf.DUMMYFUNCTION("""COMPUTED_VALUE"""),"MUKSIN AL - HAKIM LA MBONE")</f>
        <v>MUKSIN AL - HAKIM LA MBONE</v>
      </c>
      <c r="G1381" s="36" t="str">
        <f>IFERROR(__xludf.DUMMYFUNCTION("""COMPUTED_VALUE"""),"7471091712080002")</f>
        <v>7471091712080002</v>
      </c>
      <c r="H1381" s="36"/>
      <c r="I1381" s="36"/>
      <c r="J1381" s="36" t="str">
        <f>IFERROR(__xludf.DUMMYFUNCTION("""COMPUTED_VALUE"""),"LAKI-LAKI")</f>
        <v>LAKI-LAKI</v>
      </c>
      <c r="K1381" s="36" t="str">
        <f>IFERROR(__xludf.DUMMYFUNCTION("""COMPUTED_VALUE"""),"KOMPLEKS BTN LATJINTA BLOK I. 1 NO. 10")</f>
        <v>KOMPLEKS BTN LATJINTA BLOK I. 1 NO. 10</v>
      </c>
      <c r="L1381" s="36"/>
      <c r="M1381" s="36"/>
      <c r="N1381" s="36"/>
      <c r="O1381" s="36"/>
      <c r="P1381" s="36"/>
      <c r="Q1381" s="36"/>
      <c r="R1381" s="36" t="str">
        <f>IFERROR(__xludf.DUMMYFUNCTION("""COMPUTED_VALUE"""),"K")</f>
        <v>K</v>
      </c>
      <c r="S1381" s="39"/>
    </row>
    <row r="1382">
      <c r="B1382" s="36" t="str">
        <f>IFERROR(__xludf.DUMMYFUNCTION("""COMPUTED_VALUE"""),"Pengoperasian Tools Generative AI Untuk Konten Digital dan Bisnis")</f>
        <v>Pengoperasian Tools Generative AI Untuk Konten Digital dan Bisnis</v>
      </c>
      <c r="C1382" s="36"/>
      <c r="D1382" s="36"/>
      <c r="E1382" s="36"/>
      <c r="F1382" s="36" t="str">
        <f>IFERROR(__xludf.DUMMYFUNCTION("""COMPUTED_VALUE"""),"AUFAR ADHLY")</f>
        <v>AUFAR ADHLY</v>
      </c>
      <c r="G1382" s="36" t="str">
        <f>IFERROR(__xludf.DUMMYFUNCTION("""COMPUTED_VALUE"""),"7471081507080003")</f>
        <v>7471081507080003</v>
      </c>
      <c r="H1382" s="36"/>
      <c r="I1382" s="36"/>
      <c r="J1382" s="36" t="str">
        <f>IFERROR(__xludf.DUMMYFUNCTION("""COMPUTED_VALUE"""),"LAKI-LAKI")</f>
        <v>LAKI-LAKI</v>
      </c>
      <c r="K1382" s="36" t="str">
        <f>IFERROR(__xludf.DUMMYFUNCTION("""COMPUTED_VALUE"""),"JL. A. YANI LR. LAKIDENDE NO. 2")</f>
        <v>JL. A. YANI LR. LAKIDENDE NO. 2</v>
      </c>
      <c r="L1382" s="36"/>
      <c r="M1382" s="36"/>
      <c r="N1382" s="36"/>
      <c r="O1382" s="36"/>
      <c r="P1382" s="36"/>
      <c r="Q1382" s="36"/>
      <c r="R1382" s="36" t="str">
        <f>IFERROR(__xludf.DUMMYFUNCTION("""COMPUTED_VALUE"""),"K")</f>
        <v>K</v>
      </c>
      <c r="S1382" s="39"/>
    </row>
    <row r="1383">
      <c r="B1383" s="36" t="str">
        <f>IFERROR(__xludf.DUMMYFUNCTION("""COMPUTED_VALUE"""),"Pengoperasian Tools Generative AI Untuk Konten Digital dan Bisnis")</f>
        <v>Pengoperasian Tools Generative AI Untuk Konten Digital dan Bisnis</v>
      </c>
      <c r="C1383" s="36"/>
      <c r="D1383" s="36"/>
      <c r="E1383" s="36"/>
      <c r="F1383" s="36" t="str">
        <f>IFERROR(__xludf.DUMMYFUNCTION("""COMPUTED_VALUE"""),"NUR SYARI'AH HASIM")</f>
        <v>NUR SYARI'AH HASIM</v>
      </c>
      <c r="G1383" s="36" t="str">
        <f>IFERROR(__xludf.DUMMYFUNCTION("""COMPUTED_VALUE"""),"7471044606070001")</f>
        <v>7471044606070001</v>
      </c>
      <c r="H1383" s="36"/>
      <c r="I1383" s="36"/>
      <c r="J1383" s="36" t="str">
        <f>IFERROR(__xludf.DUMMYFUNCTION("""COMPUTED_VALUE"""),"PEREMPUAN")</f>
        <v>PEREMPUAN</v>
      </c>
      <c r="K1383" s="36" t="str">
        <f>IFERROR(__xludf.DUMMYFUNCTION("""COMPUTED_VALUE"""),"JLN. KANCIL LRG ALPUKAT II ")</f>
        <v>JLN. KANCIL LRG ALPUKAT II </v>
      </c>
      <c r="L1383" s="36"/>
      <c r="M1383" s="36"/>
      <c r="N1383" s="36"/>
      <c r="O1383" s="36"/>
      <c r="P1383" s="36"/>
      <c r="Q1383" s="36"/>
      <c r="R1383" s="36" t="str">
        <f>IFERROR(__xludf.DUMMYFUNCTION("""COMPUTED_VALUE"""),"K")</f>
        <v>K</v>
      </c>
      <c r="S1383" s="39"/>
    </row>
    <row r="1384">
      <c r="B1384" s="36" t="str">
        <f>IFERROR(__xludf.DUMMYFUNCTION("""COMPUTED_VALUE"""),"Pengoperasian Tools Generative AI Untuk Konten Digital dan Bisnis")</f>
        <v>Pengoperasian Tools Generative AI Untuk Konten Digital dan Bisnis</v>
      </c>
      <c r="C1384" s="36"/>
      <c r="D1384" s="36"/>
      <c r="E1384" s="36"/>
      <c r="F1384" s="36" t="str">
        <f>IFERROR(__xludf.DUMMYFUNCTION("""COMPUTED_VALUE"""),"AULIA NATASYA")</f>
        <v>AULIA NATASYA</v>
      </c>
      <c r="G1384" s="36" t="str">
        <f>IFERROR(__xludf.DUMMYFUNCTION("""COMPUTED_VALUE"""),"7472054101090002")</f>
        <v>7472054101090002</v>
      </c>
      <c r="H1384" s="36"/>
      <c r="I1384" s="36"/>
      <c r="J1384" s="36" t="str">
        <f>IFERROR(__xludf.DUMMYFUNCTION("""COMPUTED_VALUE"""),"PEREMPUAN")</f>
        <v>PEREMPUAN</v>
      </c>
      <c r="K1384" s="36" t="str">
        <f>IFERROR(__xludf.DUMMYFUNCTION("""COMPUTED_VALUE"""),"LINK.PERUMNAS ")</f>
        <v>LINK.PERUMNAS </v>
      </c>
      <c r="L1384" s="36"/>
      <c r="M1384" s="36"/>
      <c r="N1384" s="36"/>
      <c r="O1384" s="36"/>
      <c r="P1384" s="36"/>
      <c r="Q1384" s="36"/>
      <c r="R1384" s="36" t="str">
        <f>IFERROR(__xludf.DUMMYFUNCTION("""COMPUTED_VALUE"""),"K")</f>
        <v>K</v>
      </c>
      <c r="S1384" s="39"/>
    </row>
    <row r="1385">
      <c r="B1385" s="36" t="str">
        <f>IFERROR(__xludf.DUMMYFUNCTION("""COMPUTED_VALUE"""),"Pengoperasian Tools Generative AI Untuk Konten Digital dan Bisnis")</f>
        <v>Pengoperasian Tools Generative AI Untuk Konten Digital dan Bisnis</v>
      </c>
      <c r="C1385" s="36"/>
      <c r="D1385" s="36"/>
      <c r="E1385" s="36"/>
      <c r="F1385" s="36" t="str">
        <f>IFERROR(__xludf.DUMMYFUNCTION("""COMPUTED_VALUE"""),"NAJIYATUN KHARIMA ")</f>
        <v>NAJIYATUN KHARIMA </v>
      </c>
      <c r="G1385" s="36" t="str">
        <f>IFERROR(__xludf.DUMMYFUNCTION("""COMPUTED_VALUE"""),"7471106307080001")</f>
        <v>7471106307080001</v>
      </c>
      <c r="H1385" s="36"/>
      <c r="I1385" s="36"/>
      <c r="J1385" s="36" t="str">
        <f>IFERROR(__xludf.DUMMYFUNCTION("""COMPUTED_VALUE"""),"PEREMPUAN")</f>
        <v>PEREMPUAN</v>
      </c>
      <c r="K1385" s="36" t="str">
        <f>IFERROR(__xludf.DUMMYFUNCTION("""COMPUTED_VALUE"""),"BTN UNHALU BLOK Q NO 10 ")</f>
        <v>BTN UNHALU BLOK Q NO 10 </v>
      </c>
      <c r="L1385" s="36"/>
      <c r="M1385" s="36"/>
      <c r="N1385" s="36"/>
      <c r="O1385" s="36"/>
      <c r="P1385" s="36"/>
      <c r="Q1385" s="36"/>
      <c r="R1385" s="36" t="str">
        <f>IFERROR(__xludf.DUMMYFUNCTION("""COMPUTED_VALUE"""),"K")</f>
        <v>K</v>
      </c>
      <c r="S1385" s="39"/>
    </row>
    <row r="1386">
      <c r="B1386" s="36" t="str">
        <f>IFERROR(__xludf.DUMMYFUNCTION("""COMPUTED_VALUE"""),"Pengoperasian Tools Generative AI Untuk Konten Digital dan Bisnis")</f>
        <v>Pengoperasian Tools Generative AI Untuk Konten Digital dan Bisnis</v>
      </c>
      <c r="C1386" s="36"/>
      <c r="D1386" s="36"/>
      <c r="E1386" s="36"/>
      <c r="F1386" s="36" t="str">
        <f>IFERROR(__xludf.DUMMYFUNCTION("""COMPUTED_VALUE"""),"TRI ANJELIYANI ZEIN K")</f>
        <v>TRI ANJELIYANI ZEIN K</v>
      </c>
      <c r="G1386" s="36" t="str">
        <f>IFERROR(__xludf.DUMMYFUNCTION("""COMPUTED_VALUE"""),"7405085601080003")</f>
        <v>7405085601080003</v>
      </c>
      <c r="H1386" s="36"/>
      <c r="I1386" s="36"/>
      <c r="J1386" s="36" t="str">
        <f>IFERROR(__xludf.DUMMYFUNCTION("""COMPUTED_VALUE"""),"PEREMPUAN")</f>
        <v>PEREMPUAN</v>
      </c>
      <c r="K1386" s="36" t="str">
        <f>IFERROR(__xludf.DUMMYFUNCTION("""COMPUTED_VALUE"""),"DESA AMOITO")</f>
        <v>DESA AMOITO</v>
      </c>
      <c r="L1386" s="36"/>
      <c r="M1386" s="36"/>
      <c r="N1386" s="36"/>
      <c r="O1386" s="36"/>
      <c r="P1386" s="36"/>
      <c r="Q1386" s="36"/>
      <c r="R1386" s="36" t="str">
        <f>IFERROR(__xludf.DUMMYFUNCTION("""COMPUTED_VALUE"""),"BK")</f>
        <v>BK</v>
      </c>
      <c r="S1386" s="39"/>
    </row>
    <row r="1387">
      <c r="B1387" s="36" t="str">
        <f>IFERROR(__xludf.DUMMYFUNCTION("""COMPUTED_VALUE"""),"Pengoperasian Tools Generative AI Untuk Konten Digital dan Bisnis")</f>
        <v>Pengoperasian Tools Generative AI Untuk Konten Digital dan Bisnis</v>
      </c>
      <c r="C1387" s="36"/>
      <c r="D1387" s="36"/>
      <c r="E1387" s="36"/>
      <c r="F1387" s="36" t="str">
        <f>IFERROR(__xludf.DUMMYFUNCTION("""COMPUTED_VALUE"""),"ANNISA DWI SURHUM ")</f>
        <v>ANNISA DWI SURHUM </v>
      </c>
      <c r="G1387" s="36" t="str">
        <f>IFERROR(__xludf.DUMMYFUNCTION("""COMPUTED_VALUE"""),"7407055009080003")</f>
        <v>7407055009080003</v>
      </c>
      <c r="H1387" s="36"/>
      <c r="I1387" s="36"/>
      <c r="J1387" s="36" t="str">
        <f>IFERROR(__xludf.DUMMYFUNCTION("""COMPUTED_VALUE"""),"PEREMPUAN")</f>
        <v>PEREMPUAN</v>
      </c>
      <c r="K1387" s="36" t="str">
        <f>IFERROR(__xludf.DUMMYFUNCTION("""COMPUTED_VALUE"""),"ASRAMA HAERUNISA, LALOLARA, KEC. KAMBU, KOTA KENDARI ")</f>
        <v>ASRAMA HAERUNISA, LALOLARA, KEC. KAMBU, KOTA KENDARI </v>
      </c>
      <c r="L1387" s="36"/>
      <c r="M1387" s="36"/>
      <c r="N1387" s="36"/>
      <c r="O1387" s="36"/>
      <c r="P1387" s="36"/>
      <c r="Q1387" s="36"/>
      <c r="R1387" s="36" t="str">
        <f>IFERROR(__xludf.DUMMYFUNCTION("""COMPUTED_VALUE"""),"K")</f>
        <v>K</v>
      </c>
      <c r="S1387" s="39"/>
    </row>
    <row r="1388">
      <c r="B1388" s="36" t="str">
        <f>IFERROR(__xludf.DUMMYFUNCTION("""COMPUTED_VALUE"""),"Pengoperasian Tools Generative AI Untuk Konten Digital dan Bisnis")</f>
        <v>Pengoperasian Tools Generative AI Untuk Konten Digital dan Bisnis</v>
      </c>
      <c r="C1388" s="36"/>
      <c r="D1388" s="36"/>
      <c r="E1388" s="36"/>
      <c r="F1388" s="36" t="str">
        <f>IFERROR(__xludf.DUMMYFUNCTION("""COMPUTED_VALUE"""),"ASMA SHALEHAH")</f>
        <v>ASMA SHALEHAH</v>
      </c>
      <c r="G1388" s="36" t="str">
        <f>IFERROR(__xludf.DUMMYFUNCTION("""COMPUTED_VALUE"""),"7414045606080001")</f>
        <v>7414045606080001</v>
      </c>
      <c r="H1388" s="36"/>
      <c r="I1388" s="36"/>
      <c r="J1388" s="36" t="str">
        <f>IFERROR(__xludf.DUMMYFUNCTION("""COMPUTED_VALUE"""),"PEREMPUAN")</f>
        <v>PEREMPUAN</v>
      </c>
      <c r="K1388" s="36" t="str">
        <f>IFERROR(__xludf.DUMMYFUNCTION("""COMPUTED_VALUE"""),"BTN UNHALU BLOK C NO 7")</f>
        <v>BTN UNHALU BLOK C NO 7</v>
      </c>
      <c r="L1388" s="36"/>
      <c r="M1388" s="36"/>
      <c r="N1388" s="36"/>
      <c r="O1388" s="36"/>
      <c r="P1388" s="36"/>
      <c r="Q1388" s="36"/>
      <c r="R1388" s="36" t="str">
        <f>IFERROR(__xludf.DUMMYFUNCTION("""COMPUTED_VALUE"""),"K")</f>
        <v>K</v>
      </c>
      <c r="S1388" s="39"/>
    </row>
    <row r="1389">
      <c r="B1389" s="36" t="str">
        <f>IFERROR(__xludf.DUMMYFUNCTION("""COMPUTED_VALUE"""),"Pengoperasian Tools Generative AI Untuk Konten Digital dan Bisnis")</f>
        <v>Pengoperasian Tools Generative AI Untuk Konten Digital dan Bisnis</v>
      </c>
      <c r="C1389" s="36"/>
      <c r="D1389" s="36"/>
      <c r="E1389" s="36"/>
      <c r="F1389" s="36" t="str">
        <f>IFERROR(__xludf.DUMMYFUNCTION("""COMPUTED_VALUE"""),"LULU LAILIAH AAZIZAH")</f>
        <v>LULU LAILIAH AAZIZAH</v>
      </c>
      <c r="G1389" s="36" t="str">
        <f>IFERROR(__xludf.DUMMYFUNCTION("""COMPUTED_VALUE"""),"7401044212070002")</f>
        <v>7401044212070002</v>
      </c>
      <c r="H1389" s="36"/>
      <c r="I1389" s="36"/>
      <c r="J1389" s="36" t="str">
        <f>IFERROR(__xludf.DUMMYFUNCTION("""COMPUTED_VALUE"""),"PEREMPUAN")</f>
        <v>PEREMPUAN</v>
      </c>
      <c r="K1389" s="36" t="str">
        <f>IFERROR(__xludf.DUMMYFUNCTION("""COMPUTED_VALUE"""),"JL. TAMALAKI NO. 1 LALOEHA, KOLAKA, SULAWESI TENGGARA")</f>
        <v>JL. TAMALAKI NO. 1 LALOEHA, KOLAKA, SULAWESI TENGGARA</v>
      </c>
      <c r="L1389" s="36"/>
      <c r="M1389" s="36"/>
      <c r="N1389" s="36"/>
      <c r="O1389" s="36"/>
      <c r="P1389" s="36"/>
      <c r="Q1389" s="36"/>
      <c r="R1389" s="36" t="str">
        <f>IFERROR(__xludf.DUMMYFUNCTION("""COMPUTED_VALUE"""),"K")</f>
        <v>K</v>
      </c>
      <c r="S1389" s="39"/>
    </row>
    <row r="1390">
      <c r="B1390" s="36" t="str">
        <f>IFERROR(__xludf.DUMMYFUNCTION("""COMPUTED_VALUE"""),"Pengoperasian Tools Generative AI Untuk Konten Digital dan Bisnis")</f>
        <v>Pengoperasian Tools Generative AI Untuk Konten Digital dan Bisnis</v>
      </c>
      <c r="C1390" s="36"/>
      <c r="D1390" s="36"/>
      <c r="E1390" s="36"/>
      <c r="F1390" s="36" t="str">
        <f>IFERROR(__xludf.DUMMYFUNCTION("""COMPUTED_VALUE"""),"ATRI WULANDARI")</f>
        <v>ATRI WULANDARI</v>
      </c>
      <c r="G1390" s="36" t="str">
        <f>IFERROR(__xludf.DUMMYFUNCTION("""COMPUTED_VALUE"""),"7405080107060007")</f>
        <v>7405080107060007</v>
      </c>
      <c r="H1390" s="36"/>
      <c r="I1390" s="36"/>
      <c r="J1390" s="36" t="str">
        <f>IFERROR(__xludf.DUMMYFUNCTION("""COMPUTED_VALUE"""),"PEREMPUAN")</f>
        <v>PEREMPUAN</v>
      </c>
      <c r="K1390" s="36" t="str">
        <f>IFERROR(__xludf.DUMMYFUNCTION("""COMPUTED_VALUE"""),"DESA ONEWILA")</f>
        <v>DESA ONEWILA</v>
      </c>
      <c r="L1390" s="36"/>
      <c r="M1390" s="36"/>
      <c r="N1390" s="36"/>
      <c r="O1390" s="36"/>
      <c r="P1390" s="36"/>
      <c r="Q1390" s="36"/>
      <c r="R1390" s="36" t="str">
        <f>IFERROR(__xludf.DUMMYFUNCTION("""COMPUTED_VALUE"""),"K")</f>
        <v>K</v>
      </c>
      <c r="S1390" s="39"/>
    </row>
    <row r="1391">
      <c r="B1391" s="36" t="str">
        <f>IFERROR(__xludf.DUMMYFUNCTION("""COMPUTED_VALUE"""),"Perakitan Komponen Fabrikasi")</f>
        <v>Perakitan Komponen Fabrikasi</v>
      </c>
      <c r="C1391" s="36"/>
      <c r="D1391" s="36"/>
      <c r="E1391" s="36"/>
      <c r="F1391" s="36" t="str">
        <f>IFERROR(__xludf.DUMMYFUNCTION("""COMPUTED_VALUE"""),"MUHAMMAD YASSAN")</f>
        <v>MUHAMMAD YASSAN</v>
      </c>
      <c r="G1391" s="36" t="str">
        <f>IFERROR(__xludf.DUMMYFUNCTION("""COMPUTED_VALUE"""),"7471012509020003")</f>
        <v>7471012509020003</v>
      </c>
      <c r="H1391" s="36"/>
      <c r="I1391" s="36"/>
      <c r="J1391" s="36" t="str">
        <f>IFERROR(__xludf.DUMMYFUNCTION("""COMPUTED_VALUE"""),"LAKI-LAKI")</f>
        <v>LAKI-LAKI</v>
      </c>
      <c r="K1391" s="36" t="str">
        <f>IFERROR(__xludf.DUMMYFUNCTION("""COMPUTED_VALUE"""),"JLN IMAM BONJOL")</f>
        <v>JLN IMAM BONJOL</v>
      </c>
      <c r="L1391" s="36"/>
      <c r="M1391" s="36"/>
      <c r="N1391" s="36"/>
      <c r="O1391" s="36"/>
      <c r="P1391" s="36"/>
      <c r="Q1391" s="36"/>
      <c r="R1391" s="36" t="str">
        <f>IFERROR(__xludf.DUMMYFUNCTION("""COMPUTED_VALUE"""),"BK")</f>
        <v>BK</v>
      </c>
      <c r="S1391" s="39"/>
    </row>
    <row r="1392">
      <c r="B1392" s="36" t="str">
        <f>IFERROR(__xludf.DUMMYFUNCTION("""COMPUTED_VALUE"""),"Perakitan Komponen Fabrikasi")</f>
        <v>Perakitan Komponen Fabrikasi</v>
      </c>
      <c r="C1392" s="36"/>
      <c r="D1392" s="36"/>
      <c r="E1392" s="36"/>
      <c r="F1392" s="36" t="str">
        <f>IFERROR(__xludf.DUMMYFUNCTION("""COMPUTED_VALUE"""),"MUHAMMAD SUARMAN ")</f>
        <v>MUHAMMAD SUARMAN </v>
      </c>
      <c r="G1392" s="36">
        <f>IFERROR(__xludf.DUMMYFUNCTION("""COMPUTED_VALUE"""),7.47101691098003E14)</f>
        <v>747101691098003</v>
      </c>
      <c r="H1392" s="36"/>
      <c r="I1392" s="36"/>
      <c r="J1392" s="36" t="str">
        <f>IFERROR(__xludf.DUMMYFUNCTION("""COMPUTED_VALUE"""),"LAKI-LAKI")</f>
        <v>LAKI-LAKI</v>
      </c>
      <c r="K1392" s="36" t="str">
        <f>IFERROR(__xludf.DUMMYFUNCTION("""COMPUTED_VALUE"""),"Jl PDAM Rahandouna ")</f>
        <v>Jl PDAM Rahandouna </v>
      </c>
      <c r="L1392" s="36"/>
      <c r="M1392" s="36"/>
      <c r="N1392" s="36"/>
      <c r="O1392" s="36"/>
      <c r="P1392" s="36"/>
      <c r="Q1392" s="36"/>
      <c r="R1392" s="36" t="str">
        <f>IFERROR(__xludf.DUMMYFUNCTION("""COMPUTED_VALUE"""),"BK")</f>
        <v>BK</v>
      </c>
      <c r="S1392" s="39"/>
    </row>
    <row r="1393">
      <c r="B1393" s="36" t="str">
        <f>IFERROR(__xludf.DUMMYFUNCTION("""COMPUTED_VALUE"""),"Perakitan Komponen Fabrikasi")</f>
        <v>Perakitan Komponen Fabrikasi</v>
      </c>
      <c r="C1393" s="36"/>
      <c r="D1393" s="36"/>
      <c r="E1393" s="36"/>
      <c r="F1393" s="36" t="str">
        <f>IFERROR(__xludf.DUMMYFUNCTION("""COMPUTED_VALUE"""),"MUHAMMAD BOWFAN ")</f>
        <v>MUHAMMAD BOWFAN </v>
      </c>
      <c r="G1393" s="36" t="str">
        <f>IFERROR(__xludf.DUMMYFUNCTION("""COMPUTED_VALUE"""),"7404112506090003")</f>
        <v>7404112506090003</v>
      </c>
      <c r="H1393" s="36"/>
      <c r="I1393" s="36"/>
      <c r="J1393" s="36" t="str">
        <f>IFERROR(__xludf.DUMMYFUNCTION("""COMPUTED_VALUE"""),"LAKI-LAKI")</f>
        <v>LAKI-LAKI</v>
      </c>
      <c r="K1393" s="36" t="str">
        <f>IFERROR(__xludf.DUMMYFUNCTION("""COMPUTED_VALUE"""),"TAKIMPO")</f>
        <v>TAKIMPO</v>
      </c>
      <c r="L1393" s="36"/>
      <c r="M1393" s="36"/>
      <c r="N1393" s="36"/>
      <c r="O1393" s="36"/>
      <c r="P1393" s="36"/>
      <c r="Q1393" s="36"/>
      <c r="R1393" s="36" t="str">
        <f>IFERROR(__xludf.DUMMYFUNCTION("""COMPUTED_VALUE"""),"K")</f>
        <v>K</v>
      </c>
      <c r="S1393" s="39"/>
    </row>
    <row r="1394">
      <c r="B1394" s="36" t="str">
        <f>IFERROR(__xludf.DUMMYFUNCTION("""COMPUTED_VALUE"""),"Perakitan Komponen Fabrikasi")</f>
        <v>Perakitan Komponen Fabrikasi</v>
      </c>
      <c r="C1394" s="36"/>
      <c r="D1394" s="36"/>
      <c r="E1394" s="36"/>
      <c r="F1394" s="36" t="str">
        <f>IFERROR(__xludf.DUMMYFUNCTION("""COMPUTED_VALUE"""),"IRWANSYAH ")</f>
        <v>IRWANSYAH </v>
      </c>
      <c r="G1394" s="36" t="str">
        <f>IFERROR(__xludf.DUMMYFUNCTION("""COMPUTED_VALUE"""),"7404110501080002")</f>
        <v>7404110501080002</v>
      </c>
      <c r="H1394" s="36"/>
      <c r="I1394" s="36"/>
      <c r="J1394" s="36" t="str">
        <f>IFERROR(__xludf.DUMMYFUNCTION("""COMPUTED_VALUE"""),"LAKI-LAKI")</f>
        <v>LAKI-LAKI</v>
      </c>
      <c r="K1394" s="36" t="str">
        <f>IFERROR(__xludf.DUMMYFUNCTION("""COMPUTED_VALUE"""),"BANAUWE")</f>
        <v>BANAUWE</v>
      </c>
      <c r="L1394" s="36"/>
      <c r="M1394" s="36"/>
      <c r="N1394" s="36"/>
      <c r="O1394" s="36"/>
      <c r="P1394" s="36"/>
      <c r="Q1394" s="36"/>
      <c r="R1394" s="36" t="str">
        <f>IFERROR(__xludf.DUMMYFUNCTION("""COMPUTED_VALUE"""),"K")</f>
        <v>K</v>
      </c>
      <c r="S1394" s="39"/>
    </row>
    <row r="1395">
      <c r="B1395" s="36" t="str">
        <f>IFERROR(__xludf.DUMMYFUNCTION("""COMPUTED_VALUE"""),"Perakitan Komponen Fabrikasi")</f>
        <v>Perakitan Komponen Fabrikasi</v>
      </c>
      <c r="C1395" s="36"/>
      <c r="D1395" s="36"/>
      <c r="E1395" s="36"/>
      <c r="F1395" s="36" t="str">
        <f>IFERROR(__xludf.DUMMYFUNCTION("""COMPUTED_VALUE"""),"SARLAN")</f>
        <v>SARLAN</v>
      </c>
      <c r="G1395" s="36" t="str">
        <f>IFERROR(__xludf.DUMMYFUNCTION("""COMPUTED_VALUE"""),"7404232407860001")</f>
        <v>7404232407860001</v>
      </c>
      <c r="H1395" s="36"/>
      <c r="I1395" s="36"/>
      <c r="J1395" s="36" t="str">
        <f>IFERROR(__xludf.DUMMYFUNCTION("""COMPUTED_VALUE"""),"LAKI-LAKI")</f>
        <v>LAKI-LAKI</v>
      </c>
      <c r="K1395" s="36" t="str">
        <f>IFERROR(__xludf.DUMMYFUNCTION("""COMPUTED_VALUE"""),"PASARWAJO")</f>
        <v>PASARWAJO</v>
      </c>
      <c r="L1395" s="36"/>
      <c r="M1395" s="36"/>
      <c r="N1395" s="36"/>
      <c r="O1395" s="36"/>
      <c r="P1395" s="36"/>
      <c r="Q1395" s="36"/>
      <c r="R1395" s="36" t="str">
        <f>IFERROR(__xludf.DUMMYFUNCTION("""COMPUTED_VALUE"""),"BK")</f>
        <v>BK</v>
      </c>
      <c r="S1395" s="39"/>
    </row>
    <row r="1396">
      <c r="B1396" s="36" t="str">
        <f>IFERROR(__xludf.DUMMYFUNCTION("""COMPUTED_VALUE"""),"Perakitan Komponen Fabrikasi")</f>
        <v>Perakitan Komponen Fabrikasi</v>
      </c>
      <c r="C1396" s="36"/>
      <c r="D1396" s="36"/>
      <c r="E1396" s="36"/>
      <c r="F1396" s="36" t="str">
        <f>IFERROR(__xludf.DUMMYFUNCTION("""COMPUTED_VALUE"""),"MUHAMMAD IRFAN BASRI ")</f>
        <v>MUHAMMAD IRFAN BASRI </v>
      </c>
      <c r="G1396" s="36" t="str">
        <f>IFERROR(__xludf.DUMMYFUNCTION("""COMPUTED_VALUE"""),"7404110310830002")</f>
        <v>7404110310830002</v>
      </c>
      <c r="H1396" s="36"/>
      <c r="I1396" s="36"/>
      <c r="J1396" s="36" t="str">
        <f>IFERROR(__xludf.DUMMYFUNCTION("""COMPUTED_VALUE"""),"LAKI-LAKI")</f>
        <v>LAKI-LAKI</v>
      </c>
      <c r="K1396" s="36" t="str">
        <f>IFERROR(__xludf.DUMMYFUNCTION("""COMPUTED_VALUE"""),"DUSUN KANCINAA 2 ")</f>
        <v>DUSUN KANCINAA 2 </v>
      </c>
      <c r="L1396" s="36"/>
      <c r="M1396" s="36"/>
      <c r="N1396" s="36"/>
      <c r="O1396" s="36"/>
      <c r="P1396" s="36"/>
      <c r="Q1396" s="36"/>
      <c r="R1396" s="36" t="str">
        <f>IFERROR(__xludf.DUMMYFUNCTION("""COMPUTED_VALUE"""),"K")</f>
        <v>K</v>
      </c>
      <c r="S1396" s="39"/>
    </row>
    <row r="1397">
      <c r="B1397" s="36" t="str">
        <f>IFERROR(__xludf.DUMMYFUNCTION("""COMPUTED_VALUE"""),"Perakitan Komponen Fabrikasi")</f>
        <v>Perakitan Komponen Fabrikasi</v>
      </c>
      <c r="C1397" s="36"/>
      <c r="D1397" s="36"/>
      <c r="E1397" s="36"/>
      <c r="F1397" s="36" t="str">
        <f>IFERROR(__xludf.DUMMYFUNCTION("""COMPUTED_VALUE"""),"ARIS SAPUTRA ")</f>
        <v>ARIS SAPUTRA </v>
      </c>
      <c r="G1397" s="36" t="str">
        <f>IFERROR(__xludf.DUMMYFUNCTION("""COMPUTED_VALUE"""),"2171062703079005")</f>
        <v>2171062703079005</v>
      </c>
      <c r="H1397" s="36"/>
      <c r="I1397" s="36"/>
      <c r="J1397" s="36" t="str">
        <f>IFERROR(__xludf.DUMMYFUNCTION("""COMPUTED_VALUE"""),"LAKI-LAKI")</f>
        <v>LAKI-LAKI</v>
      </c>
      <c r="K1397" s="36" t="str">
        <f>IFERROR(__xludf.DUMMYFUNCTION("""COMPUTED_VALUE"""),"BANABUNGI ")</f>
        <v>BANABUNGI </v>
      </c>
      <c r="L1397" s="36"/>
      <c r="M1397" s="36"/>
      <c r="N1397" s="36"/>
      <c r="O1397" s="36"/>
      <c r="P1397" s="36"/>
      <c r="Q1397" s="36"/>
      <c r="R1397" s="36" t="str">
        <f>IFERROR(__xludf.DUMMYFUNCTION("""COMPUTED_VALUE"""),"K")</f>
        <v>K</v>
      </c>
      <c r="S1397" s="39"/>
    </row>
    <row r="1398">
      <c r="B1398" s="36" t="str">
        <f>IFERROR(__xludf.DUMMYFUNCTION("""COMPUTED_VALUE"""),"Perakitan Komponen Fabrikasi")</f>
        <v>Perakitan Komponen Fabrikasi</v>
      </c>
      <c r="C1398" s="36"/>
      <c r="D1398" s="36"/>
      <c r="E1398" s="36"/>
      <c r="F1398" s="36" t="str">
        <f>IFERROR(__xludf.DUMMYFUNCTION("""COMPUTED_VALUE"""),"FABIN")</f>
        <v>FABIN</v>
      </c>
      <c r="G1398" s="36" t="str">
        <f>IFERROR(__xludf.DUMMYFUNCTION("""COMPUTED_VALUE"""),"7404111308080004")</f>
        <v>7404111308080004</v>
      </c>
      <c r="H1398" s="36"/>
      <c r="I1398" s="36"/>
      <c r="J1398" s="36" t="str">
        <f>IFERROR(__xludf.DUMMYFUNCTION("""COMPUTED_VALUE"""),"LAKI-LAKI")</f>
        <v>LAKI-LAKI</v>
      </c>
      <c r="K1398" s="36" t="str">
        <f>IFERROR(__xludf.DUMMYFUNCTION("""COMPUTED_VALUE"""),"BANABUNGI")</f>
        <v>BANABUNGI</v>
      </c>
      <c r="L1398" s="36"/>
      <c r="M1398" s="36"/>
      <c r="N1398" s="36"/>
      <c r="O1398" s="36"/>
      <c r="P1398" s="36"/>
      <c r="Q1398" s="36"/>
      <c r="R1398" s="36" t="str">
        <f>IFERROR(__xludf.DUMMYFUNCTION("""COMPUTED_VALUE"""),"BK")</f>
        <v>BK</v>
      </c>
      <c r="S1398" s="39"/>
    </row>
    <row r="1399">
      <c r="B1399" s="36" t="str">
        <f>IFERROR(__xludf.DUMMYFUNCTION("""COMPUTED_VALUE"""),"Perakitan Komponen Fabrikasi")</f>
        <v>Perakitan Komponen Fabrikasi</v>
      </c>
      <c r="C1399" s="36"/>
      <c r="D1399" s="36"/>
      <c r="E1399" s="36"/>
      <c r="F1399" s="36" t="str">
        <f>IFERROR(__xludf.DUMMYFUNCTION("""COMPUTED_VALUE"""),"EMMANUEL ALFREDO LEDA ")</f>
        <v>EMMANUEL ALFREDO LEDA </v>
      </c>
      <c r="G1399" s="36" t="str">
        <f>IFERROR(__xludf.DUMMYFUNCTION("""COMPUTED_VALUE"""),"7404111104080001")</f>
        <v>7404111104080001</v>
      </c>
      <c r="H1399" s="36"/>
      <c r="I1399" s="36"/>
      <c r="J1399" s="36" t="str">
        <f>IFERROR(__xludf.DUMMYFUNCTION("""COMPUTED_VALUE"""),"LAKI-LAKI")</f>
        <v>LAKI-LAKI</v>
      </c>
      <c r="K1399" s="36" t="str">
        <f>IFERROR(__xludf.DUMMYFUNCTION("""COMPUTED_VALUE"""),"LINGKUNGAN BATUMATONGKA ")</f>
        <v>LINGKUNGAN BATUMATONGKA </v>
      </c>
      <c r="L1399" s="36"/>
      <c r="M1399" s="36"/>
      <c r="N1399" s="36"/>
      <c r="O1399" s="36"/>
      <c r="P1399" s="36"/>
      <c r="Q1399" s="36"/>
      <c r="R1399" s="36" t="str">
        <f>IFERROR(__xludf.DUMMYFUNCTION("""COMPUTED_VALUE"""),"K")</f>
        <v>K</v>
      </c>
      <c r="S1399" s="39"/>
    </row>
    <row r="1400">
      <c r="B1400" s="36" t="str">
        <f>IFERROR(__xludf.DUMMYFUNCTION("""COMPUTED_VALUE"""),"Perakitan Komponen Fabrikasi")</f>
        <v>Perakitan Komponen Fabrikasi</v>
      </c>
      <c r="C1400" s="36"/>
      <c r="D1400" s="36"/>
      <c r="E1400" s="36"/>
      <c r="F1400" s="36" t="str">
        <f>IFERROR(__xludf.DUMMYFUNCTION("""COMPUTED_VALUE"""),"MUHAMAD ABDUL MUHARAM MAULANA ")</f>
        <v>MUHAMAD ABDUL MUHARAM MAULANA </v>
      </c>
      <c r="G1400" s="36" t="str">
        <f>IFERROR(__xludf.DUMMYFUNCTION("""COMPUTED_VALUE"""),"7404111001080001")</f>
        <v>7404111001080001</v>
      </c>
      <c r="H1400" s="36"/>
      <c r="I1400" s="36"/>
      <c r="J1400" s="36" t="str">
        <f>IFERROR(__xludf.DUMMYFUNCTION("""COMPUTED_VALUE"""),"LAKI-LAKI")</f>
        <v>LAKI-LAKI</v>
      </c>
      <c r="K1400" s="36" t="str">
        <f>IFERROR(__xludf.DUMMYFUNCTION("""COMPUTED_VALUE"""),"DONGKALA")</f>
        <v>DONGKALA</v>
      </c>
      <c r="L1400" s="36"/>
      <c r="M1400" s="36"/>
      <c r="N1400" s="36"/>
      <c r="O1400" s="36"/>
      <c r="P1400" s="36"/>
      <c r="Q1400" s="36"/>
      <c r="R1400" s="36" t="str">
        <f>IFERROR(__xludf.DUMMYFUNCTION("""COMPUTED_VALUE"""),"K")</f>
        <v>K</v>
      </c>
      <c r="S1400" s="39"/>
    </row>
    <row r="1401">
      <c r="B1401" s="36" t="str">
        <f>IFERROR(__xludf.DUMMYFUNCTION("""COMPUTED_VALUE"""),"Perakitan Komponen Fabrikasi")</f>
        <v>Perakitan Komponen Fabrikasi</v>
      </c>
      <c r="C1401" s="36"/>
      <c r="D1401" s="36"/>
      <c r="E1401" s="36"/>
      <c r="F1401" s="36" t="str">
        <f>IFERROR(__xludf.DUMMYFUNCTION("""COMPUTED_VALUE"""),"SABRIN")</f>
        <v>SABRIN</v>
      </c>
      <c r="G1401" s="36" t="str">
        <f>IFERROR(__xludf.DUMMYFUNCTION("""COMPUTED_VALUE"""),"7404110712070001")</f>
        <v>7404110712070001</v>
      </c>
      <c r="H1401" s="36"/>
      <c r="I1401" s="36"/>
      <c r="J1401" s="36" t="str">
        <f>IFERROR(__xludf.DUMMYFUNCTION("""COMPUTED_VALUE"""),"LAKI-LAKI")</f>
        <v>LAKI-LAKI</v>
      </c>
      <c r="K1401" s="36" t="str">
        <f>IFERROR(__xludf.DUMMYFUNCTION("""COMPUTED_VALUE"""),"KEL.SARAGI")</f>
        <v>KEL.SARAGI</v>
      </c>
      <c r="L1401" s="36"/>
      <c r="M1401" s="36"/>
      <c r="N1401" s="36"/>
      <c r="O1401" s="36"/>
      <c r="P1401" s="36"/>
      <c r="Q1401" s="36"/>
      <c r="R1401" s="36" t="str">
        <f>IFERROR(__xludf.DUMMYFUNCTION("""COMPUTED_VALUE"""),"K")</f>
        <v>K</v>
      </c>
      <c r="S1401" s="39"/>
    </row>
    <row r="1402">
      <c r="B1402" s="36" t="str">
        <f>IFERROR(__xludf.DUMMYFUNCTION("""COMPUTED_VALUE"""),"Perakitan Komponen Fabrikasi")</f>
        <v>Perakitan Komponen Fabrikasi</v>
      </c>
      <c r="C1402" s="36"/>
      <c r="D1402" s="36"/>
      <c r="E1402" s="36"/>
      <c r="F1402" s="36" t="str">
        <f>IFERROR(__xludf.DUMMYFUNCTION("""COMPUTED_VALUE"""),"MAZIDUN")</f>
        <v>MAZIDUN</v>
      </c>
      <c r="G1402" s="36" t="str">
        <f>IFERROR(__xludf.DUMMYFUNCTION("""COMPUTED_VALUE"""),"6474012002850003")</f>
        <v>6474012002850003</v>
      </c>
      <c r="H1402" s="36"/>
      <c r="I1402" s="36"/>
      <c r="J1402" s="36" t="str">
        <f>IFERROR(__xludf.DUMMYFUNCTION("""COMPUTED_VALUE"""),"LAKI-LAKI")</f>
        <v>LAKI-LAKI</v>
      </c>
      <c r="K1402" s="36" t="str">
        <f>IFERROR(__xludf.DUMMYFUNCTION("""COMPUTED_VALUE"""),"DUSUN LADATUMBOYO")</f>
        <v>DUSUN LADATUMBOYO</v>
      </c>
      <c r="L1402" s="36"/>
      <c r="M1402" s="36"/>
      <c r="N1402" s="36"/>
      <c r="O1402" s="36"/>
      <c r="P1402" s="36"/>
      <c r="Q1402" s="36"/>
      <c r="R1402" s="36" t="str">
        <f>IFERROR(__xludf.DUMMYFUNCTION("""COMPUTED_VALUE"""),"BK")</f>
        <v>BK</v>
      </c>
      <c r="S1402" s="39"/>
    </row>
    <row r="1403">
      <c r="B1403" s="36" t="str">
        <f>IFERROR(__xludf.DUMMYFUNCTION("""COMPUTED_VALUE"""),"Perakitan Komponen Fabrikasi")</f>
        <v>Perakitan Komponen Fabrikasi</v>
      </c>
      <c r="C1403" s="36"/>
      <c r="D1403" s="36"/>
      <c r="E1403" s="36"/>
      <c r="F1403" s="36" t="str">
        <f>IFERROR(__xludf.DUMMYFUNCTION("""COMPUTED_VALUE"""),"AGUS TOLAND")</f>
        <v>AGUS TOLAND</v>
      </c>
      <c r="G1403" s="36" t="str">
        <f>IFERROR(__xludf.DUMMYFUNCTION("""COMPUTED_VALUE"""),"7404110608860001")</f>
        <v>7404110608860001</v>
      </c>
      <c r="H1403" s="36"/>
      <c r="I1403" s="36"/>
      <c r="J1403" s="36" t="str">
        <f>IFERROR(__xludf.DUMMYFUNCTION("""COMPUTED_VALUE"""),"LAKI-LAKI")</f>
        <v>LAKI-LAKI</v>
      </c>
      <c r="K1403" s="36" t="str">
        <f>IFERROR(__xludf.DUMMYFUNCTION("""COMPUTED_VALUE"""),"WAOLE I DESA WOLOWA")</f>
        <v>WAOLE I DESA WOLOWA</v>
      </c>
      <c r="L1403" s="36"/>
      <c r="M1403" s="36"/>
      <c r="N1403" s="36"/>
      <c r="O1403" s="36"/>
      <c r="P1403" s="36"/>
      <c r="Q1403" s="36"/>
      <c r="R1403" s="36" t="str">
        <f>IFERROR(__xludf.DUMMYFUNCTION("""COMPUTED_VALUE"""),"K")</f>
        <v>K</v>
      </c>
      <c r="S1403" s="39"/>
    </row>
    <row r="1404">
      <c r="B1404" s="36" t="str">
        <f>IFERROR(__xludf.DUMMYFUNCTION("""COMPUTED_VALUE"""),"Perakitan Komponen Fabrikasi")</f>
        <v>Perakitan Komponen Fabrikasi</v>
      </c>
      <c r="C1404" s="36"/>
      <c r="D1404" s="36"/>
      <c r="E1404" s="36"/>
      <c r="F1404" s="36" t="str">
        <f>IFERROR(__xludf.DUMMYFUNCTION("""COMPUTED_VALUE"""),"MUHAMAD TRY ANWAR FEBRIANTO")</f>
        <v>MUHAMAD TRY ANWAR FEBRIANTO</v>
      </c>
      <c r="G1404" s="36" t="str">
        <f>IFERROR(__xludf.DUMMYFUNCTION("""COMPUTED_VALUE"""),"74044111702050002")</f>
        <v>74044111702050002</v>
      </c>
      <c r="H1404" s="36"/>
      <c r="I1404" s="36"/>
      <c r="J1404" s="36" t="str">
        <f>IFERROR(__xludf.DUMMYFUNCTION("""COMPUTED_VALUE"""),"LAKI-LAKI")</f>
        <v>LAKI-LAKI</v>
      </c>
      <c r="K1404" s="36" t="str">
        <f>IFERROR(__xludf.DUMMYFUNCTION("""COMPUTED_VALUE"""),"DONGKALA")</f>
        <v>DONGKALA</v>
      </c>
      <c r="L1404" s="36"/>
      <c r="M1404" s="36"/>
      <c r="N1404" s="36"/>
      <c r="O1404" s="36"/>
      <c r="P1404" s="36"/>
      <c r="Q1404" s="36"/>
      <c r="R1404" s="36" t="str">
        <f>IFERROR(__xludf.DUMMYFUNCTION("""COMPUTED_VALUE"""),"BK")</f>
        <v>BK</v>
      </c>
      <c r="S1404" s="39"/>
    </row>
    <row r="1405">
      <c r="B1405" s="36" t="str">
        <f>IFERROR(__xludf.DUMMYFUNCTION("""COMPUTED_VALUE"""),"Perakitan Komponen Fabrikasi")</f>
        <v>Perakitan Komponen Fabrikasi</v>
      </c>
      <c r="C1405" s="36"/>
      <c r="D1405" s="36"/>
      <c r="E1405" s="36"/>
      <c r="F1405" s="36" t="str">
        <f>IFERROR(__xludf.DUMMYFUNCTION("""COMPUTED_VALUE"""),"HIDAYAT APRIYANDI JUFRIN")</f>
        <v>HIDAYAT APRIYANDI JUFRIN</v>
      </c>
      <c r="G1405" s="36" t="str">
        <f>IFERROR(__xludf.DUMMYFUNCTION("""COMPUTED_VALUE"""),"7404240311060001")</f>
        <v>7404240311060001</v>
      </c>
      <c r="H1405" s="36"/>
      <c r="I1405" s="36"/>
      <c r="J1405" s="36" t="str">
        <f>IFERROR(__xludf.DUMMYFUNCTION("""COMPUTED_VALUE"""),"LAKI-LAKI")</f>
        <v>LAKI-LAKI</v>
      </c>
      <c r="K1405" s="36" t="str">
        <f>IFERROR(__xludf.DUMMYFUNCTION("""COMPUTED_VALUE"""),"JALAN JERINCI SIONTAPINA")</f>
        <v>JALAN JERINCI SIONTAPINA</v>
      </c>
      <c r="L1405" s="36"/>
      <c r="M1405" s="36"/>
      <c r="N1405" s="36"/>
      <c r="O1405" s="36"/>
      <c r="P1405" s="36"/>
      <c r="Q1405" s="36"/>
      <c r="R1405" s="36" t="str">
        <f>IFERROR(__xludf.DUMMYFUNCTION("""COMPUTED_VALUE"""),"BK")</f>
        <v>BK</v>
      </c>
      <c r="S1405" s="39"/>
    </row>
    <row r="1406">
      <c r="B1406" s="36" t="str">
        <f>IFERROR(__xludf.DUMMYFUNCTION("""COMPUTED_VALUE"""),"Computer Operator Assistant ")</f>
        <v>Computer Operator Assistant </v>
      </c>
      <c r="C1406" s="36"/>
      <c r="D1406" s="36"/>
      <c r="E1406" s="36"/>
      <c r="F1406" s="36" t="str">
        <f>IFERROR(__xludf.DUMMYFUNCTION("""COMPUTED_VALUE"""),"MUHAMMAD FAHRIL FADSAM")</f>
        <v>MUHAMMAD FAHRIL FADSAM</v>
      </c>
      <c r="G1406" s="36" t="str">
        <f>IFERROR(__xludf.DUMMYFUNCTION("""COMPUTED_VALUE"""),"7404110311070001")</f>
        <v>7404110311070001</v>
      </c>
      <c r="H1406" s="36"/>
      <c r="I1406" s="36"/>
      <c r="J1406" s="36" t="str">
        <f>IFERROR(__xludf.DUMMYFUNCTION("""COMPUTED_VALUE"""),"LAKI-LAKI")</f>
        <v>LAKI-LAKI</v>
      </c>
      <c r="K1406" s="36" t="str">
        <f>IFERROR(__xludf.DUMMYFUNCTION("""COMPUTED_VALUE"""),"LINGK BAHALI")</f>
        <v>LINGK BAHALI</v>
      </c>
      <c r="L1406" s="36"/>
      <c r="M1406" s="36"/>
      <c r="N1406" s="36"/>
      <c r="O1406" s="36"/>
      <c r="P1406" s="36"/>
      <c r="Q1406" s="36"/>
      <c r="R1406" s="36" t="str">
        <f>IFERROR(__xludf.DUMMYFUNCTION("""COMPUTED_VALUE"""),"K")</f>
        <v>K</v>
      </c>
      <c r="S1406" s="39"/>
    </row>
    <row r="1407">
      <c r="B1407" s="36" t="str">
        <f>IFERROR(__xludf.DUMMYFUNCTION("""COMPUTED_VALUE"""),"Computer Operator Assistant ")</f>
        <v>Computer Operator Assistant </v>
      </c>
      <c r="C1407" s="36"/>
      <c r="D1407" s="36"/>
      <c r="E1407" s="36"/>
      <c r="F1407" s="36" t="str">
        <f>IFERROR(__xludf.DUMMYFUNCTION("""COMPUTED_VALUE"""),"ANDIKA")</f>
        <v>ANDIKA</v>
      </c>
      <c r="G1407" s="36" t="str">
        <f>IFERROR(__xludf.DUMMYFUNCTION("""COMPUTED_VALUE"""),"7404110411020001")</f>
        <v>7404110411020001</v>
      </c>
      <c r="H1407" s="36"/>
      <c r="I1407" s="36"/>
      <c r="J1407" s="36" t="str">
        <f>IFERROR(__xludf.DUMMYFUNCTION("""COMPUTED_VALUE"""),"LAKI-LAKI")</f>
        <v>LAKI-LAKI</v>
      </c>
      <c r="K1407" s="36" t="str">
        <f>IFERROR(__xludf.DUMMYFUNCTION("""COMPUTED_VALUE"""),"TAKIMPO")</f>
        <v>TAKIMPO</v>
      </c>
      <c r="L1407" s="36"/>
      <c r="M1407" s="36"/>
      <c r="N1407" s="36"/>
      <c r="O1407" s="36"/>
      <c r="P1407" s="36"/>
      <c r="Q1407" s="36"/>
      <c r="R1407" s="36" t="str">
        <f>IFERROR(__xludf.DUMMYFUNCTION("""COMPUTED_VALUE"""),"K")</f>
        <v>K</v>
      </c>
      <c r="S1407" s="39"/>
    </row>
    <row r="1408">
      <c r="B1408" s="36" t="str">
        <f>IFERROR(__xludf.DUMMYFUNCTION("""COMPUTED_VALUE"""),"Computer Operator Assistant ")</f>
        <v>Computer Operator Assistant </v>
      </c>
      <c r="C1408" s="36"/>
      <c r="D1408" s="36"/>
      <c r="E1408" s="36"/>
      <c r="F1408" s="36" t="str">
        <f>IFERROR(__xludf.DUMMYFUNCTION("""COMPUTED_VALUE"""),"JULAIHA")</f>
        <v>JULAIHA</v>
      </c>
      <c r="G1408" s="36" t="str">
        <f>IFERROR(__xludf.DUMMYFUNCTION("""COMPUTED_VALUE"""),"7404244808030001")</f>
        <v>7404244808030001</v>
      </c>
      <c r="H1408" s="36"/>
      <c r="I1408" s="36"/>
      <c r="J1408" s="36" t="str">
        <f>IFERROR(__xludf.DUMMYFUNCTION("""COMPUTED_VALUE"""),"PEREMPUAN")</f>
        <v>PEREMPUAN</v>
      </c>
      <c r="K1408" s="36" t="str">
        <f>IFERROR(__xludf.DUMMYFUNCTION("""COMPUTED_VALUE"""),"DESA AMBUAU INDAH")</f>
        <v>DESA AMBUAU INDAH</v>
      </c>
      <c r="L1408" s="36"/>
      <c r="M1408" s="36"/>
      <c r="N1408" s="36"/>
      <c r="O1408" s="36"/>
      <c r="P1408" s="36"/>
      <c r="Q1408" s="36"/>
      <c r="R1408" s="36" t="str">
        <f>IFERROR(__xludf.DUMMYFUNCTION("""COMPUTED_VALUE"""),"K")</f>
        <v>K</v>
      </c>
      <c r="S1408" s="39"/>
    </row>
    <row r="1409">
      <c r="B1409" s="36" t="str">
        <f>IFERROR(__xludf.DUMMYFUNCTION("""COMPUTED_VALUE"""),"Computer Operator Assistant ")</f>
        <v>Computer Operator Assistant </v>
      </c>
      <c r="C1409" s="36"/>
      <c r="D1409" s="36"/>
      <c r="E1409" s="36"/>
      <c r="F1409" s="36" t="str">
        <f>IFERROR(__xludf.DUMMYFUNCTION("""COMPUTED_VALUE"""),"WA ODE ASWANTI")</f>
        <v>WA ODE ASWANTI</v>
      </c>
      <c r="G1409" s="36" t="str">
        <f>IFERROR(__xludf.DUMMYFUNCTION("""COMPUTED_VALUE"""),"7404314602000001")</f>
        <v>7404314602000001</v>
      </c>
      <c r="H1409" s="36"/>
      <c r="I1409" s="36"/>
      <c r="J1409" s="36" t="str">
        <f>IFERROR(__xludf.DUMMYFUNCTION("""COMPUTED_VALUE"""),"PEREMPUAN")</f>
        <v>PEREMPUAN</v>
      </c>
      <c r="K1409" s="36" t="str">
        <f>IFERROR(__xludf.DUMMYFUNCTION("""COMPUTED_VALUE"""),"DESA MANURU, KEC. SIOTAPINA, KAB. BUTON, PROV. SULAWESI TENGGARA")</f>
        <v>DESA MANURU, KEC. SIOTAPINA, KAB. BUTON, PROV. SULAWESI TENGGARA</v>
      </c>
      <c r="L1409" s="36"/>
      <c r="M1409" s="36"/>
      <c r="N1409" s="36"/>
      <c r="O1409" s="36"/>
      <c r="P1409" s="36"/>
      <c r="Q1409" s="36"/>
      <c r="R1409" s="36" t="str">
        <f>IFERROR(__xludf.DUMMYFUNCTION("""COMPUTED_VALUE"""),"K")</f>
        <v>K</v>
      </c>
      <c r="S1409" s="39"/>
    </row>
    <row r="1410">
      <c r="B1410" s="36" t="str">
        <f>IFERROR(__xludf.DUMMYFUNCTION("""COMPUTED_VALUE"""),"Computer Operator Assistant ")</f>
        <v>Computer Operator Assistant </v>
      </c>
      <c r="C1410" s="36"/>
      <c r="D1410" s="36"/>
      <c r="E1410" s="36"/>
      <c r="F1410" s="36" t="str">
        <f>IFERROR(__xludf.DUMMYFUNCTION("""COMPUTED_VALUE"""),"NUR SATIA")</f>
        <v>NUR SATIA</v>
      </c>
      <c r="G1410" s="36" t="str">
        <f>IFERROR(__xludf.DUMMYFUNCTION("""COMPUTED_VALUE"""),"7404115103020002")</f>
        <v>7404115103020002</v>
      </c>
      <c r="H1410" s="36"/>
      <c r="I1410" s="36"/>
      <c r="J1410" s="36" t="str">
        <f>IFERROR(__xludf.DUMMYFUNCTION("""COMPUTED_VALUE"""),"PEREMPUAN")</f>
        <v>PEREMPUAN</v>
      </c>
      <c r="K1410" s="36" t="str">
        <f>IFERROR(__xludf.DUMMYFUNCTION("""COMPUTED_VALUE"""),"Dusun awarapia")</f>
        <v>Dusun awarapia</v>
      </c>
      <c r="L1410" s="36"/>
      <c r="M1410" s="36"/>
      <c r="N1410" s="36"/>
      <c r="O1410" s="36"/>
      <c r="P1410" s="36"/>
      <c r="Q1410" s="36"/>
      <c r="R1410" s="36" t="str">
        <f>IFERROR(__xludf.DUMMYFUNCTION("""COMPUTED_VALUE"""),"K")</f>
        <v>K</v>
      </c>
      <c r="S1410" s="39"/>
    </row>
    <row r="1411">
      <c r="B1411" s="36" t="str">
        <f>IFERROR(__xludf.DUMMYFUNCTION("""COMPUTED_VALUE"""),"Computer Operator Assistant ")</f>
        <v>Computer Operator Assistant </v>
      </c>
      <c r="C1411" s="36"/>
      <c r="D1411" s="36"/>
      <c r="E1411" s="36"/>
      <c r="F1411" s="36" t="str">
        <f>IFERROR(__xludf.DUMMYFUNCTION("""COMPUTED_VALUE"""),"WA ODE MILDA")</f>
        <v>WA ODE MILDA</v>
      </c>
      <c r="G1411" s="36" t="str">
        <f>IFERROR(__xludf.DUMMYFUNCTION("""COMPUTED_VALUE"""),"7404244504080003")</f>
        <v>7404244504080003</v>
      </c>
      <c r="H1411" s="36"/>
      <c r="I1411" s="36"/>
      <c r="J1411" s="36" t="str">
        <f>IFERROR(__xludf.DUMMYFUNCTION("""COMPUTED_VALUE"""),"PEREMPUAN")</f>
        <v>PEREMPUAN</v>
      </c>
      <c r="K1411" s="36" t="str">
        <f>IFERROR(__xludf.DUMMYFUNCTION("""COMPUTED_VALUE"""),"DUSUN NURMOLAGI")</f>
        <v>DUSUN NURMOLAGI</v>
      </c>
      <c r="L1411" s="36"/>
      <c r="M1411" s="36"/>
      <c r="N1411" s="36"/>
      <c r="O1411" s="36"/>
      <c r="P1411" s="36"/>
      <c r="Q1411" s="36"/>
      <c r="R1411" s="36" t="str">
        <f>IFERROR(__xludf.DUMMYFUNCTION("""COMPUTED_VALUE"""),"K")</f>
        <v>K</v>
      </c>
      <c r="S1411" s="39"/>
    </row>
    <row r="1412">
      <c r="B1412" s="36" t="str">
        <f>IFERROR(__xludf.DUMMYFUNCTION("""COMPUTED_VALUE"""),"Computer Operator Assistant ")</f>
        <v>Computer Operator Assistant </v>
      </c>
      <c r="C1412" s="36"/>
      <c r="D1412" s="36"/>
      <c r="E1412" s="36"/>
      <c r="F1412" s="36" t="str">
        <f>IFERROR(__xludf.DUMMYFUNCTION("""COMPUTED_VALUE"""),"IYAN")</f>
        <v>IYAN</v>
      </c>
      <c r="G1412" s="36" t="str">
        <f>IFERROR(__xludf.DUMMYFUNCTION("""COMPUTED_VALUE"""),"7404236101980002")</f>
        <v>7404236101980002</v>
      </c>
      <c r="H1412" s="36"/>
      <c r="I1412" s="36"/>
      <c r="J1412" s="36" t="str">
        <f>IFERROR(__xludf.DUMMYFUNCTION("""COMPUTED_VALUE"""),"PEREMPUAN")</f>
        <v>PEREMPUAN</v>
      </c>
      <c r="K1412" s="36" t="str">
        <f>IFERROR(__xludf.DUMMYFUNCTION("""COMPUTED_VALUE"""),"LINGKUNGAN BATUMATONGKA")</f>
        <v>LINGKUNGAN BATUMATONGKA</v>
      </c>
      <c r="L1412" s="36"/>
      <c r="M1412" s="36"/>
      <c r="N1412" s="36"/>
      <c r="O1412" s="36"/>
      <c r="P1412" s="36"/>
      <c r="Q1412" s="36"/>
      <c r="R1412" s="36" t="str">
        <f>IFERROR(__xludf.DUMMYFUNCTION("""COMPUTED_VALUE"""),"K")</f>
        <v>K</v>
      </c>
      <c r="S1412" s="39"/>
    </row>
    <row r="1413">
      <c r="B1413" s="36" t="str">
        <f>IFERROR(__xludf.DUMMYFUNCTION("""COMPUTED_VALUE"""),"Computer Operator Assistant ")</f>
        <v>Computer Operator Assistant </v>
      </c>
      <c r="C1413" s="36"/>
      <c r="D1413" s="36"/>
      <c r="E1413" s="36"/>
      <c r="F1413" s="36" t="str">
        <f>IFERROR(__xludf.DUMMYFUNCTION("""COMPUTED_VALUE"""),"YELDA OKTAVIANI ")</f>
        <v>YELDA OKTAVIANI </v>
      </c>
      <c r="G1413" s="36" t="str">
        <f>IFERROR(__xludf.DUMMYFUNCTION("""COMPUTED_VALUE"""),"7404114710020001")</f>
        <v>7404114710020001</v>
      </c>
      <c r="H1413" s="36"/>
      <c r="I1413" s="36"/>
      <c r="J1413" s="36" t="str">
        <f>IFERROR(__xludf.DUMMYFUNCTION("""COMPUTED_VALUE"""),"PEREMPUAN")</f>
        <v>PEREMPUAN</v>
      </c>
      <c r="K1413" s="36" t="str">
        <f>IFERROR(__xludf.DUMMYFUNCTION("""COMPUTED_VALUE"""),"DUSUN ASA, DESA BANABUNGI, KECAMATAN PASARWAJO ")</f>
        <v>DUSUN ASA, DESA BANABUNGI, KECAMATAN PASARWAJO </v>
      </c>
      <c r="L1413" s="36"/>
      <c r="M1413" s="36"/>
      <c r="N1413" s="36"/>
      <c r="O1413" s="36"/>
      <c r="P1413" s="36"/>
      <c r="Q1413" s="36"/>
      <c r="R1413" s="36" t="str">
        <f>IFERROR(__xludf.DUMMYFUNCTION("""COMPUTED_VALUE"""),"K")</f>
        <v>K</v>
      </c>
      <c r="S1413" s="39"/>
    </row>
    <row r="1414">
      <c r="B1414" s="36" t="str">
        <f>IFERROR(__xludf.DUMMYFUNCTION("""COMPUTED_VALUE"""),"Computer Operator Assistant ")</f>
        <v>Computer Operator Assistant </v>
      </c>
      <c r="C1414" s="36"/>
      <c r="D1414" s="36"/>
      <c r="E1414" s="36"/>
      <c r="F1414" s="36" t="str">
        <f>IFERROR(__xludf.DUMMYFUNCTION("""COMPUTED_VALUE"""),"WITRI MARDALENA")</f>
        <v>WITRI MARDALENA</v>
      </c>
      <c r="G1414" s="36" t="str">
        <f>IFERROR(__xludf.DUMMYFUNCTION("""COMPUTED_VALUE"""),"7404115001000001")</f>
        <v>7404115001000001</v>
      </c>
      <c r="H1414" s="36"/>
      <c r="I1414" s="36"/>
      <c r="J1414" s="36" t="str">
        <f>IFERROR(__xludf.DUMMYFUNCTION("""COMPUTED_VALUE"""),"PEREMPUAN")</f>
        <v>PEREMPUAN</v>
      </c>
      <c r="K1414" s="36" t="str">
        <f>IFERROR(__xludf.DUMMYFUNCTION("""COMPUTED_VALUE"""),"LINGKUNGAN BAYMAKMUR, KEL. AWAINULU")</f>
        <v>LINGKUNGAN BAYMAKMUR, KEL. AWAINULU</v>
      </c>
      <c r="L1414" s="36"/>
      <c r="M1414" s="36"/>
      <c r="N1414" s="36"/>
      <c r="O1414" s="36"/>
      <c r="P1414" s="36"/>
      <c r="Q1414" s="36"/>
      <c r="R1414" s="36" t="str">
        <f>IFERROR(__xludf.DUMMYFUNCTION("""COMPUTED_VALUE"""),"K")</f>
        <v>K</v>
      </c>
      <c r="S1414" s="39"/>
    </row>
    <row r="1415">
      <c r="B1415" s="36" t="str">
        <f>IFERROR(__xludf.DUMMYFUNCTION("""COMPUTED_VALUE"""),"Computer Operator Assistant ")</f>
        <v>Computer Operator Assistant </v>
      </c>
      <c r="C1415" s="36"/>
      <c r="D1415" s="36"/>
      <c r="E1415" s="36"/>
      <c r="F1415" s="36" t="str">
        <f>IFERROR(__xludf.DUMMYFUNCTION("""COMPUTED_VALUE"""),"GANDHAR SIDNAN BHASKARA")</f>
        <v>GANDHAR SIDNAN BHASKARA</v>
      </c>
      <c r="G1415" s="36">
        <f>IFERROR(__xludf.DUMMYFUNCTION("""COMPUTED_VALUE"""),7.4720229080001E13)</f>
        <v>74720229080001</v>
      </c>
      <c r="H1415" s="36"/>
      <c r="I1415" s="36"/>
      <c r="J1415" s="36" t="str">
        <f>IFERROR(__xludf.DUMMYFUNCTION("""COMPUTED_VALUE"""),"LAKI-LAKI")</f>
        <v>LAKI-LAKI</v>
      </c>
      <c r="K1415" s="36" t="str">
        <f>IFERROR(__xludf.DUMMYFUNCTION("""COMPUTED_VALUE"""),"JL.PATTIMURA NO.40")</f>
        <v>JL.PATTIMURA NO.40</v>
      </c>
      <c r="L1415" s="36"/>
      <c r="M1415" s="36"/>
      <c r="N1415" s="36"/>
      <c r="O1415" s="36"/>
      <c r="P1415" s="36"/>
      <c r="Q1415" s="36"/>
      <c r="R1415" s="36" t="str">
        <f>IFERROR(__xludf.DUMMYFUNCTION("""COMPUTED_VALUE"""),"K")</f>
        <v>K</v>
      </c>
      <c r="S1415" s="39"/>
    </row>
    <row r="1416">
      <c r="B1416" s="36" t="str">
        <f>IFERROR(__xludf.DUMMYFUNCTION("""COMPUTED_VALUE"""),"Computer Operator Assistant ")</f>
        <v>Computer Operator Assistant </v>
      </c>
      <c r="C1416" s="36"/>
      <c r="D1416" s="36"/>
      <c r="E1416" s="36"/>
      <c r="F1416" s="36" t="str">
        <f>IFERROR(__xludf.DUMMYFUNCTION("""COMPUTED_VALUE"""),"RAHMAT AZI ")</f>
        <v>RAHMAT AZI </v>
      </c>
      <c r="G1416" s="36" t="str">
        <f>IFERROR(__xludf.DUMMYFUNCTION("""COMPUTED_VALUE"""),"7404111503040001")</f>
        <v>7404111503040001</v>
      </c>
      <c r="H1416" s="36"/>
      <c r="I1416" s="36"/>
      <c r="J1416" s="36" t="str">
        <f>IFERROR(__xludf.DUMMYFUNCTION("""COMPUTED_VALUE"""),"LAKI-LAKI")</f>
        <v>LAKI-LAKI</v>
      </c>
      <c r="K1416" s="36" t="str">
        <f>IFERROR(__xludf.DUMMYFUNCTION("""COMPUTED_VALUE"""),"LINGK. LEPEKA JAYA ")</f>
        <v>LINGK. LEPEKA JAYA </v>
      </c>
      <c r="L1416" s="36"/>
      <c r="M1416" s="36"/>
      <c r="N1416" s="36"/>
      <c r="O1416" s="36"/>
      <c r="P1416" s="36"/>
      <c r="Q1416" s="36"/>
      <c r="R1416" s="36" t="str">
        <f>IFERROR(__xludf.DUMMYFUNCTION("""COMPUTED_VALUE"""),"K")</f>
        <v>K</v>
      </c>
      <c r="S1416" s="39"/>
    </row>
    <row r="1417">
      <c r="B1417" s="36" t="str">
        <f>IFERROR(__xludf.DUMMYFUNCTION("""COMPUTED_VALUE"""),"Computer Operator Assistant ")</f>
        <v>Computer Operator Assistant </v>
      </c>
      <c r="C1417" s="36"/>
      <c r="D1417" s="36"/>
      <c r="E1417" s="36"/>
      <c r="F1417" s="36" t="str">
        <f>IFERROR(__xludf.DUMMYFUNCTION("""COMPUTED_VALUE"""),"JUMAINAL")</f>
        <v>JUMAINAL</v>
      </c>
      <c r="G1417" s="36" t="str">
        <f>IFERROR(__xludf.DUMMYFUNCTION("""COMPUTED_VALUE"""),"7472020106000005")</f>
        <v>7472020106000005</v>
      </c>
      <c r="H1417" s="36"/>
      <c r="I1417" s="36"/>
      <c r="J1417" s="36" t="str">
        <f>IFERROR(__xludf.DUMMYFUNCTION("""COMPUTED_VALUE"""),"LAKI-LAKI")</f>
        <v>LAKI-LAKI</v>
      </c>
      <c r="K1417" s="36" t="str">
        <f>IFERROR(__xludf.DUMMYFUNCTION("""COMPUTED_VALUE"""),"JL. JAMBU METE NO. 9")</f>
        <v>JL. JAMBU METE NO. 9</v>
      </c>
      <c r="L1417" s="36"/>
      <c r="M1417" s="36"/>
      <c r="N1417" s="36"/>
      <c r="O1417" s="36"/>
      <c r="P1417" s="36"/>
      <c r="Q1417" s="36"/>
      <c r="R1417" s="36" t="str">
        <f>IFERROR(__xludf.DUMMYFUNCTION("""COMPUTED_VALUE"""),"K")</f>
        <v>K</v>
      </c>
      <c r="S1417" s="39"/>
    </row>
    <row r="1418">
      <c r="B1418" s="36" t="str">
        <f>IFERROR(__xludf.DUMMYFUNCTION("""COMPUTED_VALUE"""),"Computer Operator Assistant ")</f>
        <v>Computer Operator Assistant </v>
      </c>
      <c r="C1418" s="36"/>
      <c r="D1418" s="36"/>
      <c r="E1418" s="36"/>
      <c r="F1418" s="36" t="str">
        <f>IFERROR(__xludf.DUMMYFUNCTION("""COMPUTED_VALUE"""),"MOUNTHIANA WARDHANI MARAUF ")</f>
        <v>MOUNTHIANA WARDHANI MARAUF </v>
      </c>
      <c r="G1418" s="36">
        <f>IFERROR(__xludf.DUMMYFUNCTION("""COMPUTED_VALUE"""),7.40414207030002E14)</f>
        <v>740414207030002</v>
      </c>
      <c r="H1418" s="36"/>
      <c r="I1418" s="36"/>
      <c r="J1418" s="36" t="str">
        <f>IFERROR(__xludf.DUMMYFUNCTION("""COMPUTED_VALUE"""),"PEREMPUAN")</f>
        <v>PEREMPUAN</v>
      </c>
      <c r="K1418" s="36" t="str">
        <f>IFERROR(__xludf.DUMMYFUNCTION("""COMPUTED_VALUE"""),"DUSUN ASA, DESA BANABUNGI, KEC. PASARWAJO ")</f>
        <v>DUSUN ASA, DESA BANABUNGI, KEC. PASARWAJO </v>
      </c>
      <c r="L1418" s="36"/>
      <c r="M1418" s="36"/>
      <c r="N1418" s="36"/>
      <c r="O1418" s="36"/>
      <c r="P1418" s="36"/>
      <c r="Q1418" s="36"/>
      <c r="R1418" s="36" t="str">
        <f>IFERROR(__xludf.DUMMYFUNCTION("""COMPUTED_VALUE"""),"K")</f>
        <v>K</v>
      </c>
      <c r="S1418" s="39"/>
    </row>
    <row r="1419">
      <c r="B1419" s="36" t="str">
        <f>IFERROR(__xludf.DUMMYFUNCTION("""COMPUTED_VALUE"""),"Computer Operator Assistant ")</f>
        <v>Computer Operator Assistant </v>
      </c>
      <c r="C1419" s="36"/>
      <c r="D1419" s="36"/>
      <c r="E1419" s="36"/>
      <c r="F1419" s="36" t="str">
        <f>IFERROR(__xludf.DUMMYFUNCTION("""COMPUTED_VALUE"""),"YULIA SAFIRU")</f>
        <v>YULIA SAFIRU</v>
      </c>
      <c r="G1419" s="36" t="str">
        <f>IFERROR(__xludf.DUMMYFUNCTION("""COMPUTED_VALUE"""),"7404114504000001")</f>
        <v>7404114504000001</v>
      </c>
      <c r="H1419" s="36"/>
      <c r="I1419" s="36"/>
      <c r="J1419" s="36" t="str">
        <f>IFERROR(__xludf.DUMMYFUNCTION("""COMPUTED_VALUE"""),"PEREMPUAN")</f>
        <v>PEREMPUAN</v>
      </c>
      <c r="K1419" s="36" t="str">
        <f>IFERROR(__xludf.DUMMYFUNCTION("""COMPUTED_VALUE"""),"DUSUN MATANAUWE")</f>
        <v>DUSUN MATANAUWE</v>
      </c>
      <c r="L1419" s="36"/>
      <c r="M1419" s="36"/>
      <c r="N1419" s="36"/>
      <c r="O1419" s="36"/>
      <c r="P1419" s="36"/>
      <c r="Q1419" s="36"/>
      <c r="R1419" s="36" t="str">
        <f>IFERROR(__xludf.DUMMYFUNCTION("""COMPUTED_VALUE"""),"K")</f>
        <v>K</v>
      </c>
      <c r="S1419" s="39"/>
    </row>
    <row r="1420">
      <c r="B1420" s="36" t="str">
        <f>IFERROR(__xludf.DUMMYFUNCTION("""COMPUTED_VALUE"""),"Computer Operator Assistant ")</f>
        <v>Computer Operator Assistant </v>
      </c>
      <c r="C1420" s="36"/>
      <c r="D1420" s="36"/>
      <c r="E1420" s="36"/>
      <c r="F1420" s="36" t="str">
        <f>IFERROR(__xludf.DUMMYFUNCTION("""COMPUTED_VALUE"""),"ARDIANTI SAMJAYA")</f>
        <v>ARDIANTI SAMJAYA</v>
      </c>
      <c r="G1420" s="36" t="str">
        <f>IFERROR(__xludf.DUMMYFUNCTION("""COMPUTED_VALUE"""),"7404116911000001")</f>
        <v>7404116911000001</v>
      </c>
      <c r="H1420" s="36"/>
      <c r="I1420" s="36"/>
      <c r="J1420" s="36" t="str">
        <f>IFERROR(__xludf.DUMMYFUNCTION("""COMPUTED_VALUE"""),"PEREMPUAN")</f>
        <v>PEREMPUAN</v>
      </c>
      <c r="K1420" s="36" t="str">
        <f>IFERROR(__xludf.DUMMYFUNCTION("""COMPUTED_VALUE"""),"KELURAHAN TAKIMPO, LORONG WANGKARABI")</f>
        <v>KELURAHAN TAKIMPO, LORONG WANGKARABI</v>
      </c>
      <c r="L1420" s="36"/>
      <c r="M1420" s="36"/>
      <c r="N1420" s="36"/>
      <c r="O1420" s="36"/>
      <c r="P1420" s="36"/>
      <c r="Q1420" s="36"/>
      <c r="R1420" s="36" t="str">
        <f>IFERROR(__xludf.DUMMYFUNCTION("""COMPUTED_VALUE"""),"K")</f>
        <v>K</v>
      </c>
      <c r="S1420" s="39"/>
    </row>
    <row r="1421">
      <c r="B1421" s="36" t="str">
        <f>IFERROR(__xludf.DUMMYFUNCTION("""COMPUTED_VALUE"""),"Computer Operator Assistant ")</f>
        <v>Computer Operator Assistant </v>
      </c>
      <c r="C1421" s="36"/>
      <c r="D1421" s="36"/>
      <c r="E1421" s="36"/>
      <c r="F1421" s="36" t="str">
        <f>IFERROR(__xludf.DUMMYFUNCTION("""COMPUTED_VALUE"""),"SAFINA AFSYARI ")</f>
        <v>SAFINA AFSYARI </v>
      </c>
      <c r="G1421" s="36" t="str">
        <f>IFERROR(__xludf.DUMMYFUNCTION("""COMPUTED_VALUE"""),"7404315701070001")</f>
        <v>7404315701070001</v>
      </c>
      <c r="H1421" s="36"/>
      <c r="I1421" s="36"/>
      <c r="J1421" s="36" t="str">
        <f>IFERROR(__xludf.DUMMYFUNCTION("""COMPUTED_VALUE"""),"PEREMPUAN")</f>
        <v>PEREMPUAN</v>
      </c>
      <c r="K1421" s="36" t="str">
        <f>IFERROR(__xludf.DUMMYFUNCTION("""COMPUTED_VALUE"""),"DUSUN WALOMPO II")</f>
        <v>DUSUN WALOMPO II</v>
      </c>
      <c r="L1421" s="36"/>
      <c r="M1421" s="36"/>
      <c r="N1421" s="36"/>
      <c r="O1421" s="36"/>
      <c r="P1421" s="36"/>
      <c r="Q1421" s="36"/>
      <c r="R1421" s="36" t="str">
        <f>IFERROR(__xludf.DUMMYFUNCTION("""COMPUTED_VALUE"""),"K")</f>
        <v>K</v>
      </c>
      <c r="S1421" s="39"/>
    </row>
    <row r="1422">
      <c r="B1422" s="36" t="str">
        <f>IFERROR(__xludf.DUMMYFUNCTION("""COMPUTED_VALUE"""),"Service Sepeda Motor Injeksi")</f>
        <v>Service Sepeda Motor Injeksi</v>
      </c>
      <c r="C1422" s="36"/>
      <c r="D1422" s="36"/>
      <c r="E1422" s="36"/>
      <c r="F1422" s="36" t="str">
        <f>IFERROR(__xludf.DUMMYFUNCTION("""COMPUTED_VALUE"""),"SHAYLENDRA ARYA KHANAF ")</f>
        <v>SHAYLENDRA ARYA KHANAF </v>
      </c>
      <c r="G1422" s="36" t="str">
        <f>IFERROR(__xludf.DUMMYFUNCTION("""COMPUTED_VALUE"""),"7472062208080001")</f>
        <v>7472062208080001</v>
      </c>
      <c r="H1422" s="36"/>
      <c r="I1422" s="36"/>
      <c r="J1422" s="36" t="str">
        <f>IFERROR(__xludf.DUMMYFUNCTION("""COMPUTED_VALUE"""),"LAKI-LAKI")</f>
        <v>LAKI-LAKI</v>
      </c>
      <c r="K1422" s="36" t="str">
        <f>IFERROR(__xludf.DUMMYFUNCTION("""COMPUTED_VALUE"""),"JL.CAKALANG")</f>
        <v>JL.CAKALANG</v>
      </c>
      <c r="L1422" s="36"/>
      <c r="M1422" s="36"/>
      <c r="N1422" s="36"/>
      <c r="O1422" s="36"/>
      <c r="P1422" s="36"/>
      <c r="Q1422" s="36"/>
      <c r="R1422" s="36" t="str">
        <f>IFERROR(__xludf.DUMMYFUNCTION("""COMPUTED_VALUE"""),"K")</f>
        <v>K</v>
      </c>
      <c r="S1422" s="39"/>
    </row>
    <row r="1423">
      <c r="B1423" s="36" t="str">
        <f>IFERROR(__xludf.DUMMYFUNCTION("""COMPUTED_VALUE"""),"Service Sepeda Motor Injeksi")</f>
        <v>Service Sepeda Motor Injeksi</v>
      </c>
      <c r="C1423" s="36"/>
      <c r="D1423" s="36"/>
      <c r="E1423" s="36"/>
      <c r="F1423" s="36" t="str">
        <f>IFERROR(__xludf.DUMMYFUNCTION("""COMPUTED_VALUE"""),"SITI FAIRUS NABILA")</f>
        <v>SITI FAIRUS NABILA</v>
      </c>
      <c r="G1423" s="36" t="str">
        <f>IFERROR(__xludf.DUMMYFUNCTION("""COMPUTED_VALUE"""),"7404116210050000")</f>
        <v>7404116210050000</v>
      </c>
      <c r="H1423" s="36"/>
      <c r="I1423" s="36"/>
      <c r="J1423" s="36" t="str">
        <f>IFERROR(__xludf.DUMMYFUNCTION("""COMPUTED_VALUE"""),"PEREMPUAN")</f>
        <v>PEREMPUAN</v>
      </c>
      <c r="K1423" s="36"/>
      <c r="L1423" s="36"/>
      <c r="M1423" s="36"/>
      <c r="N1423" s="36"/>
      <c r="O1423" s="36"/>
      <c r="P1423" s="36"/>
      <c r="Q1423" s="36"/>
      <c r="R1423" s="36" t="str">
        <f>IFERROR(__xludf.DUMMYFUNCTION("""COMPUTED_VALUE"""),"K")</f>
        <v>K</v>
      </c>
      <c r="S1423" s="39"/>
    </row>
    <row r="1424">
      <c r="B1424" s="36" t="str">
        <f>IFERROR(__xludf.DUMMYFUNCTION("""COMPUTED_VALUE"""),"Service Sepeda Motor Injeksi")</f>
        <v>Service Sepeda Motor Injeksi</v>
      </c>
      <c r="C1424" s="36"/>
      <c r="D1424" s="36"/>
      <c r="E1424" s="36"/>
      <c r="F1424" s="36" t="str">
        <f>IFERROR(__xludf.DUMMYFUNCTION("""COMPUTED_VALUE"""),"AHMAD FARIL")</f>
        <v>AHMAD FARIL</v>
      </c>
      <c r="G1424" s="36" t="str">
        <f>IFERROR(__xludf.DUMMYFUNCTION("""COMPUTED_VALUE"""),"7472061711080002")</f>
        <v>7472061711080002</v>
      </c>
      <c r="H1424" s="36"/>
      <c r="I1424" s="36"/>
      <c r="J1424" s="36" t="str">
        <f>IFERROR(__xludf.DUMMYFUNCTION("""COMPUTED_VALUE"""),"LAKI-LAKI")</f>
        <v>LAKI-LAKI</v>
      </c>
      <c r="K1424" s="36" t="str">
        <f>IFERROR(__xludf.DUMMYFUNCTION("""COMPUTED_VALUE"""),"KADOLO")</f>
        <v>KADOLO</v>
      </c>
      <c r="L1424" s="36"/>
      <c r="M1424" s="36"/>
      <c r="N1424" s="36"/>
      <c r="O1424" s="36"/>
      <c r="P1424" s="36"/>
      <c r="Q1424" s="36"/>
      <c r="R1424" s="36" t="str">
        <f>IFERROR(__xludf.DUMMYFUNCTION("""COMPUTED_VALUE"""),"BK")</f>
        <v>BK</v>
      </c>
      <c r="S1424" s="39"/>
    </row>
    <row r="1425">
      <c r="B1425" s="36" t="str">
        <f>IFERROR(__xludf.DUMMYFUNCTION("""COMPUTED_VALUE"""),"Service Sepeda Motor Injeksi")</f>
        <v>Service Sepeda Motor Injeksi</v>
      </c>
      <c r="C1425" s="36"/>
      <c r="D1425" s="36"/>
      <c r="E1425" s="36"/>
      <c r="F1425" s="36" t="str">
        <f>IFERROR(__xludf.DUMMYFUNCTION("""COMPUTED_VALUE"""),"WAGE NOBI WIDI ARFA")</f>
        <v>WAGE NOBI WIDI ARFA</v>
      </c>
      <c r="G1425" s="36" t="str">
        <f>IFERROR(__xludf.DUMMYFUNCTION("""COMPUTED_VALUE"""),"7404110703080001")</f>
        <v>7404110703080001</v>
      </c>
      <c r="H1425" s="36"/>
      <c r="I1425" s="36"/>
      <c r="J1425" s="36" t="str">
        <f>IFERROR(__xludf.DUMMYFUNCTION("""COMPUTED_VALUE"""),"LAKI-LAKI")</f>
        <v>LAKI-LAKI</v>
      </c>
      <c r="K1425" s="36" t="str">
        <f>IFERROR(__xludf.DUMMYFUNCTION("""COMPUTED_VALUE"""),"DUSUN KOMPLEKS")</f>
        <v>DUSUN KOMPLEKS</v>
      </c>
      <c r="L1425" s="36"/>
      <c r="M1425" s="36"/>
      <c r="N1425" s="36"/>
      <c r="O1425" s="36"/>
      <c r="P1425" s="36"/>
      <c r="Q1425" s="36"/>
      <c r="R1425" s="36" t="str">
        <f>IFERROR(__xludf.DUMMYFUNCTION("""COMPUTED_VALUE"""),"BK")</f>
        <v>BK</v>
      </c>
      <c r="S1425" s="39"/>
    </row>
    <row r="1426">
      <c r="B1426" s="36" t="str">
        <f>IFERROR(__xludf.DUMMYFUNCTION("""COMPUTED_VALUE"""),"Service Sepeda Motor Injeksi")</f>
        <v>Service Sepeda Motor Injeksi</v>
      </c>
      <c r="C1426" s="36"/>
      <c r="D1426" s="36"/>
      <c r="E1426" s="36"/>
      <c r="F1426" s="36" t="str">
        <f>IFERROR(__xludf.DUMMYFUNCTION("""COMPUTED_VALUE"""),"LA RASIDU")</f>
        <v>LA RASIDU</v>
      </c>
      <c r="G1426" s="36" t="str">
        <f>IFERROR(__xludf.DUMMYFUNCTION("""COMPUTED_VALUE"""),"7404240704930001")</f>
        <v>7404240704930001</v>
      </c>
      <c r="H1426" s="36"/>
      <c r="I1426" s="36"/>
      <c r="J1426" s="36" t="str">
        <f>IFERROR(__xludf.DUMMYFUNCTION("""COMPUTED_VALUE"""),"LAKI-LAKI")</f>
        <v>LAKI-LAKI</v>
      </c>
      <c r="K1426" s="36" t="str">
        <f>IFERROR(__xludf.DUMMYFUNCTION("""COMPUTED_VALUE"""),"LING. WANGKARABI KEL. TAKIMPO KEC. PASARWAJO")</f>
        <v>LING. WANGKARABI KEL. TAKIMPO KEC. PASARWAJO</v>
      </c>
      <c r="L1426" s="36"/>
      <c r="M1426" s="36"/>
      <c r="N1426" s="36"/>
      <c r="O1426" s="36"/>
      <c r="P1426" s="36"/>
      <c r="Q1426" s="36"/>
      <c r="R1426" s="36" t="str">
        <f>IFERROR(__xludf.DUMMYFUNCTION("""COMPUTED_VALUE"""),"BK")</f>
        <v>BK</v>
      </c>
      <c r="S1426" s="39"/>
    </row>
    <row r="1427">
      <c r="B1427" s="36" t="str">
        <f>IFERROR(__xludf.DUMMYFUNCTION("""COMPUTED_VALUE"""),"Service Sepeda Motor Injeksi")</f>
        <v>Service Sepeda Motor Injeksi</v>
      </c>
      <c r="C1427" s="36"/>
      <c r="D1427" s="36"/>
      <c r="E1427" s="36"/>
      <c r="F1427" s="36" t="str">
        <f>IFERROR(__xludf.DUMMYFUNCTION("""COMPUTED_VALUE"""),"JEHAN ZASKIA HARDAWAN")</f>
        <v>JEHAN ZASKIA HARDAWAN</v>
      </c>
      <c r="G1427" s="36" t="str">
        <f>IFERROR(__xludf.DUMMYFUNCTION("""COMPUTED_VALUE"""),"7404116807070001")</f>
        <v>7404116807070001</v>
      </c>
      <c r="H1427" s="36"/>
      <c r="I1427" s="36"/>
      <c r="J1427" s="36" t="str">
        <f>IFERROR(__xludf.DUMMYFUNCTION("""COMPUTED_VALUE"""),"PEREMPUAN")</f>
        <v>PEREMPUAN</v>
      </c>
      <c r="K1427" s="36" t="str">
        <f>IFERROR(__xludf.DUMMYFUNCTION("""COMPUTED_VALUE"""),"KELURAHAN TAKIMPO,LINGKUNGAN KAMPUNG BARU,BELAKANG KUD LAMA")</f>
        <v>KELURAHAN TAKIMPO,LINGKUNGAN KAMPUNG BARU,BELAKANG KUD LAMA</v>
      </c>
      <c r="L1427" s="36"/>
      <c r="M1427" s="36"/>
      <c r="N1427" s="36"/>
      <c r="O1427" s="36"/>
      <c r="P1427" s="36"/>
      <c r="Q1427" s="36"/>
      <c r="R1427" s="36" t="str">
        <f>IFERROR(__xludf.DUMMYFUNCTION("""COMPUTED_VALUE"""),"K")</f>
        <v>K</v>
      </c>
      <c r="S1427" s="39"/>
    </row>
    <row r="1428">
      <c r="B1428" s="36" t="str">
        <f>IFERROR(__xludf.DUMMYFUNCTION("""COMPUTED_VALUE"""),"Service Sepeda Motor Injeksi")</f>
        <v>Service Sepeda Motor Injeksi</v>
      </c>
      <c r="C1428" s="36"/>
      <c r="D1428" s="36"/>
      <c r="E1428" s="36"/>
      <c r="F1428" s="36" t="str">
        <f>IFERROR(__xludf.DUMMYFUNCTION("""COMPUTED_VALUE"""),"ANDINI SEPTIYANI ")</f>
        <v>ANDINI SEPTIYANI </v>
      </c>
      <c r="G1428" s="36" t="str">
        <f>IFERROR(__xludf.DUMMYFUNCTION("""COMPUTED_VALUE"""),"7404116409080001")</f>
        <v>7404116409080001</v>
      </c>
      <c r="H1428" s="36"/>
      <c r="I1428" s="36"/>
      <c r="J1428" s="36" t="str">
        <f>IFERROR(__xludf.DUMMYFUNCTION("""COMPUTED_VALUE"""),"PEREMPUAN")</f>
        <v>PEREMPUAN</v>
      </c>
      <c r="K1428" s="36" t="str">
        <f>IFERROR(__xludf.DUMMYFUNCTION("""COMPUTED_VALUE"""),"DUSUN AWAUNGGE ")</f>
        <v>DUSUN AWAUNGGE </v>
      </c>
      <c r="L1428" s="36"/>
      <c r="M1428" s="36"/>
      <c r="N1428" s="36"/>
      <c r="O1428" s="36"/>
      <c r="P1428" s="36"/>
      <c r="Q1428" s="36"/>
      <c r="R1428" s="36" t="str">
        <f>IFERROR(__xludf.DUMMYFUNCTION("""COMPUTED_VALUE"""),"BK")</f>
        <v>BK</v>
      </c>
      <c r="S1428" s="39"/>
    </row>
    <row r="1429">
      <c r="B1429" s="36" t="str">
        <f>IFERROR(__xludf.DUMMYFUNCTION("""COMPUTED_VALUE"""),"Service Sepeda Motor Injeksi")</f>
        <v>Service Sepeda Motor Injeksi</v>
      </c>
      <c r="C1429" s="36"/>
      <c r="D1429" s="36"/>
      <c r="E1429" s="36"/>
      <c r="F1429" s="36" t="str">
        <f>IFERROR(__xludf.DUMMYFUNCTION("""COMPUTED_VALUE"""),"JESTINO ANDRE PRATAMA")</f>
        <v>JESTINO ANDRE PRATAMA</v>
      </c>
      <c r="G1429" s="36" t="str">
        <f>IFERROR(__xludf.DUMMYFUNCTION("""COMPUTED_VALUE"""),"9115082707030001")</f>
        <v>9115082707030001</v>
      </c>
      <c r="H1429" s="36"/>
      <c r="I1429" s="36"/>
      <c r="J1429" s="36" t="str">
        <f>IFERROR(__xludf.DUMMYFUNCTION("""COMPUTED_VALUE"""),"LAKI-LAKI")</f>
        <v>LAKI-LAKI</v>
      </c>
      <c r="K1429" s="36" t="str">
        <f>IFERROR(__xludf.DUMMYFUNCTION("""COMPUTED_VALUE"""),"JL. ANOA NO 33")</f>
        <v>JL. ANOA NO 33</v>
      </c>
      <c r="L1429" s="36"/>
      <c r="M1429" s="36"/>
      <c r="N1429" s="36"/>
      <c r="O1429" s="36"/>
      <c r="P1429" s="36"/>
      <c r="Q1429" s="36"/>
      <c r="R1429" s="36" t="str">
        <f>IFERROR(__xludf.DUMMYFUNCTION("""COMPUTED_VALUE"""),"BK")</f>
        <v>BK</v>
      </c>
      <c r="S1429" s="39"/>
    </row>
    <row r="1430">
      <c r="B1430" s="36" t="str">
        <f>IFERROR(__xludf.DUMMYFUNCTION("""COMPUTED_VALUE"""),"Service Sepeda Motor Injeksi")</f>
        <v>Service Sepeda Motor Injeksi</v>
      </c>
      <c r="C1430" s="36"/>
      <c r="D1430" s="36"/>
      <c r="E1430" s="36"/>
      <c r="F1430" s="36" t="str">
        <f>IFERROR(__xludf.DUMMYFUNCTION("""COMPUTED_VALUE"""),"AGUS")</f>
        <v>AGUS</v>
      </c>
      <c r="G1430" s="36" t="str">
        <f>IFERROR(__xludf.DUMMYFUNCTION("""COMPUTED_VALUE"""),"7404110608860000")</f>
        <v>7404110608860000</v>
      </c>
      <c r="H1430" s="36"/>
      <c r="I1430" s="36"/>
      <c r="J1430" s="36" t="str">
        <f>IFERROR(__xludf.DUMMYFUNCTION("""COMPUTED_VALUE"""),"LAKI-LAKI")</f>
        <v>LAKI-LAKI</v>
      </c>
      <c r="K1430" s="36"/>
      <c r="L1430" s="36"/>
      <c r="M1430" s="36"/>
      <c r="N1430" s="36"/>
      <c r="O1430" s="36"/>
      <c r="P1430" s="36"/>
      <c r="Q1430" s="36"/>
      <c r="R1430" s="36" t="str">
        <f>IFERROR(__xludf.DUMMYFUNCTION("""COMPUTED_VALUE"""),"K")</f>
        <v>K</v>
      </c>
      <c r="S1430" s="39"/>
    </row>
    <row r="1431">
      <c r="B1431" s="36" t="str">
        <f>IFERROR(__xludf.DUMMYFUNCTION("""COMPUTED_VALUE"""),"Service Sepeda Motor Injeksi")</f>
        <v>Service Sepeda Motor Injeksi</v>
      </c>
      <c r="C1431" s="36"/>
      <c r="D1431" s="36"/>
      <c r="E1431" s="36"/>
      <c r="F1431" s="36" t="str">
        <f>IFERROR(__xludf.DUMMYFUNCTION("""COMPUTED_VALUE"""),"ALIF")</f>
        <v>ALIF</v>
      </c>
      <c r="G1431" s="36" t="str">
        <f>IFERROR(__xludf.DUMMYFUNCTION("""COMPUTED_VALUE"""),"2171062703079000 ")</f>
        <v>2171062703079000 </v>
      </c>
      <c r="H1431" s="36"/>
      <c r="I1431" s="36"/>
      <c r="J1431" s="36" t="str">
        <f>IFERROR(__xludf.DUMMYFUNCTION("""COMPUTED_VALUE"""),"LAKI-LAKI")</f>
        <v>LAKI-LAKI</v>
      </c>
      <c r="K1431" s="36"/>
      <c r="L1431" s="36"/>
      <c r="M1431" s="36"/>
      <c r="N1431" s="36"/>
      <c r="O1431" s="36"/>
      <c r="P1431" s="36"/>
      <c r="Q1431" s="36"/>
      <c r="R1431" s="36" t="str">
        <f>IFERROR(__xludf.DUMMYFUNCTION("""COMPUTED_VALUE"""),"K")</f>
        <v>K</v>
      </c>
      <c r="S1431" s="39"/>
    </row>
    <row r="1432">
      <c r="B1432" s="36" t="str">
        <f>IFERROR(__xludf.DUMMYFUNCTION("""COMPUTED_VALUE"""),"Service Sepeda Motor Injeksi")</f>
        <v>Service Sepeda Motor Injeksi</v>
      </c>
      <c r="C1432" s="36"/>
      <c r="D1432" s="36"/>
      <c r="E1432" s="36"/>
      <c r="F1432" s="36" t="str">
        <f>IFERROR(__xludf.DUMMYFUNCTION("""COMPUTED_VALUE"""),"ARIL DASMI")</f>
        <v>ARIL DASMI</v>
      </c>
      <c r="G1432" s="36" t="str">
        <f>IFERROR(__xludf.DUMMYFUNCTION("""COMPUTED_VALUE"""),"7404111308080000 ")</f>
        <v>7404111308080000 </v>
      </c>
      <c r="H1432" s="36"/>
      <c r="I1432" s="36"/>
      <c r="J1432" s="36" t="str">
        <f>IFERROR(__xludf.DUMMYFUNCTION("""COMPUTED_VALUE"""),"LAKI-LAKI")</f>
        <v>LAKI-LAKI</v>
      </c>
      <c r="K1432" s="36"/>
      <c r="L1432" s="36"/>
      <c r="M1432" s="36"/>
      <c r="N1432" s="36"/>
      <c r="O1432" s="36"/>
      <c r="P1432" s="36"/>
      <c r="Q1432" s="36"/>
      <c r="R1432" s="36" t="str">
        <f>IFERROR(__xludf.DUMMYFUNCTION("""COMPUTED_VALUE"""),"BK")</f>
        <v>BK</v>
      </c>
      <c r="S1432" s="39"/>
    </row>
    <row r="1433">
      <c r="B1433" s="36" t="str">
        <f>IFERROR(__xludf.DUMMYFUNCTION("""COMPUTED_VALUE"""),"Service Sepeda Motor Injeksi")</f>
        <v>Service Sepeda Motor Injeksi</v>
      </c>
      <c r="C1433" s="36"/>
      <c r="D1433" s="36"/>
      <c r="E1433" s="36"/>
      <c r="F1433" s="36" t="str">
        <f>IFERROR(__xludf.DUMMYFUNCTION("""COMPUTED_VALUE"""),"LA AFRIL ADE PRATAMA")</f>
        <v>LA AFRIL ADE PRATAMA</v>
      </c>
      <c r="G1433" s="36" t="str">
        <f>IFERROR(__xludf.DUMMYFUNCTION("""COMPUTED_VALUE"""),"7404111001080000 ")</f>
        <v>7404111001080000 </v>
      </c>
      <c r="H1433" s="36"/>
      <c r="I1433" s="36"/>
      <c r="J1433" s="36" t="str">
        <f>IFERROR(__xludf.DUMMYFUNCTION("""COMPUTED_VALUE"""),"LAKI-LAKI")</f>
        <v>LAKI-LAKI</v>
      </c>
      <c r="K1433" s="36"/>
      <c r="L1433" s="36"/>
      <c r="M1433" s="36"/>
      <c r="N1433" s="36"/>
      <c r="O1433" s="36"/>
      <c r="P1433" s="36"/>
      <c r="Q1433" s="36"/>
      <c r="R1433" s="36" t="str">
        <f>IFERROR(__xludf.DUMMYFUNCTION("""COMPUTED_VALUE"""),"BK")</f>
        <v>BK</v>
      </c>
      <c r="S1433" s="39"/>
    </row>
    <row r="1434">
      <c r="B1434" s="36" t="str">
        <f>IFERROR(__xludf.DUMMYFUNCTION("""COMPUTED_VALUE"""),"Produktivitas Jenjang 5")</f>
        <v>Produktivitas Jenjang 5</v>
      </c>
      <c r="C1434" s="36"/>
      <c r="D1434" s="36"/>
      <c r="E1434" s="36"/>
      <c r="F1434" s="36" t="str">
        <f>IFERROR(__xludf.DUMMYFUNCTION("""COMPUTED_VALUE"""),"LA ODE AGUS FADLELILLAH")</f>
        <v>LA ODE AGUS FADLELILLAH</v>
      </c>
      <c r="G1434" s="36" t="str">
        <f>IFERROR(__xludf.DUMMYFUNCTION("""COMPUTED_VALUE"""),"7404111702050000 ")</f>
        <v>7404111702050000 </v>
      </c>
      <c r="H1434" s="36"/>
      <c r="I1434" s="36"/>
      <c r="J1434" s="36" t="str">
        <f>IFERROR(__xludf.DUMMYFUNCTION("""COMPUTED_VALUE"""),"LAKI-LAKI")</f>
        <v>LAKI-LAKI</v>
      </c>
      <c r="K1434" s="36"/>
      <c r="L1434" s="36"/>
      <c r="M1434" s="36"/>
      <c r="N1434" s="36"/>
      <c r="O1434" s="36"/>
      <c r="P1434" s="36"/>
      <c r="Q1434" s="36"/>
      <c r="R1434" s="36" t="str">
        <f>IFERROR(__xludf.DUMMYFUNCTION("""COMPUTED_VALUE"""),"K")</f>
        <v>K</v>
      </c>
      <c r="S1434" s="39"/>
    </row>
    <row r="1435">
      <c r="B1435" s="36" t="str">
        <f>IFERROR(__xludf.DUMMYFUNCTION("""COMPUTED_VALUE"""),"Produktivitas Jenjang 5")</f>
        <v>Produktivitas Jenjang 5</v>
      </c>
      <c r="C1435" s="36"/>
      <c r="D1435" s="36"/>
      <c r="E1435" s="36"/>
      <c r="F1435" s="36" t="str">
        <f>IFERROR(__xludf.DUMMYFUNCTION("""COMPUTED_VALUE"""),"FATUR HIDAYAT")</f>
        <v>FATUR HIDAYAT</v>
      </c>
      <c r="G1435" s="36" t="str">
        <f>IFERROR(__xludf.DUMMYFUNCTION("""COMPUTED_VALUE"""),"7404240311060000")</f>
        <v>7404240311060000</v>
      </c>
      <c r="H1435" s="36"/>
      <c r="I1435" s="36"/>
      <c r="J1435" s="36" t="str">
        <f>IFERROR(__xludf.DUMMYFUNCTION("""COMPUTED_VALUE"""),"LAKI-LAKI")</f>
        <v>LAKI-LAKI</v>
      </c>
      <c r="K1435" s="36"/>
      <c r="L1435" s="36"/>
      <c r="M1435" s="36"/>
      <c r="N1435" s="36"/>
      <c r="O1435" s="36"/>
      <c r="P1435" s="36"/>
      <c r="Q1435" s="36"/>
      <c r="R1435" s="36" t="str">
        <f>IFERROR(__xludf.DUMMYFUNCTION("""COMPUTED_VALUE"""),"K")</f>
        <v>K</v>
      </c>
      <c r="S1435" s="39"/>
    </row>
    <row r="1436">
      <c r="B1436" s="36" t="str">
        <f>IFERROR(__xludf.DUMMYFUNCTION("""COMPUTED_VALUE"""),"Produktivitas Jenjang 5")</f>
        <v>Produktivitas Jenjang 5</v>
      </c>
      <c r="C1436" s="36"/>
      <c r="D1436" s="36"/>
      <c r="E1436" s="36"/>
      <c r="F1436" s="36" t="str">
        <f>IFERROR(__xludf.DUMMYFUNCTION("""COMPUTED_VALUE"""),"SARCE RUTH LEIHITU")</f>
        <v>SARCE RUTH LEIHITU</v>
      </c>
      <c r="G1436" s="36" t="str">
        <f>IFERROR(__xludf.DUMMYFUNCTION("""COMPUTED_VALUE"""),"9271016007800007")</f>
        <v>9271016007800007</v>
      </c>
      <c r="H1436" s="36"/>
      <c r="I1436" s="36"/>
      <c r="J1436" s="36" t="str">
        <f>IFERROR(__xludf.DUMMYFUNCTION("""COMPUTED_VALUE"""),"PEREMPUAN")</f>
        <v>PEREMPUAN</v>
      </c>
      <c r="K1436" s="36" t="str">
        <f>IFERROR(__xludf.DUMMYFUNCTION("""COMPUTED_VALUE"""),"JL G ISUSU KLASUUR KITA SORONGP")</f>
        <v>JL G ISUSU KLASUUR KITA SORONGP</v>
      </c>
      <c r="L1436" s="36"/>
      <c r="M1436" s="36"/>
      <c r="N1436" s="36"/>
      <c r="O1436" s="36"/>
      <c r="P1436" s="36"/>
      <c r="Q1436" s="36"/>
      <c r="R1436" s="36" t="str">
        <f>IFERROR(__xludf.DUMMYFUNCTION("""COMPUTED_VALUE"""),"K")</f>
        <v>K</v>
      </c>
      <c r="S1436" s="39"/>
    </row>
    <row r="1437">
      <c r="B1437" s="36" t="str">
        <f>IFERROR(__xludf.DUMMYFUNCTION("""COMPUTED_VALUE"""),"Produktivitas Jenjang 5")</f>
        <v>Produktivitas Jenjang 5</v>
      </c>
      <c r="C1437" s="36"/>
      <c r="D1437" s="36"/>
      <c r="E1437" s="36"/>
      <c r="F1437" s="36" t="str">
        <f>IFERROR(__xludf.DUMMYFUNCTION("""COMPUTED_VALUE"""),"DYAN BAHARI KUSYONO")</f>
        <v>DYAN BAHARI KUSYONO</v>
      </c>
      <c r="G1437" s="36" t="str">
        <f>IFERROR(__xludf.DUMMYFUNCTION("""COMPUTED_VALUE"""),"9201073003950002")</f>
        <v>9201073003950002</v>
      </c>
      <c r="H1437" s="36"/>
      <c r="I1437" s="36"/>
      <c r="J1437" s="36" t="str">
        <f>IFERROR(__xludf.DUMMYFUNCTION("""COMPUTED_VALUE"""),"LAKI-LAKI")</f>
        <v>LAKI-LAKI</v>
      </c>
      <c r="K1437" s="36" t="str">
        <f>IFERROR(__xludf.DUMMYFUNCTION("""COMPUTED_VALUE"""),"JL MAKAM KPR GREEN SAMOLAN, RT005/RW005, KEL MALASOM, KEC AIMAS, SORONG PAPUA BARAT DAYA")</f>
        <v>JL MAKAM KPR GREEN SAMOLAN, RT005/RW005, KEL MALASOM, KEC AIMAS, SORONG PAPUA BARAT DAYA</v>
      </c>
      <c r="L1437" s="36"/>
      <c r="M1437" s="36"/>
      <c r="N1437" s="36"/>
      <c r="O1437" s="36"/>
      <c r="P1437" s="36"/>
      <c r="Q1437" s="36"/>
      <c r="R1437" s="36" t="str">
        <f>IFERROR(__xludf.DUMMYFUNCTION("""COMPUTED_VALUE"""),"K")</f>
        <v>K</v>
      </c>
      <c r="S1437" s="39"/>
    </row>
    <row r="1438">
      <c r="B1438" s="36" t="str">
        <f>IFERROR(__xludf.DUMMYFUNCTION("""COMPUTED_VALUE"""),"Produktivitas Jenjang 5")</f>
        <v>Produktivitas Jenjang 5</v>
      </c>
      <c r="C1438" s="36"/>
      <c r="D1438" s="36"/>
      <c r="E1438" s="36"/>
      <c r="F1438" s="36" t="str">
        <f>IFERROR(__xludf.DUMMYFUNCTION("""COMPUTED_VALUE"""),"ABDURAHMAN RUMATIGA ")</f>
        <v>ABDURAHMAN RUMATIGA </v>
      </c>
      <c r="G1438" s="36" t="str">
        <f>IFERROR(__xludf.DUMMYFUNCTION("""COMPUTED_VALUE"""),"9271011306740006")</f>
        <v>9271011306740006</v>
      </c>
      <c r="H1438" s="36"/>
      <c r="I1438" s="36"/>
      <c r="J1438" s="36" t="str">
        <f>IFERROR(__xludf.DUMMYFUNCTION("""COMPUTED_VALUE"""),"LAKI-LAKI")</f>
        <v>LAKI-LAKI</v>
      </c>
      <c r="K1438" s="36" t="str">
        <f>IFERROR(__xludf.DUMMYFUNCTION("""COMPUTED_VALUE"""),"JL. JEND. SUDIRMAN RT.004 RW 007 KEL.MALAWEI DISTRIK SORONG MANOI KOTA SORONG 08")</f>
        <v>JL. JEND. SUDIRMAN RT.004 RW 007 KEL.MALAWEI DISTRIK SORONG MANOI KOTA SORONG 08</v>
      </c>
      <c r="L1438" s="36"/>
      <c r="M1438" s="36"/>
      <c r="N1438" s="36"/>
      <c r="O1438" s="36"/>
      <c r="P1438" s="36"/>
      <c r="Q1438" s="36"/>
      <c r="R1438" s="36" t="str">
        <f>IFERROR(__xludf.DUMMYFUNCTION("""COMPUTED_VALUE"""),"K")</f>
        <v>K</v>
      </c>
      <c r="S1438" s="39"/>
    </row>
    <row r="1439">
      <c r="B1439" s="36" t="str">
        <f>IFERROR(__xludf.DUMMYFUNCTION("""COMPUTED_VALUE"""),"Produktivitas Jenjang 5")</f>
        <v>Produktivitas Jenjang 5</v>
      </c>
      <c r="C1439" s="36"/>
      <c r="D1439" s="36"/>
      <c r="E1439" s="36"/>
      <c r="F1439" s="36" t="str">
        <f>IFERROR(__xludf.DUMMYFUNCTION("""COMPUTED_VALUE"""),"MUH. IKRAM MURSALIM")</f>
        <v>MUH. IKRAM MURSALIM</v>
      </c>
      <c r="G1439" s="36" t="str">
        <f>IFERROR(__xludf.DUMMYFUNCTION("""COMPUTED_VALUE"""),"9271011505990003")</f>
        <v>9271011505990003</v>
      </c>
      <c r="H1439" s="36"/>
      <c r="I1439" s="36"/>
      <c r="J1439" s="36" t="str">
        <f>IFERROR(__xludf.DUMMYFUNCTION("""COMPUTED_VALUE"""),"LAKI-LAKI")</f>
        <v>LAKI-LAKI</v>
      </c>
      <c r="K1439" s="36" t="str">
        <f>IFERROR(__xludf.DUMMYFUNCTION("""COMPUTED_VALUE"""),"JL. JEND SUDIRMAN")</f>
        <v>JL. JEND SUDIRMAN</v>
      </c>
      <c r="L1439" s="36"/>
      <c r="M1439" s="36"/>
      <c r="N1439" s="36"/>
      <c r="O1439" s="36"/>
      <c r="P1439" s="36"/>
      <c r="Q1439" s="36"/>
      <c r="R1439" s="36" t="str">
        <f>IFERROR(__xludf.DUMMYFUNCTION("""COMPUTED_VALUE"""),"K")</f>
        <v>K</v>
      </c>
      <c r="S1439" s="39"/>
    </row>
    <row r="1440">
      <c r="B1440" s="36" t="str">
        <f>IFERROR(__xludf.DUMMYFUNCTION("""COMPUTED_VALUE"""),"Produktivitas Jenjang 5")</f>
        <v>Produktivitas Jenjang 5</v>
      </c>
      <c r="C1440" s="36"/>
      <c r="D1440" s="36"/>
      <c r="E1440" s="36"/>
      <c r="F1440" s="36" t="str">
        <f>IFERROR(__xludf.DUMMYFUNCTION("""COMPUTED_VALUE"""),"YACINCHA SELUSHIA LIEM")</f>
        <v>YACINCHA SELUSHIA LIEM</v>
      </c>
      <c r="G1440" s="36" t="str">
        <f>IFERROR(__xludf.DUMMYFUNCTION("""COMPUTED_VALUE"""),"9271026603900003")</f>
        <v>9271026603900003</v>
      </c>
      <c r="H1440" s="36"/>
      <c r="I1440" s="36"/>
      <c r="J1440" s="36" t="str">
        <f>IFERROR(__xludf.DUMMYFUNCTION("""COMPUTED_VALUE"""),"PEREMPUAN")</f>
        <v>PEREMPUAN</v>
      </c>
      <c r="K1440" s="36" t="str">
        <f>IFERROR(__xludf.DUMMYFUNCTION("""COMPUTED_VALUE"""),"JL RUMBERPON RT002 RW003 REMU SELATAN SORONG MANOI")</f>
        <v>JL RUMBERPON RT002 RW003 REMU SELATAN SORONG MANOI</v>
      </c>
      <c r="L1440" s="36"/>
      <c r="M1440" s="36"/>
      <c r="N1440" s="36"/>
      <c r="O1440" s="36"/>
      <c r="P1440" s="36"/>
      <c r="Q1440" s="36"/>
      <c r="R1440" s="36" t="str">
        <f>IFERROR(__xludf.DUMMYFUNCTION("""COMPUTED_VALUE"""),"K")</f>
        <v>K</v>
      </c>
      <c r="S1440" s="39"/>
    </row>
    <row r="1441">
      <c r="B1441" s="36" t="str">
        <f>IFERROR(__xludf.DUMMYFUNCTION("""COMPUTED_VALUE"""),"Produktivitas Jenjang 5")</f>
        <v>Produktivitas Jenjang 5</v>
      </c>
      <c r="C1441" s="36"/>
      <c r="D1441" s="36"/>
      <c r="E1441" s="36"/>
      <c r="F1441" s="36" t="str">
        <f>IFERROR(__xludf.DUMMYFUNCTION("""COMPUTED_VALUE"""),"BRYAN KESEK")</f>
        <v>BRYAN KESEK</v>
      </c>
      <c r="G1441" s="36" t="str">
        <f>IFERROR(__xludf.DUMMYFUNCTION("""COMPUTED_VALUE"""),"9271051009040001")</f>
        <v>9271051009040001</v>
      </c>
      <c r="H1441" s="36"/>
      <c r="I1441" s="36"/>
      <c r="J1441" s="36" t="str">
        <f>IFERROR(__xludf.DUMMYFUNCTION("""COMPUTED_VALUE"""),"LAKI-LAKI")</f>
        <v>LAKI-LAKI</v>
      </c>
      <c r="K1441" s="36" t="str">
        <f>IFERROR(__xludf.DUMMYFUNCTION("""COMPUTED_VALUE"""),"JL. MENARA DOA KM.17 RT 003 RW 004 KEL. KLABLIM KEC. KLAURUNG KOTA SORONG PAPUA BARAT DAYA")</f>
        <v>JL. MENARA DOA KM.17 RT 003 RW 004 KEL. KLABLIM KEC. KLAURUNG KOTA SORONG PAPUA BARAT DAYA</v>
      </c>
      <c r="L1441" s="36"/>
      <c r="M1441" s="36"/>
      <c r="N1441" s="36"/>
      <c r="O1441" s="36"/>
      <c r="P1441" s="36"/>
      <c r="Q1441" s="36"/>
      <c r="R1441" s="36" t="str">
        <f>IFERROR(__xludf.DUMMYFUNCTION("""COMPUTED_VALUE"""),"K")</f>
        <v>K</v>
      </c>
      <c r="S1441" s="39"/>
    </row>
    <row r="1442">
      <c r="B1442" s="36" t="str">
        <f>IFERROR(__xludf.DUMMYFUNCTION("""COMPUTED_VALUE"""),"Produktivitas Jenjang 5")</f>
        <v>Produktivitas Jenjang 5</v>
      </c>
      <c r="C1442" s="36"/>
      <c r="D1442" s="36"/>
      <c r="E1442" s="36"/>
      <c r="F1442" s="36" t="str">
        <f>IFERROR(__xludf.DUMMYFUNCTION("""COMPUTED_VALUE"""),"JESSY SYANA RACHEL AWAY")</f>
        <v>JESSY SYANA RACHEL AWAY</v>
      </c>
      <c r="G1442" s="36" t="str">
        <f>IFERROR(__xludf.DUMMYFUNCTION("""COMPUTED_VALUE"""),"9271056406050004")</f>
        <v>9271056406050004</v>
      </c>
      <c r="H1442" s="36"/>
      <c r="I1442" s="36"/>
      <c r="J1442" s="36" t="str">
        <f>IFERROR(__xludf.DUMMYFUNCTION("""COMPUTED_VALUE"""),"PEREMPUAN")</f>
        <v>PEREMPUAN</v>
      </c>
      <c r="K1442" s="36" t="str">
        <f>IFERROR(__xludf.DUMMYFUNCTION("""COMPUTED_VALUE"""),"JL. PATRIOT ")</f>
        <v>JL. PATRIOT </v>
      </c>
      <c r="L1442" s="36"/>
      <c r="M1442" s="36"/>
      <c r="N1442" s="36"/>
      <c r="O1442" s="36"/>
      <c r="P1442" s="36"/>
      <c r="Q1442" s="36"/>
      <c r="R1442" s="36" t="str">
        <f>IFERROR(__xludf.DUMMYFUNCTION("""COMPUTED_VALUE"""),"K")</f>
        <v>K</v>
      </c>
      <c r="S1442" s="39"/>
    </row>
    <row r="1443">
      <c r="B1443" s="36" t="str">
        <f>IFERROR(__xludf.DUMMYFUNCTION("""COMPUTED_VALUE"""),"Produktivitas Jenjang 5")</f>
        <v>Produktivitas Jenjang 5</v>
      </c>
      <c r="C1443" s="36"/>
      <c r="D1443" s="36"/>
      <c r="E1443" s="36"/>
      <c r="F1443" s="36" t="str">
        <f>IFERROR(__xludf.DUMMYFUNCTION("""COMPUTED_VALUE"""),"YOHANIS DANIEL BAKARBESSY ")</f>
        <v>YOHANIS DANIEL BAKARBESSY </v>
      </c>
      <c r="G1443" s="36" t="str">
        <f>IFERROR(__xludf.DUMMYFUNCTION("""COMPUTED_VALUE"""),"9271031509030005")</f>
        <v>9271031509030005</v>
      </c>
      <c r="H1443" s="36"/>
      <c r="I1443" s="36"/>
      <c r="J1443" s="36" t="str">
        <f>IFERROR(__xludf.DUMMYFUNCTION("""COMPUTED_VALUE"""),"LAKI-LAKI")</f>
        <v>LAKI-LAKI</v>
      </c>
      <c r="K1443" s="36" t="str">
        <f>IFERROR(__xludf.DUMMYFUNCTION("""COMPUTED_VALUE"""),"JL. P. KASIM")</f>
        <v>JL. P. KASIM</v>
      </c>
      <c r="L1443" s="36"/>
      <c r="M1443" s="36"/>
      <c r="N1443" s="36"/>
      <c r="O1443" s="36"/>
      <c r="P1443" s="36"/>
      <c r="Q1443" s="36"/>
      <c r="R1443" s="36" t="str">
        <f>IFERROR(__xludf.DUMMYFUNCTION("""COMPUTED_VALUE"""),"K")</f>
        <v>K</v>
      </c>
      <c r="S1443" s="39"/>
    </row>
    <row r="1444">
      <c r="B1444" s="36" t="str">
        <f>IFERROR(__xludf.DUMMYFUNCTION("""COMPUTED_VALUE"""),"Produktivitas Jenjang 5")</f>
        <v>Produktivitas Jenjang 5</v>
      </c>
      <c r="C1444" s="36"/>
      <c r="D1444" s="36"/>
      <c r="E1444" s="36"/>
      <c r="F1444" s="36" t="str">
        <f>IFERROR(__xludf.DUMMYFUNCTION("""COMPUTED_VALUE"""),"ESTHER YULIANA BENLAS")</f>
        <v>ESTHER YULIANA BENLAS</v>
      </c>
      <c r="G1444" s="36" t="str">
        <f>IFERROR(__xludf.DUMMYFUNCTION("""COMPUTED_VALUE"""),"9271055501970004")</f>
        <v>9271055501970004</v>
      </c>
      <c r="H1444" s="36"/>
      <c r="I1444" s="36"/>
      <c r="J1444" s="36" t="str">
        <f>IFERROR(__xludf.DUMMYFUNCTION("""COMPUTED_VALUE"""),"PEREMPUAN")</f>
        <v>PEREMPUAN</v>
      </c>
      <c r="K1444" s="36" t="str">
        <f>IFERROR(__xludf.DUMMYFUNCTION("""COMPUTED_VALUE"""),"JL. MALAGEDA ")</f>
        <v>JL. MALAGEDA </v>
      </c>
      <c r="L1444" s="36"/>
      <c r="M1444" s="36"/>
      <c r="N1444" s="36"/>
      <c r="O1444" s="36"/>
      <c r="P1444" s="36"/>
      <c r="Q1444" s="36"/>
      <c r="R1444" s="36" t="str">
        <f>IFERROR(__xludf.DUMMYFUNCTION("""COMPUTED_VALUE"""),"K")</f>
        <v>K</v>
      </c>
      <c r="S1444" s="39"/>
    </row>
    <row r="1445">
      <c r="B1445" s="36" t="str">
        <f>IFERROR(__xludf.DUMMYFUNCTION("""COMPUTED_VALUE"""),"Produktivitas Jenjang 5")</f>
        <v>Produktivitas Jenjang 5</v>
      </c>
      <c r="C1445" s="36"/>
      <c r="D1445" s="36"/>
      <c r="E1445" s="36"/>
      <c r="F1445" s="36" t="str">
        <f>IFERROR(__xludf.DUMMYFUNCTION("""COMPUTED_VALUE"""),"HERY HARYANTO ")</f>
        <v>HERY HARYANTO </v>
      </c>
      <c r="G1445" s="36" t="str">
        <f>IFERROR(__xludf.DUMMYFUNCTION("""COMPUTED_VALUE"""),"5205012001000003")</f>
        <v>5205012001000003</v>
      </c>
      <c r="H1445" s="36"/>
      <c r="I1445" s="36"/>
      <c r="J1445" s="36" t="str">
        <f>IFERROR(__xludf.DUMMYFUNCTION("""COMPUTED_VALUE"""),"LAKI-LAKI")</f>
        <v>LAKI-LAKI</v>
      </c>
      <c r="K1445" s="36" t="str">
        <f>IFERROR(__xludf.DUMMYFUNCTION("""COMPUTED_VALUE"""),"JL.SELAT MALAKA")</f>
        <v>JL.SELAT MALAKA</v>
      </c>
      <c r="L1445" s="36"/>
      <c r="M1445" s="36"/>
      <c r="N1445" s="36"/>
      <c r="O1445" s="36"/>
      <c r="P1445" s="36"/>
      <c r="Q1445" s="36"/>
      <c r="R1445" s="36" t="str">
        <f>IFERROR(__xludf.DUMMYFUNCTION("""COMPUTED_VALUE"""),"BK")</f>
        <v>BK</v>
      </c>
      <c r="S1445" s="39"/>
    </row>
    <row r="1446">
      <c r="B1446" s="36" t="str">
        <f>IFERROR(__xludf.DUMMYFUNCTION("""COMPUTED_VALUE"""),"Produktivitas Jenjang 5")</f>
        <v>Produktivitas Jenjang 5</v>
      </c>
      <c r="C1446" s="36"/>
      <c r="D1446" s="36"/>
      <c r="E1446" s="36"/>
      <c r="F1446" s="36" t="str">
        <f>IFERROR(__xludf.DUMMYFUNCTION("""COMPUTED_VALUE"""),"NOVYAN WATTIMENA S,SI")</f>
        <v>NOVYAN WATTIMENA S,SI</v>
      </c>
      <c r="G1446" s="36" t="str">
        <f>IFERROR(__xludf.DUMMYFUNCTION("""COMPUTED_VALUE"""),"8171020611850004")</f>
        <v>8171020611850004</v>
      </c>
      <c r="H1446" s="36"/>
      <c r="I1446" s="36"/>
      <c r="J1446" s="36" t="str">
        <f>IFERROR(__xludf.DUMMYFUNCTION("""COMPUTED_VALUE"""),"LAKI-LAKI")</f>
        <v>LAKI-LAKI</v>
      </c>
      <c r="K1446" s="36" t="str">
        <f>IFERROR(__xludf.DUMMYFUNCTION("""COMPUTED_VALUE"""),"JL. F. KALASUAT")</f>
        <v>JL. F. KALASUAT</v>
      </c>
      <c r="L1446" s="36"/>
      <c r="M1446" s="36"/>
      <c r="N1446" s="36"/>
      <c r="O1446" s="36"/>
      <c r="P1446" s="36"/>
      <c r="Q1446" s="36"/>
      <c r="R1446" s="36" t="str">
        <f>IFERROR(__xludf.DUMMYFUNCTION("""COMPUTED_VALUE"""),"BK")</f>
        <v>BK</v>
      </c>
      <c r="S1446" s="39"/>
    </row>
    <row r="1447">
      <c r="B1447" s="36" t="str">
        <f>IFERROR(__xludf.DUMMYFUNCTION("""COMPUTED_VALUE"""),"Produktivitas Jenjang 5")</f>
        <v>Produktivitas Jenjang 5</v>
      </c>
      <c r="C1447" s="36"/>
      <c r="D1447" s="36"/>
      <c r="E1447" s="36"/>
      <c r="F1447" s="36" t="str">
        <f>IFERROR(__xludf.DUMMYFUNCTION("""COMPUTED_VALUE"""),"AGUSTINA HERONIA WAIRISAL")</f>
        <v>AGUSTINA HERONIA WAIRISAL</v>
      </c>
      <c r="G1447" s="36" t="str">
        <f>IFERROR(__xludf.DUMMYFUNCTION("""COMPUTED_VALUE"""),"9271094112730001")</f>
        <v>9271094112730001</v>
      </c>
      <c r="H1447" s="36"/>
      <c r="I1447" s="36"/>
      <c r="J1447" s="36" t="str">
        <f>IFERROR(__xludf.DUMMYFUNCTION("""COMPUTED_VALUE"""),"PEREMPUAN")</f>
        <v>PEREMPUAN</v>
      </c>
      <c r="K1447" s="36" t="str">
        <f>IFERROR(__xludf.DUMMYFUNCTION("""COMPUTED_VALUE"""),"Jl. Kenanga, RT 002/RW 008, Kel. Klawalu, Kec. Sorong Timur, Kota Sorong")</f>
        <v>Jl. Kenanga, RT 002/RW 008, Kel. Klawalu, Kec. Sorong Timur, Kota Sorong</v>
      </c>
      <c r="L1447" s="36"/>
      <c r="M1447" s="36"/>
      <c r="N1447" s="36"/>
      <c r="O1447" s="36"/>
      <c r="P1447" s="36"/>
      <c r="Q1447" s="36"/>
      <c r="R1447" s="36" t="str">
        <f>IFERROR(__xludf.DUMMYFUNCTION("""COMPUTED_VALUE"""),"BK")</f>
        <v>BK</v>
      </c>
      <c r="S1447" s="39"/>
    </row>
    <row r="1448">
      <c r="B1448" s="36" t="str">
        <f>IFERROR(__xludf.DUMMYFUNCTION("""COMPUTED_VALUE"""),"Produktivitas Jenjang 5")</f>
        <v>Produktivitas Jenjang 5</v>
      </c>
      <c r="C1448" s="36"/>
      <c r="D1448" s="36"/>
      <c r="E1448" s="36"/>
      <c r="F1448" s="36" t="str">
        <f>IFERROR(__xludf.DUMMYFUNCTION("""COMPUTED_VALUE"""),"DANIEL NELSON TARASSENG")</f>
        <v>DANIEL NELSON TARASSENG</v>
      </c>
      <c r="G1448" s="36" t="str">
        <f>IFERROR(__xludf.DUMMYFUNCTION("""COMPUTED_VALUE"""),"9271021211050004")</f>
        <v>9271021211050004</v>
      </c>
      <c r="H1448" s="36"/>
      <c r="I1448" s="36"/>
      <c r="J1448" s="36" t="str">
        <f>IFERROR(__xludf.DUMMYFUNCTION("""COMPUTED_VALUE"""),"LAKI-LAKI")</f>
        <v>LAKI-LAKI</v>
      </c>
      <c r="K1448" s="36" t="str">
        <f>IFERROR(__xludf.DUMMYFUNCTION("""COMPUTED_VALUE"""),"Jl. Selat Obi BTN, RT 003/RW 001, Kel. Kladufu, Kec. Sorong Timur, Kota Sorong")</f>
        <v>Jl. Selat Obi BTN, RT 003/RW 001, Kel. Kladufu, Kec. Sorong Timur, Kota Sorong</v>
      </c>
      <c r="L1448" s="36"/>
      <c r="M1448" s="36"/>
      <c r="N1448" s="36"/>
      <c r="O1448" s="36"/>
      <c r="P1448" s="36"/>
      <c r="Q1448" s="36"/>
      <c r="R1448" s="36" t="str">
        <f>IFERROR(__xludf.DUMMYFUNCTION("""COMPUTED_VALUE"""),"BK")</f>
        <v>BK</v>
      </c>
      <c r="S1448" s="39"/>
    </row>
    <row r="1449">
      <c r="B1449" s="36" t="str">
        <f>IFERROR(__xludf.DUMMYFUNCTION("""COMPUTED_VALUE"""),"Produktivitas Jenjang 5")</f>
        <v>Produktivitas Jenjang 5</v>
      </c>
      <c r="C1449" s="36"/>
      <c r="D1449" s="36"/>
      <c r="E1449" s="36"/>
      <c r="F1449" s="36" t="str">
        <f>IFERROR(__xludf.DUMMYFUNCTION("""COMPUTED_VALUE"""),"DENI SETIAWAN")</f>
        <v>DENI SETIAWAN</v>
      </c>
      <c r="G1449" s="36" t="str">
        <f>IFERROR(__xludf.DUMMYFUNCTION("""COMPUTED_VALUE"""),"9271052312050004")</f>
        <v>9271052312050004</v>
      </c>
      <c r="H1449" s="36"/>
      <c r="I1449" s="36"/>
      <c r="J1449" s="36" t="str">
        <f>IFERROR(__xludf.DUMMYFUNCTION("""COMPUTED_VALUE"""),"LAKI-LAKI")</f>
        <v>LAKI-LAKI</v>
      </c>
      <c r="K1449" s="36" t="str">
        <f>IFERROR(__xludf.DUMMYFUNCTION("""COMPUTED_VALUE"""),"Jl. F. Kalasuat, RT 001/RW 002, Kel. Malanu, Kec. Sorong Utara, Kota Sorong")</f>
        <v>Jl. F. Kalasuat, RT 001/RW 002, Kel. Malanu, Kec. Sorong Utara, Kota Sorong</v>
      </c>
      <c r="L1449" s="36"/>
      <c r="M1449" s="36"/>
      <c r="N1449" s="36"/>
      <c r="O1449" s="36"/>
      <c r="P1449" s="36"/>
      <c r="Q1449" s="36"/>
      <c r="R1449" s="36" t="str">
        <f>IFERROR(__xludf.DUMMYFUNCTION("""COMPUTED_VALUE"""),"BK")</f>
        <v>BK</v>
      </c>
      <c r="S1449" s="39"/>
    </row>
    <row r="1450">
      <c r="B1450" s="36" t="str">
        <f>IFERROR(__xludf.DUMMYFUNCTION("""COMPUTED_VALUE"""),"Produktivitas Jenjang 5")</f>
        <v>Produktivitas Jenjang 5</v>
      </c>
      <c r="C1450" s="36"/>
      <c r="D1450" s="36"/>
      <c r="E1450" s="36"/>
      <c r="F1450" s="36" t="str">
        <f>IFERROR(__xludf.DUMMYFUNCTION("""COMPUTED_VALUE"""),"JASMAWATI")</f>
        <v>JASMAWATI</v>
      </c>
      <c r="G1450" s="36" t="str">
        <f>IFERROR(__xludf.DUMMYFUNCTION("""COMPUTED_VALUE"""),"9201136606860001")</f>
        <v>9201136606860001</v>
      </c>
      <c r="H1450" s="36"/>
      <c r="I1450" s="36"/>
      <c r="J1450" s="36" t="str">
        <f>IFERROR(__xludf.DUMMYFUNCTION("""COMPUTED_VALUE"""),"PEREMPUAN")</f>
        <v>PEREMPUAN</v>
      </c>
      <c r="K1450" s="36" t="str">
        <f>IFERROR(__xludf.DUMMYFUNCTION("""COMPUTED_VALUE"""),"Jl. A. Yani, RT 003/RW 005, Kel. Makbusun, Kec. Mayamuk, Kab. Sorong")</f>
        <v>Jl. A. Yani, RT 003/RW 005, Kel. Makbusun, Kec. Mayamuk, Kab. Sorong</v>
      </c>
      <c r="L1450" s="36"/>
      <c r="M1450" s="36"/>
      <c r="N1450" s="36"/>
      <c r="O1450" s="36"/>
      <c r="P1450" s="36"/>
      <c r="Q1450" s="36"/>
      <c r="R1450" s="36" t="str">
        <f>IFERROR(__xludf.DUMMYFUNCTION("""COMPUTED_VALUE"""),"BK")</f>
        <v>BK</v>
      </c>
      <c r="S1450" s="39"/>
    </row>
    <row r="1451">
      <c r="B1451" s="36" t="str">
        <f>IFERROR(__xludf.DUMMYFUNCTION("""COMPUTED_VALUE"""),"Produktivitas Jenjang 5")</f>
        <v>Produktivitas Jenjang 5</v>
      </c>
      <c r="C1451" s="36"/>
      <c r="D1451" s="36"/>
      <c r="E1451" s="36"/>
      <c r="F1451" s="36" t="str">
        <f>IFERROR(__xludf.DUMMYFUNCTION("""COMPUTED_VALUE"""),"JEHUDA RIVALDO RONSUMBRE")</f>
        <v>JEHUDA RIVALDO RONSUMBRE</v>
      </c>
      <c r="G1451" s="36" t="str">
        <f>IFERROR(__xludf.DUMMYFUNCTION("""COMPUTED_VALUE"""),"9271012606020005")</f>
        <v>9271012606020005</v>
      </c>
      <c r="H1451" s="36"/>
      <c r="I1451" s="36"/>
      <c r="J1451" s="36" t="str">
        <f>IFERROR(__xludf.DUMMYFUNCTION("""COMPUTED_VALUE"""),"LAKI-LAKI")</f>
        <v>LAKI-LAKI</v>
      </c>
      <c r="K1451" s="36" t="str">
        <f>IFERROR(__xludf.DUMMYFUNCTION("""COMPUTED_VALUE"""),"Jl. Sultan Hasanudin, RT 002/RW 003, Kel. Klaligi, Kec. Sorong Manoi, Kota Sorong")</f>
        <v>Jl. Sultan Hasanudin, RT 002/RW 003, Kel. Klaligi, Kec. Sorong Manoi, Kota Sorong</v>
      </c>
      <c r="L1451" s="36"/>
      <c r="M1451" s="36"/>
      <c r="N1451" s="36"/>
      <c r="O1451" s="36"/>
      <c r="P1451" s="36"/>
      <c r="Q1451" s="36"/>
      <c r="R1451" s="36" t="str">
        <f>IFERROR(__xludf.DUMMYFUNCTION("""COMPUTED_VALUE"""),"BK")</f>
        <v>BK</v>
      </c>
      <c r="S1451" s="39"/>
    </row>
    <row r="1452">
      <c r="B1452" s="36" t="str">
        <f>IFERROR(__xludf.DUMMYFUNCTION("""COMPUTED_VALUE"""),"Produktivitas Jenjang 5")</f>
        <v>Produktivitas Jenjang 5</v>
      </c>
      <c r="C1452" s="36"/>
      <c r="D1452" s="36"/>
      <c r="E1452" s="36"/>
      <c r="F1452" s="36" t="str">
        <f>IFERROR(__xludf.DUMMYFUNCTION("""COMPUTED_VALUE"""),"JIREH ADIEL RAWAR")</f>
        <v>JIREH ADIEL RAWAR</v>
      </c>
      <c r="G1452" s="36" t="str">
        <f>IFERROR(__xludf.DUMMYFUNCTION("""COMPUTED_VALUE"""),"9271010711020004")</f>
        <v>9271010711020004</v>
      </c>
      <c r="H1452" s="36"/>
      <c r="I1452" s="36"/>
      <c r="J1452" s="36" t="str">
        <f>IFERROR(__xludf.DUMMYFUNCTION("""COMPUTED_VALUE"""),"LAKI-LAKI")</f>
        <v>LAKI-LAKI</v>
      </c>
      <c r="K1452" s="36" t="str">
        <f>IFERROR(__xludf.DUMMYFUNCTION("""COMPUTED_VALUE"""),"Jl. Bukit Baru, RT 001/RW 001, Kel. Klakublik, Kec. Sorong Kota, Kota Sorong")</f>
        <v>Jl. Bukit Baru, RT 001/RW 001, Kel. Klakublik, Kec. Sorong Kota, Kota Sorong</v>
      </c>
      <c r="L1452" s="36"/>
      <c r="M1452" s="36"/>
      <c r="N1452" s="36"/>
      <c r="O1452" s="36"/>
      <c r="P1452" s="36"/>
      <c r="Q1452" s="36"/>
      <c r="R1452" s="36" t="str">
        <f>IFERROR(__xludf.DUMMYFUNCTION("""COMPUTED_VALUE"""),"BK")</f>
        <v>BK</v>
      </c>
      <c r="S1452" s="39"/>
    </row>
    <row r="1453">
      <c r="B1453" s="36" t="str">
        <f>IFERROR(__xludf.DUMMYFUNCTION("""COMPUTED_VALUE"""),"Produktivitas Jenjang 5")</f>
        <v>Produktivitas Jenjang 5</v>
      </c>
      <c r="C1453" s="36"/>
      <c r="D1453" s="36"/>
      <c r="E1453" s="36"/>
      <c r="F1453" s="36" t="str">
        <f>IFERROR(__xludf.DUMMYFUNCTION("""COMPUTED_VALUE"""),"LUKAS MOFU")</f>
        <v>LUKAS MOFU</v>
      </c>
      <c r="G1453" s="36" t="str">
        <f>IFERROR(__xludf.DUMMYFUNCTION("""COMPUTED_VALUE"""),"9271010711990004")</f>
        <v>9271010711990004</v>
      </c>
      <c r="H1453" s="36"/>
      <c r="I1453" s="36"/>
      <c r="J1453" s="36" t="str">
        <f>IFERROR(__xludf.DUMMYFUNCTION("""COMPUTED_VALUE"""),"LAKI-LAKI")</f>
        <v>LAKI-LAKI</v>
      </c>
      <c r="K1453" s="36" t="str">
        <f>IFERROR(__xludf.DUMMYFUNCTION("""COMPUTED_VALUE"""),"Jl. Sultan Hasanudin, RT 003/RW 003, Kel. Klaligi, Kec. Sorong Manoi, Kota Sorong")</f>
        <v>Jl. Sultan Hasanudin, RT 003/RW 003, Kel. Klaligi, Kec. Sorong Manoi, Kota Sorong</v>
      </c>
      <c r="L1453" s="36"/>
      <c r="M1453" s="36"/>
      <c r="N1453" s="36"/>
      <c r="O1453" s="36"/>
      <c r="P1453" s="36"/>
      <c r="Q1453" s="36"/>
      <c r="R1453" s="36" t="str">
        <f>IFERROR(__xludf.DUMMYFUNCTION("""COMPUTED_VALUE"""),"BK")</f>
        <v>BK</v>
      </c>
      <c r="S1453" s="39"/>
    </row>
    <row r="1454">
      <c r="B1454" s="36" t="str">
        <f>IFERROR(__xludf.DUMMYFUNCTION("""COMPUTED_VALUE"""),"Produktivitas Jenjang 5")</f>
        <v>Produktivitas Jenjang 5</v>
      </c>
      <c r="C1454" s="36"/>
      <c r="D1454" s="36"/>
      <c r="E1454" s="36"/>
      <c r="F1454" s="36" t="str">
        <f>IFERROR(__xludf.DUMMYFUNCTION("""COMPUTED_VALUE"""),"MAR AISA TAMALA")</f>
        <v>MAR AISA TAMALA</v>
      </c>
      <c r="G1454" s="36" t="str">
        <f>IFERROR(__xludf.DUMMYFUNCTION("""COMPUTED_VALUE"""),"9201136208060001")</f>
        <v>9201136208060001</v>
      </c>
      <c r="H1454" s="36"/>
      <c r="I1454" s="36"/>
      <c r="J1454" s="36" t="str">
        <f>IFERROR(__xludf.DUMMYFUNCTION("""COMPUTED_VALUE"""),"PEREMPUAN")</f>
        <v>PEREMPUAN</v>
      </c>
      <c r="K1454" s="36" t="str">
        <f>IFERROR(__xludf.DUMMYFUNCTION("""COMPUTED_VALUE"""),"Jl. Warmasen Km. 13 KPR Sakinah 2 Blok E No. 3, RT 004/RW 005, Kel. Klamana, Kec. Sorong Timur, Kota Sorong")</f>
        <v>Jl. Warmasen Km. 13 KPR Sakinah 2 Blok E No. 3, RT 004/RW 005, Kel. Klamana, Kec. Sorong Timur, Kota Sorong</v>
      </c>
      <c r="L1454" s="36"/>
      <c r="M1454" s="36"/>
      <c r="N1454" s="36"/>
      <c r="O1454" s="36"/>
      <c r="P1454" s="36"/>
      <c r="Q1454" s="36"/>
      <c r="R1454" s="36" t="str">
        <f>IFERROR(__xludf.DUMMYFUNCTION("""COMPUTED_VALUE"""),"BK")</f>
        <v>BK</v>
      </c>
      <c r="S1454" s="39"/>
    </row>
    <row r="1455">
      <c r="B1455" s="36" t="str">
        <f>IFERROR(__xludf.DUMMYFUNCTION("""COMPUTED_VALUE"""),"Produktivitas Jenjang 5")</f>
        <v>Produktivitas Jenjang 5</v>
      </c>
      <c r="C1455" s="36"/>
      <c r="D1455" s="36"/>
      <c r="E1455" s="36"/>
      <c r="F1455" s="36" t="str">
        <f>IFERROR(__xludf.DUMMYFUNCTION("""COMPUTED_VALUE"""),"MELNIS KARTONO UNMEHOPA")</f>
        <v>MELNIS KARTONO UNMEHOPA</v>
      </c>
      <c r="G1455" s="36" t="str">
        <f>IFERROR(__xludf.DUMMYFUNCTION("""COMPUTED_VALUE"""),"8171012104930001")</f>
        <v>8171012104930001</v>
      </c>
      <c r="H1455" s="36"/>
      <c r="I1455" s="36"/>
      <c r="J1455" s="36" t="str">
        <f>IFERROR(__xludf.DUMMYFUNCTION("""COMPUTED_VALUE"""),"LAKI-LAKI")</f>
        <v>LAKI-LAKI</v>
      </c>
      <c r="K1455" s="36" t="str">
        <f>IFERROR(__xludf.DUMMYFUNCTION("""COMPUTED_VALUE"""),"KPR Handayani Blok A/13 Km 10, RT 004/RW 001, Kel. Sawagumu, Kec. Sorong Utara, Kota Sorong")</f>
        <v>KPR Handayani Blok A/13 Km 10, RT 004/RW 001, Kel. Sawagumu, Kec. Sorong Utara, Kota Sorong</v>
      </c>
      <c r="L1455" s="36"/>
      <c r="M1455" s="36"/>
      <c r="N1455" s="36"/>
      <c r="O1455" s="36"/>
      <c r="P1455" s="36"/>
      <c r="Q1455" s="36"/>
      <c r="R1455" s="36" t="str">
        <f>IFERROR(__xludf.DUMMYFUNCTION("""COMPUTED_VALUE"""),"BK")</f>
        <v>BK</v>
      </c>
      <c r="S1455" s="39"/>
    </row>
    <row r="1456">
      <c r="B1456" s="36" t="str">
        <f>IFERROR(__xludf.DUMMYFUNCTION("""COMPUTED_VALUE"""),"Produktivitas Jenjang 5")</f>
        <v>Produktivitas Jenjang 5</v>
      </c>
      <c r="C1456" s="36"/>
      <c r="D1456" s="36"/>
      <c r="E1456" s="36"/>
      <c r="F1456" s="36" t="str">
        <f>IFERROR(__xludf.DUMMYFUNCTION("""COMPUTED_VALUE"""),"MUHAMAD Z. JAILANI R.")</f>
        <v>MUHAMAD Z. JAILANI R.</v>
      </c>
      <c r="G1456" s="36" t="str">
        <f>IFERROR(__xludf.DUMMYFUNCTION("""COMPUTED_VALUE"""),"9202011511050001")</f>
        <v>9202011511050001</v>
      </c>
      <c r="H1456" s="36"/>
      <c r="I1456" s="36"/>
      <c r="J1456" s="36" t="str">
        <f>IFERROR(__xludf.DUMMYFUNCTION("""COMPUTED_VALUE"""),"LAKI-LAKI")</f>
        <v>LAKI-LAKI</v>
      </c>
      <c r="K1456" s="36" t="str">
        <f>IFERROR(__xludf.DUMMYFUNCTION("""COMPUTED_VALUE"""),"Jl. Warmasen, RT 004/RW 005, Kel. Klamana, Kec. Sorong Timur, Kota Sorong")</f>
        <v>Jl. Warmasen, RT 004/RW 005, Kel. Klamana, Kec. Sorong Timur, Kota Sorong</v>
      </c>
      <c r="L1456" s="36"/>
      <c r="M1456" s="36"/>
      <c r="N1456" s="36"/>
      <c r="O1456" s="36"/>
      <c r="P1456" s="36"/>
      <c r="Q1456" s="36"/>
      <c r="R1456" s="36" t="str">
        <f>IFERROR(__xludf.DUMMYFUNCTION("""COMPUTED_VALUE"""),"BK")</f>
        <v>BK</v>
      </c>
      <c r="S1456" s="39"/>
    </row>
    <row r="1457">
      <c r="B1457" s="36" t="str">
        <f>IFERROR(__xludf.DUMMYFUNCTION("""COMPUTED_VALUE"""),"Produktivitas Jenjang 5")</f>
        <v>Produktivitas Jenjang 5</v>
      </c>
      <c r="C1457" s="36"/>
      <c r="D1457" s="36"/>
      <c r="E1457" s="36"/>
      <c r="F1457" s="36" t="str">
        <f>IFERROR(__xludf.DUMMYFUNCTION("""COMPUTED_VALUE"""),"MUHAMMAD RADITTYA ALTAQIANNSYAH")</f>
        <v>MUHAMMAD RADITTYA ALTAQIANNSYAH</v>
      </c>
      <c r="G1457" s="36" t="str">
        <f>IFERROR(__xludf.DUMMYFUNCTION("""COMPUTED_VALUE"""),"9271052003040004")</f>
        <v>9271052003040004</v>
      </c>
      <c r="H1457" s="36"/>
      <c r="I1457" s="36"/>
      <c r="J1457" s="36" t="str">
        <f>IFERROR(__xludf.DUMMYFUNCTION("""COMPUTED_VALUE"""),"LAKI-LAKI")</f>
        <v>LAKI-LAKI</v>
      </c>
      <c r="K1457" s="36" t="str">
        <f>IFERROR(__xludf.DUMMYFUNCTION("""COMPUTED_VALUE"""),"Jl. Pendidikan No. 45 GG. 2B, RT 002/RW 006, Kel. Klabulu, Malaimsimsa, Kota Sorong")</f>
        <v>Jl. Pendidikan No. 45 GG. 2B, RT 002/RW 006, Kel. Klabulu, Malaimsimsa, Kota Sorong</v>
      </c>
      <c r="L1457" s="36"/>
      <c r="M1457" s="36"/>
      <c r="N1457" s="36"/>
      <c r="O1457" s="36"/>
      <c r="P1457" s="36"/>
      <c r="Q1457" s="36"/>
      <c r="R1457" s="36" t="str">
        <f>IFERROR(__xludf.DUMMYFUNCTION("""COMPUTED_VALUE"""),"BK")</f>
        <v>BK</v>
      </c>
      <c r="S1457" s="39"/>
    </row>
    <row r="1458">
      <c r="B1458" s="36" t="str">
        <f>IFERROR(__xludf.DUMMYFUNCTION("""COMPUTED_VALUE"""),"Produktivitas Jenjang 5")</f>
        <v>Produktivitas Jenjang 5</v>
      </c>
      <c r="C1458" s="36"/>
      <c r="D1458" s="36"/>
      <c r="E1458" s="36"/>
      <c r="F1458" s="36" t="str">
        <f>IFERROR(__xludf.DUMMYFUNCTION("""COMPUTED_VALUE"""),"OKTOFIANUS KOTALAHA")</f>
        <v>OKTOFIANUS KOTALAHA</v>
      </c>
      <c r="G1458" s="36" t="str">
        <f>IFERROR(__xludf.DUMMYFUNCTION("""COMPUTED_VALUE"""),"9271030810830004")</f>
        <v>9271030810830004</v>
      </c>
      <c r="H1458" s="36"/>
      <c r="I1458" s="36"/>
      <c r="J1458" s="36" t="str">
        <f>IFERROR(__xludf.DUMMYFUNCTION("""COMPUTED_VALUE"""),"LAKI-LAKI")</f>
        <v>LAKI-LAKI</v>
      </c>
      <c r="K1458" s="36" t="str">
        <f>IFERROR(__xludf.DUMMYFUNCTION("""COMPUTED_VALUE"""),"Jl. Soka, RT 002/RW 001, Kel. Warmon, Kec. Aimas, Kab. Sorong")</f>
        <v>Jl. Soka, RT 002/RW 001, Kel. Warmon, Kec. Aimas, Kab. Sorong</v>
      </c>
      <c r="L1458" s="36"/>
      <c r="M1458" s="36"/>
      <c r="N1458" s="36"/>
      <c r="O1458" s="36"/>
      <c r="P1458" s="36"/>
      <c r="Q1458" s="36"/>
      <c r="R1458" s="36" t="str">
        <f>IFERROR(__xludf.DUMMYFUNCTION("""COMPUTED_VALUE"""),"BK")</f>
        <v>BK</v>
      </c>
      <c r="S1458" s="39"/>
    </row>
    <row r="1459">
      <c r="B1459" s="36"/>
      <c r="C1459" s="36"/>
      <c r="D1459" s="36"/>
      <c r="E1459" s="36"/>
      <c r="F1459" s="36" t="str">
        <f>IFERROR(__xludf.DUMMYFUNCTION("""COMPUTED_VALUE"""),"PUTRA WAHYUDIN SARASA WAIROY, S.IP.")</f>
        <v>PUTRA WAHYUDIN SARASA WAIROY, S.IP.</v>
      </c>
      <c r="G1459" s="36" t="str">
        <f>IFERROR(__xludf.DUMMYFUNCTION("""COMPUTED_VALUE"""),"9271053005990001")</f>
        <v>9271053005990001</v>
      </c>
      <c r="H1459" s="36"/>
      <c r="I1459" s="36"/>
      <c r="J1459" s="36" t="str">
        <f>IFERROR(__xludf.DUMMYFUNCTION("""COMPUTED_VALUE"""),"LAKI-LAKI")</f>
        <v>LAKI-LAKI</v>
      </c>
      <c r="K1459" s="36" t="str">
        <f>IFERROR(__xludf.DUMMYFUNCTION("""COMPUTED_VALUE"""),"Jl. S. Mamberamo, RT 001/RW 002, Kel. Matalamagi, Kec. Sorong Utara, Kota Sorong")</f>
        <v>Jl. S. Mamberamo, RT 001/RW 002, Kel. Matalamagi, Kec. Sorong Utara, Kota Sorong</v>
      </c>
      <c r="L1459" s="36"/>
      <c r="M1459" s="36"/>
      <c r="N1459" s="36"/>
      <c r="O1459" s="36"/>
      <c r="P1459" s="36"/>
      <c r="Q1459" s="36"/>
      <c r="R1459" s="36"/>
      <c r="S1459" s="39"/>
    </row>
    <row r="1460">
      <c r="B1460" s="36"/>
      <c r="C1460" s="36"/>
      <c r="D1460" s="36"/>
      <c r="E1460" s="36"/>
      <c r="F1460" s="36" t="str">
        <f>IFERROR(__xludf.DUMMYFUNCTION("""COMPUTED_VALUE"""),"STENLY A PAA")</f>
        <v>STENLY A PAA</v>
      </c>
      <c r="G1460" s="36" t="str">
        <f>IFERROR(__xludf.DUMMYFUNCTION("""COMPUTED_VALUE"""),"9271032408020003")</f>
        <v>9271032408020003</v>
      </c>
      <c r="H1460" s="36"/>
      <c r="I1460" s="36"/>
      <c r="J1460" s="36" t="str">
        <f>IFERROR(__xludf.DUMMYFUNCTION("""COMPUTED_VALUE"""),"LAKI-LAKI")</f>
        <v>LAKI-LAKI</v>
      </c>
      <c r="K1460" s="36" t="str">
        <f>IFERROR(__xludf.DUMMYFUNCTION("""COMPUTED_VALUE"""),"Jl. K. Patimura, RT 001/RW 002, Kel. Suprau, Kec. Maladum Mes, Kota Sorong")</f>
        <v>Jl. K. Patimura, RT 001/RW 002, Kel. Suprau, Kec. Maladum Mes, Kota Sorong</v>
      </c>
      <c r="L1460" s="36"/>
      <c r="M1460" s="36"/>
      <c r="N1460" s="36"/>
      <c r="O1460" s="36"/>
      <c r="P1460" s="36"/>
      <c r="Q1460" s="36"/>
      <c r="R1460" s="36"/>
      <c r="S1460" s="39"/>
    </row>
    <row r="1461">
      <c r="B1461" s="36"/>
      <c r="C1461" s="36"/>
      <c r="D1461" s="36"/>
      <c r="E1461" s="36"/>
      <c r="F1461" s="36"/>
      <c r="G1461" s="36"/>
      <c r="H1461" s="36"/>
      <c r="I1461" s="36"/>
      <c r="J1461" s="36"/>
      <c r="K1461" s="36"/>
      <c r="L1461" s="36"/>
      <c r="M1461" s="36"/>
      <c r="N1461" s="36"/>
      <c r="O1461" s="36"/>
      <c r="P1461" s="36"/>
      <c r="Q1461" s="36"/>
      <c r="R1461" s="36"/>
      <c r="S1461" s="39"/>
    </row>
    <row r="1462">
      <c r="B1462" s="36"/>
      <c r="C1462" s="36"/>
      <c r="D1462" s="36"/>
      <c r="E1462" s="36"/>
      <c r="F1462" s="36"/>
      <c r="G1462" s="36"/>
      <c r="H1462" s="36"/>
      <c r="I1462" s="36"/>
      <c r="J1462" s="36"/>
      <c r="K1462" s="36"/>
      <c r="L1462" s="36"/>
      <c r="M1462" s="36"/>
      <c r="N1462" s="36"/>
      <c r="O1462" s="36"/>
      <c r="P1462" s="36"/>
      <c r="Q1462" s="36"/>
      <c r="R1462" s="36"/>
      <c r="S1462" s="39"/>
    </row>
    <row r="1463">
      <c r="B1463" s="36"/>
      <c r="C1463" s="36"/>
      <c r="D1463" s="36"/>
      <c r="E1463" s="36"/>
      <c r="F1463" s="36"/>
      <c r="G1463" s="36"/>
      <c r="H1463" s="36"/>
      <c r="I1463" s="36"/>
      <c r="J1463" s="36"/>
      <c r="K1463" s="36"/>
      <c r="L1463" s="36"/>
      <c r="M1463" s="36"/>
      <c r="N1463" s="36"/>
      <c r="O1463" s="36"/>
      <c r="P1463" s="36"/>
      <c r="Q1463" s="36"/>
      <c r="R1463" s="36"/>
      <c r="S1463" s="39"/>
    </row>
    <row r="1464">
      <c r="B1464" s="36"/>
      <c r="C1464" s="36"/>
      <c r="D1464" s="36"/>
      <c r="E1464" s="36"/>
      <c r="F1464" s="36"/>
      <c r="G1464" s="36"/>
      <c r="H1464" s="36"/>
      <c r="I1464" s="36"/>
      <c r="J1464" s="36"/>
      <c r="K1464" s="36"/>
      <c r="L1464" s="36"/>
      <c r="M1464" s="36"/>
      <c r="N1464" s="36"/>
      <c r="O1464" s="36"/>
      <c r="P1464" s="36"/>
      <c r="Q1464" s="36"/>
      <c r="R1464" s="36"/>
      <c r="S1464" s="39"/>
    </row>
    <row r="1465">
      <c r="B1465" s="36"/>
      <c r="C1465" s="36"/>
      <c r="D1465" s="36"/>
      <c r="E1465" s="36"/>
      <c r="F1465" s="36"/>
      <c r="G1465" s="36"/>
      <c r="H1465" s="36"/>
      <c r="I1465" s="36"/>
      <c r="J1465" s="36"/>
      <c r="K1465" s="36"/>
      <c r="L1465" s="36"/>
      <c r="M1465" s="36"/>
      <c r="N1465" s="36"/>
      <c r="O1465" s="36"/>
      <c r="P1465" s="36"/>
      <c r="Q1465" s="36"/>
      <c r="R1465" s="36"/>
      <c r="S1465" s="39"/>
    </row>
    <row r="1466">
      <c r="B1466" s="36"/>
      <c r="C1466" s="36"/>
      <c r="D1466" s="36"/>
      <c r="E1466" s="36"/>
      <c r="F1466" s="36"/>
      <c r="G1466" s="36"/>
      <c r="H1466" s="36"/>
      <c r="I1466" s="36"/>
      <c r="J1466" s="36"/>
      <c r="K1466" s="36"/>
      <c r="L1466" s="36"/>
      <c r="M1466" s="36"/>
      <c r="N1466" s="36"/>
      <c r="O1466" s="36"/>
      <c r="P1466" s="36"/>
      <c r="Q1466" s="36"/>
      <c r="R1466" s="36"/>
      <c r="S1466" s="39"/>
    </row>
    <row r="1467">
      <c r="B1467" s="36"/>
      <c r="C1467" s="36"/>
      <c r="D1467" s="36"/>
      <c r="E1467" s="36"/>
      <c r="F1467" s="36"/>
      <c r="G1467" s="36"/>
      <c r="H1467" s="36"/>
      <c r="I1467" s="36"/>
      <c r="J1467" s="36"/>
      <c r="K1467" s="36"/>
      <c r="L1467" s="36"/>
      <c r="M1467" s="36"/>
      <c r="N1467" s="36"/>
      <c r="O1467" s="36"/>
      <c r="P1467" s="36"/>
      <c r="Q1467" s="36"/>
      <c r="R1467" s="36"/>
      <c r="S1467" s="39"/>
    </row>
    <row r="1468">
      <c r="B1468" s="36"/>
      <c r="C1468" s="36"/>
      <c r="D1468" s="36"/>
      <c r="E1468" s="36"/>
      <c r="F1468" s="36"/>
      <c r="G1468" s="36"/>
      <c r="H1468" s="36"/>
      <c r="I1468" s="36"/>
      <c r="J1468" s="36"/>
      <c r="K1468" s="36"/>
      <c r="L1468" s="36"/>
      <c r="M1468" s="36"/>
      <c r="N1468" s="36"/>
      <c r="O1468" s="36"/>
      <c r="P1468" s="36"/>
      <c r="Q1468" s="36"/>
      <c r="R1468" s="36"/>
      <c r="S1468" s="39"/>
    </row>
    <row r="1469">
      <c r="B1469" s="36"/>
      <c r="C1469" s="36"/>
      <c r="D1469" s="36"/>
      <c r="E1469" s="36"/>
      <c r="F1469" s="36"/>
      <c r="G1469" s="36"/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  <c r="S1469" s="39"/>
    </row>
    <row r="1470">
      <c r="B1470" s="36"/>
      <c r="C1470" s="36"/>
      <c r="D1470" s="36"/>
      <c r="E1470" s="36"/>
      <c r="F1470" s="36"/>
      <c r="G1470" s="36"/>
      <c r="H1470" s="36"/>
      <c r="I1470" s="36"/>
      <c r="J1470" s="36"/>
      <c r="K1470" s="36"/>
      <c r="L1470" s="36"/>
      <c r="M1470" s="36"/>
      <c r="N1470" s="36"/>
      <c r="O1470" s="36"/>
      <c r="P1470" s="36"/>
      <c r="Q1470" s="36"/>
      <c r="R1470" s="36"/>
      <c r="S1470" s="39"/>
    </row>
    <row r="1471">
      <c r="B1471" s="36"/>
      <c r="C1471" s="36"/>
      <c r="D1471" s="36"/>
      <c r="E1471" s="36"/>
      <c r="F1471" s="36"/>
      <c r="G1471" s="36"/>
      <c r="H1471" s="36"/>
      <c r="I1471" s="36"/>
      <c r="J1471" s="36"/>
      <c r="K1471" s="36"/>
      <c r="L1471" s="36"/>
      <c r="M1471" s="36"/>
      <c r="N1471" s="36"/>
      <c r="O1471" s="36"/>
      <c r="P1471" s="36"/>
      <c r="Q1471" s="36"/>
      <c r="R1471" s="36"/>
      <c r="S1471" s="39"/>
    </row>
    <row r="1472">
      <c r="B1472" s="36"/>
      <c r="C1472" s="36"/>
      <c r="D1472" s="36"/>
      <c r="E1472" s="36"/>
      <c r="F1472" s="36"/>
      <c r="G1472" s="36"/>
      <c r="H1472" s="36"/>
      <c r="I1472" s="36"/>
      <c r="J1472" s="36"/>
      <c r="K1472" s="36"/>
      <c r="L1472" s="36"/>
      <c r="M1472" s="36"/>
      <c r="N1472" s="36"/>
      <c r="O1472" s="36"/>
      <c r="P1472" s="36"/>
      <c r="Q1472" s="36"/>
      <c r="R1472" s="36"/>
      <c r="S1472" s="39"/>
    </row>
    <row r="1473">
      <c r="B1473" s="36"/>
      <c r="C1473" s="36"/>
      <c r="D1473" s="36"/>
      <c r="E1473" s="36"/>
      <c r="F1473" s="36"/>
      <c r="G1473" s="36"/>
      <c r="H1473" s="36"/>
      <c r="I1473" s="36"/>
      <c r="J1473" s="36"/>
      <c r="K1473" s="36"/>
      <c r="L1473" s="36"/>
      <c r="M1473" s="36"/>
      <c r="N1473" s="36"/>
      <c r="O1473" s="36"/>
      <c r="P1473" s="36"/>
      <c r="Q1473" s="36"/>
      <c r="R1473" s="36"/>
      <c r="S1473" s="39"/>
    </row>
    <row r="1474">
      <c r="B1474" s="36"/>
      <c r="C1474" s="36"/>
      <c r="D1474" s="36"/>
      <c r="E1474" s="36"/>
      <c r="F1474" s="36"/>
      <c r="G1474" s="36"/>
      <c r="H1474" s="36"/>
      <c r="I1474" s="36"/>
      <c r="J1474" s="36"/>
      <c r="K1474" s="36"/>
      <c r="L1474" s="36"/>
      <c r="M1474" s="36"/>
      <c r="N1474" s="36"/>
      <c r="O1474" s="36"/>
      <c r="P1474" s="36"/>
      <c r="Q1474" s="36"/>
      <c r="R1474" s="36"/>
      <c r="S1474" s="39"/>
    </row>
    <row r="1475">
      <c r="B1475" s="36"/>
      <c r="C1475" s="36"/>
      <c r="D1475" s="36"/>
      <c r="E1475" s="36"/>
      <c r="F1475" s="36"/>
      <c r="G1475" s="36"/>
      <c r="H1475" s="36"/>
      <c r="I1475" s="36"/>
      <c r="J1475" s="36"/>
      <c r="K1475" s="36"/>
      <c r="L1475" s="36"/>
      <c r="M1475" s="36"/>
      <c r="N1475" s="36"/>
      <c r="O1475" s="36"/>
      <c r="P1475" s="36"/>
      <c r="Q1475" s="36"/>
      <c r="R1475" s="36"/>
      <c r="S1475" s="39"/>
    </row>
    <row r="1476">
      <c r="B1476" s="36"/>
      <c r="C1476" s="36"/>
      <c r="D1476" s="36"/>
      <c r="E1476" s="36"/>
      <c r="F1476" s="36"/>
      <c r="G1476" s="36"/>
      <c r="H1476" s="36"/>
      <c r="I1476" s="36"/>
      <c r="J1476" s="36"/>
      <c r="K1476" s="36"/>
      <c r="L1476" s="36"/>
      <c r="M1476" s="36"/>
      <c r="N1476" s="36"/>
      <c r="O1476" s="36"/>
      <c r="P1476" s="36"/>
      <c r="Q1476" s="36"/>
      <c r="R1476" s="36"/>
      <c r="S1476" s="39"/>
    </row>
    <row r="1477">
      <c r="B1477" s="36"/>
      <c r="C1477" s="36"/>
      <c r="D1477" s="36"/>
      <c r="E1477" s="36"/>
      <c r="F1477" s="36"/>
      <c r="G1477" s="36"/>
      <c r="H1477" s="36"/>
      <c r="I1477" s="36"/>
      <c r="J1477" s="36"/>
      <c r="K1477" s="36"/>
      <c r="L1477" s="36"/>
      <c r="M1477" s="36"/>
      <c r="N1477" s="36"/>
      <c r="O1477" s="36"/>
      <c r="P1477" s="36"/>
      <c r="Q1477" s="36"/>
      <c r="R1477" s="36"/>
      <c r="S1477" s="39"/>
    </row>
    <row r="1478">
      <c r="B1478" s="36"/>
      <c r="C1478" s="36"/>
      <c r="D1478" s="36"/>
      <c r="E1478" s="36"/>
      <c r="F1478" s="36"/>
      <c r="G1478" s="36"/>
      <c r="H1478" s="36"/>
      <c r="I1478" s="36"/>
      <c r="J1478" s="36"/>
      <c r="K1478" s="36"/>
      <c r="L1478" s="36"/>
      <c r="M1478" s="36"/>
      <c r="N1478" s="36"/>
      <c r="O1478" s="36"/>
      <c r="P1478" s="36"/>
      <c r="Q1478" s="36"/>
      <c r="R1478" s="36"/>
      <c r="S1478" s="39"/>
    </row>
    <row r="1479">
      <c r="B1479" s="36"/>
      <c r="C1479" s="36"/>
      <c r="D1479" s="36"/>
      <c r="E1479" s="36"/>
      <c r="F1479" s="36"/>
      <c r="G1479" s="36"/>
      <c r="H1479" s="36"/>
      <c r="I1479" s="36"/>
      <c r="J1479" s="36"/>
      <c r="K1479" s="36"/>
      <c r="L1479" s="36"/>
      <c r="M1479" s="36"/>
      <c r="N1479" s="36"/>
      <c r="O1479" s="36"/>
      <c r="P1479" s="36"/>
      <c r="Q1479" s="36"/>
      <c r="R1479" s="36"/>
      <c r="S1479" s="39"/>
    </row>
    <row r="1480">
      <c r="B1480" s="36"/>
      <c r="C1480" s="36"/>
      <c r="D1480" s="36"/>
      <c r="E1480" s="36"/>
      <c r="F1480" s="36"/>
      <c r="G1480" s="36"/>
      <c r="H1480" s="36"/>
      <c r="I1480" s="36"/>
      <c r="J1480" s="36"/>
      <c r="K1480" s="36"/>
      <c r="L1480" s="36"/>
      <c r="M1480" s="36"/>
      <c r="N1480" s="36"/>
      <c r="O1480" s="36"/>
      <c r="P1480" s="36"/>
      <c r="Q1480" s="36"/>
      <c r="R1480" s="36"/>
      <c r="S1480" s="39"/>
    </row>
    <row r="1481">
      <c r="B1481" s="36"/>
      <c r="C1481" s="36"/>
      <c r="D1481" s="36"/>
      <c r="E1481" s="36"/>
      <c r="F1481" s="36"/>
      <c r="G1481" s="36"/>
      <c r="H1481" s="36"/>
      <c r="I1481" s="36"/>
      <c r="J1481" s="36"/>
      <c r="K1481" s="36"/>
      <c r="L1481" s="36"/>
      <c r="M1481" s="36"/>
      <c r="N1481" s="36"/>
      <c r="O1481" s="36"/>
      <c r="P1481" s="36"/>
      <c r="Q1481" s="36"/>
      <c r="R1481" s="36"/>
      <c r="S1481" s="39"/>
    </row>
    <row r="1482">
      <c r="B1482" s="36"/>
      <c r="C1482" s="36"/>
      <c r="D1482" s="36"/>
      <c r="E1482" s="36"/>
      <c r="F1482" s="36"/>
      <c r="G1482" s="36"/>
      <c r="H1482" s="36"/>
      <c r="I1482" s="36"/>
      <c r="J1482" s="36"/>
      <c r="K1482" s="36"/>
      <c r="L1482" s="36"/>
      <c r="M1482" s="36"/>
      <c r="N1482" s="36"/>
      <c r="O1482" s="36"/>
      <c r="P1482" s="36"/>
      <c r="Q1482" s="36"/>
      <c r="R1482" s="36"/>
      <c r="S1482" s="39"/>
    </row>
    <row r="1483">
      <c r="B1483" s="36"/>
      <c r="C1483" s="36"/>
      <c r="D1483" s="36"/>
      <c r="E1483" s="36"/>
      <c r="F1483" s="36"/>
      <c r="G1483" s="36"/>
      <c r="H1483" s="36"/>
      <c r="I1483" s="36"/>
      <c r="J1483" s="36"/>
      <c r="K1483" s="36"/>
      <c r="L1483" s="36"/>
      <c r="M1483" s="36"/>
      <c r="N1483" s="36"/>
      <c r="O1483" s="36"/>
      <c r="P1483" s="36"/>
      <c r="Q1483" s="36"/>
      <c r="R1483" s="36"/>
      <c r="S1483" s="39"/>
    </row>
    <row r="1484">
      <c r="B1484" s="36"/>
      <c r="C1484" s="36"/>
      <c r="D1484" s="36"/>
      <c r="E1484" s="36"/>
      <c r="F1484" s="36"/>
      <c r="G1484" s="36"/>
      <c r="H1484" s="36"/>
      <c r="I1484" s="36"/>
      <c r="J1484" s="36"/>
      <c r="K1484" s="36"/>
      <c r="L1484" s="36"/>
      <c r="M1484" s="36"/>
      <c r="N1484" s="36"/>
      <c r="O1484" s="36"/>
      <c r="P1484" s="36"/>
      <c r="Q1484" s="36"/>
      <c r="R1484" s="36"/>
      <c r="S1484" s="39"/>
    </row>
    <row r="1485">
      <c r="B1485" s="36"/>
      <c r="C1485" s="36"/>
      <c r="D1485" s="36"/>
      <c r="E1485" s="36"/>
      <c r="F1485" s="36"/>
      <c r="G1485" s="36"/>
      <c r="H1485" s="36"/>
      <c r="I1485" s="36"/>
      <c r="J1485" s="36"/>
      <c r="K1485" s="36"/>
      <c r="L1485" s="36"/>
      <c r="M1485" s="36"/>
      <c r="N1485" s="36"/>
      <c r="O1485" s="36"/>
      <c r="P1485" s="36"/>
      <c r="Q1485" s="36"/>
      <c r="R1485" s="36"/>
      <c r="S1485" s="39"/>
    </row>
    <row r="1486">
      <c r="B1486" s="36"/>
      <c r="C1486" s="36"/>
      <c r="D1486" s="36"/>
      <c r="E1486" s="36"/>
      <c r="F1486" s="36"/>
      <c r="G1486" s="36"/>
      <c r="H1486" s="36"/>
      <c r="I1486" s="36"/>
      <c r="J1486" s="36"/>
      <c r="K1486" s="36"/>
      <c r="L1486" s="36"/>
      <c r="M1486" s="36"/>
      <c r="N1486" s="36"/>
      <c r="O1486" s="36"/>
      <c r="P1486" s="36"/>
      <c r="Q1486" s="36"/>
      <c r="R1486" s="36"/>
      <c r="S1486" s="39"/>
    </row>
    <row r="1487">
      <c r="B1487" s="36"/>
      <c r="C1487" s="36"/>
      <c r="D1487" s="36"/>
      <c r="E1487" s="36"/>
      <c r="F1487" s="36"/>
      <c r="G1487" s="36"/>
      <c r="H1487" s="36"/>
      <c r="I1487" s="36"/>
      <c r="J1487" s="36"/>
      <c r="K1487" s="36"/>
      <c r="L1487" s="36"/>
      <c r="M1487" s="36"/>
      <c r="N1487" s="36"/>
      <c r="O1487" s="36"/>
      <c r="P1487" s="36"/>
      <c r="Q1487" s="36"/>
      <c r="R1487" s="36"/>
      <c r="S1487" s="39"/>
    </row>
    <row r="1488">
      <c r="B1488" s="36"/>
      <c r="C1488" s="36"/>
      <c r="D1488" s="36"/>
      <c r="E1488" s="36"/>
      <c r="F1488" s="36"/>
      <c r="G1488" s="36"/>
      <c r="H1488" s="36"/>
      <c r="I1488" s="36"/>
      <c r="J1488" s="36"/>
      <c r="K1488" s="36"/>
      <c r="L1488" s="36"/>
      <c r="M1488" s="36"/>
      <c r="N1488" s="36"/>
      <c r="O1488" s="36"/>
      <c r="P1488" s="36"/>
      <c r="Q1488" s="36"/>
      <c r="R1488" s="36"/>
      <c r="S1488" s="39"/>
    </row>
    <row r="1489">
      <c r="B1489" s="36"/>
      <c r="C1489" s="36"/>
      <c r="D1489" s="36"/>
      <c r="E1489" s="36"/>
      <c r="F1489" s="36"/>
      <c r="G1489" s="36"/>
      <c r="H1489" s="36"/>
      <c r="I1489" s="36"/>
      <c r="J1489" s="36"/>
      <c r="K1489" s="36"/>
      <c r="L1489" s="36"/>
      <c r="M1489" s="36"/>
      <c r="N1489" s="36"/>
      <c r="O1489" s="36"/>
      <c r="P1489" s="36"/>
      <c r="Q1489" s="36"/>
      <c r="R1489" s="36"/>
      <c r="S1489" s="39"/>
    </row>
    <row r="1490">
      <c r="B1490" s="36"/>
      <c r="C1490" s="36"/>
      <c r="D1490" s="36"/>
      <c r="E1490" s="36"/>
      <c r="F1490" s="36"/>
      <c r="G1490" s="36"/>
      <c r="H1490" s="36"/>
      <c r="I1490" s="36"/>
      <c r="J1490" s="36"/>
      <c r="K1490" s="36"/>
      <c r="L1490" s="36"/>
      <c r="M1490" s="36"/>
      <c r="N1490" s="36"/>
      <c r="O1490" s="36"/>
      <c r="P1490" s="36"/>
      <c r="Q1490" s="36"/>
      <c r="R1490" s="36"/>
      <c r="S1490" s="39"/>
    </row>
    <row r="1491">
      <c r="B1491" s="36"/>
      <c r="C1491" s="36"/>
      <c r="D1491" s="36"/>
      <c r="E1491" s="36"/>
      <c r="F1491" s="36"/>
      <c r="G1491" s="36"/>
      <c r="H1491" s="36"/>
      <c r="I1491" s="36"/>
      <c r="J1491" s="36"/>
      <c r="K1491" s="36"/>
      <c r="L1491" s="36"/>
      <c r="M1491" s="36"/>
      <c r="N1491" s="36"/>
      <c r="O1491" s="36"/>
      <c r="P1491" s="36"/>
      <c r="Q1491" s="36"/>
      <c r="R1491" s="36"/>
      <c r="S1491" s="39"/>
    </row>
    <row r="1492">
      <c r="B1492" s="36"/>
      <c r="C1492" s="36"/>
      <c r="D1492" s="36"/>
      <c r="E1492" s="36"/>
      <c r="F1492" s="36"/>
      <c r="G1492" s="36"/>
      <c r="H1492" s="36"/>
      <c r="I1492" s="36"/>
      <c r="J1492" s="36"/>
      <c r="K1492" s="36"/>
      <c r="L1492" s="36"/>
      <c r="M1492" s="36"/>
      <c r="N1492" s="36"/>
      <c r="O1492" s="36"/>
      <c r="P1492" s="36"/>
      <c r="Q1492" s="36"/>
      <c r="R1492" s="36"/>
      <c r="S1492" s="39"/>
    </row>
    <row r="1493">
      <c r="B1493" s="36"/>
      <c r="C1493" s="36"/>
      <c r="D1493" s="36"/>
      <c r="E1493" s="36"/>
      <c r="F1493" s="36"/>
      <c r="G1493" s="36"/>
      <c r="H1493" s="36"/>
      <c r="I1493" s="36"/>
      <c r="J1493" s="36"/>
      <c r="K1493" s="36"/>
      <c r="L1493" s="36"/>
      <c r="M1493" s="36"/>
      <c r="N1493" s="36"/>
      <c r="O1493" s="36"/>
      <c r="P1493" s="36"/>
      <c r="Q1493" s="36"/>
      <c r="R1493" s="36"/>
      <c r="S1493" s="39"/>
    </row>
    <row r="1494">
      <c r="B1494" s="36"/>
      <c r="C1494" s="36"/>
      <c r="D1494" s="36"/>
      <c r="E1494" s="36"/>
      <c r="F1494" s="36"/>
      <c r="G1494" s="36"/>
      <c r="H1494" s="36"/>
      <c r="I1494" s="36"/>
      <c r="J1494" s="36"/>
      <c r="K1494" s="36"/>
      <c r="L1494" s="36"/>
      <c r="M1494" s="36"/>
      <c r="N1494" s="36"/>
      <c r="O1494" s="36"/>
      <c r="P1494" s="36"/>
      <c r="Q1494" s="36"/>
      <c r="R1494" s="36"/>
      <c r="S1494" s="39"/>
    </row>
    <row r="1495">
      <c r="B1495" s="36"/>
      <c r="C1495" s="36"/>
      <c r="D1495" s="36"/>
      <c r="E1495" s="36"/>
      <c r="F1495" s="36"/>
      <c r="G1495" s="36"/>
      <c r="H1495" s="36"/>
      <c r="I1495" s="36"/>
      <c r="J1495" s="36"/>
      <c r="K1495" s="36"/>
      <c r="L1495" s="36"/>
      <c r="M1495" s="36"/>
      <c r="N1495" s="36"/>
      <c r="O1495" s="36"/>
      <c r="P1495" s="36"/>
      <c r="Q1495" s="36"/>
      <c r="R1495" s="36"/>
      <c r="S1495" s="39"/>
    </row>
    <row r="1496">
      <c r="B1496" s="36"/>
      <c r="C1496" s="36"/>
      <c r="D1496" s="36"/>
      <c r="E1496" s="36"/>
      <c r="F1496" s="36"/>
      <c r="G1496" s="36"/>
      <c r="H1496" s="36"/>
      <c r="I1496" s="36"/>
      <c r="J1496" s="36"/>
      <c r="K1496" s="36"/>
      <c r="L1496" s="36"/>
      <c r="M1496" s="36"/>
      <c r="N1496" s="36"/>
      <c r="O1496" s="36"/>
      <c r="P1496" s="36"/>
      <c r="Q1496" s="36"/>
      <c r="R1496" s="36"/>
      <c r="S1496" s="39"/>
    </row>
    <row r="1497">
      <c r="B1497" s="36"/>
      <c r="C1497" s="36"/>
      <c r="D1497" s="36"/>
      <c r="E1497" s="36"/>
      <c r="F1497" s="36"/>
      <c r="G1497" s="36"/>
      <c r="H1497" s="36"/>
      <c r="I1497" s="36"/>
      <c r="J1497" s="36"/>
      <c r="K1497" s="36"/>
      <c r="L1497" s="36"/>
      <c r="M1497" s="36"/>
      <c r="N1497" s="36"/>
      <c r="O1497" s="36"/>
      <c r="P1497" s="36"/>
      <c r="Q1497" s="36"/>
      <c r="R1497" s="36"/>
      <c r="S1497" s="39"/>
    </row>
    <row r="1498">
      <c r="B1498" s="36"/>
      <c r="C1498" s="36"/>
      <c r="D1498" s="36"/>
      <c r="E1498" s="36"/>
      <c r="F1498" s="36"/>
      <c r="G1498" s="36"/>
      <c r="H1498" s="36"/>
      <c r="I1498" s="36"/>
      <c r="J1498" s="36"/>
      <c r="K1498" s="36"/>
      <c r="L1498" s="36"/>
      <c r="M1498" s="36"/>
      <c r="N1498" s="36"/>
      <c r="O1498" s="36"/>
      <c r="P1498" s="36"/>
      <c r="Q1498" s="36"/>
      <c r="R1498" s="36"/>
      <c r="S1498" s="39"/>
    </row>
    <row r="1499">
      <c r="B1499" s="36"/>
      <c r="C1499" s="36"/>
      <c r="D1499" s="36"/>
      <c r="E1499" s="36"/>
      <c r="F1499" s="36"/>
      <c r="G1499" s="36"/>
      <c r="H1499" s="36"/>
      <c r="I1499" s="36"/>
      <c r="J1499" s="36"/>
      <c r="K1499" s="36"/>
      <c r="L1499" s="36"/>
      <c r="M1499" s="36"/>
      <c r="N1499" s="36"/>
      <c r="O1499" s="36"/>
      <c r="P1499" s="36"/>
      <c r="Q1499" s="36"/>
      <c r="R1499" s="36"/>
      <c r="S1499" s="39"/>
    </row>
    <row r="1500">
      <c r="B1500" s="36"/>
      <c r="C1500" s="36"/>
      <c r="D1500" s="36"/>
      <c r="E1500" s="36"/>
      <c r="F1500" s="36"/>
      <c r="G1500" s="36"/>
      <c r="H1500" s="36"/>
      <c r="I1500" s="36"/>
      <c r="J1500" s="36"/>
      <c r="K1500" s="36"/>
      <c r="L1500" s="36"/>
      <c r="M1500" s="36"/>
      <c r="N1500" s="36"/>
      <c r="O1500" s="36"/>
      <c r="P1500" s="36"/>
      <c r="Q1500" s="36"/>
      <c r="R1500" s="36"/>
      <c r="S1500" s="39"/>
    </row>
    <row r="1501">
      <c r="B1501" s="36"/>
      <c r="C1501" s="36"/>
      <c r="D1501" s="36"/>
      <c r="E1501" s="36"/>
      <c r="F1501" s="36"/>
      <c r="G1501" s="36"/>
      <c r="H1501" s="36"/>
      <c r="I1501" s="36"/>
      <c r="J1501" s="36"/>
      <c r="K1501" s="36"/>
      <c r="L1501" s="36"/>
      <c r="M1501" s="36"/>
      <c r="N1501" s="36"/>
      <c r="O1501" s="36"/>
      <c r="P1501" s="36"/>
      <c r="Q1501" s="36"/>
      <c r="R1501" s="36"/>
      <c r="S1501" s="39"/>
    </row>
    <row r="1502">
      <c r="B1502" s="36"/>
      <c r="C1502" s="36"/>
      <c r="D1502" s="36"/>
      <c r="E1502" s="36"/>
      <c r="F1502" s="36"/>
      <c r="G1502" s="36"/>
      <c r="H1502" s="36"/>
      <c r="I1502" s="36"/>
      <c r="J1502" s="36"/>
      <c r="K1502" s="36"/>
      <c r="L1502" s="36"/>
      <c r="M1502" s="36"/>
      <c r="N1502" s="36"/>
      <c r="O1502" s="36"/>
      <c r="P1502" s="36"/>
      <c r="Q1502" s="36"/>
      <c r="R1502" s="36"/>
      <c r="S1502" s="39"/>
    </row>
    <row r="1503">
      <c r="B1503" s="36"/>
      <c r="C1503" s="36"/>
      <c r="D1503" s="36"/>
      <c r="E1503" s="36"/>
      <c r="F1503" s="36"/>
      <c r="G1503" s="36"/>
      <c r="H1503" s="36"/>
      <c r="I1503" s="36"/>
      <c r="J1503" s="36"/>
      <c r="K1503" s="36"/>
      <c r="L1503" s="36"/>
      <c r="M1503" s="36"/>
      <c r="N1503" s="36"/>
      <c r="O1503" s="36"/>
      <c r="P1503" s="36"/>
      <c r="Q1503" s="36"/>
      <c r="R1503" s="36"/>
      <c r="S1503" s="39"/>
    </row>
    <row r="1504">
      <c r="B1504" s="36"/>
      <c r="C1504" s="36"/>
      <c r="D1504" s="36"/>
      <c r="E1504" s="36"/>
      <c r="F1504" s="36"/>
      <c r="G1504" s="36"/>
      <c r="H1504" s="36"/>
      <c r="I1504" s="36"/>
      <c r="J1504" s="36"/>
      <c r="K1504" s="36"/>
      <c r="L1504" s="36"/>
      <c r="M1504" s="36"/>
      <c r="N1504" s="36"/>
      <c r="O1504" s="36"/>
      <c r="P1504" s="36"/>
      <c r="Q1504" s="36"/>
      <c r="R1504" s="36"/>
      <c r="S1504" s="39"/>
    </row>
    <row r="1505">
      <c r="B1505" s="36"/>
      <c r="C1505" s="36"/>
      <c r="D1505" s="36"/>
      <c r="E1505" s="36"/>
      <c r="F1505" s="36"/>
      <c r="G1505" s="36"/>
      <c r="H1505" s="36"/>
      <c r="I1505" s="36"/>
      <c r="J1505" s="36"/>
      <c r="K1505" s="36"/>
      <c r="L1505" s="36"/>
      <c r="M1505" s="36"/>
      <c r="N1505" s="36"/>
      <c r="O1505" s="36"/>
      <c r="P1505" s="36"/>
      <c r="Q1505" s="36"/>
      <c r="R1505" s="36"/>
      <c r="S1505" s="39"/>
    </row>
    <row r="1506">
      <c r="B1506" s="36"/>
      <c r="C1506" s="36"/>
      <c r="D1506" s="36"/>
      <c r="E1506" s="36"/>
      <c r="F1506" s="36"/>
      <c r="G1506" s="36"/>
      <c r="H1506" s="36"/>
      <c r="I1506" s="36"/>
      <c r="J1506" s="36"/>
      <c r="K1506" s="36"/>
      <c r="L1506" s="36"/>
      <c r="M1506" s="36"/>
      <c r="N1506" s="36"/>
      <c r="O1506" s="36"/>
      <c r="P1506" s="36"/>
      <c r="Q1506" s="36"/>
      <c r="R1506" s="36"/>
      <c r="S1506" s="39"/>
    </row>
    <row r="1507">
      <c r="B1507" s="36"/>
      <c r="C1507" s="36"/>
      <c r="D1507" s="36"/>
      <c r="E1507" s="36"/>
      <c r="F1507" s="36"/>
      <c r="G1507" s="36"/>
      <c r="H1507" s="36"/>
      <c r="I1507" s="36"/>
      <c r="J1507" s="36"/>
      <c r="K1507" s="36"/>
      <c r="L1507" s="36"/>
      <c r="M1507" s="36"/>
      <c r="N1507" s="36"/>
      <c r="O1507" s="36"/>
      <c r="P1507" s="36"/>
      <c r="Q1507" s="36"/>
      <c r="R1507" s="36"/>
      <c r="S1507" s="39"/>
    </row>
    <row r="1508">
      <c r="B1508" s="36"/>
      <c r="C1508" s="36"/>
      <c r="D1508" s="36"/>
      <c r="E1508" s="36"/>
      <c r="F1508" s="36"/>
      <c r="G1508" s="36"/>
      <c r="H1508" s="36"/>
      <c r="I1508" s="36"/>
      <c r="J1508" s="36"/>
      <c r="K1508" s="36"/>
      <c r="L1508" s="36"/>
      <c r="M1508" s="36"/>
      <c r="N1508" s="36"/>
      <c r="O1508" s="36"/>
      <c r="P1508" s="36"/>
      <c r="Q1508" s="36"/>
      <c r="R1508" s="36"/>
      <c r="S1508" s="39"/>
    </row>
    <row r="1509">
      <c r="B1509" s="36"/>
      <c r="C1509" s="36"/>
      <c r="D1509" s="36"/>
      <c r="E1509" s="36"/>
      <c r="F1509" s="36"/>
      <c r="G1509" s="36"/>
      <c r="H1509" s="36"/>
      <c r="I1509" s="36"/>
      <c r="J1509" s="36"/>
      <c r="K1509" s="36"/>
      <c r="L1509" s="36"/>
      <c r="M1509" s="36"/>
      <c r="N1509" s="36"/>
      <c r="O1509" s="36"/>
      <c r="P1509" s="36"/>
      <c r="Q1509" s="36"/>
      <c r="R1509" s="36"/>
      <c r="S1509" s="39"/>
    </row>
    <row r="1510">
      <c r="B1510" s="36"/>
      <c r="C1510" s="36"/>
      <c r="D1510" s="36"/>
      <c r="E1510" s="36"/>
      <c r="F1510" s="36"/>
      <c r="G1510" s="36"/>
      <c r="H1510" s="36"/>
      <c r="I1510" s="36"/>
      <c r="J1510" s="36"/>
      <c r="K1510" s="36"/>
      <c r="L1510" s="36"/>
      <c r="M1510" s="36"/>
      <c r="N1510" s="36"/>
      <c r="O1510" s="36"/>
      <c r="P1510" s="36"/>
      <c r="Q1510" s="36"/>
      <c r="R1510" s="36"/>
      <c r="S1510" s="39"/>
    </row>
    <row r="1511">
      <c r="B1511" s="36"/>
      <c r="C1511" s="36"/>
      <c r="D1511" s="36"/>
      <c r="E1511" s="36"/>
      <c r="F1511" s="36"/>
      <c r="G1511" s="36"/>
      <c r="H1511" s="36"/>
      <c r="I1511" s="36"/>
      <c r="J1511" s="36"/>
      <c r="K1511" s="36"/>
      <c r="L1511" s="36"/>
      <c r="M1511" s="36"/>
      <c r="N1511" s="36"/>
      <c r="O1511" s="36"/>
      <c r="P1511" s="36"/>
      <c r="Q1511" s="36"/>
      <c r="R1511" s="36"/>
      <c r="S1511" s="39"/>
    </row>
    <row r="1512">
      <c r="B1512" s="36"/>
      <c r="C1512" s="36"/>
      <c r="D1512" s="36"/>
      <c r="E1512" s="36"/>
      <c r="F1512" s="36"/>
      <c r="G1512" s="36"/>
      <c r="H1512" s="36"/>
      <c r="I1512" s="36"/>
      <c r="J1512" s="36"/>
      <c r="K1512" s="36"/>
      <c r="L1512" s="36"/>
      <c r="M1512" s="36"/>
      <c r="N1512" s="36"/>
      <c r="O1512" s="36"/>
      <c r="P1512" s="36"/>
      <c r="Q1512" s="36"/>
      <c r="R1512" s="36"/>
      <c r="S1512" s="39"/>
    </row>
    <row r="1513">
      <c r="B1513" s="36"/>
      <c r="C1513" s="36"/>
      <c r="D1513" s="36"/>
      <c r="E1513" s="36"/>
      <c r="F1513" s="36"/>
      <c r="G1513" s="36"/>
      <c r="H1513" s="36"/>
      <c r="I1513" s="36"/>
      <c r="J1513" s="36"/>
      <c r="K1513" s="36"/>
      <c r="L1513" s="36"/>
      <c r="M1513" s="36"/>
      <c r="N1513" s="36"/>
      <c r="O1513" s="36"/>
      <c r="P1513" s="36"/>
      <c r="Q1513" s="36"/>
      <c r="R1513" s="36"/>
      <c r="S1513" s="39"/>
    </row>
    <row r="1514">
      <c r="B1514" s="36"/>
      <c r="C1514" s="36"/>
      <c r="D1514" s="36"/>
      <c r="E1514" s="36"/>
      <c r="F1514" s="36"/>
      <c r="G1514" s="36"/>
      <c r="H1514" s="36"/>
      <c r="I1514" s="36"/>
      <c r="J1514" s="36"/>
      <c r="K1514" s="36"/>
      <c r="L1514" s="36"/>
      <c r="M1514" s="36"/>
      <c r="N1514" s="36"/>
      <c r="O1514" s="36"/>
      <c r="P1514" s="36"/>
      <c r="Q1514" s="36"/>
      <c r="R1514" s="36"/>
      <c r="S1514" s="39"/>
    </row>
    <row r="1515">
      <c r="B1515" s="36"/>
      <c r="C1515" s="36"/>
      <c r="D1515" s="36"/>
      <c r="E1515" s="36"/>
      <c r="F1515" s="36"/>
      <c r="G1515" s="36"/>
      <c r="H1515" s="36"/>
      <c r="I1515" s="36"/>
      <c r="J1515" s="36"/>
      <c r="K1515" s="36"/>
      <c r="L1515" s="36"/>
      <c r="M1515" s="36"/>
      <c r="N1515" s="36"/>
      <c r="O1515" s="36"/>
      <c r="P1515" s="36"/>
      <c r="Q1515" s="36"/>
      <c r="R1515" s="36"/>
      <c r="S1515" s="39"/>
    </row>
    <row r="1516">
      <c r="B1516" s="36"/>
      <c r="C1516" s="36"/>
      <c r="D1516" s="36"/>
      <c r="E1516" s="36"/>
      <c r="F1516" s="36"/>
      <c r="G1516" s="36"/>
      <c r="H1516" s="36"/>
      <c r="I1516" s="36"/>
      <c r="J1516" s="36"/>
      <c r="K1516" s="36"/>
      <c r="L1516" s="36"/>
      <c r="M1516" s="36"/>
      <c r="N1516" s="36"/>
      <c r="O1516" s="36"/>
      <c r="P1516" s="36"/>
      <c r="Q1516" s="36"/>
      <c r="R1516" s="36"/>
      <c r="S1516" s="39"/>
    </row>
    <row r="1517">
      <c r="B1517" s="36"/>
      <c r="C1517" s="36"/>
      <c r="D1517" s="36"/>
      <c r="E1517" s="36"/>
      <c r="F1517" s="36"/>
      <c r="G1517" s="36"/>
      <c r="H1517" s="36"/>
      <c r="I1517" s="36"/>
      <c r="J1517" s="36"/>
      <c r="K1517" s="36"/>
      <c r="L1517" s="36"/>
      <c r="M1517" s="36"/>
      <c r="N1517" s="36"/>
      <c r="O1517" s="36"/>
      <c r="P1517" s="36"/>
      <c r="Q1517" s="36"/>
      <c r="R1517" s="36"/>
      <c r="S1517" s="39"/>
    </row>
    <row r="1518">
      <c r="B1518" s="36"/>
      <c r="C1518" s="36"/>
      <c r="D1518" s="36"/>
      <c r="E1518" s="36"/>
      <c r="F1518" s="36"/>
      <c r="G1518" s="36"/>
      <c r="H1518" s="36"/>
      <c r="I1518" s="36"/>
      <c r="J1518" s="36"/>
      <c r="K1518" s="36"/>
      <c r="L1518" s="36"/>
      <c r="M1518" s="36"/>
      <c r="N1518" s="36"/>
      <c r="O1518" s="36"/>
      <c r="P1518" s="36"/>
      <c r="Q1518" s="36"/>
      <c r="R1518" s="36"/>
      <c r="S1518" s="39"/>
    </row>
    <row r="1519">
      <c r="B1519" s="36"/>
      <c r="C1519" s="36"/>
      <c r="D1519" s="36"/>
      <c r="E1519" s="36"/>
      <c r="F1519" s="36"/>
      <c r="G1519" s="36"/>
      <c r="H1519" s="36"/>
      <c r="I1519" s="36"/>
      <c r="J1519" s="36"/>
      <c r="K1519" s="36"/>
      <c r="L1519" s="36"/>
      <c r="M1519" s="36"/>
      <c r="N1519" s="36"/>
      <c r="O1519" s="36"/>
      <c r="P1519" s="36"/>
      <c r="Q1519" s="36"/>
      <c r="R1519" s="36"/>
      <c r="S1519" s="39"/>
    </row>
    <row r="1520">
      <c r="B1520" s="36"/>
      <c r="C1520" s="36"/>
      <c r="D1520" s="36"/>
      <c r="E1520" s="36"/>
      <c r="F1520" s="36"/>
      <c r="G1520" s="36"/>
      <c r="H1520" s="36"/>
      <c r="I1520" s="36"/>
      <c r="J1520" s="36"/>
      <c r="K1520" s="36"/>
      <c r="L1520" s="36"/>
      <c r="M1520" s="36"/>
      <c r="N1520" s="36"/>
      <c r="O1520" s="36"/>
      <c r="P1520" s="36"/>
      <c r="Q1520" s="36"/>
      <c r="R1520" s="36"/>
      <c r="S1520" s="39"/>
    </row>
    <row r="1521">
      <c r="B1521" s="36"/>
      <c r="C1521" s="36"/>
      <c r="D1521" s="36"/>
      <c r="E1521" s="36"/>
      <c r="F1521" s="36"/>
      <c r="G1521" s="36"/>
      <c r="H1521" s="36"/>
      <c r="I1521" s="36"/>
      <c r="J1521" s="36"/>
      <c r="K1521" s="36"/>
      <c r="L1521" s="36"/>
      <c r="M1521" s="36"/>
      <c r="N1521" s="36"/>
      <c r="O1521" s="36"/>
      <c r="P1521" s="36"/>
      <c r="Q1521" s="36"/>
      <c r="R1521" s="36"/>
      <c r="S1521" s="39"/>
    </row>
    <row r="1522">
      <c r="B1522" s="36"/>
      <c r="C1522" s="36"/>
      <c r="D1522" s="36"/>
      <c r="E1522" s="36"/>
      <c r="F1522" s="36"/>
      <c r="G1522" s="36"/>
      <c r="H1522" s="36"/>
      <c r="I1522" s="36"/>
      <c r="J1522" s="36"/>
      <c r="K1522" s="36"/>
      <c r="L1522" s="36"/>
      <c r="M1522" s="36"/>
      <c r="N1522" s="36"/>
      <c r="O1522" s="36"/>
      <c r="P1522" s="36"/>
      <c r="Q1522" s="36"/>
      <c r="R1522" s="36"/>
      <c r="S1522" s="39"/>
    </row>
    <row r="1523">
      <c r="B1523" s="36"/>
      <c r="C1523" s="36"/>
      <c r="D1523" s="36"/>
      <c r="E1523" s="36"/>
      <c r="F1523" s="36"/>
      <c r="G1523" s="36"/>
      <c r="H1523" s="36"/>
      <c r="I1523" s="36"/>
      <c r="J1523" s="36"/>
      <c r="K1523" s="36"/>
      <c r="L1523" s="36"/>
      <c r="M1523" s="36"/>
      <c r="N1523" s="36"/>
      <c r="O1523" s="36"/>
      <c r="P1523" s="36"/>
      <c r="Q1523" s="36"/>
      <c r="R1523" s="36"/>
      <c r="S1523" s="39"/>
    </row>
    <row r="1524">
      <c r="B1524" s="36"/>
      <c r="C1524" s="36"/>
      <c r="D1524" s="36"/>
      <c r="E1524" s="36"/>
      <c r="F1524" s="36"/>
      <c r="G1524" s="36"/>
      <c r="H1524" s="36"/>
      <c r="I1524" s="36"/>
      <c r="J1524" s="36"/>
      <c r="K1524" s="36"/>
      <c r="L1524" s="36"/>
      <c r="M1524" s="36"/>
      <c r="N1524" s="36"/>
      <c r="O1524" s="36"/>
      <c r="P1524" s="36"/>
      <c r="Q1524" s="36"/>
      <c r="R1524" s="36"/>
      <c r="S1524" s="39"/>
    </row>
    <row r="1525">
      <c r="B1525" s="36"/>
      <c r="C1525" s="36"/>
      <c r="D1525" s="36"/>
      <c r="E1525" s="36"/>
      <c r="F1525" s="36"/>
      <c r="G1525" s="36"/>
      <c r="H1525" s="36"/>
      <c r="I1525" s="36"/>
      <c r="J1525" s="36"/>
      <c r="K1525" s="36"/>
      <c r="L1525" s="36"/>
      <c r="M1525" s="36"/>
      <c r="N1525" s="36"/>
      <c r="O1525" s="36"/>
      <c r="P1525" s="36"/>
      <c r="Q1525" s="36"/>
      <c r="R1525" s="36"/>
      <c r="S1525" s="39"/>
    </row>
    <row r="1526">
      <c r="B1526" s="36"/>
      <c r="C1526" s="36"/>
      <c r="D1526" s="36"/>
      <c r="E1526" s="36"/>
      <c r="F1526" s="36"/>
      <c r="G1526" s="36"/>
      <c r="H1526" s="36"/>
      <c r="I1526" s="36"/>
      <c r="J1526" s="36"/>
      <c r="K1526" s="36"/>
      <c r="L1526" s="36"/>
      <c r="M1526" s="36"/>
      <c r="N1526" s="36"/>
      <c r="O1526" s="36"/>
      <c r="P1526" s="36"/>
      <c r="Q1526" s="36"/>
      <c r="R1526" s="36"/>
      <c r="S1526" s="39"/>
    </row>
    <row r="1527">
      <c r="B1527" s="36"/>
      <c r="C1527" s="36"/>
      <c r="D1527" s="36"/>
      <c r="E1527" s="36"/>
      <c r="F1527" s="36"/>
      <c r="G1527" s="36"/>
      <c r="H1527" s="36"/>
      <c r="I1527" s="36"/>
      <c r="J1527" s="36"/>
      <c r="K1527" s="36"/>
      <c r="L1527" s="36"/>
      <c r="M1527" s="36"/>
      <c r="N1527" s="36"/>
      <c r="O1527" s="36"/>
      <c r="P1527" s="36"/>
      <c r="Q1527" s="36"/>
      <c r="R1527" s="36"/>
      <c r="S1527" s="39"/>
    </row>
    <row r="1528">
      <c r="B1528" s="36"/>
      <c r="C1528" s="36"/>
      <c r="D1528" s="36"/>
      <c r="E1528" s="36"/>
      <c r="F1528" s="36"/>
      <c r="G1528" s="36"/>
      <c r="H1528" s="36"/>
      <c r="I1528" s="36"/>
      <c r="J1528" s="36"/>
      <c r="K1528" s="36"/>
      <c r="L1528" s="36"/>
      <c r="M1528" s="36"/>
      <c r="N1528" s="36"/>
      <c r="O1528" s="36"/>
      <c r="P1528" s="36"/>
      <c r="Q1528" s="36"/>
      <c r="R1528" s="36"/>
      <c r="S1528" s="39"/>
    </row>
    <row r="1529">
      <c r="B1529" s="36"/>
      <c r="C1529" s="36"/>
      <c r="D1529" s="36"/>
      <c r="E1529" s="36"/>
      <c r="F1529" s="36"/>
      <c r="G1529" s="36"/>
      <c r="H1529" s="36"/>
      <c r="I1529" s="36"/>
      <c r="J1529" s="36"/>
      <c r="K1529" s="36"/>
      <c r="L1529" s="36"/>
      <c r="M1529" s="36"/>
      <c r="N1529" s="36"/>
      <c r="O1529" s="36"/>
      <c r="P1529" s="36"/>
      <c r="Q1529" s="36"/>
      <c r="R1529" s="36"/>
      <c r="S1529" s="39"/>
    </row>
    <row r="1530">
      <c r="B1530" s="36"/>
      <c r="C1530" s="36"/>
      <c r="D1530" s="36"/>
      <c r="E1530" s="36"/>
      <c r="F1530" s="36"/>
      <c r="G1530" s="36"/>
      <c r="H1530" s="36"/>
      <c r="I1530" s="36"/>
      <c r="J1530" s="36"/>
      <c r="K1530" s="36"/>
      <c r="L1530" s="36"/>
      <c r="M1530" s="36"/>
      <c r="N1530" s="36"/>
      <c r="O1530" s="36"/>
      <c r="P1530" s="36"/>
      <c r="Q1530" s="36"/>
      <c r="R1530" s="36"/>
      <c r="S1530" s="39"/>
    </row>
    <row r="1531">
      <c r="B1531" s="36"/>
      <c r="C1531" s="36"/>
      <c r="D1531" s="36"/>
      <c r="E1531" s="36"/>
      <c r="F1531" s="36"/>
      <c r="G1531" s="36"/>
      <c r="H1531" s="36"/>
      <c r="I1531" s="36"/>
      <c r="J1531" s="36"/>
      <c r="K1531" s="36"/>
      <c r="L1531" s="36"/>
      <c r="M1531" s="36"/>
      <c r="N1531" s="36"/>
      <c r="O1531" s="36"/>
      <c r="P1531" s="36"/>
      <c r="Q1531" s="36"/>
      <c r="R1531" s="36"/>
      <c r="S1531" s="39"/>
    </row>
    <row r="1532">
      <c r="B1532" s="36"/>
      <c r="C1532" s="36"/>
      <c r="D1532" s="36"/>
      <c r="E1532" s="36"/>
      <c r="F1532" s="36"/>
      <c r="G1532" s="36"/>
      <c r="H1532" s="36"/>
      <c r="I1532" s="36"/>
      <c r="J1532" s="36"/>
      <c r="K1532" s="36"/>
      <c r="L1532" s="36"/>
      <c r="M1532" s="36"/>
      <c r="N1532" s="36"/>
      <c r="O1532" s="36"/>
      <c r="P1532" s="36"/>
      <c r="Q1532" s="36"/>
      <c r="R1532" s="36"/>
      <c r="S1532" s="39"/>
    </row>
    <row r="1533">
      <c r="B1533" s="36"/>
      <c r="C1533" s="36"/>
      <c r="D1533" s="36"/>
      <c r="E1533" s="36"/>
      <c r="F1533" s="36"/>
      <c r="G1533" s="36"/>
      <c r="H1533" s="36"/>
      <c r="I1533" s="36"/>
      <c r="J1533" s="36"/>
      <c r="K1533" s="36"/>
      <c r="L1533" s="36"/>
      <c r="M1533" s="36"/>
      <c r="N1533" s="36"/>
      <c r="O1533" s="36"/>
      <c r="P1533" s="36"/>
      <c r="Q1533" s="36"/>
      <c r="R1533" s="36"/>
      <c r="S1533" s="39"/>
    </row>
    <row r="1534">
      <c r="B1534" s="36"/>
      <c r="C1534" s="36"/>
      <c r="D1534" s="36"/>
      <c r="E1534" s="36"/>
      <c r="F1534" s="36"/>
      <c r="G1534" s="36"/>
      <c r="H1534" s="36"/>
      <c r="I1534" s="36"/>
      <c r="J1534" s="36"/>
      <c r="K1534" s="36"/>
      <c r="L1534" s="36"/>
      <c r="M1534" s="36"/>
      <c r="N1534" s="36"/>
      <c r="O1534" s="36"/>
      <c r="P1534" s="36"/>
      <c r="Q1534" s="36"/>
      <c r="R1534" s="36"/>
      <c r="S1534" s="39"/>
    </row>
    <row r="1535">
      <c r="B1535" s="36"/>
      <c r="C1535" s="36"/>
      <c r="D1535" s="36"/>
      <c r="E1535" s="36"/>
      <c r="F1535" s="36"/>
      <c r="G1535" s="36"/>
      <c r="H1535" s="36"/>
      <c r="I1535" s="36"/>
      <c r="J1535" s="36"/>
      <c r="K1535" s="36"/>
      <c r="L1535" s="36"/>
      <c r="M1535" s="36"/>
      <c r="N1535" s="36"/>
      <c r="O1535" s="36"/>
      <c r="P1535" s="36"/>
      <c r="Q1535" s="36"/>
      <c r="R1535" s="36"/>
      <c r="S1535" s="39"/>
    </row>
    <row r="1536">
      <c r="B1536" s="36"/>
      <c r="C1536" s="36"/>
      <c r="D1536" s="36"/>
      <c r="E1536" s="36"/>
      <c r="F1536" s="36"/>
      <c r="G1536" s="36"/>
      <c r="H1536" s="36"/>
      <c r="I1536" s="36"/>
      <c r="J1536" s="36"/>
      <c r="K1536" s="36"/>
      <c r="L1536" s="36"/>
      <c r="M1536" s="36"/>
      <c r="N1536" s="36"/>
      <c r="O1536" s="36"/>
      <c r="P1536" s="36"/>
      <c r="Q1536" s="36"/>
      <c r="R1536" s="36"/>
      <c r="S1536" s="39"/>
    </row>
    <row r="1537">
      <c r="B1537" s="36"/>
      <c r="C1537" s="36"/>
      <c r="D1537" s="36"/>
      <c r="E1537" s="36"/>
      <c r="F1537" s="36"/>
      <c r="G1537" s="36"/>
      <c r="H1537" s="36"/>
      <c r="I1537" s="36"/>
      <c r="J1537" s="36"/>
      <c r="K1537" s="36"/>
      <c r="L1537" s="36"/>
      <c r="M1537" s="36"/>
      <c r="N1537" s="36"/>
      <c r="O1537" s="36"/>
      <c r="P1537" s="36"/>
      <c r="Q1537" s="36"/>
      <c r="R1537" s="36"/>
      <c r="S1537" s="39"/>
    </row>
    <row r="1538">
      <c r="B1538" s="36"/>
      <c r="C1538" s="36"/>
      <c r="D1538" s="36"/>
      <c r="E1538" s="36"/>
      <c r="F1538" s="36"/>
      <c r="G1538" s="36"/>
      <c r="H1538" s="36"/>
      <c r="I1538" s="36"/>
      <c r="J1538" s="36"/>
      <c r="K1538" s="36"/>
      <c r="L1538" s="36"/>
      <c r="M1538" s="36"/>
      <c r="N1538" s="36"/>
      <c r="O1538" s="36"/>
      <c r="P1538" s="36"/>
      <c r="Q1538" s="36"/>
      <c r="R1538" s="36"/>
      <c r="S1538" s="39"/>
    </row>
    <row r="1539">
      <c r="B1539" s="36"/>
      <c r="C1539" s="36"/>
      <c r="D1539" s="36"/>
      <c r="E1539" s="36"/>
      <c r="F1539" s="36"/>
      <c r="G1539" s="36"/>
      <c r="H1539" s="36"/>
      <c r="I1539" s="36"/>
      <c r="J1539" s="36"/>
      <c r="K1539" s="36"/>
      <c r="L1539" s="36"/>
      <c r="M1539" s="36"/>
      <c r="N1539" s="36"/>
      <c r="O1539" s="36"/>
      <c r="P1539" s="36"/>
      <c r="Q1539" s="36"/>
      <c r="R1539" s="36"/>
      <c r="S1539" s="39"/>
    </row>
    <row r="1540">
      <c r="B1540" s="36"/>
      <c r="C1540" s="36"/>
      <c r="D1540" s="36"/>
      <c r="E1540" s="36"/>
      <c r="F1540" s="36"/>
      <c r="G1540" s="36"/>
      <c r="H1540" s="36"/>
      <c r="I1540" s="36"/>
      <c r="J1540" s="36"/>
      <c r="K1540" s="36"/>
      <c r="L1540" s="36"/>
      <c r="M1540" s="36"/>
      <c r="N1540" s="36"/>
      <c r="O1540" s="36"/>
      <c r="P1540" s="36"/>
      <c r="Q1540" s="36"/>
      <c r="R1540" s="36"/>
      <c r="S1540" s="39"/>
    </row>
    <row r="1541">
      <c r="B1541" s="36"/>
      <c r="C1541" s="36"/>
      <c r="D1541" s="36"/>
      <c r="E1541" s="36"/>
      <c r="F1541" s="36"/>
      <c r="G1541" s="36"/>
      <c r="H1541" s="36"/>
      <c r="I1541" s="36"/>
      <c r="J1541" s="36"/>
      <c r="K1541" s="36"/>
      <c r="L1541" s="36"/>
      <c r="M1541" s="36"/>
      <c r="N1541" s="36"/>
      <c r="O1541" s="36"/>
      <c r="P1541" s="36"/>
      <c r="Q1541" s="36"/>
      <c r="R1541" s="36"/>
      <c r="S1541" s="39"/>
    </row>
    <row r="1542">
      <c r="B1542" s="36"/>
      <c r="C1542" s="36"/>
      <c r="D1542" s="36"/>
      <c r="E1542" s="36"/>
      <c r="F1542" s="36"/>
      <c r="G1542" s="36"/>
      <c r="H1542" s="36"/>
      <c r="I1542" s="36"/>
      <c r="J1542" s="36"/>
      <c r="K1542" s="36"/>
      <c r="L1542" s="36"/>
      <c r="M1542" s="36"/>
      <c r="N1542" s="36"/>
      <c r="O1542" s="36"/>
      <c r="P1542" s="36"/>
      <c r="Q1542" s="36"/>
      <c r="R1542" s="36"/>
      <c r="S1542" s="39"/>
    </row>
    <row r="1543">
      <c r="B1543" s="36"/>
      <c r="C1543" s="36"/>
      <c r="D1543" s="36"/>
      <c r="E1543" s="36"/>
      <c r="F1543" s="36"/>
      <c r="G1543" s="36"/>
      <c r="H1543" s="36"/>
      <c r="I1543" s="36"/>
      <c r="J1543" s="36"/>
      <c r="K1543" s="36"/>
      <c r="L1543" s="36"/>
      <c r="M1543" s="36"/>
      <c r="N1543" s="36"/>
      <c r="O1543" s="36"/>
      <c r="P1543" s="36"/>
      <c r="Q1543" s="36"/>
      <c r="R1543" s="36"/>
      <c r="S1543" s="39"/>
    </row>
    <row r="1544">
      <c r="B1544" s="36"/>
      <c r="C1544" s="36"/>
      <c r="D1544" s="36"/>
      <c r="E1544" s="36"/>
      <c r="F1544" s="36"/>
      <c r="G1544" s="36"/>
      <c r="H1544" s="36"/>
      <c r="I1544" s="36"/>
      <c r="J1544" s="36"/>
      <c r="K1544" s="36"/>
      <c r="L1544" s="36"/>
      <c r="M1544" s="36"/>
      <c r="N1544" s="36"/>
      <c r="O1544" s="36"/>
      <c r="P1544" s="36"/>
      <c r="Q1544" s="36"/>
      <c r="R1544" s="36"/>
      <c r="S1544" s="39"/>
    </row>
    <row r="1545">
      <c r="B1545" s="36"/>
      <c r="C1545" s="36"/>
      <c r="D1545" s="36"/>
      <c r="E1545" s="36"/>
      <c r="F1545" s="36"/>
      <c r="G1545" s="36"/>
      <c r="H1545" s="36"/>
      <c r="I1545" s="36"/>
      <c r="J1545" s="36"/>
      <c r="K1545" s="36"/>
      <c r="L1545" s="36"/>
      <c r="M1545" s="36"/>
      <c r="N1545" s="36"/>
      <c r="O1545" s="36"/>
      <c r="P1545" s="36"/>
      <c r="Q1545" s="36"/>
      <c r="R1545" s="36"/>
      <c r="S1545" s="39"/>
    </row>
    <row r="1546">
      <c r="B1546" s="36"/>
      <c r="C1546" s="36"/>
      <c r="D1546" s="36"/>
      <c r="E1546" s="36"/>
      <c r="F1546" s="36"/>
      <c r="G1546" s="36"/>
      <c r="H1546" s="36"/>
      <c r="I1546" s="36"/>
      <c r="J1546" s="36"/>
      <c r="K1546" s="36"/>
      <c r="L1546" s="36"/>
      <c r="M1546" s="36"/>
      <c r="N1546" s="36"/>
      <c r="O1546" s="36"/>
      <c r="P1546" s="36"/>
      <c r="Q1546" s="36"/>
      <c r="R1546" s="36"/>
      <c r="S1546" s="39"/>
    </row>
    <row r="1547">
      <c r="B1547" s="36"/>
      <c r="C1547" s="36"/>
      <c r="D1547" s="36"/>
      <c r="E1547" s="36"/>
      <c r="F1547" s="36"/>
      <c r="G1547" s="36"/>
      <c r="H1547" s="36"/>
      <c r="I1547" s="36"/>
      <c r="J1547" s="36"/>
      <c r="K1547" s="36"/>
      <c r="L1547" s="36"/>
      <c r="M1547" s="36"/>
      <c r="N1547" s="36"/>
      <c r="O1547" s="36"/>
      <c r="P1547" s="36"/>
      <c r="Q1547" s="36"/>
      <c r="R1547" s="36"/>
      <c r="S1547" s="39"/>
    </row>
    <row r="1548">
      <c r="B1548" s="36"/>
      <c r="C1548" s="36"/>
      <c r="D1548" s="36"/>
      <c r="E1548" s="36"/>
      <c r="F1548" s="36"/>
      <c r="G1548" s="36"/>
      <c r="H1548" s="36"/>
      <c r="I1548" s="36"/>
      <c r="J1548" s="36"/>
      <c r="K1548" s="36"/>
      <c r="L1548" s="36"/>
      <c r="M1548" s="36"/>
      <c r="N1548" s="36"/>
      <c r="O1548" s="36"/>
      <c r="P1548" s="36"/>
      <c r="Q1548" s="36"/>
      <c r="R1548" s="36"/>
      <c r="S1548" s="39"/>
    </row>
    <row r="1549">
      <c r="B1549" s="36"/>
      <c r="C1549" s="36"/>
      <c r="D1549" s="36"/>
      <c r="E1549" s="36"/>
      <c r="F1549" s="36"/>
      <c r="G1549" s="36"/>
      <c r="H1549" s="36"/>
      <c r="I1549" s="36"/>
      <c r="J1549" s="36"/>
      <c r="K1549" s="36"/>
      <c r="L1549" s="36"/>
      <c r="M1549" s="36"/>
      <c r="N1549" s="36"/>
      <c r="O1549" s="36"/>
      <c r="P1549" s="36"/>
      <c r="Q1549" s="36"/>
      <c r="R1549" s="36"/>
      <c r="S1549" s="39"/>
    </row>
    <row r="1550">
      <c r="B1550" s="36"/>
      <c r="C1550" s="36"/>
      <c r="D1550" s="36"/>
      <c r="E1550" s="36"/>
      <c r="F1550" s="36"/>
      <c r="G1550" s="36"/>
      <c r="H1550" s="36"/>
      <c r="I1550" s="36"/>
      <c r="J1550" s="36"/>
      <c r="K1550" s="36"/>
      <c r="L1550" s="36"/>
      <c r="M1550" s="36"/>
      <c r="N1550" s="36"/>
      <c r="O1550" s="36"/>
      <c r="P1550" s="36"/>
      <c r="Q1550" s="36"/>
      <c r="R1550" s="36"/>
      <c r="S1550" s="39"/>
    </row>
    <row r="1551">
      <c r="B1551" s="36"/>
      <c r="C1551" s="36"/>
      <c r="D1551" s="36"/>
      <c r="E1551" s="36"/>
      <c r="F1551" s="36"/>
      <c r="G1551" s="36"/>
      <c r="H1551" s="36"/>
      <c r="I1551" s="36"/>
      <c r="J1551" s="36"/>
      <c r="K1551" s="36"/>
      <c r="L1551" s="36"/>
      <c r="M1551" s="36"/>
      <c r="N1551" s="36"/>
      <c r="O1551" s="36"/>
      <c r="P1551" s="36"/>
      <c r="Q1551" s="36"/>
      <c r="R1551" s="36"/>
      <c r="S1551" s="39"/>
    </row>
    <row r="1552">
      <c r="B1552" s="36"/>
      <c r="C1552" s="36"/>
      <c r="D1552" s="36"/>
      <c r="E1552" s="36"/>
      <c r="F1552" s="36"/>
      <c r="G1552" s="36"/>
      <c r="H1552" s="36"/>
      <c r="I1552" s="36"/>
      <c r="J1552" s="36"/>
      <c r="K1552" s="36"/>
      <c r="L1552" s="36"/>
      <c r="M1552" s="36"/>
      <c r="N1552" s="36"/>
      <c r="O1552" s="36"/>
      <c r="P1552" s="36"/>
      <c r="Q1552" s="36"/>
      <c r="R1552" s="36"/>
      <c r="S1552" s="39"/>
    </row>
    <row r="1553">
      <c r="B1553" s="36"/>
      <c r="C1553" s="36"/>
      <c r="D1553" s="36"/>
      <c r="E1553" s="36"/>
      <c r="F1553" s="36"/>
      <c r="G1553" s="36"/>
      <c r="H1553" s="36"/>
      <c r="I1553" s="36"/>
      <c r="J1553" s="36"/>
      <c r="K1553" s="36"/>
      <c r="L1553" s="36"/>
      <c r="M1553" s="36"/>
      <c r="N1553" s="36"/>
      <c r="O1553" s="36"/>
      <c r="P1553" s="36"/>
      <c r="Q1553" s="36"/>
      <c r="R1553" s="36"/>
      <c r="S1553" s="39"/>
    </row>
    <row r="1554">
      <c r="B1554" s="36"/>
      <c r="C1554" s="36"/>
      <c r="D1554" s="36"/>
      <c r="E1554" s="36"/>
      <c r="F1554" s="36"/>
      <c r="G1554" s="36"/>
      <c r="H1554" s="36"/>
      <c r="I1554" s="36"/>
      <c r="J1554" s="36"/>
      <c r="K1554" s="36"/>
      <c r="L1554" s="36"/>
      <c r="M1554" s="36"/>
      <c r="N1554" s="36"/>
      <c r="O1554" s="36"/>
      <c r="P1554" s="36"/>
      <c r="Q1554" s="36"/>
      <c r="R1554" s="36"/>
      <c r="S1554" s="39"/>
    </row>
    <row r="1555">
      <c r="B1555" s="36"/>
      <c r="C1555" s="36"/>
      <c r="D1555" s="36"/>
      <c r="E1555" s="36"/>
      <c r="F1555" s="36"/>
      <c r="G1555" s="36"/>
      <c r="H1555" s="36"/>
      <c r="I1555" s="36"/>
      <c r="J1555" s="36"/>
      <c r="K1555" s="36"/>
      <c r="L1555" s="36"/>
      <c r="M1555" s="36"/>
      <c r="N1555" s="36"/>
      <c r="O1555" s="36"/>
      <c r="P1555" s="36"/>
      <c r="Q1555" s="36"/>
      <c r="R1555" s="36"/>
      <c r="S1555" s="39"/>
    </row>
    <row r="1556">
      <c r="B1556" s="36"/>
      <c r="C1556" s="36"/>
      <c r="D1556" s="36"/>
      <c r="E1556" s="36"/>
      <c r="F1556" s="36"/>
      <c r="G1556" s="36"/>
      <c r="H1556" s="36"/>
      <c r="I1556" s="36"/>
      <c r="J1556" s="36"/>
      <c r="K1556" s="36"/>
      <c r="L1556" s="36"/>
      <c r="M1556" s="36"/>
      <c r="N1556" s="36"/>
      <c r="O1556" s="36"/>
      <c r="P1556" s="36"/>
      <c r="Q1556" s="36"/>
      <c r="R1556" s="36"/>
      <c r="S1556" s="39"/>
    </row>
    <row r="1557">
      <c r="B1557" s="36"/>
      <c r="C1557" s="36"/>
      <c r="D1557" s="36"/>
      <c r="E1557" s="36"/>
      <c r="F1557" s="36"/>
      <c r="G1557" s="36"/>
      <c r="H1557" s="36"/>
      <c r="I1557" s="36"/>
      <c r="J1557" s="36"/>
      <c r="K1557" s="36"/>
      <c r="L1557" s="36"/>
      <c r="M1557" s="36"/>
      <c r="N1557" s="36"/>
      <c r="O1557" s="36"/>
      <c r="P1557" s="36"/>
      <c r="Q1557" s="36"/>
      <c r="R1557" s="36"/>
      <c r="S1557" s="39"/>
    </row>
    <row r="1558">
      <c r="B1558" s="36"/>
      <c r="C1558" s="36"/>
      <c r="D1558" s="36"/>
      <c r="E1558" s="36"/>
      <c r="F1558" s="36"/>
      <c r="G1558" s="36"/>
      <c r="H1558" s="36"/>
      <c r="I1558" s="36"/>
      <c r="J1558" s="36"/>
      <c r="K1558" s="36"/>
      <c r="L1558" s="36"/>
      <c r="M1558" s="36"/>
      <c r="N1558" s="36"/>
      <c r="O1558" s="36"/>
      <c r="P1558" s="36"/>
      <c r="Q1558" s="36"/>
      <c r="R1558" s="36"/>
      <c r="S1558" s="39"/>
    </row>
    <row r="1559">
      <c r="B1559" s="36"/>
      <c r="C1559" s="36"/>
      <c r="D1559" s="36"/>
      <c r="E1559" s="36"/>
      <c r="F1559" s="36"/>
      <c r="G1559" s="36"/>
      <c r="H1559" s="36"/>
      <c r="I1559" s="36"/>
      <c r="J1559" s="36"/>
      <c r="K1559" s="36"/>
      <c r="L1559" s="36"/>
      <c r="M1559" s="36"/>
      <c r="N1559" s="36"/>
      <c r="O1559" s="36"/>
      <c r="P1559" s="36"/>
      <c r="Q1559" s="36"/>
      <c r="R1559" s="36"/>
      <c r="S1559" s="39"/>
    </row>
    <row r="1560">
      <c r="B1560" s="36"/>
      <c r="C1560" s="36"/>
      <c r="D1560" s="36"/>
      <c r="E1560" s="36"/>
      <c r="F1560" s="36"/>
      <c r="G1560" s="36"/>
      <c r="H1560" s="36"/>
      <c r="I1560" s="36"/>
      <c r="J1560" s="36"/>
      <c r="K1560" s="36"/>
      <c r="L1560" s="36"/>
      <c r="M1560" s="36"/>
      <c r="N1560" s="36"/>
      <c r="O1560" s="36"/>
      <c r="P1560" s="36"/>
      <c r="Q1560" s="36"/>
      <c r="R1560" s="36"/>
      <c r="S1560" s="39"/>
    </row>
    <row r="1561">
      <c r="B1561" s="36"/>
      <c r="C1561" s="36"/>
      <c r="D1561" s="36"/>
      <c r="E1561" s="36"/>
      <c r="F1561" s="36"/>
      <c r="G1561" s="36"/>
      <c r="H1561" s="36"/>
      <c r="I1561" s="36"/>
      <c r="J1561" s="36"/>
      <c r="K1561" s="36"/>
      <c r="L1561" s="36"/>
      <c r="M1561" s="36"/>
      <c r="N1561" s="36"/>
      <c r="O1561" s="36"/>
      <c r="P1561" s="36"/>
      <c r="Q1561" s="36"/>
      <c r="R1561" s="36"/>
      <c r="S1561" s="39"/>
    </row>
    <row r="1562">
      <c r="B1562" s="36"/>
      <c r="C1562" s="36"/>
      <c r="D1562" s="36"/>
      <c r="E1562" s="36"/>
      <c r="F1562" s="36"/>
      <c r="G1562" s="36"/>
      <c r="H1562" s="36"/>
      <c r="I1562" s="36"/>
      <c r="J1562" s="36"/>
      <c r="K1562" s="36"/>
      <c r="L1562" s="36"/>
      <c r="M1562" s="36"/>
      <c r="N1562" s="36"/>
      <c r="O1562" s="36"/>
      <c r="P1562" s="36"/>
      <c r="Q1562" s="36"/>
      <c r="R1562" s="36"/>
      <c r="S1562" s="39"/>
    </row>
    <row r="1563">
      <c r="B1563" s="36"/>
      <c r="C1563" s="36"/>
      <c r="D1563" s="36"/>
      <c r="E1563" s="36"/>
      <c r="F1563" s="36"/>
      <c r="G1563" s="36"/>
      <c r="H1563" s="36"/>
      <c r="I1563" s="36"/>
      <c r="J1563" s="36"/>
      <c r="K1563" s="36"/>
      <c r="L1563" s="36"/>
      <c r="M1563" s="36"/>
      <c r="N1563" s="36"/>
      <c r="O1563" s="36"/>
      <c r="P1563" s="36"/>
      <c r="Q1563" s="36"/>
      <c r="R1563" s="36"/>
      <c r="S1563" s="39"/>
    </row>
    <row r="1564">
      <c r="B1564" s="36"/>
      <c r="C1564" s="36"/>
      <c r="D1564" s="36"/>
      <c r="E1564" s="36"/>
      <c r="F1564" s="36"/>
      <c r="G1564" s="36"/>
      <c r="H1564" s="36"/>
      <c r="I1564" s="36"/>
      <c r="J1564" s="36"/>
      <c r="K1564" s="36"/>
      <c r="L1564" s="36"/>
      <c r="M1564" s="36"/>
      <c r="N1564" s="36"/>
      <c r="O1564" s="36"/>
      <c r="P1564" s="36"/>
      <c r="Q1564" s="36"/>
      <c r="R1564" s="36"/>
      <c r="S1564" s="39"/>
    </row>
    <row r="1565">
      <c r="B1565" s="36"/>
      <c r="C1565" s="36"/>
      <c r="D1565" s="36"/>
      <c r="E1565" s="36"/>
      <c r="F1565" s="36"/>
      <c r="G1565" s="36"/>
      <c r="H1565" s="36"/>
      <c r="I1565" s="36"/>
      <c r="J1565" s="36"/>
      <c r="K1565" s="36"/>
      <c r="L1565" s="36"/>
      <c r="M1565" s="36"/>
      <c r="N1565" s="36"/>
      <c r="O1565" s="36"/>
      <c r="P1565" s="36"/>
      <c r="Q1565" s="36"/>
      <c r="R1565" s="36"/>
      <c r="S1565" s="39"/>
    </row>
    <row r="1566">
      <c r="B1566" s="36"/>
      <c r="C1566" s="36"/>
      <c r="D1566" s="36"/>
      <c r="E1566" s="36"/>
      <c r="F1566" s="36"/>
      <c r="G1566" s="36"/>
      <c r="H1566" s="36"/>
      <c r="I1566" s="36"/>
      <c r="J1566" s="36"/>
      <c r="K1566" s="36"/>
      <c r="L1566" s="36"/>
      <c r="M1566" s="36"/>
      <c r="N1566" s="36"/>
      <c r="O1566" s="36"/>
      <c r="P1566" s="36"/>
      <c r="Q1566" s="36"/>
      <c r="R1566" s="36"/>
      <c r="S1566" s="39"/>
    </row>
    <row r="1567">
      <c r="B1567" s="36"/>
      <c r="C1567" s="36"/>
      <c r="D1567" s="36"/>
      <c r="E1567" s="36"/>
      <c r="F1567" s="36"/>
      <c r="G1567" s="36"/>
      <c r="H1567" s="36"/>
      <c r="I1567" s="36"/>
      <c r="J1567" s="36"/>
      <c r="K1567" s="36"/>
      <c r="L1567" s="36"/>
      <c r="M1567" s="36"/>
      <c r="N1567" s="36"/>
      <c r="O1567" s="36"/>
      <c r="P1567" s="36"/>
      <c r="Q1567" s="36"/>
      <c r="R1567" s="36"/>
      <c r="S1567" s="39"/>
    </row>
    <row r="1568">
      <c r="B1568" s="36"/>
      <c r="C1568" s="36"/>
      <c r="D1568" s="36"/>
      <c r="E1568" s="36"/>
      <c r="F1568" s="36"/>
      <c r="G1568" s="36"/>
      <c r="H1568" s="36"/>
      <c r="I1568" s="36"/>
      <c r="J1568" s="36"/>
      <c r="K1568" s="36"/>
      <c r="L1568" s="36"/>
      <c r="M1568" s="36"/>
      <c r="N1568" s="36"/>
      <c r="O1568" s="36"/>
      <c r="P1568" s="36"/>
      <c r="Q1568" s="36"/>
      <c r="R1568" s="36"/>
      <c r="S1568" s="39"/>
    </row>
    <row r="1569">
      <c r="B1569" s="36"/>
      <c r="C1569" s="36"/>
      <c r="D1569" s="36"/>
      <c r="E1569" s="36"/>
      <c r="F1569" s="36"/>
      <c r="G1569" s="36"/>
      <c r="H1569" s="36"/>
      <c r="I1569" s="36"/>
      <c r="J1569" s="36"/>
      <c r="K1569" s="36"/>
      <c r="L1569" s="36"/>
      <c r="M1569" s="36"/>
      <c r="N1569" s="36"/>
      <c r="O1569" s="36"/>
      <c r="P1569" s="36"/>
      <c r="Q1569" s="36"/>
      <c r="R1569" s="36"/>
      <c r="S1569" s="39"/>
    </row>
    <row r="1570">
      <c r="B1570" s="36"/>
      <c r="C1570" s="36"/>
      <c r="D1570" s="36"/>
      <c r="E1570" s="36"/>
      <c r="F1570" s="36"/>
      <c r="G1570" s="36"/>
      <c r="H1570" s="36"/>
      <c r="I1570" s="36"/>
      <c r="J1570" s="36"/>
      <c r="K1570" s="36"/>
      <c r="L1570" s="36"/>
      <c r="M1570" s="36"/>
      <c r="N1570" s="36"/>
      <c r="O1570" s="36"/>
      <c r="P1570" s="36"/>
      <c r="Q1570" s="36"/>
      <c r="R1570" s="36"/>
      <c r="S1570" s="39"/>
    </row>
    <row r="1571">
      <c r="B1571" s="36"/>
      <c r="C1571" s="36"/>
      <c r="D1571" s="36"/>
      <c r="E1571" s="36"/>
      <c r="F1571" s="36"/>
      <c r="G1571" s="36"/>
      <c r="H1571" s="36"/>
      <c r="I1571" s="36"/>
      <c r="J1571" s="36"/>
      <c r="K1571" s="36"/>
      <c r="L1571" s="36"/>
      <c r="M1571" s="36"/>
      <c r="N1571" s="36"/>
      <c r="O1571" s="36"/>
      <c r="P1571" s="36"/>
      <c r="Q1571" s="36"/>
      <c r="R1571" s="36"/>
      <c r="S1571" s="39"/>
    </row>
    <row r="1572">
      <c r="B1572" s="36"/>
      <c r="C1572" s="36"/>
      <c r="D1572" s="36"/>
      <c r="E1572" s="36"/>
      <c r="F1572" s="36"/>
      <c r="G1572" s="36"/>
      <c r="H1572" s="36"/>
      <c r="I1572" s="36"/>
      <c r="J1572" s="36"/>
      <c r="K1572" s="36"/>
      <c r="L1572" s="36"/>
      <c r="M1572" s="36"/>
      <c r="N1572" s="36"/>
      <c r="O1572" s="36"/>
      <c r="P1572" s="36"/>
      <c r="Q1572" s="36"/>
      <c r="R1572" s="36"/>
      <c r="S1572" s="39"/>
    </row>
    <row r="1573">
      <c r="B1573" s="36"/>
      <c r="C1573" s="36"/>
      <c r="D1573" s="36"/>
      <c r="E1573" s="36"/>
      <c r="F1573" s="36"/>
      <c r="G1573" s="36"/>
      <c r="H1573" s="36"/>
      <c r="I1573" s="36"/>
      <c r="J1573" s="36"/>
      <c r="K1573" s="36"/>
      <c r="L1573" s="36"/>
      <c r="M1573" s="36"/>
      <c r="N1573" s="36"/>
      <c r="O1573" s="36"/>
      <c r="P1573" s="36"/>
      <c r="Q1573" s="36"/>
      <c r="R1573" s="36"/>
      <c r="S1573" s="39"/>
    </row>
    <row r="1574">
      <c r="B1574" s="36"/>
      <c r="C1574" s="36"/>
      <c r="D1574" s="36"/>
      <c r="E1574" s="36"/>
      <c r="F1574" s="36"/>
      <c r="G1574" s="36"/>
      <c r="H1574" s="36"/>
      <c r="I1574" s="36"/>
      <c r="J1574" s="36"/>
      <c r="K1574" s="36"/>
      <c r="L1574" s="36"/>
      <c r="M1574" s="36"/>
      <c r="N1574" s="36"/>
      <c r="O1574" s="36"/>
      <c r="P1574" s="36"/>
      <c r="Q1574" s="36"/>
      <c r="R1574" s="36"/>
      <c r="S1574" s="39"/>
    </row>
    <row r="1575">
      <c r="B1575" s="36"/>
      <c r="C1575" s="36"/>
      <c r="D1575" s="36"/>
      <c r="E1575" s="36"/>
      <c r="F1575" s="36"/>
      <c r="G1575" s="36"/>
      <c r="H1575" s="36"/>
      <c r="I1575" s="36"/>
      <c r="J1575" s="36"/>
      <c r="K1575" s="36"/>
      <c r="L1575" s="36"/>
      <c r="M1575" s="36"/>
      <c r="N1575" s="36"/>
      <c r="O1575" s="36"/>
      <c r="P1575" s="36"/>
      <c r="Q1575" s="36"/>
      <c r="R1575" s="36"/>
      <c r="S1575" s="39"/>
    </row>
    <row r="1576">
      <c r="B1576" s="36"/>
      <c r="C1576" s="36"/>
      <c r="D1576" s="36"/>
      <c r="E1576" s="36"/>
      <c r="F1576" s="36"/>
      <c r="G1576" s="36"/>
      <c r="H1576" s="36"/>
      <c r="I1576" s="36"/>
      <c r="J1576" s="36"/>
      <c r="K1576" s="36"/>
      <c r="L1576" s="36"/>
      <c r="M1576" s="36"/>
      <c r="N1576" s="36"/>
      <c r="O1576" s="36"/>
      <c r="P1576" s="36"/>
      <c r="Q1576" s="36"/>
      <c r="R1576" s="36"/>
      <c r="S1576" s="39"/>
    </row>
    <row r="1577">
      <c r="B1577" s="36"/>
      <c r="C1577" s="36"/>
      <c r="D1577" s="36"/>
      <c r="E1577" s="36"/>
      <c r="F1577" s="36"/>
      <c r="G1577" s="36"/>
      <c r="H1577" s="36"/>
      <c r="I1577" s="36"/>
      <c r="J1577" s="36"/>
      <c r="K1577" s="36"/>
      <c r="L1577" s="36"/>
      <c r="M1577" s="36"/>
      <c r="N1577" s="36"/>
      <c r="O1577" s="36"/>
      <c r="P1577" s="36"/>
      <c r="Q1577" s="36"/>
      <c r="R1577" s="36"/>
      <c r="S1577" s="39"/>
    </row>
    <row r="1578">
      <c r="B1578" s="36"/>
      <c r="C1578" s="36"/>
      <c r="D1578" s="36"/>
      <c r="E1578" s="36"/>
      <c r="F1578" s="36"/>
      <c r="G1578" s="36"/>
      <c r="H1578" s="36"/>
      <c r="I1578" s="36"/>
      <c r="J1578" s="36"/>
      <c r="K1578" s="36"/>
      <c r="L1578" s="36"/>
      <c r="M1578" s="36"/>
      <c r="N1578" s="36"/>
      <c r="O1578" s="36"/>
      <c r="P1578" s="36"/>
      <c r="Q1578" s="36"/>
      <c r="R1578" s="36"/>
      <c r="S1578" s="39"/>
    </row>
    <row r="1579">
      <c r="B1579" s="36"/>
      <c r="C1579" s="36"/>
      <c r="D1579" s="36"/>
      <c r="E1579" s="36"/>
      <c r="F1579" s="36"/>
      <c r="G1579" s="36"/>
      <c r="H1579" s="36"/>
      <c r="I1579" s="36"/>
      <c r="J1579" s="36"/>
      <c r="K1579" s="36"/>
      <c r="L1579" s="36"/>
      <c r="M1579" s="36"/>
      <c r="N1579" s="36"/>
      <c r="O1579" s="36"/>
      <c r="P1579" s="36"/>
      <c r="Q1579" s="36"/>
      <c r="R1579" s="36"/>
      <c r="S1579" s="39"/>
    </row>
    <row r="1580">
      <c r="B1580" s="36"/>
      <c r="C1580" s="36"/>
      <c r="D1580" s="36"/>
      <c r="E1580" s="36"/>
      <c r="F1580" s="36"/>
      <c r="G1580" s="36"/>
      <c r="H1580" s="36"/>
      <c r="I1580" s="36"/>
      <c r="J1580" s="36"/>
      <c r="K1580" s="36"/>
      <c r="L1580" s="36"/>
      <c r="M1580" s="36"/>
      <c r="N1580" s="36"/>
      <c r="O1580" s="36"/>
      <c r="P1580" s="36"/>
      <c r="Q1580" s="36"/>
      <c r="R1580" s="36"/>
      <c r="S1580" s="39"/>
    </row>
    <row r="1581">
      <c r="B1581" s="36"/>
      <c r="C1581" s="36"/>
      <c r="D1581" s="36"/>
      <c r="E1581" s="36"/>
      <c r="F1581" s="36"/>
      <c r="G1581" s="36"/>
      <c r="H1581" s="36"/>
      <c r="I1581" s="36"/>
      <c r="J1581" s="36"/>
      <c r="K1581" s="36"/>
      <c r="L1581" s="36"/>
      <c r="M1581" s="36"/>
      <c r="N1581" s="36"/>
      <c r="O1581" s="36"/>
      <c r="P1581" s="36"/>
      <c r="Q1581" s="36"/>
      <c r="R1581" s="36"/>
      <c r="S1581" s="39"/>
    </row>
    <row r="1582">
      <c r="B1582" s="36"/>
      <c r="C1582" s="36"/>
      <c r="D1582" s="36"/>
      <c r="E1582" s="36"/>
      <c r="F1582" s="36"/>
      <c r="G1582" s="36"/>
      <c r="H1582" s="36"/>
      <c r="I1582" s="36"/>
      <c r="J1582" s="36"/>
      <c r="K1582" s="36"/>
      <c r="L1582" s="36"/>
      <c r="M1582" s="36"/>
      <c r="N1582" s="36"/>
      <c r="O1582" s="36"/>
      <c r="P1582" s="36"/>
      <c r="Q1582" s="36"/>
      <c r="R1582" s="36"/>
      <c r="S1582" s="39"/>
    </row>
    <row r="1583">
      <c r="B1583" s="36"/>
      <c r="C1583" s="36"/>
      <c r="D1583" s="36"/>
      <c r="E1583" s="36"/>
      <c r="F1583" s="36"/>
      <c r="G1583" s="36"/>
      <c r="H1583" s="36"/>
      <c r="I1583" s="36"/>
      <c r="J1583" s="36"/>
      <c r="K1583" s="36"/>
      <c r="L1583" s="36"/>
      <c r="M1583" s="36"/>
      <c r="N1583" s="36"/>
      <c r="O1583" s="36"/>
      <c r="P1583" s="36"/>
      <c r="Q1583" s="36"/>
      <c r="R1583" s="36"/>
      <c r="S1583" s="39"/>
    </row>
    <row r="1584">
      <c r="B1584" s="36"/>
      <c r="C1584" s="36"/>
      <c r="D1584" s="36"/>
      <c r="E1584" s="36"/>
      <c r="F1584" s="36"/>
      <c r="G1584" s="36"/>
      <c r="H1584" s="36"/>
      <c r="I1584" s="36"/>
      <c r="J1584" s="36"/>
      <c r="K1584" s="36"/>
      <c r="L1584" s="36"/>
      <c r="M1584" s="36"/>
      <c r="N1584" s="36"/>
      <c r="O1584" s="36"/>
      <c r="P1584" s="36"/>
      <c r="Q1584" s="36"/>
      <c r="R1584" s="36"/>
      <c r="S1584" s="39"/>
    </row>
    <row r="1585">
      <c r="B1585" s="36"/>
      <c r="C1585" s="36"/>
      <c r="D1585" s="36"/>
      <c r="E1585" s="36"/>
      <c r="F1585" s="36"/>
      <c r="G1585" s="36"/>
      <c r="H1585" s="36"/>
      <c r="I1585" s="36"/>
      <c r="J1585" s="36"/>
      <c r="K1585" s="36"/>
      <c r="L1585" s="36"/>
      <c r="M1585" s="36"/>
      <c r="N1585" s="36"/>
      <c r="O1585" s="36"/>
      <c r="P1585" s="36"/>
      <c r="Q1585" s="36"/>
      <c r="R1585" s="36"/>
      <c r="S1585" s="39"/>
    </row>
    <row r="1586">
      <c r="B1586" s="36"/>
      <c r="C1586" s="36"/>
      <c r="D1586" s="36"/>
      <c r="E1586" s="36"/>
      <c r="F1586" s="36"/>
      <c r="G1586" s="36"/>
      <c r="H1586" s="36"/>
      <c r="I1586" s="36"/>
      <c r="J1586" s="36"/>
      <c r="K1586" s="36"/>
      <c r="L1586" s="36"/>
      <c r="M1586" s="36"/>
      <c r="N1586" s="36"/>
      <c r="O1586" s="36"/>
      <c r="P1586" s="36"/>
      <c r="Q1586" s="36"/>
      <c r="R1586" s="36"/>
      <c r="S1586" s="39"/>
    </row>
    <row r="1587">
      <c r="B1587" s="36"/>
      <c r="C1587" s="36"/>
      <c r="D1587" s="36"/>
      <c r="E1587" s="36"/>
      <c r="F1587" s="36"/>
      <c r="G1587" s="36"/>
      <c r="H1587" s="36"/>
      <c r="I1587" s="36"/>
      <c r="J1587" s="36"/>
      <c r="K1587" s="36"/>
      <c r="L1587" s="36"/>
      <c r="M1587" s="36"/>
      <c r="N1587" s="36"/>
      <c r="O1587" s="36"/>
      <c r="P1587" s="36"/>
      <c r="Q1587" s="36"/>
      <c r="R1587" s="36"/>
      <c r="S1587" s="39"/>
    </row>
    <row r="1588">
      <c r="B1588" s="36"/>
      <c r="C1588" s="36"/>
      <c r="D1588" s="36"/>
      <c r="E1588" s="36"/>
      <c r="F1588" s="36"/>
      <c r="G1588" s="36"/>
      <c r="H1588" s="36"/>
      <c r="I1588" s="36"/>
      <c r="J1588" s="36"/>
      <c r="K1588" s="36"/>
      <c r="L1588" s="36"/>
      <c r="M1588" s="36"/>
      <c r="N1588" s="36"/>
      <c r="O1588" s="36"/>
      <c r="P1588" s="36"/>
      <c r="Q1588" s="36"/>
      <c r="R1588" s="36"/>
      <c r="S1588" s="39"/>
    </row>
    <row r="1589">
      <c r="B1589" s="36"/>
      <c r="C1589" s="36"/>
      <c r="D1589" s="36"/>
      <c r="E1589" s="36"/>
      <c r="F1589" s="36"/>
      <c r="G1589" s="36"/>
      <c r="H1589" s="36"/>
      <c r="I1589" s="36"/>
      <c r="J1589" s="36"/>
      <c r="K1589" s="36"/>
      <c r="L1589" s="36"/>
      <c r="M1589" s="36"/>
      <c r="N1589" s="36"/>
      <c r="O1589" s="36"/>
      <c r="P1589" s="36"/>
      <c r="Q1589" s="36"/>
      <c r="R1589" s="36"/>
      <c r="S1589" s="39"/>
    </row>
    <row r="1590">
      <c r="B1590" s="36"/>
      <c r="C1590" s="36"/>
      <c r="D1590" s="36"/>
      <c r="E1590" s="36"/>
      <c r="F1590" s="36"/>
      <c r="G1590" s="36"/>
      <c r="H1590" s="36"/>
      <c r="I1590" s="36"/>
      <c r="J1590" s="36"/>
      <c r="K1590" s="36"/>
      <c r="L1590" s="36"/>
      <c r="M1590" s="36"/>
      <c r="N1590" s="36"/>
      <c r="O1590" s="36"/>
      <c r="P1590" s="36"/>
      <c r="Q1590" s="36"/>
      <c r="R1590" s="36"/>
      <c r="S1590" s="39"/>
    </row>
    <row r="1591">
      <c r="B1591" s="36"/>
      <c r="C1591" s="36"/>
      <c r="D1591" s="36"/>
      <c r="E1591" s="36"/>
      <c r="F1591" s="36"/>
      <c r="G1591" s="36"/>
      <c r="H1591" s="36"/>
      <c r="I1591" s="36"/>
      <c r="J1591" s="36"/>
      <c r="K1591" s="36"/>
      <c r="L1591" s="36"/>
      <c r="M1591" s="36"/>
      <c r="N1591" s="36"/>
      <c r="O1591" s="36"/>
      <c r="P1591" s="36"/>
      <c r="Q1591" s="36"/>
      <c r="R1591" s="36"/>
      <c r="S1591" s="39"/>
    </row>
    <row r="1592">
      <c r="B1592" s="36"/>
      <c r="C1592" s="36"/>
      <c r="D1592" s="36"/>
      <c r="E1592" s="36"/>
      <c r="F1592" s="36"/>
      <c r="G1592" s="36"/>
      <c r="H1592" s="36"/>
      <c r="I1592" s="36"/>
      <c r="J1592" s="36"/>
      <c r="K1592" s="36"/>
      <c r="L1592" s="36"/>
      <c r="M1592" s="36"/>
      <c r="N1592" s="36"/>
      <c r="O1592" s="36"/>
      <c r="P1592" s="36"/>
      <c r="Q1592" s="36"/>
      <c r="R1592" s="36"/>
      <c r="S1592" s="39"/>
    </row>
    <row r="1593">
      <c r="B1593" s="36"/>
      <c r="C1593" s="36"/>
      <c r="D1593" s="36"/>
      <c r="E1593" s="36"/>
      <c r="F1593" s="36"/>
      <c r="G1593" s="36"/>
      <c r="H1593" s="36"/>
      <c r="I1593" s="36"/>
      <c r="J1593" s="36"/>
      <c r="K1593" s="36"/>
      <c r="L1593" s="36"/>
      <c r="M1593" s="36"/>
      <c r="N1593" s="36"/>
      <c r="O1593" s="36"/>
      <c r="P1593" s="36"/>
      <c r="Q1593" s="36"/>
      <c r="R1593" s="36"/>
      <c r="S1593" s="39"/>
    </row>
    <row r="1594">
      <c r="B1594" s="36"/>
      <c r="C1594" s="36"/>
      <c r="D1594" s="36"/>
      <c r="E1594" s="36"/>
      <c r="F1594" s="36"/>
      <c r="G1594" s="36"/>
      <c r="H1594" s="36"/>
      <c r="I1594" s="36"/>
      <c r="J1594" s="36"/>
      <c r="K1594" s="36"/>
      <c r="L1594" s="36"/>
      <c r="M1594" s="36"/>
      <c r="N1594" s="36"/>
      <c r="O1594" s="36"/>
      <c r="P1594" s="36"/>
      <c r="Q1594" s="36"/>
      <c r="R1594" s="36"/>
      <c r="S1594" s="39"/>
    </row>
    <row r="1595">
      <c r="B1595" s="36"/>
      <c r="C1595" s="36"/>
      <c r="D1595" s="36"/>
      <c r="E1595" s="36"/>
      <c r="F1595" s="36"/>
      <c r="G1595" s="36"/>
      <c r="H1595" s="36"/>
      <c r="I1595" s="36"/>
      <c r="J1595" s="36"/>
      <c r="K1595" s="36"/>
      <c r="L1595" s="36"/>
      <c r="M1595" s="36"/>
      <c r="N1595" s="36"/>
      <c r="O1595" s="36"/>
      <c r="P1595" s="36"/>
      <c r="Q1595" s="36"/>
      <c r="R1595" s="36"/>
      <c r="S1595" s="39"/>
    </row>
    <row r="1596">
      <c r="B1596" s="36"/>
      <c r="C1596" s="36"/>
      <c r="D1596" s="36"/>
      <c r="E1596" s="36"/>
      <c r="F1596" s="36"/>
      <c r="G1596" s="36"/>
      <c r="H1596" s="36"/>
      <c r="I1596" s="36"/>
      <c r="J1596" s="36"/>
      <c r="K1596" s="36"/>
      <c r="L1596" s="36"/>
      <c r="M1596" s="36"/>
      <c r="N1596" s="36"/>
      <c r="O1596" s="36"/>
      <c r="P1596" s="36"/>
      <c r="Q1596" s="36"/>
      <c r="R1596" s="36"/>
      <c r="S1596" s="39"/>
    </row>
    <row r="1597">
      <c r="B1597" s="36"/>
      <c r="C1597" s="36"/>
      <c r="D1597" s="36"/>
      <c r="E1597" s="36"/>
      <c r="F1597" s="36"/>
      <c r="G1597" s="36"/>
      <c r="H1597" s="36"/>
      <c r="I1597" s="36"/>
      <c r="J1597" s="36"/>
      <c r="K1597" s="36"/>
      <c r="L1597" s="36"/>
      <c r="M1597" s="36"/>
      <c r="N1597" s="36"/>
      <c r="O1597" s="36"/>
      <c r="P1597" s="36"/>
      <c r="Q1597" s="36"/>
      <c r="R1597" s="36"/>
      <c r="S1597" s="39"/>
    </row>
    <row r="1598">
      <c r="B1598" s="36"/>
      <c r="C1598" s="36"/>
      <c r="D1598" s="36"/>
      <c r="E1598" s="36"/>
      <c r="F1598" s="36"/>
      <c r="G1598" s="36"/>
      <c r="H1598" s="36"/>
      <c r="I1598" s="36"/>
      <c r="J1598" s="36"/>
      <c r="K1598" s="36"/>
      <c r="L1598" s="36"/>
      <c r="M1598" s="36"/>
      <c r="N1598" s="36"/>
      <c r="O1598" s="36"/>
      <c r="P1598" s="36"/>
      <c r="Q1598" s="36"/>
      <c r="R1598" s="36"/>
      <c r="S1598" s="39"/>
    </row>
    <row r="1599">
      <c r="B1599" s="36"/>
      <c r="C1599" s="36"/>
      <c r="D1599" s="36"/>
      <c r="E1599" s="36"/>
      <c r="F1599" s="36"/>
      <c r="G1599" s="36"/>
      <c r="H1599" s="36"/>
      <c r="I1599" s="36"/>
      <c r="J1599" s="36"/>
      <c r="K1599" s="36"/>
      <c r="L1599" s="36"/>
      <c r="M1599" s="36"/>
      <c r="N1599" s="36"/>
      <c r="O1599" s="36"/>
      <c r="P1599" s="36"/>
      <c r="Q1599" s="36"/>
      <c r="R1599" s="36"/>
      <c r="S1599" s="39"/>
    </row>
    <row r="1600">
      <c r="B1600" s="36"/>
      <c r="C1600" s="36"/>
      <c r="D1600" s="36"/>
      <c r="E1600" s="36"/>
      <c r="F1600" s="36"/>
      <c r="G1600" s="36"/>
      <c r="H1600" s="36"/>
      <c r="I1600" s="36"/>
      <c r="J1600" s="36"/>
      <c r="K1600" s="36"/>
      <c r="L1600" s="36"/>
      <c r="M1600" s="36"/>
      <c r="N1600" s="36"/>
      <c r="O1600" s="36"/>
      <c r="P1600" s="36"/>
      <c r="Q1600" s="36"/>
      <c r="R1600" s="36"/>
      <c r="S1600" s="39"/>
    </row>
    <row r="1601">
      <c r="B1601" s="36"/>
      <c r="C1601" s="36"/>
      <c r="D1601" s="36"/>
      <c r="E1601" s="36"/>
      <c r="F1601" s="36"/>
      <c r="G1601" s="36"/>
      <c r="H1601" s="36"/>
      <c r="I1601" s="36"/>
      <c r="J1601" s="36"/>
      <c r="K1601" s="36"/>
      <c r="L1601" s="36"/>
      <c r="M1601" s="36"/>
      <c r="N1601" s="36"/>
      <c r="O1601" s="36"/>
      <c r="P1601" s="36"/>
      <c r="Q1601" s="36"/>
      <c r="R1601" s="36"/>
      <c r="S1601" s="39"/>
    </row>
    <row r="1602">
      <c r="B1602" s="36"/>
      <c r="C1602" s="36"/>
      <c r="D1602" s="36"/>
      <c r="E1602" s="36"/>
      <c r="F1602" s="36"/>
      <c r="G1602" s="36"/>
      <c r="H1602" s="36"/>
      <c r="I1602" s="36"/>
      <c r="J1602" s="36"/>
      <c r="K1602" s="36"/>
      <c r="L1602" s="36"/>
      <c r="M1602" s="36"/>
      <c r="N1602" s="36"/>
      <c r="O1602" s="36"/>
      <c r="P1602" s="36"/>
      <c r="Q1602" s="36"/>
      <c r="R1602" s="36"/>
      <c r="S1602" s="39"/>
    </row>
    <row r="1603">
      <c r="B1603" s="36"/>
      <c r="C1603" s="36"/>
      <c r="D1603" s="36"/>
      <c r="E1603" s="36"/>
      <c r="F1603" s="36"/>
      <c r="G1603" s="36"/>
      <c r="H1603" s="36"/>
      <c r="I1603" s="36"/>
      <c r="J1603" s="36"/>
      <c r="K1603" s="36"/>
      <c r="L1603" s="36"/>
      <c r="M1603" s="36"/>
      <c r="N1603" s="36"/>
      <c r="O1603" s="36"/>
      <c r="P1603" s="36"/>
      <c r="Q1603" s="36"/>
      <c r="R1603" s="36"/>
      <c r="S1603" s="39"/>
    </row>
    <row r="1604">
      <c r="B1604" s="36"/>
      <c r="C1604" s="36"/>
      <c r="D1604" s="36"/>
      <c r="E1604" s="36"/>
      <c r="F1604" s="36"/>
      <c r="G1604" s="36"/>
      <c r="H1604" s="36"/>
      <c r="I1604" s="36"/>
      <c r="J1604" s="36"/>
      <c r="K1604" s="36"/>
      <c r="L1604" s="36"/>
      <c r="M1604" s="36"/>
      <c r="N1604" s="36"/>
      <c r="O1604" s="36"/>
      <c r="P1604" s="36"/>
      <c r="Q1604" s="36"/>
      <c r="R1604" s="36"/>
      <c r="S1604" s="39"/>
    </row>
    <row r="1605">
      <c r="B1605" s="36"/>
      <c r="C1605" s="36"/>
      <c r="D1605" s="36"/>
      <c r="E1605" s="36"/>
      <c r="F1605" s="36"/>
      <c r="G1605" s="36"/>
      <c r="H1605" s="36"/>
      <c r="I1605" s="36"/>
      <c r="J1605" s="36"/>
      <c r="K1605" s="36"/>
      <c r="L1605" s="36"/>
      <c r="M1605" s="36"/>
      <c r="N1605" s="36"/>
      <c r="O1605" s="36"/>
      <c r="P1605" s="36"/>
      <c r="Q1605" s="36"/>
      <c r="R1605" s="36"/>
      <c r="S1605" s="39"/>
    </row>
    <row r="1606">
      <c r="B1606" s="36"/>
      <c r="C1606" s="36"/>
      <c r="D1606" s="36"/>
      <c r="E1606" s="36"/>
      <c r="F1606" s="36"/>
      <c r="G1606" s="36"/>
      <c r="H1606" s="36"/>
      <c r="I1606" s="36"/>
      <c r="J1606" s="36"/>
      <c r="K1606" s="36"/>
      <c r="L1606" s="36"/>
      <c r="M1606" s="36"/>
      <c r="N1606" s="36"/>
      <c r="O1606" s="36"/>
      <c r="P1606" s="36"/>
      <c r="Q1606" s="36"/>
      <c r="R1606" s="36"/>
      <c r="S1606" s="39"/>
    </row>
    <row r="1607">
      <c r="B1607" s="36"/>
      <c r="C1607" s="36"/>
      <c r="D1607" s="36"/>
      <c r="E1607" s="36"/>
      <c r="F1607" s="36"/>
      <c r="G1607" s="36"/>
      <c r="H1607" s="36"/>
      <c r="I1607" s="36"/>
      <c r="J1607" s="36"/>
      <c r="K1607" s="36"/>
      <c r="L1607" s="36"/>
      <c r="M1607" s="36"/>
      <c r="N1607" s="36"/>
      <c r="O1607" s="36"/>
      <c r="P1607" s="36"/>
      <c r="Q1607" s="36"/>
      <c r="R1607" s="36"/>
      <c r="S1607" s="39"/>
    </row>
    <row r="1608">
      <c r="B1608" s="36"/>
      <c r="C1608" s="36"/>
      <c r="D1608" s="36"/>
      <c r="E1608" s="36"/>
      <c r="F1608" s="36"/>
      <c r="G1608" s="36"/>
      <c r="H1608" s="36"/>
      <c r="I1608" s="36"/>
      <c r="J1608" s="36"/>
      <c r="K1608" s="36"/>
      <c r="L1608" s="36"/>
      <c r="M1608" s="36"/>
      <c r="N1608" s="36"/>
      <c r="O1608" s="36"/>
      <c r="P1608" s="36"/>
      <c r="Q1608" s="36"/>
      <c r="R1608" s="36"/>
      <c r="S1608" s="39"/>
    </row>
    <row r="1609">
      <c r="B1609" s="36"/>
      <c r="C1609" s="36"/>
      <c r="D1609" s="36"/>
      <c r="E1609" s="36"/>
      <c r="F1609" s="36"/>
      <c r="G1609" s="36"/>
      <c r="H1609" s="36"/>
      <c r="I1609" s="36"/>
      <c r="J1609" s="36"/>
      <c r="K1609" s="36"/>
      <c r="L1609" s="36"/>
      <c r="M1609" s="36"/>
      <c r="N1609" s="36"/>
      <c r="O1609" s="36"/>
      <c r="P1609" s="36"/>
      <c r="Q1609" s="36"/>
      <c r="R1609" s="36"/>
      <c r="S1609" s="39"/>
    </row>
    <row r="1610">
      <c r="B1610" s="36"/>
      <c r="C1610" s="36"/>
      <c r="D1610" s="36"/>
      <c r="E1610" s="36"/>
      <c r="F1610" s="36"/>
      <c r="G1610" s="36"/>
      <c r="H1610" s="36"/>
      <c r="I1610" s="36"/>
      <c r="J1610" s="36"/>
      <c r="K1610" s="36"/>
      <c r="L1610" s="36"/>
      <c r="M1610" s="36"/>
      <c r="N1610" s="36"/>
      <c r="O1610" s="36"/>
      <c r="P1610" s="36"/>
      <c r="Q1610" s="36"/>
      <c r="R1610" s="36"/>
      <c r="S1610" s="39"/>
    </row>
    <row r="1611">
      <c r="B1611" s="36"/>
      <c r="C1611" s="36"/>
      <c r="D1611" s="36"/>
      <c r="E1611" s="36"/>
      <c r="F1611" s="36"/>
      <c r="G1611" s="36"/>
      <c r="H1611" s="36"/>
      <c r="I1611" s="36"/>
      <c r="J1611" s="36"/>
      <c r="K1611" s="36"/>
      <c r="L1611" s="36"/>
      <c r="M1611" s="36"/>
      <c r="N1611" s="36"/>
      <c r="O1611" s="36"/>
      <c r="P1611" s="36"/>
      <c r="Q1611" s="36"/>
      <c r="R1611" s="36"/>
      <c r="S1611" s="39"/>
    </row>
    <row r="1612">
      <c r="B1612" s="36"/>
      <c r="C1612" s="36"/>
      <c r="D1612" s="36"/>
      <c r="E1612" s="36"/>
      <c r="F1612" s="36"/>
      <c r="G1612" s="36"/>
      <c r="H1612" s="36"/>
      <c r="I1612" s="36"/>
      <c r="J1612" s="36"/>
      <c r="K1612" s="36"/>
      <c r="L1612" s="36"/>
      <c r="M1612" s="36"/>
      <c r="N1612" s="36"/>
      <c r="O1612" s="36"/>
      <c r="P1612" s="36"/>
      <c r="Q1612" s="36"/>
      <c r="R1612" s="36"/>
      <c r="S1612" s="39"/>
    </row>
    <row r="1613">
      <c r="B1613" s="36"/>
      <c r="C1613" s="36"/>
      <c r="D1613" s="36"/>
      <c r="E1613" s="36"/>
      <c r="F1613" s="36"/>
      <c r="G1613" s="36"/>
      <c r="H1613" s="36"/>
      <c r="I1613" s="36"/>
      <c r="J1613" s="36"/>
      <c r="K1613" s="36"/>
      <c r="L1613" s="36"/>
      <c r="M1613" s="36"/>
      <c r="N1613" s="36"/>
      <c r="O1613" s="36"/>
      <c r="P1613" s="36"/>
      <c r="Q1613" s="36"/>
      <c r="R1613" s="36"/>
      <c r="S1613" s="39"/>
    </row>
    <row r="1614">
      <c r="B1614" s="36"/>
      <c r="C1614" s="36"/>
      <c r="D1614" s="36"/>
      <c r="E1614" s="36"/>
      <c r="F1614" s="36"/>
      <c r="G1614" s="36"/>
      <c r="H1614" s="36"/>
      <c r="I1614" s="36"/>
      <c r="J1614" s="36"/>
      <c r="K1614" s="36"/>
      <c r="L1614" s="36"/>
      <c r="M1614" s="36"/>
      <c r="N1614" s="36"/>
      <c r="O1614" s="36"/>
      <c r="P1614" s="36"/>
      <c r="Q1614" s="36"/>
      <c r="R1614" s="36"/>
      <c r="S1614" s="39"/>
    </row>
    <row r="1615">
      <c r="B1615" s="36"/>
      <c r="C1615" s="36"/>
      <c r="D1615" s="36"/>
      <c r="E1615" s="36"/>
      <c r="F1615" s="36"/>
      <c r="G1615" s="36"/>
      <c r="H1615" s="36"/>
      <c r="I1615" s="36"/>
      <c r="J1615" s="36"/>
      <c r="K1615" s="36"/>
      <c r="L1615" s="36"/>
      <c r="M1615" s="36"/>
      <c r="N1615" s="36"/>
      <c r="O1615" s="36"/>
      <c r="P1615" s="36"/>
      <c r="Q1615" s="36"/>
      <c r="R1615" s="36"/>
      <c r="S1615" s="39"/>
    </row>
    <row r="1616">
      <c r="B1616" s="36"/>
      <c r="C1616" s="36"/>
      <c r="D1616" s="36"/>
      <c r="E1616" s="36"/>
      <c r="F1616" s="36"/>
      <c r="G1616" s="36"/>
      <c r="H1616" s="36"/>
      <c r="I1616" s="36"/>
      <c r="J1616" s="36"/>
      <c r="K1616" s="36"/>
      <c r="L1616" s="36"/>
      <c r="M1616" s="36"/>
      <c r="N1616" s="36"/>
      <c r="O1616" s="36"/>
      <c r="P1616" s="36"/>
      <c r="Q1616" s="36"/>
      <c r="R1616" s="36"/>
      <c r="S1616" s="39"/>
    </row>
    <row r="1617">
      <c r="B1617" s="36"/>
      <c r="C1617" s="36"/>
      <c r="D1617" s="36"/>
      <c r="E1617" s="36"/>
      <c r="F1617" s="36"/>
      <c r="G1617" s="36"/>
      <c r="H1617" s="36"/>
      <c r="I1617" s="36"/>
      <c r="J1617" s="36"/>
      <c r="K1617" s="36"/>
      <c r="L1617" s="36"/>
      <c r="M1617" s="36"/>
      <c r="N1617" s="36"/>
      <c r="O1617" s="36"/>
      <c r="P1617" s="36"/>
      <c r="Q1617" s="36"/>
      <c r="R1617" s="36"/>
      <c r="S1617" s="39"/>
    </row>
    <row r="1618">
      <c r="B1618" s="36"/>
      <c r="C1618" s="36"/>
      <c r="D1618" s="36"/>
      <c r="E1618" s="36"/>
      <c r="F1618" s="36"/>
      <c r="G1618" s="36"/>
      <c r="H1618" s="36"/>
      <c r="I1618" s="36"/>
      <c r="J1618" s="36"/>
      <c r="K1618" s="36"/>
      <c r="L1618" s="36"/>
      <c r="M1618" s="36"/>
      <c r="N1618" s="36"/>
      <c r="O1618" s="36"/>
      <c r="P1618" s="36"/>
      <c r="Q1618" s="36"/>
      <c r="R1618" s="36"/>
      <c r="S1618" s="39"/>
    </row>
    <row r="1619">
      <c r="B1619" s="36"/>
      <c r="C1619" s="36"/>
      <c r="D1619" s="36"/>
      <c r="E1619" s="36"/>
      <c r="F1619" s="36"/>
      <c r="G1619" s="36"/>
      <c r="H1619" s="36"/>
      <c r="I1619" s="36"/>
      <c r="J1619" s="36"/>
      <c r="K1619" s="36"/>
      <c r="L1619" s="36"/>
      <c r="M1619" s="36"/>
      <c r="N1619" s="36"/>
      <c r="O1619" s="36"/>
      <c r="P1619" s="36"/>
      <c r="Q1619" s="36"/>
      <c r="R1619" s="36"/>
      <c r="S1619" s="39"/>
    </row>
    <row r="1620">
      <c r="B1620" s="36"/>
      <c r="C1620" s="36"/>
      <c r="D1620" s="36"/>
      <c r="E1620" s="36"/>
      <c r="F1620" s="36"/>
      <c r="G1620" s="36"/>
      <c r="H1620" s="36"/>
      <c r="I1620" s="36"/>
      <c r="J1620" s="36"/>
      <c r="K1620" s="36"/>
      <c r="L1620" s="36"/>
      <c r="M1620" s="36"/>
      <c r="N1620" s="36"/>
      <c r="O1620" s="36"/>
      <c r="P1620" s="36"/>
      <c r="Q1620" s="36"/>
      <c r="R1620" s="36"/>
      <c r="S1620" s="39"/>
    </row>
    <row r="1621">
      <c r="B1621" s="36"/>
      <c r="C1621" s="36"/>
      <c r="D1621" s="36"/>
      <c r="E1621" s="36"/>
      <c r="F1621" s="36"/>
      <c r="G1621" s="36"/>
      <c r="H1621" s="36"/>
      <c r="I1621" s="36"/>
      <c r="J1621" s="36"/>
      <c r="K1621" s="36"/>
      <c r="L1621" s="36"/>
      <c r="M1621" s="36"/>
      <c r="N1621" s="36"/>
      <c r="O1621" s="36"/>
      <c r="P1621" s="36"/>
      <c r="Q1621" s="36"/>
      <c r="R1621" s="36"/>
      <c r="S1621" s="39"/>
    </row>
    <row r="1622">
      <c r="B1622" s="36"/>
      <c r="C1622" s="36"/>
      <c r="D1622" s="36"/>
      <c r="E1622" s="36"/>
      <c r="F1622" s="36"/>
      <c r="G1622" s="36"/>
      <c r="H1622" s="36"/>
      <c r="I1622" s="36"/>
      <c r="J1622" s="36"/>
      <c r="K1622" s="36"/>
      <c r="L1622" s="36"/>
      <c r="M1622" s="36"/>
      <c r="N1622" s="36"/>
      <c r="O1622" s="36"/>
      <c r="P1622" s="36"/>
      <c r="Q1622" s="36"/>
      <c r="R1622" s="36"/>
      <c r="S1622" s="39"/>
    </row>
    <row r="1623">
      <c r="B1623" s="36"/>
      <c r="C1623" s="36"/>
      <c r="D1623" s="36"/>
      <c r="E1623" s="36"/>
      <c r="F1623" s="36"/>
      <c r="G1623" s="36"/>
      <c r="H1623" s="36"/>
      <c r="I1623" s="36"/>
      <c r="J1623" s="36"/>
      <c r="K1623" s="36"/>
      <c r="L1623" s="36"/>
      <c r="M1623" s="36"/>
      <c r="N1623" s="36"/>
      <c r="O1623" s="36"/>
      <c r="P1623" s="36"/>
      <c r="Q1623" s="36"/>
      <c r="R1623" s="36"/>
      <c r="S1623" s="39"/>
    </row>
    <row r="1624">
      <c r="B1624" s="36"/>
      <c r="C1624" s="36"/>
      <c r="D1624" s="36"/>
      <c r="E1624" s="36"/>
      <c r="F1624" s="36"/>
      <c r="G1624" s="36"/>
      <c r="H1624" s="36"/>
      <c r="I1624" s="36"/>
      <c r="J1624" s="36"/>
      <c r="K1624" s="36"/>
      <c r="L1624" s="36"/>
      <c r="M1624" s="36"/>
      <c r="N1624" s="36"/>
      <c r="O1624" s="36"/>
      <c r="P1624" s="36"/>
      <c r="Q1624" s="36"/>
      <c r="R1624" s="36"/>
      <c r="S1624" s="39"/>
    </row>
    <row r="1625">
      <c r="B1625" s="36"/>
      <c r="C1625" s="36"/>
      <c r="D1625" s="36"/>
      <c r="E1625" s="36"/>
      <c r="F1625" s="36"/>
      <c r="G1625" s="36"/>
      <c r="H1625" s="36"/>
      <c r="I1625" s="36"/>
      <c r="J1625" s="36"/>
      <c r="K1625" s="36"/>
      <c r="L1625" s="36"/>
      <c r="M1625" s="36"/>
      <c r="N1625" s="36"/>
      <c r="O1625" s="36"/>
      <c r="P1625" s="36"/>
      <c r="Q1625" s="36"/>
      <c r="R1625" s="36"/>
      <c r="S1625" s="39"/>
    </row>
    <row r="1626">
      <c r="B1626" s="36"/>
      <c r="C1626" s="36"/>
      <c r="D1626" s="36"/>
      <c r="E1626" s="36"/>
      <c r="F1626" s="36"/>
      <c r="G1626" s="36"/>
      <c r="H1626" s="36"/>
      <c r="I1626" s="36"/>
      <c r="J1626" s="36"/>
      <c r="K1626" s="36"/>
      <c r="L1626" s="36"/>
      <c r="M1626" s="36"/>
      <c r="N1626" s="36"/>
      <c r="O1626" s="36"/>
      <c r="P1626" s="36"/>
      <c r="Q1626" s="36"/>
      <c r="R1626" s="36"/>
      <c r="S1626" s="39"/>
    </row>
    <row r="1627">
      <c r="B1627" s="36"/>
      <c r="C1627" s="36"/>
      <c r="D1627" s="36"/>
      <c r="E1627" s="36"/>
      <c r="F1627" s="36"/>
      <c r="G1627" s="36"/>
      <c r="H1627" s="36"/>
      <c r="I1627" s="36"/>
      <c r="J1627" s="36"/>
      <c r="K1627" s="36"/>
      <c r="L1627" s="36"/>
      <c r="M1627" s="36"/>
      <c r="N1627" s="36"/>
      <c r="O1627" s="36"/>
      <c r="P1627" s="36"/>
      <c r="Q1627" s="36"/>
      <c r="R1627" s="36"/>
      <c r="S1627" s="39"/>
    </row>
    <row r="1628">
      <c r="B1628" s="36"/>
      <c r="C1628" s="36"/>
      <c r="D1628" s="36"/>
      <c r="E1628" s="36"/>
      <c r="F1628" s="36"/>
      <c r="G1628" s="36"/>
      <c r="H1628" s="36"/>
      <c r="I1628" s="36"/>
      <c r="J1628" s="36"/>
      <c r="K1628" s="36"/>
      <c r="L1628" s="36"/>
      <c r="M1628" s="36"/>
      <c r="N1628" s="36"/>
      <c r="O1628" s="36"/>
      <c r="P1628" s="36"/>
      <c r="Q1628" s="36"/>
      <c r="R1628" s="36"/>
      <c r="S1628" s="39"/>
    </row>
    <row r="1629">
      <c r="B1629" s="36"/>
      <c r="C1629" s="36"/>
      <c r="D1629" s="36"/>
      <c r="E1629" s="36"/>
      <c r="F1629" s="36"/>
      <c r="G1629" s="36"/>
      <c r="H1629" s="36"/>
      <c r="I1629" s="36"/>
      <c r="J1629" s="36"/>
      <c r="K1629" s="36"/>
      <c r="L1629" s="36"/>
      <c r="M1629" s="36"/>
      <c r="N1629" s="36"/>
      <c r="O1629" s="36"/>
      <c r="P1629" s="36"/>
      <c r="Q1629" s="36"/>
      <c r="R1629" s="36"/>
      <c r="S1629" s="39"/>
    </row>
    <row r="1630">
      <c r="B1630" s="36"/>
      <c r="C1630" s="36"/>
      <c r="D1630" s="36"/>
      <c r="E1630" s="36"/>
      <c r="F1630" s="36"/>
      <c r="G1630" s="36"/>
      <c r="H1630" s="36"/>
      <c r="I1630" s="36"/>
      <c r="J1630" s="36"/>
      <c r="K1630" s="36"/>
      <c r="L1630" s="36"/>
      <c r="M1630" s="36"/>
      <c r="N1630" s="36"/>
      <c r="O1630" s="36"/>
      <c r="P1630" s="36"/>
      <c r="Q1630" s="36"/>
      <c r="R1630" s="36"/>
      <c r="S1630" s="39"/>
    </row>
    <row r="1631">
      <c r="B1631" s="36"/>
      <c r="C1631" s="36"/>
      <c r="D1631" s="36"/>
      <c r="E1631" s="36"/>
      <c r="F1631" s="36"/>
      <c r="G1631" s="36"/>
      <c r="H1631" s="36"/>
      <c r="I1631" s="36"/>
      <c r="J1631" s="36"/>
      <c r="K1631" s="36"/>
      <c r="L1631" s="36"/>
      <c r="M1631" s="36"/>
      <c r="N1631" s="36"/>
      <c r="O1631" s="36"/>
      <c r="P1631" s="36"/>
      <c r="Q1631" s="36"/>
      <c r="R1631" s="36"/>
      <c r="S1631" s="39"/>
    </row>
    <row r="1632">
      <c r="B1632" s="36"/>
      <c r="C1632" s="36"/>
      <c r="D1632" s="36"/>
      <c r="E1632" s="36"/>
      <c r="F1632" s="36"/>
      <c r="G1632" s="36"/>
      <c r="H1632" s="36"/>
      <c r="I1632" s="36"/>
      <c r="J1632" s="36"/>
      <c r="K1632" s="36"/>
      <c r="L1632" s="36"/>
      <c r="M1632" s="36"/>
      <c r="N1632" s="36"/>
      <c r="O1632" s="36"/>
      <c r="P1632" s="36"/>
      <c r="Q1632" s="36"/>
      <c r="R1632" s="36"/>
      <c r="S1632" s="39"/>
    </row>
    <row r="1633">
      <c r="B1633" s="36"/>
      <c r="C1633" s="36"/>
      <c r="D1633" s="36"/>
      <c r="E1633" s="36"/>
      <c r="F1633" s="36"/>
      <c r="G1633" s="36"/>
      <c r="H1633" s="36"/>
      <c r="I1633" s="36"/>
      <c r="J1633" s="36"/>
      <c r="K1633" s="36"/>
      <c r="L1633" s="36"/>
      <c r="M1633" s="36"/>
      <c r="N1633" s="36"/>
      <c r="O1633" s="36"/>
      <c r="P1633" s="36"/>
      <c r="Q1633" s="36"/>
      <c r="R1633" s="36"/>
      <c r="S1633" s="39"/>
    </row>
    <row r="1634">
      <c r="B1634" s="36"/>
      <c r="C1634" s="36"/>
      <c r="D1634" s="36"/>
      <c r="E1634" s="36"/>
      <c r="F1634" s="36"/>
      <c r="G1634" s="36"/>
      <c r="H1634" s="36"/>
      <c r="I1634" s="36"/>
      <c r="J1634" s="36"/>
      <c r="K1634" s="36"/>
      <c r="L1634" s="36"/>
      <c r="M1634" s="36"/>
      <c r="N1634" s="36"/>
      <c r="O1634" s="36"/>
      <c r="P1634" s="36"/>
      <c r="Q1634" s="36"/>
      <c r="R1634" s="36"/>
      <c r="S1634" s="39"/>
    </row>
    <row r="1635">
      <c r="B1635" s="36"/>
      <c r="C1635" s="36"/>
      <c r="D1635" s="36"/>
      <c r="E1635" s="36"/>
      <c r="F1635" s="36"/>
      <c r="G1635" s="36"/>
      <c r="H1635" s="36"/>
      <c r="I1635" s="36"/>
      <c r="J1635" s="36"/>
      <c r="K1635" s="36"/>
      <c r="L1635" s="36"/>
      <c r="M1635" s="36"/>
      <c r="N1635" s="36"/>
      <c r="O1635" s="36"/>
      <c r="P1635" s="36"/>
      <c r="Q1635" s="36"/>
      <c r="R1635" s="36"/>
      <c r="S1635" s="39"/>
    </row>
    <row r="1636">
      <c r="B1636" s="36"/>
      <c r="C1636" s="36"/>
      <c r="D1636" s="36"/>
      <c r="E1636" s="36"/>
      <c r="F1636" s="36"/>
      <c r="G1636" s="36"/>
      <c r="H1636" s="36"/>
      <c r="I1636" s="36"/>
      <c r="J1636" s="36"/>
      <c r="K1636" s="36"/>
      <c r="L1636" s="36"/>
      <c r="M1636" s="36"/>
      <c r="N1636" s="36"/>
      <c r="O1636" s="36"/>
      <c r="P1636" s="36"/>
      <c r="Q1636" s="36"/>
      <c r="R1636" s="36"/>
      <c r="S1636" s="39"/>
    </row>
    <row r="1637">
      <c r="B1637" s="36"/>
      <c r="C1637" s="36"/>
      <c r="D1637" s="36"/>
      <c r="E1637" s="36"/>
      <c r="F1637" s="36"/>
      <c r="G1637" s="36"/>
      <c r="H1637" s="36"/>
      <c r="I1637" s="36"/>
      <c r="J1637" s="36"/>
      <c r="K1637" s="36"/>
      <c r="L1637" s="36"/>
      <c r="M1637" s="36"/>
      <c r="N1637" s="36"/>
      <c r="O1637" s="36"/>
      <c r="P1637" s="36"/>
      <c r="Q1637" s="36"/>
      <c r="R1637" s="36"/>
      <c r="S1637" s="39"/>
    </row>
    <row r="1638">
      <c r="B1638" s="36"/>
      <c r="C1638" s="36"/>
      <c r="D1638" s="36"/>
      <c r="E1638" s="36"/>
      <c r="F1638" s="36"/>
      <c r="G1638" s="36"/>
      <c r="H1638" s="36"/>
      <c r="I1638" s="36"/>
      <c r="J1638" s="36"/>
      <c r="K1638" s="36"/>
      <c r="L1638" s="36"/>
      <c r="M1638" s="36"/>
      <c r="N1638" s="36"/>
      <c r="O1638" s="36"/>
      <c r="P1638" s="36"/>
      <c r="Q1638" s="36"/>
      <c r="R1638" s="36"/>
      <c r="S1638" s="39"/>
    </row>
    <row r="1639">
      <c r="B1639" s="36"/>
      <c r="C1639" s="36"/>
      <c r="D1639" s="36"/>
      <c r="E1639" s="36"/>
      <c r="F1639" s="36"/>
      <c r="G1639" s="36"/>
      <c r="H1639" s="36"/>
      <c r="I1639" s="36"/>
      <c r="J1639" s="36"/>
      <c r="K1639" s="36"/>
      <c r="L1639" s="36"/>
      <c r="M1639" s="36"/>
      <c r="N1639" s="36"/>
      <c r="O1639" s="36"/>
      <c r="P1639" s="36"/>
      <c r="Q1639" s="36"/>
      <c r="R1639" s="36"/>
      <c r="S1639" s="39"/>
    </row>
    <row r="1640">
      <c r="B1640" s="36"/>
      <c r="C1640" s="36"/>
      <c r="D1640" s="36"/>
      <c r="E1640" s="36"/>
      <c r="F1640" s="36"/>
      <c r="G1640" s="36"/>
      <c r="H1640" s="36"/>
      <c r="I1640" s="36"/>
      <c r="J1640" s="36"/>
      <c r="K1640" s="36"/>
      <c r="L1640" s="36"/>
      <c r="M1640" s="36"/>
      <c r="N1640" s="36"/>
      <c r="O1640" s="36"/>
      <c r="P1640" s="36"/>
      <c r="Q1640" s="36"/>
      <c r="R1640" s="36"/>
      <c r="S1640" s="39"/>
    </row>
    <row r="1641">
      <c r="B1641" s="36"/>
      <c r="C1641" s="36"/>
      <c r="D1641" s="36"/>
      <c r="E1641" s="36"/>
      <c r="F1641" s="36"/>
      <c r="G1641" s="36"/>
      <c r="H1641" s="36"/>
      <c r="I1641" s="36"/>
      <c r="J1641" s="36"/>
      <c r="K1641" s="36"/>
      <c r="L1641" s="36"/>
      <c r="M1641" s="36"/>
      <c r="N1641" s="36"/>
      <c r="O1641" s="36"/>
      <c r="P1641" s="36"/>
      <c r="Q1641" s="36"/>
      <c r="R1641" s="36"/>
      <c r="S1641" s="39"/>
    </row>
    <row r="1642">
      <c r="B1642" s="36"/>
      <c r="C1642" s="36"/>
      <c r="D1642" s="36"/>
      <c r="E1642" s="36"/>
      <c r="F1642" s="36"/>
      <c r="G1642" s="36"/>
      <c r="H1642" s="36"/>
      <c r="I1642" s="36"/>
      <c r="J1642" s="36"/>
      <c r="K1642" s="36"/>
      <c r="L1642" s="36"/>
      <c r="M1642" s="36"/>
      <c r="N1642" s="36"/>
      <c r="O1642" s="36"/>
      <c r="P1642" s="36"/>
      <c r="Q1642" s="36"/>
      <c r="R1642" s="36"/>
      <c r="S1642" s="39"/>
    </row>
    <row r="1643">
      <c r="B1643" s="36"/>
      <c r="C1643" s="36"/>
      <c r="D1643" s="36"/>
      <c r="E1643" s="36"/>
      <c r="F1643" s="36"/>
      <c r="G1643" s="36"/>
      <c r="H1643" s="36"/>
      <c r="I1643" s="36"/>
      <c r="J1643" s="36"/>
      <c r="K1643" s="36"/>
      <c r="L1643" s="36"/>
      <c r="M1643" s="36"/>
      <c r="N1643" s="36"/>
      <c r="O1643" s="36"/>
      <c r="P1643" s="36"/>
      <c r="Q1643" s="36"/>
      <c r="R1643" s="36"/>
      <c r="S1643" s="39"/>
    </row>
    <row r="1644">
      <c r="B1644" s="36"/>
      <c r="C1644" s="36"/>
      <c r="D1644" s="36"/>
      <c r="E1644" s="36"/>
      <c r="F1644" s="36"/>
      <c r="G1644" s="36"/>
      <c r="H1644" s="36"/>
      <c r="I1644" s="36"/>
      <c r="J1644" s="36"/>
      <c r="K1644" s="36"/>
      <c r="L1644" s="36"/>
      <c r="M1644" s="36"/>
      <c r="N1644" s="36"/>
      <c r="O1644" s="36"/>
      <c r="P1644" s="36"/>
      <c r="Q1644" s="36"/>
      <c r="R1644" s="36"/>
      <c r="S1644" s="39"/>
    </row>
    <row r="1645">
      <c r="B1645" s="36"/>
      <c r="C1645" s="36"/>
      <c r="D1645" s="36"/>
      <c r="E1645" s="36"/>
      <c r="F1645" s="36"/>
      <c r="G1645" s="36"/>
      <c r="H1645" s="36"/>
      <c r="I1645" s="36"/>
      <c r="J1645" s="36"/>
      <c r="K1645" s="36"/>
      <c r="L1645" s="36"/>
      <c r="M1645" s="36"/>
      <c r="N1645" s="36"/>
      <c r="O1645" s="36"/>
      <c r="P1645" s="36"/>
      <c r="Q1645" s="36"/>
      <c r="R1645" s="36"/>
      <c r="S1645" s="39"/>
    </row>
    <row r="1646">
      <c r="B1646" s="36"/>
      <c r="C1646" s="36"/>
      <c r="D1646" s="36"/>
      <c r="E1646" s="36"/>
      <c r="F1646" s="36"/>
      <c r="G1646" s="36"/>
      <c r="H1646" s="36"/>
      <c r="I1646" s="36"/>
      <c r="J1646" s="36"/>
      <c r="K1646" s="36"/>
      <c r="L1646" s="36"/>
      <c r="M1646" s="36"/>
      <c r="N1646" s="36"/>
      <c r="O1646" s="36"/>
      <c r="P1646" s="36"/>
      <c r="Q1646" s="36"/>
      <c r="R1646" s="36"/>
      <c r="S1646" s="39"/>
    </row>
    <row r="1647">
      <c r="B1647" s="36"/>
      <c r="C1647" s="36"/>
      <c r="D1647" s="36"/>
      <c r="E1647" s="36"/>
      <c r="F1647" s="36"/>
      <c r="G1647" s="36"/>
      <c r="H1647" s="36"/>
      <c r="I1647" s="36"/>
      <c r="J1647" s="36"/>
      <c r="K1647" s="36"/>
      <c r="L1647" s="36"/>
      <c r="M1647" s="36"/>
      <c r="N1647" s="36"/>
      <c r="O1647" s="36"/>
      <c r="P1647" s="36"/>
      <c r="Q1647" s="36"/>
      <c r="R1647" s="36"/>
      <c r="S1647" s="39"/>
    </row>
    <row r="1648">
      <c r="B1648" s="36"/>
      <c r="C1648" s="36"/>
      <c r="D1648" s="36"/>
      <c r="E1648" s="36"/>
      <c r="F1648" s="36"/>
      <c r="G1648" s="36"/>
      <c r="H1648" s="36"/>
      <c r="I1648" s="36"/>
      <c r="J1648" s="36"/>
      <c r="K1648" s="36"/>
      <c r="L1648" s="36"/>
      <c r="M1648" s="36"/>
      <c r="N1648" s="36"/>
      <c r="O1648" s="36"/>
      <c r="P1648" s="36"/>
      <c r="Q1648" s="36"/>
      <c r="R1648" s="36"/>
      <c r="S1648" s="39"/>
    </row>
    <row r="1649">
      <c r="B1649" s="36"/>
      <c r="C1649" s="36"/>
      <c r="D1649" s="36"/>
      <c r="E1649" s="36"/>
      <c r="F1649" s="36"/>
      <c r="G1649" s="36"/>
      <c r="H1649" s="36"/>
      <c r="I1649" s="36"/>
      <c r="J1649" s="36"/>
      <c r="K1649" s="36"/>
      <c r="L1649" s="36"/>
      <c r="M1649" s="36"/>
      <c r="N1649" s="36"/>
      <c r="O1649" s="36"/>
      <c r="P1649" s="36"/>
      <c r="Q1649" s="36"/>
      <c r="R1649" s="36"/>
      <c r="S1649" s="39"/>
    </row>
    <row r="1650">
      <c r="B1650" s="36"/>
      <c r="C1650" s="36"/>
      <c r="D1650" s="36"/>
      <c r="E1650" s="36"/>
      <c r="F1650" s="36"/>
      <c r="G1650" s="36"/>
      <c r="H1650" s="36"/>
      <c r="I1650" s="36"/>
      <c r="J1650" s="36"/>
      <c r="K1650" s="36"/>
      <c r="L1650" s="36"/>
      <c r="M1650" s="36"/>
      <c r="N1650" s="36"/>
      <c r="O1650" s="36"/>
      <c r="P1650" s="36"/>
      <c r="Q1650" s="36"/>
      <c r="R1650" s="36"/>
      <c r="S1650" s="39"/>
    </row>
    <row r="1651">
      <c r="B1651" s="36"/>
      <c r="C1651" s="36"/>
      <c r="D1651" s="36"/>
      <c r="E1651" s="36"/>
      <c r="F1651" s="36"/>
      <c r="G1651" s="36"/>
      <c r="H1651" s="36"/>
      <c r="I1651" s="36"/>
      <c r="J1651" s="36"/>
      <c r="K1651" s="36"/>
      <c r="L1651" s="36"/>
      <c r="M1651" s="36"/>
      <c r="N1651" s="36"/>
      <c r="O1651" s="36"/>
      <c r="P1651" s="36"/>
      <c r="Q1651" s="36"/>
      <c r="R1651" s="36"/>
      <c r="S1651" s="39"/>
    </row>
    <row r="1652">
      <c r="B1652" s="36"/>
      <c r="C1652" s="36"/>
      <c r="D1652" s="36"/>
      <c r="E1652" s="36"/>
      <c r="F1652" s="36"/>
      <c r="G1652" s="36"/>
      <c r="H1652" s="36"/>
      <c r="I1652" s="36"/>
      <c r="J1652" s="36"/>
      <c r="K1652" s="36"/>
      <c r="L1652" s="36"/>
      <c r="M1652" s="36"/>
      <c r="N1652" s="36"/>
      <c r="O1652" s="36"/>
      <c r="P1652" s="36"/>
      <c r="Q1652" s="36"/>
      <c r="R1652" s="36"/>
      <c r="S1652" s="39"/>
    </row>
    <row r="1653">
      <c r="B1653" s="36"/>
      <c r="C1653" s="36"/>
      <c r="D1653" s="36"/>
      <c r="E1653" s="36"/>
      <c r="F1653" s="36"/>
      <c r="G1653" s="36"/>
      <c r="H1653" s="36"/>
      <c r="I1653" s="36"/>
      <c r="J1653" s="36"/>
      <c r="K1653" s="36"/>
      <c r="L1653" s="36"/>
      <c r="M1653" s="36"/>
      <c r="N1653" s="36"/>
      <c r="O1653" s="36"/>
      <c r="P1653" s="36"/>
      <c r="Q1653" s="36"/>
      <c r="R1653" s="36"/>
      <c r="S1653" s="39"/>
    </row>
    <row r="1654">
      <c r="B1654" s="36"/>
      <c r="C1654" s="36"/>
      <c r="D1654" s="36"/>
      <c r="E1654" s="36"/>
      <c r="F1654" s="36"/>
      <c r="G1654" s="36"/>
      <c r="H1654" s="36"/>
      <c r="I1654" s="36"/>
      <c r="J1654" s="36"/>
      <c r="K1654" s="36"/>
      <c r="L1654" s="36"/>
      <c r="M1654" s="36"/>
      <c r="N1654" s="36"/>
      <c r="O1654" s="36"/>
      <c r="P1654" s="36"/>
      <c r="Q1654" s="36"/>
      <c r="R1654" s="36"/>
      <c r="S1654" s="39"/>
    </row>
    <row r="1655">
      <c r="B1655" s="36"/>
      <c r="C1655" s="36"/>
      <c r="D1655" s="36"/>
      <c r="E1655" s="36"/>
      <c r="F1655" s="36"/>
      <c r="G1655" s="36"/>
      <c r="H1655" s="36"/>
      <c r="I1655" s="36"/>
      <c r="J1655" s="36"/>
      <c r="K1655" s="36"/>
      <c r="L1655" s="36"/>
      <c r="M1655" s="36"/>
      <c r="N1655" s="36"/>
      <c r="O1655" s="36"/>
      <c r="P1655" s="36"/>
      <c r="Q1655" s="36"/>
      <c r="R1655" s="36"/>
      <c r="S1655" s="39"/>
    </row>
    <row r="1656">
      <c r="B1656" s="36"/>
      <c r="C1656" s="36"/>
      <c r="D1656" s="36"/>
      <c r="E1656" s="36"/>
      <c r="F1656" s="36"/>
      <c r="G1656" s="36"/>
      <c r="H1656" s="36"/>
      <c r="I1656" s="36"/>
      <c r="J1656" s="36"/>
      <c r="K1656" s="36"/>
      <c r="L1656" s="36"/>
      <c r="M1656" s="36"/>
      <c r="N1656" s="36"/>
      <c r="O1656" s="36"/>
      <c r="P1656" s="36"/>
      <c r="Q1656" s="36"/>
      <c r="R1656" s="36"/>
      <c r="S1656" s="39"/>
    </row>
    <row r="1657">
      <c r="B1657" s="36"/>
      <c r="C1657" s="36"/>
      <c r="D1657" s="36"/>
      <c r="E1657" s="36"/>
      <c r="F1657" s="36"/>
      <c r="G1657" s="36"/>
      <c r="H1657" s="36"/>
      <c r="I1657" s="36"/>
      <c r="J1657" s="36"/>
      <c r="K1657" s="36"/>
      <c r="L1657" s="36"/>
      <c r="M1657" s="36"/>
      <c r="N1657" s="36"/>
      <c r="O1657" s="36"/>
      <c r="P1657" s="36"/>
      <c r="Q1657" s="36"/>
      <c r="R1657" s="36"/>
      <c r="S1657" s="39"/>
    </row>
    <row r="1658">
      <c r="B1658" s="36"/>
      <c r="C1658" s="36"/>
      <c r="D1658" s="36"/>
      <c r="E1658" s="36"/>
      <c r="F1658" s="36"/>
      <c r="G1658" s="36"/>
      <c r="H1658" s="36"/>
      <c r="I1658" s="36"/>
      <c r="J1658" s="36"/>
      <c r="K1658" s="36"/>
      <c r="L1658" s="36"/>
      <c r="M1658" s="36"/>
      <c r="N1658" s="36"/>
      <c r="O1658" s="36"/>
      <c r="P1658" s="36"/>
      <c r="Q1658" s="36"/>
      <c r="R1658" s="36"/>
      <c r="S1658" s="39"/>
    </row>
    <row r="1659">
      <c r="B1659" s="36"/>
      <c r="C1659" s="36"/>
      <c r="D1659" s="36"/>
      <c r="E1659" s="36"/>
      <c r="F1659" s="36"/>
      <c r="G1659" s="36"/>
      <c r="H1659" s="36"/>
      <c r="I1659" s="36"/>
      <c r="J1659" s="36"/>
      <c r="K1659" s="36"/>
      <c r="L1659" s="36"/>
      <c r="M1659" s="36"/>
      <c r="N1659" s="36"/>
      <c r="O1659" s="36"/>
      <c r="P1659" s="36"/>
      <c r="Q1659" s="36"/>
      <c r="R1659" s="36"/>
      <c r="S1659" s="39"/>
    </row>
    <row r="1660">
      <c r="B1660" s="36"/>
      <c r="C1660" s="36"/>
      <c r="D1660" s="36"/>
      <c r="E1660" s="36"/>
      <c r="F1660" s="36"/>
      <c r="G1660" s="36"/>
      <c r="H1660" s="36"/>
      <c r="I1660" s="36"/>
      <c r="J1660" s="36"/>
      <c r="K1660" s="36"/>
      <c r="L1660" s="36"/>
      <c r="M1660" s="36"/>
      <c r="N1660" s="36"/>
      <c r="O1660" s="36"/>
      <c r="P1660" s="36"/>
      <c r="Q1660" s="36"/>
      <c r="R1660" s="36"/>
      <c r="S1660" s="39"/>
    </row>
    <row r="1661">
      <c r="B1661" s="36"/>
      <c r="C1661" s="36"/>
      <c r="D1661" s="36"/>
      <c r="E1661" s="36"/>
      <c r="F1661" s="36"/>
      <c r="G1661" s="36"/>
      <c r="H1661" s="36"/>
      <c r="I1661" s="36"/>
      <c r="J1661" s="36"/>
      <c r="K1661" s="36"/>
      <c r="L1661" s="36"/>
      <c r="M1661" s="36"/>
      <c r="N1661" s="36"/>
      <c r="O1661" s="36"/>
      <c r="P1661" s="36"/>
      <c r="Q1661" s="36"/>
      <c r="R1661" s="36"/>
      <c r="S1661" s="39"/>
    </row>
    <row r="1662">
      <c r="B1662" s="36"/>
      <c r="C1662" s="36"/>
      <c r="D1662" s="36"/>
      <c r="E1662" s="36"/>
      <c r="F1662" s="36"/>
      <c r="G1662" s="36"/>
      <c r="H1662" s="36"/>
      <c r="I1662" s="36"/>
      <c r="J1662" s="36"/>
      <c r="K1662" s="36"/>
      <c r="L1662" s="36"/>
      <c r="M1662" s="36"/>
      <c r="N1662" s="36"/>
      <c r="O1662" s="36"/>
      <c r="P1662" s="36"/>
      <c r="Q1662" s="36"/>
      <c r="R1662" s="36"/>
      <c r="S1662" s="39"/>
    </row>
    <row r="1663">
      <c r="B1663" s="36"/>
      <c r="C1663" s="36"/>
      <c r="D1663" s="36"/>
      <c r="E1663" s="36"/>
      <c r="F1663" s="36"/>
      <c r="G1663" s="36"/>
      <c r="H1663" s="36"/>
      <c r="I1663" s="36"/>
      <c r="J1663" s="36"/>
      <c r="K1663" s="36"/>
      <c r="L1663" s="36"/>
      <c r="M1663" s="36"/>
      <c r="N1663" s="36"/>
      <c r="O1663" s="36"/>
      <c r="P1663" s="36"/>
      <c r="Q1663" s="36"/>
      <c r="R1663" s="36"/>
      <c r="S1663" s="39"/>
    </row>
    <row r="1664">
      <c r="B1664" s="36"/>
      <c r="C1664" s="36"/>
      <c r="D1664" s="36"/>
      <c r="E1664" s="36"/>
      <c r="F1664" s="36"/>
      <c r="G1664" s="36"/>
      <c r="H1664" s="36"/>
      <c r="I1664" s="36"/>
      <c r="J1664" s="36"/>
      <c r="K1664" s="36"/>
      <c r="L1664" s="36"/>
      <c r="M1664" s="36"/>
      <c r="N1664" s="36"/>
      <c r="O1664" s="36"/>
      <c r="P1664" s="36"/>
      <c r="Q1664" s="36"/>
      <c r="R1664" s="36"/>
      <c r="S1664" s="39"/>
    </row>
    <row r="1665">
      <c r="B1665" s="36"/>
      <c r="C1665" s="36"/>
      <c r="D1665" s="36"/>
      <c r="E1665" s="36"/>
      <c r="F1665" s="36"/>
      <c r="G1665" s="36"/>
      <c r="H1665" s="36"/>
      <c r="I1665" s="36"/>
      <c r="J1665" s="36"/>
      <c r="K1665" s="36"/>
      <c r="L1665" s="36"/>
      <c r="M1665" s="36"/>
      <c r="N1665" s="36"/>
      <c r="O1665" s="36"/>
      <c r="P1665" s="36"/>
      <c r="Q1665" s="36"/>
      <c r="R1665" s="36"/>
      <c r="S1665" s="39"/>
    </row>
    <row r="1666">
      <c r="B1666" s="36"/>
      <c r="C1666" s="36"/>
      <c r="D1666" s="36"/>
      <c r="E1666" s="36"/>
      <c r="F1666" s="36"/>
      <c r="G1666" s="36"/>
      <c r="H1666" s="36"/>
      <c r="I1666" s="36"/>
      <c r="J1666" s="36"/>
      <c r="K1666" s="36"/>
      <c r="L1666" s="36"/>
      <c r="M1666" s="36"/>
      <c r="N1666" s="36"/>
      <c r="O1666" s="36"/>
      <c r="P1666" s="36"/>
      <c r="Q1666" s="36"/>
      <c r="R1666" s="36"/>
      <c r="S1666" s="39"/>
    </row>
    <row r="1667">
      <c r="B1667" s="36"/>
      <c r="C1667" s="36"/>
      <c r="D1667" s="36"/>
      <c r="E1667" s="36"/>
      <c r="F1667" s="36"/>
      <c r="G1667" s="36"/>
      <c r="H1667" s="36"/>
      <c r="I1667" s="36"/>
      <c r="J1667" s="36"/>
      <c r="K1667" s="36"/>
      <c r="L1667" s="36"/>
      <c r="M1667" s="36"/>
      <c r="N1667" s="36"/>
      <c r="O1667" s="36"/>
      <c r="P1667" s="36"/>
      <c r="Q1667" s="36"/>
      <c r="R1667" s="36"/>
      <c r="S1667" s="39"/>
    </row>
    <row r="1668">
      <c r="B1668" s="36"/>
      <c r="C1668" s="36"/>
      <c r="D1668" s="36"/>
      <c r="E1668" s="36"/>
      <c r="F1668" s="36"/>
      <c r="G1668" s="36"/>
      <c r="H1668" s="36"/>
      <c r="I1668" s="36"/>
      <c r="J1668" s="36"/>
      <c r="K1668" s="36"/>
      <c r="L1668" s="36"/>
      <c r="M1668" s="36"/>
      <c r="N1668" s="36"/>
      <c r="O1668" s="36"/>
      <c r="P1668" s="36"/>
      <c r="Q1668" s="36"/>
      <c r="R1668" s="36"/>
      <c r="S1668" s="39"/>
    </row>
    <row r="1669">
      <c r="B1669" s="36"/>
      <c r="C1669" s="36"/>
      <c r="D1669" s="36"/>
      <c r="E1669" s="36"/>
      <c r="F1669" s="36"/>
      <c r="G1669" s="36"/>
      <c r="H1669" s="36"/>
      <c r="I1669" s="36"/>
      <c r="J1669" s="36"/>
      <c r="K1669" s="36"/>
      <c r="L1669" s="36"/>
      <c r="M1669" s="36"/>
      <c r="N1669" s="36"/>
      <c r="O1669" s="36"/>
      <c r="P1669" s="36"/>
      <c r="Q1669" s="36"/>
      <c r="R1669" s="36"/>
      <c r="S1669" s="39"/>
    </row>
    <row r="1670">
      <c r="B1670" s="36"/>
      <c r="C1670" s="36"/>
      <c r="D1670" s="36"/>
      <c r="E1670" s="36"/>
      <c r="F1670" s="36"/>
      <c r="G1670" s="36"/>
      <c r="H1670" s="36"/>
      <c r="I1670" s="36"/>
      <c r="J1670" s="36"/>
      <c r="K1670" s="36"/>
      <c r="L1670" s="36"/>
      <c r="M1670" s="36"/>
      <c r="N1670" s="36"/>
      <c r="O1670" s="36"/>
      <c r="P1670" s="36"/>
      <c r="Q1670" s="36"/>
      <c r="R1670" s="36"/>
      <c r="S1670" s="39"/>
    </row>
    <row r="1671">
      <c r="B1671" s="36"/>
      <c r="C1671" s="36"/>
      <c r="D1671" s="36"/>
      <c r="E1671" s="36"/>
      <c r="F1671" s="36"/>
      <c r="G1671" s="36"/>
      <c r="H1671" s="36"/>
      <c r="I1671" s="36"/>
      <c r="J1671" s="36"/>
      <c r="K1671" s="36"/>
      <c r="L1671" s="36"/>
      <c r="M1671" s="36"/>
      <c r="N1671" s="36"/>
      <c r="O1671" s="36"/>
      <c r="P1671" s="36"/>
      <c r="Q1671" s="36"/>
      <c r="R1671" s="36"/>
      <c r="S1671" s="39"/>
    </row>
    <row r="1672">
      <c r="B1672" s="36"/>
      <c r="C1672" s="36"/>
      <c r="D1672" s="36"/>
      <c r="E1672" s="36"/>
      <c r="F1672" s="36"/>
      <c r="G1672" s="36"/>
      <c r="H1672" s="36"/>
      <c r="I1672" s="36"/>
      <c r="J1672" s="36"/>
      <c r="K1672" s="36"/>
      <c r="L1672" s="36"/>
      <c r="M1672" s="36"/>
      <c r="N1672" s="36"/>
      <c r="O1672" s="36"/>
      <c r="P1672" s="36"/>
      <c r="Q1672" s="36"/>
      <c r="R1672" s="36"/>
      <c r="S1672" s="39"/>
    </row>
    <row r="1673">
      <c r="B1673" s="36"/>
      <c r="C1673" s="36"/>
      <c r="D1673" s="36"/>
      <c r="E1673" s="36"/>
      <c r="F1673" s="36"/>
      <c r="G1673" s="36"/>
      <c r="H1673" s="36"/>
      <c r="I1673" s="36"/>
      <c r="J1673" s="36"/>
      <c r="K1673" s="36"/>
      <c r="L1673" s="36"/>
      <c r="M1673" s="36"/>
      <c r="N1673" s="36"/>
      <c r="O1673" s="36"/>
      <c r="P1673" s="36"/>
      <c r="Q1673" s="36"/>
      <c r="R1673" s="36"/>
      <c r="S1673" s="39"/>
    </row>
    <row r="1674">
      <c r="B1674" s="36"/>
      <c r="C1674" s="36"/>
      <c r="D1674" s="36"/>
      <c r="E1674" s="36"/>
      <c r="F1674" s="36"/>
      <c r="G1674" s="36"/>
      <c r="H1674" s="36"/>
      <c r="I1674" s="36"/>
      <c r="J1674" s="36"/>
      <c r="K1674" s="36"/>
      <c r="L1674" s="36"/>
      <c r="M1674" s="36"/>
      <c r="N1674" s="36"/>
      <c r="O1674" s="36"/>
      <c r="P1674" s="36"/>
      <c r="Q1674" s="36"/>
      <c r="R1674" s="36"/>
      <c r="S1674" s="39"/>
    </row>
    <row r="1675">
      <c r="B1675" s="36"/>
      <c r="C1675" s="36"/>
      <c r="D1675" s="36"/>
      <c r="E1675" s="36"/>
      <c r="F1675" s="36"/>
      <c r="G1675" s="36"/>
      <c r="H1675" s="36"/>
      <c r="I1675" s="36"/>
      <c r="J1675" s="36"/>
      <c r="K1675" s="36"/>
      <c r="L1675" s="36"/>
      <c r="M1675" s="36"/>
      <c r="N1675" s="36"/>
      <c r="O1675" s="36"/>
      <c r="P1675" s="36"/>
      <c r="Q1675" s="36"/>
      <c r="R1675" s="36"/>
      <c r="S1675" s="39"/>
    </row>
    <row r="1676">
      <c r="B1676" s="36"/>
      <c r="C1676" s="36"/>
      <c r="D1676" s="36"/>
      <c r="E1676" s="36"/>
      <c r="F1676" s="36"/>
      <c r="G1676" s="36"/>
      <c r="H1676" s="36"/>
      <c r="I1676" s="36"/>
      <c r="J1676" s="36"/>
      <c r="K1676" s="36"/>
      <c r="L1676" s="36"/>
      <c r="M1676" s="36"/>
      <c r="N1676" s="36"/>
      <c r="O1676" s="36"/>
      <c r="P1676" s="36"/>
      <c r="Q1676" s="36"/>
      <c r="R1676" s="36"/>
      <c r="S1676" s="39"/>
    </row>
    <row r="1677">
      <c r="B1677" s="36"/>
      <c r="C1677" s="36"/>
      <c r="D1677" s="36"/>
      <c r="E1677" s="36"/>
      <c r="F1677" s="36"/>
      <c r="G1677" s="36"/>
      <c r="H1677" s="36"/>
      <c r="I1677" s="36"/>
      <c r="J1677" s="36"/>
      <c r="K1677" s="36"/>
      <c r="L1677" s="36"/>
      <c r="M1677" s="36"/>
      <c r="N1677" s="36"/>
      <c r="O1677" s="36"/>
      <c r="P1677" s="36"/>
      <c r="Q1677" s="36"/>
      <c r="R1677" s="36"/>
      <c r="S1677" s="39"/>
    </row>
    <row r="1678">
      <c r="B1678" s="36"/>
      <c r="C1678" s="36"/>
      <c r="D1678" s="36"/>
      <c r="E1678" s="36"/>
      <c r="F1678" s="36"/>
      <c r="G1678" s="36"/>
      <c r="H1678" s="36"/>
      <c r="I1678" s="36"/>
      <c r="J1678" s="36"/>
      <c r="K1678" s="36"/>
      <c r="L1678" s="36"/>
      <c r="M1678" s="36"/>
      <c r="N1678" s="36"/>
      <c r="O1678" s="36"/>
      <c r="P1678" s="36"/>
      <c r="Q1678" s="36"/>
      <c r="R1678" s="36"/>
      <c r="S1678" s="39"/>
    </row>
    <row r="1679">
      <c r="B1679" s="36"/>
      <c r="C1679" s="36"/>
      <c r="D1679" s="36"/>
      <c r="E1679" s="36"/>
      <c r="F1679" s="36"/>
      <c r="G1679" s="36"/>
      <c r="H1679" s="36"/>
      <c r="I1679" s="36"/>
      <c r="J1679" s="36"/>
      <c r="K1679" s="36"/>
      <c r="L1679" s="36"/>
      <c r="M1679" s="36"/>
      <c r="N1679" s="36"/>
      <c r="O1679" s="36"/>
      <c r="P1679" s="36"/>
      <c r="Q1679" s="36"/>
      <c r="R1679" s="36"/>
      <c r="S1679" s="39"/>
    </row>
    <row r="1680">
      <c r="B1680" s="36"/>
      <c r="C1680" s="36"/>
      <c r="D1680" s="36"/>
      <c r="E1680" s="36"/>
      <c r="F1680" s="36"/>
      <c r="G1680" s="36"/>
      <c r="H1680" s="36"/>
      <c r="I1680" s="36"/>
      <c r="J1680" s="36"/>
      <c r="K1680" s="36"/>
      <c r="L1680" s="36"/>
      <c r="M1680" s="36"/>
      <c r="N1680" s="36"/>
      <c r="O1680" s="36"/>
      <c r="P1680" s="36"/>
      <c r="Q1680" s="36"/>
      <c r="R1680" s="36"/>
      <c r="S1680" s="39"/>
    </row>
    <row r="1681">
      <c r="B1681" s="36"/>
      <c r="C1681" s="36"/>
      <c r="D1681" s="36"/>
      <c r="E1681" s="36"/>
      <c r="F1681" s="36"/>
      <c r="G1681" s="36"/>
      <c r="H1681" s="36"/>
      <c r="I1681" s="36"/>
      <c r="J1681" s="36"/>
      <c r="K1681" s="36"/>
      <c r="L1681" s="36"/>
      <c r="M1681" s="36"/>
      <c r="N1681" s="36"/>
      <c r="O1681" s="36"/>
      <c r="P1681" s="36"/>
      <c r="Q1681" s="36"/>
      <c r="R1681" s="36"/>
      <c r="S1681" s="39"/>
    </row>
    <row r="1682">
      <c r="B1682" s="36"/>
      <c r="C1682" s="36"/>
      <c r="D1682" s="36"/>
      <c r="E1682" s="36"/>
      <c r="F1682" s="36"/>
      <c r="G1682" s="36"/>
      <c r="H1682" s="36"/>
      <c r="I1682" s="36"/>
      <c r="J1682" s="36"/>
      <c r="K1682" s="36"/>
      <c r="L1682" s="36"/>
      <c r="M1682" s="36"/>
      <c r="N1682" s="36"/>
      <c r="O1682" s="36"/>
      <c r="P1682" s="36"/>
      <c r="Q1682" s="36"/>
      <c r="R1682" s="36"/>
      <c r="S1682" s="39"/>
    </row>
    <row r="1683">
      <c r="B1683" s="36"/>
      <c r="C1683" s="36"/>
      <c r="D1683" s="36"/>
      <c r="E1683" s="36"/>
      <c r="F1683" s="36"/>
      <c r="G1683" s="36"/>
      <c r="H1683" s="36"/>
      <c r="I1683" s="36"/>
      <c r="J1683" s="36"/>
      <c r="K1683" s="36"/>
      <c r="L1683" s="36"/>
      <c r="M1683" s="36"/>
      <c r="N1683" s="36"/>
      <c r="O1683" s="36"/>
      <c r="P1683" s="36"/>
      <c r="Q1683" s="36"/>
      <c r="R1683" s="36"/>
      <c r="S1683" s="39"/>
    </row>
    <row r="1684">
      <c r="B1684" s="36"/>
      <c r="C1684" s="36"/>
      <c r="D1684" s="36"/>
      <c r="E1684" s="36"/>
      <c r="F1684" s="36"/>
      <c r="G1684" s="36"/>
      <c r="H1684" s="36"/>
      <c r="I1684" s="36"/>
      <c r="J1684" s="36"/>
      <c r="K1684" s="36"/>
      <c r="L1684" s="36"/>
      <c r="M1684" s="36"/>
      <c r="N1684" s="36"/>
      <c r="O1684" s="36"/>
      <c r="P1684" s="36"/>
      <c r="Q1684" s="36"/>
      <c r="R1684" s="36"/>
      <c r="S1684" s="39"/>
    </row>
    <row r="1685">
      <c r="B1685" s="36"/>
      <c r="C1685" s="36"/>
      <c r="D1685" s="36"/>
      <c r="E1685" s="36"/>
      <c r="F1685" s="36"/>
      <c r="G1685" s="36"/>
      <c r="H1685" s="36"/>
      <c r="I1685" s="36"/>
      <c r="J1685" s="36"/>
      <c r="K1685" s="36"/>
      <c r="L1685" s="36"/>
      <c r="M1685" s="36"/>
      <c r="N1685" s="36"/>
      <c r="O1685" s="36"/>
      <c r="P1685" s="36"/>
      <c r="Q1685" s="36"/>
      <c r="R1685" s="36"/>
      <c r="S1685" s="39"/>
    </row>
    <row r="1686">
      <c r="B1686" s="36"/>
      <c r="C1686" s="36"/>
      <c r="D1686" s="36"/>
      <c r="E1686" s="36"/>
      <c r="F1686" s="36"/>
      <c r="G1686" s="36"/>
      <c r="H1686" s="36"/>
      <c r="I1686" s="36"/>
      <c r="J1686" s="36"/>
      <c r="K1686" s="36"/>
      <c r="L1686" s="36"/>
      <c r="M1686" s="36"/>
      <c r="N1686" s="36"/>
      <c r="O1686" s="36"/>
      <c r="P1686" s="36"/>
      <c r="Q1686" s="36"/>
      <c r="R1686" s="36"/>
      <c r="S1686" s="39"/>
    </row>
    <row r="1687">
      <c r="B1687" s="36"/>
      <c r="C1687" s="36"/>
      <c r="D1687" s="36"/>
      <c r="E1687" s="36"/>
      <c r="F1687" s="36"/>
      <c r="G1687" s="36"/>
      <c r="H1687" s="36"/>
      <c r="I1687" s="36"/>
      <c r="J1687" s="36"/>
      <c r="K1687" s="36"/>
      <c r="L1687" s="36"/>
      <c r="M1687" s="36"/>
      <c r="N1687" s="36"/>
      <c r="O1687" s="36"/>
      <c r="P1687" s="36"/>
      <c r="Q1687" s="36"/>
      <c r="R1687" s="36"/>
      <c r="S1687" s="39"/>
    </row>
    <row r="1688">
      <c r="B1688" s="36"/>
      <c r="C1688" s="36"/>
      <c r="D1688" s="36"/>
      <c r="E1688" s="36"/>
      <c r="F1688" s="36"/>
      <c r="G1688" s="36"/>
      <c r="H1688" s="36"/>
      <c r="I1688" s="36"/>
      <c r="J1688" s="36"/>
      <c r="K1688" s="36"/>
      <c r="L1688" s="36"/>
      <c r="M1688" s="36"/>
      <c r="N1688" s="36"/>
      <c r="O1688" s="36"/>
      <c r="P1688" s="36"/>
      <c r="Q1688" s="36"/>
      <c r="R1688" s="36"/>
      <c r="S1688" s="39"/>
    </row>
    <row r="1689">
      <c r="B1689" s="36"/>
      <c r="C1689" s="36"/>
      <c r="D1689" s="36"/>
      <c r="E1689" s="36"/>
      <c r="F1689" s="36"/>
      <c r="G1689" s="36"/>
      <c r="H1689" s="36"/>
      <c r="I1689" s="36"/>
      <c r="J1689" s="36"/>
      <c r="K1689" s="36"/>
      <c r="L1689" s="36"/>
      <c r="M1689" s="36"/>
      <c r="N1689" s="36"/>
      <c r="O1689" s="36"/>
      <c r="P1689" s="36"/>
      <c r="Q1689" s="36"/>
      <c r="R1689" s="36"/>
      <c r="S1689" s="39"/>
    </row>
    <row r="1690">
      <c r="B1690" s="36"/>
      <c r="C1690" s="36"/>
      <c r="D1690" s="36"/>
      <c r="E1690" s="36"/>
      <c r="F1690" s="36"/>
      <c r="G1690" s="36"/>
      <c r="H1690" s="36"/>
      <c r="I1690" s="36"/>
      <c r="J1690" s="36"/>
      <c r="K1690" s="36"/>
      <c r="L1690" s="36"/>
      <c r="M1690" s="36"/>
      <c r="N1690" s="36"/>
      <c r="O1690" s="36"/>
      <c r="P1690" s="36"/>
      <c r="Q1690" s="36"/>
      <c r="R1690" s="36"/>
      <c r="S1690" s="39"/>
    </row>
    <row r="1691">
      <c r="B1691" s="36"/>
      <c r="C1691" s="36"/>
      <c r="D1691" s="36"/>
      <c r="E1691" s="36"/>
      <c r="F1691" s="36"/>
      <c r="G1691" s="36"/>
      <c r="H1691" s="36"/>
      <c r="I1691" s="36"/>
      <c r="J1691" s="36"/>
      <c r="K1691" s="36"/>
      <c r="L1691" s="36"/>
      <c r="M1691" s="36"/>
      <c r="N1691" s="36"/>
      <c r="O1691" s="36"/>
      <c r="P1691" s="36"/>
      <c r="Q1691" s="36"/>
      <c r="R1691" s="36"/>
      <c r="S1691" s="39"/>
    </row>
    <row r="1692">
      <c r="B1692" s="36"/>
      <c r="C1692" s="36"/>
      <c r="D1692" s="36"/>
      <c r="E1692" s="36"/>
      <c r="F1692" s="36"/>
      <c r="G1692" s="36"/>
      <c r="H1692" s="36"/>
      <c r="I1692" s="36"/>
      <c r="J1692" s="36"/>
      <c r="K1692" s="36"/>
      <c r="L1692" s="36"/>
      <c r="M1692" s="36"/>
      <c r="N1692" s="36"/>
      <c r="O1692" s="36"/>
      <c r="P1692" s="36"/>
      <c r="Q1692" s="36"/>
      <c r="R1692" s="36"/>
      <c r="S1692" s="39"/>
    </row>
    <row r="1693">
      <c r="B1693" s="36"/>
      <c r="C1693" s="36"/>
      <c r="D1693" s="36"/>
      <c r="E1693" s="36"/>
      <c r="F1693" s="36"/>
      <c r="G1693" s="36"/>
      <c r="H1693" s="36"/>
      <c r="I1693" s="36"/>
      <c r="J1693" s="36"/>
      <c r="K1693" s="36"/>
      <c r="L1693" s="36"/>
      <c r="M1693" s="36"/>
      <c r="N1693" s="36"/>
      <c r="O1693" s="36"/>
      <c r="P1693" s="36"/>
      <c r="Q1693" s="36"/>
      <c r="R1693" s="36"/>
      <c r="S1693" s="39"/>
    </row>
    <row r="1694">
      <c r="B1694" s="36"/>
      <c r="C1694" s="36"/>
      <c r="D1694" s="36"/>
      <c r="E1694" s="36"/>
      <c r="F1694" s="36"/>
      <c r="G1694" s="36"/>
      <c r="H1694" s="36"/>
      <c r="I1694" s="36"/>
      <c r="J1694" s="36"/>
      <c r="K1694" s="36"/>
      <c r="L1694" s="36"/>
      <c r="M1694" s="36"/>
      <c r="N1694" s="36"/>
      <c r="O1694" s="36"/>
      <c r="P1694" s="36"/>
      <c r="Q1694" s="36"/>
      <c r="R1694" s="36"/>
      <c r="S1694" s="39"/>
    </row>
    <row r="1695">
      <c r="B1695" s="36"/>
      <c r="C1695" s="36"/>
      <c r="D1695" s="36"/>
      <c r="E1695" s="36"/>
      <c r="F1695" s="36"/>
      <c r="G1695" s="36"/>
      <c r="H1695" s="36"/>
      <c r="I1695" s="36"/>
      <c r="J1695" s="36"/>
      <c r="K1695" s="36"/>
      <c r="L1695" s="36"/>
      <c r="M1695" s="36"/>
      <c r="N1695" s="36"/>
      <c r="O1695" s="36"/>
      <c r="P1695" s="36"/>
      <c r="Q1695" s="36"/>
      <c r="R1695" s="36"/>
      <c r="S1695" s="39"/>
    </row>
    <row r="1696">
      <c r="B1696" s="36"/>
      <c r="C1696" s="36"/>
      <c r="D1696" s="36"/>
      <c r="E1696" s="36"/>
      <c r="F1696" s="36"/>
      <c r="G1696" s="36"/>
      <c r="H1696" s="36"/>
      <c r="I1696" s="36"/>
      <c r="J1696" s="36"/>
      <c r="K1696" s="36"/>
      <c r="L1696" s="36"/>
      <c r="M1696" s="36"/>
      <c r="N1696" s="36"/>
      <c r="O1696" s="36"/>
      <c r="P1696" s="36"/>
      <c r="Q1696" s="36"/>
      <c r="R1696" s="36"/>
      <c r="S1696" s="39"/>
    </row>
    <row r="1697">
      <c r="B1697" s="36"/>
      <c r="C1697" s="36"/>
      <c r="D1697" s="36"/>
      <c r="E1697" s="36"/>
      <c r="F1697" s="36"/>
      <c r="G1697" s="36"/>
      <c r="H1697" s="36"/>
      <c r="I1697" s="36"/>
      <c r="J1697" s="36"/>
      <c r="K1697" s="36"/>
      <c r="L1697" s="36"/>
      <c r="M1697" s="36"/>
      <c r="N1697" s="36"/>
      <c r="O1697" s="36"/>
      <c r="P1697" s="36"/>
      <c r="Q1697" s="36"/>
      <c r="R1697" s="36"/>
      <c r="S1697" s="39"/>
    </row>
    <row r="1698">
      <c r="B1698" s="36"/>
      <c r="C1698" s="36"/>
      <c r="D1698" s="36"/>
      <c r="E1698" s="36"/>
      <c r="F1698" s="36"/>
      <c r="G1698" s="36"/>
      <c r="H1698" s="36"/>
      <c r="I1698" s="36"/>
      <c r="J1698" s="36"/>
      <c r="K1698" s="36"/>
      <c r="L1698" s="36"/>
      <c r="M1698" s="36"/>
      <c r="N1698" s="36"/>
      <c r="O1698" s="36"/>
      <c r="P1698" s="36"/>
      <c r="Q1698" s="36"/>
      <c r="R1698" s="36"/>
      <c r="S1698" s="39"/>
    </row>
    <row r="1699">
      <c r="B1699" s="36"/>
      <c r="C1699" s="36"/>
      <c r="D1699" s="36"/>
      <c r="E1699" s="36"/>
      <c r="F1699" s="36"/>
      <c r="G1699" s="36"/>
      <c r="H1699" s="36"/>
      <c r="I1699" s="36"/>
      <c r="J1699" s="36"/>
      <c r="K1699" s="36"/>
      <c r="L1699" s="36"/>
      <c r="M1699" s="36"/>
      <c r="N1699" s="36"/>
      <c r="O1699" s="36"/>
      <c r="P1699" s="36"/>
      <c r="Q1699" s="36"/>
      <c r="R1699" s="36"/>
      <c r="S1699" s="39"/>
    </row>
    <row r="1700">
      <c r="B1700" s="36"/>
      <c r="C1700" s="36"/>
      <c r="D1700" s="36"/>
      <c r="E1700" s="36"/>
      <c r="F1700" s="36"/>
      <c r="G1700" s="36"/>
      <c r="H1700" s="36"/>
      <c r="I1700" s="36"/>
      <c r="J1700" s="36"/>
      <c r="K1700" s="36"/>
      <c r="L1700" s="36"/>
      <c r="M1700" s="36"/>
      <c r="N1700" s="36"/>
      <c r="O1700" s="36"/>
      <c r="P1700" s="36"/>
      <c r="Q1700" s="36"/>
      <c r="R1700" s="36"/>
      <c r="S1700" s="39"/>
    </row>
    <row r="1701">
      <c r="B1701" s="36"/>
      <c r="C1701" s="36"/>
      <c r="D1701" s="36"/>
      <c r="E1701" s="36"/>
      <c r="F1701" s="36"/>
      <c r="G1701" s="36"/>
      <c r="H1701" s="36"/>
      <c r="I1701" s="36"/>
      <c r="J1701" s="36"/>
      <c r="K1701" s="36"/>
      <c r="L1701" s="36"/>
      <c r="M1701" s="36"/>
      <c r="N1701" s="36"/>
      <c r="O1701" s="36"/>
      <c r="P1701" s="36"/>
      <c r="Q1701" s="36"/>
      <c r="R1701" s="36"/>
      <c r="S1701" s="39"/>
    </row>
    <row r="1702">
      <c r="B1702" s="36"/>
      <c r="C1702" s="36"/>
      <c r="D1702" s="36"/>
      <c r="E1702" s="36"/>
      <c r="F1702" s="36"/>
      <c r="G1702" s="36"/>
      <c r="H1702" s="36"/>
      <c r="I1702" s="36"/>
      <c r="J1702" s="36"/>
      <c r="K1702" s="36"/>
      <c r="L1702" s="36"/>
      <c r="M1702" s="36"/>
      <c r="N1702" s="36"/>
      <c r="O1702" s="36"/>
      <c r="P1702" s="36"/>
      <c r="Q1702" s="36"/>
      <c r="R1702" s="36"/>
      <c r="S1702" s="39"/>
    </row>
    <row r="1703">
      <c r="B1703" s="36"/>
      <c r="C1703" s="36"/>
      <c r="D1703" s="36"/>
      <c r="E1703" s="36"/>
      <c r="F1703" s="36"/>
      <c r="G1703" s="36"/>
      <c r="H1703" s="36"/>
      <c r="I1703" s="36"/>
      <c r="J1703" s="36"/>
      <c r="K1703" s="36"/>
      <c r="L1703" s="36"/>
      <c r="M1703" s="36"/>
      <c r="N1703" s="36"/>
      <c r="O1703" s="36"/>
      <c r="P1703" s="36"/>
      <c r="Q1703" s="36"/>
      <c r="R1703" s="36"/>
      <c r="S1703" s="39"/>
    </row>
    <row r="1704">
      <c r="B1704" s="36"/>
      <c r="C1704" s="36"/>
      <c r="D1704" s="36"/>
      <c r="E1704" s="36"/>
      <c r="F1704" s="36"/>
      <c r="G1704" s="36"/>
      <c r="H1704" s="36"/>
      <c r="I1704" s="36"/>
      <c r="J1704" s="36"/>
      <c r="K1704" s="36"/>
      <c r="L1704" s="36"/>
      <c r="M1704" s="36"/>
      <c r="N1704" s="36"/>
      <c r="O1704" s="36"/>
      <c r="P1704" s="36"/>
      <c r="Q1704" s="36"/>
      <c r="R1704" s="36"/>
      <c r="S1704" s="39"/>
    </row>
    <row r="1705">
      <c r="B1705" s="36"/>
      <c r="C1705" s="36"/>
      <c r="D1705" s="36"/>
      <c r="E1705" s="36"/>
      <c r="F1705" s="36"/>
      <c r="G1705" s="36"/>
      <c r="H1705" s="36"/>
      <c r="I1705" s="36"/>
      <c r="J1705" s="36"/>
      <c r="K1705" s="36"/>
      <c r="L1705" s="36"/>
      <c r="M1705" s="36"/>
      <c r="N1705" s="36"/>
      <c r="O1705" s="36"/>
      <c r="P1705" s="36"/>
      <c r="Q1705" s="36"/>
      <c r="R1705" s="36"/>
      <c r="S1705" s="39"/>
    </row>
    <row r="1706">
      <c r="B1706" s="36"/>
      <c r="C1706" s="36"/>
      <c r="D1706" s="36"/>
      <c r="E1706" s="36"/>
      <c r="F1706" s="36"/>
      <c r="G1706" s="36"/>
      <c r="H1706" s="36"/>
      <c r="I1706" s="36"/>
      <c r="J1706" s="36"/>
      <c r="K1706" s="36"/>
      <c r="L1706" s="36"/>
      <c r="M1706" s="36"/>
      <c r="N1706" s="36"/>
      <c r="O1706" s="36"/>
      <c r="P1706" s="36"/>
      <c r="Q1706" s="36"/>
      <c r="R1706" s="36"/>
      <c r="S1706" s="39"/>
    </row>
    <row r="1707">
      <c r="B1707" s="36"/>
      <c r="C1707" s="36"/>
      <c r="D1707" s="36"/>
      <c r="E1707" s="36"/>
      <c r="F1707" s="36"/>
      <c r="G1707" s="36"/>
      <c r="H1707" s="36"/>
      <c r="I1707" s="36"/>
      <c r="J1707" s="36"/>
      <c r="K1707" s="36"/>
      <c r="L1707" s="36"/>
      <c r="M1707" s="36"/>
      <c r="N1707" s="36"/>
      <c r="O1707" s="36"/>
      <c r="P1707" s="36"/>
      <c r="Q1707" s="36"/>
      <c r="R1707" s="36"/>
      <c r="S1707" s="39"/>
    </row>
    <row r="1708">
      <c r="B1708" s="36"/>
      <c r="C1708" s="36"/>
      <c r="D1708" s="36"/>
      <c r="E1708" s="36"/>
      <c r="F1708" s="36"/>
      <c r="G1708" s="36"/>
      <c r="H1708" s="36"/>
      <c r="I1708" s="36"/>
      <c r="J1708" s="36"/>
      <c r="K1708" s="36"/>
      <c r="L1708" s="36"/>
      <c r="M1708" s="36"/>
      <c r="N1708" s="36"/>
      <c r="O1708" s="36"/>
      <c r="P1708" s="36"/>
      <c r="Q1708" s="36"/>
      <c r="R1708" s="36"/>
      <c r="S1708" s="39"/>
    </row>
    <row r="1709">
      <c r="B1709" s="36"/>
      <c r="C1709" s="36"/>
      <c r="D1709" s="36"/>
      <c r="E1709" s="36"/>
      <c r="F1709" s="36"/>
      <c r="G1709" s="36"/>
      <c r="H1709" s="36"/>
      <c r="I1709" s="36"/>
      <c r="J1709" s="36"/>
      <c r="K1709" s="36"/>
      <c r="L1709" s="36"/>
      <c r="M1709" s="36"/>
      <c r="N1709" s="36"/>
      <c r="O1709" s="36"/>
      <c r="P1709" s="36"/>
      <c r="Q1709" s="36"/>
      <c r="R1709" s="36"/>
      <c r="S1709" s="39"/>
    </row>
    <row r="1710">
      <c r="B1710" s="36"/>
      <c r="C1710" s="36"/>
      <c r="D1710" s="36"/>
      <c r="E1710" s="36"/>
      <c r="F1710" s="36"/>
      <c r="G1710" s="36"/>
      <c r="H1710" s="36"/>
      <c r="I1710" s="36"/>
      <c r="J1710" s="36"/>
      <c r="K1710" s="36"/>
      <c r="L1710" s="36"/>
      <c r="M1710" s="36"/>
      <c r="N1710" s="36"/>
      <c r="O1710" s="36"/>
      <c r="P1710" s="36"/>
      <c r="Q1710" s="36"/>
      <c r="R1710" s="36"/>
      <c r="S1710" s="39"/>
    </row>
    <row r="1711">
      <c r="B1711" s="36"/>
      <c r="C1711" s="36"/>
      <c r="D1711" s="36"/>
      <c r="E1711" s="36"/>
      <c r="F1711" s="36"/>
      <c r="G1711" s="36"/>
      <c r="H1711" s="36"/>
      <c r="I1711" s="36"/>
      <c r="J1711" s="36"/>
      <c r="K1711" s="36"/>
      <c r="L1711" s="36"/>
      <c r="M1711" s="36"/>
      <c r="N1711" s="36"/>
      <c r="O1711" s="36"/>
      <c r="P1711" s="36"/>
      <c r="Q1711" s="36"/>
      <c r="R1711" s="36"/>
      <c r="S1711" s="39"/>
    </row>
    <row r="1712">
      <c r="B1712" s="36"/>
      <c r="C1712" s="36"/>
      <c r="D1712" s="36"/>
      <c r="E1712" s="36"/>
      <c r="F1712" s="36"/>
      <c r="G1712" s="36"/>
      <c r="H1712" s="36"/>
      <c r="I1712" s="36"/>
      <c r="J1712" s="36"/>
      <c r="K1712" s="36"/>
      <c r="L1712" s="36"/>
      <c r="M1712" s="36"/>
      <c r="N1712" s="36"/>
      <c r="O1712" s="36"/>
      <c r="P1712" s="36"/>
      <c r="Q1712" s="36"/>
      <c r="R1712" s="36"/>
      <c r="S1712" s="39"/>
    </row>
    <row r="1713">
      <c r="B1713" s="36"/>
      <c r="C1713" s="36"/>
      <c r="D1713" s="36"/>
      <c r="E1713" s="36"/>
      <c r="F1713" s="36"/>
      <c r="G1713" s="36"/>
      <c r="H1713" s="36"/>
      <c r="I1713" s="36"/>
      <c r="J1713" s="36"/>
      <c r="K1713" s="36"/>
      <c r="L1713" s="36"/>
      <c r="M1713" s="36"/>
      <c r="N1713" s="36"/>
      <c r="O1713" s="36"/>
      <c r="P1713" s="36"/>
      <c r="Q1713" s="36"/>
      <c r="R1713" s="36"/>
      <c r="S1713" s="39"/>
    </row>
    <row r="1714">
      <c r="B1714" s="36"/>
      <c r="C1714" s="36"/>
      <c r="D1714" s="36"/>
      <c r="E1714" s="36"/>
      <c r="F1714" s="36"/>
      <c r="G1714" s="36"/>
      <c r="H1714" s="36"/>
      <c r="I1714" s="36"/>
      <c r="J1714" s="36"/>
      <c r="K1714" s="36"/>
      <c r="L1714" s="36"/>
      <c r="M1714" s="36"/>
      <c r="N1714" s="36"/>
      <c r="O1714" s="36"/>
      <c r="P1714" s="36"/>
      <c r="Q1714" s="36"/>
      <c r="R1714" s="36"/>
      <c r="S1714" s="39"/>
    </row>
    <row r="1715">
      <c r="B1715" s="36"/>
      <c r="C1715" s="36"/>
      <c r="D1715" s="36"/>
      <c r="E1715" s="36"/>
      <c r="F1715" s="36"/>
      <c r="G1715" s="36"/>
      <c r="H1715" s="36"/>
      <c r="I1715" s="36"/>
      <c r="J1715" s="36"/>
      <c r="K1715" s="36"/>
      <c r="L1715" s="36"/>
      <c r="M1715" s="36"/>
      <c r="N1715" s="36"/>
      <c r="O1715" s="36"/>
      <c r="P1715" s="36"/>
      <c r="Q1715" s="36"/>
      <c r="R1715" s="36"/>
      <c r="S1715" s="39"/>
    </row>
    <row r="1716">
      <c r="B1716" s="36"/>
      <c r="C1716" s="36"/>
      <c r="D1716" s="36"/>
      <c r="E1716" s="36"/>
      <c r="F1716" s="36"/>
      <c r="G1716" s="36"/>
      <c r="H1716" s="36"/>
      <c r="I1716" s="36"/>
      <c r="J1716" s="36"/>
      <c r="K1716" s="36"/>
      <c r="L1716" s="36"/>
      <c r="M1716" s="36"/>
      <c r="N1716" s="36"/>
      <c r="O1716" s="36"/>
      <c r="P1716" s="36"/>
      <c r="Q1716" s="36"/>
      <c r="R1716" s="36"/>
      <c r="S1716" s="39"/>
    </row>
    <row r="1717">
      <c r="B1717" s="36"/>
      <c r="C1717" s="36"/>
      <c r="D1717" s="36"/>
      <c r="E1717" s="36"/>
      <c r="F1717" s="36"/>
      <c r="G1717" s="36"/>
      <c r="H1717" s="36"/>
      <c r="I1717" s="36"/>
      <c r="J1717" s="36"/>
      <c r="K1717" s="36"/>
      <c r="L1717" s="36"/>
      <c r="M1717" s="36"/>
      <c r="N1717" s="36"/>
      <c r="O1717" s="36"/>
      <c r="P1717" s="36"/>
      <c r="Q1717" s="36"/>
      <c r="R1717" s="36"/>
      <c r="S1717" s="39"/>
    </row>
    <row r="1718">
      <c r="B1718" s="36"/>
      <c r="C1718" s="36"/>
      <c r="D1718" s="36"/>
      <c r="E1718" s="36"/>
      <c r="F1718" s="36"/>
      <c r="G1718" s="36"/>
      <c r="H1718" s="36"/>
      <c r="I1718" s="36"/>
      <c r="J1718" s="36"/>
      <c r="K1718" s="36"/>
      <c r="L1718" s="36"/>
      <c r="M1718" s="36"/>
      <c r="N1718" s="36"/>
      <c r="O1718" s="36"/>
      <c r="P1718" s="36"/>
      <c r="Q1718" s="36"/>
      <c r="R1718" s="36"/>
      <c r="S1718" s="39"/>
    </row>
    <row r="1719">
      <c r="B1719" s="36"/>
      <c r="C1719" s="36"/>
      <c r="D1719" s="36"/>
      <c r="E1719" s="36"/>
      <c r="F1719" s="36"/>
      <c r="G1719" s="36"/>
      <c r="H1719" s="36"/>
      <c r="I1719" s="36"/>
      <c r="J1719" s="36"/>
      <c r="K1719" s="36"/>
      <c r="L1719" s="36"/>
      <c r="M1719" s="36"/>
      <c r="N1719" s="36"/>
      <c r="O1719" s="36"/>
      <c r="P1719" s="36"/>
      <c r="Q1719" s="36"/>
      <c r="R1719" s="36"/>
      <c r="S1719" s="39"/>
    </row>
    <row r="1720">
      <c r="B1720" s="36"/>
      <c r="C1720" s="36"/>
      <c r="D1720" s="36"/>
      <c r="E1720" s="36"/>
      <c r="F1720" s="36"/>
      <c r="G1720" s="36"/>
      <c r="H1720" s="36"/>
      <c r="I1720" s="36"/>
      <c r="J1720" s="36"/>
      <c r="K1720" s="36"/>
      <c r="L1720" s="36"/>
      <c r="M1720" s="36"/>
      <c r="N1720" s="36"/>
      <c r="O1720" s="36"/>
      <c r="P1720" s="36"/>
      <c r="Q1720" s="36"/>
      <c r="R1720" s="36"/>
      <c r="S1720" s="39"/>
    </row>
    <row r="1721">
      <c r="B1721" s="36"/>
      <c r="C1721" s="36"/>
      <c r="D1721" s="36"/>
      <c r="E1721" s="36"/>
      <c r="F1721" s="36"/>
      <c r="G1721" s="36"/>
      <c r="H1721" s="36"/>
      <c r="I1721" s="36"/>
      <c r="J1721" s="36"/>
      <c r="K1721" s="36"/>
      <c r="L1721" s="36"/>
      <c r="M1721" s="36"/>
      <c r="N1721" s="36"/>
      <c r="O1721" s="36"/>
      <c r="P1721" s="36"/>
      <c r="Q1721" s="36"/>
      <c r="R1721" s="36"/>
      <c r="S1721" s="39"/>
    </row>
    <row r="1722">
      <c r="B1722" s="36"/>
      <c r="C1722" s="36"/>
      <c r="D1722" s="36"/>
      <c r="E1722" s="36"/>
      <c r="F1722" s="36"/>
      <c r="G1722" s="36"/>
      <c r="H1722" s="36"/>
      <c r="I1722" s="36"/>
      <c r="J1722" s="36"/>
      <c r="K1722" s="36"/>
      <c r="L1722" s="36"/>
      <c r="M1722" s="36"/>
      <c r="N1722" s="36"/>
      <c r="O1722" s="36"/>
      <c r="P1722" s="36"/>
      <c r="Q1722" s="36"/>
      <c r="R1722" s="36"/>
      <c r="S1722" s="39"/>
    </row>
    <row r="1723">
      <c r="B1723" s="36"/>
      <c r="C1723" s="36"/>
      <c r="D1723" s="36"/>
      <c r="E1723" s="36"/>
      <c r="F1723" s="36"/>
      <c r="G1723" s="36"/>
      <c r="H1723" s="36"/>
      <c r="I1723" s="36"/>
      <c r="J1723" s="36"/>
      <c r="K1723" s="36"/>
      <c r="L1723" s="36"/>
      <c r="M1723" s="36"/>
      <c r="N1723" s="36"/>
      <c r="O1723" s="36"/>
      <c r="P1723" s="36"/>
      <c r="Q1723" s="36"/>
      <c r="R1723" s="36"/>
      <c r="S1723" s="39"/>
    </row>
    <row r="1724">
      <c r="B1724" s="36"/>
      <c r="C1724" s="36"/>
      <c r="D1724" s="36"/>
      <c r="E1724" s="36"/>
      <c r="F1724" s="36"/>
      <c r="G1724" s="36"/>
      <c r="H1724" s="36"/>
      <c r="I1724" s="36"/>
      <c r="J1724" s="36"/>
      <c r="K1724" s="36"/>
      <c r="L1724" s="36"/>
      <c r="M1724" s="36"/>
      <c r="N1724" s="36"/>
      <c r="O1724" s="36"/>
      <c r="P1724" s="36"/>
      <c r="Q1724" s="36"/>
      <c r="R1724" s="36"/>
      <c r="S1724" s="39"/>
    </row>
    <row r="1725">
      <c r="B1725" s="36"/>
      <c r="C1725" s="36"/>
      <c r="D1725" s="36"/>
      <c r="E1725" s="36"/>
      <c r="F1725" s="36"/>
      <c r="G1725" s="36"/>
      <c r="H1725" s="36"/>
      <c r="I1725" s="36"/>
      <c r="J1725" s="36"/>
      <c r="K1725" s="36"/>
      <c r="L1725" s="36"/>
      <c r="M1725" s="36"/>
      <c r="N1725" s="36"/>
      <c r="O1725" s="36"/>
      <c r="P1725" s="36"/>
      <c r="Q1725" s="36"/>
      <c r="R1725" s="36"/>
      <c r="S1725" s="39"/>
    </row>
    <row r="1726">
      <c r="B1726" s="36"/>
      <c r="C1726" s="36"/>
      <c r="D1726" s="36"/>
      <c r="E1726" s="36"/>
      <c r="F1726" s="36"/>
      <c r="G1726" s="36"/>
      <c r="H1726" s="36"/>
      <c r="I1726" s="36"/>
      <c r="J1726" s="36"/>
      <c r="K1726" s="36"/>
      <c r="L1726" s="36"/>
      <c r="M1726" s="36"/>
      <c r="N1726" s="36"/>
      <c r="O1726" s="36"/>
      <c r="P1726" s="36"/>
      <c r="Q1726" s="36"/>
      <c r="R1726" s="36"/>
      <c r="S1726" s="39"/>
    </row>
    <row r="1727">
      <c r="B1727" s="36"/>
      <c r="C1727" s="36"/>
      <c r="D1727" s="36"/>
      <c r="E1727" s="36"/>
      <c r="F1727" s="36"/>
      <c r="G1727" s="36"/>
      <c r="H1727" s="36"/>
      <c r="I1727" s="36"/>
      <c r="J1727" s="36"/>
      <c r="K1727" s="36"/>
      <c r="L1727" s="36"/>
      <c r="M1727" s="36"/>
      <c r="N1727" s="36"/>
      <c r="O1727" s="36"/>
      <c r="P1727" s="36"/>
      <c r="Q1727" s="36"/>
      <c r="R1727" s="36"/>
      <c r="S1727" s="39"/>
    </row>
    <row r="1728">
      <c r="B1728" s="36"/>
      <c r="C1728" s="36"/>
      <c r="D1728" s="36"/>
      <c r="E1728" s="36"/>
      <c r="F1728" s="36"/>
      <c r="G1728" s="36"/>
      <c r="H1728" s="36"/>
      <c r="I1728" s="36"/>
      <c r="J1728" s="36"/>
      <c r="K1728" s="36"/>
      <c r="L1728" s="36"/>
      <c r="M1728" s="36"/>
      <c r="N1728" s="36"/>
      <c r="O1728" s="36"/>
      <c r="P1728" s="36"/>
      <c r="Q1728" s="36"/>
      <c r="R1728" s="36"/>
      <c r="S1728" s="39"/>
    </row>
    <row r="1729">
      <c r="B1729" s="36"/>
      <c r="C1729" s="36"/>
      <c r="D1729" s="36"/>
      <c r="E1729" s="36"/>
      <c r="F1729" s="36"/>
      <c r="G1729" s="36"/>
      <c r="H1729" s="36"/>
      <c r="I1729" s="36"/>
      <c r="J1729" s="36"/>
      <c r="K1729" s="36"/>
      <c r="L1729" s="36"/>
      <c r="M1729" s="36"/>
      <c r="N1729" s="36"/>
      <c r="O1729" s="36"/>
      <c r="P1729" s="36"/>
      <c r="Q1729" s="36"/>
      <c r="R1729" s="36"/>
      <c r="S1729" s="39"/>
    </row>
    <row r="1730">
      <c r="B1730" s="36"/>
      <c r="C1730" s="36"/>
      <c r="D1730" s="36"/>
      <c r="E1730" s="36"/>
      <c r="F1730" s="36"/>
      <c r="G1730" s="36"/>
      <c r="H1730" s="36"/>
      <c r="I1730" s="36"/>
      <c r="J1730" s="36"/>
      <c r="K1730" s="36"/>
      <c r="L1730" s="36"/>
      <c r="M1730" s="36"/>
      <c r="N1730" s="36"/>
      <c r="O1730" s="36"/>
      <c r="P1730" s="36"/>
      <c r="Q1730" s="36"/>
      <c r="R1730" s="36"/>
      <c r="S1730" s="39"/>
    </row>
    <row r="1731">
      <c r="B1731" s="36"/>
      <c r="C1731" s="36"/>
      <c r="D1731" s="36"/>
      <c r="E1731" s="36"/>
      <c r="F1731" s="36"/>
      <c r="G1731" s="36"/>
      <c r="H1731" s="36"/>
      <c r="I1731" s="36"/>
      <c r="J1731" s="36"/>
      <c r="K1731" s="36"/>
      <c r="L1731" s="36"/>
      <c r="M1731" s="36"/>
      <c r="N1731" s="36"/>
      <c r="O1731" s="36"/>
      <c r="P1731" s="36"/>
      <c r="Q1731" s="36"/>
      <c r="R1731" s="36"/>
      <c r="S1731" s="39"/>
    </row>
    <row r="1732">
      <c r="B1732" s="36"/>
      <c r="C1732" s="36"/>
      <c r="D1732" s="36"/>
      <c r="E1732" s="36"/>
      <c r="F1732" s="36"/>
      <c r="G1732" s="36"/>
      <c r="H1732" s="36"/>
      <c r="I1732" s="36"/>
      <c r="J1732" s="36"/>
      <c r="K1732" s="36"/>
      <c r="L1732" s="36"/>
      <c r="M1732" s="36"/>
      <c r="N1732" s="36"/>
      <c r="O1732" s="36"/>
      <c r="P1732" s="36"/>
      <c r="Q1732" s="36"/>
      <c r="R1732" s="36"/>
      <c r="S1732" s="39"/>
    </row>
    <row r="1733">
      <c r="B1733" s="36"/>
      <c r="C1733" s="36"/>
      <c r="D1733" s="36"/>
      <c r="E1733" s="36"/>
      <c r="F1733" s="36"/>
      <c r="G1733" s="36"/>
      <c r="H1733" s="36"/>
      <c r="I1733" s="36"/>
      <c r="J1733" s="36"/>
      <c r="K1733" s="36"/>
      <c r="L1733" s="36"/>
      <c r="M1733" s="36"/>
      <c r="N1733" s="36"/>
      <c r="O1733" s="36"/>
      <c r="P1733" s="36"/>
      <c r="Q1733" s="36"/>
      <c r="R1733" s="36"/>
      <c r="S1733" s="39"/>
    </row>
    <row r="1734">
      <c r="B1734" s="36"/>
      <c r="C1734" s="36"/>
      <c r="D1734" s="36"/>
      <c r="E1734" s="36"/>
      <c r="F1734" s="36"/>
      <c r="G1734" s="36"/>
      <c r="H1734" s="36"/>
      <c r="I1734" s="36"/>
      <c r="J1734" s="36"/>
      <c r="K1734" s="36"/>
      <c r="L1734" s="36"/>
      <c r="M1734" s="36"/>
      <c r="N1734" s="36"/>
      <c r="O1734" s="36"/>
      <c r="P1734" s="36"/>
      <c r="Q1734" s="36"/>
      <c r="R1734" s="36"/>
      <c r="S1734" s="39"/>
    </row>
    <row r="1735">
      <c r="B1735" s="36"/>
      <c r="C1735" s="36"/>
      <c r="D1735" s="36"/>
      <c r="E1735" s="36"/>
      <c r="F1735" s="36"/>
      <c r="G1735" s="36"/>
      <c r="H1735" s="36"/>
      <c r="I1735" s="36"/>
      <c r="J1735" s="36"/>
      <c r="K1735" s="36"/>
      <c r="L1735" s="36"/>
      <c r="M1735" s="36"/>
      <c r="N1735" s="36"/>
      <c r="O1735" s="36"/>
      <c r="P1735" s="36"/>
      <c r="Q1735" s="36"/>
      <c r="R1735" s="36"/>
      <c r="S1735" s="39"/>
    </row>
    <row r="1736">
      <c r="B1736" s="36"/>
      <c r="C1736" s="36"/>
      <c r="D1736" s="36"/>
      <c r="E1736" s="36"/>
      <c r="F1736" s="36"/>
      <c r="G1736" s="36"/>
      <c r="H1736" s="36"/>
      <c r="I1736" s="36"/>
      <c r="J1736" s="36"/>
      <c r="K1736" s="36"/>
      <c r="L1736" s="36"/>
      <c r="M1736" s="36"/>
      <c r="N1736" s="36"/>
      <c r="O1736" s="36"/>
      <c r="P1736" s="36"/>
      <c r="Q1736" s="36"/>
      <c r="R1736" s="36"/>
      <c r="S1736" s="39"/>
    </row>
    <row r="1737">
      <c r="B1737" s="36"/>
      <c r="C1737" s="36"/>
      <c r="D1737" s="36"/>
      <c r="E1737" s="36"/>
      <c r="F1737" s="36"/>
      <c r="G1737" s="36"/>
      <c r="H1737" s="36"/>
      <c r="I1737" s="36"/>
      <c r="J1737" s="36"/>
      <c r="K1737" s="36"/>
      <c r="L1737" s="36"/>
      <c r="M1737" s="36"/>
      <c r="N1737" s="36"/>
      <c r="O1737" s="36"/>
      <c r="P1737" s="36"/>
      <c r="Q1737" s="36"/>
      <c r="R1737" s="36"/>
      <c r="S1737" s="39"/>
    </row>
    <row r="1738">
      <c r="B1738" s="36"/>
      <c r="C1738" s="36"/>
      <c r="D1738" s="36"/>
      <c r="E1738" s="36"/>
      <c r="F1738" s="36"/>
      <c r="G1738" s="36"/>
      <c r="H1738" s="36"/>
      <c r="I1738" s="36"/>
      <c r="J1738" s="36"/>
      <c r="K1738" s="36"/>
      <c r="L1738" s="36"/>
      <c r="M1738" s="36"/>
      <c r="N1738" s="36"/>
      <c r="O1738" s="36"/>
      <c r="P1738" s="36"/>
      <c r="Q1738" s="36"/>
      <c r="R1738" s="36"/>
      <c r="S1738" s="39"/>
    </row>
    <row r="1739">
      <c r="B1739" s="36"/>
      <c r="C1739" s="36"/>
      <c r="D1739" s="36"/>
      <c r="E1739" s="36"/>
      <c r="F1739" s="36"/>
      <c r="G1739" s="36"/>
      <c r="H1739" s="36"/>
      <c r="I1739" s="36"/>
      <c r="J1739" s="36"/>
      <c r="K1739" s="36"/>
      <c r="L1739" s="36"/>
      <c r="M1739" s="36"/>
      <c r="N1739" s="36"/>
      <c r="O1739" s="36"/>
      <c r="P1739" s="36"/>
      <c r="Q1739" s="36"/>
      <c r="R1739" s="36"/>
      <c r="S1739" s="39"/>
    </row>
    <row r="1740">
      <c r="B1740" s="36"/>
      <c r="C1740" s="36"/>
      <c r="D1740" s="36"/>
      <c r="E1740" s="36"/>
      <c r="F1740" s="36"/>
      <c r="G1740" s="36"/>
      <c r="H1740" s="36"/>
      <c r="I1740" s="36"/>
      <c r="J1740" s="36"/>
      <c r="K1740" s="36"/>
      <c r="L1740" s="36"/>
      <c r="M1740" s="36"/>
      <c r="N1740" s="36"/>
      <c r="O1740" s="36"/>
      <c r="P1740" s="36"/>
      <c r="Q1740" s="36"/>
      <c r="R1740" s="36"/>
      <c r="S1740" s="39"/>
    </row>
    <row r="1741">
      <c r="B1741" s="36"/>
      <c r="C1741" s="36"/>
      <c r="D1741" s="36"/>
      <c r="E1741" s="36"/>
      <c r="F1741" s="36"/>
      <c r="G1741" s="36"/>
      <c r="H1741" s="36"/>
      <c r="I1741" s="36"/>
      <c r="J1741" s="36"/>
      <c r="K1741" s="36"/>
      <c r="L1741" s="36"/>
      <c r="M1741" s="36"/>
      <c r="N1741" s="36"/>
      <c r="O1741" s="36"/>
      <c r="P1741" s="36"/>
      <c r="Q1741" s="36"/>
      <c r="R1741" s="36"/>
      <c r="S1741" s="39"/>
    </row>
    <row r="1742">
      <c r="B1742" s="36"/>
      <c r="C1742" s="36"/>
      <c r="D1742" s="36"/>
      <c r="E1742" s="36"/>
      <c r="F1742" s="36"/>
      <c r="G1742" s="36"/>
      <c r="H1742" s="36"/>
      <c r="I1742" s="36"/>
      <c r="J1742" s="36"/>
      <c r="K1742" s="36"/>
      <c r="L1742" s="36"/>
      <c r="M1742" s="36"/>
      <c r="N1742" s="36"/>
      <c r="O1742" s="36"/>
      <c r="P1742" s="36"/>
      <c r="Q1742" s="36"/>
      <c r="R1742" s="36"/>
      <c r="S1742" s="39"/>
    </row>
    <row r="1743">
      <c r="B1743" s="36"/>
      <c r="C1743" s="36"/>
      <c r="D1743" s="36"/>
      <c r="E1743" s="36"/>
      <c r="F1743" s="36"/>
      <c r="G1743" s="36"/>
      <c r="H1743" s="36"/>
      <c r="I1743" s="36"/>
      <c r="J1743" s="36"/>
      <c r="K1743" s="36"/>
      <c r="L1743" s="36"/>
      <c r="M1743" s="36"/>
      <c r="N1743" s="36"/>
      <c r="O1743" s="36"/>
      <c r="P1743" s="36"/>
      <c r="Q1743" s="36"/>
      <c r="R1743" s="36"/>
      <c r="S1743" s="39"/>
    </row>
    <row r="1744">
      <c r="B1744" s="36"/>
      <c r="C1744" s="36"/>
      <c r="D1744" s="36"/>
      <c r="E1744" s="36"/>
      <c r="F1744" s="36"/>
      <c r="G1744" s="36"/>
      <c r="H1744" s="36"/>
      <c r="I1744" s="36"/>
      <c r="J1744" s="36"/>
      <c r="K1744" s="36"/>
      <c r="L1744" s="36"/>
      <c r="M1744" s="36"/>
      <c r="N1744" s="36"/>
      <c r="O1744" s="36"/>
      <c r="P1744" s="36"/>
      <c r="Q1744" s="36"/>
      <c r="R1744" s="36"/>
      <c r="S1744" s="39"/>
    </row>
    <row r="1745">
      <c r="B1745" s="36"/>
      <c r="C1745" s="36"/>
      <c r="D1745" s="36"/>
      <c r="E1745" s="36"/>
      <c r="F1745" s="36"/>
      <c r="G1745" s="36"/>
      <c r="H1745" s="36"/>
      <c r="I1745" s="36"/>
      <c r="J1745" s="36"/>
      <c r="K1745" s="36"/>
      <c r="L1745" s="36"/>
      <c r="M1745" s="36"/>
      <c r="N1745" s="36"/>
      <c r="O1745" s="36"/>
      <c r="P1745" s="36"/>
      <c r="Q1745" s="36"/>
      <c r="R1745" s="36"/>
      <c r="S1745" s="39"/>
    </row>
    <row r="1746">
      <c r="B1746" s="36"/>
      <c r="C1746" s="36"/>
      <c r="D1746" s="36"/>
      <c r="E1746" s="36"/>
      <c r="F1746" s="36"/>
      <c r="G1746" s="36"/>
      <c r="H1746" s="36"/>
      <c r="I1746" s="36"/>
      <c r="J1746" s="36"/>
      <c r="K1746" s="36"/>
      <c r="L1746" s="36"/>
      <c r="M1746" s="36"/>
      <c r="N1746" s="36"/>
      <c r="O1746" s="36"/>
      <c r="P1746" s="36"/>
      <c r="Q1746" s="36"/>
      <c r="R1746" s="36"/>
      <c r="S1746" s="39"/>
    </row>
    <row r="1747">
      <c r="B1747" s="36"/>
      <c r="C1747" s="36"/>
      <c r="D1747" s="36"/>
      <c r="E1747" s="36"/>
      <c r="F1747" s="36"/>
      <c r="G1747" s="36"/>
      <c r="H1747" s="36"/>
      <c r="I1747" s="36"/>
      <c r="J1747" s="36"/>
      <c r="K1747" s="36"/>
      <c r="L1747" s="36"/>
      <c r="M1747" s="36"/>
      <c r="N1747" s="36"/>
      <c r="O1747" s="36"/>
      <c r="P1747" s="36"/>
      <c r="Q1747" s="36"/>
      <c r="R1747" s="36"/>
      <c r="S1747" s="39"/>
    </row>
    <row r="1748">
      <c r="B1748" s="36"/>
      <c r="C1748" s="36"/>
      <c r="D1748" s="36"/>
      <c r="E1748" s="36"/>
      <c r="F1748" s="36"/>
      <c r="G1748" s="36"/>
      <c r="H1748" s="36"/>
      <c r="I1748" s="36"/>
      <c r="J1748" s="36"/>
      <c r="K1748" s="36"/>
      <c r="L1748" s="36"/>
      <c r="M1748" s="36"/>
      <c r="N1748" s="36"/>
      <c r="O1748" s="36"/>
      <c r="P1748" s="36"/>
      <c r="Q1748" s="36"/>
      <c r="R1748" s="36"/>
      <c r="S1748" s="39"/>
    </row>
    <row r="1749">
      <c r="B1749" s="36"/>
      <c r="C1749" s="36"/>
      <c r="D1749" s="36"/>
      <c r="E1749" s="36"/>
      <c r="F1749" s="36"/>
      <c r="G1749" s="36"/>
      <c r="H1749" s="36"/>
      <c r="I1749" s="36"/>
      <c r="J1749" s="36"/>
      <c r="K1749" s="36"/>
      <c r="L1749" s="36"/>
      <c r="M1749" s="36"/>
      <c r="N1749" s="36"/>
      <c r="O1749" s="36"/>
      <c r="P1749" s="36"/>
      <c r="Q1749" s="36"/>
      <c r="R1749" s="36"/>
      <c r="S1749" s="39"/>
    </row>
    <row r="1750">
      <c r="B1750" s="36"/>
      <c r="C1750" s="36"/>
      <c r="D1750" s="36"/>
      <c r="E1750" s="36"/>
      <c r="F1750" s="36"/>
      <c r="G1750" s="36"/>
      <c r="H1750" s="36"/>
      <c r="I1750" s="36"/>
      <c r="J1750" s="36"/>
      <c r="K1750" s="36"/>
      <c r="L1750" s="36"/>
      <c r="M1750" s="36"/>
      <c r="N1750" s="36"/>
      <c r="O1750" s="36"/>
      <c r="P1750" s="36"/>
      <c r="Q1750" s="36"/>
      <c r="R1750" s="36"/>
      <c r="S1750" s="39"/>
    </row>
    <row r="1751">
      <c r="B1751" s="36"/>
      <c r="C1751" s="36"/>
      <c r="D1751" s="36"/>
      <c r="E1751" s="36"/>
      <c r="F1751" s="36"/>
      <c r="G1751" s="36"/>
      <c r="H1751" s="36"/>
      <c r="I1751" s="36"/>
      <c r="J1751" s="36"/>
      <c r="K1751" s="36"/>
      <c r="L1751" s="36"/>
      <c r="M1751" s="36"/>
      <c r="N1751" s="36"/>
      <c r="O1751" s="36"/>
      <c r="P1751" s="36"/>
      <c r="Q1751" s="36"/>
      <c r="R1751" s="36"/>
      <c r="S1751" s="39"/>
    </row>
    <row r="1752">
      <c r="B1752" s="36"/>
      <c r="C1752" s="36"/>
      <c r="D1752" s="36"/>
      <c r="E1752" s="36"/>
      <c r="F1752" s="36"/>
      <c r="G1752" s="36"/>
      <c r="H1752" s="36"/>
      <c r="I1752" s="36"/>
      <c r="J1752" s="36"/>
      <c r="K1752" s="36"/>
      <c r="L1752" s="36"/>
      <c r="M1752" s="36"/>
      <c r="N1752" s="36"/>
      <c r="O1752" s="36"/>
      <c r="P1752" s="36"/>
      <c r="Q1752" s="36"/>
      <c r="R1752" s="36"/>
      <c r="S1752" s="39"/>
    </row>
    <row r="1753">
      <c r="B1753" s="36"/>
      <c r="C1753" s="36"/>
      <c r="D1753" s="36"/>
      <c r="E1753" s="36"/>
      <c r="F1753" s="36"/>
      <c r="G1753" s="36"/>
      <c r="H1753" s="36"/>
      <c r="I1753" s="36"/>
      <c r="J1753" s="36"/>
      <c r="K1753" s="36"/>
      <c r="L1753" s="36"/>
      <c r="M1753" s="36"/>
      <c r="N1753" s="36"/>
      <c r="O1753" s="36"/>
      <c r="P1753" s="36"/>
      <c r="Q1753" s="36"/>
      <c r="R1753" s="36"/>
      <c r="S1753" s="39"/>
    </row>
    <row r="1754">
      <c r="B1754" s="36"/>
      <c r="C1754" s="36"/>
      <c r="D1754" s="36"/>
      <c r="E1754" s="36"/>
      <c r="F1754" s="36"/>
      <c r="G1754" s="36"/>
      <c r="H1754" s="36"/>
      <c r="I1754" s="36"/>
      <c r="J1754" s="36"/>
      <c r="K1754" s="36"/>
      <c r="L1754" s="36"/>
      <c r="M1754" s="36"/>
      <c r="N1754" s="36"/>
      <c r="O1754" s="36"/>
      <c r="P1754" s="36"/>
      <c r="Q1754" s="36"/>
      <c r="R1754" s="36"/>
      <c r="S1754" s="39"/>
    </row>
    <row r="1755">
      <c r="B1755" s="36"/>
      <c r="C1755" s="36"/>
      <c r="D1755" s="36"/>
      <c r="E1755" s="36"/>
      <c r="F1755" s="36"/>
      <c r="G1755" s="36"/>
      <c r="H1755" s="36"/>
      <c r="I1755" s="36"/>
      <c r="J1755" s="36"/>
      <c r="K1755" s="36"/>
      <c r="L1755" s="36"/>
      <c r="M1755" s="36"/>
      <c r="N1755" s="36"/>
      <c r="O1755" s="36"/>
      <c r="P1755" s="36"/>
      <c r="Q1755" s="36"/>
      <c r="R1755" s="36"/>
      <c r="S1755" s="39"/>
    </row>
    <row r="1756">
      <c r="B1756" s="36"/>
      <c r="C1756" s="36"/>
      <c r="D1756" s="36"/>
      <c r="E1756" s="36"/>
      <c r="F1756" s="36"/>
      <c r="G1756" s="36"/>
      <c r="H1756" s="36"/>
      <c r="I1756" s="36"/>
      <c r="J1756" s="36"/>
      <c r="K1756" s="36"/>
      <c r="L1756" s="36"/>
      <c r="M1756" s="36"/>
      <c r="N1756" s="36"/>
      <c r="O1756" s="36"/>
      <c r="P1756" s="36"/>
      <c r="Q1756" s="36"/>
      <c r="R1756" s="36"/>
      <c r="S1756" s="39"/>
    </row>
    <row r="1757">
      <c r="B1757" s="36"/>
      <c r="C1757" s="36"/>
      <c r="D1757" s="36"/>
      <c r="E1757" s="36"/>
      <c r="F1757" s="36"/>
      <c r="G1757" s="36"/>
      <c r="H1757" s="36"/>
      <c r="I1757" s="36"/>
      <c r="J1757" s="36"/>
      <c r="K1757" s="36"/>
      <c r="L1757" s="36"/>
      <c r="M1757" s="36"/>
      <c r="N1757" s="36"/>
      <c r="O1757" s="36"/>
      <c r="P1757" s="36"/>
      <c r="Q1757" s="36"/>
      <c r="R1757" s="36"/>
      <c r="S1757" s="39"/>
    </row>
    <row r="1758">
      <c r="B1758" s="36"/>
      <c r="C1758" s="36"/>
      <c r="D1758" s="36"/>
      <c r="E1758" s="36"/>
      <c r="F1758" s="36"/>
      <c r="G1758" s="36"/>
      <c r="H1758" s="36"/>
      <c r="I1758" s="36"/>
      <c r="J1758" s="36"/>
      <c r="K1758" s="36"/>
      <c r="L1758" s="36"/>
      <c r="M1758" s="36"/>
      <c r="N1758" s="36"/>
      <c r="O1758" s="36"/>
      <c r="P1758" s="36"/>
      <c r="Q1758" s="36"/>
      <c r="R1758" s="36"/>
      <c r="S1758" s="39"/>
    </row>
    <row r="1759">
      <c r="B1759" s="36"/>
      <c r="C1759" s="36"/>
      <c r="D1759" s="36"/>
      <c r="E1759" s="36"/>
      <c r="F1759" s="36"/>
      <c r="G1759" s="36"/>
      <c r="H1759" s="36"/>
      <c r="I1759" s="36"/>
      <c r="J1759" s="36"/>
      <c r="K1759" s="36"/>
      <c r="L1759" s="36"/>
      <c r="M1759" s="36"/>
      <c r="N1759" s="36"/>
      <c r="O1759" s="36"/>
      <c r="P1759" s="36"/>
      <c r="Q1759" s="36"/>
      <c r="R1759" s="36"/>
      <c r="S1759" s="39"/>
    </row>
    <row r="1760">
      <c r="B1760" s="36"/>
      <c r="C1760" s="36"/>
      <c r="D1760" s="36"/>
      <c r="E1760" s="36"/>
      <c r="F1760" s="36"/>
      <c r="G1760" s="36"/>
      <c r="H1760" s="36"/>
      <c r="I1760" s="36"/>
      <c r="J1760" s="36"/>
      <c r="K1760" s="36"/>
      <c r="L1760" s="36"/>
      <c r="M1760" s="36"/>
      <c r="N1760" s="36"/>
      <c r="O1760" s="36"/>
      <c r="P1760" s="36"/>
      <c r="Q1760" s="36"/>
      <c r="R1760" s="36"/>
      <c r="S1760" s="39"/>
    </row>
    <row r="1761">
      <c r="B1761" s="36"/>
      <c r="C1761" s="36"/>
      <c r="D1761" s="36"/>
      <c r="E1761" s="36"/>
      <c r="F1761" s="36"/>
      <c r="G1761" s="36"/>
      <c r="H1761" s="36"/>
      <c r="I1761" s="36"/>
      <c r="J1761" s="36"/>
      <c r="K1761" s="36"/>
      <c r="L1761" s="36"/>
      <c r="M1761" s="36"/>
      <c r="N1761" s="36"/>
      <c r="O1761" s="36"/>
      <c r="P1761" s="36"/>
      <c r="Q1761" s="36"/>
      <c r="R1761" s="36"/>
      <c r="S1761" s="39"/>
    </row>
    <row r="1762">
      <c r="B1762" s="36"/>
      <c r="C1762" s="36"/>
      <c r="D1762" s="36"/>
      <c r="E1762" s="36"/>
      <c r="F1762" s="36"/>
      <c r="G1762" s="36"/>
      <c r="H1762" s="36"/>
      <c r="I1762" s="36"/>
      <c r="J1762" s="36"/>
      <c r="K1762" s="36"/>
      <c r="L1762" s="36"/>
      <c r="M1762" s="36"/>
      <c r="N1762" s="36"/>
      <c r="O1762" s="36"/>
      <c r="P1762" s="36"/>
      <c r="Q1762" s="36"/>
      <c r="R1762" s="36"/>
      <c r="S1762" s="39"/>
    </row>
    <row r="1763">
      <c r="B1763" s="36"/>
      <c r="C1763" s="36"/>
      <c r="D1763" s="36"/>
      <c r="E1763" s="36"/>
      <c r="F1763" s="36"/>
      <c r="G1763" s="36"/>
      <c r="H1763" s="36"/>
      <c r="I1763" s="36"/>
      <c r="J1763" s="36"/>
      <c r="K1763" s="36"/>
      <c r="L1763" s="36"/>
      <c r="M1763" s="36"/>
      <c r="N1763" s="36"/>
      <c r="O1763" s="36"/>
      <c r="P1763" s="36"/>
      <c r="Q1763" s="36"/>
      <c r="R1763" s="36"/>
      <c r="S1763" s="39"/>
    </row>
    <row r="1764">
      <c r="B1764" s="36"/>
      <c r="C1764" s="36"/>
      <c r="D1764" s="36"/>
      <c r="E1764" s="36"/>
      <c r="F1764" s="36"/>
      <c r="G1764" s="36"/>
      <c r="H1764" s="36"/>
      <c r="I1764" s="36"/>
      <c r="J1764" s="36"/>
      <c r="K1764" s="36"/>
      <c r="L1764" s="36"/>
      <c r="M1764" s="36"/>
      <c r="N1764" s="36"/>
      <c r="O1764" s="36"/>
      <c r="P1764" s="36"/>
      <c r="Q1764" s="36"/>
      <c r="R1764" s="36"/>
      <c r="S1764" s="39"/>
    </row>
    <row r="1765">
      <c r="B1765" s="36"/>
      <c r="C1765" s="36"/>
      <c r="D1765" s="36"/>
      <c r="E1765" s="36"/>
      <c r="F1765" s="36"/>
      <c r="G1765" s="36"/>
      <c r="H1765" s="36"/>
      <c r="I1765" s="36"/>
      <c r="J1765" s="36"/>
      <c r="K1765" s="36"/>
      <c r="L1765" s="36"/>
      <c r="M1765" s="36"/>
      <c r="N1765" s="36"/>
      <c r="O1765" s="36"/>
      <c r="P1765" s="36"/>
      <c r="Q1765" s="36"/>
      <c r="R1765" s="36"/>
      <c r="S1765" s="39"/>
    </row>
    <row r="1766">
      <c r="B1766" s="36"/>
      <c r="C1766" s="36"/>
      <c r="D1766" s="36"/>
      <c r="E1766" s="36"/>
      <c r="F1766" s="36"/>
      <c r="G1766" s="36"/>
      <c r="H1766" s="36"/>
      <c r="I1766" s="36"/>
      <c r="J1766" s="36"/>
      <c r="K1766" s="36"/>
      <c r="L1766" s="36"/>
      <c r="M1766" s="36"/>
      <c r="N1766" s="36"/>
      <c r="O1766" s="36"/>
      <c r="P1766" s="36"/>
      <c r="Q1766" s="36"/>
      <c r="R1766" s="36"/>
      <c r="S1766" s="39"/>
    </row>
    <row r="1767">
      <c r="B1767" s="36"/>
      <c r="C1767" s="36"/>
      <c r="D1767" s="36"/>
      <c r="E1767" s="36"/>
      <c r="F1767" s="36"/>
      <c r="G1767" s="36"/>
      <c r="H1767" s="36"/>
      <c r="I1767" s="36"/>
      <c r="J1767" s="36"/>
      <c r="K1767" s="36"/>
      <c r="L1767" s="36"/>
      <c r="M1767" s="36"/>
      <c r="N1767" s="36"/>
      <c r="O1767" s="36"/>
      <c r="P1767" s="36"/>
      <c r="Q1767" s="36"/>
      <c r="R1767" s="36"/>
      <c r="S1767" s="39"/>
    </row>
    <row r="1768">
      <c r="B1768" s="36"/>
      <c r="C1768" s="36"/>
      <c r="D1768" s="36"/>
      <c r="E1768" s="36"/>
      <c r="F1768" s="36"/>
      <c r="G1768" s="36"/>
      <c r="H1768" s="36"/>
      <c r="I1768" s="36"/>
      <c r="J1768" s="36"/>
      <c r="K1768" s="36"/>
      <c r="L1768" s="36"/>
      <c r="M1768" s="36"/>
      <c r="N1768" s="36"/>
      <c r="O1768" s="36"/>
      <c r="P1768" s="36"/>
      <c r="Q1768" s="36"/>
      <c r="R1768" s="36"/>
      <c r="S1768" s="39"/>
    </row>
    <row r="1769">
      <c r="B1769" s="36"/>
      <c r="C1769" s="36"/>
      <c r="D1769" s="36"/>
      <c r="E1769" s="36"/>
      <c r="F1769" s="36"/>
      <c r="G1769" s="36"/>
      <c r="H1769" s="36"/>
      <c r="I1769" s="36"/>
      <c r="J1769" s="36"/>
      <c r="K1769" s="36"/>
      <c r="L1769" s="36"/>
      <c r="M1769" s="36"/>
      <c r="N1769" s="36"/>
      <c r="O1769" s="36"/>
      <c r="P1769" s="36"/>
      <c r="Q1769" s="36"/>
      <c r="R1769" s="36"/>
      <c r="S1769" s="39"/>
    </row>
    <row r="1770">
      <c r="B1770" s="36"/>
      <c r="C1770" s="36"/>
      <c r="D1770" s="36"/>
      <c r="E1770" s="36"/>
      <c r="F1770" s="36"/>
      <c r="G1770" s="36"/>
      <c r="H1770" s="36"/>
      <c r="I1770" s="36"/>
      <c r="J1770" s="36"/>
      <c r="K1770" s="36"/>
      <c r="L1770" s="36"/>
      <c r="M1770" s="36"/>
      <c r="N1770" s="36"/>
      <c r="O1770" s="36"/>
      <c r="P1770" s="36"/>
      <c r="Q1770" s="36"/>
      <c r="R1770" s="36"/>
      <c r="S1770" s="39"/>
    </row>
    <row r="1771">
      <c r="B1771" s="36"/>
      <c r="C1771" s="36"/>
      <c r="D1771" s="36"/>
      <c r="E1771" s="36"/>
      <c r="F1771" s="36"/>
      <c r="G1771" s="36"/>
      <c r="H1771" s="36"/>
      <c r="I1771" s="36"/>
      <c r="J1771" s="36"/>
      <c r="K1771" s="36"/>
      <c r="L1771" s="36"/>
      <c r="M1771" s="36"/>
      <c r="N1771" s="36"/>
      <c r="O1771" s="36"/>
      <c r="P1771" s="36"/>
      <c r="Q1771" s="36"/>
      <c r="R1771" s="36"/>
      <c r="S1771" s="39"/>
    </row>
    <row r="1772">
      <c r="B1772" s="36"/>
      <c r="C1772" s="36"/>
      <c r="D1772" s="36"/>
      <c r="E1772" s="36"/>
      <c r="F1772" s="36"/>
      <c r="G1772" s="36"/>
      <c r="H1772" s="36"/>
      <c r="I1772" s="36"/>
      <c r="J1772" s="36"/>
      <c r="K1772" s="36"/>
      <c r="L1772" s="36"/>
      <c r="M1772" s="36"/>
      <c r="N1772" s="36"/>
      <c r="O1772" s="36"/>
      <c r="P1772" s="36"/>
      <c r="Q1772" s="36"/>
      <c r="R1772" s="36"/>
      <c r="S1772" s="39"/>
    </row>
    <row r="1773">
      <c r="B1773" s="36"/>
      <c r="C1773" s="36"/>
      <c r="D1773" s="36"/>
      <c r="E1773" s="36"/>
      <c r="F1773" s="36"/>
      <c r="G1773" s="36"/>
      <c r="H1773" s="36"/>
      <c r="I1773" s="36"/>
      <c r="J1773" s="36"/>
      <c r="K1773" s="36"/>
      <c r="L1773" s="36"/>
      <c r="M1773" s="36"/>
      <c r="N1773" s="36"/>
      <c r="O1773" s="36"/>
      <c r="P1773" s="36"/>
      <c r="Q1773" s="36"/>
      <c r="R1773" s="36"/>
      <c r="S1773" s="39"/>
    </row>
    <row r="1774">
      <c r="B1774" s="36"/>
      <c r="C1774" s="36"/>
      <c r="D1774" s="36"/>
      <c r="E1774" s="36"/>
      <c r="F1774" s="36"/>
      <c r="G1774" s="36"/>
      <c r="H1774" s="36"/>
      <c r="I1774" s="36"/>
      <c r="J1774" s="36"/>
      <c r="K1774" s="36"/>
      <c r="L1774" s="36"/>
      <c r="M1774" s="36"/>
      <c r="N1774" s="36"/>
      <c r="O1774" s="36"/>
      <c r="P1774" s="36"/>
      <c r="Q1774" s="36"/>
      <c r="R1774" s="36"/>
      <c r="S1774" s="39"/>
    </row>
    <row r="1775">
      <c r="B1775" s="36"/>
      <c r="C1775" s="36"/>
      <c r="D1775" s="36"/>
      <c r="E1775" s="36"/>
      <c r="F1775" s="36"/>
      <c r="G1775" s="36"/>
      <c r="H1775" s="36"/>
      <c r="I1775" s="36"/>
      <c r="J1775" s="36"/>
      <c r="K1775" s="36"/>
      <c r="L1775" s="36"/>
      <c r="M1775" s="36"/>
      <c r="N1775" s="36"/>
      <c r="O1775" s="36"/>
      <c r="P1775" s="36"/>
      <c r="Q1775" s="36"/>
      <c r="R1775" s="36"/>
      <c r="S1775" s="39"/>
    </row>
    <row r="1776">
      <c r="B1776" s="36"/>
      <c r="C1776" s="36"/>
      <c r="D1776" s="36"/>
      <c r="E1776" s="36"/>
      <c r="F1776" s="36"/>
      <c r="G1776" s="36"/>
      <c r="H1776" s="36"/>
      <c r="I1776" s="36"/>
      <c r="J1776" s="36"/>
      <c r="K1776" s="36"/>
      <c r="L1776" s="36"/>
      <c r="M1776" s="36"/>
      <c r="N1776" s="36"/>
      <c r="O1776" s="36"/>
      <c r="P1776" s="36"/>
      <c r="Q1776" s="36"/>
      <c r="R1776" s="36"/>
      <c r="S1776" s="39"/>
    </row>
    <row r="1777">
      <c r="B1777" s="36"/>
      <c r="C1777" s="36"/>
      <c r="D1777" s="36"/>
      <c r="E1777" s="36"/>
      <c r="F1777" s="36"/>
      <c r="G1777" s="36"/>
      <c r="H1777" s="36"/>
      <c r="I1777" s="36"/>
      <c r="J1777" s="36"/>
      <c r="K1777" s="36"/>
      <c r="L1777" s="36"/>
      <c r="M1777" s="36"/>
      <c r="N1777" s="36"/>
      <c r="O1777" s="36"/>
      <c r="P1777" s="36"/>
      <c r="Q1777" s="36"/>
      <c r="R1777" s="36"/>
      <c r="S1777" s="39"/>
    </row>
    <row r="1778">
      <c r="B1778" s="36"/>
      <c r="C1778" s="36"/>
      <c r="D1778" s="36"/>
      <c r="E1778" s="36"/>
      <c r="F1778" s="36"/>
      <c r="G1778" s="36"/>
      <c r="H1778" s="36"/>
      <c r="I1778" s="36"/>
      <c r="J1778" s="36"/>
      <c r="K1778" s="36"/>
      <c r="L1778" s="36"/>
      <c r="M1778" s="36"/>
      <c r="N1778" s="36"/>
      <c r="O1778" s="36"/>
      <c r="P1778" s="36"/>
      <c r="Q1778" s="36"/>
      <c r="R1778" s="36"/>
      <c r="S1778" s="39"/>
    </row>
    <row r="1779">
      <c r="B1779" s="36"/>
      <c r="C1779" s="36"/>
      <c r="D1779" s="36"/>
      <c r="E1779" s="36"/>
      <c r="F1779" s="36"/>
      <c r="G1779" s="36"/>
      <c r="H1779" s="36"/>
      <c r="I1779" s="36"/>
      <c r="J1779" s="36"/>
      <c r="K1779" s="36"/>
      <c r="L1779" s="36"/>
      <c r="M1779" s="36"/>
      <c r="N1779" s="36"/>
      <c r="O1779" s="36"/>
      <c r="P1779" s="36"/>
      <c r="Q1779" s="36"/>
      <c r="R1779" s="36"/>
      <c r="S1779" s="39"/>
    </row>
    <row r="1780">
      <c r="B1780" s="36"/>
      <c r="C1780" s="36"/>
      <c r="D1780" s="36"/>
      <c r="E1780" s="36"/>
      <c r="F1780" s="36"/>
      <c r="G1780" s="36"/>
      <c r="H1780" s="36"/>
      <c r="I1780" s="36"/>
      <c r="J1780" s="36"/>
      <c r="K1780" s="36"/>
      <c r="L1780" s="36"/>
      <c r="M1780" s="36"/>
      <c r="N1780" s="36"/>
      <c r="O1780" s="36"/>
      <c r="P1780" s="36"/>
      <c r="Q1780" s="36"/>
      <c r="R1780" s="36"/>
      <c r="S1780" s="39"/>
    </row>
    <row r="1781">
      <c r="B1781" s="36"/>
      <c r="C1781" s="36"/>
      <c r="D1781" s="36"/>
      <c r="E1781" s="36"/>
      <c r="F1781" s="36"/>
      <c r="G1781" s="36"/>
      <c r="H1781" s="36"/>
      <c r="I1781" s="36"/>
      <c r="J1781" s="36"/>
      <c r="K1781" s="36"/>
      <c r="L1781" s="36"/>
      <c r="M1781" s="36"/>
      <c r="N1781" s="36"/>
      <c r="O1781" s="36"/>
      <c r="P1781" s="36"/>
      <c r="Q1781" s="36"/>
      <c r="R1781" s="36"/>
      <c r="S1781" s="39"/>
    </row>
    <row r="1782">
      <c r="B1782" s="36"/>
      <c r="C1782" s="36"/>
      <c r="D1782" s="36"/>
      <c r="E1782" s="36"/>
      <c r="F1782" s="36"/>
      <c r="G1782" s="36"/>
      <c r="H1782" s="36"/>
      <c r="I1782" s="36"/>
      <c r="J1782" s="36"/>
      <c r="K1782" s="36"/>
      <c r="L1782" s="36"/>
      <c r="M1782" s="36"/>
      <c r="N1782" s="36"/>
      <c r="O1782" s="36"/>
      <c r="P1782" s="36"/>
      <c r="Q1782" s="36"/>
      <c r="R1782" s="36"/>
      <c r="S1782" s="39"/>
    </row>
    <row r="1783">
      <c r="B1783" s="36"/>
      <c r="C1783" s="36"/>
      <c r="D1783" s="36"/>
      <c r="E1783" s="36"/>
      <c r="F1783" s="36"/>
      <c r="G1783" s="36"/>
      <c r="H1783" s="36"/>
      <c r="I1783" s="36"/>
      <c r="J1783" s="36"/>
      <c r="K1783" s="36"/>
      <c r="L1783" s="36"/>
      <c r="M1783" s="36"/>
      <c r="N1783" s="36"/>
      <c r="O1783" s="36"/>
      <c r="P1783" s="36"/>
      <c r="Q1783" s="36"/>
      <c r="R1783" s="36"/>
      <c r="S1783" s="39"/>
    </row>
    <row r="1784">
      <c r="B1784" s="36"/>
      <c r="C1784" s="36"/>
      <c r="D1784" s="36"/>
      <c r="E1784" s="36"/>
      <c r="F1784" s="36"/>
      <c r="G1784" s="36"/>
      <c r="H1784" s="36"/>
      <c r="I1784" s="36"/>
      <c r="J1784" s="36"/>
      <c r="K1784" s="36"/>
      <c r="L1784" s="36"/>
      <c r="M1784" s="36"/>
      <c r="N1784" s="36"/>
      <c r="O1784" s="36"/>
      <c r="P1784" s="36"/>
      <c r="Q1784" s="36"/>
      <c r="R1784" s="36"/>
      <c r="S1784" s="39"/>
    </row>
    <row r="1785">
      <c r="B1785" s="36"/>
      <c r="C1785" s="36"/>
      <c r="D1785" s="36"/>
      <c r="E1785" s="36"/>
      <c r="F1785" s="36"/>
      <c r="G1785" s="36"/>
      <c r="H1785" s="36"/>
      <c r="I1785" s="36"/>
      <c r="J1785" s="36"/>
      <c r="K1785" s="36"/>
      <c r="L1785" s="36"/>
      <c r="M1785" s="36"/>
      <c r="N1785" s="36"/>
      <c r="O1785" s="36"/>
      <c r="P1785" s="36"/>
      <c r="Q1785" s="36"/>
      <c r="R1785" s="36"/>
      <c r="S1785" s="39"/>
    </row>
    <row r="1786">
      <c r="B1786" s="36"/>
      <c r="C1786" s="36"/>
      <c r="D1786" s="36"/>
      <c r="E1786" s="36"/>
      <c r="F1786" s="36"/>
      <c r="G1786" s="36"/>
      <c r="H1786" s="36"/>
      <c r="I1786" s="36"/>
      <c r="J1786" s="36"/>
      <c r="K1786" s="36"/>
      <c r="L1786" s="36"/>
      <c r="M1786" s="36"/>
      <c r="N1786" s="36"/>
      <c r="O1786" s="36"/>
      <c r="P1786" s="36"/>
      <c r="Q1786" s="36"/>
      <c r="R1786" s="36"/>
      <c r="S1786" s="39"/>
    </row>
    <row r="1787">
      <c r="B1787" s="36"/>
      <c r="C1787" s="36"/>
      <c r="D1787" s="36"/>
      <c r="E1787" s="36"/>
      <c r="F1787" s="36"/>
      <c r="G1787" s="36"/>
      <c r="H1787" s="36"/>
      <c r="I1787" s="36"/>
      <c r="J1787" s="36"/>
      <c r="K1787" s="36"/>
      <c r="L1787" s="36"/>
      <c r="M1787" s="36"/>
      <c r="N1787" s="36"/>
      <c r="O1787" s="36"/>
      <c r="P1787" s="36"/>
      <c r="Q1787" s="36"/>
      <c r="R1787" s="36"/>
      <c r="S1787" s="39"/>
    </row>
    <row r="1788">
      <c r="B1788" s="36"/>
      <c r="C1788" s="36"/>
      <c r="D1788" s="36"/>
      <c r="E1788" s="36"/>
      <c r="F1788" s="36"/>
      <c r="G1788" s="36"/>
      <c r="H1788" s="36"/>
      <c r="I1788" s="36"/>
      <c r="J1788" s="36"/>
      <c r="K1788" s="36"/>
      <c r="L1788" s="36"/>
      <c r="M1788" s="36"/>
      <c r="N1788" s="36"/>
      <c r="O1788" s="36"/>
      <c r="P1788" s="36"/>
      <c r="Q1788" s="36"/>
      <c r="R1788" s="36"/>
      <c r="S1788" s="39"/>
    </row>
    <row r="1789">
      <c r="B1789" s="36"/>
      <c r="C1789" s="36"/>
      <c r="D1789" s="36"/>
      <c r="E1789" s="36"/>
      <c r="F1789" s="36"/>
      <c r="G1789" s="36"/>
      <c r="H1789" s="36"/>
      <c r="I1789" s="36"/>
      <c r="J1789" s="36"/>
      <c r="K1789" s="36"/>
      <c r="L1789" s="36"/>
      <c r="M1789" s="36"/>
      <c r="N1789" s="36"/>
      <c r="O1789" s="36"/>
      <c r="P1789" s="36"/>
      <c r="Q1789" s="36"/>
      <c r="R1789" s="36"/>
      <c r="S1789" s="39"/>
    </row>
    <row r="1790">
      <c r="B1790" s="36"/>
      <c r="C1790" s="36"/>
      <c r="D1790" s="36"/>
      <c r="E1790" s="36"/>
      <c r="F1790" s="36"/>
      <c r="G1790" s="36"/>
      <c r="H1790" s="36"/>
      <c r="I1790" s="36"/>
      <c r="J1790" s="36"/>
      <c r="K1790" s="36"/>
      <c r="L1790" s="36"/>
      <c r="M1790" s="36"/>
      <c r="N1790" s="36"/>
      <c r="O1790" s="36"/>
      <c r="P1790" s="36"/>
      <c r="Q1790" s="36"/>
      <c r="R1790" s="36"/>
      <c r="S1790" s="39"/>
    </row>
    <row r="1791">
      <c r="B1791" s="36"/>
      <c r="C1791" s="36"/>
      <c r="D1791" s="36"/>
      <c r="E1791" s="36"/>
      <c r="F1791" s="36"/>
      <c r="G1791" s="36"/>
      <c r="H1791" s="36"/>
      <c r="I1791" s="36"/>
      <c r="J1791" s="36"/>
      <c r="K1791" s="36"/>
      <c r="L1791" s="36"/>
      <c r="M1791" s="36"/>
      <c r="N1791" s="36"/>
      <c r="O1791" s="36"/>
      <c r="P1791" s="36"/>
      <c r="Q1791" s="36"/>
      <c r="R1791" s="36"/>
      <c r="S1791" s="39"/>
    </row>
    <row r="1792">
      <c r="B1792" s="36"/>
      <c r="C1792" s="36"/>
      <c r="D1792" s="36"/>
      <c r="E1792" s="36"/>
      <c r="F1792" s="36"/>
      <c r="G1792" s="36"/>
      <c r="H1792" s="36"/>
      <c r="I1792" s="36"/>
      <c r="J1792" s="36"/>
      <c r="K1792" s="36"/>
      <c r="L1792" s="36"/>
      <c r="M1792" s="36"/>
      <c r="N1792" s="36"/>
      <c r="O1792" s="36"/>
      <c r="P1792" s="36"/>
      <c r="Q1792" s="36"/>
      <c r="R1792" s="36"/>
      <c r="S1792" s="39"/>
    </row>
    <row r="1793">
      <c r="B1793" s="36"/>
      <c r="C1793" s="36"/>
      <c r="D1793" s="36"/>
      <c r="E1793" s="36"/>
      <c r="F1793" s="36"/>
      <c r="G1793" s="36"/>
      <c r="H1793" s="36"/>
      <c r="I1793" s="36"/>
      <c r="J1793" s="36"/>
      <c r="K1793" s="36"/>
      <c r="L1793" s="36"/>
      <c r="M1793" s="36"/>
      <c r="N1793" s="36"/>
      <c r="O1793" s="36"/>
      <c r="P1793" s="36"/>
      <c r="Q1793" s="36"/>
      <c r="R1793" s="36"/>
      <c r="S1793" s="39"/>
    </row>
    <row r="1794">
      <c r="B1794" s="36"/>
      <c r="C1794" s="36"/>
      <c r="D1794" s="36"/>
      <c r="E1794" s="36"/>
      <c r="F1794" s="36"/>
      <c r="G1794" s="36"/>
      <c r="H1794" s="36"/>
      <c r="I1794" s="36"/>
      <c r="J1794" s="36"/>
      <c r="K1794" s="36"/>
      <c r="L1794" s="36"/>
      <c r="M1794" s="36"/>
      <c r="N1794" s="36"/>
      <c r="O1794" s="36"/>
      <c r="P1794" s="36"/>
      <c r="Q1794" s="36"/>
      <c r="R1794" s="36"/>
      <c r="S1794" s="39"/>
    </row>
    <row r="1795">
      <c r="B1795" s="36"/>
      <c r="C1795" s="36"/>
      <c r="D1795" s="36"/>
      <c r="E1795" s="36"/>
      <c r="F1795" s="36"/>
      <c r="G1795" s="36"/>
      <c r="H1795" s="36"/>
      <c r="I1795" s="36"/>
      <c r="J1795" s="36"/>
      <c r="K1795" s="36"/>
      <c r="L1795" s="36"/>
      <c r="M1795" s="36"/>
      <c r="N1795" s="36"/>
      <c r="O1795" s="36"/>
      <c r="P1795" s="36"/>
      <c r="Q1795" s="36"/>
      <c r="R1795" s="36"/>
      <c r="S1795" s="39"/>
    </row>
    <row r="1796">
      <c r="B1796" s="36"/>
      <c r="C1796" s="36"/>
      <c r="D1796" s="36"/>
      <c r="E1796" s="36"/>
      <c r="F1796" s="36"/>
      <c r="G1796" s="36"/>
      <c r="H1796" s="36"/>
      <c r="I1796" s="36"/>
      <c r="J1796" s="36"/>
      <c r="K1796" s="36"/>
      <c r="L1796" s="36"/>
      <c r="M1796" s="36"/>
      <c r="N1796" s="36"/>
      <c r="O1796" s="36"/>
      <c r="P1796" s="36"/>
      <c r="Q1796" s="36"/>
      <c r="R1796" s="36"/>
      <c r="S1796" s="39"/>
    </row>
    <row r="1797">
      <c r="B1797" s="36"/>
      <c r="C1797" s="36"/>
      <c r="D1797" s="36"/>
      <c r="E1797" s="36"/>
      <c r="F1797" s="36"/>
      <c r="G1797" s="36"/>
      <c r="H1797" s="36"/>
      <c r="I1797" s="36"/>
      <c r="J1797" s="36"/>
      <c r="K1797" s="36"/>
      <c r="L1797" s="36"/>
      <c r="M1797" s="36"/>
      <c r="N1797" s="36"/>
      <c r="O1797" s="36"/>
      <c r="P1797" s="36"/>
      <c r="Q1797" s="36"/>
      <c r="R1797" s="36"/>
      <c r="S1797" s="39"/>
    </row>
    <row r="1798">
      <c r="B1798" s="36"/>
      <c r="C1798" s="36"/>
      <c r="D1798" s="36"/>
      <c r="E1798" s="36"/>
      <c r="F1798" s="36"/>
      <c r="G1798" s="36"/>
      <c r="H1798" s="36"/>
      <c r="I1798" s="36"/>
      <c r="J1798" s="36"/>
      <c r="K1798" s="36"/>
      <c r="L1798" s="36"/>
      <c r="M1798" s="36"/>
      <c r="N1798" s="36"/>
      <c r="O1798" s="36"/>
      <c r="P1798" s="36"/>
      <c r="Q1798" s="36"/>
      <c r="R1798" s="36"/>
      <c r="S1798" s="39"/>
    </row>
    <row r="1799">
      <c r="B1799" s="36"/>
      <c r="C1799" s="36"/>
      <c r="D1799" s="36"/>
      <c r="E1799" s="36"/>
      <c r="F1799" s="36"/>
      <c r="G1799" s="36"/>
      <c r="H1799" s="36"/>
      <c r="I1799" s="36"/>
      <c r="J1799" s="36"/>
      <c r="K1799" s="36"/>
      <c r="L1799" s="36"/>
      <c r="M1799" s="36"/>
      <c r="N1799" s="36"/>
      <c r="O1799" s="36"/>
      <c r="P1799" s="36"/>
      <c r="Q1799" s="36"/>
      <c r="R1799" s="36"/>
      <c r="S1799" s="39"/>
    </row>
    <row r="1800">
      <c r="B1800" s="36"/>
      <c r="C1800" s="36"/>
      <c r="D1800" s="36"/>
      <c r="E1800" s="36"/>
      <c r="F1800" s="36"/>
      <c r="G1800" s="36"/>
      <c r="H1800" s="36"/>
      <c r="I1800" s="36"/>
      <c r="J1800" s="36"/>
      <c r="K1800" s="36"/>
      <c r="L1800" s="36"/>
      <c r="M1800" s="36"/>
      <c r="N1800" s="36"/>
      <c r="O1800" s="36"/>
      <c r="P1800" s="36"/>
      <c r="Q1800" s="36"/>
      <c r="R1800" s="36"/>
      <c r="S1800" s="39"/>
    </row>
    <row r="1801">
      <c r="B1801" s="36"/>
      <c r="C1801" s="36"/>
      <c r="D1801" s="36"/>
      <c r="E1801" s="36"/>
      <c r="F1801" s="36"/>
      <c r="G1801" s="36"/>
      <c r="H1801" s="36"/>
      <c r="I1801" s="36"/>
      <c r="J1801" s="36"/>
      <c r="K1801" s="36"/>
      <c r="L1801" s="36"/>
      <c r="M1801" s="36"/>
      <c r="N1801" s="36"/>
      <c r="O1801" s="36"/>
      <c r="P1801" s="36"/>
      <c r="Q1801" s="36"/>
      <c r="R1801" s="36"/>
      <c r="S1801" s="39"/>
    </row>
    <row r="1802">
      <c r="B1802" s="36"/>
      <c r="C1802" s="36"/>
      <c r="D1802" s="36"/>
      <c r="E1802" s="36"/>
      <c r="F1802" s="36"/>
      <c r="G1802" s="36"/>
      <c r="H1802" s="36"/>
      <c r="I1802" s="36"/>
      <c r="J1802" s="36"/>
      <c r="K1802" s="36"/>
      <c r="L1802" s="36"/>
      <c r="M1802" s="36"/>
      <c r="N1802" s="36"/>
      <c r="O1802" s="36"/>
      <c r="P1802" s="36"/>
      <c r="Q1802" s="36"/>
      <c r="R1802" s="36"/>
      <c r="S1802" s="39"/>
    </row>
    <row r="1803">
      <c r="B1803" s="36"/>
      <c r="C1803" s="36"/>
      <c r="D1803" s="36"/>
      <c r="E1803" s="36"/>
      <c r="F1803" s="36"/>
      <c r="G1803" s="36"/>
      <c r="H1803" s="36"/>
      <c r="I1803" s="36"/>
      <c r="J1803" s="36"/>
      <c r="K1803" s="36"/>
      <c r="L1803" s="36"/>
      <c r="M1803" s="36"/>
      <c r="N1803" s="36"/>
      <c r="O1803" s="36"/>
      <c r="P1803" s="36"/>
      <c r="Q1803" s="36"/>
      <c r="R1803" s="36"/>
      <c r="S1803" s="39"/>
    </row>
    <row r="1804">
      <c r="B1804" s="36"/>
      <c r="C1804" s="36"/>
      <c r="D1804" s="36"/>
      <c r="E1804" s="36"/>
      <c r="F1804" s="36"/>
      <c r="G1804" s="36"/>
      <c r="H1804" s="36"/>
      <c r="I1804" s="36"/>
      <c r="J1804" s="36"/>
      <c r="K1804" s="36"/>
      <c r="L1804" s="36"/>
      <c r="M1804" s="36"/>
      <c r="N1804" s="36"/>
      <c r="O1804" s="36"/>
      <c r="P1804" s="36"/>
      <c r="Q1804" s="36"/>
      <c r="R1804" s="36"/>
      <c r="S1804" s="39"/>
    </row>
    <row r="1805">
      <c r="B1805" s="36"/>
      <c r="C1805" s="36"/>
      <c r="D1805" s="36"/>
      <c r="E1805" s="36"/>
      <c r="F1805" s="36"/>
      <c r="G1805" s="36"/>
      <c r="H1805" s="36"/>
      <c r="I1805" s="36"/>
      <c r="J1805" s="36"/>
      <c r="K1805" s="36"/>
      <c r="L1805" s="36"/>
      <c r="M1805" s="36"/>
      <c r="N1805" s="36"/>
      <c r="O1805" s="36"/>
      <c r="P1805" s="36"/>
      <c r="Q1805" s="36"/>
      <c r="R1805" s="36"/>
      <c r="S1805" s="39"/>
    </row>
    <row r="1806">
      <c r="B1806" s="36"/>
      <c r="C1806" s="36"/>
      <c r="D1806" s="36"/>
      <c r="E1806" s="36"/>
      <c r="F1806" s="36"/>
      <c r="G1806" s="36"/>
      <c r="H1806" s="36"/>
      <c r="I1806" s="36"/>
      <c r="J1806" s="36"/>
      <c r="K1806" s="36"/>
      <c r="L1806" s="36"/>
      <c r="M1806" s="36"/>
      <c r="N1806" s="36"/>
      <c r="O1806" s="36"/>
      <c r="P1806" s="36"/>
      <c r="Q1806" s="36"/>
      <c r="R1806" s="36"/>
      <c r="S1806" s="39"/>
    </row>
    <row r="1807">
      <c r="B1807" s="36"/>
      <c r="C1807" s="36"/>
      <c r="D1807" s="36"/>
      <c r="E1807" s="36"/>
      <c r="F1807" s="36"/>
      <c r="G1807" s="36"/>
      <c r="H1807" s="36"/>
      <c r="I1807" s="36"/>
      <c r="J1807" s="36"/>
      <c r="K1807" s="36"/>
      <c r="L1807" s="36"/>
      <c r="M1807" s="36"/>
      <c r="N1807" s="36"/>
      <c r="O1807" s="36"/>
      <c r="P1807" s="36"/>
      <c r="Q1807" s="36"/>
      <c r="R1807" s="36"/>
      <c r="S1807" s="39"/>
    </row>
    <row r="1808">
      <c r="B1808" s="36"/>
      <c r="C1808" s="36"/>
      <c r="D1808" s="36"/>
      <c r="E1808" s="36"/>
      <c r="F1808" s="36"/>
      <c r="G1808" s="36"/>
      <c r="H1808" s="36"/>
      <c r="I1808" s="36"/>
      <c r="J1808" s="36"/>
      <c r="K1808" s="36"/>
      <c r="L1808" s="36"/>
      <c r="M1808" s="36"/>
      <c r="N1808" s="36"/>
      <c r="O1808" s="36"/>
      <c r="P1808" s="36"/>
      <c r="Q1808" s="36"/>
      <c r="R1808" s="36"/>
      <c r="S1808" s="39"/>
    </row>
    <row r="1809">
      <c r="B1809" s="36"/>
      <c r="C1809" s="36"/>
      <c r="D1809" s="36"/>
      <c r="E1809" s="36"/>
      <c r="F1809" s="36"/>
      <c r="G1809" s="36"/>
      <c r="H1809" s="36"/>
      <c r="I1809" s="36"/>
      <c r="J1809" s="36"/>
      <c r="K1809" s="36"/>
      <c r="L1809" s="36"/>
      <c r="M1809" s="36"/>
      <c r="N1809" s="36"/>
      <c r="O1809" s="36"/>
      <c r="P1809" s="36"/>
      <c r="Q1809" s="36"/>
      <c r="R1809" s="36"/>
      <c r="S1809" s="39"/>
    </row>
    <row r="1810">
      <c r="B1810" s="36"/>
      <c r="C1810" s="36"/>
      <c r="D1810" s="36"/>
      <c r="E1810" s="36"/>
      <c r="F1810" s="36"/>
      <c r="G1810" s="36"/>
      <c r="H1810" s="36"/>
      <c r="I1810" s="36"/>
      <c r="J1810" s="36"/>
      <c r="K1810" s="36"/>
      <c r="L1810" s="36"/>
      <c r="M1810" s="36"/>
      <c r="N1810" s="36"/>
      <c r="O1810" s="36"/>
      <c r="P1810" s="36"/>
      <c r="Q1810" s="36"/>
      <c r="R1810" s="36"/>
      <c r="S1810" s="39"/>
    </row>
    <row r="1811">
      <c r="B1811" s="36"/>
      <c r="C1811" s="36"/>
      <c r="D1811" s="36"/>
      <c r="E1811" s="36"/>
      <c r="F1811" s="36"/>
      <c r="G1811" s="36"/>
      <c r="H1811" s="36"/>
      <c r="I1811" s="36"/>
      <c r="J1811" s="36"/>
      <c r="K1811" s="36"/>
      <c r="L1811" s="36"/>
      <c r="M1811" s="36"/>
      <c r="N1811" s="36"/>
      <c r="O1811" s="36"/>
      <c r="P1811" s="36"/>
      <c r="Q1811" s="36"/>
      <c r="R1811" s="36"/>
      <c r="S1811" s="39"/>
    </row>
    <row r="1812">
      <c r="B1812" s="36"/>
      <c r="C1812" s="36"/>
      <c r="D1812" s="36"/>
      <c r="E1812" s="36"/>
      <c r="F1812" s="36"/>
      <c r="G1812" s="36"/>
      <c r="H1812" s="36"/>
      <c r="I1812" s="36"/>
      <c r="J1812" s="36"/>
      <c r="K1812" s="36"/>
      <c r="L1812" s="36"/>
      <c r="M1812" s="36"/>
      <c r="N1812" s="36"/>
      <c r="O1812" s="36"/>
      <c r="P1812" s="36"/>
      <c r="Q1812" s="36"/>
      <c r="R1812" s="36"/>
      <c r="S1812" s="39"/>
    </row>
    <row r="1813">
      <c r="B1813" s="36"/>
      <c r="C1813" s="36"/>
      <c r="D1813" s="36"/>
      <c r="E1813" s="36"/>
      <c r="F1813" s="36"/>
      <c r="G1813" s="36"/>
      <c r="H1813" s="36"/>
      <c r="I1813" s="36"/>
      <c r="J1813" s="36"/>
      <c r="K1813" s="36"/>
      <c r="L1813" s="36"/>
      <c r="M1813" s="36"/>
      <c r="N1813" s="36"/>
      <c r="O1813" s="36"/>
      <c r="P1813" s="36"/>
      <c r="Q1813" s="36"/>
      <c r="R1813" s="36"/>
      <c r="S1813" s="39"/>
    </row>
    <row r="1814">
      <c r="B1814" s="36"/>
      <c r="C1814" s="36"/>
      <c r="D1814" s="36"/>
      <c r="E1814" s="36"/>
      <c r="F1814" s="36"/>
      <c r="G1814" s="36"/>
      <c r="H1814" s="36"/>
      <c r="I1814" s="36"/>
      <c r="J1814" s="36"/>
      <c r="K1814" s="36"/>
      <c r="L1814" s="36"/>
      <c r="M1814" s="36"/>
      <c r="N1814" s="36"/>
      <c r="O1814" s="36"/>
      <c r="P1814" s="36"/>
      <c r="Q1814" s="36"/>
      <c r="R1814" s="36"/>
      <c r="S1814" s="39"/>
    </row>
    <row r="1815">
      <c r="B1815" s="36"/>
      <c r="C1815" s="36"/>
      <c r="D1815" s="36"/>
      <c r="E1815" s="36"/>
      <c r="F1815" s="36"/>
      <c r="G1815" s="36"/>
      <c r="H1815" s="36"/>
      <c r="I1815" s="36"/>
      <c r="J1815" s="36"/>
      <c r="K1815" s="36"/>
      <c r="L1815" s="36"/>
      <c r="M1815" s="36"/>
      <c r="N1815" s="36"/>
      <c r="O1815" s="36"/>
      <c r="P1815" s="36"/>
      <c r="Q1815" s="36"/>
      <c r="R1815" s="36"/>
      <c r="S1815" s="39"/>
    </row>
    <row r="1816">
      <c r="B1816" s="36"/>
      <c r="C1816" s="36"/>
      <c r="D1816" s="36"/>
      <c r="E1816" s="36"/>
      <c r="F1816" s="36"/>
      <c r="G1816" s="36"/>
      <c r="H1816" s="36"/>
      <c r="I1816" s="36"/>
      <c r="J1816" s="36"/>
      <c r="K1816" s="36"/>
      <c r="L1816" s="36"/>
      <c r="M1816" s="36"/>
      <c r="N1816" s="36"/>
      <c r="O1816" s="36"/>
      <c r="P1816" s="36"/>
      <c r="Q1816" s="36"/>
      <c r="R1816" s="36"/>
      <c r="S1816" s="39"/>
    </row>
    <row r="1817">
      <c r="B1817" s="36"/>
      <c r="C1817" s="36"/>
      <c r="D1817" s="36"/>
      <c r="E1817" s="36"/>
      <c r="F1817" s="36"/>
      <c r="G1817" s="36"/>
      <c r="H1817" s="36"/>
      <c r="I1817" s="36"/>
      <c r="J1817" s="36"/>
      <c r="K1817" s="36"/>
      <c r="L1817" s="36"/>
      <c r="M1817" s="36"/>
      <c r="N1817" s="36"/>
      <c r="O1817" s="36"/>
      <c r="P1817" s="36"/>
      <c r="Q1817" s="36"/>
      <c r="R1817" s="36"/>
      <c r="S1817" s="39"/>
    </row>
    <row r="1818">
      <c r="B1818" s="36"/>
      <c r="C1818" s="36"/>
      <c r="D1818" s="36"/>
      <c r="E1818" s="36"/>
      <c r="F1818" s="36"/>
      <c r="G1818" s="36"/>
      <c r="H1818" s="36"/>
      <c r="I1818" s="36"/>
      <c r="J1818" s="36"/>
      <c r="K1818" s="36"/>
      <c r="L1818" s="36"/>
      <c r="M1818" s="36"/>
      <c r="N1818" s="36"/>
      <c r="O1818" s="36"/>
      <c r="P1818" s="36"/>
      <c r="Q1818" s="36"/>
      <c r="R1818" s="36"/>
      <c r="S1818" s="39"/>
    </row>
    <row r="1819">
      <c r="B1819" s="36"/>
      <c r="C1819" s="36"/>
      <c r="D1819" s="36"/>
      <c r="E1819" s="36"/>
      <c r="F1819" s="36"/>
      <c r="G1819" s="36"/>
      <c r="H1819" s="36"/>
      <c r="I1819" s="36"/>
      <c r="J1819" s="36"/>
      <c r="K1819" s="36"/>
      <c r="L1819" s="36"/>
      <c r="M1819" s="36"/>
      <c r="N1819" s="36"/>
      <c r="O1819" s="36"/>
      <c r="P1819" s="36"/>
      <c r="Q1819" s="36"/>
      <c r="R1819" s="36"/>
      <c r="S1819" s="39"/>
    </row>
    <row r="1820">
      <c r="B1820" s="36"/>
      <c r="C1820" s="36"/>
      <c r="D1820" s="36"/>
      <c r="E1820" s="36"/>
      <c r="F1820" s="36"/>
      <c r="G1820" s="36"/>
      <c r="H1820" s="36"/>
      <c r="I1820" s="36"/>
      <c r="J1820" s="36"/>
      <c r="K1820" s="36"/>
      <c r="L1820" s="36"/>
      <c r="M1820" s="36"/>
      <c r="N1820" s="36"/>
      <c r="O1820" s="36"/>
      <c r="P1820" s="36"/>
      <c r="Q1820" s="36"/>
      <c r="R1820" s="36"/>
      <c r="S1820" s="39"/>
    </row>
    <row r="1821">
      <c r="B1821" s="36"/>
      <c r="C1821" s="36"/>
      <c r="D1821" s="36"/>
      <c r="E1821" s="36"/>
      <c r="F1821" s="36"/>
      <c r="G1821" s="36"/>
      <c r="H1821" s="36"/>
      <c r="I1821" s="36"/>
      <c r="J1821" s="36"/>
      <c r="K1821" s="36"/>
      <c r="L1821" s="36"/>
      <c r="M1821" s="36"/>
      <c r="N1821" s="36"/>
      <c r="O1821" s="36"/>
      <c r="P1821" s="36"/>
      <c r="Q1821" s="36"/>
      <c r="R1821" s="36"/>
      <c r="S1821" s="39"/>
    </row>
    <row r="1822">
      <c r="B1822" s="36"/>
      <c r="C1822" s="36"/>
      <c r="D1822" s="36"/>
      <c r="E1822" s="36"/>
      <c r="F1822" s="36"/>
      <c r="G1822" s="36"/>
      <c r="H1822" s="36"/>
      <c r="I1822" s="36"/>
      <c r="J1822" s="36"/>
      <c r="K1822" s="36"/>
      <c r="L1822" s="36"/>
      <c r="M1822" s="36"/>
      <c r="N1822" s="36"/>
      <c r="O1822" s="36"/>
      <c r="P1822" s="36"/>
      <c r="Q1822" s="36"/>
      <c r="R1822" s="36"/>
      <c r="S1822" s="39"/>
    </row>
    <row r="1823">
      <c r="B1823" s="36"/>
      <c r="C1823" s="36"/>
      <c r="D1823" s="36"/>
      <c r="E1823" s="36"/>
      <c r="F1823" s="36"/>
      <c r="G1823" s="36"/>
      <c r="H1823" s="36"/>
      <c r="I1823" s="36"/>
      <c r="J1823" s="36"/>
      <c r="K1823" s="36"/>
      <c r="L1823" s="36"/>
      <c r="M1823" s="36"/>
      <c r="N1823" s="36"/>
      <c r="O1823" s="36"/>
      <c r="P1823" s="36"/>
      <c r="Q1823" s="36"/>
      <c r="R1823" s="36"/>
      <c r="S1823" s="39"/>
    </row>
    <row r="1824">
      <c r="B1824" s="36"/>
      <c r="C1824" s="36"/>
      <c r="D1824" s="36"/>
      <c r="E1824" s="36"/>
      <c r="F1824" s="36"/>
      <c r="G1824" s="36"/>
      <c r="H1824" s="36"/>
      <c r="I1824" s="36"/>
      <c r="J1824" s="36"/>
      <c r="K1824" s="36"/>
      <c r="L1824" s="36"/>
      <c r="M1824" s="36"/>
      <c r="N1824" s="36"/>
      <c r="O1824" s="36"/>
      <c r="P1824" s="36"/>
      <c r="Q1824" s="36"/>
      <c r="R1824" s="36"/>
      <c r="S1824" s="39"/>
    </row>
    <row r="1825">
      <c r="B1825" s="36"/>
      <c r="C1825" s="36"/>
      <c r="D1825" s="36"/>
      <c r="E1825" s="36"/>
      <c r="F1825" s="36"/>
      <c r="G1825" s="36"/>
      <c r="H1825" s="36"/>
      <c r="I1825" s="36"/>
      <c r="J1825" s="36"/>
      <c r="K1825" s="36"/>
      <c r="L1825" s="36"/>
      <c r="M1825" s="36"/>
      <c r="N1825" s="36"/>
      <c r="O1825" s="36"/>
      <c r="P1825" s="36"/>
      <c r="Q1825" s="36"/>
      <c r="R1825" s="36"/>
      <c r="S1825" s="39"/>
    </row>
    <row r="1826">
      <c r="B1826" s="36"/>
      <c r="C1826" s="36"/>
      <c r="D1826" s="36"/>
      <c r="E1826" s="36"/>
      <c r="F1826" s="36"/>
      <c r="G1826" s="36"/>
      <c r="H1826" s="36"/>
      <c r="I1826" s="36"/>
      <c r="J1826" s="36"/>
      <c r="K1826" s="36"/>
      <c r="L1826" s="36"/>
      <c r="M1826" s="36"/>
      <c r="N1826" s="36"/>
      <c r="O1826" s="36"/>
      <c r="P1826" s="36"/>
      <c r="Q1826" s="36"/>
      <c r="R1826" s="36"/>
      <c r="S1826" s="39"/>
    </row>
    <row r="1827">
      <c r="B1827" s="36"/>
      <c r="C1827" s="36"/>
      <c r="D1827" s="36"/>
      <c r="E1827" s="36"/>
      <c r="F1827" s="36"/>
      <c r="G1827" s="36"/>
      <c r="H1827" s="36"/>
      <c r="I1827" s="36"/>
      <c r="J1827" s="36"/>
      <c r="K1827" s="36"/>
      <c r="L1827" s="36"/>
      <c r="M1827" s="36"/>
      <c r="N1827" s="36"/>
      <c r="O1827" s="36"/>
      <c r="P1827" s="36"/>
      <c r="Q1827" s="36"/>
      <c r="R1827" s="36"/>
      <c r="S1827" s="39"/>
    </row>
    <row r="1828">
      <c r="B1828" s="36"/>
      <c r="C1828" s="36"/>
      <c r="D1828" s="36"/>
      <c r="E1828" s="36"/>
      <c r="F1828" s="36"/>
      <c r="G1828" s="36"/>
      <c r="H1828" s="36"/>
      <c r="I1828" s="36"/>
      <c r="J1828" s="36"/>
      <c r="K1828" s="36"/>
      <c r="L1828" s="36"/>
      <c r="M1828" s="36"/>
      <c r="N1828" s="36"/>
      <c r="O1828" s="36"/>
      <c r="P1828" s="36"/>
      <c r="Q1828" s="36"/>
      <c r="R1828" s="36"/>
      <c r="S1828" s="39"/>
    </row>
    <row r="1829">
      <c r="B1829" s="36"/>
      <c r="C1829" s="36"/>
      <c r="D1829" s="36"/>
      <c r="E1829" s="36"/>
      <c r="F1829" s="36"/>
      <c r="G1829" s="36"/>
      <c r="H1829" s="36"/>
      <c r="I1829" s="36"/>
      <c r="J1829" s="36"/>
      <c r="K1829" s="36"/>
      <c r="L1829" s="36"/>
      <c r="M1829" s="36"/>
      <c r="N1829" s="36"/>
      <c r="O1829" s="36"/>
      <c r="P1829" s="36"/>
      <c r="Q1829" s="36"/>
      <c r="R1829" s="36"/>
      <c r="S1829" s="39"/>
    </row>
    <row r="1830">
      <c r="B1830" s="36"/>
      <c r="C1830" s="36"/>
      <c r="D1830" s="36"/>
      <c r="E1830" s="36"/>
      <c r="F1830" s="36"/>
      <c r="G1830" s="36"/>
      <c r="H1830" s="36"/>
      <c r="I1830" s="36"/>
      <c r="J1830" s="36"/>
      <c r="K1830" s="36"/>
      <c r="L1830" s="36"/>
      <c r="M1830" s="36"/>
      <c r="N1830" s="36"/>
      <c r="O1830" s="36"/>
      <c r="P1830" s="36"/>
      <c r="Q1830" s="36"/>
      <c r="R1830" s="36"/>
      <c r="S1830" s="39"/>
    </row>
    <row r="1831">
      <c r="B1831" s="36"/>
      <c r="C1831" s="36"/>
      <c r="D1831" s="36"/>
      <c r="E1831" s="36"/>
      <c r="F1831" s="36"/>
      <c r="G1831" s="36"/>
      <c r="H1831" s="36"/>
      <c r="I1831" s="36"/>
      <c r="J1831" s="36"/>
      <c r="K1831" s="36"/>
      <c r="L1831" s="36"/>
      <c r="M1831" s="36"/>
      <c r="N1831" s="36"/>
      <c r="O1831" s="36"/>
      <c r="P1831" s="36"/>
      <c r="Q1831" s="36"/>
      <c r="R1831" s="36"/>
      <c r="S1831" s="39"/>
    </row>
    <row r="1832">
      <c r="B1832" s="36"/>
      <c r="C1832" s="36"/>
      <c r="D1832" s="36"/>
      <c r="E1832" s="36"/>
      <c r="F1832" s="36"/>
      <c r="G1832" s="36"/>
      <c r="H1832" s="36"/>
      <c r="I1832" s="36"/>
      <c r="J1832" s="36"/>
      <c r="K1832" s="36"/>
      <c r="L1832" s="36"/>
      <c r="M1832" s="36"/>
      <c r="N1832" s="36"/>
      <c r="O1832" s="36"/>
      <c r="P1832" s="36"/>
      <c r="Q1832" s="36"/>
      <c r="R1832" s="36"/>
      <c r="S1832" s="39"/>
    </row>
    <row r="1833">
      <c r="B1833" s="36"/>
      <c r="C1833" s="36"/>
      <c r="D1833" s="36"/>
      <c r="E1833" s="36"/>
      <c r="F1833" s="36"/>
      <c r="G1833" s="36"/>
      <c r="H1833" s="36"/>
      <c r="I1833" s="36"/>
      <c r="J1833" s="36"/>
      <c r="K1833" s="36"/>
      <c r="L1833" s="36"/>
      <c r="M1833" s="36"/>
      <c r="N1833" s="36"/>
      <c r="O1833" s="36"/>
      <c r="P1833" s="36"/>
      <c r="Q1833" s="36"/>
      <c r="R1833" s="36"/>
      <c r="S1833" s="39"/>
    </row>
    <row r="1834">
      <c r="B1834" s="36"/>
      <c r="C1834" s="36"/>
      <c r="D1834" s="36"/>
      <c r="E1834" s="36"/>
      <c r="F1834" s="36"/>
      <c r="G1834" s="36"/>
      <c r="H1834" s="36"/>
      <c r="I1834" s="36"/>
      <c r="J1834" s="36"/>
      <c r="K1834" s="36"/>
      <c r="L1834" s="36"/>
      <c r="M1834" s="36"/>
      <c r="N1834" s="36"/>
      <c r="O1834" s="36"/>
      <c r="P1834" s="36"/>
      <c r="Q1834" s="36"/>
      <c r="R1834" s="36"/>
      <c r="S1834" s="39"/>
    </row>
    <row r="1835">
      <c r="B1835" s="36"/>
      <c r="C1835" s="36"/>
      <c r="D1835" s="36"/>
      <c r="E1835" s="36"/>
      <c r="F1835" s="36"/>
      <c r="G1835" s="36"/>
      <c r="H1835" s="36"/>
      <c r="I1835" s="36"/>
      <c r="J1835" s="36"/>
      <c r="K1835" s="36"/>
      <c r="L1835" s="36"/>
      <c r="M1835" s="36"/>
      <c r="N1835" s="36"/>
      <c r="O1835" s="36"/>
      <c r="P1835" s="36"/>
      <c r="Q1835" s="36"/>
      <c r="R1835" s="36"/>
      <c r="S1835" s="39"/>
    </row>
    <row r="1836">
      <c r="B1836" s="36"/>
      <c r="C1836" s="36"/>
      <c r="D1836" s="36"/>
      <c r="E1836" s="36"/>
      <c r="F1836" s="36"/>
      <c r="G1836" s="36"/>
      <c r="H1836" s="36"/>
      <c r="I1836" s="36"/>
      <c r="J1836" s="36"/>
      <c r="K1836" s="36"/>
      <c r="L1836" s="36"/>
      <c r="M1836" s="36"/>
      <c r="N1836" s="36"/>
      <c r="O1836" s="36"/>
      <c r="P1836" s="36"/>
      <c r="Q1836" s="36"/>
      <c r="R1836" s="36"/>
      <c r="S1836" s="39"/>
    </row>
    <row r="1837">
      <c r="B1837" s="36"/>
      <c r="C1837" s="36"/>
      <c r="D1837" s="36"/>
      <c r="E1837" s="36"/>
      <c r="F1837" s="36"/>
      <c r="G1837" s="36"/>
      <c r="H1837" s="36"/>
      <c r="I1837" s="36"/>
      <c r="J1837" s="36"/>
      <c r="K1837" s="36"/>
      <c r="L1837" s="36"/>
      <c r="M1837" s="36"/>
      <c r="N1837" s="36"/>
      <c r="O1837" s="36"/>
      <c r="P1837" s="36"/>
      <c r="Q1837" s="36"/>
      <c r="R1837" s="36"/>
      <c r="S1837" s="39"/>
    </row>
    <row r="1838">
      <c r="B1838" s="36"/>
      <c r="C1838" s="36"/>
      <c r="D1838" s="36"/>
      <c r="E1838" s="36"/>
      <c r="F1838" s="36"/>
      <c r="G1838" s="36"/>
      <c r="H1838" s="36"/>
      <c r="I1838" s="36"/>
      <c r="J1838" s="36"/>
      <c r="K1838" s="36"/>
      <c r="L1838" s="36"/>
      <c r="M1838" s="36"/>
      <c r="N1838" s="36"/>
      <c r="O1838" s="36"/>
      <c r="P1838" s="36"/>
      <c r="Q1838" s="36"/>
      <c r="R1838" s="36"/>
      <c r="S1838" s="39"/>
    </row>
    <row r="1839">
      <c r="B1839" s="36"/>
      <c r="C1839" s="36"/>
      <c r="D1839" s="36"/>
      <c r="E1839" s="36"/>
      <c r="F1839" s="36"/>
      <c r="G1839" s="36"/>
      <c r="H1839" s="36"/>
      <c r="I1839" s="36"/>
      <c r="J1839" s="36"/>
      <c r="K1839" s="36"/>
      <c r="L1839" s="36"/>
      <c r="M1839" s="36"/>
      <c r="N1839" s="36"/>
      <c r="O1839" s="36"/>
      <c r="P1839" s="36"/>
      <c r="Q1839" s="36"/>
      <c r="R1839" s="36"/>
      <c r="S1839" s="39"/>
    </row>
    <row r="1840">
      <c r="B1840" s="36"/>
      <c r="C1840" s="36"/>
      <c r="D1840" s="36"/>
      <c r="E1840" s="36"/>
      <c r="F1840" s="36"/>
      <c r="G1840" s="36"/>
      <c r="H1840" s="36"/>
      <c r="I1840" s="36"/>
      <c r="J1840" s="36"/>
      <c r="K1840" s="36"/>
      <c r="L1840" s="36"/>
      <c r="M1840" s="36"/>
      <c r="N1840" s="36"/>
      <c r="O1840" s="36"/>
      <c r="P1840" s="36"/>
      <c r="Q1840" s="36"/>
      <c r="R1840" s="36"/>
      <c r="S1840" s="39"/>
    </row>
    <row r="1841">
      <c r="B1841" s="36"/>
      <c r="C1841" s="36"/>
      <c r="D1841" s="36"/>
      <c r="E1841" s="36"/>
      <c r="F1841" s="36"/>
      <c r="G1841" s="36"/>
      <c r="H1841" s="36"/>
      <c r="I1841" s="36"/>
      <c r="J1841" s="36"/>
      <c r="K1841" s="36"/>
      <c r="L1841" s="36"/>
      <c r="M1841" s="36"/>
      <c r="N1841" s="36"/>
      <c r="O1841" s="36"/>
      <c r="P1841" s="36"/>
      <c r="Q1841" s="36"/>
      <c r="R1841" s="36"/>
      <c r="S1841" s="39"/>
    </row>
    <row r="1842">
      <c r="B1842" s="36"/>
      <c r="C1842" s="36"/>
      <c r="D1842" s="36"/>
      <c r="E1842" s="36"/>
      <c r="F1842" s="36"/>
      <c r="G1842" s="36"/>
      <c r="H1842" s="36"/>
      <c r="I1842" s="36"/>
      <c r="J1842" s="36"/>
      <c r="K1842" s="36"/>
      <c r="L1842" s="36"/>
      <c r="M1842" s="36"/>
      <c r="N1842" s="36"/>
      <c r="O1842" s="36"/>
      <c r="P1842" s="36"/>
      <c r="Q1842" s="36"/>
      <c r="R1842" s="36"/>
      <c r="S1842" s="39"/>
    </row>
    <row r="1843">
      <c r="B1843" s="36"/>
      <c r="C1843" s="36"/>
      <c r="D1843" s="36"/>
      <c r="E1843" s="36"/>
      <c r="F1843" s="36"/>
      <c r="G1843" s="36"/>
      <c r="H1843" s="36"/>
      <c r="I1843" s="36"/>
      <c r="J1843" s="36"/>
      <c r="K1843" s="36"/>
      <c r="L1843" s="36"/>
      <c r="M1843" s="36"/>
      <c r="N1843" s="36"/>
      <c r="O1843" s="36"/>
      <c r="P1843" s="36"/>
      <c r="Q1843" s="36"/>
      <c r="R1843" s="36"/>
      <c r="S1843" s="39"/>
    </row>
    <row r="1844">
      <c r="B1844" s="36"/>
      <c r="C1844" s="36"/>
      <c r="D1844" s="36"/>
      <c r="E1844" s="36"/>
      <c r="F1844" s="36"/>
      <c r="G1844" s="36"/>
      <c r="H1844" s="36"/>
      <c r="I1844" s="36"/>
      <c r="J1844" s="36"/>
      <c r="K1844" s="36"/>
      <c r="L1844" s="36"/>
      <c r="M1844" s="36"/>
      <c r="N1844" s="36"/>
      <c r="O1844" s="36"/>
      <c r="P1844" s="36"/>
      <c r="Q1844" s="36"/>
      <c r="R1844" s="36"/>
      <c r="S1844" s="39"/>
    </row>
    <row r="1845">
      <c r="B1845" s="36"/>
      <c r="C1845" s="36"/>
      <c r="D1845" s="36"/>
      <c r="E1845" s="36"/>
      <c r="F1845" s="36"/>
      <c r="G1845" s="36"/>
      <c r="H1845" s="36"/>
      <c r="I1845" s="36"/>
      <c r="J1845" s="36"/>
      <c r="K1845" s="36"/>
      <c r="L1845" s="36"/>
      <c r="M1845" s="36"/>
      <c r="N1845" s="36"/>
      <c r="O1845" s="36"/>
      <c r="P1845" s="36"/>
      <c r="Q1845" s="36"/>
      <c r="R1845" s="36"/>
      <c r="S1845" s="39"/>
    </row>
    <row r="1846">
      <c r="B1846" s="36"/>
      <c r="C1846" s="36"/>
      <c r="D1846" s="36"/>
      <c r="E1846" s="36"/>
      <c r="F1846" s="36"/>
      <c r="G1846" s="36"/>
      <c r="H1846" s="36"/>
      <c r="I1846" s="36"/>
      <c r="J1846" s="36"/>
      <c r="K1846" s="36"/>
      <c r="L1846" s="36"/>
      <c r="M1846" s="36"/>
      <c r="N1846" s="36"/>
      <c r="O1846" s="36"/>
      <c r="P1846" s="36"/>
      <c r="Q1846" s="36"/>
      <c r="R1846" s="36"/>
      <c r="S1846" s="39"/>
    </row>
    <row r="1847">
      <c r="B1847" s="36"/>
      <c r="C1847" s="36"/>
      <c r="D1847" s="36"/>
      <c r="E1847" s="36"/>
      <c r="F1847" s="36"/>
      <c r="G1847" s="36"/>
      <c r="H1847" s="36"/>
      <c r="I1847" s="36"/>
      <c r="J1847" s="36"/>
      <c r="K1847" s="36"/>
      <c r="L1847" s="36"/>
      <c r="M1847" s="36"/>
      <c r="N1847" s="36"/>
      <c r="O1847" s="36"/>
      <c r="P1847" s="36"/>
      <c r="Q1847" s="36"/>
      <c r="R1847" s="36"/>
      <c r="S1847" s="39"/>
    </row>
    <row r="1848">
      <c r="B1848" s="36"/>
      <c r="C1848" s="36"/>
      <c r="D1848" s="36"/>
      <c r="E1848" s="36"/>
      <c r="F1848" s="36"/>
      <c r="G1848" s="36"/>
      <c r="H1848" s="36"/>
      <c r="I1848" s="36"/>
      <c r="J1848" s="36"/>
      <c r="K1848" s="36"/>
      <c r="L1848" s="36"/>
      <c r="M1848" s="36"/>
      <c r="N1848" s="36"/>
      <c r="O1848" s="36"/>
      <c r="P1848" s="36"/>
      <c r="Q1848" s="36"/>
      <c r="R1848" s="36"/>
      <c r="S1848" s="39"/>
    </row>
    <row r="1849">
      <c r="B1849" s="36"/>
      <c r="C1849" s="36"/>
      <c r="D1849" s="36"/>
      <c r="E1849" s="36"/>
      <c r="F1849" s="36"/>
      <c r="G1849" s="36"/>
      <c r="H1849" s="36"/>
      <c r="I1849" s="36"/>
      <c r="J1849" s="36"/>
      <c r="K1849" s="36"/>
      <c r="L1849" s="36"/>
      <c r="M1849" s="36"/>
      <c r="N1849" s="36"/>
      <c r="O1849" s="36"/>
      <c r="P1849" s="36"/>
      <c r="Q1849" s="36"/>
      <c r="R1849" s="36"/>
      <c r="S1849" s="39"/>
    </row>
    <row r="1850">
      <c r="B1850" s="36"/>
      <c r="C1850" s="36"/>
      <c r="D1850" s="36"/>
      <c r="E1850" s="36"/>
      <c r="F1850" s="36"/>
      <c r="G1850" s="36"/>
      <c r="H1850" s="36"/>
      <c r="I1850" s="36"/>
      <c r="J1850" s="36"/>
      <c r="K1850" s="36"/>
      <c r="L1850" s="36"/>
      <c r="M1850" s="36"/>
      <c r="N1850" s="36"/>
      <c r="O1850" s="36"/>
      <c r="P1850" s="36"/>
      <c r="Q1850" s="36"/>
      <c r="R1850" s="36"/>
      <c r="S1850" s="39"/>
    </row>
    <row r="1851">
      <c r="B1851" s="36"/>
      <c r="C1851" s="36"/>
      <c r="D1851" s="36"/>
      <c r="E1851" s="36"/>
      <c r="F1851" s="36"/>
      <c r="G1851" s="36"/>
      <c r="H1851" s="36"/>
      <c r="I1851" s="36"/>
      <c r="J1851" s="36"/>
      <c r="K1851" s="36"/>
      <c r="L1851" s="36"/>
      <c r="M1851" s="36"/>
      <c r="N1851" s="36"/>
      <c r="O1851" s="36"/>
      <c r="P1851" s="36"/>
      <c r="Q1851" s="36"/>
      <c r="R1851" s="36"/>
      <c r="S1851" s="39"/>
    </row>
    <row r="1852">
      <c r="B1852" s="36"/>
      <c r="C1852" s="36"/>
      <c r="D1852" s="36"/>
      <c r="E1852" s="36"/>
      <c r="F1852" s="36"/>
      <c r="G1852" s="36"/>
      <c r="H1852" s="36"/>
      <c r="I1852" s="36"/>
      <c r="J1852" s="36"/>
      <c r="K1852" s="36"/>
      <c r="L1852" s="36"/>
      <c r="M1852" s="36"/>
      <c r="N1852" s="36"/>
      <c r="O1852" s="36"/>
      <c r="P1852" s="36"/>
      <c r="Q1852" s="36"/>
      <c r="R1852" s="36"/>
      <c r="S1852" s="39"/>
    </row>
    <row r="1853">
      <c r="B1853" s="36"/>
      <c r="C1853" s="36"/>
      <c r="D1853" s="36"/>
      <c r="E1853" s="36"/>
      <c r="F1853" s="36"/>
      <c r="G1853" s="36"/>
      <c r="H1853" s="36"/>
      <c r="I1853" s="36"/>
      <c r="J1853" s="36"/>
      <c r="K1853" s="36"/>
      <c r="L1853" s="36"/>
      <c r="M1853" s="36"/>
      <c r="N1853" s="36"/>
      <c r="O1853" s="36"/>
      <c r="P1853" s="36"/>
      <c r="Q1853" s="36"/>
      <c r="R1853" s="36"/>
      <c r="S1853" s="39"/>
    </row>
    <row r="1854">
      <c r="B1854" s="36"/>
      <c r="C1854" s="36"/>
      <c r="D1854" s="36"/>
      <c r="E1854" s="36"/>
      <c r="F1854" s="36"/>
      <c r="G1854" s="36"/>
      <c r="H1854" s="36"/>
      <c r="I1854" s="36"/>
      <c r="J1854" s="36"/>
      <c r="K1854" s="36"/>
      <c r="L1854" s="36"/>
      <c r="M1854" s="36"/>
      <c r="N1854" s="36"/>
      <c r="O1854" s="36"/>
      <c r="P1854" s="36"/>
      <c r="Q1854" s="36"/>
      <c r="R1854" s="36"/>
      <c r="S1854" s="39"/>
    </row>
    <row r="1855">
      <c r="B1855" s="36"/>
      <c r="C1855" s="36"/>
      <c r="D1855" s="36"/>
      <c r="E1855" s="36"/>
      <c r="F1855" s="36"/>
      <c r="G1855" s="36"/>
      <c r="H1855" s="36"/>
      <c r="I1855" s="36"/>
      <c r="J1855" s="36"/>
      <c r="K1855" s="36"/>
      <c r="L1855" s="36"/>
      <c r="M1855" s="36"/>
      <c r="N1855" s="36"/>
      <c r="O1855" s="36"/>
      <c r="P1855" s="36"/>
      <c r="Q1855" s="36"/>
      <c r="R1855" s="36"/>
      <c r="S1855" s="39"/>
    </row>
    <row r="1856">
      <c r="B1856" s="36"/>
      <c r="C1856" s="36"/>
      <c r="D1856" s="36"/>
      <c r="E1856" s="36"/>
      <c r="F1856" s="36"/>
      <c r="G1856" s="36"/>
      <c r="H1856" s="36"/>
      <c r="I1856" s="36"/>
      <c r="J1856" s="36"/>
      <c r="K1856" s="36"/>
      <c r="L1856" s="36"/>
      <c r="M1856" s="36"/>
      <c r="N1856" s="36"/>
      <c r="O1856" s="36"/>
      <c r="P1856" s="36"/>
      <c r="Q1856" s="36"/>
      <c r="R1856" s="36"/>
      <c r="S1856" s="39"/>
    </row>
    <row r="1857">
      <c r="B1857" s="36"/>
      <c r="C1857" s="36"/>
      <c r="D1857" s="36"/>
      <c r="E1857" s="36"/>
      <c r="F1857" s="36"/>
      <c r="G1857" s="36"/>
      <c r="H1857" s="36"/>
      <c r="I1857" s="36"/>
      <c r="J1857" s="36"/>
      <c r="K1857" s="36"/>
      <c r="L1857" s="36"/>
      <c r="M1857" s="36"/>
      <c r="N1857" s="36"/>
      <c r="O1857" s="36"/>
      <c r="P1857" s="36"/>
      <c r="Q1857" s="36"/>
      <c r="R1857" s="36"/>
      <c r="S1857" s="39"/>
    </row>
    <row r="1858">
      <c r="B1858" s="36"/>
      <c r="C1858" s="36"/>
      <c r="D1858" s="36"/>
      <c r="E1858" s="36"/>
      <c r="F1858" s="36"/>
      <c r="G1858" s="36"/>
      <c r="H1858" s="36"/>
      <c r="I1858" s="36"/>
      <c r="J1858" s="36"/>
      <c r="K1858" s="36"/>
      <c r="L1858" s="36"/>
      <c r="M1858" s="36"/>
      <c r="N1858" s="36"/>
      <c r="O1858" s="36"/>
      <c r="P1858" s="36"/>
      <c r="Q1858" s="36"/>
      <c r="R1858" s="36"/>
      <c r="S1858" s="39"/>
    </row>
    <row r="1859">
      <c r="B1859" s="36"/>
      <c r="C1859" s="36"/>
      <c r="D1859" s="36"/>
      <c r="E1859" s="36"/>
      <c r="F1859" s="36"/>
      <c r="G1859" s="36"/>
      <c r="H1859" s="36"/>
      <c r="I1859" s="36"/>
      <c r="J1859" s="36"/>
      <c r="K1859" s="36"/>
      <c r="L1859" s="36"/>
      <c r="M1859" s="36"/>
      <c r="N1859" s="36"/>
      <c r="O1859" s="36"/>
      <c r="P1859" s="36"/>
      <c r="Q1859" s="36"/>
      <c r="R1859" s="36"/>
      <c r="S1859" s="39"/>
    </row>
    <row r="1860">
      <c r="B1860" s="36"/>
      <c r="C1860" s="36"/>
      <c r="D1860" s="36"/>
      <c r="E1860" s="36"/>
      <c r="F1860" s="36"/>
      <c r="G1860" s="36"/>
      <c r="H1860" s="36"/>
      <c r="I1860" s="36"/>
      <c r="J1860" s="36"/>
      <c r="K1860" s="36"/>
      <c r="L1860" s="36"/>
      <c r="M1860" s="36"/>
      <c r="N1860" s="36"/>
      <c r="O1860" s="36"/>
      <c r="P1860" s="36"/>
      <c r="Q1860" s="36"/>
      <c r="R1860" s="36"/>
      <c r="S1860" s="39"/>
    </row>
    <row r="1861">
      <c r="B1861" s="36"/>
      <c r="C1861" s="36"/>
      <c r="D1861" s="36"/>
      <c r="E1861" s="36"/>
      <c r="F1861" s="36"/>
      <c r="G1861" s="36"/>
      <c r="H1861" s="36"/>
      <c r="I1861" s="36"/>
      <c r="J1861" s="36"/>
      <c r="K1861" s="36"/>
      <c r="L1861" s="36"/>
      <c r="M1861" s="36"/>
      <c r="N1861" s="36"/>
      <c r="O1861" s="36"/>
      <c r="P1861" s="36"/>
      <c r="Q1861" s="36"/>
      <c r="R1861" s="36"/>
      <c r="S1861" s="39"/>
    </row>
    <row r="1862">
      <c r="B1862" s="36"/>
      <c r="C1862" s="36"/>
      <c r="D1862" s="36"/>
      <c r="E1862" s="36"/>
      <c r="F1862" s="36"/>
      <c r="G1862" s="36"/>
      <c r="H1862" s="36"/>
      <c r="I1862" s="36"/>
      <c r="J1862" s="36"/>
      <c r="K1862" s="36"/>
      <c r="L1862" s="36"/>
      <c r="M1862" s="36"/>
      <c r="N1862" s="36"/>
      <c r="O1862" s="36"/>
      <c r="P1862" s="36"/>
      <c r="Q1862" s="36"/>
      <c r="R1862" s="36"/>
      <c r="S1862" s="39"/>
    </row>
    <row r="1863">
      <c r="B1863" s="36"/>
      <c r="C1863" s="36"/>
      <c r="D1863" s="36"/>
      <c r="E1863" s="36"/>
      <c r="F1863" s="36"/>
      <c r="G1863" s="36"/>
      <c r="H1863" s="36"/>
      <c r="I1863" s="36"/>
      <c r="J1863" s="36"/>
      <c r="K1863" s="36"/>
      <c r="L1863" s="36"/>
      <c r="M1863" s="36"/>
      <c r="N1863" s="36"/>
      <c r="O1863" s="36"/>
      <c r="P1863" s="36"/>
      <c r="Q1863" s="36"/>
      <c r="R1863" s="36"/>
      <c r="S1863" s="39"/>
    </row>
    <row r="1864">
      <c r="B1864" s="36"/>
      <c r="C1864" s="36"/>
      <c r="D1864" s="36"/>
      <c r="E1864" s="36"/>
      <c r="F1864" s="36"/>
      <c r="G1864" s="36"/>
      <c r="H1864" s="36"/>
      <c r="I1864" s="36"/>
      <c r="J1864" s="36"/>
      <c r="K1864" s="36"/>
      <c r="L1864" s="36"/>
      <c r="M1864" s="36"/>
      <c r="N1864" s="36"/>
      <c r="O1864" s="36"/>
      <c r="P1864" s="36"/>
      <c r="Q1864" s="36"/>
      <c r="R1864" s="36"/>
      <c r="S1864" s="39"/>
    </row>
    <row r="1865">
      <c r="B1865" s="36"/>
      <c r="C1865" s="36"/>
      <c r="D1865" s="36"/>
      <c r="E1865" s="36"/>
      <c r="F1865" s="36"/>
      <c r="G1865" s="36"/>
      <c r="H1865" s="36"/>
      <c r="I1865" s="36"/>
      <c r="J1865" s="36"/>
      <c r="K1865" s="36"/>
      <c r="L1865" s="36"/>
      <c r="M1865" s="36"/>
      <c r="N1865" s="36"/>
      <c r="O1865" s="36"/>
      <c r="P1865" s="36"/>
      <c r="Q1865" s="36"/>
      <c r="R1865" s="36"/>
      <c r="S1865" s="39"/>
    </row>
    <row r="1866">
      <c r="B1866" s="36"/>
      <c r="C1866" s="36"/>
      <c r="D1866" s="36"/>
      <c r="E1866" s="36"/>
      <c r="F1866" s="36"/>
      <c r="G1866" s="36"/>
      <c r="H1866" s="36"/>
      <c r="I1866" s="36"/>
      <c r="J1866" s="36"/>
      <c r="K1866" s="36"/>
      <c r="L1866" s="36"/>
      <c r="M1866" s="36"/>
      <c r="N1866" s="36"/>
      <c r="O1866" s="36"/>
      <c r="P1866" s="36"/>
      <c r="Q1866" s="36"/>
      <c r="R1866" s="36"/>
      <c r="S1866" s="39"/>
    </row>
    <row r="1867">
      <c r="B1867" s="36"/>
      <c r="C1867" s="36"/>
      <c r="D1867" s="36"/>
      <c r="E1867" s="36"/>
      <c r="F1867" s="36"/>
      <c r="G1867" s="36"/>
      <c r="H1867" s="36"/>
      <c r="I1867" s="36"/>
      <c r="J1867" s="36"/>
      <c r="K1867" s="36"/>
      <c r="L1867" s="36"/>
      <c r="M1867" s="36"/>
      <c r="N1867" s="36"/>
      <c r="O1867" s="36"/>
      <c r="P1867" s="36"/>
      <c r="Q1867" s="36"/>
      <c r="R1867" s="36"/>
      <c r="S1867" s="39"/>
    </row>
    <row r="1868">
      <c r="B1868" s="36"/>
      <c r="C1868" s="36"/>
      <c r="D1868" s="36"/>
      <c r="E1868" s="36"/>
      <c r="F1868" s="36"/>
      <c r="G1868" s="36"/>
      <c r="H1868" s="36"/>
      <c r="I1868" s="36"/>
      <c r="J1868" s="36"/>
      <c r="K1868" s="36"/>
      <c r="L1868" s="36"/>
      <c r="M1868" s="36"/>
      <c r="N1868" s="36"/>
      <c r="O1868" s="36"/>
      <c r="P1868" s="36"/>
      <c r="Q1868" s="36"/>
      <c r="R1868" s="36"/>
      <c r="S1868" s="39"/>
    </row>
    <row r="1869">
      <c r="B1869" s="36"/>
      <c r="C1869" s="36"/>
      <c r="D1869" s="36"/>
      <c r="E1869" s="36"/>
      <c r="F1869" s="36"/>
      <c r="G1869" s="36"/>
      <c r="H1869" s="36"/>
      <c r="I1869" s="36"/>
      <c r="J1869" s="36"/>
      <c r="K1869" s="36"/>
      <c r="L1869" s="36"/>
      <c r="M1869" s="36"/>
      <c r="N1869" s="36"/>
      <c r="O1869" s="36"/>
      <c r="P1869" s="36"/>
      <c r="Q1869" s="36"/>
      <c r="R1869" s="36"/>
      <c r="S1869" s="39"/>
    </row>
    <row r="1870">
      <c r="B1870" s="36"/>
      <c r="C1870" s="36"/>
      <c r="D1870" s="36"/>
      <c r="E1870" s="36"/>
      <c r="F1870" s="36"/>
      <c r="G1870" s="36"/>
      <c r="H1870" s="36"/>
      <c r="I1870" s="36"/>
      <c r="J1870" s="36"/>
      <c r="K1870" s="36"/>
      <c r="L1870" s="36"/>
      <c r="M1870" s="36"/>
      <c r="N1870" s="36"/>
      <c r="O1870" s="36"/>
      <c r="P1870" s="36"/>
      <c r="Q1870" s="36"/>
      <c r="R1870" s="36"/>
      <c r="S1870" s="39"/>
    </row>
    <row r="1871">
      <c r="B1871" s="36"/>
      <c r="C1871" s="36"/>
      <c r="D1871" s="36"/>
      <c r="E1871" s="36"/>
      <c r="F1871" s="36"/>
      <c r="G1871" s="36"/>
      <c r="H1871" s="36"/>
      <c r="I1871" s="36"/>
      <c r="J1871" s="36"/>
      <c r="K1871" s="36"/>
      <c r="L1871" s="36"/>
      <c r="M1871" s="36"/>
      <c r="N1871" s="36"/>
      <c r="O1871" s="36"/>
      <c r="P1871" s="36"/>
      <c r="Q1871" s="36"/>
      <c r="R1871" s="36"/>
      <c r="S1871" s="39"/>
    </row>
    <row r="1872">
      <c r="B1872" s="36"/>
      <c r="C1872" s="36"/>
      <c r="D1872" s="36"/>
      <c r="E1872" s="36"/>
      <c r="F1872" s="36"/>
      <c r="G1872" s="36"/>
      <c r="H1872" s="36"/>
      <c r="I1872" s="36"/>
      <c r="J1872" s="36"/>
      <c r="K1872" s="36"/>
      <c r="L1872" s="36"/>
      <c r="M1872" s="36"/>
      <c r="N1872" s="36"/>
      <c r="O1872" s="36"/>
      <c r="P1872" s="36"/>
      <c r="Q1872" s="36"/>
      <c r="R1872" s="36"/>
      <c r="S1872" s="39"/>
    </row>
    <row r="1873">
      <c r="B1873" s="36"/>
      <c r="C1873" s="36"/>
      <c r="D1873" s="36"/>
      <c r="E1873" s="36"/>
      <c r="F1873" s="36"/>
      <c r="G1873" s="36"/>
      <c r="H1873" s="36"/>
      <c r="I1873" s="36"/>
      <c r="J1873" s="36"/>
      <c r="K1873" s="36"/>
      <c r="L1873" s="36"/>
      <c r="M1873" s="36"/>
      <c r="N1873" s="36"/>
      <c r="O1873" s="36"/>
      <c r="P1873" s="36"/>
      <c r="Q1873" s="36"/>
      <c r="R1873" s="36"/>
      <c r="S1873" s="39"/>
    </row>
    <row r="1874">
      <c r="B1874" s="36"/>
      <c r="C1874" s="36"/>
      <c r="D1874" s="36"/>
      <c r="E1874" s="36"/>
      <c r="F1874" s="36"/>
      <c r="G1874" s="36"/>
      <c r="H1874" s="36"/>
      <c r="I1874" s="36"/>
      <c r="J1874" s="36"/>
      <c r="K1874" s="36"/>
      <c r="L1874" s="36"/>
      <c r="M1874" s="36"/>
      <c r="N1874" s="36"/>
      <c r="O1874" s="36"/>
      <c r="P1874" s="36"/>
      <c r="Q1874" s="36"/>
      <c r="R1874" s="36"/>
      <c r="S1874" s="39"/>
    </row>
    <row r="1875">
      <c r="B1875" s="36"/>
      <c r="C1875" s="36"/>
      <c r="D1875" s="36"/>
      <c r="E1875" s="36"/>
      <c r="F1875" s="36"/>
      <c r="G1875" s="36"/>
      <c r="H1875" s="36"/>
      <c r="I1875" s="36"/>
      <c r="J1875" s="36"/>
      <c r="K1875" s="36"/>
      <c r="L1875" s="36"/>
      <c r="M1875" s="36"/>
      <c r="N1875" s="36"/>
      <c r="O1875" s="36"/>
      <c r="P1875" s="36"/>
      <c r="Q1875" s="36"/>
      <c r="R1875" s="36"/>
      <c r="S1875" s="39"/>
    </row>
    <row r="1876">
      <c r="B1876" s="36"/>
      <c r="C1876" s="36"/>
      <c r="D1876" s="36"/>
      <c r="E1876" s="36"/>
      <c r="F1876" s="36"/>
      <c r="G1876" s="36"/>
      <c r="H1876" s="36"/>
      <c r="I1876" s="36"/>
      <c r="J1876" s="36"/>
      <c r="K1876" s="36"/>
      <c r="L1876" s="36"/>
      <c r="M1876" s="36"/>
      <c r="N1876" s="36"/>
      <c r="O1876" s="36"/>
      <c r="P1876" s="36"/>
      <c r="Q1876" s="36"/>
      <c r="R1876" s="36"/>
      <c r="S1876" s="39"/>
    </row>
    <row r="1877">
      <c r="B1877" s="36"/>
      <c r="C1877" s="36"/>
      <c r="D1877" s="36"/>
      <c r="E1877" s="36"/>
      <c r="F1877" s="36"/>
      <c r="G1877" s="36"/>
      <c r="H1877" s="36"/>
      <c r="I1877" s="36"/>
      <c r="J1877" s="36"/>
      <c r="K1877" s="36"/>
      <c r="L1877" s="36"/>
      <c r="M1877" s="36"/>
      <c r="N1877" s="36"/>
      <c r="O1877" s="36"/>
      <c r="P1877" s="36"/>
      <c r="Q1877" s="36"/>
      <c r="R1877" s="36"/>
      <c r="S1877" s="39"/>
    </row>
    <row r="1878">
      <c r="B1878" s="36"/>
      <c r="C1878" s="36"/>
      <c r="D1878" s="36"/>
      <c r="E1878" s="36"/>
      <c r="F1878" s="36"/>
      <c r="G1878" s="36"/>
      <c r="H1878" s="36"/>
      <c r="I1878" s="36"/>
      <c r="J1878" s="36"/>
      <c r="K1878" s="36"/>
      <c r="L1878" s="36"/>
      <c r="M1878" s="36"/>
      <c r="N1878" s="36"/>
      <c r="O1878" s="36"/>
      <c r="P1878" s="36"/>
      <c r="Q1878" s="36"/>
      <c r="R1878" s="36"/>
      <c r="S1878" s="39"/>
    </row>
    <row r="1879">
      <c r="B1879" s="36"/>
      <c r="C1879" s="36"/>
      <c r="D1879" s="36"/>
      <c r="E1879" s="36"/>
      <c r="F1879" s="36"/>
      <c r="G1879" s="36"/>
      <c r="H1879" s="36"/>
      <c r="I1879" s="36"/>
      <c r="J1879" s="36"/>
      <c r="K1879" s="36"/>
      <c r="L1879" s="36"/>
      <c r="M1879" s="36"/>
      <c r="N1879" s="36"/>
      <c r="O1879" s="36"/>
      <c r="P1879" s="36"/>
      <c r="Q1879" s="36"/>
      <c r="R1879" s="36"/>
      <c r="S1879" s="39"/>
    </row>
    <row r="1880">
      <c r="B1880" s="36"/>
      <c r="C1880" s="36"/>
      <c r="D1880" s="36"/>
      <c r="E1880" s="36"/>
      <c r="F1880" s="36"/>
      <c r="G1880" s="36"/>
      <c r="H1880" s="36"/>
      <c r="I1880" s="36"/>
      <c r="J1880" s="36"/>
      <c r="K1880" s="36"/>
      <c r="L1880" s="36"/>
      <c r="M1880" s="36"/>
      <c r="N1880" s="36"/>
      <c r="O1880" s="36"/>
      <c r="P1880" s="36"/>
      <c r="Q1880" s="36"/>
      <c r="R1880" s="36"/>
      <c r="S1880" s="39"/>
    </row>
    <row r="1881">
      <c r="B1881" s="36"/>
      <c r="C1881" s="36"/>
      <c r="D1881" s="36"/>
      <c r="E1881" s="36"/>
      <c r="F1881" s="36"/>
      <c r="G1881" s="36"/>
      <c r="H1881" s="36"/>
      <c r="I1881" s="36"/>
      <c r="J1881" s="36"/>
      <c r="K1881" s="36"/>
      <c r="L1881" s="36"/>
      <c r="M1881" s="36"/>
      <c r="N1881" s="36"/>
      <c r="O1881" s="36"/>
      <c r="P1881" s="36"/>
      <c r="Q1881" s="36"/>
      <c r="R1881" s="36"/>
      <c r="S1881" s="39"/>
    </row>
    <row r="1882">
      <c r="B1882" s="36"/>
      <c r="C1882" s="36"/>
      <c r="D1882" s="36"/>
      <c r="E1882" s="36"/>
      <c r="F1882" s="36"/>
      <c r="G1882" s="36"/>
      <c r="H1882" s="36"/>
      <c r="I1882" s="36"/>
      <c r="J1882" s="36"/>
      <c r="K1882" s="36"/>
      <c r="L1882" s="36"/>
      <c r="M1882" s="36"/>
      <c r="N1882" s="36"/>
      <c r="O1882" s="36"/>
      <c r="P1882" s="36"/>
      <c r="Q1882" s="36"/>
      <c r="R1882" s="36"/>
      <c r="S1882" s="39"/>
    </row>
    <row r="1883">
      <c r="B1883" s="36"/>
      <c r="C1883" s="36"/>
      <c r="D1883" s="36"/>
      <c r="E1883" s="36"/>
      <c r="F1883" s="36"/>
      <c r="G1883" s="36"/>
      <c r="H1883" s="36"/>
      <c r="I1883" s="36"/>
      <c r="J1883" s="36"/>
      <c r="K1883" s="36"/>
      <c r="L1883" s="36"/>
      <c r="M1883" s="36"/>
      <c r="N1883" s="36"/>
      <c r="O1883" s="36"/>
      <c r="P1883" s="36"/>
      <c r="Q1883" s="36"/>
      <c r="R1883" s="36"/>
      <c r="S1883" s="39"/>
    </row>
    <row r="1884">
      <c r="B1884" s="36"/>
      <c r="C1884" s="36"/>
      <c r="D1884" s="36"/>
      <c r="E1884" s="36"/>
      <c r="F1884" s="36"/>
      <c r="G1884" s="36"/>
      <c r="H1884" s="36"/>
      <c r="I1884" s="36"/>
      <c r="J1884" s="36"/>
      <c r="K1884" s="36"/>
      <c r="L1884" s="36"/>
      <c r="M1884" s="36"/>
      <c r="N1884" s="36"/>
      <c r="O1884" s="36"/>
      <c r="P1884" s="36"/>
      <c r="Q1884" s="36"/>
      <c r="R1884" s="36"/>
      <c r="S1884" s="39"/>
    </row>
    <row r="1885">
      <c r="B1885" s="36"/>
      <c r="C1885" s="36"/>
      <c r="D1885" s="36"/>
      <c r="E1885" s="36"/>
      <c r="F1885" s="36"/>
      <c r="G1885" s="36"/>
      <c r="H1885" s="36"/>
      <c r="I1885" s="36"/>
      <c r="J1885" s="36"/>
      <c r="K1885" s="36"/>
      <c r="L1885" s="36"/>
      <c r="M1885" s="36"/>
      <c r="N1885" s="36"/>
      <c r="O1885" s="36"/>
      <c r="P1885" s="36"/>
      <c r="Q1885" s="36"/>
      <c r="R1885" s="36"/>
      <c r="S1885" s="39"/>
    </row>
    <row r="1886">
      <c r="B1886" s="36"/>
      <c r="C1886" s="36"/>
      <c r="D1886" s="36"/>
      <c r="E1886" s="36"/>
      <c r="F1886" s="36"/>
      <c r="G1886" s="36"/>
      <c r="H1886" s="36"/>
      <c r="I1886" s="36"/>
      <c r="J1886" s="36"/>
      <c r="K1886" s="36"/>
      <c r="L1886" s="36"/>
      <c r="M1886" s="36"/>
      <c r="N1886" s="36"/>
      <c r="O1886" s="36"/>
      <c r="P1886" s="36"/>
      <c r="Q1886" s="36"/>
      <c r="R1886" s="36"/>
      <c r="S1886" s="39"/>
    </row>
    <row r="1887">
      <c r="B1887" s="36"/>
      <c r="C1887" s="36"/>
      <c r="D1887" s="36"/>
      <c r="E1887" s="36"/>
      <c r="F1887" s="36"/>
      <c r="G1887" s="36"/>
      <c r="H1887" s="36"/>
      <c r="I1887" s="36"/>
      <c r="J1887" s="36"/>
      <c r="K1887" s="36"/>
      <c r="L1887" s="36"/>
      <c r="M1887" s="36"/>
      <c r="N1887" s="36"/>
      <c r="O1887" s="36"/>
      <c r="P1887" s="36"/>
      <c r="Q1887" s="36"/>
      <c r="R1887" s="36"/>
      <c r="S1887" s="39"/>
    </row>
    <row r="1888">
      <c r="B1888" s="36"/>
      <c r="C1888" s="36"/>
      <c r="D1888" s="36"/>
      <c r="E1888" s="36"/>
      <c r="F1888" s="36"/>
      <c r="G1888" s="36"/>
      <c r="H1888" s="36"/>
      <c r="I1888" s="36"/>
      <c r="J1888" s="36"/>
      <c r="K1888" s="36"/>
      <c r="L1888" s="36"/>
      <c r="M1888" s="36"/>
      <c r="N1888" s="36"/>
      <c r="O1888" s="36"/>
      <c r="P1888" s="36"/>
      <c r="Q1888" s="36"/>
      <c r="R1888" s="36"/>
      <c r="S1888" s="39"/>
    </row>
    <row r="1889">
      <c r="B1889" s="36"/>
      <c r="C1889" s="36"/>
      <c r="D1889" s="36"/>
      <c r="E1889" s="36"/>
      <c r="F1889" s="36"/>
      <c r="G1889" s="36"/>
      <c r="H1889" s="36"/>
      <c r="I1889" s="36"/>
      <c r="J1889" s="36"/>
      <c r="K1889" s="36"/>
      <c r="L1889" s="36"/>
      <c r="M1889" s="36"/>
      <c r="N1889" s="36"/>
      <c r="O1889" s="36"/>
      <c r="P1889" s="36"/>
      <c r="Q1889" s="36"/>
      <c r="R1889" s="36"/>
      <c r="S1889" s="39"/>
    </row>
    <row r="1890">
      <c r="B1890" s="36"/>
      <c r="C1890" s="36"/>
      <c r="D1890" s="36"/>
      <c r="E1890" s="36"/>
      <c r="F1890" s="36"/>
      <c r="G1890" s="36"/>
      <c r="H1890" s="36"/>
      <c r="I1890" s="36"/>
      <c r="J1890" s="36"/>
      <c r="K1890" s="36"/>
      <c r="L1890" s="36"/>
      <c r="M1890" s="36"/>
      <c r="N1890" s="36"/>
      <c r="O1890" s="36"/>
      <c r="P1890" s="36"/>
      <c r="Q1890" s="36"/>
      <c r="R1890" s="36"/>
      <c r="S1890" s="39"/>
    </row>
    <row r="1891">
      <c r="B1891" s="36"/>
      <c r="C1891" s="36"/>
      <c r="D1891" s="36"/>
      <c r="E1891" s="36"/>
      <c r="F1891" s="36"/>
      <c r="G1891" s="36"/>
      <c r="H1891" s="36"/>
      <c r="I1891" s="36"/>
      <c r="J1891" s="36"/>
      <c r="K1891" s="36"/>
      <c r="L1891" s="36"/>
      <c r="M1891" s="36"/>
      <c r="N1891" s="36"/>
      <c r="O1891" s="36"/>
      <c r="P1891" s="36"/>
      <c r="Q1891" s="36"/>
      <c r="R1891" s="36"/>
      <c r="S1891" s="39"/>
    </row>
    <row r="1892">
      <c r="B1892" s="36"/>
      <c r="C1892" s="36"/>
      <c r="D1892" s="36"/>
      <c r="E1892" s="36"/>
      <c r="F1892" s="36"/>
      <c r="G1892" s="36"/>
      <c r="H1892" s="36"/>
      <c r="I1892" s="36"/>
      <c r="J1892" s="36"/>
      <c r="K1892" s="36"/>
      <c r="L1892" s="36"/>
      <c r="M1892" s="36"/>
      <c r="N1892" s="36"/>
      <c r="O1892" s="36"/>
      <c r="P1892" s="36"/>
      <c r="Q1892" s="36"/>
      <c r="R1892" s="36"/>
      <c r="S1892" s="39"/>
    </row>
    <row r="1893">
      <c r="B1893" s="36"/>
      <c r="C1893" s="36"/>
      <c r="D1893" s="36"/>
      <c r="E1893" s="36"/>
      <c r="F1893" s="36"/>
      <c r="G1893" s="36"/>
      <c r="H1893" s="36"/>
      <c r="I1893" s="36"/>
      <c r="J1893" s="36"/>
      <c r="K1893" s="36"/>
      <c r="L1893" s="36"/>
      <c r="M1893" s="36"/>
      <c r="N1893" s="36"/>
      <c r="O1893" s="36"/>
      <c r="P1893" s="36"/>
      <c r="Q1893" s="36"/>
      <c r="R1893" s="36"/>
      <c r="S1893" s="39"/>
    </row>
    <row r="1894">
      <c r="B1894" s="36"/>
      <c r="C1894" s="36"/>
      <c r="D1894" s="36"/>
      <c r="E1894" s="36"/>
      <c r="F1894" s="36"/>
      <c r="G1894" s="36"/>
      <c r="H1894" s="36"/>
      <c r="I1894" s="36"/>
      <c r="J1894" s="36"/>
      <c r="K1894" s="36"/>
      <c r="L1894" s="36"/>
      <c r="M1894" s="36"/>
      <c r="N1894" s="36"/>
      <c r="O1894" s="36"/>
      <c r="P1894" s="36"/>
      <c r="Q1894" s="36"/>
      <c r="R1894" s="36"/>
      <c r="S1894" s="39"/>
    </row>
    <row r="1895">
      <c r="B1895" s="36"/>
      <c r="C1895" s="36"/>
      <c r="D1895" s="36"/>
      <c r="E1895" s="36"/>
      <c r="F1895" s="36"/>
      <c r="G1895" s="36"/>
      <c r="H1895" s="36"/>
      <c r="I1895" s="36"/>
      <c r="J1895" s="36"/>
      <c r="K1895" s="36"/>
      <c r="L1895" s="36"/>
      <c r="M1895" s="36"/>
      <c r="N1895" s="36"/>
      <c r="O1895" s="36"/>
      <c r="P1895" s="36"/>
      <c r="Q1895" s="36"/>
      <c r="R1895" s="36"/>
      <c r="S1895" s="39"/>
    </row>
    <row r="1896">
      <c r="B1896" s="36"/>
      <c r="C1896" s="36"/>
      <c r="D1896" s="36"/>
      <c r="E1896" s="36"/>
      <c r="F1896" s="36"/>
      <c r="G1896" s="36"/>
      <c r="H1896" s="36"/>
      <c r="I1896" s="36"/>
      <c r="J1896" s="36"/>
      <c r="K1896" s="36"/>
      <c r="L1896" s="36"/>
      <c r="M1896" s="36"/>
      <c r="N1896" s="36"/>
      <c r="O1896" s="36"/>
      <c r="P1896" s="36"/>
      <c r="Q1896" s="36"/>
      <c r="R1896" s="36"/>
      <c r="S1896" s="39"/>
    </row>
    <row r="1897">
      <c r="B1897" s="36"/>
      <c r="C1897" s="36"/>
      <c r="D1897" s="36"/>
      <c r="E1897" s="36"/>
      <c r="F1897" s="36"/>
      <c r="G1897" s="36"/>
      <c r="H1897" s="36"/>
      <c r="I1897" s="36"/>
      <c r="J1897" s="36"/>
      <c r="K1897" s="36"/>
      <c r="L1897" s="36"/>
      <c r="M1897" s="36"/>
      <c r="N1897" s="36"/>
      <c r="O1897" s="36"/>
      <c r="P1897" s="36"/>
      <c r="Q1897" s="36"/>
      <c r="R1897" s="36"/>
      <c r="S1897" s="39"/>
    </row>
    <row r="1898">
      <c r="B1898" s="36"/>
      <c r="C1898" s="36"/>
      <c r="D1898" s="36"/>
      <c r="E1898" s="36"/>
      <c r="F1898" s="36"/>
      <c r="G1898" s="36"/>
      <c r="H1898" s="36"/>
      <c r="I1898" s="36"/>
      <c r="J1898" s="36"/>
      <c r="K1898" s="36"/>
      <c r="L1898" s="36"/>
      <c r="M1898" s="36"/>
      <c r="N1898" s="36"/>
      <c r="O1898" s="36"/>
      <c r="P1898" s="36"/>
      <c r="Q1898" s="36"/>
      <c r="R1898" s="36"/>
      <c r="S1898" s="39"/>
    </row>
    <row r="1899">
      <c r="B1899" s="36"/>
      <c r="C1899" s="36"/>
      <c r="D1899" s="36"/>
      <c r="E1899" s="36"/>
      <c r="F1899" s="36"/>
      <c r="G1899" s="36"/>
      <c r="H1899" s="36"/>
      <c r="I1899" s="36"/>
      <c r="J1899" s="36"/>
      <c r="K1899" s="36"/>
      <c r="L1899" s="36"/>
      <c r="M1899" s="36"/>
      <c r="N1899" s="36"/>
      <c r="O1899" s="36"/>
      <c r="P1899" s="36"/>
      <c r="Q1899" s="36"/>
      <c r="R1899" s="36"/>
      <c r="S1899" s="39"/>
    </row>
    <row r="1900">
      <c r="B1900" s="36"/>
      <c r="C1900" s="36"/>
      <c r="D1900" s="36"/>
      <c r="E1900" s="36"/>
      <c r="F1900" s="36"/>
      <c r="G1900" s="36"/>
      <c r="H1900" s="36"/>
      <c r="I1900" s="36"/>
      <c r="J1900" s="36"/>
      <c r="K1900" s="36"/>
      <c r="L1900" s="36"/>
      <c r="M1900" s="36"/>
      <c r="N1900" s="36"/>
      <c r="O1900" s="36"/>
      <c r="P1900" s="36"/>
      <c r="Q1900" s="36"/>
      <c r="R1900" s="36"/>
      <c r="S1900" s="39"/>
    </row>
    <row r="1901">
      <c r="B1901" s="36"/>
      <c r="C1901" s="36"/>
      <c r="D1901" s="36"/>
      <c r="E1901" s="36"/>
      <c r="F1901" s="36"/>
      <c r="G1901" s="36"/>
      <c r="H1901" s="36"/>
      <c r="I1901" s="36"/>
      <c r="J1901" s="36"/>
      <c r="K1901" s="36"/>
      <c r="L1901" s="36"/>
      <c r="M1901" s="36"/>
      <c r="N1901" s="36"/>
      <c r="O1901" s="36"/>
      <c r="P1901" s="36"/>
      <c r="Q1901" s="36"/>
      <c r="R1901" s="36"/>
      <c r="S1901" s="39"/>
    </row>
    <row r="1902">
      <c r="B1902" s="36"/>
      <c r="C1902" s="36"/>
      <c r="D1902" s="36"/>
      <c r="E1902" s="36"/>
      <c r="F1902" s="36"/>
      <c r="G1902" s="36"/>
      <c r="H1902" s="36"/>
      <c r="I1902" s="36"/>
      <c r="J1902" s="36"/>
      <c r="K1902" s="36"/>
      <c r="L1902" s="36"/>
      <c r="M1902" s="36"/>
      <c r="N1902" s="36"/>
      <c r="O1902" s="36"/>
      <c r="P1902" s="36"/>
      <c r="Q1902" s="36"/>
      <c r="R1902" s="36"/>
      <c r="S1902" s="39"/>
    </row>
    <row r="1903">
      <c r="B1903" s="36"/>
      <c r="C1903" s="36"/>
      <c r="D1903" s="36"/>
      <c r="E1903" s="36"/>
      <c r="F1903" s="36"/>
      <c r="G1903" s="36"/>
      <c r="H1903" s="36"/>
      <c r="I1903" s="36"/>
      <c r="J1903" s="36"/>
      <c r="K1903" s="36"/>
      <c r="L1903" s="36"/>
      <c r="M1903" s="36"/>
      <c r="N1903" s="36"/>
      <c r="O1903" s="36"/>
      <c r="P1903" s="36"/>
      <c r="Q1903" s="36"/>
      <c r="R1903" s="36"/>
      <c r="S1903" s="39"/>
    </row>
    <row r="1904">
      <c r="B1904" s="36"/>
      <c r="C1904" s="36"/>
      <c r="D1904" s="36"/>
      <c r="E1904" s="36"/>
      <c r="F1904" s="36"/>
      <c r="G1904" s="36"/>
      <c r="H1904" s="36"/>
      <c r="I1904" s="36"/>
      <c r="J1904" s="36"/>
      <c r="K1904" s="36"/>
      <c r="L1904" s="36"/>
      <c r="M1904" s="36"/>
      <c r="N1904" s="36"/>
      <c r="O1904" s="36"/>
      <c r="P1904" s="36"/>
      <c r="Q1904" s="36"/>
      <c r="R1904" s="36"/>
      <c r="S1904" s="39"/>
    </row>
    <row r="1905">
      <c r="B1905" s="36"/>
      <c r="C1905" s="36"/>
      <c r="D1905" s="36"/>
      <c r="E1905" s="36"/>
      <c r="F1905" s="36"/>
      <c r="G1905" s="36"/>
      <c r="H1905" s="36"/>
      <c r="I1905" s="36"/>
      <c r="J1905" s="36"/>
      <c r="K1905" s="36"/>
      <c r="L1905" s="36"/>
      <c r="M1905" s="36"/>
      <c r="N1905" s="36"/>
      <c r="O1905" s="36"/>
      <c r="P1905" s="36"/>
      <c r="Q1905" s="36"/>
      <c r="R1905" s="36"/>
      <c r="S1905" s="39"/>
    </row>
    <row r="1906">
      <c r="B1906" s="36"/>
      <c r="C1906" s="36"/>
      <c r="D1906" s="36"/>
      <c r="E1906" s="36"/>
      <c r="F1906" s="36"/>
      <c r="G1906" s="36"/>
      <c r="H1906" s="36"/>
      <c r="I1906" s="36"/>
      <c r="J1906" s="36"/>
      <c r="K1906" s="36"/>
      <c r="L1906" s="36"/>
      <c r="M1906" s="36"/>
      <c r="N1906" s="36"/>
      <c r="O1906" s="36"/>
      <c r="P1906" s="36"/>
      <c r="Q1906" s="36"/>
      <c r="R1906" s="36"/>
      <c r="S1906" s="39"/>
    </row>
    <row r="1907">
      <c r="B1907" s="36"/>
      <c r="C1907" s="36"/>
      <c r="D1907" s="36"/>
      <c r="E1907" s="36"/>
      <c r="F1907" s="36"/>
      <c r="G1907" s="36"/>
      <c r="H1907" s="36"/>
      <c r="I1907" s="36"/>
      <c r="J1907" s="36"/>
      <c r="K1907" s="36"/>
      <c r="L1907" s="36"/>
      <c r="M1907" s="36"/>
      <c r="N1907" s="36"/>
      <c r="O1907" s="36"/>
      <c r="P1907" s="36"/>
      <c r="Q1907" s="36"/>
      <c r="R1907" s="36"/>
      <c r="S1907" s="39"/>
    </row>
    <row r="1908">
      <c r="B1908" s="36"/>
      <c r="C1908" s="36"/>
      <c r="D1908" s="36"/>
      <c r="E1908" s="36"/>
      <c r="F1908" s="36"/>
      <c r="G1908" s="36"/>
      <c r="H1908" s="36"/>
      <c r="I1908" s="36"/>
      <c r="J1908" s="36"/>
      <c r="K1908" s="36"/>
      <c r="L1908" s="36"/>
      <c r="M1908" s="36"/>
      <c r="N1908" s="36"/>
      <c r="O1908" s="36"/>
      <c r="P1908" s="36"/>
      <c r="Q1908" s="36"/>
      <c r="R1908" s="36"/>
      <c r="S1908" s="39"/>
    </row>
    <row r="1909">
      <c r="B1909" s="36"/>
      <c r="C1909" s="36"/>
      <c r="D1909" s="36"/>
      <c r="E1909" s="36"/>
      <c r="F1909" s="36"/>
      <c r="G1909" s="36"/>
      <c r="H1909" s="36"/>
      <c r="I1909" s="36"/>
      <c r="J1909" s="36"/>
      <c r="K1909" s="36"/>
      <c r="L1909" s="36"/>
      <c r="M1909" s="36"/>
      <c r="N1909" s="36"/>
      <c r="O1909" s="36"/>
      <c r="P1909" s="36"/>
      <c r="Q1909" s="36"/>
      <c r="R1909" s="36"/>
      <c r="S1909" s="39"/>
    </row>
    <row r="1910">
      <c r="B1910" s="36"/>
      <c r="C1910" s="36"/>
      <c r="D1910" s="36"/>
      <c r="E1910" s="36"/>
      <c r="F1910" s="36"/>
      <c r="G1910" s="36"/>
      <c r="H1910" s="36"/>
      <c r="I1910" s="36"/>
      <c r="J1910" s="36"/>
      <c r="K1910" s="36"/>
      <c r="L1910" s="36"/>
      <c r="M1910" s="36"/>
      <c r="N1910" s="36"/>
      <c r="O1910" s="36"/>
      <c r="P1910" s="36"/>
      <c r="Q1910" s="36"/>
      <c r="R1910" s="36"/>
      <c r="S1910" s="39"/>
    </row>
    <row r="1911">
      <c r="B1911" s="36"/>
      <c r="C1911" s="36"/>
      <c r="D1911" s="36"/>
      <c r="E1911" s="36"/>
      <c r="F1911" s="36"/>
      <c r="G1911" s="36"/>
      <c r="H1911" s="36"/>
      <c r="I1911" s="36"/>
      <c r="J1911" s="36"/>
      <c r="K1911" s="36"/>
      <c r="L1911" s="36"/>
      <c r="M1911" s="36"/>
      <c r="N1911" s="36"/>
      <c r="O1911" s="36"/>
      <c r="P1911" s="36"/>
      <c r="Q1911" s="36"/>
      <c r="R1911" s="36"/>
      <c r="S1911" s="39"/>
    </row>
    <row r="1912">
      <c r="B1912" s="36"/>
      <c r="C1912" s="36"/>
      <c r="D1912" s="36"/>
      <c r="E1912" s="36"/>
      <c r="F1912" s="36"/>
      <c r="G1912" s="36"/>
      <c r="H1912" s="36"/>
      <c r="I1912" s="36"/>
      <c r="J1912" s="36"/>
      <c r="K1912" s="36"/>
      <c r="L1912" s="36"/>
      <c r="M1912" s="36"/>
      <c r="N1912" s="36"/>
      <c r="O1912" s="36"/>
      <c r="P1912" s="36"/>
      <c r="Q1912" s="36"/>
      <c r="R1912" s="36"/>
      <c r="S1912" s="39"/>
    </row>
    <row r="1913">
      <c r="B1913" s="36"/>
      <c r="C1913" s="36"/>
      <c r="D1913" s="36"/>
      <c r="E1913" s="36"/>
      <c r="F1913" s="36"/>
      <c r="G1913" s="36"/>
      <c r="H1913" s="36"/>
      <c r="I1913" s="36"/>
      <c r="J1913" s="36"/>
      <c r="K1913" s="36"/>
      <c r="L1913" s="36"/>
      <c r="M1913" s="36"/>
      <c r="N1913" s="36"/>
      <c r="O1913" s="36"/>
      <c r="P1913" s="36"/>
      <c r="Q1913" s="36"/>
      <c r="R1913" s="36"/>
      <c r="S1913" s="39"/>
    </row>
    <row r="1914">
      <c r="B1914" s="36"/>
      <c r="C1914" s="36"/>
      <c r="D1914" s="36"/>
      <c r="E1914" s="36"/>
      <c r="F1914" s="36"/>
      <c r="G1914" s="36"/>
      <c r="H1914" s="36"/>
      <c r="I1914" s="36"/>
      <c r="J1914" s="36"/>
      <c r="K1914" s="36"/>
      <c r="L1914" s="36"/>
      <c r="M1914" s="36"/>
      <c r="N1914" s="36"/>
      <c r="O1914" s="36"/>
      <c r="P1914" s="36"/>
      <c r="Q1914" s="36"/>
      <c r="R1914" s="36"/>
      <c r="S1914" s="39"/>
    </row>
    <row r="1915">
      <c r="B1915" s="36"/>
      <c r="C1915" s="36"/>
      <c r="D1915" s="36"/>
      <c r="E1915" s="36"/>
      <c r="F1915" s="36"/>
      <c r="G1915" s="36"/>
      <c r="H1915" s="36"/>
      <c r="I1915" s="36"/>
      <c r="J1915" s="36"/>
      <c r="K1915" s="36"/>
      <c r="L1915" s="36"/>
      <c r="M1915" s="36"/>
      <c r="N1915" s="36"/>
      <c r="O1915" s="36"/>
      <c r="P1915" s="36"/>
      <c r="Q1915" s="36"/>
      <c r="R1915" s="36"/>
      <c r="S1915" s="39"/>
    </row>
    <row r="1916">
      <c r="B1916" s="36"/>
      <c r="C1916" s="36"/>
      <c r="D1916" s="36"/>
      <c r="E1916" s="36"/>
      <c r="F1916" s="36"/>
      <c r="G1916" s="36"/>
      <c r="H1916" s="36"/>
      <c r="I1916" s="36"/>
      <c r="J1916" s="36"/>
      <c r="K1916" s="36"/>
      <c r="L1916" s="36"/>
      <c r="M1916" s="36"/>
      <c r="N1916" s="36"/>
      <c r="O1916" s="36"/>
      <c r="P1916" s="36"/>
      <c r="Q1916" s="36"/>
      <c r="R1916" s="36"/>
      <c r="S1916" s="39"/>
    </row>
    <row r="1917">
      <c r="B1917" s="36"/>
      <c r="C1917" s="36"/>
      <c r="D1917" s="36"/>
      <c r="E1917" s="36"/>
      <c r="F1917" s="36"/>
      <c r="G1917" s="36"/>
      <c r="H1917" s="36"/>
      <c r="I1917" s="36"/>
      <c r="J1917" s="36"/>
      <c r="K1917" s="36"/>
      <c r="L1917" s="36"/>
      <c r="M1917" s="36"/>
      <c r="N1917" s="36"/>
      <c r="O1917" s="36"/>
      <c r="P1917" s="36"/>
      <c r="Q1917" s="36"/>
      <c r="R1917" s="36"/>
      <c r="S1917" s="39"/>
    </row>
    <row r="1918">
      <c r="B1918" s="36"/>
      <c r="C1918" s="36"/>
      <c r="D1918" s="36"/>
      <c r="E1918" s="36"/>
      <c r="F1918" s="36"/>
      <c r="G1918" s="36"/>
      <c r="H1918" s="36"/>
      <c r="I1918" s="36"/>
      <c r="J1918" s="36"/>
      <c r="K1918" s="36"/>
      <c r="L1918" s="36"/>
      <c r="M1918" s="36"/>
      <c r="N1918" s="36"/>
      <c r="O1918" s="36"/>
      <c r="P1918" s="36"/>
      <c r="Q1918" s="36"/>
      <c r="R1918" s="36"/>
      <c r="S1918" s="39"/>
    </row>
    <row r="1919">
      <c r="B1919" s="36"/>
      <c r="C1919" s="36"/>
      <c r="D1919" s="36"/>
      <c r="E1919" s="36"/>
      <c r="F1919" s="36"/>
      <c r="G1919" s="36"/>
      <c r="H1919" s="36"/>
      <c r="I1919" s="36"/>
      <c r="J1919" s="36"/>
      <c r="K1919" s="36"/>
      <c r="L1919" s="36"/>
      <c r="M1919" s="36"/>
      <c r="N1919" s="36"/>
      <c r="O1919" s="36"/>
      <c r="P1919" s="36"/>
      <c r="Q1919" s="36"/>
      <c r="R1919" s="36"/>
      <c r="S1919" s="39"/>
    </row>
    <row r="1920">
      <c r="B1920" s="36"/>
      <c r="C1920" s="36"/>
      <c r="D1920" s="36"/>
      <c r="E1920" s="36"/>
      <c r="F1920" s="36"/>
      <c r="G1920" s="36"/>
      <c r="H1920" s="36"/>
      <c r="I1920" s="36"/>
      <c r="J1920" s="36"/>
      <c r="K1920" s="36"/>
      <c r="L1920" s="36"/>
      <c r="M1920" s="36"/>
      <c r="N1920" s="36"/>
      <c r="O1920" s="36"/>
      <c r="P1920" s="36"/>
      <c r="Q1920" s="36"/>
      <c r="R1920" s="36"/>
      <c r="S1920" s="39"/>
    </row>
    <row r="1921">
      <c r="B1921" s="36"/>
      <c r="C1921" s="36"/>
      <c r="D1921" s="36"/>
      <c r="E1921" s="36"/>
      <c r="F1921" s="36"/>
      <c r="G1921" s="36"/>
      <c r="H1921" s="36"/>
      <c r="I1921" s="36"/>
      <c r="J1921" s="36"/>
      <c r="K1921" s="36"/>
      <c r="L1921" s="36"/>
      <c r="M1921" s="36"/>
      <c r="N1921" s="36"/>
      <c r="O1921" s="36"/>
      <c r="P1921" s="36"/>
      <c r="Q1921" s="36"/>
      <c r="R1921" s="36"/>
      <c r="S1921" s="39"/>
    </row>
    <row r="1922">
      <c r="B1922" s="36"/>
      <c r="C1922" s="36"/>
      <c r="D1922" s="36"/>
      <c r="E1922" s="36"/>
      <c r="F1922" s="36"/>
      <c r="G1922" s="36"/>
      <c r="H1922" s="36"/>
      <c r="I1922" s="36"/>
      <c r="J1922" s="36"/>
      <c r="K1922" s="36"/>
      <c r="L1922" s="36"/>
      <c r="M1922" s="36"/>
      <c r="N1922" s="36"/>
      <c r="O1922" s="36"/>
      <c r="P1922" s="36"/>
      <c r="Q1922" s="36"/>
      <c r="R1922" s="36"/>
      <c r="S1922" s="39"/>
    </row>
    <row r="1923">
      <c r="B1923" s="36"/>
      <c r="C1923" s="36"/>
      <c r="D1923" s="36"/>
      <c r="E1923" s="36"/>
      <c r="F1923" s="36"/>
      <c r="G1923" s="36"/>
      <c r="H1923" s="36"/>
      <c r="I1923" s="36"/>
      <c r="J1923" s="36"/>
      <c r="K1923" s="36"/>
      <c r="L1923" s="36"/>
      <c r="M1923" s="36"/>
      <c r="N1923" s="36"/>
      <c r="O1923" s="36"/>
      <c r="P1923" s="36"/>
      <c r="Q1923" s="36"/>
      <c r="R1923" s="36"/>
      <c r="S1923" s="39"/>
    </row>
    <row r="1924">
      <c r="B1924" s="36"/>
      <c r="C1924" s="36"/>
      <c r="D1924" s="36"/>
      <c r="E1924" s="36"/>
      <c r="F1924" s="36"/>
      <c r="G1924" s="36"/>
      <c r="H1924" s="36"/>
      <c r="I1924" s="36"/>
      <c r="J1924" s="36"/>
      <c r="K1924" s="36"/>
      <c r="L1924" s="36"/>
      <c r="M1924" s="36"/>
      <c r="N1924" s="36"/>
      <c r="O1924" s="36"/>
      <c r="P1924" s="36"/>
      <c r="Q1924" s="36"/>
      <c r="R1924" s="36"/>
      <c r="S1924" s="39"/>
    </row>
    <row r="1925">
      <c r="B1925" s="36"/>
      <c r="C1925" s="36"/>
      <c r="D1925" s="36"/>
      <c r="E1925" s="36"/>
      <c r="F1925" s="36"/>
      <c r="G1925" s="36"/>
      <c r="H1925" s="36"/>
      <c r="I1925" s="36"/>
      <c r="J1925" s="36"/>
      <c r="K1925" s="36"/>
      <c r="L1925" s="36"/>
      <c r="M1925" s="36"/>
      <c r="N1925" s="36"/>
      <c r="O1925" s="36"/>
      <c r="P1925" s="36"/>
      <c r="Q1925" s="36"/>
      <c r="R1925" s="36"/>
      <c r="S1925" s="39"/>
    </row>
    <row r="1926">
      <c r="B1926" s="36"/>
      <c r="C1926" s="36"/>
      <c r="D1926" s="36"/>
      <c r="E1926" s="36"/>
      <c r="F1926" s="36"/>
      <c r="G1926" s="36"/>
      <c r="H1926" s="36"/>
      <c r="I1926" s="36"/>
      <c r="J1926" s="36"/>
      <c r="K1926" s="36"/>
      <c r="L1926" s="36"/>
      <c r="M1926" s="36"/>
      <c r="N1926" s="36"/>
      <c r="O1926" s="36"/>
      <c r="P1926" s="36"/>
      <c r="Q1926" s="36"/>
      <c r="R1926" s="36"/>
      <c r="S1926" s="39"/>
    </row>
    <row r="1927">
      <c r="B1927" s="36"/>
      <c r="C1927" s="36"/>
      <c r="D1927" s="36"/>
      <c r="E1927" s="36"/>
      <c r="F1927" s="36"/>
      <c r="G1927" s="36"/>
      <c r="H1927" s="36"/>
      <c r="I1927" s="36"/>
      <c r="J1927" s="36"/>
      <c r="K1927" s="36"/>
      <c r="L1927" s="36"/>
      <c r="M1927" s="36"/>
      <c r="N1927" s="36"/>
      <c r="O1927" s="36"/>
      <c r="P1927" s="36"/>
      <c r="Q1927" s="36"/>
      <c r="R1927" s="36"/>
      <c r="S1927" s="39"/>
    </row>
    <row r="1928">
      <c r="B1928" s="36"/>
      <c r="C1928" s="36"/>
      <c r="D1928" s="36"/>
      <c r="E1928" s="36"/>
      <c r="F1928" s="36"/>
      <c r="G1928" s="36"/>
      <c r="H1928" s="36"/>
      <c r="I1928" s="36"/>
      <c r="J1928" s="36"/>
      <c r="K1928" s="36"/>
      <c r="L1928" s="36"/>
      <c r="M1928" s="36"/>
      <c r="N1928" s="36"/>
      <c r="O1928" s="36"/>
      <c r="P1928" s="36"/>
      <c r="Q1928" s="36"/>
      <c r="R1928" s="36"/>
      <c r="S1928" s="39"/>
    </row>
    <row r="1929">
      <c r="B1929" s="36"/>
      <c r="C1929" s="36"/>
      <c r="D1929" s="36"/>
      <c r="E1929" s="36"/>
      <c r="F1929" s="36"/>
      <c r="G1929" s="36"/>
      <c r="H1929" s="36"/>
      <c r="I1929" s="36"/>
      <c r="J1929" s="36"/>
      <c r="K1929" s="36"/>
      <c r="L1929" s="36"/>
      <c r="M1929" s="36"/>
      <c r="N1929" s="36"/>
      <c r="O1929" s="36"/>
      <c r="P1929" s="36"/>
      <c r="Q1929" s="36"/>
      <c r="R1929" s="36"/>
      <c r="S1929" s="39"/>
    </row>
    <row r="1930">
      <c r="B1930" s="36"/>
      <c r="C1930" s="36"/>
      <c r="D1930" s="36"/>
      <c r="E1930" s="36"/>
      <c r="F1930" s="36"/>
      <c r="G1930" s="36"/>
      <c r="H1930" s="36"/>
      <c r="I1930" s="36"/>
      <c r="J1930" s="36"/>
      <c r="K1930" s="36"/>
      <c r="L1930" s="36"/>
      <c r="M1930" s="36"/>
      <c r="N1930" s="36"/>
      <c r="O1930" s="36"/>
      <c r="P1930" s="36"/>
      <c r="Q1930" s="36"/>
      <c r="R1930" s="36"/>
      <c r="S1930" s="39"/>
    </row>
    <row r="1931">
      <c r="B1931" s="36"/>
      <c r="C1931" s="36"/>
      <c r="D1931" s="36"/>
      <c r="E1931" s="36"/>
      <c r="F1931" s="36"/>
      <c r="G1931" s="36"/>
      <c r="H1931" s="36"/>
      <c r="I1931" s="36"/>
      <c r="J1931" s="36"/>
      <c r="K1931" s="36"/>
      <c r="L1931" s="36"/>
      <c r="M1931" s="36"/>
      <c r="N1931" s="36"/>
      <c r="O1931" s="36"/>
      <c r="P1931" s="36"/>
      <c r="Q1931" s="36"/>
      <c r="R1931" s="36"/>
      <c r="S1931" s="39"/>
    </row>
    <row r="1932">
      <c r="B1932" s="36"/>
      <c r="C1932" s="36"/>
      <c r="D1932" s="36"/>
      <c r="E1932" s="36"/>
      <c r="F1932" s="36"/>
      <c r="G1932" s="36"/>
      <c r="H1932" s="36"/>
      <c r="I1932" s="36"/>
      <c r="J1932" s="36"/>
      <c r="K1932" s="36"/>
      <c r="L1932" s="36"/>
      <c r="M1932" s="36"/>
      <c r="N1932" s="36"/>
      <c r="O1932" s="36"/>
      <c r="P1932" s="36"/>
      <c r="Q1932" s="36"/>
      <c r="R1932" s="36"/>
      <c r="S1932" s="39"/>
    </row>
    <row r="1933">
      <c r="B1933" s="36"/>
      <c r="C1933" s="36"/>
      <c r="D1933" s="36"/>
      <c r="E1933" s="36"/>
      <c r="F1933" s="36"/>
      <c r="G1933" s="36"/>
      <c r="H1933" s="36"/>
      <c r="I1933" s="36"/>
      <c r="J1933" s="36"/>
      <c r="K1933" s="36"/>
      <c r="L1933" s="36"/>
      <c r="M1933" s="36"/>
      <c r="N1933" s="36"/>
      <c r="O1933" s="36"/>
      <c r="P1933" s="36"/>
      <c r="Q1933" s="36"/>
      <c r="R1933" s="36"/>
      <c r="S1933" s="39"/>
    </row>
    <row r="1934">
      <c r="B1934" s="36"/>
      <c r="C1934" s="36"/>
      <c r="D1934" s="36"/>
      <c r="E1934" s="36"/>
      <c r="F1934" s="36"/>
      <c r="G1934" s="36"/>
      <c r="H1934" s="36"/>
      <c r="I1934" s="36"/>
      <c r="J1934" s="36"/>
      <c r="K1934" s="36"/>
      <c r="L1934" s="36"/>
      <c r="M1934" s="36"/>
      <c r="N1934" s="36"/>
      <c r="O1934" s="36"/>
      <c r="P1934" s="36"/>
      <c r="Q1934" s="36"/>
      <c r="R1934" s="36"/>
      <c r="S1934" s="39"/>
    </row>
    <row r="1935">
      <c r="B1935" s="36"/>
      <c r="C1935" s="36"/>
      <c r="D1935" s="36"/>
      <c r="E1935" s="36"/>
      <c r="F1935" s="36"/>
      <c r="G1935" s="36"/>
      <c r="H1935" s="36"/>
      <c r="I1935" s="36"/>
      <c r="J1935" s="36"/>
      <c r="K1935" s="36"/>
      <c r="L1935" s="36"/>
      <c r="M1935" s="36"/>
      <c r="N1935" s="36"/>
      <c r="O1935" s="36"/>
      <c r="P1935" s="36"/>
      <c r="Q1935" s="36"/>
      <c r="R1935" s="36"/>
      <c r="S1935" s="39"/>
    </row>
    <row r="1936">
      <c r="B1936" s="36"/>
      <c r="C1936" s="36"/>
      <c r="D1936" s="36"/>
      <c r="E1936" s="36"/>
      <c r="F1936" s="36"/>
      <c r="G1936" s="36"/>
      <c r="H1936" s="36"/>
      <c r="I1936" s="36"/>
      <c r="J1936" s="36"/>
      <c r="K1936" s="36"/>
      <c r="L1936" s="36"/>
      <c r="M1936" s="36"/>
      <c r="N1936" s="36"/>
      <c r="O1936" s="36"/>
      <c r="P1936" s="36"/>
      <c r="Q1936" s="36"/>
      <c r="R1936" s="36"/>
      <c r="S1936" s="39"/>
    </row>
    <row r="1937">
      <c r="B1937" s="36"/>
      <c r="C1937" s="36"/>
      <c r="D1937" s="36"/>
      <c r="E1937" s="36"/>
      <c r="F1937" s="36"/>
      <c r="G1937" s="36"/>
      <c r="H1937" s="36"/>
      <c r="I1937" s="36"/>
      <c r="J1937" s="36"/>
      <c r="K1937" s="36"/>
      <c r="L1937" s="36"/>
      <c r="M1937" s="36"/>
      <c r="N1937" s="36"/>
      <c r="O1937" s="36"/>
      <c r="P1937" s="36"/>
      <c r="Q1937" s="36"/>
      <c r="R1937" s="36"/>
      <c r="S1937" s="39"/>
    </row>
    <row r="1938">
      <c r="B1938" s="36"/>
      <c r="C1938" s="36"/>
      <c r="D1938" s="36"/>
      <c r="E1938" s="36"/>
      <c r="F1938" s="36"/>
      <c r="G1938" s="36"/>
      <c r="H1938" s="36"/>
      <c r="I1938" s="36"/>
      <c r="J1938" s="36"/>
      <c r="K1938" s="36"/>
      <c r="L1938" s="36"/>
      <c r="M1938" s="36"/>
      <c r="N1938" s="36"/>
      <c r="O1938" s="36"/>
      <c r="P1938" s="36"/>
      <c r="Q1938" s="36"/>
      <c r="R1938" s="36"/>
      <c r="S1938" s="39"/>
    </row>
    <row r="1939">
      <c r="B1939" s="36"/>
      <c r="C1939" s="36"/>
      <c r="D1939" s="36"/>
      <c r="E1939" s="36"/>
      <c r="F1939" s="36"/>
      <c r="G1939" s="36"/>
      <c r="H1939" s="36"/>
      <c r="I1939" s="36"/>
      <c r="J1939" s="36"/>
      <c r="K1939" s="36"/>
      <c r="L1939" s="36"/>
      <c r="M1939" s="36"/>
      <c r="N1939" s="36"/>
      <c r="O1939" s="36"/>
      <c r="P1939" s="36"/>
      <c r="Q1939" s="36"/>
      <c r="R1939" s="36"/>
      <c r="S1939" s="39"/>
    </row>
    <row r="1940">
      <c r="B1940" s="36"/>
      <c r="C1940" s="36"/>
      <c r="D1940" s="36"/>
      <c r="E1940" s="36"/>
      <c r="F1940" s="36"/>
      <c r="G1940" s="36"/>
      <c r="H1940" s="36"/>
      <c r="I1940" s="36"/>
      <c r="J1940" s="36"/>
      <c r="K1940" s="36"/>
      <c r="L1940" s="36"/>
      <c r="M1940" s="36"/>
      <c r="N1940" s="36"/>
      <c r="O1940" s="36"/>
      <c r="P1940" s="36"/>
      <c r="Q1940" s="36"/>
      <c r="R1940" s="36"/>
      <c r="S1940" s="39"/>
    </row>
    <row r="1941">
      <c r="B1941" s="36"/>
      <c r="C1941" s="36"/>
      <c r="D1941" s="36"/>
      <c r="E1941" s="36"/>
      <c r="F1941" s="36"/>
      <c r="G1941" s="36"/>
      <c r="H1941" s="36"/>
      <c r="I1941" s="36"/>
      <c r="J1941" s="36"/>
      <c r="K1941" s="36"/>
      <c r="L1941" s="36"/>
      <c r="M1941" s="36"/>
      <c r="N1941" s="36"/>
      <c r="O1941" s="36"/>
      <c r="P1941" s="36"/>
      <c r="Q1941" s="36"/>
      <c r="R1941" s="36"/>
      <c r="S1941" s="39"/>
    </row>
    <row r="1942">
      <c r="B1942" s="36"/>
      <c r="C1942" s="36"/>
      <c r="D1942" s="36"/>
      <c r="E1942" s="36"/>
      <c r="F1942" s="36"/>
      <c r="G1942" s="36"/>
      <c r="H1942" s="36"/>
      <c r="I1942" s="36"/>
      <c r="J1942" s="36"/>
      <c r="K1942" s="36"/>
      <c r="L1942" s="36"/>
      <c r="M1942" s="36"/>
      <c r="N1942" s="36"/>
      <c r="O1942" s="36"/>
      <c r="P1942" s="36"/>
      <c r="Q1942" s="36"/>
      <c r="R1942" s="36"/>
      <c r="S1942" s="39"/>
    </row>
    <row r="1943">
      <c r="B1943" s="36"/>
      <c r="C1943" s="36"/>
      <c r="D1943" s="36"/>
      <c r="E1943" s="36"/>
      <c r="F1943" s="36"/>
      <c r="G1943" s="36"/>
      <c r="H1943" s="36"/>
      <c r="I1943" s="36"/>
      <c r="J1943" s="36"/>
      <c r="K1943" s="36"/>
      <c r="L1943" s="36"/>
      <c r="M1943" s="36"/>
      <c r="N1943" s="36"/>
      <c r="O1943" s="36"/>
      <c r="P1943" s="36"/>
      <c r="Q1943" s="36"/>
      <c r="R1943" s="36"/>
      <c r="S1943" s="39"/>
    </row>
    <row r="1944">
      <c r="B1944" s="36"/>
      <c r="C1944" s="36"/>
      <c r="D1944" s="36"/>
      <c r="E1944" s="36"/>
      <c r="F1944" s="36"/>
      <c r="G1944" s="36"/>
      <c r="H1944" s="36"/>
      <c r="I1944" s="36"/>
      <c r="J1944" s="36"/>
      <c r="K1944" s="36"/>
      <c r="L1944" s="36"/>
      <c r="M1944" s="36"/>
      <c r="N1944" s="36"/>
      <c r="O1944" s="36"/>
      <c r="P1944" s="36"/>
      <c r="Q1944" s="36"/>
      <c r="R1944" s="36"/>
      <c r="S1944" s="39"/>
    </row>
    <row r="1945">
      <c r="B1945" s="36"/>
      <c r="C1945" s="36"/>
      <c r="D1945" s="36"/>
      <c r="E1945" s="36"/>
      <c r="F1945" s="36"/>
      <c r="G1945" s="36"/>
      <c r="H1945" s="36"/>
      <c r="I1945" s="36"/>
      <c r="J1945" s="36"/>
      <c r="K1945" s="36"/>
      <c r="L1945" s="36"/>
      <c r="M1945" s="36"/>
      <c r="N1945" s="36"/>
      <c r="O1945" s="36"/>
      <c r="P1945" s="36"/>
      <c r="Q1945" s="36"/>
      <c r="R1945" s="36"/>
      <c r="S1945" s="39"/>
    </row>
    <row r="1946">
      <c r="B1946" s="36"/>
      <c r="C1946" s="36"/>
      <c r="D1946" s="36"/>
      <c r="E1946" s="36"/>
      <c r="F1946" s="36"/>
      <c r="G1946" s="36"/>
      <c r="H1946" s="36"/>
      <c r="I1946" s="36"/>
      <c r="J1946" s="36"/>
      <c r="K1946" s="36"/>
      <c r="L1946" s="36"/>
      <c r="M1946" s="36"/>
      <c r="N1946" s="36"/>
      <c r="O1946" s="36"/>
      <c r="P1946" s="36"/>
      <c r="Q1946" s="36"/>
      <c r="R1946" s="36"/>
      <c r="S1946" s="39"/>
    </row>
    <row r="1947">
      <c r="B1947" s="36"/>
      <c r="C1947" s="36"/>
      <c r="D1947" s="36"/>
      <c r="E1947" s="36"/>
      <c r="F1947" s="36"/>
      <c r="G1947" s="36"/>
      <c r="H1947" s="36"/>
      <c r="I1947" s="36"/>
      <c r="J1947" s="36"/>
      <c r="K1947" s="36"/>
      <c r="L1947" s="36"/>
      <c r="M1947" s="36"/>
      <c r="N1947" s="36"/>
      <c r="O1947" s="36"/>
      <c r="P1947" s="36"/>
      <c r="Q1947" s="36"/>
      <c r="R1947" s="36"/>
      <c r="S1947" s="39"/>
    </row>
    <row r="1948">
      <c r="B1948" s="36"/>
      <c r="C1948" s="36"/>
      <c r="D1948" s="36"/>
      <c r="E1948" s="36"/>
      <c r="F1948" s="36"/>
      <c r="G1948" s="36"/>
      <c r="H1948" s="36"/>
      <c r="I1948" s="36"/>
      <c r="J1948" s="36"/>
      <c r="K1948" s="36"/>
      <c r="L1948" s="36"/>
      <c r="M1948" s="36"/>
      <c r="N1948" s="36"/>
      <c r="O1948" s="36"/>
      <c r="P1948" s="36"/>
      <c r="Q1948" s="36"/>
      <c r="R1948" s="36"/>
      <c r="S1948" s="39"/>
    </row>
    <row r="1949">
      <c r="B1949" s="36"/>
      <c r="C1949" s="36"/>
      <c r="D1949" s="36"/>
      <c r="E1949" s="36"/>
      <c r="F1949" s="36"/>
      <c r="G1949" s="36"/>
      <c r="H1949" s="36"/>
      <c r="I1949" s="36"/>
      <c r="J1949" s="36"/>
      <c r="K1949" s="36"/>
      <c r="L1949" s="36"/>
      <c r="M1949" s="36"/>
      <c r="N1949" s="36"/>
      <c r="O1949" s="36"/>
      <c r="P1949" s="36"/>
      <c r="Q1949" s="36"/>
      <c r="R1949" s="36"/>
      <c r="S1949" s="39"/>
    </row>
    <row r="1950">
      <c r="B1950" s="36"/>
      <c r="C1950" s="36"/>
      <c r="D1950" s="36"/>
      <c r="E1950" s="36"/>
      <c r="F1950" s="36"/>
      <c r="G1950" s="36"/>
      <c r="H1950" s="36"/>
      <c r="I1950" s="36"/>
      <c r="J1950" s="36"/>
      <c r="K1950" s="36"/>
      <c r="L1950" s="36"/>
      <c r="M1950" s="36"/>
      <c r="N1950" s="36"/>
      <c r="O1950" s="36"/>
      <c r="P1950" s="36"/>
      <c r="Q1950" s="36"/>
      <c r="R1950" s="36"/>
      <c r="S1950" s="39"/>
    </row>
    <row r="1951">
      <c r="B1951" s="36"/>
      <c r="C1951" s="36"/>
      <c r="D1951" s="36"/>
      <c r="E1951" s="36"/>
      <c r="F1951" s="36"/>
      <c r="G1951" s="36"/>
      <c r="H1951" s="36"/>
      <c r="I1951" s="36"/>
      <c r="J1951" s="36"/>
      <c r="K1951" s="36"/>
      <c r="L1951" s="36"/>
      <c r="M1951" s="36"/>
      <c r="N1951" s="36"/>
      <c r="O1951" s="36"/>
      <c r="P1951" s="36"/>
      <c r="Q1951" s="36"/>
      <c r="R1951" s="36"/>
      <c r="S1951" s="39"/>
    </row>
    <row r="1952">
      <c r="B1952" s="36"/>
      <c r="C1952" s="36"/>
      <c r="D1952" s="36"/>
      <c r="E1952" s="36"/>
      <c r="F1952" s="36"/>
      <c r="G1952" s="36"/>
      <c r="H1952" s="36"/>
      <c r="I1952" s="36"/>
      <c r="J1952" s="36"/>
      <c r="K1952" s="36"/>
      <c r="L1952" s="36"/>
      <c r="M1952" s="36"/>
      <c r="N1952" s="36"/>
      <c r="O1952" s="36"/>
      <c r="P1952" s="36"/>
      <c r="Q1952" s="36"/>
      <c r="R1952" s="36"/>
      <c r="S1952" s="39"/>
    </row>
    <row r="1953">
      <c r="B1953" s="36"/>
      <c r="C1953" s="36"/>
      <c r="D1953" s="36"/>
      <c r="E1953" s="36"/>
      <c r="F1953" s="36"/>
      <c r="G1953" s="36"/>
      <c r="H1953" s="36"/>
      <c r="I1953" s="36"/>
      <c r="J1953" s="36"/>
      <c r="K1953" s="36"/>
      <c r="L1953" s="36"/>
      <c r="M1953" s="36"/>
      <c r="N1953" s="36"/>
      <c r="O1953" s="36"/>
      <c r="P1953" s="36"/>
      <c r="Q1953" s="36"/>
      <c r="R1953" s="36"/>
      <c r="S1953" s="39"/>
    </row>
    <row r="1954">
      <c r="B1954" s="36"/>
      <c r="C1954" s="36"/>
      <c r="D1954" s="36"/>
      <c r="E1954" s="36"/>
      <c r="F1954" s="36"/>
      <c r="G1954" s="36"/>
      <c r="H1954" s="36"/>
      <c r="I1954" s="36"/>
      <c r="J1954" s="36"/>
      <c r="K1954" s="36"/>
      <c r="L1954" s="36"/>
      <c r="M1954" s="36"/>
      <c r="N1954" s="36"/>
      <c r="O1954" s="36"/>
      <c r="P1954" s="36"/>
      <c r="Q1954" s="36"/>
      <c r="R1954" s="36"/>
      <c r="S1954" s="39"/>
    </row>
    <row r="1955">
      <c r="B1955" s="36"/>
      <c r="C1955" s="36"/>
      <c r="D1955" s="36"/>
      <c r="E1955" s="36"/>
      <c r="F1955" s="36"/>
      <c r="G1955" s="36"/>
      <c r="H1955" s="36"/>
      <c r="I1955" s="36"/>
      <c r="J1955" s="36"/>
      <c r="K1955" s="36"/>
      <c r="L1955" s="36"/>
      <c r="M1955" s="36"/>
      <c r="N1955" s="36"/>
      <c r="O1955" s="36"/>
      <c r="P1955" s="36"/>
      <c r="Q1955" s="36"/>
      <c r="R1955" s="36"/>
      <c r="S1955" s="39"/>
    </row>
    <row r="1956">
      <c r="B1956" s="36"/>
      <c r="C1956" s="36"/>
      <c r="D1956" s="36"/>
      <c r="E1956" s="36"/>
      <c r="F1956" s="36"/>
      <c r="G1956" s="36"/>
      <c r="H1956" s="36"/>
      <c r="I1956" s="36"/>
      <c r="J1956" s="36"/>
      <c r="K1956" s="36"/>
      <c r="L1956" s="36"/>
      <c r="M1956" s="36"/>
      <c r="N1956" s="36"/>
      <c r="O1956" s="36"/>
      <c r="P1956" s="36"/>
      <c r="Q1956" s="36"/>
      <c r="R1956" s="36"/>
      <c r="S1956" s="39"/>
    </row>
    <row r="1957">
      <c r="B1957" s="36"/>
      <c r="C1957" s="36"/>
      <c r="D1957" s="36"/>
      <c r="E1957" s="36"/>
      <c r="F1957" s="36"/>
      <c r="G1957" s="36"/>
      <c r="H1957" s="36"/>
      <c r="I1957" s="36"/>
      <c r="J1957" s="36"/>
      <c r="K1957" s="36"/>
      <c r="L1957" s="36"/>
      <c r="M1957" s="36"/>
      <c r="N1957" s="36"/>
      <c r="O1957" s="36"/>
      <c r="P1957" s="36"/>
      <c r="Q1957" s="36"/>
      <c r="R1957" s="36"/>
      <c r="S1957" s="39"/>
    </row>
    <row r="1958">
      <c r="B1958" s="36"/>
      <c r="C1958" s="36"/>
      <c r="D1958" s="36"/>
      <c r="E1958" s="36"/>
      <c r="F1958" s="36"/>
      <c r="G1958" s="36"/>
      <c r="H1958" s="36"/>
      <c r="I1958" s="36"/>
      <c r="J1958" s="36"/>
      <c r="K1958" s="36"/>
      <c r="L1958" s="36"/>
      <c r="M1958" s="36"/>
      <c r="N1958" s="36"/>
      <c r="O1958" s="36"/>
      <c r="P1958" s="36"/>
      <c r="Q1958" s="36"/>
      <c r="R1958" s="36"/>
      <c r="S1958" s="39"/>
    </row>
    <row r="1959">
      <c r="B1959" s="36"/>
      <c r="C1959" s="36"/>
      <c r="D1959" s="36"/>
      <c r="E1959" s="36"/>
      <c r="F1959" s="36"/>
      <c r="G1959" s="36"/>
      <c r="H1959" s="36"/>
      <c r="I1959" s="36"/>
      <c r="J1959" s="36"/>
      <c r="K1959" s="36"/>
      <c r="L1959" s="36"/>
      <c r="M1959" s="36"/>
      <c r="N1959" s="36"/>
      <c r="O1959" s="36"/>
      <c r="P1959" s="36"/>
      <c r="Q1959" s="36"/>
      <c r="R1959" s="36"/>
      <c r="S1959" s="39"/>
    </row>
    <row r="1960">
      <c r="B1960" s="36"/>
      <c r="C1960" s="36"/>
      <c r="D1960" s="36"/>
      <c r="E1960" s="36"/>
      <c r="F1960" s="36"/>
      <c r="G1960" s="36"/>
      <c r="H1960" s="36"/>
      <c r="I1960" s="36"/>
      <c r="J1960" s="36"/>
      <c r="K1960" s="36"/>
      <c r="L1960" s="36"/>
      <c r="M1960" s="36"/>
      <c r="N1960" s="36"/>
      <c r="O1960" s="36"/>
      <c r="P1960" s="36"/>
      <c r="Q1960" s="36"/>
      <c r="R1960" s="36"/>
      <c r="S1960" s="39"/>
    </row>
    <row r="1961">
      <c r="B1961" s="36"/>
      <c r="C1961" s="36"/>
      <c r="D1961" s="36"/>
      <c r="E1961" s="36"/>
      <c r="F1961" s="36"/>
      <c r="G1961" s="36"/>
      <c r="H1961" s="36"/>
      <c r="I1961" s="36"/>
      <c r="J1961" s="36"/>
      <c r="K1961" s="36"/>
      <c r="L1961" s="36"/>
      <c r="M1961" s="36"/>
      <c r="N1961" s="36"/>
      <c r="O1961" s="36"/>
      <c r="P1961" s="36"/>
      <c r="Q1961" s="36"/>
      <c r="R1961" s="36"/>
      <c r="S1961" s="39"/>
    </row>
    <row r="1962">
      <c r="B1962" s="36"/>
      <c r="C1962" s="36"/>
      <c r="D1962" s="36"/>
      <c r="E1962" s="36"/>
      <c r="F1962" s="36"/>
      <c r="G1962" s="36"/>
      <c r="H1962" s="36"/>
      <c r="I1962" s="36"/>
      <c r="J1962" s="36"/>
      <c r="K1962" s="36"/>
      <c r="L1962" s="36"/>
      <c r="M1962" s="36"/>
      <c r="N1962" s="36"/>
      <c r="O1962" s="36"/>
      <c r="P1962" s="36"/>
      <c r="Q1962" s="36"/>
      <c r="R1962" s="36"/>
      <c r="S1962" s="39"/>
    </row>
    <row r="1963">
      <c r="B1963" s="36"/>
      <c r="C1963" s="36"/>
      <c r="D1963" s="36"/>
      <c r="E1963" s="36"/>
      <c r="F1963" s="36"/>
      <c r="G1963" s="36"/>
      <c r="H1963" s="36"/>
      <c r="I1963" s="36"/>
      <c r="J1963" s="36"/>
      <c r="K1963" s="36"/>
      <c r="L1963" s="36"/>
      <c r="M1963" s="36"/>
      <c r="N1963" s="36"/>
      <c r="O1963" s="36"/>
      <c r="P1963" s="36"/>
      <c r="Q1963" s="36"/>
      <c r="R1963" s="36"/>
      <c r="S1963" s="39"/>
    </row>
    <row r="1964">
      <c r="B1964" s="36"/>
      <c r="C1964" s="36"/>
      <c r="D1964" s="36"/>
      <c r="E1964" s="36"/>
      <c r="F1964" s="36"/>
      <c r="G1964" s="36"/>
      <c r="H1964" s="36"/>
      <c r="I1964" s="36"/>
      <c r="J1964" s="36"/>
      <c r="K1964" s="36"/>
      <c r="L1964" s="36"/>
      <c r="M1964" s="36"/>
      <c r="N1964" s="36"/>
      <c r="O1964" s="36"/>
      <c r="P1964" s="36"/>
      <c r="Q1964" s="36"/>
      <c r="R1964" s="36"/>
      <c r="S1964" s="39"/>
    </row>
    <row r="1965">
      <c r="B1965" s="36"/>
      <c r="C1965" s="36"/>
      <c r="D1965" s="36"/>
      <c r="E1965" s="36"/>
      <c r="F1965" s="36"/>
      <c r="G1965" s="36"/>
      <c r="H1965" s="36"/>
      <c r="I1965" s="36"/>
      <c r="J1965" s="36"/>
      <c r="K1965" s="36"/>
      <c r="L1965" s="36"/>
      <c r="M1965" s="36"/>
      <c r="N1965" s="36"/>
      <c r="O1965" s="36"/>
      <c r="P1965" s="36"/>
      <c r="Q1965" s="36"/>
      <c r="R1965" s="36"/>
      <c r="S1965" s="39"/>
    </row>
    <row r="1966">
      <c r="B1966" s="36"/>
      <c r="C1966" s="36"/>
      <c r="D1966" s="36"/>
      <c r="E1966" s="36"/>
      <c r="F1966" s="36"/>
      <c r="G1966" s="36"/>
      <c r="H1966" s="36"/>
      <c r="I1966" s="36"/>
      <c r="J1966" s="36"/>
      <c r="K1966" s="36"/>
      <c r="L1966" s="36"/>
      <c r="M1966" s="36"/>
      <c r="N1966" s="36"/>
      <c r="O1966" s="36"/>
      <c r="P1966" s="36"/>
      <c r="Q1966" s="36"/>
      <c r="R1966" s="36"/>
      <c r="S1966" s="39"/>
    </row>
    <row r="1967">
      <c r="B1967" s="36"/>
      <c r="C1967" s="36"/>
      <c r="D1967" s="36"/>
      <c r="E1967" s="36"/>
      <c r="F1967" s="36"/>
      <c r="G1967" s="36"/>
      <c r="H1967" s="36"/>
      <c r="I1967" s="36"/>
      <c r="J1967" s="36"/>
      <c r="K1967" s="36"/>
      <c r="L1967" s="36"/>
      <c r="M1967" s="36"/>
      <c r="N1967" s="36"/>
      <c r="O1967" s="36"/>
      <c r="P1967" s="36"/>
      <c r="Q1967" s="36"/>
      <c r="R1967" s="36"/>
      <c r="S1967" s="39"/>
    </row>
    <row r="1968">
      <c r="B1968" s="36"/>
      <c r="C1968" s="36"/>
      <c r="D1968" s="36"/>
      <c r="E1968" s="36"/>
      <c r="F1968" s="36"/>
      <c r="G1968" s="36"/>
      <c r="H1968" s="36"/>
      <c r="I1968" s="36"/>
      <c r="J1968" s="36"/>
      <c r="K1968" s="36"/>
      <c r="L1968" s="36"/>
      <c r="M1968" s="36"/>
      <c r="N1968" s="36"/>
      <c r="O1968" s="36"/>
      <c r="P1968" s="36"/>
      <c r="Q1968" s="36"/>
      <c r="R1968" s="36"/>
      <c r="S1968" s="39"/>
    </row>
    <row r="1969">
      <c r="B1969" s="36"/>
      <c r="C1969" s="36"/>
      <c r="D1969" s="36"/>
      <c r="E1969" s="36"/>
      <c r="F1969" s="36"/>
      <c r="G1969" s="36"/>
      <c r="H1969" s="36"/>
      <c r="I1969" s="36"/>
      <c r="J1969" s="36"/>
      <c r="K1969" s="36"/>
      <c r="L1969" s="36"/>
      <c r="M1969" s="36"/>
      <c r="N1969" s="36"/>
      <c r="O1969" s="36"/>
      <c r="P1969" s="36"/>
      <c r="Q1969" s="36"/>
      <c r="R1969" s="36"/>
      <c r="S1969" s="39"/>
    </row>
    <row r="1970">
      <c r="B1970" s="36"/>
      <c r="C1970" s="36"/>
      <c r="D1970" s="36"/>
      <c r="E1970" s="36"/>
      <c r="F1970" s="36"/>
      <c r="G1970" s="36"/>
      <c r="H1970" s="36"/>
      <c r="I1970" s="36"/>
      <c r="J1970" s="36"/>
      <c r="K1970" s="36"/>
      <c r="L1970" s="36"/>
      <c r="M1970" s="36"/>
      <c r="N1970" s="36"/>
      <c r="O1970" s="36"/>
      <c r="P1970" s="36"/>
      <c r="Q1970" s="36"/>
      <c r="R1970" s="36"/>
      <c r="S1970" s="39"/>
    </row>
    <row r="1971">
      <c r="B1971" s="36"/>
      <c r="C1971" s="36"/>
      <c r="D1971" s="36"/>
      <c r="E1971" s="36"/>
      <c r="F1971" s="36"/>
      <c r="G1971" s="36"/>
      <c r="H1971" s="36"/>
      <c r="I1971" s="36"/>
      <c r="J1971" s="36"/>
      <c r="K1971" s="36"/>
      <c r="L1971" s="36"/>
      <c r="M1971" s="36"/>
      <c r="N1971" s="36"/>
      <c r="O1971" s="36"/>
      <c r="P1971" s="36"/>
      <c r="Q1971" s="36"/>
      <c r="R1971" s="36"/>
      <c r="S1971" s="39"/>
    </row>
    <row r="1972">
      <c r="B1972" s="36"/>
      <c r="C1972" s="36"/>
      <c r="D1972" s="36"/>
      <c r="E1972" s="36"/>
      <c r="F1972" s="36"/>
      <c r="G1972" s="36"/>
      <c r="H1972" s="36"/>
      <c r="I1972" s="36"/>
      <c r="J1972" s="36"/>
      <c r="K1972" s="36"/>
      <c r="L1972" s="36"/>
      <c r="M1972" s="36"/>
      <c r="N1972" s="36"/>
      <c r="O1972" s="36"/>
      <c r="P1972" s="36"/>
      <c r="Q1972" s="36"/>
      <c r="R1972" s="36"/>
      <c r="S1972" s="39"/>
    </row>
    <row r="1973">
      <c r="B1973" s="36"/>
      <c r="C1973" s="36"/>
      <c r="D1973" s="36"/>
      <c r="E1973" s="36"/>
      <c r="F1973" s="36"/>
      <c r="G1973" s="36"/>
      <c r="H1973" s="36"/>
      <c r="I1973" s="36"/>
      <c r="J1973" s="36"/>
      <c r="K1973" s="36"/>
      <c r="L1973" s="36"/>
      <c r="M1973" s="36"/>
      <c r="N1973" s="36"/>
      <c r="O1973" s="36"/>
      <c r="P1973" s="36"/>
      <c r="Q1973" s="36"/>
      <c r="R1973" s="36"/>
      <c r="S1973" s="39"/>
    </row>
    <row r="1974">
      <c r="B1974" s="36"/>
      <c r="C1974" s="36"/>
      <c r="D1974" s="36"/>
      <c r="E1974" s="36"/>
      <c r="F1974" s="36"/>
      <c r="G1974" s="36"/>
      <c r="H1974" s="36"/>
      <c r="I1974" s="36"/>
      <c r="J1974" s="36"/>
      <c r="K1974" s="36"/>
      <c r="L1974" s="36"/>
      <c r="M1974" s="36"/>
      <c r="N1974" s="36"/>
      <c r="O1974" s="36"/>
      <c r="P1974" s="36"/>
      <c r="Q1974" s="36"/>
      <c r="R1974" s="36"/>
      <c r="S1974" s="39"/>
    </row>
    <row r="1975">
      <c r="B1975" s="36"/>
      <c r="C1975" s="36"/>
      <c r="D1975" s="36"/>
      <c r="E1975" s="36"/>
      <c r="F1975" s="36"/>
      <c r="G1975" s="36"/>
      <c r="H1975" s="36"/>
      <c r="I1975" s="36"/>
      <c r="J1975" s="36"/>
      <c r="K1975" s="36"/>
      <c r="L1975" s="36"/>
      <c r="M1975" s="36"/>
      <c r="N1975" s="36"/>
      <c r="O1975" s="36"/>
      <c r="P1975" s="36"/>
      <c r="Q1975" s="36"/>
      <c r="R1975" s="36"/>
      <c r="S1975" s="39"/>
    </row>
    <row r="1976">
      <c r="B1976" s="36"/>
      <c r="C1976" s="36"/>
      <c r="D1976" s="36"/>
      <c r="E1976" s="36"/>
      <c r="F1976" s="36"/>
      <c r="G1976" s="36"/>
      <c r="H1976" s="36"/>
      <c r="I1976" s="36"/>
      <c r="J1976" s="36"/>
      <c r="K1976" s="36"/>
      <c r="L1976" s="36"/>
      <c r="M1976" s="36"/>
      <c r="N1976" s="36"/>
      <c r="O1976" s="36"/>
      <c r="P1976" s="36"/>
      <c r="Q1976" s="36"/>
      <c r="R1976" s="36"/>
      <c r="S1976" s="39"/>
    </row>
    <row r="1977">
      <c r="B1977" s="36"/>
      <c r="C1977" s="36"/>
      <c r="D1977" s="36"/>
      <c r="E1977" s="36"/>
      <c r="F1977" s="36"/>
      <c r="G1977" s="36"/>
      <c r="H1977" s="36"/>
      <c r="I1977" s="36"/>
      <c r="J1977" s="36"/>
      <c r="K1977" s="36"/>
      <c r="L1977" s="36"/>
      <c r="M1977" s="36"/>
      <c r="N1977" s="36"/>
      <c r="O1977" s="36"/>
      <c r="P1977" s="36"/>
      <c r="Q1977" s="36"/>
      <c r="R1977" s="36"/>
      <c r="S1977" s="39"/>
    </row>
    <row r="1978">
      <c r="B1978" s="36"/>
      <c r="C1978" s="36"/>
      <c r="D1978" s="36"/>
      <c r="E1978" s="36"/>
      <c r="F1978" s="36"/>
      <c r="G1978" s="36"/>
      <c r="H1978" s="36"/>
      <c r="I1978" s="36"/>
      <c r="J1978" s="36"/>
      <c r="K1978" s="36"/>
      <c r="L1978" s="36"/>
      <c r="M1978" s="36"/>
      <c r="N1978" s="36"/>
      <c r="O1978" s="36"/>
      <c r="P1978" s="36"/>
      <c r="Q1978" s="36"/>
      <c r="R1978" s="36"/>
      <c r="S1978" s="39"/>
    </row>
    <row r="1979">
      <c r="B1979" s="36"/>
      <c r="C1979" s="36"/>
      <c r="D1979" s="36"/>
      <c r="E1979" s="36"/>
      <c r="F1979" s="36"/>
      <c r="G1979" s="36"/>
      <c r="H1979" s="36"/>
      <c r="I1979" s="36"/>
      <c r="J1979" s="36"/>
      <c r="K1979" s="36"/>
      <c r="L1979" s="36"/>
      <c r="M1979" s="36"/>
      <c r="N1979" s="36"/>
      <c r="O1979" s="36"/>
      <c r="P1979" s="36"/>
      <c r="Q1979" s="36"/>
      <c r="R1979" s="36"/>
      <c r="S1979" s="39"/>
    </row>
    <row r="1980">
      <c r="B1980" s="36"/>
      <c r="C1980" s="36"/>
      <c r="D1980" s="36"/>
      <c r="E1980" s="36"/>
      <c r="F1980" s="36"/>
      <c r="G1980" s="36"/>
      <c r="H1980" s="36"/>
      <c r="I1980" s="36"/>
      <c r="J1980" s="36"/>
      <c r="K1980" s="36"/>
      <c r="L1980" s="36"/>
      <c r="M1980" s="36"/>
      <c r="N1980" s="36"/>
      <c r="O1980" s="36"/>
      <c r="P1980" s="36"/>
      <c r="Q1980" s="36"/>
      <c r="R1980" s="36"/>
      <c r="S1980" s="39"/>
    </row>
    <row r="1981">
      <c r="B1981" s="36"/>
      <c r="C1981" s="36"/>
      <c r="D1981" s="36"/>
      <c r="E1981" s="36"/>
      <c r="F1981" s="36"/>
      <c r="G1981" s="36"/>
      <c r="H1981" s="36"/>
      <c r="I1981" s="36"/>
      <c r="J1981" s="36"/>
      <c r="K1981" s="36"/>
      <c r="L1981" s="36"/>
      <c r="M1981" s="36"/>
      <c r="N1981" s="36"/>
      <c r="O1981" s="36"/>
      <c r="P1981" s="36"/>
      <c r="Q1981" s="36"/>
      <c r="R1981" s="36"/>
      <c r="S1981" s="39"/>
    </row>
    <row r="1982">
      <c r="B1982" s="36"/>
      <c r="C1982" s="36"/>
      <c r="D1982" s="36"/>
      <c r="E1982" s="36"/>
      <c r="F1982" s="36"/>
      <c r="G1982" s="36"/>
      <c r="H1982" s="36"/>
      <c r="I1982" s="36"/>
      <c r="J1982" s="36"/>
      <c r="K1982" s="36"/>
      <c r="L1982" s="36"/>
      <c r="M1982" s="36"/>
      <c r="N1982" s="36"/>
      <c r="O1982" s="36"/>
      <c r="P1982" s="36"/>
      <c r="Q1982" s="36"/>
      <c r="R1982" s="36"/>
      <c r="S1982" s="39"/>
    </row>
    <row r="1983">
      <c r="B1983" s="36"/>
      <c r="C1983" s="36"/>
      <c r="D1983" s="36"/>
      <c r="E1983" s="36"/>
      <c r="F1983" s="36"/>
      <c r="G1983" s="36"/>
      <c r="H1983" s="36"/>
      <c r="I1983" s="36"/>
      <c r="J1983" s="36"/>
      <c r="K1983" s="36"/>
      <c r="L1983" s="36"/>
      <c r="M1983" s="36"/>
      <c r="N1983" s="36"/>
      <c r="O1983" s="36"/>
      <c r="P1983" s="36"/>
      <c r="Q1983" s="36"/>
      <c r="R1983" s="36"/>
      <c r="S1983" s="39"/>
    </row>
    <row r="1984">
      <c r="B1984" s="36"/>
      <c r="C1984" s="36"/>
      <c r="D1984" s="36"/>
      <c r="E1984" s="36"/>
      <c r="F1984" s="36"/>
      <c r="G1984" s="36"/>
      <c r="H1984" s="36"/>
      <c r="I1984" s="36"/>
      <c r="J1984" s="36"/>
      <c r="K1984" s="36"/>
      <c r="L1984" s="36"/>
      <c r="M1984" s="36"/>
      <c r="N1984" s="36"/>
      <c r="O1984" s="36"/>
      <c r="P1984" s="36"/>
      <c r="Q1984" s="36"/>
      <c r="R1984" s="36"/>
      <c r="S1984" s="39"/>
    </row>
    <row r="1985">
      <c r="B1985" s="36"/>
      <c r="C1985" s="36"/>
      <c r="D1985" s="36"/>
      <c r="E1985" s="36"/>
      <c r="F1985" s="36"/>
      <c r="G1985" s="36"/>
      <c r="H1985" s="36"/>
      <c r="I1985" s="36"/>
      <c r="J1985" s="36"/>
      <c r="K1985" s="36"/>
      <c r="L1985" s="36"/>
      <c r="M1985" s="36"/>
      <c r="N1985" s="36"/>
      <c r="O1985" s="36"/>
      <c r="P1985" s="36"/>
      <c r="Q1985" s="36"/>
      <c r="R1985" s="36"/>
      <c r="S1985" s="39"/>
    </row>
    <row r="1986">
      <c r="B1986" s="36"/>
      <c r="C1986" s="36"/>
      <c r="D1986" s="36"/>
      <c r="E1986" s="36"/>
      <c r="F1986" s="36"/>
      <c r="G1986" s="36"/>
      <c r="H1986" s="36"/>
      <c r="I1986" s="36"/>
      <c r="J1986" s="36"/>
      <c r="K1986" s="36"/>
      <c r="L1986" s="36"/>
      <c r="M1986" s="36"/>
      <c r="N1986" s="36"/>
      <c r="O1986" s="36"/>
      <c r="P1986" s="36"/>
      <c r="Q1986" s="36"/>
      <c r="R1986" s="36"/>
      <c r="S1986" s="39"/>
    </row>
    <row r="1987">
      <c r="B1987" s="36"/>
      <c r="C1987" s="36"/>
      <c r="D1987" s="36"/>
      <c r="E1987" s="36"/>
      <c r="F1987" s="36"/>
      <c r="G1987" s="36"/>
      <c r="H1987" s="36"/>
      <c r="I1987" s="36"/>
      <c r="J1987" s="36"/>
      <c r="K1987" s="36"/>
      <c r="L1987" s="36"/>
      <c r="M1987" s="36"/>
      <c r="N1987" s="36"/>
      <c r="O1987" s="36"/>
      <c r="P1987" s="36"/>
      <c r="Q1987" s="36"/>
      <c r="R1987" s="36"/>
      <c r="S1987" s="39"/>
    </row>
    <row r="1988">
      <c r="B1988" s="36"/>
      <c r="C1988" s="36"/>
      <c r="D1988" s="36"/>
      <c r="E1988" s="36"/>
      <c r="F1988" s="36"/>
      <c r="G1988" s="36"/>
      <c r="H1988" s="36"/>
      <c r="I1988" s="36"/>
      <c r="J1988" s="36"/>
      <c r="K1988" s="36"/>
      <c r="L1988" s="36"/>
      <c r="M1988" s="36"/>
      <c r="N1988" s="36"/>
      <c r="O1988" s="36"/>
      <c r="P1988" s="36"/>
      <c r="Q1988" s="36"/>
      <c r="R1988" s="36"/>
      <c r="S1988" s="39"/>
    </row>
    <row r="1989">
      <c r="B1989" s="36"/>
      <c r="C1989" s="36"/>
      <c r="D1989" s="36"/>
      <c r="E1989" s="36"/>
      <c r="F1989" s="36"/>
      <c r="G1989" s="36"/>
      <c r="H1989" s="36"/>
      <c r="I1989" s="36"/>
      <c r="J1989" s="36"/>
      <c r="K1989" s="36"/>
      <c r="L1989" s="36"/>
      <c r="M1989" s="36"/>
      <c r="N1989" s="36"/>
      <c r="O1989" s="36"/>
      <c r="P1989" s="36"/>
      <c r="Q1989" s="36"/>
      <c r="R1989" s="36"/>
      <c r="S1989" s="39"/>
    </row>
    <row r="1990">
      <c r="B1990" s="36"/>
      <c r="C1990" s="36"/>
      <c r="D1990" s="36"/>
      <c r="E1990" s="36"/>
      <c r="F1990" s="36"/>
      <c r="G1990" s="36"/>
      <c r="H1990" s="36"/>
      <c r="I1990" s="36"/>
      <c r="J1990" s="36"/>
      <c r="K1990" s="36"/>
      <c r="L1990" s="36"/>
      <c r="M1990" s="36"/>
      <c r="N1990" s="36"/>
      <c r="O1990" s="36"/>
      <c r="P1990" s="36"/>
      <c r="Q1990" s="36"/>
      <c r="R1990" s="36"/>
      <c r="S1990" s="39"/>
    </row>
    <row r="1991">
      <c r="B1991" s="36"/>
      <c r="C1991" s="36"/>
      <c r="D1991" s="36"/>
      <c r="E1991" s="36"/>
      <c r="F1991" s="36"/>
      <c r="G1991" s="36"/>
      <c r="H1991" s="36"/>
      <c r="I1991" s="36"/>
      <c r="J1991" s="36"/>
      <c r="K1991" s="36"/>
      <c r="L1991" s="36"/>
      <c r="M1991" s="36"/>
      <c r="N1991" s="36"/>
      <c r="O1991" s="36"/>
      <c r="P1991" s="36"/>
      <c r="Q1991" s="36"/>
      <c r="R1991" s="36"/>
      <c r="S1991" s="39"/>
    </row>
    <row r="1992">
      <c r="B1992" s="36"/>
      <c r="C1992" s="36"/>
      <c r="D1992" s="36"/>
      <c r="E1992" s="36"/>
      <c r="F1992" s="36"/>
      <c r="G1992" s="36"/>
      <c r="H1992" s="36"/>
      <c r="I1992" s="36"/>
      <c r="J1992" s="36"/>
      <c r="K1992" s="36"/>
      <c r="L1992" s="36"/>
      <c r="M1992" s="36"/>
      <c r="N1992" s="36"/>
      <c r="O1992" s="36"/>
      <c r="P1992" s="36"/>
      <c r="Q1992" s="36"/>
      <c r="R1992" s="36"/>
      <c r="S1992" s="39"/>
    </row>
    <row r="1993">
      <c r="B1993" s="36"/>
      <c r="C1993" s="36"/>
      <c r="D1993" s="36"/>
      <c r="E1993" s="36"/>
      <c r="F1993" s="36"/>
      <c r="G1993" s="36"/>
      <c r="H1993" s="36"/>
      <c r="I1993" s="36"/>
      <c r="J1993" s="36"/>
      <c r="K1993" s="36"/>
      <c r="L1993" s="36"/>
      <c r="M1993" s="36"/>
      <c r="N1993" s="36"/>
      <c r="O1993" s="36"/>
      <c r="P1993" s="36"/>
      <c r="Q1993" s="36"/>
      <c r="R1993" s="36"/>
      <c r="S1993" s="39"/>
    </row>
    <row r="1994">
      <c r="B1994" s="36"/>
      <c r="C1994" s="36"/>
      <c r="D1994" s="36"/>
      <c r="E1994" s="36"/>
      <c r="F1994" s="36"/>
      <c r="G1994" s="36"/>
      <c r="H1994" s="36"/>
      <c r="I1994" s="36"/>
      <c r="J1994" s="36"/>
      <c r="K1994" s="36"/>
      <c r="L1994" s="36"/>
      <c r="M1994" s="36"/>
      <c r="N1994" s="36"/>
      <c r="O1994" s="36"/>
      <c r="P1994" s="36"/>
      <c r="Q1994" s="36"/>
      <c r="R1994" s="36"/>
      <c r="S1994" s="39"/>
    </row>
    <row r="1995">
      <c r="B1995" s="36"/>
      <c r="C1995" s="36"/>
      <c r="D1995" s="36"/>
      <c r="E1995" s="36"/>
      <c r="F1995" s="36"/>
      <c r="G1995" s="36"/>
      <c r="H1995" s="36"/>
      <c r="I1995" s="36"/>
      <c r="J1995" s="36"/>
      <c r="K1995" s="36"/>
      <c r="L1995" s="36"/>
      <c r="M1995" s="36"/>
      <c r="N1995" s="36"/>
      <c r="O1995" s="36"/>
      <c r="P1995" s="36"/>
      <c r="Q1995" s="36"/>
      <c r="R1995" s="36"/>
      <c r="S1995" s="39"/>
    </row>
    <row r="1996">
      <c r="B1996" s="36"/>
      <c r="C1996" s="36"/>
      <c r="D1996" s="36"/>
      <c r="E1996" s="36"/>
      <c r="F1996" s="36"/>
      <c r="G1996" s="36"/>
      <c r="H1996" s="36"/>
      <c r="I1996" s="36"/>
      <c r="J1996" s="36"/>
      <c r="K1996" s="36"/>
      <c r="L1996" s="36"/>
      <c r="M1996" s="36"/>
      <c r="N1996" s="36"/>
      <c r="O1996" s="36"/>
      <c r="P1996" s="36"/>
      <c r="Q1996" s="36"/>
      <c r="R1996" s="36"/>
      <c r="S1996" s="39"/>
    </row>
    <row r="1997">
      <c r="B1997" s="36"/>
      <c r="C1997" s="36"/>
      <c r="D1997" s="36"/>
      <c r="E1997" s="36"/>
      <c r="F1997" s="36"/>
      <c r="G1997" s="36"/>
      <c r="H1997" s="36"/>
      <c r="I1997" s="36"/>
      <c r="J1997" s="36"/>
      <c r="K1997" s="36"/>
      <c r="L1997" s="36"/>
      <c r="M1997" s="36"/>
      <c r="N1997" s="36"/>
      <c r="O1997" s="36"/>
      <c r="P1997" s="36"/>
      <c r="Q1997" s="36"/>
      <c r="R1997" s="36"/>
      <c r="S1997" s="39"/>
    </row>
    <row r="1998">
      <c r="B1998" s="36"/>
      <c r="C1998" s="36"/>
      <c r="D1998" s="36"/>
      <c r="E1998" s="36"/>
      <c r="F1998" s="36"/>
      <c r="G1998" s="36"/>
      <c r="H1998" s="36"/>
      <c r="I1998" s="36"/>
      <c r="J1998" s="36"/>
      <c r="K1998" s="36"/>
      <c r="L1998" s="36"/>
      <c r="M1998" s="36"/>
      <c r="N1998" s="36"/>
      <c r="O1998" s="36"/>
      <c r="P1998" s="36"/>
      <c r="Q1998" s="36"/>
      <c r="R1998" s="36"/>
      <c r="S1998" s="39"/>
    </row>
    <row r="1999">
      <c r="B1999" s="36"/>
      <c r="C1999" s="36"/>
      <c r="D1999" s="36"/>
      <c r="E1999" s="36"/>
      <c r="F1999" s="36"/>
      <c r="G1999" s="36"/>
      <c r="H1999" s="36"/>
      <c r="I1999" s="36"/>
      <c r="J1999" s="36"/>
      <c r="K1999" s="36"/>
      <c r="L1999" s="36"/>
      <c r="M1999" s="36"/>
      <c r="N1999" s="36"/>
      <c r="O1999" s="36"/>
      <c r="P1999" s="36"/>
      <c r="Q1999" s="36"/>
      <c r="R1999" s="36"/>
      <c r="S1999" s="39"/>
    </row>
    <row r="2000">
      <c r="B2000" s="36"/>
      <c r="C2000" s="36"/>
      <c r="D2000" s="36"/>
      <c r="E2000" s="36"/>
      <c r="F2000" s="36"/>
      <c r="G2000" s="36"/>
      <c r="H2000" s="36"/>
      <c r="I2000" s="36"/>
      <c r="J2000" s="36"/>
      <c r="K2000" s="36"/>
      <c r="L2000" s="36"/>
      <c r="M2000" s="36"/>
      <c r="N2000" s="36"/>
      <c r="O2000" s="36"/>
      <c r="P2000" s="36"/>
      <c r="Q2000" s="36"/>
      <c r="R2000" s="36"/>
      <c r="S2000" s="39"/>
    </row>
    <row r="2001">
      <c r="B2001" s="36"/>
      <c r="C2001" s="36"/>
      <c r="D2001" s="36"/>
      <c r="E2001" s="36"/>
      <c r="F2001" s="36"/>
      <c r="G2001" s="36"/>
      <c r="H2001" s="36"/>
      <c r="I2001" s="36"/>
      <c r="J2001" s="36"/>
      <c r="K2001" s="36"/>
      <c r="L2001" s="36"/>
      <c r="M2001" s="36"/>
      <c r="N2001" s="36"/>
      <c r="O2001" s="36"/>
      <c r="P2001" s="36"/>
      <c r="Q2001" s="36"/>
      <c r="R2001" s="36"/>
      <c r="S2001" s="39"/>
    </row>
    <row r="2002">
      <c r="B2002" s="36"/>
      <c r="C2002" s="36"/>
      <c r="D2002" s="36"/>
      <c r="E2002" s="36"/>
      <c r="F2002" s="36"/>
      <c r="G2002" s="36"/>
      <c r="H2002" s="36"/>
      <c r="I2002" s="36"/>
      <c r="J2002" s="36"/>
      <c r="K2002" s="36"/>
      <c r="L2002" s="36"/>
      <c r="M2002" s="36"/>
      <c r="N2002" s="36"/>
      <c r="O2002" s="36"/>
      <c r="P2002" s="36"/>
      <c r="Q2002" s="36"/>
      <c r="R2002" s="36"/>
      <c r="S2002" s="39"/>
    </row>
    <row r="2003">
      <c r="B2003" s="36"/>
      <c r="C2003" s="36"/>
      <c r="D2003" s="36"/>
      <c r="E2003" s="36"/>
      <c r="F2003" s="36"/>
      <c r="G2003" s="36"/>
      <c r="H2003" s="36"/>
      <c r="I2003" s="36"/>
      <c r="J2003" s="36"/>
      <c r="K2003" s="36"/>
      <c r="L2003" s="36"/>
      <c r="M2003" s="36"/>
      <c r="N2003" s="36"/>
      <c r="O2003" s="36"/>
      <c r="P2003" s="36"/>
      <c r="Q2003" s="36"/>
      <c r="R2003" s="36"/>
      <c r="S2003" s="39"/>
    </row>
    <row r="2004">
      <c r="B2004" s="36"/>
      <c r="C2004" s="36"/>
      <c r="D2004" s="36"/>
      <c r="E2004" s="36"/>
      <c r="F2004" s="36"/>
      <c r="G2004" s="36"/>
      <c r="H2004" s="36"/>
      <c r="I2004" s="36"/>
      <c r="J2004" s="36"/>
      <c r="K2004" s="36"/>
      <c r="L2004" s="36"/>
      <c r="M2004" s="36"/>
      <c r="N2004" s="36"/>
      <c r="O2004" s="36"/>
      <c r="P2004" s="36"/>
      <c r="Q2004" s="36"/>
      <c r="R2004" s="36"/>
      <c r="S2004" s="39"/>
    </row>
    <row r="2005">
      <c r="B2005" s="36"/>
      <c r="C2005" s="36"/>
      <c r="D2005" s="36"/>
      <c r="E2005" s="36"/>
      <c r="F2005" s="36"/>
      <c r="G2005" s="36"/>
      <c r="H2005" s="36"/>
      <c r="I2005" s="36"/>
      <c r="J2005" s="36"/>
      <c r="K2005" s="36"/>
      <c r="L2005" s="36"/>
      <c r="M2005" s="36"/>
      <c r="N2005" s="36"/>
      <c r="O2005" s="36"/>
      <c r="P2005" s="36"/>
      <c r="Q2005" s="36"/>
      <c r="R2005" s="36"/>
      <c r="S2005" s="39"/>
    </row>
    <row r="2006">
      <c r="B2006" s="36"/>
      <c r="C2006" s="36"/>
      <c r="D2006" s="36"/>
      <c r="E2006" s="36"/>
      <c r="F2006" s="36"/>
      <c r="G2006" s="36"/>
      <c r="H2006" s="36"/>
      <c r="I2006" s="36"/>
      <c r="J2006" s="36"/>
      <c r="K2006" s="36"/>
      <c r="L2006" s="36"/>
      <c r="M2006" s="36"/>
      <c r="N2006" s="36"/>
      <c r="O2006" s="36"/>
      <c r="P2006" s="36"/>
      <c r="Q2006" s="36"/>
      <c r="R2006" s="36"/>
      <c r="S2006" s="39"/>
    </row>
    <row r="2007">
      <c r="B2007" s="36"/>
      <c r="C2007" s="36"/>
      <c r="D2007" s="36"/>
      <c r="E2007" s="36"/>
      <c r="F2007" s="36"/>
      <c r="G2007" s="36"/>
      <c r="H2007" s="36"/>
      <c r="I2007" s="36"/>
      <c r="J2007" s="36"/>
      <c r="K2007" s="36"/>
      <c r="L2007" s="36"/>
      <c r="M2007" s="36"/>
      <c r="N2007" s="36"/>
      <c r="O2007" s="36"/>
      <c r="P2007" s="36"/>
      <c r="Q2007" s="36"/>
      <c r="R2007" s="36"/>
      <c r="S2007" s="39"/>
    </row>
    <row r="2008">
      <c r="B2008" s="36"/>
      <c r="C2008" s="36"/>
      <c r="D2008" s="36"/>
      <c r="E2008" s="36"/>
      <c r="F2008" s="36"/>
      <c r="G2008" s="36"/>
      <c r="H2008" s="36"/>
      <c r="I2008" s="36"/>
      <c r="J2008" s="36"/>
      <c r="K2008" s="36"/>
      <c r="L2008" s="36"/>
      <c r="M2008" s="36"/>
      <c r="N2008" s="36"/>
      <c r="O2008" s="36"/>
      <c r="P2008" s="36"/>
      <c r="Q2008" s="36"/>
      <c r="R2008" s="36"/>
      <c r="S2008" s="39"/>
    </row>
    <row r="2009">
      <c r="B2009" s="36"/>
      <c r="C2009" s="36"/>
      <c r="D2009" s="36"/>
      <c r="E2009" s="36"/>
      <c r="F2009" s="36"/>
      <c r="G2009" s="36"/>
      <c r="H2009" s="36"/>
      <c r="I2009" s="36"/>
      <c r="J2009" s="36"/>
      <c r="K2009" s="36"/>
      <c r="L2009" s="36"/>
      <c r="M2009" s="36"/>
      <c r="N2009" s="36"/>
      <c r="O2009" s="36"/>
      <c r="P2009" s="36"/>
      <c r="Q2009" s="36"/>
      <c r="R2009" s="36"/>
      <c r="S2009" s="39"/>
    </row>
    <row r="2010">
      <c r="B2010" s="36"/>
      <c r="C2010" s="36"/>
      <c r="D2010" s="36"/>
      <c r="E2010" s="36"/>
      <c r="F2010" s="36"/>
      <c r="G2010" s="36"/>
      <c r="H2010" s="36"/>
      <c r="I2010" s="36"/>
      <c r="J2010" s="36"/>
      <c r="K2010" s="36"/>
      <c r="L2010" s="36"/>
      <c r="M2010" s="36"/>
      <c r="N2010" s="36"/>
      <c r="O2010" s="36"/>
      <c r="P2010" s="36"/>
      <c r="Q2010" s="36"/>
      <c r="R2010" s="36"/>
      <c r="S2010" s="39"/>
    </row>
    <row r="2011">
      <c r="B2011" s="36"/>
      <c r="C2011" s="36"/>
      <c r="D2011" s="36"/>
      <c r="E2011" s="36"/>
      <c r="F2011" s="36"/>
      <c r="G2011" s="36"/>
      <c r="H2011" s="36"/>
      <c r="I2011" s="36"/>
      <c r="J2011" s="36"/>
      <c r="K2011" s="36"/>
      <c r="L2011" s="36"/>
      <c r="M2011" s="36"/>
      <c r="N2011" s="36"/>
      <c r="O2011" s="36"/>
      <c r="P2011" s="36"/>
      <c r="Q2011" s="36"/>
      <c r="R2011" s="36"/>
      <c r="S2011" s="39"/>
    </row>
    <row r="2012">
      <c r="B2012" s="36"/>
      <c r="C2012" s="36"/>
      <c r="D2012" s="36"/>
      <c r="E2012" s="36"/>
      <c r="F2012" s="36"/>
      <c r="G2012" s="36"/>
      <c r="H2012" s="36"/>
      <c r="I2012" s="36"/>
      <c r="J2012" s="36"/>
      <c r="K2012" s="36"/>
      <c r="L2012" s="36"/>
      <c r="M2012" s="36"/>
      <c r="N2012" s="36"/>
      <c r="O2012" s="36"/>
      <c r="P2012" s="36"/>
      <c r="Q2012" s="36"/>
      <c r="R2012" s="36"/>
      <c r="S2012" s="39"/>
    </row>
    <row r="2013">
      <c r="B2013" s="36"/>
      <c r="C2013" s="36"/>
      <c r="D2013" s="36"/>
      <c r="E2013" s="36"/>
      <c r="F2013" s="36"/>
      <c r="G2013" s="36"/>
      <c r="H2013" s="36"/>
      <c r="I2013" s="36"/>
      <c r="J2013" s="36"/>
      <c r="K2013" s="36"/>
      <c r="L2013" s="36"/>
      <c r="M2013" s="36"/>
      <c r="N2013" s="36"/>
      <c r="O2013" s="36"/>
      <c r="P2013" s="36"/>
      <c r="Q2013" s="36"/>
      <c r="R2013" s="36"/>
      <c r="S2013" s="39"/>
    </row>
    <row r="2014">
      <c r="B2014" s="36"/>
      <c r="C2014" s="36"/>
      <c r="D2014" s="36"/>
      <c r="E2014" s="36"/>
      <c r="F2014" s="36"/>
      <c r="G2014" s="36"/>
      <c r="H2014" s="36"/>
      <c r="I2014" s="36"/>
      <c r="J2014" s="36"/>
      <c r="K2014" s="36"/>
      <c r="L2014" s="36"/>
      <c r="M2014" s="36"/>
      <c r="N2014" s="36"/>
      <c r="O2014" s="36"/>
      <c r="P2014" s="36"/>
      <c r="Q2014" s="36"/>
      <c r="R2014" s="36"/>
      <c r="S2014" s="39"/>
    </row>
    <row r="2015">
      <c r="B2015" s="36"/>
      <c r="C2015" s="36"/>
      <c r="D2015" s="36"/>
      <c r="E2015" s="36"/>
      <c r="F2015" s="36"/>
      <c r="G2015" s="36"/>
      <c r="H2015" s="36"/>
      <c r="I2015" s="36"/>
      <c r="J2015" s="36"/>
      <c r="K2015" s="36"/>
      <c r="L2015" s="36"/>
      <c r="M2015" s="36"/>
      <c r="N2015" s="36"/>
      <c r="O2015" s="36"/>
      <c r="P2015" s="36"/>
      <c r="Q2015" s="36"/>
      <c r="R2015" s="36"/>
      <c r="S2015" s="39"/>
    </row>
    <row r="2016">
      <c r="B2016" s="36"/>
      <c r="C2016" s="36"/>
      <c r="D2016" s="36"/>
      <c r="E2016" s="36"/>
      <c r="F2016" s="36"/>
      <c r="G2016" s="36"/>
      <c r="H2016" s="36"/>
      <c r="I2016" s="36"/>
      <c r="J2016" s="36"/>
      <c r="K2016" s="36"/>
      <c r="L2016" s="36"/>
      <c r="M2016" s="36"/>
      <c r="N2016" s="36"/>
      <c r="O2016" s="36"/>
      <c r="P2016" s="36"/>
      <c r="Q2016" s="36"/>
      <c r="R2016" s="36"/>
      <c r="S2016" s="39"/>
    </row>
    <row r="2017">
      <c r="B2017" s="36"/>
      <c r="C2017" s="36"/>
      <c r="D2017" s="36"/>
      <c r="E2017" s="36"/>
      <c r="F2017" s="36"/>
      <c r="G2017" s="36"/>
      <c r="H2017" s="36"/>
      <c r="I2017" s="36"/>
      <c r="J2017" s="36"/>
      <c r="K2017" s="36"/>
      <c r="L2017" s="36"/>
      <c r="M2017" s="36"/>
      <c r="N2017" s="36"/>
      <c r="O2017" s="36"/>
      <c r="P2017" s="36"/>
      <c r="Q2017" s="36"/>
      <c r="R2017" s="36"/>
      <c r="S2017" s="39"/>
    </row>
    <row r="2018">
      <c r="B2018" s="36"/>
      <c r="C2018" s="36"/>
      <c r="D2018" s="36"/>
      <c r="E2018" s="36"/>
      <c r="F2018" s="36"/>
      <c r="G2018" s="36"/>
      <c r="H2018" s="36"/>
      <c r="I2018" s="36"/>
      <c r="J2018" s="36"/>
      <c r="K2018" s="36"/>
      <c r="L2018" s="36"/>
      <c r="M2018" s="36"/>
      <c r="N2018" s="36"/>
      <c r="O2018" s="36"/>
      <c r="P2018" s="36"/>
      <c r="Q2018" s="36"/>
      <c r="R2018" s="36"/>
      <c r="S2018" s="39"/>
    </row>
    <row r="2019">
      <c r="B2019" s="36"/>
      <c r="C2019" s="36"/>
      <c r="D2019" s="36"/>
      <c r="E2019" s="36"/>
      <c r="F2019" s="36"/>
      <c r="G2019" s="36"/>
      <c r="H2019" s="36"/>
      <c r="I2019" s="36"/>
      <c r="J2019" s="36"/>
      <c r="K2019" s="36"/>
      <c r="L2019" s="36"/>
      <c r="M2019" s="36"/>
      <c r="N2019" s="36"/>
      <c r="O2019" s="36"/>
      <c r="P2019" s="36"/>
      <c r="Q2019" s="36"/>
      <c r="R2019" s="36"/>
      <c r="S2019" s="39"/>
    </row>
    <row r="2020">
      <c r="B2020" s="36"/>
      <c r="C2020" s="36"/>
      <c r="D2020" s="36"/>
      <c r="E2020" s="36"/>
      <c r="F2020" s="36"/>
      <c r="G2020" s="36"/>
      <c r="H2020" s="36"/>
      <c r="I2020" s="36"/>
      <c r="J2020" s="36"/>
      <c r="K2020" s="36"/>
      <c r="L2020" s="36"/>
      <c r="M2020" s="36"/>
      <c r="N2020" s="36"/>
      <c r="O2020" s="36"/>
      <c r="P2020" s="36"/>
      <c r="Q2020" s="36"/>
      <c r="R2020" s="36"/>
      <c r="S2020" s="39"/>
    </row>
    <row r="2021">
      <c r="B2021" s="36"/>
      <c r="C2021" s="36"/>
      <c r="D2021" s="36"/>
      <c r="E2021" s="36"/>
      <c r="F2021" s="36"/>
      <c r="G2021" s="36"/>
      <c r="H2021" s="36"/>
      <c r="I2021" s="36"/>
      <c r="J2021" s="36"/>
      <c r="K2021" s="36"/>
      <c r="L2021" s="36"/>
      <c r="M2021" s="36"/>
      <c r="N2021" s="36"/>
      <c r="O2021" s="36"/>
      <c r="P2021" s="36"/>
      <c r="Q2021" s="36"/>
      <c r="R2021" s="36"/>
      <c r="S2021" s="39"/>
    </row>
    <row r="2022">
      <c r="B2022" s="36"/>
      <c r="C2022" s="36"/>
      <c r="D2022" s="36"/>
      <c r="E2022" s="36"/>
      <c r="F2022" s="36"/>
      <c r="G2022" s="36"/>
      <c r="H2022" s="36"/>
      <c r="I2022" s="36"/>
      <c r="J2022" s="36"/>
      <c r="K2022" s="36"/>
      <c r="L2022" s="36"/>
      <c r="M2022" s="36"/>
      <c r="N2022" s="36"/>
      <c r="O2022" s="36"/>
      <c r="P2022" s="36"/>
      <c r="Q2022" s="36"/>
      <c r="R2022" s="36"/>
      <c r="S2022" s="39"/>
    </row>
    <row r="2023">
      <c r="B2023" s="36"/>
      <c r="C2023" s="36"/>
      <c r="D2023" s="36"/>
      <c r="E2023" s="36"/>
      <c r="F2023" s="36"/>
      <c r="G2023" s="36"/>
      <c r="H2023" s="36"/>
      <c r="I2023" s="36"/>
      <c r="J2023" s="36"/>
      <c r="K2023" s="36"/>
      <c r="L2023" s="36"/>
      <c r="M2023" s="36"/>
      <c r="N2023" s="36"/>
      <c r="O2023" s="36"/>
      <c r="P2023" s="36"/>
      <c r="Q2023" s="36"/>
      <c r="R2023" s="36"/>
      <c r="S2023" s="39"/>
    </row>
    <row r="2024">
      <c r="B2024" s="36"/>
      <c r="C2024" s="36"/>
      <c r="D2024" s="36"/>
      <c r="E2024" s="36"/>
      <c r="F2024" s="36"/>
      <c r="G2024" s="36"/>
      <c r="H2024" s="36"/>
      <c r="I2024" s="36"/>
      <c r="J2024" s="36"/>
      <c r="K2024" s="36"/>
      <c r="L2024" s="36"/>
      <c r="M2024" s="36"/>
      <c r="N2024" s="36"/>
      <c r="O2024" s="36"/>
      <c r="P2024" s="36"/>
      <c r="Q2024" s="36"/>
      <c r="R2024" s="36"/>
      <c r="S2024" s="39"/>
    </row>
    <row r="2025">
      <c r="B2025" s="36"/>
      <c r="C2025" s="36"/>
      <c r="D2025" s="36"/>
      <c r="E2025" s="36"/>
      <c r="F2025" s="36"/>
      <c r="G2025" s="36"/>
      <c r="H2025" s="36"/>
      <c r="I2025" s="36"/>
      <c r="J2025" s="36"/>
      <c r="K2025" s="36"/>
      <c r="L2025" s="36"/>
      <c r="M2025" s="36"/>
      <c r="N2025" s="36"/>
      <c r="O2025" s="36"/>
      <c r="P2025" s="36"/>
      <c r="Q2025" s="36"/>
      <c r="R2025" s="36"/>
      <c r="S2025" s="39"/>
    </row>
    <row r="2026">
      <c r="B2026" s="36"/>
      <c r="C2026" s="36"/>
      <c r="D2026" s="36"/>
      <c r="E2026" s="36"/>
      <c r="F2026" s="36"/>
      <c r="G2026" s="36"/>
      <c r="H2026" s="36"/>
      <c r="I2026" s="36"/>
      <c r="J2026" s="36"/>
      <c r="K2026" s="36"/>
      <c r="L2026" s="36"/>
      <c r="M2026" s="36"/>
      <c r="N2026" s="36"/>
      <c r="O2026" s="36"/>
      <c r="P2026" s="36"/>
      <c r="Q2026" s="36"/>
      <c r="R2026" s="36"/>
      <c r="S2026" s="39"/>
    </row>
    <row r="2027">
      <c r="B2027" s="36"/>
      <c r="C2027" s="36"/>
      <c r="D2027" s="36"/>
      <c r="E2027" s="36"/>
      <c r="F2027" s="36"/>
      <c r="G2027" s="36"/>
      <c r="H2027" s="36"/>
      <c r="I2027" s="36"/>
      <c r="J2027" s="36"/>
      <c r="K2027" s="36"/>
      <c r="L2027" s="36"/>
      <c r="M2027" s="36"/>
      <c r="N2027" s="36"/>
      <c r="O2027" s="36"/>
      <c r="P2027" s="36"/>
      <c r="Q2027" s="36"/>
      <c r="R2027" s="36"/>
      <c r="S2027" s="39"/>
    </row>
    <row r="2028">
      <c r="B2028" s="36"/>
      <c r="C2028" s="36"/>
      <c r="D2028" s="36"/>
      <c r="E2028" s="36"/>
      <c r="F2028" s="36"/>
      <c r="G2028" s="36"/>
      <c r="H2028" s="36"/>
      <c r="I2028" s="36"/>
      <c r="J2028" s="36"/>
      <c r="K2028" s="36"/>
      <c r="L2028" s="36"/>
      <c r="M2028" s="36"/>
      <c r="N2028" s="36"/>
      <c r="O2028" s="36"/>
      <c r="P2028" s="36"/>
      <c r="Q2028" s="36"/>
      <c r="R2028" s="36"/>
      <c r="S2028" s="39"/>
    </row>
    <row r="2029">
      <c r="B2029" s="36"/>
      <c r="C2029" s="36"/>
      <c r="D2029" s="36"/>
      <c r="E2029" s="36"/>
      <c r="F2029" s="36"/>
      <c r="G2029" s="36"/>
      <c r="H2029" s="36"/>
      <c r="I2029" s="36"/>
      <c r="J2029" s="36"/>
      <c r="K2029" s="36"/>
      <c r="L2029" s="36"/>
      <c r="M2029" s="36"/>
      <c r="N2029" s="36"/>
      <c r="O2029" s="36"/>
      <c r="P2029" s="36"/>
      <c r="Q2029" s="36"/>
      <c r="R2029" s="36"/>
      <c r="S2029" s="39"/>
    </row>
    <row r="2030">
      <c r="B2030" s="36"/>
      <c r="C2030" s="36"/>
      <c r="D2030" s="36"/>
      <c r="E2030" s="36"/>
      <c r="F2030" s="36"/>
      <c r="G2030" s="36"/>
      <c r="H2030" s="36"/>
      <c r="I2030" s="36"/>
      <c r="J2030" s="36"/>
      <c r="K2030" s="36"/>
      <c r="L2030" s="36"/>
      <c r="M2030" s="36"/>
      <c r="N2030" s="36"/>
      <c r="O2030" s="36"/>
      <c r="P2030" s="36"/>
      <c r="Q2030" s="36"/>
      <c r="R2030" s="36"/>
      <c r="S2030" s="39"/>
    </row>
    <row r="2031">
      <c r="B2031" s="36"/>
      <c r="C2031" s="36"/>
      <c r="D2031" s="36"/>
      <c r="E2031" s="36"/>
      <c r="F2031" s="36"/>
      <c r="G2031" s="36"/>
      <c r="H2031" s="36"/>
      <c r="I2031" s="36"/>
      <c r="J2031" s="36"/>
      <c r="K2031" s="36"/>
      <c r="L2031" s="36"/>
      <c r="M2031" s="36"/>
      <c r="N2031" s="36"/>
      <c r="O2031" s="36"/>
      <c r="P2031" s="36"/>
      <c r="Q2031" s="36"/>
      <c r="R2031" s="36"/>
      <c r="S2031" s="39"/>
    </row>
    <row r="2032">
      <c r="B2032" s="36"/>
      <c r="C2032" s="36"/>
      <c r="D2032" s="36"/>
      <c r="E2032" s="36"/>
      <c r="F2032" s="36"/>
      <c r="G2032" s="36"/>
      <c r="H2032" s="36"/>
      <c r="I2032" s="36"/>
      <c r="J2032" s="36"/>
      <c r="K2032" s="36"/>
      <c r="L2032" s="36"/>
      <c r="M2032" s="36"/>
      <c r="N2032" s="36"/>
      <c r="O2032" s="36"/>
      <c r="P2032" s="36"/>
      <c r="Q2032" s="36"/>
      <c r="R2032" s="36"/>
      <c r="S2032" s="39"/>
    </row>
    <row r="2033">
      <c r="B2033" s="36"/>
      <c r="C2033" s="36"/>
      <c r="D2033" s="36"/>
      <c r="E2033" s="36"/>
      <c r="F2033" s="36"/>
      <c r="G2033" s="36"/>
      <c r="H2033" s="36"/>
      <c r="I2033" s="36"/>
      <c r="J2033" s="36"/>
      <c r="K2033" s="36"/>
      <c r="L2033" s="36"/>
      <c r="M2033" s="36"/>
      <c r="N2033" s="36"/>
      <c r="O2033" s="36"/>
      <c r="P2033" s="36"/>
      <c r="Q2033" s="36"/>
      <c r="R2033" s="36"/>
      <c r="S2033" s="39"/>
    </row>
    <row r="2034">
      <c r="B2034" s="36"/>
      <c r="C2034" s="36"/>
      <c r="D2034" s="36"/>
      <c r="E2034" s="36"/>
      <c r="F2034" s="36"/>
      <c r="G2034" s="36"/>
      <c r="H2034" s="36"/>
      <c r="I2034" s="36"/>
      <c r="J2034" s="36"/>
      <c r="K2034" s="36"/>
      <c r="L2034" s="36"/>
      <c r="M2034" s="36"/>
      <c r="N2034" s="36"/>
      <c r="O2034" s="36"/>
      <c r="P2034" s="36"/>
      <c r="Q2034" s="36"/>
      <c r="R2034" s="36"/>
      <c r="S2034" s="39"/>
    </row>
    <row r="2035">
      <c r="B2035" s="36"/>
      <c r="C2035" s="36"/>
      <c r="D2035" s="36"/>
      <c r="E2035" s="36"/>
      <c r="F2035" s="36"/>
      <c r="G2035" s="36"/>
      <c r="H2035" s="36"/>
      <c r="I2035" s="36"/>
      <c r="J2035" s="36"/>
      <c r="K2035" s="36"/>
      <c r="L2035" s="36"/>
      <c r="M2035" s="36"/>
      <c r="N2035" s="36"/>
      <c r="O2035" s="36"/>
      <c r="P2035" s="36"/>
      <c r="Q2035" s="36"/>
      <c r="R2035" s="36"/>
      <c r="S2035" s="39"/>
    </row>
    <row r="2036">
      <c r="B2036" s="36"/>
      <c r="C2036" s="36"/>
      <c r="D2036" s="36"/>
      <c r="E2036" s="36"/>
      <c r="F2036" s="36"/>
      <c r="G2036" s="36"/>
      <c r="H2036" s="36"/>
      <c r="I2036" s="36"/>
      <c r="J2036" s="36"/>
      <c r="K2036" s="36"/>
      <c r="L2036" s="36"/>
      <c r="M2036" s="36"/>
      <c r="N2036" s="36"/>
      <c r="O2036" s="36"/>
      <c r="P2036" s="36"/>
      <c r="Q2036" s="36"/>
      <c r="R2036" s="36"/>
      <c r="S2036" s="39"/>
    </row>
    <row r="2037">
      <c r="B2037" s="36"/>
      <c r="C2037" s="36"/>
      <c r="D2037" s="36"/>
      <c r="E2037" s="36"/>
      <c r="F2037" s="36"/>
      <c r="G2037" s="36"/>
      <c r="H2037" s="36"/>
      <c r="I2037" s="36"/>
      <c r="J2037" s="36"/>
      <c r="K2037" s="36"/>
      <c r="L2037" s="36"/>
      <c r="M2037" s="36"/>
      <c r="N2037" s="36"/>
      <c r="O2037" s="36"/>
      <c r="P2037" s="36"/>
      <c r="Q2037" s="36"/>
      <c r="R2037" s="36"/>
      <c r="S2037" s="39"/>
    </row>
    <row r="2038">
      <c r="B2038" s="36"/>
      <c r="C2038" s="36"/>
      <c r="D2038" s="36"/>
      <c r="E2038" s="36"/>
      <c r="F2038" s="36"/>
      <c r="G2038" s="36"/>
      <c r="H2038" s="36"/>
      <c r="I2038" s="36"/>
      <c r="J2038" s="36"/>
      <c r="K2038" s="36"/>
      <c r="L2038" s="36"/>
      <c r="M2038" s="36"/>
      <c r="N2038" s="36"/>
      <c r="O2038" s="36"/>
      <c r="P2038" s="36"/>
      <c r="Q2038" s="36"/>
      <c r="R2038" s="36"/>
      <c r="S2038" s="39"/>
    </row>
    <row r="2039">
      <c r="B2039" s="36"/>
      <c r="C2039" s="36"/>
      <c r="D2039" s="36"/>
      <c r="E2039" s="36"/>
      <c r="F2039" s="36"/>
      <c r="G2039" s="36"/>
      <c r="H2039" s="36"/>
      <c r="I2039" s="36"/>
      <c r="J2039" s="36"/>
      <c r="K2039" s="36"/>
      <c r="L2039" s="36"/>
      <c r="M2039" s="36"/>
      <c r="N2039" s="36"/>
      <c r="O2039" s="36"/>
      <c r="P2039" s="36"/>
      <c r="Q2039" s="36"/>
      <c r="R2039" s="36"/>
      <c r="S2039" s="39"/>
    </row>
    <row r="2040">
      <c r="B2040" s="36"/>
      <c r="C2040" s="36"/>
      <c r="D2040" s="36"/>
      <c r="E2040" s="36"/>
      <c r="F2040" s="36"/>
      <c r="G2040" s="36"/>
      <c r="H2040" s="36"/>
      <c r="I2040" s="36"/>
      <c r="J2040" s="36"/>
      <c r="K2040" s="36"/>
      <c r="L2040" s="36"/>
      <c r="M2040" s="36"/>
      <c r="N2040" s="36"/>
      <c r="O2040" s="36"/>
      <c r="P2040" s="36"/>
      <c r="Q2040" s="36"/>
      <c r="R2040" s="36"/>
      <c r="S2040" s="39"/>
    </row>
    <row r="2041">
      <c r="B2041" s="36"/>
      <c r="C2041" s="36"/>
      <c r="D2041" s="36"/>
      <c r="E2041" s="36"/>
      <c r="F2041" s="36"/>
      <c r="G2041" s="36"/>
      <c r="H2041" s="36"/>
      <c r="I2041" s="36"/>
      <c r="J2041" s="36"/>
      <c r="K2041" s="36"/>
      <c r="L2041" s="36"/>
      <c r="M2041" s="36"/>
      <c r="N2041" s="36"/>
      <c r="O2041" s="36"/>
      <c r="P2041" s="36"/>
      <c r="Q2041" s="36"/>
      <c r="R2041" s="36"/>
      <c r="S2041" s="39"/>
    </row>
    <row r="2042">
      <c r="B2042" s="36"/>
      <c r="C2042" s="36"/>
      <c r="D2042" s="36"/>
      <c r="E2042" s="36"/>
      <c r="F2042" s="36"/>
      <c r="G2042" s="36"/>
      <c r="H2042" s="36"/>
      <c r="I2042" s="36"/>
      <c r="J2042" s="36"/>
      <c r="K2042" s="36"/>
      <c r="L2042" s="36"/>
      <c r="M2042" s="36"/>
      <c r="N2042" s="36"/>
      <c r="O2042" s="36"/>
      <c r="P2042" s="36"/>
      <c r="Q2042" s="36"/>
      <c r="R2042" s="36"/>
      <c r="S2042" s="39"/>
    </row>
    <row r="2043">
      <c r="B2043" s="36"/>
      <c r="C2043" s="36"/>
      <c r="D2043" s="36"/>
      <c r="E2043" s="36"/>
      <c r="F2043" s="36"/>
      <c r="G2043" s="36"/>
      <c r="H2043" s="36"/>
      <c r="I2043" s="36"/>
      <c r="J2043" s="36"/>
      <c r="K2043" s="36"/>
      <c r="L2043" s="36"/>
      <c r="M2043" s="36"/>
      <c r="N2043" s="36"/>
      <c r="O2043" s="36"/>
      <c r="P2043" s="36"/>
      <c r="Q2043" s="36"/>
      <c r="R2043" s="36"/>
      <c r="S2043" s="39"/>
    </row>
    <row r="2044">
      <c r="B2044" s="36"/>
      <c r="C2044" s="36"/>
      <c r="D2044" s="36"/>
      <c r="E2044" s="36"/>
      <c r="F2044" s="36"/>
      <c r="G2044" s="36"/>
      <c r="H2044" s="36"/>
      <c r="I2044" s="36"/>
      <c r="J2044" s="36"/>
      <c r="K2044" s="36"/>
      <c r="L2044" s="36"/>
      <c r="M2044" s="36"/>
      <c r="N2044" s="36"/>
      <c r="O2044" s="36"/>
      <c r="P2044" s="36"/>
      <c r="Q2044" s="36"/>
      <c r="R2044" s="36"/>
      <c r="S2044" s="39"/>
    </row>
    <row r="2045">
      <c r="B2045" s="36"/>
      <c r="C2045" s="36"/>
      <c r="D2045" s="36"/>
      <c r="E2045" s="36"/>
      <c r="F2045" s="36"/>
      <c r="G2045" s="36"/>
      <c r="H2045" s="36"/>
      <c r="I2045" s="36"/>
      <c r="J2045" s="36"/>
      <c r="K2045" s="36"/>
      <c r="L2045" s="36"/>
      <c r="M2045" s="36"/>
      <c r="N2045" s="36"/>
      <c r="O2045" s="36"/>
      <c r="P2045" s="36"/>
      <c r="Q2045" s="36"/>
      <c r="R2045" s="36"/>
      <c r="S2045" s="39"/>
    </row>
    <row r="2046">
      <c r="B2046" s="36"/>
      <c r="C2046" s="36"/>
      <c r="D2046" s="36"/>
      <c r="E2046" s="36"/>
      <c r="F2046" s="36"/>
      <c r="G2046" s="36"/>
      <c r="H2046" s="36"/>
      <c r="I2046" s="36"/>
      <c r="J2046" s="36"/>
      <c r="K2046" s="36"/>
      <c r="L2046" s="36"/>
      <c r="M2046" s="36"/>
      <c r="N2046" s="36"/>
      <c r="O2046" s="36"/>
      <c r="P2046" s="36"/>
      <c r="Q2046" s="36"/>
      <c r="R2046" s="36"/>
      <c r="S2046" s="39"/>
    </row>
    <row r="2047">
      <c r="B2047" s="36"/>
      <c r="C2047" s="36"/>
      <c r="D2047" s="36"/>
      <c r="E2047" s="36"/>
      <c r="F2047" s="36"/>
      <c r="G2047" s="36"/>
      <c r="H2047" s="36"/>
      <c r="I2047" s="36"/>
      <c r="J2047" s="36"/>
      <c r="K2047" s="36"/>
      <c r="L2047" s="36"/>
      <c r="M2047" s="36"/>
      <c r="N2047" s="36"/>
      <c r="O2047" s="36"/>
      <c r="P2047" s="36"/>
      <c r="Q2047" s="36"/>
      <c r="R2047" s="36"/>
      <c r="S2047" s="39"/>
    </row>
    <row r="2048">
      <c r="B2048" s="36"/>
      <c r="C2048" s="36"/>
      <c r="D2048" s="36"/>
      <c r="E2048" s="36"/>
      <c r="F2048" s="36"/>
      <c r="G2048" s="36"/>
      <c r="H2048" s="36"/>
      <c r="I2048" s="36"/>
      <c r="J2048" s="36"/>
      <c r="K2048" s="36"/>
      <c r="L2048" s="36"/>
      <c r="M2048" s="36"/>
      <c r="N2048" s="36"/>
      <c r="O2048" s="36"/>
      <c r="P2048" s="36"/>
      <c r="Q2048" s="36"/>
      <c r="R2048" s="36"/>
      <c r="S2048" s="39"/>
    </row>
    <row r="2049">
      <c r="B2049" s="36"/>
      <c r="C2049" s="36"/>
      <c r="D2049" s="36"/>
      <c r="E2049" s="36"/>
      <c r="F2049" s="36"/>
      <c r="G2049" s="36"/>
      <c r="H2049" s="36"/>
      <c r="I2049" s="36"/>
      <c r="J2049" s="36"/>
      <c r="K2049" s="36"/>
      <c r="L2049" s="36"/>
      <c r="M2049" s="36"/>
      <c r="N2049" s="36"/>
      <c r="O2049" s="36"/>
      <c r="P2049" s="36"/>
      <c r="Q2049" s="36"/>
      <c r="R2049" s="36"/>
      <c r="S2049" s="39"/>
    </row>
    <row r="2050">
      <c r="B2050" s="36"/>
      <c r="C2050" s="36"/>
      <c r="D2050" s="36"/>
      <c r="E2050" s="36"/>
      <c r="F2050" s="36"/>
      <c r="G2050" s="36"/>
      <c r="H2050" s="36"/>
      <c r="I2050" s="36"/>
      <c r="J2050" s="36"/>
      <c r="K2050" s="36"/>
      <c r="L2050" s="36"/>
      <c r="M2050" s="36"/>
      <c r="N2050" s="36"/>
      <c r="O2050" s="36"/>
      <c r="P2050" s="36"/>
      <c r="Q2050" s="36"/>
      <c r="R2050" s="36"/>
      <c r="S2050" s="39"/>
    </row>
    <row r="2051">
      <c r="B2051" s="36"/>
      <c r="C2051" s="36"/>
      <c r="D2051" s="36"/>
      <c r="E2051" s="36"/>
      <c r="F2051" s="36"/>
      <c r="G2051" s="36"/>
      <c r="H2051" s="36"/>
      <c r="I2051" s="36"/>
      <c r="J2051" s="36"/>
      <c r="K2051" s="36"/>
      <c r="L2051" s="36"/>
      <c r="M2051" s="36"/>
      <c r="N2051" s="36"/>
      <c r="O2051" s="36"/>
      <c r="P2051" s="36"/>
      <c r="Q2051" s="36"/>
      <c r="R2051" s="36"/>
      <c r="S2051" s="39"/>
    </row>
    <row r="2052">
      <c r="B2052" s="36"/>
      <c r="C2052" s="36"/>
      <c r="D2052" s="36"/>
      <c r="E2052" s="36"/>
      <c r="F2052" s="36"/>
      <c r="G2052" s="36"/>
      <c r="H2052" s="36"/>
      <c r="I2052" s="36"/>
      <c r="J2052" s="36"/>
      <c r="K2052" s="36"/>
      <c r="L2052" s="36"/>
      <c r="M2052" s="36"/>
      <c r="N2052" s="36"/>
      <c r="O2052" s="36"/>
      <c r="P2052" s="36"/>
      <c r="Q2052" s="36"/>
      <c r="R2052" s="36"/>
      <c r="S2052" s="39"/>
    </row>
    <row r="2053">
      <c r="B2053" s="36"/>
      <c r="C2053" s="36"/>
      <c r="D2053" s="36"/>
      <c r="E2053" s="36"/>
      <c r="F2053" s="36"/>
      <c r="G2053" s="36"/>
      <c r="H2053" s="36"/>
      <c r="I2053" s="36"/>
      <c r="J2053" s="36"/>
      <c r="K2053" s="36"/>
      <c r="L2053" s="36"/>
      <c r="M2053" s="36"/>
      <c r="N2053" s="36"/>
      <c r="O2053" s="36"/>
      <c r="P2053" s="36"/>
      <c r="Q2053" s="36"/>
      <c r="R2053" s="36"/>
      <c r="S2053" s="39"/>
    </row>
    <row r="2054">
      <c r="B2054" s="36"/>
      <c r="C2054" s="36"/>
      <c r="D2054" s="36"/>
      <c r="E2054" s="36"/>
      <c r="F2054" s="36"/>
      <c r="G2054" s="36"/>
      <c r="H2054" s="36"/>
      <c r="I2054" s="36"/>
      <c r="J2054" s="36"/>
      <c r="K2054" s="36"/>
      <c r="L2054" s="36"/>
      <c r="M2054" s="36"/>
      <c r="N2054" s="36"/>
      <c r="O2054" s="36"/>
      <c r="P2054" s="36"/>
      <c r="Q2054" s="36"/>
      <c r="R2054" s="36"/>
      <c r="S2054" s="39"/>
    </row>
    <row r="2055">
      <c r="B2055" s="36"/>
      <c r="C2055" s="36"/>
      <c r="D2055" s="36"/>
      <c r="E2055" s="36"/>
      <c r="F2055" s="36"/>
      <c r="G2055" s="36"/>
      <c r="H2055" s="36"/>
      <c r="I2055" s="36"/>
      <c r="J2055" s="36"/>
      <c r="K2055" s="36"/>
      <c r="L2055" s="36"/>
      <c r="M2055" s="36"/>
      <c r="N2055" s="36"/>
      <c r="O2055" s="36"/>
      <c r="P2055" s="36"/>
      <c r="Q2055" s="36"/>
      <c r="R2055" s="36"/>
      <c r="S2055" s="39"/>
    </row>
    <row r="2056">
      <c r="B2056" s="36"/>
      <c r="C2056" s="36"/>
      <c r="D2056" s="36"/>
      <c r="E2056" s="36"/>
      <c r="F2056" s="36"/>
      <c r="G2056" s="36"/>
      <c r="H2056" s="36"/>
      <c r="I2056" s="36"/>
      <c r="J2056" s="36"/>
      <c r="K2056" s="36"/>
      <c r="L2056" s="36"/>
      <c r="M2056" s="36"/>
      <c r="N2056" s="36"/>
      <c r="O2056" s="36"/>
      <c r="P2056" s="36"/>
      <c r="Q2056" s="36"/>
      <c r="R2056" s="36"/>
      <c r="S2056" s="39"/>
    </row>
    <row r="2057">
      <c r="B2057" s="36"/>
      <c r="C2057" s="36"/>
      <c r="D2057" s="36"/>
      <c r="E2057" s="36"/>
      <c r="F2057" s="36"/>
      <c r="G2057" s="36"/>
      <c r="H2057" s="36"/>
      <c r="I2057" s="36"/>
      <c r="J2057" s="36"/>
      <c r="K2057" s="36"/>
      <c r="L2057" s="36"/>
      <c r="M2057" s="36"/>
      <c r="N2057" s="36"/>
      <c r="O2057" s="36"/>
      <c r="P2057" s="36"/>
      <c r="Q2057" s="36"/>
      <c r="R2057" s="36"/>
      <c r="S2057" s="39"/>
    </row>
    <row r="2058">
      <c r="B2058" s="36"/>
      <c r="C2058" s="36"/>
      <c r="D2058" s="36"/>
      <c r="E2058" s="36"/>
      <c r="F2058" s="36"/>
      <c r="G2058" s="36"/>
      <c r="H2058" s="36"/>
      <c r="I2058" s="36"/>
      <c r="J2058" s="36"/>
      <c r="K2058" s="36"/>
      <c r="L2058" s="36"/>
      <c r="M2058" s="36"/>
      <c r="N2058" s="36"/>
      <c r="O2058" s="36"/>
      <c r="P2058" s="36"/>
      <c r="Q2058" s="36"/>
      <c r="R2058" s="36"/>
      <c r="S2058" s="39"/>
    </row>
    <row r="2059">
      <c r="B2059" s="36"/>
      <c r="C2059" s="36"/>
      <c r="D2059" s="36"/>
      <c r="E2059" s="36"/>
      <c r="F2059" s="36"/>
      <c r="G2059" s="36"/>
      <c r="H2059" s="36"/>
      <c r="I2059" s="36"/>
      <c r="J2059" s="36"/>
      <c r="K2059" s="36"/>
      <c r="L2059" s="36"/>
      <c r="M2059" s="36"/>
      <c r="N2059" s="36"/>
      <c r="O2059" s="36"/>
      <c r="P2059" s="36"/>
      <c r="Q2059" s="36"/>
      <c r="R2059" s="36"/>
      <c r="S2059" s="39"/>
    </row>
    <row r="2060">
      <c r="B2060" s="36"/>
      <c r="C2060" s="36"/>
      <c r="D2060" s="36"/>
      <c r="E2060" s="36"/>
      <c r="F2060" s="36"/>
      <c r="G2060" s="36"/>
      <c r="H2060" s="36"/>
      <c r="I2060" s="36"/>
      <c r="J2060" s="36"/>
      <c r="K2060" s="36"/>
      <c r="L2060" s="36"/>
      <c r="M2060" s="36"/>
      <c r="N2060" s="36"/>
      <c r="O2060" s="36"/>
      <c r="P2060" s="36"/>
      <c r="Q2060" s="36"/>
      <c r="R2060" s="36"/>
      <c r="S2060" s="39"/>
    </row>
    <row r="2061">
      <c r="B2061" s="36"/>
      <c r="C2061" s="36"/>
      <c r="D2061" s="36"/>
      <c r="E2061" s="36"/>
      <c r="F2061" s="36"/>
      <c r="G2061" s="36"/>
      <c r="H2061" s="36"/>
      <c r="I2061" s="36"/>
      <c r="J2061" s="36"/>
      <c r="K2061" s="36"/>
      <c r="L2061" s="36"/>
      <c r="M2061" s="36"/>
      <c r="N2061" s="36"/>
      <c r="O2061" s="36"/>
      <c r="P2061" s="36"/>
      <c r="Q2061" s="36"/>
      <c r="R2061" s="36"/>
      <c r="S2061" s="39"/>
    </row>
    <row r="2062">
      <c r="B2062" s="36"/>
      <c r="C2062" s="36"/>
      <c r="D2062" s="36"/>
      <c r="E2062" s="36"/>
      <c r="F2062" s="36"/>
      <c r="G2062" s="36"/>
      <c r="H2062" s="36"/>
      <c r="I2062" s="36"/>
      <c r="J2062" s="36"/>
      <c r="K2062" s="36"/>
      <c r="L2062" s="36"/>
      <c r="M2062" s="36"/>
      <c r="N2062" s="36"/>
      <c r="O2062" s="36"/>
      <c r="P2062" s="36"/>
      <c r="Q2062" s="36"/>
      <c r="R2062" s="36"/>
      <c r="S2062" s="39"/>
    </row>
    <row r="2063">
      <c r="B2063" s="36"/>
      <c r="C2063" s="36"/>
      <c r="D2063" s="36"/>
      <c r="E2063" s="36"/>
      <c r="F2063" s="36"/>
      <c r="G2063" s="36"/>
      <c r="H2063" s="36"/>
      <c r="I2063" s="36"/>
      <c r="J2063" s="36"/>
      <c r="K2063" s="36"/>
      <c r="L2063" s="36"/>
      <c r="M2063" s="36"/>
      <c r="N2063" s="36"/>
      <c r="O2063" s="36"/>
      <c r="P2063" s="36"/>
      <c r="Q2063" s="36"/>
      <c r="R2063" s="36"/>
      <c r="S2063" s="39"/>
    </row>
    <row r="2064">
      <c r="B2064" s="36"/>
      <c r="C2064" s="36"/>
      <c r="D2064" s="36"/>
      <c r="E2064" s="36"/>
      <c r="F2064" s="36"/>
      <c r="G2064" s="36"/>
      <c r="H2064" s="36"/>
      <c r="I2064" s="36"/>
      <c r="J2064" s="36"/>
      <c r="K2064" s="36"/>
      <c r="L2064" s="36"/>
      <c r="M2064" s="36"/>
      <c r="N2064" s="36"/>
      <c r="O2064" s="36"/>
      <c r="P2064" s="36"/>
      <c r="Q2064" s="36"/>
      <c r="R2064" s="36"/>
      <c r="S2064" s="39"/>
    </row>
    <row r="2065">
      <c r="B2065" s="36"/>
      <c r="C2065" s="36"/>
      <c r="D2065" s="36"/>
      <c r="E2065" s="36"/>
      <c r="F2065" s="36"/>
      <c r="G2065" s="36"/>
      <c r="H2065" s="36"/>
      <c r="I2065" s="36"/>
      <c r="J2065" s="36"/>
      <c r="K2065" s="36"/>
      <c r="L2065" s="36"/>
      <c r="M2065" s="36"/>
      <c r="N2065" s="36"/>
      <c r="O2065" s="36"/>
      <c r="P2065" s="36"/>
      <c r="Q2065" s="36"/>
      <c r="R2065" s="36"/>
      <c r="S2065" s="39"/>
    </row>
    <row r="2066">
      <c r="B2066" s="36"/>
      <c r="C2066" s="36"/>
      <c r="D2066" s="36"/>
      <c r="E2066" s="36"/>
      <c r="F2066" s="36"/>
      <c r="G2066" s="36"/>
      <c r="H2066" s="36"/>
      <c r="I2066" s="36"/>
      <c r="J2066" s="36"/>
      <c r="K2066" s="36"/>
      <c r="L2066" s="36"/>
      <c r="M2066" s="36"/>
      <c r="N2066" s="36"/>
      <c r="O2066" s="36"/>
      <c r="P2066" s="36"/>
      <c r="Q2066" s="36"/>
      <c r="R2066" s="36"/>
      <c r="S2066" s="39"/>
    </row>
    <row r="2067">
      <c r="B2067" s="36"/>
      <c r="C2067" s="36"/>
      <c r="D2067" s="36"/>
      <c r="E2067" s="36"/>
      <c r="F2067" s="36"/>
      <c r="G2067" s="36"/>
      <c r="H2067" s="36"/>
      <c r="I2067" s="36"/>
      <c r="J2067" s="36"/>
      <c r="K2067" s="36"/>
      <c r="L2067" s="36"/>
      <c r="M2067" s="36"/>
      <c r="N2067" s="36"/>
      <c r="O2067" s="36"/>
      <c r="P2067" s="36"/>
      <c r="Q2067" s="36"/>
      <c r="R2067" s="36"/>
      <c r="S2067" s="39"/>
    </row>
    <row r="2068">
      <c r="B2068" s="36"/>
      <c r="C2068" s="36"/>
      <c r="D2068" s="36"/>
      <c r="E2068" s="36"/>
      <c r="F2068" s="36"/>
      <c r="G2068" s="36"/>
      <c r="H2068" s="36"/>
      <c r="I2068" s="36"/>
      <c r="J2068" s="36"/>
      <c r="K2068" s="36"/>
      <c r="L2068" s="36"/>
      <c r="M2068" s="36"/>
      <c r="N2068" s="36"/>
      <c r="O2068" s="36"/>
      <c r="P2068" s="36"/>
      <c r="Q2068" s="36"/>
      <c r="R2068" s="36"/>
      <c r="S2068" s="39"/>
    </row>
    <row r="2069">
      <c r="B2069" s="36"/>
      <c r="C2069" s="36"/>
      <c r="D2069" s="36"/>
      <c r="E2069" s="36"/>
      <c r="F2069" s="36"/>
      <c r="G2069" s="36"/>
      <c r="H2069" s="36"/>
      <c r="I2069" s="36"/>
      <c r="J2069" s="36"/>
      <c r="K2069" s="36"/>
      <c r="L2069" s="36"/>
      <c r="M2069" s="36"/>
      <c r="N2069" s="36"/>
      <c r="O2069" s="36"/>
      <c r="P2069" s="36"/>
      <c r="Q2069" s="36"/>
      <c r="R2069" s="36"/>
      <c r="S2069" s="39"/>
    </row>
    <row r="2070">
      <c r="B2070" s="36"/>
      <c r="C2070" s="36"/>
      <c r="D2070" s="36"/>
      <c r="E2070" s="36"/>
      <c r="F2070" s="36"/>
      <c r="G2070" s="36"/>
      <c r="H2070" s="36"/>
      <c r="I2070" s="36"/>
      <c r="J2070" s="36"/>
      <c r="K2070" s="36"/>
      <c r="L2070" s="36"/>
      <c r="M2070" s="36"/>
      <c r="N2070" s="36"/>
      <c r="O2070" s="36"/>
      <c r="P2070" s="36"/>
      <c r="Q2070" s="36"/>
      <c r="R2070" s="36"/>
      <c r="S2070" s="39"/>
    </row>
    <row r="2071">
      <c r="B2071" s="36"/>
      <c r="C2071" s="36"/>
      <c r="D2071" s="36"/>
      <c r="E2071" s="36"/>
      <c r="F2071" s="36"/>
      <c r="G2071" s="36"/>
      <c r="H2071" s="36"/>
      <c r="I2071" s="36"/>
      <c r="J2071" s="36"/>
      <c r="K2071" s="36"/>
      <c r="L2071" s="36"/>
      <c r="M2071" s="36"/>
      <c r="N2071" s="36"/>
      <c r="O2071" s="36"/>
      <c r="P2071" s="36"/>
      <c r="Q2071" s="36"/>
      <c r="R2071" s="36"/>
      <c r="S2071" s="39"/>
    </row>
    <row r="2072">
      <c r="B2072" s="36"/>
      <c r="C2072" s="36"/>
      <c r="D2072" s="36"/>
      <c r="E2072" s="36"/>
      <c r="F2072" s="36"/>
      <c r="G2072" s="36"/>
      <c r="H2072" s="36"/>
      <c r="I2072" s="36"/>
      <c r="J2072" s="36"/>
      <c r="K2072" s="36"/>
      <c r="L2072" s="36"/>
      <c r="M2072" s="36"/>
      <c r="N2072" s="36"/>
      <c r="O2072" s="36"/>
      <c r="P2072" s="36"/>
      <c r="Q2072" s="36"/>
      <c r="R2072" s="36"/>
      <c r="S2072" s="39"/>
    </row>
    <row r="2073">
      <c r="B2073" s="36"/>
      <c r="C2073" s="36"/>
      <c r="D2073" s="36"/>
      <c r="E2073" s="36"/>
      <c r="F2073" s="36"/>
      <c r="G2073" s="36"/>
      <c r="H2073" s="36"/>
      <c r="I2073" s="36"/>
      <c r="J2073" s="36"/>
      <c r="K2073" s="36"/>
      <c r="L2073" s="36"/>
      <c r="M2073" s="36"/>
      <c r="N2073" s="36"/>
      <c r="O2073" s="36"/>
      <c r="P2073" s="36"/>
      <c r="Q2073" s="36"/>
      <c r="R2073" s="36"/>
      <c r="S2073" s="39"/>
    </row>
    <row r="2074">
      <c r="B2074" s="36"/>
      <c r="C2074" s="36"/>
      <c r="D2074" s="36"/>
      <c r="E2074" s="36"/>
      <c r="F2074" s="36"/>
      <c r="G2074" s="36"/>
      <c r="H2074" s="36"/>
      <c r="I2074" s="36"/>
      <c r="J2074" s="36"/>
      <c r="K2074" s="36"/>
      <c r="L2074" s="36"/>
      <c r="M2074" s="36"/>
      <c r="N2074" s="36"/>
      <c r="O2074" s="36"/>
      <c r="P2074" s="36"/>
      <c r="Q2074" s="36"/>
      <c r="R2074" s="36"/>
      <c r="S2074" s="39"/>
    </row>
    <row r="2075">
      <c r="B2075" s="36"/>
      <c r="C2075" s="36"/>
      <c r="D2075" s="36"/>
      <c r="E2075" s="36"/>
      <c r="F2075" s="36"/>
      <c r="G2075" s="36"/>
      <c r="H2075" s="36"/>
      <c r="I2075" s="36"/>
      <c r="J2075" s="36"/>
      <c r="K2075" s="36"/>
      <c r="L2075" s="36"/>
      <c r="M2075" s="36"/>
      <c r="N2075" s="36"/>
      <c r="O2075" s="36"/>
      <c r="P2075" s="36"/>
      <c r="Q2075" s="36"/>
      <c r="R2075" s="36"/>
      <c r="S2075" s="39"/>
    </row>
    <row r="2076">
      <c r="B2076" s="36"/>
      <c r="C2076" s="36"/>
      <c r="D2076" s="36"/>
      <c r="E2076" s="36"/>
      <c r="F2076" s="36"/>
      <c r="G2076" s="36"/>
      <c r="H2076" s="36"/>
      <c r="I2076" s="36"/>
      <c r="J2076" s="36"/>
      <c r="K2076" s="36"/>
      <c r="L2076" s="36"/>
      <c r="M2076" s="36"/>
      <c r="N2076" s="36"/>
      <c r="O2076" s="36"/>
      <c r="P2076" s="36"/>
      <c r="Q2076" s="36"/>
      <c r="R2076" s="36"/>
      <c r="S2076" s="39"/>
    </row>
    <row r="2077">
      <c r="B2077" s="36"/>
      <c r="C2077" s="36"/>
      <c r="D2077" s="36"/>
      <c r="E2077" s="36"/>
      <c r="F2077" s="36"/>
      <c r="G2077" s="36"/>
      <c r="H2077" s="36"/>
      <c r="I2077" s="36"/>
      <c r="J2077" s="36"/>
      <c r="K2077" s="36"/>
      <c r="L2077" s="36"/>
      <c r="M2077" s="36"/>
      <c r="N2077" s="36"/>
      <c r="O2077" s="36"/>
      <c r="P2077" s="36"/>
      <c r="Q2077" s="36"/>
      <c r="R2077" s="36"/>
      <c r="S2077" s="39"/>
    </row>
    <row r="2078">
      <c r="B2078" s="36"/>
      <c r="C2078" s="36"/>
      <c r="D2078" s="36"/>
      <c r="E2078" s="36"/>
      <c r="F2078" s="36"/>
      <c r="G2078" s="36"/>
      <c r="H2078" s="36"/>
      <c r="I2078" s="36"/>
      <c r="J2078" s="36"/>
      <c r="K2078" s="36"/>
      <c r="L2078" s="36"/>
      <c r="M2078" s="36"/>
      <c r="N2078" s="36"/>
      <c r="O2078" s="36"/>
      <c r="P2078" s="36"/>
      <c r="Q2078" s="36"/>
      <c r="R2078" s="36"/>
      <c r="S2078" s="39"/>
    </row>
    <row r="2079">
      <c r="B2079" s="36"/>
      <c r="C2079" s="36"/>
      <c r="D2079" s="36"/>
      <c r="E2079" s="36"/>
      <c r="F2079" s="36"/>
      <c r="G2079" s="36"/>
      <c r="H2079" s="36"/>
      <c r="I2079" s="36"/>
      <c r="J2079" s="36"/>
      <c r="K2079" s="36"/>
      <c r="L2079" s="36"/>
      <c r="M2079" s="36"/>
      <c r="N2079" s="36"/>
      <c r="O2079" s="36"/>
      <c r="P2079" s="36"/>
      <c r="Q2079" s="36"/>
      <c r="R2079" s="36"/>
      <c r="S2079" s="39"/>
    </row>
    <row r="2080">
      <c r="B2080" s="36"/>
      <c r="C2080" s="36"/>
      <c r="D2080" s="36"/>
      <c r="E2080" s="36"/>
      <c r="F2080" s="36"/>
      <c r="G2080" s="36"/>
      <c r="H2080" s="36"/>
      <c r="I2080" s="36"/>
      <c r="J2080" s="36"/>
      <c r="K2080" s="36"/>
      <c r="L2080" s="36"/>
      <c r="M2080" s="36"/>
      <c r="N2080" s="36"/>
      <c r="O2080" s="36"/>
      <c r="P2080" s="36"/>
      <c r="Q2080" s="36"/>
      <c r="R2080" s="36"/>
      <c r="S2080" s="39"/>
    </row>
    <row r="2081">
      <c r="B2081" s="36"/>
      <c r="C2081" s="36"/>
      <c r="D2081" s="36"/>
      <c r="E2081" s="36"/>
      <c r="F2081" s="36"/>
      <c r="G2081" s="36"/>
      <c r="H2081" s="36"/>
      <c r="I2081" s="36"/>
      <c r="J2081" s="36"/>
      <c r="K2081" s="36"/>
      <c r="L2081" s="36"/>
      <c r="M2081" s="36"/>
      <c r="N2081" s="36"/>
      <c r="O2081" s="36"/>
      <c r="P2081" s="36"/>
      <c r="Q2081" s="36"/>
      <c r="R2081" s="36"/>
      <c r="S2081" s="39"/>
    </row>
    <row r="2082">
      <c r="B2082" s="36"/>
      <c r="C2082" s="36"/>
      <c r="D2082" s="36"/>
      <c r="E2082" s="36"/>
      <c r="F2082" s="36"/>
      <c r="G2082" s="36"/>
      <c r="H2082" s="36"/>
      <c r="I2082" s="36"/>
      <c r="J2082" s="36"/>
      <c r="K2082" s="36"/>
      <c r="L2082" s="36"/>
      <c r="M2082" s="36"/>
      <c r="N2082" s="36"/>
      <c r="O2082" s="36"/>
      <c r="P2082" s="36"/>
      <c r="Q2082" s="36"/>
      <c r="R2082" s="36"/>
      <c r="S2082" s="39"/>
    </row>
    <row r="2083">
      <c r="B2083" s="36"/>
      <c r="C2083" s="36"/>
      <c r="D2083" s="36"/>
      <c r="E2083" s="36"/>
      <c r="F2083" s="36"/>
      <c r="G2083" s="36"/>
      <c r="H2083" s="36"/>
      <c r="I2083" s="36"/>
      <c r="J2083" s="36"/>
      <c r="K2083" s="36"/>
      <c r="L2083" s="36"/>
      <c r="M2083" s="36"/>
      <c r="N2083" s="36"/>
      <c r="O2083" s="36"/>
      <c r="P2083" s="36"/>
      <c r="Q2083" s="36"/>
      <c r="R2083" s="36"/>
      <c r="S2083" s="39"/>
    </row>
    <row r="2084">
      <c r="B2084" s="36"/>
      <c r="C2084" s="36"/>
      <c r="D2084" s="36"/>
      <c r="E2084" s="36"/>
      <c r="F2084" s="36"/>
      <c r="G2084" s="36"/>
      <c r="H2084" s="36"/>
      <c r="I2084" s="36"/>
      <c r="J2084" s="36"/>
      <c r="K2084" s="36"/>
      <c r="L2084" s="36"/>
      <c r="M2084" s="36"/>
      <c r="N2084" s="36"/>
      <c r="O2084" s="36"/>
      <c r="P2084" s="36"/>
      <c r="Q2084" s="36"/>
      <c r="R2084" s="36"/>
      <c r="S2084" s="39"/>
    </row>
    <row r="2085">
      <c r="B2085" s="36"/>
      <c r="C2085" s="36"/>
      <c r="D2085" s="36"/>
      <c r="E2085" s="36"/>
      <c r="F2085" s="36"/>
      <c r="G2085" s="36"/>
      <c r="H2085" s="36"/>
      <c r="I2085" s="36"/>
      <c r="J2085" s="36"/>
      <c r="K2085" s="36"/>
      <c r="L2085" s="36"/>
      <c r="M2085" s="36"/>
      <c r="N2085" s="36"/>
      <c r="O2085" s="36"/>
      <c r="P2085" s="36"/>
      <c r="Q2085" s="36"/>
      <c r="R2085" s="36"/>
      <c r="S2085" s="39"/>
    </row>
    <row r="2086">
      <c r="B2086" s="36"/>
      <c r="C2086" s="36"/>
      <c r="D2086" s="36"/>
      <c r="E2086" s="36"/>
      <c r="F2086" s="36"/>
      <c r="G2086" s="36"/>
      <c r="H2086" s="36"/>
      <c r="I2086" s="36"/>
      <c r="J2086" s="36"/>
      <c r="K2086" s="36"/>
      <c r="L2086" s="36"/>
      <c r="M2086" s="36"/>
      <c r="N2086" s="36"/>
      <c r="O2086" s="36"/>
      <c r="P2086" s="36"/>
      <c r="Q2086" s="36"/>
      <c r="R2086" s="36"/>
      <c r="S2086" s="39"/>
    </row>
    <row r="2087">
      <c r="B2087" s="36"/>
      <c r="C2087" s="36"/>
      <c r="D2087" s="36"/>
      <c r="E2087" s="36"/>
      <c r="F2087" s="36"/>
      <c r="G2087" s="36"/>
      <c r="H2087" s="36"/>
      <c r="I2087" s="36"/>
      <c r="J2087" s="36"/>
      <c r="K2087" s="36"/>
      <c r="L2087" s="36"/>
      <c r="M2087" s="36"/>
      <c r="N2087" s="36"/>
      <c r="O2087" s="36"/>
      <c r="P2087" s="36"/>
      <c r="Q2087" s="36"/>
      <c r="R2087" s="36"/>
      <c r="S2087" s="39"/>
    </row>
    <row r="2088">
      <c r="B2088" s="36"/>
      <c r="C2088" s="36"/>
      <c r="D2088" s="36"/>
      <c r="E2088" s="36"/>
      <c r="F2088" s="36"/>
      <c r="G2088" s="36"/>
      <c r="H2088" s="36"/>
      <c r="I2088" s="36"/>
      <c r="J2088" s="36"/>
      <c r="K2088" s="36"/>
      <c r="L2088" s="36"/>
      <c r="M2088" s="36"/>
      <c r="N2088" s="36"/>
      <c r="O2088" s="36"/>
      <c r="P2088" s="36"/>
      <c r="Q2088" s="36"/>
      <c r="R2088" s="36"/>
      <c r="S2088" s="39"/>
    </row>
    <row r="2089">
      <c r="B2089" s="36"/>
      <c r="C2089" s="36"/>
      <c r="D2089" s="36"/>
      <c r="E2089" s="36"/>
      <c r="F2089" s="36"/>
      <c r="G2089" s="36"/>
      <c r="H2089" s="36"/>
      <c r="I2089" s="36"/>
      <c r="J2089" s="36"/>
      <c r="K2089" s="36"/>
      <c r="L2089" s="36"/>
      <c r="M2089" s="36"/>
      <c r="N2089" s="36"/>
      <c r="O2089" s="36"/>
      <c r="P2089" s="36"/>
      <c r="Q2089" s="36"/>
      <c r="R2089" s="36"/>
      <c r="S2089" s="39"/>
    </row>
    <row r="2090">
      <c r="B2090" s="36"/>
      <c r="C2090" s="36"/>
      <c r="D2090" s="36"/>
      <c r="E2090" s="36"/>
      <c r="F2090" s="36"/>
      <c r="G2090" s="36"/>
      <c r="H2090" s="36"/>
      <c r="I2090" s="36"/>
      <c r="J2090" s="36"/>
      <c r="K2090" s="36"/>
      <c r="L2090" s="36"/>
      <c r="M2090" s="36"/>
      <c r="N2090" s="36"/>
      <c r="O2090" s="36"/>
      <c r="P2090" s="36"/>
      <c r="Q2090" s="36"/>
      <c r="R2090" s="36"/>
      <c r="S2090" s="39"/>
    </row>
    <row r="2091">
      <c r="B2091" s="36"/>
      <c r="C2091" s="36"/>
      <c r="D2091" s="36"/>
      <c r="E2091" s="36"/>
      <c r="F2091" s="36"/>
      <c r="G2091" s="36"/>
      <c r="H2091" s="36"/>
      <c r="I2091" s="36"/>
      <c r="J2091" s="36"/>
      <c r="K2091" s="36"/>
      <c r="L2091" s="36"/>
      <c r="M2091" s="36"/>
      <c r="N2091" s="36"/>
      <c r="O2091" s="36"/>
      <c r="P2091" s="36"/>
      <c r="Q2091" s="36"/>
      <c r="R2091" s="36"/>
      <c r="S2091" s="39"/>
    </row>
    <row r="2092">
      <c r="B2092" s="36"/>
      <c r="C2092" s="36"/>
      <c r="D2092" s="36"/>
      <c r="E2092" s="36"/>
      <c r="F2092" s="36"/>
      <c r="G2092" s="36"/>
      <c r="H2092" s="36"/>
      <c r="I2092" s="36"/>
      <c r="J2092" s="36"/>
      <c r="K2092" s="36"/>
      <c r="L2092" s="36"/>
      <c r="M2092" s="36"/>
      <c r="N2092" s="36"/>
      <c r="O2092" s="36"/>
      <c r="P2092" s="36"/>
      <c r="Q2092" s="36"/>
      <c r="R2092" s="36"/>
      <c r="S2092" s="39"/>
    </row>
    <row r="2093">
      <c r="B2093" s="36"/>
      <c r="C2093" s="36"/>
      <c r="D2093" s="36"/>
      <c r="E2093" s="36"/>
      <c r="F2093" s="36"/>
      <c r="G2093" s="36"/>
      <c r="H2093" s="36"/>
      <c r="I2093" s="36"/>
      <c r="J2093" s="36"/>
      <c r="K2093" s="36"/>
      <c r="L2093" s="36"/>
      <c r="M2093" s="36"/>
      <c r="N2093" s="36"/>
      <c r="O2093" s="36"/>
      <c r="P2093" s="36"/>
      <c r="Q2093" s="36"/>
      <c r="R2093" s="36"/>
      <c r="S2093" s="39"/>
    </row>
    <row r="2094">
      <c r="B2094" s="36"/>
      <c r="C2094" s="36"/>
      <c r="D2094" s="36"/>
      <c r="E2094" s="36"/>
      <c r="F2094" s="36"/>
      <c r="G2094" s="36"/>
      <c r="H2094" s="36"/>
      <c r="I2094" s="36"/>
      <c r="J2094" s="36"/>
      <c r="K2094" s="36"/>
      <c r="L2094" s="36"/>
      <c r="M2094" s="36"/>
      <c r="N2094" s="36"/>
      <c r="O2094" s="36"/>
      <c r="P2094" s="36"/>
      <c r="Q2094" s="36"/>
      <c r="R2094" s="36"/>
      <c r="S2094" s="39"/>
    </row>
    <row r="2095">
      <c r="B2095" s="36"/>
      <c r="C2095" s="36"/>
      <c r="D2095" s="36"/>
      <c r="E2095" s="36"/>
      <c r="F2095" s="36"/>
      <c r="G2095" s="36"/>
      <c r="H2095" s="36"/>
      <c r="I2095" s="36"/>
      <c r="J2095" s="36"/>
      <c r="K2095" s="36"/>
      <c r="L2095" s="36"/>
      <c r="M2095" s="36"/>
      <c r="N2095" s="36"/>
      <c r="O2095" s="36"/>
      <c r="P2095" s="36"/>
      <c r="Q2095" s="36"/>
      <c r="R2095" s="36"/>
      <c r="S2095" s="39"/>
    </row>
    <row r="2096">
      <c r="B2096" s="36"/>
      <c r="C2096" s="36"/>
      <c r="D2096" s="36"/>
      <c r="E2096" s="36"/>
      <c r="F2096" s="36"/>
      <c r="G2096" s="36"/>
      <c r="H2096" s="36"/>
      <c r="I2096" s="36"/>
      <c r="J2096" s="36"/>
      <c r="K2096" s="36"/>
      <c r="L2096" s="36"/>
      <c r="M2096" s="36"/>
      <c r="N2096" s="36"/>
      <c r="O2096" s="36"/>
      <c r="P2096" s="36"/>
      <c r="Q2096" s="36"/>
      <c r="R2096" s="36"/>
      <c r="S2096" s="39"/>
    </row>
    <row r="2097">
      <c r="B2097" s="36"/>
      <c r="C2097" s="36"/>
      <c r="D2097" s="36"/>
      <c r="E2097" s="36"/>
      <c r="F2097" s="36"/>
      <c r="G2097" s="36"/>
      <c r="H2097" s="36"/>
      <c r="I2097" s="36"/>
      <c r="J2097" s="36"/>
      <c r="K2097" s="36"/>
      <c r="L2097" s="36"/>
      <c r="M2097" s="36"/>
      <c r="N2097" s="36"/>
      <c r="O2097" s="36"/>
      <c r="P2097" s="36"/>
      <c r="Q2097" s="36"/>
      <c r="R2097" s="36"/>
      <c r="S2097" s="39"/>
    </row>
    <row r="2098">
      <c r="B2098" s="36"/>
      <c r="C2098" s="36"/>
      <c r="D2098" s="36"/>
      <c r="E2098" s="36"/>
      <c r="F2098" s="36"/>
      <c r="G2098" s="36"/>
      <c r="H2098" s="36"/>
      <c r="I2098" s="36"/>
      <c r="J2098" s="36"/>
      <c r="K2098" s="36"/>
      <c r="L2098" s="36"/>
      <c r="M2098" s="36"/>
      <c r="N2098" s="36"/>
      <c r="O2098" s="36"/>
      <c r="P2098" s="36"/>
      <c r="Q2098" s="36"/>
      <c r="R2098" s="36"/>
      <c r="S2098" s="39"/>
    </row>
    <row r="2099">
      <c r="B2099" s="36"/>
      <c r="C2099" s="36"/>
      <c r="D2099" s="36"/>
      <c r="E2099" s="36"/>
      <c r="F2099" s="36"/>
      <c r="G2099" s="36"/>
      <c r="H2099" s="36"/>
      <c r="I2099" s="36"/>
      <c r="J2099" s="36"/>
      <c r="K2099" s="36"/>
      <c r="L2099" s="36"/>
      <c r="M2099" s="36"/>
      <c r="N2099" s="36"/>
      <c r="O2099" s="36"/>
      <c r="P2099" s="36"/>
      <c r="Q2099" s="36"/>
      <c r="R2099" s="36"/>
      <c r="S2099" s="39"/>
    </row>
    <row r="2100">
      <c r="B2100" s="36"/>
      <c r="C2100" s="36"/>
      <c r="D2100" s="36"/>
      <c r="E2100" s="36"/>
      <c r="F2100" s="36"/>
      <c r="G2100" s="36"/>
      <c r="H2100" s="36"/>
      <c r="I2100" s="36"/>
      <c r="J2100" s="36"/>
      <c r="K2100" s="36"/>
      <c r="L2100" s="36"/>
      <c r="M2100" s="36"/>
      <c r="N2100" s="36"/>
      <c r="O2100" s="36"/>
      <c r="P2100" s="36"/>
      <c r="Q2100" s="36"/>
      <c r="R2100" s="36"/>
      <c r="S2100" s="39"/>
    </row>
    <row r="2101">
      <c r="B2101" s="36"/>
      <c r="C2101" s="36"/>
      <c r="D2101" s="36"/>
      <c r="E2101" s="36"/>
      <c r="F2101" s="36"/>
      <c r="G2101" s="36"/>
      <c r="H2101" s="36"/>
      <c r="I2101" s="36"/>
      <c r="J2101" s="36"/>
      <c r="K2101" s="36"/>
      <c r="L2101" s="36"/>
      <c r="M2101" s="36"/>
      <c r="N2101" s="36"/>
      <c r="O2101" s="36"/>
      <c r="P2101" s="36"/>
      <c r="Q2101" s="36"/>
      <c r="R2101" s="36"/>
      <c r="S2101" s="39"/>
    </row>
    <row r="2102">
      <c r="B2102" s="36"/>
      <c r="C2102" s="36"/>
      <c r="D2102" s="36"/>
      <c r="E2102" s="36"/>
      <c r="F2102" s="36"/>
      <c r="G2102" s="36"/>
      <c r="H2102" s="36"/>
      <c r="I2102" s="36"/>
      <c r="J2102" s="36"/>
      <c r="K2102" s="36"/>
      <c r="L2102" s="36"/>
      <c r="M2102" s="36"/>
      <c r="N2102" s="36"/>
      <c r="O2102" s="36"/>
      <c r="P2102" s="36"/>
      <c r="Q2102" s="36"/>
      <c r="R2102" s="36"/>
      <c r="S2102" s="39"/>
    </row>
    <row r="2103">
      <c r="B2103" s="36"/>
      <c r="C2103" s="36"/>
      <c r="D2103" s="36"/>
      <c r="E2103" s="36"/>
      <c r="F2103" s="36"/>
      <c r="G2103" s="36"/>
      <c r="H2103" s="36"/>
      <c r="I2103" s="36"/>
      <c r="J2103" s="36"/>
      <c r="K2103" s="36"/>
      <c r="L2103" s="36"/>
      <c r="M2103" s="36"/>
      <c r="N2103" s="36"/>
      <c r="O2103" s="36"/>
      <c r="P2103" s="36"/>
      <c r="Q2103" s="36"/>
      <c r="R2103" s="36"/>
      <c r="S2103" s="39"/>
    </row>
    <row r="2104">
      <c r="B2104" s="36"/>
      <c r="C2104" s="36"/>
      <c r="D2104" s="36"/>
      <c r="E2104" s="36"/>
      <c r="F2104" s="36"/>
      <c r="G2104" s="36"/>
      <c r="H2104" s="36"/>
      <c r="I2104" s="36"/>
      <c r="J2104" s="36"/>
      <c r="K2104" s="36"/>
      <c r="L2104" s="36"/>
      <c r="M2104" s="36"/>
      <c r="N2104" s="36"/>
      <c r="O2104" s="36"/>
      <c r="P2104" s="36"/>
      <c r="Q2104" s="36"/>
      <c r="R2104" s="36"/>
      <c r="S2104" s="39"/>
    </row>
    <row r="2105">
      <c r="B2105" s="36"/>
      <c r="C2105" s="36"/>
      <c r="D2105" s="36"/>
      <c r="E2105" s="36"/>
      <c r="F2105" s="36"/>
      <c r="G2105" s="36"/>
      <c r="H2105" s="36"/>
      <c r="I2105" s="36"/>
      <c r="J2105" s="36"/>
      <c r="K2105" s="36"/>
      <c r="L2105" s="36"/>
      <c r="M2105" s="36"/>
      <c r="N2105" s="36"/>
      <c r="O2105" s="36"/>
      <c r="P2105" s="36"/>
      <c r="Q2105" s="36"/>
      <c r="R2105" s="36"/>
      <c r="S2105" s="39"/>
    </row>
    <row r="2106">
      <c r="B2106" s="36"/>
      <c r="C2106" s="36"/>
      <c r="D2106" s="36"/>
      <c r="E2106" s="36"/>
      <c r="F2106" s="36"/>
      <c r="G2106" s="36"/>
      <c r="H2106" s="36"/>
      <c r="I2106" s="36"/>
      <c r="J2106" s="36"/>
      <c r="K2106" s="36"/>
      <c r="L2106" s="36"/>
      <c r="M2106" s="36"/>
      <c r="N2106" s="36"/>
      <c r="O2106" s="36"/>
      <c r="P2106" s="36"/>
      <c r="Q2106" s="36"/>
      <c r="R2106" s="36"/>
      <c r="S2106" s="39"/>
    </row>
    <row r="2107">
      <c r="B2107" s="36"/>
      <c r="C2107" s="36"/>
      <c r="D2107" s="36"/>
      <c r="E2107" s="36"/>
      <c r="F2107" s="36"/>
      <c r="G2107" s="36"/>
      <c r="H2107" s="36"/>
      <c r="I2107" s="36"/>
      <c r="J2107" s="36"/>
      <c r="K2107" s="36"/>
      <c r="L2107" s="36"/>
      <c r="M2107" s="36"/>
      <c r="N2107" s="36"/>
      <c r="O2107" s="36"/>
      <c r="P2107" s="36"/>
      <c r="Q2107" s="36"/>
      <c r="R2107" s="36"/>
      <c r="S2107" s="39"/>
    </row>
    <row r="2108">
      <c r="B2108" s="36"/>
      <c r="C2108" s="36"/>
      <c r="D2108" s="36"/>
      <c r="E2108" s="36"/>
      <c r="F2108" s="36"/>
      <c r="G2108" s="36"/>
      <c r="H2108" s="36"/>
      <c r="I2108" s="36"/>
      <c r="J2108" s="36"/>
      <c r="K2108" s="36"/>
      <c r="L2108" s="36"/>
      <c r="M2108" s="36"/>
      <c r="N2108" s="36"/>
      <c r="O2108" s="36"/>
      <c r="P2108" s="36"/>
      <c r="Q2108" s="36"/>
      <c r="R2108" s="36"/>
      <c r="S2108" s="39"/>
    </row>
    <row r="2109">
      <c r="B2109" s="36"/>
      <c r="C2109" s="36"/>
      <c r="D2109" s="36"/>
      <c r="E2109" s="36"/>
      <c r="F2109" s="36"/>
      <c r="G2109" s="36"/>
      <c r="H2109" s="36"/>
      <c r="I2109" s="36"/>
      <c r="J2109" s="36"/>
      <c r="K2109" s="36"/>
      <c r="L2109" s="36"/>
      <c r="M2109" s="36"/>
      <c r="N2109" s="36"/>
      <c r="O2109" s="36"/>
      <c r="P2109" s="36"/>
      <c r="Q2109" s="36"/>
      <c r="R2109" s="36"/>
      <c r="S2109" s="39"/>
    </row>
    <row r="2110">
      <c r="B2110" s="36"/>
      <c r="C2110" s="36"/>
      <c r="D2110" s="36"/>
      <c r="E2110" s="36"/>
      <c r="F2110" s="36"/>
      <c r="G2110" s="36"/>
      <c r="H2110" s="36"/>
      <c r="I2110" s="36"/>
      <c r="J2110" s="36"/>
      <c r="K2110" s="36"/>
      <c r="L2110" s="36"/>
      <c r="M2110" s="36"/>
      <c r="N2110" s="36"/>
      <c r="O2110" s="36"/>
      <c r="P2110" s="36"/>
      <c r="Q2110" s="36"/>
      <c r="R2110" s="36"/>
      <c r="S2110" s="39"/>
    </row>
    <row r="2111">
      <c r="B2111" s="36"/>
      <c r="C2111" s="36"/>
      <c r="D2111" s="36"/>
      <c r="E2111" s="36"/>
      <c r="F2111" s="36"/>
      <c r="G2111" s="36"/>
      <c r="H2111" s="36"/>
      <c r="I2111" s="36"/>
      <c r="J2111" s="36"/>
      <c r="K2111" s="36"/>
      <c r="L2111" s="36"/>
      <c r="M2111" s="36"/>
      <c r="N2111" s="36"/>
      <c r="O2111" s="36"/>
      <c r="P2111" s="36"/>
      <c r="Q2111" s="36"/>
      <c r="R2111" s="36"/>
      <c r="S2111" s="39"/>
    </row>
    <row r="2112">
      <c r="B2112" s="36"/>
      <c r="C2112" s="36"/>
      <c r="D2112" s="36"/>
      <c r="E2112" s="36"/>
      <c r="F2112" s="36"/>
      <c r="G2112" s="36"/>
      <c r="H2112" s="36"/>
      <c r="I2112" s="36"/>
      <c r="J2112" s="36"/>
      <c r="K2112" s="36"/>
      <c r="L2112" s="36"/>
      <c r="M2112" s="36"/>
      <c r="N2112" s="36"/>
      <c r="O2112" s="36"/>
      <c r="P2112" s="36"/>
      <c r="Q2112" s="36"/>
      <c r="R2112" s="36"/>
      <c r="S2112" s="39"/>
    </row>
    <row r="2113">
      <c r="B2113" s="36"/>
      <c r="C2113" s="36"/>
      <c r="D2113" s="36"/>
      <c r="E2113" s="36"/>
      <c r="F2113" s="36"/>
      <c r="G2113" s="36"/>
      <c r="H2113" s="36"/>
      <c r="I2113" s="36"/>
      <c r="J2113" s="36"/>
      <c r="K2113" s="36"/>
      <c r="L2113" s="36"/>
      <c r="M2113" s="36"/>
      <c r="N2113" s="36"/>
      <c r="O2113" s="36"/>
      <c r="P2113" s="36"/>
      <c r="Q2113" s="36"/>
      <c r="R2113" s="36"/>
      <c r="S2113" s="39"/>
    </row>
    <row r="2114">
      <c r="B2114" s="36"/>
      <c r="C2114" s="36"/>
      <c r="D2114" s="36"/>
      <c r="E2114" s="36"/>
      <c r="F2114" s="36"/>
      <c r="G2114" s="36"/>
      <c r="H2114" s="36"/>
      <c r="I2114" s="36"/>
      <c r="J2114" s="36"/>
      <c r="K2114" s="36"/>
      <c r="L2114" s="36"/>
      <c r="M2114" s="36"/>
      <c r="N2114" s="36"/>
      <c r="O2114" s="36"/>
      <c r="P2114" s="36"/>
      <c r="Q2114" s="36"/>
      <c r="R2114" s="36"/>
      <c r="S2114" s="39"/>
    </row>
    <row r="2115">
      <c r="B2115" s="36"/>
      <c r="C2115" s="36"/>
      <c r="D2115" s="36"/>
      <c r="E2115" s="36"/>
      <c r="F2115" s="36"/>
      <c r="G2115" s="36"/>
      <c r="H2115" s="36"/>
      <c r="I2115" s="36"/>
      <c r="J2115" s="36"/>
      <c r="K2115" s="36"/>
      <c r="L2115" s="36"/>
      <c r="M2115" s="36"/>
      <c r="N2115" s="36"/>
      <c r="O2115" s="36"/>
      <c r="P2115" s="36"/>
      <c r="Q2115" s="36"/>
      <c r="R2115" s="36"/>
      <c r="S2115" s="39"/>
    </row>
    <row r="2116">
      <c r="B2116" s="36"/>
      <c r="C2116" s="36"/>
      <c r="D2116" s="36"/>
      <c r="E2116" s="36"/>
      <c r="F2116" s="36"/>
      <c r="G2116" s="36"/>
      <c r="H2116" s="36"/>
      <c r="I2116" s="36"/>
      <c r="J2116" s="36"/>
      <c r="K2116" s="36"/>
      <c r="L2116" s="36"/>
      <c r="M2116" s="36"/>
      <c r="N2116" s="36"/>
      <c r="O2116" s="36"/>
      <c r="P2116" s="36"/>
      <c r="Q2116" s="36"/>
      <c r="R2116" s="36"/>
      <c r="S2116" s="39"/>
    </row>
    <row r="2117">
      <c r="B2117" s="36"/>
      <c r="C2117" s="36"/>
      <c r="D2117" s="36"/>
      <c r="E2117" s="36"/>
      <c r="F2117" s="36"/>
      <c r="G2117" s="36"/>
      <c r="H2117" s="36"/>
      <c r="I2117" s="36"/>
      <c r="J2117" s="36"/>
      <c r="K2117" s="36"/>
      <c r="L2117" s="36"/>
      <c r="M2117" s="36"/>
      <c r="N2117" s="36"/>
      <c r="O2117" s="36"/>
      <c r="P2117" s="36"/>
      <c r="Q2117" s="36"/>
      <c r="R2117" s="36"/>
      <c r="S2117" s="39"/>
    </row>
    <row r="2118">
      <c r="B2118" s="36"/>
      <c r="C2118" s="36"/>
      <c r="D2118" s="36"/>
      <c r="E2118" s="36"/>
      <c r="F2118" s="36"/>
      <c r="G2118" s="36"/>
      <c r="H2118" s="36"/>
      <c r="I2118" s="36"/>
      <c r="J2118" s="36"/>
      <c r="K2118" s="36"/>
      <c r="L2118" s="36"/>
      <c r="M2118" s="36"/>
      <c r="N2118" s="36"/>
      <c r="O2118" s="36"/>
      <c r="P2118" s="36"/>
      <c r="Q2118" s="36"/>
      <c r="R2118" s="36"/>
      <c r="S2118" s="39"/>
    </row>
    <row r="2119">
      <c r="B2119" s="36"/>
      <c r="C2119" s="36"/>
      <c r="D2119" s="36"/>
      <c r="E2119" s="36"/>
      <c r="F2119" s="36"/>
      <c r="G2119" s="36"/>
      <c r="H2119" s="36"/>
      <c r="I2119" s="36"/>
      <c r="J2119" s="36"/>
      <c r="K2119" s="36"/>
      <c r="L2119" s="36"/>
      <c r="M2119" s="36"/>
      <c r="N2119" s="36"/>
      <c r="O2119" s="36"/>
      <c r="P2119" s="36"/>
      <c r="Q2119" s="36"/>
      <c r="R2119" s="36"/>
      <c r="S2119" s="39"/>
    </row>
    <row r="2120">
      <c r="B2120" s="36"/>
      <c r="C2120" s="36"/>
      <c r="D2120" s="36"/>
      <c r="E2120" s="36"/>
      <c r="F2120" s="36"/>
      <c r="G2120" s="36"/>
      <c r="H2120" s="36"/>
      <c r="I2120" s="36"/>
      <c r="J2120" s="36"/>
      <c r="K2120" s="36"/>
      <c r="L2120" s="36"/>
      <c r="M2120" s="36"/>
      <c r="N2120" s="36"/>
      <c r="O2120" s="36"/>
      <c r="P2120" s="36"/>
      <c r="Q2120" s="36"/>
      <c r="R2120" s="36"/>
      <c r="S2120" s="39"/>
    </row>
    <row r="2121">
      <c r="B2121" s="36"/>
      <c r="C2121" s="36"/>
      <c r="D2121" s="36"/>
      <c r="E2121" s="36"/>
      <c r="F2121" s="36"/>
      <c r="G2121" s="36"/>
      <c r="H2121" s="36"/>
      <c r="I2121" s="36"/>
      <c r="J2121" s="36"/>
      <c r="K2121" s="36"/>
      <c r="L2121" s="36"/>
      <c r="M2121" s="36"/>
      <c r="N2121" s="36"/>
      <c r="O2121" s="36"/>
      <c r="P2121" s="36"/>
      <c r="Q2121" s="36"/>
      <c r="R2121" s="36"/>
      <c r="S2121" s="39"/>
    </row>
    <row r="2122">
      <c r="B2122" s="36"/>
      <c r="C2122" s="36"/>
      <c r="D2122" s="36"/>
      <c r="E2122" s="36"/>
      <c r="F2122" s="36"/>
      <c r="G2122" s="36"/>
      <c r="H2122" s="36"/>
      <c r="I2122" s="36"/>
      <c r="J2122" s="36"/>
      <c r="K2122" s="36"/>
      <c r="L2122" s="36"/>
      <c r="M2122" s="36"/>
      <c r="N2122" s="36"/>
      <c r="O2122" s="36"/>
      <c r="P2122" s="36"/>
      <c r="Q2122" s="36"/>
      <c r="R2122" s="36"/>
      <c r="S2122" s="39"/>
    </row>
    <row r="2123">
      <c r="B2123" s="36"/>
      <c r="C2123" s="36"/>
      <c r="D2123" s="36"/>
      <c r="E2123" s="36"/>
      <c r="F2123" s="36"/>
      <c r="G2123" s="36"/>
      <c r="H2123" s="36"/>
      <c r="I2123" s="36"/>
      <c r="J2123" s="36"/>
      <c r="K2123" s="36"/>
      <c r="L2123" s="36"/>
      <c r="M2123" s="36"/>
      <c r="N2123" s="36"/>
      <c r="O2123" s="36"/>
      <c r="P2123" s="36"/>
      <c r="Q2123" s="36"/>
      <c r="R2123" s="36"/>
      <c r="S2123" s="39"/>
    </row>
    <row r="2124">
      <c r="B2124" s="36"/>
      <c r="C2124" s="36"/>
      <c r="D2124" s="36"/>
      <c r="E2124" s="36"/>
      <c r="F2124" s="36"/>
      <c r="G2124" s="36"/>
      <c r="H2124" s="36"/>
      <c r="I2124" s="36"/>
      <c r="J2124" s="36"/>
      <c r="K2124" s="36"/>
      <c r="L2124" s="36"/>
      <c r="M2124" s="36"/>
      <c r="N2124" s="36"/>
      <c r="O2124" s="36"/>
      <c r="P2124" s="36"/>
      <c r="Q2124" s="36"/>
      <c r="R2124" s="36"/>
      <c r="S2124" s="39"/>
    </row>
    <row r="2125">
      <c r="B2125" s="36"/>
      <c r="C2125" s="36"/>
      <c r="D2125" s="36"/>
      <c r="E2125" s="36"/>
      <c r="F2125" s="36"/>
      <c r="G2125" s="36"/>
      <c r="H2125" s="36"/>
      <c r="I2125" s="36"/>
      <c r="J2125" s="36"/>
      <c r="K2125" s="36"/>
      <c r="L2125" s="36"/>
      <c r="M2125" s="36"/>
      <c r="N2125" s="36"/>
      <c r="O2125" s="36"/>
      <c r="P2125" s="36"/>
      <c r="Q2125" s="36"/>
      <c r="R2125" s="36"/>
      <c r="S2125" s="39"/>
    </row>
    <row r="2126">
      <c r="B2126" s="36"/>
      <c r="C2126" s="36"/>
      <c r="D2126" s="36"/>
      <c r="E2126" s="36"/>
      <c r="F2126" s="36"/>
      <c r="G2126" s="36"/>
      <c r="H2126" s="36"/>
      <c r="I2126" s="36"/>
      <c r="J2126" s="36"/>
      <c r="K2126" s="36"/>
      <c r="L2126" s="36"/>
      <c r="M2126" s="36"/>
      <c r="N2126" s="36"/>
      <c r="O2126" s="36"/>
      <c r="P2126" s="36"/>
      <c r="Q2126" s="36"/>
      <c r="R2126" s="36"/>
      <c r="S2126" s="39"/>
    </row>
    <row r="2127">
      <c r="B2127" s="36"/>
      <c r="C2127" s="36"/>
      <c r="D2127" s="36"/>
      <c r="E2127" s="36"/>
      <c r="F2127" s="36"/>
      <c r="G2127" s="36"/>
      <c r="H2127" s="36"/>
      <c r="I2127" s="36"/>
      <c r="J2127" s="36"/>
      <c r="K2127" s="36"/>
      <c r="L2127" s="36"/>
      <c r="M2127" s="36"/>
      <c r="N2127" s="36"/>
      <c r="O2127" s="36"/>
      <c r="P2127" s="36"/>
      <c r="Q2127" s="36"/>
      <c r="R2127" s="36"/>
      <c r="S2127" s="39"/>
    </row>
    <row r="2128">
      <c r="B2128" s="36"/>
      <c r="C2128" s="36"/>
      <c r="D2128" s="36"/>
      <c r="E2128" s="36"/>
      <c r="F2128" s="36"/>
      <c r="G2128" s="36"/>
      <c r="H2128" s="36"/>
      <c r="I2128" s="36"/>
      <c r="J2128" s="36"/>
      <c r="K2128" s="36"/>
      <c r="L2128" s="36"/>
      <c r="M2128" s="36"/>
      <c r="N2128" s="36"/>
      <c r="O2128" s="36"/>
      <c r="P2128" s="36"/>
      <c r="Q2128" s="36"/>
      <c r="R2128" s="36"/>
      <c r="S2128" s="39"/>
    </row>
    <row r="2129">
      <c r="B2129" s="36"/>
      <c r="C2129" s="36"/>
      <c r="D2129" s="36"/>
      <c r="E2129" s="36"/>
      <c r="F2129" s="36"/>
      <c r="G2129" s="36"/>
      <c r="H2129" s="36"/>
      <c r="I2129" s="36"/>
      <c r="J2129" s="36"/>
      <c r="K2129" s="36"/>
      <c r="L2129" s="36"/>
      <c r="M2129" s="36"/>
      <c r="N2129" s="36"/>
      <c r="O2129" s="36"/>
      <c r="P2129" s="36"/>
      <c r="Q2129" s="36"/>
      <c r="R2129" s="36"/>
      <c r="S2129" s="39"/>
    </row>
    <row r="2130">
      <c r="B2130" s="36"/>
      <c r="C2130" s="36"/>
      <c r="D2130" s="36"/>
      <c r="E2130" s="36"/>
      <c r="F2130" s="36"/>
      <c r="G2130" s="36"/>
      <c r="H2130" s="36"/>
      <c r="I2130" s="36"/>
      <c r="J2130" s="36"/>
      <c r="K2130" s="36"/>
      <c r="L2130" s="36"/>
      <c r="M2130" s="36"/>
      <c r="N2130" s="36"/>
      <c r="O2130" s="36"/>
      <c r="P2130" s="36"/>
      <c r="Q2130" s="36"/>
      <c r="R2130" s="36"/>
      <c r="S2130" s="39"/>
    </row>
    <row r="2131">
      <c r="B2131" s="36"/>
      <c r="C2131" s="36"/>
      <c r="D2131" s="36"/>
      <c r="E2131" s="36"/>
      <c r="F2131" s="36"/>
      <c r="G2131" s="36"/>
      <c r="H2131" s="36"/>
      <c r="I2131" s="36"/>
      <c r="J2131" s="36"/>
      <c r="K2131" s="36"/>
      <c r="L2131" s="36"/>
      <c r="M2131" s="36"/>
      <c r="N2131" s="36"/>
      <c r="O2131" s="36"/>
      <c r="P2131" s="36"/>
      <c r="Q2131" s="36"/>
      <c r="R2131" s="36"/>
      <c r="S2131" s="39"/>
    </row>
    <row r="2132">
      <c r="B2132" s="36"/>
      <c r="C2132" s="36"/>
      <c r="D2132" s="36"/>
      <c r="E2132" s="36"/>
      <c r="F2132" s="36"/>
      <c r="G2132" s="36"/>
      <c r="H2132" s="36"/>
      <c r="I2132" s="36"/>
      <c r="J2132" s="36"/>
      <c r="K2132" s="36"/>
      <c r="L2132" s="36"/>
      <c r="M2132" s="36"/>
      <c r="N2132" s="36"/>
      <c r="O2132" s="36"/>
      <c r="P2132" s="36"/>
      <c r="Q2132" s="36"/>
      <c r="R2132" s="36"/>
      <c r="S2132" s="39"/>
    </row>
    <row r="2133">
      <c r="B2133" s="36"/>
      <c r="C2133" s="36"/>
      <c r="D2133" s="36"/>
      <c r="E2133" s="36"/>
      <c r="F2133" s="36"/>
      <c r="G2133" s="36"/>
      <c r="H2133" s="36"/>
      <c r="I2133" s="36"/>
      <c r="J2133" s="36"/>
      <c r="K2133" s="36"/>
      <c r="L2133" s="36"/>
      <c r="M2133" s="36"/>
      <c r="N2133" s="36"/>
      <c r="O2133" s="36"/>
      <c r="P2133" s="36"/>
      <c r="Q2133" s="36"/>
      <c r="R2133" s="36"/>
      <c r="S2133" s="39"/>
    </row>
    <row r="2134">
      <c r="B2134" s="36"/>
      <c r="C2134" s="36"/>
      <c r="D2134" s="36"/>
      <c r="E2134" s="36"/>
      <c r="F2134" s="36"/>
      <c r="G2134" s="36"/>
      <c r="H2134" s="36"/>
      <c r="I2134" s="36"/>
      <c r="J2134" s="36"/>
      <c r="K2134" s="36"/>
      <c r="L2134" s="36"/>
      <c r="M2134" s="36"/>
      <c r="N2134" s="36"/>
      <c r="O2134" s="36"/>
      <c r="P2134" s="36"/>
      <c r="Q2134" s="36"/>
      <c r="R2134" s="36"/>
      <c r="S2134" s="39"/>
    </row>
    <row r="2135">
      <c r="B2135" s="36"/>
      <c r="C2135" s="36"/>
      <c r="D2135" s="36"/>
      <c r="E2135" s="36"/>
      <c r="F2135" s="36"/>
      <c r="G2135" s="36"/>
      <c r="H2135" s="36"/>
      <c r="I2135" s="36"/>
      <c r="J2135" s="36"/>
      <c r="K2135" s="36"/>
      <c r="L2135" s="36"/>
      <c r="M2135" s="36"/>
      <c r="N2135" s="36"/>
      <c r="O2135" s="36"/>
      <c r="P2135" s="36"/>
      <c r="Q2135" s="36"/>
      <c r="R2135" s="36"/>
      <c r="S2135" s="39"/>
    </row>
    <row r="2136">
      <c r="B2136" s="36"/>
      <c r="C2136" s="36"/>
      <c r="D2136" s="36"/>
      <c r="E2136" s="36"/>
      <c r="F2136" s="36"/>
      <c r="G2136" s="36"/>
      <c r="H2136" s="36"/>
      <c r="I2136" s="36"/>
      <c r="J2136" s="36"/>
      <c r="K2136" s="36"/>
      <c r="L2136" s="36"/>
      <c r="M2136" s="36"/>
      <c r="N2136" s="36"/>
      <c r="O2136" s="36"/>
      <c r="P2136" s="36"/>
      <c r="Q2136" s="36"/>
      <c r="R2136" s="36"/>
      <c r="S2136" s="39"/>
    </row>
    <row r="2137">
      <c r="B2137" s="36"/>
      <c r="C2137" s="36"/>
      <c r="D2137" s="36"/>
      <c r="E2137" s="36"/>
      <c r="F2137" s="36"/>
      <c r="G2137" s="36"/>
      <c r="H2137" s="36"/>
      <c r="I2137" s="36"/>
      <c r="J2137" s="36"/>
      <c r="K2137" s="36"/>
      <c r="L2137" s="36"/>
      <c r="M2137" s="36"/>
      <c r="N2137" s="36"/>
      <c r="O2137" s="36"/>
      <c r="P2137" s="36"/>
      <c r="Q2137" s="36"/>
      <c r="R2137" s="36"/>
      <c r="S2137" s="39"/>
    </row>
    <row r="2138">
      <c r="B2138" s="36"/>
      <c r="C2138" s="36"/>
      <c r="D2138" s="36"/>
      <c r="E2138" s="36"/>
      <c r="F2138" s="36"/>
      <c r="G2138" s="36"/>
      <c r="H2138" s="36"/>
      <c r="I2138" s="36"/>
      <c r="J2138" s="36"/>
      <c r="K2138" s="36"/>
      <c r="L2138" s="36"/>
      <c r="M2138" s="36"/>
      <c r="N2138" s="36"/>
      <c r="O2138" s="36"/>
      <c r="P2138" s="36"/>
      <c r="Q2138" s="36"/>
      <c r="R2138" s="36"/>
      <c r="S2138" s="39"/>
    </row>
    <row r="2139">
      <c r="B2139" s="36"/>
      <c r="C2139" s="36"/>
      <c r="D2139" s="36"/>
      <c r="E2139" s="36"/>
      <c r="F2139" s="36"/>
      <c r="G2139" s="36"/>
      <c r="H2139" s="36"/>
      <c r="I2139" s="36"/>
      <c r="J2139" s="36"/>
      <c r="K2139" s="36"/>
      <c r="L2139" s="36"/>
      <c r="M2139" s="36"/>
      <c r="N2139" s="36"/>
      <c r="O2139" s="36"/>
      <c r="P2139" s="36"/>
      <c r="Q2139" s="36"/>
      <c r="R2139" s="36"/>
      <c r="S2139" s="39"/>
    </row>
    <row r="2140">
      <c r="B2140" s="36"/>
      <c r="C2140" s="36"/>
      <c r="D2140" s="36"/>
      <c r="E2140" s="36"/>
      <c r="F2140" s="36"/>
      <c r="G2140" s="36"/>
      <c r="H2140" s="36"/>
      <c r="I2140" s="36"/>
      <c r="J2140" s="36"/>
      <c r="K2140" s="36"/>
      <c r="L2140" s="36"/>
      <c r="M2140" s="36"/>
      <c r="N2140" s="36"/>
      <c r="O2140" s="36"/>
      <c r="P2140" s="36"/>
      <c r="Q2140" s="36"/>
      <c r="R2140" s="36"/>
      <c r="S2140" s="39"/>
    </row>
    <row r="2141">
      <c r="B2141" s="36"/>
      <c r="C2141" s="36"/>
      <c r="D2141" s="36"/>
      <c r="E2141" s="36"/>
      <c r="F2141" s="36"/>
      <c r="G2141" s="36"/>
      <c r="H2141" s="36"/>
      <c r="I2141" s="36"/>
      <c r="J2141" s="36"/>
      <c r="K2141" s="36"/>
      <c r="L2141" s="36"/>
      <c r="M2141" s="36"/>
      <c r="N2141" s="36"/>
      <c r="O2141" s="36"/>
      <c r="P2141" s="36"/>
      <c r="Q2141" s="36"/>
      <c r="R2141" s="36"/>
      <c r="S2141" s="39"/>
    </row>
    <row r="2142">
      <c r="B2142" s="36"/>
      <c r="C2142" s="36"/>
      <c r="D2142" s="36"/>
      <c r="E2142" s="36"/>
      <c r="F2142" s="36"/>
      <c r="G2142" s="36"/>
      <c r="H2142" s="36"/>
      <c r="I2142" s="36"/>
      <c r="J2142" s="36"/>
      <c r="K2142" s="36"/>
      <c r="L2142" s="36"/>
      <c r="M2142" s="36"/>
      <c r="N2142" s="36"/>
      <c r="O2142" s="36"/>
      <c r="P2142" s="36"/>
      <c r="Q2142" s="36"/>
      <c r="R2142" s="36"/>
      <c r="S2142" s="39"/>
    </row>
    <row r="2143">
      <c r="B2143" s="36"/>
      <c r="C2143" s="36"/>
      <c r="D2143" s="36"/>
      <c r="E2143" s="36"/>
      <c r="F2143" s="36"/>
      <c r="G2143" s="36"/>
      <c r="H2143" s="36"/>
      <c r="I2143" s="36"/>
      <c r="J2143" s="36"/>
      <c r="K2143" s="36"/>
      <c r="L2143" s="36"/>
      <c r="M2143" s="36"/>
      <c r="N2143" s="36"/>
      <c r="O2143" s="36"/>
      <c r="P2143" s="36"/>
      <c r="Q2143" s="36"/>
      <c r="R2143" s="36"/>
      <c r="S2143" s="39"/>
    </row>
    <row r="2144">
      <c r="B2144" s="36"/>
      <c r="C2144" s="36"/>
      <c r="D2144" s="36"/>
      <c r="E2144" s="36"/>
      <c r="F2144" s="36"/>
      <c r="G2144" s="36"/>
      <c r="H2144" s="36"/>
      <c r="I2144" s="36"/>
      <c r="J2144" s="36"/>
      <c r="K2144" s="36"/>
      <c r="L2144" s="36"/>
      <c r="M2144" s="36"/>
      <c r="N2144" s="36"/>
      <c r="O2144" s="36"/>
      <c r="P2144" s="36"/>
      <c r="Q2144" s="36"/>
      <c r="R2144" s="36"/>
      <c r="S2144" s="39"/>
    </row>
    <row r="2145">
      <c r="B2145" s="36"/>
      <c r="C2145" s="36"/>
      <c r="D2145" s="36"/>
      <c r="E2145" s="36"/>
      <c r="F2145" s="36"/>
      <c r="G2145" s="36"/>
      <c r="H2145" s="36"/>
      <c r="I2145" s="36"/>
      <c r="J2145" s="36"/>
      <c r="K2145" s="36"/>
      <c r="L2145" s="36"/>
      <c r="M2145" s="36"/>
      <c r="N2145" s="36"/>
      <c r="O2145" s="36"/>
      <c r="P2145" s="36"/>
      <c r="Q2145" s="36"/>
      <c r="R2145" s="36"/>
      <c r="S2145" s="39"/>
    </row>
    <row r="2146">
      <c r="B2146" s="36"/>
      <c r="C2146" s="36"/>
      <c r="D2146" s="36"/>
      <c r="E2146" s="36"/>
      <c r="F2146" s="36"/>
      <c r="G2146" s="36"/>
      <c r="H2146" s="36"/>
      <c r="I2146" s="36"/>
      <c r="J2146" s="36"/>
      <c r="K2146" s="36"/>
      <c r="L2146" s="36"/>
      <c r="M2146" s="36"/>
      <c r="N2146" s="36"/>
      <c r="O2146" s="36"/>
      <c r="P2146" s="36"/>
      <c r="Q2146" s="36"/>
      <c r="R2146" s="36"/>
      <c r="S2146" s="39"/>
    </row>
    <row r="2147">
      <c r="B2147" s="36"/>
      <c r="C2147" s="36"/>
      <c r="D2147" s="36"/>
      <c r="E2147" s="36"/>
      <c r="F2147" s="36"/>
      <c r="G2147" s="36"/>
      <c r="H2147" s="36"/>
      <c r="I2147" s="36"/>
      <c r="J2147" s="36"/>
      <c r="K2147" s="36"/>
      <c r="L2147" s="36"/>
      <c r="M2147" s="36"/>
      <c r="N2147" s="36"/>
      <c r="O2147" s="36"/>
      <c r="P2147" s="36"/>
      <c r="Q2147" s="36"/>
      <c r="R2147" s="36"/>
      <c r="S2147" s="39"/>
    </row>
    <row r="2148">
      <c r="B2148" s="36"/>
      <c r="C2148" s="36"/>
      <c r="D2148" s="36"/>
      <c r="E2148" s="36"/>
      <c r="F2148" s="36"/>
      <c r="G2148" s="36"/>
      <c r="H2148" s="36"/>
      <c r="I2148" s="36"/>
      <c r="J2148" s="36"/>
      <c r="K2148" s="36"/>
      <c r="L2148" s="36"/>
      <c r="M2148" s="36"/>
      <c r="N2148" s="36"/>
      <c r="O2148" s="36"/>
      <c r="P2148" s="36"/>
      <c r="Q2148" s="36"/>
      <c r="R2148" s="36"/>
      <c r="S2148" s="39"/>
    </row>
    <row r="2149">
      <c r="B2149" s="36"/>
      <c r="C2149" s="36"/>
      <c r="D2149" s="36"/>
      <c r="E2149" s="36"/>
      <c r="F2149" s="36"/>
      <c r="G2149" s="36"/>
      <c r="H2149" s="36"/>
      <c r="I2149" s="36"/>
      <c r="J2149" s="36"/>
      <c r="K2149" s="36"/>
      <c r="L2149" s="36"/>
      <c r="M2149" s="36"/>
      <c r="N2149" s="36"/>
      <c r="O2149" s="36"/>
      <c r="P2149" s="36"/>
      <c r="Q2149" s="36"/>
      <c r="R2149" s="36"/>
      <c r="S2149" s="39"/>
    </row>
    <row r="2150">
      <c r="B2150" s="36"/>
      <c r="C2150" s="36"/>
      <c r="D2150" s="36"/>
      <c r="E2150" s="36"/>
      <c r="F2150" s="36"/>
      <c r="G2150" s="36"/>
      <c r="H2150" s="36"/>
      <c r="I2150" s="36"/>
      <c r="J2150" s="36"/>
      <c r="K2150" s="36"/>
      <c r="L2150" s="36"/>
      <c r="M2150" s="36"/>
      <c r="N2150" s="36"/>
      <c r="O2150" s="36"/>
      <c r="P2150" s="36"/>
      <c r="Q2150" s="36"/>
      <c r="R2150" s="36"/>
      <c r="S2150" s="39"/>
    </row>
    <row r="2151">
      <c r="B2151" s="36"/>
      <c r="C2151" s="36"/>
      <c r="D2151" s="36"/>
      <c r="E2151" s="36"/>
      <c r="F2151" s="36"/>
      <c r="G2151" s="36"/>
      <c r="H2151" s="36"/>
      <c r="I2151" s="36"/>
      <c r="J2151" s="36"/>
      <c r="K2151" s="36"/>
      <c r="L2151" s="36"/>
      <c r="M2151" s="36"/>
      <c r="N2151" s="36"/>
      <c r="O2151" s="36"/>
      <c r="P2151" s="36"/>
      <c r="Q2151" s="36"/>
      <c r="R2151" s="36"/>
      <c r="S2151" s="39"/>
    </row>
    <row r="2152">
      <c r="B2152" s="36"/>
      <c r="C2152" s="36"/>
      <c r="D2152" s="36"/>
      <c r="E2152" s="36"/>
      <c r="F2152" s="36"/>
      <c r="G2152" s="36"/>
      <c r="H2152" s="36"/>
      <c r="I2152" s="36"/>
      <c r="J2152" s="36"/>
      <c r="K2152" s="36"/>
      <c r="L2152" s="36"/>
      <c r="M2152" s="36"/>
      <c r="N2152" s="36"/>
      <c r="O2152" s="36"/>
      <c r="P2152" s="36"/>
      <c r="Q2152" s="36"/>
      <c r="R2152" s="36"/>
      <c r="S2152" s="39"/>
    </row>
    <row r="2153">
      <c r="B2153" s="36"/>
      <c r="C2153" s="36"/>
      <c r="D2153" s="36"/>
      <c r="E2153" s="36"/>
      <c r="F2153" s="36"/>
      <c r="G2153" s="36"/>
      <c r="H2153" s="36"/>
      <c r="I2153" s="36"/>
      <c r="J2153" s="36"/>
      <c r="K2153" s="36"/>
      <c r="L2153" s="36"/>
      <c r="M2153" s="36"/>
      <c r="N2153" s="36"/>
      <c r="O2153" s="36"/>
      <c r="P2153" s="36"/>
      <c r="Q2153" s="36"/>
      <c r="R2153" s="36"/>
      <c r="S2153" s="39"/>
    </row>
    <row r="2154">
      <c r="B2154" s="36"/>
      <c r="C2154" s="36"/>
      <c r="D2154" s="36"/>
      <c r="E2154" s="36"/>
      <c r="F2154" s="36"/>
      <c r="G2154" s="36"/>
      <c r="H2154" s="36"/>
      <c r="I2154" s="36"/>
      <c r="J2154" s="36"/>
      <c r="K2154" s="36"/>
      <c r="L2154" s="36"/>
      <c r="M2154" s="36"/>
      <c r="N2154" s="36"/>
      <c r="O2154" s="36"/>
      <c r="P2154" s="36"/>
      <c r="Q2154" s="36"/>
      <c r="R2154" s="36"/>
      <c r="S2154" s="39"/>
    </row>
    <row r="2155">
      <c r="B2155" s="36"/>
      <c r="C2155" s="36"/>
      <c r="D2155" s="36"/>
      <c r="E2155" s="36"/>
      <c r="F2155" s="36"/>
      <c r="G2155" s="36"/>
      <c r="H2155" s="36"/>
      <c r="I2155" s="36"/>
      <c r="J2155" s="36"/>
      <c r="K2155" s="36"/>
      <c r="L2155" s="36"/>
      <c r="M2155" s="36"/>
      <c r="N2155" s="36"/>
      <c r="O2155" s="36"/>
      <c r="P2155" s="36"/>
      <c r="Q2155" s="36"/>
      <c r="R2155" s="36"/>
      <c r="S2155" s="39"/>
    </row>
    <row r="2156">
      <c r="B2156" s="36"/>
      <c r="C2156" s="36"/>
      <c r="D2156" s="36"/>
      <c r="E2156" s="36"/>
      <c r="F2156" s="36"/>
      <c r="G2156" s="36"/>
      <c r="H2156" s="36"/>
      <c r="I2156" s="36"/>
      <c r="J2156" s="36"/>
      <c r="K2156" s="36"/>
      <c r="L2156" s="36"/>
      <c r="M2156" s="36"/>
      <c r="N2156" s="36"/>
      <c r="O2156" s="36"/>
      <c r="P2156" s="36"/>
      <c r="Q2156" s="36"/>
      <c r="R2156" s="36"/>
      <c r="S2156" s="39"/>
    </row>
    <row r="2157">
      <c r="B2157" s="36"/>
      <c r="C2157" s="36"/>
      <c r="D2157" s="36"/>
      <c r="E2157" s="36"/>
      <c r="F2157" s="36"/>
      <c r="G2157" s="36"/>
      <c r="H2157" s="36"/>
      <c r="I2157" s="36"/>
      <c r="J2157" s="36"/>
      <c r="K2157" s="36"/>
      <c r="L2157" s="36"/>
      <c r="M2157" s="36"/>
      <c r="N2157" s="36"/>
      <c r="O2157" s="36"/>
      <c r="P2157" s="36"/>
      <c r="Q2157" s="36"/>
      <c r="R2157" s="36"/>
      <c r="S2157" s="39"/>
    </row>
    <row r="2158">
      <c r="B2158" s="36"/>
      <c r="C2158" s="36"/>
      <c r="D2158" s="36"/>
      <c r="E2158" s="36"/>
      <c r="F2158" s="36"/>
      <c r="G2158" s="36"/>
      <c r="H2158" s="36"/>
      <c r="I2158" s="36"/>
      <c r="J2158" s="36"/>
      <c r="K2158" s="36"/>
      <c r="L2158" s="36"/>
      <c r="M2158" s="36"/>
      <c r="N2158" s="36"/>
      <c r="O2158" s="36"/>
      <c r="P2158" s="36"/>
      <c r="Q2158" s="36"/>
      <c r="R2158" s="36"/>
      <c r="S2158" s="39"/>
    </row>
    <row r="2159">
      <c r="B2159" s="36"/>
      <c r="C2159" s="36"/>
      <c r="D2159" s="36"/>
      <c r="E2159" s="36"/>
      <c r="F2159" s="36"/>
      <c r="G2159" s="36"/>
      <c r="H2159" s="36"/>
      <c r="I2159" s="36"/>
      <c r="J2159" s="36"/>
      <c r="K2159" s="36"/>
      <c r="L2159" s="36"/>
      <c r="M2159" s="36"/>
      <c r="N2159" s="36"/>
      <c r="O2159" s="36"/>
      <c r="P2159" s="36"/>
      <c r="Q2159" s="36"/>
      <c r="R2159" s="36"/>
      <c r="S2159" s="39"/>
    </row>
    <row r="2160">
      <c r="B2160" s="36"/>
      <c r="C2160" s="36"/>
      <c r="D2160" s="36"/>
      <c r="E2160" s="36"/>
      <c r="F2160" s="36"/>
      <c r="G2160" s="36"/>
      <c r="H2160" s="36"/>
      <c r="I2160" s="36"/>
      <c r="J2160" s="36"/>
      <c r="K2160" s="36"/>
      <c r="L2160" s="36"/>
      <c r="M2160" s="36"/>
      <c r="N2160" s="36"/>
      <c r="O2160" s="36"/>
      <c r="P2160" s="36"/>
      <c r="Q2160" s="36"/>
      <c r="R2160" s="36"/>
      <c r="S2160" s="39"/>
    </row>
    <row r="2161">
      <c r="B2161" s="36"/>
      <c r="C2161" s="36"/>
      <c r="D2161" s="36"/>
      <c r="E2161" s="36"/>
      <c r="F2161" s="36"/>
      <c r="G2161" s="36"/>
      <c r="H2161" s="36"/>
      <c r="I2161" s="36"/>
      <c r="J2161" s="36"/>
      <c r="K2161" s="36"/>
      <c r="L2161" s="36"/>
      <c r="M2161" s="36"/>
      <c r="N2161" s="36"/>
      <c r="O2161" s="36"/>
      <c r="P2161" s="36"/>
      <c r="Q2161" s="36"/>
      <c r="R2161" s="36"/>
      <c r="S2161" s="39"/>
    </row>
    <row r="2162">
      <c r="B2162" s="36"/>
      <c r="C2162" s="36"/>
      <c r="D2162" s="36"/>
      <c r="E2162" s="36"/>
      <c r="F2162" s="36"/>
      <c r="G2162" s="36"/>
      <c r="H2162" s="36"/>
      <c r="I2162" s="36"/>
      <c r="J2162" s="36"/>
      <c r="K2162" s="36"/>
      <c r="L2162" s="36"/>
      <c r="M2162" s="36"/>
      <c r="N2162" s="36"/>
      <c r="O2162" s="36"/>
      <c r="P2162" s="36"/>
      <c r="Q2162" s="36"/>
      <c r="R2162" s="36"/>
      <c r="S2162" s="39"/>
    </row>
    <row r="2163">
      <c r="B2163" s="36"/>
      <c r="C2163" s="36"/>
      <c r="D2163" s="36"/>
      <c r="E2163" s="36"/>
      <c r="F2163" s="36"/>
      <c r="G2163" s="36"/>
      <c r="H2163" s="36"/>
      <c r="I2163" s="36"/>
      <c r="J2163" s="36"/>
      <c r="K2163" s="36"/>
      <c r="L2163" s="36"/>
      <c r="M2163" s="36"/>
      <c r="N2163" s="36"/>
      <c r="O2163" s="36"/>
      <c r="P2163" s="36"/>
      <c r="Q2163" s="36"/>
      <c r="R2163" s="36"/>
      <c r="S2163" s="39"/>
    </row>
    <row r="2164">
      <c r="B2164" s="36"/>
      <c r="C2164" s="36"/>
      <c r="D2164" s="36"/>
      <c r="E2164" s="36"/>
      <c r="F2164" s="36"/>
      <c r="G2164" s="36"/>
      <c r="H2164" s="36"/>
      <c r="I2164" s="36"/>
      <c r="J2164" s="36"/>
      <c r="K2164" s="36"/>
      <c r="L2164" s="36"/>
      <c r="M2164" s="36"/>
      <c r="N2164" s="36"/>
      <c r="O2164" s="36"/>
      <c r="P2164" s="36"/>
      <c r="Q2164" s="36"/>
      <c r="R2164" s="36"/>
      <c r="S2164" s="39"/>
    </row>
    <row r="2165">
      <c r="B2165" s="36"/>
      <c r="C2165" s="36"/>
      <c r="D2165" s="36"/>
      <c r="E2165" s="36"/>
      <c r="F2165" s="36"/>
      <c r="G2165" s="36"/>
      <c r="H2165" s="36"/>
      <c r="I2165" s="36"/>
      <c r="J2165" s="36"/>
      <c r="K2165" s="36"/>
      <c r="L2165" s="36"/>
      <c r="M2165" s="36"/>
      <c r="N2165" s="36"/>
      <c r="O2165" s="36"/>
      <c r="P2165" s="36"/>
      <c r="Q2165" s="36"/>
      <c r="R2165" s="36"/>
      <c r="S2165" s="39"/>
    </row>
    <row r="2166">
      <c r="B2166" s="36"/>
      <c r="C2166" s="36"/>
      <c r="D2166" s="36"/>
      <c r="E2166" s="36"/>
      <c r="F2166" s="36"/>
      <c r="G2166" s="36"/>
      <c r="H2166" s="36"/>
      <c r="I2166" s="36"/>
      <c r="J2166" s="36"/>
      <c r="K2166" s="36"/>
      <c r="L2166" s="36"/>
      <c r="M2166" s="36"/>
      <c r="N2166" s="36"/>
      <c r="O2166" s="36"/>
      <c r="P2166" s="36"/>
      <c r="Q2166" s="36"/>
      <c r="R2166" s="36"/>
      <c r="S2166" s="39"/>
    </row>
    <row r="2167">
      <c r="B2167" s="36"/>
      <c r="C2167" s="36"/>
      <c r="D2167" s="36"/>
      <c r="E2167" s="36"/>
      <c r="F2167" s="36"/>
      <c r="G2167" s="36"/>
      <c r="H2167" s="36"/>
      <c r="I2167" s="36"/>
      <c r="J2167" s="36"/>
      <c r="K2167" s="36"/>
      <c r="L2167" s="36"/>
      <c r="M2167" s="36"/>
      <c r="N2167" s="36"/>
      <c r="O2167" s="36"/>
      <c r="P2167" s="36"/>
      <c r="Q2167" s="36"/>
      <c r="R2167" s="36"/>
      <c r="S2167" s="39"/>
    </row>
    <row r="2168">
      <c r="B2168" s="36"/>
      <c r="C2168" s="36"/>
      <c r="D2168" s="36"/>
      <c r="E2168" s="36"/>
      <c r="F2168" s="36"/>
      <c r="G2168" s="36"/>
      <c r="H2168" s="36"/>
      <c r="I2168" s="36"/>
      <c r="J2168" s="36"/>
      <c r="K2168" s="36"/>
      <c r="L2168" s="36"/>
      <c r="M2168" s="36"/>
      <c r="N2168" s="36"/>
      <c r="O2168" s="36"/>
      <c r="P2168" s="36"/>
      <c r="Q2168" s="36"/>
      <c r="R2168" s="36"/>
      <c r="S2168" s="39"/>
    </row>
    <row r="2169">
      <c r="B2169" s="36"/>
      <c r="C2169" s="36"/>
      <c r="D2169" s="36"/>
      <c r="E2169" s="36"/>
      <c r="F2169" s="36"/>
      <c r="G2169" s="36"/>
      <c r="H2169" s="36"/>
      <c r="I2169" s="36"/>
      <c r="J2169" s="36"/>
      <c r="K2169" s="36"/>
      <c r="L2169" s="36"/>
      <c r="M2169" s="36"/>
      <c r="N2169" s="36"/>
      <c r="O2169" s="36"/>
      <c r="P2169" s="36"/>
      <c r="Q2169" s="36"/>
      <c r="R2169" s="36"/>
      <c r="S2169" s="39"/>
    </row>
    <row r="2170">
      <c r="B2170" s="36"/>
      <c r="C2170" s="36"/>
      <c r="D2170" s="36"/>
      <c r="E2170" s="36"/>
      <c r="F2170" s="36"/>
      <c r="G2170" s="36"/>
      <c r="H2170" s="36"/>
      <c r="I2170" s="36"/>
      <c r="J2170" s="36"/>
      <c r="K2170" s="36"/>
      <c r="L2170" s="36"/>
      <c r="M2170" s="36"/>
      <c r="N2170" s="36"/>
      <c r="O2170" s="36"/>
      <c r="P2170" s="36"/>
      <c r="Q2170" s="36"/>
      <c r="R2170" s="36"/>
      <c r="S2170" s="39"/>
    </row>
    <row r="2171">
      <c r="B2171" s="36"/>
      <c r="C2171" s="36"/>
      <c r="D2171" s="36"/>
      <c r="E2171" s="36"/>
      <c r="F2171" s="36"/>
      <c r="G2171" s="36"/>
      <c r="H2171" s="36"/>
      <c r="I2171" s="36"/>
      <c r="J2171" s="36"/>
      <c r="K2171" s="36"/>
      <c r="L2171" s="36"/>
      <c r="M2171" s="36"/>
      <c r="N2171" s="36"/>
      <c r="O2171" s="36"/>
      <c r="P2171" s="36"/>
      <c r="Q2171" s="36"/>
      <c r="R2171" s="36"/>
      <c r="S2171" s="39"/>
    </row>
    <row r="2172">
      <c r="B2172" s="36"/>
      <c r="C2172" s="36"/>
      <c r="D2172" s="36"/>
      <c r="E2172" s="36"/>
      <c r="F2172" s="36"/>
      <c r="G2172" s="36"/>
      <c r="H2172" s="36"/>
      <c r="I2172" s="36"/>
      <c r="J2172" s="36"/>
      <c r="K2172" s="36"/>
      <c r="L2172" s="36"/>
      <c r="M2172" s="36"/>
      <c r="N2172" s="36"/>
      <c r="O2172" s="36"/>
      <c r="P2172" s="36"/>
      <c r="Q2172" s="36"/>
      <c r="R2172" s="36"/>
      <c r="S2172" s="39"/>
    </row>
    <row r="2173">
      <c r="B2173" s="36"/>
      <c r="C2173" s="36"/>
      <c r="D2173" s="36"/>
      <c r="E2173" s="36"/>
      <c r="F2173" s="36"/>
      <c r="G2173" s="36"/>
      <c r="H2173" s="36"/>
      <c r="I2173" s="36"/>
      <c r="J2173" s="36"/>
      <c r="K2173" s="36"/>
      <c r="L2173" s="36"/>
      <c r="M2173" s="36"/>
      <c r="N2173" s="36"/>
      <c r="O2173" s="36"/>
      <c r="P2173" s="36"/>
      <c r="Q2173" s="36"/>
      <c r="R2173" s="36"/>
      <c r="S2173" s="39"/>
    </row>
    <row r="2174">
      <c r="B2174" s="36"/>
      <c r="C2174" s="36"/>
      <c r="D2174" s="36"/>
      <c r="E2174" s="36"/>
      <c r="F2174" s="36"/>
      <c r="G2174" s="36"/>
      <c r="H2174" s="36"/>
      <c r="I2174" s="36"/>
      <c r="J2174" s="36"/>
      <c r="K2174" s="36"/>
      <c r="L2174" s="36"/>
      <c r="M2174" s="36"/>
      <c r="N2174" s="36"/>
      <c r="O2174" s="36"/>
      <c r="P2174" s="36"/>
      <c r="Q2174" s="36"/>
      <c r="R2174" s="36"/>
      <c r="S2174" s="39"/>
    </row>
    <row r="2175">
      <c r="B2175" s="36"/>
      <c r="C2175" s="36"/>
      <c r="D2175" s="36"/>
      <c r="E2175" s="36"/>
      <c r="F2175" s="36"/>
      <c r="G2175" s="36"/>
      <c r="H2175" s="36"/>
      <c r="I2175" s="36"/>
      <c r="J2175" s="36"/>
      <c r="K2175" s="36"/>
      <c r="L2175" s="36"/>
      <c r="M2175" s="36"/>
      <c r="N2175" s="36"/>
      <c r="O2175" s="36"/>
      <c r="P2175" s="36"/>
      <c r="Q2175" s="36"/>
      <c r="R2175" s="36"/>
      <c r="S2175" s="39"/>
    </row>
    <row r="2176">
      <c r="B2176" s="36"/>
      <c r="C2176" s="36"/>
      <c r="D2176" s="36"/>
      <c r="E2176" s="36"/>
      <c r="F2176" s="36"/>
      <c r="G2176" s="36"/>
      <c r="H2176" s="36"/>
      <c r="I2176" s="36"/>
      <c r="J2176" s="36"/>
      <c r="K2176" s="36"/>
      <c r="L2176" s="36"/>
      <c r="M2176" s="36"/>
      <c r="N2176" s="36"/>
      <c r="O2176" s="36"/>
      <c r="P2176" s="36"/>
      <c r="Q2176" s="36"/>
      <c r="R2176" s="36"/>
      <c r="S2176" s="39"/>
    </row>
    <row r="2177">
      <c r="B2177" s="36"/>
      <c r="C2177" s="36"/>
      <c r="D2177" s="36"/>
      <c r="E2177" s="36"/>
      <c r="F2177" s="36"/>
      <c r="G2177" s="36"/>
      <c r="H2177" s="36"/>
      <c r="I2177" s="36"/>
      <c r="J2177" s="36"/>
      <c r="K2177" s="36"/>
      <c r="L2177" s="36"/>
      <c r="M2177" s="36"/>
      <c r="N2177" s="36"/>
      <c r="O2177" s="36"/>
      <c r="P2177" s="36"/>
      <c r="Q2177" s="36"/>
      <c r="R2177" s="36"/>
      <c r="S2177" s="39"/>
    </row>
    <row r="2178">
      <c r="B2178" s="36"/>
      <c r="C2178" s="36"/>
      <c r="D2178" s="36"/>
      <c r="E2178" s="36"/>
      <c r="F2178" s="36"/>
      <c r="G2178" s="36"/>
      <c r="H2178" s="36"/>
      <c r="I2178" s="36"/>
      <c r="J2178" s="36"/>
      <c r="K2178" s="36"/>
      <c r="L2178" s="36"/>
      <c r="M2178" s="36"/>
      <c r="N2178" s="36"/>
      <c r="O2178" s="36"/>
      <c r="P2178" s="36"/>
      <c r="Q2178" s="36"/>
      <c r="R2178" s="36"/>
      <c r="S2178" s="39"/>
    </row>
    <row r="2179">
      <c r="B2179" s="36"/>
      <c r="C2179" s="36"/>
      <c r="D2179" s="36"/>
      <c r="E2179" s="36"/>
      <c r="F2179" s="36"/>
      <c r="G2179" s="36"/>
      <c r="H2179" s="36"/>
      <c r="I2179" s="36"/>
      <c r="J2179" s="36"/>
      <c r="K2179" s="36"/>
      <c r="L2179" s="36"/>
      <c r="M2179" s="36"/>
      <c r="N2179" s="36"/>
      <c r="O2179" s="36"/>
      <c r="P2179" s="36"/>
      <c r="Q2179" s="36"/>
      <c r="R2179" s="36"/>
      <c r="S2179" s="39"/>
    </row>
    <row r="2180">
      <c r="B2180" s="36"/>
      <c r="C2180" s="36"/>
      <c r="D2180" s="36"/>
      <c r="E2180" s="36"/>
      <c r="F2180" s="36"/>
      <c r="G2180" s="36"/>
      <c r="H2180" s="36"/>
      <c r="I2180" s="36"/>
      <c r="J2180" s="36"/>
      <c r="K2180" s="36"/>
      <c r="L2180" s="36"/>
      <c r="M2180" s="36"/>
      <c r="N2180" s="36"/>
      <c r="O2180" s="36"/>
      <c r="P2180" s="36"/>
      <c r="Q2180" s="36"/>
      <c r="R2180" s="36"/>
      <c r="S2180" s="39"/>
    </row>
    <row r="2181">
      <c r="B2181" s="36"/>
      <c r="C2181" s="36"/>
      <c r="D2181" s="36"/>
      <c r="E2181" s="36"/>
      <c r="F2181" s="36"/>
      <c r="G2181" s="36"/>
      <c r="H2181" s="36"/>
      <c r="I2181" s="36"/>
      <c r="J2181" s="36"/>
      <c r="K2181" s="36"/>
      <c r="L2181" s="36"/>
      <c r="M2181" s="36"/>
      <c r="N2181" s="36"/>
      <c r="O2181" s="36"/>
      <c r="P2181" s="36"/>
      <c r="Q2181" s="36"/>
      <c r="R2181" s="36"/>
      <c r="S2181" s="39"/>
    </row>
    <row r="2182">
      <c r="B2182" s="36"/>
      <c r="C2182" s="36"/>
      <c r="D2182" s="36"/>
      <c r="E2182" s="36"/>
      <c r="F2182" s="36"/>
      <c r="G2182" s="36"/>
      <c r="H2182" s="36"/>
      <c r="I2182" s="36"/>
      <c r="J2182" s="36"/>
      <c r="K2182" s="36"/>
      <c r="L2182" s="36"/>
      <c r="M2182" s="36"/>
      <c r="N2182" s="36"/>
      <c r="O2182" s="36"/>
      <c r="P2182" s="36"/>
      <c r="Q2182" s="36"/>
      <c r="R2182" s="36"/>
      <c r="S2182" s="39"/>
    </row>
    <row r="2183">
      <c r="B2183" s="36"/>
      <c r="C2183" s="36"/>
      <c r="D2183" s="36"/>
      <c r="E2183" s="36"/>
      <c r="F2183" s="36"/>
      <c r="G2183" s="36"/>
      <c r="H2183" s="36"/>
      <c r="I2183" s="36"/>
      <c r="J2183" s="36"/>
      <c r="K2183" s="36"/>
      <c r="L2183" s="36"/>
      <c r="M2183" s="36"/>
      <c r="N2183" s="36"/>
      <c r="O2183" s="36"/>
      <c r="P2183" s="36"/>
      <c r="Q2183" s="36"/>
      <c r="R2183" s="36"/>
      <c r="S2183" s="39"/>
    </row>
    <row r="2184">
      <c r="B2184" s="36"/>
      <c r="C2184" s="36"/>
      <c r="D2184" s="36"/>
      <c r="E2184" s="36"/>
      <c r="F2184" s="36"/>
      <c r="G2184" s="36"/>
      <c r="H2184" s="36"/>
      <c r="I2184" s="36"/>
      <c r="J2184" s="36"/>
      <c r="K2184" s="36"/>
      <c r="L2184" s="36"/>
      <c r="M2184" s="36"/>
      <c r="N2184" s="36"/>
      <c r="O2184" s="36"/>
      <c r="P2184" s="36"/>
      <c r="Q2184" s="36"/>
      <c r="R2184" s="36"/>
      <c r="S2184" s="39"/>
    </row>
    <row r="2185">
      <c r="B2185" s="36"/>
      <c r="C2185" s="36"/>
      <c r="D2185" s="36"/>
      <c r="E2185" s="36"/>
      <c r="F2185" s="36"/>
      <c r="G2185" s="36"/>
      <c r="H2185" s="36"/>
      <c r="I2185" s="36"/>
      <c r="J2185" s="36"/>
      <c r="K2185" s="36"/>
      <c r="L2185" s="36"/>
      <c r="M2185" s="36"/>
      <c r="N2185" s="36"/>
      <c r="O2185" s="36"/>
      <c r="P2185" s="36"/>
      <c r="Q2185" s="36"/>
      <c r="R2185" s="36"/>
      <c r="S2185" s="39"/>
    </row>
    <row r="2186">
      <c r="B2186" s="36"/>
      <c r="C2186" s="36"/>
      <c r="D2186" s="36"/>
      <c r="E2186" s="36"/>
      <c r="F2186" s="36"/>
      <c r="G2186" s="36"/>
      <c r="H2186" s="36"/>
      <c r="I2186" s="36"/>
      <c r="J2186" s="36"/>
      <c r="K2186" s="36"/>
      <c r="L2186" s="36"/>
      <c r="M2186" s="36"/>
      <c r="N2186" s="36"/>
      <c r="O2186" s="36"/>
      <c r="P2186" s="36"/>
      <c r="Q2186" s="36"/>
      <c r="R2186" s="36"/>
      <c r="S2186" s="39"/>
    </row>
    <row r="2187">
      <c r="B2187" s="36"/>
      <c r="C2187" s="36"/>
      <c r="D2187" s="36"/>
      <c r="E2187" s="36"/>
      <c r="F2187" s="36"/>
      <c r="G2187" s="36"/>
      <c r="H2187" s="36"/>
      <c r="I2187" s="36"/>
      <c r="J2187" s="36"/>
      <c r="K2187" s="36"/>
      <c r="L2187" s="36"/>
      <c r="M2187" s="36"/>
      <c r="N2187" s="36"/>
      <c r="O2187" s="36"/>
      <c r="P2187" s="36"/>
      <c r="Q2187" s="36"/>
      <c r="R2187" s="36"/>
      <c r="S2187" s="39"/>
    </row>
    <row r="2188">
      <c r="B2188" s="36"/>
      <c r="C2188" s="36"/>
      <c r="D2188" s="36"/>
      <c r="E2188" s="36"/>
      <c r="F2188" s="36"/>
      <c r="G2188" s="36"/>
      <c r="H2188" s="36"/>
      <c r="I2188" s="36"/>
      <c r="J2188" s="36"/>
      <c r="K2188" s="36"/>
      <c r="L2188" s="36"/>
      <c r="M2188" s="36"/>
      <c r="N2188" s="36"/>
      <c r="O2188" s="36"/>
      <c r="P2188" s="36"/>
      <c r="Q2188" s="36"/>
      <c r="R2188" s="36"/>
      <c r="S2188" s="39"/>
    </row>
    <row r="2189">
      <c r="B2189" s="36"/>
      <c r="C2189" s="36"/>
      <c r="D2189" s="36"/>
      <c r="E2189" s="36"/>
      <c r="F2189" s="36"/>
      <c r="G2189" s="36"/>
      <c r="H2189" s="36"/>
      <c r="I2189" s="36"/>
      <c r="J2189" s="36"/>
      <c r="K2189" s="36"/>
      <c r="L2189" s="36"/>
      <c r="M2189" s="36"/>
      <c r="N2189" s="36"/>
      <c r="O2189" s="36"/>
      <c r="P2189" s="36"/>
      <c r="Q2189" s="36"/>
      <c r="R2189" s="36"/>
      <c r="S2189" s="39"/>
    </row>
    <row r="2190">
      <c r="B2190" s="36"/>
      <c r="C2190" s="36"/>
      <c r="D2190" s="36"/>
      <c r="E2190" s="36"/>
      <c r="F2190" s="36"/>
      <c r="G2190" s="36"/>
      <c r="H2190" s="36"/>
      <c r="I2190" s="36"/>
      <c r="J2190" s="36"/>
      <c r="K2190" s="36"/>
      <c r="L2190" s="36"/>
      <c r="M2190" s="36"/>
      <c r="N2190" s="36"/>
      <c r="O2190" s="36"/>
      <c r="P2190" s="36"/>
      <c r="Q2190" s="36"/>
      <c r="R2190" s="36"/>
      <c r="S2190" s="39"/>
    </row>
    <row r="2191">
      <c r="B2191" s="36"/>
      <c r="C2191" s="36"/>
      <c r="D2191" s="36"/>
      <c r="E2191" s="36"/>
      <c r="F2191" s="36"/>
      <c r="G2191" s="36"/>
      <c r="H2191" s="36"/>
      <c r="I2191" s="36"/>
      <c r="J2191" s="36"/>
      <c r="K2191" s="36"/>
      <c r="L2191" s="36"/>
      <c r="M2191" s="36"/>
      <c r="N2191" s="36"/>
      <c r="O2191" s="36"/>
      <c r="P2191" s="36"/>
      <c r="Q2191" s="36"/>
      <c r="R2191" s="36"/>
      <c r="S2191" s="39"/>
    </row>
    <row r="2192">
      <c r="B2192" s="36"/>
      <c r="C2192" s="36"/>
      <c r="D2192" s="36"/>
      <c r="E2192" s="36"/>
      <c r="F2192" s="36"/>
      <c r="G2192" s="36"/>
      <c r="H2192" s="36"/>
      <c r="I2192" s="36"/>
      <c r="J2192" s="36"/>
      <c r="K2192" s="36"/>
      <c r="L2192" s="36"/>
      <c r="M2192" s="36"/>
      <c r="N2192" s="36"/>
      <c r="O2192" s="36"/>
      <c r="P2192" s="36"/>
      <c r="Q2192" s="36"/>
      <c r="R2192" s="36"/>
      <c r="S2192" s="39"/>
    </row>
    <row r="2193">
      <c r="B2193" s="36"/>
      <c r="C2193" s="36"/>
      <c r="D2193" s="36"/>
      <c r="E2193" s="36"/>
      <c r="F2193" s="36"/>
      <c r="G2193" s="36"/>
      <c r="H2193" s="36"/>
      <c r="I2193" s="36"/>
      <c r="J2193" s="36"/>
      <c r="K2193" s="36"/>
      <c r="L2193" s="36"/>
      <c r="M2193" s="36"/>
      <c r="N2193" s="36"/>
      <c r="O2193" s="36"/>
      <c r="P2193" s="36"/>
      <c r="Q2193" s="36"/>
      <c r="R2193" s="36"/>
      <c r="S2193" s="39"/>
    </row>
    <row r="2194">
      <c r="B2194" s="36"/>
      <c r="C2194" s="36"/>
      <c r="D2194" s="36"/>
      <c r="E2194" s="36"/>
      <c r="F2194" s="36"/>
      <c r="G2194" s="36"/>
      <c r="H2194" s="36"/>
      <c r="I2194" s="36"/>
      <c r="J2194" s="36"/>
      <c r="K2194" s="36"/>
      <c r="L2194" s="36"/>
      <c r="M2194" s="36"/>
      <c r="N2194" s="36"/>
      <c r="O2194" s="36"/>
      <c r="P2194" s="36"/>
      <c r="Q2194" s="36"/>
      <c r="R2194" s="36"/>
      <c r="S2194" s="39"/>
    </row>
    <row r="2195">
      <c r="B2195" s="36"/>
      <c r="C2195" s="36"/>
      <c r="D2195" s="36"/>
      <c r="E2195" s="36"/>
      <c r="F2195" s="36"/>
      <c r="G2195" s="36"/>
      <c r="H2195" s="36"/>
      <c r="I2195" s="36"/>
      <c r="J2195" s="36"/>
      <c r="K2195" s="36"/>
      <c r="L2195" s="36"/>
      <c r="M2195" s="36"/>
      <c r="N2195" s="36"/>
      <c r="O2195" s="36"/>
      <c r="P2195" s="36"/>
      <c r="Q2195" s="36"/>
      <c r="R2195" s="36"/>
      <c r="S2195" s="39"/>
    </row>
    <row r="2196">
      <c r="B2196" s="36"/>
      <c r="C2196" s="36"/>
      <c r="D2196" s="36"/>
      <c r="E2196" s="36"/>
      <c r="F2196" s="36"/>
      <c r="G2196" s="36"/>
      <c r="H2196" s="36"/>
      <c r="I2196" s="36"/>
      <c r="J2196" s="36"/>
      <c r="K2196" s="36"/>
      <c r="L2196" s="36"/>
      <c r="M2196" s="36"/>
      <c r="N2196" s="36"/>
      <c r="O2196" s="36"/>
      <c r="P2196" s="36"/>
      <c r="Q2196" s="36"/>
      <c r="R2196" s="36"/>
      <c r="S2196" s="39"/>
    </row>
    <row r="2197">
      <c r="B2197" s="36"/>
      <c r="C2197" s="36"/>
      <c r="D2197" s="36"/>
      <c r="E2197" s="36"/>
      <c r="F2197" s="36"/>
      <c r="G2197" s="36"/>
      <c r="H2197" s="36"/>
      <c r="I2197" s="36"/>
      <c r="J2197" s="36"/>
      <c r="K2197" s="36"/>
      <c r="L2197" s="36"/>
      <c r="M2197" s="36"/>
      <c r="N2197" s="36"/>
      <c r="O2197" s="36"/>
      <c r="P2197" s="36"/>
      <c r="Q2197" s="36"/>
      <c r="R2197" s="36"/>
      <c r="S2197" s="39"/>
    </row>
    <row r="2198">
      <c r="B2198" s="36"/>
      <c r="C2198" s="36"/>
      <c r="D2198" s="36"/>
      <c r="E2198" s="36"/>
      <c r="F2198" s="36"/>
      <c r="G2198" s="36"/>
      <c r="H2198" s="36"/>
      <c r="I2198" s="36"/>
      <c r="J2198" s="36"/>
      <c r="K2198" s="36"/>
      <c r="L2198" s="36"/>
      <c r="M2198" s="36"/>
      <c r="N2198" s="36"/>
      <c r="O2198" s="36"/>
      <c r="P2198" s="36"/>
      <c r="Q2198" s="36"/>
      <c r="R2198" s="36"/>
      <c r="S2198" s="39"/>
    </row>
    <row r="2199">
      <c r="B2199" s="36"/>
      <c r="C2199" s="36"/>
      <c r="D2199" s="36"/>
      <c r="E2199" s="36"/>
      <c r="F2199" s="36"/>
      <c r="G2199" s="36"/>
      <c r="H2199" s="36"/>
      <c r="I2199" s="36"/>
      <c r="J2199" s="36"/>
      <c r="K2199" s="36"/>
      <c r="L2199" s="36"/>
      <c r="M2199" s="36"/>
      <c r="N2199" s="36"/>
      <c r="O2199" s="36"/>
      <c r="P2199" s="36"/>
      <c r="Q2199" s="36"/>
      <c r="R2199" s="36"/>
      <c r="S2199" s="39"/>
    </row>
    <row r="2200">
      <c r="B2200" s="36"/>
      <c r="C2200" s="36"/>
      <c r="D2200" s="36"/>
      <c r="E2200" s="36"/>
      <c r="F2200" s="36"/>
      <c r="G2200" s="36"/>
      <c r="H2200" s="36"/>
      <c r="I2200" s="36"/>
      <c r="J2200" s="36"/>
      <c r="K2200" s="36"/>
      <c r="L2200" s="36"/>
      <c r="M2200" s="36"/>
      <c r="N2200" s="36"/>
      <c r="O2200" s="36"/>
      <c r="P2200" s="36"/>
      <c r="Q2200" s="36"/>
      <c r="R2200" s="36"/>
      <c r="S2200" s="39"/>
    </row>
    <row r="2201">
      <c r="B2201" s="36"/>
      <c r="C2201" s="36"/>
      <c r="D2201" s="36"/>
      <c r="E2201" s="36"/>
      <c r="F2201" s="36"/>
      <c r="G2201" s="36"/>
      <c r="H2201" s="36"/>
      <c r="I2201" s="36"/>
      <c r="J2201" s="36"/>
      <c r="K2201" s="36"/>
      <c r="L2201" s="36"/>
      <c r="M2201" s="36"/>
      <c r="N2201" s="36"/>
      <c r="O2201" s="36"/>
      <c r="P2201" s="36"/>
      <c r="Q2201" s="36"/>
      <c r="R2201" s="36"/>
      <c r="S2201" s="39"/>
    </row>
    <row r="2202">
      <c r="B2202" s="36"/>
      <c r="C2202" s="36"/>
      <c r="D2202" s="36"/>
      <c r="E2202" s="36"/>
      <c r="F2202" s="36"/>
      <c r="G2202" s="36"/>
      <c r="H2202" s="36"/>
      <c r="I2202" s="36"/>
      <c r="J2202" s="36"/>
      <c r="K2202" s="36"/>
      <c r="L2202" s="36"/>
      <c r="M2202" s="36"/>
      <c r="N2202" s="36"/>
      <c r="O2202" s="36"/>
      <c r="P2202" s="36"/>
      <c r="Q2202" s="36"/>
      <c r="R2202" s="36"/>
      <c r="S2202" s="39"/>
    </row>
    <row r="2203">
      <c r="B2203" s="36"/>
      <c r="C2203" s="36"/>
      <c r="D2203" s="36"/>
      <c r="E2203" s="36"/>
      <c r="F2203" s="36"/>
      <c r="G2203" s="36"/>
      <c r="H2203" s="36"/>
      <c r="I2203" s="36"/>
      <c r="J2203" s="36"/>
      <c r="K2203" s="36"/>
      <c r="L2203" s="36"/>
      <c r="M2203" s="36"/>
      <c r="N2203" s="36"/>
      <c r="O2203" s="36"/>
      <c r="P2203" s="36"/>
      <c r="Q2203" s="36"/>
      <c r="R2203" s="36"/>
      <c r="S2203" s="39"/>
    </row>
    <row r="2204">
      <c r="B2204" s="36"/>
      <c r="C2204" s="36"/>
      <c r="D2204" s="36"/>
      <c r="E2204" s="36"/>
      <c r="F2204" s="36"/>
      <c r="G2204" s="36"/>
      <c r="H2204" s="36"/>
      <c r="I2204" s="36"/>
      <c r="J2204" s="36"/>
      <c r="K2204" s="36"/>
      <c r="L2204" s="36"/>
      <c r="M2204" s="36"/>
      <c r="N2204" s="36"/>
      <c r="O2204" s="36"/>
      <c r="P2204" s="36"/>
      <c r="Q2204" s="36"/>
      <c r="R2204" s="36"/>
      <c r="S2204" s="39"/>
    </row>
    <row r="2205">
      <c r="B2205" s="36"/>
      <c r="C2205" s="36"/>
      <c r="D2205" s="36"/>
      <c r="E2205" s="36"/>
      <c r="F2205" s="36"/>
      <c r="G2205" s="36"/>
      <c r="H2205" s="36"/>
      <c r="I2205" s="36"/>
      <c r="J2205" s="36"/>
      <c r="K2205" s="36"/>
      <c r="L2205" s="36"/>
      <c r="M2205" s="36"/>
      <c r="N2205" s="36"/>
      <c r="O2205" s="36"/>
      <c r="P2205" s="36"/>
      <c r="Q2205" s="36"/>
      <c r="R2205" s="36"/>
      <c r="S2205" s="39"/>
    </row>
    <row r="2206">
      <c r="B2206" s="36"/>
      <c r="C2206" s="36"/>
      <c r="D2206" s="36"/>
      <c r="E2206" s="36"/>
      <c r="F2206" s="36"/>
      <c r="G2206" s="36"/>
      <c r="H2206" s="36"/>
      <c r="I2206" s="36"/>
      <c r="J2206" s="36"/>
      <c r="K2206" s="36"/>
      <c r="L2206" s="36"/>
      <c r="M2206" s="36"/>
      <c r="N2206" s="36"/>
      <c r="O2206" s="36"/>
      <c r="P2206" s="36"/>
      <c r="Q2206" s="36"/>
      <c r="R2206" s="36"/>
      <c r="S2206" s="39"/>
    </row>
    <row r="2207">
      <c r="B2207" s="36"/>
      <c r="C2207" s="36"/>
      <c r="D2207" s="36"/>
      <c r="E2207" s="36"/>
      <c r="F2207" s="36"/>
      <c r="G2207" s="36"/>
      <c r="H2207" s="36"/>
      <c r="I2207" s="36"/>
      <c r="J2207" s="36"/>
      <c r="K2207" s="36"/>
      <c r="L2207" s="36"/>
      <c r="M2207" s="36"/>
      <c r="N2207" s="36"/>
      <c r="O2207" s="36"/>
      <c r="P2207" s="36"/>
      <c r="Q2207" s="36"/>
      <c r="R2207" s="36"/>
      <c r="S2207" s="39"/>
    </row>
    <row r="2208">
      <c r="B2208" s="36"/>
      <c r="C2208" s="36"/>
      <c r="D2208" s="36"/>
      <c r="E2208" s="36"/>
      <c r="F2208" s="36"/>
      <c r="G2208" s="36"/>
      <c r="H2208" s="36"/>
      <c r="I2208" s="36"/>
      <c r="J2208" s="36"/>
      <c r="K2208" s="36"/>
      <c r="L2208" s="36"/>
      <c r="M2208" s="36"/>
      <c r="N2208" s="36"/>
      <c r="O2208" s="36"/>
      <c r="P2208" s="36"/>
      <c r="Q2208" s="36"/>
      <c r="R2208" s="36"/>
      <c r="S2208" s="39"/>
    </row>
    <row r="2209">
      <c r="B2209" s="36"/>
      <c r="C2209" s="36"/>
      <c r="D2209" s="36"/>
      <c r="E2209" s="36"/>
      <c r="F2209" s="36"/>
      <c r="G2209" s="36"/>
      <c r="H2209" s="36"/>
      <c r="I2209" s="36"/>
      <c r="J2209" s="36"/>
      <c r="K2209" s="36"/>
      <c r="L2209" s="36"/>
      <c r="M2209" s="36"/>
      <c r="N2209" s="36"/>
      <c r="O2209" s="36"/>
      <c r="P2209" s="36"/>
      <c r="Q2209" s="36"/>
      <c r="R2209" s="36"/>
      <c r="S2209" s="39"/>
    </row>
    <row r="2210">
      <c r="B2210" s="36"/>
      <c r="C2210" s="36"/>
      <c r="D2210" s="36"/>
      <c r="E2210" s="36"/>
      <c r="F2210" s="36"/>
      <c r="G2210" s="36"/>
      <c r="H2210" s="36"/>
      <c r="I2210" s="36"/>
      <c r="J2210" s="36"/>
      <c r="K2210" s="36"/>
      <c r="L2210" s="36"/>
      <c r="M2210" s="36"/>
      <c r="N2210" s="36"/>
      <c r="O2210" s="36"/>
      <c r="P2210" s="36"/>
      <c r="Q2210" s="36"/>
      <c r="R2210" s="36"/>
      <c r="S2210" s="39"/>
    </row>
    <row r="2211">
      <c r="B2211" s="36"/>
      <c r="C2211" s="36"/>
      <c r="D2211" s="36"/>
      <c r="E2211" s="36"/>
      <c r="F2211" s="36"/>
      <c r="G2211" s="36"/>
      <c r="H2211" s="36"/>
      <c r="I2211" s="36"/>
      <c r="J2211" s="36"/>
      <c r="K2211" s="36"/>
      <c r="L2211" s="36"/>
      <c r="M2211" s="36"/>
      <c r="N2211" s="36"/>
      <c r="O2211" s="36"/>
      <c r="P2211" s="36"/>
      <c r="Q2211" s="36"/>
      <c r="R2211" s="36"/>
      <c r="S2211" s="39"/>
    </row>
    <row r="2212">
      <c r="B2212" s="36"/>
      <c r="C2212" s="36"/>
      <c r="D2212" s="36"/>
      <c r="E2212" s="36"/>
      <c r="F2212" s="36"/>
      <c r="G2212" s="36"/>
      <c r="H2212" s="36"/>
      <c r="I2212" s="36"/>
      <c r="J2212" s="36"/>
      <c r="K2212" s="36"/>
      <c r="L2212" s="36"/>
      <c r="M2212" s="36"/>
      <c r="N2212" s="36"/>
      <c r="O2212" s="36"/>
      <c r="P2212" s="36"/>
      <c r="Q2212" s="36"/>
      <c r="R2212" s="36"/>
      <c r="S2212" s="39"/>
    </row>
    <row r="2213">
      <c r="B2213" s="36"/>
      <c r="C2213" s="36"/>
      <c r="D2213" s="36"/>
      <c r="E2213" s="36"/>
      <c r="F2213" s="36"/>
      <c r="G2213" s="36"/>
      <c r="H2213" s="36"/>
      <c r="I2213" s="36"/>
      <c r="J2213" s="36"/>
      <c r="K2213" s="36"/>
      <c r="L2213" s="36"/>
      <c r="M2213" s="36"/>
      <c r="N2213" s="36"/>
      <c r="O2213" s="36"/>
      <c r="P2213" s="36"/>
      <c r="Q2213" s="36"/>
      <c r="R2213" s="36"/>
      <c r="S2213" s="39"/>
    </row>
    <row r="2214">
      <c r="B2214" s="36"/>
      <c r="C2214" s="36"/>
      <c r="D2214" s="36"/>
      <c r="E2214" s="36"/>
      <c r="F2214" s="36"/>
      <c r="G2214" s="36"/>
      <c r="H2214" s="36"/>
      <c r="I2214" s="36"/>
      <c r="J2214" s="36"/>
      <c r="K2214" s="36"/>
      <c r="L2214" s="36"/>
      <c r="M2214" s="36"/>
      <c r="N2214" s="36"/>
      <c r="O2214" s="36"/>
      <c r="P2214" s="36"/>
      <c r="Q2214" s="36"/>
      <c r="R2214" s="36"/>
      <c r="S2214" s="39"/>
    </row>
    <row r="2215">
      <c r="B2215" s="36"/>
      <c r="C2215" s="36"/>
      <c r="D2215" s="36"/>
      <c r="E2215" s="36"/>
      <c r="F2215" s="36"/>
      <c r="G2215" s="36"/>
      <c r="H2215" s="36"/>
      <c r="I2215" s="36"/>
      <c r="J2215" s="36"/>
      <c r="K2215" s="36"/>
      <c r="L2215" s="36"/>
      <c r="M2215" s="36"/>
      <c r="N2215" s="36"/>
      <c r="O2215" s="36"/>
      <c r="P2215" s="36"/>
      <c r="Q2215" s="36"/>
      <c r="R2215" s="36"/>
      <c r="S2215" s="39"/>
    </row>
    <row r="2216">
      <c r="B2216" s="36"/>
      <c r="C2216" s="36"/>
      <c r="D2216" s="36"/>
      <c r="E2216" s="36"/>
      <c r="F2216" s="36"/>
      <c r="G2216" s="36"/>
      <c r="H2216" s="36"/>
      <c r="I2216" s="36"/>
      <c r="J2216" s="36"/>
      <c r="K2216" s="36"/>
      <c r="L2216" s="36"/>
      <c r="M2216" s="36"/>
      <c r="N2216" s="36"/>
      <c r="O2216" s="36"/>
      <c r="P2216" s="36"/>
      <c r="Q2216" s="36"/>
      <c r="R2216" s="36"/>
      <c r="S2216" s="39"/>
    </row>
    <row r="2217">
      <c r="B2217" s="36"/>
      <c r="C2217" s="36"/>
      <c r="D2217" s="36"/>
      <c r="E2217" s="36"/>
      <c r="F2217" s="36"/>
      <c r="G2217" s="36"/>
      <c r="H2217" s="36"/>
      <c r="I2217" s="36"/>
      <c r="J2217" s="36"/>
      <c r="K2217" s="36"/>
      <c r="L2217" s="36"/>
      <c r="M2217" s="36"/>
      <c r="N2217" s="36"/>
      <c r="O2217" s="36"/>
      <c r="P2217" s="36"/>
      <c r="Q2217" s="36"/>
      <c r="R2217" s="36"/>
      <c r="S2217" s="39"/>
    </row>
    <row r="2218">
      <c r="B2218" s="36"/>
      <c r="C2218" s="36"/>
      <c r="D2218" s="36"/>
      <c r="E2218" s="36"/>
      <c r="F2218" s="36"/>
      <c r="G2218" s="36"/>
      <c r="H2218" s="36"/>
      <c r="I2218" s="36"/>
      <c r="J2218" s="36"/>
      <c r="K2218" s="36"/>
      <c r="L2218" s="36"/>
      <c r="M2218" s="36"/>
      <c r="N2218" s="36"/>
      <c r="O2218" s="36"/>
      <c r="P2218" s="36"/>
      <c r="Q2218" s="36"/>
      <c r="R2218" s="36"/>
      <c r="S2218" s="39"/>
    </row>
    <row r="2219">
      <c r="B2219" s="36"/>
      <c r="C2219" s="36"/>
      <c r="D2219" s="36"/>
      <c r="E2219" s="36"/>
      <c r="F2219" s="36"/>
      <c r="G2219" s="36"/>
      <c r="H2219" s="36"/>
      <c r="I2219" s="36"/>
      <c r="J2219" s="36"/>
      <c r="K2219" s="36"/>
      <c r="L2219" s="36"/>
      <c r="M2219" s="36"/>
      <c r="N2219" s="36"/>
      <c r="O2219" s="36"/>
      <c r="P2219" s="36"/>
      <c r="Q2219" s="36"/>
      <c r="R2219" s="36"/>
      <c r="S2219" s="39"/>
    </row>
    <row r="2220">
      <c r="B2220" s="36"/>
      <c r="C2220" s="36"/>
      <c r="D2220" s="36"/>
      <c r="E2220" s="36"/>
      <c r="F2220" s="36"/>
      <c r="G2220" s="36"/>
      <c r="H2220" s="36"/>
      <c r="I2220" s="36"/>
      <c r="J2220" s="36"/>
      <c r="K2220" s="36"/>
      <c r="L2220" s="36"/>
      <c r="M2220" s="36"/>
      <c r="N2220" s="36"/>
      <c r="O2220" s="36"/>
      <c r="P2220" s="36"/>
      <c r="Q2220" s="36"/>
      <c r="R2220" s="36"/>
      <c r="S2220" s="39"/>
    </row>
    <row r="2221">
      <c r="B2221" s="36"/>
      <c r="C2221" s="36"/>
      <c r="D2221" s="36"/>
      <c r="E2221" s="36"/>
      <c r="F2221" s="36"/>
      <c r="G2221" s="36"/>
      <c r="H2221" s="36"/>
      <c r="I2221" s="36"/>
      <c r="J2221" s="36"/>
      <c r="K2221" s="36"/>
      <c r="L2221" s="36"/>
      <c r="M2221" s="36"/>
      <c r="N2221" s="36"/>
      <c r="O2221" s="36"/>
      <c r="P2221" s="36"/>
      <c r="Q2221" s="36"/>
      <c r="R2221" s="36"/>
      <c r="S2221" s="39"/>
    </row>
    <row r="2222">
      <c r="B2222" s="36"/>
      <c r="C2222" s="36"/>
      <c r="D2222" s="36"/>
      <c r="E2222" s="36"/>
      <c r="F2222" s="36"/>
      <c r="G2222" s="36"/>
      <c r="H2222" s="36"/>
      <c r="I2222" s="36"/>
      <c r="J2222" s="36"/>
      <c r="K2222" s="36"/>
      <c r="L2222" s="36"/>
      <c r="M2222" s="36"/>
      <c r="N2222" s="36"/>
      <c r="O2222" s="36"/>
      <c r="P2222" s="36"/>
      <c r="Q2222" s="36"/>
      <c r="R2222" s="36"/>
      <c r="S2222" s="39"/>
    </row>
    <row r="2223">
      <c r="B2223" s="36"/>
      <c r="C2223" s="36"/>
      <c r="D2223" s="36"/>
      <c r="E2223" s="36"/>
      <c r="F2223" s="36"/>
      <c r="G2223" s="36"/>
      <c r="H2223" s="36"/>
      <c r="I2223" s="36"/>
      <c r="J2223" s="36"/>
      <c r="K2223" s="36"/>
      <c r="L2223" s="36"/>
      <c r="M2223" s="36"/>
      <c r="N2223" s="36"/>
      <c r="O2223" s="36"/>
      <c r="P2223" s="36"/>
      <c r="Q2223" s="36"/>
      <c r="R2223" s="36"/>
      <c r="S2223" s="39"/>
    </row>
    <row r="2224">
      <c r="B2224" s="36"/>
      <c r="C2224" s="36"/>
      <c r="D2224" s="36"/>
      <c r="E2224" s="36"/>
      <c r="F2224" s="36"/>
      <c r="G2224" s="36"/>
      <c r="H2224" s="36"/>
      <c r="I2224" s="36"/>
      <c r="J2224" s="36"/>
      <c r="K2224" s="36"/>
      <c r="L2224" s="36"/>
      <c r="M2224" s="36"/>
      <c r="N2224" s="36"/>
      <c r="O2224" s="36"/>
      <c r="P2224" s="36"/>
      <c r="Q2224" s="36"/>
      <c r="R2224" s="36"/>
      <c r="S2224" s="39"/>
    </row>
    <row r="2225">
      <c r="B2225" s="36"/>
      <c r="C2225" s="36"/>
      <c r="D2225" s="36"/>
      <c r="E2225" s="36"/>
      <c r="F2225" s="36"/>
      <c r="G2225" s="36"/>
      <c r="H2225" s="36"/>
      <c r="I2225" s="36"/>
      <c r="J2225" s="36"/>
      <c r="K2225" s="36"/>
      <c r="L2225" s="36"/>
      <c r="M2225" s="36"/>
      <c r="N2225" s="36"/>
      <c r="O2225" s="36"/>
      <c r="P2225" s="36"/>
      <c r="Q2225" s="36"/>
      <c r="R2225" s="36"/>
      <c r="S2225" s="39"/>
    </row>
    <row r="2226">
      <c r="B2226" s="36"/>
      <c r="C2226" s="36"/>
      <c r="D2226" s="36"/>
      <c r="E2226" s="36"/>
      <c r="F2226" s="36"/>
      <c r="G2226" s="36"/>
      <c r="H2226" s="36"/>
      <c r="I2226" s="36"/>
      <c r="J2226" s="36"/>
      <c r="K2226" s="36"/>
      <c r="L2226" s="36"/>
      <c r="M2226" s="36"/>
      <c r="N2226" s="36"/>
      <c r="O2226" s="36"/>
      <c r="P2226" s="36"/>
      <c r="Q2226" s="36"/>
      <c r="R2226" s="36"/>
      <c r="S2226" s="39"/>
    </row>
    <row r="2227">
      <c r="B2227" s="36"/>
      <c r="C2227" s="36"/>
      <c r="D2227" s="36"/>
      <c r="E2227" s="36"/>
      <c r="F2227" s="36"/>
      <c r="G2227" s="36"/>
      <c r="H2227" s="36"/>
      <c r="I2227" s="36"/>
      <c r="J2227" s="36"/>
      <c r="K2227" s="36"/>
      <c r="L2227" s="36"/>
      <c r="M2227" s="36"/>
      <c r="N2227" s="36"/>
      <c r="O2227" s="36"/>
      <c r="P2227" s="36"/>
      <c r="Q2227" s="36"/>
      <c r="R2227" s="36"/>
      <c r="S2227" s="39"/>
    </row>
    <row r="2228">
      <c r="B2228" s="36"/>
      <c r="C2228" s="36"/>
      <c r="D2228" s="36"/>
      <c r="E2228" s="36"/>
      <c r="F2228" s="36"/>
      <c r="G2228" s="36"/>
      <c r="H2228" s="36"/>
      <c r="I2228" s="36"/>
      <c r="J2228" s="36"/>
      <c r="K2228" s="36"/>
      <c r="L2228" s="36"/>
      <c r="M2228" s="36"/>
      <c r="N2228" s="36"/>
      <c r="O2228" s="36"/>
      <c r="P2228" s="36"/>
      <c r="Q2228" s="36"/>
      <c r="R2228" s="36"/>
      <c r="S2228" s="39"/>
    </row>
    <row r="2229">
      <c r="B2229" s="36"/>
      <c r="C2229" s="36"/>
      <c r="D2229" s="36"/>
      <c r="E2229" s="36"/>
      <c r="F2229" s="36"/>
      <c r="G2229" s="36"/>
      <c r="H2229" s="36"/>
      <c r="I2229" s="36"/>
      <c r="J2229" s="36"/>
      <c r="K2229" s="36"/>
      <c r="L2229" s="36"/>
      <c r="M2229" s="36"/>
      <c r="N2229" s="36"/>
      <c r="O2229" s="36"/>
      <c r="P2229" s="36"/>
      <c r="Q2229" s="36"/>
      <c r="R2229" s="36"/>
      <c r="S2229" s="39"/>
    </row>
    <row r="2230">
      <c r="S2230" s="39"/>
    </row>
    <row r="2231">
      <c r="S2231" s="39"/>
    </row>
    <row r="2232">
      <c r="S2232" s="39"/>
    </row>
    <row r="2233">
      <c r="S2233" s="39"/>
    </row>
    <row r="2234">
      <c r="S2234" s="39"/>
    </row>
    <row r="2235">
      <c r="S2235" s="39"/>
    </row>
    <row r="2236">
      <c r="S2236" s="39"/>
    </row>
    <row r="2237">
      <c r="S2237" s="39"/>
    </row>
    <row r="2238">
      <c r="S2238" s="39"/>
    </row>
    <row r="2239">
      <c r="S2239" s="39"/>
    </row>
    <row r="2240">
      <c r="S2240" s="39"/>
    </row>
    <row r="2241">
      <c r="S2241" s="39"/>
    </row>
    <row r="2242">
      <c r="S2242" s="39"/>
    </row>
    <row r="2243">
      <c r="S2243" s="39"/>
    </row>
    <row r="2244">
      <c r="S2244" s="39"/>
    </row>
    <row r="2245">
      <c r="S2245" s="39"/>
    </row>
    <row r="2246">
      <c r="S2246" s="39"/>
    </row>
    <row r="2247">
      <c r="S2247" s="39"/>
    </row>
    <row r="2248">
      <c r="S2248" s="39"/>
    </row>
    <row r="2249">
      <c r="S2249" s="39"/>
    </row>
    <row r="2250">
      <c r="S2250" s="39"/>
    </row>
    <row r="2251">
      <c r="S2251" s="39"/>
    </row>
    <row r="2252">
      <c r="S2252" s="39"/>
    </row>
    <row r="2253">
      <c r="S2253" s="39"/>
    </row>
    <row r="2254">
      <c r="S2254" s="39"/>
    </row>
    <row r="2255">
      <c r="S2255" s="39"/>
    </row>
    <row r="2256">
      <c r="S2256" s="39"/>
    </row>
    <row r="2257">
      <c r="S2257" s="39"/>
    </row>
    <row r="2258">
      <c r="S2258" s="39"/>
    </row>
    <row r="2259">
      <c r="S2259" s="39"/>
    </row>
    <row r="2260">
      <c r="S2260" s="39"/>
    </row>
    <row r="2261">
      <c r="S2261" s="39"/>
    </row>
    <row r="2262">
      <c r="S2262" s="39"/>
    </row>
    <row r="2263">
      <c r="S2263" s="39"/>
    </row>
    <row r="2264">
      <c r="S2264" s="39"/>
    </row>
    <row r="2265">
      <c r="S2265" s="39"/>
    </row>
    <row r="2266">
      <c r="S2266" s="39"/>
    </row>
    <row r="2267">
      <c r="S2267" s="39"/>
    </row>
    <row r="2268">
      <c r="S2268" s="39"/>
    </row>
    <row r="2269">
      <c r="S2269" s="39"/>
    </row>
    <row r="2270">
      <c r="S2270" s="39"/>
    </row>
    <row r="2271">
      <c r="S2271" s="39"/>
    </row>
    <row r="2272">
      <c r="S2272" s="39"/>
    </row>
    <row r="2273">
      <c r="S2273" s="39"/>
    </row>
    <row r="2274">
      <c r="S2274" s="39"/>
    </row>
    <row r="2275">
      <c r="S2275" s="39"/>
    </row>
    <row r="2276">
      <c r="S2276" s="39"/>
    </row>
    <row r="2277">
      <c r="S2277" s="39"/>
    </row>
    <row r="2278">
      <c r="S2278" s="39"/>
    </row>
    <row r="2279">
      <c r="S2279" s="39"/>
    </row>
    <row r="2280">
      <c r="S2280" s="39"/>
    </row>
    <row r="2281">
      <c r="S2281" s="39"/>
    </row>
    <row r="2282">
      <c r="S2282" s="39"/>
    </row>
    <row r="2283">
      <c r="S2283" s="39"/>
    </row>
    <row r="2284">
      <c r="S2284" s="39"/>
    </row>
    <row r="2285">
      <c r="S2285" s="39"/>
    </row>
    <row r="2286">
      <c r="S2286" s="39"/>
    </row>
    <row r="2287">
      <c r="S2287" s="39"/>
    </row>
    <row r="2288">
      <c r="S2288" s="39"/>
    </row>
    <row r="2289">
      <c r="S2289" s="39"/>
    </row>
    <row r="2290">
      <c r="S2290" s="39"/>
    </row>
    <row r="2291">
      <c r="S2291" s="39"/>
    </row>
    <row r="2292">
      <c r="S2292" s="39"/>
    </row>
    <row r="2293">
      <c r="S2293" s="39"/>
    </row>
    <row r="2294">
      <c r="S2294" s="39"/>
    </row>
    <row r="2295">
      <c r="S2295" s="39"/>
    </row>
    <row r="2296">
      <c r="S2296" s="39"/>
    </row>
    <row r="2297">
      <c r="S2297" s="39"/>
    </row>
    <row r="2298">
      <c r="S2298" s="39"/>
    </row>
    <row r="2299">
      <c r="S2299" s="39"/>
    </row>
    <row r="2300">
      <c r="S2300" s="39"/>
    </row>
    <row r="2301">
      <c r="S2301" s="39"/>
    </row>
    <row r="2302">
      <c r="S2302" s="39"/>
    </row>
    <row r="2303">
      <c r="S2303" s="39"/>
    </row>
    <row r="2304">
      <c r="S2304" s="39"/>
    </row>
    <row r="2305">
      <c r="S2305" s="39"/>
    </row>
    <row r="2306">
      <c r="S2306" s="39"/>
    </row>
    <row r="2307">
      <c r="S2307" s="39"/>
    </row>
    <row r="2308">
      <c r="S2308" s="39"/>
    </row>
    <row r="2309">
      <c r="S2309" s="39"/>
    </row>
    <row r="2310">
      <c r="S2310" s="39"/>
    </row>
    <row r="2311">
      <c r="S2311" s="39"/>
    </row>
    <row r="2312">
      <c r="S2312" s="39"/>
    </row>
    <row r="2313">
      <c r="S2313" s="39"/>
    </row>
    <row r="2314">
      <c r="S2314" s="39"/>
    </row>
    <row r="2315">
      <c r="S2315" s="39"/>
    </row>
    <row r="2316">
      <c r="S2316" s="39"/>
    </row>
    <row r="2317">
      <c r="S2317" s="39"/>
    </row>
    <row r="2318">
      <c r="S2318" s="39"/>
    </row>
    <row r="2319">
      <c r="S2319" s="39"/>
    </row>
    <row r="2320">
      <c r="S2320" s="39"/>
    </row>
    <row r="2321">
      <c r="S2321" s="39"/>
    </row>
    <row r="2322">
      <c r="S2322" s="39"/>
    </row>
    <row r="2323">
      <c r="S2323" s="39"/>
    </row>
    <row r="2324">
      <c r="S2324" s="39"/>
    </row>
    <row r="2325">
      <c r="S2325" s="39"/>
    </row>
    <row r="2326">
      <c r="S2326" s="39"/>
    </row>
    <row r="2327">
      <c r="S2327" s="39"/>
    </row>
    <row r="2328">
      <c r="S2328" s="39"/>
    </row>
    <row r="2329">
      <c r="S2329" s="39"/>
    </row>
    <row r="2330">
      <c r="S2330" s="39"/>
    </row>
    <row r="2331">
      <c r="S2331" s="39"/>
    </row>
    <row r="2332">
      <c r="S2332" s="39"/>
    </row>
    <row r="2333">
      <c r="S2333" s="39"/>
    </row>
    <row r="2334">
      <c r="S2334" s="39"/>
    </row>
    <row r="2335">
      <c r="S2335" s="39"/>
    </row>
    <row r="2336">
      <c r="S2336" s="39"/>
    </row>
    <row r="2337">
      <c r="S2337" s="39"/>
    </row>
    <row r="2338">
      <c r="S2338" s="39"/>
    </row>
    <row r="2339">
      <c r="S2339" s="39"/>
    </row>
    <row r="2340">
      <c r="S2340" s="39"/>
    </row>
    <row r="2341">
      <c r="S2341" s="39"/>
    </row>
    <row r="2342">
      <c r="S2342" s="39"/>
    </row>
    <row r="2343">
      <c r="S2343" s="39"/>
    </row>
    <row r="2344">
      <c r="S2344" s="39"/>
    </row>
    <row r="2345">
      <c r="S2345" s="39"/>
    </row>
    <row r="2346">
      <c r="S2346" s="39"/>
    </row>
    <row r="2347">
      <c r="S2347" s="39"/>
    </row>
    <row r="2348">
      <c r="S2348" s="39"/>
    </row>
    <row r="2349">
      <c r="S2349" s="39"/>
    </row>
    <row r="2350">
      <c r="S2350" s="39"/>
    </row>
    <row r="2351">
      <c r="S2351" s="39"/>
    </row>
    <row r="2352">
      <c r="S2352" s="39"/>
    </row>
    <row r="2353">
      <c r="S2353" s="39"/>
    </row>
    <row r="2354">
      <c r="S2354" s="39"/>
    </row>
    <row r="2355">
      <c r="S2355" s="39"/>
    </row>
    <row r="2356">
      <c r="S2356" s="39"/>
    </row>
    <row r="2357">
      <c r="S2357" s="39"/>
    </row>
    <row r="2358">
      <c r="S2358" s="39"/>
    </row>
    <row r="2359">
      <c r="S2359" s="39"/>
    </row>
    <row r="2360">
      <c r="S2360" s="39"/>
    </row>
    <row r="2361">
      <c r="S2361" s="39"/>
    </row>
    <row r="2362">
      <c r="S2362" s="39"/>
    </row>
    <row r="2363">
      <c r="S2363" s="39"/>
    </row>
    <row r="2364">
      <c r="S2364" s="39"/>
    </row>
    <row r="2365">
      <c r="S2365" s="39"/>
    </row>
    <row r="2366">
      <c r="S2366" s="39"/>
    </row>
    <row r="2367">
      <c r="S2367" s="39"/>
    </row>
    <row r="2368">
      <c r="S2368" s="39"/>
    </row>
    <row r="2369">
      <c r="S2369" s="39"/>
    </row>
    <row r="2370">
      <c r="S2370" s="39"/>
    </row>
    <row r="2371">
      <c r="S2371" s="39"/>
    </row>
    <row r="2372">
      <c r="S2372" s="39"/>
    </row>
    <row r="2373">
      <c r="S2373" s="39"/>
    </row>
    <row r="2374">
      <c r="S2374" s="39"/>
    </row>
    <row r="2375">
      <c r="S2375" s="39"/>
    </row>
    <row r="2376">
      <c r="S2376" s="39"/>
    </row>
    <row r="2377">
      <c r="S2377" s="39"/>
    </row>
    <row r="2378">
      <c r="S2378" s="39"/>
    </row>
    <row r="2379">
      <c r="S2379" s="39"/>
    </row>
    <row r="2380">
      <c r="S2380" s="39"/>
    </row>
    <row r="2381">
      <c r="S2381" s="39"/>
    </row>
    <row r="2382">
      <c r="S2382" s="39"/>
    </row>
    <row r="2383">
      <c r="S2383" s="39"/>
    </row>
    <row r="2384">
      <c r="S2384" s="39"/>
    </row>
    <row r="2385">
      <c r="S2385" s="39"/>
    </row>
    <row r="2386">
      <c r="S2386" s="39"/>
    </row>
    <row r="2387">
      <c r="S2387" s="39"/>
    </row>
    <row r="2388">
      <c r="S2388" s="39"/>
    </row>
    <row r="2389">
      <c r="S2389" s="39"/>
    </row>
    <row r="2390">
      <c r="S2390" s="39"/>
    </row>
    <row r="2391">
      <c r="S2391" s="39"/>
    </row>
    <row r="2392">
      <c r="S2392" s="39"/>
    </row>
    <row r="2393">
      <c r="S2393" s="39"/>
    </row>
    <row r="2394">
      <c r="S2394" s="39"/>
    </row>
    <row r="2395">
      <c r="S2395" s="39"/>
    </row>
    <row r="2396">
      <c r="S2396" s="39"/>
    </row>
    <row r="2397">
      <c r="S2397" s="39"/>
    </row>
    <row r="2398">
      <c r="S2398" s="39"/>
    </row>
    <row r="2399">
      <c r="S2399" s="39"/>
    </row>
    <row r="2400">
      <c r="S2400" s="39"/>
    </row>
    <row r="2401">
      <c r="S2401" s="39"/>
    </row>
    <row r="2402">
      <c r="S2402" s="39"/>
    </row>
    <row r="2403">
      <c r="S2403" s="39"/>
    </row>
    <row r="2404">
      <c r="S2404" s="39"/>
    </row>
    <row r="2405">
      <c r="S2405" s="39"/>
    </row>
    <row r="2406">
      <c r="S2406" s="39"/>
    </row>
    <row r="2407">
      <c r="S2407" s="39"/>
    </row>
    <row r="2408">
      <c r="S2408" s="39"/>
    </row>
    <row r="2409">
      <c r="S2409" s="39"/>
    </row>
    <row r="2410">
      <c r="S2410" s="39"/>
    </row>
    <row r="2411">
      <c r="S2411" s="39"/>
    </row>
    <row r="2412">
      <c r="S2412" s="39"/>
    </row>
    <row r="2413">
      <c r="S2413" s="39"/>
    </row>
    <row r="2414">
      <c r="S2414" s="39"/>
    </row>
    <row r="2415">
      <c r="S2415" s="39"/>
    </row>
    <row r="2416">
      <c r="S2416" s="39"/>
    </row>
    <row r="2417">
      <c r="S2417" s="39"/>
    </row>
    <row r="2418">
      <c r="S2418" s="39"/>
    </row>
    <row r="2419">
      <c r="S2419" s="39"/>
    </row>
    <row r="2420">
      <c r="S2420" s="39"/>
    </row>
    <row r="2421">
      <c r="S2421" s="39"/>
    </row>
    <row r="2422">
      <c r="S2422" s="39"/>
    </row>
    <row r="2423">
      <c r="S2423" s="39"/>
    </row>
    <row r="2424">
      <c r="S2424" s="39"/>
    </row>
    <row r="2425">
      <c r="S2425" s="39"/>
    </row>
    <row r="2426">
      <c r="S2426" s="39"/>
    </row>
    <row r="2427">
      <c r="S2427" s="39"/>
    </row>
    <row r="2428">
      <c r="S2428" s="39"/>
    </row>
    <row r="2429">
      <c r="S2429" s="39"/>
    </row>
    <row r="2430">
      <c r="S2430" s="39"/>
    </row>
    <row r="2431">
      <c r="S2431" s="39"/>
    </row>
    <row r="2432">
      <c r="S2432" s="39"/>
    </row>
    <row r="2433">
      <c r="S2433" s="39"/>
    </row>
    <row r="2434">
      <c r="S2434" s="39"/>
    </row>
    <row r="2435">
      <c r="S2435" s="39"/>
    </row>
    <row r="2436">
      <c r="S2436" s="39"/>
    </row>
    <row r="2437">
      <c r="S2437" s="39"/>
    </row>
    <row r="2438">
      <c r="S2438" s="39"/>
    </row>
    <row r="2439">
      <c r="S2439" s="39"/>
    </row>
    <row r="2440">
      <c r="S2440" s="39"/>
    </row>
    <row r="2441">
      <c r="S2441" s="39"/>
    </row>
    <row r="2442">
      <c r="S2442" s="39"/>
    </row>
    <row r="2443">
      <c r="S2443" s="39"/>
    </row>
    <row r="2444">
      <c r="S2444" s="39"/>
    </row>
    <row r="2445">
      <c r="S2445" s="39"/>
    </row>
    <row r="2446">
      <c r="S2446" s="39"/>
    </row>
    <row r="2447">
      <c r="S2447" s="39"/>
    </row>
    <row r="2448">
      <c r="S2448" s="39"/>
    </row>
    <row r="2449">
      <c r="S2449" s="39"/>
    </row>
    <row r="2450">
      <c r="S2450" s="39"/>
    </row>
    <row r="2451">
      <c r="S2451" s="39"/>
    </row>
    <row r="2452">
      <c r="S2452" s="39"/>
    </row>
    <row r="2453">
      <c r="S2453" s="39"/>
    </row>
    <row r="2454">
      <c r="S2454" s="39"/>
    </row>
    <row r="2455">
      <c r="S2455" s="39"/>
    </row>
    <row r="2456">
      <c r="S2456" s="39"/>
    </row>
    <row r="2457">
      <c r="S2457" s="39"/>
    </row>
    <row r="2458">
      <c r="S2458" s="39"/>
    </row>
    <row r="2459">
      <c r="S2459" s="39"/>
    </row>
    <row r="2460">
      <c r="S2460" s="39"/>
    </row>
    <row r="2461">
      <c r="S2461" s="39"/>
    </row>
    <row r="2462">
      <c r="S2462" s="39"/>
    </row>
    <row r="2463">
      <c r="S2463" s="39"/>
    </row>
    <row r="2464">
      <c r="S2464" s="39"/>
    </row>
    <row r="2465">
      <c r="S2465" s="39"/>
    </row>
    <row r="2466">
      <c r="S2466" s="39"/>
    </row>
    <row r="2467">
      <c r="S2467" s="39"/>
    </row>
    <row r="2468">
      <c r="S2468" s="39"/>
    </row>
    <row r="2469">
      <c r="S2469" s="39"/>
    </row>
    <row r="2470">
      <c r="S2470" s="39"/>
    </row>
    <row r="2471">
      <c r="S2471" s="39"/>
    </row>
    <row r="2472">
      <c r="S2472" s="39"/>
    </row>
    <row r="2473">
      <c r="S2473" s="39"/>
    </row>
    <row r="2474">
      <c r="S2474" s="39"/>
    </row>
    <row r="2475">
      <c r="S2475" s="39"/>
    </row>
    <row r="2476">
      <c r="S2476" s="39"/>
    </row>
    <row r="2477">
      <c r="S2477" s="39"/>
    </row>
    <row r="2478">
      <c r="S2478" s="39"/>
    </row>
    <row r="2479">
      <c r="S2479" s="39"/>
    </row>
    <row r="2480">
      <c r="S2480" s="39"/>
    </row>
    <row r="2481">
      <c r="S2481" s="39"/>
    </row>
    <row r="2482">
      <c r="S2482" s="39"/>
    </row>
    <row r="2483">
      <c r="S2483" s="39"/>
    </row>
    <row r="2484">
      <c r="S2484" s="39"/>
    </row>
    <row r="2485">
      <c r="S2485" s="39"/>
    </row>
    <row r="2486">
      <c r="S2486" s="39"/>
    </row>
    <row r="2487">
      <c r="S2487" s="39"/>
    </row>
    <row r="2488">
      <c r="S2488" s="39"/>
    </row>
    <row r="2489">
      <c r="S2489" s="39"/>
    </row>
    <row r="2490">
      <c r="S2490" s="39"/>
    </row>
    <row r="2491">
      <c r="S2491" s="39"/>
    </row>
    <row r="2492">
      <c r="S2492" s="39"/>
    </row>
    <row r="2493">
      <c r="S2493" s="39"/>
    </row>
    <row r="2494">
      <c r="S2494" s="39"/>
    </row>
    <row r="2495">
      <c r="S2495" s="39"/>
    </row>
    <row r="2496">
      <c r="S2496" s="39"/>
    </row>
    <row r="2497">
      <c r="S2497" s="39"/>
    </row>
    <row r="2498">
      <c r="S2498" s="39"/>
    </row>
    <row r="2499">
      <c r="S2499" s="39"/>
    </row>
    <row r="2500">
      <c r="S2500" s="39"/>
    </row>
    <row r="2501">
      <c r="S2501" s="39"/>
    </row>
    <row r="2502">
      <c r="S2502" s="39"/>
    </row>
    <row r="2503">
      <c r="S2503" s="39"/>
    </row>
    <row r="2504">
      <c r="S2504" s="39"/>
    </row>
    <row r="2505">
      <c r="S2505" s="39"/>
    </row>
    <row r="2506">
      <c r="S2506" s="39"/>
    </row>
    <row r="2507">
      <c r="S2507" s="39"/>
    </row>
    <row r="2508">
      <c r="S2508" s="39"/>
    </row>
    <row r="2509">
      <c r="S2509" s="39"/>
    </row>
    <row r="2510">
      <c r="S2510" s="39"/>
    </row>
    <row r="2511">
      <c r="S2511" s="39"/>
    </row>
    <row r="2512">
      <c r="S2512" s="39"/>
    </row>
    <row r="2513">
      <c r="S2513" s="39"/>
    </row>
    <row r="2514">
      <c r="S2514" s="39"/>
    </row>
    <row r="2515">
      <c r="S2515" s="39"/>
    </row>
    <row r="2516">
      <c r="S2516" s="39"/>
    </row>
    <row r="2517">
      <c r="S2517" s="39"/>
    </row>
    <row r="2518">
      <c r="S2518" s="39"/>
    </row>
    <row r="2519">
      <c r="S2519" s="39"/>
    </row>
    <row r="2520">
      <c r="S2520" s="39"/>
    </row>
    <row r="2521">
      <c r="S2521" s="39"/>
    </row>
    <row r="2522">
      <c r="S2522" s="39"/>
    </row>
    <row r="2523">
      <c r="S2523" s="39"/>
    </row>
    <row r="2524">
      <c r="S2524" s="39"/>
    </row>
    <row r="2525">
      <c r="S2525" s="39"/>
    </row>
    <row r="2526">
      <c r="S2526" s="39"/>
    </row>
    <row r="2527">
      <c r="S2527" s="39"/>
    </row>
    <row r="2528">
      <c r="S2528" s="39"/>
    </row>
    <row r="2529">
      <c r="S2529" s="39"/>
    </row>
    <row r="2530">
      <c r="S2530" s="39"/>
    </row>
    <row r="2531">
      <c r="S2531" s="39"/>
    </row>
    <row r="2532">
      <c r="S2532" s="39"/>
    </row>
    <row r="2533">
      <c r="S2533" s="39"/>
    </row>
    <row r="2534">
      <c r="S2534" s="39"/>
    </row>
    <row r="2535">
      <c r="S2535" s="39"/>
    </row>
    <row r="2536">
      <c r="S2536" s="39"/>
    </row>
    <row r="2537">
      <c r="S2537" s="39"/>
    </row>
    <row r="2538">
      <c r="S2538" s="39"/>
    </row>
    <row r="2539">
      <c r="S2539" s="39"/>
    </row>
    <row r="2540">
      <c r="S2540" s="39"/>
    </row>
    <row r="2541">
      <c r="S2541" s="39"/>
    </row>
    <row r="2542">
      <c r="S2542" s="39"/>
    </row>
    <row r="2543">
      <c r="S2543" s="39"/>
    </row>
    <row r="2544">
      <c r="S2544" s="39"/>
    </row>
    <row r="2545">
      <c r="S2545" s="39"/>
    </row>
    <row r="2546">
      <c r="S2546" s="39"/>
    </row>
    <row r="2547">
      <c r="S2547" s="39"/>
    </row>
    <row r="2548">
      <c r="S2548" s="39"/>
    </row>
    <row r="2549">
      <c r="S2549" s="39"/>
    </row>
    <row r="2550">
      <c r="S2550" s="39"/>
    </row>
    <row r="2551">
      <c r="S2551" s="39"/>
    </row>
    <row r="2552">
      <c r="S2552" s="39"/>
    </row>
    <row r="2553">
      <c r="S2553" s="39"/>
    </row>
    <row r="2554">
      <c r="S2554" s="39"/>
    </row>
    <row r="2555">
      <c r="S2555" s="39"/>
    </row>
    <row r="2556">
      <c r="S2556" s="39"/>
    </row>
    <row r="2557">
      <c r="S2557" s="39"/>
    </row>
    <row r="2558">
      <c r="S2558" s="39"/>
    </row>
    <row r="2559">
      <c r="S2559" s="39"/>
    </row>
    <row r="2560">
      <c r="S2560" s="39"/>
    </row>
    <row r="2561">
      <c r="S2561" s="39"/>
    </row>
    <row r="2562">
      <c r="S2562" s="39"/>
    </row>
    <row r="2563">
      <c r="S2563" s="39"/>
    </row>
    <row r="2564">
      <c r="S2564" s="39"/>
    </row>
    <row r="2565">
      <c r="S2565" s="39"/>
    </row>
    <row r="2566">
      <c r="S2566" s="39"/>
    </row>
    <row r="2567">
      <c r="S2567" s="39"/>
    </row>
    <row r="2568">
      <c r="S2568" s="39"/>
    </row>
    <row r="2569">
      <c r="S2569" s="39"/>
    </row>
    <row r="2570">
      <c r="S2570" s="39"/>
    </row>
    <row r="2571">
      <c r="S2571" s="39"/>
    </row>
    <row r="2572">
      <c r="S2572" s="39"/>
    </row>
    <row r="2573">
      <c r="S2573" s="39"/>
    </row>
    <row r="2574">
      <c r="S2574" s="39"/>
    </row>
    <row r="2575">
      <c r="S2575" s="39"/>
    </row>
    <row r="2576">
      <c r="S2576" s="39"/>
    </row>
    <row r="2577">
      <c r="S2577" s="39"/>
    </row>
    <row r="2578">
      <c r="S2578" s="39"/>
    </row>
    <row r="2579">
      <c r="S2579" s="39"/>
    </row>
    <row r="2580">
      <c r="S2580" s="39"/>
    </row>
    <row r="2581">
      <c r="S2581" s="39"/>
    </row>
    <row r="2582">
      <c r="S2582" s="39"/>
    </row>
    <row r="2583">
      <c r="S2583" s="39"/>
    </row>
    <row r="2584">
      <c r="S2584" s="39"/>
    </row>
    <row r="2585">
      <c r="S2585" s="39"/>
    </row>
    <row r="2586">
      <c r="S2586" s="39"/>
    </row>
    <row r="2587">
      <c r="S2587" s="39"/>
    </row>
    <row r="2588">
      <c r="S2588" s="39"/>
    </row>
    <row r="2589">
      <c r="S2589" s="39"/>
    </row>
    <row r="2590">
      <c r="S2590" s="39"/>
    </row>
    <row r="2591">
      <c r="S2591" s="39"/>
    </row>
    <row r="2592">
      <c r="S2592" s="39"/>
    </row>
    <row r="2593">
      <c r="S2593" s="39"/>
    </row>
    <row r="2594">
      <c r="S2594" s="39"/>
    </row>
    <row r="2595">
      <c r="S2595" s="39"/>
    </row>
    <row r="2596">
      <c r="S2596" s="39"/>
    </row>
    <row r="2597">
      <c r="S2597" s="39"/>
    </row>
    <row r="2598">
      <c r="S2598" s="39"/>
    </row>
    <row r="2599">
      <c r="S2599" s="39"/>
    </row>
    <row r="2600">
      <c r="S2600" s="39"/>
    </row>
    <row r="2601">
      <c r="S2601" s="39"/>
    </row>
    <row r="2602">
      <c r="S2602" s="39"/>
    </row>
    <row r="2603">
      <c r="S2603" s="39"/>
    </row>
    <row r="2604">
      <c r="S2604" s="39"/>
    </row>
    <row r="2605">
      <c r="S2605" s="39"/>
    </row>
    <row r="2606">
      <c r="S2606" s="39"/>
    </row>
    <row r="2607">
      <c r="S2607" s="39"/>
    </row>
    <row r="2608">
      <c r="S2608" s="39"/>
    </row>
    <row r="2609">
      <c r="S2609" s="39"/>
    </row>
    <row r="2610">
      <c r="S2610" s="39"/>
    </row>
    <row r="2611">
      <c r="S2611" s="39"/>
    </row>
    <row r="2612">
      <c r="S2612" s="39"/>
    </row>
    <row r="2613">
      <c r="S2613" s="39"/>
    </row>
    <row r="2614">
      <c r="S2614" s="39"/>
    </row>
    <row r="2615">
      <c r="S2615" s="39"/>
    </row>
    <row r="2616">
      <c r="S2616" s="39"/>
    </row>
    <row r="2617">
      <c r="S2617" s="39"/>
    </row>
    <row r="2618">
      <c r="S2618" s="39"/>
    </row>
    <row r="2619">
      <c r="S2619" s="39"/>
    </row>
    <row r="2620">
      <c r="S2620" s="39"/>
    </row>
    <row r="2621">
      <c r="S2621" s="39"/>
    </row>
    <row r="2622">
      <c r="S2622" s="39"/>
    </row>
    <row r="2623">
      <c r="S2623" s="39"/>
    </row>
    <row r="2624">
      <c r="S2624" s="39"/>
    </row>
    <row r="2625">
      <c r="S2625" s="39"/>
    </row>
    <row r="2626">
      <c r="S2626" s="39"/>
    </row>
    <row r="2627">
      <c r="S2627" s="39"/>
    </row>
    <row r="2628">
      <c r="S2628" s="39"/>
    </row>
    <row r="2629">
      <c r="S2629" s="39"/>
    </row>
    <row r="2630">
      <c r="S2630" s="39"/>
    </row>
    <row r="2631">
      <c r="S2631" s="39"/>
    </row>
    <row r="2632">
      <c r="S2632" s="39"/>
    </row>
    <row r="2633">
      <c r="S2633" s="39"/>
    </row>
    <row r="2634">
      <c r="S2634" s="39"/>
    </row>
    <row r="2635">
      <c r="S2635" s="39"/>
    </row>
    <row r="2636">
      <c r="S2636" s="39"/>
    </row>
    <row r="2637">
      <c r="S2637" s="39"/>
    </row>
    <row r="2638">
      <c r="S2638" s="39"/>
    </row>
    <row r="2639">
      <c r="S2639" s="39"/>
    </row>
    <row r="2640">
      <c r="S2640" s="39"/>
    </row>
    <row r="2641">
      <c r="S2641" s="39"/>
    </row>
    <row r="2642">
      <c r="S2642" s="39"/>
    </row>
    <row r="2643">
      <c r="S2643" s="39"/>
    </row>
    <row r="2644">
      <c r="S2644" s="39"/>
    </row>
    <row r="2645">
      <c r="S2645" s="39"/>
    </row>
    <row r="2646">
      <c r="S2646" s="39"/>
    </row>
    <row r="2647">
      <c r="S2647" s="39"/>
    </row>
    <row r="2648">
      <c r="S2648" s="39"/>
    </row>
    <row r="2649">
      <c r="S2649" s="39"/>
    </row>
    <row r="2650">
      <c r="S2650" s="39"/>
    </row>
    <row r="2651">
      <c r="S2651" s="39"/>
    </row>
    <row r="2652">
      <c r="S2652" s="39"/>
    </row>
    <row r="2653">
      <c r="S2653" s="39"/>
    </row>
    <row r="2654">
      <c r="S2654" s="39"/>
    </row>
    <row r="2655">
      <c r="S2655" s="39"/>
    </row>
    <row r="2656">
      <c r="S2656" s="39"/>
    </row>
    <row r="2657">
      <c r="S2657" s="39"/>
    </row>
    <row r="2658">
      <c r="S2658" s="39"/>
    </row>
    <row r="2659">
      <c r="S2659" s="39"/>
    </row>
    <row r="2660">
      <c r="S2660" s="39"/>
    </row>
    <row r="2661">
      <c r="S2661" s="39"/>
    </row>
    <row r="2662">
      <c r="S2662" s="39"/>
    </row>
    <row r="2663">
      <c r="S2663" s="39"/>
    </row>
    <row r="2664">
      <c r="S2664" s="39"/>
    </row>
    <row r="2665">
      <c r="S2665" s="39"/>
    </row>
    <row r="2666">
      <c r="S2666" s="39"/>
    </row>
    <row r="2667">
      <c r="S2667" s="39"/>
    </row>
    <row r="2668">
      <c r="S2668" s="39"/>
    </row>
    <row r="2669">
      <c r="S2669" s="39"/>
    </row>
    <row r="2670">
      <c r="S2670" s="39"/>
    </row>
    <row r="2671">
      <c r="S2671" s="39"/>
    </row>
    <row r="2672">
      <c r="S2672" s="39"/>
    </row>
    <row r="2673">
      <c r="S2673" s="39"/>
    </row>
    <row r="2674">
      <c r="S2674" s="39"/>
    </row>
    <row r="2675">
      <c r="S2675" s="39"/>
    </row>
    <row r="2676">
      <c r="S2676" s="39"/>
    </row>
    <row r="2677">
      <c r="S2677" s="39"/>
    </row>
    <row r="2678">
      <c r="S2678" s="39"/>
    </row>
    <row r="2679">
      <c r="S2679" s="39"/>
    </row>
    <row r="2680">
      <c r="S2680" s="39"/>
    </row>
    <row r="2681">
      <c r="S2681" s="39"/>
    </row>
    <row r="2682">
      <c r="S2682" s="39"/>
    </row>
    <row r="2683">
      <c r="S2683" s="39"/>
    </row>
    <row r="2684">
      <c r="S2684" s="39"/>
    </row>
    <row r="2685">
      <c r="S2685" s="39"/>
    </row>
    <row r="2686">
      <c r="S2686" s="39"/>
    </row>
    <row r="2687">
      <c r="S2687" s="39"/>
    </row>
    <row r="2688">
      <c r="S2688" s="39"/>
    </row>
    <row r="2689">
      <c r="S2689" s="39"/>
    </row>
    <row r="2690">
      <c r="S2690" s="39"/>
    </row>
    <row r="2691">
      <c r="S2691" s="39"/>
    </row>
    <row r="2692">
      <c r="S2692" s="39"/>
    </row>
    <row r="2693">
      <c r="S2693" s="39"/>
    </row>
    <row r="2694">
      <c r="S2694" s="39"/>
    </row>
    <row r="2695">
      <c r="S2695" s="39"/>
    </row>
    <row r="2696">
      <c r="S2696" s="39"/>
    </row>
    <row r="2697">
      <c r="S2697" s="39"/>
    </row>
    <row r="2698">
      <c r="S2698" s="39"/>
    </row>
    <row r="2699">
      <c r="S2699" s="39"/>
    </row>
    <row r="2700">
      <c r="S2700" s="39"/>
    </row>
    <row r="2701">
      <c r="S2701" s="39"/>
    </row>
    <row r="2702">
      <c r="S2702" s="39"/>
    </row>
    <row r="2703">
      <c r="S2703" s="39"/>
    </row>
    <row r="2704">
      <c r="S2704" s="39"/>
    </row>
    <row r="2705">
      <c r="S2705" s="39"/>
    </row>
    <row r="2706">
      <c r="S2706" s="39"/>
    </row>
    <row r="2707">
      <c r="S2707" s="39"/>
    </row>
    <row r="2708">
      <c r="S2708" s="39"/>
    </row>
    <row r="2709">
      <c r="S2709" s="39"/>
    </row>
    <row r="2710">
      <c r="S2710" s="39"/>
    </row>
    <row r="2711">
      <c r="S2711" s="39"/>
    </row>
    <row r="2712">
      <c r="S2712" s="39"/>
    </row>
    <row r="2713">
      <c r="S2713" s="39"/>
    </row>
    <row r="2714">
      <c r="S2714" s="39"/>
    </row>
    <row r="2715">
      <c r="S2715" s="39"/>
    </row>
    <row r="2716">
      <c r="S2716" s="39"/>
    </row>
    <row r="2717">
      <c r="S2717" s="39"/>
    </row>
    <row r="2718">
      <c r="S2718" s="39"/>
    </row>
    <row r="2719">
      <c r="S2719" s="39"/>
    </row>
    <row r="2720">
      <c r="S2720" s="39"/>
    </row>
    <row r="2721">
      <c r="S2721" s="39"/>
    </row>
    <row r="2722">
      <c r="S2722" s="39"/>
    </row>
    <row r="2723">
      <c r="S2723" s="39"/>
    </row>
    <row r="2724">
      <c r="S2724" s="39"/>
    </row>
    <row r="2725">
      <c r="S2725" s="39"/>
    </row>
    <row r="2726">
      <c r="S2726" s="39"/>
    </row>
    <row r="2727">
      <c r="S2727" s="39"/>
    </row>
    <row r="2728">
      <c r="S2728" s="39"/>
    </row>
    <row r="2729">
      <c r="S2729" s="39"/>
    </row>
    <row r="2730">
      <c r="S2730" s="39"/>
    </row>
    <row r="2731">
      <c r="S2731" s="39"/>
    </row>
    <row r="2732">
      <c r="S2732" s="39"/>
    </row>
    <row r="2733">
      <c r="S2733" s="39"/>
    </row>
    <row r="2734">
      <c r="S2734" s="39"/>
    </row>
    <row r="2735">
      <c r="S2735" s="39"/>
    </row>
    <row r="2736">
      <c r="S2736" s="39"/>
    </row>
    <row r="2737">
      <c r="S2737" s="39"/>
    </row>
    <row r="2738">
      <c r="S2738" s="39"/>
    </row>
    <row r="2739">
      <c r="S2739" s="39"/>
    </row>
    <row r="2740">
      <c r="S2740" s="39"/>
    </row>
    <row r="2741">
      <c r="S2741" s="39"/>
    </row>
    <row r="2742">
      <c r="S2742" s="39"/>
    </row>
    <row r="2743">
      <c r="S2743" s="39"/>
    </row>
    <row r="2744">
      <c r="S2744" s="39"/>
    </row>
    <row r="2745">
      <c r="S2745" s="39"/>
    </row>
    <row r="2746">
      <c r="S2746" s="39"/>
    </row>
    <row r="2747">
      <c r="S2747" s="39"/>
    </row>
    <row r="2748">
      <c r="S2748" s="39"/>
    </row>
    <row r="2749">
      <c r="S2749" s="39"/>
    </row>
    <row r="2750">
      <c r="S2750" s="39"/>
    </row>
    <row r="2751">
      <c r="S2751" s="39"/>
    </row>
    <row r="2752">
      <c r="S2752" s="39"/>
    </row>
    <row r="2753">
      <c r="S2753" s="39"/>
    </row>
    <row r="2754">
      <c r="S2754" s="39"/>
    </row>
    <row r="2755">
      <c r="S2755" s="39"/>
    </row>
    <row r="2756">
      <c r="S2756" s="39"/>
    </row>
    <row r="2757">
      <c r="S2757" s="39"/>
    </row>
    <row r="2758">
      <c r="S2758" s="39"/>
    </row>
    <row r="2759">
      <c r="S2759" s="39"/>
    </row>
    <row r="2760">
      <c r="S2760" s="39"/>
    </row>
    <row r="2761">
      <c r="S2761" s="39"/>
    </row>
    <row r="2762">
      <c r="S2762" s="39"/>
    </row>
    <row r="2763">
      <c r="S2763" s="39"/>
    </row>
    <row r="2764">
      <c r="S2764" s="39"/>
    </row>
    <row r="2765">
      <c r="S2765" s="39"/>
    </row>
    <row r="2766">
      <c r="S2766" s="39"/>
    </row>
    <row r="2767">
      <c r="S2767" s="39"/>
    </row>
    <row r="2768">
      <c r="S2768" s="39"/>
    </row>
    <row r="2769">
      <c r="S2769" s="39"/>
    </row>
    <row r="2770">
      <c r="S2770" s="39"/>
    </row>
    <row r="2771">
      <c r="S2771" s="39"/>
    </row>
    <row r="2772">
      <c r="S2772" s="39"/>
    </row>
    <row r="2773">
      <c r="S2773" s="39"/>
    </row>
    <row r="2774">
      <c r="S2774" s="39"/>
    </row>
    <row r="2775">
      <c r="S2775" s="39"/>
    </row>
    <row r="2776">
      <c r="S2776" s="39"/>
    </row>
    <row r="2777">
      <c r="S2777" s="39"/>
    </row>
    <row r="2778">
      <c r="S2778" s="39"/>
    </row>
    <row r="2779">
      <c r="S2779" s="39"/>
    </row>
    <row r="2780">
      <c r="S2780" s="39"/>
    </row>
    <row r="2781">
      <c r="S2781" s="39"/>
    </row>
    <row r="2782">
      <c r="S2782" s="39"/>
    </row>
    <row r="2783">
      <c r="S2783" s="39"/>
    </row>
  </sheetData>
  <drawing r:id="rId1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4" max="4" width="27.88"/>
    <col customWidth="1" min="5" max="5" width="15.5"/>
    <col customWidth="1" min="6" max="6" width="14.5"/>
    <col customWidth="1" min="7" max="7" width="13.5"/>
    <col customWidth="1" min="8" max="8" width="16.63"/>
    <col customWidth="1" min="10" max="10" width="53.88"/>
    <col customWidth="1" min="11" max="11" width="15.88"/>
  </cols>
  <sheetData>
    <row r="1">
      <c r="A1" s="64"/>
      <c r="J1" s="46" t="s">
        <v>196</v>
      </c>
      <c r="K1" s="46" t="s">
        <v>9</v>
      </c>
      <c r="L1" s="7" t="s">
        <v>101</v>
      </c>
      <c r="M1" s="7" t="s">
        <v>214</v>
      </c>
    </row>
    <row r="2">
      <c r="F2" s="36">
        <f>sum(E4:F7)</f>
        <v>434</v>
      </c>
      <c r="H2" s="36">
        <f>sum(H4:H9)</f>
        <v>822</v>
      </c>
      <c r="J2" s="65" t="str">
        <f t="array" ref="J2:J33">(unique(Sertifikasi!B2:B982))</f>
        <v>Merias Wajah</v>
      </c>
      <c r="K2" s="66">
        <f t="array" ref="K2:K982">IF(J2:J982 = "", "", 
      COUNTIF(Sertifikasi!$B$2:$B982, J2:J982)
   )
</f>
        <v>96</v>
      </c>
      <c r="L2" s="10">
        <f t="array" ref="L2:L982">if(isblank(J2:J982),"",countifs(Sertifikasi!B2:B982,J2:J982,Sertifikasi!R2:R982,"K"))</f>
        <v>93</v>
      </c>
      <c r="M2" s="10">
        <f t="array" ref="M2:M982">if(isblank(J2:J982),"",countifs(Sertifikasi!B2:B982,J2:J982,Sertifikasi!R2:R982,"BK"))</f>
        <v>3</v>
      </c>
      <c r="O2" s="67"/>
      <c r="P2" s="67"/>
      <c r="Q2" s="67"/>
      <c r="R2" s="67"/>
      <c r="S2" s="67"/>
      <c r="T2" s="67"/>
      <c r="U2" s="67"/>
      <c r="V2" s="67"/>
      <c r="W2" s="67"/>
    </row>
    <row r="3">
      <c r="A3" s="68" t="s">
        <v>6</v>
      </c>
      <c r="B3" s="69" t="s">
        <v>7</v>
      </c>
      <c r="C3" s="70" t="s">
        <v>197</v>
      </c>
      <c r="D3" s="68" t="s">
        <v>215</v>
      </c>
      <c r="E3" s="68" t="s">
        <v>216</v>
      </c>
      <c r="F3" s="68" t="s">
        <v>217</v>
      </c>
      <c r="G3" s="47" t="str">
        <f>IFERROR(__xludf.DUMMYFUNCTION("QUERY(Sertifikasi!N2:N982, ""select N, count(N) where N is not null group by N label N 'Pendidikan', count(N) 'Jumlah Peserta'"", 0)"),"Pendidikan")</f>
        <v>Pendidikan</v>
      </c>
      <c r="H3" s="47" t="str">
        <f>IFERROR(__xludf.DUMMYFUNCTION("""COMPUTED_VALUE"""),"Jumlah Peserta")</f>
        <v>Jumlah Peserta</v>
      </c>
      <c r="J3" s="66" t="s">
        <v>218</v>
      </c>
      <c r="K3" s="66">
        <v>137.0</v>
      </c>
      <c r="L3" s="10">
        <v>125.0</v>
      </c>
      <c r="M3" s="10">
        <v>12.0</v>
      </c>
    </row>
    <row r="4">
      <c r="A4" s="65" t="s">
        <v>19</v>
      </c>
      <c r="B4" s="71">
        <f>COUNTIF(Sertifikasi!J2:J982,"LAKI-LAKI")</f>
        <v>677</v>
      </c>
      <c r="C4" s="70" t="str">
        <f t="array" ref="C4:C982">IF(LEN(D4:D982) = 0, "", 
    IF(LEFT(D4:D982, 3) = "BLK", "BLK/BLKK", 
      IF(LEFT(D4:D982, 4) = "BPVP", "BPVP KENDARI", 
        "KERJASAMA"
      )
    )
  )
</f>
        <v>KERJASAMA</v>
      </c>
      <c r="D4" s="65" t="str">
        <f t="array" ref="D4:D21">unique(Sertifikasi!C2:C982)</f>
        <v>SMK Negeri 3 Muna</v>
      </c>
      <c r="E4" s="65">
        <f t="array" ref="E4:E982">if(isblank(D4:D982),"",countifs(Sertifikasi!C2:C982,D4:D982,Sertifikasi!R2:R982,"K"))</f>
        <v>110</v>
      </c>
      <c r="F4" s="65">
        <f t="array" ref="F4:F982">if(isblank(D4:D982),"",countifs(Sertifikasi!C2:C982,D4:D982,Sertifikasi!R2:R982,"BK"))</f>
        <v>0</v>
      </c>
      <c r="G4" s="10" t="str">
        <f>IFERROR(__xludf.DUMMYFUNCTION("""COMPUTED_VALUE"""),"SMA / SMK / MA")</f>
        <v>SMA / SMK / MA</v>
      </c>
      <c r="H4" s="10">
        <f>IFERROR(__xludf.DUMMYFUNCTION("""COMPUTED_VALUE"""),822.0)</f>
        <v>822</v>
      </c>
      <c r="J4" s="66" t="s">
        <v>219</v>
      </c>
      <c r="K4" s="66">
        <v>66.0</v>
      </c>
      <c r="L4" s="10">
        <v>66.0</v>
      </c>
      <c r="M4" s="10">
        <v>0.0</v>
      </c>
    </row>
    <row r="5">
      <c r="A5" s="65" t="s">
        <v>14</v>
      </c>
      <c r="B5" s="72">
        <f>COUNTIF(Sertifikasi!J2:J982,"PEREMPUAN")</f>
        <v>781</v>
      </c>
      <c r="C5" s="70" t="s">
        <v>220</v>
      </c>
      <c r="D5" s="65" t="s">
        <v>221</v>
      </c>
      <c r="E5" s="65">
        <v>76.0</v>
      </c>
      <c r="F5" s="65">
        <v>43.0</v>
      </c>
      <c r="G5" s="10"/>
      <c r="H5" s="10"/>
      <c r="J5" s="66" t="s">
        <v>222</v>
      </c>
      <c r="K5" s="66">
        <v>34.0</v>
      </c>
      <c r="L5" s="10">
        <v>34.0</v>
      </c>
      <c r="M5" s="10">
        <v>0.0</v>
      </c>
    </row>
    <row r="6">
      <c r="A6" s="65" t="s">
        <v>223</v>
      </c>
      <c r="B6" s="72">
        <f>COUNTIF(Sertifikasi!S2:S982,"Selesai")</f>
        <v>133</v>
      </c>
      <c r="C6" s="70" t="s">
        <v>220</v>
      </c>
      <c r="D6" s="65" t="s">
        <v>224</v>
      </c>
      <c r="E6" s="65">
        <v>83.0</v>
      </c>
      <c r="F6" s="65">
        <v>4.0</v>
      </c>
      <c r="G6" s="10"/>
      <c r="H6" s="10"/>
      <c r="J6" s="66" t="s">
        <v>225</v>
      </c>
      <c r="K6" s="66">
        <v>90.0</v>
      </c>
      <c r="L6" s="10">
        <v>76.0</v>
      </c>
      <c r="M6" s="10">
        <v>14.0</v>
      </c>
    </row>
    <row r="7">
      <c r="A7" s="65" t="s">
        <v>216</v>
      </c>
      <c r="B7" s="72">
        <f>COUNTIF(Sertifikasi!R2:R982, "K")</f>
        <v>1268</v>
      </c>
      <c r="C7" s="70" t="s">
        <v>220</v>
      </c>
      <c r="D7" s="65" t="s">
        <v>226</v>
      </c>
      <c r="E7" s="65">
        <v>112.0</v>
      </c>
      <c r="F7" s="65">
        <v>6.0</v>
      </c>
      <c r="G7" s="10"/>
      <c r="H7" s="10"/>
      <c r="J7" s="66" t="s">
        <v>227</v>
      </c>
      <c r="K7" s="66">
        <v>68.0</v>
      </c>
      <c r="L7" s="10">
        <v>31.0</v>
      </c>
      <c r="M7" s="10">
        <v>37.0</v>
      </c>
    </row>
    <row r="8">
      <c r="A8" s="65" t="s">
        <v>228</v>
      </c>
      <c r="B8" s="72">
        <f>COUNTIF(Sertifikasi!R2:R982, "BK")</f>
        <v>187</v>
      </c>
      <c r="C8" s="70" t="s">
        <v>220</v>
      </c>
      <c r="D8" s="73" t="s">
        <v>229</v>
      </c>
      <c r="E8" s="73">
        <v>45.0</v>
      </c>
      <c r="F8" s="73">
        <v>11.0</v>
      </c>
      <c r="G8" s="10"/>
      <c r="H8" s="10"/>
      <c r="J8" s="66" t="s">
        <v>230</v>
      </c>
      <c r="K8" s="66">
        <v>38.0</v>
      </c>
      <c r="L8" s="10">
        <v>23.0</v>
      </c>
      <c r="M8" s="10">
        <v>15.0</v>
      </c>
    </row>
    <row r="9">
      <c r="A9" s="46" t="s">
        <v>231</v>
      </c>
      <c r="B9" s="47">
        <f>COUNTA(Sertifikasi!F2:F982)</f>
        <v>1459</v>
      </c>
      <c r="C9" s="36" t="s">
        <v>220</v>
      </c>
      <c r="D9" s="53" t="s">
        <v>232</v>
      </c>
      <c r="E9" s="53">
        <v>65.0</v>
      </c>
      <c r="F9" s="53">
        <v>1.0</v>
      </c>
      <c r="G9" s="10"/>
      <c r="H9" s="10"/>
      <c r="J9" s="66" t="s">
        <v>233</v>
      </c>
      <c r="K9" s="66">
        <v>46.0</v>
      </c>
      <c r="L9" s="10">
        <v>35.0</v>
      </c>
      <c r="M9" s="10">
        <v>11.0</v>
      </c>
    </row>
    <row r="10">
      <c r="C10" s="36" t="s">
        <v>220</v>
      </c>
      <c r="D10" s="36" t="s">
        <v>234</v>
      </c>
      <c r="E10" s="36">
        <v>53.0</v>
      </c>
      <c r="F10" s="36">
        <v>5.0</v>
      </c>
      <c r="J10" s="66" t="s">
        <v>235</v>
      </c>
      <c r="K10" s="66">
        <v>32.0</v>
      </c>
      <c r="L10" s="10">
        <v>32.0</v>
      </c>
      <c r="M10" s="10">
        <v>0.0</v>
      </c>
    </row>
    <row r="11">
      <c r="C11" s="36" t="s">
        <v>220</v>
      </c>
      <c r="D11" s="36" t="s">
        <v>236</v>
      </c>
      <c r="E11" s="36">
        <v>15.0</v>
      </c>
      <c r="F11" s="36">
        <v>18.0</v>
      </c>
      <c r="J11" s="66" t="s">
        <v>237</v>
      </c>
      <c r="K11" s="66">
        <v>231.0</v>
      </c>
      <c r="L11" s="10">
        <v>223.0</v>
      </c>
      <c r="M11" s="10">
        <v>8.0</v>
      </c>
    </row>
    <row r="12">
      <c r="C12" s="36" t="s">
        <v>220</v>
      </c>
      <c r="D12" s="36" t="s">
        <v>238</v>
      </c>
      <c r="E12" s="36">
        <v>15.0</v>
      </c>
      <c r="F12" s="36">
        <v>13.0</v>
      </c>
      <c r="J12" s="66" t="s">
        <v>239</v>
      </c>
      <c r="K12" s="66">
        <v>58.0</v>
      </c>
      <c r="L12" s="10">
        <v>53.0</v>
      </c>
      <c r="M12" s="10">
        <v>5.0</v>
      </c>
    </row>
    <row r="13">
      <c r="C13" s="36" t="s">
        <v>220</v>
      </c>
      <c r="D13" s="36" t="s">
        <v>240</v>
      </c>
      <c r="E13" s="36">
        <v>25.0</v>
      </c>
      <c r="F13" s="36">
        <v>0.0</v>
      </c>
      <c r="J13" s="66" t="s">
        <v>241</v>
      </c>
      <c r="K13" s="66">
        <v>35.0</v>
      </c>
      <c r="L13" s="10">
        <v>33.0</v>
      </c>
      <c r="M13" s="10">
        <v>2.0</v>
      </c>
    </row>
    <row r="14">
      <c r="C14" s="36" t="s">
        <v>220</v>
      </c>
      <c r="D14" s="36" t="s">
        <v>242</v>
      </c>
      <c r="E14" s="36">
        <v>19.0</v>
      </c>
      <c r="F14" s="36">
        <v>0.0</v>
      </c>
      <c r="J14" s="66" t="s">
        <v>243</v>
      </c>
      <c r="K14" s="66">
        <v>49.0</v>
      </c>
      <c r="L14" s="10">
        <v>49.0</v>
      </c>
      <c r="M14" s="10">
        <v>0.0</v>
      </c>
    </row>
    <row r="15">
      <c r="C15" s="36" t="s">
        <v>220</v>
      </c>
      <c r="D15" s="36" t="s">
        <v>244</v>
      </c>
      <c r="E15" s="36">
        <v>60.0</v>
      </c>
      <c r="F15" s="36">
        <v>1.0</v>
      </c>
      <c r="J15" s="66" t="s">
        <v>245</v>
      </c>
      <c r="K15" s="66">
        <v>111.0</v>
      </c>
      <c r="L15" s="10">
        <v>110.0</v>
      </c>
      <c r="M15" s="10">
        <v>1.0</v>
      </c>
    </row>
    <row r="16">
      <c r="C16" s="36" t="s">
        <v>220</v>
      </c>
      <c r="D16" s="36" t="s">
        <v>246</v>
      </c>
      <c r="E16" s="36">
        <v>26.0</v>
      </c>
      <c r="F16" s="36">
        <v>0.0</v>
      </c>
      <c r="J16" s="66" t="s">
        <v>247</v>
      </c>
      <c r="K16" s="66">
        <v>19.0</v>
      </c>
      <c r="L16" s="10">
        <v>19.0</v>
      </c>
      <c r="M16" s="10">
        <v>0.0</v>
      </c>
    </row>
    <row r="17">
      <c r="C17" s="36" t="s">
        <v>220</v>
      </c>
      <c r="D17" s="36" t="s">
        <v>248</v>
      </c>
      <c r="E17" s="36">
        <v>16.0</v>
      </c>
      <c r="F17" s="36">
        <v>0.0</v>
      </c>
      <c r="J17" s="66" t="s">
        <v>249</v>
      </c>
      <c r="K17" s="66">
        <v>16.0</v>
      </c>
      <c r="L17" s="10">
        <v>10.0</v>
      </c>
      <c r="M17" s="10">
        <v>6.0</v>
      </c>
    </row>
    <row r="18">
      <c r="C18" s="36" t="s">
        <v>250</v>
      </c>
      <c r="D18" s="36" t="s">
        <v>193</v>
      </c>
      <c r="E18" s="36">
        <v>13.0</v>
      </c>
      <c r="F18" s="36">
        <v>3.0</v>
      </c>
      <c r="J18" s="41" t="s">
        <v>251</v>
      </c>
      <c r="K18" s="66">
        <v>14.0</v>
      </c>
      <c r="L18" s="10">
        <v>13.0</v>
      </c>
      <c r="M18" s="10">
        <v>1.0</v>
      </c>
    </row>
    <row r="19">
      <c r="C19" s="36" t="s">
        <v>252</v>
      </c>
      <c r="D19" s="36" t="s">
        <v>253</v>
      </c>
      <c r="E19" s="36">
        <v>178.0</v>
      </c>
      <c r="F19" s="36">
        <v>14.0</v>
      </c>
      <c r="J19" s="10" t="s">
        <v>254</v>
      </c>
      <c r="K19" s="66">
        <v>17.0</v>
      </c>
      <c r="L19" s="10">
        <v>17.0</v>
      </c>
      <c r="M19" s="10">
        <v>0.0</v>
      </c>
    </row>
    <row r="20">
      <c r="C20" s="36" t="s">
        <v>250</v>
      </c>
      <c r="D20" s="36" t="s">
        <v>191</v>
      </c>
      <c r="E20" s="36">
        <v>14.0</v>
      </c>
      <c r="F20" s="36">
        <v>0.0</v>
      </c>
      <c r="J20" s="10" t="s">
        <v>255</v>
      </c>
      <c r="K20" s="66">
        <v>3.0</v>
      </c>
      <c r="L20" s="10">
        <v>3.0</v>
      </c>
      <c r="M20" s="10">
        <v>0.0</v>
      </c>
    </row>
    <row r="21">
      <c r="C21" s="36" t="s">
        <v>48</v>
      </c>
      <c r="D21" s="36"/>
      <c r="E21" s="36" t="s">
        <v>48</v>
      </c>
      <c r="F21" s="36" t="s">
        <v>48</v>
      </c>
      <c r="J21" s="10" t="s">
        <v>256</v>
      </c>
      <c r="K21" s="66">
        <v>41.0</v>
      </c>
      <c r="L21" s="10">
        <v>41.0</v>
      </c>
      <c r="M21" s="10">
        <v>0.0</v>
      </c>
    </row>
    <row r="22">
      <c r="C22" s="36" t="s">
        <v>48</v>
      </c>
      <c r="E22" s="36" t="s">
        <v>48</v>
      </c>
      <c r="F22" s="36" t="s">
        <v>48</v>
      </c>
      <c r="J22" s="36" t="s">
        <v>257</v>
      </c>
      <c r="K22" s="36">
        <v>8.0</v>
      </c>
      <c r="L22" s="36">
        <v>8.0</v>
      </c>
      <c r="M22" s="36">
        <v>0.0</v>
      </c>
    </row>
    <row r="23">
      <c r="C23" s="36" t="s">
        <v>48</v>
      </c>
      <c r="E23" s="36" t="s">
        <v>48</v>
      </c>
      <c r="F23" s="36" t="s">
        <v>48</v>
      </c>
      <c r="J23" s="36" t="s">
        <v>258</v>
      </c>
      <c r="K23" s="36">
        <v>60.0</v>
      </c>
      <c r="L23" s="36">
        <v>40.0</v>
      </c>
      <c r="M23" s="36">
        <v>20.0</v>
      </c>
    </row>
    <row r="24">
      <c r="C24" s="36" t="s">
        <v>48</v>
      </c>
      <c r="E24" s="74" t="s">
        <v>48</v>
      </c>
      <c r="F24" s="36" t="s">
        <v>48</v>
      </c>
      <c r="J24" s="36" t="s">
        <v>259</v>
      </c>
      <c r="K24" s="36">
        <v>54.0</v>
      </c>
      <c r="L24" s="36">
        <v>34.0</v>
      </c>
      <c r="M24" s="36">
        <v>18.0</v>
      </c>
    </row>
    <row r="25">
      <c r="C25" s="36" t="s">
        <v>48</v>
      </c>
      <c r="E25" s="36" t="s">
        <v>48</v>
      </c>
      <c r="F25" s="36" t="s">
        <v>48</v>
      </c>
      <c r="J25" s="36" t="s">
        <v>260</v>
      </c>
      <c r="K25" s="36">
        <v>7.0</v>
      </c>
      <c r="L25" s="36">
        <v>6.0</v>
      </c>
      <c r="M25" s="36">
        <v>1.0</v>
      </c>
    </row>
    <row r="26">
      <c r="C26" s="36" t="s">
        <v>48</v>
      </c>
      <c r="E26" s="36" t="s">
        <v>48</v>
      </c>
      <c r="F26" s="36" t="s">
        <v>48</v>
      </c>
      <c r="J26" s="36" t="s">
        <v>261</v>
      </c>
      <c r="K26" s="36">
        <v>12.0</v>
      </c>
      <c r="L26" s="36">
        <v>12.0</v>
      </c>
      <c r="M26" s="36">
        <v>0.0</v>
      </c>
    </row>
    <row r="27">
      <c r="C27" s="36" t="s">
        <v>48</v>
      </c>
      <c r="E27" s="36" t="s">
        <v>48</v>
      </c>
      <c r="F27" s="36" t="s">
        <v>48</v>
      </c>
      <c r="J27" s="36" t="s">
        <v>262</v>
      </c>
      <c r="K27" s="36">
        <v>16.0</v>
      </c>
      <c r="L27" s="36">
        <v>13.0</v>
      </c>
      <c r="M27" s="36">
        <v>3.0</v>
      </c>
    </row>
    <row r="28">
      <c r="C28" s="36" t="s">
        <v>48</v>
      </c>
      <c r="E28" s="36" t="s">
        <v>48</v>
      </c>
      <c r="F28" s="36" t="s">
        <v>48</v>
      </c>
      <c r="J28" s="36" t="s">
        <v>263</v>
      </c>
      <c r="K28" s="36">
        <v>12.0</v>
      </c>
      <c r="L28" s="36">
        <v>12.0</v>
      </c>
      <c r="M28" s="36">
        <v>0.0</v>
      </c>
    </row>
    <row r="29">
      <c r="C29" s="36" t="s">
        <v>48</v>
      </c>
      <c r="E29" s="36" t="s">
        <v>48</v>
      </c>
      <c r="F29" s="36" t="s">
        <v>48</v>
      </c>
      <c r="J29" s="36" t="s">
        <v>264</v>
      </c>
      <c r="K29" s="36">
        <v>50.0</v>
      </c>
      <c r="L29" s="36">
        <v>34.0</v>
      </c>
      <c r="M29" s="36">
        <v>16.0</v>
      </c>
    </row>
    <row r="30">
      <c r="C30" s="36" t="s">
        <v>48</v>
      </c>
      <c r="E30" s="36" t="s">
        <v>48</v>
      </c>
      <c r="F30" s="36" t="s">
        <v>48</v>
      </c>
      <c r="J30" s="36" t="s">
        <v>265</v>
      </c>
      <c r="K30" s="36">
        <v>12.0</v>
      </c>
      <c r="L30" s="36">
        <v>6.0</v>
      </c>
      <c r="M30" s="36">
        <v>6.0</v>
      </c>
    </row>
    <row r="31">
      <c r="C31" s="36" t="s">
        <v>48</v>
      </c>
      <c r="E31" s="36" t="s">
        <v>48</v>
      </c>
      <c r="F31" s="36" t="s">
        <v>48</v>
      </c>
      <c r="J31" s="36" t="s">
        <v>266</v>
      </c>
      <c r="K31" s="36">
        <v>13.0</v>
      </c>
      <c r="L31" s="36">
        <v>12.0</v>
      </c>
      <c r="M31" s="36">
        <v>1.0</v>
      </c>
    </row>
    <row r="32">
      <c r="C32" s="36" t="s">
        <v>48</v>
      </c>
      <c r="E32" s="36" t="s">
        <v>48</v>
      </c>
      <c r="F32" s="36" t="s">
        <v>48</v>
      </c>
      <c r="J32" s="36" t="s">
        <v>267</v>
      </c>
      <c r="K32" s="36">
        <v>12.0</v>
      </c>
      <c r="L32" s="36">
        <v>5.0</v>
      </c>
      <c r="M32" s="36">
        <v>7.0</v>
      </c>
    </row>
    <row r="33">
      <c r="C33" s="36" t="s">
        <v>48</v>
      </c>
      <c r="E33" s="36" t="s">
        <v>48</v>
      </c>
      <c r="F33" s="36" t="s">
        <v>48</v>
      </c>
      <c r="J33" s="36"/>
      <c r="K33" s="36" t="s">
        <v>48</v>
      </c>
      <c r="L33" s="36" t="s">
        <v>48</v>
      </c>
      <c r="M33" s="36" t="s">
        <v>48</v>
      </c>
    </row>
    <row r="34">
      <c r="C34" s="36" t="s">
        <v>48</v>
      </c>
      <c r="E34" s="36" t="s">
        <v>48</v>
      </c>
      <c r="F34" s="36" t="s">
        <v>48</v>
      </c>
      <c r="K34" s="36" t="s">
        <v>48</v>
      </c>
      <c r="L34" s="36" t="s">
        <v>48</v>
      </c>
      <c r="M34" s="36" t="s">
        <v>48</v>
      </c>
    </row>
    <row r="35">
      <c r="C35" s="36" t="s">
        <v>48</v>
      </c>
      <c r="E35" s="36" t="s">
        <v>48</v>
      </c>
      <c r="F35" s="36" t="s">
        <v>48</v>
      </c>
      <c r="K35" s="36" t="s">
        <v>48</v>
      </c>
      <c r="L35" s="36" t="s">
        <v>48</v>
      </c>
      <c r="M35" s="36" t="s">
        <v>48</v>
      </c>
    </row>
    <row r="36">
      <c r="C36" s="36" t="s">
        <v>48</v>
      </c>
      <c r="E36" s="36" t="s">
        <v>48</v>
      </c>
      <c r="F36" s="36" t="s">
        <v>48</v>
      </c>
      <c r="K36" s="36" t="s">
        <v>48</v>
      </c>
      <c r="L36" s="36" t="s">
        <v>48</v>
      </c>
      <c r="M36" s="36" t="s">
        <v>48</v>
      </c>
    </row>
    <row r="37">
      <c r="C37" s="36" t="s">
        <v>48</v>
      </c>
      <c r="E37" s="36" t="s">
        <v>48</v>
      </c>
      <c r="F37" s="36" t="s">
        <v>48</v>
      </c>
      <c r="K37" s="36" t="s">
        <v>48</v>
      </c>
      <c r="L37" s="36" t="s">
        <v>48</v>
      </c>
      <c r="M37" s="36" t="s">
        <v>48</v>
      </c>
    </row>
    <row r="38">
      <c r="C38" s="36" t="s">
        <v>48</v>
      </c>
      <c r="E38" s="36" t="s">
        <v>48</v>
      </c>
      <c r="F38" s="36" t="s">
        <v>48</v>
      </c>
      <c r="K38" s="36" t="s">
        <v>48</v>
      </c>
      <c r="L38" s="36" t="s">
        <v>48</v>
      </c>
      <c r="M38" s="36" t="s">
        <v>48</v>
      </c>
    </row>
    <row r="39">
      <c r="C39" s="36" t="s">
        <v>48</v>
      </c>
      <c r="E39" s="36" t="s">
        <v>48</v>
      </c>
      <c r="F39" s="36" t="s">
        <v>48</v>
      </c>
      <c r="K39" s="36" t="s">
        <v>48</v>
      </c>
      <c r="L39" s="36" t="s">
        <v>48</v>
      </c>
      <c r="M39" s="36" t="s">
        <v>48</v>
      </c>
    </row>
    <row r="40">
      <c r="C40" s="36" t="s">
        <v>48</v>
      </c>
      <c r="E40" s="36" t="s">
        <v>48</v>
      </c>
      <c r="F40" s="36" t="s">
        <v>48</v>
      </c>
      <c r="K40" s="36" t="s">
        <v>48</v>
      </c>
      <c r="L40" s="36" t="s">
        <v>48</v>
      </c>
      <c r="M40" s="36" t="s">
        <v>48</v>
      </c>
    </row>
    <row r="41">
      <c r="C41" s="36" t="s">
        <v>48</v>
      </c>
      <c r="E41" s="36" t="s">
        <v>48</v>
      </c>
      <c r="F41" s="36" t="s">
        <v>48</v>
      </c>
      <c r="K41" s="36" t="s">
        <v>48</v>
      </c>
      <c r="L41" s="36" t="s">
        <v>48</v>
      </c>
      <c r="M41" s="36" t="s">
        <v>48</v>
      </c>
    </row>
    <row r="42">
      <c r="C42" s="36" t="s">
        <v>48</v>
      </c>
      <c r="E42" s="36" t="s">
        <v>48</v>
      </c>
      <c r="F42" s="36" t="s">
        <v>48</v>
      </c>
      <c r="K42" s="36" t="s">
        <v>48</v>
      </c>
      <c r="L42" s="36" t="s">
        <v>48</v>
      </c>
      <c r="M42" s="36" t="s">
        <v>48</v>
      </c>
    </row>
    <row r="43">
      <c r="C43" s="36" t="s">
        <v>48</v>
      </c>
      <c r="E43" s="36" t="s">
        <v>48</v>
      </c>
      <c r="F43" s="36" t="s">
        <v>48</v>
      </c>
      <c r="K43" s="36" t="s">
        <v>48</v>
      </c>
      <c r="L43" s="36" t="s">
        <v>48</v>
      </c>
      <c r="M43" s="36" t="s">
        <v>48</v>
      </c>
    </row>
    <row r="44">
      <c r="C44" s="36" t="s">
        <v>48</v>
      </c>
      <c r="E44" s="36" t="s">
        <v>48</v>
      </c>
      <c r="F44" s="36" t="s">
        <v>48</v>
      </c>
      <c r="K44" s="36" t="s">
        <v>48</v>
      </c>
      <c r="L44" s="36" t="s">
        <v>48</v>
      </c>
      <c r="M44" s="36" t="s">
        <v>48</v>
      </c>
    </row>
    <row r="45">
      <c r="C45" s="36" t="s">
        <v>48</v>
      </c>
      <c r="E45" s="36" t="s">
        <v>48</v>
      </c>
      <c r="F45" s="36" t="s">
        <v>48</v>
      </c>
      <c r="K45" s="36" t="s">
        <v>48</v>
      </c>
      <c r="L45" s="36" t="s">
        <v>48</v>
      </c>
      <c r="M45" s="36" t="s">
        <v>48</v>
      </c>
    </row>
    <row r="46">
      <c r="C46" s="36" t="s">
        <v>48</v>
      </c>
      <c r="E46" s="36" t="s">
        <v>48</v>
      </c>
      <c r="F46" s="36" t="s">
        <v>48</v>
      </c>
      <c r="K46" s="36" t="s">
        <v>48</v>
      </c>
      <c r="L46" s="36" t="s">
        <v>48</v>
      </c>
      <c r="M46" s="36" t="s">
        <v>48</v>
      </c>
    </row>
    <row r="47">
      <c r="C47" s="36" t="s">
        <v>48</v>
      </c>
      <c r="E47" s="36" t="s">
        <v>48</v>
      </c>
      <c r="F47" s="36" t="s">
        <v>48</v>
      </c>
      <c r="K47" s="36" t="s">
        <v>48</v>
      </c>
      <c r="L47" s="36" t="s">
        <v>48</v>
      </c>
      <c r="M47" s="36" t="s">
        <v>48</v>
      </c>
    </row>
    <row r="48">
      <c r="C48" s="36" t="s">
        <v>48</v>
      </c>
      <c r="E48" s="36" t="s">
        <v>48</v>
      </c>
      <c r="F48" s="36" t="s">
        <v>48</v>
      </c>
      <c r="K48" s="36" t="s">
        <v>48</v>
      </c>
      <c r="L48" s="36" t="s">
        <v>48</v>
      </c>
      <c r="M48" s="36" t="s">
        <v>48</v>
      </c>
    </row>
    <row r="49">
      <c r="C49" s="36" t="s">
        <v>48</v>
      </c>
      <c r="E49" s="36" t="s">
        <v>48</v>
      </c>
      <c r="F49" s="36" t="s">
        <v>48</v>
      </c>
      <c r="K49" s="36" t="s">
        <v>48</v>
      </c>
      <c r="L49" s="36" t="s">
        <v>48</v>
      </c>
      <c r="M49" s="36" t="s">
        <v>48</v>
      </c>
    </row>
    <row r="50">
      <c r="C50" s="36" t="s">
        <v>48</v>
      </c>
      <c r="E50" s="36" t="s">
        <v>48</v>
      </c>
      <c r="F50" s="36" t="s">
        <v>48</v>
      </c>
      <c r="K50" s="36" t="s">
        <v>48</v>
      </c>
      <c r="L50" s="36" t="s">
        <v>48</v>
      </c>
      <c r="M50" s="36" t="s">
        <v>48</v>
      </c>
    </row>
    <row r="51">
      <c r="C51" s="36" t="s">
        <v>48</v>
      </c>
      <c r="E51" s="36" t="s">
        <v>48</v>
      </c>
      <c r="F51" s="36" t="s">
        <v>48</v>
      </c>
      <c r="K51" s="36" t="s">
        <v>48</v>
      </c>
      <c r="L51" s="36" t="s">
        <v>48</v>
      </c>
      <c r="M51" s="36" t="s">
        <v>48</v>
      </c>
    </row>
    <row r="52">
      <c r="C52" s="36" t="s">
        <v>48</v>
      </c>
      <c r="E52" s="36" t="s">
        <v>48</v>
      </c>
      <c r="F52" s="36" t="s">
        <v>48</v>
      </c>
      <c r="K52" s="36" t="s">
        <v>48</v>
      </c>
      <c r="L52" s="36" t="s">
        <v>48</v>
      </c>
      <c r="M52" s="36" t="s">
        <v>48</v>
      </c>
    </row>
    <row r="53">
      <c r="C53" s="36" t="s">
        <v>48</v>
      </c>
      <c r="E53" s="36" t="s">
        <v>48</v>
      </c>
      <c r="F53" s="36" t="s">
        <v>48</v>
      </c>
      <c r="K53" s="36" t="s">
        <v>48</v>
      </c>
      <c r="L53" s="36" t="s">
        <v>48</v>
      </c>
      <c r="M53" s="36" t="s">
        <v>48</v>
      </c>
    </row>
    <row r="54">
      <c r="C54" s="36" t="s">
        <v>48</v>
      </c>
      <c r="E54" s="36" t="s">
        <v>48</v>
      </c>
      <c r="F54" s="36" t="s">
        <v>48</v>
      </c>
      <c r="K54" s="36" t="s">
        <v>48</v>
      </c>
      <c r="L54" s="36" t="s">
        <v>48</v>
      </c>
      <c r="M54" s="36" t="s">
        <v>48</v>
      </c>
    </row>
    <row r="55">
      <c r="C55" s="36" t="s">
        <v>48</v>
      </c>
      <c r="E55" s="36" t="s">
        <v>48</v>
      </c>
      <c r="F55" s="36" t="s">
        <v>48</v>
      </c>
      <c r="K55" s="36" t="s">
        <v>48</v>
      </c>
      <c r="L55" s="36" t="s">
        <v>48</v>
      </c>
      <c r="M55" s="36" t="s">
        <v>48</v>
      </c>
    </row>
    <row r="56">
      <c r="C56" s="36" t="s">
        <v>48</v>
      </c>
      <c r="E56" s="36" t="s">
        <v>48</v>
      </c>
      <c r="F56" s="36" t="s">
        <v>48</v>
      </c>
      <c r="K56" s="36" t="s">
        <v>48</v>
      </c>
      <c r="L56" s="36" t="s">
        <v>48</v>
      </c>
      <c r="M56" s="36" t="s">
        <v>48</v>
      </c>
    </row>
    <row r="57">
      <c r="C57" s="36" t="s">
        <v>48</v>
      </c>
      <c r="E57" s="36" t="s">
        <v>48</v>
      </c>
      <c r="F57" s="36" t="s">
        <v>48</v>
      </c>
      <c r="K57" s="36" t="s">
        <v>48</v>
      </c>
      <c r="L57" s="36" t="s">
        <v>48</v>
      </c>
      <c r="M57" s="36" t="s">
        <v>48</v>
      </c>
    </row>
    <row r="58">
      <c r="C58" s="36" t="s">
        <v>48</v>
      </c>
      <c r="E58" s="36" t="s">
        <v>48</v>
      </c>
      <c r="F58" s="36" t="s">
        <v>48</v>
      </c>
      <c r="K58" s="36" t="s">
        <v>48</v>
      </c>
      <c r="L58" s="36" t="s">
        <v>48</v>
      </c>
      <c r="M58" s="36" t="s">
        <v>48</v>
      </c>
    </row>
    <row r="59">
      <c r="C59" s="36" t="s">
        <v>48</v>
      </c>
      <c r="E59" s="36" t="s">
        <v>48</v>
      </c>
      <c r="F59" s="36" t="s">
        <v>48</v>
      </c>
      <c r="K59" s="36" t="s">
        <v>48</v>
      </c>
      <c r="L59" s="36" t="s">
        <v>48</v>
      </c>
      <c r="M59" s="36" t="s">
        <v>48</v>
      </c>
    </row>
    <row r="60">
      <c r="C60" s="36" t="s">
        <v>48</v>
      </c>
      <c r="E60" s="36" t="s">
        <v>48</v>
      </c>
      <c r="F60" s="36" t="s">
        <v>48</v>
      </c>
      <c r="K60" s="36" t="s">
        <v>48</v>
      </c>
      <c r="L60" s="36" t="s">
        <v>48</v>
      </c>
      <c r="M60" s="36" t="s">
        <v>48</v>
      </c>
    </row>
    <row r="61">
      <c r="C61" s="36" t="s">
        <v>48</v>
      </c>
      <c r="E61" s="36" t="s">
        <v>48</v>
      </c>
      <c r="F61" s="36" t="s">
        <v>48</v>
      </c>
      <c r="K61" s="36" t="s">
        <v>48</v>
      </c>
      <c r="L61" s="36" t="s">
        <v>48</v>
      </c>
      <c r="M61" s="36" t="s">
        <v>48</v>
      </c>
    </row>
    <row r="62">
      <c r="C62" s="36" t="s">
        <v>48</v>
      </c>
      <c r="E62" s="36" t="s">
        <v>48</v>
      </c>
      <c r="F62" s="36" t="s">
        <v>48</v>
      </c>
      <c r="K62" s="36" t="s">
        <v>48</v>
      </c>
      <c r="L62" s="36" t="s">
        <v>48</v>
      </c>
      <c r="M62" s="36" t="s">
        <v>48</v>
      </c>
    </row>
    <row r="63">
      <c r="C63" s="36" t="s">
        <v>48</v>
      </c>
      <c r="E63" s="36" t="s">
        <v>48</v>
      </c>
      <c r="F63" s="36" t="s">
        <v>48</v>
      </c>
      <c r="K63" s="36" t="s">
        <v>48</v>
      </c>
      <c r="L63" s="36" t="s">
        <v>48</v>
      </c>
      <c r="M63" s="36" t="s">
        <v>48</v>
      </c>
    </row>
    <row r="64">
      <c r="C64" s="36" t="s">
        <v>48</v>
      </c>
      <c r="E64" s="36" t="s">
        <v>48</v>
      </c>
      <c r="F64" s="36" t="s">
        <v>48</v>
      </c>
      <c r="K64" s="36" t="s">
        <v>48</v>
      </c>
      <c r="L64" s="36" t="s">
        <v>48</v>
      </c>
      <c r="M64" s="36" t="s">
        <v>48</v>
      </c>
    </row>
    <row r="65">
      <c r="C65" s="36" t="s">
        <v>48</v>
      </c>
      <c r="E65" s="36" t="s">
        <v>48</v>
      </c>
      <c r="F65" s="36" t="s">
        <v>48</v>
      </c>
      <c r="K65" s="36" t="s">
        <v>48</v>
      </c>
      <c r="L65" s="36" t="s">
        <v>48</v>
      </c>
      <c r="M65" s="36" t="s">
        <v>48</v>
      </c>
    </row>
    <row r="66">
      <c r="C66" s="36" t="s">
        <v>48</v>
      </c>
      <c r="E66" s="36" t="s">
        <v>48</v>
      </c>
      <c r="F66" s="36" t="s">
        <v>48</v>
      </c>
      <c r="K66" s="36" t="s">
        <v>48</v>
      </c>
      <c r="L66" s="36" t="s">
        <v>48</v>
      </c>
      <c r="M66" s="36" t="s">
        <v>48</v>
      </c>
    </row>
    <row r="67">
      <c r="C67" s="36" t="s">
        <v>48</v>
      </c>
      <c r="E67" s="36" t="s">
        <v>48</v>
      </c>
      <c r="F67" s="36" t="s">
        <v>48</v>
      </c>
      <c r="K67" s="36" t="s">
        <v>48</v>
      </c>
      <c r="L67" s="36" t="s">
        <v>48</v>
      </c>
      <c r="M67" s="36" t="s">
        <v>48</v>
      </c>
    </row>
    <row r="68">
      <c r="C68" s="36" t="s">
        <v>48</v>
      </c>
      <c r="E68" s="36" t="s">
        <v>48</v>
      </c>
      <c r="F68" s="36" t="s">
        <v>48</v>
      </c>
      <c r="K68" s="36" t="s">
        <v>48</v>
      </c>
      <c r="L68" s="36" t="s">
        <v>48</v>
      </c>
      <c r="M68" s="36" t="s">
        <v>48</v>
      </c>
    </row>
    <row r="69">
      <c r="C69" s="36" t="s">
        <v>48</v>
      </c>
      <c r="E69" s="36" t="s">
        <v>48</v>
      </c>
      <c r="F69" s="36" t="s">
        <v>48</v>
      </c>
      <c r="K69" s="36" t="s">
        <v>48</v>
      </c>
      <c r="L69" s="36" t="s">
        <v>48</v>
      </c>
      <c r="M69" s="36" t="s">
        <v>48</v>
      </c>
    </row>
    <row r="70">
      <c r="C70" s="36" t="s">
        <v>48</v>
      </c>
      <c r="E70" s="36" t="s">
        <v>48</v>
      </c>
      <c r="F70" s="36" t="s">
        <v>48</v>
      </c>
      <c r="K70" s="36" t="s">
        <v>48</v>
      </c>
      <c r="L70" s="36" t="s">
        <v>48</v>
      </c>
      <c r="M70" s="36" t="s">
        <v>48</v>
      </c>
    </row>
    <row r="71">
      <c r="C71" s="36" t="s">
        <v>48</v>
      </c>
      <c r="E71" s="36" t="s">
        <v>48</v>
      </c>
      <c r="F71" s="36" t="s">
        <v>48</v>
      </c>
      <c r="K71" s="36" t="s">
        <v>48</v>
      </c>
      <c r="L71" s="36" t="s">
        <v>48</v>
      </c>
      <c r="M71" s="36" t="s">
        <v>48</v>
      </c>
    </row>
    <row r="72">
      <c r="C72" s="36" t="s">
        <v>48</v>
      </c>
      <c r="E72" s="36" t="s">
        <v>48</v>
      </c>
      <c r="F72" s="36" t="s">
        <v>48</v>
      </c>
      <c r="K72" s="36" t="s">
        <v>48</v>
      </c>
      <c r="L72" s="36" t="s">
        <v>48</v>
      </c>
      <c r="M72" s="36" t="s">
        <v>48</v>
      </c>
    </row>
    <row r="73">
      <c r="C73" s="36" t="s">
        <v>48</v>
      </c>
      <c r="E73" s="36" t="s">
        <v>48</v>
      </c>
      <c r="F73" s="36" t="s">
        <v>48</v>
      </c>
      <c r="K73" s="36" t="s">
        <v>48</v>
      </c>
      <c r="L73" s="36" t="s">
        <v>48</v>
      </c>
      <c r="M73" s="36" t="s">
        <v>48</v>
      </c>
    </row>
    <row r="74">
      <c r="C74" s="36" t="s">
        <v>48</v>
      </c>
      <c r="E74" s="36" t="s">
        <v>48</v>
      </c>
      <c r="F74" s="36" t="s">
        <v>48</v>
      </c>
      <c r="K74" s="36" t="s">
        <v>48</v>
      </c>
      <c r="L74" s="36" t="s">
        <v>48</v>
      </c>
      <c r="M74" s="36" t="s">
        <v>48</v>
      </c>
    </row>
    <row r="75">
      <c r="C75" s="36" t="s">
        <v>48</v>
      </c>
      <c r="E75" s="36" t="s">
        <v>48</v>
      </c>
      <c r="F75" s="36" t="s">
        <v>48</v>
      </c>
      <c r="K75" s="36" t="s">
        <v>48</v>
      </c>
      <c r="L75" s="36" t="s">
        <v>48</v>
      </c>
      <c r="M75" s="36" t="s">
        <v>48</v>
      </c>
    </row>
    <row r="76">
      <c r="C76" s="36" t="s">
        <v>48</v>
      </c>
      <c r="E76" s="36" t="s">
        <v>48</v>
      </c>
      <c r="F76" s="36" t="s">
        <v>48</v>
      </c>
      <c r="K76" s="36" t="s">
        <v>48</v>
      </c>
      <c r="L76" s="36" t="s">
        <v>48</v>
      </c>
      <c r="M76" s="36" t="s">
        <v>48</v>
      </c>
    </row>
    <row r="77">
      <c r="C77" s="36" t="s">
        <v>48</v>
      </c>
      <c r="E77" s="36" t="s">
        <v>48</v>
      </c>
      <c r="F77" s="36" t="s">
        <v>48</v>
      </c>
      <c r="K77" s="36" t="s">
        <v>48</v>
      </c>
      <c r="L77" s="36" t="s">
        <v>48</v>
      </c>
      <c r="M77" s="36" t="s">
        <v>48</v>
      </c>
    </row>
    <row r="78">
      <c r="C78" s="36" t="s">
        <v>48</v>
      </c>
      <c r="E78" s="36" t="s">
        <v>48</v>
      </c>
      <c r="F78" s="36" t="s">
        <v>48</v>
      </c>
      <c r="K78" s="36" t="s">
        <v>48</v>
      </c>
      <c r="L78" s="36" t="s">
        <v>48</v>
      </c>
      <c r="M78" s="36" t="s">
        <v>48</v>
      </c>
    </row>
    <row r="79">
      <c r="C79" s="36" t="s">
        <v>48</v>
      </c>
      <c r="E79" s="36" t="s">
        <v>48</v>
      </c>
      <c r="F79" s="36" t="s">
        <v>48</v>
      </c>
      <c r="K79" s="36" t="s">
        <v>48</v>
      </c>
      <c r="L79" s="36" t="s">
        <v>48</v>
      </c>
      <c r="M79" s="36" t="s">
        <v>48</v>
      </c>
    </row>
    <row r="80">
      <c r="C80" s="36" t="s">
        <v>48</v>
      </c>
      <c r="E80" s="36" t="s">
        <v>48</v>
      </c>
      <c r="F80" s="36" t="s">
        <v>48</v>
      </c>
      <c r="K80" s="36" t="s">
        <v>48</v>
      </c>
      <c r="L80" s="36" t="s">
        <v>48</v>
      </c>
      <c r="M80" s="36" t="s">
        <v>48</v>
      </c>
    </row>
    <row r="81">
      <c r="C81" s="36" t="s">
        <v>48</v>
      </c>
      <c r="E81" s="36" t="s">
        <v>48</v>
      </c>
      <c r="F81" s="36" t="s">
        <v>48</v>
      </c>
      <c r="K81" s="36" t="s">
        <v>48</v>
      </c>
      <c r="L81" s="36" t="s">
        <v>48</v>
      </c>
      <c r="M81" s="36" t="s">
        <v>48</v>
      </c>
    </row>
    <row r="82">
      <c r="C82" s="36" t="s">
        <v>48</v>
      </c>
      <c r="E82" s="36" t="s">
        <v>48</v>
      </c>
      <c r="F82" s="36" t="s">
        <v>48</v>
      </c>
      <c r="K82" s="36" t="s">
        <v>48</v>
      </c>
      <c r="L82" s="36" t="s">
        <v>48</v>
      </c>
      <c r="M82" s="36" t="s">
        <v>48</v>
      </c>
    </row>
    <row r="83">
      <c r="C83" s="36" t="s">
        <v>48</v>
      </c>
      <c r="E83" s="36" t="s">
        <v>48</v>
      </c>
      <c r="F83" s="36" t="s">
        <v>48</v>
      </c>
      <c r="K83" s="36" t="s">
        <v>48</v>
      </c>
      <c r="L83" s="36" t="s">
        <v>48</v>
      </c>
      <c r="M83" s="36" t="s">
        <v>48</v>
      </c>
    </row>
    <row r="84">
      <c r="C84" s="36" t="s">
        <v>48</v>
      </c>
      <c r="E84" s="36" t="s">
        <v>48</v>
      </c>
      <c r="F84" s="36" t="s">
        <v>48</v>
      </c>
      <c r="K84" s="36" t="s">
        <v>48</v>
      </c>
      <c r="L84" s="36" t="s">
        <v>48</v>
      </c>
      <c r="M84" s="36" t="s">
        <v>48</v>
      </c>
    </row>
    <row r="85">
      <c r="C85" s="36" t="s">
        <v>48</v>
      </c>
      <c r="E85" s="36" t="s">
        <v>48</v>
      </c>
      <c r="F85" s="36" t="s">
        <v>48</v>
      </c>
      <c r="K85" s="36" t="s">
        <v>48</v>
      </c>
      <c r="L85" s="36" t="s">
        <v>48</v>
      </c>
      <c r="M85" s="36" t="s">
        <v>48</v>
      </c>
    </row>
    <row r="86">
      <c r="C86" s="36" t="s">
        <v>48</v>
      </c>
      <c r="E86" s="36" t="s">
        <v>48</v>
      </c>
      <c r="F86" s="36" t="s">
        <v>48</v>
      </c>
      <c r="K86" s="36" t="s">
        <v>48</v>
      </c>
      <c r="L86" s="36" t="s">
        <v>48</v>
      </c>
      <c r="M86" s="36" t="s">
        <v>48</v>
      </c>
    </row>
    <row r="87">
      <c r="C87" s="36" t="s">
        <v>48</v>
      </c>
      <c r="E87" s="36" t="s">
        <v>48</v>
      </c>
      <c r="F87" s="36" t="s">
        <v>48</v>
      </c>
      <c r="K87" s="36" t="s">
        <v>48</v>
      </c>
      <c r="L87" s="36" t="s">
        <v>48</v>
      </c>
      <c r="M87" s="36" t="s">
        <v>48</v>
      </c>
    </row>
    <row r="88">
      <c r="C88" s="36" t="s">
        <v>48</v>
      </c>
      <c r="E88" s="36" t="s">
        <v>48</v>
      </c>
      <c r="F88" s="36" t="s">
        <v>48</v>
      </c>
      <c r="K88" s="36" t="s">
        <v>48</v>
      </c>
      <c r="L88" s="36" t="s">
        <v>48</v>
      </c>
      <c r="M88" s="36" t="s">
        <v>48</v>
      </c>
    </row>
    <row r="89">
      <c r="C89" s="36" t="s">
        <v>48</v>
      </c>
      <c r="E89" s="36" t="s">
        <v>48</v>
      </c>
      <c r="F89" s="36" t="s">
        <v>48</v>
      </c>
      <c r="K89" s="36" t="s">
        <v>48</v>
      </c>
      <c r="L89" s="36" t="s">
        <v>48</v>
      </c>
      <c r="M89" s="36" t="s">
        <v>48</v>
      </c>
    </row>
    <row r="90">
      <c r="C90" s="36" t="s">
        <v>48</v>
      </c>
      <c r="E90" s="36" t="s">
        <v>48</v>
      </c>
      <c r="F90" s="36" t="s">
        <v>48</v>
      </c>
      <c r="K90" s="36" t="s">
        <v>48</v>
      </c>
      <c r="L90" s="36" t="s">
        <v>48</v>
      </c>
      <c r="M90" s="36" t="s">
        <v>48</v>
      </c>
    </row>
    <row r="91">
      <c r="C91" s="36" t="s">
        <v>48</v>
      </c>
      <c r="E91" s="36" t="s">
        <v>48</v>
      </c>
      <c r="F91" s="36" t="s">
        <v>48</v>
      </c>
      <c r="K91" s="36" t="s">
        <v>48</v>
      </c>
      <c r="L91" s="36" t="s">
        <v>48</v>
      </c>
      <c r="M91" s="36" t="s">
        <v>48</v>
      </c>
    </row>
    <row r="92">
      <c r="C92" s="36" t="s">
        <v>48</v>
      </c>
      <c r="E92" s="36" t="s">
        <v>48</v>
      </c>
      <c r="F92" s="36" t="s">
        <v>48</v>
      </c>
      <c r="K92" s="36" t="s">
        <v>48</v>
      </c>
      <c r="L92" s="36" t="s">
        <v>48</v>
      </c>
      <c r="M92" s="36" t="s">
        <v>48</v>
      </c>
    </row>
    <row r="93">
      <c r="C93" s="36" t="s">
        <v>48</v>
      </c>
      <c r="E93" s="36" t="s">
        <v>48</v>
      </c>
      <c r="F93" s="36" t="s">
        <v>48</v>
      </c>
      <c r="K93" s="36" t="s">
        <v>48</v>
      </c>
      <c r="L93" s="36" t="s">
        <v>48</v>
      </c>
      <c r="M93" s="36" t="s">
        <v>48</v>
      </c>
    </row>
    <row r="94">
      <c r="C94" s="36" t="s">
        <v>48</v>
      </c>
      <c r="E94" s="36" t="s">
        <v>48</v>
      </c>
      <c r="F94" s="36" t="s">
        <v>48</v>
      </c>
      <c r="K94" s="36" t="s">
        <v>48</v>
      </c>
      <c r="L94" s="36" t="s">
        <v>48</v>
      </c>
      <c r="M94" s="36" t="s">
        <v>48</v>
      </c>
    </row>
    <row r="95">
      <c r="C95" s="36" t="s">
        <v>48</v>
      </c>
      <c r="E95" s="36" t="s">
        <v>48</v>
      </c>
      <c r="F95" s="36" t="s">
        <v>48</v>
      </c>
      <c r="K95" s="36" t="s">
        <v>48</v>
      </c>
      <c r="L95" s="36" t="s">
        <v>48</v>
      </c>
      <c r="M95" s="36" t="s">
        <v>48</v>
      </c>
    </row>
    <row r="96">
      <c r="C96" s="36" t="s">
        <v>48</v>
      </c>
      <c r="E96" s="36" t="s">
        <v>48</v>
      </c>
      <c r="F96" s="36" t="s">
        <v>48</v>
      </c>
      <c r="K96" s="36" t="s">
        <v>48</v>
      </c>
      <c r="L96" s="36" t="s">
        <v>48</v>
      </c>
      <c r="M96" s="36" t="s">
        <v>48</v>
      </c>
    </row>
    <row r="97">
      <c r="C97" s="36" t="s">
        <v>48</v>
      </c>
      <c r="E97" s="36" t="s">
        <v>48</v>
      </c>
      <c r="F97" s="36" t="s">
        <v>48</v>
      </c>
      <c r="K97" s="36" t="s">
        <v>48</v>
      </c>
      <c r="L97" s="36" t="s">
        <v>48</v>
      </c>
      <c r="M97" s="36" t="s">
        <v>48</v>
      </c>
    </row>
    <row r="98">
      <c r="C98" s="36" t="s">
        <v>48</v>
      </c>
      <c r="E98" s="36" t="s">
        <v>48</v>
      </c>
      <c r="F98" s="36" t="s">
        <v>48</v>
      </c>
      <c r="K98" s="36" t="s">
        <v>48</v>
      </c>
      <c r="L98" s="36" t="s">
        <v>48</v>
      </c>
      <c r="M98" s="36" t="s">
        <v>48</v>
      </c>
    </row>
    <row r="99">
      <c r="C99" s="36" t="s">
        <v>48</v>
      </c>
      <c r="E99" s="36" t="s">
        <v>48</v>
      </c>
      <c r="F99" s="36" t="s">
        <v>48</v>
      </c>
      <c r="K99" s="36" t="s">
        <v>48</v>
      </c>
      <c r="L99" s="36" t="s">
        <v>48</v>
      </c>
      <c r="M99" s="36" t="s">
        <v>48</v>
      </c>
    </row>
    <row r="100">
      <c r="C100" s="36" t="s">
        <v>48</v>
      </c>
      <c r="E100" s="36" t="s">
        <v>48</v>
      </c>
      <c r="F100" s="36" t="s">
        <v>48</v>
      </c>
      <c r="K100" s="36" t="s">
        <v>48</v>
      </c>
      <c r="L100" s="36" t="s">
        <v>48</v>
      </c>
      <c r="M100" s="36" t="s">
        <v>48</v>
      </c>
    </row>
    <row r="101">
      <c r="C101" s="36" t="s">
        <v>48</v>
      </c>
      <c r="E101" s="36" t="s">
        <v>48</v>
      </c>
      <c r="F101" s="36" t="s">
        <v>48</v>
      </c>
      <c r="K101" s="36" t="s">
        <v>48</v>
      </c>
      <c r="L101" s="36" t="s">
        <v>48</v>
      </c>
      <c r="M101" s="36" t="s">
        <v>48</v>
      </c>
    </row>
    <row r="102">
      <c r="C102" s="36" t="s">
        <v>48</v>
      </c>
      <c r="E102" s="36" t="s">
        <v>48</v>
      </c>
      <c r="F102" s="36" t="s">
        <v>48</v>
      </c>
      <c r="K102" s="36" t="s">
        <v>48</v>
      </c>
      <c r="L102" s="36" t="s">
        <v>48</v>
      </c>
      <c r="M102" s="36" t="s">
        <v>48</v>
      </c>
    </row>
    <row r="103">
      <c r="C103" s="36" t="s">
        <v>48</v>
      </c>
      <c r="E103" s="36" t="s">
        <v>48</v>
      </c>
      <c r="F103" s="36" t="s">
        <v>48</v>
      </c>
      <c r="K103" s="36" t="s">
        <v>48</v>
      </c>
      <c r="L103" s="36" t="s">
        <v>48</v>
      </c>
      <c r="M103" s="36" t="s">
        <v>48</v>
      </c>
    </row>
    <row r="104">
      <c r="C104" s="36" t="s">
        <v>48</v>
      </c>
      <c r="E104" s="36" t="s">
        <v>48</v>
      </c>
      <c r="F104" s="36" t="s">
        <v>48</v>
      </c>
      <c r="K104" s="36" t="s">
        <v>48</v>
      </c>
      <c r="L104" s="36" t="s">
        <v>48</v>
      </c>
      <c r="M104" s="36" t="s">
        <v>48</v>
      </c>
    </row>
    <row r="105">
      <c r="C105" s="36" t="s">
        <v>48</v>
      </c>
      <c r="E105" s="36" t="s">
        <v>48</v>
      </c>
      <c r="F105" s="36" t="s">
        <v>48</v>
      </c>
      <c r="K105" s="36" t="s">
        <v>48</v>
      </c>
      <c r="L105" s="36" t="s">
        <v>48</v>
      </c>
      <c r="M105" s="36" t="s">
        <v>48</v>
      </c>
    </row>
    <row r="106">
      <c r="C106" s="36" t="s">
        <v>48</v>
      </c>
      <c r="E106" s="36" t="s">
        <v>48</v>
      </c>
      <c r="F106" s="36" t="s">
        <v>48</v>
      </c>
      <c r="K106" s="36" t="s">
        <v>48</v>
      </c>
      <c r="L106" s="36" t="s">
        <v>48</v>
      </c>
      <c r="M106" s="36" t="s">
        <v>48</v>
      </c>
    </row>
    <row r="107">
      <c r="C107" s="36" t="s">
        <v>48</v>
      </c>
      <c r="E107" s="36" t="s">
        <v>48</v>
      </c>
      <c r="F107" s="36" t="s">
        <v>48</v>
      </c>
      <c r="K107" s="36" t="s">
        <v>48</v>
      </c>
      <c r="L107" s="36" t="s">
        <v>48</v>
      </c>
      <c r="M107" s="36" t="s">
        <v>48</v>
      </c>
    </row>
    <row r="108">
      <c r="C108" s="36" t="s">
        <v>48</v>
      </c>
      <c r="E108" s="36" t="s">
        <v>48</v>
      </c>
      <c r="F108" s="36" t="s">
        <v>48</v>
      </c>
      <c r="K108" s="36" t="s">
        <v>48</v>
      </c>
      <c r="L108" s="36" t="s">
        <v>48</v>
      </c>
      <c r="M108" s="36" t="s">
        <v>48</v>
      </c>
    </row>
    <row r="109">
      <c r="C109" s="36" t="s">
        <v>48</v>
      </c>
      <c r="E109" s="36" t="s">
        <v>48</v>
      </c>
      <c r="F109" s="36" t="s">
        <v>48</v>
      </c>
      <c r="K109" s="36" t="s">
        <v>48</v>
      </c>
      <c r="L109" s="36" t="s">
        <v>48</v>
      </c>
      <c r="M109" s="36" t="s">
        <v>48</v>
      </c>
    </row>
    <row r="110">
      <c r="C110" s="36" t="s">
        <v>48</v>
      </c>
      <c r="E110" s="36" t="s">
        <v>48</v>
      </c>
      <c r="F110" s="36" t="s">
        <v>48</v>
      </c>
      <c r="K110" s="36" t="s">
        <v>48</v>
      </c>
      <c r="L110" s="36" t="s">
        <v>48</v>
      </c>
      <c r="M110" s="36" t="s">
        <v>48</v>
      </c>
    </row>
    <row r="111">
      <c r="C111" s="36" t="s">
        <v>48</v>
      </c>
      <c r="E111" s="36" t="s">
        <v>48</v>
      </c>
      <c r="F111" s="36" t="s">
        <v>48</v>
      </c>
      <c r="K111" s="36" t="s">
        <v>48</v>
      </c>
      <c r="L111" s="36" t="s">
        <v>48</v>
      </c>
      <c r="M111" s="36" t="s">
        <v>48</v>
      </c>
    </row>
    <row r="112">
      <c r="C112" s="36" t="s">
        <v>48</v>
      </c>
      <c r="E112" s="36" t="s">
        <v>48</v>
      </c>
      <c r="F112" s="36" t="s">
        <v>48</v>
      </c>
      <c r="K112" s="36" t="s">
        <v>48</v>
      </c>
      <c r="L112" s="36" t="s">
        <v>48</v>
      </c>
      <c r="M112" s="36" t="s">
        <v>48</v>
      </c>
    </row>
    <row r="113">
      <c r="C113" s="36" t="s">
        <v>48</v>
      </c>
      <c r="E113" s="36" t="s">
        <v>48</v>
      </c>
      <c r="F113" s="36" t="s">
        <v>48</v>
      </c>
      <c r="K113" s="36" t="s">
        <v>48</v>
      </c>
      <c r="L113" s="36" t="s">
        <v>48</v>
      </c>
      <c r="M113" s="36" t="s">
        <v>48</v>
      </c>
    </row>
    <row r="114">
      <c r="C114" s="36" t="s">
        <v>48</v>
      </c>
      <c r="E114" s="36" t="s">
        <v>48</v>
      </c>
      <c r="F114" s="36" t="s">
        <v>48</v>
      </c>
      <c r="K114" s="36" t="s">
        <v>48</v>
      </c>
      <c r="L114" s="36" t="s">
        <v>48</v>
      </c>
      <c r="M114" s="36" t="s">
        <v>48</v>
      </c>
    </row>
    <row r="115">
      <c r="C115" s="36" t="s">
        <v>48</v>
      </c>
      <c r="E115" s="36" t="s">
        <v>48</v>
      </c>
      <c r="F115" s="36" t="s">
        <v>48</v>
      </c>
      <c r="K115" s="36" t="s">
        <v>48</v>
      </c>
      <c r="L115" s="36" t="s">
        <v>48</v>
      </c>
      <c r="M115" s="36" t="s">
        <v>48</v>
      </c>
    </row>
    <row r="116">
      <c r="C116" s="36" t="s">
        <v>48</v>
      </c>
      <c r="E116" s="36" t="s">
        <v>48</v>
      </c>
      <c r="F116" s="36" t="s">
        <v>48</v>
      </c>
      <c r="K116" s="36" t="s">
        <v>48</v>
      </c>
      <c r="L116" s="36" t="s">
        <v>48</v>
      </c>
      <c r="M116" s="36" t="s">
        <v>48</v>
      </c>
    </row>
    <row r="117">
      <c r="C117" s="36" t="s">
        <v>48</v>
      </c>
      <c r="E117" s="36" t="s">
        <v>48</v>
      </c>
      <c r="F117" s="36" t="s">
        <v>48</v>
      </c>
      <c r="K117" s="36" t="s">
        <v>48</v>
      </c>
      <c r="L117" s="36" t="s">
        <v>48</v>
      </c>
      <c r="M117" s="36" t="s">
        <v>48</v>
      </c>
    </row>
    <row r="118">
      <c r="C118" s="36" t="s">
        <v>48</v>
      </c>
      <c r="E118" s="36" t="s">
        <v>48</v>
      </c>
      <c r="F118" s="36" t="s">
        <v>48</v>
      </c>
      <c r="K118" s="36" t="s">
        <v>48</v>
      </c>
      <c r="L118" s="36" t="s">
        <v>48</v>
      </c>
      <c r="M118" s="36" t="s">
        <v>48</v>
      </c>
    </row>
    <row r="119">
      <c r="C119" s="36" t="s">
        <v>48</v>
      </c>
      <c r="E119" s="36" t="s">
        <v>48</v>
      </c>
      <c r="F119" s="36" t="s">
        <v>48</v>
      </c>
      <c r="K119" s="36" t="s">
        <v>48</v>
      </c>
      <c r="L119" s="36" t="s">
        <v>48</v>
      </c>
      <c r="M119" s="36" t="s">
        <v>48</v>
      </c>
    </row>
    <row r="120">
      <c r="C120" s="36" t="s">
        <v>48</v>
      </c>
      <c r="E120" s="36" t="s">
        <v>48</v>
      </c>
      <c r="F120" s="36" t="s">
        <v>48</v>
      </c>
      <c r="K120" s="36" t="s">
        <v>48</v>
      </c>
      <c r="L120" s="36" t="s">
        <v>48</v>
      </c>
      <c r="M120" s="36" t="s">
        <v>48</v>
      </c>
    </row>
    <row r="121">
      <c r="C121" s="36" t="s">
        <v>48</v>
      </c>
      <c r="E121" s="36" t="s">
        <v>48</v>
      </c>
      <c r="F121" s="36" t="s">
        <v>48</v>
      </c>
      <c r="K121" s="36" t="s">
        <v>48</v>
      </c>
      <c r="L121" s="36" t="s">
        <v>48</v>
      </c>
      <c r="M121" s="36" t="s">
        <v>48</v>
      </c>
    </row>
    <row r="122">
      <c r="C122" s="36" t="s">
        <v>48</v>
      </c>
      <c r="E122" s="36" t="s">
        <v>48</v>
      </c>
      <c r="F122" s="36" t="s">
        <v>48</v>
      </c>
      <c r="K122" s="36" t="s">
        <v>48</v>
      </c>
      <c r="L122" s="36" t="s">
        <v>48</v>
      </c>
      <c r="M122" s="36" t="s">
        <v>48</v>
      </c>
    </row>
    <row r="123">
      <c r="C123" s="36" t="s">
        <v>48</v>
      </c>
      <c r="E123" s="36" t="s">
        <v>48</v>
      </c>
      <c r="F123" s="36" t="s">
        <v>48</v>
      </c>
      <c r="K123" s="36" t="s">
        <v>48</v>
      </c>
      <c r="L123" s="36" t="s">
        <v>48</v>
      </c>
      <c r="M123" s="36" t="s">
        <v>48</v>
      </c>
    </row>
    <row r="124">
      <c r="C124" s="36" t="s">
        <v>48</v>
      </c>
      <c r="E124" s="36" t="s">
        <v>48</v>
      </c>
      <c r="F124" s="36" t="s">
        <v>48</v>
      </c>
      <c r="K124" s="36" t="s">
        <v>48</v>
      </c>
      <c r="L124" s="36" t="s">
        <v>48</v>
      </c>
      <c r="M124" s="36" t="s">
        <v>48</v>
      </c>
    </row>
    <row r="125">
      <c r="C125" s="36" t="s">
        <v>48</v>
      </c>
      <c r="E125" s="36" t="s">
        <v>48</v>
      </c>
      <c r="F125" s="36" t="s">
        <v>48</v>
      </c>
      <c r="K125" s="36" t="s">
        <v>48</v>
      </c>
      <c r="L125" s="36" t="s">
        <v>48</v>
      </c>
      <c r="M125" s="36" t="s">
        <v>48</v>
      </c>
    </row>
    <row r="126">
      <c r="C126" s="36" t="s">
        <v>48</v>
      </c>
      <c r="E126" s="36" t="s">
        <v>48</v>
      </c>
      <c r="F126" s="36" t="s">
        <v>48</v>
      </c>
      <c r="K126" s="36" t="s">
        <v>48</v>
      </c>
      <c r="L126" s="36" t="s">
        <v>48</v>
      </c>
      <c r="M126" s="36" t="s">
        <v>48</v>
      </c>
    </row>
    <row r="127">
      <c r="C127" s="36" t="s">
        <v>48</v>
      </c>
      <c r="E127" s="36" t="s">
        <v>48</v>
      </c>
      <c r="F127" s="36" t="s">
        <v>48</v>
      </c>
      <c r="K127" s="36" t="s">
        <v>48</v>
      </c>
      <c r="L127" s="36" t="s">
        <v>48</v>
      </c>
      <c r="M127" s="36" t="s">
        <v>48</v>
      </c>
    </row>
    <row r="128">
      <c r="C128" s="36" t="s">
        <v>48</v>
      </c>
      <c r="E128" s="36" t="s">
        <v>48</v>
      </c>
      <c r="F128" s="36" t="s">
        <v>48</v>
      </c>
      <c r="K128" s="36" t="s">
        <v>48</v>
      </c>
      <c r="L128" s="36" t="s">
        <v>48</v>
      </c>
      <c r="M128" s="36" t="s">
        <v>48</v>
      </c>
    </row>
    <row r="129">
      <c r="C129" s="36" t="s">
        <v>48</v>
      </c>
      <c r="E129" s="36" t="s">
        <v>48</v>
      </c>
      <c r="F129" s="36" t="s">
        <v>48</v>
      </c>
      <c r="K129" s="36" t="s">
        <v>48</v>
      </c>
      <c r="L129" s="36" t="s">
        <v>48</v>
      </c>
      <c r="M129" s="36" t="s">
        <v>48</v>
      </c>
    </row>
    <row r="130">
      <c r="C130" s="36" t="s">
        <v>48</v>
      </c>
      <c r="E130" s="36" t="s">
        <v>48</v>
      </c>
      <c r="F130" s="36" t="s">
        <v>48</v>
      </c>
      <c r="K130" s="36" t="s">
        <v>48</v>
      </c>
      <c r="L130" s="36" t="s">
        <v>48</v>
      </c>
      <c r="M130" s="36" t="s">
        <v>48</v>
      </c>
    </row>
    <row r="131">
      <c r="C131" s="36" t="s">
        <v>48</v>
      </c>
      <c r="E131" s="36" t="s">
        <v>48</v>
      </c>
      <c r="F131" s="36" t="s">
        <v>48</v>
      </c>
      <c r="K131" s="36" t="s">
        <v>48</v>
      </c>
      <c r="L131" s="36" t="s">
        <v>48</v>
      </c>
      <c r="M131" s="36" t="s">
        <v>48</v>
      </c>
    </row>
    <row r="132">
      <c r="C132" s="36" t="s">
        <v>48</v>
      </c>
      <c r="E132" s="36" t="s">
        <v>48</v>
      </c>
      <c r="F132" s="36" t="s">
        <v>48</v>
      </c>
      <c r="K132" s="36" t="s">
        <v>48</v>
      </c>
      <c r="L132" s="36" t="s">
        <v>48</v>
      </c>
      <c r="M132" s="36" t="s">
        <v>48</v>
      </c>
    </row>
    <row r="133">
      <c r="C133" s="36" t="s">
        <v>48</v>
      </c>
      <c r="E133" s="36" t="s">
        <v>48</v>
      </c>
      <c r="F133" s="36" t="s">
        <v>48</v>
      </c>
      <c r="K133" s="36" t="s">
        <v>48</v>
      </c>
      <c r="L133" s="36" t="s">
        <v>48</v>
      </c>
      <c r="M133" s="36" t="s">
        <v>48</v>
      </c>
    </row>
    <row r="134">
      <c r="C134" s="36" t="s">
        <v>48</v>
      </c>
      <c r="E134" s="36" t="s">
        <v>48</v>
      </c>
      <c r="F134" s="36" t="s">
        <v>48</v>
      </c>
      <c r="K134" s="36" t="s">
        <v>48</v>
      </c>
      <c r="L134" s="36" t="s">
        <v>48</v>
      </c>
      <c r="M134" s="36" t="s">
        <v>48</v>
      </c>
    </row>
    <row r="135">
      <c r="C135" s="36" t="s">
        <v>48</v>
      </c>
      <c r="E135" s="36" t="s">
        <v>48</v>
      </c>
      <c r="F135" s="36" t="s">
        <v>48</v>
      </c>
      <c r="K135" s="36" t="s">
        <v>48</v>
      </c>
      <c r="L135" s="36" t="s">
        <v>48</v>
      </c>
      <c r="M135" s="36" t="s">
        <v>48</v>
      </c>
    </row>
    <row r="136">
      <c r="C136" s="36" t="s">
        <v>48</v>
      </c>
      <c r="E136" s="36" t="s">
        <v>48</v>
      </c>
      <c r="F136" s="36" t="s">
        <v>48</v>
      </c>
      <c r="K136" s="36" t="s">
        <v>48</v>
      </c>
      <c r="L136" s="36" t="s">
        <v>48</v>
      </c>
      <c r="M136" s="36" t="s">
        <v>48</v>
      </c>
    </row>
    <row r="137">
      <c r="C137" s="36" t="s">
        <v>48</v>
      </c>
      <c r="E137" s="36" t="s">
        <v>48</v>
      </c>
      <c r="F137" s="36" t="s">
        <v>48</v>
      </c>
      <c r="K137" s="36" t="s">
        <v>48</v>
      </c>
      <c r="L137" s="36" t="s">
        <v>48</v>
      </c>
      <c r="M137" s="36" t="s">
        <v>48</v>
      </c>
    </row>
    <row r="138">
      <c r="C138" s="36" t="s">
        <v>48</v>
      </c>
      <c r="E138" s="36" t="s">
        <v>48</v>
      </c>
      <c r="F138" s="36" t="s">
        <v>48</v>
      </c>
      <c r="K138" s="36" t="s">
        <v>48</v>
      </c>
      <c r="L138" s="36" t="s">
        <v>48</v>
      </c>
      <c r="M138" s="36" t="s">
        <v>48</v>
      </c>
    </row>
    <row r="139">
      <c r="C139" s="36" t="s">
        <v>48</v>
      </c>
      <c r="E139" s="36" t="s">
        <v>48</v>
      </c>
      <c r="F139" s="36" t="s">
        <v>48</v>
      </c>
      <c r="K139" s="36" t="s">
        <v>48</v>
      </c>
      <c r="L139" s="36" t="s">
        <v>48</v>
      </c>
      <c r="M139" s="36" t="s">
        <v>48</v>
      </c>
    </row>
    <row r="140">
      <c r="C140" s="36" t="s">
        <v>48</v>
      </c>
      <c r="E140" s="36" t="s">
        <v>48</v>
      </c>
      <c r="F140" s="36" t="s">
        <v>48</v>
      </c>
      <c r="K140" s="36" t="s">
        <v>48</v>
      </c>
      <c r="L140" s="36" t="s">
        <v>48</v>
      </c>
      <c r="M140" s="36" t="s">
        <v>48</v>
      </c>
    </row>
    <row r="141">
      <c r="C141" s="36" t="s">
        <v>48</v>
      </c>
      <c r="E141" s="36" t="s">
        <v>48</v>
      </c>
      <c r="F141" s="36" t="s">
        <v>48</v>
      </c>
      <c r="K141" s="36" t="s">
        <v>48</v>
      </c>
      <c r="L141" s="36" t="s">
        <v>48</v>
      </c>
      <c r="M141" s="36" t="s">
        <v>48</v>
      </c>
    </row>
    <row r="142">
      <c r="C142" s="36" t="s">
        <v>48</v>
      </c>
      <c r="E142" s="36" t="s">
        <v>48</v>
      </c>
      <c r="F142" s="36" t="s">
        <v>48</v>
      </c>
      <c r="K142" s="36" t="s">
        <v>48</v>
      </c>
      <c r="L142" s="36" t="s">
        <v>48</v>
      </c>
      <c r="M142" s="36" t="s">
        <v>48</v>
      </c>
    </row>
    <row r="143">
      <c r="C143" s="36" t="s">
        <v>48</v>
      </c>
      <c r="E143" s="36" t="s">
        <v>48</v>
      </c>
      <c r="F143" s="36" t="s">
        <v>48</v>
      </c>
      <c r="K143" s="36" t="s">
        <v>48</v>
      </c>
      <c r="L143" s="36" t="s">
        <v>48</v>
      </c>
      <c r="M143" s="36" t="s">
        <v>48</v>
      </c>
    </row>
    <row r="144">
      <c r="C144" s="36" t="s">
        <v>48</v>
      </c>
      <c r="E144" s="36" t="s">
        <v>48</v>
      </c>
      <c r="F144" s="36" t="s">
        <v>48</v>
      </c>
      <c r="K144" s="36" t="s">
        <v>48</v>
      </c>
      <c r="L144" s="36" t="s">
        <v>48</v>
      </c>
      <c r="M144" s="36" t="s">
        <v>48</v>
      </c>
    </row>
    <row r="145">
      <c r="C145" s="36" t="s">
        <v>48</v>
      </c>
      <c r="E145" s="36" t="s">
        <v>48</v>
      </c>
      <c r="F145" s="36" t="s">
        <v>48</v>
      </c>
      <c r="K145" s="36" t="s">
        <v>48</v>
      </c>
      <c r="L145" s="36" t="s">
        <v>48</v>
      </c>
      <c r="M145" s="36" t="s">
        <v>48</v>
      </c>
    </row>
    <row r="146">
      <c r="C146" s="36" t="s">
        <v>48</v>
      </c>
      <c r="E146" s="36" t="s">
        <v>48</v>
      </c>
      <c r="F146" s="36" t="s">
        <v>48</v>
      </c>
      <c r="K146" s="36" t="s">
        <v>48</v>
      </c>
      <c r="L146" s="36" t="s">
        <v>48</v>
      </c>
      <c r="M146" s="36" t="s">
        <v>48</v>
      </c>
    </row>
    <row r="147">
      <c r="C147" s="36" t="s">
        <v>48</v>
      </c>
      <c r="E147" s="36" t="s">
        <v>48</v>
      </c>
      <c r="F147" s="36" t="s">
        <v>48</v>
      </c>
      <c r="K147" s="36" t="s">
        <v>48</v>
      </c>
      <c r="L147" s="36" t="s">
        <v>48</v>
      </c>
      <c r="M147" s="36" t="s">
        <v>48</v>
      </c>
    </row>
    <row r="148">
      <c r="C148" s="36" t="s">
        <v>48</v>
      </c>
      <c r="E148" s="36" t="s">
        <v>48</v>
      </c>
      <c r="F148" s="36" t="s">
        <v>48</v>
      </c>
      <c r="K148" s="36" t="s">
        <v>48</v>
      </c>
      <c r="L148" s="36" t="s">
        <v>48</v>
      </c>
      <c r="M148" s="36" t="s">
        <v>48</v>
      </c>
    </row>
    <row r="149">
      <c r="C149" s="36" t="s">
        <v>48</v>
      </c>
      <c r="E149" s="36" t="s">
        <v>48</v>
      </c>
      <c r="F149" s="36" t="s">
        <v>48</v>
      </c>
      <c r="K149" s="36" t="s">
        <v>48</v>
      </c>
      <c r="L149" s="36" t="s">
        <v>48</v>
      </c>
      <c r="M149" s="36" t="s">
        <v>48</v>
      </c>
    </row>
    <row r="150">
      <c r="C150" s="36" t="s">
        <v>48</v>
      </c>
      <c r="E150" s="36" t="s">
        <v>48</v>
      </c>
      <c r="F150" s="36" t="s">
        <v>48</v>
      </c>
      <c r="K150" s="36" t="s">
        <v>48</v>
      </c>
      <c r="L150" s="36" t="s">
        <v>48</v>
      </c>
      <c r="M150" s="36" t="s">
        <v>48</v>
      </c>
    </row>
    <row r="151">
      <c r="C151" s="36" t="s">
        <v>48</v>
      </c>
      <c r="E151" s="36" t="s">
        <v>48</v>
      </c>
      <c r="F151" s="36" t="s">
        <v>48</v>
      </c>
      <c r="K151" s="36" t="s">
        <v>48</v>
      </c>
      <c r="L151" s="36" t="s">
        <v>48</v>
      </c>
      <c r="M151" s="36" t="s">
        <v>48</v>
      </c>
    </row>
    <row r="152">
      <c r="C152" s="36" t="s">
        <v>48</v>
      </c>
      <c r="E152" s="36" t="s">
        <v>48</v>
      </c>
      <c r="F152" s="36" t="s">
        <v>48</v>
      </c>
      <c r="K152" s="36" t="s">
        <v>48</v>
      </c>
      <c r="L152" s="36" t="s">
        <v>48</v>
      </c>
      <c r="M152" s="36" t="s">
        <v>48</v>
      </c>
    </row>
    <row r="153">
      <c r="C153" s="36" t="s">
        <v>48</v>
      </c>
      <c r="E153" s="36" t="s">
        <v>48</v>
      </c>
      <c r="F153" s="36" t="s">
        <v>48</v>
      </c>
      <c r="K153" s="36" t="s">
        <v>48</v>
      </c>
      <c r="L153" s="36" t="s">
        <v>48</v>
      </c>
      <c r="M153" s="36" t="s">
        <v>48</v>
      </c>
    </row>
    <row r="154">
      <c r="C154" s="36" t="s">
        <v>48</v>
      </c>
      <c r="E154" s="36" t="s">
        <v>48</v>
      </c>
      <c r="F154" s="36" t="s">
        <v>48</v>
      </c>
      <c r="K154" s="36" t="s">
        <v>48</v>
      </c>
      <c r="L154" s="36" t="s">
        <v>48</v>
      </c>
      <c r="M154" s="36" t="s">
        <v>48</v>
      </c>
    </row>
    <row r="155">
      <c r="C155" s="36" t="s">
        <v>48</v>
      </c>
      <c r="E155" s="36" t="s">
        <v>48</v>
      </c>
      <c r="F155" s="36" t="s">
        <v>48</v>
      </c>
      <c r="K155" s="36" t="s">
        <v>48</v>
      </c>
      <c r="L155" s="36" t="s">
        <v>48</v>
      </c>
      <c r="M155" s="36" t="s">
        <v>48</v>
      </c>
    </row>
    <row r="156">
      <c r="C156" s="36" t="s">
        <v>48</v>
      </c>
      <c r="E156" s="36" t="s">
        <v>48</v>
      </c>
      <c r="F156" s="36" t="s">
        <v>48</v>
      </c>
      <c r="K156" s="36" t="s">
        <v>48</v>
      </c>
      <c r="L156" s="36" t="s">
        <v>48</v>
      </c>
      <c r="M156" s="36" t="s">
        <v>48</v>
      </c>
    </row>
    <row r="157">
      <c r="C157" s="36" t="s">
        <v>48</v>
      </c>
      <c r="E157" s="36" t="s">
        <v>48</v>
      </c>
      <c r="F157" s="36" t="s">
        <v>48</v>
      </c>
      <c r="K157" s="36" t="s">
        <v>48</v>
      </c>
      <c r="L157" s="36" t="s">
        <v>48</v>
      </c>
      <c r="M157" s="36" t="s">
        <v>48</v>
      </c>
    </row>
    <row r="158">
      <c r="C158" s="36" t="s">
        <v>48</v>
      </c>
      <c r="E158" s="36" t="s">
        <v>48</v>
      </c>
      <c r="F158" s="36" t="s">
        <v>48</v>
      </c>
      <c r="K158" s="36" t="s">
        <v>48</v>
      </c>
      <c r="L158" s="36" t="s">
        <v>48</v>
      </c>
      <c r="M158" s="36" t="s">
        <v>48</v>
      </c>
    </row>
    <row r="159">
      <c r="C159" s="36" t="s">
        <v>48</v>
      </c>
      <c r="E159" s="36" t="s">
        <v>48</v>
      </c>
      <c r="F159" s="36" t="s">
        <v>48</v>
      </c>
      <c r="K159" s="36" t="s">
        <v>48</v>
      </c>
      <c r="L159" s="36" t="s">
        <v>48</v>
      </c>
      <c r="M159" s="36" t="s">
        <v>48</v>
      </c>
    </row>
    <row r="160">
      <c r="C160" s="36" t="s">
        <v>48</v>
      </c>
      <c r="E160" s="36" t="s">
        <v>48</v>
      </c>
      <c r="F160" s="36" t="s">
        <v>48</v>
      </c>
      <c r="K160" s="36" t="s">
        <v>48</v>
      </c>
      <c r="L160" s="36" t="s">
        <v>48</v>
      </c>
      <c r="M160" s="36" t="s">
        <v>48</v>
      </c>
    </row>
    <row r="161">
      <c r="C161" s="36" t="s">
        <v>48</v>
      </c>
      <c r="E161" s="36" t="s">
        <v>48</v>
      </c>
      <c r="F161" s="36" t="s">
        <v>48</v>
      </c>
      <c r="K161" s="36" t="s">
        <v>48</v>
      </c>
      <c r="L161" s="36" t="s">
        <v>48</v>
      </c>
      <c r="M161" s="36" t="s">
        <v>48</v>
      </c>
    </row>
    <row r="162">
      <c r="C162" s="36" t="s">
        <v>48</v>
      </c>
      <c r="E162" s="36" t="s">
        <v>48</v>
      </c>
      <c r="F162" s="36" t="s">
        <v>48</v>
      </c>
      <c r="K162" s="36" t="s">
        <v>48</v>
      </c>
      <c r="L162" s="36" t="s">
        <v>48</v>
      </c>
      <c r="M162" s="36" t="s">
        <v>48</v>
      </c>
    </row>
    <row r="163">
      <c r="C163" s="36" t="s">
        <v>48</v>
      </c>
      <c r="E163" s="36" t="s">
        <v>48</v>
      </c>
      <c r="F163" s="36" t="s">
        <v>48</v>
      </c>
      <c r="K163" s="36" t="s">
        <v>48</v>
      </c>
      <c r="L163" s="36" t="s">
        <v>48</v>
      </c>
      <c r="M163" s="36" t="s">
        <v>48</v>
      </c>
    </row>
    <row r="164">
      <c r="C164" s="36" t="s">
        <v>48</v>
      </c>
      <c r="E164" s="36" t="s">
        <v>48</v>
      </c>
      <c r="F164" s="36" t="s">
        <v>48</v>
      </c>
      <c r="K164" s="36" t="s">
        <v>48</v>
      </c>
      <c r="L164" s="36" t="s">
        <v>48</v>
      </c>
      <c r="M164" s="36" t="s">
        <v>48</v>
      </c>
    </row>
    <row r="165">
      <c r="C165" s="36" t="s">
        <v>48</v>
      </c>
      <c r="E165" s="36" t="s">
        <v>48</v>
      </c>
      <c r="F165" s="36" t="s">
        <v>48</v>
      </c>
      <c r="K165" s="36" t="s">
        <v>48</v>
      </c>
      <c r="L165" s="36" t="s">
        <v>48</v>
      </c>
      <c r="M165" s="36" t="s">
        <v>48</v>
      </c>
    </row>
    <row r="166">
      <c r="C166" s="36" t="s">
        <v>48</v>
      </c>
      <c r="E166" s="36" t="s">
        <v>48</v>
      </c>
      <c r="F166" s="36" t="s">
        <v>48</v>
      </c>
      <c r="K166" s="36" t="s">
        <v>48</v>
      </c>
      <c r="L166" s="36" t="s">
        <v>48</v>
      </c>
      <c r="M166" s="36" t="s">
        <v>48</v>
      </c>
    </row>
    <row r="167">
      <c r="C167" s="36" t="s">
        <v>48</v>
      </c>
      <c r="E167" s="36" t="s">
        <v>48</v>
      </c>
      <c r="F167" s="36" t="s">
        <v>48</v>
      </c>
      <c r="K167" s="36" t="s">
        <v>48</v>
      </c>
      <c r="L167" s="36" t="s">
        <v>48</v>
      </c>
      <c r="M167" s="36" t="s">
        <v>48</v>
      </c>
    </row>
    <row r="168">
      <c r="C168" s="36" t="s">
        <v>48</v>
      </c>
      <c r="E168" s="36" t="s">
        <v>48</v>
      </c>
      <c r="F168" s="36" t="s">
        <v>48</v>
      </c>
      <c r="K168" s="36" t="s">
        <v>48</v>
      </c>
      <c r="L168" s="36" t="s">
        <v>48</v>
      </c>
      <c r="M168" s="36" t="s">
        <v>48</v>
      </c>
    </row>
    <row r="169">
      <c r="C169" s="36" t="s">
        <v>48</v>
      </c>
      <c r="E169" s="36" t="s">
        <v>48</v>
      </c>
      <c r="F169" s="36" t="s">
        <v>48</v>
      </c>
      <c r="K169" s="36" t="s">
        <v>48</v>
      </c>
      <c r="L169" s="36" t="s">
        <v>48</v>
      </c>
      <c r="M169" s="36" t="s">
        <v>48</v>
      </c>
    </row>
    <row r="170">
      <c r="C170" s="36" t="s">
        <v>48</v>
      </c>
      <c r="E170" s="36" t="s">
        <v>48</v>
      </c>
      <c r="F170" s="36" t="s">
        <v>48</v>
      </c>
      <c r="K170" s="36" t="s">
        <v>48</v>
      </c>
      <c r="L170" s="36" t="s">
        <v>48</v>
      </c>
      <c r="M170" s="36" t="s">
        <v>48</v>
      </c>
    </row>
    <row r="171">
      <c r="C171" s="36" t="s">
        <v>48</v>
      </c>
      <c r="E171" s="36" t="s">
        <v>48</v>
      </c>
      <c r="F171" s="36" t="s">
        <v>48</v>
      </c>
      <c r="K171" s="36" t="s">
        <v>48</v>
      </c>
      <c r="L171" s="36" t="s">
        <v>48</v>
      </c>
      <c r="M171" s="36" t="s">
        <v>48</v>
      </c>
    </row>
    <row r="172">
      <c r="C172" s="36" t="s">
        <v>48</v>
      </c>
      <c r="E172" s="36" t="s">
        <v>48</v>
      </c>
      <c r="F172" s="36" t="s">
        <v>48</v>
      </c>
      <c r="K172" s="36" t="s">
        <v>48</v>
      </c>
      <c r="L172" s="36" t="s">
        <v>48</v>
      </c>
      <c r="M172" s="36" t="s">
        <v>48</v>
      </c>
    </row>
    <row r="173">
      <c r="C173" s="36" t="s">
        <v>48</v>
      </c>
      <c r="E173" s="36" t="s">
        <v>48</v>
      </c>
      <c r="F173" s="36" t="s">
        <v>48</v>
      </c>
      <c r="K173" s="36" t="s">
        <v>48</v>
      </c>
      <c r="L173" s="36" t="s">
        <v>48</v>
      </c>
      <c r="M173" s="36" t="s">
        <v>48</v>
      </c>
    </row>
    <row r="174">
      <c r="C174" s="36" t="s">
        <v>48</v>
      </c>
      <c r="E174" s="36" t="s">
        <v>48</v>
      </c>
      <c r="F174" s="36" t="s">
        <v>48</v>
      </c>
      <c r="K174" s="36" t="s">
        <v>48</v>
      </c>
      <c r="L174" s="36" t="s">
        <v>48</v>
      </c>
      <c r="M174" s="36" t="s">
        <v>48</v>
      </c>
    </row>
    <row r="175">
      <c r="C175" s="36" t="s">
        <v>48</v>
      </c>
      <c r="E175" s="36" t="s">
        <v>48</v>
      </c>
      <c r="F175" s="36" t="s">
        <v>48</v>
      </c>
      <c r="K175" s="36" t="s">
        <v>48</v>
      </c>
      <c r="L175" s="36" t="s">
        <v>48</v>
      </c>
      <c r="M175" s="36" t="s">
        <v>48</v>
      </c>
    </row>
    <row r="176">
      <c r="C176" s="36" t="s">
        <v>48</v>
      </c>
      <c r="E176" s="36" t="s">
        <v>48</v>
      </c>
      <c r="F176" s="36" t="s">
        <v>48</v>
      </c>
      <c r="K176" s="36" t="s">
        <v>48</v>
      </c>
      <c r="L176" s="36" t="s">
        <v>48</v>
      </c>
      <c r="M176" s="36" t="s">
        <v>48</v>
      </c>
    </row>
    <row r="177">
      <c r="C177" s="36" t="s">
        <v>48</v>
      </c>
      <c r="E177" s="36" t="s">
        <v>48</v>
      </c>
      <c r="F177" s="36" t="s">
        <v>48</v>
      </c>
      <c r="K177" s="36" t="s">
        <v>48</v>
      </c>
      <c r="L177" s="36" t="s">
        <v>48</v>
      </c>
      <c r="M177" s="36" t="s">
        <v>48</v>
      </c>
    </row>
    <row r="178">
      <c r="C178" s="36" t="s">
        <v>48</v>
      </c>
      <c r="E178" s="36" t="s">
        <v>48</v>
      </c>
      <c r="F178" s="36" t="s">
        <v>48</v>
      </c>
      <c r="K178" s="36" t="s">
        <v>48</v>
      </c>
      <c r="L178" s="36" t="s">
        <v>48</v>
      </c>
      <c r="M178" s="36" t="s">
        <v>48</v>
      </c>
    </row>
    <row r="179">
      <c r="C179" s="36" t="s">
        <v>48</v>
      </c>
      <c r="E179" s="36" t="s">
        <v>48</v>
      </c>
      <c r="F179" s="36" t="s">
        <v>48</v>
      </c>
      <c r="K179" s="36" t="s">
        <v>48</v>
      </c>
      <c r="L179" s="36" t="s">
        <v>48</v>
      </c>
      <c r="M179" s="36" t="s">
        <v>48</v>
      </c>
    </row>
    <row r="180">
      <c r="C180" s="36" t="s">
        <v>48</v>
      </c>
      <c r="E180" s="36" t="s">
        <v>48</v>
      </c>
      <c r="F180" s="36" t="s">
        <v>48</v>
      </c>
      <c r="K180" s="36" t="s">
        <v>48</v>
      </c>
      <c r="L180" s="36" t="s">
        <v>48</v>
      </c>
      <c r="M180" s="36" t="s">
        <v>48</v>
      </c>
    </row>
    <row r="181">
      <c r="C181" s="36" t="s">
        <v>48</v>
      </c>
      <c r="E181" s="36" t="s">
        <v>48</v>
      </c>
      <c r="F181" s="36" t="s">
        <v>48</v>
      </c>
      <c r="K181" s="36" t="s">
        <v>48</v>
      </c>
      <c r="L181" s="36" t="s">
        <v>48</v>
      </c>
      <c r="M181" s="36" t="s">
        <v>48</v>
      </c>
    </row>
    <row r="182">
      <c r="C182" s="36" t="s">
        <v>48</v>
      </c>
      <c r="E182" s="36" t="s">
        <v>48</v>
      </c>
      <c r="F182" s="36" t="s">
        <v>48</v>
      </c>
      <c r="K182" s="36" t="s">
        <v>48</v>
      </c>
      <c r="L182" s="36" t="s">
        <v>48</v>
      </c>
      <c r="M182" s="36" t="s">
        <v>48</v>
      </c>
    </row>
    <row r="183">
      <c r="C183" s="36" t="s">
        <v>48</v>
      </c>
      <c r="E183" s="36" t="s">
        <v>48</v>
      </c>
      <c r="F183" s="36" t="s">
        <v>48</v>
      </c>
      <c r="K183" s="36" t="s">
        <v>48</v>
      </c>
      <c r="L183" s="36" t="s">
        <v>48</v>
      </c>
      <c r="M183" s="36" t="s">
        <v>48</v>
      </c>
    </row>
    <row r="184">
      <c r="C184" s="36" t="s">
        <v>48</v>
      </c>
      <c r="E184" s="36" t="s">
        <v>48</v>
      </c>
      <c r="F184" s="36" t="s">
        <v>48</v>
      </c>
      <c r="K184" s="36" t="s">
        <v>48</v>
      </c>
      <c r="L184" s="36" t="s">
        <v>48</v>
      </c>
      <c r="M184" s="36" t="s">
        <v>48</v>
      </c>
    </row>
    <row r="185">
      <c r="C185" s="36" t="s">
        <v>48</v>
      </c>
      <c r="E185" s="36" t="s">
        <v>48</v>
      </c>
      <c r="F185" s="36" t="s">
        <v>48</v>
      </c>
      <c r="K185" s="36" t="s">
        <v>48</v>
      </c>
      <c r="L185" s="36" t="s">
        <v>48</v>
      </c>
      <c r="M185" s="36" t="s">
        <v>48</v>
      </c>
    </row>
    <row r="186">
      <c r="C186" s="36" t="s">
        <v>48</v>
      </c>
      <c r="E186" s="36" t="s">
        <v>48</v>
      </c>
      <c r="F186" s="36" t="s">
        <v>48</v>
      </c>
      <c r="K186" s="36" t="s">
        <v>48</v>
      </c>
      <c r="L186" s="36" t="s">
        <v>48</v>
      </c>
      <c r="M186" s="36" t="s">
        <v>48</v>
      </c>
    </row>
    <row r="187">
      <c r="C187" s="36" t="s">
        <v>48</v>
      </c>
      <c r="E187" s="36" t="s">
        <v>48</v>
      </c>
      <c r="F187" s="36" t="s">
        <v>48</v>
      </c>
      <c r="K187" s="36" t="s">
        <v>48</v>
      </c>
      <c r="L187" s="36" t="s">
        <v>48</v>
      </c>
      <c r="M187" s="36" t="s">
        <v>48</v>
      </c>
    </row>
    <row r="188">
      <c r="C188" s="36" t="s">
        <v>48</v>
      </c>
      <c r="E188" s="36" t="s">
        <v>48</v>
      </c>
      <c r="F188" s="36" t="s">
        <v>48</v>
      </c>
      <c r="K188" s="36" t="s">
        <v>48</v>
      </c>
      <c r="L188" s="36" t="s">
        <v>48</v>
      </c>
      <c r="M188" s="36" t="s">
        <v>48</v>
      </c>
    </row>
    <row r="189">
      <c r="C189" s="36" t="s">
        <v>48</v>
      </c>
      <c r="E189" s="36" t="s">
        <v>48</v>
      </c>
      <c r="F189" s="36" t="s">
        <v>48</v>
      </c>
      <c r="K189" s="36" t="s">
        <v>48</v>
      </c>
      <c r="L189" s="36" t="s">
        <v>48</v>
      </c>
      <c r="M189" s="36" t="s">
        <v>48</v>
      </c>
    </row>
    <row r="190">
      <c r="C190" s="36" t="s">
        <v>48</v>
      </c>
      <c r="E190" s="36" t="s">
        <v>48</v>
      </c>
      <c r="F190" s="36" t="s">
        <v>48</v>
      </c>
      <c r="K190" s="36" t="s">
        <v>48</v>
      </c>
      <c r="L190" s="36" t="s">
        <v>48</v>
      </c>
      <c r="M190" s="36" t="s">
        <v>48</v>
      </c>
    </row>
    <row r="191">
      <c r="C191" s="36" t="s">
        <v>48</v>
      </c>
      <c r="E191" s="36" t="s">
        <v>48</v>
      </c>
      <c r="F191" s="36" t="s">
        <v>48</v>
      </c>
      <c r="K191" s="36" t="s">
        <v>48</v>
      </c>
      <c r="L191" s="36" t="s">
        <v>48</v>
      </c>
      <c r="M191" s="36" t="s">
        <v>48</v>
      </c>
    </row>
    <row r="192">
      <c r="C192" s="36" t="s">
        <v>48</v>
      </c>
      <c r="E192" s="36" t="s">
        <v>48</v>
      </c>
      <c r="F192" s="36" t="s">
        <v>48</v>
      </c>
      <c r="K192" s="36" t="s">
        <v>48</v>
      </c>
      <c r="L192" s="36" t="s">
        <v>48</v>
      </c>
      <c r="M192" s="36" t="s">
        <v>48</v>
      </c>
    </row>
    <row r="193">
      <c r="C193" s="36" t="s">
        <v>48</v>
      </c>
      <c r="E193" s="36" t="s">
        <v>48</v>
      </c>
      <c r="F193" s="36" t="s">
        <v>48</v>
      </c>
      <c r="K193" s="36" t="s">
        <v>48</v>
      </c>
      <c r="L193" s="36" t="s">
        <v>48</v>
      </c>
      <c r="M193" s="36" t="s">
        <v>48</v>
      </c>
    </row>
    <row r="194">
      <c r="C194" s="36" t="s">
        <v>48</v>
      </c>
      <c r="E194" s="36" t="s">
        <v>48</v>
      </c>
      <c r="F194" s="36" t="s">
        <v>48</v>
      </c>
      <c r="K194" s="36" t="s">
        <v>48</v>
      </c>
      <c r="L194" s="36" t="s">
        <v>48</v>
      </c>
      <c r="M194" s="36" t="s">
        <v>48</v>
      </c>
    </row>
    <row r="195">
      <c r="C195" s="36" t="s">
        <v>48</v>
      </c>
      <c r="E195" s="36" t="s">
        <v>48</v>
      </c>
      <c r="F195" s="36" t="s">
        <v>48</v>
      </c>
      <c r="K195" s="36" t="s">
        <v>48</v>
      </c>
      <c r="L195" s="36" t="s">
        <v>48</v>
      </c>
      <c r="M195" s="36" t="s">
        <v>48</v>
      </c>
    </row>
    <row r="196">
      <c r="C196" s="36" t="s">
        <v>48</v>
      </c>
      <c r="E196" s="36" t="s">
        <v>48</v>
      </c>
      <c r="F196" s="36" t="s">
        <v>48</v>
      </c>
      <c r="K196" s="36" t="s">
        <v>48</v>
      </c>
      <c r="L196" s="36" t="s">
        <v>48</v>
      </c>
      <c r="M196" s="36" t="s">
        <v>48</v>
      </c>
    </row>
    <row r="197">
      <c r="C197" s="36" t="s">
        <v>48</v>
      </c>
      <c r="E197" s="36" t="s">
        <v>48</v>
      </c>
      <c r="F197" s="36" t="s">
        <v>48</v>
      </c>
      <c r="K197" s="36" t="s">
        <v>48</v>
      </c>
      <c r="L197" s="36" t="s">
        <v>48</v>
      </c>
      <c r="M197" s="36" t="s">
        <v>48</v>
      </c>
    </row>
    <row r="198">
      <c r="C198" s="36" t="s">
        <v>48</v>
      </c>
      <c r="E198" s="36" t="s">
        <v>48</v>
      </c>
      <c r="F198" s="36" t="s">
        <v>48</v>
      </c>
      <c r="K198" s="36" t="s">
        <v>48</v>
      </c>
      <c r="L198" s="36" t="s">
        <v>48</v>
      </c>
      <c r="M198" s="36" t="s">
        <v>48</v>
      </c>
    </row>
    <row r="199">
      <c r="C199" s="36" t="s">
        <v>48</v>
      </c>
      <c r="E199" s="36" t="s">
        <v>48</v>
      </c>
      <c r="F199" s="36" t="s">
        <v>48</v>
      </c>
      <c r="K199" s="36" t="s">
        <v>48</v>
      </c>
      <c r="L199" s="36" t="s">
        <v>48</v>
      </c>
      <c r="M199" s="36" t="s">
        <v>48</v>
      </c>
    </row>
    <row r="200">
      <c r="C200" s="36" t="s">
        <v>48</v>
      </c>
      <c r="E200" s="36" t="s">
        <v>48</v>
      </c>
      <c r="F200" s="36" t="s">
        <v>48</v>
      </c>
      <c r="K200" s="36" t="s">
        <v>48</v>
      </c>
      <c r="L200" s="36" t="s">
        <v>48</v>
      </c>
      <c r="M200" s="36" t="s">
        <v>48</v>
      </c>
    </row>
    <row r="201">
      <c r="C201" s="36" t="s">
        <v>48</v>
      </c>
      <c r="E201" s="36" t="s">
        <v>48</v>
      </c>
      <c r="F201" s="36" t="s">
        <v>48</v>
      </c>
      <c r="K201" s="36" t="s">
        <v>48</v>
      </c>
      <c r="L201" s="36" t="s">
        <v>48</v>
      </c>
      <c r="M201" s="36" t="s">
        <v>48</v>
      </c>
    </row>
    <row r="202">
      <c r="C202" s="36" t="s">
        <v>48</v>
      </c>
      <c r="E202" s="36" t="s">
        <v>48</v>
      </c>
      <c r="F202" s="36" t="s">
        <v>48</v>
      </c>
      <c r="K202" s="36" t="s">
        <v>48</v>
      </c>
      <c r="L202" s="36" t="s">
        <v>48</v>
      </c>
      <c r="M202" s="36" t="s">
        <v>48</v>
      </c>
    </row>
    <row r="203">
      <c r="C203" s="36" t="s">
        <v>48</v>
      </c>
      <c r="E203" s="36" t="s">
        <v>48</v>
      </c>
      <c r="F203" s="36" t="s">
        <v>48</v>
      </c>
      <c r="K203" s="36" t="s">
        <v>48</v>
      </c>
      <c r="L203" s="36" t="s">
        <v>48</v>
      </c>
      <c r="M203" s="36" t="s">
        <v>48</v>
      </c>
    </row>
    <row r="204">
      <c r="C204" s="36" t="s">
        <v>48</v>
      </c>
      <c r="E204" s="36" t="s">
        <v>48</v>
      </c>
      <c r="F204" s="36" t="s">
        <v>48</v>
      </c>
      <c r="K204" s="36" t="s">
        <v>48</v>
      </c>
      <c r="L204" s="36" t="s">
        <v>48</v>
      </c>
      <c r="M204" s="36" t="s">
        <v>48</v>
      </c>
    </row>
    <row r="205">
      <c r="C205" s="36" t="s">
        <v>48</v>
      </c>
      <c r="E205" s="36" t="s">
        <v>48</v>
      </c>
      <c r="F205" s="36" t="s">
        <v>48</v>
      </c>
      <c r="K205" s="36" t="s">
        <v>48</v>
      </c>
      <c r="L205" s="36" t="s">
        <v>48</v>
      </c>
      <c r="M205" s="36" t="s">
        <v>48</v>
      </c>
    </row>
    <row r="206">
      <c r="C206" s="36" t="s">
        <v>48</v>
      </c>
      <c r="E206" s="36" t="s">
        <v>48</v>
      </c>
      <c r="F206" s="36" t="s">
        <v>48</v>
      </c>
      <c r="K206" s="36" t="s">
        <v>48</v>
      </c>
      <c r="L206" s="36" t="s">
        <v>48</v>
      </c>
      <c r="M206" s="36" t="s">
        <v>48</v>
      </c>
    </row>
    <row r="207">
      <c r="C207" s="36" t="s">
        <v>48</v>
      </c>
      <c r="E207" s="36" t="s">
        <v>48</v>
      </c>
      <c r="F207" s="36" t="s">
        <v>48</v>
      </c>
      <c r="K207" s="36" t="s">
        <v>48</v>
      </c>
      <c r="L207" s="36" t="s">
        <v>48</v>
      </c>
      <c r="M207" s="36" t="s">
        <v>48</v>
      </c>
    </row>
    <row r="208">
      <c r="C208" s="36" t="s">
        <v>48</v>
      </c>
      <c r="E208" s="36" t="s">
        <v>48</v>
      </c>
      <c r="F208" s="36" t="s">
        <v>48</v>
      </c>
      <c r="K208" s="36" t="s">
        <v>48</v>
      </c>
      <c r="L208" s="36" t="s">
        <v>48</v>
      </c>
      <c r="M208" s="36" t="s">
        <v>48</v>
      </c>
    </row>
    <row r="209">
      <c r="C209" s="36" t="s">
        <v>48</v>
      </c>
      <c r="E209" s="36" t="s">
        <v>48</v>
      </c>
      <c r="F209" s="36" t="s">
        <v>48</v>
      </c>
      <c r="K209" s="36" t="s">
        <v>48</v>
      </c>
      <c r="L209" s="36" t="s">
        <v>48</v>
      </c>
      <c r="M209" s="36" t="s">
        <v>48</v>
      </c>
    </row>
    <row r="210">
      <c r="C210" s="36" t="s">
        <v>48</v>
      </c>
      <c r="E210" s="36" t="s">
        <v>48</v>
      </c>
      <c r="F210" s="36" t="s">
        <v>48</v>
      </c>
      <c r="K210" s="36" t="s">
        <v>48</v>
      </c>
      <c r="L210" s="36" t="s">
        <v>48</v>
      </c>
      <c r="M210" s="36" t="s">
        <v>48</v>
      </c>
    </row>
    <row r="211">
      <c r="C211" s="36" t="s">
        <v>48</v>
      </c>
      <c r="E211" s="36" t="s">
        <v>48</v>
      </c>
      <c r="F211" s="36" t="s">
        <v>48</v>
      </c>
      <c r="K211" s="36" t="s">
        <v>48</v>
      </c>
      <c r="L211" s="36" t="s">
        <v>48</v>
      </c>
      <c r="M211" s="36" t="s">
        <v>48</v>
      </c>
    </row>
    <row r="212">
      <c r="C212" s="36" t="s">
        <v>48</v>
      </c>
      <c r="E212" s="36" t="s">
        <v>48</v>
      </c>
      <c r="F212" s="36" t="s">
        <v>48</v>
      </c>
      <c r="K212" s="36" t="s">
        <v>48</v>
      </c>
      <c r="L212" s="36" t="s">
        <v>48</v>
      </c>
      <c r="M212" s="36" t="s">
        <v>48</v>
      </c>
    </row>
    <row r="213">
      <c r="C213" s="36" t="s">
        <v>48</v>
      </c>
      <c r="E213" s="36" t="s">
        <v>48</v>
      </c>
      <c r="F213" s="36" t="s">
        <v>48</v>
      </c>
      <c r="K213" s="36" t="s">
        <v>48</v>
      </c>
      <c r="L213" s="36" t="s">
        <v>48</v>
      </c>
      <c r="M213" s="36" t="s">
        <v>48</v>
      </c>
    </row>
    <row r="214">
      <c r="C214" s="36" t="s">
        <v>48</v>
      </c>
      <c r="E214" s="36" t="s">
        <v>48</v>
      </c>
      <c r="F214" s="36" t="s">
        <v>48</v>
      </c>
      <c r="K214" s="36" t="s">
        <v>48</v>
      </c>
      <c r="L214" s="36" t="s">
        <v>48</v>
      </c>
      <c r="M214" s="36" t="s">
        <v>48</v>
      </c>
    </row>
    <row r="215">
      <c r="C215" s="36" t="s">
        <v>48</v>
      </c>
      <c r="E215" s="36" t="s">
        <v>48</v>
      </c>
      <c r="F215" s="36" t="s">
        <v>48</v>
      </c>
      <c r="K215" s="36" t="s">
        <v>48</v>
      </c>
      <c r="L215" s="36" t="s">
        <v>48</v>
      </c>
      <c r="M215" s="36" t="s">
        <v>48</v>
      </c>
    </row>
    <row r="216">
      <c r="C216" s="36" t="s">
        <v>48</v>
      </c>
      <c r="E216" s="36" t="s">
        <v>48</v>
      </c>
      <c r="F216" s="36" t="s">
        <v>48</v>
      </c>
      <c r="K216" s="36" t="s">
        <v>48</v>
      </c>
      <c r="L216" s="36" t="s">
        <v>48</v>
      </c>
      <c r="M216" s="36" t="s">
        <v>48</v>
      </c>
    </row>
    <row r="217">
      <c r="C217" s="36" t="s">
        <v>48</v>
      </c>
      <c r="E217" s="36" t="s">
        <v>48</v>
      </c>
      <c r="F217" s="36" t="s">
        <v>48</v>
      </c>
      <c r="K217" s="36" t="s">
        <v>48</v>
      </c>
      <c r="L217" s="36" t="s">
        <v>48</v>
      </c>
      <c r="M217" s="36" t="s">
        <v>48</v>
      </c>
    </row>
    <row r="218">
      <c r="C218" s="36" t="s">
        <v>48</v>
      </c>
      <c r="E218" s="36" t="s">
        <v>48</v>
      </c>
      <c r="F218" s="36" t="s">
        <v>48</v>
      </c>
      <c r="K218" s="36" t="s">
        <v>48</v>
      </c>
      <c r="L218" s="36" t="s">
        <v>48</v>
      </c>
      <c r="M218" s="36" t="s">
        <v>48</v>
      </c>
    </row>
    <row r="219">
      <c r="C219" s="36" t="s">
        <v>48</v>
      </c>
      <c r="E219" s="36" t="s">
        <v>48</v>
      </c>
      <c r="F219" s="36" t="s">
        <v>48</v>
      </c>
      <c r="K219" s="36" t="s">
        <v>48</v>
      </c>
      <c r="L219" s="36" t="s">
        <v>48</v>
      </c>
      <c r="M219" s="36" t="s">
        <v>48</v>
      </c>
    </row>
    <row r="220">
      <c r="C220" s="36" t="s">
        <v>48</v>
      </c>
      <c r="E220" s="36" t="s">
        <v>48</v>
      </c>
      <c r="F220" s="36" t="s">
        <v>48</v>
      </c>
      <c r="K220" s="36" t="s">
        <v>48</v>
      </c>
      <c r="L220" s="36" t="s">
        <v>48</v>
      </c>
      <c r="M220" s="36" t="s">
        <v>48</v>
      </c>
    </row>
    <row r="221">
      <c r="C221" s="36" t="s">
        <v>48</v>
      </c>
      <c r="E221" s="36" t="s">
        <v>48</v>
      </c>
      <c r="F221" s="36" t="s">
        <v>48</v>
      </c>
      <c r="K221" s="36" t="s">
        <v>48</v>
      </c>
      <c r="L221" s="36" t="s">
        <v>48</v>
      </c>
      <c r="M221" s="36" t="s">
        <v>48</v>
      </c>
    </row>
    <row r="222">
      <c r="C222" s="36" t="s">
        <v>48</v>
      </c>
      <c r="E222" s="36" t="s">
        <v>48</v>
      </c>
      <c r="F222" s="36" t="s">
        <v>48</v>
      </c>
      <c r="K222" s="36" t="s">
        <v>48</v>
      </c>
      <c r="L222" s="36" t="s">
        <v>48</v>
      </c>
      <c r="M222" s="36" t="s">
        <v>48</v>
      </c>
    </row>
    <row r="223">
      <c r="C223" s="36" t="s">
        <v>48</v>
      </c>
      <c r="E223" s="36" t="s">
        <v>48</v>
      </c>
      <c r="F223" s="36" t="s">
        <v>48</v>
      </c>
      <c r="K223" s="36" t="s">
        <v>48</v>
      </c>
      <c r="L223" s="36" t="s">
        <v>48</v>
      </c>
      <c r="M223" s="36" t="s">
        <v>48</v>
      </c>
    </row>
    <row r="224">
      <c r="C224" s="36" t="s">
        <v>48</v>
      </c>
      <c r="E224" s="36" t="s">
        <v>48</v>
      </c>
      <c r="F224" s="36" t="s">
        <v>48</v>
      </c>
      <c r="K224" s="36" t="s">
        <v>48</v>
      </c>
      <c r="L224" s="36" t="s">
        <v>48</v>
      </c>
      <c r="M224" s="36" t="s">
        <v>48</v>
      </c>
    </row>
    <row r="225">
      <c r="C225" s="36" t="s">
        <v>48</v>
      </c>
      <c r="E225" s="36" t="s">
        <v>48</v>
      </c>
      <c r="F225" s="36" t="s">
        <v>48</v>
      </c>
      <c r="K225" s="36" t="s">
        <v>48</v>
      </c>
      <c r="L225" s="36" t="s">
        <v>48</v>
      </c>
      <c r="M225" s="36" t="s">
        <v>48</v>
      </c>
    </row>
    <row r="226">
      <c r="C226" s="36" t="s">
        <v>48</v>
      </c>
      <c r="E226" s="36" t="s">
        <v>48</v>
      </c>
      <c r="F226" s="36" t="s">
        <v>48</v>
      </c>
      <c r="K226" s="36" t="s">
        <v>48</v>
      </c>
      <c r="L226" s="36" t="s">
        <v>48</v>
      </c>
      <c r="M226" s="36" t="s">
        <v>48</v>
      </c>
    </row>
    <row r="227">
      <c r="C227" s="36" t="s">
        <v>48</v>
      </c>
      <c r="E227" s="36" t="s">
        <v>48</v>
      </c>
      <c r="F227" s="36" t="s">
        <v>48</v>
      </c>
      <c r="K227" s="36" t="s">
        <v>48</v>
      </c>
      <c r="L227" s="36" t="s">
        <v>48</v>
      </c>
      <c r="M227" s="36" t="s">
        <v>48</v>
      </c>
    </row>
    <row r="228">
      <c r="C228" s="36" t="s">
        <v>48</v>
      </c>
      <c r="E228" s="36" t="s">
        <v>48</v>
      </c>
      <c r="F228" s="36" t="s">
        <v>48</v>
      </c>
      <c r="K228" s="36" t="s">
        <v>48</v>
      </c>
      <c r="L228" s="36" t="s">
        <v>48</v>
      </c>
      <c r="M228" s="36" t="s">
        <v>48</v>
      </c>
    </row>
    <row r="229">
      <c r="C229" s="36" t="s">
        <v>48</v>
      </c>
      <c r="E229" s="36" t="s">
        <v>48</v>
      </c>
      <c r="F229" s="36" t="s">
        <v>48</v>
      </c>
      <c r="K229" s="36" t="s">
        <v>48</v>
      </c>
      <c r="L229" s="36" t="s">
        <v>48</v>
      </c>
      <c r="M229" s="36" t="s">
        <v>48</v>
      </c>
    </row>
    <row r="230">
      <c r="C230" s="36" t="s">
        <v>48</v>
      </c>
      <c r="E230" s="36" t="s">
        <v>48</v>
      </c>
      <c r="F230" s="36" t="s">
        <v>48</v>
      </c>
      <c r="K230" s="36" t="s">
        <v>48</v>
      </c>
      <c r="L230" s="36" t="s">
        <v>48</v>
      </c>
      <c r="M230" s="36" t="s">
        <v>48</v>
      </c>
    </row>
    <row r="231">
      <c r="C231" s="36" t="s">
        <v>48</v>
      </c>
      <c r="E231" s="36" t="s">
        <v>48</v>
      </c>
      <c r="F231" s="36" t="s">
        <v>48</v>
      </c>
      <c r="K231" s="36" t="s">
        <v>48</v>
      </c>
      <c r="L231" s="36" t="s">
        <v>48</v>
      </c>
      <c r="M231" s="36" t="s">
        <v>48</v>
      </c>
    </row>
    <row r="232">
      <c r="C232" s="36" t="s">
        <v>48</v>
      </c>
      <c r="E232" s="36" t="s">
        <v>48</v>
      </c>
      <c r="F232" s="36" t="s">
        <v>48</v>
      </c>
      <c r="K232" s="36" t="s">
        <v>48</v>
      </c>
      <c r="L232" s="36" t="s">
        <v>48</v>
      </c>
      <c r="M232" s="36" t="s">
        <v>48</v>
      </c>
    </row>
    <row r="233">
      <c r="C233" s="36" t="s">
        <v>48</v>
      </c>
      <c r="E233" s="36" t="s">
        <v>48</v>
      </c>
      <c r="F233" s="36" t="s">
        <v>48</v>
      </c>
      <c r="K233" s="36" t="s">
        <v>48</v>
      </c>
      <c r="L233" s="36" t="s">
        <v>48</v>
      </c>
      <c r="M233" s="36" t="s">
        <v>48</v>
      </c>
    </row>
    <row r="234">
      <c r="C234" s="36" t="s">
        <v>48</v>
      </c>
      <c r="E234" s="36" t="s">
        <v>48</v>
      </c>
      <c r="F234" s="36" t="s">
        <v>48</v>
      </c>
      <c r="K234" s="36" t="s">
        <v>48</v>
      </c>
      <c r="L234" s="36" t="s">
        <v>48</v>
      </c>
      <c r="M234" s="36" t="s">
        <v>48</v>
      </c>
    </row>
    <row r="235">
      <c r="C235" s="36" t="s">
        <v>48</v>
      </c>
      <c r="E235" s="36" t="s">
        <v>48</v>
      </c>
      <c r="F235" s="36" t="s">
        <v>48</v>
      </c>
      <c r="K235" s="36" t="s">
        <v>48</v>
      </c>
      <c r="L235" s="36" t="s">
        <v>48</v>
      </c>
      <c r="M235" s="36" t="s">
        <v>48</v>
      </c>
    </row>
    <row r="236">
      <c r="C236" s="36" t="s">
        <v>48</v>
      </c>
      <c r="E236" s="36" t="s">
        <v>48</v>
      </c>
      <c r="F236" s="36" t="s">
        <v>48</v>
      </c>
      <c r="K236" s="36" t="s">
        <v>48</v>
      </c>
      <c r="L236" s="36" t="s">
        <v>48</v>
      </c>
      <c r="M236" s="36" t="s">
        <v>48</v>
      </c>
    </row>
    <row r="237">
      <c r="C237" s="36" t="s">
        <v>48</v>
      </c>
      <c r="E237" s="36" t="s">
        <v>48</v>
      </c>
      <c r="F237" s="36" t="s">
        <v>48</v>
      </c>
      <c r="K237" s="36" t="s">
        <v>48</v>
      </c>
      <c r="L237" s="36" t="s">
        <v>48</v>
      </c>
      <c r="M237" s="36" t="s">
        <v>48</v>
      </c>
    </row>
    <row r="238">
      <c r="C238" s="36" t="s">
        <v>48</v>
      </c>
      <c r="E238" s="36" t="s">
        <v>48</v>
      </c>
      <c r="F238" s="36" t="s">
        <v>48</v>
      </c>
      <c r="K238" s="36" t="s">
        <v>48</v>
      </c>
      <c r="L238" s="36" t="s">
        <v>48</v>
      </c>
      <c r="M238" s="36" t="s">
        <v>48</v>
      </c>
    </row>
    <row r="239">
      <c r="C239" s="36" t="s">
        <v>48</v>
      </c>
      <c r="E239" s="36" t="s">
        <v>48</v>
      </c>
      <c r="F239" s="36" t="s">
        <v>48</v>
      </c>
      <c r="K239" s="36" t="s">
        <v>48</v>
      </c>
      <c r="L239" s="36" t="s">
        <v>48</v>
      </c>
      <c r="M239" s="36" t="s">
        <v>48</v>
      </c>
    </row>
    <row r="240">
      <c r="C240" s="36" t="s">
        <v>48</v>
      </c>
      <c r="E240" s="36" t="s">
        <v>48</v>
      </c>
      <c r="F240" s="36" t="s">
        <v>48</v>
      </c>
      <c r="K240" s="36" t="s">
        <v>48</v>
      </c>
      <c r="L240" s="36" t="s">
        <v>48</v>
      </c>
      <c r="M240" s="36" t="s">
        <v>48</v>
      </c>
    </row>
    <row r="241">
      <c r="C241" s="36" t="s">
        <v>48</v>
      </c>
      <c r="E241" s="36" t="s">
        <v>48</v>
      </c>
      <c r="F241" s="36" t="s">
        <v>48</v>
      </c>
      <c r="K241" s="36" t="s">
        <v>48</v>
      </c>
      <c r="L241" s="36" t="s">
        <v>48</v>
      </c>
      <c r="M241" s="36" t="s">
        <v>48</v>
      </c>
    </row>
    <row r="242">
      <c r="C242" s="36" t="s">
        <v>48</v>
      </c>
      <c r="E242" s="36" t="s">
        <v>48</v>
      </c>
      <c r="F242" s="36" t="s">
        <v>48</v>
      </c>
      <c r="K242" s="36" t="s">
        <v>48</v>
      </c>
      <c r="L242" s="36" t="s">
        <v>48</v>
      </c>
      <c r="M242" s="36" t="s">
        <v>48</v>
      </c>
    </row>
    <row r="243">
      <c r="C243" s="36" t="s">
        <v>48</v>
      </c>
      <c r="E243" s="36" t="s">
        <v>48</v>
      </c>
      <c r="F243" s="36" t="s">
        <v>48</v>
      </c>
      <c r="K243" s="36" t="s">
        <v>48</v>
      </c>
      <c r="L243" s="36" t="s">
        <v>48</v>
      </c>
      <c r="M243" s="36" t="s">
        <v>48</v>
      </c>
    </row>
    <row r="244">
      <c r="C244" s="36" t="s">
        <v>48</v>
      </c>
      <c r="E244" s="36" t="s">
        <v>48</v>
      </c>
      <c r="F244" s="36" t="s">
        <v>48</v>
      </c>
      <c r="K244" s="36" t="s">
        <v>48</v>
      </c>
      <c r="L244" s="36" t="s">
        <v>48</v>
      </c>
      <c r="M244" s="36" t="s">
        <v>48</v>
      </c>
    </row>
    <row r="245">
      <c r="C245" s="36" t="s">
        <v>48</v>
      </c>
      <c r="E245" s="36" t="s">
        <v>48</v>
      </c>
      <c r="F245" s="36" t="s">
        <v>48</v>
      </c>
      <c r="K245" s="36" t="s">
        <v>48</v>
      </c>
      <c r="L245" s="36" t="s">
        <v>48</v>
      </c>
      <c r="M245" s="36" t="s">
        <v>48</v>
      </c>
    </row>
    <row r="246">
      <c r="C246" s="36" t="s">
        <v>48</v>
      </c>
      <c r="E246" s="36" t="s">
        <v>48</v>
      </c>
      <c r="F246" s="36" t="s">
        <v>48</v>
      </c>
      <c r="K246" s="36" t="s">
        <v>48</v>
      </c>
      <c r="L246" s="36" t="s">
        <v>48</v>
      </c>
      <c r="M246" s="36" t="s">
        <v>48</v>
      </c>
    </row>
    <row r="247">
      <c r="C247" s="36" t="s">
        <v>48</v>
      </c>
      <c r="E247" s="36" t="s">
        <v>48</v>
      </c>
      <c r="F247" s="36" t="s">
        <v>48</v>
      </c>
      <c r="K247" s="36" t="s">
        <v>48</v>
      </c>
      <c r="L247" s="36" t="s">
        <v>48</v>
      </c>
      <c r="M247" s="36" t="s">
        <v>48</v>
      </c>
    </row>
    <row r="248">
      <c r="C248" s="36" t="s">
        <v>48</v>
      </c>
      <c r="E248" s="36" t="s">
        <v>48</v>
      </c>
      <c r="F248" s="36" t="s">
        <v>48</v>
      </c>
      <c r="K248" s="36" t="s">
        <v>48</v>
      </c>
      <c r="L248" s="36" t="s">
        <v>48</v>
      </c>
      <c r="M248" s="36" t="s">
        <v>48</v>
      </c>
    </row>
    <row r="249">
      <c r="C249" s="36" t="s">
        <v>48</v>
      </c>
      <c r="E249" s="36" t="s">
        <v>48</v>
      </c>
      <c r="F249" s="36" t="s">
        <v>48</v>
      </c>
      <c r="K249" s="36" t="s">
        <v>48</v>
      </c>
      <c r="L249" s="36" t="s">
        <v>48</v>
      </c>
      <c r="M249" s="36" t="s">
        <v>48</v>
      </c>
    </row>
    <row r="250">
      <c r="C250" s="36" t="s">
        <v>48</v>
      </c>
      <c r="E250" s="36" t="s">
        <v>48</v>
      </c>
      <c r="F250" s="36" t="s">
        <v>48</v>
      </c>
      <c r="K250" s="36" t="s">
        <v>48</v>
      </c>
      <c r="L250" s="36" t="s">
        <v>48</v>
      </c>
      <c r="M250" s="36" t="s">
        <v>48</v>
      </c>
    </row>
    <row r="251">
      <c r="C251" s="36" t="s">
        <v>48</v>
      </c>
      <c r="E251" s="36" t="s">
        <v>48</v>
      </c>
      <c r="F251" s="36" t="s">
        <v>48</v>
      </c>
      <c r="K251" s="36" t="s">
        <v>48</v>
      </c>
      <c r="L251" s="36" t="s">
        <v>48</v>
      </c>
      <c r="M251" s="36" t="s">
        <v>48</v>
      </c>
    </row>
    <row r="252">
      <c r="C252" s="36" t="s">
        <v>48</v>
      </c>
      <c r="E252" s="36" t="s">
        <v>48</v>
      </c>
      <c r="F252" s="36" t="s">
        <v>48</v>
      </c>
      <c r="K252" s="36" t="s">
        <v>48</v>
      </c>
      <c r="L252" s="36" t="s">
        <v>48</v>
      </c>
      <c r="M252" s="36" t="s">
        <v>48</v>
      </c>
    </row>
    <row r="253">
      <c r="C253" s="36" t="s">
        <v>48</v>
      </c>
      <c r="E253" s="36" t="s">
        <v>48</v>
      </c>
      <c r="F253" s="36" t="s">
        <v>48</v>
      </c>
      <c r="K253" s="36" t="s">
        <v>48</v>
      </c>
      <c r="L253" s="36" t="s">
        <v>48</v>
      </c>
      <c r="M253" s="36" t="s">
        <v>48</v>
      </c>
    </row>
    <row r="254">
      <c r="C254" s="36" t="s">
        <v>48</v>
      </c>
      <c r="E254" s="36" t="s">
        <v>48</v>
      </c>
      <c r="F254" s="36" t="s">
        <v>48</v>
      </c>
      <c r="K254" s="36" t="s">
        <v>48</v>
      </c>
      <c r="L254" s="36" t="s">
        <v>48</v>
      </c>
      <c r="M254" s="36" t="s">
        <v>48</v>
      </c>
    </row>
    <row r="255">
      <c r="C255" s="36" t="s">
        <v>48</v>
      </c>
      <c r="E255" s="36" t="s">
        <v>48</v>
      </c>
      <c r="F255" s="36" t="s">
        <v>48</v>
      </c>
      <c r="K255" s="36" t="s">
        <v>48</v>
      </c>
      <c r="L255" s="36" t="s">
        <v>48</v>
      </c>
      <c r="M255" s="36" t="s">
        <v>48</v>
      </c>
    </row>
    <row r="256">
      <c r="C256" s="36" t="s">
        <v>48</v>
      </c>
      <c r="E256" s="36" t="s">
        <v>48</v>
      </c>
      <c r="F256" s="36" t="s">
        <v>48</v>
      </c>
      <c r="K256" s="36" t="s">
        <v>48</v>
      </c>
      <c r="L256" s="36" t="s">
        <v>48</v>
      </c>
      <c r="M256" s="36" t="s">
        <v>48</v>
      </c>
    </row>
    <row r="257">
      <c r="C257" s="36" t="s">
        <v>48</v>
      </c>
      <c r="E257" s="36" t="s">
        <v>48</v>
      </c>
      <c r="F257" s="36" t="s">
        <v>48</v>
      </c>
      <c r="K257" s="36" t="s">
        <v>48</v>
      </c>
      <c r="L257" s="36" t="s">
        <v>48</v>
      </c>
      <c r="M257" s="36" t="s">
        <v>48</v>
      </c>
    </row>
    <row r="258">
      <c r="C258" s="36" t="s">
        <v>48</v>
      </c>
      <c r="E258" s="36" t="s">
        <v>48</v>
      </c>
      <c r="F258" s="36" t="s">
        <v>48</v>
      </c>
      <c r="K258" s="36" t="s">
        <v>48</v>
      </c>
      <c r="L258" s="36" t="s">
        <v>48</v>
      </c>
      <c r="M258" s="36" t="s">
        <v>48</v>
      </c>
    </row>
    <row r="259">
      <c r="C259" s="36" t="s">
        <v>48</v>
      </c>
      <c r="E259" s="36" t="s">
        <v>48</v>
      </c>
      <c r="F259" s="36" t="s">
        <v>48</v>
      </c>
      <c r="K259" s="36" t="s">
        <v>48</v>
      </c>
      <c r="L259" s="36" t="s">
        <v>48</v>
      </c>
      <c r="M259" s="36" t="s">
        <v>48</v>
      </c>
    </row>
    <row r="260">
      <c r="C260" s="36" t="s">
        <v>48</v>
      </c>
      <c r="E260" s="36" t="s">
        <v>48</v>
      </c>
      <c r="F260" s="36" t="s">
        <v>48</v>
      </c>
      <c r="K260" s="36" t="s">
        <v>48</v>
      </c>
      <c r="L260" s="36" t="s">
        <v>48</v>
      </c>
      <c r="M260" s="36" t="s">
        <v>48</v>
      </c>
    </row>
    <row r="261">
      <c r="C261" s="36" t="s">
        <v>48</v>
      </c>
      <c r="E261" s="36" t="s">
        <v>48</v>
      </c>
      <c r="F261" s="36" t="s">
        <v>48</v>
      </c>
      <c r="K261" s="36" t="s">
        <v>48</v>
      </c>
      <c r="L261" s="36" t="s">
        <v>48</v>
      </c>
      <c r="M261" s="36" t="s">
        <v>48</v>
      </c>
    </row>
    <row r="262">
      <c r="C262" s="36" t="s">
        <v>48</v>
      </c>
      <c r="E262" s="36" t="s">
        <v>48</v>
      </c>
      <c r="F262" s="36" t="s">
        <v>48</v>
      </c>
      <c r="K262" s="36" t="s">
        <v>48</v>
      </c>
      <c r="L262" s="36" t="s">
        <v>48</v>
      </c>
      <c r="M262" s="36" t="s">
        <v>48</v>
      </c>
    </row>
    <row r="263">
      <c r="C263" s="36" t="s">
        <v>48</v>
      </c>
      <c r="E263" s="36" t="s">
        <v>48</v>
      </c>
      <c r="F263" s="36" t="s">
        <v>48</v>
      </c>
      <c r="K263" s="36" t="s">
        <v>48</v>
      </c>
      <c r="L263" s="36" t="s">
        <v>48</v>
      </c>
      <c r="M263" s="36" t="s">
        <v>48</v>
      </c>
    </row>
    <row r="264">
      <c r="C264" s="36" t="s">
        <v>48</v>
      </c>
      <c r="E264" s="36" t="s">
        <v>48</v>
      </c>
      <c r="F264" s="36" t="s">
        <v>48</v>
      </c>
      <c r="K264" s="36" t="s">
        <v>48</v>
      </c>
      <c r="L264" s="36" t="s">
        <v>48</v>
      </c>
      <c r="M264" s="36" t="s">
        <v>48</v>
      </c>
    </row>
    <row r="265">
      <c r="C265" s="36" t="s">
        <v>48</v>
      </c>
      <c r="E265" s="36" t="s">
        <v>48</v>
      </c>
      <c r="F265" s="36" t="s">
        <v>48</v>
      </c>
      <c r="K265" s="36" t="s">
        <v>48</v>
      </c>
      <c r="L265" s="36" t="s">
        <v>48</v>
      </c>
      <c r="M265" s="36" t="s">
        <v>48</v>
      </c>
    </row>
    <row r="266">
      <c r="C266" s="36" t="s">
        <v>48</v>
      </c>
      <c r="E266" s="36" t="s">
        <v>48</v>
      </c>
      <c r="F266" s="36" t="s">
        <v>48</v>
      </c>
      <c r="K266" s="36" t="s">
        <v>48</v>
      </c>
      <c r="L266" s="36" t="s">
        <v>48</v>
      </c>
      <c r="M266" s="36" t="s">
        <v>48</v>
      </c>
    </row>
    <row r="267">
      <c r="C267" s="36" t="s">
        <v>48</v>
      </c>
      <c r="E267" s="36" t="s">
        <v>48</v>
      </c>
      <c r="F267" s="36" t="s">
        <v>48</v>
      </c>
      <c r="K267" s="36" t="s">
        <v>48</v>
      </c>
      <c r="L267" s="36" t="s">
        <v>48</v>
      </c>
      <c r="M267" s="36" t="s">
        <v>48</v>
      </c>
    </row>
    <row r="268">
      <c r="C268" s="36" t="s">
        <v>48</v>
      </c>
      <c r="E268" s="36" t="s">
        <v>48</v>
      </c>
      <c r="F268" s="36" t="s">
        <v>48</v>
      </c>
      <c r="K268" s="36" t="s">
        <v>48</v>
      </c>
      <c r="L268" s="36" t="s">
        <v>48</v>
      </c>
      <c r="M268" s="36" t="s">
        <v>48</v>
      </c>
    </row>
    <row r="269">
      <c r="C269" s="36" t="s">
        <v>48</v>
      </c>
      <c r="E269" s="36" t="s">
        <v>48</v>
      </c>
      <c r="F269" s="36" t="s">
        <v>48</v>
      </c>
      <c r="K269" s="36" t="s">
        <v>48</v>
      </c>
      <c r="L269" s="36" t="s">
        <v>48</v>
      </c>
      <c r="M269" s="36" t="s">
        <v>48</v>
      </c>
    </row>
    <row r="270">
      <c r="C270" s="36" t="s">
        <v>48</v>
      </c>
      <c r="E270" s="36" t="s">
        <v>48</v>
      </c>
      <c r="F270" s="36" t="s">
        <v>48</v>
      </c>
      <c r="K270" s="36" t="s">
        <v>48</v>
      </c>
      <c r="L270" s="36" t="s">
        <v>48</v>
      </c>
      <c r="M270" s="36" t="s">
        <v>48</v>
      </c>
    </row>
    <row r="271">
      <c r="C271" s="36" t="s">
        <v>48</v>
      </c>
      <c r="E271" s="36" t="s">
        <v>48</v>
      </c>
      <c r="F271" s="36" t="s">
        <v>48</v>
      </c>
      <c r="K271" s="36" t="s">
        <v>48</v>
      </c>
      <c r="L271" s="36" t="s">
        <v>48</v>
      </c>
      <c r="M271" s="36" t="s">
        <v>48</v>
      </c>
    </row>
    <row r="272">
      <c r="C272" s="36" t="s">
        <v>48</v>
      </c>
      <c r="E272" s="36" t="s">
        <v>48</v>
      </c>
      <c r="F272" s="36" t="s">
        <v>48</v>
      </c>
      <c r="K272" s="36" t="s">
        <v>48</v>
      </c>
      <c r="L272" s="36" t="s">
        <v>48</v>
      </c>
      <c r="M272" s="36" t="s">
        <v>48</v>
      </c>
    </row>
    <row r="273">
      <c r="C273" s="36" t="s">
        <v>48</v>
      </c>
      <c r="E273" s="36" t="s">
        <v>48</v>
      </c>
      <c r="F273" s="36" t="s">
        <v>48</v>
      </c>
      <c r="K273" s="36" t="s">
        <v>48</v>
      </c>
      <c r="L273" s="36" t="s">
        <v>48</v>
      </c>
      <c r="M273" s="36" t="s">
        <v>48</v>
      </c>
    </row>
    <row r="274">
      <c r="C274" s="36" t="s">
        <v>48</v>
      </c>
      <c r="E274" s="36" t="s">
        <v>48</v>
      </c>
      <c r="F274" s="36" t="s">
        <v>48</v>
      </c>
      <c r="K274" s="36" t="s">
        <v>48</v>
      </c>
      <c r="L274" s="36" t="s">
        <v>48</v>
      </c>
      <c r="M274" s="36" t="s">
        <v>48</v>
      </c>
    </row>
    <row r="275">
      <c r="C275" s="36" t="s">
        <v>48</v>
      </c>
      <c r="E275" s="36" t="s">
        <v>48</v>
      </c>
      <c r="F275" s="36" t="s">
        <v>48</v>
      </c>
      <c r="K275" s="36" t="s">
        <v>48</v>
      </c>
      <c r="L275" s="36" t="s">
        <v>48</v>
      </c>
      <c r="M275" s="36" t="s">
        <v>48</v>
      </c>
    </row>
    <row r="276">
      <c r="C276" s="36" t="s">
        <v>48</v>
      </c>
      <c r="E276" s="36" t="s">
        <v>48</v>
      </c>
      <c r="F276" s="36" t="s">
        <v>48</v>
      </c>
      <c r="K276" s="36" t="s">
        <v>48</v>
      </c>
      <c r="L276" s="36" t="s">
        <v>48</v>
      </c>
      <c r="M276" s="36" t="s">
        <v>48</v>
      </c>
    </row>
    <row r="277">
      <c r="C277" s="36" t="s">
        <v>48</v>
      </c>
      <c r="E277" s="36" t="s">
        <v>48</v>
      </c>
      <c r="F277" s="36" t="s">
        <v>48</v>
      </c>
      <c r="K277" s="36" t="s">
        <v>48</v>
      </c>
      <c r="L277" s="36" t="s">
        <v>48</v>
      </c>
      <c r="M277" s="36" t="s">
        <v>48</v>
      </c>
    </row>
    <row r="278">
      <c r="C278" s="36" t="s">
        <v>48</v>
      </c>
      <c r="E278" s="36" t="s">
        <v>48</v>
      </c>
      <c r="F278" s="36" t="s">
        <v>48</v>
      </c>
      <c r="K278" s="36" t="s">
        <v>48</v>
      </c>
      <c r="L278" s="36" t="s">
        <v>48</v>
      </c>
      <c r="M278" s="36" t="s">
        <v>48</v>
      </c>
    </row>
    <row r="279">
      <c r="C279" s="36" t="s">
        <v>48</v>
      </c>
      <c r="E279" s="36" t="s">
        <v>48</v>
      </c>
      <c r="F279" s="36" t="s">
        <v>48</v>
      </c>
      <c r="K279" s="36" t="s">
        <v>48</v>
      </c>
      <c r="L279" s="36" t="s">
        <v>48</v>
      </c>
      <c r="M279" s="36" t="s">
        <v>48</v>
      </c>
    </row>
    <row r="280">
      <c r="C280" s="36" t="s">
        <v>48</v>
      </c>
      <c r="E280" s="36" t="s">
        <v>48</v>
      </c>
      <c r="F280" s="36" t="s">
        <v>48</v>
      </c>
      <c r="K280" s="36" t="s">
        <v>48</v>
      </c>
      <c r="L280" s="36" t="s">
        <v>48</v>
      </c>
      <c r="M280" s="36" t="s">
        <v>48</v>
      </c>
    </row>
    <row r="281">
      <c r="C281" s="36" t="s">
        <v>48</v>
      </c>
      <c r="E281" s="36" t="s">
        <v>48</v>
      </c>
      <c r="F281" s="36" t="s">
        <v>48</v>
      </c>
      <c r="K281" s="36" t="s">
        <v>48</v>
      </c>
      <c r="L281" s="36" t="s">
        <v>48</v>
      </c>
      <c r="M281" s="36" t="s">
        <v>48</v>
      </c>
    </row>
    <row r="282">
      <c r="C282" s="36" t="s">
        <v>48</v>
      </c>
      <c r="E282" s="36" t="s">
        <v>48</v>
      </c>
      <c r="F282" s="36" t="s">
        <v>48</v>
      </c>
      <c r="K282" s="36" t="s">
        <v>48</v>
      </c>
      <c r="L282" s="36" t="s">
        <v>48</v>
      </c>
      <c r="M282" s="36" t="s">
        <v>48</v>
      </c>
    </row>
    <row r="283">
      <c r="C283" s="36" t="s">
        <v>48</v>
      </c>
      <c r="E283" s="36" t="s">
        <v>48</v>
      </c>
      <c r="F283" s="36" t="s">
        <v>48</v>
      </c>
      <c r="K283" s="36" t="s">
        <v>48</v>
      </c>
      <c r="L283" s="36" t="s">
        <v>48</v>
      </c>
      <c r="M283" s="36" t="s">
        <v>48</v>
      </c>
    </row>
    <row r="284">
      <c r="C284" s="36" t="s">
        <v>48</v>
      </c>
      <c r="E284" s="36" t="s">
        <v>48</v>
      </c>
      <c r="F284" s="36" t="s">
        <v>48</v>
      </c>
      <c r="K284" s="36" t="s">
        <v>48</v>
      </c>
      <c r="L284" s="36" t="s">
        <v>48</v>
      </c>
      <c r="M284" s="36" t="s">
        <v>48</v>
      </c>
    </row>
    <row r="285">
      <c r="C285" s="36" t="s">
        <v>48</v>
      </c>
      <c r="E285" s="36" t="s">
        <v>48</v>
      </c>
      <c r="F285" s="36" t="s">
        <v>48</v>
      </c>
      <c r="K285" s="36" t="s">
        <v>48</v>
      </c>
      <c r="L285" s="36" t="s">
        <v>48</v>
      </c>
      <c r="M285" s="36" t="s">
        <v>48</v>
      </c>
    </row>
    <row r="286">
      <c r="C286" s="36" t="s">
        <v>48</v>
      </c>
      <c r="E286" s="36" t="s">
        <v>48</v>
      </c>
      <c r="F286" s="36" t="s">
        <v>48</v>
      </c>
      <c r="K286" s="36" t="s">
        <v>48</v>
      </c>
      <c r="L286" s="36" t="s">
        <v>48</v>
      </c>
      <c r="M286" s="36" t="s">
        <v>48</v>
      </c>
    </row>
    <row r="287">
      <c r="C287" s="36" t="s">
        <v>48</v>
      </c>
      <c r="E287" s="36" t="s">
        <v>48</v>
      </c>
      <c r="F287" s="36" t="s">
        <v>48</v>
      </c>
      <c r="K287" s="36" t="s">
        <v>48</v>
      </c>
      <c r="L287" s="36" t="s">
        <v>48</v>
      </c>
      <c r="M287" s="36" t="s">
        <v>48</v>
      </c>
    </row>
    <row r="288">
      <c r="C288" s="36" t="s">
        <v>48</v>
      </c>
      <c r="E288" s="36" t="s">
        <v>48</v>
      </c>
      <c r="F288" s="36" t="s">
        <v>48</v>
      </c>
      <c r="K288" s="36" t="s">
        <v>48</v>
      </c>
      <c r="L288" s="36" t="s">
        <v>48</v>
      </c>
      <c r="M288" s="36" t="s">
        <v>48</v>
      </c>
    </row>
    <row r="289">
      <c r="C289" s="36" t="s">
        <v>48</v>
      </c>
      <c r="E289" s="36" t="s">
        <v>48</v>
      </c>
      <c r="F289" s="36" t="s">
        <v>48</v>
      </c>
      <c r="K289" s="36" t="s">
        <v>48</v>
      </c>
      <c r="L289" s="36" t="s">
        <v>48</v>
      </c>
      <c r="M289" s="36" t="s">
        <v>48</v>
      </c>
    </row>
    <row r="290">
      <c r="C290" s="36" t="s">
        <v>48</v>
      </c>
      <c r="E290" s="36" t="s">
        <v>48</v>
      </c>
      <c r="F290" s="36" t="s">
        <v>48</v>
      </c>
      <c r="K290" s="36" t="s">
        <v>48</v>
      </c>
      <c r="L290" s="36" t="s">
        <v>48</v>
      </c>
      <c r="M290" s="36" t="s">
        <v>48</v>
      </c>
    </row>
    <row r="291">
      <c r="C291" s="36" t="s">
        <v>48</v>
      </c>
      <c r="E291" s="36" t="s">
        <v>48</v>
      </c>
      <c r="F291" s="36" t="s">
        <v>48</v>
      </c>
      <c r="K291" s="36" t="s">
        <v>48</v>
      </c>
      <c r="L291" s="36" t="s">
        <v>48</v>
      </c>
      <c r="M291" s="36" t="s">
        <v>48</v>
      </c>
    </row>
    <row r="292">
      <c r="C292" s="36" t="s">
        <v>48</v>
      </c>
      <c r="E292" s="36" t="s">
        <v>48</v>
      </c>
      <c r="F292" s="36" t="s">
        <v>48</v>
      </c>
      <c r="K292" s="36" t="s">
        <v>48</v>
      </c>
      <c r="L292" s="36" t="s">
        <v>48</v>
      </c>
      <c r="M292" s="36" t="s">
        <v>48</v>
      </c>
    </row>
    <row r="293">
      <c r="C293" s="36" t="s">
        <v>48</v>
      </c>
      <c r="E293" s="36" t="s">
        <v>48</v>
      </c>
      <c r="F293" s="36" t="s">
        <v>48</v>
      </c>
      <c r="K293" s="36" t="s">
        <v>48</v>
      </c>
      <c r="L293" s="36" t="s">
        <v>48</v>
      </c>
      <c r="M293" s="36" t="s">
        <v>48</v>
      </c>
    </row>
    <row r="294">
      <c r="C294" s="36" t="s">
        <v>48</v>
      </c>
      <c r="E294" s="36" t="s">
        <v>48</v>
      </c>
      <c r="F294" s="36" t="s">
        <v>48</v>
      </c>
      <c r="K294" s="36" t="s">
        <v>48</v>
      </c>
      <c r="L294" s="36" t="s">
        <v>48</v>
      </c>
      <c r="M294" s="36" t="s">
        <v>48</v>
      </c>
    </row>
    <row r="295">
      <c r="C295" s="36" t="s">
        <v>48</v>
      </c>
      <c r="E295" s="36" t="s">
        <v>48</v>
      </c>
      <c r="F295" s="36" t="s">
        <v>48</v>
      </c>
      <c r="K295" s="36" t="s">
        <v>48</v>
      </c>
      <c r="L295" s="36" t="s">
        <v>48</v>
      </c>
      <c r="M295" s="36" t="s">
        <v>48</v>
      </c>
    </row>
    <row r="296">
      <c r="C296" s="36" t="s">
        <v>48</v>
      </c>
      <c r="E296" s="36" t="s">
        <v>48</v>
      </c>
      <c r="F296" s="36" t="s">
        <v>48</v>
      </c>
      <c r="K296" s="36" t="s">
        <v>48</v>
      </c>
      <c r="L296" s="36" t="s">
        <v>48</v>
      </c>
      <c r="M296" s="36" t="s">
        <v>48</v>
      </c>
    </row>
    <row r="297">
      <c r="C297" s="36" t="s">
        <v>48</v>
      </c>
      <c r="E297" s="36" t="s">
        <v>48</v>
      </c>
      <c r="F297" s="36" t="s">
        <v>48</v>
      </c>
      <c r="K297" s="36" t="s">
        <v>48</v>
      </c>
      <c r="L297" s="36" t="s">
        <v>48</v>
      </c>
      <c r="M297" s="36" t="s">
        <v>48</v>
      </c>
    </row>
    <row r="298">
      <c r="C298" s="36" t="s">
        <v>48</v>
      </c>
      <c r="E298" s="36" t="s">
        <v>48</v>
      </c>
      <c r="F298" s="36" t="s">
        <v>48</v>
      </c>
      <c r="K298" s="36" t="s">
        <v>48</v>
      </c>
      <c r="L298" s="36" t="s">
        <v>48</v>
      </c>
      <c r="M298" s="36" t="s">
        <v>48</v>
      </c>
    </row>
    <row r="299">
      <c r="C299" s="36" t="s">
        <v>48</v>
      </c>
      <c r="E299" s="36" t="s">
        <v>48</v>
      </c>
      <c r="F299" s="36" t="s">
        <v>48</v>
      </c>
      <c r="K299" s="36" t="s">
        <v>48</v>
      </c>
      <c r="L299" s="36" t="s">
        <v>48</v>
      </c>
      <c r="M299" s="36" t="s">
        <v>48</v>
      </c>
    </row>
    <row r="300">
      <c r="C300" s="36" t="s">
        <v>48</v>
      </c>
      <c r="E300" s="36" t="s">
        <v>48</v>
      </c>
      <c r="F300" s="36" t="s">
        <v>48</v>
      </c>
      <c r="K300" s="36" t="s">
        <v>48</v>
      </c>
      <c r="L300" s="36" t="s">
        <v>48</v>
      </c>
      <c r="M300" s="36" t="s">
        <v>48</v>
      </c>
    </row>
    <row r="301">
      <c r="C301" s="36" t="s">
        <v>48</v>
      </c>
      <c r="E301" s="36" t="s">
        <v>48</v>
      </c>
      <c r="F301" s="36" t="s">
        <v>48</v>
      </c>
      <c r="K301" s="36" t="s">
        <v>48</v>
      </c>
      <c r="L301" s="36" t="s">
        <v>48</v>
      </c>
      <c r="M301" s="36" t="s">
        <v>48</v>
      </c>
    </row>
    <row r="302">
      <c r="C302" s="36" t="s">
        <v>48</v>
      </c>
      <c r="E302" s="36" t="s">
        <v>48</v>
      </c>
      <c r="F302" s="36" t="s">
        <v>48</v>
      </c>
      <c r="K302" s="36" t="s">
        <v>48</v>
      </c>
      <c r="L302" s="36" t="s">
        <v>48</v>
      </c>
      <c r="M302" s="36" t="s">
        <v>48</v>
      </c>
    </row>
    <row r="303">
      <c r="C303" s="36" t="s">
        <v>48</v>
      </c>
      <c r="E303" s="36" t="s">
        <v>48</v>
      </c>
      <c r="F303" s="36" t="s">
        <v>48</v>
      </c>
      <c r="K303" s="36" t="s">
        <v>48</v>
      </c>
      <c r="L303" s="36" t="s">
        <v>48</v>
      </c>
      <c r="M303" s="36" t="s">
        <v>48</v>
      </c>
    </row>
    <row r="304">
      <c r="C304" s="36" t="s">
        <v>48</v>
      </c>
      <c r="E304" s="36" t="s">
        <v>48</v>
      </c>
      <c r="F304" s="36" t="s">
        <v>48</v>
      </c>
      <c r="K304" s="36" t="s">
        <v>48</v>
      </c>
      <c r="L304" s="36" t="s">
        <v>48</v>
      </c>
      <c r="M304" s="36" t="s">
        <v>48</v>
      </c>
    </row>
    <row r="305">
      <c r="C305" s="36" t="s">
        <v>48</v>
      </c>
      <c r="E305" s="36" t="s">
        <v>48</v>
      </c>
      <c r="F305" s="36" t="s">
        <v>48</v>
      </c>
      <c r="K305" s="36" t="s">
        <v>48</v>
      </c>
      <c r="L305" s="36" t="s">
        <v>48</v>
      </c>
      <c r="M305" s="36" t="s">
        <v>48</v>
      </c>
    </row>
    <row r="306">
      <c r="C306" s="36" t="s">
        <v>48</v>
      </c>
      <c r="E306" s="36" t="s">
        <v>48</v>
      </c>
      <c r="F306" s="36" t="s">
        <v>48</v>
      </c>
      <c r="K306" s="36" t="s">
        <v>48</v>
      </c>
      <c r="L306" s="36" t="s">
        <v>48</v>
      </c>
      <c r="M306" s="36" t="s">
        <v>48</v>
      </c>
    </row>
    <row r="307">
      <c r="C307" s="36" t="s">
        <v>48</v>
      </c>
      <c r="E307" s="36" t="s">
        <v>48</v>
      </c>
      <c r="F307" s="36" t="s">
        <v>48</v>
      </c>
      <c r="K307" s="36" t="s">
        <v>48</v>
      </c>
      <c r="L307" s="36" t="s">
        <v>48</v>
      </c>
      <c r="M307" s="36" t="s">
        <v>48</v>
      </c>
    </row>
    <row r="308">
      <c r="C308" s="36" t="s">
        <v>48</v>
      </c>
      <c r="E308" s="36" t="s">
        <v>48</v>
      </c>
      <c r="F308" s="36" t="s">
        <v>48</v>
      </c>
      <c r="K308" s="36" t="s">
        <v>48</v>
      </c>
      <c r="L308" s="36" t="s">
        <v>48</v>
      </c>
      <c r="M308" s="36" t="s">
        <v>48</v>
      </c>
    </row>
    <row r="309">
      <c r="C309" s="36" t="s">
        <v>48</v>
      </c>
      <c r="E309" s="36" t="s">
        <v>48</v>
      </c>
      <c r="F309" s="36" t="s">
        <v>48</v>
      </c>
      <c r="K309" s="36" t="s">
        <v>48</v>
      </c>
      <c r="L309" s="36" t="s">
        <v>48</v>
      </c>
      <c r="M309" s="36" t="s">
        <v>48</v>
      </c>
    </row>
    <row r="310">
      <c r="C310" s="36" t="s">
        <v>48</v>
      </c>
      <c r="E310" s="36" t="s">
        <v>48</v>
      </c>
      <c r="F310" s="36" t="s">
        <v>48</v>
      </c>
      <c r="K310" s="36" t="s">
        <v>48</v>
      </c>
      <c r="L310" s="36" t="s">
        <v>48</v>
      </c>
      <c r="M310" s="36" t="s">
        <v>48</v>
      </c>
    </row>
    <row r="311">
      <c r="C311" s="36" t="s">
        <v>48</v>
      </c>
      <c r="E311" s="36" t="s">
        <v>48</v>
      </c>
      <c r="F311" s="36" t="s">
        <v>48</v>
      </c>
      <c r="K311" s="36" t="s">
        <v>48</v>
      </c>
      <c r="L311" s="36" t="s">
        <v>48</v>
      </c>
      <c r="M311" s="36" t="s">
        <v>48</v>
      </c>
    </row>
    <row r="312">
      <c r="C312" s="36" t="s">
        <v>48</v>
      </c>
      <c r="E312" s="36" t="s">
        <v>48</v>
      </c>
      <c r="F312" s="36" t="s">
        <v>48</v>
      </c>
      <c r="K312" s="36" t="s">
        <v>48</v>
      </c>
      <c r="L312" s="36" t="s">
        <v>48</v>
      </c>
      <c r="M312" s="36" t="s">
        <v>48</v>
      </c>
    </row>
    <row r="313">
      <c r="C313" s="36" t="s">
        <v>48</v>
      </c>
      <c r="E313" s="36" t="s">
        <v>48</v>
      </c>
      <c r="F313" s="36" t="s">
        <v>48</v>
      </c>
      <c r="K313" s="36" t="s">
        <v>48</v>
      </c>
      <c r="L313" s="36" t="s">
        <v>48</v>
      </c>
      <c r="M313" s="36" t="s">
        <v>48</v>
      </c>
    </row>
    <row r="314">
      <c r="C314" s="36" t="s">
        <v>48</v>
      </c>
      <c r="E314" s="36" t="s">
        <v>48</v>
      </c>
      <c r="F314" s="36" t="s">
        <v>48</v>
      </c>
      <c r="K314" s="36" t="s">
        <v>48</v>
      </c>
      <c r="L314" s="36" t="s">
        <v>48</v>
      </c>
      <c r="M314" s="36" t="s">
        <v>48</v>
      </c>
    </row>
    <row r="315">
      <c r="C315" s="36" t="s">
        <v>48</v>
      </c>
      <c r="E315" s="36" t="s">
        <v>48</v>
      </c>
      <c r="F315" s="36" t="s">
        <v>48</v>
      </c>
      <c r="K315" s="36" t="s">
        <v>48</v>
      </c>
      <c r="L315" s="36" t="s">
        <v>48</v>
      </c>
      <c r="M315" s="36" t="s">
        <v>48</v>
      </c>
    </row>
    <row r="316">
      <c r="C316" s="36" t="s">
        <v>48</v>
      </c>
      <c r="E316" s="36" t="s">
        <v>48</v>
      </c>
      <c r="F316" s="36" t="s">
        <v>48</v>
      </c>
      <c r="K316" s="36" t="s">
        <v>48</v>
      </c>
      <c r="L316" s="36" t="s">
        <v>48</v>
      </c>
      <c r="M316" s="36" t="s">
        <v>48</v>
      </c>
    </row>
    <row r="317">
      <c r="C317" s="36" t="s">
        <v>48</v>
      </c>
      <c r="E317" s="36" t="s">
        <v>48</v>
      </c>
      <c r="F317" s="36" t="s">
        <v>48</v>
      </c>
      <c r="K317" s="36" t="s">
        <v>48</v>
      </c>
      <c r="L317" s="36" t="s">
        <v>48</v>
      </c>
      <c r="M317" s="36" t="s">
        <v>48</v>
      </c>
    </row>
    <row r="318">
      <c r="C318" s="36" t="s">
        <v>48</v>
      </c>
      <c r="E318" s="36" t="s">
        <v>48</v>
      </c>
      <c r="F318" s="36" t="s">
        <v>48</v>
      </c>
      <c r="K318" s="36" t="s">
        <v>48</v>
      </c>
      <c r="L318" s="36" t="s">
        <v>48</v>
      </c>
      <c r="M318" s="36" t="s">
        <v>48</v>
      </c>
    </row>
    <row r="319">
      <c r="C319" s="36" t="s">
        <v>48</v>
      </c>
      <c r="E319" s="36" t="s">
        <v>48</v>
      </c>
      <c r="F319" s="36" t="s">
        <v>48</v>
      </c>
      <c r="K319" s="36" t="s">
        <v>48</v>
      </c>
      <c r="L319" s="36" t="s">
        <v>48</v>
      </c>
      <c r="M319" s="36" t="s">
        <v>48</v>
      </c>
    </row>
    <row r="320">
      <c r="C320" s="36" t="s">
        <v>48</v>
      </c>
      <c r="E320" s="36" t="s">
        <v>48</v>
      </c>
      <c r="F320" s="36" t="s">
        <v>48</v>
      </c>
      <c r="K320" s="36" t="s">
        <v>48</v>
      </c>
      <c r="L320" s="36" t="s">
        <v>48</v>
      </c>
      <c r="M320" s="36" t="s">
        <v>48</v>
      </c>
    </row>
    <row r="321">
      <c r="C321" s="36" t="s">
        <v>48</v>
      </c>
      <c r="E321" s="36" t="s">
        <v>48</v>
      </c>
      <c r="F321" s="36" t="s">
        <v>48</v>
      </c>
      <c r="K321" s="36" t="s">
        <v>48</v>
      </c>
      <c r="L321" s="36" t="s">
        <v>48</v>
      </c>
      <c r="M321" s="36" t="s">
        <v>48</v>
      </c>
    </row>
    <row r="322">
      <c r="C322" s="36" t="s">
        <v>48</v>
      </c>
      <c r="E322" s="36" t="s">
        <v>48</v>
      </c>
      <c r="F322" s="36" t="s">
        <v>48</v>
      </c>
      <c r="K322" s="36" t="s">
        <v>48</v>
      </c>
      <c r="L322" s="36" t="s">
        <v>48</v>
      </c>
      <c r="M322" s="36" t="s">
        <v>48</v>
      </c>
    </row>
    <row r="323">
      <c r="C323" s="36" t="s">
        <v>48</v>
      </c>
      <c r="E323" s="36" t="s">
        <v>48</v>
      </c>
      <c r="F323" s="36" t="s">
        <v>48</v>
      </c>
      <c r="K323" s="36" t="s">
        <v>48</v>
      </c>
      <c r="L323" s="36" t="s">
        <v>48</v>
      </c>
      <c r="M323" s="36" t="s">
        <v>48</v>
      </c>
    </row>
    <row r="324">
      <c r="C324" s="36" t="s">
        <v>48</v>
      </c>
      <c r="E324" s="36" t="s">
        <v>48</v>
      </c>
      <c r="F324" s="36" t="s">
        <v>48</v>
      </c>
      <c r="K324" s="36" t="s">
        <v>48</v>
      </c>
      <c r="L324" s="36" t="s">
        <v>48</v>
      </c>
      <c r="M324" s="36" t="s">
        <v>48</v>
      </c>
    </row>
    <row r="325">
      <c r="C325" s="36" t="s">
        <v>48</v>
      </c>
      <c r="E325" s="36" t="s">
        <v>48</v>
      </c>
      <c r="F325" s="36" t="s">
        <v>48</v>
      </c>
      <c r="K325" s="36" t="s">
        <v>48</v>
      </c>
      <c r="L325" s="36" t="s">
        <v>48</v>
      </c>
      <c r="M325" s="36" t="s">
        <v>48</v>
      </c>
    </row>
    <row r="326">
      <c r="C326" s="36" t="s">
        <v>48</v>
      </c>
      <c r="E326" s="36" t="s">
        <v>48</v>
      </c>
      <c r="F326" s="36" t="s">
        <v>48</v>
      </c>
      <c r="K326" s="36" t="s">
        <v>48</v>
      </c>
      <c r="L326" s="36" t="s">
        <v>48</v>
      </c>
      <c r="M326" s="36" t="s">
        <v>48</v>
      </c>
    </row>
    <row r="327">
      <c r="C327" s="36" t="s">
        <v>48</v>
      </c>
      <c r="E327" s="36" t="s">
        <v>48</v>
      </c>
      <c r="F327" s="36" t="s">
        <v>48</v>
      </c>
      <c r="K327" s="36" t="s">
        <v>48</v>
      </c>
      <c r="L327" s="36" t="s">
        <v>48</v>
      </c>
      <c r="M327" s="36" t="s">
        <v>48</v>
      </c>
    </row>
    <row r="328">
      <c r="C328" s="36" t="s">
        <v>48</v>
      </c>
      <c r="E328" s="36" t="s">
        <v>48</v>
      </c>
      <c r="F328" s="36" t="s">
        <v>48</v>
      </c>
      <c r="K328" s="36" t="s">
        <v>48</v>
      </c>
      <c r="L328" s="36" t="s">
        <v>48</v>
      </c>
      <c r="M328" s="36" t="s">
        <v>48</v>
      </c>
    </row>
    <row r="329">
      <c r="C329" s="36" t="s">
        <v>48</v>
      </c>
      <c r="E329" s="36" t="s">
        <v>48</v>
      </c>
      <c r="F329" s="36" t="s">
        <v>48</v>
      </c>
      <c r="K329" s="36" t="s">
        <v>48</v>
      </c>
      <c r="L329" s="36" t="s">
        <v>48</v>
      </c>
      <c r="M329" s="36" t="s">
        <v>48</v>
      </c>
    </row>
    <row r="330">
      <c r="C330" s="36" t="s">
        <v>48</v>
      </c>
      <c r="E330" s="36" t="s">
        <v>48</v>
      </c>
      <c r="F330" s="36" t="s">
        <v>48</v>
      </c>
      <c r="K330" s="36" t="s">
        <v>48</v>
      </c>
      <c r="L330" s="36" t="s">
        <v>48</v>
      </c>
      <c r="M330" s="36" t="s">
        <v>48</v>
      </c>
    </row>
    <row r="331">
      <c r="C331" s="36" t="s">
        <v>48</v>
      </c>
      <c r="E331" s="36" t="s">
        <v>48</v>
      </c>
      <c r="F331" s="36" t="s">
        <v>48</v>
      </c>
      <c r="K331" s="36" t="s">
        <v>48</v>
      </c>
      <c r="L331" s="36" t="s">
        <v>48</v>
      </c>
      <c r="M331" s="36" t="s">
        <v>48</v>
      </c>
    </row>
    <row r="332">
      <c r="C332" s="36" t="s">
        <v>48</v>
      </c>
      <c r="E332" s="36" t="s">
        <v>48</v>
      </c>
      <c r="F332" s="36" t="s">
        <v>48</v>
      </c>
      <c r="K332" s="36" t="s">
        <v>48</v>
      </c>
      <c r="L332" s="36" t="s">
        <v>48</v>
      </c>
      <c r="M332" s="36" t="s">
        <v>48</v>
      </c>
    </row>
    <row r="333">
      <c r="C333" s="36" t="s">
        <v>48</v>
      </c>
      <c r="E333" s="36" t="s">
        <v>48</v>
      </c>
      <c r="F333" s="36" t="s">
        <v>48</v>
      </c>
      <c r="K333" s="36" t="s">
        <v>48</v>
      </c>
      <c r="L333" s="36" t="s">
        <v>48</v>
      </c>
      <c r="M333" s="36" t="s">
        <v>48</v>
      </c>
    </row>
    <row r="334">
      <c r="C334" s="36" t="s">
        <v>48</v>
      </c>
      <c r="E334" s="36" t="s">
        <v>48</v>
      </c>
      <c r="F334" s="36" t="s">
        <v>48</v>
      </c>
      <c r="K334" s="36" t="s">
        <v>48</v>
      </c>
      <c r="L334" s="36" t="s">
        <v>48</v>
      </c>
      <c r="M334" s="36" t="s">
        <v>48</v>
      </c>
    </row>
    <row r="335">
      <c r="C335" s="36" t="s">
        <v>48</v>
      </c>
      <c r="E335" s="36" t="s">
        <v>48</v>
      </c>
      <c r="F335" s="36" t="s">
        <v>48</v>
      </c>
      <c r="K335" s="36" t="s">
        <v>48</v>
      </c>
      <c r="L335" s="36" t="s">
        <v>48</v>
      </c>
      <c r="M335" s="36" t="s">
        <v>48</v>
      </c>
    </row>
    <row r="336">
      <c r="C336" s="36" t="s">
        <v>48</v>
      </c>
      <c r="E336" s="36" t="s">
        <v>48</v>
      </c>
      <c r="F336" s="36" t="s">
        <v>48</v>
      </c>
      <c r="K336" s="36" t="s">
        <v>48</v>
      </c>
      <c r="L336" s="36" t="s">
        <v>48</v>
      </c>
      <c r="M336" s="36" t="s">
        <v>48</v>
      </c>
    </row>
    <row r="337">
      <c r="C337" s="36" t="s">
        <v>48</v>
      </c>
      <c r="E337" s="36" t="s">
        <v>48</v>
      </c>
      <c r="F337" s="36" t="s">
        <v>48</v>
      </c>
      <c r="K337" s="36" t="s">
        <v>48</v>
      </c>
      <c r="L337" s="36" t="s">
        <v>48</v>
      </c>
      <c r="M337" s="36" t="s">
        <v>48</v>
      </c>
    </row>
    <row r="338">
      <c r="C338" s="36" t="s">
        <v>48</v>
      </c>
      <c r="E338" s="36" t="s">
        <v>48</v>
      </c>
      <c r="F338" s="36" t="s">
        <v>48</v>
      </c>
      <c r="K338" s="36" t="s">
        <v>48</v>
      </c>
      <c r="L338" s="36" t="s">
        <v>48</v>
      </c>
      <c r="M338" s="36" t="s">
        <v>48</v>
      </c>
    </row>
    <row r="339">
      <c r="C339" s="36" t="s">
        <v>48</v>
      </c>
      <c r="E339" s="36" t="s">
        <v>48</v>
      </c>
      <c r="F339" s="36" t="s">
        <v>48</v>
      </c>
      <c r="K339" s="36" t="s">
        <v>48</v>
      </c>
      <c r="L339" s="36" t="s">
        <v>48</v>
      </c>
      <c r="M339" s="36" t="s">
        <v>48</v>
      </c>
    </row>
    <row r="340">
      <c r="C340" s="36" t="s">
        <v>48</v>
      </c>
      <c r="E340" s="36" t="s">
        <v>48</v>
      </c>
      <c r="F340" s="36" t="s">
        <v>48</v>
      </c>
      <c r="K340" s="36" t="s">
        <v>48</v>
      </c>
      <c r="L340" s="36" t="s">
        <v>48</v>
      </c>
      <c r="M340" s="36" t="s">
        <v>48</v>
      </c>
    </row>
    <row r="341">
      <c r="C341" s="36" t="s">
        <v>48</v>
      </c>
      <c r="E341" s="36" t="s">
        <v>48</v>
      </c>
      <c r="F341" s="36" t="s">
        <v>48</v>
      </c>
      <c r="K341" s="36" t="s">
        <v>48</v>
      </c>
      <c r="L341" s="36" t="s">
        <v>48</v>
      </c>
      <c r="M341" s="36" t="s">
        <v>48</v>
      </c>
    </row>
    <row r="342">
      <c r="C342" s="36" t="s">
        <v>48</v>
      </c>
      <c r="E342" s="36" t="s">
        <v>48</v>
      </c>
      <c r="F342" s="36" t="s">
        <v>48</v>
      </c>
      <c r="K342" s="36" t="s">
        <v>48</v>
      </c>
      <c r="L342" s="36" t="s">
        <v>48</v>
      </c>
      <c r="M342" s="36" t="s">
        <v>48</v>
      </c>
    </row>
    <row r="343">
      <c r="C343" s="36" t="s">
        <v>48</v>
      </c>
      <c r="E343" s="36" t="s">
        <v>48</v>
      </c>
      <c r="F343" s="36" t="s">
        <v>48</v>
      </c>
      <c r="K343" s="36" t="s">
        <v>48</v>
      </c>
      <c r="L343" s="36" t="s">
        <v>48</v>
      </c>
      <c r="M343" s="36" t="s">
        <v>48</v>
      </c>
    </row>
    <row r="344">
      <c r="C344" s="36" t="s">
        <v>48</v>
      </c>
      <c r="E344" s="36" t="s">
        <v>48</v>
      </c>
      <c r="F344" s="36" t="s">
        <v>48</v>
      </c>
      <c r="K344" s="36" t="s">
        <v>48</v>
      </c>
      <c r="L344" s="36" t="s">
        <v>48</v>
      </c>
      <c r="M344" s="36" t="s">
        <v>48</v>
      </c>
    </row>
    <row r="345">
      <c r="C345" s="36" t="s">
        <v>48</v>
      </c>
      <c r="E345" s="36" t="s">
        <v>48</v>
      </c>
      <c r="F345" s="36" t="s">
        <v>48</v>
      </c>
      <c r="K345" s="36" t="s">
        <v>48</v>
      </c>
      <c r="L345" s="36" t="s">
        <v>48</v>
      </c>
      <c r="M345" s="36" t="s">
        <v>48</v>
      </c>
    </row>
    <row r="346">
      <c r="C346" s="36" t="s">
        <v>48</v>
      </c>
      <c r="E346" s="36" t="s">
        <v>48</v>
      </c>
      <c r="F346" s="36" t="s">
        <v>48</v>
      </c>
      <c r="K346" s="36" t="s">
        <v>48</v>
      </c>
      <c r="L346" s="36" t="s">
        <v>48</v>
      </c>
      <c r="M346" s="36" t="s">
        <v>48</v>
      </c>
    </row>
    <row r="347">
      <c r="C347" s="36" t="s">
        <v>48</v>
      </c>
      <c r="E347" s="36" t="s">
        <v>48</v>
      </c>
      <c r="F347" s="36" t="s">
        <v>48</v>
      </c>
      <c r="K347" s="36" t="s">
        <v>48</v>
      </c>
      <c r="L347" s="36" t="s">
        <v>48</v>
      </c>
      <c r="M347" s="36" t="s">
        <v>48</v>
      </c>
    </row>
    <row r="348">
      <c r="C348" s="36" t="s">
        <v>48</v>
      </c>
      <c r="E348" s="36" t="s">
        <v>48</v>
      </c>
      <c r="F348" s="36" t="s">
        <v>48</v>
      </c>
      <c r="K348" s="36" t="s">
        <v>48</v>
      </c>
      <c r="L348" s="36" t="s">
        <v>48</v>
      </c>
      <c r="M348" s="36" t="s">
        <v>48</v>
      </c>
    </row>
    <row r="349">
      <c r="C349" s="36" t="s">
        <v>48</v>
      </c>
      <c r="E349" s="36" t="s">
        <v>48</v>
      </c>
      <c r="F349" s="36" t="s">
        <v>48</v>
      </c>
      <c r="K349" s="36" t="s">
        <v>48</v>
      </c>
      <c r="L349" s="36" t="s">
        <v>48</v>
      </c>
      <c r="M349" s="36" t="s">
        <v>48</v>
      </c>
    </row>
    <row r="350">
      <c r="C350" s="36" t="s">
        <v>48</v>
      </c>
      <c r="E350" s="36" t="s">
        <v>48</v>
      </c>
      <c r="F350" s="36" t="s">
        <v>48</v>
      </c>
      <c r="K350" s="36" t="s">
        <v>48</v>
      </c>
      <c r="L350" s="36" t="s">
        <v>48</v>
      </c>
      <c r="M350" s="36" t="s">
        <v>48</v>
      </c>
    </row>
    <row r="351">
      <c r="C351" s="36" t="s">
        <v>48</v>
      </c>
      <c r="E351" s="36" t="s">
        <v>48</v>
      </c>
      <c r="F351" s="36" t="s">
        <v>48</v>
      </c>
      <c r="K351" s="36" t="s">
        <v>48</v>
      </c>
      <c r="L351" s="36" t="s">
        <v>48</v>
      </c>
      <c r="M351" s="36" t="s">
        <v>48</v>
      </c>
    </row>
    <row r="352">
      <c r="C352" s="36" t="s">
        <v>48</v>
      </c>
      <c r="E352" s="36" t="s">
        <v>48</v>
      </c>
      <c r="F352" s="36" t="s">
        <v>48</v>
      </c>
      <c r="K352" s="36" t="s">
        <v>48</v>
      </c>
      <c r="L352" s="36" t="s">
        <v>48</v>
      </c>
      <c r="M352" s="36" t="s">
        <v>48</v>
      </c>
    </row>
    <row r="353">
      <c r="C353" s="36" t="s">
        <v>48</v>
      </c>
      <c r="E353" s="36" t="s">
        <v>48</v>
      </c>
      <c r="F353" s="36" t="s">
        <v>48</v>
      </c>
      <c r="K353" s="36" t="s">
        <v>48</v>
      </c>
      <c r="L353" s="36" t="s">
        <v>48</v>
      </c>
      <c r="M353" s="36" t="s">
        <v>48</v>
      </c>
    </row>
    <row r="354">
      <c r="C354" s="36" t="s">
        <v>48</v>
      </c>
      <c r="E354" s="36" t="s">
        <v>48</v>
      </c>
      <c r="F354" s="36" t="s">
        <v>48</v>
      </c>
      <c r="K354" s="36" t="s">
        <v>48</v>
      </c>
      <c r="L354" s="36" t="s">
        <v>48</v>
      </c>
      <c r="M354" s="36" t="s">
        <v>48</v>
      </c>
    </row>
    <row r="355">
      <c r="C355" s="36" t="s">
        <v>48</v>
      </c>
      <c r="E355" s="36" t="s">
        <v>48</v>
      </c>
      <c r="F355" s="36" t="s">
        <v>48</v>
      </c>
      <c r="K355" s="36" t="s">
        <v>48</v>
      </c>
      <c r="L355" s="36" t="s">
        <v>48</v>
      </c>
      <c r="M355" s="36" t="s">
        <v>48</v>
      </c>
    </row>
    <row r="356">
      <c r="C356" s="36" t="s">
        <v>48</v>
      </c>
      <c r="E356" s="36" t="s">
        <v>48</v>
      </c>
      <c r="F356" s="36" t="s">
        <v>48</v>
      </c>
      <c r="K356" s="36" t="s">
        <v>48</v>
      </c>
      <c r="L356" s="36" t="s">
        <v>48</v>
      </c>
      <c r="M356" s="36" t="s">
        <v>48</v>
      </c>
    </row>
    <row r="357">
      <c r="C357" s="36" t="s">
        <v>48</v>
      </c>
      <c r="E357" s="36" t="s">
        <v>48</v>
      </c>
      <c r="F357" s="36" t="s">
        <v>48</v>
      </c>
      <c r="K357" s="36" t="s">
        <v>48</v>
      </c>
      <c r="L357" s="36" t="s">
        <v>48</v>
      </c>
      <c r="M357" s="36" t="s">
        <v>48</v>
      </c>
    </row>
    <row r="358">
      <c r="C358" s="36" t="s">
        <v>48</v>
      </c>
      <c r="E358" s="36" t="s">
        <v>48</v>
      </c>
      <c r="F358" s="36" t="s">
        <v>48</v>
      </c>
      <c r="K358" s="36" t="s">
        <v>48</v>
      </c>
      <c r="L358" s="36" t="s">
        <v>48</v>
      </c>
      <c r="M358" s="36" t="s">
        <v>48</v>
      </c>
    </row>
    <row r="359">
      <c r="C359" s="36" t="s">
        <v>48</v>
      </c>
      <c r="E359" s="36" t="s">
        <v>48</v>
      </c>
      <c r="F359" s="36" t="s">
        <v>48</v>
      </c>
      <c r="K359" s="36" t="s">
        <v>48</v>
      </c>
      <c r="L359" s="36" t="s">
        <v>48</v>
      </c>
      <c r="M359" s="36" t="s">
        <v>48</v>
      </c>
    </row>
    <row r="360">
      <c r="C360" s="36" t="s">
        <v>48</v>
      </c>
      <c r="E360" s="36" t="s">
        <v>48</v>
      </c>
      <c r="F360" s="36" t="s">
        <v>48</v>
      </c>
      <c r="K360" s="36" t="s">
        <v>48</v>
      </c>
      <c r="L360" s="36" t="s">
        <v>48</v>
      </c>
      <c r="M360" s="36" t="s">
        <v>48</v>
      </c>
    </row>
    <row r="361">
      <c r="C361" s="36" t="s">
        <v>48</v>
      </c>
      <c r="E361" s="36" t="s">
        <v>48</v>
      </c>
      <c r="F361" s="36" t="s">
        <v>48</v>
      </c>
      <c r="K361" s="36" t="s">
        <v>48</v>
      </c>
      <c r="L361" s="36" t="s">
        <v>48</v>
      </c>
      <c r="M361" s="36" t="s">
        <v>48</v>
      </c>
    </row>
    <row r="362">
      <c r="C362" s="36" t="s">
        <v>48</v>
      </c>
      <c r="E362" s="36" t="s">
        <v>48</v>
      </c>
      <c r="F362" s="36" t="s">
        <v>48</v>
      </c>
      <c r="K362" s="36" t="s">
        <v>48</v>
      </c>
      <c r="L362" s="36" t="s">
        <v>48</v>
      </c>
      <c r="M362" s="36" t="s">
        <v>48</v>
      </c>
    </row>
    <row r="363">
      <c r="C363" s="36" t="s">
        <v>48</v>
      </c>
      <c r="E363" s="36" t="s">
        <v>48</v>
      </c>
      <c r="F363" s="36" t="s">
        <v>48</v>
      </c>
      <c r="K363" s="36" t="s">
        <v>48</v>
      </c>
      <c r="L363" s="36" t="s">
        <v>48</v>
      </c>
      <c r="M363" s="36" t="s">
        <v>48</v>
      </c>
    </row>
    <row r="364">
      <c r="C364" s="36" t="s">
        <v>48</v>
      </c>
      <c r="E364" s="36" t="s">
        <v>48</v>
      </c>
      <c r="F364" s="36" t="s">
        <v>48</v>
      </c>
      <c r="K364" s="36" t="s">
        <v>48</v>
      </c>
      <c r="L364" s="36" t="s">
        <v>48</v>
      </c>
      <c r="M364" s="36" t="s">
        <v>48</v>
      </c>
    </row>
    <row r="365">
      <c r="C365" s="36" t="s">
        <v>48</v>
      </c>
      <c r="E365" s="36" t="s">
        <v>48</v>
      </c>
      <c r="F365" s="36" t="s">
        <v>48</v>
      </c>
      <c r="K365" s="36" t="s">
        <v>48</v>
      </c>
      <c r="L365" s="36" t="s">
        <v>48</v>
      </c>
      <c r="M365" s="36" t="s">
        <v>48</v>
      </c>
    </row>
    <row r="366">
      <c r="C366" s="36" t="s">
        <v>48</v>
      </c>
      <c r="E366" s="36" t="s">
        <v>48</v>
      </c>
      <c r="F366" s="36" t="s">
        <v>48</v>
      </c>
      <c r="K366" s="36" t="s">
        <v>48</v>
      </c>
      <c r="L366" s="36" t="s">
        <v>48</v>
      </c>
      <c r="M366" s="36" t="s">
        <v>48</v>
      </c>
    </row>
    <row r="367">
      <c r="C367" s="36" t="s">
        <v>48</v>
      </c>
      <c r="E367" s="36" t="s">
        <v>48</v>
      </c>
      <c r="F367" s="36" t="s">
        <v>48</v>
      </c>
      <c r="K367" s="36" t="s">
        <v>48</v>
      </c>
      <c r="L367" s="36" t="s">
        <v>48</v>
      </c>
      <c r="M367" s="36" t="s">
        <v>48</v>
      </c>
    </row>
    <row r="368">
      <c r="C368" s="36" t="s">
        <v>48</v>
      </c>
      <c r="E368" s="36" t="s">
        <v>48</v>
      </c>
      <c r="F368" s="36" t="s">
        <v>48</v>
      </c>
      <c r="K368" s="36" t="s">
        <v>48</v>
      </c>
      <c r="L368" s="36" t="s">
        <v>48</v>
      </c>
      <c r="M368" s="36" t="s">
        <v>48</v>
      </c>
    </row>
    <row r="369">
      <c r="C369" s="36" t="s">
        <v>48</v>
      </c>
      <c r="E369" s="36" t="s">
        <v>48</v>
      </c>
      <c r="F369" s="36" t="s">
        <v>48</v>
      </c>
      <c r="K369" s="36" t="s">
        <v>48</v>
      </c>
      <c r="L369" s="36" t="s">
        <v>48</v>
      </c>
      <c r="M369" s="36" t="s">
        <v>48</v>
      </c>
    </row>
    <row r="370">
      <c r="C370" s="36" t="s">
        <v>48</v>
      </c>
      <c r="E370" s="36" t="s">
        <v>48</v>
      </c>
      <c r="F370" s="36" t="s">
        <v>48</v>
      </c>
      <c r="K370" s="36" t="s">
        <v>48</v>
      </c>
      <c r="L370" s="36" t="s">
        <v>48</v>
      </c>
      <c r="M370" s="36" t="s">
        <v>48</v>
      </c>
    </row>
    <row r="371">
      <c r="C371" s="36" t="s">
        <v>48</v>
      </c>
      <c r="E371" s="36" t="s">
        <v>48</v>
      </c>
      <c r="F371" s="36" t="s">
        <v>48</v>
      </c>
      <c r="K371" s="36" t="s">
        <v>48</v>
      </c>
      <c r="L371" s="36" t="s">
        <v>48</v>
      </c>
      <c r="M371" s="36" t="s">
        <v>48</v>
      </c>
    </row>
    <row r="372">
      <c r="C372" s="36" t="s">
        <v>48</v>
      </c>
      <c r="E372" s="36" t="s">
        <v>48</v>
      </c>
      <c r="F372" s="36" t="s">
        <v>48</v>
      </c>
      <c r="K372" s="36" t="s">
        <v>48</v>
      </c>
      <c r="L372" s="36" t="s">
        <v>48</v>
      </c>
      <c r="M372" s="36" t="s">
        <v>48</v>
      </c>
    </row>
    <row r="373">
      <c r="C373" s="36" t="s">
        <v>48</v>
      </c>
      <c r="E373" s="36" t="s">
        <v>48</v>
      </c>
      <c r="F373" s="36" t="s">
        <v>48</v>
      </c>
      <c r="K373" s="36" t="s">
        <v>48</v>
      </c>
      <c r="L373" s="36" t="s">
        <v>48</v>
      </c>
      <c r="M373" s="36" t="s">
        <v>48</v>
      </c>
    </row>
    <row r="374">
      <c r="C374" s="36" t="s">
        <v>48</v>
      </c>
      <c r="E374" s="36" t="s">
        <v>48</v>
      </c>
      <c r="F374" s="36" t="s">
        <v>48</v>
      </c>
      <c r="K374" s="36" t="s">
        <v>48</v>
      </c>
      <c r="L374" s="36" t="s">
        <v>48</v>
      </c>
      <c r="M374" s="36" t="s">
        <v>48</v>
      </c>
    </row>
    <row r="375">
      <c r="C375" s="36" t="s">
        <v>48</v>
      </c>
      <c r="E375" s="36" t="s">
        <v>48</v>
      </c>
      <c r="F375" s="36" t="s">
        <v>48</v>
      </c>
      <c r="K375" s="36" t="s">
        <v>48</v>
      </c>
      <c r="L375" s="36" t="s">
        <v>48</v>
      </c>
      <c r="M375" s="36" t="s">
        <v>48</v>
      </c>
    </row>
    <row r="376">
      <c r="C376" s="36" t="s">
        <v>48</v>
      </c>
      <c r="E376" s="36" t="s">
        <v>48</v>
      </c>
      <c r="F376" s="36" t="s">
        <v>48</v>
      </c>
      <c r="K376" s="36" t="s">
        <v>48</v>
      </c>
      <c r="L376" s="36" t="s">
        <v>48</v>
      </c>
      <c r="M376" s="36" t="s">
        <v>48</v>
      </c>
    </row>
    <row r="377">
      <c r="C377" s="36" t="s">
        <v>48</v>
      </c>
      <c r="E377" s="36" t="s">
        <v>48</v>
      </c>
      <c r="F377" s="36" t="s">
        <v>48</v>
      </c>
      <c r="K377" s="36" t="s">
        <v>48</v>
      </c>
      <c r="L377" s="36" t="s">
        <v>48</v>
      </c>
      <c r="M377" s="36" t="s">
        <v>48</v>
      </c>
    </row>
    <row r="378">
      <c r="C378" s="36" t="s">
        <v>48</v>
      </c>
      <c r="E378" s="36" t="s">
        <v>48</v>
      </c>
      <c r="F378" s="36" t="s">
        <v>48</v>
      </c>
      <c r="K378" s="36" t="s">
        <v>48</v>
      </c>
      <c r="L378" s="36" t="s">
        <v>48</v>
      </c>
      <c r="M378" s="36" t="s">
        <v>48</v>
      </c>
    </row>
    <row r="379">
      <c r="C379" s="36" t="s">
        <v>48</v>
      </c>
      <c r="E379" s="36" t="s">
        <v>48</v>
      </c>
      <c r="F379" s="36" t="s">
        <v>48</v>
      </c>
      <c r="K379" s="36" t="s">
        <v>48</v>
      </c>
      <c r="L379" s="36" t="s">
        <v>48</v>
      </c>
      <c r="M379" s="36" t="s">
        <v>48</v>
      </c>
    </row>
    <row r="380">
      <c r="C380" s="36" t="s">
        <v>48</v>
      </c>
      <c r="E380" s="36" t="s">
        <v>48</v>
      </c>
      <c r="F380" s="36" t="s">
        <v>48</v>
      </c>
      <c r="K380" s="36" t="s">
        <v>48</v>
      </c>
      <c r="L380" s="36" t="s">
        <v>48</v>
      </c>
      <c r="M380" s="36" t="s">
        <v>48</v>
      </c>
    </row>
    <row r="381">
      <c r="C381" s="36" t="s">
        <v>48</v>
      </c>
      <c r="E381" s="36" t="s">
        <v>48</v>
      </c>
      <c r="F381" s="36" t="s">
        <v>48</v>
      </c>
      <c r="K381" s="36" t="s">
        <v>48</v>
      </c>
      <c r="L381" s="36" t="s">
        <v>48</v>
      </c>
      <c r="M381" s="36" t="s">
        <v>48</v>
      </c>
    </row>
    <row r="382">
      <c r="C382" s="36" t="s">
        <v>48</v>
      </c>
      <c r="E382" s="36" t="s">
        <v>48</v>
      </c>
      <c r="F382" s="36" t="s">
        <v>48</v>
      </c>
      <c r="K382" s="36" t="s">
        <v>48</v>
      </c>
      <c r="L382" s="36" t="s">
        <v>48</v>
      </c>
      <c r="M382" s="36" t="s">
        <v>48</v>
      </c>
    </row>
    <row r="383">
      <c r="C383" s="36" t="s">
        <v>48</v>
      </c>
      <c r="E383" s="36" t="s">
        <v>48</v>
      </c>
      <c r="F383" s="36" t="s">
        <v>48</v>
      </c>
      <c r="K383" s="36" t="s">
        <v>48</v>
      </c>
      <c r="L383" s="36" t="s">
        <v>48</v>
      </c>
      <c r="M383" s="36" t="s">
        <v>48</v>
      </c>
    </row>
    <row r="384">
      <c r="C384" s="36" t="s">
        <v>48</v>
      </c>
      <c r="E384" s="36" t="s">
        <v>48</v>
      </c>
      <c r="F384" s="36" t="s">
        <v>48</v>
      </c>
      <c r="K384" s="36" t="s">
        <v>48</v>
      </c>
      <c r="L384" s="36" t="s">
        <v>48</v>
      </c>
      <c r="M384" s="36" t="s">
        <v>48</v>
      </c>
    </row>
    <row r="385">
      <c r="C385" s="36" t="s">
        <v>48</v>
      </c>
      <c r="E385" s="36" t="s">
        <v>48</v>
      </c>
      <c r="F385" s="36" t="s">
        <v>48</v>
      </c>
      <c r="K385" s="36" t="s">
        <v>48</v>
      </c>
      <c r="L385" s="36" t="s">
        <v>48</v>
      </c>
      <c r="M385" s="36" t="s">
        <v>48</v>
      </c>
    </row>
    <row r="386">
      <c r="C386" s="36" t="s">
        <v>48</v>
      </c>
      <c r="E386" s="36" t="s">
        <v>48</v>
      </c>
      <c r="F386" s="36" t="s">
        <v>48</v>
      </c>
      <c r="K386" s="36" t="s">
        <v>48</v>
      </c>
      <c r="L386" s="36" t="s">
        <v>48</v>
      </c>
      <c r="M386" s="36" t="s">
        <v>48</v>
      </c>
    </row>
    <row r="387">
      <c r="C387" s="36" t="s">
        <v>48</v>
      </c>
      <c r="E387" s="36" t="s">
        <v>48</v>
      </c>
      <c r="F387" s="36" t="s">
        <v>48</v>
      </c>
      <c r="K387" s="36" t="s">
        <v>48</v>
      </c>
      <c r="L387" s="36" t="s">
        <v>48</v>
      </c>
      <c r="M387" s="36" t="s">
        <v>48</v>
      </c>
    </row>
    <row r="388">
      <c r="C388" s="36" t="s">
        <v>48</v>
      </c>
      <c r="E388" s="36" t="s">
        <v>48</v>
      </c>
      <c r="F388" s="36" t="s">
        <v>48</v>
      </c>
      <c r="K388" s="36" t="s">
        <v>48</v>
      </c>
      <c r="L388" s="36" t="s">
        <v>48</v>
      </c>
      <c r="M388" s="36" t="s">
        <v>48</v>
      </c>
    </row>
    <row r="389">
      <c r="C389" s="36" t="s">
        <v>48</v>
      </c>
      <c r="E389" s="36" t="s">
        <v>48</v>
      </c>
      <c r="F389" s="36" t="s">
        <v>48</v>
      </c>
      <c r="K389" s="36" t="s">
        <v>48</v>
      </c>
      <c r="L389" s="36" t="s">
        <v>48</v>
      </c>
      <c r="M389" s="36" t="s">
        <v>48</v>
      </c>
    </row>
    <row r="390">
      <c r="C390" s="36" t="s">
        <v>48</v>
      </c>
      <c r="E390" s="36" t="s">
        <v>48</v>
      </c>
      <c r="F390" s="36" t="s">
        <v>48</v>
      </c>
      <c r="K390" s="36" t="s">
        <v>48</v>
      </c>
      <c r="L390" s="36" t="s">
        <v>48</v>
      </c>
      <c r="M390" s="36" t="s">
        <v>48</v>
      </c>
    </row>
    <row r="391">
      <c r="C391" s="36" t="s">
        <v>48</v>
      </c>
      <c r="E391" s="36" t="s">
        <v>48</v>
      </c>
      <c r="F391" s="36" t="s">
        <v>48</v>
      </c>
      <c r="K391" s="36" t="s">
        <v>48</v>
      </c>
      <c r="L391" s="36" t="s">
        <v>48</v>
      </c>
      <c r="M391" s="36" t="s">
        <v>48</v>
      </c>
    </row>
    <row r="392">
      <c r="C392" s="36" t="s">
        <v>48</v>
      </c>
      <c r="E392" s="36" t="s">
        <v>48</v>
      </c>
      <c r="F392" s="36" t="s">
        <v>48</v>
      </c>
      <c r="K392" s="36" t="s">
        <v>48</v>
      </c>
      <c r="L392" s="36" t="s">
        <v>48</v>
      </c>
      <c r="M392" s="36" t="s">
        <v>48</v>
      </c>
    </row>
    <row r="393">
      <c r="C393" s="36" t="s">
        <v>48</v>
      </c>
      <c r="E393" s="36" t="s">
        <v>48</v>
      </c>
      <c r="F393" s="36" t="s">
        <v>48</v>
      </c>
      <c r="K393" s="36" t="s">
        <v>48</v>
      </c>
      <c r="L393" s="36" t="s">
        <v>48</v>
      </c>
      <c r="M393" s="36" t="s">
        <v>48</v>
      </c>
    </row>
    <row r="394">
      <c r="C394" s="36" t="s">
        <v>48</v>
      </c>
      <c r="E394" s="36" t="s">
        <v>48</v>
      </c>
      <c r="F394" s="36" t="s">
        <v>48</v>
      </c>
      <c r="K394" s="36" t="s">
        <v>48</v>
      </c>
      <c r="L394" s="36" t="s">
        <v>48</v>
      </c>
      <c r="M394" s="36" t="s">
        <v>48</v>
      </c>
    </row>
    <row r="395">
      <c r="C395" s="36" t="s">
        <v>48</v>
      </c>
      <c r="E395" s="36" t="s">
        <v>48</v>
      </c>
      <c r="F395" s="36" t="s">
        <v>48</v>
      </c>
      <c r="K395" s="36" t="s">
        <v>48</v>
      </c>
      <c r="L395" s="36" t="s">
        <v>48</v>
      </c>
      <c r="M395" s="36" t="s">
        <v>48</v>
      </c>
    </row>
    <row r="396">
      <c r="C396" s="36" t="s">
        <v>48</v>
      </c>
      <c r="E396" s="36" t="s">
        <v>48</v>
      </c>
      <c r="F396" s="36" t="s">
        <v>48</v>
      </c>
      <c r="K396" s="36" t="s">
        <v>48</v>
      </c>
      <c r="L396" s="36" t="s">
        <v>48</v>
      </c>
      <c r="M396" s="36" t="s">
        <v>48</v>
      </c>
    </row>
    <row r="397">
      <c r="C397" s="36" t="s">
        <v>48</v>
      </c>
      <c r="E397" s="36" t="s">
        <v>48</v>
      </c>
      <c r="F397" s="36" t="s">
        <v>48</v>
      </c>
      <c r="K397" s="36" t="s">
        <v>48</v>
      </c>
      <c r="L397" s="36" t="s">
        <v>48</v>
      </c>
      <c r="M397" s="36" t="s">
        <v>48</v>
      </c>
    </row>
    <row r="398">
      <c r="C398" s="36" t="s">
        <v>48</v>
      </c>
      <c r="E398" s="36" t="s">
        <v>48</v>
      </c>
      <c r="F398" s="36" t="s">
        <v>48</v>
      </c>
      <c r="K398" s="36" t="s">
        <v>48</v>
      </c>
      <c r="L398" s="36" t="s">
        <v>48</v>
      </c>
      <c r="M398" s="36" t="s">
        <v>48</v>
      </c>
    </row>
    <row r="399">
      <c r="C399" s="36" t="s">
        <v>48</v>
      </c>
      <c r="E399" s="36" t="s">
        <v>48</v>
      </c>
      <c r="F399" s="36" t="s">
        <v>48</v>
      </c>
      <c r="K399" s="36" t="s">
        <v>48</v>
      </c>
      <c r="L399" s="36" t="s">
        <v>48</v>
      </c>
      <c r="M399" s="36" t="s">
        <v>48</v>
      </c>
    </row>
    <row r="400">
      <c r="C400" s="36" t="s">
        <v>48</v>
      </c>
      <c r="E400" s="36" t="s">
        <v>48</v>
      </c>
      <c r="F400" s="36" t="s">
        <v>48</v>
      </c>
      <c r="K400" s="36" t="s">
        <v>48</v>
      </c>
      <c r="L400" s="36" t="s">
        <v>48</v>
      </c>
      <c r="M400" s="36" t="s">
        <v>48</v>
      </c>
    </row>
    <row r="401">
      <c r="C401" s="36" t="s">
        <v>48</v>
      </c>
      <c r="E401" s="36" t="s">
        <v>48</v>
      </c>
      <c r="F401" s="36" t="s">
        <v>48</v>
      </c>
      <c r="K401" s="36" t="s">
        <v>48</v>
      </c>
      <c r="L401" s="36" t="s">
        <v>48</v>
      </c>
      <c r="M401" s="36" t="s">
        <v>48</v>
      </c>
    </row>
    <row r="402">
      <c r="C402" s="36" t="s">
        <v>48</v>
      </c>
      <c r="E402" s="36" t="s">
        <v>48</v>
      </c>
      <c r="F402" s="36" t="s">
        <v>48</v>
      </c>
      <c r="K402" s="36" t="s">
        <v>48</v>
      </c>
      <c r="L402" s="36" t="s">
        <v>48</v>
      </c>
      <c r="M402" s="36" t="s">
        <v>48</v>
      </c>
    </row>
    <row r="403">
      <c r="C403" s="36" t="s">
        <v>48</v>
      </c>
      <c r="E403" s="36" t="s">
        <v>48</v>
      </c>
      <c r="F403" s="36" t="s">
        <v>48</v>
      </c>
      <c r="K403" s="36" t="s">
        <v>48</v>
      </c>
      <c r="L403" s="36" t="s">
        <v>48</v>
      </c>
      <c r="M403" s="36" t="s">
        <v>48</v>
      </c>
    </row>
    <row r="404">
      <c r="C404" s="36" t="s">
        <v>48</v>
      </c>
      <c r="E404" s="36" t="s">
        <v>48</v>
      </c>
      <c r="F404" s="36" t="s">
        <v>48</v>
      </c>
      <c r="K404" s="36" t="s">
        <v>48</v>
      </c>
      <c r="L404" s="36" t="s">
        <v>48</v>
      </c>
      <c r="M404" s="36" t="s">
        <v>48</v>
      </c>
    </row>
    <row r="405">
      <c r="C405" s="36" t="s">
        <v>48</v>
      </c>
      <c r="E405" s="36" t="s">
        <v>48</v>
      </c>
      <c r="F405" s="36" t="s">
        <v>48</v>
      </c>
      <c r="K405" s="36" t="s">
        <v>48</v>
      </c>
      <c r="L405" s="36" t="s">
        <v>48</v>
      </c>
      <c r="M405" s="36" t="s">
        <v>48</v>
      </c>
    </row>
    <row r="406">
      <c r="C406" s="36" t="s">
        <v>48</v>
      </c>
      <c r="E406" s="36" t="s">
        <v>48</v>
      </c>
      <c r="F406" s="36" t="s">
        <v>48</v>
      </c>
      <c r="K406" s="36" t="s">
        <v>48</v>
      </c>
      <c r="L406" s="36" t="s">
        <v>48</v>
      </c>
      <c r="M406" s="36" t="s">
        <v>48</v>
      </c>
    </row>
    <row r="407">
      <c r="C407" s="36" t="s">
        <v>48</v>
      </c>
      <c r="E407" s="36" t="s">
        <v>48</v>
      </c>
      <c r="F407" s="36" t="s">
        <v>48</v>
      </c>
      <c r="K407" s="36" t="s">
        <v>48</v>
      </c>
      <c r="L407" s="36" t="s">
        <v>48</v>
      </c>
      <c r="M407" s="36" t="s">
        <v>48</v>
      </c>
    </row>
    <row r="408">
      <c r="C408" s="36" t="s">
        <v>48</v>
      </c>
      <c r="E408" s="36" t="s">
        <v>48</v>
      </c>
      <c r="F408" s="36" t="s">
        <v>48</v>
      </c>
      <c r="K408" s="36" t="s">
        <v>48</v>
      </c>
      <c r="L408" s="36" t="s">
        <v>48</v>
      </c>
      <c r="M408" s="36" t="s">
        <v>48</v>
      </c>
    </row>
    <row r="409">
      <c r="C409" s="36" t="s">
        <v>48</v>
      </c>
      <c r="E409" s="36" t="s">
        <v>48</v>
      </c>
      <c r="F409" s="36" t="s">
        <v>48</v>
      </c>
      <c r="K409" s="36" t="s">
        <v>48</v>
      </c>
      <c r="L409" s="36" t="s">
        <v>48</v>
      </c>
      <c r="M409" s="36" t="s">
        <v>48</v>
      </c>
    </row>
    <row r="410">
      <c r="C410" s="36" t="s">
        <v>48</v>
      </c>
      <c r="E410" s="36" t="s">
        <v>48</v>
      </c>
      <c r="F410" s="36" t="s">
        <v>48</v>
      </c>
      <c r="K410" s="36" t="s">
        <v>48</v>
      </c>
      <c r="L410" s="36" t="s">
        <v>48</v>
      </c>
      <c r="M410" s="36" t="s">
        <v>48</v>
      </c>
    </row>
    <row r="411">
      <c r="C411" s="36" t="s">
        <v>48</v>
      </c>
      <c r="E411" s="36" t="s">
        <v>48</v>
      </c>
      <c r="F411" s="36" t="s">
        <v>48</v>
      </c>
      <c r="K411" s="36" t="s">
        <v>48</v>
      </c>
      <c r="L411" s="36" t="s">
        <v>48</v>
      </c>
      <c r="M411" s="36" t="s">
        <v>48</v>
      </c>
    </row>
    <row r="412">
      <c r="C412" s="36" t="s">
        <v>48</v>
      </c>
      <c r="E412" s="36" t="s">
        <v>48</v>
      </c>
      <c r="F412" s="36" t="s">
        <v>48</v>
      </c>
      <c r="K412" s="36" t="s">
        <v>48</v>
      </c>
      <c r="L412" s="36" t="s">
        <v>48</v>
      </c>
      <c r="M412" s="36" t="s">
        <v>48</v>
      </c>
    </row>
    <row r="413">
      <c r="C413" s="36" t="s">
        <v>48</v>
      </c>
      <c r="E413" s="36" t="s">
        <v>48</v>
      </c>
      <c r="F413" s="36" t="s">
        <v>48</v>
      </c>
      <c r="K413" s="36" t="s">
        <v>48</v>
      </c>
      <c r="L413" s="36" t="s">
        <v>48</v>
      </c>
      <c r="M413" s="36" t="s">
        <v>48</v>
      </c>
    </row>
    <row r="414">
      <c r="C414" s="36" t="s">
        <v>48</v>
      </c>
      <c r="E414" s="36" t="s">
        <v>48</v>
      </c>
      <c r="F414" s="36" t="s">
        <v>48</v>
      </c>
      <c r="K414" s="36" t="s">
        <v>48</v>
      </c>
      <c r="L414" s="36" t="s">
        <v>48</v>
      </c>
      <c r="M414" s="36" t="s">
        <v>48</v>
      </c>
    </row>
    <row r="415">
      <c r="C415" s="36" t="s">
        <v>48</v>
      </c>
      <c r="E415" s="36" t="s">
        <v>48</v>
      </c>
      <c r="F415" s="36" t="s">
        <v>48</v>
      </c>
      <c r="K415" s="36" t="s">
        <v>48</v>
      </c>
      <c r="L415" s="36" t="s">
        <v>48</v>
      </c>
      <c r="M415" s="36" t="s">
        <v>48</v>
      </c>
    </row>
    <row r="416">
      <c r="C416" s="36" t="s">
        <v>48</v>
      </c>
      <c r="E416" s="36" t="s">
        <v>48</v>
      </c>
      <c r="F416" s="36" t="s">
        <v>48</v>
      </c>
      <c r="K416" s="36" t="s">
        <v>48</v>
      </c>
      <c r="L416" s="36" t="s">
        <v>48</v>
      </c>
      <c r="M416" s="36" t="s">
        <v>48</v>
      </c>
    </row>
    <row r="417">
      <c r="C417" s="36" t="s">
        <v>48</v>
      </c>
      <c r="E417" s="36" t="s">
        <v>48</v>
      </c>
      <c r="F417" s="36" t="s">
        <v>48</v>
      </c>
      <c r="K417" s="36" t="s">
        <v>48</v>
      </c>
      <c r="L417" s="36" t="s">
        <v>48</v>
      </c>
      <c r="M417" s="36" t="s">
        <v>48</v>
      </c>
    </row>
    <row r="418">
      <c r="C418" s="36" t="s">
        <v>48</v>
      </c>
      <c r="E418" s="36" t="s">
        <v>48</v>
      </c>
      <c r="F418" s="36" t="s">
        <v>48</v>
      </c>
      <c r="K418" s="36" t="s">
        <v>48</v>
      </c>
      <c r="L418" s="36" t="s">
        <v>48</v>
      </c>
      <c r="M418" s="36" t="s">
        <v>48</v>
      </c>
    </row>
    <row r="419">
      <c r="C419" s="36" t="s">
        <v>48</v>
      </c>
      <c r="E419" s="36" t="s">
        <v>48</v>
      </c>
      <c r="F419" s="36" t="s">
        <v>48</v>
      </c>
      <c r="K419" s="36" t="s">
        <v>48</v>
      </c>
      <c r="L419" s="36" t="s">
        <v>48</v>
      </c>
      <c r="M419" s="36" t="s">
        <v>48</v>
      </c>
    </row>
    <row r="420">
      <c r="C420" s="36" t="s">
        <v>48</v>
      </c>
      <c r="E420" s="36" t="s">
        <v>48</v>
      </c>
      <c r="F420" s="36" t="s">
        <v>48</v>
      </c>
      <c r="K420" s="36" t="s">
        <v>48</v>
      </c>
      <c r="L420" s="36" t="s">
        <v>48</v>
      </c>
      <c r="M420" s="36" t="s">
        <v>48</v>
      </c>
    </row>
    <row r="421">
      <c r="C421" s="36" t="s">
        <v>48</v>
      </c>
      <c r="E421" s="36" t="s">
        <v>48</v>
      </c>
      <c r="F421" s="36" t="s">
        <v>48</v>
      </c>
      <c r="K421" s="36" t="s">
        <v>48</v>
      </c>
      <c r="L421" s="36" t="s">
        <v>48</v>
      </c>
      <c r="M421" s="36" t="s">
        <v>48</v>
      </c>
    </row>
    <row r="422">
      <c r="C422" s="36" t="s">
        <v>48</v>
      </c>
      <c r="E422" s="36" t="s">
        <v>48</v>
      </c>
      <c r="F422" s="36" t="s">
        <v>48</v>
      </c>
      <c r="K422" s="36" t="s">
        <v>48</v>
      </c>
      <c r="L422" s="36" t="s">
        <v>48</v>
      </c>
      <c r="M422" s="36" t="s">
        <v>48</v>
      </c>
    </row>
    <row r="423">
      <c r="C423" s="36" t="s">
        <v>48</v>
      </c>
      <c r="E423" s="36" t="s">
        <v>48</v>
      </c>
      <c r="F423" s="36" t="s">
        <v>48</v>
      </c>
      <c r="K423" s="36" t="s">
        <v>48</v>
      </c>
      <c r="L423" s="36" t="s">
        <v>48</v>
      </c>
      <c r="M423" s="36" t="s">
        <v>48</v>
      </c>
    </row>
    <row r="424">
      <c r="C424" s="36" t="s">
        <v>48</v>
      </c>
      <c r="E424" s="36" t="s">
        <v>48</v>
      </c>
      <c r="F424" s="36" t="s">
        <v>48</v>
      </c>
      <c r="K424" s="36" t="s">
        <v>48</v>
      </c>
      <c r="L424" s="36" t="s">
        <v>48</v>
      </c>
      <c r="M424" s="36" t="s">
        <v>48</v>
      </c>
    </row>
    <row r="425">
      <c r="C425" s="36" t="s">
        <v>48</v>
      </c>
      <c r="E425" s="36" t="s">
        <v>48</v>
      </c>
      <c r="F425" s="36" t="s">
        <v>48</v>
      </c>
      <c r="K425" s="36" t="s">
        <v>48</v>
      </c>
      <c r="L425" s="36" t="s">
        <v>48</v>
      </c>
      <c r="M425" s="36" t="s">
        <v>48</v>
      </c>
    </row>
    <row r="426">
      <c r="C426" s="36" t="s">
        <v>48</v>
      </c>
      <c r="E426" s="36" t="s">
        <v>48</v>
      </c>
      <c r="F426" s="36" t="s">
        <v>48</v>
      </c>
      <c r="K426" s="36" t="s">
        <v>48</v>
      </c>
      <c r="L426" s="36" t="s">
        <v>48</v>
      </c>
      <c r="M426" s="36" t="s">
        <v>48</v>
      </c>
    </row>
    <row r="427">
      <c r="C427" s="36" t="s">
        <v>48</v>
      </c>
      <c r="E427" s="36" t="s">
        <v>48</v>
      </c>
      <c r="F427" s="36" t="s">
        <v>48</v>
      </c>
      <c r="K427" s="36" t="s">
        <v>48</v>
      </c>
      <c r="L427" s="36" t="s">
        <v>48</v>
      </c>
      <c r="M427" s="36" t="s">
        <v>48</v>
      </c>
    </row>
    <row r="428">
      <c r="C428" s="36" t="s">
        <v>48</v>
      </c>
      <c r="E428" s="36" t="s">
        <v>48</v>
      </c>
      <c r="F428" s="36" t="s">
        <v>48</v>
      </c>
      <c r="K428" s="36" t="s">
        <v>48</v>
      </c>
      <c r="L428" s="36" t="s">
        <v>48</v>
      </c>
      <c r="M428" s="36" t="s">
        <v>48</v>
      </c>
    </row>
    <row r="429">
      <c r="C429" s="36" t="s">
        <v>48</v>
      </c>
      <c r="E429" s="36" t="s">
        <v>48</v>
      </c>
      <c r="F429" s="36" t="s">
        <v>48</v>
      </c>
      <c r="K429" s="36" t="s">
        <v>48</v>
      </c>
      <c r="L429" s="36" t="s">
        <v>48</v>
      </c>
      <c r="M429" s="36" t="s">
        <v>48</v>
      </c>
    </row>
    <row r="430">
      <c r="C430" s="36" t="s">
        <v>48</v>
      </c>
      <c r="E430" s="36" t="s">
        <v>48</v>
      </c>
      <c r="F430" s="36" t="s">
        <v>48</v>
      </c>
      <c r="K430" s="36" t="s">
        <v>48</v>
      </c>
      <c r="L430" s="36" t="s">
        <v>48</v>
      </c>
      <c r="M430" s="36" t="s">
        <v>48</v>
      </c>
    </row>
    <row r="431">
      <c r="C431" s="36" t="s">
        <v>48</v>
      </c>
      <c r="E431" s="36" t="s">
        <v>48</v>
      </c>
      <c r="F431" s="36" t="s">
        <v>48</v>
      </c>
      <c r="K431" s="36" t="s">
        <v>48</v>
      </c>
      <c r="L431" s="36" t="s">
        <v>48</v>
      </c>
      <c r="M431" s="36" t="s">
        <v>48</v>
      </c>
    </row>
    <row r="432">
      <c r="C432" s="36" t="s">
        <v>48</v>
      </c>
      <c r="E432" s="36" t="s">
        <v>48</v>
      </c>
      <c r="F432" s="36" t="s">
        <v>48</v>
      </c>
      <c r="K432" s="36" t="s">
        <v>48</v>
      </c>
      <c r="L432" s="36" t="s">
        <v>48</v>
      </c>
      <c r="M432" s="36" t="s">
        <v>48</v>
      </c>
    </row>
    <row r="433">
      <c r="C433" s="36" t="s">
        <v>48</v>
      </c>
      <c r="E433" s="36" t="s">
        <v>48</v>
      </c>
      <c r="F433" s="36" t="s">
        <v>48</v>
      </c>
      <c r="K433" s="36" t="s">
        <v>48</v>
      </c>
      <c r="L433" s="36" t="s">
        <v>48</v>
      </c>
      <c r="M433" s="36" t="s">
        <v>48</v>
      </c>
    </row>
    <row r="434">
      <c r="C434" s="36" t="s">
        <v>48</v>
      </c>
      <c r="E434" s="36" t="s">
        <v>48</v>
      </c>
      <c r="F434" s="36" t="s">
        <v>48</v>
      </c>
      <c r="K434" s="36" t="s">
        <v>48</v>
      </c>
      <c r="L434" s="36" t="s">
        <v>48</v>
      </c>
      <c r="M434" s="36" t="s">
        <v>48</v>
      </c>
    </row>
    <row r="435">
      <c r="C435" s="36" t="s">
        <v>48</v>
      </c>
      <c r="E435" s="36" t="s">
        <v>48</v>
      </c>
      <c r="F435" s="36" t="s">
        <v>48</v>
      </c>
      <c r="K435" s="36" t="s">
        <v>48</v>
      </c>
      <c r="L435" s="36" t="s">
        <v>48</v>
      </c>
      <c r="M435" s="36" t="s">
        <v>48</v>
      </c>
    </row>
    <row r="436">
      <c r="C436" s="36" t="s">
        <v>48</v>
      </c>
      <c r="E436" s="36" t="s">
        <v>48</v>
      </c>
      <c r="F436" s="36" t="s">
        <v>48</v>
      </c>
      <c r="K436" s="36" t="s">
        <v>48</v>
      </c>
      <c r="L436" s="36" t="s">
        <v>48</v>
      </c>
      <c r="M436" s="36" t="s">
        <v>48</v>
      </c>
    </row>
    <row r="437">
      <c r="C437" s="36" t="s">
        <v>48</v>
      </c>
      <c r="E437" s="36" t="s">
        <v>48</v>
      </c>
      <c r="F437" s="36" t="s">
        <v>48</v>
      </c>
      <c r="K437" s="36" t="s">
        <v>48</v>
      </c>
      <c r="L437" s="36" t="s">
        <v>48</v>
      </c>
      <c r="M437" s="36" t="s">
        <v>48</v>
      </c>
    </row>
    <row r="438">
      <c r="C438" s="36" t="s">
        <v>48</v>
      </c>
      <c r="E438" s="36" t="s">
        <v>48</v>
      </c>
      <c r="F438" s="36" t="s">
        <v>48</v>
      </c>
      <c r="K438" s="36" t="s">
        <v>48</v>
      </c>
      <c r="L438" s="36" t="s">
        <v>48</v>
      </c>
      <c r="M438" s="36" t="s">
        <v>48</v>
      </c>
    </row>
    <row r="439">
      <c r="C439" s="36" t="s">
        <v>48</v>
      </c>
      <c r="E439" s="36" t="s">
        <v>48</v>
      </c>
      <c r="F439" s="36" t="s">
        <v>48</v>
      </c>
      <c r="K439" s="36" t="s">
        <v>48</v>
      </c>
      <c r="L439" s="36" t="s">
        <v>48</v>
      </c>
      <c r="M439" s="36" t="s">
        <v>48</v>
      </c>
    </row>
    <row r="440">
      <c r="C440" s="36" t="s">
        <v>48</v>
      </c>
      <c r="E440" s="36" t="s">
        <v>48</v>
      </c>
      <c r="F440" s="36" t="s">
        <v>48</v>
      </c>
      <c r="K440" s="36" t="s">
        <v>48</v>
      </c>
      <c r="L440" s="36" t="s">
        <v>48</v>
      </c>
      <c r="M440" s="36" t="s">
        <v>48</v>
      </c>
    </row>
    <row r="441">
      <c r="C441" s="36" t="s">
        <v>48</v>
      </c>
      <c r="E441" s="36" t="s">
        <v>48</v>
      </c>
      <c r="F441" s="36" t="s">
        <v>48</v>
      </c>
      <c r="K441" s="36" t="s">
        <v>48</v>
      </c>
      <c r="L441" s="36" t="s">
        <v>48</v>
      </c>
      <c r="M441" s="36" t="s">
        <v>48</v>
      </c>
    </row>
    <row r="442">
      <c r="C442" s="36" t="s">
        <v>48</v>
      </c>
      <c r="E442" s="36" t="s">
        <v>48</v>
      </c>
      <c r="F442" s="36" t="s">
        <v>48</v>
      </c>
      <c r="K442" s="36" t="s">
        <v>48</v>
      </c>
      <c r="L442" s="36" t="s">
        <v>48</v>
      </c>
      <c r="M442" s="36" t="s">
        <v>48</v>
      </c>
    </row>
    <row r="443">
      <c r="C443" s="36" t="s">
        <v>48</v>
      </c>
      <c r="E443" s="36" t="s">
        <v>48</v>
      </c>
      <c r="F443" s="36" t="s">
        <v>48</v>
      </c>
      <c r="K443" s="36" t="s">
        <v>48</v>
      </c>
      <c r="L443" s="36" t="s">
        <v>48</v>
      </c>
      <c r="M443" s="36" t="s">
        <v>48</v>
      </c>
    </row>
    <row r="444">
      <c r="C444" s="36" t="s">
        <v>48</v>
      </c>
      <c r="E444" s="36" t="s">
        <v>48</v>
      </c>
      <c r="F444" s="36" t="s">
        <v>48</v>
      </c>
      <c r="K444" s="36" t="s">
        <v>48</v>
      </c>
      <c r="L444" s="36" t="s">
        <v>48</v>
      </c>
      <c r="M444" s="36" t="s">
        <v>48</v>
      </c>
    </row>
    <row r="445">
      <c r="C445" s="36" t="s">
        <v>48</v>
      </c>
      <c r="E445" s="36" t="s">
        <v>48</v>
      </c>
      <c r="F445" s="36" t="s">
        <v>48</v>
      </c>
      <c r="K445" s="36" t="s">
        <v>48</v>
      </c>
      <c r="L445" s="36" t="s">
        <v>48</v>
      </c>
      <c r="M445" s="36" t="s">
        <v>48</v>
      </c>
    </row>
    <row r="446">
      <c r="C446" s="36" t="s">
        <v>48</v>
      </c>
      <c r="E446" s="36" t="s">
        <v>48</v>
      </c>
      <c r="F446" s="36" t="s">
        <v>48</v>
      </c>
      <c r="K446" s="36" t="s">
        <v>48</v>
      </c>
      <c r="L446" s="36" t="s">
        <v>48</v>
      </c>
      <c r="M446" s="36" t="s">
        <v>48</v>
      </c>
    </row>
    <row r="447">
      <c r="C447" s="36" t="s">
        <v>48</v>
      </c>
      <c r="E447" s="36" t="s">
        <v>48</v>
      </c>
      <c r="F447" s="36" t="s">
        <v>48</v>
      </c>
      <c r="K447" s="36" t="s">
        <v>48</v>
      </c>
      <c r="L447" s="36" t="s">
        <v>48</v>
      </c>
      <c r="M447" s="36" t="s">
        <v>48</v>
      </c>
    </row>
    <row r="448">
      <c r="C448" s="36" t="s">
        <v>48</v>
      </c>
      <c r="E448" s="36" t="s">
        <v>48</v>
      </c>
      <c r="F448" s="36" t="s">
        <v>48</v>
      </c>
      <c r="K448" s="36" t="s">
        <v>48</v>
      </c>
      <c r="L448" s="36" t="s">
        <v>48</v>
      </c>
      <c r="M448" s="36" t="s">
        <v>48</v>
      </c>
    </row>
    <row r="449">
      <c r="C449" s="36" t="s">
        <v>48</v>
      </c>
      <c r="E449" s="36" t="s">
        <v>48</v>
      </c>
      <c r="F449" s="36" t="s">
        <v>48</v>
      </c>
      <c r="K449" s="36" t="s">
        <v>48</v>
      </c>
      <c r="L449" s="36" t="s">
        <v>48</v>
      </c>
      <c r="M449" s="36" t="s">
        <v>48</v>
      </c>
    </row>
    <row r="450">
      <c r="C450" s="36" t="s">
        <v>48</v>
      </c>
      <c r="E450" s="36" t="s">
        <v>48</v>
      </c>
      <c r="F450" s="36" t="s">
        <v>48</v>
      </c>
      <c r="K450" s="36" t="s">
        <v>48</v>
      </c>
      <c r="L450" s="36" t="s">
        <v>48</v>
      </c>
      <c r="M450" s="36" t="s">
        <v>48</v>
      </c>
    </row>
    <row r="451">
      <c r="C451" s="36" t="s">
        <v>48</v>
      </c>
      <c r="E451" s="36" t="s">
        <v>48</v>
      </c>
      <c r="F451" s="36" t="s">
        <v>48</v>
      </c>
      <c r="K451" s="36" t="s">
        <v>48</v>
      </c>
      <c r="L451" s="36" t="s">
        <v>48</v>
      </c>
      <c r="M451" s="36" t="s">
        <v>48</v>
      </c>
    </row>
    <row r="452">
      <c r="C452" s="36" t="s">
        <v>48</v>
      </c>
      <c r="E452" s="36" t="s">
        <v>48</v>
      </c>
      <c r="F452" s="36" t="s">
        <v>48</v>
      </c>
      <c r="K452" s="36" t="s">
        <v>48</v>
      </c>
      <c r="L452" s="36" t="s">
        <v>48</v>
      </c>
      <c r="M452" s="36" t="s">
        <v>48</v>
      </c>
    </row>
    <row r="453">
      <c r="C453" s="36" t="s">
        <v>48</v>
      </c>
      <c r="E453" s="36" t="s">
        <v>48</v>
      </c>
      <c r="F453" s="36" t="s">
        <v>48</v>
      </c>
      <c r="K453" s="36" t="s">
        <v>48</v>
      </c>
      <c r="L453" s="36" t="s">
        <v>48</v>
      </c>
      <c r="M453" s="36" t="s">
        <v>48</v>
      </c>
    </row>
    <row r="454">
      <c r="C454" s="36" t="s">
        <v>48</v>
      </c>
      <c r="E454" s="36" t="s">
        <v>48</v>
      </c>
      <c r="F454" s="36" t="s">
        <v>48</v>
      </c>
      <c r="K454" s="36" t="s">
        <v>48</v>
      </c>
      <c r="L454" s="36" t="s">
        <v>48</v>
      </c>
      <c r="M454" s="36" t="s">
        <v>48</v>
      </c>
    </row>
    <row r="455">
      <c r="C455" s="36" t="s">
        <v>48</v>
      </c>
      <c r="E455" s="36" t="s">
        <v>48</v>
      </c>
      <c r="F455" s="36" t="s">
        <v>48</v>
      </c>
      <c r="K455" s="36" t="s">
        <v>48</v>
      </c>
      <c r="L455" s="36" t="s">
        <v>48</v>
      </c>
      <c r="M455" s="36" t="s">
        <v>48</v>
      </c>
    </row>
    <row r="456">
      <c r="C456" s="36" t="s">
        <v>48</v>
      </c>
      <c r="E456" s="36" t="s">
        <v>48</v>
      </c>
      <c r="F456" s="36" t="s">
        <v>48</v>
      </c>
      <c r="K456" s="36" t="s">
        <v>48</v>
      </c>
      <c r="L456" s="36" t="s">
        <v>48</v>
      </c>
      <c r="M456" s="36" t="s">
        <v>48</v>
      </c>
    </row>
    <row r="457">
      <c r="C457" s="36" t="s">
        <v>48</v>
      </c>
      <c r="E457" s="36" t="s">
        <v>48</v>
      </c>
      <c r="F457" s="36" t="s">
        <v>48</v>
      </c>
      <c r="K457" s="36" t="s">
        <v>48</v>
      </c>
      <c r="L457" s="36" t="s">
        <v>48</v>
      </c>
      <c r="M457" s="36" t="s">
        <v>48</v>
      </c>
    </row>
    <row r="458">
      <c r="C458" s="36" t="s">
        <v>48</v>
      </c>
      <c r="E458" s="36" t="s">
        <v>48</v>
      </c>
      <c r="F458" s="36" t="s">
        <v>48</v>
      </c>
      <c r="K458" s="36" t="s">
        <v>48</v>
      </c>
      <c r="L458" s="36" t="s">
        <v>48</v>
      </c>
      <c r="M458" s="36" t="s">
        <v>48</v>
      </c>
    </row>
    <row r="459">
      <c r="C459" s="36" t="s">
        <v>48</v>
      </c>
      <c r="E459" s="36" t="s">
        <v>48</v>
      </c>
      <c r="F459" s="36" t="s">
        <v>48</v>
      </c>
      <c r="K459" s="36" t="s">
        <v>48</v>
      </c>
      <c r="L459" s="36" t="s">
        <v>48</v>
      </c>
      <c r="M459" s="36" t="s">
        <v>48</v>
      </c>
    </row>
    <row r="460">
      <c r="C460" s="36" t="s">
        <v>48</v>
      </c>
      <c r="E460" s="36" t="s">
        <v>48</v>
      </c>
      <c r="F460" s="36" t="s">
        <v>48</v>
      </c>
      <c r="K460" s="36" t="s">
        <v>48</v>
      </c>
      <c r="L460" s="36" t="s">
        <v>48</v>
      </c>
      <c r="M460" s="36" t="s">
        <v>48</v>
      </c>
    </row>
    <row r="461">
      <c r="C461" s="36" t="s">
        <v>48</v>
      </c>
      <c r="E461" s="36" t="s">
        <v>48</v>
      </c>
      <c r="F461" s="36" t="s">
        <v>48</v>
      </c>
      <c r="K461" s="36" t="s">
        <v>48</v>
      </c>
      <c r="L461" s="36" t="s">
        <v>48</v>
      </c>
      <c r="M461" s="36" t="s">
        <v>48</v>
      </c>
    </row>
    <row r="462">
      <c r="C462" s="36" t="s">
        <v>48</v>
      </c>
      <c r="E462" s="36" t="s">
        <v>48</v>
      </c>
      <c r="F462" s="36" t="s">
        <v>48</v>
      </c>
      <c r="K462" s="36" t="s">
        <v>48</v>
      </c>
      <c r="L462" s="36" t="s">
        <v>48</v>
      </c>
      <c r="M462" s="36" t="s">
        <v>48</v>
      </c>
    </row>
    <row r="463">
      <c r="C463" s="36" t="s">
        <v>48</v>
      </c>
      <c r="E463" s="36" t="s">
        <v>48</v>
      </c>
      <c r="F463" s="36" t="s">
        <v>48</v>
      </c>
      <c r="K463" s="36" t="s">
        <v>48</v>
      </c>
      <c r="L463" s="36" t="s">
        <v>48</v>
      </c>
      <c r="M463" s="36" t="s">
        <v>48</v>
      </c>
    </row>
    <row r="464">
      <c r="C464" s="36" t="s">
        <v>48</v>
      </c>
      <c r="E464" s="36" t="s">
        <v>48</v>
      </c>
      <c r="F464" s="36" t="s">
        <v>48</v>
      </c>
      <c r="K464" s="36" t="s">
        <v>48</v>
      </c>
      <c r="L464" s="36" t="s">
        <v>48</v>
      </c>
      <c r="M464" s="36" t="s">
        <v>48</v>
      </c>
    </row>
    <row r="465">
      <c r="C465" s="36" t="s">
        <v>48</v>
      </c>
      <c r="E465" s="36" t="s">
        <v>48</v>
      </c>
      <c r="F465" s="36" t="s">
        <v>48</v>
      </c>
      <c r="K465" s="36" t="s">
        <v>48</v>
      </c>
      <c r="L465" s="36" t="s">
        <v>48</v>
      </c>
      <c r="M465" s="36" t="s">
        <v>48</v>
      </c>
    </row>
    <row r="466">
      <c r="C466" s="36" t="s">
        <v>48</v>
      </c>
      <c r="E466" s="36" t="s">
        <v>48</v>
      </c>
      <c r="F466" s="36" t="s">
        <v>48</v>
      </c>
      <c r="K466" s="36" t="s">
        <v>48</v>
      </c>
      <c r="L466" s="36" t="s">
        <v>48</v>
      </c>
      <c r="M466" s="36" t="s">
        <v>48</v>
      </c>
    </row>
    <row r="467">
      <c r="C467" s="36" t="s">
        <v>48</v>
      </c>
      <c r="E467" s="36" t="s">
        <v>48</v>
      </c>
      <c r="F467" s="36" t="s">
        <v>48</v>
      </c>
      <c r="K467" s="36" t="s">
        <v>48</v>
      </c>
      <c r="L467" s="36" t="s">
        <v>48</v>
      </c>
      <c r="M467" s="36" t="s">
        <v>48</v>
      </c>
    </row>
    <row r="468">
      <c r="C468" s="36" t="s">
        <v>48</v>
      </c>
      <c r="E468" s="36" t="s">
        <v>48</v>
      </c>
      <c r="F468" s="36" t="s">
        <v>48</v>
      </c>
      <c r="K468" s="36" t="s">
        <v>48</v>
      </c>
      <c r="L468" s="36" t="s">
        <v>48</v>
      </c>
      <c r="M468" s="36" t="s">
        <v>48</v>
      </c>
    </row>
    <row r="469">
      <c r="C469" s="36" t="s">
        <v>48</v>
      </c>
      <c r="E469" s="36" t="s">
        <v>48</v>
      </c>
      <c r="F469" s="36" t="s">
        <v>48</v>
      </c>
      <c r="K469" s="36" t="s">
        <v>48</v>
      </c>
      <c r="L469" s="36" t="s">
        <v>48</v>
      </c>
      <c r="M469" s="36" t="s">
        <v>48</v>
      </c>
    </row>
    <row r="470">
      <c r="C470" s="36" t="s">
        <v>48</v>
      </c>
      <c r="E470" s="36" t="s">
        <v>48</v>
      </c>
      <c r="F470" s="36" t="s">
        <v>48</v>
      </c>
      <c r="K470" s="36" t="s">
        <v>48</v>
      </c>
      <c r="L470" s="36" t="s">
        <v>48</v>
      </c>
      <c r="M470" s="36" t="s">
        <v>48</v>
      </c>
    </row>
    <row r="471">
      <c r="C471" s="36" t="s">
        <v>48</v>
      </c>
      <c r="E471" s="36" t="s">
        <v>48</v>
      </c>
      <c r="F471" s="36" t="s">
        <v>48</v>
      </c>
      <c r="K471" s="36" t="s">
        <v>48</v>
      </c>
      <c r="L471" s="36" t="s">
        <v>48</v>
      </c>
      <c r="M471" s="36" t="s">
        <v>48</v>
      </c>
    </row>
    <row r="472">
      <c r="C472" s="36" t="s">
        <v>48</v>
      </c>
      <c r="E472" s="36" t="s">
        <v>48</v>
      </c>
      <c r="F472" s="36" t="s">
        <v>48</v>
      </c>
      <c r="K472" s="36" t="s">
        <v>48</v>
      </c>
      <c r="L472" s="36" t="s">
        <v>48</v>
      </c>
      <c r="M472" s="36" t="s">
        <v>48</v>
      </c>
    </row>
    <row r="473">
      <c r="C473" s="36" t="s">
        <v>48</v>
      </c>
      <c r="E473" s="36" t="s">
        <v>48</v>
      </c>
      <c r="F473" s="36" t="s">
        <v>48</v>
      </c>
      <c r="K473" s="36" t="s">
        <v>48</v>
      </c>
      <c r="L473" s="36" t="s">
        <v>48</v>
      </c>
      <c r="M473" s="36" t="s">
        <v>48</v>
      </c>
    </row>
    <row r="474">
      <c r="C474" s="36" t="s">
        <v>48</v>
      </c>
      <c r="E474" s="36" t="s">
        <v>48</v>
      </c>
      <c r="F474" s="36" t="s">
        <v>48</v>
      </c>
      <c r="K474" s="36" t="s">
        <v>48</v>
      </c>
      <c r="L474" s="36" t="s">
        <v>48</v>
      </c>
      <c r="M474" s="36" t="s">
        <v>48</v>
      </c>
    </row>
    <row r="475">
      <c r="C475" s="36" t="s">
        <v>48</v>
      </c>
      <c r="E475" s="36" t="s">
        <v>48</v>
      </c>
      <c r="F475" s="36" t="s">
        <v>48</v>
      </c>
      <c r="K475" s="36" t="s">
        <v>48</v>
      </c>
      <c r="L475" s="36" t="s">
        <v>48</v>
      </c>
      <c r="M475" s="36" t="s">
        <v>48</v>
      </c>
    </row>
    <row r="476">
      <c r="C476" s="36" t="s">
        <v>48</v>
      </c>
      <c r="E476" s="36" t="s">
        <v>48</v>
      </c>
      <c r="F476" s="36" t="s">
        <v>48</v>
      </c>
      <c r="K476" s="36" t="s">
        <v>48</v>
      </c>
      <c r="L476" s="36" t="s">
        <v>48</v>
      </c>
      <c r="M476" s="36" t="s">
        <v>48</v>
      </c>
    </row>
    <row r="477">
      <c r="C477" s="36" t="s">
        <v>48</v>
      </c>
      <c r="E477" s="36" t="s">
        <v>48</v>
      </c>
      <c r="F477" s="36" t="s">
        <v>48</v>
      </c>
      <c r="K477" s="36" t="s">
        <v>48</v>
      </c>
      <c r="L477" s="36" t="s">
        <v>48</v>
      </c>
      <c r="M477" s="36" t="s">
        <v>48</v>
      </c>
    </row>
    <row r="478">
      <c r="C478" s="36" t="s">
        <v>48</v>
      </c>
      <c r="E478" s="36" t="s">
        <v>48</v>
      </c>
      <c r="F478" s="36" t="s">
        <v>48</v>
      </c>
      <c r="K478" s="36" t="s">
        <v>48</v>
      </c>
      <c r="L478" s="36" t="s">
        <v>48</v>
      </c>
      <c r="M478" s="36" t="s">
        <v>48</v>
      </c>
    </row>
    <row r="479">
      <c r="C479" s="36" t="s">
        <v>48</v>
      </c>
      <c r="E479" s="36" t="s">
        <v>48</v>
      </c>
      <c r="F479" s="36" t="s">
        <v>48</v>
      </c>
      <c r="K479" s="36" t="s">
        <v>48</v>
      </c>
      <c r="L479" s="36" t="s">
        <v>48</v>
      </c>
      <c r="M479" s="36" t="s">
        <v>48</v>
      </c>
    </row>
    <row r="480">
      <c r="C480" s="36" t="s">
        <v>48</v>
      </c>
      <c r="E480" s="36" t="s">
        <v>48</v>
      </c>
      <c r="F480" s="36" t="s">
        <v>48</v>
      </c>
      <c r="K480" s="36" t="s">
        <v>48</v>
      </c>
      <c r="L480" s="36" t="s">
        <v>48</v>
      </c>
      <c r="M480" s="36" t="s">
        <v>48</v>
      </c>
    </row>
    <row r="481">
      <c r="C481" s="36" t="s">
        <v>48</v>
      </c>
      <c r="E481" s="36" t="s">
        <v>48</v>
      </c>
      <c r="F481" s="36" t="s">
        <v>48</v>
      </c>
      <c r="K481" s="36" t="s">
        <v>48</v>
      </c>
      <c r="L481" s="36" t="s">
        <v>48</v>
      </c>
      <c r="M481" s="36" t="s">
        <v>48</v>
      </c>
    </row>
    <row r="482">
      <c r="C482" s="36" t="s">
        <v>48</v>
      </c>
      <c r="E482" s="36" t="s">
        <v>48</v>
      </c>
      <c r="F482" s="36" t="s">
        <v>48</v>
      </c>
      <c r="K482" s="36" t="s">
        <v>48</v>
      </c>
      <c r="L482" s="36" t="s">
        <v>48</v>
      </c>
      <c r="M482" s="36" t="s">
        <v>48</v>
      </c>
    </row>
    <row r="483">
      <c r="C483" s="36" t="s">
        <v>48</v>
      </c>
      <c r="E483" s="36" t="s">
        <v>48</v>
      </c>
      <c r="F483" s="36" t="s">
        <v>48</v>
      </c>
      <c r="K483" s="36" t="s">
        <v>48</v>
      </c>
      <c r="L483" s="36" t="s">
        <v>48</v>
      </c>
      <c r="M483" s="36" t="s">
        <v>48</v>
      </c>
    </row>
    <row r="484">
      <c r="C484" s="36" t="s">
        <v>48</v>
      </c>
      <c r="E484" s="36" t="s">
        <v>48</v>
      </c>
      <c r="F484" s="36" t="s">
        <v>48</v>
      </c>
      <c r="K484" s="36" t="s">
        <v>48</v>
      </c>
      <c r="L484" s="36" t="s">
        <v>48</v>
      </c>
      <c r="M484" s="36" t="s">
        <v>48</v>
      </c>
    </row>
    <row r="485">
      <c r="C485" s="36" t="s">
        <v>48</v>
      </c>
      <c r="E485" s="36" t="s">
        <v>48</v>
      </c>
      <c r="F485" s="36" t="s">
        <v>48</v>
      </c>
      <c r="K485" s="36" t="s">
        <v>48</v>
      </c>
      <c r="L485" s="36" t="s">
        <v>48</v>
      </c>
      <c r="M485" s="36" t="s">
        <v>48</v>
      </c>
    </row>
    <row r="486">
      <c r="C486" s="36" t="s">
        <v>48</v>
      </c>
      <c r="E486" s="36" t="s">
        <v>48</v>
      </c>
      <c r="F486" s="36" t="s">
        <v>48</v>
      </c>
      <c r="K486" s="36" t="s">
        <v>48</v>
      </c>
      <c r="L486" s="36" t="s">
        <v>48</v>
      </c>
      <c r="M486" s="36" t="s">
        <v>48</v>
      </c>
    </row>
    <row r="487">
      <c r="C487" s="36" t="s">
        <v>48</v>
      </c>
      <c r="E487" s="36" t="s">
        <v>48</v>
      </c>
      <c r="F487" s="36" t="s">
        <v>48</v>
      </c>
      <c r="K487" s="36" t="s">
        <v>48</v>
      </c>
      <c r="L487" s="36" t="s">
        <v>48</v>
      </c>
      <c r="M487" s="36" t="s">
        <v>48</v>
      </c>
    </row>
    <row r="488">
      <c r="C488" s="36" t="s">
        <v>48</v>
      </c>
      <c r="E488" s="36" t="s">
        <v>48</v>
      </c>
      <c r="F488" s="36" t="s">
        <v>48</v>
      </c>
      <c r="K488" s="36" t="s">
        <v>48</v>
      </c>
      <c r="L488" s="36" t="s">
        <v>48</v>
      </c>
      <c r="M488" s="36" t="s">
        <v>48</v>
      </c>
    </row>
    <row r="489">
      <c r="C489" s="36" t="s">
        <v>48</v>
      </c>
      <c r="E489" s="36" t="s">
        <v>48</v>
      </c>
      <c r="F489" s="36" t="s">
        <v>48</v>
      </c>
      <c r="K489" s="36" t="s">
        <v>48</v>
      </c>
      <c r="L489" s="36" t="s">
        <v>48</v>
      </c>
      <c r="M489" s="36" t="s">
        <v>48</v>
      </c>
    </row>
    <row r="490">
      <c r="C490" s="36" t="s">
        <v>48</v>
      </c>
      <c r="E490" s="36" t="s">
        <v>48</v>
      </c>
      <c r="F490" s="36" t="s">
        <v>48</v>
      </c>
      <c r="K490" s="36" t="s">
        <v>48</v>
      </c>
      <c r="L490" s="36" t="s">
        <v>48</v>
      </c>
      <c r="M490" s="36" t="s">
        <v>48</v>
      </c>
    </row>
    <row r="491">
      <c r="C491" s="36" t="s">
        <v>48</v>
      </c>
      <c r="E491" s="36" t="s">
        <v>48</v>
      </c>
      <c r="F491" s="36" t="s">
        <v>48</v>
      </c>
      <c r="K491" s="36" t="s">
        <v>48</v>
      </c>
      <c r="L491" s="36" t="s">
        <v>48</v>
      </c>
      <c r="M491" s="36" t="s">
        <v>48</v>
      </c>
    </row>
    <row r="492">
      <c r="C492" s="36" t="s">
        <v>48</v>
      </c>
      <c r="E492" s="36" t="s">
        <v>48</v>
      </c>
      <c r="F492" s="36" t="s">
        <v>48</v>
      </c>
      <c r="K492" s="36" t="s">
        <v>48</v>
      </c>
      <c r="L492" s="36" t="s">
        <v>48</v>
      </c>
      <c r="M492" s="36" t="s">
        <v>48</v>
      </c>
    </row>
    <row r="493">
      <c r="C493" s="36" t="s">
        <v>48</v>
      </c>
      <c r="E493" s="36" t="s">
        <v>48</v>
      </c>
      <c r="F493" s="36" t="s">
        <v>48</v>
      </c>
      <c r="K493" s="36" t="s">
        <v>48</v>
      </c>
      <c r="L493" s="36" t="s">
        <v>48</v>
      </c>
      <c r="M493" s="36" t="s">
        <v>48</v>
      </c>
    </row>
    <row r="494">
      <c r="C494" s="36" t="s">
        <v>48</v>
      </c>
      <c r="E494" s="36" t="s">
        <v>48</v>
      </c>
      <c r="F494" s="36" t="s">
        <v>48</v>
      </c>
      <c r="K494" s="36" t="s">
        <v>48</v>
      </c>
      <c r="L494" s="36" t="s">
        <v>48</v>
      </c>
      <c r="M494" s="36" t="s">
        <v>48</v>
      </c>
    </row>
    <row r="495">
      <c r="C495" s="36" t="s">
        <v>48</v>
      </c>
      <c r="E495" s="36" t="s">
        <v>48</v>
      </c>
      <c r="F495" s="36" t="s">
        <v>48</v>
      </c>
      <c r="K495" s="36" t="s">
        <v>48</v>
      </c>
      <c r="L495" s="36" t="s">
        <v>48</v>
      </c>
      <c r="M495" s="36" t="s">
        <v>48</v>
      </c>
    </row>
    <row r="496">
      <c r="C496" s="36" t="s">
        <v>48</v>
      </c>
      <c r="E496" s="36" t="s">
        <v>48</v>
      </c>
      <c r="F496" s="36" t="s">
        <v>48</v>
      </c>
      <c r="K496" s="36" t="s">
        <v>48</v>
      </c>
      <c r="L496" s="36" t="s">
        <v>48</v>
      </c>
      <c r="M496" s="36" t="s">
        <v>48</v>
      </c>
    </row>
    <row r="497">
      <c r="C497" s="36" t="s">
        <v>48</v>
      </c>
      <c r="E497" s="36" t="s">
        <v>48</v>
      </c>
      <c r="F497" s="36" t="s">
        <v>48</v>
      </c>
      <c r="K497" s="36" t="s">
        <v>48</v>
      </c>
      <c r="L497" s="36" t="s">
        <v>48</v>
      </c>
      <c r="M497" s="36" t="s">
        <v>48</v>
      </c>
    </row>
    <row r="498">
      <c r="C498" s="36" t="s">
        <v>48</v>
      </c>
      <c r="E498" s="36" t="s">
        <v>48</v>
      </c>
      <c r="F498" s="36" t="s">
        <v>48</v>
      </c>
      <c r="K498" s="36" t="s">
        <v>48</v>
      </c>
      <c r="L498" s="36" t="s">
        <v>48</v>
      </c>
      <c r="M498" s="36" t="s">
        <v>48</v>
      </c>
    </row>
    <row r="499">
      <c r="C499" s="36" t="s">
        <v>48</v>
      </c>
      <c r="E499" s="36" t="s">
        <v>48</v>
      </c>
      <c r="F499" s="36" t="s">
        <v>48</v>
      </c>
      <c r="K499" s="36" t="s">
        <v>48</v>
      </c>
      <c r="L499" s="36" t="s">
        <v>48</v>
      </c>
      <c r="M499" s="36" t="s">
        <v>48</v>
      </c>
    </row>
    <row r="500">
      <c r="C500" s="36" t="s">
        <v>48</v>
      </c>
      <c r="E500" s="36" t="s">
        <v>48</v>
      </c>
      <c r="F500" s="36" t="s">
        <v>48</v>
      </c>
      <c r="K500" s="36" t="s">
        <v>48</v>
      </c>
      <c r="L500" s="36" t="s">
        <v>48</v>
      </c>
      <c r="M500" s="36" t="s">
        <v>48</v>
      </c>
    </row>
    <row r="501">
      <c r="C501" s="36" t="s">
        <v>48</v>
      </c>
      <c r="E501" s="36" t="s">
        <v>48</v>
      </c>
      <c r="F501" s="36" t="s">
        <v>48</v>
      </c>
      <c r="K501" s="36" t="s">
        <v>48</v>
      </c>
      <c r="L501" s="36" t="s">
        <v>48</v>
      </c>
      <c r="M501" s="36" t="s">
        <v>48</v>
      </c>
    </row>
    <row r="502">
      <c r="C502" s="36" t="s">
        <v>48</v>
      </c>
      <c r="E502" s="36" t="s">
        <v>48</v>
      </c>
      <c r="F502" s="36" t="s">
        <v>48</v>
      </c>
      <c r="K502" s="36" t="s">
        <v>48</v>
      </c>
      <c r="L502" s="36" t="s">
        <v>48</v>
      </c>
      <c r="M502" s="36" t="s">
        <v>48</v>
      </c>
    </row>
    <row r="503">
      <c r="C503" s="36" t="s">
        <v>48</v>
      </c>
      <c r="E503" s="36" t="s">
        <v>48</v>
      </c>
      <c r="F503" s="36" t="s">
        <v>48</v>
      </c>
      <c r="K503" s="36" t="s">
        <v>48</v>
      </c>
      <c r="L503" s="36" t="s">
        <v>48</v>
      </c>
      <c r="M503" s="36" t="s">
        <v>48</v>
      </c>
    </row>
    <row r="504">
      <c r="C504" s="36" t="s">
        <v>48</v>
      </c>
      <c r="E504" s="36" t="s">
        <v>48</v>
      </c>
      <c r="F504" s="36" t="s">
        <v>48</v>
      </c>
      <c r="K504" s="36" t="s">
        <v>48</v>
      </c>
      <c r="L504" s="36" t="s">
        <v>48</v>
      </c>
      <c r="M504" s="36" t="s">
        <v>48</v>
      </c>
    </row>
    <row r="505">
      <c r="C505" s="36" t="s">
        <v>48</v>
      </c>
      <c r="E505" s="36" t="s">
        <v>48</v>
      </c>
      <c r="F505" s="36" t="s">
        <v>48</v>
      </c>
      <c r="K505" s="36" t="s">
        <v>48</v>
      </c>
      <c r="L505" s="36" t="s">
        <v>48</v>
      </c>
      <c r="M505" s="36" t="s">
        <v>48</v>
      </c>
    </row>
    <row r="506">
      <c r="C506" s="36" t="s">
        <v>48</v>
      </c>
      <c r="E506" s="36" t="s">
        <v>48</v>
      </c>
      <c r="F506" s="36" t="s">
        <v>48</v>
      </c>
      <c r="K506" s="36" t="s">
        <v>48</v>
      </c>
      <c r="L506" s="36" t="s">
        <v>48</v>
      </c>
      <c r="M506" s="36" t="s">
        <v>48</v>
      </c>
    </row>
    <row r="507">
      <c r="C507" s="36" t="s">
        <v>48</v>
      </c>
      <c r="E507" s="36" t="s">
        <v>48</v>
      </c>
      <c r="F507" s="36" t="s">
        <v>48</v>
      </c>
      <c r="K507" s="36" t="s">
        <v>48</v>
      </c>
      <c r="L507" s="36" t="s">
        <v>48</v>
      </c>
      <c r="M507" s="36" t="s">
        <v>48</v>
      </c>
    </row>
    <row r="508">
      <c r="C508" s="36" t="s">
        <v>48</v>
      </c>
      <c r="E508" s="36" t="s">
        <v>48</v>
      </c>
      <c r="F508" s="36" t="s">
        <v>48</v>
      </c>
      <c r="K508" s="36" t="s">
        <v>48</v>
      </c>
      <c r="L508" s="36" t="s">
        <v>48</v>
      </c>
      <c r="M508" s="36" t="s">
        <v>48</v>
      </c>
    </row>
    <row r="509">
      <c r="C509" s="36" t="s">
        <v>48</v>
      </c>
      <c r="E509" s="36" t="s">
        <v>48</v>
      </c>
      <c r="F509" s="36" t="s">
        <v>48</v>
      </c>
      <c r="K509" s="36" t="s">
        <v>48</v>
      </c>
      <c r="L509" s="36" t="s">
        <v>48</v>
      </c>
      <c r="M509" s="36" t="s">
        <v>48</v>
      </c>
    </row>
    <row r="510">
      <c r="C510" s="36" t="s">
        <v>48</v>
      </c>
      <c r="E510" s="36" t="s">
        <v>48</v>
      </c>
      <c r="F510" s="36" t="s">
        <v>48</v>
      </c>
      <c r="K510" s="36" t="s">
        <v>48</v>
      </c>
      <c r="L510" s="36" t="s">
        <v>48</v>
      </c>
      <c r="M510" s="36" t="s">
        <v>48</v>
      </c>
    </row>
    <row r="511">
      <c r="C511" s="36" t="s">
        <v>48</v>
      </c>
      <c r="E511" s="36" t="s">
        <v>48</v>
      </c>
      <c r="F511" s="36" t="s">
        <v>48</v>
      </c>
      <c r="K511" s="36" t="s">
        <v>48</v>
      </c>
      <c r="L511" s="36" t="s">
        <v>48</v>
      </c>
      <c r="M511" s="36" t="s">
        <v>48</v>
      </c>
    </row>
    <row r="512">
      <c r="C512" s="36" t="s">
        <v>48</v>
      </c>
      <c r="E512" s="36" t="s">
        <v>48</v>
      </c>
      <c r="F512" s="36" t="s">
        <v>48</v>
      </c>
      <c r="K512" s="36" t="s">
        <v>48</v>
      </c>
      <c r="L512" s="36" t="s">
        <v>48</v>
      </c>
      <c r="M512" s="36" t="s">
        <v>48</v>
      </c>
    </row>
    <row r="513">
      <c r="C513" s="36" t="s">
        <v>48</v>
      </c>
      <c r="E513" s="36" t="s">
        <v>48</v>
      </c>
      <c r="F513" s="36" t="s">
        <v>48</v>
      </c>
      <c r="K513" s="36" t="s">
        <v>48</v>
      </c>
      <c r="L513" s="36" t="s">
        <v>48</v>
      </c>
      <c r="M513" s="36" t="s">
        <v>48</v>
      </c>
    </row>
    <row r="514">
      <c r="C514" s="36" t="s">
        <v>48</v>
      </c>
      <c r="E514" s="36" t="s">
        <v>48</v>
      </c>
      <c r="F514" s="36" t="s">
        <v>48</v>
      </c>
      <c r="K514" s="36" t="s">
        <v>48</v>
      </c>
      <c r="L514" s="36" t="s">
        <v>48</v>
      </c>
      <c r="M514" s="36" t="s">
        <v>48</v>
      </c>
    </row>
    <row r="515">
      <c r="C515" s="36" t="s">
        <v>48</v>
      </c>
      <c r="E515" s="36" t="s">
        <v>48</v>
      </c>
      <c r="F515" s="36" t="s">
        <v>48</v>
      </c>
      <c r="K515" s="36" t="s">
        <v>48</v>
      </c>
      <c r="L515" s="36" t="s">
        <v>48</v>
      </c>
      <c r="M515" s="36" t="s">
        <v>48</v>
      </c>
    </row>
    <row r="516">
      <c r="C516" s="36" t="s">
        <v>48</v>
      </c>
      <c r="E516" s="36" t="s">
        <v>48</v>
      </c>
      <c r="F516" s="36" t="s">
        <v>48</v>
      </c>
      <c r="K516" s="36" t="s">
        <v>48</v>
      </c>
      <c r="L516" s="36" t="s">
        <v>48</v>
      </c>
      <c r="M516" s="36" t="s">
        <v>48</v>
      </c>
    </row>
    <row r="517">
      <c r="C517" s="36" t="s">
        <v>48</v>
      </c>
      <c r="E517" s="36" t="s">
        <v>48</v>
      </c>
      <c r="F517" s="36" t="s">
        <v>48</v>
      </c>
      <c r="K517" s="36" t="s">
        <v>48</v>
      </c>
      <c r="L517" s="36" t="s">
        <v>48</v>
      </c>
      <c r="M517" s="36" t="s">
        <v>48</v>
      </c>
    </row>
    <row r="518">
      <c r="C518" s="36" t="s">
        <v>48</v>
      </c>
      <c r="E518" s="36" t="s">
        <v>48</v>
      </c>
      <c r="F518" s="36" t="s">
        <v>48</v>
      </c>
      <c r="K518" s="36" t="s">
        <v>48</v>
      </c>
      <c r="L518" s="36" t="s">
        <v>48</v>
      </c>
      <c r="M518" s="36" t="s">
        <v>48</v>
      </c>
    </row>
    <row r="519">
      <c r="C519" s="36" t="s">
        <v>48</v>
      </c>
      <c r="E519" s="36" t="s">
        <v>48</v>
      </c>
      <c r="F519" s="36" t="s">
        <v>48</v>
      </c>
      <c r="K519" s="36" t="s">
        <v>48</v>
      </c>
      <c r="L519" s="36" t="s">
        <v>48</v>
      </c>
      <c r="M519" s="36" t="s">
        <v>48</v>
      </c>
    </row>
    <row r="520">
      <c r="C520" s="36" t="s">
        <v>48</v>
      </c>
      <c r="E520" s="36" t="s">
        <v>48</v>
      </c>
      <c r="F520" s="36" t="s">
        <v>48</v>
      </c>
      <c r="K520" s="36" t="s">
        <v>48</v>
      </c>
      <c r="L520" s="36" t="s">
        <v>48</v>
      </c>
      <c r="M520" s="36" t="s">
        <v>48</v>
      </c>
    </row>
    <row r="521">
      <c r="C521" s="36" t="s">
        <v>48</v>
      </c>
      <c r="E521" s="36" t="s">
        <v>48</v>
      </c>
      <c r="F521" s="36" t="s">
        <v>48</v>
      </c>
      <c r="K521" s="36" t="s">
        <v>48</v>
      </c>
      <c r="L521" s="36" t="s">
        <v>48</v>
      </c>
      <c r="M521" s="36" t="s">
        <v>48</v>
      </c>
    </row>
    <row r="522">
      <c r="C522" s="36" t="s">
        <v>48</v>
      </c>
      <c r="E522" s="36" t="s">
        <v>48</v>
      </c>
      <c r="F522" s="36" t="s">
        <v>48</v>
      </c>
      <c r="K522" s="36" t="s">
        <v>48</v>
      </c>
      <c r="L522" s="36" t="s">
        <v>48</v>
      </c>
      <c r="M522" s="36" t="s">
        <v>48</v>
      </c>
    </row>
    <row r="523">
      <c r="C523" s="36" t="s">
        <v>48</v>
      </c>
      <c r="E523" s="36" t="s">
        <v>48</v>
      </c>
      <c r="F523" s="36" t="s">
        <v>48</v>
      </c>
      <c r="K523" s="36" t="s">
        <v>48</v>
      </c>
      <c r="L523" s="36" t="s">
        <v>48</v>
      </c>
      <c r="M523" s="36" t="s">
        <v>48</v>
      </c>
    </row>
    <row r="524">
      <c r="C524" s="36" t="s">
        <v>48</v>
      </c>
      <c r="E524" s="36" t="s">
        <v>48</v>
      </c>
      <c r="F524" s="36" t="s">
        <v>48</v>
      </c>
      <c r="K524" s="36" t="s">
        <v>48</v>
      </c>
      <c r="L524" s="36" t="s">
        <v>48</v>
      </c>
      <c r="M524" s="36" t="s">
        <v>48</v>
      </c>
    </row>
    <row r="525">
      <c r="C525" s="36" t="s">
        <v>48</v>
      </c>
      <c r="E525" s="36" t="s">
        <v>48</v>
      </c>
      <c r="F525" s="36" t="s">
        <v>48</v>
      </c>
      <c r="K525" s="36" t="s">
        <v>48</v>
      </c>
      <c r="L525" s="36" t="s">
        <v>48</v>
      </c>
      <c r="M525" s="36" t="s">
        <v>48</v>
      </c>
    </row>
    <row r="526">
      <c r="C526" s="36" t="s">
        <v>48</v>
      </c>
      <c r="E526" s="36" t="s">
        <v>48</v>
      </c>
      <c r="F526" s="36" t="s">
        <v>48</v>
      </c>
      <c r="K526" s="36" t="s">
        <v>48</v>
      </c>
      <c r="L526" s="36" t="s">
        <v>48</v>
      </c>
      <c r="M526" s="36" t="s">
        <v>48</v>
      </c>
    </row>
    <row r="527">
      <c r="C527" s="36" t="s">
        <v>48</v>
      </c>
      <c r="E527" s="36" t="s">
        <v>48</v>
      </c>
      <c r="F527" s="36" t="s">
        <v>48</v>
      </c>
      <c r="K527" s="36" t="s">
        <v>48</v>
      </c>
      <c r="L527" s="36" t="s">
        <v>48</v>
      </c>
      <c r="M527" s="36" t="s">
        <v>48</v>
      </c>
    </row>
    <row r="528">
      <c r="C528" s="36" t="s">
        <v>48</v>
      </c>
      <c r="E528" s="36" t="s">
        <v>48</v>
      </c>
      <c r="F528" s="36" t="s">
        <v>48</v>
      </c>
      <c r="K528" s="36" t="s">
        <v>48</v>
      </c>
      <c r="L528" s="36" t="s">
        <v>48</v>
      </c>
      <c r="M528" s="36" t="s">
        <v>48</v>
      </c>
    </row>
    <row r="529">
      <c r="C529" s="36" t="s">
        <v>48</v>
      </c>
      <c r="E529" s="36" t="s">
        <v>48</v>
      </c>
      <c r="F529" s="36" t="s">
        <v>48</v>
      </c>
      <c r="K529" s="36" t="s">
        <v>48</v>
      </c>
      <c r="L529" s="36" t="s">
        <v>48</v>
      </c>
      <c r="M529" s="36" t="s">
        <v>48</v>
      </c>
    </row>
    <row r="530">
      <c r="C530" s="36" t="s">
        <v>48</v>
      </c>
      <c r="E530" s="36" t="s">
        <v>48</v>
      </c>
      <c r="F530" s="36" t="s">
        <v>48</v>
      </c>
      <c r="K530" s="36" t="s">
        <v>48</v>
      </c>
      <c r="L530" s="36" t="s">
        <v>48</v>
      </c>
      <c r="M530" s="36" t="s">
        <v>48</v>
      </c>
    </row>
    <row r="531">
      <c r="C531" s="36" t="s">
        <v>48</v>
      </c>
      <c r="E531" s="36" t="s">
        <v>48</v>
      </c>
      <c r="F531" s="36" t="s">
        <v>48</v>
      </c>
      <c r="K531" s="36" t="s">
        <v>48</v>
      </c>
      <c r="L531" s="36" t="s">
        <v>48</v>
      </c>
      <c r="M531" s="36" t="s">
        <v>48</v>
      </c>
    </row>
    <row r="532">
      <c r="C532" s="36" t="s">
        <v>48</v>
      </c>
      <c r="E532" s="36" t="s">
        <v>48</v>
      </c>
      <c r="F532" s="36" t="s">
        <v>48</v>
      </c>
      <c r="K532" s="36" t="s">
        <v>48</v>
      </c>
      <c r="L532" s="36" t="s">
        <v>48</v>
      </c>
      <c r="M532" s="36" t="s">
        <v>48</v>
      </c>
    </row>
    <row r="533">
      <c r="C533" s="36" t="s">
        <v>48</v>
      </c>
      <c r="E533" s="36" t="s">
        <v>48</v>
      </c>
      <c r="F533" s="36" t="s">
        <v>48</v>
      </c>
      <c r="K533" s="36" t="s">
        <v>48</v>
      </c>
      <c r="L533" s="36" t="s">
        <v>48</v>
      </c>
      <c r="M533" s="36" t="s">
        <v>48</v>
      </c>
    </row>
    <row r="534">
      <c r="C534" s="36" t="s">
        <v>48</v>
      </c>
      <c r="E534" s="36" t="s">
        <v>48</v>
      </c>
      <c r="F534" s="36" t="s">
        <v>48</v>
      </c>
      <c r="K534" s="36" t="s">
        <v>48</v>
      </c>
      <c r="L534" s="36" t="s">
        <v>48</v>
      </c>
      <c r="M534" s="36" t="s">
        <v>48</v>
      </c>
    </row>
    <row r="535">
      <c r="C535" s="36" t="s">
        <v>48</v>
      </c>
      <c r="E535" s="36" t="s">
        <v>48</v>
      </c>
      <c r="F535" s="36" t="s">
        <v>48</v>
      </c>
      <c r="K535" s="36" t="s">
        <v>48</v>
      </c>
      <c r="L535" s="36" t="s">
        <v>48</v>
      </c>
      <c r="M535" s="36" t="s">
        <v>48</v>
      </c>
    </row>
    <row r="536">
      <c r="C536" s="36" t="s">
        <v>48</v>
      </c>
      <c r="E536" s="36" t="s">
        <v>48</v>
      </c>
      <c r="F536" s="36" t="s">
        <v>48</v>
      </c>
      <c r="K536" s="36" t="s">
        <v>48</v>
      </c>
      <c r="L536" s="36" t="s">
        <v>48</v>
      </c>
      <c r="M536" s="36" t="s">
        <v>48</v>
      </c>
    </row>
    <row r="537">
      <c r="C537" s="36" t="s">
        <v>48</v>
      </c>
      <c r="E537" s="36" t="s">
        <v>48</v>
      </c>
      <c r="F537" s="36" t="s">
        <v>48</v>
      </c>
      <c r="K537" s="36" t="s">
        <v>48</v>
      </c>
      <c r="L537" s="36" t="s">
        <v>48</v>
      </c>
      <c r="M537" s="36" t="s">
        <v>48</v>
      </c>
    </row>
    <row r="538">
      <c r="C538" s="36" t="s">
        <v>48</v>
      </c>
      <c r="E538" s="36" t="s">
        <v>48</v>
      </c>
      <c r="F538" s="36" t="s">
        <v>48</v>
      </c>
      <c r="K538" s="36" t="s">
        <v>48</v>
      </c>
      <c r="L538" s="36" t="s">
        <v>48</v>
      </c>
      <c r="M538" s="36" t="s">
        <v>48</v>
      </c>
    </row>
    <row r="539">
      <c r="C539" s="36" t="s">
        <v>48</v>
      </c>
      <c r="E539" s="36" t="s">
        <v>48</v>
      </c>
      <c r="F539" s="36" t="s">
        <v>48</v>
      </c>
      <c r="K539" s="36" t="s">
        <v>48</v>
      </c>
      <c r="L539" s="36" t="s">
        <v>48</v>
      </c>
      <c r="M539" s="36" t="s">
        <v>48</v>
      </c>
    </row>
    <row r="540">
      <c r="C540" s="36" t="s">
        <v>48</v>
      </c>
      <c r="E540" s="36" t="s">
        <v>48</v>
      </c>
      <c r="F540" s="36" t="s">
        <v>48</v>
      </c>
      <c r="K540" s="36" t="s">
        <v>48</v>
      </c>
      <c r="L540" s="36" t="s">
        <v>48</v>
      </c>
      <c r="M540" s="36" t="s">
        <v>48</v>
      </c>
    </row>
    <row r="541">
      <c r="C541" s="36" t="s">
        <v>48</v>
      </c>
      <c r="E541" s="36" t="s">
        <v>48</v>
      </c>
      <c r="F541" s="36" t="s">
        <v>48</v>
      </c>
      <c r="K541" s="36" t="s">
        <v>48</v>
      </c>
      <c r="L541" s="36" t="s">
        <v>48</v>
      </c>
      <c r="M541" s="36" t="s">
        <v>48</v>
      </c>
    </row>
    <row r="542">
      <c r="C542" s="36" t="s">
        <v>48</v>
      </c>
      <c r="E542" s="36" t="s">
        <v>48</v>
      </c>
      <c r="F542" s="36" t="s">
        <v>48</v>
      </c>
      <c r="K542" s="36" t="s">
        <v>48</v>
      </c>
      <c r="L542" s="36" t="s">
        <v>48</v>
      </c>
      <c r="M542" s="36" t="s">
        <v>48</v>
      </c>
    </row>
    <row r="543">
      <c r="C543" s="36" t="s">
        <v>48</v>
      </c>
      <c r="E543" s="36" t="s">
        <v>48</v>
      </c>
      <c r="F543" s="36" t="s">
        <v>48</v>
      </c>
      <c r="K543" s="36" t="s">
        <v>48</v>
      </c>
      <c r="L543" s="36" t="s">
        <v>48</v>
      </c>
      <c r="M543" s="36" t="s">
        <v>48</v>
      </c>
    </row>
    <row r="544">
      <c r="C544" s="36" t="s">
        <v>48</v>
      </c>
      <c r="E544" s="36" t="s">
        <v>48</v>
      </c>
      <c r="F544" s="36" t="s">
        <v>48</v>
      </c>
      <c r="K544" s="36" t="s">
        <v>48</v>
      </c>
      <c r="L544" s="36" t="s">
        <v>48</v>
      </c>
      <c r="M544" s="36" t="s">
        <v>48</v>
      </c>
    </row>
    <row r="545">
      <c r="C545" s="36" t="s">
        <v>48</v>
      </c>
      <c r="E545" s="36" t="s">
        <v>48</v>
      </c>
      <c r="F545" s="36" t="s">
        <v>48</v>
      </c>
      <c r="K545" s="36" t="s">
        <v>48</v>
      </c>
      <c r="L545" s="36" t="s">
        <v>48</v>
      </c>
      <c r="M545" s="36" t="s">
        <v>48</v>
      </c>
    </row>
    <row r="546">
      <c r="C546" s="36" t="s">
        <v>48</v>
      </c>
      <c r="E546" s="36" t="s">
        <v>48</v>
      </c>
      <c r="F546" s="36" t="s">
        <v>48</v>
      </c>
      <c r="K546" s="36" t="s">
        <v>48</v>
      </c>
      <c r="L546" s="36" t="s">
        <v>48</v>
      </c>
      <c r="M546" s="36" t="s">
        <v>48</v>
      </c>
    </row>
    <row r="547">
      <c r="C547" s="36" t="s">
        <v>48</v>
      </c>
      <c r="E547" s="36" t="s">
        <v>48</v>
      </c>
      <c r="F547" s="36" t="s">
        <v>48</v>
      </c>
      <c r="K547" s="36" t="s">
        <v>48</v>
      </c>
      <c r="L547" s="36" t="s">
        <v>48</v>
      </c>
      <c r="M547" s="36" t="s">
        <v>48</v>
      </c>
    </row>
    <row r="548">
      <c r="C548" s="36" t="s">
        <v>48</v>
      </c>
      <c r="E548" s="36" t="s">
        <v>48</v>
      </c>
      <c r="F548" s="36" t="s">
        <v>48</v>
      </c>
      <c r="K548" s="36" t="s">
        <v>48</v>
      </c>
      <c r="L548" s="36" t="s">
        <v>48</v>
      </c>
      <c r="M548" s="36" t="s">
        <v>48</v>
      </c>
    </row>
    <row r="549">
      <c r="C549" s="36" t="s">
        <v>48</v>
      </c>
      <c r="E549" s="36" t="s">
        <v>48</v>
      </c>
      <c r="F549" s="36" t="s">
        <v>48</v>
      </c>
      <c r="K549" s="36" t="s">
        <v>48</v>
      </c>
      <c r="L549" s="36" t="s">
        <v>48</v>
      </c>
      <c r="M549" s="36" t="s">
        <v>48</v>
      </c>
    </row>
    <row r="550">
      <c r="C550" s="36" t="s">
        <v>48</v>
      </c>
      <c r="E550" s="36" t="s">
        <v>48</v>
      </c>
      <c r="F550" s="36" t="s">
        <v>48</v>
      </c>
      <c r="K550" s="36" t="s">
        <v>48</v>
      </c>
      <c r="L550" s="36" t="s">
        <v>48</v>
      </c>
      <c r="M550" s="36" t="s">
        <v>48</v>
      </c>
    </row>
    <row r="551">
      <c r="C551" s="36" t="s">
        <v>48</v>
      </c>
      <c r="E551" s="36" t="s">
        <v>48</v>
      </c>
      <c r="F551" s="36" t="s">
        <v>48</v>
      </c>
      <c r="K551" s="36" t="s">
        <v>48</v>
      </c>
      <c r="L551" s="36" t="s">
        <v>48</v>
      </c>
      <c r="M551" s="36" t="s">
        <v>48</v>
      </c>
    </row>
    <row r="552">
      <c r="C552" s="36" t="s">
        <v>48</v>
      </c>
      <c r="E552" s="36" t="s">
        <v>48</v>
      </c>
      <c r="F552" s="36" t="s">
        <v>48</v>
      </c>
      <c r="K552" s="36" t="s">
        <v>48</v>
      </c>
      <c r="L552" s="36" t="s">
        <v>48</v>
      </c>
      <c r="M552" s="36" t="s">
        <v>48</v>
      </c>
    </row>
    <row r="553">
      <c r="C553" s="36" t="s">
        <v>48</v>
      </c>
      <c r="E553" s="36" t="s">
        <v>48</v>
      </c>
      <c r="F553" s="36" t="s">
        <v>48</v>
      </c>
      <c r="K553" s="36" t="s">
        <v>48</v>
      </c>
      <c r="L553" s="36" t="s">
        <v>48</v>
      </c>
      <c r="M553" s="36" t="s">
        <v>48</v>
      </c>
    </row>
    <row r="554">
      <c r="C554" s="36" t="s">
        <v>48</v>
      </c>
      <c r="E554" s="36" t="s">
        <v>48</v>
      </c>
      <c r="F554" s="36" t="s">
        <v>48</v>
      </c>
      <c r="K554" s="36" t="s">
        <v>48</v>
      </c>
      <c r="L554" s="36" t="s">
        <v>48</v>
      </c>
      <c r="M554" s="36" t="s">
        <v>48</v>
      </c>
    </row>
    <row r="555">
      <c r="C555" s="36" t="s">
        <v>48</v>
      </c>
      <c r="E555" s="36" t="s">
        <v>48</v>
      </c>
      <c r="F555" s="36" t="s">
        <v>48</v>
      </c>
      <c r="K555" s="36" t="s">
        <v>48</v>
      </c>
      <c r="L555" s="36" t="s">
        <v>48</v>
      </c>
      <c r="M555" s="36" t="s">
        <v>48</v>
      </c>
    </row>
    <row r="556">
      <c r="C556" s="36" t="s">
        <v>48</v>
      </c>
      <c r="E556" s="36" t="s">
        <v>48</v>
      </c>
      <c r="F556" s="36" t="s">
        <v>48</v>
      </c>
      <c r="K556" s="36" t="s">
        <v>48</v>
      </c>
      <c r="L556" s="36" t="s">
        <v>48</v>
      </c>
      <c r="M556" s="36" t="s">
        <v>48</v>
      </c>
    </row>
    <row r="557">
      <c r="C557" s="36" t="s">
        <v>48</v>
      </c>
      <c r="E557" s="36" t="s">
        <v>48</v>
      </c>
      <c r="F557" s="36" t="s">
        <v>48</v>
      </c>
      <c r="K557" s="36" t="s">
        <v>48</v>
      </c>
      <c r="L557" s="36" t="s">
        <v>48</v>
      </c>
      <c r="M557" s="36" t="s">
        <v>48</v>
      </c>
    </row>
    <row r="558">
      <c r="C558" s="36" t="s">
        <v>48</v>
      </c>
      <c r="E558" s="36" t="s">
        <v>48</v>
      </c>
      <c r="F558" s="36" t="s">
        <v>48</v>
      </c>
      <c r="K558" s="36" t="s">
        <v>48</v>
      </c>
      <c r="L558" s="36" t="s">
        <v>48</v>
      </c>
      <c r="M558" s="36" t="s">
        <v>48</v>
      </c>
    </row>
    <row r="559">
      <c r="C559" s="36" t="s">
        <v>48</v>
      </c>
      <c r="E559" s="36" t="s">
        <v>48</v>
      </c>
      <c r="F559" s="36" t="s">
        <v>48</v>
      </c>
      <c r="K559" s="36" t="s">
        <v>48</v>
      </c>
      <c r="L559" s="36" t="s">
        <v>48</v>
      </c>
      <c r="M559" s="36" t="s">
        <v>48</v>
      </c>
    </row>
    <row r="560">
      <c r="C560" s="36" t="s">
        <v>48</v>
      </c>
      <c r="E560" s="36" t="s">
        <v>48</v>
      </c>
      <c r="F560" s="36" t="s">
        <v>48</v>
      </c>
      <c r="K560" s="36" t="s">
        <v>48</v>
      </c>
      <c r="L560" s="36" t="s">
        <v>48</v>
      </c>
      <c r="M560" s="36" t="s">
        <v>48</v>
      </c>
    </row>
    <row r="561">
      <c r="C561" s="36" t="s">
        <v>48</v>
      </c>
      <c r="E561" s="36" t="s">
        <v>48</v>
      </c>
      <c r="F561" s="36" t="s">
        <v>48</v>
      </c>
      <c r="K561" s="36" t="s">
        <v>48</v>
      </c>
      <c r="L561" s="36" t="s">
        <v>48</v>
      </c>
      <c r="M561" s="36" t="s">
        <v>48</v>
      </c>
    </row>
    <row r="562">
      <c r="C562" s="36" t="s">
        <v>48</v>
      </c>
      <c r="E562" s="36" t="s">
        <v>48</v>
      </c>
      <c r="F562" s="36" t="s">
        <v>48</v>
      </c>
      <c r="K562" s="36" t="s">
        <v>48</v>
      </c>
      <c r="L562" s="36" t="s">
        <v>48</v>
      </c>
      <c r="M562" s="36" t="s">
        <v>48</v>
      </c>
    </row>
    <row r="563">
      <c r="C563" s="36" t="s">
        <v>48</v>
      </c>
      <c r="E563" s="36" t="s">
        <v>48</v>
      </c>
      <c r="F563" s="36" t="s">
        <v>48</v>
      </c>
      <c r="K563" s="36" t="s">
        <v>48</v>
      </c>
      <c r="L563" s="36" t="s">
        <v>48</v>
      </c>
      <c r="M563" s="36" t="s">
        <v>48</v>
      </c>
    </row>
    <row r="564">
      <c r="C564" s="36" t="s">
        <v>48</v>
      </c>
      <c r="E564" s="36" t="s">
        <v>48</v>
      </c>
      <c r="F564" s="36" t="s">
        <v>48</v>
      </c>
      <c r="K564" s="36" t="s">
        <v>48</v>
      </c>
      <c r="L564" s="36" t="s">
        <v>48</v>
      </c>
      <c r="M564" s="36" t="s">
        <v>48</v>
      </c>
    </row>
    <row r="565">
      <c r="C565" s="36" t="s">
        <v>48</v>
      </c>
      <c r="E565" s="36" t="s">
        <v>48</v>
      </c>
      <c r="F565" s="36" t="s">
        <v>48</v>
      </c>
      <c r="K565" s="36" t="s">
        <v>48</v>
      </c>
      <c r="L565" s="36" t="s">
        <v>48</v>
      </c>
      <c r="M565" s="36" t="s">
        <v>48</v>
      </c>
    </row>
    <row r="566">
      <c r="C566" s="36" t="s">
        <v>48</v>
      </c>
      <c r="E566" s="36" t="s">
        <v>48</v>
      </c>
      <c r="F566" s="36" t="s">
        <v>48</v>
      </c>
      <c r="K566" s="36" t="s">
        <v>48</v>
      </c>
      <c r="L566" s="36" t="s">
        <v>48</v>
      </c>
      <c r="M566" s="36" t="s">
        <v>48</v>
      </c>
    </row>
    <row r="567">
      <c r="C567" s="36" t="s">
        <v>48</v>
      </c>
      <c r="E567" s="36" t="s">
        <v>48</v>
      </c>
      <c r="F567" s="36" t="s">
        <v>48</v>
      </c>
      <c r="K567" s="36" t="s">
        <v>48</v>
      </c>
      <c r="L567" s="36" t="s">
        <v>48</v>
      </c>
      <c r="M567" s="36" t="s">
        <v>48</v>
      </c>
    </row>
    <row r="568">
      <c r="C568" s="36" t="s">
        <v>48</v>
      </c>
      <c r="E568" s="36" t="s">
        <v>48</v>
      </c>
      <c r="F568" s="36" t="s">
        <v>48</v>
      </c>
      <c r="K568" s="36" t="s">
        <v>48</v>
      </c>
      <c r="L568" s="36" t="s">
        <v>48</v>
      </c>
      <c r="M568" s="36" t="s">
        <v>48</v>
      </c>
    </row>
    <row r="569">
      <c r="C569" s="36" t="s">
        <v>48</v>
      </c>
      <c r="E569" s="36" t="s">
        <v>48</v>
      </c>
      <c r="F569" s="36" t="s">
        <v>48</v>
      </c>
      <c r="K569" s="36" t="s">
        <v>48</v>
      </c>
      <c r="L569" s="36" t="s">
        <v>48</v>
      </c>
      <c r="M569" s="36" t="s">
        <v>48</v>
      </c>
    </row>
    <row r="570">
      <c r="C570" s="36" t="s">
        <v>48</v>
      </c>
      <c r="E570" s="36" t="s">
        <v>48</v>
      </c>
      <c r="F570" s="36" t="s">
        <v>48</v>
      </c>
      <c r="K570" s="36" t="s">
        <v>48</v>
      </c>
      <c r="L570" s="36" t="s">
        <v>48</v>
      </c>
      <c r="M570" s="36" t="s">
        <v>48</v>
      </c>
    </row>
    <row r="571">
      <c r="C571" s="36" t="s">
        <v>48</v>
      </c>
      <c r="E571" s="36" t="s">
        <v>48</v>
      </c>
      <c r="F571" s="36" t="s">
        <v>48</v>
      </c>
      <c r="K571" s="36" t="s">
        <v>48</v>
      </c>
      <c r="L571" s="36" t="s">
        <v>48</v>
      </c>
      <c r="M571" s="36" t="s">
        <v>48</v>
      </c>
    </row>
    <row r="572">
      <c r="C572" s="36" t="s">
        <v>48</v>
      </c>
      <c r="E572" s="36" t="s">
        <v>48</v>
      </c>
      <c r="F572" s="36" t="s">
        <v>48</v>
      </c>
      <c r="K572" s="36" t="s">
        <v>48</v>
      </c>
      <c r="L572" s="36" t="s">
        <v>48</v>
      </c>
      <c r="M572" s="36" t="s">
        <v>48</v>
      </c>
    </row>
    <row r="573">
      <c r="C573" s="36" t="s">
        <v>48</v>
      </c>
      <c r="E573" s="36" t="s">
        <v>48</v>
      </c>
      <c r="F573" s="36" t="s">
        <v>48</v>
      </c>
      <c r="K573" s="36" t="s">
        <v>48</v>
      </c>
      <c r="L573" s="36" t="s">
        <v>48</v>
      </c>
      <c r="M573" s="36" t="s">
        <v>48</v>
      </c>
    </row>
    <row r="574">
      <c r="C574" s="36" t="s">
        <v>48</v>
      </c>
      <c r="E574" s="36" t="s">
        <v>48</v>
      </c>
      <c r="F574" s="36" t="s">
        <v>48</v>
      </c>
      <c r="K574" s="36" t="s">
        <v>48</v>
      </c>
      <c r="L574" s="36" t="s">
        <v>48</v>
      </c>
      <c r="M574" s="36" t="s">
        <v>48</v>
      </c>
    </row>
    <row r="575">
      <c r="C575" s="36" t="s">
        <v>48</v>
      </c>
      <c r="E575" s="36" t="s">
        <v>48</v>
      </c>
      <c r="F575" s="36" t="s">
        <v>48</v>
      </c>
      <c r="K575" s="36" t="s">
        <v>48</v>
      </c>
      <c r="L575" s="36" t="s">
        <v>48</v>
      </c>
      <c r="M575" s="36" t="s">
        <v>48</v>
      </c>
    </row>
    <row r="576">
      <c r="C576" s="36" t="s">
        <v>48</v>
      </c>
      <c r="E576" s="36" t="s">
        <v>48</v>
      </c>
      <c r="F576" s="36" t="s">
        <v>48</v>
      </c>
      <c r="K576" s="36" t="s">
        <v>48</v>
      </c>
      <c r="L576" s="36" t="s">
        <v>48</v>
      </c>
      <c r="M576" s="36" t="s">
        <v>48</v>
      </c>
    </row>
    <row r="577">
      <c r="C577" s="36" t="s">
        <v>48</v>
      </c>
      <c r="E577" s="36" t="s">
        <v>48</v>
      </c>
      <c r="F577" s="36" t="s">
        <v>48</v>
      </c>
      <c r="K577" s="36" t="s">
        <v>48</v>
      </c>
      <c r="L577" s="36" t="s">
        <v>48</v>
      </c>
      <c r="M577" s="36" t="s">
        <v>48</v>
      </c>
    </row>
    <row r="578">
      <c r="C578" s="36" t="s">
        <v>48</v>
      </c>
      <c r="E578" s="36" t="s">
        <v>48</v>
      </c>
      <c r="F578" s="36" t="s">
        <v>48</v>
      </c>
      <c r="K578" s="36" t="s">
        <v>48</v>
      </c>
      <c r="L578" s="36" t="s">
        <v>48</v>
      </c>
      <c r="M578" s="36" t="s">
        <v>48</v>
      </c>
    </row>
    <row r="579">
      <c r="C579" s="36" t="s">
        <v>48</v>
      </c>
      <c r="E579" s="36" t="s">
        <v>48</v>
      </c>
      <c r="F579" s="36" t="s">
        <v>48</v>
      </c>
      <c r="K579" s="36" t="s">
        <v>48</v>
      </c>
      <c r="L579" s="36" t="s">
        <v>48</v>
      </c>
      <c r="M579" s="36" t="s">
        <v>48</v>
      </c>
    </row>
    <row r="580">
      <c r="C580" s="36" t="s">
        <v>48</v>
      </c>
      <c r="E580" s="36" t="s">
        <v>48</v>
      </c>
      <c r="F580" s="36" t="s">
        <v>48</v>
      </c>
      <c r="K580" s="36" t="s">
        <v>48</v>
      </c>
      <c r="L580" s="36" t="s">
        <v>48</v>
      </c>
      <c r="M580" s="36" t="s">
        <v>48</v>
      </c>
    </row>
    <row r="581">
      <c r="C581" s="36" t="s">
        <v>48</v>
      </c>
      <c r="E581" s="36" t="s">
        <v>48</v>
      </c>
      <c r="F581" s="36" t="s">
        <v>48</v>
      </c>
      <c r="K581" s="36" t="s">
        <v>48</v>
      </c>
      <c r="L581" s="36" t="s">
        <v>48</v>
      </c>
      <c r="M581" s="36" t="s">
        <v>48</v>
      </c>
    </row>
    <row r="582">
      <c r="C582" s="36" t="s">
        <v>48</v>
      </c>
      <c r="E582" s="36" t="s">
        <v>48</v>
      </c>
      <c r="F582" s="36" t="s">
        <v>48</v>
      </c>
      <c r="K582" s="36" t="s">
        <v>48</v>
      </c>
      <c r="L582" s="36" t="s">
        <v>48</v>
      </c>
      <c r="M582" s="36" t="s">
        <v>48</v>
      </c>
    </row>
    <row r="583">
      <c r="C583" s="36" t="s">
        <v>48</v>
      </c>
      <c r="E583" s="36" t="s">
        <v>48</v>
      </c>
      <c r="F583" s="36" t="s">
        <v>48</v>
      </c>
      <c r="K583" s="36" t="s">
        <v>48</v>
      </c>
      <c r="L583" s="36" t="s">
        <v>48</v>
      </c>
      <c r="M583" s="36" t="s">
        <v>48</v>
      </c>
    </row>
    <row r="584">
      <c r="C584" s="36" t="s">
        <v>48</v>
      </c>
      <c r="E584" s="36" t="s">
        <v>48</v>
      </c>
      <c r="F584" s="36" t="s">
        <v>48</v>
      </c>
      <c r="K584" s="36" t="s">
        <v>48</v>
      </c>
      <c r="L584" s="36" t="s">
        <v>48</v>
      </c>
      <c r="M584" s="36" t="s">
        <v>48</v>
      </c>
    </row>
    <row r="585">
      <c r="C585" s="36" t="s">
        <v>48</v>
      </c>
      <c r="E585" s="36" t="s">
        <v>48</v>
      </c>
      <c r="F585" s="36" t="s">
        <v>48</v>
      </c>
      <c r="K585" s="36" t="s">
        <v>48</v>
      </c>
      <c r="L585" s="36" t="s">
        <v>48</v>
      </c>
      <c r="M585" s="36" t="s">
        <v>48</v>
      </c>
    </row>
    <row r="586">
      <c r="C586" s="36" t="s">
        <v>48</v>
      </c>
      <c r="E586" s="36" t="s">
        <v>48</v>
      </c>
      <c r="F586" s="36" t="s">
        <v>48</v>
      </c>
      <c r="K586" s="36" t="s">
        <v>48</v>
      </c>
      <c r="L586" s="36" t="s">
        <v>48</v>
      </c>
      <c r="M586" s="36" t="s">
        <v>48</v>
      </c>
    </row>
    <row r="587">
      <c r="C587" s="36" t="s">
        <v>48</v>
      </c>
      <c r="E587" s="36" t="s">
        <v>48</v>
      </c>
      <c r="F587" s="36" t="s">
        <v>48</v>
      </c>
      <c r="K587" s="36" t="s">
        <v>48</v>
      </c>
      <c r="L587" s="36" t="s">
        <v>48</v>
      </c>
      <c r="M587" s="36" t="s">
        <v>48</v>
      </c>
    </row>
    <row r="588">
      <c r="C588" s="36" t="s">
        <v>48</v>
      </c>
      <c r="E588" s="36" t="s">
        <v>48</v>
      </c>
      <c r="F588" s="36" t="s">
        <v>48</v>
      </c>
      <c r="K588" s="36" t="s">
        <v>48</v>
      </c>
      <c r="L588" s="36" t="s">
        <v>48</v>
      </c>
      <c r="M588" s="36" t="s">
        <v>48</v>
      </c>
    </row>
    <row r="589">
      <c r="C589" s="36" t="s">
        <v>48</v>
      </c>
      <c r="E589" s="36" t="s">
        <v>48</v>
      </c>
      <c r="F589" s="36" t="s">
        <v>48</v>
      </c>
      <c r="K589" s="36" t="s">
        <v>48</v>
      </c>
      <c r="L589" s="36" t="s">
        <v>48</v>
      </c>
      <c r="M589" s="36" t="s">
        <v>48</v>
      </c>
    </row>
    <row r="590">
      <c r="C590" s="36" t="s">
        <v>48</v>
      </c>
      <c r="E590" s="36" t="s">
        <v>48</v>
      </c>
      <c r="F590" s="36" t="s">
        <v>48</v>
      </c>
      <c r="K590" s="36" t="s">
        <v>48</v>
      </c>
      <c r="L590" s="36" t="s">
        <v>48</v>
      </c>
      <c r="M590" s="36" t="s">
        <v>48</v>
      </c>
    </row>
    <row r="591">
      <c r="C591" s="36" t="s">
        <v>48</v>
      </c>
      <c r="E591" s="36" t="s">
        <v>48</v>
      </c>
      <c r="F591" s="36" t="s">
        <v>48</v>
      </c>
      <c r="K591" s="36" t="s">
        <v>48</v>
      </c>
      <c r="L591" s="36" t="s">
        <v>48</v>
      </c>
      <c r="M591" s="36" t="s">
        <v>48</v>
      </c>
    </row>
    <row r="592">
      <c r="C592" s="36" t="s">
        <v>48</v>
      </c>
      <c r="E592" s="36" t="s">
        <v>48</v>
      </c>
      <c r="F592" s="36" t="s">
        <v>48</v>
      </c>
      <c r="K592" s="36" t="s">
        <v>48</v>
      </c>
      <c r="L592" s="36" t="s">
        <v>48</v>
      </c>
      <c r="M592" s="36" t="s">
        <v>48</v>
      </c>
    </row>
    <row r="593">
      <c r="C593" s="36" t="s">
        <v>48</v>
      </c>
      <c r="E593" s="36" t="s">
        <v>48</v>
      </c>
      <c r="F593" s="36" t="s">
        <v>48</v>
      </c>
      <c r="K593" s="36" t="s">
        <v>48</v>
      </c>
      <c r="L593" s="36" t="s">
        <v>48</v>
      </c>
      <c r="M593" s="36" t="s">
        <v>48</v>
      </c>
    </row>
    <row r="594">
      <c r="C594" s="36" t="s">
        <v>48</v>
      </c>
      <c r="E594" s="36" t="s">
        <v>48</v>
      </c>
      <c r="F594" s="36" t="s">
        <v>48</v>
      </c>
      <c r="K594" s="36" t="s">
        <v>48</v>
      </c>
      <c r="L594" s="36" t="s">
        <v>48</v>
      </c>
      <c r="M594" s="36" t="s">
        <v>48</v>
      </c>
    </row>
    <row r="595">
      <c r="C595" s="36" t="s">
        <v>48</v>
      </c>
      <c r="E595" s="36" t="s">
        <v>48</v>
      </c>
      <c r="F595" s="36" t="s">
        <v>48</v>
      </c>
      <c r="K595" s="36" t="s">
        <v>48</v>
      </c>
      <c r="L595" s="36" t="s">
        <v>48</v>
      </c>
      <c r="M595" s="36" t="s">
        <v>48</v>
      </c>
    </row>
    <row r="596">
      <c r="C596" s="36" t="s">
        <v>48</v>
      </c>
      <c r="E596" s="36" t="s">
        <v>48</v>
      </c>
      <c r="F596" s="36" t="s">
        <v>48</v>
      </c>
      <c r="K596" s="36" t="s">
        <v>48</v>
      </c>
      <c r="L596" s="36" t="s">
        <v>48</v>
      </c>
      <c r="M596" s="36" t="s">
        <v>48</v>
      </c>
    </row>
    <row r="597">
      <c r="C597" s="36" t="s">
        <v>48</v>
      </c>
      <c r="E597" s="36" t="s">
        <v>48</v>
      </c>
      <c r="F597" s="36" t="s">
        <v>48</v>
      </c>
      <c r="K597" s="36" t="s">
        <v>48</v>
      </c>
      <c r="L597" s="36" t="s">
        <v>48</v>
      </c>
      <c r="M597" s="36" t="s">
        <v>48</v>
      </c>
    </row>
    <row r="598">
      <c r="C598" s="36" t="s">
        <v>48</v>
      </c>
      <c r="E598" s="36" t="s">
        <v>48</v>
      </c>
      <c r="F598" s="36" t="s">
        <v>48</v>
      </c>
      <c r="K598" s="36" t="s">
        <v>48</v>
      </c>
      <c r="L598" s="36" t="s">
        <v>48</v>
      </c>
      <c r="M598" s="36" t="s">
        <v>48</v>
      </c>
    </row>
    <row r="599">
      <c r="C599" s="36" t="s">
        <v>48</v>
      </c>
      <c r="E599" s="36" t="s">
        <v>48</v>
      </c>
      <c r="F599" s="36" t="s">
        <v>48</v>
      </c>
      <c r="K599" s="36" t="s">
        <v>48</v>
      </c>
      <c r="L599" s="36" t="s">
        <v>48</v>
      </c>
      <c r="M599" s="36" t="s">
        <v>48</v>
      </c>
    </row>
    <row r="600">
      <c r="C600" s="36" t="s">
        <v>48</v>
      </c>
      <c r="E600" s="36" t="s">
        <v>48</v>
      </c>
      <c r="F600" s="36" t="s">
        <v>48</v>
      </c>
      <c r="K600" s="36" t="s">
        <v>48</v>
      </c>
      <c r="L600" s="36" t="s">
        <v>48</v>
      </c>
      <c r="M600" s="36" t="s">
        <v>48</v>
      </c>
    </row>
    <row r="601">
      <c r="C601" s="36" t="s">
        <v>48</v>
      </c>
      <c r="E601" s="36" t="s">
        <v>48</v>
      </c>
      <c r="F601" s="36" t="s">
        <v>48</v>
      </c>
      <c r="K601" s="36" t="s">
        <v>48</v>
      </c>
      <c r="L601" s="36" t="s">
        <v>48</v>
      </c>
      <c r="M601" s="36" t="s">
        <v>48</v>
      </c>
    </row>
    <row r="602">
      <c r="C602" s="36" t="s">
        <v>48</v>
      </c>
      <c r="E602" s="36" t="s">
        <v>48</v>
      </c>
      <c r="F602" s="36" t="s">
        <v>48</v>
      </c>
      <c r="K602" s="36" t="s">
        <v>48</v>
      </c>
      <c r="L602" s="36" t="s">
        <v>48</v>
      </c>
      <c r="M602" s="36" t="s">
        <v>48</v>
      </c>
    </row>
    <row r="603">
      <c r="C603" s="36" t="s">
        <v>48</v>
      </c>
      <c r="E603" s="36" t="s">
        <v>48</v>
      </c>
      <c r="F603" s="36" t="s">
        <v>48</v>
      </c>
      <c r="K603" s="36" t="s">
        <v>48</v>
      </c>
      <c r="L603" s="36" t="s">
        <v>48</v>
      </c>
      <c r="M603" s="36" t="s">
        <v>48</v>
      </c>
    </row>
    <row r="604">
      <c r="C604" s="36" t="s">
        <v>48</v>
      </c>
      <c r="E604" s="36" t="s">
        <v>48</v>
      </c>
      <c r="F604" s="36" t="s">
        <v>48</v>
      </c>
      <c r="K604" s="36" t="s">
        <v>48</v>
      </c>
      <c r="L604" s="36" t="s">
        <v>48</v>
      </c>
      <c r="M604" s="36" t="s">
        <v>48</v>
      </c>
    </row>
    <row r="605">
      <c r="C605" s="36" t="s">
        <v>48</v>
      </c>
      <c r="E605" s="36" t="s">
        <v>48</v>
      </c>
      <c r="F605" s="36" t="s">
        <v>48</v>
      </c>
      <c r="K605" s="36" t="s">
        <v>48</v>
      </c>
      <c r="L605" s="36" t="s">
        <v>48</v>
      </c>
      <c r="M605" s="36" t="s">
        <v>48</v>
      </c>
    </row>
    <row r="606">
      <c r="C606" s="36" t="s">
        <v>48</v>
      </c>
      <c r="E606" s="36" t="s">
        <v>48</v>
      </c>
      <c r="F606" s="36" t="s">
        <v>48</v>
      </c>
      <c r="K606" s="36" t="s">
        <v>48</v>
      </c>
      <c r="L606" s="36" t="s">
        <v>48</v>
      </c>
      <c r="M606" s="36" t="s">
        <v>48</v>
      </c>
    </row>
    <row r="607">
      <c r="C607" s="36" t="s">
        <v>48</v>
      </c>
      <c r="E607" s="36" t="s">
        <v>48</v>
      </c>
      <c r="F607" s="36" t="s">
        <v>48</v>
      </c>
      <c r="K607" s="36" t="s">
        <v>48</v>
      </c>
      <c r="L607" s="36" t="s">
        <v>48</v>
      </c>
      <c r="M607" s="36" t="s">
        <v>48</v>
      </c>
    </row>
    <row r="608">
      <c r="C608" s="36" t="s">
        <v>48</v>
      </c>
      <c r="E608" s="36" t="s">
        <v>48</v>
      </c>
      <c r="F608" s="36" t="s">
        <v>48</v>
      </c>
      <c r="K608" s="36" t="s">
        <v>48</v>
      </c>
      <c r="L608" s="36" t="s">
        <v>48</v>
      </c>
      <c r="M608" s="36" t="s">
        <v>48</v>
      </c>
    </row>
    <row r="609">
      <c r="C609" s="36" t="s">
        <v>48</v>
      </c>
      <c r="E609" s="36" t="s">
        <v>48</v>
      </c>
      <c r="F609" s="36" t="s">
        <v>48</v>
      </c>
      <c r="K609" s="36" t="s">
        <v>48</v>
      </c>
      <c r="L609" s="36" t="s">
        <v>48</v>
      </c>
      <c r="M609" s="36" t="s">
        <v>48</v>
      </c>
    </row>
    <row r="610">
      <c r="C610" s="36" t="s">
        <v>48</v>
      </c>
      <c r="E610" s="36" t="s">
        <v>48</v>
      </c>
      <c r="F610" s="36" t="s">
        <v>48</v>
      </c>
      <c r="K610" s="36" t="s">
        <v>48</v>
      </c>
      <c r="L610" s="36" t="s">
        <v>48</v>
      </c>
      <c r="M610" s="36" t="s">
        <v>48</v>
      </c>
    </row>
    <row r="611">
      <c r="C611" s="36" t="s">
        <v>48</v>
      </c>
      <c r="E611" s="36" t="s">
        <v>48</v>
      </c>
      <c r="F611" s="36" t="s">
        <v>48</v>
      </c>
      <c r="K611" s="36" t="s">
        <v>48</v>
      </c>
      <c r="L611" s="36" t="s">
        <v>48</v>
      </c>
      <c r="M611" s="36" t="s">
        <v>48</v>
      </c>
    </row>
    <row r="612">
      <c r="C612" s="36" t="s">
        <v>48</v>
      </c>
      <c r="E612" s="36" t="s">
        <v>48</v>
      </c>
      <c r="F612" s="36" t="s">
        <v>48</v>
      </c>
      <c r="K612" s="36" t="s">
        <v>48</v>
      </c>
      <c r="L612" s="36" t="s">
        <v>48</v>
      </c>
      <c r="M612" s="36" t="s">
        <v>48</v>
      </c>
    </row>
    <row r="613">
      <c r="C613" s="36" t="s">
        <v>48</v>
      </c>
      <c r="E613" s="36" t="s">
        <v>48</v>
      </c>
      <c r="F613" s="36" t="s">
        <v>48</v>
      </c>
      <c r="K613" s="36" t="s">
        <v>48</v>
      </c>
      <c r="L613" s="36" t="s">
        <v>48</v>
      </c>
      <c r="M613" s="36" t="s">
        <v>48</v>
      </c>
    </row>
    <row r="614">
      <c r="C614" s="36" t="s">
        <v>48</v>
      </c>
      <c r="E614" s="36" t="s">
        <v>48</v>
      </c>
      <c r="F614" s="36" t="s">
        <v>48</v>
      </c>
      <c r="K614" s="36" t="s">
        <v>48</v>
      </c>
      <c r="L614" s="36" t="s">
        <v>48</v>
      </c>
      <c r="M614" s="36" t="s">
        <v>48</v>
      </c>
    </row>
    <row r="615">
      <c r="C615" s="36" t="s">
        <v>48</v>
      </c>
      <c r="E615" s="36" t="s">
        <v>48</v>
      </c>
      <c r="F615" s="36" t="s">
        <v>48</v>
      </c>
      <c r="K615" s="36" t="s">
        <v>48</v>
      </c>
      <c r="L615" s="36" t="s">
        <v>48</v>
      </c>
      <c r="M615" s="36" t="s">
        <v>48</v>
      </c>
    </row>
    <row r="616">
      <c r="C616" s="36" t="s">
        <v>48</v>
      </c>
      <c r="E616" s="36" t="s">
        <v>48</v>
      </c>
      <c r="F616" s="36" t="s">
        <v>48</v>
      </c>
      <c r="K616" s="36" t="s">
        <v>48</v>
      </c>
      <c r="L616" s="36" t="s">
        <v>48</v>
      </c>
      <c r="M616" s="36" t="s">
        <v>48</v>
      </c>
    </row>
    <row r="617">
      <c r="C617" s="36" t="s">
        <v>48</v>
      </c>
      <c r="E617" s="36" t="s">
        <v>48</v>
      </c>
      <c r="F617" s="36" t="s">
        <v>48</v>
      </c>
      <c r="K617" s="36" t="s">
        <v>48</v>
      </c>
      <c r="L617" s="36" t="s">
        <v>48</v>
      </c>
      <c r="M617" s="36" t="s">
        <v>48</v>
      </c>
    </row>
    <row r="618">
      <c r="C618" s="36" t="s">
        <v>48</v>
      </c>
      <c r="E618" s="36" t="s">
        <v>48</v>
      </c>
      <c r="F618" s="36" t="s">
        <v>48</v>
      </c>
      <c r="K618" s="36" t="s">
        <v>48</v>
      </c>
      <c r="L618" s="36" t="s">
        <v>48</v>
      </c>
      <c r="M618" s="36" t="s">
        <v>48</v>
      </c>
    </row>
    <row r="619">
      <c r="C619" s="36" t="s">
        <v>48</v>
      </c>
      <c r="E619" s="36" t="s">
        <v>48</v>
      </c>
      <c r="F619" s="36" t="s">
        <v>48</v>
      </c>
      <c r="K619" s="36" t="s">
        <v>48</v>
      </c>
      <c r="L619" s="36" t="s">
        <v>48</v>
      </c>
      <c r="M619" s="36" t="s">
        <v>48</v>
      </c>
    </row>
    <row r="620">
      <c r="C620" s="36" t="s">
        <v>48</v>
      </c>
      <c r="E620" s="36" t="s">
        <v>48</v>
      </c>
      <c r="F620" s="36" t="s">
        <v>48</v>
      </c>
      <c r="K620" s="36" t="s">
        <v>48</v>
      </c>
      <c r="L620" s="36" t="s">
        <v>48</v>
      </c>
      <c r="M620" s="36" t="s">
        <v>48</v>
      </c>
    </row>
    <row r="621">
      <c r="C621" s="36" t="s">
        <v>48</v>
      </c>
      <c r="E621" s="36" t="s">
        <v>48</v>
      </c>
      <c r="F621" s="36" t="s">
        <v>48</v>
      </c>
      <c r="K621" s="36" t="s">
        <v>48</v>
      </c>
      <c r="L621" s="36" t="s">
        <v>48</v>
      </c>
      <c r="M621" s="36" t="s">
        <v>48</v>
      </c>
    </row>
    <row r="622">
      <c r="C622" s="36" t="s">
        <v>48</v>
      </c>
      <c r="E622" s="36" t="s">
        <v>48</v>
      </c>
      <c r="F622" s="36" t="s">
        <v>48</v>
      </c>
      <c r="K622" s="36" t="s">
        <v>48</v>
      </c>
      <c r="L622" s="36" t="s">
        <v>48</v>
      </c>
      <c r="M622" s="36" t="s">
        <v>48</v>
      </c>
    </row>
    <row r="623">
      <c r="C623" s="36" t="s">
        <v>48</v>
      </c>
      <c r="E623" s="36" t="s">
        <v>48</v>
      </c>
      <c r="F623" s="36" t="s">
        <v>48</v>
      </c>
      <c r="K623" s="36" t="s">
        <v>48</v>
      </c>
      <c r="L623" s="36" t="s">
        <v>48</v>
      </c>
      <c r="M623" s="36" t="s">
        <v>48</v>
      </c>
    </row>
    <row r="624">
      <c r="C624" s="36" t="s">
        <v>48</v>
      </c>
      <c r="E624" s="36" t="s">
        <v>48</v>
      </c>
      <c r="F624" s="36" t="s">
        <v>48</v>
      </c>
      <c r="K624" s="36" t="s">
        <v>48</v>
      </c>
      <c r="L624" s="36" t="s">
        <v>48</v>
      </c>
      <c r="M624" s="36" t="s">
        <v>48</v>
      </c>
    </row>
    <row r="625">
      <c r="C625" s="36" t="s">
        <v>48</v>
      </c>
      <c r="E625" s="36" t="s">
        <v>48</v>
      </c>
      <c r="F625" s="36" t="s">
        <v>48</v>
      </c>
      <c r="K625" s="36" t="s">
        <v>48</v>
      </c>
      <c r="L625" s="36" t="s">
        <v>48</v>
      </c>
      <c r="M625" s="36" t="s">
        <v>48</v>
      </c>
    </row>
    <row r="626">
      <c r="C626" s="36" t="s">
        <v>48</v>
      </c>
      <c r="E626" s="36" t="s">
        <v>48</v>
      </c>
      <c r="F626" s="36" t="s">
        <v>48</v>
      </c>
      <c r="K626" s="36" t="s">
        <v>48</v>
      </c>
      <c r="L626" s="36" t="s">
        <v>48</v>
      </c>
      <c r="M626" s="36" t="s">
        <v>48</v>
      </c>
    </row>
    <row r="627">
      <c r="C627" s="36" t="s">
        <v>48</v>
      </c>
      <c r="E627" s="36" t="s">
        <v>48</v>
      </c>
      <c r="F627" s="36" t="s">
        <v>48</v>
      </c>
      <c r="K627" s="36" t="s">
        <v>48</v>
      </c>
      <c r="L627" s="36" t="s">
        <v>48</v>
      </c>
      <c r="M627" s="36" t="s">
        <v>48</v>
      </c>
    </row>
    <row r="628">
      <c r="C628" s="36" t="s">
        <v>48</v>
      </c>
      <c r="E628" s="36" t="s">
        <v>48</v>
      </c>
      <c r="F628" s="36" t="s">
        <v>48</v>
      </c>
      <c r="K628" s="36" t="s">
        <v>48</v>
      </c>
      <c r="L628" s="36" t="s">
        <v>48</v>
      </c>
      <c r="M628" s="36" t="s">
        <v>48</v>
      </c>
    </row>
    <row r="629">
      <c r="C629" s="36" t="s">
        <v>48</v>
      </c>
      <c r="E629" s="36" t="s">
        <v>48</v>
      </c>
      <c r="F629" s="36" t="s">
        <v>48</v>
      </c>
      <c r="K629" s="36" t="s">
        <v>48</v>
      </c>
      <c r="L629" s="36" t="s">
        <v>48</v>
      </c>
      <c r="M629" s="36" t="s">
        <v>48</v>
      </c>
    </row>
    <row r="630">
      <c r="C630" s="36" t="s">
        <v>48</v>
      </c>
      <c r="E630" s="36" t="s">
        <v>48</v>
      </c>
      <c r="F630" s="36" t="s">
        <v>48</v>
      </c>
      <c r="K630" s="36" t="s">
        <v>48</v>
      </c>
      <c r="L630" s="36" t="s">
        <v>48</v>
      </c>
      <c r="M630" s="36" t="s">
        <v>48</v>
      </c>
    </row>
    <row r="631">
      <c r="C631" s="36" t="s">
        <v>48</v>
      </c>
      <c r="E631" s="36" t="s">
        <v>48</v>
      </c>
      <c r="F631" s="36" t="s">
        <v>48</v>
      </c>
      <c r="K631" s="36" t="s">
        <v>48</v>
      </c>
      <c r="L631" s="36" t="s">
        <v>48</v>
      </c>
      <c r="M631" s="36" t="s">
        <v>48</v>
      </c>
    </row>
    <row r="632">
      <c r="C632" s="36" t="s">
        <v>48</v>
      </c>
      <c r="E632" s="36" t="s">
        <v>48</v>
      </c>
      <c r="F632" s="36" t="s">
        <v>48</v>
      </c>
      <c r="K632" s="36" t="s">
        <v>48</v>
      </c>
      <c r="L632" s="36" t="s">
        <v>48</v>
      </c>
      <c r="M632" s="36" t="s">
        <v>48</v>
      </c>
    </row>
    <row r="633">
      <c r="C633" s="36" t="s">
        <v>48</v>
      </c>
      <c r="E633" s="36" t="s">
        <v>48</v>
      </c>
      <c r="F633" s="36" t="s">
        <v>48</v>
      </c>
      <c r="K633" s="36" t="s">
        <v>48</v>
      </c>
      <c r="L633" s="36" t="s">
        <v>48</v>
      </c>
      <c r="M633" s="36" t="s">
        <v>48</v>
      </c>
    </row>
    <row r="634">
      <c r="C634" s="36" t="s">
        <v>48</v>
      </c>
      <c r="E634" s="36" t="s">
        <v>48</v>
      </c>
      <c r="F634" s="36" t="s">
        <v>48</v>
      </c>
      <c r="K634" s="36" t="s">
        <v>48</v>
      </c>
      <c r="L634" s="36" t="s">
        <v>48</v>
      </c>
      <c r="M634" s="36" t="s">
        <v>48</v>
      </c>
    </row>
    <row r="635">
      <c r="C635" s="36" t="s">
        <v>48</v>
      </c>
      <c r="E635" s="36" t="s">
        <v>48</v>
      </c>
      <c r="F635" s="36" t="s">
        <v>48</v>
      </c>
      <c r="K635" s="36" t="s">
        <v>48</v>
      </c>
      <c r="L635" s="36" t="s">
        <v>48</v>
      </c>
      <c r="M635" s="36" t="s">
        <v>48</v>
      </c>
    </row>
    <row r="636">
      <c r="C636" s="36" t="s">
        <v>48</v>
      </c>
      <c r="E636" s="36" t="s">
        <v>48</v>
      </c>
      <c r="F636" s="36" t="s">
        <v>48</v>
      </c>
      <c r="K636" s="36" t="s">
        <v>48</v>
      </c>
      <c r="L636" s="36" t="s">
        <v>48</v>
      </c>
      <c r="M636" s="36" t="s">
        <v>48</v>
      </c>
    </row>
    <row r="637">
      <c r="C637" s="36" t="s">
        <v>48</v>
      </c>
      <c r="E637" s="36" t="s">
        <v>48</v>
      </c>
      <c r="F637" s="36" t="s">
        <v>48</v>
      </c>
      <c r="K637" s="36" t="s">
        <v>48</v>
      </c>
      <c r="L637" s="36" t="s">
        <v>48</v>
      </c>
      <c r="M637" s="36" t="s">
        <v>48</v>
      </c>
    </row>
    <row r="638">
      <c r="C638" s="36" t="s">
        <v>48</v>
      </c>
      <c r="E638" s="36" t="s">
        <v>48</v>
      </c>
      <c r="F638" s="36" t="s">
        <v>48</v>
      </c>
      <c r="K638" s="36" t="s">
        <v>48</v>
      </c>
      <c r="L638" s="36" t="s">
        <v>48</v>
      </c>
      <c r="M638" s="36" t="s">
        <v>48</v>
      </c>
    </row>
    <row r="639">
      <c r="C639" s="36" t="s">
        <v>48</v>
      </c>
      <c r="E639" s="36" t="s">
        <v>48</v>
      </c>
      <c r="F639" s="36" t="s">
        <v>48</v>
      </c>
      <c r="K639" s="36" t="s">
        <v>48</v>
      </c>
      <c r="L639" s="36" t="s">
        <v>48</v>
      </c>
      <c r="M639" s="36" t="s">
        <v>48</v>
      </c>
    </row>
    <row r="640">
      <c r="C640" s="36" t="s">
        <v>48</v>
      </c>
      <c r="E640" s="36" t="s">
        <v>48</v>
      </c>
      <c r="F640" s="36" t="s">
        <v>48</v>
      </c>
      <c r="K640" s="36" t="s">
        <v>48</v>
      </c>
      <c r="L640" s="36" t="s">
        <v>48</v>
      </c>
      <c r="M640" s="36" t="s">
        <v>48</v>
      </c>
    </row>
    <row r="641">
      <c r="C641" s="36" t="s">
        <v>48</v>
      </c>
      <c r="E641" s="36" t="s">
        <v>48</v>
      </c>
      <c r="F641" s="36" t="s">
        <v>48</v>
      </c>
      <c r="K641" s="36" t="s">
        <v>48</v>
      </c>
      <c r="L641" s="36" t="s">
        <v>48</v>
      </c>
      <c r="M641" s="36" t="s">
        <v>48</v>
      </c>
    </row>
    <row r="642">
      <c r="C642" s="36" t="s">
        <v>48</v>
      </c>
      <c r="E642" s="36" t="s">
        <v>48</v>
      </c>
      <c r="F642" s="36" t="s">
        <v>48</v>
      </c>
      <c r="K642" s="36" t="s">
        <v>48</v>
      </c>
      <c r="L642" s="36" t="s">
        <v>48</v>
      </c>
      <c r="M642" s="36" t="s">
        <v>48</v>
      </c>
    </row>
    <row r="643">
      <c r="C643" s="36" t="s">
        <v>48</v>
      </c>
      <c r="E643" s="36" t="s">
        <v>48</v>
      </c>
      <c r="F643" s="36" t="s">
        <v>48</v>
      </c>
      <c r="K643" s="36" t="s">
        <v>48</v>
      </c>
      <c r="L643" s="36" t="s">
        <v>48</v>
      </c>
      <c r="M643" s="36" t="s">
        <v>48</v>
      </c>
    </row>
    <row r="644">
      <c r="C644" s="36" t="s">
        <v>48</v>
      </c>
      <c r="E644" s="36" t="s">
        <v>48</v>
      </c>
      <c r="F644" s="36" t="s">
        <v>48</v>
      </c>
      <c r="K644" s="36" t="s">
        <v>48</v>
      </c>
      <c r="L644" s="36" t="s">
        <v>48</v>
      </c>
      <c r="M644" s="36" t="s">
        <v>48</v>
      </c>
    </row>
    <row r="645">
      <c r="C645" s="36" t="s">
        <v>48</v>
      </c>
      <c r="E645" s="36" t="s">
        <v>48</v>
      </c>
      <c r="F645" s="36" t="s">
        <v>48</v>
      </c>
      <c r="K645" s="36" t="s">
        <v>48</v>
      </c>
      <c r="L645" s="36" t="s">
        <v>48</v>
      </c>
      <c r="M645" s="36" t="s">
        <v>48</v>
      </c>
    </row>
    <row r="646">
      <c r="C646" s="36" t="s">
        <v>48</v>
      </c>
      <c r="E646" s="36" t="s">
        <v>48</v>
      </c>
      <c r="F646" s="36" t="s">
        <v>48</v>
      </c>
      <c r="K646" s="36" t="s">
        <v>48</v>
      </c>
      <c r="L646" s="36" t="s">
        <v>48</v>
      </c>
      <c r="M646" s="36" t="s">
        <v>48</v>
      </c>
    </row>
    <row r="647">
      <c r="C647" s="36" t="s">
        <v>48</v>
      </c>
      <c r="E647" s="36" t="s">
        <v>48</v>
      </c>
      <c r="F647" s="36" t="s">
        <v>48</v>
      </c>
      <c r="K647" s="36" t="s">
        <v>48</v>
      </c>
      <c r="L647" s="36" t="s">
        <v>48</v>
      </c>
      <c r="M647" s="36" t="s">
        <v>48</v>
      </c>
    </row>
    <row r="648">
      <c r="C648" s="36" t="s">
        <v>48</v>
      </c>
      <c r="E648" s="36" t="s">
        <v>48</v>
      </c>
      <c r="F648" s="36" t="s">
        <v>48</v>
      </c>
      <c r="K648" s="36" t="s">
        <v>48</v>
      </c>
      <c r="L648" s="36" t="s">
        <v>48</v>
      </c>
      <c r="M648" s="36" t="s">
        <v>48</v>
      </c>
    </row>
    <row r="649">
      <c r="C649" s="36" t="s">
        <v>48</v>
      </c>
      <c r="E649" s="36" t="s">
        <v>48</v>
      </c>
      <c r="F649" s="36" t="s">
        <v>48</v>
      </c>
      <c r="K649" s="36" t="s">
        <v>48</v>
      </c>
      <c r="L649" s="36" t="s">
        <v>48</v>
      </c>
      <c r="M649" s="36" t="s">
        <v>48</v>
      </c>
    </row>
    <row r="650">
      <c r="C650" s="36" t="s">
        <v>48</v>
      </c>
      <c r="E650" s="36" t="s">
        <v>48</v>
      </c>
      <c r="F650" s="36" t="s">
        <v>48</v>
      </c>
      <c r="K650" s="36" t="s">
        <v>48</v>
      </c>
      <c r="L650" s="36" t="s">
        <v>48</v>
      </c>
      <c r="M650" s="36" t="s">
        <v>48</v>
      </c>
    </row>
    <row r="651">
      <c r="C651" s="36" t="s">
        <v>48</v>
      </c>
      <c r="E651" s="36" t="s">
        <v>48</v>
      </c>
      <c r="F651" s="36" t="s">
        <v>48</v>
      </c>
      <c r="K651" s="36" t="s">
        <v>48</v>
      </c>
      <c r="L651" s="36" t="s">
        <v>48</v>
      </c>
      <c r="M651" s="36" t="s">
        <v>48</v>
      </c>
    </row>
    <row r="652">
      <c r="C652" s="36" t="s">
        <v>48</v>
      </c>
      <c r="E652" s="36" t="s">
        <v>48</v>
      </c>
      <c r="F652" s="36" t="s">
        <v>48</v>
      </c>
      <c r="K652" s="36" t="s">
        <v>48</v>
      </c>
      <c r="L652" s="36" t="s">
        <v>48</v>
      </c>
      <c r="M652" s="36" t="s">
        <v>48</v>
      </c>
    </row>
    <row r="653">
      <c r="C653" s="36" t="s">
        <v>48</v>
      </c>
      <c r="E653" s="36" t="s">
        <v>48</v>
      </c>
      <c r="F653" s="36" t="s">
        <v>48</v>
      </c>
      <c r="K653" s="36" t="s">
        <v>48</v>
      </c>
      <c r="L653" s="36" t="s">
        <v>48</v>
      </c>
      <c r="M653" s="36" t="s">
        <v>48</v>
      </c>
    </row>
    <row r="654">
      <c r="C654" s="36" t="s">
        <v>48</v>
      </c>
      <c r="E654" s="36" t="s">
        <v>48</v>
      </c>
      <c r="F654" s="36" t="s">
        <v>48</v>
      </c>
      <c r="K654" s="36" t="s">
        <v>48</v>
      </c>
      <c r="L654" s="36" t="s">
        <v>48</v>
      </c>
      <c r="M654" s="36" t="s">
        <v>48</v>
      </c>
    </row>
    <row r="655">
      <c r="C655" s="36" t="s">
        <v>48</v>
      </c>
      <c r="E655" s="36" t="s">
        <v>48</v>
      </c>
      <c r="F655" s="36" t="s">
        <v>48</v>
      </c>
      <c r="K655" s="36" t="s">
        <v>48</v>
      </c>
      <c r="L655" s="36" t="s">
        <v>48</v>
      </c>
      <c r="M655" s="36" t="s">
        <v>48</v>
      </c>
    </row>
    <row r="656">
      <c r="C656" s="36" t="s">
        <v>48</v>
      </c>
      <c r="E656" s="36" t="s">
        <v>48</v>
      </c>
      <c r="F656" s="36" t="s">
        <v>48</v>
      </c>
      <c r="K656" s="36" t="s">
        <v>48</v>
      </c>
      <c r="L656" s="36" t="s">
        <v>48</v>
      </c>
      <c r="M656" s="36" t="s">
        <v>48</v>
      </c>
    </row>
    <row r="657">
      <c r="C657" s="36" t="s">
        <v>48</v>
      </c>
      <c r="E657" s="36" t="s">
        <v>48</v>
      </c>
      <c r="F657" s="36" t="s">
        <v>48</v>
      </c>
      <c r="K657" s="36" t="s">
        <v>48</v>
      </c>
      <c r="L657" s="36" t="s">
        <v>48</v>
      </c>
      <c r="M657" s="36" t="s">
        <v>48</v>
      </c>
    </row>
    <row r="658">
      <c r="C658" s="36" t="s">
        <v>48</v>
      </c>
      <c r="E658" s="36" t="s">
        <v>48</v>
      </c>
      <c r="F658" s="36" t="s">
        <v>48</v>
      </c>
      <c r="K658" s="36" t="s">
        <v>48</v>
      </c>
      <c r="L658" s="36" t="s">
        <v>48</v>
      </c>
      <c r="M658" s="36" t="s">
        <v>48</v>
      </c>
    </row>
    <row r="659">
      <c r="C659" s="36" t="s">
        <v>48</v>
      </c>
      <c r="E659" s="36" t="s">
        <v>48</v>
      </c>
      <c r="F659" s="36" t="s">
        <v>48</v>
      </c>
      <c r="K659" s="36" t="s">
        <v>48</v>
      </c>
      <c r="L659" s="36" t="s">
        <v>48</v>
      </c>
      <c r="M659" s="36" t="s">
        <v>48</v>
      </c>
    </row>
    <row r="660">
      <c r="C660" s="36" t="s">
        <v>48</v>
      </c>
      <c r="E660" s="36" t="s">
        <v>48</v>
      </c>
      <c r="F660" s="36" t="s">
        <v>48</v>
      </c>
      <c r="K660" s="36" t="s">
        <v>48</v>
      </c>
      <c r="L660" s="36" t="s">
        <v>48</v>
      </c>
      <c r="M660" s="36" t="s">
        <v>48</v>
      </c>
    </row>
    <row r="661">
      <c r="C661" s="36" t="s">
        <v>48</v>
      </c>
      <c r="E661" s="36" t="s">
        <v>48</v>
      </c>
      <c r="F661" s="36" t="s">
        <v>48</v>
      </c>
      <c r="K661" s="36" t="s">
        <v>48</v>
      </c>
      <c r="L661" s="36" t="s">
        <v>48</v>
      </c>
      <c r="M661" s="36" t="s">
        <v>48</v>
      </c>
    </row>
    <row r="662">
      <c r="C662" s="36" t="s">
        <v>48</v>
      </c>
      <c r="E662" s="36" t="s">
        <v>48</v>
      </c>
      <c r="F662" s="36" t="s">
        <v>48</v>
      </c>
      <c r="K662" s="36" t="s">
        <v>48</v>
      </c>
      <c r="L662" s="36" t="s">
        <v>48</v>
      </c>
      <c r="M662" s="36" t="s">
        <v>48</v>
      </c>
    </row>
    <row r="663">
      <c r="C663" s="36" t="s">
        <v>48</v>
      </c>
      <c r="E663" s="36" t="s">
        <v>48</v>
      </c>
      <c r="F663" s="36" t="s">
        <v>48</v>
      </c>
      <c r="K663" s="36" t="s">
        <v>48</v>
      </c>
      <c r="L663" s="36" t="s">
        <v>48</v>
      </c>
      <c r="M663" s="36" t="s">
        <v>48</v>
      </c>
    </row>
    <row r="664">
      <c r="C664" s="36" t="s">
        <v>48</v>
      </c>
      <c r="E664" s="36" t="s">
        <v>48</v>
      </c>
      <c r="F664" s="36" t="s">
        <v>48</v>
      </c>
      <c r="K664" s="36" t="s">
        <v>48</v>
      </c>
      <c r="L664" s="36" t="s">
        <v>48</v>
      </c>
      <c r="M664" s="36" t="s">
        <v>48</v>
      </c>
    </row>
    <row r="665">
      <c r="C665" s="36" t="s">
        <v>48</v>
      </c>
      <c r="E665" s="36" t="s">
        <v>48</v>
      </c>
      <c r="F665" s="36" t="s">
        <v>48</v>
      </c>
      <c r="K665" s="36" t="s">
        <v>48</v>
      </c>
      <c r="L665" s="36" t="s">
        <v>48</v>
      </c>
      <c r="M665" s="36" t="s">
        <v>48</v>
      </c>
    </row>
    <row r="666">
      <c r="C666" s="36" t="s">
        <v>48</v>
      </c>
      <c r="E666" s="36" t="s">
        <v>48</v>
      </c>
      <c r="F666" s="36" t="s">
        <v>48</v>
      </c>
      <c r="K666" s="36" t="s">
        <v>48</v>
      </c>
      <c r="L666" s="36" t="s">
        <v>48</v>
      </c>
      <c r="M666" s="36" t="s">
        <v>48</v>
      </c>
    </row>
    <row r="667">
      <c r="C667" s="36" t="s">
        <v>48</v>
      </c>
      <c r="E667" s="36" t="s">
        <v>48</v>
      </c>
      <c r="F667" s="36" t="s">
        <v>48</v>
      </c>
      <c r="K667" s="36" t="s">
        <v>48</v>
      </c>
      <c r="L667" s="36" t="s">
        <v>48</v>
      </c>
      <c r="M667" s="36" t="s">
        <v>48</v>
      </c>
    </row>
    <row r="668">
      <c r="C668" s="36" t="s">
        <v>48</v>
      </c>
      <c r="E668" s="36" t="s">
        <v>48</v>
      </c>
      <c r="F668" s="36" t="s">
        <v>48</v>
      </c>
      <c r="K668" s="36" t="s">
        <v>48</v>
      </c>
      <c r="L668" s="36" t="s">
        <v>48</v>
      </c>
      <c r="M668" s="36" t="s">
        <v>48</v>
      </c>
    </row>
    <row r="669">
      <c r="C669" s="36" t="s">
        <v>48</v>
      </c>
      <c r="E669" s="36" t="s">
        <v>48</v>
      </c>
      <c r="F669" s="36" t="s">
        <v>48</v>
      </c>
      <c r="K669" s="36" t="s">
        <v>48</v>
      </c>
      <c r="L669" s="36" t="s">
        <v>48</v>
      </c>
      <c r="M669" s="36" t="s">
        <v>48</v>
      </c>
    </row>
    <row r="670">
      <c r="C670" s="36" t="s">
        <v>48</v>
      </c>
      <c r="E670" s="36" t="s">
        <v>48</v>
      </c>
      <c r="F670" s="36" t="s">
        <v>48</v>
      </c>
      <c r="K670" s="36" t="s">
        <v>48</v>
      </c>
      <c r="L670" s="36" t="s">
        <v>48</v>
      </c>
      <c r="M670" s="36" t="s">
        <v>48</v>
      </c>
    </row>
    <row r="671">
      <c r="C671" s="36" t="s">
        <v>48</v>
      </c>
      <c r="E671" s="36" t="s">
        <v>48</v>
      </c>
      <c r="F671" s="36" t="s">
        <v>48</v>
      </c>
      <c r="K671" s="36" t="s">
        <v>48</v>
      </c>
      <c r="L671" s="36" t="s">
        <v>48</v>
      </c>
      <c r="M671" s="36" t="s">
        <v>48</v>
      </c>
    </row>
    <row r="672">
      <c r="C672" s="36" t="s">
        <v>48</v>
      </c>
      <c r="E672" s="36" t="s">
        <v>48</v>
      </c>
      <c r="F672" s="36" t="s">
        <v>48</v>
      </c>
      <c r="K672" s="36" t="s">
        <v>48</v>
      </c>
      <c r="L672" s="36" t="s">
        <v>48</v>
      </c>
      <c r="M672" s="36" t="s">
        <v>48</v>
      </c>
    </row>
    <row r="673">
      <c r="C673" s="36" t="s">
        <v>48</v>
      </c>
      <c r="E673" s="36" t="s">
        <v>48</v>
      </c>
      <c r="F673" s="36" t="s">
        <v>48</v>
      </c>
      <c r="K673" s="36" t="s">
        <v>48</v>
      </c>
      <c r="L673" s="36" t="s">
        <v>48</v>
      </c>
      <c r="M673" s="36" t="s">
        <v>48</v>
      </c>
    </row>
    <row r="674">
      <c r="C674" s="36" t="s">
        <v>48</v>
      </c>
      <c r="E674" s="36" t="s">
        <v>48</v>
      </c>
      <c r="F674" s="36" t="s">
        <v>48</v>
      </c>
      <c r="K674" s="36" t="s">
        <v>48</v>
      </c>
      <c r="L674" s="36" t="s">
        <v>48</v>
      </c>
      <c r="M674" s="36" t="s">
        <v>48</v>
      </c>
    </row>
    <row r="675">
      <c r="C675" s="36" t="s">
        <v>48</v>
      </c>
      <c r="E675" s="36" t="s">
        <v>48</v>
      </c>
      <c r="F675" s="36" t="s">
        <v>48</v>
      </c>
      <c r="K675" s="36" t="s">
        <v>48</v>
      </c>
      <c r="L675" s="36" t="s">
        <v>48</v>
      </c>
      <c r="M675" s="36" t="s">
        <v>48</v>
      </c>
    </row>
    <row r="676">
      <c r="C676" s="36" t="s">
        <v>48</v>
      </c>
      <c r="E676" s="36" t="s">
        <v>48</v>
      </c>
      <c r="F676" s="36" t="s">
        <v>48</v>
      </c>
      <c r="K676" s="36" t="s">
        <v>48</v>
      </c>
      <c r="L676" s="36" t="s">
        <v>48</v>
      </c>
      <c r="M676" s="36" t="s">
        <v>48</v>
      </c>
    </row>
    <row r="677">
      <c r="C677" s="36" t="s">
        <v>48</v>
      </c>
      <c r="E677" s="36" t="s">
        <v>48</v>
      </c>
      <c r="F677" s="36" t="s">
        <v>48</v>
      </c>
      <c r="K677" s="36" t="s">
        <v>48</v>
      </c>
      <c r="L677" s="36" t="s">
        <v>48</v>
      </c>
      <c r="M677" s="36" t="s">
        <v>48</v>
      </c>
    </row>
    <row r="678">
      <c r="C678" s="36" t="s">
        <v>48</v>
      </c>
      <c r="E678" s="36" t="s">
        <v>48</v>
      </c>
      <c r="F678" s="36" t="s">
        <v>48</v>
      </c>
      <c r="K678" s="36" t="s">
        <v>48</v>
      </c>
      <c r="L678" s="36" t="s">
        <v>48</v>
      </c>
      <c r="M678" s="36" t="s">
        <v>48</v>
      </c>
    </row>
    <row r="679">
      <c r="C679" s="36" t="s">
        <v>48</v>
      </c>
      <c r="E679" s="36" t="s">
        <v>48</v>
      </c>
      <c r="F679" s="36" t="s">
        <v>48</v>
      </c>
      <c r="K679" s="36" t="s">
        <v>48</v>
      </c>
      <c r="L679" s="36" t="s">
        <v>48</v>
      </c>
      <c r="M679" s="36" t="s">
        <v>48</v>
      </c>
    </row>
    <row r="680">
      <c r="C680" s="36" t="s">
        <v>48</v>
      </c>
      <c r="E680" s="36" t="s">
        <v>48</v>
      </c>
      <c r="F680" s="36" t="s">
        <v>48</v>
      </c>
      <c r="K680" s="36" t="s">
        <v>48</v>
      </c>
      <c r="L680" s="36" t="s">
        <v>48</v>
      </c>
      <c r="M680" s="36" t="s">
        <v>48</v>
      </c>
    </row>
    <row r="681">
      <c r="C681" s="36" t="s">
        <v>48</v>
      </c>
      <c r="E681" s="36" t="s">
        <v>48</v>
      </c>
      <c r="F681" s="36" t="s">
        <v>48</v>
      </c>
      <c r="K681" s="36" t="s">
        <v>48</v>
      </c>
      <c r="L681" s="36" t="s">
        <v>48</v>
      </c>
      <c r="M681" s="36" t="s">
        <v>48</v>
      </c>
    </row>
    <row r="682">
      <c r="C682" s="36" t="s">
        <v>48</v>
      </c>
      <c r="E682" s="36" t="s">
        <v>48</v>
      </c>
      <c r="F682" s="36" t="s">
        <v>48</v>
      </c>
      <c r="K682" s="36" t="s">
        <v>48</v>
      </c>
      <c r="L682" s="36" t="s">
        <v>48</v>
      </c>
      <c r="M682" s="36" t="s">
        <v>48</v>
      </c>
    </row>
    <row r="683">
      <c r="C683" s="36" t="s">
        <v>48</v>
      </c>
      <c r="E683" s="36" t="s">
        <v>48</v>
      </c>
      <c r="F683" s="36" t="s">
        <v>48</v>
      </c>
      <c r="K683" s="36" t="s">
        <v>48</v>
      </c>
      <c r="L683" s="36" t="s">
        <v>48</v>
      </c>
      <c r="M683" s="36" t="s">
        <v>48</v>
      </c>
    </row>
    <row r="684">
      <c r="C684" s="36" t="s">
        <v>48</v>
      </c>
      <c r="E684" s="36" t="s">
        <v>48</v>
      </c>
      <c r="F684" s="36" t="s">
        <v>48</v>
      </c>
      <c r="K684" s="36" t="s">
        <v>48</v>
      </c>
      <c r="L684" s="36" t="s">
        <v>48</v>
      </c>
      <c r="M684" s="36" t="s">
        <v>48</v>
      </c>
    </row>
    <row r="685">
      <c r="C685" s="36" t="s">
        <v>48</v>
      </c>
      <c r="E685" s="36" t="s">
        <v>48</v>
      </c>
      <c r="F685" s="36" t="s">
        <v>48</v>
      </c>
      <c r="K685" s="36" t="s">
        <v>48</v>
      </c>
      <c r="L685" s="36" t="s">
        <v>48</v>
      </c>
      <c r="M685" s="36" t="s">
        <v>48</v>
      </c>
    </row>
    <row r="686">
      <c r="C686" s="36" t="s">
        <v>48</v>
      </c>
      <c r="E686" s="36" t="s">
        <v>48</v>
      </c>
      <c r="F686" s="36" t="s">
        <v>48</v>
      </c>
      <c r="K686" s="36" t="s">
        <v>48</v>
      </c>
      <c r="L686" s="36" t="s">
        <v>48</v>
      </c>
      <c r="M686" s="36" t="s">
        <v>48</v>
      </c>
    </row>
    <row r="687">
      <c r="C687" s="36" t="s">
        <v>48</v>
      </c>
      <c r="E687" s="36" t="s">
        <v>48</v>
      </c>
      <c r="F687" s="36" t="s">
        <v>48</v>
      </c>
      <c r="K687" s="36" t="s">
        <v>48</v>
      </c>
      <c r="L687" s="36" t="s">
        <v>48</v>
      </c>
      <c r="M687" s="36" t="s">
        <v>48</v>
      </c>
    </row>
    <row r="688">
      <c r="C688" s="36" t="s">
        <v>48</v>
      </c>
      <c r="E688" s="36" t="s">
        <v>48</v>
      </c>
      <c r="F688" s="36" t="s">
        <v>48</v>
      </c>
      <c r="K688" s="36" t="s">
        <v>48</v>
      </c>
      <c r="L688" s="36" t="s">
        <v>48</v>
      </c>
      <c r="M688" s="36" t="s">
        <v>48</v>
      </c>
    </row>
    <row r="689">
      <c r="C689" s="36" t="s">
        <v>48</v>
      </c>
      <c r="E689" s="36" t="s">
        <v>48</v>
      </c>
      <c r="F689" s="36" t="s">
        <v>48</v>
      </c>
      <c r="K689" s="36" t="s">
        <v>48</v>
      </c>
      <c r="L689" s="36" t="s">
        <v>48</v>
      </c>
      <c r="M689" s="36" t="s">
        <v>48</v>
      </c>
    </row>
    <row r="690">
      <c r="C690" s="36" t="s">
        <v>48</v>
      </c>
      <c r="E690" s="36" t="s">
        <v>48</v>
      </c>
      <c r="F690" s="36" t="s">
        <v>48</v>
      </c>
      <c r="K690" s="36" t="s">
        <v>48</v>
      </c>
      <c r="L690" s="36" t="s">
        <v>48</v>
      </c>
      <c r="M690" s="36" t="s">
        <v>48</v>
      </c>
    </row>
    <row r="691">
      <c r="C691" s="36" t="s">
        <v>48</v>
      </c>
      <c r="E691" s="36" t="s">
        <v>48</v>
      </c>
      <c r="F691" s="36" t="s">
        <v>48</v>
      </c>
      <c r="K691" s="36" t="s">
        <v>48</v>
      </c>
      <c r="L691" s="36" t="s">
        <v>48</v>
      </c>
      <c r="M691" s="36" t="s">
        <v>48</v>
      </c>
    </row>
    <row r="692">
      <c r="C692" s="36" t="s">
        <v>48</v>
      </c>
      <c r="E692" s="36" t="s">
        <v>48</v>
      </c>
      <c r="F692" s="36" t="s">
        <v>48</v>
      </c>
      <c r="K692" s="36" t="s">
        <v>48</v>
      </c>
      <c r="L692" s="36" t="s">
        <v>48</v>
      </c>
      <c r="M692" s="36" t="s">
        <v>48</v>
      </c>
    </row>
    <row r="693">
      <c r="C693" s="36" t="s">
        <v>48</v>
      </c>
      <c r="E693" s="36" t="s">
        <v>48</v>
      </c>
      <c r="F693" s="36" t="s">
        <v>48</v>
      </c>
      <c r="K693" s="36" t="s">
        <v>48</v>
      </c>
      <c r="L693" s="36" t="s">
        <v>48</v>
      </c>
      <c r="M693" s="36" t="s">
        <v>48</v>
      </c>
    </row>
    <row r="694">
      <c r="C694" s="36" t="s">
        <v>48</v>
      </c>
      <c r="E694" s="36" t="s">
        <v>48</v>
      </c>
      <c r="F694" s="36" t="s">
        <v>48</v>
      </c>
      <c r="K694" s="36" t="s">
        <v>48</v>
      </c>
      <c r="L694" s="36" t="s">
        <v>48</v>
      </c>
      <c r="M694" s="36" t="s">
        <v>48</v>
      </c>
    </row>
    <row r="695">
      <c r="C695" s="36" t="s">
        <v>48</v>
      </c>
      <c r="E695" s="36" t="s">
        <v>48</v>
      </c>
      <c r="F695" s="36" t="s">
        <v>48</v>
      </c>
      <c r="K695" s="36" t="s">
        <v>48</v>
      </c>
      <c r="L695" s="36" t="s">
        <v>48</v>
      </c>
      <c r="M695" s="36" t="s">
        <v>48</v>
      </c>
    </row>
    <row r="696">
      <c r="C696" s="36" t="s">
        <v>48</v>
      </c>
      <c r="E696" s="36" t="s">
        <v>48</v>
      </c>
      <c r="F696" s="36" t="s">
        <v>48</v>
      </c>
      <c r="K696" s="36" t="s">
        <v>48</v>
      </c>
      <c r="L696" s="36" t="s">
        <v>48</v>
      </c>
      <c r="M696" s="36" t="s">
        <v>48</v>
      </c>
    </row>
    <row r="697">
      <c r="C697" s="36" t="s">
        <v>48</v>
      </c>
      <c r="E697" s="36" t="s">
        <v>48</v>
      </c>
      <c r="F697" s="36" t="s">
        <v>48</v>
      </c>
      <c r="K697" s="36" t="s">
        <v>48</v>
      </c>
      <c r="L697" s="36" t="s">
        <v>48</v>
      </c>
      <c r="M697" s="36" t="s">
        <v>48</v>
      </c>
    </row>
    <row r="698">
      <c r="C698" s="36" t="s">
        <v>48</v>
      </c>
      <c r="E698" s="36" t="s">
        <v>48</v>
      </c>
      <c r="F698" s="36" t="s">
        <v>48</v>
      </c>
      <c r="K698" s="36" t="s">
        <v>48</v>
      </c>
      <c r="L698" s="36" t="s">
        <v>48</v>
      </c>
      <c r="M698" s="36" t="s">
        <v>48</v>
      </c>
    </row>
    <row r="699">
      <c r="C699" s="36" t="s">
        <v>48</v>
      </c>
      <c r="E699" s="36" t="s">
        <v>48</v>
      </c>
      <c r="F699" s="36" t="s">
        <v>48</v>
      </c>
      <c r="K699" s="36" t="s">
        <v>48</v>
      </c>
      <c r="L699" s="36" t="s">
        <v>48</v>
      </c>
      <c r="M699" s="36" t="s">
        <v>48</v>
      </c>
    </row>
    <row r="700">
      <c r="C700" s="36" t="s">
        <v>48</v>
      </c>
      <c r="E700" s="36" t="s">
        <v>48</v>
      </c>
      <c r="F700" s="36" t="s">
        <v>48</v>
      </c>
      <c r="K700" s="36" t="s">
        <v>48</v>
      </c>
      <c r="L700" s="36" t="s">
        <v>48</v>
      </c>
      <c r="M700" s="36" t="s">
        <v>48</v>
      </c>
    </row>
    <row r="701">
      <c r="C701" s="36" t="s">
        <v>48</v>
      </c>
      <c r="E701" s="36" t="s">
        <v>48</v>
      </c>
      <c r="F701" s="36" t="s">
        <v>48</v>
      </c>
      <c r="K701" s="36" t="s">
        <v>48</v>
      </c>
      <c r="L701" s="36" t="s">
        <v>48</v>
      </c>
      <c r="M701" s="36" t="s">
        <v>48</v>
      </c>
    </row>
    <row r="702">
      <c r="C702" s="36" t="s">
        <v>48</v>
      </c>
      <c r="E702" s="36" t="s">
        <v>48</v>
      </c>
      <c r="F702" s="36" t="s">
        <v>48</v>
      </c>
      <c r="K702" s="36" t="s">
        <v>48</v>
      </c>
      <c r="L702" s="36" t="s">
        <v>48</v>
      </c>
      <c r="M702" s="36" t="s">
        <v>48</v>
      </c>
    </row>
    <row r="703">
      <c r="C703" s="36" t="s">
        <v>48</v>
      </c>
      <c r="E703" s="36" t="s">
        <v>48</v>
      </c>
      <c r="F703" s="36" t="s">
        <v>48</v>
      </c>
      <c r="K703" s="36" t="s">
        <v>48</v>
      </c>
      <c r="L703" s="36" t="s">
        <v>48</v>
      </c>
      <c r="M703" s="36" t="s">
        <v>48</v>
      </c>
    </row>
    <row r="704">
      <c r="C704" s="36" t="s">
        <v>48</v>
      </c>
      <c r="E704" s="36" t="s">
        <v>48</v>
      </c>
      <c r="F704" s="36" t="s">
        <v>48</v>
      </c>
      <c r="K704" s="36" t="s">
        <v>48</v>
      </c>
      <c r="L704" s="36" t="s">
        <v>48</v>
      </c>
      <c r="M704" s="36" t="s">
        <v>48</v>
      </c>
    </row>
    <row r="705">
      <c r="C705" s="36" t="s">
        <v>48</v>
      </c>
      <c r="E705" s="36" t="s">
        <v>48</v>
      </c>
      <c r="F705" s="36" t="s">
        <v>48</v>
      </c>
      <c r="K705" s="36" t="s">
        <v>48</v>
      </c>
      <c r="L705" s="36" t="s">
        <v>48</v>
      </c>
      <c r="M705" s="36" t="s">
        <v>48</v>
      </c>
    </row>
    <row r="706">
      <c r="C706" s="36" t="s">
        <v>48</v>
      </c>
      <c r="E706" s="36" t="s">
        <v>48</v>
      </c>
      <c r="F706" s="36" t="s">
        <v>48</v>
      </c>
      <c r="K706" s="36" t="s">
        <v>48</v>
      </c>
      <c r="L706" s="36" t="s">
        <v>48</v>
      </c>
      <c r="M706" s="36" t="s">
        <v>48</v>
      </c>
    </row>
    <row r="707">
      <c r="C707" s="36" t="s">
        <v>48</v>
      </c>
      <c r="E707" s="36" t="s">
        <v>48</v>
      </c>
      <c r="F707" s="36" t="s">
        <v>48</v>
      </c>
      <c r="K707" s="36" t="s">
        <v>48</v>
      </c>
      <c r="L707" s="36" t="s">
        <v>48</v>
      </c>
      <c r="M707" s="36" t="s">
        <v>48</v>
      </c>
    </row>
    <row r="708">
      <c r="C708" s="36" t="s">
        <v>48</v>
      </c>
      <c r="E708" s="36" t="s">
        <v>48</v>
      </c>
      <c r="F708" s="36" t="s">
        <v>48</v>
      </c>
      <c r="K708" s="36" t="s">
        <v>48</v>
      </c>
      <c r="L708" s="36" t="s">
        <v>48</v>
      </c>
      <c r="M708" s="36" t="s">
        <v>48</v>
      </c>
    </row>
    <row r="709">
      <c r="C709" s="36" t="s">
        <v>48</v>
      </c>
      <c r="E709" s="36" t="s">
        <v>48</v>
      </c>
      <c r="F709" s="36" t="s">
        <v>48</v>
      </c>
      <c r="K709" s="36" t="s">
        <v>48</v>
      </c>
      <c r="L709" s="36" t="s">
        <v>48</v>
      </c>
      <c r="M709" s="36" t="s">
        <v>48</v>
      </c>
    </row>
    <row r="710">
      <c r="C710" s="36" t="s">
        <v>48</v>
      </c>
      <c r="E710" s="36" t="s">
        <v>48</v>
      </c>
      <c r="F710" s="36" t="s">
        <v>48</v>
      </c>
      <c r="K710" s="36" t="s">
        <v>48</v>
      </c>
      <c r="L710" s="36" t="s">
        <v>48</v>
      </c>
      <c r="M710" s="36" t="s">
        <v>48</v>
      </c>
    </row>
    <row r="711">
      <c r="C711" s="36" t="s">
        <v>48</v>
      </c>
      <c r="E711" s="36" t="s">
        <v>48</v>
      </c>
      <c r="F711" s="36" t="s">
        <v>48</v>
      </c>
      <c r="K711" s="36" t="s">
        <v>48</v>
      </c>
      <c r="L711" s="36" t="s">
        <v>48</v>
      </c>
      <c r="M711" s="36" t="s">
        <v>48</v>
      </c>
    </row>
    <row r="712">
      <c r="C712" s="36" t="s">
        <v>48</v>
      </c>
      <c r="E712" s="36" t="s">
        <v>48</v>
      </c>
      <c r="F712" s="36" t="s">
        <v>48</v>
      </c>
      <c r="K712" s="36" t="s">
        <v>48</v>
      </c>
      <c r="L712" s="36" t="s">
        <v>48</v>
      </c>
      <c r="M712" s="36" t="s">
        <v>48</v>
      </c>
    </row>
    <row r="713">
      <c r="C713" s="36" t="s">
        <v>48</v>
      </c>
      <c r="E713" s="36" t="s">
        <v>48</v>
      </c>
      <c r="F713" s="36" t="s">
        <v>48</v>
      </c>
      <c r="K713" s="36" t="s">
        <v>48</v>
      </c>
      <c r="L713" s="36" t="s">
        <v>48</v>
      </c>
      <c r="M713" s="36" t="s">
        <v>48</v>
      </c>
    </row>
    <row r="714">
      <c r="C714" s="36" t="s">
        <v>48</v>
      </c>
      <c r="E714" s="36" t="s">
        <v>48</v>
      </c>
      <c r="F714" s="36" t="s">
        <v>48</v>
      </c>
      <c r="K714" s="36" t="s">
        <v>48</v>
      </c>
      <c r="L714" s="36" t="s">
        <v>48</v>
      </c>
      <c r="M714" s="36" t="s">
        <v>48</v>
      </c>
    </row>
    <row r="715">
      <c r="C715" s="36" t="s">
        <v>48</v>
      </c>
      <c r="E715" s="36" t="s">
        <v>48</v>
      </c>
      <c r="F715" s="36" t="s">
        <v>48</v>
      </c>
      <c r="K715" s="36" t="s">
        <v>48</v>
      </c>
      <c r="L715" s="36" t="s">
        <v>48</v>
      </c>
      <c r="M715" s="36" t="s">
        <v>48</v>
      </c>
    </row>
    <row r="716">
      <c r="C716" s="36" t="s">
        <v>48</v>
      </c>
      <c r="E716" s="36" t="s">
        <v>48</v>
      </c>
      <c r="F716" s="36" t="s">
        <v>48</v>
      </c>
      <c r="K716" s="36" t="s">
        <v>48</v>
      </c>
      <c r="L716" s="36" t="s">
        <v>48</v>
      </c>
      <c r="M716" s="36" t="s">
        <v>48</v>
      </c>
    </row>
    <row r="717">
      <c r="C717" s="36" t="s">
        <v>48</v>
      </c>
      <c r="E717" s="36" t="s">
        <v>48</v>
      </c>
      <c r="F717" s="36" t="s">
        <v>48</v>
      </c>
      <c r="K717" s="36" t="s">
        <v>48</v>
      </c>
      <c r="L717" s="36" t="s">
        <v>48</v>
      </c>
      <c r="M717" s="36" t="s">
        <v>48</v>
      </c>
    </row>
    <row r="718">
      <c r="C718" s="36" t="s">
        <v>48</v>
      </c>
      <c r="E718" s="36" t="s">
        <v>48</v>
      </c>
      <c r="F718" s="36" t="s">
        <v>48</v>
      </c>
      <c r="K718" s="36" t="s">
        <v>48</v>
      </c>
      <c r="L718" s="36" t="s">
        <v>48</v>
      </c>
      <c r="M718" s="36" t="s">
        <v>48</v>
      </c>
    </row>
    <row r="719">
      <c r="C719" s="36" t="s">
        <v>48</v>
      </c>
      <c r="E719" s="36" t="s">
        <v>48</v>
      </c>
      <c r="F719" s="36" t="s">
        <v>48</v>
      </c>
      <c r="K719" s="36" t="s">
        <v>48</v>
      </c>
      <c r="L719" s="36" t="s">
        <v>48</v>
      </c>
      <c r="M719" s="36" t="s">
        <v>48</v>
      </c>
    </row>
    <row r="720">
      <c r="C720" s="36" t="s">
        <v>48</v>
      </c>
      <c r="E720" s="36" t="s">
        <v>48</v>
      </c>
      <c r="F720" s="36" t="s">
        <v>48</v>
      </c>
      <c r="K720" s="36" t="s">
        <v>48</v>
      </c>
      <c r="L720" s="36" t="s">
        <v>48</v>
      </c>
      <c r="M720" s="36" t="s">
        <v>48</v>
      </c>
    </row>
    <row r="721">
      <c r="C721" s="36" t="s">
        <v>48</v>
      </c>
      <c r="E721" s="36" t="s">
        <v>48</v>
      </c>
      <c r="F721" s="36" t="s">
        <v>48</v>
      </c>
      <c r="K721" s="36" t="s">
        <v>48</v>
      </c>
      <c r="L721" s="36" t="s">
        <v>48</v>
      </c>
      <c r="M721" s="36" t="s">
        <v>48</v>
      </c>
    </row>
    <row r="722">
      <c r="C722" s="36" t="s">
        <v>48</v>
      </c>
      <c r="E722" s="36" t="s">
        <v>48</v>
      </c>
      <c r="F722" s="36" t="s">
        <v>48</v>
      </c>
      <c r="K722" s="36" t="s">
        <v>48</v>
      </c>
      <c r="L722" s="36" t="s">
        <v>48</v>
      </c>
      <c r="M722" s="36" t="s">
        <v>48</v>
      </c>
    </row>
    <row r="723">
      <c r="C723" s="36" t="s">
        <v>48</v>
      </c>
      <c r="E723" s="36" t="s">
        <v>48</v>
      </c>
      <c r="F723" s="36" t="s">
        <v>48</v>
      </c>
      <c r="K723" s="36" t="s">
        <v>48</v>
      </c>
      <c r="L723" s="36" t="s">
        <v>48</v>
      </c>
      <c r="M723" s="36" t="s">
        <v>48</v>
      </c>
    </row>
    <row r="724">
      <c r="C724" s="36" t="s">
        <v>48</v>
      </c>
      <c r="E724" s="36" t="s">
        <v>48</v>
      </c>
      <c r="F724" s="36" t="s">
        <v>48</v>
      </c>
      <c r="K724" s="36" t="s">
        <v>48</v>
      </c>
      <c r="L724" s="36" t="s">
        <v>48</v>
      </c>
      <c r="M724" s="36" t="s">
        <v>48</v>
      </c>
    </row>
    <row r="725">
      <c r="C725" s="36" t="s">
        <v>48</v>
      </c>
      <c r="E725" s="36" t="s">
        <v>48</v>
      </c>
      <c r="F725" s="36" t="s">
        <v>48</v>
      </c>
      <c r="K725" s="36" t="s">
        <v>48</v>
      </c>
      <c r="L725" s="36" t="s">
        <v>48</v>
      </c>
      <c r="M725" s="36" t="s">
        <v>48</v>
      </c>
    </row>
    <row r="726">
      <c r="C726" s="36" t="s">
        <v>48</v>
      </c>
      <c r="E726" s="36" t="s">
        <v>48</v>
      </c>
      <c r="F726" s="36" t="s">
        <v>48</v>
      </c>
      <c r="K726" s="36" t="s">
        <v>48</v>
      </c>
      <c r="L726" s="36" t="s">
        <v>48</v>
      </c>
      <c r="M726" s="36" t="s">
        <v>48</v>
      </c>
    </row>
    <row r="727">
      <c r="C727" s="36" t="s">
        <v>48</v>
      </c>
      <c r="E727" s="36" t="s">
        <v>48</v>
      </c>
      <c r="F727" s="36" t="s">
        <v>48</v>
      </c>
      <c r="K727" s="36" t="s">
        <v>48</v>
      </c>
      <c r="L727" s="36" t="s">
        <v>48</v>
      </c>
      <c r="M727" s="36" t="s">
        <v>48</v>
      </c>
    </row>
    <row r="728">
      <c r="C728" s="36" t="s">
        <v>48</v>
      </c>
      <c r="E728" s="36" t="s">
        <v>48</v>
      </c>
      <c r="F728" s="36" t="s">
        <v>48</v>
      </c>
      <c r="K728" s="36" t="s">
        <v>48</v>
      </c>
      <c r="L728" s="36" t="s">
        <v>48</v>
      </c>
      <c r="M728" s="36" t="s">
        <v>48</v>
      </c>
    </row>
    <row r="729">
      <c r="C729" s="36" t="s">
        <v>48</v>
      </c>
      <c r="E729" s="36" t="s">
        <v>48</v>
      </c>
      <c r="F729" s="36" t="s">
        <v>48</v>
      </c>
      <c r="K729" s="36" t="s">
        <v>48</v>
      </c>
      <c r="L729" s="36" t="s">
        <v>48</v>
      </c>
      <c r="M729" s="36" t="s">
        <v>48</v>
      </c>
    </row>
    <row r="730">
      <c r="C730" s="36" t="s">
        <v>48</v>
      </c>
      <c r="E730" s="36" t="s">
        <v>48</v>
      </c>
      <c r="F730" s="36" t="s">
        <v>48</v>
      </c>
      <c r="K730" s="36" t="s">
        <v>48</v>
      </c>
      <c r="L730" s="36" t="s">
        <v>48</v>
      </c>
      <c r="M730" s="36" t="s">
        <v>48</v>
      </c>
    </row>
    <row r="731">
      <c r="C731" s="36" t="s">
        <v>48</v>
      </c>
      <c r="E731" s="36" t="s">
        <v>48</v>
      </c>
      <c r="F731" s="36" t="s">
        <v>48</v>
      </c>
      <c r="K731" s="36" t="s">
        <v>48</v>
      </c>
      <c r="L731" s="36" t="s">
        <v>48</v>
      </c>
      <c r="M731" s="36" t="s">
        <v>48</v>
      </c>
    </row>
    <row r="732">
      <c r="C732" s="36" t="s">
        <v>48</v>
      </c>
      <c r="E732" s="36" t="s">
        <v>48</v>
      </c>
      <c r="F732" s="36" t="s">
        <v>48</v>
      </c>
      <c r="K732" s="36" t="s">
        <v>48</v>
      </c>
      <c r="L732" s="36" t="s">
        <v>48</v>
      </c>
      <c r="M732" s="36" t="s">
        <v>48</v>
      </c>
    </row>
    <row r="733">
      <c r="C733" s="36" t="s">
        <v>48</v>
      </c>
      <c r="E733" s="36" t="s">
        <v>48</v>
      </c>
      <c r="F733" s="36" t="s">
        <v>48</v>
      </c>
      <c r="K733" s="36" t="s">
        <v>48</v>
      </c>
      <c r="L733" s="36" t="s">
        <v>48</v>
      </c>
      <c r="M733" s="36" t="s">
        <v>48</v>
      </c>
    </row>
    <row r="734">
      <c r="C734" s="36" t="s">
        <v>48</v>
      </c>
      <c r="E734" s="36" t="s">
        <v>48</v>
      </c>
      <c r="F734" s="36" t="s">
        <v>48</v>
      </c>
      <c r="K734" s="36" t="s">
        <v>48</v>
      </c>
      <c r="L734" s="36" t="s">
        <v>48</v>
      </c>
      <c r="M734" s="36" t="s">
        <v>48</v>
      </c>
    </row>
    <row r="735">
      <c r="C735" s="36" t="s">
        <v>48</v>
      </c>
      <c r="E735" s="36" t="s">
        <v>48</v>
      </c>
      <c r="F735" s="36" t="s">
        <v>48</v>
      </c>
      <c r="K735" s="36" t="s">
        <v>48</v>
      </c>
      <c r="L735" s="36" t="s">
        <v>48</v>
      </c>
      <c r="M735" s="36" t="s">
        <v>48</v>
      </c>
    </row>
    <row r="736">
      <c r="C736" s="36" t="s">
        <v>48</v>
      </c>
      <c r="E736" s="36" t="s">
        <v>48</v>
      </c>
      <c r="F736" s="36" t="s">
        <v>48</v>
      </c>
      <c r="K736" s="36" t="s">
        <v>48</v>
      </c>
      <c r="L736" s="36" t="s">
        <v>48</v>
      </c>
      <c r="M736" s="36" t="s">
        <v>48</v>
      </c>
    </row>
    <row r="737">
      <c r="C737" s="36" t="s">
        <v>48</v>
      </c>
      <c r="E737" s="36" t="s">
        <v>48</v>
      </c>
      <c r="F737" s="36" t="s">
        <v>48</v>
      </c>
      <c r="K737" s="36" t="s">
        <v>48</v>
      </c>
      <c r="L737" s="36" t="s">
        <v>48</v>
      </c>
      <c r="M737" s="36" t="s">
        <v>48</v>
      </c>
    </row>
    <row r="738">
      <c r="C738" s="36" t="s">
        <v>48</v>
      </c>
      <c r="E738" s="36" t="s">
        <v>48</v>
      </c>
      <c r="F738" s="36" t="s">
        <v>48</v>
      </c>
      <c r="K738" s="36" t="s">
        <v>48</v>
      </c>
      <c r="L738" s="36" t="s">
        <v>48</v>
      </c>
      <c r="M738" s="36" t="s">
        <v>48</v>
      </c>
    </row>
    <row r="739">
      <c r="C739" s="36" t="s">
        <v>48</v>
      </c>
      <c r="E739" s="36" t="s">
        <v>48</v>
      </c>
      <c r="F739" s="36" t="s">
        <v>48</v>
      </c>
      <c r="K739" s="36" t="s">
        <v>48</v>
      </c>
      <c r="L739" s="36" t="s">
        <v>48</v>
      </c>
      <c r="M739" s="36" t="s">
        <v>48</v>
      </c>
    </row>
    <row r="740">
      <c r="C740" s="36" t="s">
        <v>48</v>
      </c>
      <c r="E740" s="36" t="s">
        <v>48</v>
      </c>
      <c r="F740" s="36" t="s">
        <v>48</v>
      </c>
      <c r="K740" s="36" t="s">
        <v>48</v>
      </c>
      <c r="L740" s="36" t="s">
        <v>48</v>
      </c>
      <c r="M740" s="36" t="s">
        <v>48</v>
      </c>
    </row>
    <row r="741">
      <c r="C741" s="36" t="s">
        <v>48</v>
      </c>
      <c r="E741" s="36" t="s">
        <v>48</v>
      </c>
      <c r="F741" s="36" t="s">
        <v>48</v>
      </c>
      <c r="K741" s="36" t="s">
        <v>48</v>
      </c>
      <c r="L741" s="36" t="s">
        <v>48</v>
      </c>
      <c r="M741" s="36" t="s">
        <v>48</v>
      </c>
    </row>
    <row r="742">
      <c r="C742" s="36" t="s">
        <v>48</v>
      </c>
      <c r="E742" s="36" t="s">
        <v>48</v>
      </c>
      <c r="F742" s="36" t="s">
        <v>48</v>
      </c>
      <c r="K742" s="36" t="s">
        <v>48</v>
      </c>
      <c r="L742" s="36" t="s">
        <v>48</v>
      </c>
      <c r="M742" s="36" t="s">
        <v>48</v>
      </c>
    </row>
    <row r="743">
      <c r="C743" s="36" t="s">
        <v>48</v>
      </c>
      <c r="E743" s="36" t="s">
        <v>48</v>
      </c>
      <c r="F743" s="36" t="s">
        <v>48</v>
      </c>
      <c r="K743" s="36" t="s">
        <v>48</v>
      </c>
      <c r="L743" s="36" t="s">
        <v>48</v>
      </c>
      <c r="M743" s="36" t="s">
        <v>48</v>
      </c>
    </row>
    <row r="744">
      <c r="C744" s="36" t="s">
        <v>48</v>
      </c>
      <c r="E744" s="36" t="s">
        <v>48</v>
      </c>
      <c r="F744" s="36" t="s">
        <v>48</v>
      </c>
      <c r="K744" s="36" t="s">
        <v>48</v>
      </c>
      <c r="L744" s="36" t="s">
        <v>48</v>
      </c>
      <c r="M744" s="36" t="s">
        <v>48</v>
      </c>
    </row>
    <row r="745">
      <c r="C745" s="36" t="s">
        <v>48</v>
      </c>
      <c r="E745" s="36" t="s">
        <v>48</v>
      </c>
      <c r="F745" s="36" t="s">
        <v>48</v>
      </c>
      <c r="K745" s="36" t="s">
        <v>48</v>
      </c>
      <c r="L745" s="36" t="s">
        <v>48</v>
      </c>
      <c r="M745" s="36" t="s">
        <v>48</v>
      </c>
    </row>
    <row r="746">
      <c r="C746" s="36" t="s">
        <v>48</v>
      </c>
      <c r="E746" s="36" t="s">
        <v>48</v>
      </c>
      <c r="F746" s="36" t="s">
        <v>48</v>
      </c>
      <c r="K746" s="36" t="s">
        <v>48</v>
      </c>
      <c r="L746" s="36" t="s">
        <v>48</v>
      </c>
      <c r="M746" s="36" t="s">
        <v>48</v>
      </c>
    </row>
    <row r="747">
      <c r="C747" s="36" t="s">
        <v>48</v>
      </c>
      <c r="E747" s="36" t="s">
        <v>48</v>
      </c>
      <c r="F747" s="36" t="s">
        <v>48</v>
      </c>
      <c r="K747" s="36" t="s">
        <v>48</v>
      </c>
      <c r="L747" s="36" t="s">
        <v>48</v>
      </c>
      <c r="M747" s="36" t="s">
        <v>48</v>
      </c>
    </row>
    <row r="748">
      <c r="C748" s="36" t="s">
        <v>48</v>
      </c>
      <c r="E748" s="36" t="s">
        <v>48</v>
      </c>
      <c r="F748" s="36" t="s">
        <v>48</v>
      </c>
      <c r="K748" s="36" t="s">
        <v>48</v>
      </c>
      <c r="L748" s="36" t="s">
        <v>48</v>
      </c>
      <c r="M748" s="36" t="s">
        <v>48</v>
      </c>
    </row>
    <row r="749">
      <c r="C749" s="36" t="s">
        <v>48</v>
      </c>
      <c r="E749" s="36" t="s">
        <v>48</v>
      </c>
      <c r="F749" s="36" t="s">
        <v>48</v>
      </c>
      <c r="K749" s="36" t="s">
        <v>48</v>
      </c>
      <c r="L749" s="36" t="s">
        <v>48</v>
      </c>
      <c r="M749" s="36" t="s">
        <v>48</v>
      </c>
    </row>
    <row r="750">
      <c r="C750" s="36" t="s">
        <v>48</v>
      </c>
      <c r="E750" s="36" t="s">
        <v>48</v>
      </c>
      <c r="F750" s="36" t="s">
        <v>48</v>
      </c>
      <c r="K750" s="36" t="s">
        <v>48</v>
      </c>
      <c r="L750" s="36" t="s">
        <v>48</v>
      </c>
      <c r="M750" s="36" t="s">
        <v>48</v>
      </c>
    </row>
    <row r="751">
      <c r="C751" s="36" t="s">
        <v>48</v>
      </c>
      <c r="E751" s="36" t="s">
        <v>48</v>
      </c>
      <c r="F751" s="36" t="s">
        <v>48</v>
      </c>
      <c r="K751" s="36" t="s">
        <v>48</v>
      </c>
      <c r="L751" s="36" t="s">
        <v>48</v>
      </c>
      <c r="M751" s="36" t="s">
        <v>48</v>
      </c>
    </row>
    <row r="752">
      <c r="C752" s="36" t="s">
        <v>48</v>
      </c>
      <c r="E752" s="36" t="s">
        <v>48</v>
      </c>
      <c r="F752" s="36" t="s">
        <v>48</v>
      </c>
      <c r="K752" s="36" t="s">
        <v>48</v>
      </c>
      <c r="L752" s="36" t="s">
        <v>48</v>
      </c>
      <c r="M752" s="36" t="s">
        <v>48</v>
      </c>
    </row>
    <row r="753">
      <c r="C753" s="36" t="s">
        <v>48</v>
      </c>
      <c r="E753" s="36" t="s">
        <v>48</v>
      </c>
      <c r="F753" s="36" t="s">
        <v>48</v>
      </c>
      <c r="K753" s="36" t="s">
        <v>48</v>
      </c>
      <c r="L753" s="36" t="s">
        <v>48</v>
      </c>
      <c r="M753" s="36" t="s">
        <v>48</v>
      </c>
    </row>
    <row r="754">
      <c r="C754" s="36" t="s">
        <v>48</v>
      </c>
      <c r="E754" s="36" t="s">
        <v>48</v>
      </c>
      <c r="F754" s="36" t="s">
        <v>48</v>
      </c>
      <c r="K754" s="36" t="s">
        <v>48</v>
      </c>
      <c r="L754" s="36" t="s">
        <v>48</v>
      </c>
      <c r="M754" s="36" t="s">
        <v>48</v>
      </c>
    </row>
    <row r="755">
      <c r="C755" s="36" t="s">
        <v>48</v>
      </c>
      <c r="E755" s="36" t="s">
        <v>48</v>
      </c>
      <c r="F755" s="36" t="s">
        <v>48</v>
      </c>
      <c r="K755" s="36" t="s">
        <v>48</v>
      </c>
      <c r="L755" s="36" t="s">
        <v>48</v>
      </c>
      <c r="M755" s="36" t="s">
        <v>48</v>
      </c>
    </row>
    <row r="756">
      <c r="C756" s="36" t="s">
        <v>48</v>
      </c>
      <c r="E756" s="36" t="s">
        <v>48</v>
      </c>
      <c r="F756" s="36" t="s">
        <v>48</v>
      </c>
      <c r="K756" s="36" t="s">
        <v>48</v>
      </c>
      <c r="L756" s="36" t="s">
        <v>48</v>
      </c>
      <c r="M756" s="36" t="s">
        <v>48</v>
      </c>
    </row>
    <row r="757">
      <c r="C757" s="36" t="s">
        <v>48</v>
      </c>
      <c r="E757" s="36" t="s">
        <v>48</v>
      </c>
      <c r="F757" s="36" t="s">
        <v>48</v>
      </c>
      <c r="K757" s="36" t="s">
        <v>48</v>
      </c>
      <c r="L757" s="36" t="s">
        <v>48</v>
      </c>
      <c r="M757" s="36" t="s">
        <v>48</v>
      </c>
    </row>
    <row r="758">
      <c r="C758" s="36" t="s">
        <v>48</v>
      </c>
      <c r="E758" s="36" t="s">
        <v>48</v>
      </c>
      <c r="F758" s="36" t="s">
        <v>48</v>
      </c>
      <c r="K758" s="36" t="s">
        <v>48</v>
      </c>
      <c r="L758" s="36" t="s">
        <v>48</v>
      </c>
      <c r="M758" s="36" t="s">
        <v>48</v>
      </c>
    </row>
    <row r="759">
      <c r="C759" s="36" t="s">
        <v>48</v>
      </c>
      <c r="E759" s="36" t="s">
        <v>48</v>
      </c>
      <c r="F759" s="36" t="s">
        <v>48</v>
      </c>
      <c r="K759" s="36" t="s">
        <v>48</v>
      </c>
      <c r="L759" s="36" t="s">
        <v>48</v>
      </c>
      <c r="M759" s="36" t="s">
        <v>48</v>
      </c>
    </row>
    <row r="760">
      <c r="C760" s="36" t="s">
        <v>48</v>
      </c>
      <c r="E760" s="36" t="s">
        <v>48</v>
      </c>
      <c r="F760" s="36" t="s">
        <v>48</v>
      </c>
      <c r="K760" s="36" t="s">
        <v>48</v>
      </c>
      <c r="L760" s="36" t="s">
        <v>48</v>
      </c>
      <c r="M760" s="36" t="s">
        <v>48</v>
      </c>
    </row>
    <row r="761">
      <c r="C761" s="36" t="s">
        <v>48</v>
      </c>
      <c r="E761" s="36" t="s">
        <v>48</v>
      </c>
      <c r="F761" s="36" t="s">
        <v>48</v>
      </c>
      <c r="K761" s="36" t="s">
        <v>48</v>
      </c>
      <c r="L761" s="36" t="s">
        <v>48</v>
      </c>
      <c r="M761" s="36" t="s">
        <v>48</v>
      </c>
    </row>
    <row r="762">
      <c r="C762" s="36" t="s">
        <v>48</v>
      </c>
      <c r="E762" s="36" t="s">
        <v>48</v>
      </c>
      <c r="F762" s="36" t="s">
        <v>48</v>
      </c>
      <c r="K762" s="36" t="s">
        <v>48</v>
      </c>
      <c r="L762" s="36" t="s">
        <v>48</v>
      </c>
      <c r="M762" s="36" t="s">
        <v>48</v>
      </c>
    </row>
    <row r="763">
      <c r="C763" s="36" t="s">
        <v>48</v>
      </c>
      <c r="E763" s="36" t="s">
        <v>48</v>
      </c>
      <c r="F763" s="36" t="s">
        <v>48</v>
      </c>
      <c r="K763" s="36" t="s">
        <v>48</v>
      </c>
      <c r="L763" s="36" t="s">
        <v>48</v>
      </c>
      <c r="M763" s="36" t="s">
        <v>48</v>
      </c>
    </row>
    <row r="764">
      <c r="C764" s="36" t="s">
        <v>48</v>
      </c>
      <c r="E764" s="36" t="s">
        <v>48</v>
      </c>
      <c r="F764" s="36" t="s">
        <v>48</v>
      </c>
      <c r="K764" s="36" t="s">
        <v>48</v>
      </c>
      <c r="L764" s="36" t="s">
        <v>48</v>
      </c>
      <c r="M764" s="36" t="s">
        <v>48</v>
      </c>
    </row>
    <row r="765">
      <c r="C765" s="36" t="s">
        <v>48</v>
      </c>
      <c r="E765" s="36" t="s">
        <v>48</v>
      </c>
      <c r="F765" s="36" t="s">
        <v>48</v>
      </c>
      <c r="K765" s="36" t="s">
        <v>48</v>
      </c>
      <c r="L765" s="36" t="s">
        <v>48</v>
      </c>
      <c r="M765" s="36" t="s">
        <v>48</v>
      </c>
    </row>
    <row r="766">
      <c r="C766" s="36" t="s">
        <v>48</v>
      </c>
      <c r="E766" s="36" t="s">
        <v>48</v>
      </c>
      <c r="F766" s="36" t="s">
        <v>48</v>
      </c>
      <c r="K766" s="36" t="s">
        <v>48</v>
      </c>
      <c r="L766" s="36" t="s">
        <v>48</v>
      </c>
      <c r="M766" s="36" t="s">
        <v>48</v>
      </c>
    </row>
    <row r="767">
      <c r="C767" s="36" t="s">
        <v>48</v>
      </c>
      <c r="E767" s="36" t="s">
        <v>48</v>
      </c>
      <c r="F767" s="36" t="s">
        <v>48</v>
      </c>
      <c r="K767" s="36" t="s">
        <v>48</v>
      </c>
      <c r="L767" s="36" t="s">
        <v>48</v>
      </c>
      <c r="M767" s="36" t="s">
        <v>48</v>
      </c>
    </row>
    <row r="768">
      <c r="C768" s="36" t="s">
        <v>48</v>
      </c>
      <c r="E768" s="36" t="s">
        <v>48</v>
      </c>
      <c r="F768" s="36" t="s">
        <v>48</v>
      </c>
      <c r="K768" s="36" t="s">
        <v>48</v>
      </c>
      <c r="L768" s="36" t="s">
        <v>48</v>
      </c>
      <c r="M768" s="36" t="s">
        <v>48</v>
      </c>
    </row>
    <row r="769">
      <c r="C769" s="36" t="s">
        <v>48</v>
      </c>
      <c r="E769" s="36" t="s">
        <v>48</v>
      </c>
      <c r="F769" s="36" t="s">
        <v>48</v>
      </c>
      <c r="K769" s="36" t="s">
        <v>48</v>
      </c>
      <c r="L769" s="36" t="s">
        <v>48</v>
      </c>
      <c r="M769" s="36" t="s">
        <v>48</v>
      </c>
    </row>
    <row r="770">
      <c r="C770" s="36" t="s">
        <v>48</v>
      </c>
      <c r="E770" s="36" t="s">
        <v>48</v>
      </c>
      <c r="F770" s="36" t="s">
        <v>48</v>
      </c>
      <c r="K770" s="36" t="s">
        <v>48</v>
      </c>
      <c r="L770" s="36" t="s">
        <v>48</v>
      </c>
      <c r="M770" s="36" t="s">
        <v>48</v>
      </c>
    </row>
    <row r="771">
      <c r="C771" s="36" t="s">
        <v>48</v>
      </c>
      <c r="E771" s="36" t="s">
        <v>48</v>
      </c>
      <c r="F771" s="36" t="s">
        <v>48</v>
      </c>
      <c r="K771" s="36" t="s">
        <v>48</v>
      </c>
      <c r="L771" s="36" t="s">
        <v>48</v>
      </c>
      <c r="M771" s="36" t="s">
        <v>48</v>
      </c>
    </row>
    <row r="772">
      <c r="C772" s="36" t="s">
        <v>48</v>
      </c>
      <c r="E772" s="36" t="s">
        <v>48</v>
      </c>
      <c r="F772" s="36" t="s">
        <v>48</v>
      </c>
      <c r="K772" s="36" t="s">
        <v>48</v>
      </c>
      <c r="L772" s="36" t="s">
        <v>48</v>
      </c>
      <c r="M772" s="36" t="s">
        <v>48</v>
      </c>
    </row>
    <row r="773">
      <c r="C773" s="36" t="s">
        <v>48</v>
      </c>
      <c r="E773" s="36" t="s">
        <v>48</v>
      </c>
      <c r="F773" s="36" t="s">
        <v>48</v>
      </c>
      <c r="K773" s="36" t="s">
        <v>48</v>
      </c>
      <c r="L773" s="36" t="s">
        <v>48</v>
      </c>
      <c r="M773" s="36" t="s">
        <v>48</v>
      </c>
    </row>
    <row r="774">
      <c r="C774" s="36" t="s">
        <v>48</v>
      </c>
      <c r="E774" s="36" t="s">
        <v>48</v>
      </c>
      <c r="F774" s="36" t="s">
        <v>48</v>
      </c>
      <c r="K774" s="36" t="s">
        <v>48</v>
      </c>
      <c r="L774" s="36" t="s">
        <v>48</v>
      </c>
      <c r="M774" s="36" t="s">
        <v>48</v>
      </c>
    </row>
    <row r="775">
      <c r="C775" s="36" t="s">
        <v>48</v>
      </c>
      <c r="E775" s="36" t="s">
        <v>48</v>
      </c>
      <c r="F775" s="36" t="s">
        <v>48</v>
      </c>
      <c r="K775" s="36" t="s">
        <v>48</v>
      </c>
      <c r="L775" s="36" t="s">
        <v>48</v>
      </c>
      <c r="M775" s="36" t="s">
        <v>48</v>
      </c>
    </row>
    <row r="776">
      <c r="C776" s="36" t="s">
        <v>48</v>
      </c>
      <c r="E776" s="36" t="s">
        <v>48</v>
      </c>
      <c r="F776" s="36" t="s">
        <v>48</v>
      </c>
      <c r="K776" s="36" t="s">
        <v>48</v>
      </c>
      <c r="L776" s="36" t="s">
        <v>48</v>
      </c>
      <c r="M776" s="36" t="s">
        <v>48</v>
      </c>
    </row>
    <row r="777">
      <c r="C777" s="36" t="s">
        <v>48</v>
      </c>
      <c r="E777" s="36" t="s">
        <v>48</v>
      </c>
      <c r="F777" s="36" t="s">
        <v>48</v>
      </c>
      <c r="K777" s="36" t="s">
        <v>48</v>
      </c>
      <c r="L777" s="36" t="s">
        <v>48</v>
      </c>
      <c r="M777" s="36" t="s">
        <v>48</v>
      </c>
    </row>
    <row r="778">
      <c r="C778" s="36" t="s">
        <v>48</v>
      </c>
      <c r="E778" s="36" t="s">
        <v>48</v>
      </c>
      <c r="F778" s="36" t="s">
        <v>48</v>
      </c>
      <c r="K778" s="36" t="s">
        <v>48</v>
      </c>
      <c r="L778" s="36" t="s">
        <v>48</v>
      </c>
      <c r="M778" s="36" t="s">
        <v>48</v>
      </c>
    </row>
    <row r="779">
      <c r="C779" s="36" t="s">
        <v>48</v>
      </c>
      <c r="E779" s="36" t="s">
        <v>48</v>
      </c>
      <c r="F779" s="36" t="s">
        <v>48</v>
      </c>
      <c r="K779" s="36" t="s">
        <v>48</v>
      </c>
      <c r="L779" s="36" t="s">
        <v>48</v>
      </c>
      <c r="M779" s="36" t="s">
        <v>48</v>
      </c>
    </row>
    <row r="780">
      <c r="C780" s="36" t="s">
        <v>48</v>
      </c>
      <c r="E780" s="36" t="s">
        <v>48</v>
      </c>
      <c r="F780" s="36" t="s">
        <v>48</v>
      </c>
      <c r="K780" s="36" t="s">
        <v>48</v>
      </c>
      <c r="L780" s="36" t="s">
        <v>48</v>
      </c>
      <c r="M780" s="36" t="s">
        <v>48</v>
      </c>
    </row>
    <row r="781">
      <c r="C781" s="36" t="s">
        <v>48</v>
      </c>
      <c r="E781" s="36" t="s">
        <v>48</v>
      </c>
      <c r="F781" s="36" t="s">
        <v>48</v>
      </c>
      <c r="K781" s="36" t="s">
        <v>48</v>
      </c>
      <c r="L781" s="36" t="s">
        <v>48</v>
      </c>
      <c r="M781" s="36" t="s">
        <v>48</v>
      </c>
    </row>
    <row r="782">
      <c r="C782" s="36" t="s">
        <v>48</v>
      </c>
      <c r="E782" s="36" t="s">
        <v>48</v>
      </c>
      <c r="F782" s="36" t="s">
        <v>48</v>
      </c>
      <c r="K782" s="36" t="s">
        <v>48</v>
      </c>
      <c r="L782" s="36" t="s">
        <v>48</v>
      </c>
      <c r="M782" s="36" t="s">
        <v>48</v>
      </c>
    </row>
    <row r="783">
      <c r="C783" s="36" t="s">
        <v>48</v>
      </c>
      <c r="E783" s="36" t="s">
        <v>48</v>
      </c>
      <c r="F783" s="36" t="s">
        <v>48</v>
      </c>
      <c r="K783" s="36" t="s">
        <v>48</v>
      </c>
      <c r="L783" s="36" t="s">
        <v>48</v>
      </c>
      <c r="M783" s="36" t="s">
        <v>48</v>
      </c>
    </row>
    <row r="784">
      <c r="C784" s="36" t="s">
        <v>48</v>
      </c>
      <c r="E784" s="36" t="s">
        <v>48</v>
      </c>
      <c r="F784" s="36" t="s">
        <v>48</v>
      </c>
      <c r="K784" s="36" t="s">
        <v>48</v>
      </c>
      <c r="L784" s="36" t="s">
        <v>48</v>
      </c>
      <c r="M784" s="36" t="s">
        <v>48</v>
      </c>
    </row>
    <row r="785">
      <c r="C785" s="36" t="s">
        <v>48</v>
      </c>
      <c r="E785" s="36" t="s">
        <v>48</v>
      </c>
      <c r="F785" s="36" t="s">
        <v>48</v>
      </c>
      <c r="K785" s="36" t="s">
        <v>48</v>
      </c>
      <c r="L785" s="36" t="s">
        <v>48</v>
      </c>
      <c r="M785" s="36" t="s">
        <v>48</v>
      </c>
    </row>
    <row r="786">
      <c r="C786" s="36" t="s">
        <v>48</v>
      </c>
      <c r="E786" s="36" t="s">
        <v>48</v>
      </c>
      <c r="F786" s="36" t="s">
        <v>48</v>
      </c>
      <c r="K786" s="36" t="s">
        <v>48</v>
      </c>
      <c r="L786" s="36" t="s">
        <v>48</v>
      </c>
      <c r="M786" s="36" t="s">
        <v>48</v>
      </c>
    </row>
    <row r="787">
      <c r="C787" s="36" t="s">
        <v>48</v>
      </c>
      <c r="E787" s="36" t="s">
        <v>48</v>
      </c>
      <c r="F787" s="36" t="s">
        <v>48</v>
      </c>
      <c r="K787" s="36" t="s">
        <v>48</v>
      </c>
      <c r="L787" s="36" t="s">
        <v>48</v>
      </c>
      <c r="M787" s="36" t="s">
        <v>48</v>
      </c>
    </row>
    <row r="788">
      <c r="C788" s="36" t="s">
        <v>48</v>
      </c>
      <c r="E788" s="36" t="s">
        <v>48</v>
      </c>
      <c r="F788" s="36" t="s">
        <v>48</v>
      </c>
      <c r="K788" s="36" t="s">
        <v>48</v>
      </c>
      <c r="L788" s="36" t="s">
        <v>48</v>
      </c>
      <c r="M788" s="36" t="s">
        <v>48</v>
      </c>
    </row>
    <row r="789">
      <c r="C789" s="36" t="s">
        <v>48</v>
      </c>
      <c r="E789" s="36" t="s">
        <v>48</v>
      </c>
      <c r="F789" s="36" t="s">
        <v>48</v>
      </c>
      <c r="K789" s="36" t="s">
        <v>48</v>
      </c>
      <c r="L789" s="36" t="s">
        <v>48</v>
      </c>
      <c r="M789" s="36" t="s">
        <v>48</v>
      </c>
    </row>
    <row r="790">
      <c r="C790" s="36" t="s">
        <v>48</v>
      </c>
      <c r="E790" s="36" t="s">
        <v>48</v>
      </c>
      <c r="F790" s="36" t="s">
        <v>48</v>
      </c>
      <c r="K790" s="36" t="s">
        <v>48</v>
      </c>
      <c r="L790" s="36" t="s">
        <v>48</v>
      </c>
      <c r="M790" s="36" t="s">
        <v>48</v>
      </c>
    </row>
    <row r="791">
      <c r="C791" s="36" t="s">
        <v>48</v>
      </c>
      <c r="E791" s="36" t="s">
        <v>48</v>
      </c>
      <c r="F791" s="36" t="s">
        <v>48</v>
      </c>
      <c r="K791" s="36" t="s">
        <v>48</v>
      </c>
      <c r="L791" s="36" t="s">
        <v>48</v>
      </c>
      <c r="M791" s="36" t="s">
        <v>48</v>
      </c>
    </row>
    <row r="792">
      <c r="C792" s="36" t="s">
        <v>48</v>
      </c>
      <c r="E792" s="36" t="s">
        <v>48</v>
      </c>
      <c r="F792" s="36" t="s">
        <v>48</v>
      </c>
      <c r="K792" s="36" t="s">
        <v>48</v>
      </c>
      <c r="L792" s="36" t="s">
        <v>48</v>
      </c>
      <c r="M792" s="36" t="s">
        <v>48</v>
      </c>
    </row>
    <row r="793">
      <c r="C793" s="36" t="s">
        <v>48</v>
      </c>
      <c r="E793" s="36" t="s">
        <v>48</v>
      </c>
      <c r="F793" s="36" t="s">
        <v>48</v>
      </c>
      <c r="K793" s="36" t="s">
        <v>48</v>
      </c>
      <c r="L793" s="36" t="s">
        <v>48</v>
      </c>
      <c r="M793" s="36" t="s">
        <v>48</v>
      </c>
    </row>
    <row r="794">
      <c r="C794" s="36" t="s">
        <v>48</v>
      </c>
      <c r="E794" s="36" t="s">
        <v>48</v>
      </c>
      <c r="F794" s="36" t="s">
        <v>48</v>
      </c>
      <c r="K794" s="36" t="s">
        <v>48</v>
      </c>
      <c r="L794" s="36" t="s">
        <v>48</v>
      </c>
      <c r="M794" s="36" t="s">
        <v>48</v>
      </c>
    </row>
    <row r="795">
      <c r="C795" s="36" t="s">
        <v>48</v>
      </c>
      <c r="E795" s="36" t="s">
        <v>48</v>
      </c>
      <c r="F795" s="36" t="s">
        <v>48</v>
      </c>
      <c r="K795" s="36" t="s">
        <v>48</v>
      </c>
      <c r="L795" s="36" t="s">
        <v>48</v>
      </c>
      <c r="M795" s="36" t="s">
        <v>48</v>
      </c>
    </row>
    <row r="796">
      <c r="C796" s="36" t="s">
        <v>48</v>
      </c>
      <c r="E796" s="36" t="s">
        <v>48</v>
      </c>
      <c r="F796" s="36" t="s">
        <v>48</v>
      </c>
      <c r="K796" s="36" t="s">
        <v>48</v>
      </c>
      <c r="L796" s="36" t="s">
        <v>48</v>
      </c>
      <c r="M796" s="36" t="s">
        <v>48</v>
      </c>
    </row>
    <row r="797">
      <c r="C797" s="36" t="s">
        <v>48</v>
      </c>
      <c r="E797" s="36" t="s">
        <v>48</v>
      </c>
      <c r="F797" s="36" t="s">
        <v>48</v>
      </c>
      <c r="K797" s="36" t="s">
        <v>48</v>
      </c>
      <c r="L797" s="36" t="s">
        <v>48</v>
      </c>
      <c r="M797" s="36" t="s">
        <v>48</v>
      </c>
    </row>
    <row r="798">
      <c r="C798" s="36" t="s">
        <v>48</v>
      </c>
      <c r="E798" s="36" t="s">
        <v>48</v>
      </c>
      <c r="F798" s="36" t="s">
        <v>48</v>
      </c>
      <c r="K798" s="36" t="s">
        <v>48</v>
      </c>
      <c r="L798" s="36" t="s">
        <v>48</v>
      </c>
      <c r="M798" s="36" t="s">
        <v>48</v>
      </c>
    </row>
    <row r="799">
      <c r="C799" s="36" t="s">
        <v>48</v>
      </c>
      <c r="E799" s="36" t="s">
        <v>48</v>
      </c>
      <c r="F799" s="36" t="s">
        <v>48</v>
      </c>
      <c r="K799" s="36" t="s">
        <v>48</v>
      </c>
      <c r="L799" s="36" t="s">
        <v>48</v>
      </c>
      <c r="M799" s="36" t="s">
        <v>48</v>
      </c>
    </row>
    <row r="800">
      <c r="C800" s="36" t="s">
        <v>48</v>
      </c>
      <c r="E800" s="36" t="s">
        <v>48</v>
      </c>
      <c r="F800" s="36" t="s">
        <v>48</v>
      </c>
      <c r="K800" s="36" t="s">
        <v>48</v>
      </c>
      <c r="L800" s="36" t="s">
        <v>48</v>
      </c>
      <c r="M800" s="36" t="s">
        <v>48</v>
      </c>
    </row>
    <row r="801">
      <c r="C801" s="36" t="s">
        <v>48</v>
      </c>
      <c r="E801" s="36" t="s">
        <v>48</v>
      </c>
      <c r="F801" s="36" t="s">
        <v>48</v>
      </c>
      <c r="K801" s="36" t="s">
        <v>48</v>
      </c>
      <c r="L801" s="36" t="s">
        <v>48</v>
      </c>
      <c r="M801" s="36" t="s">
        <v>48</v>
      </c>
    </row>
    <row r="802">
      <c r="C802" s="36" t="s">
        <v>48</v>
      </c>
      <c r="E802" s="36" t="s">
        <v>48</v>
      </c>
      <c r="F802" s="36" t="s">
        <v>48</v>
      </c>
      <c r="K802" s="36" t="s">
        <v>48</v>
      </c>
      <c r="L802" s="36" t="s">
        <v>48</v>
      </c>
      <c r="M802" s="36" t="s">
        <v>48</v>
      </c>
    </row>
    <row r="803">
      <c r="C803" s="36" t="s">
        <v>48</v>
      </c>
      <c r="E803" s="36" t="s">
        <v>48</v>
      </c>
      <c r="F803" s="36" t="s">
        <v>48</v>
      </c>
      <c r="K803" s="36" t="s">
        <v>48</v>
      </c>
      <c r="L803" s="36" t="s">
        <v>48</v>
      </c>
      <c r="M803" s="36" t="s">
        <v>48</v>
      </c>
    </row>
    <row r="804">
      <c r="C804" s="36" t="s">
        <v>48</v>
      </c>
      <c r="E804" s="36" t="s">
        <v>48</v>
      </c>
      <c r="F804" s="36" t="s">
        <v>48</v>
      </c>
      <c r="K804" s="36" t="s">
        <v>48</v>
      </c>
      <c r="L804" s="36" t="s">
        <v>48</v>
      </c>
      <c r="M804" s="36" t="s">
        <v>48</v>
      </c>
    </row>
    <row r="805">
      <c r="C805" s="36" t="s">
        <v>48</v>
      </c>
      <c r="E805" s="36" t="s">
        <v>48</v>
      </c>
      <c r="F805" s="36" t="s">
        <v>48</v>
      </c>
      <c r="K805" s="36" t="s">
        <v>48</v>
      </c>
      <c r="L805" s="36" t="s">
        <v>48</v>
      </c>
      <c r="M805" s="36" t="s">
        <v>48</v>
      </c>
    </row>
    <row r="806">
      <c r="C806" s="36" t="s">
        <v>48</v>
      </c>
      <c r="E806" s="36" t="s">
        <v>48</v>
      </c>
      <c r="F806" s="36" t="s">
        <v>48</v>
      </c>
      <c r="K806" s="36" t="s">
        <v>48</v>
      </c>
      <c r="L806" s="36" t="s">
        <v>48</v>
      </c>
      <c r="M806" s="36" t="s">
        <v>48</v>
      </c>
    </row>
    <row r="807">
      <c r="C807" s="36" t="s">
        <v>48</v>
      </c>
      <c r="E807" s="36" t="s">
        <v>48</v>
      </c>
      <c r="F807" s="36" t="s">
        <v>48</v>
      </c>
      <c r="K807" s="36" t="s">
        <v>48</v>
      </c>
      <c r="L807" s="36" t="s">
        <v>48</v>
      </c>
      <c r="M807" s="36" t="s">
        <v>48</v>
      </c>
    </row>
    <row r="808">
      <c r="C808" s="36" t="s">
        <v>48</v>
      </c>
      <c r="E808" s="36" t="s">
        <v>48</v>
      </c>
      <c r="F808" s="36" t="s">
        <v>48</v>
      </c>
      <c r="K808" s="36" t="s">
        <v>48</v>
      </c>
      <c r="L808" s="36" t="s">
        <v>48</v>
      </c>
      <c r="M808" s="36" t="s">
        <v>48</v>
      </c>
    </row>
    <row r="809">
      <c r="C809" s="36" t="s">
        <v>48</v>
      </c>
      <c r="E809" s="36" t="s">
        <v>48</v>
      </c>
      <c r="F809" s="36" t="s">
        <v>48</v>
      </c>
      <c r="K809" s="36" t="s">
        <v>48</v>
      </c>
      <c r="L809" s="36" t="s">
        <v>48</v>
      </c>
      <c r="M809" s="36" t="s">
        <v>48</v>
      </c>
    </row>
    <row r="810">
      <c r="C810" s="36" t="s">
        <v>48</v>
      </c>
      <c r="E810" s="36" t="s">
        <v>48</v>
      </c>
      <c r="F810" s="36" t="s">
        <v>48</v>
      </c>
      <c r="K810" s="36" t="s">
        <v>48</v>
      </c>
      <c r="L810" s="36" t="s">
        <v>48</v>
      </c>
      <c r="M810" s="36" t="s">
        <v>48</v>
      </c>
    </row>
    <row r="811">
      <c r="C811" s="36" t="s">
        <v>48</v>
      </c>
      <c r="E811" s="36" t="s">
        <v>48</v>
      </c>
      <c r="F811" s="36" t="s">
        <v>48</v>
      </c>
      <c r="K811" s="36" t="s">
        <v>48</v>
      </c>
      <c r="L811" s="36" t="s">
        <v>48</v>
      </c>
      <c r="M811" s="36" t="s">
        <v>48</v>
      </c>
    </row>
    <row r="812">
      <c r="C812" s="36" t="s">
        <v>48</v>
      </c>
      <c r="E812" s="36" t="s">
        <v>48</v>
      </c>
      <c r="F812" s="36" t="s">
        <v>48</v>
      </c>
      <c r="K812" s="36" t="s">
        <v>48</v>
      </c>
      <c r="L812" s="36" t="s">
        <v>48</v>
      </c>
      <c r="M812" s="36" t="s">
        <v>48</v>
      </c>
    </row>
    <row r="813">
      <c r="C813" s="36" t="s">
        <v>48</v>
      </c>
      <c r="E813" s="36" t="s">
        <v>48</v>
      </c>
      <c r="F813" s="36" t="s">
        <v>48</v>
      </c>
      <c r="K813" s="36" t="s">
        <v>48</v>
      </c>
      <c r="L813" s="36" t="s">
        <v>48</v>
      </c>
      <c r="M813" s="36" t="s">
        <v>48</v>
      </c>
    </row>
    <row r="814">
      <c r="C814" s="36" t="s">
        <v>48</v>
      </c>
      <c r="E814" s="36" t="s">
        <v>48</v>
      </c>
      <c r="F814" s="36" t="s">
        <v>48</v>
      </c>
      <c r="K814" s="36" t="s">
        <v>48</v>
      </c>
      <c r="L814" s="36" t="s">
        <v>48</v>
      </c>
      <c r="M814" s="36" t="s">
        <v>48</v>
      </c>
    </row>
    <row r="815">
      <c r="C815" s="36" t="s">
        <v>48</v>
      </c>
      <c r="E815" s="36" t="s">
        <v>48</v>
      </c>
      <c r="F815" s="36" t="s">
        <v>48</v>
      </c>
      <c r="K815" s="36" t="s">
        <v>48</v>
      </c>
      <c r="L815" s="36" t="s">
        <v>48</v>
      </c>
      <c r="M815" s="36" t="s">
        <v>48</v>
      </c>
    </row>
    <row r="816">
      <c r="C816" s="36" t="s">
        <v>48</v>
      </c>
      <c r="E816" s="36" t="s">
        <v>48</v>
      </c>
      <c r="F816" s="36" t="s">
        <v>48</v>
      </c>
      <c r="K816" s="36" t="s">
        <v>48</v>
      </c>
      <c r="L816" s="36" t="s">
        <v>48</v>
      </c>
      <c r="M816" s="36" t="s">
        <v>48</v>
      </c>
    </row>
    <row r="817">
      <c r="C817" s="36" t="s">
        <v>48</v>
      </c>
      <c r="E817" s="36" t="s">
        <v>48</v>
      </c>
      <c r="F817" s="36" t="s">
        <v>48</v>
      </c>
      <c r="K817" s="36" t="s">
        <v>48</v>
      </c>
      <c r="L817" s="36" t="s">
        <v>48</v>
      </c>
      <c r="M817" s="36" t="s">
        <v>48</v>
      </c>
    </row>
    <row r="818">
      <c r="C818" s="36" t="s">
        <v>48</v>
      </c>
      <c r="E818" s="36" t="s">
        <v>48</v>
      </c>
      <c r="F818" s="36" t="s">
        <v>48</v>
      </c>
      <c r="K818" s="36" t="s">
        <v>48</v>
      </c>
      <c r="L818" s="36" t="s">
        <v>48</v>
      </c>
      <c r="M818" s="36" t="s">
        <v>48</v>
      </c>
    </row>
    <row r="819">
      <c r="C819" s="36" t="s">
        <v>48</v>
      </c>
      <c r="E819" s="36" t="s">
        <v>48</v>
      </c>
      <c r="F819" s="36" t="s">
        <v>48</v>
      </c>
      <c r="K819" s="36" t="s">
        <v>48</v>
      </c>
      <c r="L819" s="36" t="s">
        <v>48</v>
      </c>
      <c r="M819" s="36" t="s">
        <v>48</v>
      </c>
    </row>
    <row r="820">
      <c r="C820" s="36" t="s">
        <v>48</v>
      </c>
      <c r="E820" s="36" t="s">
        <v>48</v>
      </c>
      <c r="F820" s="36" t="s">
        <v>48</v>
      </c>
      <c r="K820" s="36" t="s">
        <v>48</v>
      </c>
      <c r="L820" s="36" t="s">
        <v>48</v>
      </c>
      <c r="M820" s="36" t="s">
        <v>48</v>
      </c>
    </row>
    <row r="821">
      <c r="C821" s="36" t="s">
        <v>48</v>
      </c>
      <c r="E821" s="36" t="s">
        <v>48</v>
      </c>
      <c r="F821" s="36" t="s">
        <v>48</v>
      </c>
      <c r="K821" s="36" t="s">
        <v>48</v>
      </c>
      <c r="L821" s="36" t="s">
        <v>48</v>
      </c>
      <c r="M821" s="36" t="s">
        <v>48</v>
      </c>
    </row>
    <row r="822">
      <c r="C822" s="36" t="s">
        <v>48</v>
      </c>
      <c r="E822" s="36" t="s">
        <v>48</v>
      </c>
      <c r="F822" s="36" t="s">
        <v>48</v>
      </c>
      <c r="K822" s="36" t="s">
        <v>48</v>
      </c>
      <c r="L822" s="36" t="s">
        <v>48</v>
      </c>
      <c r="M822" s="36" t="s">
        <v>48</v>
      </c>
    </row>
    <row r="823">
      <c r="C823" s="36" t="s">
        <v>48</v>
      </c>
      <c r="E823" s="36" t="s">
        <v>48</v>
      </c>
      <c r="F823" s="36" t="s">
        <v>48</v>
      </c>
      <c r="K823" s="36" t="s">
        <v>48</v>
      </c>
      <c r="L823" s="36" t="s">
        <v>48</v>
      </c>
      <c r="M823" s="36" t="s">
        <v>48</v>
      </c>
    </row>
    <row r="824">
      <c r="C824" s="36" t="s">
        <v>48</v>
      </c>
      <c r="E824" s="36" t="s">
        <v>48</v>
      </c>
      <c r="F824" s="36" t="s">
        <v>48</v>
      </c>
      <c r="K824" s="36" t="s">
        <v>48</v>
      </c>
      <c r="L824" s="36" t="s">
        <v>48</v>
      </c>
      <c r="M824" s="36" t="s">
        <v>48</v>
      </c>
    </row>
    <row r="825">
      <c r="C825" s="36" t="s">
        <v>48</v>
      </c>
      <c r="E825" s="36" t="s">
        <v>48</v>
      </c>
      <c r="F825" s="36" t="s">
        <v>48</v>
      </c>
      <c r="K825" s="36" t="s">
        <v>48</v>
      </c>
      <c r="L825" s="36" t="s">
        <v>48</v>
      </c>
      <c r="M825" s="36" t="s">
        <v>48</v>
      </c>
    </row>
    <row r="826">
      <c r="C826" s="36" t="s">
        <v>48</v>
      </c>
      <c r="E826" s="36" t="s">
        <v>48</v>
      </c>
      <c r="F826" s="36" t="s">
        <v>48</v>
      </c>
      <c r="K826" s="36" t="s">
        <v>48</v>
      </c>
      <c r="L826" s="36" t="s">
        <v>48</v>
      </c>
      <c r="M826" s="36" t="s">
        <v>48</v>
      </c>
    </row>
    <row r="827">
      <c r="C827" s="36" t="s">
        <v>48</v>
      </c>
      <c r="E827" s="36" t="s">
        <v>48</v>
      </c>
      <c r="F827" s="36" t="s">
        <v>48</v>
      </c>
      <c r="K827" s="36" t="s">
        <v>48</v>
      </c>
      <c r="L827" s="36" t="s">
        <v>48</v>
      </c>
      <c r="M827" s="36" t="s">
        <v>48</v>
      </c>
    </row>
    <row r="828">
      <c r="C828" s="36" t="s">
        <v>48</v>
      </c>
      <c r="E828" s="36" t="s">
        <v>48</v>
      </c>
      <c r="F828" s="36" t="s">
        <v>48</v>
      </c>
      <c r="K828" s="36" t="s">
        <v>48</v>
      </c>
      <c r="L828" s="36" t="s">
        <v>48</v>
      </c>
      <c r="M828" s="36" t="s">
        <v>48</v>
      </c>
    </row>
    <row r="829">
      <c r="C829" s="36" t="s">
        <v>48</v>
      </c>
      <c r="E829" s="36" t="s">
        <v>48</v>
      </c>
      <c r="F829" s="36" t="s">
        <v>48</v>
      </c>
      <c r="K829" s="36" t="s">
        <v>48</v>
      </c>
      <c r="L829" s="36" t="s">
        <v>48</v>
      </c>
      <c r="M829" s="36" t="s">
        <v>48</v>
      </c>
    </row>
    <row r="830">
      <c r="C830" s="36" t="s">
        <v>48</v>
      </c>
      <c r="E830" s="36" t="s">
        <v>48</v>
      </c>
      <c r="F830" s="36" t="s">
        <v>48</v>
      </c>
      <c r="K830" s="36" t="s">
        <v>48</v>
      </c>
      <c r="L830" s="36" t="s">
        <v>48</v>
      </c>
      <c r="M830" s="36" t="s">
        <v>48</v>
      </c>
    </row>
    <row r="831">
      <c r="C831" s="36" t="s">
        <v>48</v>
      </c>
      <c r="E831" s="36" t="s">
        <v>48</v>
      </c>
      <c r="F831" s="36" t="s">
        <v>48</v>
      </c>
      <c r="K831" s="36" t="s">
        <v>48</v>
      </c>
      <c r="L831" s="36" t="s">
        <v>48</v>
      </c>
      <c r="M831" s="36" t="s">
        <v>48</v>
      </c>
    </row>
    <row r="832">
      <c r="C832" s="36" t="s">
        <v>48</v>
      </c>
      <c r="E832" s="36" t="s">
        <v>48</v>
      </c>
      <c r="F832" s="36" t="s">
        <v>48</v>
      </c>
      <c r="K832" s="36" t="s">
        <v>48</v>
      </c>
      <c r="L832" s="36" t="s">
        <v>48</v>
      </c>
      <c r="M832" s="36" t="s">
        <v>48</v>
      </c>
    </row>
    <row r="833">
      <c r="C833" s="36" t="s">
        <v>48</v>
      </c>
      <c r="E833" s="36" t="s">
        <v>48</v>
      </c>
      <c r="F833" s="36" t="s">
        <v>48</v>
      </c>
      <c r="K833" s="36" t="s">
        <v>48</v>
      </c>
      <c r="L833" s="36" t="s">
        <v>48</v>
      </c>
      <c r="M833" s="36" t="s">
        <v>48</v>
      </c>
    </row>
    <row r="834">
      <c r="C834" s="36" t="s">
        <v>48</v>
      </c>
      <c r="E834" s="36" t="s">
        <v>48</v>
      </c>
      <c r="F834" s="36" t="s">
        <v>48</v>
      </c>
      <c r="K834" s="36" t="s">
        <v>48</v>
      </c>
      <c r="L834" s="36" t="s">
        <v>48</v>
      </c>
      <c r="M834" s="36" t="s">
        <v>48</v>
      </c>
    </row>
    <row r="835">
      <c r="C835" s="36" t="s">
        <v>48</v>
      </c>
      <c r="E835" s="36" t="s">
        <v>48</v>
      </c>
      <c r="F835" s="36" t="s">
        <v>48</v>
      </c>
      <c r="K835" s="36" t="s">
        <v>48</v>
      </c>
      <c r="L835" s="36" t="s">
        <v>48</v>
      </c>
      <c r="M835" s="36" t="s">
        <v>48</v>
      </c>
    </row>
    <row r="836">
      <c r="C836" s="36" t="s">
        <v>48</v>
      </c>
      <c r="E836" s="36" t="s">
        <v>48</v>
      </c>
      <c r="F836" s="36" t="s">
        <v>48</v>
      </c>
      <c r="K836" s="36" t="s">
        <v>48</v>
      </c>
      <c r="L836" s="36" t="s">
        <v>48</v>
      </c>
      <c r="M836" s="36" t="s">
        <v>48</v>
      </c>
    </row>
    <row r="837">
      <c r="C837" s="36" t="s">
        <v>48</v>
      </c>
      <c r="E837" s="36" t="s">
        <v>48</v>
      </c>
      <c r="F837" s="36" t="s">
        <v>48</v>
      </c>
      <c r="K837" s="36" t="s">
        <v>48</v>
      </c>
      <c r="L837" s="36" t="s">
        <v>48</v>
      </c>
      <c r="M837" s="36" t="s">
        <v>48</v>
      </c>
    </row>
    <row r="838">
      <c r="C838" s="36" t="s">
        <v>48</v>
      </c>
      <c r="E838" s="36" t="s">
        <v>48</v>
      </c>
      <c r="F838" s="36" t="s">
        <v>48</v>
      </c>
      <c r="K838" s="36" t="s">
        <v>48</v>
      </c>
      <c r="L838" s="36" t="s">
        <v>48</v>
      </c>
      <c r="M838" s="36" t="s">
        <v>48</v>
      </c>
    </row>
    <row r="839">
      <c r="C839" s="36" t="s">
        <v>48</v>
      </c>
      <c r="E839" s="36" t="s">
        <v>48</v>
      </c>
      <c r="F839" s="36" t="s">
        <v>48</v>
      </c>
      <c r="K839" s="36" t="s">
        <v>48</v>
      </c>
      <c r="L839" s="36" t="s">
        <v>48</v>
      </c>
      <c r="M839" s="36" t="s">
        <v>48</v>
      </c>
    </row>
    <row r="840">
      <c r="C840" s="36" t="s">
        <v>48</v>
      </c>
      <c r="E840" s="36" t="s">
        <v>48</v>
      </c>
      <c r="F840" s="36" t="s">
        <v>48</v>
      </c>
      <c r="K840" s="36" t="s">
        <v>48</v>
      </c>
      <c r="L840" s="36" t="s">
        <v>48</v>
      </c>
      <c r="M840" s="36" t="s">
        <v>48</v>
      </c>
    </row>
    <row r="841">
      <c r="C841" s="36" t="s">
        <v>48</v>
      </c>
      <c r="E841" s="36" t="s">
        <v>48</v>
      </c>
      <c r="F841" s="36" t="s">
        <v>48</v>
      </c>
      <c r="K841" s="36" t="s">
        <v>48</v>
      </c>
      <c r="L841" s="36" t="s">
        <v>48</v>
      </c>
      <c r="M841" s="36" t="s">
        <v>48</v>
      </c>
    </row>
    <row r="842">
      <c r="C842" s="36" t="s">
        <v>48</v>
      </c>
      <c r="E842" s="36" t="s">
        <v>48</v>
      </c>
      <c r="F842" s="36" t="s">
        <v>48</v>
      </c>
      <c r="K842" s="36" t="s">
        <v>48</v>
      </c>
      <c r="L842" s="36" t="s">
        <v>48</v>
      </c>
      <c r="M842" s="36" t="s">
        <v>48</v>
      </c>
    </row>
    <row r="843">
      <c r="C843" s="36" t="s">
        <v>48</v>
      </c>
      <c r="E843" s="36" t="s">
        <v>48</v>
      </c>
      <c r="F843" s="36" t="s">
        <v>48</v>
      </c>
      <c r="K843" s="36" t="s">
        <v>48</v>
      </c>
      <c r="L843" s="36" t="s">
        <v>48</v>
      </c>
      <c r="M843" s="36" t="s">
        <v>48</v>
      </c>
    </row>
    <row r="844">
      <c r="C844" s="36" t="s">
        <v>48</v>
      </c>
      <c r="E844" s="36" t="s">
        <v>48</v>
      </c>
      <c r="F844" s="36" t="s">
        <v>48</v>
      </c>
      <c r="K844" s="36" t="s">
        <v>48</v>
      </c>
      <c r="L844" s="36" t="s">
        <v>48</v>
      </c>
      <c r="M844" s="36" t="s">
        <v>48</v>
      </c>
    </row>
    <row r="845">
      <c r="C845" s="36" t="s">
        <v>48</v>
      </c>
      <c r="E845" s="36" t="s">
        <v>48</v>
      </c>
      <c r="F845" s="36" t="s">
        <v>48</v>
      </c>
      <c r="K845" s="36" t="s">
        <v>48</v>
      </c>
      <c r="L845" s="36" t="s">
        <v>48</v>
      </c>
      <c r="M845" s="36" t="s">
        <v>48</v>
      </c>
    </row>
    <row r="846">
      <c r="C846" s="36" t="s">
        <v>48</v>
      </c>
      <c r="E846" s="36" t="s">
        <v>48</v>
      </c>
      <c r="F846" s="36" t="s">
        <v>48</v>
      </c>
      <c r="K846" s="36" t="s">
        <v>48</v>
      </c>
      <c r="L846" s="36" t="s">
        <v>48</v>
      </c>
      <c r="M846" s="36" t="s">
        <v>48</v>
      </c>
    </row>
    <row r="847">
      <c r="C847" s="36" t="s">
        <v>48</v>
      </c>
      <c r="E847" s="36" t="s">
        <v>48</v>
      </c>
      <c r="F847" s="36" t="s">
        <v>48</v>
      </c>
      <c r="K847" s="36" t="s">
        <v>48</v>
      </c>
      <c r="L847" s="36" t="s">
        <v>48</v>
      </c>
      <c r="M847" s="36" t="s">
        <v>48</v>
      </c>
    </row>
    <row r="848">
      <c r="C848" s="36" t="s">
        <v>48</v>
      </c>
      <c r="E848" s="36" t="s">
        <v>48</v>
      </c>
      <c r="F848" s="36" t="s">
        <v>48</v>
      </c>
      <c r="K848" s="36" t="s">
        <v>48</v>
      </c>
      <c r="L848" s="36" t="s">
        <v>48</v>
      </c>
      <c r="M848" s="36" t="s">
        <v>48</v>
      </c>
    </row>
    <row r="849">
      <c r="C849" s="36" t="s">
        <v>48</v>
      </c>
      <c r="E849" s="36" t="s">
        <v>48</v>
      </c>
      <c r="F849" s="36" t="s">
        <v>48</v>
      </c>
      <c r="K849" s="36" t="s">
        <v>48</v>
      </c>
      <c r="L849" s="36" t="s">
        <v>48</v>
      </c>
      <c r="M849" s="36" t="s">
        <v>48</v>
      </c>
    </row>
    <row r="850">
      <c r="C850" s="36" t="s">
        <v>48</v>
      </c>
      <c r="E850" s="36" t="s">
        <v>48</v>
      </c>
      <c r="F850" s="36" t="s">
        <v>48</v>
      </c>
      <c r="K850" s="36" t="s">
        <v>48</v>
      </c>
      <c r="L850" s="36" t="s">
        <v>48</v>
      </c>
      <c r="M850" s="36" t="s">
        <v>48</v>
      </c>
    </row>
    <row r="851">
      <c r="C851" s="36" t="s">
        <v>48</v>
      </c>
      <c r="E851" s="36" t="s">
        <v>48</v>
      </c>
      <c r="F851" s="36" t="s">
        <v>48</v>
      </c>
      <c r="K851" s="36" t="s">
        <v>48</v>
      </c>
      <c r="L851" s="36" t="s">
        <v>48</v>
      </c>
      <c r="M851" s="36" t="s">
        <v>48</v>
      </c>
    </row>
    <row r="852">
      <c r="C852" s="36" t="s">
        <v>48</v>
      </c>
      <c r="E852" s="36" t="s">
        <v>48</v>
      </c>
      <c r="F852" s="36" t="s">
        <v>48</v>
      </c>
      <c r="K852" s="36" t="s">
        <v>48</v>
      </c>
      <c r="L852" s="36" t="s">
        <v>48</v>
      </c>
      <c r="M852" s="36" t="s">
        <v>48</v>
      </c>
    </row>
    <row r="853">
      <c r="C853" s="36" t="s">
        <v>48</v>
      </c>
      <c r="E853" s="36" t="s">
        <v>48</v>
      </c>
      <c r="F853" s="36" t="s">
        <v>48</v>
      </c>
      <c r="K853" s="36" t="s">
        <v>48</v>
      </c>
      <c r="L853" s="36" t="s">
        <v>48</v>
      </c>
      <c r="M853" s="36" t="s">
        <v>48</v>
      </c>
    </row>
    <row r="854">
      <c r="C854" s="36" t="s">
        <v>48</v>
      </c>
      <c r="E854" s="36" t="s">
        <v>48</v>
      </c>
      <c r="F854" s="36" t="s">
        <v>48</v>
      </c>
      <c r="K854" s="36" t="s">
        <v>48</v>
      </c>
      <c r="L854" s="36" t="s">
        <v>48</v>
      </c>
      <c r="M854" s="36" t="s">
        <v>48</v>
      </c>
    </row>
    <row r="855">
      <c r="C855" s="36" t="s">
        <v>48</v>
      </c>
      <c r="E855" s="36" t="s">
        <v>48</v>
      </c>
      <c r="F855" s="36" t="s">
        <v>48</v>
      </c>
      <c r="K855" s="36" t="s">
        <v>48</v>
      </c>
      <c r="L855" s="36" t="s">
        <v>48</v>
      </c>
      <c r="M855" s="36" t="s">
        <v>48</v>
      </c>
    </row>
    <row r="856">
      <c r="C856" s="36" t="s">
        <v>48</v>
      </c>
      <c r="E856" s="36" t="s">
        <v>48</v>
      </c>
      <c r="F856" s="36" t="s">
        <v>48</v>
      </c>
      <c r="K856" s="36" t="s">
        <v>48</v>
      </c>
      <c r="L856" s="36" t="s">
        <v>48</v>
      </c>
      <c r="M856" s="36" t="s">
        <v>48</v>
      </c>
    </row>
    <row r="857">
      <c r="C857" s="36" t="s">
        <v>48</v>
      </c>
      <c r="E857" s="36" t="s">
        <v>48</v>
      </c>
      <c r="F857" s="36" t="s">
        <v>48</v>
      </c>
      <c r="K857" s="36" t="s">
        <v>48</v>
      </c>
      <c r="L857" s="36" t="s">
        <v>48</v>
      </c>
      <c r="M857" s="36" t="s">
        <v>48</v>
      </c>
    </row>
    <row r="858">
      <c r="C858" s="36" t="s">
        <v>48</v>
      </c>
      <c r="E858" s="36" t="s">
        <v>48</v>
      </c>
      <c r="F858" s="36" t="s">
        <v>48</v>
      </c>
      <c r="K858" s="36" t="s">
        <v>48</v>
      </c>
      <c r="L858" s="36" t="s">
        <v>48</v>
      </c>
      <c r="M858" s="36" t="s">
        <v>48</v>
      </c>
    </row>
    <row r="859">
      <c r="C859" s="36" t="s">
        <v>48</v>
      </c>
      <c r="E859" s="36" t="s">
        <v>48</v>
      </c>
      <c r="F859" s="36" t="s">
        <v>48</v>
      </c>
      <c r="K859" s="36" t="s">
        <v>48</v>
      </c>
      <c r="L859" s="36" t="s">
        <v>48</v>
      </c>
      <c r="M859" s="36" t="s">
        <v>48</v>
      </c>
    </row>
    <row r="860">
      <c r="C860" s="36" t="s">
        <v>48</v>
      </c>
      <c r="E860" s="36" t="s">
        <v>48</v>
      </c>
      <c r="F860" s="36" t="s">
        <v>48</v>
      </c>
      <c r="K860" s="36" t="s">
        <v>48</v>
      </c>
      <c r="L860" s="36" t="s">
        <v>48</v>
      </c>
      <c r="M860" s="36" t="s">
        <v>48</v>
      </c>
    </row>
    <row r="861">
      <c r="C861" s="36" t="s">
        <v>48</v>
      </c>
      <c r="E861" s="36" t="s">
        <v>48</v>
      </c>
      <c r="F861" s="36" t="s">
        <v>48</v>
      </c>
      <c r="K861" s="36" t="s">
        <v>48</v>
      </c>
      <c r="L861" s="36" t="s">
        <v>48</v>
      </c>
      <c r="M861" s="36" t="s">
        <v>48</v>
      </c>
    </row>
    <row r="862">
      <c r="C862" s="36" t="s">
        <v>48</v>
      </c>
      <c r="E862" s="36" t="s">
        <v>48</v>
      </c>
      <c r="F862" s="36" t="s">
        <v>48</v>
      </c>
      <c r="K862" s="36" t="s">
        <v>48</v>
      </c>
      <c r="L862" s="36" t="s">
        <v>48</v>
      </c>
      <c r="M862" s="36" t="s">
        <v>48</v>
      </c>
    </row>
    <row r="863">
      <c r="C863" s="36" t="s">
        <v>48</v>
      </c>
      <c r="E863" s="36" t="s">
        <v>48</v>
      </c>
      <c r="F863" s="36" t="s">
        <v>48</v>
      </c>
      <c r="K863" s="36" t="s">
        <v>48</v>
      </c>
      <c r="L863" s="36" t="s">
        <v>48</v>
      </c>
      <c r="M863" s="36" t="s">
        <v>48</v>
      </c>
    </row>
    <row r="864">
      <c r="C864" s="36" t="s">
        <v>48</v>
      </c>
      <c r="E864" s="36" t="s">
        <v>48</v>
      </c>
      <c r="F864" s="36" t="s">
        <v>48</v>
      </c>
      <c r="K864" s="36" t="s">
        <v>48</v>
      </c>
      <c r="L864" s="36" t="s">
        <v>48</v>
      </c>
      <c r="M864" s="36" t="s">
        <v>48</v>
      </c>
    </row>
    <row r="865">
      <c r="C865" s="36" t="s">
        <v>48</v>
      </c>
      <c r="E865" s="36" t="s">
        <v>48</v>
      </c>
      <c r="F865" s="36" t="s">
        <v>48</v>
      </c>
      <c r="K865" s="36" t="s">
        <v>48</v>
      </c>
      <c r="L865" s="36" t="s">
        <v>48</v>
      </c>
      <c r="M865" s="36" t="s">
        <v>48</v>
      </c>
    </row>
    <row r="866">
      <c r="C866" s="36" t="s">
        <v>48</v>
      </c>
      <c r="E866" s="36" t="s">
        <v>48</v>
      </c>
      <c r="F866" s="36" t="s">
        <v>48</v>
      </c>
      <c r="K866" s="36" t="s">
        <v>48</v>
      </c>
      <c r="L866" s="36" t="s">
        <v>48</v>
      </c>
      <c r="M866" s="36" t="s">
        <v>48</v>
      </c>
    </row>
    <row r="867">
      <c r="C867" s="36" t="s">
        <v>48</v>
      </c>
      <c r="E867" s="36" t="s">
        <v>48</v>
      </c>
      <c r="F867" s="36" t="s">
        <v>48</v>
      </c>
      <c r="K867" s="36" t="s">
        <v>48</v>
      </c>
      <c r="L867" s="36" t="s">
        <v>48</v>
      </c>
      <c r="M867" s="36" t="s">
        <v>48</v>
      </c>
    </row>
    <row r="868">
      <c r="C868" s="36" t="s">
        <v>48</v>
      </c>
      <c r="E868" s="36" t="s">
        <v>48</v>
      </c>
      <c r="F868" s="36" t="s">
        <v>48</v>
      </c>
      <c r="K868" s="36" t="s">
        <v>48</v>
      </c>
      <c r="L868" s="36" t="s">
        <v>48</v>
      </c>
      <c r="M868" s="36" t="s">
        <v>48</v>
      </c>
    </row>
    <row r="869">
      <c r="C869" s="36" t="s">
        <v>48</v>
      </c>
      <c r="E869" s="36" t="s">
        <v>48</v>
      </c>
      <c r="F869" s="36" t="s">
        <v>48</v>
      </c>
      <c r="K869" s="36" t="s">
        <v>48</v>
      </c>
      <c r="L869" s="36" t="s">
        <v>48</v>
      </c>
      <c r="M869" s="36" t="s">
        <v>48</v>
      </c>
    </row>
    <row r="870">
      <c r="C870" s="36" t="s">
        <v>48</v>
      </c>
      <c r="E870" s="36" t="s">
        <v>48</v>
      </c>
      <c r="F870" s="36" t="s">
        <v>48</v>
      </c>
      <c r="K870" s="36" t="s">
        <v>48</v>
      </c>
      <c r="L870" s="36" t="s">
        <v>48</v>
      </c>
      <c r="M870" s="36" t="s">
        <v>48</v>
      </c>
    </row>
    <row r="871">
      <c r="C871" s="36" t="s">
        <v>48</v>
      </c>
      <c r="E871" s="36" t="s">
        <v>48</v>
      </c>
      <c r="F871" s="36" t="s">
        <v>48</v>
      </c>
      <c r="K871" s="36" t="s">
        <v>48</v>
      </c>
      <c r="L871" s="36" t="s">
        <v>48</v>
      </c>
      <c r="M871" s="36" t="s">
        <v>48</v>
      </c>
    </row>
    <row r="872">
      <c r="C872" s="36" t="s">
        <v>48</v>
      </c>
      <c r="E872" s="36" t="s">
        <v>48</v>
      </c>
      <c r="F872" s="36" t="s">
        <v>48</v>
      </c>
      <c r="K872" s="36" t="s">
        <v>48</v>
      </c>
      <c r="L872" s="36" t="s">
        <v>48</v>
      </c>
      <c r="M872" s="36" t="s">
        <v>48</v>
      </c>
    </row>
    <row r="873">
      <c r="C873" s="36" t="s">
        <v>48</v>
      </c>
      <c r="E873" s="36" t="s">
        <v>48</v>
      </c>
      <c r="F873" s="36" t="s">
        <v>48</v>
      </c>
      <c r="K873" s="36" t="s">
        <v>48</v>
      </c>
      <c r="L873" s="36" t="s">
        <v>48</v>
      </c>
      <c r="M873" s="36" t="s">
        <v>48</v>
      </c>
    </row>
    <row r="874">
      <c r="C874" s="36" t="s">
        <v>48</v>
      </c>
      <c r="E874" s="36" t="s">
        <v>48</v>
      </c>
      <c r="F874" s="36" t="s">
        <v>48</v>
      </c>
      <c r="K874" s="36" t="s">
        <v>48</v>
      </c>
      <c r="L874" s="36" t="s">
        <v>48</v>
      </c>
      <c r="M874" s="36" t="s">
        <v>48</v>
      </c>
    </row>
    <row r="875">
      <c r="C875" s="36" t="s">
        <v>48</v>
      </c>
      <c r="E875" s="36" t="s">
        <v>48</v>
      </c>
      <c r="F875" s="36" t="s">
        <v>48</v>
      </c>
      <c r="K875" s="36" t="s">
        <v>48</v>
      </c>
      <c r="L875" s="36" t="s">
        <v>48</v>
      </c>
      <c r="M875" s="36" t="s">
        <v>48</v>
      </c>
    </row>
    <row r="876">
      <c r="C876" s="36" t="s">
        <v>48</v>
      </c>
      <c r="E876" s="36" t="s">
        <v>48</v>
      </c>
      <c r="F876" s="36" t="s">
        <v>48</v>
      </c>
      <c r="K876" s="36" t="s">
        <v>48</v>
      </c>
      <c r="L876" s="36" t="s">
        <v>48</v>
      </c>
      <c r="M876" s="36" t="s">
        <v>48</v>
      </c>
    </row>
    <row r="877">
      <c r="C877" s="36" t="s">
        <v>48</v>
      </c>
      <c r="E877" s="36" t="s">
        <v>48</v>
      </c>
      <c r="F877" s="36" t="s">
        <v>48</v>
      </c>
      <c r="K877" s="36" t="s">
        <v>48</v>
      </c>
      <c r="L877" s="36" t="s">
        <v>48</v>
      </c>
      <c r="M877" s="36" t="s">
        <v>48</v>
      </c>
    </row>
    <row r="878">
      <c r="C878" s="36" t="s">
        <v>48</v>
      </c>
      <c r="E878" s="36" t="s">
        <v>48</v>
      </c>
      <c r="F878" s="36" t="s">
        <v>48</v>
      </c>
      <c r="K878" s="36" t="s">
        <v>48</v>
      </c>
      <c r="L878" s="36" t="s">
        <v>48</v>
      </c>
      <c r="M878" s="36" t="s">
        <v>48</v>
      </c>
    </row>
    <row r="879">
      <c r="C879" s="36" t="s">
        <v>48</v>
      </c>
      <c r="E879" s="36" t="s">
        <v>48</v>
      </c>
      <c r="F879" s="36" t="s">
        <v>48</v>
      </c>
      <c r="K879" s="36" t="s">
        <v>48</v>
      </c>
      <c r="L879" s="36" t="s">
        <v>48</v>
      </c>
      <c r="M879" s="36" t="s">
        <v>48</v>
      </c>
    </row>
    <row r="880">
      <c r="C880" s="36" t="s">
        <v>48</v>
      </c>
      <c r="E880" s="36" t="s">
        <v>48</v>
      </c>
      <c r="F880" s="36" t="s">
        <v>48</v>
      </c>
      <c r="K880" s="36" t="s">
        <v>48</v>
      </c>
      <c r="L880" s="36" t="s">
        <v>48</v>
      </c>
      <c r="M880" s="36" t="s">
        <v>48</v>
      </c>
    </row>
    <row r="881">
      <c r="C881" s="36" t="s">
        <v>48</v>
      </c>
      <c r="E881" s="36" t="s">
        <v>48</v>
      </c>
      <c r="F881" s="36" t="s">
        <v>48</v>
      </c>
      <c r="K881" s="36" t="s">
        <v>48</v>
      </c>
      <c r="L881" s="36" t="s">
        <v>48</v>
      </c>
      <c r="M881" s="36" t="s">
        <v>48</v>
      </c>
    </row>
    <row r="882">
      <c r="C882" s="36" t="s">
        <v>48</v>
      </c>
      <c r="E882" s="36" t="s">
        <v>48</v>
      </c>
      <c r="F882" s="36" t="s">
        <v>48</v>
      </c>
      <c r="K882" s="36" t="s">
        <v>48</v>
      </c>
      <c r="L882" s="36" t="s">
        <v>48</v>
      </c>
      <c r="M882" s="36" t="s">
        <v>48</v>
      </c>
    </row>
    <row r="883">
      <c r="C883" s="36" t="s">
        <v>48</v>
      </c>
      <c r="E883" s="36" t="s">
        <v>48</v>
      </c>
      <c r="F883" s="36" t="s">
        <v>48</v>
      </c>
      <c r="K883" s="36" t="s">
        <v>48</v>
      </c>
      <c r="L883" s="36" t="s">
        <v>48</v>
      </c>
      <c r="M883" s="36" t="s">
        <v>48</v>
      </c>
    </row>
    <row r="884">
      <c r="C884" s="36" t="s">
        <v>48</v>
      </c>
      <c r="E884" s="36" t="s">
        <v>48</v>
      </c>
      <c r="F884" s="36" t="s">
        <v>48</v>
      </c>
      <c r="K884" s="36" t="s">
        <v>48</v>
      </c>
      <c r="L884" s="36" t="s">
        <v>48</v>
      </c>
      <c r="M884" s="36" t="s">
        <v>48</v>
      </c>
    </row>
    <row r="885">
      <c r="C885" s="36" t="s">
        <v>48</v>
      </c>
      <c r="E885" s="36" t="s">
        <v>48</v>
      </c>
      <c r="F885" s="36" t="s">
        <v>48</v>
      </c>
      <c r="K885" s="36" t="s">
        <v>48</v>
      </c>
      <c r="L885" s="36" t="s">
        <v>48</v>
      </c>
      <c r="M885" s="36" t="s">
        <v>48</v>
      </c>
    </row>
    <row r="886">
      <c r="C886" s="36" t="s">
        <v>48</v>
      </c>
      <c r="E886" s="36" t="s">
        <v>48</v>
      </c>
      <c r="F886" s="36" t="s">
        <v>48</v>
      </c>
      <c r="K886" s="36" t="s">
        <v>48</v>
      </c>
      <c r="L886" s="36" t="s">
        <v>48</v>
      </c>
      <c r="M886" s="36" t="s">
        <v>48</v>
      </c>
    </row>
    <row r="887">
      <c r="C887" s="36" t="s">
        <v>48</v>
      </c>
      <c r="E887" s="36" t="s">
        <v>48</v>
      </c>
      <c r="F887" s="36" t="s">
        <v>48</v>
      </c>
      <c r="K887" s="36" t="s">
        <v>48</v>
      </c>
      <c r="L887" s="36" t="s">
        <v>48</v>
      </c>
      <c r="M887" s="36" t="s">
        <v>48</v>
      </c>
    </row>
    <row r="888">
      <c r="C888" s="36" t="s">
        <v>48</v>
      </c>
      <c r="E888" s="36" t="s">
        <v>48</v>
      </c>
      <c r="F888" s="36" t="s">
        <v>48</v>
      </c>
      <c r="K888" s="36" t="s">
        <v>48</v>
      </c>
      <c r="L888" s="36" t="s">
        <v>48</v>
      </c>
      <c r="M888" s="36" t="s">
        <v>48</v>
      </c>
    </row>
    <row r="889">
      <c r="C889" s="36" t="s">
        <v>48</v>
      </c>
      <c r="E889" s="36" t="s">
        <v>48</v>
      </c>
      <c r="F889" s="36" t="s">
        <v>48</v>
      </c>
      <c r="K889" s="36" t="s">
        <v>48</v>
      </c>
      <c r="L889" s="36" t="s">
        <v>48</v>
      </c>
      <c r="M889" s="36" t="s">
        <v>48</v>
      </c>
    </row>
    <row r="890">
      <c r="C890" s="36" t="s">
        <v>48</v>
      </c>
      <c r="E890" s="36" t="s">
        <v>48</v>
      </c>
      <c r="F890" s="36" t="s">
        <v>48</v>
      </c>
      <c r="K890" s="36" t="s">
        <v>48</v>
      </c>
      <c r="L890" s="36" t="s">
        <v>48</v>
      </c>
      <c r="M890" s="36" t="s">
        <v>48</v>
      </c>
    </row>
    <row r="891">
      <c r="C891" s="36" t="s">
        <v>48</v>
      </c>
      <c r="E891" s="36" t="s">
        <v>48</v>
      </c>
      <c r="F891" s="36" t="s">
        <v>48</v>
      </c>
      <c r="K891" s="36" t="s">
        <v>48</v>
      </c>
      <c r="L891" s="36" t="s">
        <v>48</v>
      </c>
      <c r="M891" s="36" t="s">
        <v>48</v>
      </c>
    </row>
    <row r="892">
      <c r="C892" s="36" t="s">
        <v>48</v>
      </c>
      <c r="E892" s="36" t="s">
        <v>48</v>
      </c>
      <c r="F892" s="36" t="s">
        <v>48</v>
      </c>
      <c r="K892" s="36" t="s">
        <v>48</v>
      </c>
      <c r="L892" s="36" t="s">
        <v>48</v>
      </c>
      <c r="M892" s="36" t="s">
        <v>48</v>
      </c>
    </row>
    <row r="893">
      <c r="C893" s="36" t="s">
        <v>48</v>
      </c>
      <c r="E893" s="36" t="s">
        <v>48</v>
      </c>
      <c r="F893" s="36" t="s">
        <v>48</v>
      </c>
      <c r="K893" s="36" t="s">
        <v>48</v>
      </c>
      <c r="L893" s="36" t="s">
        <v>48</v>
      </c>
      <c r="M893" s="36" t="s">
        <v>48</v>
      </c>
    </row>
    <row r="894">
      <c r="C894" s="36" t="s">
        <v>48</v>
      </c>
      <c r="E894" s="36" t="s">
        <v>48</v>
      </c>
      <c r="F894" s="36" t="s">
        <v>48</v>
      </c>
      <c r="K894" s="36" t="s">
        <v>48</v>
      </c>
      <c r="L894" s="36" t="s">
        <v>48</v>
      </c>
      <c r="M894" s="36" t="s">
        <v>48</v>
      </c>
    </row>
    <row r="895">
      <c r="C895" s="36" t="s">
        <v>48</v>
      </c>
      <c r="E895" s="36" t="s">
        <v>48</v>
      </c>
      <c r="F895" s="36" t="s">
        <v>48</v>
      </c>
      <c r="K895" s="36" t="s">
        <v>48</v>
      </c>
      <c r="L895" s="36" t="s">
        <v>48</v>
      </c>
      <c r="M895" s="36" t="s">
        <v>48</v>
      </c>
    </row>
    <row r="896">
      <c r="C896" s="36" t="s">
        <v>48</v>
      </c>
      <c r="E896" s="36" t="s">
        <v>48</v>
      </c>
      <c r="F896" s="36" t="s">
        <v>48</v>
      </c>
      <c r="K896" s="36" t="s">
        <v>48</v>
      </c>
      <c r="L896" s="36" t="s">
        <v>48</v>
      </c>
      <c r="M896" s="36" t="s">
        <v>48</v>
      </c>
    </row>
    <row r="897">
      <c r="C897" s="36" t="s">
        <v>48</v>
      </c>
      <c r="E897" s="36" t="s">
        <v>48</v>
      </c>
      <c r="F897" s="36" t="s">
        <v>48</v>
      </c>
      <c r="K897" s="36" t="s">
        <v>48</v>
      </c>
      <c r="L897" s="36" t="s">
        <v>48</v>
      </c>
      <c r="M897" s="36" t="s">
        <v>48</v>
      </c>
    </row>
    <row r="898">
      <c r="C898" s="36" t="s">
        <v>48</v>
      </c>
      <c r="E898" s="36" t="s">
        <v>48</v>
      </c>
      <c r="F898" s="36" t="s">
        <v>48</v>
      </c>
      <c r="K898" s="36" t="s">
        <v>48</v>
      </c>
      <c r="L898" s="36" t="s">
        <v>48</v>
      </c>
      <c r="M898" s="36" t="s">
        <v>48</v>
      </c>
    </row>
    <row r="899">
      <c r="C899" s="36" t="s">
        <v>48</v>
      </c>
      <c r="E899" s="36" t="s">
        <v>48</v>
      </c>
      <c r="F899" s="36" t="s">
        <v>48</v>
      </c>
      <c r="K899" s="36" t="s">
        <v>48</v>
      </c>
      <c r="L899" s="36" t="s">
        <v>48</v>
      </c>
      <c r="M899" s="36" t="s">
        <v>48</v>
      </c>
    </row>
    <row r="900">
      <c r="C900" s="36" t="s">
        <v>48</v>
      </c>
      <c r="E900" s="36" t="s">
        <v>48</v>
      </c>
      <c r="F900" s="36" t="s">
        <v>48</v>
      </c>
      <c r="K900" s="36" t="s">
        <v>48</v>
      </c>
      <c r="L900" s="36" t="s">
        <v>48</v>
      </c>
      <c r="M900" s="36" t="s">
        <v>48</v>
      </c>
    </row>
    <row r="901">
      <c r="C901" s="36" t="s">
        <v>48</v>
      </c>
      <c r="E901" s="36" t="s">
        <v>48</v>
      </c>
      <c r="F901" s="36" t="s">
        <v>48</v>
      </c>
      <c r="K901" s="36" t="s">
        <v>48</v>
      </c>
      <c r="L901" s="36" t="s">
        <v>48</v>
      </c>
      <c r="M901" s="36" t="s">
        <v>48</v>
      </c>
    </row>
    <row r="902">
      <c r="C902" s="36" t="s">
        <v>48</v>
      </c>
      <c r="E902" s="36" t="s">
        <v>48</v>
      </c>
      <c r="F902" s="36" t="s">
        <v>48</v>
      </c>
      <c r="K902" s="36" t="s">
        <v>48</v>
      </c>
      <c r="L902" s="36" t="s">
        <v>48</v>
      </c>
      <c r="M902" s="36" t="s">
        <v>48</v>
      </c>
    </row>
    <row r="903">
      <c r="C903" s="36" t="s">
        <v>48</v>
      </c>
      <c r="E903" s="36" t="s">
        <v>48</v>
      </c>
      <c r="F903" s="36" t="s">
        <v>48</v>
      </c>
      <c r="K903" s="36" t="s">
        <v>48</v>
      </c>
      <c r="L903" s="36" t="s">
        <v>48</v>
      </c>
      <c r="M903" s="36" t="s">
        <v>48</v>
      </c>
    </row>
    <row r="904">
      <c r="C904" s="36" t="s">
        <v>48</v>
      </c>
      <c r="E904" s="36" t="s">
        <v>48</v>
      </c>
      <c r="F904" s="36" t="s">
        <v>48</v>
      </c>
      <c r="K904" s="36" t="s">
        <v>48</v>
      </c>
      <c r="L904" s="36" t="s">
        <v>48</v>
      </c>
      <c r="M904" s="36" t="s">
        <v>48</v>
      </c>
    </row>
    <row r="905">
      <c r="C905" s="36" t="s">
        <v>48</v>
      </c>
      <c r="E905" s="36" t="s">
        <v>48</v>
      </c>
      <c r="F905" s="36" t="s">
        <v>48</v>
      </c>
      <c r="K905" s="36" t="s">
        <v>48</v>
      </c>
      <c r="L905" s="36" t="s">
        <v>48</v>
      </c>
      <c r="M905" s="36" t="s">
        <v>48</v>
      </c>
    </row>
    <row r="906">
      <c r="C906" s="36" t="s">
        <v>48</v>
      </c>
      <c r="E906" s="36" t="s">
        <v>48</v>
      </c>
      <c r="F906" s="36" t="s">
        <v>48</v>
      </c>
      <c r="K906" s="36" t="s">
        <v>48</v>
      </c>
      <c r="L906" s="36" t="s">
        <v>48</v>
      </c>
      <c r="M906" s="36" t="s">
        <v>48</v>
      </c>
    </row>
    <row r="907">
      <c r="C907" s="36" t="s">
        <v>48</v>
      </c>
      <c r="E907" s="36" t="s">
        <v>48</v>
      </c>
      <c r="F907" s="36" t="s">
        <v>48</v>
      </c>
      <c r="K907" s="36" t="s">
        <v>48</v>
      </c>
      <c r="L907" s="36" t="s">
        <v>48</v>
      </c>
      <c r="M907" s="36" t="s">
        <v>48</v>
      </c>
    </row>
    <row r="908">
      <c r="C908" s="36" t="s">
        <v>48</v>
      </c>
      <c r="E908" s="36" t="s">
        <v>48</v>
      </c>
      <c r="F908" s="36" t="s">
        <v>48</v>
      </c>
      <c r="K908" s="36" t="s">
        <v>48</v>
      </c>
      <c r="L908" s="36" t="s">
        <v>48</v>
      </c>
      <c r="M908" s="36" t="s">
        <v>48</v>
      </c>
    </row>
    <row r="909">
      <c r="C909" s="36" t="s">
        <v>48</v>
      </c>
      <c r="E909" s="36" t="s">
        <v>48</v>
      </c>
      <c r="F909" s="36" t="s">
        <v>48</v>
      </c>
      <c r="K909" s="36" t="s">
        <v>48</v>
      </c>
      <c r="L909" s="36" t="s">
        <v>48</v>
      </c>
      <c r="M909" s="36" t="s">
        <v>48</v>
      </c>
    </row>
    <row r="910">
      <c r="C910" s="36" t="s">
        <v>48</v>
      </c>
      <c r="E910" s="36" t="s">
        <v>48</v>
      </c>
      <c r="F910" s="36" t="s">
        <v>48</v>
      </c>
      <c r="K910" s="36" t="s">
        <v>48</v>
      </c>
      <c r="L910" s="36" t="s">
        <v>48</v>
      </c>
      <c r="M910" s="36" t="s">
        <v>48</v>
      </c>
    </row>
    <row r="911">
      <c r="C911" s="36" t="s">
        <v>48</v>
      </c>
      <c r="E911" s="36" t="s">
        <v>48</v>
      </c>
      <c r="F911" s="36" t="s">
        <v>48</v>
      </c>
      <c r="K911" s="36" t="s">
        <v>48</v>
      </c>
      <c r="L911" s="36" t="s">
        <v>48</v>
      </c>
      <c r="M911" s="36" t="s">
        <v>48</v>
      </c>
    </row>
    <row r="912">
      <c r="C912" s="36" t="s">
        <v>48</v>
      </c>
      <c r="E912" s="36" t="s">
        <v>48</v>
      </c>
      <c r="F912" s="36" t="s">
        <v>48</v>
      </c>
      <c r="K912" s="36" t="s">
        <v>48</v>
      </c>
      <c r="L912" s="36" t="s">
        <v>48</v>
      </c>
      <c r="M912" s="36" t="s">
        <v>48</v>
      </c>
    </row>
    <row r="913">
      <c r="C913" s="36" t="s">
        <v>48</v>
      </c>
      <c r="E913" s="36" t="s">
        <v>48</v>
      </c>
      <c r="F913" s="36" t="s">
        <v>48</v>
      </c>
      <c r="K913" s="36" t="s">
        <v>48</v>
      </c>
      <c r="L913" s="36" t="s">
        <v>48</v>
      </c>
      <c r="M913" s="36" t="s">
        <v>48</v>
      </c>
    </row>
    <row r="914">
      <c r="C914" s="36" t="s">
        <v>48</v>
      </c>
      <c r="E914" s="36" t="s">
        <v>48</v>
      </c>
      <c r="F914" s="36" t="s">
        <v>48</v>
      </c>
      <c r="K914" s="36" t="s">
        <v>48</v>
      </c>
      <c r="L914" s="36" t="s">
        <v>48</v>
      </c>
      <c r="M914" s="36" t="s">
        <v>48</v>
      </c>
    </row>
    <row r="915">
      <c r="C915" s="36" t="s">
        <v>48</v>
      </c>
      <c r="E915" s="36" t="s">
        <v>48</v>
      </c>
      <c r="F915" s="36" t="s">
        <v>48</v>
      </c>
      <c r="K915" s="36" t="s">
        <v>48</v>
      </c>
      <c r="L915" s="36" t="s">
        <v>48</v>
      </c>
      <c r="M915" s="36" t="s">
        <v>48</v>
      </c>
    </row>
    <row r="916">
      <c r="C916" s="36" t="s">
        <v>48</v>
      </c>
      <c r="E916" s="36" t="s">
        <v>48</v>
      </c>
      <c r="F916" s="36" t="s">
        <v>48</v>
      </c>
      <c r="K916" s="36" t="s">
        <v>48</v>
      </c>
      <c r="L916" s="36" t="s">
        <v>48</v>
      </c>
      <c r="M916" s="36" t="s">
        <v>48</v>
      </c>
    </row>
    <row r="917">
      <c r="C917" s="36" t="s">
        <v>48</v>
      </c>
      <c r="E917" s="36" t="s">
        <v>48</v>
      </c>
      <c r="F917" s="36" t="s">
        <v>48</v>
      </c>
      <c r="K917" s="36" t="s">
        <v>48</v>
      </c>
      <c r="L917" s="36" t="s">
        <v>48</v>
      </c>
      <c r="M917" s="36" t="s">
        <v>48</v>
      </c>
    </row>
    <row r="918">
      <c r="C918" s="36" t="s">
        <v>48</v>
      </c>
      <c r="E918" s="36" t="s">
        <v>48</v>
      </c>
      <c r="F918" s="36" t="s">
        <v>48</v>
      </c>
      <c r="K918" s="36" t="s">
        <v>48</v>
      </c>
      <c r="L918" s="36" t="s">
        <v>48</v>
      </c>
      <c r="M918" s="36" t="s">
        <v>48</v>
      </c>
    </row>
    <row r="919">
      <c r="C919" s="36" t="s">
        <v>48</v>
      </c>
      <c r="E919" s="36" t="s">
        <v>48</v>
      </c>
      <c r="F919" s="36" t="s">
        <v>48</v>
      </c>
      <c r="K919" s="36" t="s">
        <v>48</v>
      </c>
      <c r="L919" s="36" t="s">
        <v>48</v>
      </c>
      <c r="M919" s="36" t="s">
        <v>48</v>
      </c>
    </row>
    <row r="920">
      <c r="C920" s="36" t="s">
        <v>48</v>
      </c>
      <c r="E920" s="36" t="s">
        <v>48</v>
      </c>
      <c r="F920" s="36" t="s">
        <v>48</v>
      </c>
      <c r="K920" s="36" t="s">
        <v>48</v>
      </c>
      <c r="L920" s="36" t="s">
        <v>48</v>
      </c>
      <c r="M920" s="36" t="s">
        <v>48</v>
      </c>
    </row>
    <row r="921">
      <c r="C921" s="36" t="s">
        <v>48</v>
      </c>
      <c r="E921" s="36" t="s">
        <v>48</v>
      </c>
      <c r="F921" s="36" t="s">
        <v>48</v>
      </c>
      <c r="K921" s="36" t="s">
        <v>48</v>
      </c>
      <c r="L921" s="36" t="s">
        <v>48</v>
      </c>
      <c r="M921" s="36" t="s">
        <v>48</v>
      </c>
    </row>
    <row r="922">
      <c r="C922" s="36" t="s">
        <v>48</v>
      </c>
      <c r="E922" s="36" t="s">
        <v>48</v>
      </c>
      <c r="F922" s="36" t="s">
        <v>48</v>
      </c>
      <c r="K922" s="36" t="s">
        <v>48</v>
      </c>
      <c r="L922" s="36" t="s">
        <v>48</v>
      </c>
      <c r="M922" s="36" t="s">
        <v>48</v>
      </c>
    </row>
    <row r="923">
      <c r="C923" s="36" t="s">
        <v>48</v>
      </c>
      <c r="E923" s="36" t="s">
        <v>48</v>
      </c>
      <c r="F923" s="36" t="s">
        <v>48</v>
      </c>
      <c r="K923" s="36" t="s">
        <v>48</v>
      </c>
      <c r="L923" s="36" t="s">
        <v>48</v>
      </c>
      <c r="M923" s="36" t="s">
        <v>48</v>
      </c>
    </row>
    <row r="924">
      <c r="C924" s="36" t="s">
        <v>48</v>
      </c>
      <c r="E924" s="36" t="s">
        <v>48</v>
      </c>
      <c r="F924" s="36" t="s">
        <v>48</v>
      </c>
      <c r="K924" s="36" t="s">
        <v>48</v>
      </c>
      <c r="L924" s="36" t="s">
        <v>48</v>
      </c>
      <c r="M924" s="36" t="s">
        <v>48</v>
      </c>
    </row>
    <row r="925">
      <c r="C925" s="36" t="s">
        <v>48</v>
      </c>
      <c r="E925" s="36" t="s">
        <v>48</v>
      </c>
      <c r="F925" s="36" t="s">
        <v>48</v>
      </c>
      <c r="K925" s="36" t="s">
        <v>48</v>
      </c>
      <c r="L925" s="36" t="s">
        <v>48</v>
      </c>
      <c r="M925" s="36" t="s">
        <v>48</v>
      </c>
    </row>
    <row r="926">
      <c r="C926" s="36" t="s">
        <v>48</v>
      </c>
      <c r="E926" s="36" t="s">
        <v>48</v>
      </c>
      <c r="F926" s="36" t="s">
        <v>48</v>
      </c>
      <c r="K926" s="36" t="s">
        <v>48</v>
      </c>
      <c r="L926" s="36" t="s">
        <v>48</v>
      </c>
      <c r="M926" s="36" t="s">
        <v>48</v>
      </c>
    </row>
    <row r="927">
      <c r="C927" s="36" t="s">
        <v>48</v>
      </c>
      <c r="E927" s="36" t="s">
        <v>48</v>
      </c>
      <c r="F927" s="36" t="s">
        <v>48</v>
      </c>
      <c r="K927" s="36" t="s">
        <v>48</v>
      </c>
      <c r="L927" s="36" t="s">
        <v>48</v>
      </c>
      <c r="M927" s="36" t="s">
        <v>48</v>
      </c>
    </row>
    <row r="928">
      <c r="C928" s="36" t="s">
        <v>48</v>
      </c>
      <c r="E928" s="36" t="s">
        <v>48</v>
      </c>
      <c r="F928" s="36" t="s">
        <v>48</v>
      </c>
      <c r="K928" s="36" t="s">
        <v>48</v>
      </c>
      <c r="L928" s="36" t="s">
        <v>48</v>
      </c>
      <c r="M928" s="36" t="s">
        <v>48</v>
      </c>
    </row>
    <row r="929">
      <c r="C929" s="36" t="s">
        <v>48</v>
      </c>
      <c r="E929" s="36" t="s">
        <v>48</v>
      </c>
      <c r="F929" s="36" t="s">
        <v>48</v>
      </c>
      <c r="K929" s="36" t="s">
        <v>48</v>
      </c>
      <c r="L929" s="36" t="s">
        <v>48</v>
      </c>
      <c r="M929" s="36" t="s">
        <v>48</v>
      </c>
    </row>
    <row r="930">
      <c r="C930" s="36" t="s">
        <v>48</v>
      </c>
      <c r="E930" s="36" t="s">
        <v>48</v>
      </c>
      <c r="F930" s="36" t="s">
        <v>48</v>
      </c>
      <c r="K930" s="36" t="s">
        <v>48</v>
      </c>
      <c r="L930" s="36" t="s">
        <v>48</v>
      </c>
      <c r="M930" s="36" t="s">
        <v>48</v>
      </c>
    </row>
    <row r="931">
      <c r="C931" s="36" t="s">
        <v>48</v>
      </c>
      <c r="E931" s="36" t="s">
        <v>48</v>
      </c>
      <c r="F931" s="36" t="s">
        <v>48</v>
      </c>
      <c r="K931" s="36" t="s">
        <v>48</v>
      </c>
      <c r="L931" s="36" t="s">
        <v>48</v>
      </c>
      <c r="M931" s="36" t="s">
        <v>48</v>
      </c>
    </row>
    <row r="932">
      <c r="C932" s="36" t="s">
        <v>48</v>
      </c>
      <c r="E932" s="36" t="s">
        <v>48</v>
      </c>
      <c r="F932" s="36" t="s">
        <v>48</v>
      </c>
      <c r="K932" s="36" t="s">
        <v>48</v>
      </c>
      <c r="L932" s="36" t="s">
        <v>48</v>
      </c>
      <c r="M932" s="36" t="s">
        <v>48</v>
      </c>
    </row>
    <row r="933">
      <c r="C933" s="36" t="s">
        <v>48</v>
      </c>
      <c r="E933" s="36" t="s">
        <v>48</v>
      </c>
      <c r="F933" s="36" t="s">
        <v>48</v>
      </c>
      <c r="K933" s="36" t="s">
        <v>48</v>
      </c>
      <c r="L933" s="36" t="s">
        <v>48</v>
      </c>
      <c r="M933" s="36" t="s">
        <v>48</v>
      </c>
    </row>
    <row r="934">
      <c r="C934" s="36" t="s">
        <v>48</v>
      </c>
      <c r="E934" s="36" t="s">
        <v>48</v>
      </c>
      <c r="F934" s="36" t="s">
        <v>48</v>
      </c>
      <c r="K934" s="36" t="s">
        <v>48</v>
      </c>
      <c r="L934" s="36" t="s">
        <v>48</v>
      </c>
      <c r="M934" s="36" t="s">
        <v>48</v>
      </c>
    </row>
    <row r="935">
      <c r="C935" s="36" t="s">
        <v>48</v>
      </c>
      <c r="E935" s="36" t="s">
        <v>48</v>
      </c>
      <c r="F935" s="36" t="s">
        <v>48</v>
      </c>
      <c r="K935" s="36" t="s">
        <v>48</v>
      </c>
      <c r="L935" s="36" t="s">
        <v>48</v>
      </c>
      <c r="M935" s="36" t="s">
        <v>48</v>
      </c>
    </row>
    <row r="936">
      <c r="C936" s="36" t="s">
        <v>48</v>
      </c>
      <c r="E936" s="36" t="s">
        <v>48</v>
      </c>
      <c r="F936" s="36" t="s">
        <v>48</v>
      </c>
      <c r="K936" s="36" t="s">
        <v>48</v>
      </c>
      <c r="L936" s="36" t="s">
        <v>48</v>
      </c>
      <c r="M936" s="36" t="s">
        <v>48</v>
      </c>
    </row>
    <row r="937">
      <c r="C937" s="36" t="s">
        <v>48</v>
      </c>
      <c r="E937" s="36" t="s">
        <v>48</v>
      </c>
      <c r="F937" s="36" t="s">
        <v>48</v>
      </c>
      <c r="K937" s="36" t="s">
        <v>48</v>
      </c>
      <c r="L937" s="36" t="s">
        <v>48</v>
      </c>
      <c r="M937" s="36" t="s">
        <v>48</v>
      </c>
    </row>
    <row r="938">
      <c r="C938" s="36" t="s">
        <v>48</v>
      </c>
      <c r="E938" s="36" t="s">
        <v>48</v>
      </c>
      <c r="F938" s="36" t="s">
        <v>48</v>
      </c>
      <c r="K938" s="36" t="s">
        <v>48</v>
      </c>
      <c r="L938" s="36" t="s">
        <v>48</v>
      </c>
      <c r="M938" s="36" t="s">
        <v>48</v>
      </c>
    </row>
    <row r="939">
      <c r="C939" s="36" t="s">
        <v>48</v>
      </c>
      <c r="E939" s="36" t="s">
        <v>48</v>
      </c>
      <c r="F939" s="36" t="s">
        <v>48</v>
      </c>
      <c r="K939" s="36" t="s">
        <v>48</v>
      </c>
      <c r="L939" s="36" t="s">
        <v>48</v>
      </c>
      <c r="M939" s="36" t="s">
        <v>48</v>
      </c>
    </row>
    <row r="940">
      <c r="C940" s="36" t="s">
        <v>48</v>
      </c>
      <c r="E940" s="36" t="s">
        <v>48</v>
      </c>
      <c r="F940" s="36" t="s">
        <v>48</v>
      </c>
      <c r="K940" s="36" t="s">
        <v>48</v>
      </c>
      <c r="L940" s="36" t="s">
        <v>48</v>
      </c>
      <c r="M940" s="36" t="s">
        <v>48</v>
      </c>
    </row>
    <row r="941">
      <c r="C941" s="36" t="s">
        <v>48</v>
      </c>
      <c r="E941" s="36" t="s">
        <v>48</v>
      </c>
      <c r="F941" s="36" t="s">
        <v>48</v>
      </c>
      <c r="K941" s="36" t="s">
        <v>48</v>
      </c>
      <c r="L941" s="36" t="s">
        <v>48</v>
      </c>
      <c r="M941" s="36" t="s">
        <v>48</v>
      </c>
    </row>
    <row r="942">
      <c r="C942" s="36" t="s">
        <v>48</v>
      </c>
      <c r="E942" s="36" t="s">
        <v>48</v>
      </c>
      <c r="F942" s="36" t="s">
        <v>48</v>
      </c>
      <c r="K942" s="36" t="s">
        <v>48</v>
      </c>
      <c r="L942" s="36" t="s">
        <v>48</v>
      </c>
      <c r="M942" s="36" t="s">
        <v>48</v>
      </c>
    </row>
    <row r="943">
      <c r="C943" s="36" t="s">
        <v>48</v>
      </c>
      <c r="E943" s="36" t="s">
        <v>48</v>
      </c>
      <c r="F943" s="36" t="s">
        <v>48</v>
      </c>
      <c r="K943" s="36" t="s">
        <v>48</v>
      </c>
      <c r="L943" s="36" t="s">
        <v>48</v>
      </c>
      <c r="M943" s="36" t="s">
        <v>48</v>
      </c>
    </row>
    <row r="944">
      <c r="C944" s="36" t="s">
        <v>48</v>
      </c>
      <c r="E944" s="36" t="s">
        <v>48</v>
      </c>
      <c r="F944" s="36" t="s">
        <v>48</v>
      </c>
      <c r="K944" s="36" t="s">
        <v>48</v>
      </c>
      <c r="L944" s="36" t="s">
        <v>48</v>
      </c>
      <c r="M944" s="36" t="s">
        <v>48</v>
      </c>
    </row>
    <row r="945">
      <c r="C945" s="36" t="s">
        <v>48</v>
      </c>
      <c r="E945" s="36" t="s">
        <v>48</v>
      </c>
      <c r="F945" s="36" t="s">
        <v>48</v>
      </c>
      <c r="K945" s="36" t="s">
        <v>48</v>
      </c>
      <c r="L945" s="36" t="s">
        <v>48</v>
      </c>
      <c r="M945" s="36" t="s">
        <v>48</v>
      </c>
    </row>
    <row r="946">
      <c r="C946" s="36" t="s">
        <v>48</v>
      </c>
      <c r="E946" s="36" t="s">
        <v>48</v>
      </c>
      <c r="F946" s="36" t="s">
        <v>48</v>
      </c>
      <c r="K946" s="36" t="s">
        <v>48</v>
      </c>
      <c r="L946" s="36" t="s">
        <v>48</v>
      </c>
      <c r="M946" s="36" t="s">
        <v>48</v>
      </c>
    </row>
    <row r="947">
      <c r="C947" s="36" t="s">
        <v>48</v>
      </c>
      <c r="E947" s="36" t="s">
        <v>48</v>
      </c>
      <c r="F947" s="36" t="s">
        <v>48</v>
      </c>
      <c r="K947" s="36" t="s">
        <v>48</v>
      </c>
      <c r="L947" s="36" t="s">
        <v>48</v>
      </c>
      <c r="M947" s="36" t="s">
        <v>48</v>
      </c>
    </row>
    <row r="948">
      <c r="C948" s="36" t="s">
        <v>48</v>
      </c>
      <c r="E948" s="36" t="s">
        <v>48</v>
      </c>
      <c r="F948" s="36" t="s">
        <v>48</v>
      </c>
      <c r="K948" s="36" t="s">
        <v>48</v>
      </c>
      <c r="L948" s="36" t="s">
        <v>48</v>
      </c>
      <c r="M948" s="36" t="s">
        <v>48</v>
      </c>
    </row>
    <row r="949">
      <c r="C949" s="36" t="s">
        <v>48</v>
      </c>
      <c r="E949" s="36" t="s">
        <v>48</v>
      </c>
      <c r="F949" s="36" t="s">
        <v>48</v>
      </c>
      <c r="K949" s="36" t="s">
        <v>48</v>
      </c>
      <c r="L949" s="36" t="s">
        <v>48</v>
      </c>
      <c r="M949" s="36" t="s">
        <v>48</v>
      </c>
    </row>
    <row r="950">
      <c r="C950" s="36" t="s">
        <v>48</v>
      </c>
      <c r="E950" s="36" t="s">
        <v>48</v>
      </c>
      <c r="F950" s="36" t="s">
        <v>48</v>
      </c>
      <c r="K950" s="36" t="s">
        <v>48</v>
      </c>
      <c r="L950" s="36" t="s">
        <v>48</v>
      </c>
      <c r="M950" s="36" t="s">
        <v>48</v>
      </c>
    </row>
    <row r="951">
      <c r="C951" s="36" t="s">
        <v>48</v>
      </c>
      <c r="E951" s="36" t="s">
        <v>48</v>
      </c>
      <c r="F951" s="36" t="s">
        <v>48</v>
      </c>
      <c r="K951" s="36" t="s">
        <v>48</v>
      </c>
      <c r="L951" s="36" t="s">
        <v>48</v>
      </c>
      <c r="M951" s="36" t="s">
        <v>48</v>
      </c>
    </row>
    <row r="952">
      <c r="C952" s="36" t="s">
        <v>48</v>
      </c>
      <c r="E952" s="36" t="s">
        <v>48</v>
      </c>
      <c r="F952" s="36" t="s">
        <v>48</v>
      </c>
      <c r="K952" s="36" t="s">
        <v>48</v>
      </c>
      <c r="L952" s="36" t="s">
        <v>48</v>
      </c>
      <c r="M952" s="36" t="s">
        <v>48</v>
      </c>
    </row>
    <row r="953">
      <c r="C953" s="36" t="s">
        <v>48</v>
      </c>
      <c r="E953" s="36" t="s">
        <v>48</v>
      </c>
      <c r="F953" s="36" t="s">
        <v>48</v>
      </c>
      <c r="K953" s="36" t="s">
        <v>48</v>
      </c>
      <c r="L953" s="36" t="s">
        <v>48</v>
      </c>
      <c r="M953" s="36" t="s">
        <v>48</v>
      </c>
    </row>
    <row r="954">
      <c r="C954" s="36" t="s">
        <v>48</v>
      </c>
      <c r="E954" s="36" t="s">
        <v>48</v>
      </c>
      <c r="F954" s="36" t="s">
        <v>48</v>
      </c>
      <c r="K954" s="36" t="s">
        <v>48</v>
      </c>
      <c r="L954" s="36" t="s">
        <v>48</v>
      </c>
      <c r="M954" s="36" t="s">
        <v>48</v>
      </c>
    </row>
    <row r="955">
      <c r="C955" s="36" t="s">
        <v>48</v>
      </c>
      <c r="E955" s="36" t="s">
        <v>48</v>
      </c>
      <c r="F955" s="36" t="s">
        <v>48</v>
      </c>
      <c r="K955" s="36" t="s">
        <v>48</v>
      </c>
      <c r="L955" s="36" t="s">
        <v>48</v>
      </c>
      <c r="M955" s="36" t="s">
        <v>48</v>
      </c>
    </row>
    <row r="956">
      <c r="C956" s="36" t="s">
        <v>48</v>
      </c>
      <c r="E956" s="36" t="s">
        <v>48</v>
      </c>
      <c r="F956" s="36" t="s">
        <v>48</v>
      </c>
      <c r="K956" s="36" t="s">
        <v>48</v>
      </c>
      <c r="L956" s="36" t="s">
        <v>48</v>
      </c>
      <c r="M956" s="36" t="s">
        <v>48</v>
      </c>
    </row>
    <row r="957">
      <c r="C957" s="36" t="s">
        <v>48</v>
      </c>
      <c r="E957" s="36" t="s">
        <v>48</v>
      </c>
      <c r="F957" s="36" t="s">
        <v>48</v>
      </c>
      <c r="K957" s="36" t="s">
        <v>48</v>
      </c>
      <c r="L957" s="36" t="s">
        <v>48</v>
      </c>
      <c r="M957" s="36" t="s">
        <v>48</v>
      </c>
    </row>
    <row r="958">
      <c r="C958" s="36" t="s">
        <v>48</v>
      </c>
      <c r="E958" s="36" t="s">
        <v>48</v>
      </c>
      <c r="F958" s="36" t="s">
        <v>48</v>
      </c>
      <c r="K958" s="36" t="s">
        <v>48</v>
      </c>
      <c r="L958" s="36" t="s">
        <v>48</v>
      </c>
      <c r="M958" s="36" t="s">
        <v>48</v>
      </c>
    </row>
    <row r="959">
      <c r="C959" s="36" t="s">
        <v>48</v>
      </c>
      <c r="E959" s="36" t="s">
        <v>48</v>
      </c>
      <c r="F959" s="36" t="s">
        <v>48</v>
      </c>
      <c r="K959" s="36" t="s">
        <v>48</v>
      </c>
      <c r="L959" s="36" t="s">
        <v>48</v>
      </c>
      <c r="M959" s="36" t="s">
        <v>48</v>
      </c>
    </row>
    <row r="960">
      <c r="C960" s="36" t="s">
        <v>48</v>
      </c>
      <c r="E960" s="36" t="s">
        <v>48</v>
      </c>
      <c r="F960" s="36" t="s">
        <v>48</v>
      </c>
      <c r="K960" s="36" t="s">
        <v>48</v>
      </c>
      <c r="L960" s="36" t="s">
        <v>48</v>
      </c>
      <c r="M960" s="36" t="s">
        <v>48</v>
      </c>
    </row>
    <row r="961">
      <c r="C961" s="36" t="s">
        <v>48</v>
      </c>
      <c r="E961" s="36" t="s">
        <v>48</v>
      </c>
      <c r="F961" s="36" t="s">
        <v>48</v>
      </c>
      <c r="K961" s="36" t="s">
        <v>48</v>
      </c>
      <c r="L961" s="36" t="s">
        <v>48</v>
      </c>
      <c r="M961" s="36" t="s">
        <v>48</v>
      </c>
    </row>
    <row r="962">
      <c r="C962" s="36" t="s">
        <v>48</v>
      </c>
      <c r="E962" s="36" t="s">
        <v>48</v>
      </c>
      <c r="F962" s="36" t="s">
        <v>48</v>
      </c>
      <c r="K962" s="36" t="s">
        <v>48</v>
      </c>
      <c r="L962" s="36" t="s">
        <v>48</v>
      </c>
      <c r="M962" s="36" t="s">
        <v>48</v>
      </c>
    </row>
    <row r="963">
      <c r="C963" s="36" t="s">
        <v>48</v>
      </c>
      <c r="E963" s="36" t="s">
        <v>48</v>
      </c>
      <c r="F963" s="36" t="s">
        <v>48</v>
      </c>
      <c r="K963" s="36" t="s">
        <v>48</v>
      </c>
      <c r="L963" s="36" t="s">
        <v>48</v>
      </c>
      <c r="M963" s="36" t="s">
        <v>48</v>
      </c>
    </row>
    <row r="964">
      <c r="C964" s="36" t="s">
        <v>48</v>
      </c>
      <c r="E964" s="36" t="s">
        <v>48</v>
      </c>
      <c r="F964" s="36" t="s">
        <v>48</v>
      </c>
      <c r="K964" s="36" t="s">
        <v>48</v>
      </c>
      <c r="L964" s="36" t="s">
        <v>48</v>
      </c>
      <c r="M964" s="36" t="s">
        <v>48</v>
      </c>
    </row>
    <row r="965">
      <c r="C965" s="36" t="s">
        <v>48</v>
      </c>
      <c r="E965" s="36" t="s">
        <v>48</v>
      </c>
      <c r="F965" s="36" t="s">
        <v>48</v>
      </c>
      <c r="K965" s="36" t="s">
        <v>48</v>
      </c>
      <c r="L965" s="36" t="s">
        <v>48</v>
      </c>
      <c r="M965" s="36" t="s">
        <v>48</v>
      </c>
    </row>
    <row r="966">
      <c r="C966" s="36" t="s">
        <v>48</v>
      </c>
      <c r="E966" s="36" t="s">
        <v>48</v>
      </c>
      <c r="F966" s="36" t="s">
        <v>48</v>
      </c>
      <c r="K966" s="36" t="s">
        <v>48</v>
      </c>
      <c r="L966" s="36" t="s">
        <v>48</v>
      </c>
      <c r="M966" s="36" t="s">
        <v>48</v>
      </c>
    </row>
    <row r="967">
      <c r="C967" s="36" t="s">
        <v>48</v>
      </c>
      <c r="E967" s="36" t="s">
        <v>48</v>
      </c>
      <c r="F967" s="36" t="s">
        <v>48</v>
      </c>
      <c r="K967" s="36" t="s">
        <v>48</v>
      </c>
      <c r="L967" s="36" t="s">
        <v>48</v>
      </c>
      <c r="M967" s="36" t="s">
        <v>48</v>
      </c>
    </row>
    <row r="968">
      <c r="C968" s="36" t="s">
        <v>48</v>
      </c>
      <c r="E968" s="36" t="s">
        <v>48</v>
      </c>
      <c r="F968" s="36" t="s">
        <v>48</v>
      </c>
      <c r="K968" s="36" t="s">
        <v>48</v>
      </c>
      <c r="L968" s="36" t="s">
        <v>48</v>
      </c>
      <c r="M968" s="36" t="s">
        <v>48</v>
      </c>
    </row>
    <row r="969">
      <c r="C969" s="36" t="s">
        <v>48</v>
      </c>
      <c r="E969" s="36" t="s">
        <v>48</v>
      </c>
      <c r="F969" s="36" t="s">
        <v>48</v>
      </c>
      <c r="K969" s="36" t="s">
        <v>48</v>
      </c>
      <c r="L969" s="36" t="s">
        <v>48</v>
      </c>
      <c r="M969" s="36" t="s">
        <v>48</v>
      </c>
    </row>
    <row r="970">
      <c r="C970" s="36" t="s">
        <v>48</v>
      </c>
      <c r="E970" s="36" t="s">
        <v>48</v>
      </c>
      <c r="F970" s="36" t="s">
        <v>48</v>
      </c>
      <c r="K970" s="36" t="s">
        <v>48</v>
      </c>
      <c r="L970" s="36" t="s">
        <v>48</v>
      </c>
      <c r="M970" s="36" t="s">
        <v>48</v>
      </c>
    </row>
    <row r="971">
      <c r="C971" s="36" t="s">
        <v>48</v>
      </c>
      <c r="E971" s="36" t="s">
        <v>48</v>
      </c>
      <c r="F971" s="36" t="s">
        <v>48</v>
      </c>
      <c r="K971" s="36" t="s">
        <v>48</v>
      </c>
      <c r="L971" s="36" t="s">
        <v>48</v>
      </c>
      <c r="M971" s="36" t="s">
        <v>48</v>
      </c>
    </row>
    <row r="972">
      <c r="C972" s="36" t="s">
        <v>48</v>
      </c>
      <c r="E972" s="36" t="s">
        <v>48</v>
      </c>
      <c r="F972" s="36" t="s">
        <v>48</v>
      </c>
      <c r="K972" s="36" t="s">
        <v>48</v>
      </c>
      <c r="L972" s="36" t="s">
        <v>48</v>
      </c>
      <c r="M972" s="36" t="s">
        <v>48</v>
      </c>
    </row>
    <row r="973">
      <c r="C973" s="36" t="s">
        <v>48</v>
      </c>
      <c r="E973" s="36" t="s">
        <v>48</v>
      </c>
      <c r="F973" s="36" t="s">
        <v>48</v>
      </c>
      <c r="K973" s="36" t="s">
        <v>48</v>
      </c>
      <c r="L973" s="36" t="s">
        <v>48</v>
      </c>
      <c r="M973" s="36" t="s">
        <v>48</v>
      </c>
    </row>
    <row r="974">
      <c r="C974" s="36" t="s">
        <v>48</v>
      </c>
      <c r="E974" s="36" t="s">
        <v>48</v>
      </c>
      <c r="F974" s="36" t="s">
        <v>48</v>
      </c>
      <c r="K974" s="36" t="s">
        <v>48</v>
      </c>
      <c r="L974" s="36" t="s">
        <v>48</v>
      </c>
      <c r="M974" s="36" t="s">
        <v>48</v>
      </c>
    </row>
    <row r="975">
      <c r="C975" s="36" t="s">
        <v>48</v>
      </c>
      <c r="E975" s="36" t="s">
        <v>48</v>
      </c>
      <c r="F975" s="36" t="s">
        <v>48</v>
      </c>
      <c r="K975" s="36" t="s">
        <v>48</v>
      </c>
      <c r="L975" s="36" t="s">
        <v>48</v>
      </c>
      <c r="M975" s="36" t="s">
        <v>48</v>
      </c>
    </row>
    <row r="976">
      <c r="C976" s="36" t="s">
        <v>48</v>
      </c>
      <c r="E976" s="36" t="s">
        <v>48</v>
      </c>
      <c r="F976" s="36" t="s">
        <v>48</v>
      </c>
      <c r="K976" s="36" t="s">
        <v>48</v>
      </c>
      <c r="L976" s="36" t="s">
        <v>48</v>
      </c>
      <c r="M976" s="36" t="s">
        <v>48</v>
      </c>
    </row>
    <row r="977">
      <c r="C977" s="36" t="s">
        <v>48</v>
      </c>
      <c r="E977" s="36" t="s">
        <v>48</v>
      </c>
      <c r="F977" s="36" t="s">
        <v>48</v>
      </c>
      <c r="K977" s="36" t="s">
        <v>48</v>
      </c>
      <c r="L977" s="36" t="s">
        <v>48</v>
      </c>
      <c r="M977" s="36" t="s">
        <v>48</v>
      </c>
    </row>
    <row r="978">
      <c r="C978" s="36" t="s">
        <v>48</v>
      </c>
      <c r="E978" s="36" t="s">
        <v>48</v>
      </c>
      <c r="F978" s="36" t="s">
        <v>48</v>
      </c>
      <c r="K978" s="36" t="s">
        <v>48</v>
      </c>
      <c r="L978" s="36" t="s">
        <v>48</v>
      </c>
      <c r="M978" s="36" t="s">
        <v>48</v>
      </c>
    </row>
    <row r="979">
      <c r="C979" s="36" t="s">
        <v>48</v>
      </c>
      <c r="E979" s="36" t="s">
        <v>48</v>
      </c>
      <c r="F979" s="36" t="s">
        <v>48</v>
      </c>
      <c r="K979" s="36" t="s">
        <v>48</v>
      </c>
      <c r="L979" s="36" t="s">
        <v>48</v>
      </c>
      <c r="M979" s="36" t="s">
        <v>48</v>
      </c>
    </row>
    <row r="980">
      <c r="C980" s="36" t="s">
        <v>48</v>
      </c>
      <c r="E980" s="36" t="s">
        <v>48</v>
      </c>
      <c r="F980" s="36" t="s">
        <v>48</v>
      </c>
      <c r="K980" s="36" t="s">
        <v>48</v>
      </c>
      <c r="L980" s="36" t="s">
        <v>48</v>
      </c>
      <c r="M980" s="36" t="s">
        <v>48</v>
      </c>
    </row>
    <row r="981">
      <c r="C981" s="36" t="s">
        <v>48</v>
      </c>
      <c r="E981" s="36" t="s">
        <v>48</v>
      </c>
      <c r="F981" s="36" t="s">
        <v>48</v>
      </c>
      <c r="K981" s="36" t="s">
        <v>48</v>
      </c>
      <c r="L981" s="36" t="s">
        <v>48</v>
      </c>
      <c r="M981" s="36" t="s">
        <v>48</v>
      </c>
    </row>
    <row r="982">
      <c r="C982" s="36" t="s">
        <v>48</v>
      </c>
      <c r="E982" s="36" t="s">
        <v>48</v>
      </c>
      <c r="F982" s="36" t="s">
        <v>48</v>
      </c>
      <c r="K982" s="36" t="s">
        <v>48</v>
      </c>
      <c r="L982" s="36" t="s">
        <v>48</v>
      </c>
      <c r="M982" s="36" t="s">
        <v>48</v>
      </c>
    </row>
  </sheetData>
  <mergeCells count="1">
    <mergeCell ref="A1:E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6.25"/>
    <col customWidth="1" min="3" max="3" width="24.5"/>
    <col customWidth="1" min="4" max="4" width="23.25"/>
    <col customWidth="1" min="5" max="5" width="19.5"/>
    <col customWidth="1" min="6" max="6" width="30.0"/>
    <col customWidth="1" min="7" max="7" width="28.13"/>
    <col customWidth="1" min="8" max="8" width="23.13"/>
    <col customWidth="1" min="9" max="9" width="30.0"/>
    <col customWidth="1" min="10" max="10" width="28.13"/>
    <col customWidth="1" min="14" max="14" width="7.5"/>
    <col customWidth="1" min="15" max="15" width="31.63"/>
    <col customWidth="1" min="16" max="16" width="30.63"/>
  </cols>
  <sheetData>
    <row r="1" ht="22.5" customHeight="1">
      <c r="A1" s="75" t="s">
        <v>24</v>
      </c>
      <c r="B1" s="76" t="s">
        <v>8</v>
      </c>
      <c r="C1" s="77" t="s">
        <v>30</v>
      </c>
      <c r="D1" s="77" t="s">
        <v>268</v>
      </c>
      <c r="E1" s="76" t="s">
        <v>269</v>
      </c>
      <c r="F1" s="76" t="s">
        <v>270</v>
      </c>
      <c r="G1" s="76" t="s">
        <v>271</v>
      </c>
      <c r="H1" s="76" t="s">
        <v>272</v>
      </c>
      <c r="I1" s="76" t="s">
        <v>273</v>
      </c>
      <c r="J1" s="78" t="s">
        <v>274</v>
      </c>
      <c r="K1" s="17"/>
      <c r="L1" s="17"/>
      <c r="M1" s="79"/>
      <c r="N1" s="80" t="s">
        <v>24</v>
      </c>
      <c r="O1" s="81" t="s">
        <v>275</v>
      </c>
      <c r="P1" s="80" t="s">
        <v>276</v>
      </c>
      <c r="Q1" s="82" t="s">
        <v>277</v>
      </c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</row>
    <row r="2" ht="22.5" customHeight="1">
      <c r="A2" s="22">
        <v>1.0</v>
      </c>
      <c r="B2" s="24" t="str">
        <f>IFERROR(__xludf.DUMMYFUNCTION("IMPORTRANGE(""https://docs.google.com/spreadsheets/d/1d5jZRF54iX3SxYB3XXzNSD7tMPduQMIhRz21oSv_vsU/edit?gid=0#gid=0"",""Data Penempatan!B2:J200"")"),"Otomotif")</f>
        <v>Otomotif</v>
      </c>
      <c r="C2" s="24">
        <f>IFERROR(__xludf.DUMMYFUNCTION("""COMPUTED_VALUE"""),207.0)</f>
        <v>207</v>
      </c>
      <c r="D2" s="24">
        <f>IFERROR(__xludf.DUMMYFUNCTION("""COMPUTED_VALUE"""),50.0)</f>
        <v>50</v>
      </c>
      <c r="E2" s="24">
        <f>IFERROR(__xludf.DUMMYFUNCTION("""COMPUTED_VALUE"""),50.0)</f>
        <v>50</v>
      </c>
      <c r="F2" s="24">
        <f>IFERROR(__xludf.DUMMYFUNCTION("""COMPUTED_VALUE"""),157.0)</f>
        <v>157</v>
      </c>
      <c r="G2" s="24">
        <f>IFERROR(__xludf.DUMMYFUNCTION("""COMPUTED_VALUE"""),0.0)</f>
        <v>0</v>
      </c>
      <c r="H2" s="24">
        <f>IFERROR(__xludf.DUMMYFUNCTION("""COMPUTED_VALUE"""),0.0)</f>
        <v>0</v>
      </c>
      <c r="I2" s="24" t="str">
        <f>IFERROR(__xludf.DUMMYFUNCTION("""COMPUTED_VALUE"""),"")</f>
        <v/>
      </c>
      <c r="J2" s="24">
        <f>IFERROR(__xludf.DUMMYFUNCTION("""COMPUTED_VALUE"""),0.0)</f>
        <v>0</v>
      </c>
      <c r="N2" s="83">
        <f t="array" ref="N2:N101">sequence(100,1)</f>
        <v>1</v>
      </c>
      <c r="O2" s="83" t="str">
        <f>IFERROR(__xludf.DUMMYFUNCTION("IMPORTRANGE(""https://docs.google.com/spreadsheets/d/1d5jZRF54iX3SxYB3XXzNSD7tMPduQMIhRz21oSv_vsU/edit?usp=sharing"",""Data Penempatan!M2:O300"")"),"BANK MUAMALAT")</f>
        <v>BANK MUAMALAT</v>
      </c>
      <c r="P2" s="83"/>
      <c r="Q2" s="29">
        <f>IFERROR(__xludf.DUMMYFUNCTION("""COMPUTED_VALUE"""),2.0)</f>
        <v>2</v>
      </c>
    </row>
    <row r="3" ht="22.5" customHeight="1">
      <c r="A3" s="22">
        <v>2.0</v>
      </c>
      <c r="B3" s="24" t="str">
        <f>IFERROR(__xludf.DUMMYFUNCTION("""COMPUTED_VALUE"""),"Tata Kecantikan")</f>
        <v>Tata Kecantikan</v>
      </c>
      <c r="C3" s="24">
        <f>IFERROR(__xludf.DUMMYFUNCTION("""COMPUTED_VALUE"""),307.0)</f>
        <v>307</v>
      </c>
      <c r="D3" s="24">
        <f>IFERROR(__xludf.DUMMYFUNCTION("""COMPUTED_VALUE"""),131.0)</f>
        <v>131</v>
      </c>
      <c r="E3" s="24">
        <f>IFERROR(__xludf.DUMMYFUNCTION("""COMPUTED_VALUE"""),131.0)</f>
        <v>131</v>
      </c>
      <c r="F3" s="24">
        <f>IFERROR(__xludf.DUMMYFUNCTION("""COMPUTED_VALUE"""),176.0)</f>
        <v>176</v>
      </c>
      <c r="G3" s="24">
        <f>IFERROR(__xludf.DUMMYFUNCTION("""COMPUTED_VALUE"""),0.0)</f>
        <v>0</v>
      </c>
      <c r="H3" s="24">
        <f>IFERROR(__xludf.DUMMYFUNCTION("""COMPUTED_VALUE"""),0.0)</f>
        <v>0</v>
      </c>
      <c r="I3" s="24" t="str">
        <f>IFERROR(__xludf.DUMMYFUNCTION("""COMPUTED_VALUE"""),"")</f>
        <v/>
      </c>
      <c r="J3" s="24">
        <f>IFERROR(__xludf.DUMMYFUNCTION("""COMPUTED_VALUE"""),0.0)</f>
        <v>0</v>
      </c>
      <c r="N3" s="83">
        <v>2.0</v>
      </c>
      <c r="O3" s="83" t="str">
        <f>IFERROR(__xludf.DUMMYFUNCTION("""COMPUTED_VALUE"""),"CV Anugerah Bhakti Sentosa")</f>
        <v>CV Anugerah Bhakti Sentosa</v>
      </c>
      <c r="P3" s="83"/>
      <c r="Q3" s="29">
        <f>IFERROR(__xludf.DUMMYFUNCTION("""COMPUTED_VALUE"""),2.0)</f>
        <v>2</v>
      </c>
    </row>
    <row r="4" ht="22.5" customHeight="1">
      <c r="A4" s="22">
        <v>3.0</v>
      </c>
      <c r="B4" s="24" t="str">
        <f>IFERROR(__xludf.DUMMYFUNCTION("""COMPUTED_VALUE"""),"Las")</f>
        <v>Las</v>
      </c>
      <c r="C4" s="24">
        <f>IFERROR(__xludf.DUMMYFUNCTION("""COMPUTED_VALUE"""),117.0)</f>
        <v>117</v>
      </c>
      <c r="D4" s="24">
        <f>IFERROR(__xludf.DUMMYFUNCTION("""COMPUTED_VALUE"""),56.0)</f>
        <v>56</v>
      </c>
      <c r="E4" s="24">
        <f>IFERROR(__xludf.DUMMYFUNCTION("""COMPUTED_VALUE"""),56.0)</f>
        <v>56</v>
      </c>
      <c r="F4" s="24">
        <f>IFERROR(__xludf.DUMMYFUNCTION("""COMPUTED_VALUE"""),61.0)</f>
        <v>61</v>
      </c>
      <c r="G4" s="24">
        <f>IFERROR(__xludf.DUMMYFUNCTION("""COMPUTED_VALUE"""),0.0)</f>
        <v>0</v>
      </c>
      <c r="H4" s="24">
        <f>IFERROR(__xludf.DUMMYFUNCTION("""COMPUTED_VALUE"""),0.0)</f>
        <v>0</v>
      </c>
      <c r="I4" s="24" t="str">
        <f>IFERROR(__xludf.DUMMYFUNCTION("""COMPUTED_VALUE"""),"")</f>
        <v/>
      </c>
      <c r="J4" s="24">
        <f>IFERROR(__xludf.DUMMYFUNCTION("""COMPUTED_VALUE"""),0.0)</f>
        <v>0</v>
      </c>
      <c r="N4" s="83">
        <v>3.0</v>
      </c>
      <c r="O4" s="83" t="str">
        <f>IFERROR(__xludf.DUMMYFUNCTION("""COMPUTED_VALUE"""),"MUA")</f>
        <v>MUA</v>
      </c>
      <c r="P4" s="83"/>
      <c r="Q4" s="29">
        <f>IFERROR(__xludf.DUMMYFUNCTION("""COMPUTED_VALUE"""),12.0)</f>
        <v>12</v>
      </c>
    </row>
    <row r="5" ht="22.5" customHeight="1">
      <c r="A5" s="22">
        <v>4.0</v>
      </c>
      <c r="B5" s="24" t="str">
        <f>IFERROR(__xludf.DUMMYFUNCTION("""COMPUTED_VALUE"""),"Teknologi Informasi Dan Komunikasi")</f>
        <v>Teknologi Informasi Dan Komunikasi</v>
      </c>
      <c r="C5" s="24">
        <f>IFERROR(__xludf.DUMMYFUNCTION("""COMPUTED_VALUE"""),349.0)</f>
        <v>349</v>
      </c>
      <c r="D5" s="24">
        <f>IFERROR(__xludf.DUMMYFUNCTION("""COMPUTED_VALUE"""),67.0)</f>
        <v>67</v>
      </c>
      <c r="E5" s="24">
        <f>IFERROR(__xludf.DUMMYFUNCTION("""COMPUTED_VALUE"""),67.0)</f>
        <v>67</v>
      </c>
      <c r="F5" s="24">
        <f>IFERROR(__xludf.DUMMYFUNCTION("""COMPUTED_VALUE"""),282.0)</f>
        <v>282</v>
      </c>
      <c r="G5" s="24">
        <f>IFERROR(__xludf.DUMMYFUNCTION("""COMPUTED_VALUE"""),0.0)</f>
        <v>0</v>
      </c>
      <c r="H5" s="24">
        <f>IFERROR(__xludf.DUMMYFUNCTION("""COMPUTED_VALUE"""),0.0)</f>
        <v>0</v>
      </c>
      <c r="I5" s="24" t="str">
        <f>IFERROR(__xludf.DUMMYFUNCTION("""COMPUTED_VALUE"""),"")</f>
        <v/>
      </c>
      <c r="J5" s="24">
        <f>IFERROR(__xludf.DUMMYFUNCTION("""COMPUTED_VALUE"""),0.0)</f>
        <v>0</v>
      </c>
      <c r="N5" s="83">
        <v>4.0</v>
      </c>
      <c r="O5" s="83" t="str">
        <f>IFERROR(__xludf.DUMMYFUNCTION("""COMPUTED_VALUE"""),"Nail Art")</f>
        <v>Nail Art</v>
      </c>
      <c r="P5" s="83"/>
      <c r="Q5" s="29">
        <f>IFERROR(__xludf.DUMMYFUNCTION("""COMPUTED_VALUE"""),2.0)</f>
        <v>2</v>
      </c>
    </row>
    <row r="6" ht="22.5" customHeight="1">
      <c r="A6" s="22">
        <v>5.0</v>
      </c>
      <c r="B6" s="24" t="str">
        <f>IFERROR(__xludf.DUMMYFUNCTION("""COMPUTED_VALUE"""),"Bisnis Dan Manajemen")</f>
        <v>Bisnis Dan Manajemen</v>
      </c>
      <c r="C6" s="24">
        <f>IFERROR(__xludf.DUMMYFUNCTION("""COMPUTED_VALUE"""),294.0)</f>
        <v>294</v>
      </c>
      <c r="D6" s="24">
        <f>IFERROR(__xludf.DUMMYFUNCTION("""COMPUTED_VALUE"""),56.0)</f>
        <v>56</v>
      </c>
      <c r="E6" s="24">
        <f>IFERROR(__xludf.DUMMYFUNCTION("""COMPUTED_VALUE"""),56.0)</f>
        <v>56</v>
      </c>
      <c r="F6" s="24">
        <f>IFERROR(__xludf.DUMMYFUNCTION("""COMPUTED_VALUE"""),238.0)</f>
        <v>238</v>
      </c>
      <c r="G6" s="24">
        <f>IFERROR(__xludf.DUMMYFUNCTION("""COMPUTED_VALUE"""),0.0)</f>
        <v>0</v>
      </c>
      <c r="H6" s="24">
        <f>IFERROR(__xludf.DUMMYFUNCTION("""COMPUTED_VALUE"""),0.0)</f>
        <v>0</v>
      </c>
      <c r="I6" s="24" t="str">
        <f>IFERROR(__xludf.DUMMYFUNCTION("""COMPUTED_VALUE"""),"")</f>
        <v/>
      </c>
      <c r="J6" s="24">
        <f>IFERROR(__xludf.DUMMYFUNCTION("""COMPUTED_VALUE"""),0.0)</f>
        <v>0</v>
      </c>
      <c r="N6" s="83">
        <v>5.0</v>
      </c>
      <c r="O6" s="83" t="str">
        <f>IFERROR(__xludf.DUMMYFUNCTION("""COMPUTED_VALUE"""),"PT KIS Kendari")</f>
        <v>PT KIS Kendari</v>
      </c>
      <c r="P6" s="83"/>
      <c r="Q6" s="29">
        <f>IFERROR(__xludf.DUMMYFUNCTION("""COMPUTED_VALUE"""),2.0)</f>
        <v>2</v>
      </c>
    </row>
    <row r="7" ht="22.5" customHeight="1">
      <c r="A7" s="22">
        <v>6.0</v>
      </c>
      <c r="B7" s="24" t="str">
        <f>IFERROR(__xludf.DUMMYFUNCTION("""COMPUTED_VALUE"""),"Listrik")</f>
        <v>Listrik</v>
      </c>
      <c r="C7" s="24">
        <f>IFERROR(__xludf.DUMMYFUNCTION("""COMPUTED_VALUE"""),85.0)</f>
        <v>85</v>
      </c>
      <c r="D7" s="24">
        <f>IFERROR(__xludf.DUMMYFUNCTION("""COMPUTED_VALUE"""),29.0)</f>
        <v>29</v>
      </c>
      <c r="E7" s="24">
        <f>IFERROR(__xludf.DUMMYFUNCTION("""COMPUTED_VALUE"""),29.0)</f>
        <v>29</v>
      </c>
      <c r="F7" s="24">
        <f>IFERROR(__xludf.DUMMYFUNCTION("""COMPUTED_VALUE"""),56.0)</f>
        <v>56</v>
      </c>
      <c r="G7" s="24">
        <f>IFERROR(__xludf.DUMMYFUNCTION("""COMPUTED_VALUE"""),0.0)</f>
        <v>0</v>
      </c>
      <c r="H7" s="24">
        <f>IFERROR(__xludf.DUMMYFUNCTION("""COMPUTED_VALUE"""),0.0)</f>
        <v>0</v>
      </c>
      <c r="I7" s="24" t="str">
        <f>IFERROR(__xludf.DUMMYFUNCTION("""COMPUTED_VALUE"""),"")</f>
        <v/>
      </c>
      <c r="J7" s="24">
        <f>IFERROR(__xludf.DUMMYFUNCTION("""COMPUTED_VALUE"""),0.0)</f>
        <v>0</v>
      </c>
      <c r="N7" s="83">
        <v>6.0</v>
      </c>
      <c r="O7" s="83" t="str">
        <f>IFERROR(__xludf.DUMMYFUNCTION("""COMPUTED_VALUE"""),"PT. HBB")</f>
        <v>PT. HBB</v>
      </c>
      <c r="P7" s="83"/>
      <c r="Q7" s="29">
        <f>IFERROR(__xludf.DUMMYFUNCTION("""COMPUTED_VALUE"""),2.0)</f>
        <v>2</v>
      </c>
    </row>
    <row r="8" ht="22.5" customHeight="1">
      <c r="A8" s="22">
        <v>7.0</v>
      </c>
      <c r="B8" s="24" t="str">
        <f>IFERROR(__xludf.DUMMYFUNCTION("""COMPUTED_VALUE"""),"Teknologi Pengolahan Agroindustri")</f>
        <v>Teknologi Pengolahan Agroindustri</v>
      </c>
      <c r="C8" s="24">
        <f>IFERROR(__xludf.DUMMYFUNCTION("""COMPUTED_VALUE"""),266.0)</f>
        <v>266</v>
      </c>
      <c r="D8" s="24">
        <f>IFERROR(__xludf.DUMMYFUNCTION("""COMPUTED_VALUE"""),71.0)</f>
        <v>71</v>
      </c>
      <c r="E8" s="24">
        <f>IFERROR(__xludf.DUMMYFUNCTION("""COMPUTED_VALUE"""),71.0)</f>
        <v>71</v>
      </c>
      <c r="F8" s="24">
        <f>IFERROR(__xludf.DUMMYFUNCTION("""COMPUTED_VALUE"""),195.0)</f>
        <v>195</v>
      </c>
      <c r="G8" s="24">
        <f>IFERROR(__xludf.DUMMYFUNCTION("""COMPUTED_VALUE"""),0.0)</f>
        <v>0</v>
      </c>
      <c r="H8" s="24">
        <f>IFERROR(__xludf.DUMMYFUNCTION("""COMPUTED_VALUE"""),0.0)</f>
        <v>0</v>
      </c>
      <c r="I8" s="24" t="str">
        <f>IFERROR(__xludf.DUMMYFUNCTION("""COMPUTED_VALUE"""),"")</f>
        <v/>
      </c>
      <c r="J8" s="24">
        <f>IFERROR(__xludf.DUMMYFUNCTION("""COMPUTED_VALUE"""),0.0)</f>
        <v>0</v>
      </c>
      <c r="N8" s="83">
        <v>7.0</v>
      </c>
      <c r="O8" s="83" t="str">
        <f>IFERROR(__xludf.DUMMYFUNCTION("""COMPUTED_VALUE"""),"PT. IPIP")</f>
        <v>PT. IPIP</v>
      </c>
      <c r="P8" s="83"/>
      <c r="Q8" s="29">
        <f>IFERROR(__xludf.DUMMYFUNCTION("""COMPUTED_VALUE"""),7.0)</f>
        <v>7</v>
      </c>
    </row>
    <row r="9" ht="22.5" customHeight="1">
      <c r="A9" s="22">
        <v>8.0</v>
      </c>
      <c r="B9" s="24" t="str">
        <f>IFERROR(__xludf.DUMMYFUNCTION("""COMPUTED_VALUE"""),"Fashion Technology")</f>
        <v>Fashion Technology</v>
      </c>
      <c r="C9" s="24">
        <f>IFERROR(__xludf.DUMMYFUNCTION("""COMPUTED_VALUE"""),128.0)</f>
        <v>128</v>
      </c>
      <c r="D9" s="24">
        <f>IFERROR(__xludf.DUMMYFUNCTION("""COMPUTED_VALUE"""),30.0)</f>
        <v>30</v>
      </c>
      <c r="E9" s="24">
        <f>IFERROR(__xludf.DUMMYFUNCTION("""COMPUTED_VALUE"""),30.0)</f>
        <v>30</v>
      </c>
      <c r="F9" s="24">
        <f>IFERROR(__xludf.DUMMYFUNCTION("""COMPUTED_VALUE"""),98.0)</f>
        <v>98</v>
      </c>
      <c r="G9" s="24">
        <f>IFERROR(__xludf.DUMMYFUNCTION("""COMPUTED_VALUE"""),0.0)</f>
        <v>0</v>
      </c>
      <c r="H9" s="24">
        <f>IFERROR(__xludf.DUMMYFUNCTION("""COMPUTED_VALUE"""),0.0)</f>
        <v>0</v>
      </c>
      <c r="I9" s="24" t="str">
        <f>IFERROR(__xludf.DUMMYFUNCTION("""COMPUTED_VALUE"""),"")</f>
        <v/>
      </c>
      <c r="J9" s="24">
        <f>IFERROR(__xludf.DUMMYFUNCTION("""COMPUTED_VALUE"""),0.0)</f>
        <v>0</v>
      </c>
      <c r="N9" s="83">
        <v>8.0</v>
      </c>
      <c r="O9" s="83" t="str">
        <f>IFERROR(__xludf.DUMMYFUNCTION("""COMPUTED_VALUE"""),"PT. MBA")</f>
        <v>PT. MBA</v>
      </c>
      <c r="P9" s="83"/>
      <c r="Q9" s="29">
        <f>IFERROR(__xludf.DUMMYFUNCTION("""COMPUTED_VALUE"""),2.0)</f>
        <v>2</v>
      </c>
    </row>
    <row r="10" ht="22.5" customHeight="1">
      <c r="A10" s="22">
        <v>9.0</v>
      </c>
      <c r="B10" s="24" t="str">
        <f>IFERROR(__xludf.DUMMYFUNCTION("""COMPUTED_VALUE"""),"Konstruksi")</f>
        <v>Konstruksi</v>
      </c>
      <c r="C10" s="24">
        <f>IFERROR(__xludf.DUMMYFUNCTION("""COMPUTED_VALUE"""),12.0)</f>
        <v>12</v>
      </c>
      <c r="D10" s="24">
        <f>IFERROR(__xludf.DUMMYFUNCTION("""COMPUTED_VALUE"""),7.0)</f>
        <v>7</v>
      </c>
      <c r="E10" s="24">
        <f>IFERROR(__xludf.DUMMYFUNCTION("""COMPUTED_VALUE"""),7.0)</f>
        <v>7</v>
      </c>
      <c r="F10" s="24">
        <f>IFERROR(__xludf.DUMMYFUNCTION("""COMPUTED_VALUE"""),5.0)</f>
        <v>5</v>
      </c>
      <c r="G10" s="24">
        <f>IFERROR(__xludf.DUMMYFUNCTION("""COMPUTED_VALUE"""),0.0)</f>
        <v>0</v>
      </c>
      <c r="H10" s="24">
        <f>IFERROR(__xludf.DUMMYFUNCTION("""COMPUTED_VALUE"""),0.0)</f>
        <v>0</v>
      </c>
      <c r="I10" s="24" t="str">
        <f>IFERROR(__xludf.DUMMYFUNCTION("""COMPUTED_VALUE"""),"")</f>
        <v/>
      </c>
      <c r="J10" s="24">
        <f>IFERROR(__xludf.DUMMYFUNCTION("""COMPUTED_VALUE"""),0.0)</f>
        <v>0</v>
      </c>
      <c r="N10" s="83">
        <v>9.0</v>
      </c>
      <c r="O10" s="83" t="str">
        <f>IFERROR(__xludf.DUMMYFUNCTION("""COMPUTED_VALUE"""),"PT. Mitra Rajawali Perkasa")</f>
        <v>PT. Mitra Rajawali Perkasa</v>
      </c>
      <c r="P10" s="83"/>
      <c r="Q10" s="29">
        <f>IFERROR(__xludf.DUMMYFUNCTION("""COMPUTED_VALUE"""),2.0)</f>
        <v>2</v>
      </c>
    </row>
    <row r="11" ht="22.5" customHeight="1">
      <c r="A11" s="22">
        <v>10.0</v>
      </c>
      <c r="B11" s="24" t="str">
        <f>IFERROR(__xludf.DUMMYFUNCTION("""COMPUTED_VALUE"""),"Processing")</f>
        <v>Processing</v>
      </c>
      <c r="C11" s="24">
        <f>IFERROR(__xludf.DUMMYFUNCTION("""COMPUTED_VALUE"""),16.0)</f>
        <v>16</v>
      </c>
      <c r="D11" s="24">
        <f>IFERROR(__xludf.DUMMYFUNCTION("""COMPUTED_VALUE"""),9.0)</f>
        <v>9</v>
      </c>
      <c r="E11" s="24">
        <f>IFERROR(__xludf.DUMMYFUNCTION("""COMPUTED_VALUE"""),9.0)</f>
        <v>9</v>
      </c>
      <c r="F11" s="24">
        <f>IFERROR(__xludf.DUMMYFUNCTION("""COMPUTED_VALUE"""),7.0)</f>
        <v>7</v>
      </c>
      <c r="G11" s="24">
        <f>IFERROR(__xludf.DUMMYFUNCTION("""COMPUTED_VALUE"""),0.0)</f>
        <v>0</v>
      </c>
      <c r="H11" s="24">
        <f>IFERROR(__xludf.DUMMYFUNCTION("""COMPUTED_VALUE"""),0.0)</f>
        <v>0</v>
      </c>
      <c r="I11" s="24" t="str">
        <f>IFERROR(__xludf.DUMMYFUNCTION("""COMPUTED_VALUE"""),"")</f>
        <v/>
      </c>
      <c r="J11" s="24">
        <f>IFERROR(__xludf.DUMMYFUNCTION("""COMPUTED_VALUE"""),0.0)</f>
        <v>0</v>
      </c>
      <c r="N11" s="83">
        <v>10.0</v>
      </c>
      <c r="O11" s="83" t="str">
        <f>IFERROR(__xludf.DUMMYFUNCTION("""COMPUTED_VALUE"""),"SPPG")</f>
        <v>SPPG</v>
      </c>
      <c r="P11" s="83"/>
      <c r="Q11" s="29">
        <f>IFERROR(__xludf.DUMMYFUNCTION("""COMPUTED_VALUE"""),2.0)</f>
        <v>2</v>
      </c>
    </row>
    <row r="12" ht="22.5" customHeight="1">
      <c r="A12" s="22">
        <v>11.0</v>
      </c>
      <c r="B12" s="24" t="str">
        <f>IFERROR(__xludf.DUMMYFUNCTION("""COMPUTED_VALUE"""),"Pariwisata")</f>
        <v>Pariwisata</v>
      </c>
      <c r="C12" s="24">
        <f>IFERROR(__xludf.DUMMYFUNCTION("""COMPUTED_VALUE"""),142.0)</f>
        <v>142</v>
      </c>
      <c r="D12" s="24">
        <f>IFERROR(__xludf.DUMMYFUNCTION("""COMPUTED_VALUE"""),87.0)</f>
        <v>87</v>
      </c>
      <c r="E12" s="24">
        <f>IFERROR(__xludf.DUMMYFUNCTION("""COMPUTED_VALUE"""),87.0)</f>
        <v>87</v>
      </c>
      <c r="F12" s="24">
        <f>IFERROR(__xludf.DUMMYFUNCTION("""COMPUTED_VALUE"""),55.0)</f>
        <v>55</v>
      </c>
      <c r="G12" s="24">
        <f>IFERROR(__xludf.DUMMYFUNCTION("""COMPUTED_VALUE"""),0.0)</f>
        <v>0</v>
      </c>
      <c r="H12" s="24">
        <f>IFERROR(__xludf.DUMMYFUNCTION("""COMPUTED_VALUE"""),0.0)</f>
        <v>0</v>
      </c>
      <c r="I12" s="24" t="str">
        <f>IFERROR(__xludf.DUMMYFUNCTION("""COMPUTED_VALUE"""),"")</f>
        <v/>
      </c>
      <c r="J12" s="24">
        <f>IFERROR(__xludf.DUMMYFUNCTION("""COMPUTED_VALUE"""),0.0)</f>
        <v>0</v>
      </c>
      <c r="N12" s="83">
        <v>11.0</v>
      </c>
      <c r="O12" s="83"/>
      <c r="P12" s="83" t="str">
        <f>IFERROR(__xludf.DUMMYFUNCTION("""COMPUTED_VALUE"""),"")</f>
        <v/>
      </c>
      <c r="Q12" s="29" t="str">
        <f>IFERROR(__xludf.DUMMYFUNCTION("""COMPUTED_VALUE"""),"")</f>
        <v/>
      </c>
    </row>
    <row r="13" ht="22.5" customHeight="1">
      <c r="A13" s="22">
        <v>12.0</v>
      </c>
      <c r="B13" s="24" t="str">
        <f>IFERROR(__xludf.DUMMYFUNCTION("""COMPUTED_VALUE"""),"Pertanian")</f>
        <v>Pertanian</v>
      </c>
      <c r="C13" s="24">
        <f>IFERROR(__xludf.DUMMYFUNCTION("""COMPUTED_VALUE"""),32.0)</f>
        <v>32</v>
      </c>
      <c r="D13" s="24">
        <f>IFERROR(__xludf.DUMMYFUNCTION("""COMPUTED_VALUE"""),32.0)</f>
        <v>32</v>
      </c>
      <c r="E13" s="24">
        <f>IFERROR(__xludf.DUMMYFUNCTION("""COMPUTED_VALUE"""),32.0)</f>
        <v>32</v>
      </c>
      <c r="F13" s="24">
        <f>IFERROR(__xludf.DUMMYFUNCTION("""COMPUTED_VALUE"""),0.0)</f>
        <v>0</v>
      </c>
      <c r="G13" s="24">
        <f>IFERROR(__xludf.DUMMYFUNCTION("""COMPUTED_VALUE"""),0.0)</f>
        <v>0</v>
      </c>
      <c r="H13" s="24">
        <f>IFERROR(__xludf.DUMMYFUNCTION("""COMPUTED_VALUE"""),0.0)</f>
        <v>0</v>
      </c>
      <c r="I13" s="24" t="str">
        <f>IFERROR(__xludf.DUMMYFUNCTION("""COMPUTED_VALUE"""),"")</f>
        <v/>
      </c>
      <c r="J13" s="24">
        <f>IFERROR(__xludf.DUMMYFUNCTION("""COMPUTED_VALUE"""),0.0)</f>
        <v>0</v>
      </c>
      <c r="N13" s="83">
        <v>12.0</v>
      </c>
      <c r="O13" s="83"/>
      <c r="P13" s="83" t="str">
        <f>IFERROR(__xludf.DUMMYFUNCTION("""COMPUTED_VALUE"""),"")</f>
        <v/>
      </c>
      <c r="Q13" s="29" t="str">
        <f>IFERROR(__xludf.DUMMYFUNCTION("""COMPUTED_VALUE"""),"")</f>
        <v/>
      </c>
    </row>
    <row r="14" ht="22.5" customHeight="1">
      <c r="A14" s="22">
        <v>13.0</v>
      </c>
      <c r="B14" s="24" t="str">
        <f>IFERROR(__xludf.DUMMYFUNCTION("""COMPUTED_VALUE"""),"Elektronika")</f>
        <v>Elektronika</v>
      </c>
      <c r="C14" s="24">
        <f>IFERROR(__xludf.DUMMYFUNCTION("""COMPUTED_VALUE"""),16.0)</f>
        <v>16</v>
      </c>
      <c r="D14" s="24">
        <f>IFERROR(__xludf.DUMMYFUNCTION("""COMPUTED_VALUE"""),1.0)</f>
        <v>1</v>
      </c>
      <c r="E14" s="24">
        <f>IFERROR(__xludf.DUMMYFUNCTION("""COMPUTED_VALUE"""),1.0)</f>
        <v>1</v>
      </c>
      <c r="F14" s="24">
        <f>IFERROR(__xludf.DUMMYFUNCTION("""COMPUTED_VALUE"""),15.0)</f>
        <v>15</v>
      </c>
      <c r="G14" s="24">
        <f>IFERROR(__xludf.DUMMYFUNCTION("""COMPUTED_VALUE"""),0.0)</f>
        <v>0</v>
      </c>
      <c r="H14" s="24">
        <f>IFERROR(__xludf.DUMMYFUNCTION("""COMPUTED_VALUE"""),0.0)</f>
        <v>0</v>
      </c>
      <c r="I14" s="24" t="str">
        <f>IFERROR(__xludf.DUMMYFUNCTION("""COMPUTED_VALUE"""),"")</f>
        <v/>
      </c>
      <c r="J14" s="24">
        <f>IFERROR(__xludf.DUMMYFUNCTION("""COMPUTED_VALUE"""),0.0)</f>
        <v>0</v>
      </c>
      <c r="N14" s="83">
        <v>13.0</v>
      </c>
      <c r="O14" s="83"/>
      <c r="P14" s="83" t="str">
        <f>IFERROR(__xludf.DUMMYFUNCTION("""COMPUTED_VALUE"""),"")</f>
        <v/>
      </c>
      <c r="Q14" s="29" t="str">
        <f>IFERROR(__xludf.DUMMYFUNCTION("""COMPUTED_VALUE"""),"")</f>
        <v/>
      </c>
    </row>
    <row r="15" ht="22.5" customHeight="1">
      <c r="A15" s="22">
        <v>14.0</v>
      </c>
      <c r="B15" s="24" t="str">
        <f>IFERROR(__xludf.DUMMYFUNCTION("""COMPUTED_VALUE"""),"")</f>
        <v/>
      </c>
      <c r="C15" s="24" t="str">
        <f>IFERROR(__xludf.DUMMYFUNCTION("""COMPUTED_VALUE"""),"")</f>
        <v/>
      </c>
      <c r="D15" s="24" t="str">
        <f>IFERROR(__xludf.DUMMYFUNCTION("""COMPUTED_VALUE"""),"")</f>
        <v/>
      </c>
      <c r="E15" s="24" t="str">
        <f>IFERROR(__xludf.DUMMYFUNCTION("""COMPUTED_VALUE"""),"")</f>
        <v/>
      </c>
      <c r="F15" s="24" t="str">
        <f>IFERROR(__xludf.DUMMYFUNCTION("""COMPUTED_VALUE"""),"")</f>
        <v/>
      </c>
      <c r="G15" s="24" t="str">
        <f>IFERROR(__xludf.DUMMYFUNCTION("""COMPUTED_VALUE"""),"")</f>
        <v/>
      </c>
      <c r="H15" s="24" t="str">
        <f>IFERROR(__xludf.DUMMYFUNCTION("""COMPUTED_VALUE"""),"")</f>
        <v/>
      </c>
      <c r="I15" s="24" t="str">
        <f>IFERROR(__xludf.DUMMYFUNCTION("""COMPUTED_VALUE"""),"")</f>
        <v/>
      </c>
      <c r="J15" s="24" t="str">
        <f>IFERROR(__xludf.DUMMYFUNCTION("""COMPUTED_VALUE"""),"")</f>
        <v/>
      </c>
      <c r="N15" s="83">
        <v>14.0</v>
      </c>
      <c r="O15" s="83"/>
      <c r="P15" s="83" t="str">
        <f>IFERROR(__xludf.DUMMYFUNCTION("""COMPUTED_VALUE"""),"")</f>
        <v/>
      </c>
      <c r="Q15" s="29" t="str">
        <f>IFERROR(__xludf.DUMMYFUNCTION("""COMPUTED_VALUE"""),"")</f>
        <v/>
      </c>
    </row>
    <row r="16" ht="22.5" customHeight="1">
      <c r="A16" s="22">
        <v>15.0</v>
      </c>
      <c r="B16" s="24"/>
      <c r="C16" s="24" t="str">
        <f>IFERROR(__xludf.DUMMYFUNCTION("""COMPUTED_VALUE"""),"")</f>
        <v/>
      </c>
      <c r="D16" s="24" t="str">
        <f>IFERROR(__xludf.DUMMYFUNCTION("""COMPUTED_VALUE"""),"")</f>
        <v/>
      </c>
      <c r="E16" s="24" t="str">
        <f>IFERROR(__xludf.DUMMYFUNCTION("""COMPUTED_VALUE"""),"")</f>
        <v/>
      </c>
      <c r="F16" s="24" t="str">
        <f>IFERROR(__xludf.DUMMYFUNCTION("""COMPUTED_VALUE"""),"")</f>
        <v/>
      </c>
      <c r="G16" s="24" t="str">
        <f>IFERROR(__xludf.DUMMYFUNCTION("""COMPUTED_VALUE"""),"")</f>
        <v/>
      </c>
      <c r="H16" s="24" t="str">
        <f>IFERROR(__xludf.DUMMYFUNCTION("""COMPUTED_VALUE"""),"")</f>
        <v/>
      </c>
      <c r="I16" s="24" t="str">
        <f>IFERROR(__xludf.DUMMYFUNCTION("""COMPUTED_VALUE"""),"")</f>
        <v/>
      </c>
      <c r="J16" s="24" t="str">
        <f>IFERROR(__xludf.DUMMYFUNCTION("""COMPUTED_VALUE"""),"")</f>
        <v/>
      </c>
      <c r="N16" s="83">
        <v>15.0</v>
      </c>
      <c r="O16" s="83"/>
      <c r="P16" s="83" t="str">
        <f>IFERROR(__xludf.DUMMYFUNCTION("""COMPUTED_VALUE"""),"")</f>
        <v/>
      </c>
      <c r="Q16" s="29" t="str">
        <f>IFERROR(__xludf.DUMMYFUNCTION("""COMPUTED_VALUE"""),"")</f>
        <v/>
      </c>
    </row>
    <row r="17" ht="22.5" customHeight="1">
      <c r="A17" s="22">
        <v>16.0</v>
      </c>
      <c r="B17" s="24"/>
      <c r="C17" s="24" t="str">
        <f>IFERROR(__xludf.DUMMYFUNCTION("""COMPUTED_VALUE"""),"")</f>
        <v/>
      </c>
      <c r="D17" s="24" t="str">
        <f>IFERROR(__xludf.DUMMYFUNCTION("""COMPUTED_VALUE"""),"")</f>
        <v/>
      </c>
      <c r="E17" s="24" t="str">
        <f>IFERROR(__xludf.DUMMYFUNCTION("""COMPUTED_VALUE"""),"")</f>
        <v/>
      </c>
      <c r="F17" s="24" t="str">
        <f>IFERROR(__xludf.DUMMYFUNCTION("""COMPUTED_VALUE"""),"")</f>
        <v/>
      </c>
      <c r="G17" s="24" t="str">
        <f>IFERROR(__xludf.DUMMYFUNCTION("""COMPUTED_VALUE"""),"")</f>
        <v/>
      </c>
      <c r="H17" s="24" t="str">
        <f>IFERROR(__xludf.DUMMYFUNCTION("""COMPUTED_VALUE"""),"")</f>
        <v/>
      </c>
      <c r="I17" s="24" t="str">
        <f>IFERROR(__xludf.DUMMYFUNCTION("""COMPUTED_VALUE"""),"")</f>
        <v/>
      </c>
      <c r="J17" s="24" t="str">
        <f>IFERROR(__xludf.DUMMYFUNCTION("""COMPUTED_VALUE"""),"")</f>
        <v/>
      </c>
      <c r="N17" s="83">
        <v>16.0</v>
      </c>
      <c r="O17" s="83"/>
      <c r="P17" s="83" t="str">
        <f>IFERROR(__xludf.DUMMYFUNCTION("""COMPUTED_VALUE"""),"")</f>
        <v/>
      </c>
      <c r="Q17" s="29" t="str">
        <f>IFERROR(__xludf.DUMMYFUNCTION("""COMPUTED_VALUE"""),"")</f>
        <v/>
      </c>
    </row>
    <row r="18" ht="22.5" customHeight="1">
      <c r="A18" s="22">
        <v>17.0</v>
      </c>
      <c r="B18" s="24"/>
      <c r="C18" s="24" t="str">
        <f>IFERROR(__xludf.DUMMYFUNCTION("""COMPUTED_VALUE"""),"")</f>
        <v/>
      </c>
      <c r="D18" s="24" t="str">
        <f>IFERROR(__xludf.DUMMYFUNCTION("""COMPUTED_VALUE"""),"")</f>
        <v/>
      </c>
      <c r="E18" s="24" t="str">
        <f>IFERROR(__xludf.DUMMYFUNCTION("""COMPUTED_VALUE"""),"")</f>
        <v/>
      </c>
      <c r="F18" s="24" t="str">
        <f>IFERROR(__xludf.DUMMYFUNCTION("""COMPUTED_VALUE"""),"")</f>
        <v/>
      </c>
      <c r="G18" s="24" t="str">
        <f>IFERROR(__xludf.DUMMYFUNCTION("""COMPUTED_VALUE"""),"")</f>
        <v/>
      </c>
      <c r="H18" s="24" t="str">
        <f>IFERROR(__xludf.DUMMYFUNCTION("""COMPUTED_VALUE"""),"")</f>
        <v/>
      </c>
      <c r="I18" s="24" t="str">
        <f>IFERROR(__xludf.DUMMYFUNCTION("""COMPUTED_VALUE"""),"")</f>
        <v/>
      </c>
      <c r="J18" s="24" t="str">
        <f>IFERROR(__xludf.DUMMYFUNCTION("""COMPUTED_VALUE"""),"")</f>
        <v/>
      </c>
      <c r="N18" s="83">
        <v>17.0</v>
      </c>
      <c r="O18" s="83"/>
      <c r="P18" s="83" t="str">
        <f>IFERROR(__xludf.DUMMYFUNCTION("""COMPUTED_VALUE"""),"")</f>
        <v/>
      </c>
      <c r="Q18" s="29" t="str">
        <f>IFERROR(__xludf.DUMMYFUNCTION("""COMPUTED_VALUE"""),"")</f>
        <v/>
      </c>
    </row>
    <row r="19" ht="22.5" customHeight="1">
      <c r="A19" s="22">
        <v>18.0</v>
      </c>
      <c r="B19" s="24"/>
      <c r="C19" s="24" t="str">
        <f>IFERROR(__xludf.DUMMYFUNCTION("""COMPUTED_VALUE"""),"")</f>
        <v/>
      </c>
      <c r="D19" s="24" t="str">
        <f>IFERROR(__xludf.DUMMYFUNCTION("""COMPUTED_VALUE"""),"")</f>
        <v/>
      </c>
      <c r="E19" s="24" t="str">
        <f>IFERROR(__xludf.DUMMYFUNCTION("""COMPUTED_VALUE"""),"")</f>
        <v/>
      </c>
      <c r="F19" s="24" t="str">
        <f>IFERROR(__xludf.DUMMYFUNCTION("""COMPUTED_VALUE"""),"")</f>
        <v/>
      </c>
      <c r="G19" s="24" t="str">
        <f>IFERROR(__xludf.DUMMYFUNCTION("""COMPUTED_VALUE"""),"")</f>
        <v/>
      </c>
      <c r="H19" s="24" t="str">
        <f>IFERROR(__xludf.DUMMYFUNCTION("""COMPUTED_VALUE"""),"")</f>
        <v/>
      </c>
      <c r="I19" s="24" t="str">
        <f>IFERROR(__xludf.DUMMYFUNCTION("""COMPUTED_VALUE"""),"")</f>
        <v/>
      </c>
      <c r="J19" s="24" t="str">
        <f>IFERROR(__xludf.DUMMYFUNCTION("""COMPUTED_VALUE"""),"")</f>
        <v/>
      </c>
      <c r="N19" s="83">
        <v>18.0</v>
      </c>
      <c r="O19" s="83"/>
      <c r="P19" s="83" t="str">
        <f>IFERROR(__xludf.DUMMYFUNCTION("""COMPUTED_VALUE"""),"")</f>
        <v/>
      </c>
      <c r="Q19" s="29" t="str">
        <f>IFERROR(__xludf.DUMMYFUNCTION("""COMPUTED_VALUE"""),"")</f>
        <v/>
      </c>
    </row>
    <row r="20" ht="22.5" customHeight="1">
      <c r="A20" s="22">
        <v>19.0</v>
      </c>
      <c r="B20" s="24"/>
      <c r="C20" s="24" t="str">
        <f>IFERROR(__xludf.DUMMYFUNCTION("""COMPUTED_VALUE"""),"")</f>
        <v/>
      </c>
      <c r="D20" s="24" t="str">
        <f>IFERROR(__xludf.DUMMYFUNCTION("""COMPUTED_VALUE"""),"")</f>
        <v/>
      </c>
      <c r="E20" s="24" t="str">
        <f>IFERROR(__xludf.DUMMYFUNCTION("""COMPUTED_VALUE"""),"")</f>
        <v/>
      </c>
      <c r="F20" s="24" t="str">
        <f>IFERROR(__xludf.DUMMYFUNCTION("""COMPUTED_VALUE"""),"")</f>
        <v/>
      </c>
      <c r="G20" s="24" t="str">
        <f>IFERROR(__xludf.DUMMYFUNCTION("""COMPUTED_VALUE"""),"")</f>
        <v/>
      </c>
      <c r="H20" s="24" t="str">
        <f>IFERROR(__xludf.DUMMYFUNCTION("""COMPUTED_VALUE"""),"")</f>
        <v/>
      </c>
      <c r="I20" s="24" t="str">
        <f>IFERROR(__xludf.DUMMYFUNCTION("""COMPUTED_VALUE"""),"")</f>
        <v/>
      </c>
      <c r="J20" s="24" t="str">
        <f>IFERROR(__xludf.DUMMYFUNCTION("""COMPUTED_VALUE"""),"")</f>
        <v/>
      </c>
      <c r="N20" s="83">
        <v>19.0</v>
      </c>
      <c r="O20" s="83"/>
      <c r="P20" s="83" t="str">
        <f>IFERROR(__xludf.DUMMYFUNCTION("""COMPUTED_VALUE"""),"")</f>
        <v/>
      </c>
      <c r="Q20" s="29" t="str">
        <f>IFERROR(__xludf.DUMMYFUNCTION("""COMPUTED_VALUE"""),"")</f>
        <v/>
      </c>
    </row>
    <row r="21" ht="22.5" customHeight="1">
      <c r="A21" s="22">
        <v>20.0</v>
      </c>
      <c r="B21" s="24"/>
      <c r="C21" s="24" t="str">
        <f>IFERROR(__xludf.DUMMYFUNCTION("""COMPUTED_VALUE"""),"")</f>
        <v/>
      </c>
      <c r="D21" s="24" t="str">
        <f>IFERROR(__xludf.DUMMYFUNCTION("""COMPUTED_VALUE"""),"")</f>
        <v/>
      </c>
      <c r="E21" s="24" t="str">
        <f>IFERROR(__xludf.DUMMYFUNCTION("""COMPUTED_VALUE"""),"")</f>
        <v/>
      </c>
      <c r="F21" s="24" t="str">
        <f>IFERROR(__xludf.DUMMYFUNCTION("""COMPUTED_VALUE"""),"")</f>
        <v/>
      </c>
      <c r="G21" s="24" t="str">
        <f>IFERROR(__xludf.DUMMYFUNCTION("""COMPUTED_VALUE"""),"")</f>
        <v/>
      </c>
      <c r="H21" s="24" t="str">
        <f>IFERROR(__xludf.DUMMYFUNCTION("""COMPUTED_VALUE"""),"")</f>
        <v/>
      </c>
      <c r="I21" s="24" t="str">
        <f>IFERROR(__xludf.DUMMYFUNCTION("""COMPUTED_VALUE"""),"")</f>
        <v/>
      </c>
      <c r="J21" s="24" t="str">
        <f>IFERROR(__xludf.DUMMYFUNCTION("""COMPUTED_VALUE"""),"")</f>
        <v/>
      </c>
      <c r="N21" s="83">
        <v>20.0</v>
      </c>
      <c r="O21" s="83"/>
      <c r="P21" s="83" t="str">
        <f>IFERROR(__xludf.DUMMYFUNCTION("""COMPUTED_VALUE"""),"")</f>
        <v/>
      </c>
      <c r="Q21" s="29" t="str">
        <f>IFERROR(__xludf.DUMMYFUNCTION("""COMPUTED_VALUE"""),"")</f>
        <v/>
      </c>
    </row>
    <row r="22" ht="22.5" customHeight="1">
      <c r="A22" s="22">
        <v>21.0</v>
      </c>
      <c r="B22" s="24"/>
      <c r="C22" s="24" t="str">
        <f>IFERROR(__xludf.DUMMYFUNCTION("""COMPUTED_VALUE"""),"")</f>
        <v/>
      </c>
      <c r="D22" s="24" t="str">
        <f>IFERROR(__xludf.DUMMYFUNCTION("""COMPUTED_VALUE"""),"")</f>
        <v/>
      </c>
      <c r="E22" s="24" t="str">
        <f>IFERROR(__xludf.DUMMYFUNCTION("""COMPUTED_VALUE"""),"")</f>
        <v/>
      </c>
      <c r="F22" s="24" t="str">
        <f>IFERROR(__xludf.DUMMYFUNCTION("""COMPUTED_VALUE"""),"")</f>
        <v/>
      </c>
      <c r="G22" s="24" t="str">
        <f>IFERROR(__xludf.DUMMYFUNCTION("""COMPUTED_VALUE"""),"")</f>
        <v/>
      </c>
      <c r="H22" s="24" t="str">
        <f>IFERROR(__xludf.DUMMYFUNCTION("""COMPUTED_VALUE"""),"")</f>
        <v/>
      </c>
      <c r="I22" s="24" t="str">
        <f>IFERROR(__xludf.DUMMYFUNCTION("""COMPUTED_VALUE"""),"")</f>
        <v/>
      </c>
      <c r="J22" s="24" t="str">
        <f>IFERROR(__xludf.DUMMYFUNCTION("""COMPUTED_VALUE"""),"")</f>
        <v/>
      </c>
      <c r="N22" s="83">
        <v>21.0</v>
      </c>
      <c r="O22" s="83"/>
      <c r="P22" s="83" t="str">
        <f>IFERROR(__xludf.DUMMYFUNCTION("""COMPUTED_VALUE"""),"")</f>
        <v/>
      </c>
      <c r="Q22" s="29" t="str">
        <f>IFERROR(__xludf.DUMMYFUNCTION("""COMPUTED_VALUE"""),"")</f>
        <v/>
      </c>
    </row>
    <row r="23" ht="22.5" customHeight="1">
      <c r="A23" s="22">
        <v>22.0</v>
      </c>
      <c r="B23" s="24"/>
      <c r="C23" s="24" t="str">
        <f>IFERROR(__xludf.DUMMYFUNCTION("""COMPUTED_VALUE"""),"")</f>
        <v/>
      </c>
      <c r="D23" s="24" t="str">
        <f>IFERROR(__xludf.DUMMYFUNCTION("""COMPUTED_VALUE"""),"")</f>
        <v/>
      </c>
      <c r="E23" s="24" t="str">
        <f>IFERROR(__xludf.DUMMYFUNCTION("""COMPUTED_VALUE"""),"")</f>
        <v/>
      </c>
      <c r="F23" s="24" t="str">
        <f>IFERROR(__xludf.DUMMYFUNCTION("""COMPUTED_VALUE"""),"")</f>
        <v/>
      </c>
      <c r="G23" s="24" t="str">
        <f>IFERROR(__xludf.DUMMYFUNCTION("""COMPUTED_VALUE"""),"")</f>
        <v/>
      </c>
      <c r="H23" s="24" t="str">
        <f>IFERROR(__xludf.DUMMYFUNCTION("""COMPUTED_VALUE"""),"")</f>
        <v/>
      </c>
      <c r="I23" s="24" t="str">
        <f>IFERROR(__xludf.DUMMYFUNCTION("""COMPUTED_VALUE"""),"")</f>
        <v/>
      </c>
      <c r="J23" s="24" t="str">
        <f>IFERROR(__xludf.DUMMYFUNCTION("""COMPUTED_VALUE"""),"")</f>
        <v/>
      </c>
      <c r="N23" s="83">
        <v>22.0</v>
      </c>
      <c r="O23" s="83"/>
      <c r="P23" s="83" t="str">
        <f>IFERROR(__xludf.DUMMYFUNCTION("""COMPUTED_VALUE"""),"")</f>
        <v/>
      </c>
      <c r="Q23" s="29" t="str">
        <f>IFERROR(__xludf.DUMMYFUNCTION("""COMPUTED_VALUE"""),"")</f>
        <v/>
      </c>
    </row>
    <row r="24" ht="22.5" customHeight="1">
      <c r="A24" s="22">
        <v>23.0</v>
      </c>
      <c r="B24" s="24"/>
      <c r="C24" s="24" t="str">
        <f>IFERROR(__xludf.DUMMYFUNCTION("""COMPUTED_VALUE"""),"")</f>
        <v/>
      </c>
      <c r="D24" s="24" t="str">
        <f>IFERROR(__xludf.DUMMYFUNCTION("""COMPUTED_VALUE"""),"")</f>
        <v/>
      </c>
      <c r="E24" s="24" t="str">
        <f>IFERROR(__xludf.DUMMYFUNCTION("""COMPUTED_VALUE"""),"")</f>
        <v/>
      </c>
      <c r="F24" s="24" t="str">
        <f>IFERROR(__xludf.DUMMYFUNCTION("""COMPUTED_VALUE"""),"")</f>
        <v/>
      </c>
      <c r="G24" s="24" t="str">
        <f>IFERROR(__xludf.DUMMYFUNCTION("""COMPUTED_VALUE"""),"")</f>
        <v/>
      </c>
      <c r="H24" s="24" t="str">
        <f>IFERROR(__xludf.DUMMYFUNCTION("""COMPUTED_VALUE"""),"")</f>
        <v/>
      </c>
      <c r="I24" s="24" t="str">
        <f>IFERROR(__xludf.DUMMYFUNCTION("""COMPUTED_VALUE"""),"")</f>
        <v/>
      </c>
      <c r="J24" s="24" t="str">
        <f>IFERROR(__xludf.DUMMYFUNCTION("""COMPUTED_VALUE"""),"")</f>
        <v/>
      </c>
      <c r="N24" s="83">
        <v>23.0</v>
      </c>
      <c r="O24" s="83"/>
      <c r="P24" s="83" t="str">
        <f>IFERROR(__xludf.DUMMYFUNCTION("""COMPUTED_VALUE"""),"")</f>
        <v/>
      </c>
      <c r="Q24" s="29" t="str">
        <f>IFERROR(__xludf.DUMMYFUNCTION("""COMPUTED_VALUE"""),"")</f>
        <v/>
      </c>
    </row>
    <row r="25" ht="22.5" customHeight="1">
      <c r="A25" s="22">
        <v>24.0</v>
      </c>
      <c r="B25" s="24"/>
      <c r="C25" s="24" t="str">
        <f>IFERROR(__xludf.DUMMYFUNCTION("""COMPUTED_VALUE"""),"")</f>
        <v/>
      </c>
      <c r="D25" s="24" t="str">
        <f>IFERROR(__xludf.DUMMYFUNCTION("""COMPUTED_VALUE"""),"")</f>
        <v/>
      </c>
      <c r="E25" s="24" t="str">
        <f>IFERROR(__xludf.DUMMYFUNCTION("""COMPUTED_VALUE"""),"")</f>
        <v/>
      </c>
      <c r="F25" s="24" t="str">
        <f>IFERROR(__xludf.DUMMYFUNCTION("""COMPUTED_VALUE"""),"")</f>
        <v/>
      </c>
      <c r="G25" s="24" t="str">
        <f>IFERROR(__xludf.DUMMYFUNCTION("""COMPUTED_VALUE"""),"")</f>
        <v/>
      </c>
      <c r="H25" s="24" t="str">
        <f>IFERROR(__xludf.DUMMYFUNCTION("""COMPUTED_VALUE"""),"")</f>
        <v/>
      </c>
      <c r="I25" s="24" t="str">
        <f>IFERROR(__xludf.DUMMYFUNCTION("""COMPUTED_VALUE"""),"")</f>
        <v/>
      </c>
      <c r="J25" s="24" t="str">
        <f>IFERROR(__xludf.DUMMYFUNCTION("""COMPUTED_VALUE"""),"")</f>
        <v/>
      </c>
      <c r="N25" s="83">
        <v>24.0</v>
      </c>
      <c r="O25" s="83"/>
      <c r="P25" s="83" t="str">
        <f>IFERROR(__xludf.DUMMYFUNCTION("""COMPUTED_VALUE"""),"")</f>
        <v/>
      </c>
      <c r="Q25" s="29" t="str">
        <f>IFERROR(__xludf.DUMMYFUNCTION("""COMPUTED_VALUE"""),"")</f>
        <v/>
      </c>
    </row>
    <row r="26" ht="22.5" customHeight="1">
      <c r="A26" s="22">
        <v>25.0</v>
      </c>
      <c r="B26" s="24"/>
      <c r="C26" s="24" t="str">
        <f>IFERROR(__xludf.DUMMYFUNCTION("""COMPUTED_VALUE"""),"")</f>
        <v/>
      </c>
      <c r="D26" s="24" t="str">
        <f>IFERROR(__xludf.DUMMYFUNCTION("""COMPUTED_VALUE"""),"")</f>
        <v/>
      </c>
      <c r="E26" s="24" t="str">
        <f>IFERROR(__xludf.DUMMYFUNCTION("""COMPUTED_VALUE"""),"")</f>
        <v/>
      </c>
      <c r="F26" s="24" t="str">
        <f>IFERROR(__xludf.DUMMYFUNCTION("""COMPUTED_VALUE"""),"")</f>
        <v/>
      </c>
      <c r="G26" s="24" t="str">
        <f>IFERROR(__xludf.DUMMYFUNCTION("""COMPUTED_VALUE"""),"")</f>
        <v/>
      </c>
      <c r="H26" s="24" t="str">
        <f>IFERROR(__xludf.DUMMYFUNCTION("""COMPUTED_VALUE"""),"")</f>
        <v/>
      </c>
      <c r="I26" s="24" t="str">
        <f>IFERROR(__xludf.DUMMYFUNCTION("""COMPUTED_VALUE"""),"")</f>
        <v/>
      </c>
      <c r="J26" s="24" t="str">
        <f>IFERROR(__xludf.DUMMYFUNCTION("""COMPUTED_VALUE"""),"")</f>
        <v/>
      </c>
      <c r="N26" s="83">
        <v>25.0</v>
      </c>
      <c r="O26" s="83"/>
      <c r="P26" s="83" t="str">
        <f>IFERROR(__xludf.DUMMYFUNCTION("""COMPUTED_VALUE"""),"")</f>
        <v/>
      </c>
      <c r="Q26" s="29" t="str">
        <f>IFERROR(__xludf.DUMMYFUNCTION("""COMPUTED_VALUE"""),"")</f>
        <v/>
      </c>
    </row>
    <row r="27" ht="22.5" customHeight="1">
      <c r="A27" s="22">
        <v>26.0</v>
      </c>
      <c r="B27" s="24"/>
      <c r="C27" s="24" t="str">
        <f>IFERROR(__xludf.DUMMYFUNCTION("""COMPUTED_VALUE"""),"")</f>
        <v/>
      </c>
      <c r="D27" s="24" t="str">
        <f>IFERROR(__xludf.DUMMYFUNCTION("""COMPUTED_VALUE"""),"")</f>
        <v/>
      </c>
      <c r="E27" s="24" t="str">
        <f>IFERROR(__xludf.DUMMYFUNCTION("""COMPUTED_VALUE"""),"")</f>
        <v/>
      </c>
      <c r="F27" s="24" t="str">
        <f>IFERROR(__xludf.DUMMYFUNCTION("""COMPUTED_VALUE"""),"")</f>
        <v/>
      </c>
      <c r="G27" s="24" t="str">
        <f>IFERROR(__xludf.DUMMYFUNCTION("""COMPUTED_VALUE"""),"")</f>
        <v/>
      </c>
      <c r="H27" s="24" t="str">
        <f>IFERROR(__xludf.DUMMYFUNCTION("""COMPUTED_VALUE"""),"")</f>
        <v/>
      </c>
      <c r="I27" s="24" t="str">
        <f>IFERROR(__xludf.DUMMYFUNCTION("""COMPUTED_VALUE"""),"")</f>
        <v/>
      </c>
      <c r="J27" s="24" t="str">
        <f>IFERROR(__xludf.DUMMYFUNCTION("""COMPUTED_VALUE"""),"")</f>
        <v/>
      </c>
      <c r="N27" s="83">
        <v>26.0</v>
      </c>
      <c r="O27" s="83"/>
      <c r="P27" s="83" t="str">
        <f>IFERROR(__xludf.DUMMYFUNCTION("""COMPUTED_VALUE"""),"")</f>
        <v/>
      </c>
      <c r="Q27" s="29" t="str">
        <f>IFERROR(__xludf.DUMMYFUNCTION("""COMPUTED_VALUE"""),"")</f>
        <v/>
      </c>
    </row>
    <row r="28" ht="22.5" customHeight="1">
      <c r="A28" s="22">
        <v>27.0</v>
      </c>
      <c r="B28" s="24"/>
      <c r="C28" s="24" t="str">
        <f>IFERROR(__xludf.DUMMYFUNCTION("""COMPUTED_VALUE"""),"")</f>
        <v/>
      </c>
      <c r="D28" s="24" t="str">
        <f>IFERROR(__xludf.DUMMYFUNCTION("""COMPUTED_VALUE"""),"")</f>
        <v/>
      </c>
      <c r="E28" s="24" t="str">
        <f>IFERROR(__xludf.DUMMYFUNCTION("""COMPUTED_VALUE"""),"")</f>
        <v/>
      </c>
      <c r="F28" s="24" t="str">
        <f>IFERROR(__xludf.DUMMYFUNCTION("""COMPUTED_VALUE"""),"")</f>
        <v/>
      </c>
      <c r="G28" s="24" t="str">
        <f>IFERROR(__xludf.DUMMYFUNCTION("""COMPUTED_VALUE"""),"")</f>
        <v/>
      </c>
      <c r="H28" s="24" t="str">
        <f>IFERROR(__xludf.DUMMYFUNCTION("""COMPUTED_VALUE"""),"")</f>
        <v/>
      </c>
      <c r="I28" s="24" t="str">
        <f>IFERROR(__xludf.DUMMYFUNCTION("""COMPUTED_VALUE"""),"")</f>
        <v/>
      </c>
      <c r="J28" s="24" t="str">
        <f>IFERROR(__xludf.DUMMYFUNCTION("""COMPUTED_VALUE"""),"")</f>
        <v/>
      </c>
      <c r="N28" s="83">
        <v>27.0</v>
      </c>
      <c r="O28" s="83"/>
      <c r="P28" s="83" t="str">
        <f>IFERROR(__xludf.DUMMYFUNCTION("""COMPUTED_VALUE"""),"")</f>
        <v/>
      </c>
      <c r="Q28" s="29" t="str">
        <f>IFERROR(__xludf.DUMMYFUNCTION("""COMPUTED_VALUE"""),"")</f>
        <v/>
      </c>
    </row>
    <row r="29" ht="22.5" customHeight="1">
      <c r="A29" s="22">
        <v>28.0</v>
      </c>
      <c r="B29" s="24"/>
      <c r="C29" s="24" t="str">
        <f>IFERROR(__xludf.DUMMYFUNCTION("""COMPUTED_VALUE"""),"")</f>
        <v/>
      </c>
      <c r="D29" s="24" t="str">
        <f>IFERROR(__xludf.DUMMYFUNCTION("""COMPUTED_VALUE"""),"")</f>
        <v/>
      </c>
      <c r="E29" s="24" t="str">
        <f>IFERROR(__xludf.DUMMYFUNCTION("""COMPUTED_VALUE"""),"")</f>
        <v/>
      </c>
      <c r="F29" s="24" t="str">
        <f>IFERROR(__xludf.DUMMYFUNCTION("""COMPUTED_VALUE"""),"")</f>
        <v/>
      </c>
      <c r="G29" s="24" t="str">
        <f>IFERROR(__xludf.DUMMYFUNCTION("""COMPUTED_VALUE"""),"")</f>
        <v/>
      </c>
      <c r="H29" s="24" t="str">
        <f>IFERROR(__xludf.DUMMYFUNCTION("""COMPUTED_VALUE"""),"")</f>
        <v/>
      </c>
      <c r="I29" s="24" t="str">
        <f>IFERROR(__xludf.DUMMYFUNCTION("""COMPUTED_VALUE"""),"")</f>
        <v/>
      </c>
      <c r="J29" s="24" t="str">
        <f>IFERROR(__xludf.DUMMYFUNCTION("""COMPUTED_VALUE"""),"")</f>
        <v/>
      </c>
      <c r="N29" s="83">
        <v>28.0</v>
      </c>
      <c r="O29" s="83"/>
      <c r="P29" s="83" t="str">
        <f>IFERROR(__xludf.DUMMYFUNCTION("""COMPUTED_VALUE"""),"")</f>
        <v/>
      </c>
      <c r="Q29" s="29" t="str">
        <f>IFERROR(__xludf.DUMMYFUNCTION("""COMPUTED_VALUE"""),"")</f>
        <v/>
      </c>
    </row>
    <row r="30" ht="22.5" customHeight="1">
      <c r="A30" s="22">
        <v>29.0</v>
      </c>
      <c r="B30" s="24"/>
      <c r="C30" s="24" t="str">
        <f>IFERROR(__xludf.DUMMYFUNCTION("""COMPUTED_VALUE"""),"")</f>
        <v/>
      </c>
      <c r="D30" s="24" t="str">
        <f>IFERROR(__xludf.DUMMYFUNCTION("""COMPUTED_VALUE"""),"")</f>
        <v/>
      </c>
      <c r="E30" s="24" t="str">
        <f>IFERROR(__xludf.DUMMYFUNCTION("""COMPUTED_VALUE"""),"")</f>
        <v/>
      </c>
      <c r="F30" s="24" t="str">
        <f>IFERROR(__xludf.DUMMYFUNCTION("""COMPUTED_VALUE"""),"")</f>
        <v/>
      </c>
      <c r="G30" s="24" t="str">
        <f>IFERROR(__xludf.DUMMYFUNCTION("""COMPUTED_VALUE"""),"")</f>
        <v/>
      </c>
      <c r="H30" s="24" t="str">
        <f>IFERROR(__xludf.DUMMYFUNCTION("""COMPUTED_VALUE"""),"")</f>
        <v/>
      </c>
      <c r="I30" s="24" t="str">
        <f>IFERROR(__xludf.DUMMYFUNCTION("""COMPUTED_VALUE"""),"")</f>
        <v/>
      </c>
      <c r="J30" s="24" t="str">
        <f>IFERROR(__xludf.DUMMYFUNCTION("""COMPUTED_VALUE"""),"")</f>
        <v/>
      </c>
      <c r="N30" s="83">
        <v>29.0</v>
      </c>
      <c r="O30" s="83"/>
      <c r="P30" s="83" t="str">
        <f>IFERROR(__xludf.DUMMYFUNCTION("""COMPUTED_VALUE"""),"")</f>
        <v/>
      </c>
      <c r="Q30" s="29" t="str">
        <f>IFERROR(__xludf.DUMMYFUNCTION("""COMPUTED_VALUE"""),"")</f>
        <v/>
      </c>
    </row>
    <row r="31" ht="22.5" customHeight="1">
      <c r="A31" s="22">
        <v>30.0</v>
      </c>
      <c r="B31" s="24"/>
      <c r="C31" s="24" t="str">
        <f>IFERROR(__xludf.DUMMYFUNCTION("""COMPUTED_VALUE"""),"")</f>
        <v/>
      </c>
      <c r="D31" s="24" t="str">
        <f>IFERROR(__xludf.DUMMYFUNCTION("""COMPUTED_VALUE"""),"")</f>
        <v/>
      </c>
      <c r="E31" s="24" t="str">
        <f>IFERROR(__xludf.DUMMYFUNCTION("""COMPUTED_VALUE"""),"")</f>
        <v/>
      </c>
      <c r="F31" s="24" t="str">
        <f>IFERROR(__xludf.DUMMYFUNCTION("""COMPUTED_VALUE"""),"")</f>
        <v/>
      </c>
      <c r="G31" s="24" t="str">
        <f>IFERROR(__xludf.DUMMYFUNCTION("""COMPUTED_VALUE"""),"")</f>
        <v/>
      </c>
      <c r="H31" s="24" t="str">
        <f>IFERROR(__xludf.DUMMYFUNCTION("""COMPUTED_VALUE"""),"")</f>
        <v/>
      </c>
      <c r="I31" s="24" t="str">
        <f>IFERROR(__xludf.DUMMYFUNCTION("""COMPUTED_VALUE"""),"")</f>
        <v/>
      </c>
      <c r="J31" s="24" t="str">
        <f>IFERROR(__xludf.DUMMYFUNCTION("""COMPUTED_VALUE"""),"")</f>
        <v/>
      </c>
      <c r="N31" s="83">
        <v>30.0</v>
      </c>
      <c r="O31" s="83"/>
      <c r="P31" s="83" t="str">
        <f>IFERROR(__xludf.DUMMYFUNCTION("""COMPUTED_VALUE"""),"")</f>
        <v/>
      </c>
      <c r="Q31" s="29" t="str">
        <f>IFERROR(__xludf.DUMMYFUNCTION("""COMPUTED_VALUE"""),"")</f>
        <v/>
      </c>
    </row>
    <row r="32" ht="22.5" customHeight="1">
      <c r="A32" s="22">
        <v>31.0</v>
      </c>
      <c r="B32" s="24"/>
      <c r="C32" s="24" t="str">
        <f>IFERROR(__xludf.DUMMYFUNCTION("""COMPUTED_VALUE"""),"")</f>
        <v/>
      </c>
      <c r="D32" s="24" t="str">
        <f>IFERROR(__xludf.DUMMYFUNCTION("""COMPUTED_VALUE"""),"")</f>
        <v/>
      </c>
      <c r="E32" s="24" t="str">
        <f>IFERROR(__xludf.DUMMYFUNCTION("""COMPUTED_VALUE"""),"")</f>
        <v/>
      </c>
      <c r="F32" s="24" t="str">
        <f>IFERROR(__xludf.DUMMYFUNCTION("""COMPUTED_VALUE"""),"")</f>
        <v/>
      </c>
      <c r="G32" s="24" t="str">
        <f>IFERROR(__xludf.DUMMYFUNCTION("""COMPUTED_VALUE"""),"")</f>
        <v/>
      </c>
      <c r="H32" s="24" t="str">
        <f>IFERROR(__xludf.DUMMYFUNCTION("""COMPUTED_VALUE"""),"")</f>
        <v/>
      </c>
      <c r="I32" s="24" t="str">
        <f>IFERROR(__xludf.DUMMYFUNCTION("""COMPUTED_VALUE"""),"")</f>
        <v/>
      </c>
      <c r="J32" s="24" t="str">
        <f>IFERROR(__xludf.DUMMYFUNCTION("""COMPUTED_VALUE"""),"")</f>
        <v/>
      </c>
      <c r="N32" s="83">
        <v>31.0</v>
      </c>
      <c r="O32" s="83"/>
      <c r="P32" s="83" t="str">
        <f>IFERROR(__xludf.DUMMYFUNCTION("""COMPUTED_VALUE"""),"")</f>
        <v/>
      </c>
      <c r="Q32" s="29" t="str">
        <f>IFERROR(__xludf.DUMMYFUNCTION("""COMPUTED_VALUE"""),"")</f>
        <v/>
      </c>
    </row>
    <row r="33" ht="22.5" customHeight="1">
      <c r="A33" s="22">
        <v>32.0</v>
      </c>
      <c r="B33" s="24"/>
      <c r="C33" s="24" t="str">
        <f>IFERROR(__xludf.DUMMYFUNCTION("""COMPUTED_VALUE"""),"")</f>
        <v/>
      </c>
      <c r="D33" s="24" t="str">
        <f>IFERROR(__xludf.DUMMYFUNCTION("""COMPUTED_VALUE"""),"")</f>
        <v/>
      </c>
      <c r="E33" s="24" t="str">
        <f>IFERROR(__xludf.DUMMYFUNCTION("""COMPUTED_VALUE"""),"")</f>
        <v/>
      </c>
      <c r="F33" s="24" t="str">
        <f>IFERROR(__xludf.DUMMYFUNCTION("""COMPUTED_VALUE"""),"")</f>
        <v/>
      </c>
      <c r="G33" s="24" t="str">
        <f>IFERROR(__xludf.DUMMYFUNCTION("""COMPUTED_VALUE"""),"")</f>
        <v/>
      </c>
      <c r="H33" s="24" t="str">
        <f>IFERROR(__xludf.DUMMYFUNCTION("""COMPUTED_VALUE"""),"")</f>
        <v/>
      </c>
      <c r="I33" s="24" t="str">
        <f>IFERROR(__xludf.DUMMYFUNCTION("""COMPUTED_VALUE"""),"")</f>
        <v/>
      </c>
      <c r="J33" s="24" t="str">
        <f>IFERROR(__xludf.DUMMYFUNCTION("""COMPUTED_VALUE"""),"")</f>
        <v/>
      </c>
      <c r="N33" s="83">
        <v>32.0</v>
      </c>
      <c r="O33" s="83"/>
      <c r="P33" s="83" t="str">
        <f>IFERROR(__xludf.DUMMYFUNCTION("""COMPUTED_VALUE"""),"")</f>
        <v/>
      </c>
      <c r="Q33" s="29" t="str">
        <f>IFERROR(__xludf.DUMMYFUNCTION("""COMPUTED_VALUE"""),"")</f>
        <v/>
      </c>
    </row>
    <row r="34" ht="22.5" customHeight="1">
      <c r="A34" s="22">
        <v>33.0</v>
      </c>
      <c r="B34" s="24"/>
      <c r="C34" s="24" t="str">
        <f>IFERROR(__xludf.DUMMYFUNCTION("""COMPUTED_VALUE"""),"")</f>
        <v/>
      </c>
      <c r="D34" s="24" t="str">
        <f>IFERROR(__xludf.DUMMYFUNCTION("""COMPUTED_VALUE"""),"")</f>
        <v/>
      </c>
      <c r="E34" s="24" t="str">
        <f>IFERROR(__xludf.DUMMYFUNCTION("""COMPUTED_VALUE"""),"")</f>
        <v/>
      </c>
      <c r="F34" s="24" t="str">
        <f>IFERROR(__xludf.DUMMYFUNCTION("""COMPUTED_VALUE"""),"")</f>
        <v/>
      </c>
      <c r="G34" s="24" t="str">
        <f>IFERROR(__xludf.DUMMYFUNCTION("""COMPUTED_VALUE"""),"")</f>
        <v/>
      </c>
      <c r="H34" s="24" t="str">
        <f>IFERROR(__xludf.DUMMYFUNCTION("""COMPUTED_VALUE"""),"")</f>
        <v/>
      </c>
      <c r="I34" s="24" t="str">
        <f>IFERROR(__xludf.DUMMYFUNCTION("""COMPUTED_VALUE"""),"")</f>
        <v/>
      </c>
      <c r="J34" s="24" t="str">
        <f>IFERROR(__xludf.DUMMYFUNCTION("""COMPUTED_VALUE"""),"")</f>
        <v/>
      </c>
      <c r="N34" s="83">
        <v>33.0</v>
      </c>
      <c r="O34" s="83"/>
      <c r="P34" s="83" t="str">
        <f>IFERROR(__xludf.DUMMYFUNCTION("""COMPUTED_VALUE"""),"")</f>
        <v/>
      </c>
      <c r="Q34" s="29" t="str">
        <f>IFERROR(__xludf.DUMMYFUNCTION("""COMPUTED_VALUE"""),"")</f>
        <v/>
      </c>
    </row>
    <row r="35" ht="22.5" customHeight="1">
      <c r="A35" s="22">
        <v>34.0</v>
      </c>
      <c r="B35" s="24"/>
      <c r="C35" s="24" t="str">
        <f>IFERROR(__xludf.DUMMYFUNCTION("""COMPUTED_VALUE"""),"")</f>
        <v/>
      </c>
      <c r="D35" s="24" t="str">
        <f>IFERROR(__xludf.DUMMYFUNCTION("""COMPUTED_VALUE"""),"")</f>
        <v/>
      </c>
      <c r="E35" s="24" t="str">
        <f>IFERROR(__xludf.DUMMYFUNCTION("""COMPUTED_VALUE"""),"")</f>
        <v/>
      </c>
      <c r="F35" s="24" t="str">
        <f>IFERROR(__xludf.DUMMYFUNCTION("""COMPUTED_VALUE"""),"")</f>
        <v/>
      </c>
      <c r="G35" s="24" t="str">
        <f>IFERROR(__xludf.DUMMYFUNCTION("""COMPUTED_VALUE"""),"")</f>
        <v/>
      </c>
      <c r="H35" s="24" t="str">
        <f>IFERROR(__xludf.DUMMYFUNCTION("""COMPUTED_VALUE"""),"")</f>
        <v/>
      </c>
      <c r="I35" s="24" t="str">
        <f>IFERROR(__xludf.DUMMYFUNCTION("""COMPUTED_VALUE"""),"")</f>
        <v/>
      </c>
      <c r="J35" s="24" t="str">
        <f>IFERROR(__xludf.DUMMYFUNCTION("""COMPUTED_VALUE"""),"")</f>
        <v/>
      </c>
      <c r="N35" s="83">
        <v>34.0</v>
      </c>
      <c r="O35" s="83"/>
      <c r="P35" s="83" t="str">
        <f>IFERROR(__xludf.DUMMYFUNCTION("""COMPUTED_VALUE"""),"")</f>
        <v/>
      </c>
      <c r="Q35" s="29" t="str">
        <f>IFERROR(__xludf.DUMMYFUNCTION("""COMPUTED_VALUE"""),"")</f>
        <v/>
      </c>
    </row>
    <row r="36" ht="22.5" customHeight="1">
      <c r="A36" s="22">
        <v>35.0</v>
      </c>
      <c r="B36" s="24"/>
      <c r="C36" s="24" t="str">
        <f>IFERROR(__xludf.DUMMYFUNCTION("""COMPUTED_VALUE"""),"")</f>
        <v/>
      </c>
      <c r="D36" s="24" t="str">
        <f>IFERROR(__xludf.DUMMYFUNCTION("""COMPUTED_VALUE"""),"")</f>
        <v/>
      </c>
      <c r="E36" s="24" t="str">
        <f>IFERROR(__xludf.DUMMYFUNCTION("""COMPUTED_VALUE"""),"")</f>
        <v/>
      </c>
      <c r="F36" s="24" t="str">
        <f>IFERROR(__xludf.DUMMYFUNCTION("""COMPUTED_VALUE"""),"")</f>
        <v/>
      </c>
      <c r="G36" s="24" t="str">
        <f>IFERROR(__xludf.DUMMYFUNCTION("""COMPUTED_VALUE"""),"")</f>
        <v/>
      </c>
      <c r="H36" s="24" t="str">
        <f>IFERROR(__xludf.DUMMYFUNCTION("""COMPUTED_VALUE"""),"")</f>
        <v/>
      </c>
      <c r="I36" s="24" t="str">
        <f>IFERROR(__xludf.DUMMYFUNCTION("""COMPUTED_VALUE"""),"")</f>
        <v/>
      </c>
      <c r="J36" s="24" t="str">
        <f>IFERROR(__xludf.DUMMYFUNCTION("""COMPUTED_VALUE"""),"")</f>
        <v/>
      </c>
      <c r="N36" s="83">
        <v>35.0</v>
      </c>
      <c r="O36" s="83"/>
      <c r="P36" s="83" t="str">
        <f>IFERROR(__xludf.DUMMYFUNCTION("""COMPUTED_VALUE"""),"")</f>
        <v/>
      </c>
      <c r="Q36" s="29" t="str">
        <f>IFERROR(__xludf.DUMMYFUNCTION("""COMPUTED_VALUE"""),"")</f>
        <v/>
      </c>
    </row>
    <row r="37" ht="22.5" customHeight="1">
      <c r="A37" s="22">
        <v>36.0</v>
      </c>
      <c r="B37" s="24"/>
      <c r="C37" s="24" t="str">
        <f>IFERROR(__xludf.DUMMYFUNCTION("""COMPUTED_VALUE"""),"")</f>
        <v/>
      </c>
      <c r="D37" s="24" t="str">
        <f>IFERROR(__xludf.DUMMYFUNCTION("""COMPUTED_VALUE"""),"")</f>
        <v/>
      </c>
      <c r="E37" s="24" t="str">
        <f>IFERROR(__xludf.DUMMYFUNCTION("""COMPUTED_VALUE"""),"")</f>
        <v/>
      </c>
      <c r="F37" s="24" t="str">
        <f>IFERROR(__xludf.DUMMYFUNCTION("""COMPUTED_VALUE"""),"")</f>
        <v/>
      </c>
      <c r="G37" s="24" t="str">
        <f>IFERROR(__xludf.DUMMYFUNCTION("""COMPUTED_VALUE"""),"")</f>
        <v/>
      </c>
      <c r="H37" s="24" t="str">
        <f>IFERROR(__xludf.DUMMYFUNCTION("""COMPUTED_VALUE"""),"")</f>
        <v/>
      </c>
      <c r="I37" s="24" t="str">
        <f>IFERROR(__xludf.DUMMYFUNCTION("""COMPUTED_VALUE"""),"")</f>
        <v/>
      </c>
      <c r="J37" s="24" t="str">
        <f>IFERROR(__xludf.DUMMYFUNCTION("""COMPUTED_VALUE"""),"")</f>
        <v/>
      </c>
      <c r="N37" s="83">
        <v>36.0</v>
      </c>
      <c r="O37" s="83"/>
      <c r="P37" s="83" t="str">
        <f>IFERROR(__xludf.DUMMYFUNCTION("""COMPUTED_VALUE"""),"")</f>
        <v/>
      </c>
      <c r="Q37" s="29" t="str">
        <f>IFERROR(__xludf.DUMMYFUNCTION("""COMPUTED_VALUE"""),"")</f>
        <v/>
      </c>
    </row>
    <row r="38" ht="22.5" customHeight="1">
      <c r="A38" s="22">
        <v>37.0</v>
      </c>
      <c r="B38" s="24"/>
      <c r="C38" s="24" t="str">
        <f>IFERROR(__xludf.DUMMYFUNCTION("""COMPUTED_VALUE"""),"")</f>
        <v/>
      </c>
      <c r="D38" s="24" t="str">
        <f>IFERROR(__xludf.DUMMYFUNCTION("""COMPUTED_VALUE"""),"")</f>
        <v/>
      </c>
      <c r="E38" s="24" t="str">
        <f>IFERROR(__xludf.DUMMYFUNCTION("""COMPUTED_VALUE"""),"")</f>
        <v/>
      </c>
      <c r="F38" s="24" t="str">
        <f>IFERROR(__xludf.DUMMYFUNCTION("""COMPUTED_VALUE"""),"")</f>
        <v/>
      </c>
      <c r="G38" s="24" t="str">
        <f>IFERROR(__xludf.DUMMYFUNCTION("""COMPUTED_VALUE"""),"")</f>
        <v/>
      </c>
      <c r="H38" s="24" t="str">
        <f>IFERROR(__xludf.DUMMYFUNCTION("""COMPUTED_VALUE"""),"")</f>
        <v/>
      </c>
      <c r="I38" s="24" t="str">
        <f>IFERROR(__xludf.DUMMYFUNCTION("""COMPUTED_VALUE"""),"")</f>
        <v/>
      </c>
      <c r="J38" s="24" t="str">
        <f>IFERROR(__xludf.DUMMYFUNCTION("""COMPUTED_VALUE"""),"")</f>
        <v/>
      </c>
      <c r="N38" s="83">
        <v>37.0</v>
      </c>
      <c r="O38" s="83"/>
      <c r="P38" s="83" t="str">
        <f>IFERROR(__xludf.DUMMYFUNCTION("""COMPUTED_VALUE"""),"")</f>
        <v/>
      </c>
      <c r="Q38" s="29" t="str">
        <f>IFERROR(__xludf.DUMMYFUNCTION("""COMPUTED_VALUE"""),"")</f>
        <v/>
      </c>
    </row>
    <row r="39" ht="22.5" customHeight="1">
      <c r="A39" s="22">
        <v>38.0</v>
      </c>
      <c r="B39" s="24"/>
      <c r="C39" s="24" t="str">
        <f>IFERROR(__xludf.DUMMYFUNCTION("""COMPUTED_VALUE"""),"")</f>
        <v/>
      </c>
      <c r="D39" s="24" t="str">
        <f>IFERROR(__xludf.DUMMYFUNCTION("""COMPUTED_VALUE"""),"")</f>
        <v/>
      </c>
      <c r="E39" s="24" t="str">
        <f>IFERROR(__xludf.DUMMYFUNCTION("""COMPUTED_VALUE"""),"")</f>
        <v/>
      </c>
      <c r="F39" s="24" t="str">
        <f>IFERROR(__xludf.DUMMYFUNCTION("""COMPUTED_VALUE"""),"")</f>
        <v/>
      </c>
      <c r="G39" s="24" t="str">
        <f>IFERROR(__xludf.DUMMYFUNCTION("""COMPUTED_VALUE"""),"")</f>
        <v/>
      </c>
      <c r="H39" s="24" t="str">
        <f>IFERROR(__xludf.DUMMYFUNCTION("""COMPUTED_VALUE"""),"")</f>
        <v/>
      </c>
      <c r="I39" s="24" t="str">
        <f>IFERROR(__xludf.DUMMYFUNCTION("""COMPUTED_VALUE"""),"")</f>
        <v/>
      </c>
      <c r="J39" s="24" t="str">
        <f>IFERROR(__xludf.DUMMYFUNCTION("""COMPUTED_VALUE"""),"")</f>
        <v/>
      </c>
      <c r="N39" s="83">
        <v>38.0</v>
      </c>
      <c r="O39" s="83"/>
      <c r="P39" s="83" t="str">
        <f>IFERROR(__xludf.DUMMYFUNCTION("""COMPUTED_VALUE"""),"")</f>
        <v/>
      </c>
      <c r="Q39" s="29" t="str">
        <f>IFERROR(__xludf.DUMMYFUNCTION("""COMPUTED_VALUE"""),"")</f>
        <v/>
      </c>
    </row>
    <row r="40" ht="22.5" customHeight="1">
      <c r="B40" s="36"/>
      <c r="C40" s="36" t="str">
        <f>IFERROR(__xludf.DUMMYFUNCTION("""COMPUTED_VALUE"""),"")</f>
        <v/>
      </c>
      <c r="D40" s="36" t="str">
        <f>IFERROR(__xludf.DUMMYFUNCTION("""COMPUTED_VALUE"""),"")</f>
        <v/>
      </c>
      <c r="E40" s="36" t="str">
        <f>IFERROR(__xludf.DUMMYFUNCTION("""COMPUTED_VALUE"""),"")</f>
        <v/>
      </c>
      <c r="F40" s="36" t="str">
        <f>IFERROR(__xludf.DUMMYFUNCTION("""COMPUTED_VALUE"""),"")</f>
        <v/>
      </c>
      <c r="G40" s="36" t="str">
        <f>IFERROR(__xludf.DUMMYFUNCTION("""COMPUTED_VALUE"""),"")</f>
        <v/>
      </c>
      <c r="H40" s="36" t="str">
        <f>IFERROR(__xludf.DUMMYFUNCTION("""COMPUTED_VALUE"""),"")</f>
        <v/>
      </c>
      <c r="I40" s="36" t="str">
        <f>IFERROR(__xludf.DUMMYFUNCTION("""COMPUTED_VALUE"""),"")</f>
        <v/>
      </c>
      <c r="J40" s="36" t="str">
        <f>IFERROR(__xludf.DUMMYFUNCTION("""COMPUTED_VALUE"""),"")</f>
        <v/>
      </c>
      <c r="N40" s="83">
        <v>39.0</v>
      </c>
      <c r="O40" s="83"/>
      <c r="P40" s="83" t="str">
        <f>IFERROR(__xludf.DUMMYFUNCTION("""COMPUTED_VALUE"""),"")</f>
        <v/>
      </c>
      <c r="Q40" s="29" t="str">
        <f>IFERROR(__xludf.DUMMYFUNCTION("""COMPUTED_VALUE"""),"")</f>
        <v/>
      </c>
    </row>
    <row r="41" ht="22.5" customHeight="1">
      <c r="B41" s="36"/>
      <c r="C41" s="36" t="str">
        <f>IFERROR(__xludf.DUMMYFUNCTION("""COMPUTED_VALUE"""),"")</f>
        <v/>
      </c>
      <c r="D41" s="36" t="str">
        <f>IFERROR(__xludf.DUMMYFUNCTION("""COMPUTED_VALUE"""),"")</f>
        <v/>
      </c>
      <c r="E41" s="36" t="str">
        <f>IFERROR(__xludf.DUMMYFUNCTION("""COMPUTED_VALUE"""),"")</f>
        <v/>
      </c>
      <c r="F41" s="36" t="str">
        <f>IFERROR(__xludf.DUMMYFUNCTION("""COMPUTED_VALUE"""),"")</f>
        <v/>
      </c>
      <c r="G41" s="36" t="str">
        <f>IFERROR(__xludf.DUMMYFUNCTION("""COMPUTED_VALUE"""),"")</f>
        <v/>
      </c>
      <c r="H41" s="36" t="str">
        <f>IFERROR(__xludf.DUMMYFUNCTION("""COMPUTED_VALUE"""),"")</f>
        <v/>
      </c>
      <c r="I41" s="36" t="str">
        <f>IFERROR(__xludf.DUMMYFUNCTION("""COMPUTED_VALUE"""),"")</f>
        <v/>
      </c>
      <c r="J41" s="36" t="str">
        <f>IFERROR(__xludf.DUMMYFUNCTION("""COMPUTED_VALUE"""),"")</f>
        <v/>
      </c>
      <c r="N41" s="83">
        <v>40.0</v>
      </c>
      <c r="O41" s="83"/>
      <c r="P41" s="83" t="str">
        <f>IFERROR(__xludf.DUMMYFUNCTION("""COMPUTED_VALUE"""),"")</f>
        <v/>
      </c>
      <c r="Q41" s="29" t="str">
        <f>IFERROR(__xludf.DUMMYFUNCTION("""COMPUTED_VALUE"""),"")</f>
        <v/>
      </c>
    </row>
    <row r="42">
      <c r="B42" s="36"/>
      <c r="C42" s="36" t="str">
        <f>IFERROR(__xludf.DUMMYFUNCTION("""COMPUTED_VALUE"""),"")</f>
        <v/>
      </c>
      <c r="D42" s="36" t="str">
        <f>IFERROR(__xludf.DUMMYFUNCTION("""COMPUTED_VALUE"""),"")</f>
        <v/>
      </c>
      <c r="E42" s="36" t="str">
        <f>IFERROR(__xludf.DUMMYFUNCTION("""COMPUTED_VALUE"""),"")</f>
        <v/>
      </c>
      <c r="F42" s="36" t="str">
        <f>IFERROR(__xludf.DUMMYFUNCTION("""COMPUTED_VALUE"""),"")</f>
        <v/>
      </c>
      <c r="G42" s="36" t="str">
        <f>IFERROR(__xludf.DUMMYFUNCTION("""COMPUTED_VALUE"""),"")</f>
        <v/>
      </c>
      <c r="H42" s="36" t="str">
        <f>IFERROR(__xludf.DUMMYFUNCTION("""COMPUTED_VALUE"""),"")</f>
        <v/>
      </c>
      <c r="I42" s="36" t="str">
        <f>IFERROR(__xludf.DUMMYFUNCTION("""COMPUTED_VALUE"""),"")</f>
        <v/>
      </c>
      <c r="J42" s="36" t="str">
        <f>IFERROR(__xludf.DUMMYFUNCTION("""COMPUTED_VALUE"""),"")</f>
        <v/>
      </c>
      <c r="N42" s="84">
        <v>41.0</v>
      </c>
      <c r="O42" s="84"/>
      <c r="P42" s="84" t="str">
        <f>IFERROR(__xludf.DUMMYFUNCTION("""COMPUTED_VALUE"""),"")</f>
        <v/>
      </c>
      <c r="Q42" s="36" t="str">
        <f>IFERROR(__xludf.DUMMYFUNCTION("""COMPUTED_VALUE"""),"")</f>
        <v/>
      </c>
    </row>
    <row r="43">
      <c r="B43" s="36"/>
      <c r="C43" s="36" t="str">
        <f>IFERROR(__xludf.DUMMYFUNCTION("""COMPUTED_VALUE"""),"")</f>
        <v/>
      </c>
      <c r="D43" s="36" t="str">
        <f>IFERROR(__xludf.DUMMYFUNCTION("""COMPUTED_VALUE"""),"")</f>
        <v/>
      </c>
      <c r="E43" s="36" t="str">
        <f>IFERROR(__xludf.DUMMYFUNCTION("""COMPUTED_VALUE"""),"")</f>
        <v/>
      </c>
      <c r="F43" s="36" t="str">
        <f>IFERROR(__xludf.DUMMYFUNCTION("""COMPUTED_VALUE"""),"")</f>
        <v/>
      </c>
      <c r="G43" s="36" t="str">
        <f>IFERROR(__xludf.DUMMYFUNCTION("""COMPUTED_VALUE"""),"")</f>
        <v/>
      </c>
      <c r="H43" s="36" t="str">
        <f>IFERROR(__xludf.DUMMYFUNCTION("""COMPUTED_VALUE"""),"")</f>
        <v/>
      </c>
      <c r="I43" s="36" t="str">
        <f>IFERROR(__xludf.DUMMYFUNCTION("""COMPUTED_VALUE"""),"")</f>
        <v/>
      </c>
      <c r="J43" s="36" t="str">
        <f>IFERROR(__xludf.DUMMYFUNCTION("""COMPUTED_VALUE"""),"")</f>
        <v/>
      </c>
      <c r="N43" s="84">
        <v>42.0</v>
      </c>
      <c r="O43" s="84"/>
      <c r="P43" s="84" t="str">
        <f>IFERROR(__xludf.DUMMYFUNCTION("""COMPUTED_VALUE"""),"")</f>
        <v/>
      </c>
      <c r="Q43" s="36" t="str">
        <f>IFERROR(__xludf.DUMMYFUNCTION("""COMPUTED_VALUE"""),"")</f>
        <v/>
      </c>
    </row>
    <row r="44">
      <c r="B44" s="36"/>
      <c r="C44" s="36" t="str">
        <f>IFERROR(__xludf.DUMMYFUNCTION("""COMPUTED_VALUE"""),"")</f>
        <v/>
      </c>
      <c r="D44" s="36" t="str">
        <f>IFERROR(__xludf.DUMMYFUNCTION("""COMPUTED_VALUE"""),"")</f>
        <v/>
      </c>
      <c r="E44" s="36" t="str">
        <f>IFERROR(__xludf.DUMMYFUNCTION("""COMPUTED_VALUE"""),"")</f>
        <v/>
      </c>
      <c r="F44" s="36" t="str">
        <f>IFERROR(__xludf.DUMMYFUNCTION("""COMPUTED_VALUE"""),"")</f>
        <v/>
      </c>
      <c r="G44" s="36" t="str">
        <f>IFERROR(__xludf.DUMMYFUNCTION("""COMPUTED_VALUE"""),"")</f>
        <v/>
      </c>
      <c r="H44" s="36" t="str">
        <f>IFERROR(__xludf.DUMMYFUNCTION("""COMPUTED_VALUE"""),"")</f>
        <v/>
      </c>
      <c r="I44" s="36" t="str">
        <f>IFERROR(__xludf.DUMMYFUNCTION("""COMPUTED_VALUE"""),"")</f>
        <v/>
      </c>
      <c r="J44" s="36" t="str">
        <f>IFERROR(__xludf.DUMMYFUNCTION("""COMPUTED_VALUE"""),"")</f>
        <v/>
      </c>
      <c r="N44" s="84">
        <v>43.0</v>
      </c>
      <c r="O44" s="84"/>
      <c r="P44" s="84" t="str">
        <f>IFERROR(__xludf.DUMMYFUNCTION("""COMPUTED_VALUE"""),"")</f>
        <v/>
      </c>
      <c r="Q44" s="36" t="str">
        <f>IFERROR(__xludf.DUMMYFUNCTION("""COMPUTED_VALUE"""),"")</f>
        <v/>
      </c>
    </row>
    <row r="45">
      <c r="B45" s="36"/>
      <c r="C45" s="36" t="str">
        <f>IFERROR(__xludf.DUMMYFUNCTION("""COMPUTED_VALUE"""),"")</f>
        <v/>
      </c>
      <c r="D45" s="36" t="str">
        <f>IFERROR(__xludf.DUMMYFUNCTION("""COMPUTED_VALUE"""),"")</f>
        <v/>
      </c>
      <c r="E45" s="36" t="str">
        <f>IFERROR(__xludf.DUMMYFUNCTION("""COMPUTED_VALUE"""),"")</f>
        <v/>
      </c>
      <c r="F45" s="36" t="str">
        <f>IFERROR(__xludf.DUMMYFUNCTION("""COMPUTED_VALUE"""),"")</f>
        <v/>
      </c>
      <c r="G45" s="36" t="str">
        <f>IFERROR(__xludf.DUMMYFUNCTION("""COMPUTED_VALUE"""),"")</f>
        <v/>
      </c>
      <c r="H45" s="36" t="str">
        <f>IFERROR(__xludf.DUMMYFUNCTION("""COMPUTED_VALUE"""),"")</f>
        <v/>
      </c>
      <c r="I45" s="36" t="str">
        <f>IFERROR(__xludf.DUMMYFUNCTION("""COMPUTED_VALUE"""),"")</f>
        <v/>
      </c>
      <c r="J45" s="36" t="str">
        <f>IFERROR(__xludf.DUMMYFUNCTION("""COMPUTED_VALUE"""),"")</f>
        <v/>
      </c>
      <c r="N45" s="84">
        <v>44.0</v>
      </c>
      <c r="O45" s="84"/>
      <c r="P45" s="84" t="str">
        <f>IFERROR(__xludf.DUMMYFUNCTION("""COMPUTED_VALUE"""),"")</f>
        <v/>
      </c>
      <c r="Q45" s="36" t="str">
        <f>IFERROR(__xludf.DUMMYFUNCTION("""COMPUTED_VALUE"""),"")</f>
        <v/>
      </c>
    </row>
    <row r="46">
      <c r="B46" s="36"/>
      <c r="C46" s="36" t="str">
        <f>IFERROR(__xludf.DUMMYFUNCTION("""COMPUTED_VALUE"""),"")</f>
        <v/>
      </c>
      <c r="D46" s="36" t="str">
        <f>IFERROR(__xludf.DUMMYFUNCTION("""COMPUTED_VALUE"""),"")</f>
        <v/>
      </c>
      <c r="E46" s="36" t="str">
        <f>IFERROR(__xludf.DUMMYFUNCTION("""COMPUTED_VALUE"""),"")</f>
        <v/>
      </c>
      <c r="F46" s="36" t="str">
        <f>IFERROR(__xludf.DUMMYFUNCTION("""COMPUTED_VALUE"""),"")</f>
        <v/>
      </c>
      <c r="G46" s="36" t="str">
        <f>IFERROR(__xludf.DUMMYFUNCTION("""COMPUTED_VALUE"""),"")</f>
        <v/>
      </c>
      <c r="H46" s="36" t="str">
        <f>IFERROR(__xludf.DUMMYFUNCTION("""COMPUTED_VALUE"""),"")</f>
        <v/>
      </c>
      <c r="I46" s="36" t="str">
        <f>IFERROR(__xludf.DUMMYFUNCTION("""COMPUTED_VALUE"""),"")</f>
        <v/>
      </c>
      <c r="J46" s="36" t="str">
        <f>IFERROR(__xludf.DUMMYFUNCTION("""COMPUTED_VALUE"""),"")</f>
        <v/>
      </c>
      <c r="N46" s="84">
        <v>45.0</v>
      </c>
      <c r="O46" s="84"/>
      <c r="P46" s="84" t="str">
        <f>IFERROR(__xludf.DUMMYFUNCTION("""COMPUTED_VALUE"""),"")</f>
        <v/>
      </c>
      <c r="Q46" s="36" t="str">
        <f>IFERROR(__xludf.DUMMYFUNCTION("""COMPUTED_VALUE"""),"")</f>
        <v/>
      </c>
    </row>
    <row r="47">
      <c r="B47" s="36"/>
      <c r="C47" s="36" t="str">
        <f>IFERROR(__xludf.DUMMYFUNCTION("""COMPUTED_VALUE"""),"")</f>
        <v/>
      </c>
      <c r="D47" s="36" t="str">
        <f>IFERROR(__xludf.DUMMYFUNCTION("""COMPUTED_VALUE"""),"")</f>
        <v/>
      </c>
      <c r="E47" s="36" t="str">
        <f>IFERROR(__xludf.DUMMYFUNCTION("""COMPUTED_VALUE"""),"")</f>
        <v/>
      </c>
      <c r="F47" s="36" t="str">
        <f>IFERROR(__xludf.DUMMYFUNCTION("""COMPUTED_VALUE"""),"")</f>
        <v/>
      </c>
      <c r="G47" s="36" t="str">
        <f>IFERROR(__xludf.DUMMYFUNCTION("""COMPUTED_VALUE"""),"")</f>
        <v/>
      </c>
      <c r="H47" s="36" t="str">
        <f>IFERROR(__xludf.DUMMYFUNCTION("""COMPUTED_VALUE"""),"")</f>
        <v/>
      </c>
      <c r="I47" s="36" t="str">
        <f>IFERROR(__xludf.DUMMYFUNCTION("""COMPUTED_VALUE"""),"")</f>
        <v/>
      </c>
      <c r="J47" s="36" t="str">
        <f>IFERROR(__xludf.DUMMYFUNCTION("""COMPUTED_VALUE"""),"")</f>
        <v/>
      </c>
      <c r="N47" s="84">
        <v>46.0</v>
      </c>
      <c r="O47" s="84"/>
      <c r="P47" s="84" t="str">
        <f>IFERROR(__xludf.DUMMYFUNCTION("""COMPUTED_VALUE"""),"")</f>
        <v/>
      </c>
      <c r="Q47" s="36" t="str">
        <f>IFERROR(__xludf.DUMMYFUNCTION("""COMPUTED_VALUE"""),"")</f>
        <v/>
      </c>
    </row>
    <row r="48">
      <c r="B48" s="36"/>
      <c r="C48" s="36" t="str">
        <f>IFERROR(__xludf.DUMMYFUNCTION("""COMPUTED_VALUE"""),"")</f>
        <v/>
      </c>
      <c r="D48" s="36" t="str">
        <f>IFERROR(__xludf.DUMMYFUNCTION("""COMPUTED_VALUE"""),"")</f>
        <v/>
      </c>
      <c r="E48" s="36" t="str">
        <f>IFERROR(__xludf.DUMMYFUNCTION("""COMPUTED_VALUE"""),"")</f>
        <v/>
      </c>
      <c r="F48" s="36" t="str">
        <f>IFERROR(__xludf.DUMMYFUNCTION("""COMPUTED_VALUE"""),"")</f>
        <v/>
      </c>
      <c r="G48" s="36" t="str">
        <f>IFERROR(__xludf.DUMMYFUNCTION("""COMPUTED_VALUE"""),"")</f>
        <v/>
      </c>
      <c r="H48" s="36" t="str">
        <f>IFERROR(__xludf.DUMMYFUNCTION("""COMPUTED_VALUE"""),"")</f>
        <v/>
      </c>
      <c r="I48" s="36" t="str">
        <f>IFERROR(__xludf.DUMMYFUNCTION("""COMPUTED_VALUE"""),"")</f>
        <v/>
      </c>
      <c r="J48" s="36" t="str">
        <f>IFERROR(__xludf.DUMMYFUNCTION("""COMPUTED_VALUE"""),"")</f>
        <v/>
      </c>
      <c r="N48" s="84">
        <v>47.0</v>
      </c>
      <c r="O48" s="84"/>
      <c r="P48" s="84" t="str">
        <f>IFERROR(__xludf.DUMMYFUNCTION("""COMPUTED_VALUE"""),"")</f>
        <v/>
      </c>
      <c r="Q48" s="36" t="str">
        <f>IFERROR(__xludf.DUMMYFUNCTION("""COMPUTED_VALUE"""),"")</f>
        <v/>
      </c>
    </row>
    <row r="49">
      <c r="B49" s="36"/>
      <c r="C49" s="36" t="str">
        <f>IFERROR(__xludf.DUMMYFUNCTION("""COMPUTED_VALUE"""),"")</f>
        <v/>
      </c>
      <c r="D49" s="36" t="str">
        <f>IFERROR(__xludf.DUMMYFUNCTION("""COMPUTED_VALUE"""),"")</f>
        <v/>
      </c>
      <c r="E49" s="36" t="str">
        <f>IFERROR(__xludf.DUMMYFUNCTION("""COMPUTED_VALUE"""),"")</f>
        <v/>
      </c>
      <c r="F49" s="36" t="str">
        <f>IFERROR(__xludf.DUMMYFUNCTION("""COMPUTED_VALUE"""),"")</f>
        <v/>
      </c>
      <c r="G49" s="36" t="str">
        <f>IFERROR(__xludf.DUMMYFUNCTION("""COMPUTED_VALUE"""),"")</f>
        <v/>
      </c>
      <c r="H49" s="36" t="str">
        <f>IFERROR(__xludf.DUMMYFUNCTION("""COMPUTED_VALUE"""),"")</f>
        <v/>
      </c>
      <c r="I49" s="36" t="str">
        <f>IFERROR(__xludf.DUMMYFUNCTION("""COMPUTED_VALUE"""),"")</f>
        <v/>
      </c>
      <c r="J49" s="36" t="str">
        <f>IFERROR(__xludf.DUMMYFUNCTION("""COMPUTED_VALUE"""),"")</f>
        <v/>
      </c>
      <c r="N49" s="84">
        <v>48.0</v>
      </c>
      <c r="O49" s="84"/>
      <c r="P49" s="84" t="str">
        <f>IFERROR(__xludf.DUMMYFUNCTION("""COMPUTED_VALUE"""),"")</f>
        <v/>
      </c>
      <c r="Q49" s="36" t="str">
        <f>IFERROR(__xludf.DUMMYFUNCTION("""COMPUTED_VALUE"""),"")</f>
        <v/>
      </c>
    </row>
    <row r="50">
      <c r="B50" s="36"/>
      <c r="C50" s="36" t="str">
        <f>IFERROR(__xludf.DUMMYFUNCTION("""COMPUTED_VALUE"""),"")</f>
        <v/>
      </c>
      <c r="D50" s="36" t="str">
        <f>IFERROR(__xludf.DUMMYFUNCTION("""COMPUTED_VALUE"""),"")</f>
        <v/>
      </c>
      <c r="E50" s="36" t="str">
        <f>IFERROR(__xludf.DUMMYFUNCTION("""COMPUTED_VALUE"""),"")</f>
        <v/>
      </c>
      <c r="F50" s="36" t="str">
        <f>IFERROR(__xludf.DUMMYFUNCTION("""COMPUTED_VALUE"""),"")</f>
        <v/>
      </c>
      <c r="G50" s="36" t="str">
        <f>IFERROR(__xludf.DUMMYFUNCTION("""COMPUTED_VALUE"""),"")</f>
        <v/>
      </c>
      <c r="H50" s="36" t="str">
        <f>IFERROR(__xludf.DUMMYFUNCTION("""COMPUTED_VALUE"""),"")</f>
        <v/>
      </c>
      <c r="I50" s="36" t="str">
        <f>IFERROR(__xludf.DUMMYFUNCTION("""COMPUTED_VALUE"""),"")</f>
        <v/>
      </c>
      <c r="J50" s="36" t="str">
        <f>IFERROR(__xludf.DUMMYFUNCTION("""COMPUTED_VALUE"""),"")</f>
        <v/>
      </c>
      <c r="N50" s="84">
        <v>49.0</v>
      </c>
      <c r="O50" s="84"/>
      <c r="P50" s="84" t="str">
        <f>IFERROR(__xludf.DUMMYFUNCTION("""COMPUTED_VALUE"""),"")</f>
        <v/>
      </c>
      <c r="Q50" s="36" t="str">
        <f>IFERROR(__xludf.DUMMYFUNCTION("""COMPUTED_VALUE"""),"")</f>
        <v/>
      </c>
    </row>
    <row r="51">
      <c r="B51" s="36"/>
      <c r="C51" s="36" t="str">
        <f>IFERROR(__xludf.DUMMYFUNCTION("""COMPUTED_VALUE"""),"")</f>
        <v/>
      </c>
      <c r="D51" s="36" t="str">
        <f>IFERROR(__xludf.DUMMYFUNCTION("""COMPUTED_VALUE"""),"")</f>
        <v/>
      </c>
      <c r="E51" s="36" t="str">
        <f>IFERROR(__xludf.DUMMYFUNCTION("""COMPUTED_VALUE"""),"")</f>
        <v/>
      </c>
      <c r="F51" s="36" t="str">
        <f>IFERROR(__xludf.DUMMYFUNCTION("""COMPUTED_VALUE"""),"")</f>
        <v/>
      </c>
      <c r="G51" s="36" t="str">
        <f>IFERROR(__xludf.DUMMYFUNCTION("""COMPUTED_VALUE"""),"")</f>
        <v/>
      </c>
      <c r="H51" s="36" t="str">
        <f>IFERROR(__xludf.DUMMYFUNCTION("""COMPUTED_VALUE"""),"")</f>
        <v/>
      </c>
      <c r="I51" s="36" t="str">
        <f>IFERROR(__xludf.DUMMYFUNCTION("""COMPUTED_VALUE"""),"")</f>
        <v/>
      </c>
      <c r="J51" s="36" t="str">
        <f>IFERROR(__xludf.DUMMYFUNCTION("""COMPUTED_VALUE"""),"")</f>
        <v/>
      </c>
      <c r="N51" s="84">
        <v>50.0</v>
      </c>
      <c r="O51" s="84"/>
      <c r="P51" s="84" t="str">
        <f>IFERROR(__xludf.DUMMYFUNCTION("""COMPUTED_VALUE"""),"")</f>
        <v/>
      </c>
      <c r="Q51" s="36" t="str">
        <f>IFERROR(__xludf.DUMMYFUNCTION("""COMPUTED_VALUE"""),"")</f>
        <v/>
      </c>
    </row>
    <row r="52">
      <c r="B52" s="36"/>
      <c r="C52" s="36" t="str">
        <f>IFERROR(__xludf.DUMMYFUNCTION("""COMPUTED_VALUE"""),"")</f>
        <v/>
      </c>
      <c r="D52" s="36" t="str">
        <f>IFERROR(__xludf.DUMMYFUNCTION("""COMPUTED_VALUE"""),"")</f>
        <v/>
      </c>
      <c r="E52" s="36" t="str">
        <f>IFERROR(__xludf.DUMMYFUNCTION("""COMPUTED_VALUE"""),"")</f>
        <v/>
      </c>
      <c r="F52" s="36" t="str">
        <f>IFERROR(__xludf.DUMMYFUNCTION("""COMPUTED_VALUE"""),"")</f>
        <v/>
      </c>
      <c r="G52" s="36" t="str">
        <f>IFERROR(__xludf.DUMMYFUNCTION("""COMPUTED_VALUE"""),"")</f>
        <v/>
      </c>
      <c r="H52" s="36" t="str">
        <f>IFERROR(__xludf.DUMMYFUNCTION("""COMPUTED_VALUE"""),"")</f>
        <v/>
      </c>
      <c r="I52" s="36" t="str">
        <f>IFERROR(__xludf.DUMMYFUNCTION("""COMPUTED_VALUE"""),"")</f>
        <v/>
      </c>
      <c r="J52" s="36" t="str">
        <f>IFERROR(__xludf.DUMMYFUNCTION("""COMPUTED_VALUE"""),"")</f>
        <v/>
      </c>
      <c r="N52" s="84">
        <v>51.0</v>
      </c>
      <c r="O52" s="84"/>
      <c r="P52" s="84" t="str">
        <f>IFERROR(__xludf.DUMMYFUNCTION("""COMPUTED_VALUE"""),"")</f>
        <v/>
      </c>
      <c r="Q52" s="36" t="str">
        <f>IFERROR(__xludf.DUMMYFUNCTION("""COMPUTED_VALUE"""),"")</f>
        <v/>
      </c>
    </row>
    <row r="53">
      <c r="B53" s="36"/>
      <c r="C53" s="36" t="str">
        <f>IFERROR(__xludf.DUMMYFUNCTION("""COMPUTED_VALUE"""),"")</f>
        <v/>
      </c>
      <c r="D53" s="36" t="str">
        <f>IFERROR(__xludf.DUMMYFUNCTION("""COMPUTED_VALUE"""),"")</f>
        <v/>
      </c>
      <c r="E53" s="36" t="str">
        <f>IFERROR(__xludf.DUMMYFUNCTION("""COMPUTED_VALUE"""),"")</f>
        <v/>
      </c>
      <c r="F53" s="36" t="str">
        <f>IFERROR(__xludf.DUMMYFUNCTION("""COMPUTED_VALUE"""),"")</f>
        <v/>
      </c>
      <c r="G53" s="36" t="str">
        <f>IFERROR(__xludf.DUMMYFUNCTION("""COMPUTED_VALUE"""),"")</f>
        <v/>
      </c>
      <c r="H53" s="36" t="str">
        <f>IFERROR(__xludf.DUMMYFUNCTION("""COMPUTED_VALUE"""),"")</f>
        <v/>
      </c>
      <c r="I53" s="36" t="str">
        <f>IFERROR(__xludf.DUMMYFUNCTION("""COMPUTED_VALUE"""),"")</f>
        <v/>
      </c>
      <c r="J53" s="36" t="str">
        <f>IFERROR(__xludf.DUMMYFUNCTION("""COMPUTED_VALUE"""),"")</f>
        <v/>
      </c>
      <c r="N53" s="84">
        <v>52.0</v>
      </c>
      <c r="O53" s="84"/>
      <c r="P53" s="84" t="str">
        <f>IFERROR(__xludf.DUMMYFUNCTION("""COMPUTED_VALUE"""),"")</f>
        <v/>
      </c>
      <c r="Q53" s="36" t="str">
        <f>IFERROR(__xludf.DUMMYFUNCTION("""COMPUTED_VALUE"""),"")</f>
        <v/>
      </c>
    </row>
    <row r="54">
      <c r="B54" s="36"/>
      <c r="C54" s="36" t="str">
        <f>IFERROR(__xludf.DUMMYFUNCTION("""COMPUTED_VALUE"""),"")</f>
        <v/>
      </c>
      <c r="D54" s="36" t="str">
        <f>IFERROR(__xludf.DUMMYFUNCTION("""COMPUTED_VALUE"""),"")</f>
        <v/>
      </c>
      <c r="E54" s="36" t="str">
        <f>IFERROR(__xludf.DUMMYFUNCTION("""COMPUTED_VALUE"""),"")</f>
        <v/>
      </c>
      <c r="F54" s="36" t="str">
        <f>IFERROR(__xludf.DUMMYFUNCTION("""COMPUTED_VALUE"""),"")</f>
        <v/>
      </c>
      <c r="G54" s="36" t="str">
        <f>IFERROR(__xludf.DUMMYFUNCTION("""COMPUTED_VALUE"""),"")</f>
        <v/>
      </c>
      <c r="H54" s="36" t="str">
        <f>IFERROR(__xludf.DUMMYFUNCTION("""COMPUTED_VALUE"""),"")</f>
        <v/>
      </c>
      <c r="I54" s="36" t="str">
        <f>IFERROR(__xludf.DUMMYFUNCTION("""COMPUTED_VALUE"""),"")</f>
        <v/>
      </c>
      <c r="J54" s="36" t="str">
        <f>IFERROR(__xludf.DUMMYFUNCTION("""COMPUTED_VALUE"""),"")</f>
        <v/>
      </c>
      <c r="N54" s="84">
        <v>53.0</v>
      </c>
      <c r="O54" s="84"/>
      <c r="P54" s="84" t="str">
        <f>IFERROR(__xludf.DUMMYFUNCTION("""COMPUTED_VALUE"""),"")</f>
        <v/>
      </c>
      <c r="Q54" s="36" t="str">
        <f>IFERROR(__xludf.DUMMYFUNCTION("""COMPUTED_VALUE"""),"")</f>
        <v/>
      </c>
    </row>
    <row r="55">
      <c r="B55" s="36"/>
      <c r="C55" s="36" t="str">
        <f>IFERROR(__xludf.DUMMYFUNCTION("""COMPUTED_VALUE"""),"")</f>
        <v/>
      </c>
      <c r="D55" s="36" t="str">
        <f>IFERROR(__xludf.DUMMYFUNCTION("""COMPUTED_VALUE"""),"")</f>
        <v/>
      </c>
      <c r="E55" s="36" t="str">
        <f>IFERROR(__xludf.DUMMYFUNCTION("""COMPUTED_VALUE"""),"")</f>
        <v/>
      </c>
      <c r="F55" s="36" t="str">
        <f>IFERROR(__xludf.DUMMYFUNCTION("""COMPUTED_VALUE"""),"")</f>
        <v/>
      </c>
      <c r="G55" s="36" t="str">
        <f>IFERROR(__xludf.DUMMYFUNCTION("""COMPUTED_VALUE"""),"")</f>
        <v/>
      </c>
      <c r="H55" s="36" t="str">
        <f>IFERROR(__xludf.DUMMYFUNCTION("""COMPUTED_VALUE"""),"")</f>
        <v/>
      </c>
      <c r="I55" s="36" t="str">
        <f>IFERROR(__xludf.DUMMYFUNCTION("""COMPUTED_VALUE"""),"")</f>
        <v/>
      </c>
      <c r="J55" s="36" t="str">
        <f>IFERROR(__xludf.DUMMYFUNCTION("""COMPUTED_VALUE"""),"")</f>
        <v/>
      </c>
      <c r="N55" s="84">
        <v>54.0</v>
      </c>
      <c r="O55" s="84"/>
      <c r="P55" s="84" t="str">
        <f>IFERROR(__xludf.DUMMYFUNCTION("""COMPUTED_VALUE"""),"")</f>
        <v/>
      </c>
      <c r="Q55" s="36" t="str">
        <f>IFERROR(__xludf.DUMMYFUNCTION("""COMPUTED_VALUE"""),"")</f>
        <v/>
      </c>
    </row>
    <row r="56">
      <c r="B56" s="36"/>
      <c r="C56" s="36" t="str">
        <f>IFERROR(__xludf.DUMMYFUNCTION("""COMPUTED_VALUE"""),"")</f>
        <v/>
      </c>
      <c r="D56" s="36" t="str">
        <f>IFERROR(__xludf.DUMMYFUNCTION("""COMPUTED_VALUE"""),"")</f>
        <v/>
      </c>
      <c r="E56" s="36" t="str">
        <f>IFERROR(__xludf.DUMMYFUNCTION("""COMPUTED_VALUE"""),"")</f>
        <v/>
      </c>
      <c r="F56" s="36" t="str">
        <f>IFERROR(__xludf.DUMMYFUNCTION("""COMPUTED_VALUE"""),"")</f>
        <v/>
      </c>
      <c r="G56" s="36" t="str">
        <f>IFERROR(__xludf.DUMMYFUNCTION("""COMPUTED_VALUE"""),"")</f>
        <v/>
      </c>
      <c r="H56" s="36" t="str">
        <f>IFERROR(__xludf.DUMMYFUNCTION("""COMPUTED_VALUE"""),"")</f>
        <v/>
      </c>
      <c r="I56" s="36" t="str">
        <f>IFERROR(__xludf.DUMMYFUNCTION("""COMPUTED_VALUE"""),"")</f>
        <v/>
      </c>
      <c r="J56" s="36" t="str">
        <f>IFERROR(__xludf.DUMMYFUNCTION("""COMPUTED_VALUE"""),"")</f>
        <v/>
      </c>
      <c r="N56" s="84">
        <v>55.0</v>
      </c>
      <c r="O56" s="84"/>
      <c r="P56" s="84" t="str">
        <f>IFERROR(__xludf.DUMMYFUNCTION("""COMPUTED_VALUE"""),"")</f>
        <v/>
      </c>
      <c r="Q56" s="36" t="str">
        <f>IFERROR(__xludf.DUMMYFUNCTION("""COMPUTED_VALUE"""),"")</f>
        <v/>
      </c>
    </row>
    <row r="57">
      <c r="B57" s="36"/>
      <c r="C57" s="36" t="str">
        <f>IFERROR(__xludf.DUMMYFUNCTION("""COMPUTED_VALUE"""),"")</f>
        <v/>
      </c>
      <c r="D57" s="36" t="str">
        <f>IFERROR(__xludf.DUMMYFUNCTION("""COMPUTED_VALUE"""),"")</f>
        <v/>
      </c>
      <c r="E57" s="36" t="str">
        <f>IFERROR(__xludf.DUMMYFUNCTION("""COMPUTED_VALUE"""),"")</f>
        <v/>
      </c>
      <c r="F57" s="36" t="str">
        <f>IFERROR(__xludf.DUMMYFUNCTION("""COMPUTED_VALUE"""),"")</f>
        <v/>
      </c>
      <c r="G57" s="36" t="str">
        <f>IFERROR(__xludf.DUMMYFUNCTION("""COMPUTED_VALUE"""),"")</f>
        <v/>
      </c>
      <c r="H57" s="36" t="str">
        <f>IFERROR(__xludf.DUMMYFUNCTION("""COMPUTED_VALUE"""),"")</f>
        <v/>
      </c>
      <c r="I57" s="36" t="str">
        <f>IFERROR(__xludf.DUMMYFUNCTION("""COMPUTED_VALUE"""),"")</f>
        <v/>
      </c>
      <c r="J57" s="36" t="str">
        <f>IFERROR(__xludf.DUMMYFUNCTION("""COMPUTED_VALUE"""),"")</f>
        <v/>
      </c>
      <c r="N57" s="84">
        <v>56.0</v>
      </c>
      <c r="O57" s="84"/>
      <c r="P57" s="84" t="str">
        <f>IFERROR(__xludf.DUMMYFUNCTION("""COMPUTED_VALUE"""),"")</f>
        <v/>
      </c>
      <c r="Q57" s="36" t="str">
        <f>IFERROR(__xludf.DUMMYFUNCTION("""COMPUTED_VALUE"""),"")</f>
        <v/>
      </c>
    </row>
    <row r="58">
      <c r="B58" s="36"/>
      <c r="C58" s="36" t="str">
        <f>IFERROR(__xludf.DUMMYFUNCTION("""COMPUTED_VALUE"""),"")</f>
        <v/>
      </c>
      <c r="D58" s="36" t="str">
        <f>IFERROR(__xludf.DUMMYFUNCTION("""COMPUTED_VALUE"""),"")</f>
        <v/>
      </c>
      <c r="E58" s="36" t="str">
        <f>IFERROR(__xludf.DUMMYFUNCTION("""COMPUTED_VALUE"""),"")</f>
        <v/>
      </c>
      <c r="F58" s="36" t="str">
        <f>IFERROR(__xludf.DUMMYFUNCTION("""COMPUTED_VALUE"""),"")</f>
        <v/>
      </c>
      <c r="G58" s="36" t="str">
        <f>IFERROR(__xludf.DUMMYFUNCTION("""COMPUTED_VALUE"""),"")</f>
        <v/>
      </c>
      <c r="H58" s="36" t="str">
        <f>IFERROR(__xludf.DUMMYFUNCTION("""COMPUTED_VALUE"""),"")</f>
        <v/>
      </c>
      <c r="I58" s="36" t="str">
        <f>IFERROR(__xludf.DUMMYFUNCTION("""COMPUTED_VALUE"""),"")</f>
        <v/>
      </c>
      <c r="J58" s="36" t="str">
        <f>IFERROR(__xludf.DUMMYFUNCTION("""COMPUTED_VALUE"""),"")</f>
        <v/>
      </c>
      <c r="N58" s="84">
        <v>57.0</v>
      </c>
      <c r="O58" s="84"/>
      <c r="P58" s="84" t="str">
        <f>IFERROR(__xludf.DUMMYFUNCTION("""COMPUTED_VALUE"""),"")</f>
        <v/>
      </c>
      <c r="Q58" s="36" t="str">
        <f>IFERROR(__xludf.DUMMYFUNCTION("""COMPUTED_VALUE"""),"")</f>
        <v/>
      </c>
    </row>
    <row r="59">
      <c r="B59" s="36"/>
      <c r="C59" s="36" t="str">
        <f>IFERROR(__xludf.DUMMYFUNCTION("""COMPUTED_VALUE"""),"")</f>
        <v/>
      </c>
      <c r="D59" s="36" t="str">
        <f>IFERROR(__xludf.DUMMYFUNCTION("""COMPUTED_VALUE"""),"")</f>
        <v/>
      </c>
      <c r="E59" s="36" t="str">
        <f>IFERROR(__xludf.DUMMYFUNCTION("""COMPUTED_VALUE"""),"")</f>
        <v/>
      </c>
      <c r="F59" s="36" t="str">
        <f>IFERROR(__xludf.DUMMYFUNCTION("""COMPUTED_VALUE"""),"")</f>
        <v/>
      </c>
      <c r="G59" s="36" t="str">
        <f>IFERROR(__xludf.DUMMYFUNCTION("""COMPUTED_VALUE"""),"")</f>
        <v/>
      </c>
      <c r="H59" s="36" t="str">
        <f>IFERROR(__xludf.DUMMYFUNCTION("""COMPUTED_VALUE"""),"")</f>
        <v/>
      </c>
      <c r="I59" s="36" t="str">
        <f>IFERROR(__xludf.DUMMYFUNCTION("""COMPUTED_VALUE"""),"")</f>
        <v/>
      </c>
      <c r="J59" s="36" t="str">
        <f>IFERROR(__xludf.DUMMYFUNCTION("""COMPUTED_VALUE"""),"")</f>
        <v/>
      </c>
      <c r="N59" s="84">
        <v>58.0</v>
      </c>
      <c r="O59" s="84"/>
      <c r="P59" s="84" t="str">
        <f>IFERROR(__xludf.DUMMYFUNCTION("""COMPUTED_VALUE"""),"")</f>
        <v/>
      </c>
      <c r="Q59" s="36" t="str">
        <f>IFERROR(__xludf.DUMMYFUNCTION("""COMPUTED_VALUE"""),"")</f>
        <v/>
      </c>
    </row>
    <row r="60">
      <c r="B60" s="36"/>
      <c r="C60" s="36" t="str">
        <f>IFERROR(__xludf.DUMMYFUNCTION("""COMPUTED_VALUE"""),"")</f>
        <v/>
      </c>
      <c r="D60" s="36" t="str">
        <f>IFERROR(__xludf.DUMMYFUNCTION("""COMPUTED_VALUE"""),"")</f>
        <v/>
      </c>
      <c r="E60" s="36" t="str">
        <f>IFERROR(__xludf.DUMMYFUNCTION("""COMPUTED_VALUE"""),"")</f>
        <v/>
      </c>
      <c r="F60" s="36" t="str">
        <f>IFERROR(__xludf.DUMMYFUNCTION("""COMPUTED_VALUE"""),"")</f>
        <v/>
      </c>
      <c r="G60" s="36" t="str">
        <f>IFERROR(__xludf.DUMMYFUNCTION("""COMPUTED_VALUE"""),"")</f>
        <v/>
      </c>
      <c r="H60" s="36" t="str">
        <f>IFERROR(__xludf.DUMMYFUNCTION("""COMPUTED_VALUE"""),"")</f>
        <v/>
      </c>
      <c r="I60" s="36" t="str">
        <f>IFERROR(__xludf.DUMMYFUNCTION("""COMPUTED_VALUE"""),"")</f>
        <v/>
      </c>
      <c r="J60" s="36" t="str">
        <f>IFERROR(__xludf.DUMMYFUNCTION("""COMPUTED_VALUE"""),"")</f>
        <v/>
      </c>
      <c r="N60" s="84">
        <v>59.0</v>
      </c>
      <c r="O60" s="84"/>
      <c r="P60" s="84" t="str">
        <f>IFERROR(__xludf.DUMMYFUNCTION("""COMPUTED_VALUE"""),"")</f>
        <v/>
      </c>
      <c r="Q60" s="36" t="str">
        <f>IFERROR(__xludf.DUMMYFUNCTION("""COMPUTED_VALUE"""),"")</f>
        <v/>
      </c>
    </row>
    <row r="61">
      <c r="B61" s="36"/>
      <c r="C61" s="36" t="str">
        <f>IFERROR(__xludf.DUMMYFUNCTION("""COMPUTED_VALUE"""),"")</f>
        <v/>
      </c>
      <c r="D61" s="36" t="str">
        <f>IFERROR(__xludf.DUMMYFUNCTION("""COMPUTED_VALUE"""),"")</f>
        <v/>
      </c>
      <c r="E61" s="36" t="str">
        <f>IFERROR(__xludf.DUMMYFUNCTION("""COMPUTED_VALUE"""),"")</f>
        <v/>
      </c>
      <c r="F61" s="36" t="str">
        <f>IFERROR(__xludf.DUMMYFUNCTION("""COMPUTED_VALUE"""),"")</f>
        <v/>
      </c>
      <c r="G61" s="36" t="str">
        <f>IFERROR(__xludf.DUMMYFUNCTION("""COMPUTED_VALUE"""),"")</f>
        <v/>
      </c>
      <c r="H61" s="36" t="str">
        <f>IFERROR(__xludf.DUMMYFUNCTION("""COMPUTED_VALUE"""),"")</f>
        <v/>
      </c>
      <c r="I61" s="36" t="str">
        <f>IFERROR(__xludf.DUMMYFUNCTION("""COMPUTED_VALUE"""),"")</f>
        <v/>
      </c>
      <c r="J61" s="36" t="str">
        <f>IFERROR(__xludf.DUMMYFUNCTION("""COMPUTED_VALUE"""),"")</f>
        <v/>
      </c>
      <c r="N61" s="84">
        <v>60.0</v>
      </c>
      <c r="O61" s="84"/>
      <c r="P61" s="84" t="str">
        <f>IFERROR(__xludf.DUMMYFUNCTION("""COMPUTED_VALUE"""),"")</f>
        <v/>
      </c>
      <c r="Q61" s="36" t="str">
        <f>IFERROR(__xludf.DUMMYFUNCTION("""COMPUTED_VALUE"""),"")</f>
        <v/>
      </c>
    </row>
    <row r="62">
      <c r="B62" s="36"/>
      <c r="C62" s="36" t="str">
        <f>IFERROR(__xludf.DUMMYFUNCTION("""COMPUTED_VALUE"""),"")</f>
        <v/>
      </c>
      <c r="D62" s="36" t="str">
        <f>IFERROR(__xludf.DUMMYFUNCTION("""COMPUTED_VALUE"""),"")</f>
        <v/>
      </c>
      <c r="E62" s="36" t="str">
        <f>IFERROR(__xludf.DUMMYFUNCTION("""COMPUTED_VALUE"""),"")</f>
        <v/>
      </c>
      <c r="F62" s="36" t="str">
        <f>IFERROR(__xludf.DUMMYFUNCTION("""COMPUTED_VALUE"""),"")</f>
        <v/>
      </c>
      <c r="G62" s="36" t="str">
        <f>IFERROR(__xludf.DUMMYFUNCTION("""COMPUTED_VALUE"""),"")</f>
        <v/>
      </c>
      <c r="H62" s="36" t="str">
        <f>IFERROR(__xludf.DUMMYFUNCTION("""COMPUTED_VALUE"""),"")</f>
        <v/>
      </c>
      <c r="I62" s="36" t="str">
        <f>IFERROR(__xludf.DUMMYFUNCTION("""COMPUTED_VALUE"""),"")</f>
        <v/>
      </c>
      <c r="J62" s="36" t="str">
        <f>IFERROR(__xludf.DUMMYFUNCTION("""COMPUTED_VALUE"""),"")</f>
        <v/>
      </c>
      <c r="N62" s="84">
        <v>61.0</v>
      </c>
      <c r="O62" s="84"/>
      <c r="P62" s="84" t="str">
        <f>IFERROR(__xludf.DUMMYFUNCTION("""COMPUTED_VALUE"""),"")</f>
        <v/>
      </c>
      <c r="Q62" s="36" t="str">
        <f>IFERROR(__xludf.DUMMYFUNCTION("""COMPUTED_VALUE"""),"")</f>
        <v/>
      </c>
    </row>
    <row r="63">
      <c r="B63" s="36"/>
      <c r="C63" s="36" t="str">
        <f>IFERROR(__xludf.DUMMYFUNCTION("""COMPUTED_VALUE"""),"")</f>
        <v/>
      </c>
      <c r="D63" s="36" t="str">
        <f>IFERROR(__xludf.DUMMYFUNCTION("""COMPUTED_VALUE"""),"")</f>
        <v/>
      </c>
      <c r="E63" s="36" t="str">
        <f>IFERROR(__xludf.DUMMYFUNCTION("""COMPUTED_VALUE"""),"")</f>
        <v/>
      </c>
      <c r="F63" s="36" t="str">
        <f>IFERROR(__xludf.DUMMYFUNCTION("""COMPUTED_VALUE"""),"")</f>
        <v/>
      </c>
      <c r="G63" s="36" t="str">
        <f>IFERROR(__xludf.DUMMYFUNCTION("""COMPUTED_VALUE"""),"")</f>
        <v/>
      </c>
      <c r="H63" s="36" t="str">
        <f>IFERROR(__xludf.DUMMYFUNCTION("""COMPUTED_VALUE"""),"")</f>
        <v/>
      </c>
      <c r="I63" s="36" t="str">
        <f>IFERROR(__xludf.DUMMYFUNCTION("""COMPUTED_VALUE"""),"")</f>
        <v/>
      </c>
      <c r="J63" s="36" t="str">
        <f>IFERROR(__xludf.DUMMYFUNCTION("""COMPUTED_VALUE"""),"")</f>
        <v/>
      </c>
      <c r="N63" s="36">
        <v>62.0</v>
      </c>
      <c r="O63" s="36"/>
      <c r="P63" s="36" t="str">
        <f>IFERROR(__xludf.DUMMYFUNCTION("""COMPUTED_VALUE"""),"")</f>
        <v/>
      </c>
      <c r="Q63" s="36" t="str">
        <f>IFERROR(__xludf.DUMMYFUNCTION("""COMPUTED_VALUE"""),"")</f>
        <v/>
      </c>
    </row>
    <row r="64">
      <c r="B64" s="36"/>
      <c r="C64" s="36" t="str">
        <f>IFERROR(__xludf.DUMMYFUNCTION("""COMPUTED_VALUE"""),"")</f>
        <v/>
      </c>
      <c r="D64" s="36" t="str">
        <f>IFERROR(__xludf.DUMMYFUNCTION("""COMPUTED_VALUE"""),"")</f>
        <v/>
      </c>
      <c r="E64" s="36" t="str">
        <f>IFERROR(__xludf.DUMMYFUNCTION("""COMPUTED_VALUE"""),"")</f>
        <v/>
      </c>
      <c r="F64" s="36" t="str">
        <f>IFERROR(__xludf.DUMMYFUNCTION("""COMPUTED_VALUE"""),"")</f>
        <v/>
      </c>
      <c r="G64" s="36" t="str">
        <f>IFERROR(__xludf.DUMMYFUNCTION("""COMPUTED_VALUE"""),"")</f>
        <v/>
      </c>
      <c r="H64" s="36" t="str">
        <f>IFERROR(__xludf.DUMMYFUNCTION("""COMPUTED_VALUE"""),"")</f>
        <v/>
      </c>
      <c r="I64" s="36" t="str">
        <f>IFERROR(__xludf.DUMMYFUNCTION("""COMPUTED_VALUE"""),"")</f>
        <v/>
      </c>
      <c r="J64" s="36" t="str">
        <f>IFERROR(__xludf.DUMMYFUNCTION("""COMPUTED_VALUE"""),"")</f>
        <v/>
      </c>
      <c r="N64" s="36">
        <v>63.0</v>
      </c>
      <c r="O64" s="36"/>
      <c r="P64" s="36" t="str">
        <f>IFERROR(__xludf.DUMMYFUNCTION("""COMPUTED_VALUE"""),"")</f>
        <v/>
      </c>
      <c r="Q64" s="36" t="str">
        <f>IFERROR(__xludf.DUMMYFUNCTION("""COMPUTED_VALUE"""),"")</f>
        <v/>
      </c>
    </row>
    <row r="65">
      <c r="B65" s="36"/>
      <c r="C65" s="36" t="str">
        <f>IFERROR(__xludf.DUMMYFUNCTION("""COMPUTED_VALUE"""),"")</f>
        <v/>
      </c>
      <c r="D65" s="36" t="str">
        <f>IFERROR(__xludf.DUMMYFUNCTION("""COMPUTED_VALUE"""),"")</f>
        <v/>
      </c>
      <c r="E65" s="36" t="str">
        <f>IFERROR(__xludf.DUMMYFUNCTION("""COMPUTED_VALUE"""),"")</f>
        <v/>
      </c>
      <c r="F65" s="36" t="str">
        <f>IFERROR(__xludf.DUMMYFUNCTION("""COMPUTED_VALUE"""),"")</f>
        <v/>
      </c>
      <c r="G65" s="36" t="str">
        <f>IFERROR(__xludf.DUMMYFUNCTION("""COMPUTED_VALUE"""),"")</f>
        <v/>
      </c>
      <c r="H65" s="36" t="str">
        <f>IFERROR(__xludf.DUMMYFUNCTION("""COMPUTED_VALUE"""),"")</f>
        <v/>
      </c>
      <c r="I65" s="36" t="str">
        <f>IFERROR(__xludf.DUMMYFUNCTION("""COMPUTED_VALUE"""),"")</f>
        <v/>
      </c>
      <c r="J65" s="36" t="str">
        <f>IFERROR(__xludf.DUMMYFUNCTION("""COMPUTED_VALUE"""),"")</f>
        <v/>
      </c>
      <c r="N65" s="36">
        <v>64.0</v>
      </c>
      <c r="O65" s="36"/>
      <c r="P65" s="36" t="str">
        <f>IFERROR(__xludf.DUMMYFUNCTION("""COMPUTED_VALUE"""),"")</f>
        <v/>
      </c>
      <c r="Q65" s="36" t="str">
        <f>IFERROR(__xludf.DUMMYFUNCTION("""COMPUTED_VALUE"""),"")</f>
        <v/>
      </c>
    </row>
    <row r="66">
      <c r="B66" s="36"/>
      <c r="C66" s="36" t="str">
        <f>IFERROR(__xludf.DUMMYFUNCTION("""COMPUTED_VALUE"""),"")</f>
        <v/>
      </c>
      <c r="D66" s="36" t="str">
        <f>IFERROR(__xludf.DUMMYFUNCTION("""COMPUTED_VALUE"""),"")</f>
        <v/>
      </c>
      <c r="E66" s="36" t="str">
        <f>IFERROR(__xludf.DUMMYFUNCTION("""COMPUTED_VALUE"""),"")</f>
        <v/>
      </c>
      <c r="F66" s="36" t="str">
        <f>IFERROR(__xludf.DUMMYFUNCTION("""COMPUTED_VALUE"""),"")</f>
        <v/>
      </c>
      <c r="G66" s="36" t="str">
        <f>IFERROR(__xludf.DUMMYFUNCTION("""COMPUTED_VALUE"""),"")</f>
        <v/>
      </c>
      <c r="H66" s="36" t="str">
        <f>IFERROR(__xludf.DUMMYFUNCTION("""COMPUTED_VALUE"""),"")</f>
        <v/>
      </c>
      <c r="I66" s="36" t="str">
        <f>IFERROR(__xludf.DUMMYFUNCTION("""COMPUTED_VALUE"""),"")</f>
        <v/>
      </c>
      <c r="J66" s="36" t="str">
        <f>IFERROR(__xludf.DUMMYFUNCTION("""COMPUTED_VALUE"""),"")</f>
        <v/>
      </c>
      <c r="N66" s="36">
        <v>65.0</v>
      </c>
      <c r="O66" s="36"/>
      <c r="P66" s="36" t="str">
        <f>IFERROR(__xludf.DUMMYFUNCTION("""COMPUTED_VALUE"""),"")</f>
        <v/>
      </c>
      <c r="Q66" s="36" t="str">
        <f>IFERROR(__xludf.DUMMYFUNCTION("""COMPUTED_VALUE"""),"")</f>
        <v/>
      </c>
    </row>
    <row r="67">
      <c r="B67" s="36"/>
      <c r="C67" s="36" t="str">
        <f>IFERROR(__xludf.DUMMYFUNCTION("""COMPUTED_VALUE"""),"")</f>
        <v/>
      </c>
      <c r="D67" s="36" t="str">
        <f>IFERROR(__xludf.DUMMYFUNCTION("""COMPUTED_VALUE"""),"")</f>
        <v/>
      </c>
      <c r="E67" s="36" t="str">
        <f>IFERROR(__xludf.DUMMYFUNCTION("""COMPUTED_VALUE"""),"")</f>
        <v/>
      </c>
      <c r="F67" s="36" t="str">
        <f>IFERROR(__xludf.DUMMYFUNCTION("""COMPUTED_VALUE"""),"")</f>
        <v/>
      </c>
      <c r="G67" s="36" t="str">
        <f>IFERROR(__xludf.DUMMYFUNCTION("""COMPUTED_VALUE"""),"")</f>
        <v/>
      </c>
      <c r="H67" s="36" t="str">
        <f>IFERROR(__xludf.DUMMYFUNCTION("""COMPUTED_VALUE"""),"")</f>
        <v/>
      </c>
      <c r="I67" s="36" t="str">
        <f>IFERROR(__xludf.DUMMYFUNCTION("""COMPUTED_VALUE"""),"")</f>
        <v/>
      </c>
      <c r="J67" s="36" t="str">
        <f>IFERROR(__xludf.DUMMYFUNCTION("""COMPUTED_VALUE"""),"")</f>
        <v/>
      </c>
      <c r="N67" s="36">
        <v>66.0</v>
      </c>
      <c r="O67" s="36"/>
      <c r="P67" s="36" t="str">
        <f>IFERROR(__xludf.DUMMYFUNCTION("""COMPUTED_VALUE"""),"")</f>
        <v/>
      </c>
      <c r="Q67" s="36" t="str">
        <f>IFERROR(__xludf.DUMMYFUNCTION("""COMPUTED_VALUE"""),"")</f>
        <v/>
      </c>
    </row>
    <row r="68">
      <c r="B68" s="36"/>
      <c r="C68" s="36" t="str">
        <f>IFERROR(__xludf.DUMMYFUNCTION("""COMPUTED_VALUE"""),"")</f>
        <v/>
      </c>
      <c r="D68" s="36" t="str">
        <f>IFERROR(__xludf.DUMMYFUNCTION("""COMPUTED_VALUE"""),"")</f>
        <v/>
      </c>
      <c r="E68" s="36" t="str">
        <f>IFERROR(__xludf.DUMMYFUNCTION("""COMPUTED_VALUE"""),"")</f>
        <v/>
      </c>
      <c r="F68" s="36" t="str">
        <f>IFERROR(__xludf.DUMMYFUNCTION("""COMPUTED_VALUE"""),"")</f>
        <v/>
      </c>
      <c r="G68" s="36" t="str">
        <f>IFERROR(__xludf.DUMMYFUNCTION("""COMPUTED_VALUE"""),"")</f>
        <v/>
      </c>
      <c r="H68" s="36" t="str">
        <f>IFERROR(__xludf.DUMMYFUNCTION("""COMPUTED_VALUE"""),"")</f>
        <v/>
      </c>
      <c r="I68" s="36" t="str">
        <f>IFERROR(__xludf.DUMMYFUNCTION("""COMPUTED_VALUE"""),"")</f>
        <v/>
      </c>
      <c r="J68" s="36" t="str">
        <f>IFERROR(__xludf.DUMMYFUNCTION("""COMPUTED_VALUE"""),"")</f>
        <v/>
      </c>
      <c r="N68" s="36">
        <v>67.0</v>
      </c>
      <c r="O68" s="36"/>
      <c r="P68" s="36" t="str">
        <f>IFERROR(__xludf.DUMMYFUNCTION("""COMPUTED_VALUE"""),"")</f>
        <v/>
      </c>
      <c r="Q68" s="36" t="str">
        <f>IFERROR(__xludf.DUMMYFUNCTION("""COMPUTED_VALUE"""),"")</f>
        <v/>
      </c>
    </row>
    <row r="69">
      <c r="B69" s="36"/>
      <c r="C69" s="36" t="str">
        <f>IFERROR(__xludf.DUMMYFUNCTION("""COMPUTED_VALUE"""),"")</f>
        <v/>
      </c>
      <c r="D69" s="36" t="str">
        <f>IFERROR(__xludf.DUMMYFUNCTION("""COMPUTED_VALUE"""),"")</f>
        <v/>
      </c>
      <c r="E69" s="36" t="str">
        <f>IFERROR(__xludf.DUMMYFUNCTION("""COMPUTED_VALUE"""),"")</f>
        <v/>
      </c>
      <c r="F69" s="36" t="str">
        <f>IFERROR(__xludf.DUMMYFUNCTION("""COMPUTED_VALUE"""),"")</f>
        <v/>
      </c>
      <c r="G69" s="36" t="str">
        <f>IFERROR(__xludf.DUMMYFUNCTION("""COMPUTED_VALUE"""),"")</f>
        <v/>
      </c>
      <c r="H69" s="36" t="str">
        <f>IFERROR(__xludf.DUMMYFUNCTION("""COMPUTED_VALUE"""),"")</f>
        <v/>
      </c>
      <c r="I69" s="36" t="str">
        <f>IFERROR(__xludf.DUMMYFUNCTION("""COMPUTED_VALUE"""),"")</f>
        <v/>
      </c>
      <c r="J69" s="36" t="str">
        <f>IFERROR(__xludf.DUMMYFUNCTION("""COMPUTED_VALUE"""),"")</f>
        <v/>
      </c>
      <c r="N69" s="36">
        <v>68.0</v>
      </c>
      <c r="O69" s="36"/>
      <c r="P69" s="36" t="str">
        <f>IFERROR(__xludf.DUMMYFUNCTION("""COMPUTED_VALUE"""),"")</f>
        <v/>
      </c>
      <c r="Q69" s="36" t="str">
        <f>IFERROR(__xludf.DUMMYFUNCTION("""COMPUTED_VALUE"""),"")</f>
        <v/>
      </c>
    </row>
    <row r="70">
      <c r="B70" s="36"/>
      <c r="C70" s="36" t="str">
        <f>IFERROR(__xludf.DUMMYFUNCTION("""COMPUTED_VALUE"""),"")</f>
        <v/>
      </c>
      <c r="D70" s="36" t="str">
        <f>IFERROR(__xludf.DUMMYFUNCTION("""COMPUTED_VALUE"""),"")</f>
        <v/>
      </c>
      <c r="E70" s="36" t="str">
        <f>IFERROR(__xludf.DUMMYFUNCTION("""COMPUTED_VALUE"""),"")</f>
        <v/>
      </c>
      <c r="F70" s="36" t="str">
        <f>IFERROR(__xludf.DUMMYFUNCTION("""COMPUTED_VALUE"""),"")</f>
        <v/>
      </c>
      <c r="G70" s="36" t="str">
        <f>IFERROR(__xludf.DUMMYFUNCTION("""COMPUTED_VALUE"""),"")</f>
        <v/>
      </c>
      <c r="H70" s="36" t="str">
        <f>IFERROR(__xludf.DUMMYFUNCTION("""COMPUTED_VALUE"""),"")</f>
        <v/>
      </c>
      <c r="I70" s="36" t="str">
        <f>IFERROR(__xludf.DUMMYFUNCTION("""COMPUTED_VALUE"""),"")</f>
        <v/>
      </c>
      <c r="J70" s="36" t="str">
        <f>IFERROR(__xludf.DUMMYFUNCTION("""COMPUTED_VALUE"""),"")</f>
        <v/>
      </c>
      <c r="N70" s="36">
        <v>69.0</v>
      </c>
      <c r="O70" s="36"/>
      <c r="P70" s="36" t="str">
        <f>IFERROR(__xludf.DUMMYFUNCTION("""COMPUTED_VALUE"""),"")</f>
        <v/>
      </c>
      <c r="Q70" s="36" t="str">
        <f>IFERROR(__xludf.DUMMYFUNCTION("""COMPUTED_VALUE"""),"")</f>
        <v/>
      </c>
    </row>
    <row r="71">
      <c r="B71" s="36"/>
      <c r="C71" s="36" t="str">
        <f>IFERROR(__xludf.DUMMYFUNCTION("""COMPUTED_VALUE"""),"")</f>
        <v/>
      </c>
      <c r="D71" s="36" t="str">
        <f>IFERROR(__xludf.DUMMYFUNCTION("""COMPUTED_VALUE"""),"")</f>
        <v/>
      </c>
      <c r="E71" s="36" t="str">
        <f>IFERROR(__xludf.DUMMYFUNCTION("""COMPUTED_VALUE"""),"")</f>
        <v/>
      </c>
      <c r="F71" s="36" t="str">
        <f>IFERROR(__xludf.DUMMYFUNCTION("""COMPUTED_VALUE"""),"")</f>
        <v/>
      </c>
      <c r="G71" s="36" t="str">
        <f>IFERROR(__xludf.DUMMYFUNCTION("""COMPUTED_VALUE"""),"")</f>
        <v/>
      </c>
      <c r="H71" s="36" t="str">
        <f>IFERROR(__xludf.DUMMYFUNCTION("""COMPUTED_VALUE"""),"")</f>
        <v/>
      </c>
      <c r="I71" s="36" t="str">
        <f>IFERROR(__xludf.DUMMYFUNCTION("""COMPUTED_VALUE"""),"")</f>
        <v/>
      </c>
      <c r="J71" s="36" t="str">
        <f>IFERROR(__xludf.DUMMYFUNCTION("""COMPUTED_VALUE"""),"")</f>
        <v/>
      </c>
      <c r="N71" s="36">
        <v>70.0</v>
      </c>
      <c r="O71" s="36"/>
      <c r="P71" s="36" t="str">
        <f>IFERROR(__xludf.DUMMYFUNCTION("""COMPUTED_VALUE"""),"")</f>
        <v/>
      </c>
      <c r="Q71" s="36" t="str">
        <f>IFERROR(__xludf.DUMMYFUNCTION("""COMPUTED_VALUE"""),"")</f>
        <v/>
      </c>
    </row>
    <row r="72">
      <c r="B72" s="36"/>
      <c r="C72" s="36" t="str">
        <f>IFERROR(__xludf.DUMMYFUNCTION("""COMPUTED_VALUE"""),"")</f>
        <v/>
      </c>
      <c r="D72" s="36" t="str">
        <f>IFERROR(__xludf.DUMMYFUNCTION("""COMPUTED_VALUE"""),"")</f>
        <v/>
      </c>
      <c r="E72" s="36" t="str">
        <f>IFERROR(__xludf.DUMMYFUNCTION("""COMPUTED_VALUE"""),"")</f>
        <v/>
      </c>
      <c r="F72" s="36" t="str">
        <f>IFERROR(__xludf.DUMMYFUNCTION("""COMPUTED_VALUE"""),"")</f>
        <v/>
      </c>
      <c r="G72" s="36" t="str">
        <f>IFERROR(__xludf.DUMMYFUNCTION("""COMPUTED_VALUE"""),"")</f>
        <v/>
      </c>
      <c r="H72" s="36" t="str">
        <f>IFERROR(__xludf.DUMMYFUNCTION("""COMPUTED_VALUE"""),"")</f>
        <v/>
      </c>
      <c r="I72" s="36" t="str">
        <f>IFERROR(__xludf.DUMMYFUNCTION("""COMPUTED_VALUE"""),"")</f>
        <v/>
      </c>
      <c r="J72" s="36" t="str">
        <f>IFERROR(__xludf.DUMMYFUNCTION("""COMPUTED_VALUE"""),"")</f>
        <v/>
      </c>
      <c r="N72" s="36">
        <v>71.0</v>
      </c>
      <c r="O72" s="36"/>
      <c r="P72" s="36" t="str">
        <f>IFERROR(__xludf.DUMMYFUNCTION("""COMPUTED_VALUE"""),"")</f>
        <v/>
      </c>
      <c r="Q72" s="36" t="str">
        <f>IFERROR(__xludf.DUMMYFUNCTION("""COMPUTED_VALUE"""),"")</f>
        <v/>
      </c>
    </row>
    <row r="73">
      <c r="B73" s="36"/>
      <c r="C73" s="36" t="str">
        <f>IFERROR(__xludf.DUMMYFUNCTION("""COMPUTED_VALUE"""),"")</f>
        <v/>
      </c>
      <c r="D73" s="36" t="str">
        <f>IFERROR(__xludf.DUMMYFUNCTION("""COMPUTED_VALUE"""),"")</f>
        <v/>
      </c>
      <c r="E73" s="36" t="str">
        <f>IFERROR(__xludf.DUMMYFUNCTION("""COMPUTED_VALUE"""),"")</f>
        <v/>
      </c>
      <c r="F73" s="36" t="str">
        <f>IFERROR(__xludf.DUMMYFUNCTION("""COMPUTED_VALUE"""),"")</f>
        <v/>
      </c>
      <c r="G73" s="36" t="str">
        <f>IFERROR(__xludf.DUMMYFUNCTION("""COMPUTED_VALUE"""),"")</f>
        <v/>
      </c>
      <c r="H73" s="36" t="str">
        <f>IFERROR(__xludf.DUMMYFUNCTION("""COMPUTED_VALUE"""),"")</f>
        <v/>
      </c>
      <c r="I73" s="36" t="str">
        <f>IFERROR(__xludf.DUMMYFUNCTION("""COMPUTED_VALUE"""),"")</f>
        <v/>
      </c>
      <c r="J73" s="36" t="str">
        <f>IFERROR(__xludf.DUMMYFUNCTION("""COMPUTED_VALUE"""),"")</f>
        <v/>
      </c>
      <c r="N73" s="36">
        <v>72.0</v>
      </c>
      <c r="O73" s="36"/>
      <c r="P73" s="36" t="str">
        <f>IFERROR(__xludf.DUMMYFUNCTION("""COMPUTED_VALUE"""),"")</f>
        <v/>
      </c>
      <c r="Q73" s="36" t="str">
        <f>IFERROR(__xludf.DUMMYFUNCTION("""COMPUTED_VALUE"""),"")</f>
        <v/>
      </c>
    </row>
    <row r="74">
      <c r="B74" s="36"/>
      <c r="C74" s="36" t="str">
        <f>IFERROR(__xludf.DUMMYFUNCTION("""COMPUTED_VALUE"""),"")</f>
        <v/>
      </c>
      <c r="D74" s="36" t="str">
        <f>IFERROR(__xludf.DUMMYFUNCTION("""COMPUTED_VALUE"""),"")</f>
        <v/>
      </c>
      <c r="E74" s="36" t="str">
        <f>IFERROR(__xludf.DUMMYFUNCTION("""COMPUTED_VALUE"""),"")</f>
        <v/>
      </c>
      <c r="F74" s="36" t="str">
        <f>IFERROR(__xludf.DUMMYFUNCTION("""COMPUTED_VALUE"""),"")</f>
        <v/>
      </c>
      <c r="G74" s="36" t="str">
        <f>IFERROR(__xludf.DUMMYFUNCTION("""COMPUTED_VALUE"""),"")</f>
        <v/>
      </c>
      <c r="H74" s="36" t="str">
        <f>IFERROR(__xludf.DUMMYFUNCTION("""COMPUTED_VALUE"""),"")</f>
        <v/>
      </c>
      <c r="I74" s="36" t="str">
        <f>IFERROR(__xludf.DUMMYFUNCTION("""COMPUTED_VALUE"""),"")</f>
        <v/>
      </c>
      <c r="J74" s="36" t="str">
        <f>IFERROR(__xludf.DUMMYFUNCTION("""COMPUTED_VALUE"""),"")</f>
        <v/>
      </c>
      <c r="N74" s="36">
        <v>73.0</v>
      </c>
      <c r="O74" s="36"/>
      <c r="P74" s="36" t="str">
        <f>IFERROR(__xludf.DUMMYFUNCTION("""COMPUTED_VALUE"""),"")</f>
        <v/>
      </c>
      <c r="Q74" s="36" t="str">
        <f>IFERROR(__xludf.DUMMYFUNCTION("""COMPUTED_VALUE"""),"")</f>
        <v/>
      </c>
    </row>
    <row r="75">
      <c r="B75" s="36"/>
      <c r="C75" s="36" t="str">
        <f>IFERROR(__xludf.DUMMYFUNCTION("""COMPUTED_VALUE"""),"")</f>
        <v/>
      </c>
      <c r="D75" s="36" t="str">
        <f>IFERROR(__xludf.DUMMYFUNCTION("""COMPUTED_VALUE"""),"")</f>
        <v/>
      </c>
      <c r="E75" s="36" t="str">
        <f>IFERROR(__xludf.DUMMYFUNCTION("""COMPUTED_VALUE"""),"")</f>
        <v/>
      </c>
      <c r="F75" s="36" t="str">
        <f>IFERROR(__xludf.DUMMYFUNCTION("""COMPUTED_VALUE"""),"")</f>
        <v/>
      </c>
      <c r="G75" s="36" t="str">
        <f>IFERROR(__xludf.DUMMYFUNCTION("""COMPUTED_VALUE"""),"")</f>
        <v/>
      </c>
      <c r="H75" s="36" t="str">
        <f>IFERROR(__xludf.DUMMYFUNCTION("""COMPUTED_VALUE"""),"")</f>
        <v/>
      </c>
      <c r="I75" s="36" t="str">
        <f>IFERROR(__xludf.DUMMYFUNCTION("""COMPUTED_VALUE"""),"")</f>
        <v/>
      </c>
      <c r="J75" s="36" t="str">
        <f>IFERROR(__xludf.DUMMYFUNCTION("""COMPUTED_VALUE"""),"")</f>
        <v/>
      </c>
      <c r="N75" s="36">
        <v>74.0</v>
      </c>
      <c r="O75" s="36"/>
      <c r="P75" s="36" t="str">
        <f>IFERROR(__xludf.DUMMYFUNCTION("""COMPUTED_VALUE"""),"")</f>
        <v/>
      </c>
      <c r="Q75" s="36" t="str">
        <f>IFERROR(__xludf.DUMMYFUNCTION("""COMPUTED_VALUE"""),"")</f>
        <v/>
      </c>
    </row>
    <row r="76">
      <c r="B76" s="36"/>
      <c r="C76" s="36" t="str">
        <f>IFERROR(__xludf.DUMMYFUNCTION("""COMPUTED_VALUE"""),"")</f>
        <v/>
      </c>
      <c r="D76" s="36" t="str">
        <f>IFERROR(__xludf.DUMMYFUNCTION("""COMPUTED_VALUE"""),"")</f>
        <v/>
      </c>
      <c r="E76" s="36" t="str">
        <f>IFERROR(__xludf.DUMMYFUNCTION("""COMPUTED_VALUE"""),"")</f>
        <v/>
      </c>
      <c r="F76" s="36" t="str">
        <f>IFERROR(__xludf.DUMMYFUNCTION("""COMPUTED_VALUE"""),"")</f>
        <v/>
      </c>
      <c r="G76" s="36" t="str">
        <f>IFERROR(__xludf.DUMMYFUNCTION("""COMPUTED_VALUE"""),"")</f>
        <v/>
      </c>
      <c r="H76" s="36" t="str">
        <f>IFERROR(__xludf.DUMMYFUNCTION("""COMPUTED_VALUE"""),"")</f>
        <v/>
      </c>
      <c r="I76" s="36" t="str">
        <f>IFERROR(__xludf.DUMMYFUNCTION("""COMPUTED_VALUE"""),"")</f>
        <v/>
      </c>
      <c r="J76" s="36" t="str">
        <f>IFERROR(__xludf.DUMMYFUNCTION("""COMPUTED_VALUE"""),"")</f>
        <v/>
      </c>
      <c r="N76" s="36">
        <v>75.0</v>
      </c>
      <c r="O76" s="36"/>
      <c r="P76" s="36" t="str">
        <f>IFERROR(__xludf.DUMMYFUNCTION("""COMPUTED_VALUE"""),"")</f>
        <v/>
      </c>
      <c r="Q76" s="36" t="str">
        <f>IFERROR(__xludf.DUMMYFUNCTION("""COMPUTED_VALUE"""),"")</f>
        <v/>
      </c>
    </row>
    <row r="77">
      <c r="B77" s="36"/>
      <c r="C77" s="36" t="str">
        <f>IFERROR(__xludf.DUMMYFUNCTION("""COMPUTED_VALUE"""),"")</f>
        <v/>
      </c>
      <c r="D77" s="36" t="str">
        <f>IFERROR(__xludf.DUMMYFUNCTION("""COMPUTED_VALUE"""),"")</f>
        <v/>
      </c>
      <c r="E77" s="36" t="str">
        <f>IFERROR(__xludf.DUMMYFUNCTION("""COMPUTED_VALUE"""),"")</f>
        <v/>
      </c>
      <c r="F77" s="36" t="str">
        <f>IFERROR(__xludf.DUMMYFUNCTION("""COMPUTED_VALUE"""),"")</f>
        <v/>
      </c>
      <c r="G77" s="36" t="str">
        <f>IFERROR(__xludf.DUMMYFUNCTION("""COMPUTED_VALUE"""),"")</f>
        <v/>
      </c>
      <c r="H77" s="36" t="str">
        <f>IFERROR(__xludf.DUMMYFUNCTION("""COMPUTED_VALUE"""),"")</f>
        <v/>
      </c>
      <c r="I77" s="36" t="str">
        <f>IFERROR(__xludf.DUMMYFUNCTION("""COMPUTED_VALUE"""),"")</f>
        <v/>
      </c>
      <c r="J77" s="36" t="str">
        <f>IFERROR(__xludf.DUMMYFUNCTION("""COMPUTED_VALUE"""),"")</f>
        <v/>
      </c>
      <c r="N77" s="36">
        <v>76.0</v>
      </c>
      <c r="O77" s="36"/>
      <c r="P77" s="36" t="str">
        <f>IFERROR(__xludf.DUMMYFUNCTION("""COMPUTED_VALUE"""),"")</f>
        <v/>
      </c>
      <c r="Q77" s="36" t="str">
        <f>IFERROR(__xludf.DUMMYFUNCTION("""COMPUTED_VALUE"""),"")</f>
        <v/>
      </c>
    </row>
    <row r="78">
      <c r="B78" s="36"/>
      <c r="C78" s="36" t="str">
        <f>IFERROR(__xludf.DUMMYFUNCTION("""COMPUTED_VALUE"""),"")</f>
        <v/>
      </c>
      <c r="D78" s="36" t="str">
        <f>IFERROR(__xludf.DUMMYFUNCTION("""COMPUTED_VALUE"""),"")</f>
        <v/>
      </c>
      <c r="E78" s="36" t="str">
        <f>IFERROR(__xludf.DUMMYFUNCTION("""COMPUTED_VALUE"""),"")</f>
        <v/>
      </c>
      <c r="F78" s="36" t="str">
        <f>IFERROR(__xludf.DUMMYFUNCTION("""COMPUTED_VALUE"""),"")</f>
        <v/>
      </c>
      <c r="G78" s="36" t="str">
        <f>IFERROR(__xludf.DUMMYFUNCTION("""COMPUTED_VALUE"""),"")</f>
        <v/>
      </c>
      <c r="H78" s="36" t="str">
        <f>IFERROR(__xludf.DUMMYFUNCTION("""COMPUTED_VALUE"""),"")</f>
        <v/>
      </c>
      <c r="I78" s="36" t="str">
        <f>IFERROR(__xludf.DUMMYFUNCTION("""COMPUTED_VALUE"""),"")</f>
        <v/>
      </c>
      <c r="J78" s="36" t="str">
        <f>IFERROR(__xludf.DUMMYFUNCTION("""COMPUTED_VALUE"""),"")</f>
        <v/>
      </c>
      <c r="N78" s="36">
        <v>77.0</v>
      </c>
      <c r="O78" s="36"/>
      <c r="P78" s="36" t="str">
        <f>IFERROR(__xludf.DUMMYFUNCTION("""COMPUTED_VALUE"""),"")</f>
        <v/>
      </c>
      <c r="Q78" s="36" t="str">
        <f>IFERROR(__xludf.DUMMYFUNCTION("""COMPUTED_VALUE"""),"")</f>
        <v/>
      </c>
    </row>
    <row r="79">
      <c r="B79" s="36"/>
      <c r="C79" s="36" t="str">
        <f>IFERROR(__xludf.DUMMYFUNCTION("""COMPUTED_VALUE"""),"")</f>
        <v/>
      </c>
      <c r="D79" s="36" t="str">
        <f>IFERROR(__xludf.DUMMYFUNCTION("""COMPUTED_VALUE"""),"")</f>
        <v/>
      </c>
      <c r="E79" s="36" t="str">
        <f>IFERROR(__xludf.DUMMYFUNCTION("""COMPUTED_VALUE"""),"")</f>
        <v/>
      </c>
      <c r="F79" s="36" t="str">
        <f>IFERROR(__xludf.DUMMYFUNCTION("""COMPUTED_VALUE"""),"")</f>
        <v/>
      </c>
      <c r="G79" s="36" t="str">
        <f>IFERROR(__xludf.DUMMYFUNCTION("""COMPUTED_VALUE"""),"")</f>
        <v/>
      </c>
      <c r="H79" s="36" t="str">
        <f>IFERROR(__xludf.DUMMYFUNCTION("""COMPUTED_VALUE"""),"")</f>
        <v/>
      </c>
      <c r="I79" s="36" t="str">
        <f>IFERROR(__xludf.DUMMYFUNCTION("""COMPUTED_VALUE"""),"")</f>
        <v/>
      </c>
      <c r="J79" s="36" t="str">
        <f>IFERROR(__xludf.DUMMYFUNCTION("""COMPUTED_VALUE"""),"")</f>
        <v/>
      </c>
      <c r="N79" s="36">
        <v>78.0</v>
      </c>
      <c r="O79" s="36"/>
      <c r="P79" s="36" t="str">
        <f>IFERROR(__xludf.DUMMYFUNCTION("""COMPUTED_VALUE"""),"")</f>
        <v/>
      </c>
      <c r="Q79" s="36" t="str">
        <f>IFERROR(__xludf.DUMMYFUNCTION("""COMPUTED_VALUE"""),"")</f>
        <v/>
      </c>
    </row>
    <row r="80">
      <c r="B80" s="36"/>
      <c r="C80" s="36" t="str">
        <f>IFERROR(__xludf.DUMMYFUNCTION("""COMPUTED_VALUE"""),"")</f>
        <v/>
      </c>
      <c r="D80" s="36" t="str">
        <f>IFERROR(__xludf.DUMMYFUNCTION("""COMPUTED_VALUE"""),"")</f>
        <v/>
      </c>
      <c r="E80" s="36" t="str">
        <f>IFERROR(__xludf.DUMMYFUNCTION("""COMPUTED_VALUE"""),"")</f>
        <v/>
      </c>
      <c r="F80" s="36" t="str">
        <f>IFERROR(__xludf.DUMMYFUNCTION("""COMPUTED_VALUE"""),"")</f>
        <v/>
      </c>
      <c r="G80" s="36" t="str">
        <f>IFERROR(__xludf.DUMMYFUNCTION("""COMPUTED_VALUE"""),"")</f>
        <v/>
      </c>
      <c r="H80" s="36" t="str">
        <f>IFERROR(__xludf.DUMMYFUNCTION("""COMPUTED_VALUE"""),"")</f>
        <v/>
      </c>
      <c r="I80" s="36" t="str">
        <f>IFERROR(__xludf.DUMMYFUNCTION("""COMPUTED_VALUE"""),"")</f>
        <v/>
      </c>
      <c r="J80" s="36" t="str">
        <f>IFERROR(__xludf.DUMMYFUNCTION("""COMPUTED_VALUE"""),"")</f>
        <v/>
      </c>
      <c r="N80" s="36">
        <v>79.0</v>
      </c>
      <c r="O80" s="36"/>
      <c r="P80" s="36" t="str">
        <f>IFERROR(__xludf.DUMMYFUNCTION("""COMPUTED_VALUE"""),"")</f>
        <v/>
      </c>
      <c r="Q80" s="36" t="str">
        <f>IFERROR(__xludf.DUMMYFUNCTION("""COMPUTED_VALUE"""),"")</f>
        <v/>
      </c>
    </row>
    <row r="81">
      <c r="B81" s="36"/>
      <c r="C81" s="36" t="str">
        <f>IFERROR(__xludf.DUMMYFUNCTION("""COMPUTED_VALUE"""),"")</f>
        <v/>
      </c>
      <c r="D81" s="36" t="str">
        <f>IFERROR(__xludf.DUMMYFUNCTION("""COMPUTED_VALUE"""),"")</f>
        <v/>
      </c>
      <c r="E81" s="36" t="str">
        <f>IFERROR(__xludf.DUMMYFUNCTION("""COMPUTED_VALUE"""),"")</f>
        <v/>
      </c>
      <c r="F81" s="36" t="str">
        <f>IFERROR(__xludf.DUMMYFUNCTION("""COMPUTED_VALUE"""),"")</f>
        <v/>
      </c>
      <c r="G81" s="36" t="str">
        <f>IFERROR(__xludf.DUMMYFUNCTION("""COMPUTED_VALUE"""),"")</f>
        <v/>
      </c>
      <c r="H81" s="36" t="str">
        <f>IFERROR(__xludf.DUMMYFUNCTION("""COMPUTED_VALUE"""),"")</f>
        <v/>
      </c>
      <c r="I81" s="36" t="str">
        <f>IFERROR(__xludf.DUMMYFUNCTION("""COMPUTED_VALUE"""),"")</f>
        <v/>
      </c>
      <c r="J81" s="36" t="str">
        <f>IFERROR(__xludf.DUMMYFUNCTION("""COMPUTED_VALUE"""),"")</f>
        <v/>
      </c>
      <c r="N81" s="36">
        <v>80.0</v>
      </c>
      <c r="O81" s="36"/>
      <c r="P81" s="36" t="str">
        <f>IFERROR(__xludf.DUMMYFUNCTION("""COMPUTED_VALUE"""),"")</f>
        <v/>
      </c>
      <c r="Q81" s="36" t="str">
        <f>IFERROR(__xludf.DUMMYFUNCTION("""COMPUTED_VALUE"""),"")</f>
        <v/>
      </c>
    </row>
    <row r="82">
      <c r="B82" s="36"/>
      <c r="C82" s="36" t="str">
        <f>IFERROR(__xludf.DUMMYFUNCTION("""COMPUTED_VALUE"""),"")</f>
        <v/>
      </c>
      <c r="D82" s="36" t="str">
        <f>IFERROR(__xludf.DUMMYFUNCTION("""COMPUTED_VALUE"""),"")</f>
        <v/>
      </c>
      <c r="E82" s="36" t="str">
        <f>IFERROR(__xludf.DUMMYFUNCTION("""COMPUTED_VALUE"""),"")</f>
        <v/>
      </c>
      <c r="F82" s="36" t="str">
        <f>IFERROR(__xludf.DUMMYFUNCTION("""COMPUTED_VALUE"""),"")</f>
        <v/>
      </c>
      <c r="G82" s="36" t="str">
        <f>IFERROR(__xludf.DUMMYFUNCTION("""COMPUTED_VALUE"""),"")</f>
        <v/>
      </c>
      <c r="H82" s="36" t="str">
        <f>IFERROR(__xludf.DUMMYFUNCTION("""COMPUTED_VALUE"""),"")</f>
        <v/>
      </c>
      <c r="I82" s="36" t="str">
        <f>IFERROR(__xludf.DUMMYFUNCTION("""COMPUTED_VALUE"""),"")</f>
        <v/>
      </c>
      <c r="J82" s="36" t="str">
        <f>IFERROR(__xludf.DUMMYFUNCTION("""COMPUTED_VALUE"""),"")</f>
        <v/>
      </c>
      <c r="N82" s="36">
        <v>81.0</v>
      </c>
      <c r="O82" s="36"/>
      <c r="P82" s="36" t="str">
        <f>IFERROR(__xludf.DUMMYFUNCTION("""COMPUTED_VALUE"""),"")</f>
        <v/>
      </c>
      <c r="Q82" s="36" t="str">
        <f>IFERROR(__xludf.DUMMYFUNCTION("""COMPUTED_VALUE"""),"")</f>
        <v/>
      </c>
    </row>
    <row r="83">
      <c r="B83" s="36"/>
      <c r="C83" s="36" t="str">
        <f>IFERROR(__xludf.DUMMYFUNCTION("""COMPUTED_VALUE"""),"")</f>
        <v/>
      </c>
      <c r="D83" s="36" t="str">
        <f>IFERROR(__xludf.DUMMYFUNCTION("""COMPUTED_VALUE"""),"")</f>
        <v/>
      </c>
      <c r="E83" s="36" t="str">
        <f>IFERROR(__xludf.DUMMYFUNCTION("""COMPUTED_VALUE"""),"")</f>
        <v/>
      </c>
      <c r="F83" s="36" t="str">
        <f>IFERROR(__xludf.DUMMYFUNCTION("""COMPUTED_VALUE"""),"")</f>
        <v/>
      </c>
      <c r="G83" s="36" t="str">
        <f>IFERROR(__xludf.DUMMYFUNCTION("""COMPUTED_VALUE"""),"")</f>
        <v/>
      </c>
      <c r="H83" s="36" t="str">
        <f>IFERROR(__xludf.DUMMYFUNCTION("""COMPUTED_VALUE"""),"")</f>
        <v/>
      </c>
      <c r="I83" s="36" t="str">
        <f>IFERROR(__xludf.DUMMYFUNCTION("""COMPUTED_VALUE"""),"")</f>
        <v/>
      </c>
      <c r="J83" s="36" t="str">
        <f>IFERROR(__xludf.DUMMYFUNCTION("""COMPUTED_VALUE"""),"")</f>
        <v/>
      </c>
      <c r="N83" s="36">
        <v>82.0</v>
      </c>
      <c r="O83" s="36"/>
      <c r="P83" s="36" t="str">
        <f>IFERROR(__xludf.DUMMYFUNCTION("""COMPUTED_VALUE"""),"")</f>
        <v/>
      </c>
      <c r="Q83" s="36" t="str">
        <f>IFERROR(__xludf.DUMMYFUNCTION("""COMPUTED_VALUE"""),"")</f>
        <v/>
      </c>
    </row>
    <row r="84">
      <c r="B84" s="36"/>
      <c r="C84" s="36" t="str">
        <f>IFERROR(__xludf.DUMMYFUNCTION("""COMPUTED_VALUE"""),"")</f>
        <v/>
      </c>
      <c r="D84" s="36" t="str">
        <f>IFERROR(__xludf.DUMMYFUNCTION("""COMPUTED_VALUE"""),"")</f>
        <v/>
      </c>
      <c r="E84" s="36" t="str">
        <f>IFERROR(__xludf.DUMMYFUNCTION("""COMPUTED_VALUE"""),"")</f>
        <v/>
      </c>
      <c r="F84" s="36" t="str">
        <f>IFERROR(__xludf.DUMMYFUNCTION("""COMPUTED_VALUE"""),"")</f>
        <v/>
      </c>
      <c r="G84" s="36" t="str">
        <f>IFERROR(__xludf.DUMMYFUNCTION("""COMPUTED_VALUE"""),"")</f>
        <v/>
      </c>
      <c r="H84" s="36" t="str">
        <f>IFERROR(__xludf.DUMMYFUNCTION("""COMPUTED_VALUE"""),"")</f>
        <v/>
      </c>
      <c r="I84" s="36" t="str">
        <f>IFERROR(__xludf.DUMMYFUNCTION("""COMPUTED_VALUE"""),"")</f>
        <v/>
      </c>
      <c r="J84" s="36" t="str">
        <f>IFERROR(__xludf.DUMMYFUNCTION("""COMPUTED_VALUE"""),"")</f>
        <v/>
      </c>
      <c r="N84" s="36">
        <v>83.0</v>
      </c>
      <c r="O84" s="36"/>
      <c r="P84" s="36" t="str">
        <f>IFERROR(__xludf.DUMMYFUNCTION("""COMPUTED_VALUE"""),"")</f>
        <v/>
      </c>
      <c r="Q84" s="36" t="str">
        <f>IFERROR(__xludf.DUMMYFUNCTION("""COMPUTED_VALUE"""),"")</f>
        <v/>
      </c>
    </row>
    <row r="85">
      <c r="B85" s="36"/>
      <c r="C85" s="36" t="str">
        <f>IFERROR(__xludf.DUMMYFUNCTION("""COMPUTED_VALUE"""),"")</f>
        <v/>
      </c>
      <c r="D85" s="36" t="str">
        <f>IFERROR(__xludf.DUMMYFUNCTION("""COMPUTED_VALUE"""),"")</f>
        <v/>
      </c>
      <c r="E85" s="36" t="str">
        <f>IFERROR(__xludf.DUMMYFUNCTION("""COMPUTED_VALUE"""),"")</f>
        <v/>
      </c>
      <c r="F85" s="36" t="str">
        <f>IFERROR(__xludf.DUMMYFUNCTION("""COMPUTED_VALUE"""),"")</f>
        <v/>
      </c>
      <c r="G85" s="36" t="str">
        <f>IFERROR(__xludf.DUMMYFUNCTION("""COMPUTED_VALUE"""),"")</f>
        <v/>
      </c>
      <c r="H85" s="36" t="str">
        <f>IFERROR(__xludf.DUMMYFUNCTION("""COMPUTED_VALUE"""),"")</f>
        <v/>
      </c>
      <c r="I85" s="36" t="str">
        <f>IFERROR(__xludf.DUMMYFUNCTION("""COMPUTED_VALUE"""),"")</f>
        <v/>
      </c>
      <c r="J85" s="36" t="str">
        <f>IFERROR(__xludf.DUMMYFUNCTION("""COMPUTED_VALUE"""),"")</f>
        <v/>
      </c>
      <c r="N85" s="36">
        <v>84.0</v>
      </c>
      <c r="O85" s="36"/>
      <c r="P85" s="36" t="str">
        <f>IFERROR(__xludf.DUMMYFUNCTION("""COMPUTED_VALUE"""),"")</f>
        <v/>
      </c>
      <c r="Q85" s="36" t="str">
        <f>IFERROR(__xludf.DUMMYFUNCTION("""COMPUTED_VALUE"""),"")</f>
        <v/>
      </c>
    </row>
    <row r="86">
      <c r="B86" s="36"/>
      <c r="C86" s="36" t="str">
        <f>IFERROR(__xludf.DUMMYFUNCTION("""COMPUTED_VALUE"""),"")</f>
        <v/>
      </c>
      <c r="D86" s="36" t="str">
        <f>IFERROR(__xludf.DUMMYFUNCTION("""COMPUTED_VALUE"""),"")</f>
        <v/>
      </c>
      <c r="E86" s="36" t="str">
        <f>IFERROR(__xludf.DUMMYFUNCTION("""COMPUTED_VALUE"""),"")</f>
        <v/>
      </c>
      <c r="F86" s="36" t="str">
        <f>IFERROR(__xludf.DUMMYFUNCTION("""COMPUTED_VALUE"""),"")</f>
        <v/>
      </c>
      <c r="G86" s="36" t="str">
        <f>IFERROR(__xludf.DUMMYFUNCTION("""COMPUTED_VALUE"""),"")</f>
        <v/>
      </c>
      <c r="H86" s="36" t="str">
        <f>IFERROR(__xludf.DUMMYFUNCTION("""COMPUTED_VALUE"""),"")</f>
        <v/>
      </c>
      <c r="I86" s="36" t="str">
        <f>IFERROR(__xludf.DUMMYFUNCTION("""COMPUTED_VALUE"""),"")</f>
        <v/>
      </c>
      <c r="J86" s="36" t="str">
        <f>IFERROR(__xludf.DUMMYFUNCTION("""COMPUTED_VALUE"""),"")</f>
        <v/>
      </c>
      <c r="N86" s="36">
        <v>85.0</v>
      </c>
      <c r="O86" s="36"/>
      <c r="P86" s="36" t="str">
        <f>IFERROR(__xludf.DUMMYFUNCTION("""COMPUTED_VALUE"""),"")</f>
        <v/>
      </c>
      <c r="Q86" s="36" t="str">
        <f>IFERROR(__xludf.DUMMYFUNCTION("""COMPUTED_VALUE"""),"")</f>
        <v/>
      </c>
    </row>
    <row r="87">
      <c r="B87" s="36"/>
      <c r="C87" s="36" t="str">
        <f>IFERROR(__xludf.DUMMYFUNCTION("""COMPUTED_VALUE"""),"")</f>
        <v/>
      </c>
      <c r="D87" s="36" t="str">
        <f>IFERROR(__xludf.DUMMYFUNCTION("""COMPUTED_VALUE"""),"")</f>
        <v/>
      </c>
      <c r="E87" s="36" t="str">
        <f>IFERROR(__xludf.DUMMYFUNCTION("""COMPUTED_VALUE"""),"")</f>
        <v/>
      </c>
      <c r="F87" s="36" t="str">
        <f>IFERROR(__xludf.DUMMYFUNCTION("""COMPUTED_VALUE"""),"")</f>
        <v/>
      </c>
      <c r="G87" s="36" t="str">
        <f>IFERROR(__xludf.DUMMYFUNCTION("""COMPUTED_VALUE"""),"")</f>
        <v/>
      </c>
      <c r="H87" s="36" t="str">
        <f>IFERROR(__xludf.DUMMYFUNCTION("""COMPUTED_VALUE"""),"")</f>
        <v/>
      </c>
      <c r="I87" s="36" t="str">
        <f>IFERROR(__xludf.DUMMYFUNCTION("""COMPUTED_VALUE"""),"")</f>
        <v/>
      </c>
      <c r="J87" s="36" t="str">
        <f>IFERROR(__xludf.DUMMYFUNCTION("""COMPUTED_VALUE"""),"")</f>
        <v/>
      </c>
      <c r="N87" s="36">
        <v>86.0</v>
      </c>
      <c r="O87" s="36"/>
      <c r="P87" s="36" t="str">
        <f>IFERROR(__xludf.DUMMYFUNCTION("""COMPUTED_VALUE"""),"")</f>
        <v/>
      </c>
      <c r="Q87" s="36" t="str">
        <f>IFERROR(__xludf.DUMMYFUNCTION("""COMPUTED_VALUE"""),"")</f>
        <v/>
      </c>
    </row>
    <row r="88">
      <c r="B88" s="36"/>
      <c r="C88" s="36" t="str">
        <f>IFERROR(__xludf.DUMMYFUNCTION("""COMPUTED_VALUE"""),"")</f>
        <v/>
      </c>
      <c r="D88" s="36" t="str">
        <f>IFERROR(__xludf.DUMMYFUNCTION("""COMPUTED_VALUE"""),"")</f>
        <v/>
      </c>
      <c r="E88" s="36" t="str">
        <f>IFERROR(__xludf.DUMMYFUNCTION("""COMPUTED_VALUE"""),"")</f>
        <v/>
      </c>
      <c r="F88" s="36" t="str">
        <f>IFERROR(__xludf.DUMMYFUNCTION("""COMPUTED_VALUE"""),"")</f>
        <v/>
      </c>
      <c r="G88" s="36" t="str">
        <f>IFERROR(__xludf.DUMMYFUNCTION("""COMPUTED_VALUE"""),"")</f>
        <v/>
      </c>
      <c r="H88" s="36" t="str">
        <f>IFERROR(__xludf.DUMMYFUNCTION("""COMPUTED_VALUE"""),"")</f>
        <v/>
      </c>
      <c r="I88" s="36" t="str">
        <f>IFERROR(__xludf.DUMMYFUNCTION("""COMPUTED_VALUE"""),"")</f>
        <v/>
      </c>
      <c r="J88" s="36" t="str">
        <f>IFERROR(__xludf.DUMMYFUNCTION("""COMPUTED_VALUE"""),"")</f>
        <v/>
      </c>
      <c r="N88" s="36">
        <v>87.0</v>
      </c>
      <c r="O88" s="36"/>
      <c r="P88" s="36" t="str">
        <f>IFERROR(__xludf.DUMMYFUNCTION("""COMPUTED_VALUE"""),"")</f>
        <v/>
      </c>
      <c r="Q88" s="36" t="str">
        <f>IFERROR(__xludf.DUMMYFUNCTION("""COMPUTED_VALUE"""),"")</f>
        <v/>
      </c>
    </row>
    <row r="89">
      <c r="B89" s="36"/>
      <c r="C89" s="36" t="str">
        <f>IFERROR(__xludf.DUMMYFUNCTION("""COMPUTED_VALUE"""),"")</f>
        <v/>
      </c>
      <c r="D89" s="36" t="str">
        <f>IFERROR(__xludf.DUMMYFUNCTION("""COMPUTED_VALUE"""),"")</f>
        <v/>
      </c>
      <c r="E89" s="36" t="str">
        <f>IFERROR(__xludf.DUMMYFUNCTION("""COMPUTED_VALUE"""),"")</f>
        <v/>
      </c>
      <c r="F89" s="36" t="str">
        <f>IFERROR(__xludf.DUMMYFUNCTION("""COMPUTED_VALUE"""),"")</f>
        <v/>
      </c>
      <c r="G89" s="36" t="str">
        <f>IFERROR(__xludf.DUMMYFUNCTION("""COMPUTED_VALUE"""),"")</f>
        <v/>
      </c>
      <c r="H89" s="36" t="str">
        <f>IFERROR(__xludf.DUMMYFUNCTION("""COMPUTED_VALUE"""),"")</f>
        <v/>
      </c>
      <c r="I89" s="36" t="str">
        <f>IFERROR(__xludf.DUMMYFUNCTION("""COMPUTED_VALUE"""),"")</f>
        <v/>
      </c>
      <c r="J89" s="36" t="str">
        <f>IFERROR(__xludf.DUMMYFUNCTION("""COMPUTED_VALUE"""),"")</f>
        <v/>
      </c>
      <c r="N89" s="36">
        <v>88.0</v>
      </c>
      <c r="O89" s="36"/>
      <c r="P89" s="36" t="str">
        <f>IFERROR(__xludf.DUMMYFUNCTION("""COMPUTED_VALUE"""),"")</f>
        <v/>
      </c>
      <c r="Q89" s="36" t="str">
        <f>IFERROR(__xludf.DUMMYFUNCTION("""COMPUTED_VALUE"""),"")</f>
        <v/>
      </c>
    </row>
    <row r="90">
      <c r="B90" s="36"/>
      <c r="C90" s="36" t="str">
        <f>IFERROR(__xludf.DUMMYFUNCTION("""COMPUTED_VALUE"""),"")</f>
        <v/>
      </c>
      <c r="D90" s="36" t="str">
        <f>IFERROR(__xludf.DUMMYFUNCTION("""COMPUTED_VALUE"""),"")</f>
        <v/>
      </c>
      <c r="E90" s="36" t="str">
        <f>IFERROR(__xludf.DUMMYFUNCTION("""COMPUTED_VALUE"""),"")</f>
        <v/>
      </c>
      <c r="F90" s="36" t="str">
        <f>IFERROR(__xludf.DUMMYFUNCTION("""COMPUTED_VALUE"""),"")</f>
        <v/>
      </c>
      <c r="G90" s="36" t="str">
        <f>IFERROR(__xludf.DUMMYFUNCTION("""COMPUTED_VALUE"""),"")</f>
        <v/>
      </c>
      <c r="H90" s="36" t="str">
        <f>IFERROR(__xludf.DUMMYFUNCTION("""COMPUTED_VALUE"""),"")</f>
        <v/>
      </c>
      <c r="I90" s="36" t="str">
        <f>IFERROR(__xludf.DUMMYFUNCTION("""COMPUTED_VALUE"""),"")</f>
        <v/>
      </c>
      <c r="J90" s="36" t="str">
        <f>IFERROR(__xludf.DUMMYFUNCTION("""COMPUTED_VALUE"""),"")</f>
        <v/>
      </c>
      <c r="N90" s="36">
        <v>89.0</v>
      </c>
      <c r="O90" s="36"/>
      <c r="P90" s="36" t="str">
        <f>IFERROR(__xludf.DUMMYFUNCTION("""COMPUTED_VALUE"""),"")</f>
        <v/>
      </c>
      <c r="Q90" s="36" t="str">
        <f>IFERROR(__xludf.DUMMYFUNCTION("""COMPUTED_VALUE"""),"")</f>
        <v/>
      </c>
    </row>
    <row r="91">
      <c r="B91" s="36"/>
      <c r="C91" s="36" t="str">
        <f>IFERROR(__xludf.DUMMYFUNCTION("""COMPUTED_VALUE"""),"")</f>
        <v/>
      </c>
      <c r="D91" s="36" t="str">
        <f>IFERROR(__xludf.DUMMYFUNCTION("""COMPUTED_VALUE"""),"")</f>
        <v/>
      </c>
      <c r="E91" s="36" t="str">
        <f>IFERROR(__xludf.DUMMYFUNCTION("""COMPUTED_VALUE"""),"")</f>
        <v/>
      </c>
      <c r="F91" s="36" t="str">
        <f>IFERROR(__xludf.DUMMYFUNCTION("""COMPUTED_VALUE"""),"")</f>
        <v/>
      </c>
      <c r="G91" s="36" t="str">
        <f>IFERROR(__xludf.DUMMYFUNCTION("""COMPUTED_VALUE"""),"")</f>
        <v/>
      </c>
      <c r="H91" s="36" t="str">
        <f>IFERROR(__xludf.DUMMYFUNCTION("""COMPUTED_VALUE"""),"")</f>
        <v/>
      </c>
      <c r="I91" s="36" t="str">
        <f>IFERROR(__xludf.DUMMYFUNCTION("""COMPUTED_VALUE"""),"")</f>
        <v/>
      </c>
      <c r="J91" s="36" t="str">
        <f>IFERROR(__xludf.DUMMYFUNCTION("""COMPUTED_VALUE"""),"")</f>
        <v/>
      </c>
      <c r="N91" s="36">
        <v>90.0</v>
      </c>
      <c r="O91" s="36"/>
      <c r="P91" s="36" t="str">
        <f>IFERROR(__xludf.DUMMYFUNCTION("""COMPUTED_VALUE"""),"")</f>
        <v/>
      </c>
      <c r="Q91" s="36" t="str">
        <f>IFERROR(__xludf.DUMMYFUNCTION("""COMPUTED_VALUE"""),"")</f>
        <v/>
      </c>
    </row>
    <row r="92">
      <c r="B92" s="36"/>
      <c r="C92" s="36" t="str">
        <f>IFERROR(__xludf.DUMMYFUNCTION("""COMPUTED_VALUE"""),"")</f>
        <v/>
      </c>
      <c r="D92" s="36" t="str">
        <f>IFERROR(__xludf.DUMMYFUNCTION("""COMPUTED_VALUE"""),"")</f>
        <v/>
      </c>
      <c r="E92" s="36" t="str">
        <f>IFERROR(__xludf.DUMMYFUNCTION("""COMPUTED_VALUE"""),"")</f>
        <v/>
      </c>
      <c r="F92" s="36" t="str">
        <f>IFERROR(__xludf.DUMMYFUNCTION("""COMPUTED_VALUE"""),"")</f>
        <v/>
      </c>
      <c r="G92" s="36" t="str">
        <f>IFERROR(__xludf.DUMMYFUNCTION("""COMPUTED_VALUE"""),"")</f>
        <v/>
      </c>
      <c r="H92" s="36" t="str">
        <f>IFERROR(__xludf.DUMMYFUNCTION("""COMPUTED_VALUE"""),"")</f>
        <v/>
      </c>
      <c r="I92" s="36" t="str">
        <f>IFERROR(__xludf.DUMMYFUNCTION("""COMPUTED_VALUE"""),"")</f>
        <v/>
      </c>
      <c r="J92" s="36" t="str">
        <f>IFERROR(__xludf.DUMMYFUNCTION("""COMPUTED_VALUE"""),"")</f>
        <v/>
      </c>
      <c r="N92" s="36">
        <v>91.0</v>
      </c>
      <c r="O92" s="36"/>
      <c r="P92" s="36" t="str">
        <f>IFERROR(__xludf.DUMMYFUNCTION("""COMPUTED_VALUE"""),"")</f>
        <v/>
      </c>
      <c r="Q92" s="36" t="str">
        <f>IFERROR(__xludf.DUMMYFUNCTION("""COMPUTED_VALUE"""),"")</f>
        <v/>
      </c>
    </row>
    <row r="93">
      <c r="B93" s="36"/>
      <c r="C93" s="36" t="str">
        <f>IFERROR(__xludf.DUMMYFUNCTION("""COMPUTED_VALUE"""),"")</f>
        <v/>
      </c>
      <c r="D93" s="36" t="str">
        <f>IFERROR(__xludf.DUMMYFUNCTION("""COMPUTED_VALUE"""),"")</f>
        <v/>
      </c>
      <c r="E93" s="36" t="str">
        <f>IFERROR(__xludf.DUMMYFUNCTION("""COMPUTED_VALUE"""),"")</f>
        <v/>
      </c>
      <c r="F93" s="36" t="str">
        <f>IFERROR(__xludf.DUMMYFUNCTION("""COMPUTED_VALUE"""),"")</f>
        <v/>
      </c>
      <c r="G93" s="36" t="str">
        <f>IFERROR(__xludf.DUMMYFUNCTION("""COMPUTED_VALUE"""),"")</f>
        <v/>
      </c>
      <c r="H93" s="36" t="str">
        <f>IFERROR(__xludf.DUMMYFUNCTION("""COMPUTED_VALUE"""),"")</f>
        <v/>
      </c>
      <c r="I93" s="36" t="str">
        <f>IFERROR(__xludf.DUMMYFUNCTION("""COMPUTED_VALUE"""),"")</f>
        <v/>
      </c>
      <c r="J93" s="36" t="str">
        <f>IFERROR(__xludf.DUMMYFUNCTION("""COMPUTED_VALUE"""),"")</f>
        <v/>
      </c>
      <c r="N93" s="36">
        <v>92.0</v>
      </c>
      <c r="O93" s="36"/>
      <c r="P93" s="36" t="str">
        <f>IFERROR(__xludf.DUMMYFUNCTION("""COMPUTED_VALUE"""),"")</f>
        <v/>
      </c>
      <c r="Q93" s="36" t="str">
        <f>IFERROR(__xludf.DUMMYFUNCTION("""COMPUTED_VALUE"""),"")</f>
        <v/>
      </c>
    </row>
    <row r="94">
      <c r="B94" s="36"/>
      <c r="C94" s="36" t="str">
        <f>IFERROR(__xludf.DUMMYFUNCTION("""COMPUTED_VALUE"""),"")</f>
        <v/>
      </c>
      <c r="D94" s="36" t="str">
        <f>IFERROR(__xludf.DUMMYFUNCTION("""COMPUTED_VALUE"""),"")</f>
        <v/>
      </c>
      <c r="E94" s="36" t="str">
        <f>IFERROR(__xludf.DUMMYFUNCTION("""COMPUTED_VALUE"""),"")</f>
        <v/>
      </c>
      <c r="F94" s="36" t="str">
        <f>IFERROR(__xludf.DUMMYFUNCTION("""COMPUTED_VALUE"""),"")</f>
        <v/>
      </c>
      <c r="G94" s="36" t="str">
        <f>IFERROR(__xludf.DUMMYFUNCTION("""COMPUTED_VALUE"""),"")</f>
        <v/>
      </c>
      <c r="H94" s="36" t="str">
        <f>IFERROR(__xludf.DUMMYFUNCTION("""COMPUTED_VALUE"""),"")</f>
        <v/>
      </c>
      <c r="I94" s="36" t="str">
        <f>IFERROR(__xludf.DUMMYFUNCTION("""COMPUTED_VALUE"""),"")</f>
        <v/>
      </c>
      <c r="J94" s="36" t="str">
        <f>IFERROR(__xludf.DUMMYFUNCTION("""COMPUTED_VALUE"""),"")</f>
        <v/>
      </c>
      <c r="N94" s="36">
        <v>93.0</v>
      </c>
      <c r="O94" s="36"/>
      <c r="P94" s="36" t="str">
        <f>IFERROR(__xludf.DUMMYFUNCTION("""COMPUTED_VALUE"""),"")</f>
        <v/>
      </c>
      <c r="Q94" s="36" t="str">
        <f>IFERROR(__xludf.DUMMYFUNCTION("""COMPUTED_VALUE"""),"")</f>
        <v/>
      </c>
    </row>
    <row r="95">
      <c r="B95" s="36"/>
      <c r="C95" s="36" t="str">
        <f>IFERROR(__xludf.DUMMYFUNCTION("""COMPUTED_VALUE"""),"")</f>
        <v/>
      </c>
      <c r="D95" s="36" t="str">
        <f>IFERROR(__xludf.DUMMYFUNCTION("""COMPUTED_VALUE"""),"")</f>
        <v/>
      </c>
      <c r="E95" s="36" t="str">
        <f>IFERROR(__xludf.DUMMYFUNCTION("""COMPUTED_VALUE"""),"")</f>
        <v/>
      </c>
      <c r="F95" s="36" t="str">
        <f>IFERROR(__xludf.DUMMYFUNCTION("""COMPUTED_VALUE"""),"")</f>
        <v/>
      </c>
      <c r="G95" s="36" t="str">
        <f>IFERROR(__xludf.DUMMYFUNCTION("""COMPUTED_VALUE"""),"")</f>
        <v/>
      </c>
      <c r="H95" s="36" t="str">
        <f>IFERROR(__xludf.DUMMYFUNCTION("""COMPUTED_VALUE"""),"")</f>
        <v/>
      </c>
      <c r="I95" s="36" t="str">
        <f>IFERROR(__xludf.DUMMYFUNCTION("""COMPUTED_VALUE"""),"")</f>
        <v/>
      </c>
      <c r="J95" s="36" t="str">
        <f>IFERROR(__xludf.DUMMYFUNCTION("""COMPUTED_VALUE"""),"")</f>
        <v/>
      </c>
      <c r="N95" s="36">
        <v>94.0</v>
      </c>
      <c r="O95" s="36"/>
      <c r="P95" s="36" t="str">
        <f>IFERROR(__xludf.DUMMYFUNCTION("""COMPUTED_VALUE"""),"")</f>
        <v/>
      </c>
      <c r="Q95" s="36" t="str">
        <f>IFERROR(__xludf.DUMMYFUNCTION("""COMPUTED_VALUE"""),"")</f>
        <v/>
      </c>
    </row>
    <row r="96">
      <c r="B96" s="36"/>
      <c r="C96" s="36" t="str">
        <f>IFERROR(__xludf.DUMMYFUNCTION("""COMPUTED_VALUE"""),"")</f>
        <v/>
      </c>
      <c r="D96" s="36" t="str">
        <f>IFERROR(__xludf.DUMMYFUNCTION("""COMPUTED_VALUE"""),"")</f>
        <v/>
      </c>
      <c r="E96" s="36" t="str">
        <f>IFERROR(__xludf.DUMMYFUNCTION("""COMPUTED_VALUE"""),"")</f>
        <v/>
      </c>
      <c r="F96" s="36" t="str">
        <f>IFERROR(__xludf.DUMMYFUNCTION("""COMPUTED_VALUE"""),"")</f>
        <v/>
      </c>
      <c r="G96" s="36" t="str">
        <f>IFERROR(__xludf.DUMMYFUNCTION("""COMPUTED_VALUE"""),"")</f>
        <v/>
      </c>
      <c r="H96" s="36" t="str">
        <f>IFERROR(__xludf.DUMMYFUNCTION("""COMPUTED_VALUE"""),"")</f>
        <v/>
      </c>
      <c r="I96" s="36" t="str">
        <f>IFERROR(__xludf.DUMMYFUNCTION("""COMPUTED_VALUE"""),"")</f>
        <v/>
      </c>
      <c r="J96" s="36" t="str">
        <f>IFERROR(__xludf.DUMMYFUNCTION("""COMPUTED_VALUE"""),"")</f>
        <v/>
      </c>
      <c r="N96" s="36">
        <v>95.0</v>
      </c>
      <c r="O96" s="36"/>
      <c r="P96" s="36" t="str">
        <f>IFERROR(__xludf.DUMMYFUNCTION("""COMPUTED_VALUE"""),"")</f>
        <v/>
      </c>
      <c r="Q96" s="36" t="str">
        <f>IFERROR(__xludf.DUMMYFUNCTION("""COMPUTED_VALUE"""),"")</f>
        <v/>
      </c>
    </row>
    <row r="97">
      <c r="B97" s="36"/>
      <c r="C97" s="36" t="str">
        <f>IFERROR(__xludf.DUMMYFUNCTION("""COMPUTED_VALUE"""),"")</f>
        <v/>
      </c>
      <c r="D97" s="36" t="str">
        <f>IFERROR(__xludf.DUMMYFUNCTION("""COMPUTED_VALUE"""),"")</f>
        <v/>
      </c>
      <c r="E97" s="36" t="str">
        <f>IFERROR(__xludf.DUMMYFUNCTION("""COMPUTED_VALUE"""),"")</f>
        <v/>
      </c>
      <c r="F97" s="36" t="str">
        <f>IFERROR(__xludf.DUMMYFUNCTION("""COMPUTED_VALUE"""),"")</f>
        <v/>
      </c>
      <c r="G97" s="36" t="str">
        <f>IFERROR(__xludf.DUMMYFUNCTION("""COMPUTED_VALUE"""),"")</f>
        <v/>
      </c>
      <c r="H97" s="36" t="str">
        <f>IFERROR(__xludf.DUMMYFUNCTION("""COMPUTED_VALUE"""),"")</f>
        <v/>
      </c>
      <c r="I97" s="36" t="str">
        <f>IFERROR(__xludf.DUMMYFUNCTION("""COMPUTED_VALUE"""),"")</f>
        <v/>
      </c>
      <c r="J97" s="36" t="str">
        <f>IFERROR(__xludf.DUMMYFUNCTION("""COMPUTED_VALUE"""),"")</f>
        <v/>
      </c>
      <c r="N97" s="36">
        <v>96.0</v>
      </c>
      <c r="O97" s="36"/>
      <c r="P97" s="36" t="str">
        <f>IFERROR(__xludf.DUMMYFUNCTION("""COMPUTED_VALUE"""),"")</f>
        <v/>
      </c>
      <c r="Q97" s="36" t="str">
        <f>IFERROR(__xludf.DUMMYFUNCTION("""COMPUTED_VALUE"""),"")</f>
        <v/>
      </c>
    </row>
    <row r="98">
      <c r="B98" s="36"/>
      <c r="C98" s="36" t="str">
        <f>IFERROR(__xludf.DUMMYFUNCTION("""COMPUTED_VALUE"""),"")</f>
        <v/>
      </c>
      <c r="D98" s="36" t="str">
        <f>IFERROR(__xludf.DUMMYFUNCTION("""COMPUTED_VALUE"""),"")</f>
        <v/>
      </c>
      <c r="E98" s="36" t="str">
        <f>IFERROR(__xludf.DUMMYFUNCTION("""COMPUTED_VALUE"""),"")</f>
        <v/>
      </c>
      <c r="F98" s="36" t="str">
        <f>IFERROR(__xludf.DUMMYFUNCTION("""COMPUTED_VALUE"""),"")</f>
        <v/>
      </c>
      <c r="G98" s="36" t="str">
        <f>IFERROR(__xludf.DUMMYFUNCTION("""COMPUTED_VALUE"""),"")</f>
        <v/>
      </c>
      <c r="H98" s="36" t="str">
        <f>IFERROR(__xludf.DUMMYFUNCTION("""COMPUTED_VALUE"""),"")</f>
        <v/>
      </c>
      <c r="I98" s="36" t="str">
        <f>IFERROR(__xludf.DUMMYFUNCTION("""COMPUTED_VALUE"""),"")</f>
        <v/>
      </c>
      <c r="J98" s="36" t="str">
        <f>IFERROR(__xludf.DUMMYFUNCTION("""COMPUTED_VALUE"""),"")</f>
        <v/>
      </c>
      <c r="N98" s="36">
        <v>97.0</v>
      </c>
      <c r="O98" s="36"/>
      <c r="P98" s="36" t="str">
        <f>IFERROR(__xludf.DUMMYFUNCTION("""COMPUTED_VALUE"""),"")</f>
        <v/>
      </c>
      <c r="Q98" s="36" t="str">
        <f>IFERROR(__xludf.DUMMYFUNCTION("""COMPUTED_VALUE"""),"")</f>
        <v/>
      </c>
    </row>
    <row r="99">
      <c r="B99" s="36"/>
      <c r="C99" s="36" t="str">
        <f>IFERROR(__xludf.DUMMYFUNCTION("""COMPUTED_VALUE"""),"")</f>
        <v/>
      </c>
      <c r="D99" s="36" t="str">
        <f>IFERROR(__xludf.DUMMYFUNCTION("""COMPUTED_VALUE"""),"")</f>
        <v/>
      </c>
      <c r="E99" s="36" t="str">
        <f>IFERROR(__xludf.DUMMYFUNCTION("""COMPUTED_VALUE"""),"")</f>
        <v/>
      </c>
      <c r="F99" s="36" t="str">
        <f>IFERROR(__xludf.DUMMYFUNCTION("""COMPUTED_VALUE"""),"")</f>
        <v/>
      </c>
      <c r="G99" s="36" t="str">
        <f>IFERROR(__xludf.DUMMYFUNCTION("""COMPUTED_VALUE"""),"")</f>
        <v/>
      </c>
      <c r="H99" s="36" t="str">
        <f>IFERROR(__xludf.DUMMYFUNCTION("""COMPUTED_VALUE"""),"")</f>
        <v/>
      </c>
      <c r="I99" s="36" t="str">
        <f>IFERROR(__xludf.DUMMYFUNCTION("""COMPUTED_VALUE"""),"")</f>
        <v/>
      </c>
      <c r="J99" s="36" t="str">
        <f>IFERROR(__xludf.DUMMYFUNCTION("""COMPUTED_VALUE"""),"")</f>
        <v/>
      </c>
      <c r="N99" s="36">
        <v>98.0</v>
      </c>
      <c r="O99" s="36"/>
      <c r="P99" s="36" t="str">
        <f>IFERROR(__xludf.DUMMYFUNCTION("""COMPUTED_VALUE"""),"")</f>
        <v/>
      </c>
      <c r="Q99" s="36" t="str">
        <f>IFERROR(__xludf.DUMMYFUNCTION("""COMPUTED_VALUE"""),"")</f>
        <v/>
      </c>
    </row>
    <row r="100">
      <c r="B100" s="36"/>
      <c r="C100" s="36" t="str">
        <f>IFERROR(__xludf.DUMMYFUNCTION("""COMPUTED_VALUE"""),"")</f>
        <v/>
      </c>
      <c r="D100" s="36" t="str">
        <f>IFERROR(__xludf.DUMMYFUNCTION("""COMPUTED_VALUE"""),"")</f>
        <v/>
      </c>
      <c r="E100" s="36" t="str">
        <f>IFERROR(__xludf.DUMMYFUNCTION("""COMPUTED_VALUE"""),"")</f>
        <v/>
      </c>
      <c r="F100" s="36" t="str">
        <f>IFERROR(__xludf.DUMMYFUNCTION("""COMPUTED_VALUE"""),"")</f>
        <v/>
      </c>
      <c r="G100" s="36" t="str">
        <f>IFERROR(__xludf.DUMMYFUNCTION("""COMPUTED_VALUE"""),"")</f>
        <v/>
      </c>
      <c r="H100" s="36" t="str">
        <f>IFERROR(__xludf.DUMMYFUNCTION("""COMPUTED_VALUE"""),"")</f>
        <v/>
      </c>
      <c r="I100" s="36" t="str">
        <f>IFERROR(__xludf.DUMMYFUNCTION("""COMPUTED_VALUE"""),"")</f>
        <v/>
      </c>
      <c r="J100" s="36" t="str">
        <f>IFERROR(__xludf.DUMMYFUNCTION("""COMPUTED_VALUE"""),"")</f>
        <v/>
      </c>
      <c r="N100" s="36">
        <v>99.0</v>
      </c>
      <c r="O100" s="36"/>
      <c r="P100" s="36" t="str">
        <f>IFERROR(__xludf.DUMMYFUNCTION("""COMPUTED_VALUE"""),"")</f>
        <v/>
      </c>
      <c r="Q100" s="36" t="str">
        <f>IFERROR(__xludf.DUMMYFUNCTION("""COMPUTED_VALUE"""),"")</f>
        <v/>
      </c>
    </row>
    <row r="101">
      <c r="B101" s="36"/>
      <c r="C101" s="36" t="str">
        <f>IFERROR(__xludf.DUMMYFUNCTION("""COMPUTED_VALUE"""),"")</f>
        <v/>
      </c>
      <c r="D101" s="36" t="str">
        <f>IFERROR(__xludf.DUMMYFUNCTION("""COMPUTED_VALUE"""),"")</f>
        <v/>
      </c>
      <c r="E101" s="36" t="str">
        <f>IFERROR(__xludf.DUMMYFUNCTION("""COMPUTED_VALUE"""),"")</f>
        <v/>
      </c>
      <c r="F101" s="36" t="str">
        <f>IFERROR(__xludf.DUMMYFUNCTION("""COMPUTED_VALUE"""),"")</f>
        <v/>
      </c>
      <c r="G101" s="36" t="str">
        <f>IFERROR(__xludf.DUMMYFUNCTION("""COMPUTED_VALUE"""),"")</f>
        <v/>
      </c>
      <c r="H101" s="36" t="str">
        <f>IFERROR(__xludf.DUMMYFUNCTION("""COMPUTED_VALUE"""),"")</f>
        <v/>
      </c>
      <c r="I101" s="36" t="str">
        <f>IFERROR(__xludf.DUMMYFUNCTION("""COMPUTED_VALUE"""),"")</f>
        <v/>
      </c>
      <c r="J101" s="36" t="str">
        <f>IFERROR(__xludf.DUMMYFUNCTION("""COMPUTED_VALUE"""),"")</f>
        <v/>
      </c>
      <c r="N101" s="36">
        <v>100.0</v>
      </c>
      <c r="O101" s="36"/>
      <c r="P101" s="36" t="str">
        <f>IFERROR(__xludf.DUMMYFUNCTION("""COMPUTED_VALUE"""),"")</f>
        <v/>
      </c>
      <c r="Q101" s="36" t="str">
        <f>IFERROR(__xludf.DUMMYFUNCTION("""COMPUTED_VALUE"""),"")</f>
        <v/>
      </c>
    </row>
    <row r="102">
      <c r="B102" s="36"/>
      <c r="C102" s="36" t="str">
        <f>IFERROR(__xludf.DUMMYFUNCTION("""COMPUTED_VALUE"""),"")</f>
        <v/>
      </c>
      <c r="D102" s="36" t="str">
        <f>IFERROR(__xludf.DUMMYFUNCTION("""COMPUTED_VALUE"""),"")</f>
        <v/>
      </c>
      <c r="E102" s="36" t="str">
        <f>IFERROR(__xludf.DUMMYFUNCTION("""COMPUTED_VALUE"""),"")</f>
        <v/>
      </c>
      <c r="F102" s="36" t="str">
        <f>IFERROR(__xludf.DUMMYFUNCTION("""COMPUTED_VALUE"""),"")</f>
        <v/>
      </c>
      <c r="G102" s="36" t="str">
        <f>IFERROR(__xludf.DUMMYFUNCTION("""COMPUTED_VALUE"""),"")</f>
        <v/>
      </c>
      <c r="H102" s="36" t="str">
        <f>IFERROR(__xludf.DUMMYFUNCTION("""COMPUTED_VALUE"""),"")</f>
        <v/>
      </c>
      <c r="I102" s="36" t="str">
        <f>IFERROR(__xludf.DUMMYFUNCTION("""COMPUTED_VALUE"""),"")</f>
        <v/>
      </c>
      <c r="J102" s="36" t="str">
        <f>IFERROR(__xludf.DUMMYFUNCTION("""COMPUTED_VALUE"""),"")</f>
        <v/>
      </c>
      <c r="O102" s="36"/>
      <c r="P102" s="36" t="str">
        <f>IFERROR(__xludf.DUMMYFUNCTION("""COMPUTED_VALUE"""),"")</f>
        <v/>
      </c>
      <c r="Q102" s="36" t="str">
        <f>IFERROR(__xludf.DUMMYFUNCTION("""COMPUTED_VALUE"""),"")</f>
        <v/>
      </c>
    </row>
    <row r="103">
      <c r="B103" s="36"/>
      <c r="C103" s="36" t="str">
        <f>IFERROR(__xludf.DUMMYFUNCTION("""COMPUTED_VALUE"""),"")</f>
        <v/>
      </c>
      <c r="D103" s="36" t="str">
        <f>IFERROR(__xludf.DUMMYFUNCTION("""COMPUTED_VALUE"""),"")</f>
        <v/>
      </c>
      <c r="E103" s="36" t="str">
        <f>IFERROR(__xludf.DUMMYFUNCTION("""COMPUTED_VALUE"""),"")</f>
        <v/>
      </c>
      <c r="F103" s="36" t="str">
        <f>IFERROR(__xludf.DUMMYFUNCTION("""COMPUTED_VALUE"""),"")</f>
        <v/>
      </c>
      <c r="G103" s="36" t="str">
        <f>IFERROR(__xludf.DUMMYFUNCTION("""COMPUTED_VALUE"""),"")</f>
        <v/>
      </c>
      <c r="H103" s="36" t="str">
        <f>IFERROR(__xludf.DUMMYFUNCTION("""COMPUTED_VALUE"""),"")</f>
        <v/>
      </c>
      <c r="I103" s="36" t="str">
        <f>IFERROR(__xludf.DUMMYFUNCTION("""COMPUTED_VALUE"""),"")</f>
        <v/>
      </c>
      <c r="J103" s="36" t="str">
        <f>IFERROR(__xludf.DUMMYFUNCTION("""COMPUTED_VALUE"""),"")</f>
        <v/>
      </c>
      <c r="O103" s="36"/>
      <c r="P103" s="36" t="str">
        <f>IFERROR(__xludf.DUMMYFUNCTION("""COMPUTED_VALUE"""),"")</f>
        <v/>
      </c>
      <c r="Q103" s="36" t="str">
        <f>IFERROR(__xludf.DUMMYFUNCTION("""COMPUTED_VALUE"""),"")</f>
        <v/>
      </c>
    </row>
    <row r="104">
      <c r="B104" s="36"/>
      <c r="C104" s="36" t="str">
        <f>IFERROR(__xludf.DUMMYFUNCTION("""COMPUTED_VALUE"""),"")</f>
        <v/>
      </c>
      <c r="D104" s="36" t="str">
        <f>IFERROR(__xludf.DUMMYFUNCTION("""COMPUTED_VALUE"""),"")</f>
        <v/>
      </c>
      <c r="E104" s="36" t="str">
        <f>IFERROR(__xludf.DUMMYFUNCTION("""COMPUTED_VALUE"""),"")</f>
        <v/>
      </c>
      <c r="F104" s="36" t="str">
        <f>IFERROR(__xludf.DUMMYFUNCTION("""COMPUTED_VALUE"""),"")</f>
        <v/>
      </c>
      <c r="G104" s="36" t="str">
        <f>IFERROR(__xludf.DUMMYFUNCTION("""COMPUTED_VALUE"""),"")</f>
        <v/>
      </c>
      <c r="H104" s="36" t="str">
        <f>IFERROR(__xludf.DUMMYFUNCTION("""COMPUTED_VALUE"""),"")</f>
        <v/>
      </c>
      <c r="I104" s="36" t="str">
        <f>IFERROR(__xludf.DUMMYFUNCTION("""COMPUTED_VALUE"""),"")</f>
        <v/>
      </c>
      <c r="J104" s="36" t="str">
        <f>IFERROR(__xludf.DUMMYFUNCTION("""COMPUTED_VALUE"""),"")</f>
        <v/>
      </c>
      <c r="O104" s="36"/>
      <c r="P104" s="36" t="str">
        <f>IFERROR(__xludf.DUMMYFUNCTION("""COMPUTED_VALUE"""),"")</f>
        <v/>
      </c>
      <c r="Q104" s="36" t="str">
        <f>IFERROR(__xludf.DUMMYFUNCTION("""COMPUTED_VALUE"""),"")</f>
        <v/>
      </c>
    </row>
    <row r="105">
      <c r="B105" s="36"/>
      <c r="C105" s="36" t="str">
        <f>IFERROR(__xludf.DUMMYFUNCTION("""COMPUTED_VALUE"""),"")</f>
        <v/>
      </c>
      <c r="D105" s="36" t="str">
        <f>IFERROR(__xludf.DUMMYFUNCTION("""COMPUTED_VALUE"""),"")</f>
        <v/>
      </c>
      <c r="E105" s="36" t="str">
        <f>IFERROR(__xludf.DUMMYFUNCTION("""COMPUTED_VALUE"""),"")</f>
        <v/>
      </c>
      <c r="F105" s="36" t="str">
        <f>IFERROR(__xludf.DUMMYFUNCTION("""COMPUTED_VALUE"""),"")</f>
        <v/>
      </c>
      <c r="G105" s="36" t="str">
        <f>IFERROR(__xludf.DUMMYFUNCTION("""COMPUTED_VALUE"""),"")</f>
        <v/>
      </c>
      <c r="H105" s="36" t="str">
        <f>IFERROR(__xludf.DUMMYFUNCTION("""COMPUTED_VALUE"""),"")</f>
        <v/>
      </c>
      <c r="I105" s="36" t="str">
        <f>IFERROR(__xludf.DUMMYFUNCTION("""COMPUTED_VALUE"""),"")</f>
        <v/>
      </c>
      <c r="J105" s="36" t="str">
        <f>IFERROR(__xludf.DUMMYFUNCTION("""COMPUTED_VALUE"""),"")</f>
        <v/>
      </c>
      <c r="O105" s="36"/>
      <c r="P105" s="36" t="str">
        <f>IFERROR(__xludf.DUMMYFUNCTION("""COMPUTED_VALUE"""),"")</f>
        <v/>
      </c>
      <c r="Q105" s="36" t="str">
        <f>IFERROR(__xludf.DUMMYFUNCTION("""COMPUTED_VALUE"""),"")</f>
        <v/>
      </c>
    </row>
    <row r="106">
      <c r="B106" s="36"/>
      <c r="C106" s="36" t="str">
        <f>IFERROR(__xludf.DUMMYFUNCTION("""COMPUTED_VALUE"""),"")</f>
        <v/>
      </c>
      <c r="D106" s="36" t="str">
        <f>IFERROR(__xludf.DUMMYFUNCTION("""COMPUTED_VALUE"""),"")</f>
        <v/>
      </c>
      <c r="E106" s="36" t="str">
        <f>IFERROR(__xludf.DUMMYFUNCTION("""COMPUTED_VALUE"""),"")</f>
        <v/>
      </c>
      <c r="F106" s="36" t="str">
        <f>IFERROR(__xludf.DUMMYFUNCTION("""COMPUTED_VALUE"""),"")</f>
        <v/>
      </c>
      <c r="G106" s="36" t="str">
        <f>IFERROR(__xludf.DUMMYFUNCTION("""COMPUTED_VALUE"""),"")</f>
        <v/>
      </c>
      <c r="H106" s="36" t="str">
        <f>IFERROR(__xludf.DUMMYFUNCTION("""COMPUTED_VALUE"""),"")</f>
        <v/>
      </c>
      <c r="I106" s="36" t="str">
        <f>IFERROR(__xludf.DUMMYFUNCTION("""COMPUTED_VALUE"""),"")</f>
        <v/>
      </c>
      <c r="J106" s="36" t="str">
        <f>IFERROR(__xludf.DUMMYFUNCTION("""COMPUTED_VALUE"""),"")</f>
        <v/>
      </c>
      <c r="O106" s="36"/>
      <c r="P106" s="36" t="str">
        <f>IFERROR(__xludf.DUMMYFUNCTION("""COMPUTED_VALUE"""),"")</f>
        <v/>
      </c>
      <c r="Q106" s="36" t="str">
        <f>IFERROR(__xludf.DUMMYFUNCTION("""COMPUTED_VALUE"""),"")</f>
        <v/>
      </c>
    </row>
    <row r="107">
      <c r="B107" s="36"/>
      <c r="C107" s="36" t="str">
        <f>IFERROR(__xludf.DUMMYFUNCTION("""COMPUTED_VALUE"""),"")</f>
        <v/>
      </c>
      <c r="D107" s="36" t="str">
        <f>IFERROR(__xludf.DUMMYFUNCTION("""COMPUTED_VALUE"""),"")</f>
        <v/>
      </c>
      <c r="E107" s="36" t="str">
        <f>IFERROR(__xludf.DUMMYFUNCTION("""COMPUTED_VALUE"""),"")</f>
        <v/>
      </c>
      <c r="F107" s="36" t="str">
        <f>IFERROR(__xludf.DUMMYFUNCTION("""COMPUTED_VALUE"""),"")</f>
        <v/>
      </c>
      <c r="G107" s="36" t="str">
        <f>IFERROR(__xludf.DUMMYFUNCTION("""COMPUTED_VALUE"""),"")</f>
        <v/>
      </c>
      <c r="H107" s="36" t="str">
        <f>IFERROR(__xludf.DUMMYFUNCTION("""COMPUTED_VALUE"""),"")</f>
        <v/>
      </c>
      <c r="I107" s="36" t="str">
        <f>IFERROR(__xludf.DUMMYFUNCTION("""COMPUTED_VALUE"""),"")</f>
        <v/>
      </c>
      <c r="J107" s="36" t="str">
        <f>IFERROR(__xludf.DUMMYFUNCTION("""COMPUTED_VALUE"""),"")</f>
        <v/>
      </c>
      <c r="O107" s="36"/>
      <c r="P107" s="36" t="str">
        <f>IFERROR(__xludf.DUMMYFUNCTION("""COMPUTED_VALUE"""),"")</f>
        <v/>
      </c>
      <c r="Q107" s="36" t="str">
        <f>IFERROR(__xludf.DUMMYFUNCTION("""COMPUTED_VALUE"""),"")</f>
        <v/>
      </c>
    </row>
    <row r="108">
      <c r="B108" s="36"/>
      <c r="C108" s="36" t="str">
        <f>IFERROR(__xludf.DUMMYFUNCTION("""COMPUTED_VALUE"""),"")</f>
        <v/>
      </c>
      <c r="D108" s="36" t="str">
        <f>IFERROR(__xludf.DUMMYFUNCTION("""COMPUTED_VALUE"""),"")</f>
        <v/>
      </c>
      <c r="E108" s="36" t="str">
        <f>IFERROR(__xludf.DUMMYFUNCTION("""COMPUTED_VALUE"""),"")</f>
        <v/>
      </c>
      <c r="F108" s="36" t="str">
        <f>IFERROR(__xludf.DUMMYFUNCTION("""COMPUTED_VALUE"""),"")</f>
        <v/>
      </c>
      <c r="G108" s="36" t="str">
        <f>IFERROR(__xludf.DUMMYFUNCTION("""COMPUTED_VALUE"""),"")</f>
        <v/>
      </c>
      <c r="H108" s="36" t="str">
        <f>IFERROR(__xludf.DUMMYFUNCTION("""COMPUTED_VALUE"""),"")</f>
        <v/>
      </c>
      <c r="I108" s="36" t="str">
        <f>IFERROR(__xludf.DUMMYFUNCTION("""COMPUTED_VALUE"""),"")</f>
        <v/>
      </c>
      <c r="J108" s="36" t="str">
        <f>IFERROR(__xludf.DUMMYFUNCTION("""COMPUTED_VALUE"""),"")</f>
        <v/>
      </c>
      <c r="O108" s="36"/>
      <c r="P108" s="36" t="str">
        <f>IFERROR(__xludf.DUMMYFUNCTION("""COMPUTED_VALUE"""),"")</f>
        <v/>
      </c>
      <c r="Q108" s="36" t="str">
        <f>IFERROR(__xludf.DUMMYFUNCTION("""COMPUTED_VALUE"""),"")</f>
        <v/>
      </c>
    </row>
    <row r="109">
      <c r="B109" s="36"/>
      <c r="C109" s="36" t="str">
        <f>IFERROR(__xludf.DUMMYFUNCTION("""COMPUTED_VALUE"""),"")</f>
        <v/>
      </c>
      <c r="D109" s="36" t="str">
        <f>IFERROR(__xludf.DUMMYFUNCTION("""COMPUTED_VALUE"""),"")</f>
        <v/>
      </c>
      <c r="E109" s="36" t="str">
        <f>IFERROR(__xludf.DUMMYFUNCTION("""COMPUTED_VALUE"""),"")</f>
        <v/>
      </c>
      <c r="F109" s="36" t="str">
        <f>IFERROR(__xludf.DUMMYFUNCTION("""COMPUTED_VALUE"""),"")</f>
        <v/>
      </c>
      <c r="G109" s="36" t="str">
        <f>IFERROR(__xludf.DUMMYFUNCTION("""COMPUTED_VALUE"""),"")</f>
        <v/>
      </c>
      <c r="H109" s="36" t="str">
        <f>IFERROR(__xludf.DUMMYFUNCTION("""COMPUTED_VALUE"""),"")</f>
        <v/>
      </c>
      <c r="I109" s="36" t="str">
        <f>IFERROR(__xludf.DUMMYFUNCTION("""COMPUTED_VALUE"""),"")</f>
        <v/>
      </c>
      <c r="J109" s="36" t="str">
        <f>IFERROR(__xludf.DUMMYFUNCTION("""COMPUTED_VALUE"""),"")</f>
        <v/>
      </c>
      <c r="O109" s="36"/>
      <c r="P109" s="36" t="str">
        <f>IFERROR(__xludf.DUMMYFUNCTION("""COMPUTED_VALUE"""),"")</f>
        <v/>
      </c>
      <c r="Q109" s="36" t="str">
        <f>IFERROR(__xludf.DUMMYFUNCTION("""COMPUTED_VALUE"""),"")</f>
        <v/>
      </c>
    </row>
    <row r="110">
      <c r="B110" s="36"/>
      <c r="C110" s="36" t="str">
        <f>IFERROR(__xludf.DUMMYFUNCTION("""COMPUTED_VALUE"""),"")</f>
        <v/>
      </c>
      <c r="D110" s="36" t="str">
        <f>IFERROR(__xludf.DUMMYFUNCTION("""COMPUTED_VALUE"""),"")</f>
        <v/>
      </c>
      <c r="E110" s="36" t="str">
        <f>IFERROR(__xludf.DUMMYFUNCTION("""COMPUTED_VALUE"""),"")</f>
        <v/>
      </c>
      <c r="F110" s="36" t="str">
        <f>IFERROR(__xludf.DUMMYFUNCTION("""COMPUTED_VALUE"""),"")</f>
        <v/>
      </c>
      <c r="G110" s="36" t="str">
        <f>IFERROR(__xludf.DUMMYFUNCTION("""COMPUTED_VALUE"""),"")</f>
        <v/>
      </c>
      <c r="H110" s="36" t="str">
        <f>IFERROR(__xludf.DUMMYFUNCTION("""COMPUTED_VALUE"""),"")</f>
        <v/>
      </c>
      <c r="I110" s="36" t="str">
        <f>IFERROR(__xludf.DUMMYFUNCTION("""COMPUTED_VALUE"""),"")</f>
        <v/>
      </c>
      <c r="J110" s="36" t="str">
        <f>IFERROR(__xludf.DUMMYFUNCTION("""COMPUTED_VALUE"""),"")</f>
        <v/>
      </c>
      <c r="O110" s="36"/>
      <c r="P110" s="36" t="str">
        <f>IFERROR(__xludf.DUMMYFUNCTION("""COMPUTED_VALUE"""),"")</f>
        <v/>
      </c>
      <c r="Q110" s="36" t="str">
        <f>IFERROR(__xludf.DUMMYFUNCTION("""COMPUTED_VALUE"""),"")</f>
        <v/>
      </c>
    </row>
    <row r="111">
      <c r="B111" s="36"/>
      <c r="C111" s="36" t="str">
        <f>IFERROR(__xludf.DUMMYFUNCTION("""COMPUTED_VALUE"""),"")</f>
        <v/>
      </c>
      <c r="D111" s="36" t="str">
        <f>IFERROR(__xludf.DUMMYFUNCTION("""COMPUTED_VALUE"""),"")</f>
        <v/>
      </c>
      <c r="E111" s="36" t="str">
        <f>IFERROR(__xludf.DUMMYFUNCTION("""COMPUTED_VALUE"""),"")</f>
        <v/>
      </c>
      <c r="F111" s="36" t="str">
        <f>IFERROR(__xludf.DUMMYFUNCTION("""COMPUTED_VALUE"""),"")</f>
        <v/>
      </c>
      <c r="G111" s="36" t="str">
        <f>IFERROR(__xludf.DUMMYFUNCTION("""COMPUTED_VALUE"""),"")</f>
        <v/>
      </c>
      <c r="H111" s="36" t="str">
        <f>IFERROR(__xludf.DUMMYFUNCTION("""COMPUTED_VALUE"""),"")</f>
        <v/>
      </c>
      <c r="I111" s="36" t="str">
        <f>IFERROR(__xludf.DUMMYFUNCTION("""COMPUTED_VALUE"""),"")</f>
        <v/>
      </c>
      <c r="J111" s="36" t="str">
        <f>IFERROR(__xludf.DUMMYFUNCTION("""COMPUTED_VALUE"""),"")</f>
        <v/>
      </c>
      <c r="O111" s="36"/>
      <c r="P111" s="36" t="str">
        <f>IFERROR(__xludf.DUMMYFUNCTION("""COMPUTED_VALUE"""),"")</f>
        <v/>
      </c>
      <c r="Q111" s="36" t="str">
        <f>IFERROR(__xludf.DUMMYFUNCTION("""COMPUTED_VALUE"""),"")</f>
        <v/>
      </c>
    </row>
    <row r="112">
      <c r="B112" s="36"/>
      <c r="C112" s="36" t="str">
        <f>IFERROR(__xludf.DUMMYFUNCTION("""COMPUTED_VALUE"""),"")</f>
        <v/>
      </c>
      <c r="D112" s="36" t="str">
        <f>IFERROR(__xludf.DUMMYFUNCTION("""COMPUTED_VALUE"""),"")</f>
        <v/>
      </c>
      <c r="E112" s="36" t="str">
        <f>IFERROR(__xludf.DUMMYFUNCTION("""COMPUTED_VALUE"""),"")</f>
        <v/>
      </c>
      <c r="F112" s="36" t="str">
        <f>IFERROR(__xludf.DUMMYFUNCTION("""COMPUTED_VALUE"""),"")</f>
        <v/>
      </c>
      <c r="G112" s="36" t="str">
        <f>IFERROR(__xludf.DUMMYFUNCTION("""COMPUTED_VALUE"""),"")</f>
        <v/>
      </c>
      <c r="H112" s="36" t="str">
        <f>IFERROR(__xludf.DUMMYFUNCTION("""COMPUTED_VALUE"""),"")</f>
        <v/>
      </c>
      <c r="I112" s="36" t="str">
        <f>IFERROR(__xludf.DUMMYFUNCTION("""COMPUTED_VALUE"""),"")</f>
        <v/>
      </c>
      <c r="J112" s="36" t="str">
        <f>IFERROR(__xludf.DUMMYFUNCTION("""COMPUTED_VALUE"""),"")</f>
        <v/>
      </c>
      <c r="O112" s="36"/>
      <c r="P112" s="36" t="str">
        <f>IFERROR(__xludf.DUMMYFUNCTION("""COMPUTED_VALUE"""),"")</f>
        <v/>
      </c>
      <c r="Q112" s="36" t="str">
        <f>IFERROR(__xludf.DUMMYFUNCTION("""COMPUTED_VALUE"""),"")</f>
        <v/>
      </c>
    </row>
    <row r="113">
      <c r="B113" s="36"/>
      <c r="C113" s="36" t="str">
        <f>IFERROR(__xludf.DUMMYFUNCTION("""COMPUTED_VALUE"""),"")</f>
        <v/>
      </c>
      <c r="D113" s="36" t="str">
        <f>IFERROR(__xludf.DUMMYFUNCTION("""COMPUTED_VALUE"""),"")</f>
        <v/>
      </c>
      <c r="E113" s="36" t="str">
        <f>IFERROR(__xludf.DUMMYFUNCTION("""COMPUTED_VALUE"""),"")</f>
        <v/>
      </c>
      <c r="F113" s="36" t="str">
        <f>IFERROR(__xludf.DUMMYFUNCTION("""COMPUTED_VALUE"""),"")</f>
        <v/>
      </c>
      <c r="G113" s="36" t="str">
        <f>IFERROR(__xludf.DUMMYFUNCTION("""COMPUTED_VALUE"""),"")</f>
        <v/>
      </c>
      <c r="H113" s="36" t="str">
        <f>IFERROR(__xludf.DUMMYFUNCTION("""COMPUTED_VALUE"""),"")</f>
        <v/>
      </c>
      <c r="I113" s="36" t="str">
        <f>IFERROR(__xludf.DUMMYFUNCTION("""COMPUTED_VALUE"""),"")</f>
        <v/>
      </c>
      <c r="J113" s="36" t="str">
        <f>IFERROR(__xludf.DUMMYFUNCTION("""COMPUTED_VALUE"""),"")</f>
        <v/>
      </c>
      <c r="O113" s="36"/>
      <c r="P113" s="36" t="str">
        <f>IFERROR(__xludf.DUMMYFUNCTION("""COMPUTED_VALUE"""),"")</f>
        <v/>
      </c>
      <c r="Q113" s="36" t="str">
        <f>IFERROR(__xludf.DUMMYFUNCTION("""COMPUTED_VALUE"""),"")</f>
        <v/>
      </c>
    </row>
    <row r="114">
      <c r="B114" s="36"/>
      <c r="C114" s="36" t="str">
        <f>IFERROR(__xludf.DUMMYFUNCTION("""COMPUTED_VALUE"""),"")</f>
        <v/>
      </c>
      <c r="D114" s="36" t="str">
        <f>IFERROR(__xludf.DUMMYFUNCTION("""COMPUTED_VALUE"""),"")</f>
        <v/>
      </c>
      <c r="E114" s="36" t="str">
        <f>IFERROR(__xludf.DUMMYFUNCTION("""COMPUTED_VALUE"""),"")</f>
        <v/>
      </c>
      <c r="F114" s="36" t="str">
        <f>IFERROR(__xludf.DUMMYFUNCTION("""COMPUTED_VALUE"""),"")</f>
        <v/>
      </c>
      <c r="G114" s="36" t="str">
        <f>IFERROR(__xludf.DUMMYFUNCTION("""COMPUTED_VALUE"""),"")</f>
        <v/>
      </c>
      <c r="H114" s="36" t="str">
        <f>IFERROR(__xludf.DUMMYFUNCTION("""COMPUTED_VALUE"""),"")</f>
        <v/>
      </c>
      <c r="I114" s="36" t="str">
        <f>IFERROR(__xludf.DUMMYFUNCTION("""COMPUTED_VALUE"""),"")</f>
        <v/>
      </c>
      <c r="J114" s="36" t="str">
        <f>IFERROR(__xludf.DUMMYFUNCTION("""COMPUTED_VALUE"""),"")</f>
        <v/>
      </c>
      <c r="O114" s="36"/>
      <c r="P114" s="36" t="str">
        <f>IFERROR(__xludf.DUMMYFUNCTION("""COMPUTED_VALUE"""),"")</f>
        <v/>
      </c>
      <c r="Q114" s="36" t="str">
        <f>IFERROR(__xludf.DUMMYFUNCTION("""COMPUTED_VALUE"""),"")</f>
        <v/>
      </c>
    </row>
    <row r="115">
      <c r="B115" s="36"/>
      <c r="C115" s="36" t="str">
        <f>IFERROR(__xludf.DUMMYFUNCTION("""COMPUTED_VALUE"""),"")</f>
        <v/>
      </c>
      <c r="D115" s="36" t="str">
        <f>IFERROR(__xludf.DUMMYFUNCTION("""COMPUTED_VALUE"""),"")</f>
        <v/>
      </c>
      <c r="E115" s="36" t="str">
        <f>IFERROR(__xludf.DUMMYFUNCTION("""COMPUTED_VALUE"""),"")</f>
        <v/>
      </c>
      <c r="F115" s="36" t="str">
        <f>IFERROR(__xludf.DUMMYFUNCTION("""COMPUTED_VALUE"""),"")</f>
        <v/>
      </c>
      <c r="G115" s="36" t="str">
        <f>IFERROR(__xludf.DUMMYFUNCTION("""COMPUTED_VALUE"""),"")</f>
        <v/>
      </c>
      <c r="H115" s="36" t="str">
        <f>IFERROR(__xludf.DUMMYFUNCTION("""COMPUTED_VALUE"""),"")</f>
        <v/>
      </c>
      <c r="I115" s="36" t="str">
        <f>IFERROR(__xludf.DUMMYFUNCTION("""COMPUTED_VALUE"""),"")</f>
        <v/>
      </c>
      <c r="J115" s="36" t="str">
        <f>IFERROR(__xludf.DUMMYFUNCTION("""COMPUTED_VALUE"""),"")</f>
        <v/>
      </c>
      <c r="O115" s="36"/>
      <c r="P115" s="36" t="str">
        <f>IFERROR(__xludf.DUMMYFUNCTION("""COMPUTED_VALUE"""),"")</f>
        <v/>
      </c>
      <c r="Q115" s="36" t="str">
        <f>IFERROR(__xludf.DUMMYFUNCTION("""COMPUTED_VALUE"""),"")</f>
        <v/>
      </c>
    </row>
    <row r="116">
      <c r="B116" s="36"/>
      <c r="C116" s="36" t="str">
        <f>IFERROR(__xludf.DUMMYFUNCTION("""COMPUTED_VALUE"""),"")</f>
        <v/>
      </c>
      <c r="D116" s="36" t="str">
        <f>IFERROR(__xludf.DUMMYFUNCTION("""COMPUTED_VALUE"""),"")</f>
        <v/>
      </c>
      <c r="E116" s="36" t="str">
        <f>IFERROR(__xludf.DUMMYFUNCTION("""COMPUTED_VALUE"""),"")</f>
        <v/>
      </c>
      <c r="F116" s="36" t="str">
        <f>IFERROR(__xludf.DUMMYFUNCTION("""COMPUTED_VALUE"""),"")</f>
        <v/>
      </c>
      <c r="G116" s="36" t="str">
        <f>IFERROR(__xludf.DUMMYFUNCTION("""COMPUTED_VALUE"""),"")</f>
        <v/>
      </c>
      <c r="H116" s="36" t="str">
        <f>IFERROR(__xludf.DUMMYFUNCTION("""COMPUTED_VALUE"""),"")</f>
        <v/>
      </c>
      <c r="I116" s="36" t="str">
        <f>IFERROR(__xludf.DUMMYFUNCTION("""COMPUTED_VALUE"""),"")</f>
        <v/>
      </c>
      <c r="J116" s="36" t="str">
        <f>IFERROR(__xludf.DUMMYFUNCTION("""COMPUTED_VALUE"""),"")</f>
        <v/>
      </c>
      <c r="O116" s="36"/>
      <c r="P116" s="36" t="str">
        <f>IFERROR(__xludf.DUMMYFUNCTION("""COMPUTED_VALUE"""),"")</f>
        <v/>
      </c>
      <c r="Q116" s="36" t="str">
        <f>IFERROR(__xludf.DUMMYFUNCTION("""COMPUTED_VALUE"""),"")</f>
        <v/>
      </c>
    </row>
    <row r="117">
      <c r="B117" s="36"/>
      <c r="C117" s="36" t="str">
        <f>IFERROR(__xludf.DUMMYFUNCTION("""COMPUTED_VALUE"""),"")</f>
        <v/>
      </c>
      <c r="D117" s="36" t="str">
        <f>IFERROR(__xludf.DUMMYFUNCTION("""COMPUTED_VALUE"""),"")</f>
        <v/>
      </c>
      <c r="E117" s="36" t="str">
        <f>IFERROR(__xludf.DUMMYFUNCTION("""COMPUTED_VALUE"""),"")</f>
        <v/>
      </c>
      <c r="F117" s="36" t="str">
        <f>IFERROR(__xludf.DUMMYFUNCTION("""COMPUTED_VALUE"""),"")</f>
        <v/>
      </c>
      <c r="G117" s="36" t="str">
        <f>IFERROR(__xludf.DUMMYFUNCTION("""COMPUTED_VALUE"""),"")</f>
        <v/>
      </c>
      <c r="H117" s="36" t="str">
        <f>IFERROR(__xludf.DUMMYFUNCTION("""COMPUTED_VALUE"""),"")</f>
        <v/>
      </c>
      <c r="I117" s="36" t="str">
        <f>IFERROR(__xludf.DUMMYFUNCTION("""COMPUTED_VALUE"""),"")</f>
        <v/>
      </c>
      <c r="J117" s="36" t="str">
        <f>IFERROR(__xludf.DUMMYFUNCTION("""COMPUTED_VALUE"""),"")</f>
        <v/>
      </c>
      <c r="O117" s="36"/>
      <c r="P117" s="36" t="str">
        <f>IFERROR(__xludf.DUMMYFUNCTION("""COMPUTED_VALUE"""),"")</f>
        <v/>
      </c>
      <c r="Q117" s="36" t="str">
        <f>IFERROR(__xludf.DUMMYFUNCTION("""COMPUTED_VALUE"""),"")</f>
        <v/>
      </c>
    </row>
    <row r="118">
      <c r="B118" s="36"/>
      <c r="C118" s="36" t="str">
        <f>IFERROR(__xludf.DUMMYFUNCTION("""COMPUTED_VALUE"""),"")</f>
        <v/>
      </c>
      <c r="D118" s="36" t="str">
        <f>IFERROR(__xludf.DUMMYFUNCTION("""COMPUTED_VALUE"""),"")</f>
        <v/>
      </c>
      <c r="E118" s="36" t="str">
        <f>IFERROR(__xludf.DUMMYFUNCTION("""COMPUTED_VALUE"""),"")</f>
        <v/>
      </c>
      <c r="F118" s="36" t="str">
        <f>IFERROR(__xludf.DUMMYFUNCTION("""COMPUTED_VALUE"""),"")</f>
        <v/>
      </c>
      <c r="G118" s="36" t="str">
        <f>IFERROR(__xludf.DUMMYFUNCTION("""COMPUTED_VALUE"""),"")</f>
        <v/>
      </c>
      <c r="H118" s="36" t="str">
        <f>IFERROR(__xludf.DUMMYFUNCTION("""COMPUTED_VALUE"""),"")</f>
        <v/>
      </c>
      <c r="I118" s="36" t="str">
        <f>IFERROR(__xludf.DUMMYFUNCTION("""COMPUTED_VALUE"""),"")</f>
        <v/>
      </c>
      <c r="J118" s="36" t="str">
        <f>IFERROR(__xludf.DUMMYFUNCTION("""COMPUTED_VALUE"""),"")</f>
        <v/>
      </c>
      <c r="O118" s="36"/>
      <c r="P118" s="36" t="str">
        <f>IFERROR(__xludf.DUMMYFUNCTION("""COMPUTED_VALUE"""),"")</f>
        <v/>
      </c>
      <c r="Q118" s="36" t="str">
        <f>IFERROR(__xludf.DUMMYFUNCTION("""COMPUTED_VALUE"""),"")</f>
        <v/>
      </c>
    </row>
    <row r="119">
      <c r="B119" s="36"/>
      <c r="C119" s="36" t="str">
        <f>IFERROR(__xludf.DUMMYFUNCTION("""COMPUTED_VALUE"""),"")</f>
        <v/>
      </c>
      <c r="D119" s="36" t="str">
        <f>IFERROR(__xludf.DUMMYFUNCTION("""COMPUTED_VALUE"""),"")</f>
        <v/>
      </c>
      <c r="E119" s="36" t="str">
        <f>IFERROR(__xludf.DUMMYFUNCTION("""COMPUTED_VALUE"""),"")</f>
        <v/>
      </c>
      <c r="F119" s="36" t="str">
        <f>IFERROR(__xludf.DUMMYFUNCTION("""COMPUTED_VALUE"""),"")</f>
        <v/>
      </c>
      <c r="G119" s="36" t="str">
        <f>IFERROR(__xludf.DUMMYFUNCTION("""COMPUTED_VALUE"""),"")</f>
        <v/>
      </c>
      <c r="H119" s="36" t="str">
        <f>IFERROR(__xludf.DUMMYFUNCTION("""COMPUTED_VALUE"""),"")</f>
        <v/>
      </c>
      <c r="I119" s="36" t="str">
        <f>IFERROR(__xludf.DUMMYFUNCTION("""COMPUTED_VALUE"""),"")</f>
        <v/>
      </c>
      <c r="J119" s="36" t="str">
        <f>IFERROR(__xludf.DUMMYFUNCTION("""COMPUTED_VALUE"""),"")</f>
        <v/>
      </c>
      <c r="O119" s="36"/>
      <c r="P119" s="36" t="str">
        <f>IFERROR(__xludf.DUMMYFUNCTION("""COMPUTED_VALUE"""),"")</f>
        <v/>
      </c>
      <c r="Q119" s="36" t="str">
        <f>IFERROR(__xludf.DUMMYFUNCTION("""COMPUTED_VALUE"""),"")</f>
        <v/>
      </c>
    </row>
    <row r="120">
      <c r="B120" s="36"/>
      <c r="C120" s="36" t="str">
        <f>IFERROR(__xludf.DUMMYFUNCTION("""COMPUTED_VALUE"""),"")</f>
        <v/>
      </c>
      <c r="D120" s="36" t="str">
        <f>IFERROR(__xludf.DUMMYFUNCTION("""COMPUTED_VALUE"""),"")</f>
        <v/>
      </c>
      <c r="E120" s="36" t="str">
        <f>IFERROR(__xludf.DUMMYFUNCTION("""COMPUTED_VALUE"""),"")</f>
        <v/>
      </c>
      <c r="F120" s="36" t="str">
        <f>IFERROR(__xludf.DUMMYFUNCTION("""COMPUTED_VALUE"""),"")</f>
        <v/>
      </c>
      <c r="G120" s="36" t="str">
        <f>IFERROR(__xludf.DUMMYFUNCTION("""COMPUTED_VALUE"""),"")</f>
        <v/>
      </c>
      <c r="H120" s="36" t="str">
        <f>IFERROR(__xludf.DUMMYFUNCTION("""COMPUTED_VALUE"""),"")</f>
        <v/>
      </c>
      <c r="I120" s="36" t="str">
        <f>IFERROR(__xludf.DUMMYFUNCTION("""COMPUTED_VALUE"""),"")</f>
        <v/>
      </c>
      <c r="J120" s="36" t="str">
        <f>IFERROR(__xludf.DUMMYFUNCTION("""COMPUTED_VALUE"""),"")</f>
        <v/>
      </c>
      <c r="O120" s="36"/>
      <c r="P120" s="36" t="str">
        <f>IFERROR(__xludf.DUMMYFUNCTION("""COMPUTED_VALUE"""),"")</f>
        <v/>
      </c>
      <c r="Q120" s="36" t="str">
        <f>IFERROR(__xludf.DUMMYFUNCTION("""COMPUTED_VALUE"""),"")</f>
        <v/>
      </c>
    </row>
    <row r="121">
      <c r="B121" s="36"/>
      <c r="C121" s="36" t="str">
        <f>IFERROR(__xludf.DUMMYFUNCTION("""COMPUTED_VALUE"""),"")</f>
        <v/>
      </c>
      <c r="D121" s="36" t="str">
        <f>IFERROR(__xludf.DUMMYFUNCTION("""COMPUTED_VALUE"""),"")</f>
        <v/>
      </c>
      <c r="E121" s="36" t="str">
        <f>IFERROR(__xludf.DUMMYFUNCTION("""COMPUTED_VALUE"""),"")</f>
        <v/>
      </c>
      <c r="F121" s="36" t="str">
        <f>IFERROR(__xludf.DUMMYFUNCTION("""COMPUTED_VALUE"""),"")</f>
        <v/>
      </c>
      <c r="G121" s="36" t="str">
        <f>IFERROR(__xludf.DUMMYFUNCTION("""COMPUTED_VALUE"""),"")</f>
        <v/>
      </c>
      <c r="H121" s="36" t="str">
        <f>IFERROR(__xludf.DUMMYFUNCTION("""COMPUTED_VALUE"""),"")</f>
        <v/>
      </c>
      <c r="I121" s="36" t="str">
        <f>IFERROR(__xludf.DUMMYFUNCTION("""COMPUTED_VALUE"""),"")</f>
        <v/>
      </c>
      <c r="J121" s="36" t="str">
        <f>IFERROR(__xludf.DUMMYFUNCTION("""COMPUTED_VALUE"""),"")</f>
        <v/>
      </c>
      <c r="O121" s="36"/>
      <c r="P121" s="36" t="str">
        <f>IFERROR(__xludf.DUMMYFUNCTION("""COMPUTED_VALUE"""),"")</f>
        <v/>
      </c>
      <c r="Q121" s="36" t="str">
        <f>IFERROR(__xludf.DUMMYFUNCTION("""COMPUTED_VALUE"""),"")</f>
        <v/>
      </c>
    </row>
    <row r="122">
      <c r="B122" s="36"/>
      <c r="C122" s="36" t="str">
        <f>IFERROR(__xludf.DUMMYFUNCTION("""COMPUTED_VALUE"""),"")</f>
        <v/>
      </c>
      <c r="D122" s="36" t="str">
        <f>IFERROR(__xludf.DUMMYFUNCTION("""COMPUTED_VALUE"""),"")</f>
        <v/>
      </c>
      <c r="E122" s="36" t="str">
        <f>IFERROR(__xludf.DUMMYFUNCTION("""COMPUTED_VALUE"""),"")</f>
        <v/>
      </c>
      <c r="F122" s="36" t="str">
        <f>IFERROR(__xludf.DUMMYFUNCTION("""COMPUTED_VALUE"""),"")</f>
        <v/>
      </c>
      <c r="G122" s="36" t="str">
        <f>IFERROR(__xludf.DUMMYFUNCTION("""COMPUTED_VALUE"""),"")</f>
        <v/>
      </c>
      <c r="H122" s="36" t="str">
        <f>IFERROR(__xludf.DUMMYFUNCTION("""COMPUTED_VALUE"""),"")</f>
        <v/>
      </c>
      <c r="I122" s="36" t="str">
        <f>IFERROR(__xludf.DUMMYFUNCTION("""COMPUTED_VALUE"""),"")</f>
        <v/>
      </c>
      <c r="J122" s="36" t="str">
        <f>IFERROR(__xludf.DUMMYFUNCTION("""COMPUTED_VALUE"""),"")</f>
        <v/>
      </c>
      <c r="O122" s="36"/>
      <c r="P122" s="36" t="str">
        <f>IFERROR(__xludf.DUMMYFUNCTION("""COMPUTED_VALUE"""),"")</f>
        <v/>
      </c>
      <c r="Q122" s="36" t="str">
        <f>IFERROR(__xludf.DUMMYFUNCTION("""COMPUTED_VALUE"""),"")</f>
        <v/>
      </c>
    </row>
    <row r="123">
      <c r="B123" s="36"/>
      <c r="C123" s="36" t="str">
        <f>IFERROR(__xludf.DUMMYFUNCTION("""COMPUTED_VALUE"""),"")</f>
        <v/>
      </c>
      <c r="D123" s="36" t="str">
        <f>IFERROR(__xludf.DUMMYFUNCTION("""COMPUTED_VALUE"""),"")</f>
        <v/>
      </c>
      <c r="E123" s="36" t="str">
        <f>IFERROR(__xludf.DUMMYFUNCTION("""COMPUTED_VALUE"""),"")</f>
        <v/>
      </c>
      <c r="F123" s="36" t="str">
        <f>IFERROR(__xludf.DUMMYFUNCTION("""COMPUTED_VALUE"""),"")</f>
        <v/>
      </c>
      <c r="G123" s="36" t="str">
        <f>IFERROR(__xludf.DUMMYFUNCTION("""COMPUTED_VALUE"""),"")</f>
        <v/>
      </c>
      <c r="H123" s="36" t="str">
        <f>IFERROR(__xludf.DUMMYFUNCTION("""COMPUTED_VALUE"""),"")</f>
        <v/>
      </c>
      <c r="I123" s="36" t="str">
        <f>IFERROR(__xludf.DUMMYFUNCTION("""COMPUTED_VALUE"""),"")</f>
        <v/>
      </c>
      <c r="J123" s="36" t="str">
        <f>IFERROR(__xludf.DUMMYFUNCTION("""COMPUTED_VALUE"""),"")</f>
        <v/>
      </c>
      <c r="O123" s="36"/>
      <c r="P123" s="36" t="str">
        <f>IFERROR(__xludf.DUMMYFUNCTION("""COMPUTED_VALUE"""),"")</f>
        <v/>
      </c>
      <c r="Q123" s="36" t="str">
        <f>IFERROR(__xludf.DUMMYFUNCTION("""COMPUTED_VALUE"""),"")</f>
        <v/>
      </c>
    </row>
    <row r="124">
      <c r="B124" s="36"/>
      <c r="C124" s="36" t="str">
        <f>IFERROR(__xludf.DUMMYFUNCTION("""COMPUTED_VALUE"""),"")</f>
        <v/>
      </c>
      <c r="D124" s="36" t="str">
        <f>IFERROR(__xludf.DUMMYFUNCTION("""COMPUTED_VALUE"""),"")</f>
        <v/>
      </c>
      <c r="E124" s="36" t="str">
        <f>IFERROR(__xludf.DUMMYFUNCTION("""COMPUTED_VALUE"""),"")</f>
        <v/>
      </c>
      <c r="F124" s="36" t="str">
        <f>IFERROR(__xludf.DUMMYFUNCTION("""COMPUTED_VALUE"""),"")</f>
        <v/>
      </c>
      <c r="G124" s="36" t="str">
        <f>IFERROR(__xludf.DUMMYFUNCTION("""COMPUTED_VALUE"""),"")</f>
        <v/>
      </c>
      <c r="H124" s="36" t="str">
        <f>IFERROR(__xludf.DUMMYFUNCTION("""COMPUTED_VALUE"""),"")</f>
        <v/>
      </c>
      <c r="I124" s="36" t="str">
        <f>IFERROR(__xludf.DUMMYFUNCTION("""COMPUTED_VALUE"""),"")</f>
        <v/>
      </c>
      <c r="J124" s="36" t="str">
        <f>IFERROR(__xludf.DUMMYFUNCTION("""COMPUTED_VALUE"""),"")</f>
        <v/>
      </c>
      <c r="O124" s="36"/>
      <c r="P124" s="36" t="str">
        <f>IFERROR(__xludf.DUMMYFUNCTION("""COMPUTED_VALUE"""),"")</f>
        <v/>
      </c>
      <c r="Q124" s="36" t="str">
        <f>IFERROR(__xludf.DUMMYFUNCTION("""COMPUTED_VALUE"""),"")</f>
        <v/>
      </c>
    </row>
    <row r="125">
      <c r="B125" s="36"/>
      <c r="C125" s="36" t="str">
        <f>IFERROR(__xludf.DUMMYFUNCTION("""COMPUTED_VALUE"""),"")</f>
        <v/>
      </c>
      <c r="D125" s="36" t="str">
        <f>IFERROR(__xludf.DUMMYFUNCTION("""COMPUTED_VALUE"""),"")</f>
        <v/>
      </c>
      <c r="E125" s="36" t="str">
        <f>IFERROR(__xludf.DUMMYFUNCTION("""COMPUTED_VALUE"""),"")</f>
        <v/>
      </c>
      <c r="F125" s="36" t="str">
        <f>IFERROR(__xludf.DUMMYFUNCTION("""COMPUTED_VALUE"""),"")</f>
        <v/>
      </c>
      <c r="G125" s="36" t="str">
        <f>IFERROR(__xludf.DUMMYFUNCTION("""COMPUTED_VALUE"""),"")</f>
        <v/>
      </c>
      <c r="H125" s="36" t="str">
        <f>IFERROR(__xludf.DUMMYFUNCTION("""COMPUTED_VALUE"""),"")</f>
        <v/>
      </c>
      <c r="I125" s="36" t="str">
        <f>IFERROR(__xludf.DUMMYFUNCTION("""COMPUTED_VALUE"""),"")</f>
        <v/>
      </c>
      <c r="J125" s="36" t="str">
        <f>IFERROR(__xludf.DUMMYFUNCTION("""COMPUTED_VALUE"""),"")</f>
        <v/>
      </c>
      <c r="O125" s="36"/>
      <c r="P125" s="36" t="str">
        <f>IFERROR(__xludf.DUMMYFUNCTION("""COMPUTED_VALUE"""),"")</f>
        <v/>
      </c>
      <c r="Q125" s="36" t="str">
        <f>IFERROR(__xludf.DUMMYFUNCTION("""COMPUTED_VALUE"""),"")</f>
        <v/>
      </c>
    </row>
    <row r="126">
      <c r="B126" s="36"/>
      <c r="C126" s="36" t="str">
        <f>IFERROR(__xludf.DUMMYFUNCTION("""COMPUTED_VALUE"""),"")</f>
        <v/>
      </c>
      <c r="D126" s="36" t="str">
        <f>IFERROR(__xludf.DUMMYFUNCTION("""COMPUTED_VALUE"""),"")</f>
        <v/>
      </c>
      <c r="E126" s="36" t="str">
        <f>IFERROR(__xludf.DUMMYFUNCTION("""COMPUTED_VALUE"""),"")</f>
        <v/>
      </c>
      <c r="F126" s="36" t="str">
        <f>IFERROR(__xludf.DUMMYFUNCTION("""COMPUTED_VALUE"""),"")</f>
        <v/>
      </c>
      <c r="G126" s="36" t="str">
        <f>IFERROR(__xludf.DUMMYFUNCTION("""COMPUTED_VALUE"""),"")</f>
        <v/>
      </c>
      <c r="H126" s="36" t="str">
        <f>IFERROR(__xludf.DUMMYFUNCTION("""COMPUTED_VALUE"""),"")</f>
        <v/>
      </c>
      <c r="I126" s="36" t="str">
        <f>IFERROR(__xludf.DUMMYFUNCTION("""COMPUTED_VALUE"""),"")</f>
        <v/>
      </c>
      <c r="J126" s="36" t="str">
        <f>IFERROR(__xludf.DUMMYFUNCTION("""COMPUTED_VALUE"""),"")</f>
        <v/>
      </c>
      <c r="O126" s="36"/>
      <c r="P126" s="36" t="str">
        <f>IFERROR(__xludf.DUMMYFUNCTION("""COMPUTED_VALUE"""),"")</f>
        <v/>
      </c>
      <c r="Q126" s="36" t="str">
        <f>IFERROR(__xludf.DUMMYFUNCTION("""COMPUTED_VALUE"""),"")</f>
        <v/>
      </c>
    </row>
    <row r="127">
      <c r="B127" s="36"/>
      <c r="C127" s="36" t="str">
        <f>IFERROR(__xludf.DUMMYFUNCTION("""COMPUTED_VALUE"""),"")</f>
        <v/>
      </c>
      <c r="D127" s="36" t="str">
        <f>IFERROR(__xludf.DUMMYFUNCTION("""COMPUTED_VALUE"""),"")</f>
        <v/>
      </c>
      <c r="E127" s="36" t="str">
        <f>IFERROR(__xludf.DUMMYFUNCTION("""COMPUTED_VALUE"""),"")</f>
        <v/>
      </c>
      <c r="F127" s="36" t="str">
        <f>IFERROR(__xludf.DUMMYFUNCTION("""COMPUTED_VALUE"""),"")</f>
        <v/>
      </c>
      <c r="G127" s="36" t="str">
        <f>IFERROR(__xludf.DUMMYFUNCTION("""COMPUTED_VALUE"""),"")</f>
        <v/>
      </c>
      <c r="H127" s="36" t="str">
        <f>IFERROR(__xludf.DUMMYFUNCTION("""COMPUTED_VALUE"""),"")</f>
        <v/>
      </c>
      <c r="I127" s="36" t="str">
        <f>IFERROR(__xludf.DUMMYFUNCTION("""COMPUTED_VALUE"""),"")</f>
        <v/>
      </c>
      <c r="J127" s="36" t="str">
        <f>IFERROR(__xludf.DUMMYFUNCTION("""COMPUTED_VALUE"""),"")</f>
        <v/>
      </c>
      <c r="O127" s="36"/>
      <c r="P127" s="36" t="str">
        <f>IFERROR(__xludf.DUMMYFUNCTION("""COMPUTED_VALUE"""),"")</f>
        <v/>
      </c>
      <c r="Q127" s="36" t="str">
        <f>IFERROR(__xludf.DUMMYFUNCTION("""COMPUTED_VALUE"""),"")</f>
        <v/>
      </c>
    </row>
    <row r="128">
      <c r="B128" s="36"/>
      <c r="C128" s="36" t="str">
        <f>IFERROR(__xludf.DUMMYFUNCTION("""COMPUTED_VALUE"""),"")</f>
        <v/>
      </c>
      <c r="D128" s="36" t="str">
        <f>IFERROR(__xludf.DUMMYFUNCTION("""COMPUTED_VALUE"""),"")</f>
        <v/>
      </c>
      <c r="E128" s="36" t="str">
        <f>IFERROR(__xludf.DUMMYFUNCTION("""COMPUTED_VALUE"""),"")</f>
        <v/>
      </c>
      <c r="F128" s="36" t="str">
        <f>IFERROR(__xludf.DUMMYFUNCTION("""COMPUTED_VALUE"""),"")</f>
        <v/>
      </c>
      <c r="G128" s="36" t="str">
        <f>IFERROR(__xludf.DUMMYFUNCTION("""COMPUTED_VALUE"""),"")</f>
        <v/>
      </c>
      <c r="H128" s="36" t="str">
        <f>IFERROR(__xludf.DUMMYFUNCTION("""COMPUTED_VALUE"""),"")</f>
        <v/>
      </c>
      <c r="I128" s="36" t="str">
        <f>IFERROR(__xludf.DUMMYFUNCTION("""COMPUTED_VALUE"""),"")</f>
        <v/>
      </c>
      <c r="J128" s="36" t="str">
        <f>IFERROR(__xludf.DUMMYFUNCTION("""COMPUTED_VALUE"""),"")</f>
        <v/>
      </c>
      <c r="O128" s="36"/>
      <c r="P128" s="36" t="str">
        <f>IFERROR(__xludf.DUMMYFUNCTION("""COMPUTED_VALUE"""),"")</f>
        <v/>
      </c>
      <c r="Q128" s="36" t="str">
        <f>IFERROR(__xludf.DUMMYFUNCTION("""COMPUTED_VALUE"""),"")</f>
        <v/>
      </c>
    </row>
    <row r="129">
      <c r="B129" s="36"/>
      <c r="C129" s="36" t="str">
        <f>IFERROR(__xludf.DUMMYFUNCTION("""COMPUTED_VALUE"""),"")</f>
        <v/>
      </c>
      <c r="D129" s="36" t="str">
        <f>IFERROR(__xludf.DUMMYFUNCTION("""COMPUTED_VALUE"""),"")</f>
        <v/>
      </c>
      <c r="E129" s="36" t="str">
        <f>IFERROR(__xludf.DUMMYFUNCTION("""COMPUTED_VALUE"""),"")</f>
        <v/>
      </c>
      <c r="F129" s="36" t="str">
        <f>IFERROR(__xludf.DUMMYFUNCTION("""COMPUTED_VALUE"""),"")</f>
        <v/>
      </c>
      <c r="G129" s="36" t="str">
        <f>IFERROR(__xludf.DUMMYFUNCTION("""COMPUTED_VALUE"""),"")</f>
        <v/>
      </c>
      <c r="H129" s="36" t="str">
        <f>IFERROR(__xludf.DUMMYFUNCTION("""COMPUTED_VALUE"""),"")</f>
        <v/>
      </c>
      <c r="I129" s="36" t="str">
        <f>IFERROR(__xludf.DUMMYFUNCTION("""COMPUTED_VALUE"""),"")</f>
        <v/>
      </c>
      <c r="J129" s="36" t="str">
        <f>IFERROR(__xludf.DUMMYFUNCTION("""COMPUTED_VALUE"""),"")</f>
        <v/>
      </c>
      <c r="O129" s="36"/>
      <c r="P129" s="36" t="str">
        <f>IFERROR(__xludf.DUMMYFUNCTION("""COMPUTED_VALUE"""),"")</f>
        <v/>
      </c>
      <c r="Q129" s="36" t="str">
        <f>IFERROR(__xludf.DUMMYFUNCTION("""COMPUTED_VALUE"""),"")</f>
        <v/>
      </c>
    </row>
    <row r="130">
      <c r="B130" s="36"/>
      <c r="C130" s="36" t="str">
        <f>IFERROR(__xludf.DUMMYFUNCTION("""COMPUTED_VALUE"""),"")</f>
        <v/>
      </c>
      <c r="D130" s="36" t="str">
        <f>IFERROR(__xludf.DUMMYFUNCTION("""COMPUTED_VALUE"""),"")</f>
        <v/>
      </c>
      <c r="E130" s="36" t="str">
        <f>IFERROR(__xludf.DUMMYFUNCTION("""COMPUTED_VALUE"""),"")</f>
        <v/>
      </c>
      <c r="F130" s="36" t="str">
        <f>IFERROR(__xludf.DUMMYFUNCTION("""COMPUTED_VALUE"""),"")</f>
        <v/>
      </c>
      <c r="G130" s="36" t="str">
        <f>IFERROR(__xludf.DUMMYFUNCTION("""COMPUTED_VALUE"""),"")</f>
        <v/>
      </c>
      <c r="H130" s="36" t="str">
        <f>IFERROR(__xludf.DUMMYFUNCTION("""COMPUTED_VALUE"""),"")</f>
        <v/>
      </c>
      <c r="I130" s="36" t="str">
        <f>IFERROR(__xludf.DUMMYFUNCTION("""COMPUTED_VALUE"""),"")</f>
        <v/>
      </c>
      <c r="J130" s="36" t="str">
        <f>IFERROR(__xludf.DUMMYFUNCTION("""COMPUTED_VALUE"""),"")</f>
        <v/>
      </c>
      <c r="O130" s="36"/>
      <c r="P130" s="36" t="str">
        <f>IFERROR(__xludf.DUMMYFUNCTION("""COMPUTED_VALUE"""),"")</f>
        <v/>
      </c>
      <c r="Q130" s="36" t="str">
        <f>IFERROR(__xludf.DUMMYFUNCTION("""COMPUTED_VALUE"""),"")</f>
        <v/>
      </c>
    </row>
    <row r="131">
      <c r="B131" s="36"/>
      <c r="C131" s="36" t="str">
        <f>IFERROR(__xludf.DUMMYFUNCTION("""COMPUTED_VALUE"""),"")</f>
        <v/>
      </c>
      <c r="D131" s="36" t="str">
        <f>IFERROR(__xludf.DUMMYFUNCTION("""COMPUTED_VALUE"""),"")</f>
        <v/>
      </c>
      <c r="E131" s="36" t="str">
        <f>IFERROR(__xludf.DUMMYFUNCTION("""COMPUTED_VALUE"""),"")</f>
        <v/>
      </c>
      <c r="F131" s="36" t="str">
        <f>IFERROR(__xludf.DUMMYFUNCTION("""COMPUTED_VALUE"""),"")</f>
        <v/>
      </c>
      <c r="G131" s="36" t="str">
        <f>IFERROR(__xludf.DUMMYFUNCTION("""COMPUTED_VALUE"""),"")</f>
        <v/>
      </c>
      <c r="H131" s="36" t="str">
        <f>IFERROR(__xludf.DUMMYFUNCTION("""COMPUTED_VALUE"""),"")</f>
        <v/>
      </c>
      <c r="I131" s="36" t="str">
        <f>IFERROR(__xludf.DUMMYFUNCTION("""COMPUTED_VALUE"""),"")</f>
        <v/>
      </c>
      <c r="J131" s="36" t="str">
        <f>IFERROR(__xludf.DUMMYFUNCTION("""COMPUTED_VALUE"""),"")</f>
        <v/>
      </c>
      <c r="O131" s="36"/>
      <c r="P131" s="36" t="str">
        <f>IFERROR(__xludf.DUMMYFUNCTION("""COMPUTED_VALUE"""),"")</f>
        <v/>
      </c>
      <c r="Q131" s="36" t="str">
        <f>IFERROR(__xludf.DUMMYFUNCTION("""COMPUTED_VALUE"""),"")</f>
        <v/>
      </c>
    </row>
    <row r="132">
      <c r="B132" s="36"/>
      <c r="C132" s="36" t="str">
        <f>IFERROR(__xludf.DUMMYFUNCTION("""COMPUTED_VALUE"""),"")</f>
        <v/>
      </c>
      <c r="D132" s="36" t="str">
        <f>IFERROR(__xludf.DUMMYFUNCTION("""COMPUTED_VALUE"""),"")</f>
        <v/>
      </c>
      <c r="E132" s="36" t="str">
        <f>IFERROR(__xludf.DUMMYFUNCTION("""COMPUTED_VALUE"""),"")</f>
        <v/>
      </c>
      <c r="F132" s="36" t="str">
        <f>IFERROR(__xludf.DUMMYFUNCTION("""COMPUTED_VALUE"""),"")</f>
        <v/>
      </c>
      <c r="G132" s="36" t="str">
        <f>IFERROR(__xludf.DUMMYFUNCTION("""COMPUTED_VALUE"""),"")</f>
        <v/>
      </c>
      <c r="H132" s="36" t="str">
        <f>IFERROR(__xludf.DUMMYFUNCTION("""COMPUTED_VALUE"""),"")</f>
        <v/>
      </c>
      <c r="I132" s="36" t="str">
        <f>IFERROR(__xludf.DUMMYFUNCTION("""COMPUTED_VALUE"""),"")</f>
        <v/>
      </c>
      <c r="J132" s="36" t="str">
        <f>IFERROR(__xludf.DUMMYFUNCTION("""COMPUTED_VALUE"""),"")</f>
        <v/>
      </c>
      <c r="O132" s="36"/>
      <c r="P132" s="36" t="str">
        <f>IFERROR(__xludf.DUMMYFUNCTION("""COMPUTED_VALUE"""),"")</f>
        <v/>
      </c>
      <c r="Q132" s="36" t="str">
        <f>IFERROR(__xludf.DUMMYFUNCTION("""COMPUTED_VALUE"""),"")</f>
        <v/>
      </c>
    </row>
    <row r="133">
      <c r="B133" s="36"/>
      <c r="C133" s="36" t="str">
        <f>IFERROR(__xludf.DUMMYFUNCTION("""COMPUTED_VALUE"""),"")</f>
        <v/>
      </c>
      <c r="D133" s="36" t="str">
        <f>IFERROR(__xludf.DUMMYFUNCTION("""COMPUTED_VALUE"""),"")</f>
        <v/>
      </c>
      <c r="E133" s="36" t="str">
        <f>IFERROR(__xludf.DUMMYFUNCTION("""COMPUTED_VALUE"""),"")</f>
        <v/>
      </c>
      <c r="F133" s="36" t="str">
        <f>IFERROR(__xludf.DUMMYFUNCTION("""COMPUTED_VALUE"""),"")</f>
        <v/>
      </c>
      <c r="G133" s="36" t="str">
        <f>IFERROR(__xludf.DUMMYFUNCTION("""COMPUTED_VALUE"""),"")</f>
        <v/>
      </c>
      <c r="H133" s="36" t="str">
        <f>IFERROR(__xludf.DUMMYFUNCTION("""COMPUTED_VALUE"""),"")</f>
        <v/>
      </c>
      <c r="I133" s="36" t="str">
        <f>IFERROR(__xludf.DUMMYFUNCTION("""COMPUTED_VALUE"""),"")</f>
        <v/>
      </c>
      <c r="J133" s="36" t="str">
        <f>IFERROR(__xludf.DUMMYFUNCTION("""COMPUTED_VALUE"""),"")</f>
        <v/>
      </c>
      <c r="O133" s="36"/>
      <c r="P133" s="36" t="str">
        <f>IFERROR(__xludf.DUMMYFUNCTION("""COMPUTED_VALUE"""),"")</f>
        <v/>
      </c>
      <c r="Q133" s="36" t="str">
        <f>IFERROR(__xludf.DUMMYFUNCTION("""COMPUTED_VALUE"""),"")</f>
        <v/>
      </c>
    </row>
    <row r="134">
      <c r="B134" s="36"/>
      <c r="C134" s="36" t="str">
        <f>IFERROR(__xludf.DUMMYFUNCTION("""COMPUTED_VALUE"""),"")</f>
        <v/>
      </c>
      <c r="D134" s="36" t="str">
        <f>IFERROR(__xludf.DUMMYFUNCTION("""COMPUTED_VALUE"""),"")</f>
        <v/>
      </c>
      <c r="E134" s="36" t="str">
        <f>IFERROR(__xludf.DUMMYFUNCTION("""COMPUTED_VALUE"""),"")</f>
        <v/>
      </c>
      <c r="F134" s="36" t="str">
        <f>IFERROR(__xludf.DUMMYFUNCTION("""COMPUTED_VALUE"""),"")</f>
        <v/>
      </c>
      <c r="G134" s="36" t="str">
        <f>IFERROR(__xludf.DUMMYFUNCTION("""COMPUTED_VALUE"""),"")</f>
        <v/>
      </c>
      <c r="H134" s="36" t="str">
        <f>IFERROR(__xludf.DUMMYFUNCTION("""COMPUTED_VALUE"""),"")</f>
        <v/>
      </c>
      <c r="I134" s="36" t="str">
        <f>IFERROR(__xludf.DUMMYFUNCTION("""COMPUTED_VALUE"""),"")</f>
        <v/>
      </c>
      <c r="J134" s="36" t="str">
        <f>IFERROR(__xludf.DUMMYFUNCTION("""COMPUTED_VALUE"""),"")</f>
        <v/>
      </c>
      <c r="O134" s="36"/>
      <c r="P134" s="36" t="str">
        <f>IFERROR(__xludf.DUMMYFUNCTION("""COMPUTED_VALUE"""),"")</f>
        <v/>
      </c>
      <c r="Q134" s="36" t="str">
        <f>IFERROR(__xludf.DUMMYFUNCTION("""COMPUTED_VALUE"""),"")</f>
        <v/>
      </c>
    </row>
    <row r="135">
      <c r="B135" s="36"/>
      <c r="C135" s="36" t="str">
        <f>IFERROR(__xludf.DUMMYFUNCTION("""COMPUTED_VALUE"""),"")</f>
        <v/>
      </c>
      <c r="D135" s="36" t="str">
        <f>IFERROR(__xludf.DUMMYFUNCTION("""COMPUTED_VALUE"""),"")</f>
        <v/>
      </c>
      <c r="E135" s="36" t="str">
        <f>IFERROR(__xludf.DUMMYFUNCTION("""COMPUTED_VALUE"""),"")</f>
        <v/>
      </c>
      <c r="F135" s="36" t="str">
        <f>IFERROR(__xludf.DUMMYFUNCTION("""COMPUTED_VALUE"""),"")</f>
        <v/>
      </c>
      <c r="G135" s="36" t="str">
        <f>IFERROR(__xludf.DUMMYFUNCTION("""COMPUTED_VALUE"""),"")</f>
        <v/>
      </c>
      <c r="H135" s="36" t="str">
        <f>IFERROR(__xludf.DUMMYFUNCTION("""COMPUTED_VALUE"""),"")</f>
        <v/>
      </c>
      <c r="I135" s="36" t="str">
        <f>IFERROR(__xludf.DUMMYFUNCTION("""COMPUTED_VALUE"""),"")</f>
        <v/>
      </c>
      <c r="J135" s="36" t="str">
        <f>IFERROR(__xludf.DUMMYFUNCTION("""COMPUTED_VALUE"""),"")</f>
        <v/>
      </c>
      <c r="O135" s="36"/>
      <c r="P135" s="36" t="str">
        <f>IFERROR(__xludf.DUMMYFUNCTION("""COMPUTED_VALUE"""),"")</f>
        <v/>
      </c>
      <c r="Q135" s="36" t="str">
        <f>IFERROR(__xludf.DUMMYFUNCTION("""COMPUTED_VALUE"""),"")</f>
        <v/>
      </c>
    </row>
    <row r="136">
      <c r="B136" s="36"/>
      <c r="C136" s="36" t="str">
        <f>IFERROR(__xludf.DUMMYFUNCTION("""COMPUTED_VALUE"""),"")</f>
        <v/>
      </c>
      <c r="D136" s="36" t="str">
        <f>IFERROR(__xludf.DUMMYFUNCTION("""COMPUTED_VALUE"""),"")</f>
        <v/>
      </c>
      <c r="E136" s="36" t="str">
        <f>IFERROR(__xludf.DUMMYFUNCTION("""COMPUTED_VALUE"""),"")</f>
        <v/>
      </c>
      <c r="F136" s="36" t="str">
        <f>IFERROR(__xludf.DUMMYFUNCTION("""COMPUTED_VALUE"""),"")</f>
        <v/>
      </c>
      <c r="G136" s="36" t="str">
        <f>IFERROR(__xludf.DUMMYFUNCTION("""COMPUTED_VALUE"""),"")</f>
        <v/>
      </c>
      <c r="H136" s="36" t="str">
        <f>IFERROR(__xludf.DUMMYFUNCTION("""COMPUTED_VALUE"""),"")</f>
        <v/>
      </c>
      <c r="I136" s="36" t="str">
        <f>IFERROR(__xludf.DUMMYFUNCTION("""COMPUTED_VALUE"""),"")</f>
        <v/>
      </c>
      <c r="J136" s="36" t="str">
        <f>IFERROR(__xludf.DUMMYFUNCTION("""COMPUTED_VALUE"""),"")</f>
        <v/>
      </c>
      <c r="O136" s="36"/>
      <c r="P136" s="36" t="str">
        <f>IFERROR(__xludf.DUMMYFUNCTION("""COMPUTED_VALUE"""),"")</f>
        <v/>
      </c>
      <c r="Q136" s="36" t="str">
        <f>IFERROR(__xludf.DUMMYFUNCTION("""COMPUTED_VALUE"""),"")</f>
        <v/>
      </c>
    </row>
    <row r="137">
      <c r="B137" s="36"/>
      <c r="C137" s="36" t="str">
        <f>IFERROR(__xludf.DUMMYFUNCTION("""COMPUTED_VALUE"""),"")</f>
        <v/>
      </c>
      <c r="D137" s="36" t="str">
        <f>IFERROR(__xludf.DUMMYFUNCTION("""COMPUTED_VALUE"""),"")</f>
        <v/>
      </c>
      <c r="E137" s="36" t="str">
        <f>IFERROR(__xludf.DUMMYFUNCTION("""COMPUTED_VALUE"""),"")</f>
        <v/>
      </c>
      <c r="F137" s="36" t="str">
        <f>IFERROR(__xludf.DUMMYFUNCTION("""COMPUTED_VALUE"""),"")</f>
        <v/>
      </c>
      <c r="G137" s="36" t="str">
        <f>IFERROR(__xludf.DUMMYFUNCTION("""COMPUTED_VALUE"""),"")</f>
        <v/>
      </c>
      <c r="H137" s="36" t="str">
        <f>IFERROR(__xludf.DUMMYFUNCTION("""COMPUTED_VALUE"""),"")</f>
        <v/>
      </c>
      <c r="I137" s="36" t="str">
        <f>IFERROR(__xludf.DUMMYFUNCTION("""COMPUTED_VALUE"""),"")</f>
        <v/>
      </c>
      <c r="J137" s="36" t="str">
        <f>IFERROR(__xludf.DUMMYFUNCTION("""COMPUTED_VALUE"""),"")</f>
        <v/>
      </c>
      <c r="O137" s="36"/>
      <c r="P137" s="36" t="str">
        <f>IFERROR(__xludf.DUMMYFUNCTION("""COMPUTED_VALUE"""),"")</f>
        <v/>
      </c>
      <c r="Q137" s="36" t="str">
        <f>IFERROR(__xludf.DUMMYFUNCTION("""COMPUTED_VALUE"""),"")</f>
        <v/>
      </c>
    </row>
    <row r="138">
      <c r="B138" s="36"/>
      <c r="C138" s="36" t="str">
        <f>IFERROR(__xludf.DUMMYFUNCTION("""COMPUTED_VALUE"""),"")</f>
        <v/>
      </c>
      <c r="D138" s="36" t="str">
        <f>IFERROR(__xludf.DUMMYFUNCTION("""COMPUTED_VALUE"""),"")</f>
        <v/>
      </c>
      <c r="E138" s="36" t="str">
        <f>IFERROR(__xludf.DUMMYFUNCTION("""COMPUTED_VALUE"""),"")</f>
        <v/>
      </c>
      <c r="F138" s="36" t="str">
        <f>IFERROR(__xludf.DUMMYFUNCTION("""COMPUTED_VALUE"""),"")</f>
        <v/>
      </c>
      <c r="G138" s="36" t="str">
        <f>IFERROR(__xludf.DUMMYFUNCTION("""COMPUTED_VALUE"""),"")</f>
        <v/>
      </c>
      <c r="H138" s="36" t="str">
        <f>IFERROR(__xludf.DUMMYFUNCTION("""COMPUTED_VALUE"""),"")</f>
        <v/>
      </c>
      <c r="I138" s="36" t="str">
        <f>IFERROR(__xludf.DUMMYFUNCTION("""COMPUTED_VALUE"""),"")</f>
        <v/>
      </c>
      <c r="J138" s="36" t="str">
        <f>IFERROR(__xludf.DUMMYFUNCTION("""COMPUTED_VALUE"""),"")</f>
        <v/>
      </c>
      <c r="O138" s="36"/>
      <c r="P138" s="36" t="str">
        <f>IFERROR(__xludf.DUMMYFUNCTION("""COMPUTED_VALUE"""),"")</f>
        <v/>
      </c>
      <c r="Q138" s="36" t="str">
        <f>IFERROR(__xludf.DUMMYFUNCTION("""COMPUTED_VALUE"""),"")</f>
        <v/>
      </c>
    </row>
    <row r="139">
      <c r="B139" s="36"/>
      <c r="C139" s="36" t="str">
        <f>IFERROR(__xludf.DUMMYFUNCTION("""COMPUTED_VALUE"""),"")</f>
        <v/>
      </c>
      <c r="D139" s="36" t="str">
        <f>IFERROR(__xludf.DUMMYFUNCTION("""COMPUTED_VALUE"""),"")</f>
        <v/>
      </c>
      <c r="E139" s="36" t="str">
        <f>IFERROR(__xludf.DUMMYFUNCTION("""COMPUTED_VALUE"""),"")</f>
        <v/>
      </c>
      <c r="F139" s="36" t="str">
        <f>IFERROR(__xludf.DUMMYFUNCTION("""COMPUTED_VALUE"""),"")</f>
        <v/>
      </c>
      <c r="G139" s="36" t="str">
        <f>IFERROR(__xludf.DUMMYFUNCTION("""COMPUTED_VALUE"""),"")</f>
        <v/>
      </c>
      <c r="H139" s="36" t="str">
        <f>IFERROR(__xludf.DUMMYFUNCTION("""COMPUTED_VALUE"""),"")</f>
        <v/>
      </c>
      <c r="I139" s="36" t="str">
        <f>IFERROR(__xludf.DUMMYFUNCTION("""COMPUTED_VALUE"""),"")</f>
        <v/>
      </c>
      <c r="J139" s="36" t="str">
        <f>IFERROR(__xludf.DUMMYFUNCTION("""COMPUTED_VALUE"""),"")</f>
        <v/>
      </c>
      <c r="O139" s="36"/>
      <c r="P139" s="36" t="str">
        <f>IFERROR(__xludf.DUMMYFUNCTION("""COMPUTED_VALUE"""),"")</f>
        <v/>
      </c>
      <c r="Q139" s="36" t="str">
        <f>IFERROR(__xludf.DUMMYFUNCTION("""COMPUTED_VALUE"""),"")</f>
        <v/>
      </c>
    </row>
    <row r="140">
      <c r="B140" s="36"/>
      <c r="C140" s="36" t="str">
        <f>IFERROR(__xludf.DUMMYFUNCTION("""COMPUTED_VALUE"""),"")</f>
        <v/>
      </c>
      <c r="D140" s="36" t="str">
        <f>IFERROR(__xludf.DUMMYFUNCTION("""COMPUTED_VALUE"""),"")</f>
        <v/>
      </c>
      <c r="E140" s="36" t="str">
        <f>IFERROR(__xludf.DUMMYFUNCTION("""COMPUTED_VALUE"""),"")</f>
        <v/>
      </c>
      <c r="F140" s="36" t="str">
        <f>IFERROR(__xludf.DUMMYFUNCTION("""COMPUTED_VALUE"""),"")</f>
        <v/>
      </c>
      <c r="G140" s="36" t="str">
        <f>IFERROR(__xludf.DUMMYFUNCTION("""COMPUTED_VALUE"""),"")</f>
        <v/>
      </c>
      <c r="H140" s="36" t="str">
        <f>IFERROR(__xludf.DUMMYFUNCTION("""COMPUTED_VALUE"""),"")</f>
        <v/>
      </c>
      <c r="I140" s="36" t="str">
        <f>IFERROR(__xludf.DUMMYFUNCTION("""COMPUTED_VALUE"""),"")</f>
        <v/>
      </c>
      <c r="J140" s="36" t="str">
        <f>IFERROR(__xludf.DUMMYFUNCTION("""COMPUTED_VALUE"""),"")</f>
        <v/>
      </c>
      <c r="O140" s="36"/>
      <c r="P140" s="36" t="str">
        <f>IFERROR(__xludf.DUMMYFUNCTION("""COMPUTED_VALUE"""),"")</f>
        <v/>
      </c>
      <c r="Q140" s="36" t="str">
        <f>IFERROR(__xludf.DUMMYFUNCTION("""COMPUTED_VALUE"""),"")</f>
        <v/>
      </c>
    </row>
    <row r="141">
      <c r="B141" s="36"/>
      <c r="C141" s="36" t="str">
        <f>IFERROR(__xludf.DUMMYFUNCTION("""COMPUTED_VALUE"""),"")</f>
        <v/>
      </c>
      <c r="D141" s="36" t="str">
        <f>IFERROR(__xludf.DUMMYFUNCTION("""COMPUTED_VALUE"""),"")</f>
        <v/>
      </c>
      <c r="E141" s="36" t="str">
        <f>IFERROR(__xludf.DUMMYFUNCTION("""COMPUTED_VALUE"""),"")</f>
        <v/>
      </c>
      <c r="F141" s="36" t="str">
        <f>IFERROR(__xludf.DUMMYFUNCTION("""COMPUTED_VALUE"""),"")</f>
        <v/>
      </c>
      <c r="G141" s="36" t="str">
        <f>IFERROR(__xludf.DUMMYFUNCTION("""COMPUTED_VALUE"""),"")</f>
        <v/>
      </c>
      <c r="H141" s="36" t="str">
        <f>IFERROR(__xludf.DUMMYFUNCTION("""COMPUTED_VALUE"""),"")</f>
        <v/>
      </c>
      <c r="I141" s="36" t="str">
        <f>IFERROR(__xludf.DUMMYFUNCTION("""COMPUTED_VALUE"""),"")</f>
        <v/>
      </c>
      <c r="J141" s="36" t="str">
        <f>IFERROR(__xludf.DUMMYFUNCTION("""COMPUTED_VALUE"""),"")</f>
        <v/>
      </c>
      <c r="O141" s="36"/>
      <c r="P141" s="36" t="str">
        <f>IFERROR(__xludf.DUMMYFUNCTION("""COMPUTED_VALUE"""),"")</f>
        <v/>
      </c>
      <c r="Q141" s="36" t="str">
        <f>IFERROR(__xludf.DUMMYFUNCTION("""COMPUTED_VALUE"""),"")</f>
        <v/>
      </c>
    </row>
    <row r="142">
      <c r="B142" s="36"/>
      <c r="C142" s="36" t="str">
        <f>IFERROR(__xludf.DUMMYFUNCTION("""COMPUTED_VALUE"""),"")</f>
        <v/>
      </c>
      <c r="D142" s="36" t="str">
        <f>IFERROR(__xludf.DUMMYFUNCTION("""COMPUTED_VALUE"""),"")</f>
        <v/>
      </c>
      <c r="E142" s="36" t="str">
        <f>IFERROR(__xludf.DUMMYFUNCTION("""COMPUTED_VALUE"""),"")</f>
        <v/>
      </c>
      <c r="F142" s="36" t="str">
        <f>IFERROR(__xludf.DUMMYFUNCTION("""COMPUTED_VALUE"""),"")</f>
        <v/>
      </c>
      <c r="G142" s="36" t="str">
        <f>IFERROR(__xludf.DUMMYFUNCTION("""COMPUTED_VALUE"""),"")</f>
        <v/>
      </c>
      <c r="H142" s="36" t="str">
        <f>IFERROR(__xludf.DUMMYFUNCTION("""COMPUTED_VALUE"""),"")</f>
        <v/>
      </c>
      <c r="I142" s="36" t="str">
        <f>IFERROR(__xludf.DUMMYFUNCTION("""COMPUTED_VALUE"""),"")</f>
        <v/>
      </c>
      <c r="J142" s="36" t="str">
        <f>IFERROR(__xludf.DUMMYFUNCTION("""COMPUTED_VALUE"""),"")</f>
        <v/>
      </c>
      <c r="O142" s="36"/>
      <c r="P142" s="36" t="str">
        <f>IFERROR(__xludf.DUMMYFUNCTION("""COMPUTED_VALUE"""),"")</f>
        <v/>
      </c>
      <c r="Q142" s="36" t="str">
        <f>IFERROR(__xludf.DUMMYFUNCTION("""COMPUTED_VALUE"""),"")</f>
        <v/>
      </c>
    </row>
    <row r="143">
      <c r="B143" s="36"/>
      <c r="C143" s="36" t="str">
        <f>IFERROR(__xludf.DUMMYFUNCTION("""COMPUTED_VALUE"""),"")</f>
        <v/>
      </c>
      <c r="D143" s="36" t="str">
        <f>IFERROR(__xludf.DUMMYFUNCTION("""COMPUTED_VALUE"""),"")</f>
        <v/>
      </c>
      <c r="E143" s="36" t="str">
        <f>IFERROR(__xludf.DUMMYFUNCTION("""COMPUTED_VALUE"""),"")</f>
        <v/>
      </c>
      <c r="F143" s="36" t="str">
        <f>IFERROR(__xludf.DUMMYFUNCTION("""COMPUTED_VALUE"""),"")</f>
        <v/>
      </c>
      <c r="G143" s="36" t="str">
        <f>IFERROR(__xludf.DUMMYFUNCTION("""COMPUTED_VALUE"""),"")</f>
        <v/>
      </c>
      <c r="H143" s="36" t="str">
        <f>IFERROR(__xludf.DUMMYFUNCTION("""COMPUTED_VALUE"""),"")</f>
        <v/>
      </c>
      <c r="I143" s="36" t="str">
        <f>IFERROR(__xludf.DUMMYFUNCTION("""COMPUTED_VALUE"""),"")</f>
        <v/>
      </c>
      <c r="J143" s="36" t="str">
        <f>IFERROR(__xludf.DUMMYFUNCTION("""COMPUTED_VALUE"""),"")</f>
        <v/>
      </c>
      <c r="O143" s="36"/>
      <c r="P143" s="36" t="str">
        <f>IFERROR(__xludf.DUMMYFUNCTION("""COMPUTED_VALUE"""),"")</f>
        <v/>
      </c>
      <c r="Q143" s="36" t="str">
        <f>IFERROR(__xludf.DUMMYFUNCTION("""COMPUTED_VALUE"""),"")</f>
        <v/>
      </c>
    </row>
    <row r="144">
      <c r="B144" s="36"/>
      <c r="C144" s="36" t="str">
        <f>IFERROR(__xludf.DUMMYFUNCTION("""COMPUTED_VALUE"""),"")</f>
        <v/>
      </c>
      <c r="D144" s="36" t="str">
        <f>IFERROR(__xludf.DUMMYFUNCTION("""COMPUTED_VALUE"""),"")</f>
        <v/>
      </c>
      <c r="E144" s="36" t="str">
        <f>IFERROR(__xludf.DUMMYFUNCTION("""COMPUTED_VALUE"""),"")</f>
        <v/>
      </c>
      <c r="F144" s="36" t="str">
        <f>IFERROR(__xludf.DUMMYFUNCTION("""COMPUTED_VALUE"""),"")</f>
        <v/>
      </c>
      <c r="G144" s="36" t="str">
        <f>IFERROR(__xludf.DUMMYFUNCTION("""COMPUTED_VALUE"""),"")</f>
        <v/>
      </c>
      <c r="H144" s="36" t="str">
        <f>IFERROR(__xludf.DUMMYFUNCTION("""COMPUTED_VALUE"""),"")</f>
        <v/>
      </c>
      <c r="I144" s="36" t="str">
        <f>IFERROR(__xludf.DUMMYFUNCTION("""COMPUTED_VALUE"""),"")</f>
        <v/>
      </c>
      <c r="J144" s="36" t="str">
        <f>IFERROR(__xludf.DUMMYFUNCTION("""COMPUTED_VALUE"""),"")</f>
        <v/>
      </c>
      <c r="O144" s="36"/>
      <c r="P144" s="36" t="str">
        <f>IFERROR(__xludf.DUMMYFUNCTION("""COMPUTED_VALUE"""),"")</f>
        <v/>
      </c>
      <c r="Q144" s="36" t="str">
        <f>IFERROR(__xludf.DUMMYFUNCTION("""COMPUTED_VALUE"""),"")</f>
        <v/>
      </c>
    </row>
    <row r="145">
      <c r="B145" s="36"/>
      <c r="C145" s="36" t="str">
        <f>IFERROR(__xludf.DUMMYFUNCTION("""COMPUTED_VALUE"""),"")</f>
        <v/>
      </c>
      <c r="D145" s="36" t="str">
        <f>IFERROR(__xludf.DUMMYFUNCTION("""COMPUTED_VALUE"""),"")</f>
        <v/>
      </c>
      <c r="E145" s="36" t="str">
        <f>IFERROR(__xludf.DUMMYFUNCTION("""COMPUTED_VALUE"""),"")</f>
        <v/>
      </c>
      <c r="F145" s="36" t="str">
        <f>IFERROR(__xludf.DUMMYFUNCTION("""COMPUTED_VALUE"""),"")</f>
        <v/>
      </c>
      <c r="G145" s="36" t="str">
        <f>IFERROR(__xludf.DUMMYFUNCTION("""COMPUTED_VALUE"""),"")</f>
        <v/>
      </c>
      <c r="H145" s="36" t="str">
        <f>IFERROR(__xludf.DUMMYFUNCTION("""COMPUTED_VALUE"""),"")</f>
        <v/>
      </c>
      <c r="I145" s="36" t="str">
        <f>IFERROR(__xludf.DUMMYFUNCTION("""COMPUTED_VALUE"""),"")</f>
        <v/>
      </c>
      <c r="J145" s="36" t="str">
        <f>IFERROR(__xludf.DUMMYFUNCTION("""COMPUTED_VALUE"""),"")</f>
        <v/>
      </c>
      <c r="O145" s="36"/>
      <c r="P145" s="36" t="str">
        <f>IFERROR(__xludf.DUMMYFUNCTION("""COMPUTED_VALUE"""),"")</f>
        <v/>
      </c>
      <c r="Q145" s="36" t="str">
        <f>IFERROR(__xludf.DUMMYFUNCTION("""COMPUTED_VALUE"""),"")</f>
        <v/>
      </c>
    </row>
    <row r="146">
      <c r="B146" s="36"/>
      <c r="C146" s="36" t="str">
        <f>IFERROR(__xludf.DUMMYFUNCTION("""COMPUTED_VALUE"""),"")</f>
        <v/>
      </c>
      <c r="D146" s="36" t="str">
        <f>IFERROR(__xludf.DUMMYFUNCTION("""COMPUTED_VALUE"""),"")</f>
        <v/>
      </c>
      <c r="E146" s="36" t="str">
        <f>IFERROR(__xludf.DUMMYFUNCTION("""COMPUTED_VALUE"""),"")</f>
        <v/>
      </c>
      <c r="F146" s="36" t="str">
        <f>IFERROR(__xludf.DUMMYFUNCTION("""COMPUTED_VALUE"""),"")</f>
        <v/>
      </c>
      <c r="G146" s="36" t="str">
        <f>IFERROR(__xludf.DUMMYFUNCTION("""COMPUTED_VALUE"""),"")</f>
        <v/>
      </c>
      <c r="H146" s="36" t="str">
        <f>IFERROR(__xludf.DUMMYFUNCTION("""COMPUTED_VALUE"""),"")</f>
        <v/>
      </c>
      <c r="I146" s="36" t="str">
        <f>IFERROR(__xludf.DUMMYFUNCTION("""COMPUTED_VALUE"""),"")</f>
        <v/>
      </c>
      <c r="J146" s="36" t="str">
        <f>IFERROR(__xludf.DUMMYFUNCTION("""COMPUTED_VALUE"""),"")</f>
        <v/>
      </c>
      <c r="O146" s="36"/>
      <c r="P146" s="36" t="str">
        <f>IFERROR(__xludf.DUMMYFUNCTION("""COMPUTED_VALUE"""),"")</f>
        <v/>
      </c>
      <c r="Q146" s="36" t="str">
        <f>IFERROR(__xludf.DUMMYFUNCTION("""COMPUTED_VALUE"""),"")</f>
        <v/>
      </c>
    </row>
    <row r="147">
      <c r="B147" s="36"/>
      <c r="C147" s="36" t="str">
        <f>IFERROR(__xludf.DUMMYFUNCTION("""COMPUTED_VALUE"""),"")</f>
        <v/>
      </c>
      <c r="D147" s="36" t="str">
        <f>IFERROR(__xludf.DUMMYFUNCTION("""COMPUTED_VALUE"""),"")</f>
        <v/>
      </c>
      <c r="E147" s="36" t="str">
        <f>IFERROR(__xludf.DUMMYFUNCTION("""COMPUTED_VALUE"""),"")</f>
        <v/>
      </c>
      <c r="F147" s="36" t="str">
        <f>IFERROR(__xludf.DUMMYFUNCTION("""COMPUTED_VALUE"""),"")</f>
        <v/>
      </c>
      <c r="G147" s="36" t="str">
        <f>IFERROR(__xludf.DUMMYFUNCTION("""COMPUTED_VALUE"""),"")</f>
        <v/>
      </c>
      <c r="H147" s="36" t="str">
        <f>IFERROR(__xludf.DUMMYFUNCTION("""COMPUTED_VALUE"""),"")</f>
        <v/>
      </c>
      <c r="I147" s="36" t="str">
        <f>IFERROR(__xludf.DUMMYFUNCTION("""COMPUTED_VALUE"""),"")</f>
        <v/>
      </c>
      <c r="J147" s="36" t="str">
        <f>IFERROR(__xludf.DUMMYFUNCTION("""COMPUTED_VALUE"""),"")</f>
        <v/>
      </c>
      <c r="O147" s="36"/>
      <c r="P147" s="36" t="str">
        <f>IFERROR(__xludf.DUMMYFUNCTION("""COMPUTED_VALUE"""),"")</f>
        <v/>
      </c>
      <c r="Q147" s="36" t="str">
        <f>IFERROR(__xludf.DUMMYFUNCTION("""COMPUTED_VALUE"""),"")</f>
        <v/>
      </c>
    </row>
    <row r="148">
      <c r="B148" s="36"/>
      <c r="C148" s="36" t="str">
        <f>IFERROR(__xludf.DUMMYFUNCTION("""COMPUTED_VALUE"""),"")</f>
        <v/>
      </c>
      <c r="D148" s="36" t="str">
        <f>IFERROR(__xludf.DUMMYFUNCTION("""COMPUTED_VALUE"""),"")</f>
        <v/>
      </c>
      <c r="E148" s="36" t="str">
        <f>IFERROR(__xludf.DUMMYFUNCTION("""COMPUTED_VALUE"""),"")</f>
        <v/>
      </c>
      <c r="F148" s="36" t="str">
        <f>IFERROR(__xludf.DUMMYFUNCTION("""COMPUTED_VALUE"""),"")</f>
        <v/>
      </c>
      <c r="G148" s="36" t="str">
        <f>IFERROR(__xludf.DUMMYFUNCTION("""COMPUTED_VALUE"""),"")</f>
        <v/>
      </c>
      <c r="H148" s="36" t="str">
        <f>IFERROR(__xludf.DUMMYFUNCTION("""COMPUTED_VALUE"""),"")</f>
        <v/>
      </c>
      <c r="I148" s="36" t="str">
        <f>IFERROR(__xludf.DUMMYFUNCTION("""COMPUTED_VALUE"""),"")</f>
        <v/>
      </c>
      <c r="J148" s="36" t="str">
        <f>IFERROR(__xludf.DUMMYFUNCTION("""COMPUTED_VALUE"""),"")</f>
        <v/>
      </c>
      <c r="O148" s="36"/>
      <c r="P148" s="36" t="str">
        <f>IFERROR(__xludf.DUMMYFUNCTION("""COMPUTED_VALUE"""),"")</f>
        <v/>
      </c>
      <c r="Q148" s="36" t="str">
        <f>IFERROR(__xludf.DUMMYFUNCTION("""COMPUTED_VALUE"""),"")</f>
        <v/>
      </c>
    </row>
    <row r="149">
      <c r="B149" s="36"/>
      <c r="C149" s="36" t="str">
        <f>IFERROR(__xludf.DUMMYFUNCTION("""COMPUTED_VALUE"""),"")</f>
        <v/>
      </c>
      <c r="D149" s="36" t="str">
        <f>IFERROR(__xludf.DUMMYFUNCTION("""COMPUTED_VALUE"""),"")</f>
        <v/>
      </c>
      <c r="E149" s="36" t="str">
        <f>IFERROR(__xludf.DUMMYFUNCTION("""COMPUTED_VALUE"""),"")</f>
        <v/>
      </c>
      <c r="F149" s="36" t="str">
        <f>IFERROR(__xludf.DUMMYFUNCTION("""COMPUTED_VALUE"""),"")</f>
        <v/>
      </c>
      <c r="G149" s="36" t="str">
        <f>IFERROR(__xludf.DUMMYFUNCTION("""COMPUTED_VALUE"""),"")</f>
        <v/>
      </c>
      <c r="H149" s="36" t="str">
        <f>IFERROR(__xludf.DUMMYFUNCTION("""COMPUTED_VALUE"""),"")</f>
        <v/>
      </c>
      <c r="I149" s="36" t="str">
        <f>IFERROR(__xludf.DUMMYFUNCTION("""COMPUTED_VALUE"""),"")</f>
        <v/>
      </c>
      <c r="J149" s="36" t="str">
        <f>IFERROR(__xludf.DUMMYFUNCTION("""COMPUTED_VALUE"""),"")</f>
        <v/>
      </c>
      <c r="O149" s="36"/>
      <c r="P149" s="36" t="str">
        <f>IFERROR(__xludf.DUMMYFUNCTION("""COMPUTED_VALUE"""),"")</f>
        <v/>
      </c>
      <c r="Q149" s="36" t="str">
        <f>IFERROR(__xludf.DUMMYFUNCTION("""COMPUTED_VALUE"""),"")</f>
        <v/>
      </c>
    </row>
    <row r="150">
      <c r="B150" s="36"/>
      <c r="C150" s="36" t="str">
        <f>IFERROR(__xludf.DUMMYFUNCTION("""COMPUTED_VALUE"""),"")</f>
        <v/>
      </c>
      <c r="D150" s="36" t="str">
        <f>IFERROR(__xludf.DUMMYFUNCTION("""COMPUTED_VALUE"""),"")</f>
        <v/>
      </c>
      <c r="E150" s="36" t="str">
        <f>IFERROR(__xludf.DUMMYFUNCTION("""COMPUTED_VALUE"""),"")</f>
        <v/>
      </c>
      <c r="F150" s="36" t="str">
        <f>IFERROR(__xludf.DUMMYFUNCTION("""COMPUTED_VALUE"""),"")</f>
        <v/>
      </c>
      <c r="G150" s="36" t="str">
        <f>IFERROR(__xludf.DUMMYFUNCTION("""COMPUTED_VALUE"""),"")</f>
        <v/>
      </c>
      <c r="H150" s="36" t="str">
        <f>IFERROR(__xludf.DUMMYFUNCTION("""COMPUTED_VALUE"""),"")</f>
        <v/>
      </c>
      <c r="I150" s="36" t="str">
        <f>IFERROR(__xludf.DUMMYFUNCTION("""COMPUTED_VALUE"""),"")</f>
        <v/>
      </c>
      <c r="J150" s="36" t="str">
        <f>IFERROR(__xludf.DUMMYFUNCTION("""COMPUTED_VALUE"""),"")</f>
        <v/>
      </c>
      <c r="O150" s="36"/>
      <c r="P150" s="36" t="str">
        <f>IFERROR(__xludf.DUMMYFUNCTION("""COMPUTED_VALUE"""),"")</f>
        <v/>
      </c>
      <c r="Q150" s="36" t="str">
        <f>IFERROR(__xludf.DUMMYFUNCTION("""COMPUTED_VALUE"""),"")</f>
        <v/>
      </c>
    </row>
    <row r="151">
      <c r="B151" s="36"/>
      <c r="C151" s="36" t="str">
        <f>IFERROR(__xludf.DUMMYFUNCTION("""COMPUTED_VALUE"""),"")</f>
        <v/>
      </c>
      <c r="D151" s="36" t="str">
        <f>IFERROR(__xludf.DUMMYFUNCTION("""COMPUTED_VALUE"""),"")</f>
        <v/>
      </c>
      <c r="E151" s="36" t="str">
        <f>IFERROR(__xludf.DUMMYFUNCTION("""COMPUTED_VALUE"""),"")</f>
        <v/>
      </c>
      <c r="F151" s="36" t="str">
        <f>IFERROR(__xludf.DUMMYFUNCTION("""COMPUTED_VALUE"""),"")</f>
        <v/>
      </c>
      <c r="G151" s="36" t="str">
        <f>IFERROR(__xludf.DUMMYFUNCTION("""COMPUTED_VALUE"""),"")</f>
        <v/>
      </c>
      <c r="H151" s="36" t="str">
        <f>IFERROR(__xludf.DUMMYFUNCTION("""COMPUTED_VALUE"""),"")</f>
        <v/>
      </c>
      <c r="I151" s="36" t="str">
        <f>IFERROR(__xludf.DUMMYFUNCTION("""COMPUTED_VALUE"""),"")</f>
        <v/>
      </c>
      <c r="J151" s="36" t="str">
        <f>IFERROR(__xludf.DUMMYFUNCTION("""COMPUTED_VALUE"""),"")</f>
        <v/>
      </c>
      <c r="O151" s="36"/>
      <c r="P151" s="36" t="str">
        <f>IFERROR(__xludf.DUMMYFUNCTION("""COMPUTED_VALUE"""),"")</f>
        <v/>
      </c>
      <c r="Q151" s="36" t="str">
        <f>IFERROR(__xludf.DUMMYFUNCTION("""COMPUTED_VALUE"""),"")</f>
        <v/>
      </c>
    </row>
    <row r="152">
      <c r="B152" s="36"/>
      <c r="C152" s="36" t="str">
        <f>IFERROR(__xludf.DUMMYFUNCTION("""COMPUTED_VALUE"""),"")</f>
        <v/>
      </c>
      <c r="D152" s="36" t="str">
        <f>IFERROR(__xludf.DUMMYFUNCTION("""COMPUTED_VALUE"""),"")</f>
        <v/>
      </c>
      <c r="E152" s="36" t="str">
        <f>IFERROR(__xludf.DUMMYFUNCTION("""COMPUTED_VALUE"""),"")</f>
        <v/>
      </c>
      <c r="F152" s="36" t="str">
        <f>IFERROR(__xludf.DUMMYFUNCTION("""COMPUTED_VALUE"""),"")</f>
        <v/>
      </c>
      <c r="G152" s="36" t="str">
        <f>IFERROR(__xludf.DUMMYFUNCTION("""COMPUTED_VALUE"""),"")</f>
        <v/>
      </c>
      <c r="H152" s="36" t="str">
        <f>IFERROR(__xludf.DUMMYFUNCTION("""COMPUTED_VALUE"""),"")</f>
        <v/>
      </c>
      <c r="I152" s="36" t="str">
        <f>IFERROR(__xludf.DUMMYFUNCTION("""COMPUTED_VALUE"""),"")</f>
        <v/>
      </c>
      <c r="J152" s="36" t="str">
        <f>IFERROR(__xludf.DUMMYFUNCTION("""COMPUTED_VALUE"""),"")</f>
        <v/>
      </c>
      <c r="O152" s="36"/>
      <c r="P152" s="36" t="str">
        <f>IFERROR(__xludf.DUMMYFUNCTION("""COMPUTED_VALUE"""),"")</f>
        <v/>
      </c>
      <c r="Q152" s="36" t="str">
        <f>IFERROR(__xludf.DUMMYFUNCTION("""COMPUTED_VALUE"""),"")</f>
        <v/>
      </c>
    </row>
    <row r="153">
      <c r="B153" s="36"/>
      <c r="C153" s="36" t="str">
        <f>IFERROR(__xludf.DUMMYFUNCTION("""COMPUTED_VALUE"""),"")</f>
        <v/>
      </c>
      <c r="D153" s="36" t="str">
        <f>IFERROR(__xludf.DUMMYFUNCTION("""COMPUTED_VALUE"""),"")</f>
        <v/>
      </c>
      <c r="E153" s="36" t="str">
        <f>IFERROR(__xludf.DUMMYFUNCTION("""COMPUTED_VALUE"""),"")</f>
        <v/>
      </c>
      <c r="F153" s="36" t="str">
        <f>IFERROR(__xludf.DUMMYFUNCTION("""COMPUTED_VALUE"""),"")</f>
        <v/>
      </c>
      <c r="G153" s="36" t="str">
        <f>IFERROR(__xludf.DUMMYFUNCTION("""COMPUTED_VALUE"""),"")</f>
        <v/>
      </c>
      <c r="H153" s="36" t="str">
        <f>IFERROR(__xludf.DUMMYFUNCTION("""COMPUTED_VALUE"""),"")</f>
        <v/>
      </c>
      <c r="I153" s="36" t="str">
        <f>IFERROR(__xludf.DUMMYFUNCTION("""COMPUTED_VALUE"""),"")</f>
        <v/>
      </c>
      <c r="J153" s="36" t="str">
        <f>IFERROR(__xludf.DUMMYFUNCTION("""COMPUTED_VALUE"""),"")</f>
        <v/>
      </c>
      <c r="O153" s="36"/>
      <c r="P153" s="36" t="str">
        <f>IFERROR(__xludf.DUMMYFUNCTION("""COMPUTED_VALUE"""),"")</f>
        <v/>
      </c>
      <c r="Q153" s="36" t="str">
        <f>IFERROR(__xludf.DUMMYFUNCTION("""COMPUTED_VALUE"""),"")</f>
        <v/>
      </c>
    </row>
    <row r="154">
      <c r="B154" s="36"/>
      <c r="C154" s="36" t="str">
        <f>IFERROR(__xludf.DUMMYFUNCTION("""COMPUTED_VALUE"""),"")</f>
        <v/>
      </c>
      <c r="D154" s="36" t="str">
        <f>IFERROR(__xludf.DUMMYFUNCTION("""COMPUTED_VALUE"""),"")</f>
        <v/>
      </c>
      <c r="E154" s="36" t="str">
        <f>IFERROR(__xludf.DUMMYFUNCTION("""COMPUTED_VALUE"""),"")</f>
        <v/>
      </c>
      <c r="F154" s="36" t="str">
        <f>IFERROR(__xludf.DUMMYFUNCTION("""COMPUTED_VALUE"""),"")</f>
        <v/>
      </c>
      <c r="G154" s="36" t="str">
        <f>IFERROR(__xludf.DUMMYFUNCTION("""COMPUTED_VALUE"""),"")</f>
        <v/>
      </c>
      <c r="H154" s="36" t="str">
        <f>IFERROR(__xludf.DUMMYFUNCTION("""COMPUTED_VALUE"""),"")</f>
        <v/>
      </c>
      <c r="I154" s="36" t="str">
        <f>IFERROR(__xludf.DUMMYFUNCTION("""COMPUTED_VALUE"""),"")</f>
        <v/>
      </c>
      <c r="J154" s="36" t="str">
        <f>IFERROR(__xludf.DUMMYFUNCTION("""COMPUTED_VALUE"""),"")</f>
        <v/>
      </c>
      <c r="O154" s="36"/>
      <c r="P154" s="36" t="str">
        <f>IFERROR(__xludf.DUMMYFUNCTION("""COMPUTED_VALUE"""),"")</f>
        <v/>
      </c>
      <c r="Q154" s="36" t="str">
        <f>IFERROR(__xludf.DUMMYFUNCTION("""COMPUTED_VALUE"""),"")</f>
        <v/>
      </c>
    </row>
    <row r="155">
      <c r="B155" s="36"/>
      <c r="C155" s="36" t="str">
        <f>IFERROR(__xludf.DUMMYFUNCTION("""COMPUTED_VALUE"""),"")</f>
        <v/>
      </c>
      <c r="D155" s="36" t="str">
        <f>IFERROR(__xludf.DUMMYFUNCTION("""COMPUTED_VALUE"""),"")</f>
        <v/>
      </c>
      <c r="E155" s="36" t="str">
        <f>IFERROR(__xludf.DUMMYFUNCTION("""COMPUTED_VALUE"""),"")</f>
        <v/>
      </c>
      <c r="F155" s="36" t="str">
        <f>IFERROR(__xludf.DUMMYFUNCTION("""COMPUTED_VALUE"""),"")</f>
        <v/>
      </c>
      <c r="G155" s="36" t="str">
        <f>IFERROR(__xludf.DUMMYFUNCTION("""COMPUTED_VALUE"""),"")</f>
        <v/>
      </c>
      <c r="H155" s="36" t="str">
        <f>IFERROR(__xludf.DUMMYFUNCTION("""COMPUTED_VALUE"""),"")</f>
        <v/>
      </c>
      <c r="I155" s="36" t="str">
        <f>IFERROR(__xludf.DUMMYFUNCTION("""COMPUTED_VALUE"""),"")</f>
        <v/>
      </c>
      <c r="J155" s="36" t="str">
        <f>IFERROR(__xludf.DUMMYFUNCTION("""COMPUTED_VALUE"""),"")</f>
        <v/>
      </c>
      <c r="O155" s="36"/>
      <c r="P155" s="36" t="str">
        <f>IFERROR(__xludf.DUMMYFUNCTION("""COMPUTED_VALUE"""),"")</f>
        <v/>
      </c>
      <c r="Q155" s="36" t="str">
        <f>IFERROR(__xludf.DUMMYFUNCTION("""COMPUTED_VALUE"""),"")</f>
        <v/>
      </c>
    </row>
    <row r="156">
      <c r="B156" s="36"/>
      <c r="C156" s="36" t="str">
        <f>IFERROR(__xludf.DUMMYFUNCTION("""COMPUTED_VALUE"""),"")</f>
        <v/>
      </c>
      <c r="D156" s="36" t="str">
        <f>IFERROR(__xludf.DUMMYFUNCTION("""COMPUTED_VALUE"""),"")</f>
        <v/>
      </c>
      <c r="E156" s="36" t="str">
        <f>IFERROR(__xludf.DUMMYFUNCTION("""COMPUTED_VALUE"""),"")</f>
        <v/>
      </c>
      <c r="F156" s="36" t="str">
        <f>IFERROR(__xludf.DUMMYFUNCTION("""COMPUTED_VALUE"""),"")</f>
        <v/>
      </c>
      <c r="G156" s="36" t="str">
        <f>IFERROR(__xludf.DUMMYFUNCTION("""COMPUTED_VALUE"""),"")</f>
        <v/>
      </c>
      <c r="H156" s="36" t="str">
        <f>IFERROR(__xludf.DUMMYFUNCTION("""COMPUTED_VALUE"""),"")</f>
        <v/>
      </c>
      <c r="I156" s="36" t="str">
        <f>IFERROR(__xludf.DUMMYFUNCTION("""COMPUTED_VALUE"""),"")</f>
        <v/>
      </c>
      <c r="J156" s="36" t="str">
        <f>IFERROR(__xludf.DUMMYFUNCTION("""COMPUTED_VALUE"""),"")</f>
        <v/>
      </c>
      <c r="O156" s="36"/>
      <c r="P156" s="36" t="str">
        <f>IFERROR(__xludf.DUMMYFUNCTION("""COMPUTED_VALUE"""),"")</f>
        <v/>
      </c>
      <c r="Q156" s="36" t="str">
        <f>IFERROR(__xludf.DUMMYFUNCTION("""COMPUTED_VALUE"""),"")</f>
        <v/>
      </c>
    </row>
    <row r="157">
      <c r="B157" s="36"/>
      <c r="C157" s="36" t="str">
        <f>IFERROR(__xludf.DUMMYFUNCTION("""COMPUTED_VALUE"""),"")</f>
        <v/>
      </c>
      <c r="D157" s="36" t="str">
        <f>IFERROR(__xludf.DUMMYFUNCTION("""COMPUTED_VALUE"""),"")</f>
        <v/>
      </c>
      <c r="E157" s="36" t="str">
        <f>IFERROR(__xludf.DUMMYFUNCTION("""COMPUTED_VALUE"""),"")</f>
        <v/>
      </c>
      <c r="F157" s="36" t="str">
        <f>IFERROR(__xludf.DUMMYFUNCTION("""COMPUTED_VALUE"""),"")</f>
        <v/>
      </c>
      <c r="G157" s="36" t="str">
        <f>IFERROR(__xludf.DUMMYFUNCTION("""COMPUTED_VALUE"""),"")</f>
        <v/>
      </c>
      <c r="H157" s="36" t="str">
        <f>IFERROR(__xludf.DUMMYFUNCTION("""COMPUTED_VALUE"""),"")</f>
        <v/>
      </c>
      <c r="I157" s="36" t="str">
        <f>IFERROR(__xludf.DUMMYFUNCTION("""COMPUTED_VALUE"""),"")</f>
        <v/>
      </c>
      <c r="J157" s="36" t="str">
        <f>IFERROR(__xludf.DUMMYFUNCTION("""COMPUTED_VALUE"""),"")</f>
        <v/>
      </c>
      <c r="O157" s="36"/>
      <c r="P157" s="36" t="str">
        <f>IFERROR(__xludf.DUMMYFUNCTION("""COMPUTED_VALUE"""),"")</f>
        <v/>
      </c>
      <c r="Q157" s="36" t="str">
        <f>IFERROR(__xludf.DUMMYFUNCTION("""COMPUTED_VALUE"""),"")</f>
        <v/>
      </c>
    </row>
    <row r="158">
      <c r="B158" s="36"/>
      <c r="C158" s="36" t="str">
        <f>IFERROR(__xludf.DUMMYFUNCTION("""COMPUTED_VALUE"""),"")</f>
        <v/>
      </c>
      <c r="D158" s="36" t="str">
        <f>IFERROR(__xludf.DUMMYFUNCTION("""COMPUTED_VALUE"""),"")</f>
        <v/>
      </c>
      <c r="E158" s="36" t="str">
        <f>IFERROR(__xludf.DUMMYFUNCTION("""COMPUTED_VALUE"""),"")</f>
        <v/>
      </c>
      <c r="F158" s="36" t="str">
        <f>IFERROR(__xludf.DUMMYFUNCTION("""COMPUTED_VALUE"""),"")</f>
        <v/>
      </c>
      <c r="G158" s="36" t="str">
        <f>IFERROR(__xludf.DUMMYFUNCTION("""COMPUTED_VALUE"""),"")</f>
        <v/>
      </c>
      <c r="H158" s="36" t="str">
        <f>IFERROR(__xludf.DUMMYFUNCTION("""COMPUTED_VALUE"""),"")</f>
        <v/>
      </c>
      <c r="I158" s="36" t="str">
        <f>IFERROR(__xludf.DUMMYFUNCTION("""COMPUTED_VALUE"""),"")</f>
        <v/>
      </c>
      <c r="J158" s="36" t="str">
        <f>IFERROR(__xludf.DUMMYFUNCTION("""COMPUTED_VALUE"""),"")</f>
        <v/>
      </c>
      <c r="O158" s="36"/>
      <c r="P158" s="36" t="str">
        <f>IFERROR(__xludf.DUMMYFUNCTION("""COMPUTED_VALUE"""),"")</f>
        <v/>
      </c>
      <c r="Q158" s="36" t="str">
        <f>IFERROR(__xludf.DUMMYFUNCTION("""COMPUTED_VALUE"""),"")</f>
        <v/>
      </c>
    </row>
    <row r="159">
      <c r="B159" s="36"/>
      <c r="C159" s="36" t="str">
        <f>IFERROR(__xludf.DUMMYFUNCTION("""COMPUTED_VALUE"""),"")</f>
        <v/>
      </c>
      <c r="D159" s="36" t="str">
        <f>IFERROR(__xludf.DUMMYFUNCTION("""COMPUTED_VALUE"""),"")</f>
        <v/>
      </c>
      <c r="E159" s="36" t="str">
        <f>IFERROR(__xludf.DUMMYFUNCTION("""COMPUTED_VALUE"""),"")</f>
        <v/>
      </c>
      <c r="F159" s="36" t="str">
        <f>IFERROR(__xludf.DUMMYFUNCTION("""COMPUTED_VALUE"""),"")</f>
        <v/>
      </c>
      <c r="G159" s="36" t="str">
        <f>IFERROR(__xludf.DUMMYFUNCTION("""COMPUTED_VALUE"""),"")</f>
        <v/>
      </c>
      <c r="H159" s="36" t="str">
        <f>IFERROR(__xludf.DUMMYFUNCTION("""COMPUTED_VALUE"""),"")</f>
        <v/>
      </c>
      <c r="I159" s="36" t="str">
        <f>IFERROR(__xludf.DUMMYFUNCTION("""COMPUTED_VALUE"""),"")</f>
        <v/>
      </c>
      <c r="J159" s="36" t="str">
        <f>IFERROR(__xludf.DUMMYFUNCTION("""COMPUTED_VALUE"""),"")</f>
        <v/>
      </c>
      <c r="O159" s="36"/>
      <c r="P159" s="36" t="str">
        <f>IFERROR(__xludf.DUMMYFUNCTION("""COMPUTED_VALUE"""),"")</f>
        <v/>
      </c>
      <c r="Q159" s="36" t="str">
        <f>IFERROR(__xludf.DUMMYFUNCTION("""COMPUTED_VALUE"""),"")</f>
        <v/>
      </c>
    </row>
    <row r="160">
      <c r="B160" s="36"/>
      <c r="C160" s="36" t="str">
        <f>IFERROR(__xludf.DUMMYFUNCTION("""COMPUTED_VALUE"""),"")</f>
        <v/>
      </c>
      <c r="D160" s="36" t="str">
        <f>IFERROR(__xludf.DUMMYFUNCTION("""COMPUTED_VALUE"""),"")</f>
        <v/>
      </c>
      <c r="E160" s="36" t="str">
        <f>IFERROR(__xludf.DUMMYFUNCTION("""COMPUTED_VALUE"""),"")</f>
        <v/>
      </c>
      <c r="F160" s="36" t="str">
        <f>IFERROR(__xludf.DUMMYFUNCTION("""COMPUTED_VALUE"""),"")</f>
        <v/>
      </c>
      <c r="G160" s="36" t="str">
        <f>IFERROR(__xludf.DUMMYFUNCTION("""COMPUTED_VALUE"""),"")</f>
        <v/>
      </c>
      <c r="H160" s="36" t="str">
        <f>IFERROR(__xludf.DUMMYFUNCTION("""COMPUTED_VALUE"""),"")</f>
        <v/>
      </c>
      <c r="I160" s="36" t="str">
        <f>IFERROR(__xludf.DUMMYFUNCTION("""COMPUTED_VALUE"""),"")</f>
        <v/>
      </c>
      <c r="J160" s="36" t="str">
        <f>IFERROR(__xludf.DUMMYFUNCTION("""COMPUTED_VALUE"""),"")</f>
        <v/>
      </c>
      <c r="O160" s="36"/>
      <c r="P160" s="36" t="str">
        <f>IFERROR(__xludf.DUMMYFUNCTION("""COMPUTED_VALUE"""),"")</f>
        <v/>
      </c>
      <c r="Q160" s="36" t="str">
        <f>IFERROR(__xludf.DUMMYFUNCTION("""COMPUTED_VALUE"""),"")</f>
        <v/>
      </c>
    </row>
    <row r="161">
      <c r="B161" s="36"/>
      <c r="C161" s="36" t="str">
        <f>IFERROR(__xludf.DUMMYFUNCTION("""COMPUTED_VALUE"""),"")</f>
        <v/>
      </c>
      <c r="D161" s="36" t="str">
        <f>IFERROR(__xludf.DUMMYFUNCTION("""COMPUTED_VALUE"""),"")</f>
        <v/>
      </c>
      <c r="E161" s="36" t="str">
        <f>IFERROR(__xludf.DUMMYFUNCTION("""COMPUTED_VALUE"""),"")</f>
        <v/>
      </c>
      <c r="F161" s="36" t="str">
        <f>IFERROR(__xludf.DUMMYFUNCTION("""COMPUTED_VALUE"""),"")</f>
        <v/>
      </c>
      <c r="G161" s="36" t="str">
        <f>IFERROR(__xludf.DUMMYFUNCTION("""COMPUTED_VALUE"""),"")</f>
        <v/>
      </c>
      <c r="H161" s="36" t="str">
        <f>IFERROR(__xludf.DUMMYFUNCTION("""COMPUTED_VALUE"""),"")</f>
        <v/>
      </c>
      <c r="I161" s="36" t="str">
        <f>IFERROR(__xludf.DUMMYFUNCTION("""COMPUTED_VALUE"""),"")</f>
        <v/>
      </c>
      <c r="J161" s="36" t="str">
        <f>IFERROR(__xludf.DUMMYFUNCTION("""COMPUTED_VALUE"""),"")</f>
        <v/>
      </c>
      <c r="O161" s="36"/>
      <c r="P161" s="36" t="str">
        <f>IFERROR(__xludf.DUMMYFUNCTION("""COMPUTED_VALUE"""),"")</f>
        <v/>
      </c>
      <c r="Q161" s="36" t="str">
        <f>IFERROR(__xludf.DUMMYFUNCTION("""COMPUTED_VALUE"""),"")</f>
        <v/>
      </c>
    </row>
    <row r="162">
      <c r="B162" s="36"/>
      <c r="C162" s="36" t="str">
        <f>IFERROR(__xludf.DUMMYFUNCTION("""COMPUTED_VALUE"""),"")</f>
        <v/>
      </c>
      <c r="D162" s="36" t="str">
        <f>IFERROR(__xludf.DUMMYFUNCTION("""COMPUTED_VALUE"""),"")</f>
        <v/>
      </c>
      <c r="E162" s="36" t="str">
        <f>IFERROR(__xludf.DUMMYFUNCTION("""COMPUTED_VALUE"""),"")</f>
        <v/>
      </c>
      <c r="F162" s="36" t="str">
        <f>IFERROR(__xludf.DUMMYFUNCTION("""COMPUTED_VALUE"""),"")</f>
        <v/>
      </c>
      <c r="G162" s="36" t="str">
        <f>IFERROR(__xludf.DUMMYFUNCTION("""COMPUTED_VALUE"""),"")</f>
        <v/>
      </c>
      <c r="H162" s="36" t="str">
        <f>IFERROR(__xludf.DUMMYFUNCTION("""COMPUTED_VALUE"""),"")</f>
        <v/>
      </c>
      <c r="I162" s="36" t="str">
        <f>IFERROR(__xludf.DUMMYFUNCTION("""COMPUTED_VALUE"""),"")</f>
        <v/>
      </c>
      <c r="J162" s="36" t="str">
        <f>IFERROR(__xludf.DUMMYFUNCTION("""COMPUTED_VALUE"""),"")</f>
        <v/>
      </c>
      <c r="O162" s="36"/>
      <c r="P162" s="36" t="str">
        <f>IFERROR(__xludf.DUMMYFUNCTION("""COMPUTED_VALUE"""),"")</f>
        <v/>
      </c>
      <c r="Q162" s="36" t="str">
        <f>IFERROR(__xludf.DUMMYFUNCTION("""COMPUTED_VALUE"""),"")</f>
        <v/>
      </c>
    </row>
    <row r="163">
      <c r="B163" s="36"/>
      <c r="C163" s="36" t="str">
        <f>IFERROR(__xludf.DUMMYFUNCTION("""COMPUTED_VALUE"""),"")</f>
        <v/>
      </c>
      <c r="D163" s="36" t="str">
        <f>IFERROR(__xludf.DUMMYFUNCTION("""COMPUTED_VALUE"""),"")</f>
        <v/>
      </c>
      <c r="E163" s="36" t="str">
        <f>IFERROR(__xludf.DUMMYFUNCTION("""COMPUTED_VALUE"""),"")</f>
        <v/>
      </c>
      <c r="F163" s="36" t="str">
        <f>IFERROR(__xludf.DUMMYFUNCTION("""COMPUTED_VALUE"""),"")</f>
        <v/>
      </c>
      <c r="G163" s="36" t="str">
        <f>IFERROR(__xludf.DUMMYFUNCTION("""COMPUTED_VALUE"""),"")</f>
        <v/>
      </c>
      <c r="H163" s="36" t="str">
        <f>IFERROR(__xludf.DUMMYFUNCTION("""COMPUTED_VALUE"""),"")</f>
        <v/>
      </c>
      <c r="I163" s="36" t="str">
        <f>IFERROR(__xludf.DUMMYFUNCTION("""COMPUTED_VALUE"""),"")</f>
        <v/>
      </c>
      <c r="J163" s="36" t="str">
        <f>IFERROR(__xludf.DUMMYFUNCTION("""COMPUTED_VALUE"""),"")</f>
        <v/>
      </c>
      <c r="O163" s="36"/>
      <c r="P163" s="36" t="str">
        <f>IFERROR(__xludf.DUMMYFUNCTION("""COMPUTED_VALUE"""),"")</f>
        <v/>
      </c>
      <c r="Q163" s="36" t="str">
        <f>IFERROR(__xludf.DUMMYFUNCTION("""COMPUTED_VALUE"""),"")</f>
        <v/>
      </c>
    </row>
    <row r="164">
      <c r="B164" s="36"/>
      <c r="C164" s="36" t="str">
        <f>IFERROR(__xludf.DUMMYFUNCTION("""COMPUTED_VALUE"""),"")</f>
        <v/>
      </c>
      <c r="D164" s="36" t="str">
        <f>IFERROR(__xludf.DUMMYFUNCTION("""COMPUTED_VALUE"""),"")</f>
        <v/>
      </c>
      <c r="E164" s="36" t="str">
        <f>IFERROR(__xludf.DUMMYFUNCTION("""COMPUTED_VALUE"""),"")</f>
        <v/>
      </c>
      <c r="F164" s="36" t="str">
        <f>IFERROR(__xludf.DUMMYFUNCTION("""COMPUTED_VALUE"""),"")</f>
        <v/>
      </c>
      <c r="G164" s="36" t="str">
        <f>IFERROR(__xludf.DUMMYFUNCTION("""COMPUTED_VALUE"""),"")</f>
        <v/>
      </c>
      <c r="H164" s="36" t="str">
        <f>IFERROR(__xludf.DUMMYFUNCTION("""COMPUTED_VALUE"""),"")</f>
        <v/>
      </c>
      <c r="I164" s="36" t="str">
        <f>IFERROR(__xludf.DUMMYFUNCTION("""COMPUTED_VALUE"""),"")</f>
        <v/>
      </c>
      <c r="J164" s="36" t="str">
        <f>IFERROR(__xludf.DUMMYFUNCTION("""COMPUTED_VALUE"""),"")</f>
        <v/>
      </c>
      <c r="O164" s="36"/>
      <c r="P164" s="36" t="str">
        <f>IFERROR(__xludf.DUMMYFUNCTION("""COMPUTED_VALUE"""),"")</f>
        <v/>
      </c>
      <c r="Q164" s="36" t="str">
        <f>IFERROR(__xludf.DUMMYFUNCTION("""COMPUTED_VALUE"""),"")</f>
        <v/>
      </c>
    </row>
    <row r="165">
      <c r="B165" s="36"/>
      <c r="C165" s="36" t="str">
        <f>IFERROR(__xludf.DUMMYFUNCTION("""COMPUTED_VALUE"""),"")</f>
        <v/>
      </c>
      <c r="D165" s="36" t="str">
        <f>IFERROR(__xludf.DUMMYFUNCTION("""COMPUTED_VALUE"""),"")</f>
        <v/>
      </c>
      <c r="E165" s="36" t="str">
        <f>IFERROR(__xludf.DUMMYFUNCTION("""COMPUTED_VALUE"""),"")</f>
        <v/>
      </c>
      <c r="F165" s="36" t="str">
        <f>IFERROR(__xludf.DUMMYFUNCTION("""COMPUTED_VALUE"""),"")</f>
        <v/>
      </c>
      <c r="G165" s="36" t="str">
        <f>IFERROR(__xludf.DUMMYFUNCTION("""COMPUTED_VALUE"""),"")</f>
        <v/>
      </c>
      <c r="H165" s="36" t="str">
        <f>IFERROR(__xludf.DUMMYFUNCTION("""COMPUTED_VALUE"""),"")</f>
        <v/>
      </c>
      <c r="I165" s="36" t="str">
        <f>IFERROR(__xludf.DUMMYFUNCTION("""COMPUTED_VALUE"""),"")</f>
        <v/>
      </c>
      <c r="J165" s="36" t="str">
        <f>IFERROR(__xludf.DUMMYFUNCTION("""COMPUTED_VALUE"""),"")</f>
        <v/>
      </c>
      <c r="O165" s="36"/>
      <c r="P165" s="36" t="str">
        <f>IFERROR(__xludf.DUMMYFUNCTION("""COMPUTED_VALUE"""),"")</f>
        <v/>
      </c>
      <c r="Q165" s="36" t="str">
        <f>IFERROR(__xludf.DUMMYFUNCTION("""COMPUTED_VALUE"""),"")</f>
        <v/>
      </c>
    </row>
    <row r="166">
      <c r="B166" s="36"/>
      <c r="C166" s="36" t="str">
        <f>IFERROR(__xludf.DUMMYFUNCTION("""COMPUTED_VALUE"""),"")</f>
        <v/>
      </c>
      <c r="D166" s="36" t="str">
        <f>IFERROR(__xludf.DUMMYFUNCTION("""COMPUTED_VALUE"""),"")</f>
        <v/>
      </c>
      <c r="E166" s="36" t="str">
        <f>IFERROR(__xludf.DUMMYFUNCTION("""COMPUTED_VALUE"""),"")</f>
        <v/>
      </c>
      <c r="F166" s="36" t="str">
        <f>IFERROR(__xludf.DUMMYFUNCTION("""COMPUTED_VALUE"""),"")</f>
        <v/>
      </c>
      <c r="G166" s="36" t="str">
        <f>IFERROR(__xludf.DUMMYFUNCTION("""COMPUTED_VALUE"""),"")</f>
        <v/>
      </c>
      <c r="H166" s="36" t="str">
        <f>IFERROR(__xludf.DUMMYFUNCTION("""COMPUTED_VALUE"""),"")</f>
        <v/>
      </c>
      <c r="I166" s="36" t="str">
        <f>IFERROR(__xludf.DUMMYFUNCTION("""COMPUTED_VALUE"""),"")</f>
        <v/>
      </c>
      <c r="J166" s="36" t="str">
        <f>IFERROR(__xludf.DUMMYFUNCTION("""COMPUTED_VALUE"""),"")</f>
        <v/>
      </c>
      <c r="O166" s="36"/>
      <c r="P166" s="36" t="str">
        <f>IFERROR(__xludf.DUMMYFUNCTION("""COMPUTED_VALUE"""),"")</f>
        <v/>
      </c>
      <c r="Q166" s="36" t="str">
        <f>IFERROR(__xludf.DUMMYFUNCTION("""COMPUTED_VALUE"""),"")</f>
        <v/>
      </c>
    </row>
    <row r="167">
      <c r="B167" s="36"/>
      <c r="C167" s="36" t="str">
        <f>IFERROR(__xludf.DUMMYFUNCTION("""COMPUTED_VALUE"""),"")</f>
        <v/>
      </c>
      <c r="D167" s="36" t="str">
        <f>IFERROR(__xludf.DUMMYFUNCTION("""COMPUTED_VALUE"""),"")</f>
        <v/>
      </c>
      <c r="E167" s="36" t="str">
        <f>IFERROR(__xludf.DUMMYFUNCTION("""COMPUTED_VALUE"""),"")</f>
        <v/>
      </c>
      <c r="F167" s="36" t="str">
        <f>IFERROR(__xludf.DUMMYFUNCTION("""COMPUTED_VALUE"""),"")</f>
        <v/>
      </c>
      <c r="G167" s="36" t="str">
        <f>IFERROR(__xludf.DUMMYFUNCTION("""COMPUTED_VALUE"""),"")</f>
        <v/>
      </c>
      <c r="H167" s="36" t="str">
        <f>IFERROR(__xludf.DUMMYFUNCTION("""COMPUTED_VALUE"""),"")</f>
        <v/>
      </c>
      <c r="I167" s="36" t="str">
        <f>IFERROR(__xludf.DUMMYFUNCTION("""COMPUTED_VALUE"""),"")</f>
        <v/>
      </c>
      <c r="J167" s="36" t="str">
        <f>IFERROR(__xludf.DUMMYFUNCTION("""COMPUTED_VALUE"""),"")</f>
        <v/>
      </c>
      <c r="O167" s="36"/>
      <c r="P167" s="36" t="str">
        <f>IFERROR(__xludf.DUMMYFUNCTION("""COMPUTED_VALUE"""),"")</f>
        <v/>
      </c>
      <c r="Q167" s="36" t="str">
        <f>IFERROR(__xludf.DUMMYFUNCTION("""COMPUTED_VALUE"""),"")</f>
        <v/>
      </c>
    </row>
    <row r="168">
      <c r="B168" s="36"/>
      <c r="C168" s="36" t="str">
        <f>IFERROR(__xludf.DUMMYFUNCTION("""COMPUTED_VALUE"""),"")</f>
        <v/>
      </c>
      <c r="D168" s="36" t="str">
        <f>IFERROR(__xludf.DUMMYFUNCTION("""COMPUTED_VALUE"""),"")</f>
        <v/>
      </c>
      <c r="E168" s="36" t="str">
        <f>IFERROR(__xludf.DUMMYFUNCTION("""COMPUTED_VALUE"""),"")</f>
        <v/>
      </c>
      <c r="F168" s="36" t="str">
        <f>IFERROR(__xludf.DUMMYFUNCTION("""COMPUTED_VALUE"""),"")</f>
        <v/>
      </c>
      <c r="G168" s="36" t="str">
        <f>IFERROR(__xludf.DUMMYFUNCTION("""COMPUTED_VALUE"""),"")</f>
        <v/>
      </c>
      <c r="H168" s="36" t="str">
        <f>IFERROR(__xludf.DUMMYFUNCTION("""COMPUTED_VALUE"""),"")</f>
        <v/>
      </c>
      <c r="I168" s="36" t="str">
        <f>IFERROR(__xludf.DUMMYFUNCTION("""COMPUTED_VALUE"""),"")</f>
        <v/>
      </c>
      <c r="J168" s="36" t="str">
        <f>IFERROR(__xludf.DUMMYFUNCTION("""COMPUTED_VALUE"""),"")</f>
        <v/>
      </c>
      <c r="O168" s="36"/>
      <c r="P168" s="36" t="str">
        <f>IFERROR(__xludf.DUMMYFUNCTION("""COMPUTED_VALUE"""),"")</f>
        <v/>
      </c>
      <c r="Q168" s="36" t="str">
        <f>IFERROR(__xludf.DUMMYFUNCTION("""COMPUTED_VALUE"""),"")</f>
        <v/>
      </c>
    </row>
    <row r="169">
      <c r="B169" s="36"/>
      <c r="C169" s="36" t="str">
        <f>IFERROR(__xludf.DUMMYFUNCTION("""COMPUTED_VALUE"""),"")</f>
        <v/>
      </c>
      <c r="D169" s="36" t="str">
        <f>IFERROR(__xludf.DUMMYFUNCTION("""COMPUTED_VALUE"""),"")</f>
        <v/>
      </c>
      <c r="E169" s="36" t="str">
        <f>IFERROR(__xludf.DUMMYFUNCTION("""COMPUTED_VALUE"""),"")</f>
        <v/>
      </c>
      <c r="F169" s="36" t="str">
        <f>IFERROR(__xludf.DUMMYFUNCTION("""COMPUTED_VALUE"""),"")</f>
        <v/>
      </c>
      <c r="G169" s="36" t="str">
        <f>IFERROR(__xludf.DUMMYFUNCTION("""COMPUTED_VALUE"""),"")</f>
        <v/>
      </c>
      <c r="H169" s="36" t="str">
        <f>IFERROR(__xludf.DUMMYFUNCTION("""COMPUTED_VALUE"""),"")</f>
        <v/>
      </c>
      <c r="I169" s="36" t="str">
        <f>IFERROR(__xludf.DUMMYFUNCTION("""COMPUTED_VALUE"""),"")</f>
        <v/>
      </c>
      <c r="J169" s="36" t="str">
        <f>IFERROR(__xludf.DUMMYFUNCTION("""COMPUTED_VALUE"""),"")</f>
        <v/>
      </c>
      <c r="O169" s="36"/>
      <c r="P169" s="36" t="str">
        <f>IFERROR(__xludf.DUMMYFUNCTION("""COMPUTED_VALUE"""),"")</f>
        <v/>
      </c>
      <c r="Q169" s="36" t="str">
        <f>IFERROR(__xludf.DUMMYFUNCTION("""COMPUTED_VALUE"""),"")</f>
        <v/>
      </c>
    </row>
    <row r="170">
      <c r="B170" s="36"/>
      <c r="C170" s="36" t="str">
        <f>IFERROR(__xludf.DUMMYFUNCTION("""COMPUTED_VALUE"""),"")</f>
        <v/>
      </c>
      <c r="D170" s="36" t="str">
        <f>IFERROR(__xludf.DUMMYFUNCTION("""COMPUTED_VALUE"""),"")</f>
        <v/>
      </c>
      <c r="E170" s="36" t="str">
        <f>IFERROR(__xludf.DUMMYFUNCTION("""COMPUTED_VALUE"""),"")</f>
        <v/>
      </c>
      <c r="F170" s="36" t="str">
        <f>IFERROR(__xludf.DUMMYFUNCTION("""COMPUTED_VALUE"""),"")</f>
        <v/>
      </c>
      <c r="G170" s="36" t="str">
        <f>IFERROR(__xludf.DUMMYFUNCTION("""COMPUTED_VALUE"""),"")</f>
        <v/>
      </c>
      <c r="H170" s="36" t="str">
        <f>IFERROR(__xludf.DUMMYFUNCTION("""COMPUTED_VALUE"""),"")</f>
        <v/>
      </c>
      <c r="I170" s="36" t="str">
        <f>IFERROR(__xludf.DUMMYFUNCTION("""COMPUTED_VALUE"""),"")</f>
        <v/>
      </c>
      <c r="J170" s="36" t="str">
        <f>IFERROR(__xludf.DUMMYFUNCTION("""COMPUTED_VALUE"""),"")</f>
        <v/>
      </c>
      <c r="O170" s="36"/>
      <c r="P170" s="36" t="str">
        <f>IFERROR(__xludf.DUMMYFUNCTION("""COMPUTED_VALUE"""),"")</f>
        <v/>
      </c>
      <c r="Q170" s="36" t="str">
        <f>IFERROR(__xludf.DUMMYFUNCTION("""COMPUTED_VALUE"""),"")</f>
        <v/>
      </c>
    </row>
    <row r="171">
      <c r="B171" s="36"/>
      <c r="C171" s="36" t="str">
        <f>IFERROR(__xludf.DUMMYFUNCTION("""COMPUTED_VALUE"""),"")</f>
        <v/>
      </c>
      <c r="D171" s="36" t="str">
        <f>IFERROR(__xludf.DUMMYFUNCTION("""COMPUTED_VALUE"""),"")</f>
        <v/>
      </c>
      <c r="E171" s="36" t="str">
        <f>IFERROR(__xludf.DUMMYFUNCTION("""COMPUTED_VALUE"""),"")</f>
        <v/>
      </c>
      <c r="F171" s="36" t="str">
        <f>IFERROR(__xludf.DUMMYFUNCTION("""COMPUTED_VALUE"""),"")</f>
        <v/>
      </c>
      <c r="G171" s="36" t="str">
        <f>IFERROR(__xludf.DUMMYFUNCTION("""COMPUTED_VALUE"""),"")</f>
        <v/>
      </c>
      <c r="H171" s="36" t="str">
        <f>IFERROR(__xludf.DUMMYFUNCTION("""COMPUTED_VALUE"""),"")</f>
        <v/>
      </c>
      <c r="I171" s="36" t="str">
        <f>IFERROR(__xludf.DUMMYFUNCTION("""COMPUTED_VALUE"""),"")</f>
        <v/>
      </c>
      <c r="J171" s="36" t="str">
        <f>IFERROR(__xludf.DUMMYFUNCTION("""COMPUTED_VALUE"""),"")</f>
        <v/>
      </c>
      <c r="O171" s="36"/>
      <c r="P171" s="36" t="str">
        <f>IFERROR(__xludf.DUMMYFUNCTION("""COMPUTED_VALUE"""),"")</f>
        <v/>
      </c>
      <c r="Q171" s="36" t="str">
        <f>IFERROR(__xludf.DUMMYFUNCTION("""COMPUTED_VALUE"""),"")</f>
        <v/>
      </c>
    </row>
    <row r="172">
      <c r="B172" s="36"/>
      <c r="C172" s="36" t="str">
        <f>IFERROR(__xludf.DUMMYFUNCTION("""COMPUTED_VALUE"""),"")</f>
        <v/>
      </c>
      <c r="D172" s="36" t="str">
        <f>IFERROR(__xludf.DUMMYFUNCTION("""COMPUTED_VALUE"""),"")</f>
        <v/>
      </c>
      <c r="E172" s="36" t="str">
        <f>IFERROR(__xludf.DUMMYFUNCTION("""COMPUTED_VALUE"""),"")</f>
        <v/>
      </c>
      <c r="F172" s="36" t="str">
        <f>IFERROR(__xludf.DUMMYFUNCTION("""COMPUTED_VALUE"""),"")</f>
        <v/>
      </c>
      <c r="G172" s="36" t="str">
        <f>IFERROR(__xludf.DUMMYFUNCTION("""COMPUTED_VALUE"""),"")</f>
        <v/>
      </c>
      <c r="H172" s="36" t="str">
        <f>IFERROR(__xludf.DUMMYFUNCTION("""COMPUTED_VALUE"""),"")</f>
        <v/>
      </c>
      <c r="I172" s="36" t="str">
        <f>IFERROR(__xludf.DUMMYFUNCTION("""COMPUTED_VALUE"""),"")</f>
        <v/>
      </c>
      <c r="J172" s="36" t="str">
        <f>IFERROR(__xludf.DUMMYFUNCTION("""COMPUTED_VALUE"""),"")</f>
        <v/>
      </c>
      <c r="O172" s="36"/>
      <c r="P172" s="36" t="str">
        <f>IFERROR(__xludf.DUMMYFUNCTION("""COMPUTED_VALUE"""),"")</f>
        <v/>
      </c>
      <c r="Q172" s="36" t="str">
        <f>IFERROR(__xludf.DUMMYFUNCTION("""COMPUTED_VALUE"""),"")</f>
        <v/>
      </c>
    </row>
    <row r="173">
      <c r="B173" s="36"/>
      <c r="C173" s="36" t="str">
        <f>IFERROR(__xludf.DUMMYFUNCTION("""COMPUTED_VALUE"""),"")</f>
        <v/>
      </c>
      <c r="D173" s="36" t="str">
        <f>IFERROR(__xludf.DUMMYFUNCTION("""COMPUTED_VALUE"""),"")</f>
        <v/>
      </c>
      <c r="E173" s="36" t="str">
        <f>IFERROR(__xludf.DUMMYFUNCTION("""COMPUTED_VALUE"""),"")</f>
        <v/>
      </c>
      <c r="F173" s="36" t="str">
        <f>IFERROR(__xludf.DUMMYFUNCTION("""COMPUTED_VALUE"""),"")</f>
        <v/>
      </c>
      <c r="G173" s="36" t="str">
        <f>IFERROR(__xludf.DUMMYFUNCTION("""COMPUTED_VALUE"""),"")</f>
        <v/>
      </c>
      <c r="H173" s="36" t="str">
        <f>IFERROR(__xludf.DUMMYFUNCTION("""COMPUTED_VALUE"""),"")</f>
        <v/>
      </c>
      <c r="I173" s="36" t="str">
        <f>IFERROR(__xludf.DUMMYFUNCTION("""COMPUTED_VALUE"""),"")</f>
        <v/>
      </c>
      <c r="J173" s="36" t="str">
        <f>IFERROR(__xludf.DUMMYFUNCTION("""COMPUTED_VALUE"""),"")</f>
        <v/>
      </c>
      <c r="O173" s="36"/>
      <c r="P173" s="36" t="str">
        <f>IFERROR(__xludf.DUMMYFUNCTION("""COMPUTED_VALUE"""),"")</f>
        <v/>
      </c>
      <c r="Q173" s="36" t="str">
        <f>IFERROR(__xludf.DUMMYFUNCTION("""COMPUTED_VALUE"""),"")</f>
        <v/>
      </c>
    </row>
    <row r="174">
      <c r="B174" s="36"/>
      <c r="C174" s="36" t="str">
        <f>IFERROR(__xludf.DUMMYFUNCTION("""COMPUTED_VALUE"""),"")</f>
        <v/>
      </c>
      <c r="D174" s="36" t="str">
        <f>IFERROR(__xludf.DUMMYFUNCTION("""COMPUTED_VALUE"""),"")</f>
        <v/>
      </c>
      <c r="E174" s="36" t="str">
        <f>IFERROR(__xludf.DUMMYFUNCTION("""COMPUTED_VALUE"""),"")</f>
        <v/>
      </c>
      <c r="F174" s="36" t="str">
        <f>IFERROR(__xludf.DUMMYFUNCTION("""COMPUTED_VALUE"""),"")</f>
        <v/>
      </c>
      <c r="G174" s="36" t="str">
        <f>IFERROR(__xludf.DUMMYFUNCTION("""COMPUTED_VALUE"""),"")</f>
        <v/>
      </c>
      <c r="H174" s="36" t="str">
        <f>IFERROR(__xludf.DUMMYFUNCTION("""COMPUTED_VALUE"""),"")</f>
        <v/>
      </c>
      <c r="I174" s="36" t="str">
        <f>IFERROR(__xludf.DUMMYFUNCTION("""COMPUTED_VALUE"""),"")</f>
        <v/>
      </c>
      <c r="J174" s="36" t="str">
        <f>IFERROR(__xludf.DUMMYFUNCTION("""COMPUTED_VALUE"""),"")</f>
        <v/>
      </c>
      <c r="O174" s="36"/>
      <c r="P174" s="36" t="str">
        <f>IFERROR(__xludf.DUMMYFUNCTION("""COMPUTED_VALUE"""),"")</f>
        <v/>
      </c>
      <c r="Q174" s="36" t="str">
        <f>IFERROR(__xludf.DUMMYFUNCTION("""COMPUTED_VALUE"""),"")</f>
        <v/>
      </c>
    </row>
    <row r="175">
      <c r="B175" s="36"/>
      <c r="C175" s="36" t="str">
        <f>IFERROR(__xludf.DUMMYFUNCTION("""COMPUTED_VALUE"""),"")</f>
        <v/>
      </c>
      <c r="D175" s="36" t="str">
        <f>IFERROR(__xludf.DUMMYFUNCTION("""COMPUTED_VALUE"""),"")</f>
        <v/>
      </c>
      <c r="E175" s="36" t="str">
        <f>IFERROR(__xludf.DUMMYFUNCTION("""COMPUTED_VALUE"""),"")</f>
        <v/>
      </c>
      <c r="F175" s="36" t="str">
        <f>IFERROR(__xludf.DUMMYFUNCTION("""COMPUTED_VALUE"""),"")</f>
        <v/>
      </c>
      <c r="G175" s="36" t="str">
        <f>IFERROR(__xludf.DUMMYFUNCTION("""COMPUTED_VALUE"""),"")</f>
        <v/>
      </c>
      <c r="H175" s="36" t="str">
        <f>IFERROR(__xludf.DUMMYFUNCTION("""COMPUTED_VALUE"""),"")</f>
        <v/>
      </c>
      <c r="I175" s="36" t="str">
        <f>IFERROR(__xludf.DUMMYFUNCTION("""COMPUTED_VALUE"""),"")</f>
        <v/>
      </c>
      <c r="J175" s="36" t="str">
        <f>IFERROR(__xludf.DUMMYFUNCTION("""COMPUTED_VALUE"""),"")</f>
        <v/>
      </c>
      <c r="O175" s="36"/>
      <c r="P175" s="36" t="str">
        <f>IFERROR(__xludf.DUMMYFUNCTION("""COMPUTED_VALUE"""),"")</f>
        <v/>
      </c>
      <c r="Q175" s="36" t="str">
        <f>IFERROR(__xludf.DUMMYFUNCTION("""COMPUTED_VALUE"""),"")</f>
        <v/>
      </c>
    </row>
    <row r="176">
      <c r="B176" s="36"/>
      <c r="C176" s="36" t="str">
        <f>IFERROR(__xludf.DUMMYFUNCTION("""COMPUTED_VALUE"""),"")</f>
        <v/>
      </c>
      <c r="D176" s="36" t="str">
        <f>IFERROR(__xludf.DUMMYFUNCTION("""COMPUTED_VALUE"""),"")</f>
        <v/>
      </c>
      <c r="E176" s="36" t="str">
        <f>IFERROR(__xludf.DUMMYFUNCTION("""COMPUTED_VALUE"""),"")</f>
        <v/>
      </c>
      <c r="F176" s="36" t="str">
        <f>IFERROR(__xludf.DUMMYFUNCTION("""COMPUTED_VALUE"""),"")</f>
        <v/>
      </c>
      <c r="G176" s="36" t="str">
        <f>IFERROR(__xludf.DUMMYFUNCTION("""COMPUTED_VALUE"""),"")</f>
        <v/>
      </c>
      <c r="H176" s="36" t="str">
        <f>IFERROR(__xludf.DUMMYFUNCTION("""COMPUTED_VALUE"""),"")</f>
        <v/>
      </c>
      <c r="I176" s="36" t="str">
        <f>IFERROR(__xludf.DUMMYFUNCTION("""COMPUTED_VALUE"""),"")</f>
        <v/>
      </c>
      <c r="J176" s="36" t="str">
        <f>IFERROR(__xludf.DUMMYFUNCTION("""COMPUTED_VALUE"""),"")</f>
        <v/>
      </c>
      <c r="O176" s="36"/>
      <c r="P176" s="36" t="str">
        <f>IFERROR(__xludf.DUMMYFUNCTION("""COMPUTED_VALUE"""),"")</f>
        <v/>
      </c>
      <c r="Q176" s="36" t="str">
        <f>IFERROR(__xludf.DUMMYFUNCTION("""COMPUTED_VALUE"""),"")</f>
        <v/>
      </c>
    </row>
    <row r="177">
      <c r="B177" s="36"/>
      <c r="C177" s="36" t="str">
        <f>IFERROR(__xludf.DUMMYFUNCTION("""COMPUTED_VALUE"""),"")</f>
        <v/>
      </c>
      <c r="D177" s="36" t="str">
        <f>IFERROR(__xludf.DUMMYFUNCTION("""COMPUTED_VALUE"""),"")</f>
        <v/>
      </c>
      <c r="E177" s="36" t="str">
        <f>IFERROR(__xludf.DUMMYFUNCTION("""COMPUTED_VALUE"""),"")</f>
        <v/>
      </c>
      <c r="F177" s="36" t="str">
        <f>IFERROR(__xludf.DUMMYFUNCTION("""COMPUTED_VALUE"""),"")</f>
        <v/>
      </c>
      <c r="G177" s="36" t="str">
        <f>IFERROR(__xludf.DUMMYFUNCTION("""COMPUTED_VALUE"""),"")</f>
        <v/>
      </c>
      <c r="H177" s="36" t="str">
        <f>IFERROR(__xludf.DUMMYFUNCTION("""COMPUTED_VALUE"""),"")</f>
        <v/>
      </c>
      <c r="I177" s="36" t="str">
        <f>IFERROR(__xludf.DUMMYFUNCTION("""COMPUTED_VALUE"""),"")</f>
        <v/>
      </c>
      <c r="J177" s="36" t="str">
        <f>IFERROR(__xludf.DUMMYFUNCTION("""COMPUTED_VALUE"""),"")</f>
        <v/>
      </c>
      <c r="O177" s="36"/>
      <c r="P177" s="36" t="str">
        <f>IFERROR(__xludf.DUMMYFUNCTION("""COMPUTED_VALUE"""),"")</f>
        <v/>
      </c>
      <c r="Q177" s="36" t="str">
        <f>IFERROR(__xludf.DUMMYFUNCTION("""COMPUTED_VALUE"""),"")</f>
        <v/>
      </c>
    </row>
    <row r="178">
      <c r="B178" s="36"/>
      <c r="C178" s="36" t="str">
        <f>IFERROR(__xludf.DUMMYFUNCTION("""COMPUTED_VALUE"""),"")</f>
        <v/>
      </c>
      <c r="D178" s="36" t="str">
        <f>IFERROR(__xludf.DUMMYFUNCTION("""COMPUTED_VALUE"""),"")</f>
        <v/>
      </c>
      <c r="E178" s="36" t="str">
        <f>IFERROR(__xludf.DUMMYFUNCTION("""COMPUTED_VALUE"""),"")</f>
        <v/>
      </c>
      <c r="F178" s="36" t="str">
        <f>IFERROR(__xludf.DUMMYFUNCTION("""COMPUTED_VALUE"""),"")</f>
        <v/>
      </c>
      <c r="G178" s="36" t="str">
        <f>IFERROR(__xludf.DUMMYFUNCTION("""COMPUTED_VALUE"""),"")</f>
        <v/>
      </c>
      <c r="H178" s="36" t="str">
        <f>IFERROR(__xludf.DUMMYFUNCTION("""COMPUTED_VALUE"""),"")</f>
        <v/>
      </c>
      <c r="I178" s="36" t="str">
        <f>IFERROR(__xludf.DUMMYFUNCTION("""COMPUTED_VALUE"""),"")</f>
        <v/>
      </c>
      <c r="J178" s="36" t="str">
        <f>IFERROR(__xludf.DUMMYFUNCTION("""COMPUTED_VALUE"""),"")</f>
        <v/>
      </c>
      <c r="O178" s="36"/>
      <c r="P178" s="36" t="str">
        <f>IFERROR(__xludf.DUMMYFUNCTION("""COMPUTED_VALUE"""),"")</f>
        <v/>
      </c>
      <c r="Q178" s="36" t="str">
        <f>IFERROR(__xludf.DUMMYFUNCTION("""COMPUTED_VALUE"""),"")</f>
        <v/>
      </c>
    </row>
    <row r="179">
      <c r="B179" s="36"/>
      <c r="C179" s="36" t="str">
        <f>IFERROR(__xludf.DUMMYFUNCTION("""COMPUTED_VALUE"""),"")</f>
        <v/>
      </c>
      <c r="D179" s="36" t="str">
        <f>IFERROR(__xludf.DUMMYFUNCTION("""COMPUTED_VALUE"""),"")</f>
        <v/>
      </c>
      <c r="E179" s="36" t="str">
        <f>IFERROR(__xludf.DUMMYFUNCTION("""COMPUTED_VALUE"""),"")</f>
        <v/>
      </c>
      <c r="F179" s="36" t="str">
        <f>IFERROR(__xludf.DUMMYFUNCTION("""COMPUTED_VALUE"""),"")</f>
        <v/>
      </c>
      <c r="G179" s="36" t="str">
        <f>IFERROR(__xludf.DUMMYFUNCTION("""COMPUTED_VALUE"""),"")</f>
        <v/>
      </c>
      <c r="H179" s="36" t="str">
        <f>IFERROR(__xludf.DUMMYFUNCTION("""COMPUTED_VALUE"""),"")</f>
        <v/>
      </c>
      <c r="I179" s="36" t="str">
        <f>IFERROR(__xludf.DUMMYFUNCTION("""COMPUTED_VALUE"""),"")</f>
        <v/>
      </c>
      <c r="J179" s="36" t="str">
        <f>IFERROR(__xludf.DUMMYFUNCTION("""COMPUTED_VALUE"""),"")</f>
        <v/>
      </c>
      <c r="O179" s="36"/>
      <c r="P179" s="36" t="str">
        <f>IFERROR(__xludf.DUMMYFUNCTION("""COMPUTED_VALUE"""),"")</f>
        <v/>
      </c>
      <c r="Q179" s="36" t="str">
        <f>IFERROR(__xludf.DUMMYFUNCTION("""COMPUTED_VALUE"""),"")</f>
        <v/>
      </c>
    </row>
    <row r="180">
      <c r="B180" s="36"/>
      <c r="C180" s="36" t="str">
        <f>IFERROR(__xludf.DUMMYFUNCTION("""COMPUTED_VALUE"""),"")</f>
        <v/>
      </c>
      <c r="D180" s="36" t="str">
        <f>IFERROR(__xludf.DUMMYFUNCTION("""COMPUTED_VALUE"""),"")</f>
        <v/>
      </c>
      <c r="E180" s="36" t="str">
        <f>IFERROR(__xludf.DUMMYFUNCTION("""COMPUTED_VALUE"""),"")</f>
        <v/>
      </c>
      <c r="F180" s="36" t="str">
        <f>IFERROR(__xludf.DUMMYFUNCTION("""COMPUTED_VALUE"""),"")</f>
        <v/>
      </c>
      <c r="G180" s="36" t="str">
        <f>IFERROR(__xludf.DUMMYFUNCTION("""COMPUTED_VALUE"""),"")</f>
        <v/>
      </c>
      <c r="H180" s="36" t="str">
        <f>IFERROR(__xludf.DUMMYFUNCTION("""COMPUTED_VALUE"""),"")</f>
        <v/>
      </c>
      <c r="I180" s="36" t="str">
        <f>IFERROR(__xludf.DUMMYFUNCTION("""COMPUTED_VALUE"""),"")</f>
        <v/>
      </c>
      <c r="J180" s="36" t="str">
        <f>IFERROR(__xludf.DUMMYFUNCTION("""COMPUTED_VALUE"""),"")</f>
        <v/>
      </c>
      <c r="O180" s="36"/>
      <c r="P180" s="36" t="str">
        <f>IFERROR(__xludf.DUMMYFUNCTION("""COMPUTED_VALUE"""),"")</f>
        <v/>
      </c>
      <c r="Q180" s="36" t="str">
        <f>IFERROR(__xludf.DUMMYFUNCTION("""COMPUTED_VALUE"""),"")</f>
        <v/>
      </c>
    </row>
    <row r="181">
      <c r="B181" s="36"/>
      <c r="C181" s="36" t="str">
        <f>IFERROR(__xludf.DUMMYFUNCTION("""COMPUTED_VALUE"""),"")</f>
        <v/>
      </c>
      <c r="D181" s="36" t="str">
        <f>IFERROR(__xludf.DUMMYFUNCTION("""COMPUTED_VALUE"""),"")</f>
        <v/>
      </c>
      <c r="E181" s="36" t="str">
        <f>IFERROR(__xludf.DUMMYFUNCTION("""COMPUTED_VALUE"""),"")</f>
        <v/>
      </c>
      <c r="F181" s="36" t="str">
        <f>IFERROR(__xludf.DUMMYFUNCTION("""COMPUTED_VALUE"""),"")</f>
        <v/>
      </c>
      <c r="G181" s="36" t="str">
        <f>IFERROR(__xludf.DUMMYFUNCTION("""COMPUTED_VALUE"""),"")</f>
        <v/>
      </c>
      <c r="H181" s="36" t="str">
        <f>IFERROR(__xludf.DUMMYFUNCTION("""COMPUTED_VALUE"""),"")</f>
        <v/>
      </c>
      <c r="I181" s="36" t="str">
        <f>IFERROR(__xludf.DUMMYFUNCTION("""COMPUTED_VALUE"""),"")</f>
        <v/>
      </c>
      <c r="J181" s="36" t="str">
        <f>IFERROR(__xludf.DUMMYFUNCTION("""COMPUTED_VALUE"""),"")</f>
        <v/>
      </c>
      <c r="O181" s="36"/>
      <c r="P181" s="36" t="str">
        <f>IFERROR(__xludf.DUMMYFUNCTION("""COMPUTED_VALUE"""),"")</f>
        <v/>
      </c>
      <c r="Q181" s="36" t="str">
        <f>IFERROR(__xludf.DUMMYFUNCTION("""COMPUTED_VALUE"""),"")</f>
        <v/>
      </c>
    </row>
    <row r="182">
      <c r="B182" s="36"/>
      <c r="C182" s="36" t="str">
        <f>IFERROR(__xludf.DUMMYFUNCTION("""COMPUTED_VALUE"""),"")</f>
        <v/>
      </c>
      <c r="D182" s="36" t="str">
        <f>IFERROR(__xludf.DUMMYFUNCTION("""COMPUTED_VALUE"""),"")</f>
        <v/>
      </c>
      <c r="E182" s="36" t="str">
        <f>IFERROR(__xludf.DUMMYFUNCTION("""COMPUTED_VALUE"""),"")</f>
        <v/>
      </c>
      <c r="F182" s="36" t="str">
        <f>IFERROR(__xludf.DUMMYFUNCTION("""COMPUTED_VALUE"""),"")</f>
        <v/>
      </c>
      <c r="G182" s="36" t="str">
        <f>IFERROR(__xludf.DUMMYFUNCTION("""COMPUTED_VALUE"""),"")</f>
        <v/>
      </c>
      <c r="H182" s="36" t="str">
        <f>IFERROR(__xludf.DUMMYFUNCTION("""COMPUTED_VALUE"""),"")</f>
        <v/>
      </c>
      <c r="I182" s="36" t="str">
        <f>IFERROR(__xludf.DUMMYFUNCTION("""COMPUTED_VALUE"""),"")</f>
        <v/>
      </c>
      <c r="J182" s="36" t="str">
        <f>IFERROR(__xludf.DUMMYFUNCTION("""COMPUTED_VALUE"""),"")</f>
        <v/>
      </c>
      <c r="O182" s="36"/>
      <c r="P182" s="36" t="str">
        <f>IFERROR(__xludf.DUMMYFUNCTION("""COMPUTED_VALUE"""),"")</f>
        <v/>
      </c>
      <c r="Q182" s="36" t="str">
        <f>IFERROR(__xludf.DUMMYFUNCTION("""COMPUTED_VALUE"""),"")</f>
        <v/>
      </c>
    </row>
    <row r="183">
      <c r="B183" s="36"/>
      <c r="C183" s="36" t="str">
        <f>IFERROR(__xludf.DUMMYFUNCTION("""COMPUTED_VALUE"""),"")</f>
        <v/>
      </c>
      <c r="D183" s="36" t="str">
        <f>IFERROR(__xludf.DUMMYFUNCTION("""COMPUTED_VALUE"""),"")</f>
        <v/>
      </c>
      <c r="E183" s="36" t="str">
        <f>IFERROR(__xludf.DUMMYFUNCTION("""COMPUTED_VALUE"""),"")</f>
        <v/>
      </c>
      <c r="F183" s="36" t="str">
        <f>IFERROR(__xludf.DUMMYFUNCTION("""COMPUTED_VALUE"""),"")</f>
        <v/>
      </c>
      <c r="G183" s="36" t="str">
        <f>IFERROR(__xludf.DUMMYFUNCTION("""COMPUTED_VALUE"""),"")</f>
        <v/>
      </c>
      <c r="H183" s="36" t="str">
        <f>IFERROR(__xludf.DUMMYFUNCTION("""COMPUTED_VALUE"""),"")</f>
        <v/>
      </c>
      <c r="I183" s="36" t="str">
        <f>IFERROR(__xludf.DUMMYFUNCTION("""COMPUTED_VALUE"""),"")</f>
        <v/>
      </c>
      <c r="J183" s="36" t="str">
        <f>IFERROR(__xludf.DUMMYFUNCTION("""COMPUTED_VALUE"""),"")</f>
        <v/>
      </c>
      <c r="O183" s="36"/>
      <c r="P183" s="36" t="str">
        <f>IFERROR(__xludf.DUMMYFUNCTION("""COMPUTED_VALUE"""),"")</f>
        <v/>
      </c>
      <c r="Q183" s="36" t="str">
        <f>IFERROR(__xludf.DUMMYFUNCTION("""COMPUTED_VALUE"""),"")</f>
        <v/>
      </c>
    </row>
    <row r="184">
      <c r="B184" s="36"/>
      <c r="C184" s="36" t="str">
        <f>IFERROR(__xludf.DUMMYFUNCTION("""COMPUTED_VALUE"""),"")</f>
        <v/>
      </c>
      <c r="D184" s="36" t="str">
        <f>IFERROR(__xludf.DUMMYFUNCTION("""COMPUTED_VALUE"""),"")</f>
        <v/>
      </c>
      <c r="E184" s="36" t="str">
        <f>IFERROR(__xludf.DUMMYFUNCTION("""COMPUTED_VALUE"""),"")</f>
        <v/>
      </c>
      <c r="F184" s="36" t="str">
        <f>IFERROR(__xludf.DUMMYFUNCTION("""COMPUTED_VALUE"""),"")</f>
        <v/>
      </c>
      <c r="G184" s="36" t="str">
        <f>IFERROR(__xludf.DUMMYFUNCTION("""COMPUTED_VALUE"""),"")</f>
        <v/>
      </c>
      <c r="H184" s="36" t="str">
        <f>IFERROR(__xludf.DUMMYFUNCTION("""COMPUTED_VALUE"""),"")</f>
        <v/>
      </c>
      <c r="I184" s="36" t="str">
        <f>IFERROR(__xludf.DUMMYFUNCTION("""COMPUTED_VALUE"""),"")</f>
        <v/>
      </c>
      <c r="J184" s="36" t="str">
        <f>IFERROR(__xludf.DUMMYFUNCTION("""COMPUTED_VALUE"""),"")</f>
        <v/>
      </c>
      <c r="O184" s="36"/>
      <c r="P184" s="36" t="str">
        <f>IFERROR(__xludf.DUMMYFUNCTION("""COMPUTED_VALUE"""),"")</f>
        <v/>
      </c>
      <c r="Q184" s="36" t="str">
        <f>IFERROR(__xludf.DUMMYFUNCTION("""COMPUTED_VALUE"""),"")</f>
        <v/>
      </c>
    </row>
    <row r="185">
      <c r="B185" s="36"/>
      <c r="C185" s="36" t="str">
        <f>IFERROR(__xludf.DUMMYFUNCTION("""COMPUTED_VALUE"""),"")</f>
        <v/>
      </c>
      <c r="D185" s="36" t="str">
        <f>IFERROR(__xludf.DUMMYFUNCTION("""COMPUTED_VALUE"""),"")</f>
        <v/>
      </c>
      <c r="E185" s="36" t="str">
        <f>IFERROR(__xludf.DUMMYFUNCTION("""COMPUTED_VALUE"""),"")</f>
        <v/>
      </c>
      <c r="F185" s="36" t="str">
        <f>IFERROR(__xludf.DUMMYFUNCTION("""COMPUTED_VALUE"""),"")</f>
        <v/>
      </c>
      <c r="G185" s="36" t="str">
        <f>IFERROR(__xludf.DUMMYFUNCTION("""COMPUTED_VALUE"""),"")</f>
        <v/>
      </c>
      <c r="H185" s="36" t="str">
        <f>IFERROR(__xludf.DUMMYFUNCTION("""COMPUTED_VALUE"""),"")</f>
        <v/>
      </c>
      <c r="I185" s="36" t="str">
        <f>IFERROR(__xludf.DUMMYFUNCTION("""COMPUTED_VALUE"""),"")</f>
        <v/>
      </c>
      <c r="J185" s="36" t="str">
        <f>IFERROR(__xludf.DUMMYFUNCTION("""COMPUTED_VALUE"""),"")</f>
        <v/>
      </c>
      <c r="O185" s="36"/>
      <c r="P185" s="36" t="str">
        <f>IFERROR(__xludf.DUMMYFUNCTION("""COMPUTED_VALUE"""),"")</f>
        <v/>
      </c>
      <c r="Q185" s="36" t="str">
        <f>IFERROR(__xludf.DUMMYFUNCTION("""COMPUTED_VALUE"""),"")</f>
        <v/>
      </c>
    </row>
    <row r="186">
      <c r="B186" s="36"/>
      <c r="C186" s="36" t="str">
        <f>IFERROR(__xludf.DUMMYFUNCTION("""COMPUTED_VALUE"""),"")</f>
        <v/>
      </c>
      <c r="D186" s="36" t="str">
        <f>IFERROR(__xludf.DUMMYFUNCTION("""COMPUTED_VALUE"""),"")</f>
        <v/>
      </c>
      <c r="E186" s="36" t="str">
        <f>IFERROR(__xludf.DUMMYFUNCTION("""COMPUTED_VALUE"""),"")</f>
        <v/>
      </c>
      <c r="F186" s="36" t="str">
        <f>IFERROR(__xludf.DUMMYFUNCTION("""COMPUTED_VALUE"""),"")</f>
        <v/>
      </c>
      <c r="G186" s="36" t="str">
        <f>IFERROR(__xludf.DUMMYFUNCTION("""COMPUTED_VALUE"""),"")</f>
        <v/>
      </c>
      <c r="H186" s="36" t="str">
        <f>IFERROR(__xludf.DUMMYFUNCTION("""COMPUTED_VALUE"""),"")</f>
        <v/>
      </c>
      <c r="I186" s="36" t="str">
        <f>IFERROR(__xludf.DUMMYFUNCTION("""COMPUTED_VALUE"""),"")</f>
        <v/>
      </c>
      <c r="J186" s="36" t="str">
        <f>IFERROR(__xludf.DUMMYFUNCTION("""COMPUTED_VALUE"""),"")</f>
        <v/>
      </c>
      <c r="O186" s="36"/>
      <c r="P186" s="36" t="str">
        <f>IFERROR(__xludf.DUMMYFUNCTION("""COMPUTED_VALUE"""),"")</f>
        <v/>
      </c>
      <c r="Q186" s="36" t="str">
        <f>IFERROR(__xludf.DUMMYFUNCTION("""COMPUTED_VALUE"""),"")</f>
        <v/>
      </c>
    </row>
    <row r="187">
      <c r="B187" s="36"/>
      <c r="C187" s="36" t="str">
        <f>IFERROR(__xludf.DUMMYFUNCTION("""COMPUTED_VALUE"""),"")</f>
        <v/>
      </c>
      <c r="D187" s="36" t="str">
        <f>IFERROR(__xludf.DUMMYFUNCTION("""COMPUTED_VALUE"""),"")</f>
        <v/>
      </c>
      <c r="E187" s="36" t="str">
        <f>IFERROR(__xludf.DUMMYFUNCTION("""COMPUTED_VALUE"""),"")</f>
        <v/>
      </c>
      <c r="F187" s="36" t="str">
        <f>IFERROR(__xludf.DUMMYFUNCTION("""COMPUTED_VALUE"""),"")</f>
        <v/>
      </c>
      <c r="G187" s="36" t="str">
        <f>IFERROR(__xludf.DUMMYFUNCTION("""COMPUTED_VALUE"""),"")</f>
        <v/>
      </c>
      <c r="H187" s="36" t="str">
        <f>IFERROR(__xludf.DUMMYFUNCTION("""COMPUTED_VALUE"""),"")</f>
        <v/>
      </c>
      <c r="I187" s="36" t="str">
        <f>IFERROR(__xludf.DUMMYFUNCTION("""COMPUTED_VALUE"""),"")</f>
        <v/>
      </c>
      <c r="J187" s="36" t="str">
        <f>IFERROR(__xludf.DUMMYFUNCTION("""COMPUTED_VALUE"""),"")</f>
        <v/>
      </c>
      <c r="O187" s="36"/>
      <c r="P187" s="36" t="str">
        <f>IFERROR(__xludf.DUMMYFUNCTION("""COMPUTED_VALUE"""),"")</f>
        <v/>
      </c>
      <c r="Q187" s="36" t="str">
        <f>IFERROR(__xludf.DUMMYFUNCTION("""COMPUTED_VALUE"""),"")</f>
        <v/>
      </c>
    </row>
    <row r="188">
      <c r="B188" s="36"/>
      <c r="C188" s="36" t="str">
        <f>IFERROR(__xludf.DUMMYFUNCTION("""COMPUTED_VALUE"""),"")</f>
        <v/>
      </c>
      <c r="D188" s="36" t="str">
        <f>IFERROR(__xludf.DUMMYFUNCTION("""COMPUTED_VALUE"""),"")</f>
        <v/>
      </c>
      <c r="E188" s="36" t="str">
        <f>IFERROR(__xludf.DUMMYFUNCTION("""COMPUTED_VALUE"""),"")</f>
        <v/>
      </c>
      <c r="F188" s="36" t="str">
        <f>IFERROR(__xludf.DUMMYFUNCTION("""COMPUTED_VALUE"""),"")</f>
        <v/>
      </c>
      <c r="G188" s="36" t="str">
        <f>IFERROR(__xludf.DUMMYFUNCTION("""COMPUTED_VALUE"""),"")</f>
        <v/>
      </c>
      <c r="H188" s="36" t="str">
        <f>IFERROR(__xludf.DUMMYFUNCTION("""COMPUTED_VALUE"""),"")</f>
        <v/>
      </c>
      <c r="I188" s="36" t="str">
        <f>IFERROR(__xludf.DUMMYFUNCTION("""COMPUTED_VALUE"""),"")</f>
        <v/>
      </c>
      <c r="J188" s="36" t="str">
        <f>IFERROR(__xludf.DUMMYFUNCTION("""COMPUTED_VALUE"""),"")</f>
        <v/>
      </c>
      <c r="O188" s="36"/>
      <c r="P188" s="36" t="str">
        <f>IFERROR(__xludf.DUMMYFUNCTION("""COMPUTED_VALUE"""),"")</f>
        <v/>
      </c>
      <c r="Q188" s="36" t="str">
        <f>IFERROR(__xludf.DUMMYFUNCTION("""COMPUTED_VALUE"""),"")</f>
        <v/>
      </c>
    </row>
    <row r="189">
      <c r="B189" s="36"/>
      <c r="C189" s="36" t="str">
        <f>IFERROR(__xludf.DUMMYFUNCTION("""COMPUTED_VALUE"""),"")</f>
        <v/>
      </c>
      <c r="D189" s="36" t="str">
        <f>IFERROR(__xludf.DUMMYFUNCTION("""COMPUTED_VALUE"""),"")</f>
        <v/>
      </c>
      <c r="E189" s="36" t="str">
        <f>IFERROR(__xludf.DUMMYFUNCTION("""COMPUTED_VALUE"""),"")</f>
        <v/>
      </c>
      <c r="F189" s="36" t="str">
        <f>IFERROR(__xludf.DUMMYFUNCTION("""COMPUTED_VALUE"""),"")</f>
        <v/>
      </c>
      <c r="G189" s="36" t="str">
        <f>IFERROR(__xludf.DUMMYFUNCTION("""COMPUTED_VALUE"""),"")</f>
        <v/>
      </c>
      <c r="H189" s="36" t="str">
        <f>IFERROR(__xludf.DUMMYFUNCTION("""COMPUTED_VALUE"""),"")</f>
        <v/>
      </c>
      <c r="I189" s="36" t="str">
        <f>IFERROR(__xludf.DUMMYFUNCTION("""COMPUTED_VALUE"""),"")</f>
        <v/>
      </c>
      <c r="J189" s="36" t="str">
        <f>IFERROR(__xludf.DUMMYFUNCTION("""COMPUTED_VALUE"""),"")</f>
        <v/>
      </c>
      <c r="O189" s="36"/>
      <c r="P189" s="36" t="str">
        <f>IFERROR(__xludf.DUMMYFUNCTION("""COMPUTED_VALUE"""),"")</f>
        <v/>
      </c>
      <c r="Q189" s="36" t="str">
        <f>IFERROR(__xludf.DUMMYFUNCTION("""COMPUTED_VALUE"""),"")</f>
        <v/>
      </c>
    </row>
    <row r="190">
      <c r="B190" s="36"/>
      <c r="C190" s="36" t="str">
        <f>IFERROR(__xludf.DUMMYFUNCTION("""COMPUTED_VALUE"""),"")</f>
        <v/>
      </c>
      <c r="D190" s="36" t="str">
        <f>IFERROR(__xludf.DUMMYFUNCTION("""COMPUTED_VALUE"""),"")</f>
        <v/>
      </c>
      <c r="E190" s="36" t="str">
        <f>IFERROR(__xludf.DUMMYFUNCTION("""COMPUTED_VALUE"""),"")</f>
        <v/>
      </c>
      <c r="F190" s="36" t="str">
        <f>IFERROR(__xludf.DUMMYFUNCTION("""COMPUTED_VALUE"""),"")</f>
        <v/>
      </c>
      <c r="G190" s="36" t="str">
        <f>IFERROR(__xludf.DUMMYFUNCTION("""COMPUTED_VALUE"""),"")</f>
        <v/>
      </c>
      <c r="H190" s="36" t="str">
        <f>IFERROR(__xludf.DUMMYFUNCTION("""COMPUTED_VALUE"""),"")</f>
        <v/>
      </c>
      <c r="I190" s="36" t="str">
        <f>IFERROR(__xludf.DUMMYFUNCTION("""COMPUTED_VALUE"""),"")</f>
        <v/>
      </c>
      <c r="J190" s="36" t="str">
        <f>IFERROR(__xludf.DUMMYFUNCTION("""COMPUTED_VALUE"""),"")</f>
        <v/>
      </c>
      <c r="O190" s="36"/>
      <c r="P190" s="36" t="str">
        <f>IFERROR(__xludf.DUMMYFUNCTION("""COMPUTED_VALUE"""),"")</f>
        <v/>
      </c>
      <c r="Q190" s="36" t="str">
        <f>IFERROR(__xludf.DUMMYFUNCTION("""COMPUTED_VALUE"""),"")</f>
        <v/>
      </c>
    </row>
    <row r="191">
      <c r="B191" s="36"/>
      <c r="C191" s="36" t="str">
        <f>IFERROR(__xludf.DUMMYFUNCTION("""COMPUTED_VALUE"""),"")</f>
        <v/>
      </c>
      <c r="D191" s="36" t="str">
        <f>IFERROR(__xludf.DUMMYFUNCTION("""COMPUTED_VALUE"""),"")</f>
        <v/>
      </c>
      <c r="E191" s="36" t="str">
        <f>IFERROR(__xludf.DUMMYFUNCTION("""COMPUTED_VALUE"""),"")</f>
        <v/>
      </c>
      <c r="F191" s="36" t="str">
        <f>IFERROR(__xludf.DUMMYFUNCTION("""COMPUTED_VALUE"""),"")</f>
        <v/>
      </c>
      <c r="G191" s="36" t="str">
        <f>IFERROR(__xludf.DUMMYFUNCTION("""COMPUTED_VALUE"""),"")</f>
        <v/>
      </c>
      <c r="H191" s="36" t="str">
        <f>IFERROR(__xludf.DUMMYFUNCTION("""COMPUTED_VALUE"""),"")</f>
        <v/>
      </c>
      <c r="I191" s="36" t="str">
        <f>IFERROR(__xludf.DUMMYFUNCTION("""COMPUTED_VALUE"""),"")</f>
        <v/>
      </c>
      <c r="J191" s="36" t="str">
        <f>IFERROR(__xludf.DUMMYFUNCTION("""COMPUTED_VALUE"""),"")</f>
        <v/>
      </c>
      <c r="O191" s="36"/>
      <c r="P191" s="36" t="str">
        <f>IFERROR(__xludf.DUMMYFUNCTION("""COMPUTED_VALUE"""),"")</f>
        <v/>
      </c>
      <c r="Q191" s="36" t="str">
        <f>IFERROR(__xludf.DUMMYFUNCTION("""COMPUTED_VALUE"""),"")</f>
        <v/>
      </c>
    </row>
    <row r="192">
      <c r="B192" s="36"/>
      <c r="C192" s="36" t="str">
        <f>IFERROR(__xludf.DUMMYFUNCTION("""COMPUTED_VALUE"""),"")</f>
        <v/>
      </c>
      <c r="D192" s="36" t="str">
        <f>IFERROR(__xludf.DUMMYFUNCTION("""COMPUTED_VALUE"""),"")</f>
        <v/>
      </c>
      <c r="E192" s="36" t="str">
        <f>IFERROR(__xludf.DUMMYFUNCTION("""COMPUTED_VALUE"""),"")</f>
        <v/>
      </c>
      <c r="F192" s="36" t="str">
        <f>IFERROR(__xludf.DUMMYFUNCTION("""COMPUTED_VALUE"""),"")</f>
        <v/>
      </c>
      <c r="G192" s="36" t="str">
        <f>IFERROR(__xludf.DUMMYFUNCTION("""COMPUTED_VALUE"""),"")</f>
        <v/>
      </c>
      <c r="H192" s="36" t="str">
        <f>IFERROR(__xludf.DUMMYFUNCTION("""COMPUTED_VALUE"""),"")</f>
        <v/>
      </c>
      <c r="I192" s="36" t="str">
        <f>IFERROR(__xludf.DUMMYFUNCTION("""COMPUTED_VALUE"""),"")</f>
        <v/>
      </c>
      <c r="J192" s="36" t="str">
        <f>IFERROR(__xludf.DUMMYFUNCTION("""COMPUTED_VALUE"""),"")</f>
        <v/>
      </c>
      <c r="O192" s="36"/>
      <c r="P192" s="36" t="str">
        <f>IFERROR(__xludf.DUMMYFUNCTION("""COMPUTED_VALUE"""),"")</f>
        <v/>
      </c>
      <c r="Q192" s="36" t="str">
        <f>IFERROR(__xludf.DUMMYFUNCTION("""COMPUTED_VALUE"""),"")</f>
        <v/>
      </c>
    </row>
    <row r="193">
      <c r="B193" s="36"/>
      <c r="C193" s="36" t="str">
        <f>IFERROR(__xludf.DUMMYFUNCTION("""COMPUTED_VALUE"""),"")</f>
        <v/>
      </c>
      <c r="D193" s="36" t="str">
        <f>IFERROR(__xludf.DUMMYFUNCTION("""COMPUTED_VALUE"""),"")</f>
        <v/>
      </c>
      <c r="E193" s="36" t="str">
        <f>IFERROR(__xludf.DUMMYFUNCTION("""COMPUTED_VALUE"""),"")</f>
        <v/>
      </c>
      <c r="F193" s="36" t="str">
        <f>IFERROR(__xludf.DUMMYFUNCTION("""COMPUTED_VALUE"""),"")</f>
        <v/>
      </c>
      <c r="G193" s="36" t="str">
        <f>IFERROR(__xludf.DUMMYFUNCTION("""COMPUTED_VALUE"""),"")</f>
        <v/>
      </c>
      <c r="H193" s="36" t="str">
        <f>IFERROR(__xludf.DUMMYFUNCTION("""COMPUTED_VALUE"""),"")</f>
        <v/>
      </c>
      <c r="I193" s="36" t="str">
        <f>IFERROR(__xludf.DUMMYFUNCTION("""COMPUTED_VALUE"""),"")</f>
        <v/>
      </c>
      <c r="J193" s="36" t="str">
        <f>IFERROR(__xludf.DUMMYFUNCTION("""COMPUTED_VALUE"""),"")</f>
        <v/>
      </c>
      <c r="O193" s="36"/>
      <c r="P193" s="36" t="str">
        <f>IFERROR(__xludf.DUMMYFUNCTION("""COMPUTED_VALUE"""),"")</f>
        <v/>
      </c>
      <c r="Q193" s="36" t="str">
        <f>IFERROR(__xludf.DUMMYFUNCTION("""COMPUTED_VALUE"""),"")</f>
        <v/>
      </c>
    </row>
    <row r="194">
      <c r="B194" s="36"/>
      <c r="C194" s="36" t="str">
        <f>IFERROR(__xludf.DUMMYFUNCTION("""COMPUTED_VALUE"""),"")</f>
        <v/>
      </c>
      <c r="D194" s="36" t="str">
        <f>IFERROR(__xludf.DUMMYFUNCTION("""COMPUTED_VALUE"""),"")</f>
        <v/>
      </c>
      <c r="E194" s="36" t="str">
        <f>IFERROR(__xludf.DUMMYFUNCTION("""COMPUTED_VALUE"""),"")</f>
        <v/>
      </c>
      <c r="F194" s="36" t="str">
        <f>IFERROR(__xludf.DUMMYFUNCTION("""COMPUTED_VALUE"""),"")</f>
        <v/>
      </c>
      <c r="G194" s="36" t="str">
        <f>IFERROR(__xludf.DUMMYFUNCTION("""COMPUTED_VALUE"""),"")</f>
        <v/>
      </c>
      <c r="H194" s="36" t="str">
        <f>IFERROR(__xludf.DUMMYFUNCTION("""COMPUTED_VALUE"""),"")</f>
        <v/>
      </c>
      <c r="I194" s="36" t="str">
        <f>IFERROR(__xludf.DUMMYFUNCTION("""COMPUTED_VALUE"""),"")</f>
        <v/>
      </c>
      <c r="J194" s="36" t="str">
        <f>IFERROR(__xludf.DUMMYFUNCTION("""COMPUTED_VALUE"""),"")</f>
        <v/>
      </c>
      <c r="O194" s="36"/>
      <c r="P194" s="36" t="str">
        <f>IFERROR(__xludf.DUMMYFUNCTION("""COMPUTED_VALUE"""),"")</f>
        <v/>
      </c>
      <c r="Q194" s="36" t="str">
        <f>IFERROR(__xludf.DUMMYFUNCTION("""COMPUTED_VALUE"""),"")</f>
        <v/>
      </c>
    </row>
    <row r="195">
      <c r="B195" s="36"/>
      <c r="C195" s="36" t="str">
        <f>IFERROR(__xludf.DUMMYFUNCTION("""COMPUTED_VALUE"""),"")</f>
        <v/>
      </c>
      <c r="D195" s="36" t="str">
        <f>IFERROR(__xludf.DUMMYFUNCTION("""COMPUTED_VALUE"""),"")</f>
        <v/>
      </c>
      <c r="E195" s="36" t="str">
        <f>IFERROR(__xludf.DUMMYFUNCTION("""COMPUTED_VALUE"""),"")</f>
        <v/>
      </c>
      <c r="F195" s="36" t="str">
        <f>IFERROR(__xludf.DUMMYFUNCTION("""COMPUTED_VALUE"""),"")</f>
        <v/>
      </c>
      <c r="G195" s="36" t="str">
        <f>IFERROR(__xludf.DUMMYFUNCTION("""COMPUTED_VALUE"""),"")</f>
        <v/>
      </c>
      <c r="H195" s="36" t="str">
        <f>IFERROR(__xludf.DUMMYFUNCTION("""COMPUTED_VALUE"""),"")</f>
        <v/>
      </c>
      <c r="I195" s="36" t="str">
        <f>IFERROR(__xludf.DUMMYFUNCTION("""COMPUTED_VALUE"""),"")</f>
        <v/>
      </c>
      <c r="J195" s="36" t="str">
        <f>IFERROR(__xludf.DUMMYFUNCTION("""COMPUTED_VALUE"""),"")</f>
        <v/>
      </c>
      <c r="O195" s="36"/>
      <c r="P195" s="36" t="str">
        <f>IFERROR(__xludf.DUMMYFUNCTION("""COMPUTED_VALUE"""),"")</f>
        <v/>
      </c>
      <c r="Q195" s="36" t="str">
        <f>IFERROR(__xludf.DUMMYFUNCTION("""COMPUTED_VALUE"""),"")</f>
        <v/>
      </c>
    </row>
    <row r="196">
      <c r="B196" s="36"/>
      <c r="C196" s="36" t="str">
        <f>IFERROR(__xludf.DUMMYFUNCTION("""COMPUTED_VALUE"""),"")</f>
        <v/>
      </c>
      <c r="D196" s="36" t="str">
        <f>IFERROR(__xludf.DUMMYFUNCTION("""COMPUTED_VALUE"""),"")</f>
        <v/>
      </c>
      <c r="E196" s="36" t="str">
        <f>IFERROR(__xludf.DUMMYFUNCTION("""COMPUTED_VALUE"""),"")</f>
        <v/>
      </c>
      <c r="F196" s="36" t="str">
        <f>IFERROR(__xludf.DUMMYFUNCTION("""COMPUTED_VALUE"""),"")</f>
        <v/>
      </c>
      <c r="G196" s="36" t="str">
        <f>IFERROR(__xludf.DUMMYFUNCTION("""COMPUTED_VALUE"""),"")</f>
        <v/>
      </c>
      <c r="H196" s="36" t="str">
        <f>IFERROR(__xludf.DUMMYFUNCTION("""COMPUTED_VALUE"""),"")</f>
        <v/>
      </c>
      <c r="I196" s="36" t="str">
        <f>IFERROR(__xludf.DUMMYFUNCTION("""COMPUTED_VALUE"""),"")</f>
        <v/>
      </c>
      <c r="J196" s="36" t="str">
        <f>IFERROR(__xludf.DUMMYFUNCTION("""COMPUTED_VALUE"""),"")</f>
        <v/>
      </c>
      <c r="O196" s="36"/>
      <c r="P196" s="36" t="str">
        <f>IFERROR(__xludf.DUMMYFUNCTION("""COMPUTED_VALUE"""),"")</f>
        <v/>
      </c>
      <c r="Q196" s="36" t="str">
        <f>IFERROR(__xludf.DUMMYFUNCTION("""COMPUTED_VALUE"""),"")</f>
        <v/>
      </c>
    </row>
    <row r="197">
      <c r="B197" s="36"/>
      <c r="C197" s="36" t="str">
        <f>IFERROR(__xludf.DUMMYFUNCTION("""COMPUTED_VALUE"""),"")</f>
        <v/>
      </c>
      <c r="D197" s="36" t="str">
        <f>IFERROR(__xludf.DUMMYFUNCTION("""COMPUTED_VALUE"""),"")</f>
        <v/>
      </c>
      <c r="E197" s="36" t="str">
        <f>IFERROR(__xludf.DUMMYFUNCTION("""COMPUTED_VALUE"""),"")</f>
        <v/>
      </c>
      <c r="F197" s="36" t="str">
        <f>IFERROR(__xludf.DUMMYFUNCTION("""COMPUTED_VALUE"""),"")</f>
        <v/>
      </c>
      <c r="G197" s="36" t="str">
        <f>IFERROR(__xludf.DUMMYFUNCTION("""COMPUTED_VALUE"""),"")</f>
        <v/>
      </c>
      <c r="H197" s="36" t="str">
        <f>IFERROR(__xludf.DUMMYFUNCTION("""COMPUTED_VALUE"""),"")</f>
        <v/>
      </c>
      <c r="I197" s="36" t="str">
        <f>IFERROR(__xludf.DUMMYFUNCTION("""COMPUTED_VALUE"""),"")</f>
        <v/>
      </c>
      <c r="J197" s="36" t="str">
        <f>IFERROR(__xludf.DUMMYFUNCTION("""COMPUTED_VALUE"""),"")</f>
        <v/>
      </c>
      <c r="O197" s="36"/>
      <c r="P197" s="36" t="str">
        <f>IFERROR(__xludf.DUMMYFUNCTION("""COMPUTED_VALUE"""),"")</f>
        <v/>
      </c>
      <c r="Q197" s="36" t="str">
        <f>IFERROR(__xludf.DUMMYFUNCTION("""COMPUTED_VALUE"""),"")</f>
        <v/>
      </c>
    </row>
    <row r="198">
      <c r="B198" s="36"/>
      <c r="C198" s="36" t="str">
        <f>IFERROR(__xludf.DUMMYFUNCTION("""COMPUTED_VALUE"""),"")</f>
        <v/>
      </c>
      <c r="D198" s="36" t="str">
        <f>IFERROR(__xludf.DUMMYFUNCTION("""COMPUTED_VALUE"""),"")</f>
        <v/>
      </c>
      <c r="E198" s="36" t="str">
        <f>IFERROR(__xludf.DUMMYFUNCTION("""COMPUTED_VALUE"""),"")</f>
        <v/>
      </c>
      <c r="F198" s="36" t="str">
        <f>IFERROR(__xludf.DUMMYFUNCTION("""COMPUTED_VALUE"""),"")</f>
        <v/>
      </c>
      <c r="G198" s="36" t="str">
        <f>IFERROR(__xludf.DUMMYFUNCTION("""COMPUTED_VALUE"""),"")</f>
        <v/>
      </c>
      <c r="H198" s="36" t="str">
        <f>IFERROR(__xludf.DUMMYFUNCTION("""COMPUTED_VALUE"""),"")</f>
        <v/>
      </c>
      <c r="I198" s="36" t="str">
        <f>IFERROR(__xludf.DUMMYFUNCTION("""COMPUTED_VALUE"""),"")</f>
        <v/>
      </c>
      <c r="J198" s="36" t="str">
        <f>IFERROR(__xludf.DUMMYFUNCTION("""COMPUTED_VALUE"""),"")</f>
        <v/>
      </c>
      <c r="O198" s="36"/>
      <c r="P198" s="36" t="str">
        <f>IFERROR(__xludf.DUMMYFUNCTION("""COMPUTED_VALUE"""),"")</f>
        <v/>
      </c>
      <c r="Q198" s="36" t="str">
        <f>IFERROR(__xludf.DUMMYFUNCTION("""COMPUTED_VALUE"""),"")</f>
        <v/>
      </c>
    </row>
    <row r="199">
      <c r="B199" s="36"/>
      <c r="C199" s="36" t="str">
        <f>IFERROR(__xludf.DUMMYFUNCTION("""COMPUTED_VALUE"""),"")</f>
        <v/>
      </c>
      <c r="D199" s="36" t="str">
        <f>IFERROR(__xludf.DUMMYFUNCTION("""COMPUTED_VALUE"""),"")</f>
        <v/>
      </c>
      <c r="E199" s="36" t="str">
        <f>IFERROR(__xludf.DUMMYFUNCTION("""COMPUTED_VALUE"""),"")</f>
        <v/>
      </c>
      <c r="F199" s="36" t="str">
        <f>IFERROR(__xludf.DUMMYFUNCTION("""COMPUTED_VALUE"""),"")</f>
        <v/>
      </c>
      <c r="G199" s="36" t="str">
        <f>IFERROR(__xludf.DUMMYFUNCTION("""COMPUTED_VALUE"""),"")</f>
        <v/>
      </c>
      <c r="H199" s="36" t="str">
        <f>IFERROR(__xludf.DUMMYFUNCTION("""COMPUTED_VALUE"""),"")</f>
        <v/>
      </c>
      <c r="I199" s="36" t="str">
        <f>IFERROR(__xludf.DUMMYFUNCTION("""COMPUTED_VALUE"""),"")</f>
        <v/>
      </c>
      <c r="J199" s="36" t="str">
        <f>IFERROR(__xludf.DUMMYFUNCTION("""COMPUTED_VALUE"""),"")</f>
        <v/>
      </c>
      <c r="O199" s="36"/>
      <c r="P199" s="36" t="str">
        <f>IFERROR(__xludf.DUMMYFUNCTION("""COMPUTED_VALUE"""),"")</f>
        <v/>
      </c>
      <c r="Q199" s="36" t="str">
        <f>IFERROR(__xludf.DUMMYFUNCTION("""COMPUTED_VALUE"""),"")</f>
        <v/>
      </c>
    </row>
    <row r="200">
      <c r="B200" s="36"/>
      <c r="C200" s="36" t="str">
        <f>IFERROR(__xludf.DUMMYFUNCTION("""COMPUTED_VALUE"""),"")</f>
        <v/>
      </c>
      <c r="D200" s="36" t="str">
        <f>IFERROR(__xludf.DUMMYFUNCTION("""COMPUTED_VALUE"""),"")</f>
        <v/>
      </c>
      <c r="E200" s="36" t="str">
        <f>IFERROR(__xludf.DUMMYFUNCTION("""COMPUTED_VALUE"""),"")</f>
        <v/>
      </c>
      <c r="F200" s="36" t="str">
        <f>IFERROR(__xludf.DUMMYFUNCTION("""COMPUTED_VALUE"""),"")</f>
        <v/>
      </c>
      <c r="G200" s="36" t="str">
        <f>IFERROR(__xludf.DUMMYFUNCTION("""COMPUTED_VALUE"""),"")</f>
        <v/>
      </c>
      <c r="H200" s="36" t="str">
        <f>IFERROR(__xludf.DUMMYFUNCTION("""COMPUTED_VALUE"""),"")</f>
        <v/>
      </c>
      <c r="I200" s="36" t="str">
        <f>IFERROR(__xludf.DUMMYFUNCTION("""COMPUTED_VALUE"""),"")</f>
        <v/>
      </c>
      <c r="J200" s="36" t="str">
        <f>IFERROR(__xludf.DUMMYFUNCTION("""COMPUTED_VALUE"""),"")</f>
        <v/>
      </c>
      <c r="O200" s="36"/>
      <c r="P200" s="36" t="str">
        <f>IFERROR(__xludf.DUMMYFUNCTION("""COMPUTED_VALUE"""),"")</f>
        <v/>
      </c>
      <c r="Q200" s="36" t="str">
        <f>IFERROR(__xludf.DUMMYFUNCTION("""COMPUTED_VALUE"""),"")</f>
        <v/>
      </c>
    </row>
    <row r="201">
      <c r="O201" s="36"/>
      <c r="P201" s="36" t="str">
        <f>IFERROR(__xludf.DUMMYFUNCTION("""COMPUTED_VALUE"""),"")</f>
        <v/>
      </c>
      <c r="Q201" s="36" t="str">
        <f>IFERROR(__xludf.DUMMYFUNCTION("""COMPUTED_VALUE"""),"")</f>
        <v/>
      </c>
    </row>
    <row r="202">
      <c r="O202" s="36"/>
      <c r="P202" s="36" t="str">
        <f>IFERROR(__xludf.DUMMYFUNCTION("""COMPUTED_VALUE"""),"")</f>
        <v/>
      </c>
      <c r="Q202" s="36" t="str">
        <f>IFERROR(__xludf.DUMMYFUNCTION("""COMPUTED_VALUE"""),"")</f>
        <v/>
      </c>
    </row>
    <row r="203">
      <c r="O203" s="36"/>
      <c r="P203" s="36" t="str">
        <f>IFERROR(__xludf.DUMMYFUNCTION("""COMPUTED_VALUE"""),"")</f>
        <v/>
      </c>
      <c r="Q203" s="36" t="str">
        <f>IFERROR(__xludf.DUMMYFUNCTION("""COMPUTED_VALUE"""),"")</f>
        <v/>
      </c>
    </row>
    <row r="204">
      <c r="O204" s="36"/>
      <c r="P204" s="36" t="str">
        <f>IFERROR(__xludf.DUMMYFUNCTION("""COMPUTED_VALUE"""),"")</f>
        <v/>
      </c>
      <c r="Q204" s="36" t="str">
        <f>IFERROR(__xludf.DUMMYFUNCTION("""COMPUTED_VALUE"""),"")</f>
        <v/>
      </c>
    </row>
    <row r="205">
      <c r="O205" s="36"/>
      <c r="P205" s="36" t="str">
        <f>IFERROR(__xludf.DUMMYFUNCTION("""COMPUTED_VALUE"""),"")</f>
        <v/>
      </c>
      <c r="Q205" s="36" t="str">
        <f>IFERROR(__xludf.DUMMYFUNCTION("""COMPUTED_VALUE"""),"")</f>
        <v/>
      </c>
    </row>
    <row r="206">
      <c r="O206" s="36"/>
      <c r="P206" s="36" t="str">
        <f>IFERROR(__xludf.DUMMYFUNCTION("""COMPUTED_VALUE"""),"")</f>
        <v/>
      </c>
      <c r="Q206" s="36" t="str">
        <f>IFERROR(__xludf.DUMMYFUNCTION("""COMPUTED_VALUE"""),"")</f>
        <v/>
      </c>
    </row>
    <row r="207">
      <c r="O207" s="36"/>
      <c r="P207" s="36" t="str">
        <f>IFERROR(__xludf.DUMMYFUNCTION("""COMPUTED_VALUE"""),"")</f>
        <v/>
      </c>
      <c r="Q207" s="36" t="str">
        <f>IFERROR(__xludf.DUMMYFUNCTION("""COMPUTED_VALUE"""),"")</f>
        <v/>
      </c>
    </row>
    <row r="208">
      <c r="O208" s="36"/>
      <c r="P208" s="36" t="str">
        <f>IFERROR(__xludf.DUMMYFUNCTION("""COMPUTED_VALUE"""),"")</f>
        <v/>
      </c>
      <c r="Q208" s="36" t="str">
        <f>IFERROR(__xludf.DUMMYFUNCTION("""COMPUTED_VALUE"""),"")</f>
        <v/>
      </c>
    </row>
    <row r="209">
      <c r="O209" s="36"/>
      <c r="P209" s="36" t="str">
        <f>IFERROR(__xludf.DUMMYFUNCTION("""COMPUTED_VALUE"""),"")</f>
        <v/>
      </c>
      <c r="Q209" s="36" t="str">
        <f>IFERROR(__xludf.DUMMYFUNCTION("""COMPUTED_VALUE"""),"")</f>
        <v/>
      </c>
    </row>
    <row r="210">
      <c r="O210" s="36"/>
      <c r="P210" s="36" t="str">
        <f>IFERROR(__xludf.DUMMYFUNCTION("""COMPUTED_VALUE"""),"")</f>
        <v/>
      </c>
      <c r="Q210" s="36" t="str">
        <f>IFERROR(__xludf.DUMMYFUNCTION("""COMPUTED_VALUE"""),"")</f>
        <v/>
      </c>
    </row>
    <row r="211">
      <c r="O211" s="36"/>
      <c r="P211" s="36" t="str">
        <f>IFERROR(__xludf.DUMMYFUNCTION("""COMPUTED_VALUE"""),"")</f>
        <v/>
      </c>
      <c r="Q211" s="36" t="str">
        <f>IFERROR(__xludf.DUMMYFUNCTION("""COMPUTED_VALUE"""),"")</f>
        <v/>
      </c>
    </row>
    <row r="212">
      <c r="O212" s="36"/>
      <c r="P212" s="36" t="str">
        <f>IFERROR(__xludf.DUMMYFUNCTION("""COMPUTED_VALUE"""),"")</f>
        <v/>
      </c>
      <c r="Q212" s="36" t="str">
        <f>IFERROR(__xludf.DUMMYFUNCTION("""COMPUTED_VALUE"""),"")</f>
        <v/>
      </c>
    </row>
    <row r="213">
      <c r="O213" s="36"/>
      <c r="P213" s="36" t="str">
        <f>IFERROR(__xludf.DUMMYFUNCTION("""COMPUTED_VALUE"""),"")</f>
        <v/>
      </c>
      <c r="Q213" s="36" t="str">
        <f>IFERROR(__xludf.DUMMYFUNCTION("""COMPUTED_VALUE"""),"")</f>
        <v/>
      </c>
    </row>
    <row r="214">
      <c r="O214" s="36"/>
      <c r="P214" s="36" t="str">
        <f>IFERROR(__xludf.DUMMYFUNCTION("""COMPUTED_VALUE"""),"")</f>
        <v/>
      </c>
      <c r="Q214" s="36" t="str">
        <f>IFERROR(__xludf.DUMMYFUNCTION("""COMPUTED_VALUE"""),"")</f>
        <v/>
      </c>
    </row>
    <row r="215">
      <c r="O215" s="36"/>
      <c r="P215" s="36" t="str">
        <f>IFERROR(__xludf.DUMMYFUNCTION("""COMPUTED_VALUE"""),"")</f>
        <v/>
      </c>
      <c r="Q215" s="36" t="str">
        <f>IFERROR(__xludf.DUMMYFUNCTION("""COMPUTED_VALUE"""),"")</f>
        <v/>
      </c>
    </row>
    <row r="216">
      <c r="O216" s="36"/>
      <c r="P216" s="36" t="str">
        <f>IFERROR(__xludf.DUMMYFUNCTION("""COMPUTED_VALUE"""),"")</f>
        <v/>
      </c>
      <c r="Q216" s="36" t="str">
        <f>IFERROR(__xludf.DUMMYFUNCTION("""COMPUTED_VALUE"""),"")</f>
        <v/>
      </c>
    </row>
    <row r="217">
      <c r="O217" s="36"/>
      <c r="P217" s="36" t="str">
        <f>IFERROR(__xludf.DUMMYFUNCTION("""COMPUTED_VALUE"""),"")</f>
        <v/>
      </c>
      <c r="Q217" s="36" t="str">
        <f>IFERROR(__xludf.DUMMYFUNCTION("""COMPUTED_VALUE"""),"")</f>
        <v/>
      </c>
    </row>
    <row r="218">
      <c r="O218" s="36"/>
      <c r="P218" s="36" t="str">
        <f>IFERROR(__xludf.DUMMYFUNCTION("""COMPUTED_VALUE"""),"")</f>
        <v/>
      </c>
      <c r="Q218" s="36" t="str">
        <f>IFERROR(__xludf.DUMMYFUNCTION("""COMPUTED_VALUE"""),"")</f>
        <v/>
      </c>
    </row>
    <row r="219">
      <c r="O219" s="36"/>
      <c r="P219" s="36" t="str">
        <f>IFERROR(__xludf.DUMMYFUNCTION("""COMPUTED_VALUE"""),"")</f>
        <v/>
      </c>
      <c r="Q219" s="36" t="str">
        <f>IFERROR(__xludf.DUMMYFUNCTION("""COMPUTED_VALUE"""),"")</f>
        <v/>
      </c>
    </row>
    <row r="220">
      <c r="O220" s="36"/>
      <c r="P220" s="36" t="str">
        <f>IFERROR(__xludf.DUMMYFUNCTION("""COMPUTED_VALUE"""),"")</f>
        <v/>
      </c>
      <c r="Q220" s="36" t="str">
        <f>IFERROR(__xludf.DUMMYFUNCTION("""COMPUTED_VALUE"""),"")</f>
        <v/>
      </c>
    </row>
    <row r="221">
      <c r="O221" s="36"/>
      <c r="P221" s="36" t="str">
        <f>IFERROR(__xludf.DUMMYFUNCTION("""COMPUTED_VALUE"""),"")</f>
        <v/>
      </c>
      <c r="Q221" s="36" t="str">
        <f>IFERROR(__xludf.DUMMYFUNCTION("""COMPUTED_VALUE"""),"")</f>
        <v/>
      </c>
    </row>
    <row r="222">
      <c r="O222" s="36"/>
      <c r="P222" s="36" t="str">
        <f>IFERROR(__xludf.DUMMYFUNCTION("""COMPUTED_VALUE"""),"")</f>
        <v/>
      </c>
      <c r="Q222" s="36" t="str">
        <f>IFERROR(__xludf.DUMMYFUNCTION("""COMPUTED_VALUE"""),"")</f>
        <v/>
      </c>
    </row>
    <row r="223">
      <c r="O223" s="36"/>
      <c r="P223" s="36" t="str">
        <f>IFERROR(__xludf.DUMMYFUNCTION("""COMPUTED_VALUE"""),"")</f>
        <v/>
      </c>
      <c r="Q223" s="36" t="str">
        <f>IFERROR(__xludf.DUMMYFUNCTION("""COMPUTED_VALUE"""),"")</f>
        <v/>
      </c>
    </row>
    <row r="224">
      <c r="O224" s="36"/>
      <c r="P224" s="36" t="str">
        <f>IFERROR(__xludf.DUMMYFUNCTION("""COMPUTED_VALUE"""),"")</f>
        <v/>
      </c>
      <c r="Q224" s="36" t="str">
        <f>IFERROR(__xludf.DUMMYFUNCTION("""COMPUTED_VALUE"""),"")</f>
        <v/>
      </c>
    </row>
    <row r="225">
      <c r="O225" s="36"/>
      <c r="P225" s="36" t="str">
        <f>IFERROR(__xludf.DUMMYFUNCTION("""COMPUTED_VALUE"""),"")</f>
        <v/>
      </c>
      <c r="Q225" s="36" t="str">
        <f>IFERROR(__xludf.DUMMYFUNCTION("""COMPUTED_VALUE"""),"")</f>
        <v/>
      </c>
    </row>
    <row r="226">
      <c r="O226" s="36"/>
      <c r="P226" s="36" t="str">
        <f>IFERROR(__xludf.DUMMYFUNCTION("""COMPUTED_VALUE"""),"")</f>
        <v/>
      </c>
      <c r="Q226" s="36" t="str">
        <f>IFERROR(__xludf.DUMMYFUNCTION("""COMPUTED_VALUE"""),"")</f>
        <v/>
      </c>
    </row>
    <row r="227">
      <c r="O227" s="36"/>
      <c r="P227" s="36" t="str">
        <f>IFERROR(__xludf.DUMMYFUNCTION("""COMPUTED_VALUE"""),"")</f>
        <v/>
      </c>
      <c r="Q227" s="36" t="str">
        <f>IFERROR(__xludf.DUMMYFUNCTION("""COMPUTED_VALUE"""),"")</f>
        <v/>
      </c>
    </row>
    <row r="228">
      <c r="O228" s="36"/>
      <c r="P228" s="36" t="str">
        <f>IFERROR(__xludf.DUMMYFUNCTION("""COMPUTED_VALUE"""),"")</f>
        <v/>
      </c>
      <c r="Q228" s="36" t="str">
        <f>IFERROR(__xludf.DUMMYFUNCTION("""COMPUTED_VALUE"""),"")</f>
        <v/>
      </c>
    </row>
    <row r="229">
      <c r="O229" s="36"/>
      <c r="P229" s="36" t="str">
        <f>IFERROR(__xludf.DUMMYFUNCTION("""COMPUTED_VALUE"""),"")</f>
        <v/>
      </c>
      <c r="Q229" s="36" t="str">
        <f>IFERROR(__xludf.DUMMYFUNCTION("""COMPUTED_VALUE"""),"")</f>
        <v/>
      </c>
    </row>
    <row r="230">
      <c r="O230" s="36"/>
      <c r="P230" s="36" t="str">
        <f>IFERROR(__xludf.DUMMYFUNCTION("""COMPUTED_VALUE"""),"")</f>
        <v/>
      </c>
      <c r="Q230" s="36" t="str">
        <f>IFERROR(__xludf.DUMMYFUNCTION("""COMPUTED_VALUE"""),"")</f>
        <v/>
      </c>
    </row>
    <row r="231">
      <c r="O231" s="36"/>
      <c r="P231" s="36" t="str">
        <f>IFERROR(__xludf.DUMMYFUNCTION("""COMPUTED_VALUE"""),"")</f>
        <v/>
      </c>
      <c r="Q231" s="36" t="str">
        <f>IFERROR(__xludf.DUMMYFUNCTION("""COMPUTED_VALUE"""),"")</f>
        <v/>
      </c>
    </row>
    <row r="232">
      <c r="O232" s="36"/>
      <c r="P232" s="36" t="str">
        <f>IFERROR(__xludf.DUMMYFUNCTION("""COMPUTED_VALUE"""),"")</f>
        <v/>
      </c>
      <c r="Q232" s="36" t="str">
        <f>IFERROR(__xludf.DUMMYFUNCTION("""COMPUTED_VALUE"""),"")</f>
        <v/>
      </c>
    </row>
    <row r="233">
      <c r="O233" s="36"/>
      <c r="P233" s="36" t="str">
        <f>IFERROR(__xludf.DUMMYFUNCTION("""COMPUTED_VALUE"""),"")</f>
        <v/>
      </c>
      <c r="Q233" s="36" t="str">
        <f>IFERROR(__xludf.DUMMYFUNCTION("""COMPUTED_VALUE"""),"")</f>
        <v/>
      </c>
    </row>
    <row r="234">
      <c r="O234" s="36"/>
      <c r="P234" s="36" t="str">
        <f>IFERROR(__xludf.DUMMYFUNCTION("""COMPUTED_VALUE"""),"")</f>
        <v/>
      </c>
      <c r="Q234" s="36" t="str">
        <f>IFERROR(__xludf.DUMMYFUNCTION("""COMPUTED_VALUE"""),"")</f>
        <v/>
      </c>
    </row>
    <row r="235">
      <c r="O235" s="36"/>
      <c r="P235" s="36" t="str">
        <f>IFERROR(__xludf.DUMMYFUNCTION("""COMPUTED_VALUE"""),"")</f>
        <v/>
      </c>
      <c r="Q235" s="36" t="str">
        <f>IFERROR(__xludf.DUMMYFUNCTION("""COMPUTED_VALUE"""),"")</f>
        <v/>
      </c>
    </row>
    <row r="236">
      <c r="O236" s="36"/>
      <c r="P236" s="36" t="str">
        <f>IFERROR(__xludf.DUMMYFUNCTION("""COMPUTED_VALUE"""),"")</f>
        <v/>
      </c>
      <c r="Q236" s="36" t="str">
        <f>IFERROR(__xludf.DUMMYFUNCTION("""COMPUTED_VALUE"""),"")</f>
        <v/>
      </c>
    </row>
    <row r="237">
      <c r="O237" s="36"/>
      <c r="P237" s="36" t="str">
        <f>IFERROR(__xludf.DUMMYFUNCTION("""COMPUTED_VALUE"""),"")</f>
        <v/>
      </c>
      <c r="Q237" s="36" t="str">
        <f>IFERROR(__xludf.DUMMYFUNCTION("""COMPUTED_VALUE"""),"")</f>
        <v/>
      </c>
    </row>
    <row r="238">
      <c r="O238" s="36"/>
      <c r="P238" s="36" t="str">
        <f>IFERROR(__xludf.DUMMYFUNCTION("""COMPUTED_VALUE"""),"")</f>
        <v/>
      </c>
      <c r="Q238" s="36" t="str">
        <f>IFERROR(__xludf.DUMMYFUNCTION("""COMPUTED_VALUE"""),"")</f>
        <v/>
      </c>
    </row>
    <row r="239">
      <c r="O239" s="36"/>
      <c r="P239" s="36" t="str">
        <f>IFERROR(__xludf.DUMMYFUNCTION("""COMPUTED_VALUE"""),"")</f>
        <v/>
      </c>
      <c r="Q239" s="36" t="str">
        <f>IFERROR(__xludf.DUMMYFUNCTION("""COMPUTED_VALUE"""),"")</f>
        <v/>
      </c>
    </row>
    <row r="240">
      <c r="O240" s="36"/>
      <c r="P240" s="36" t="str">
        <f>IFERROR(__xludf.DUMMYFUNCTION("""COMPUTED_VALUE"""),"")</f>
        <v/>
      </c>
      <c r="Q240" s="36" t="str">
        <f>IFERROR(__xludf.DUMMYFUNCTION("""COMPUTED_VALUE"""),"")</f>
        <v/>
      </c>
    </row>
    <row r="241">
      <c r="O241" s="36"/>
      <c r="P241" s="36" t="str">
        <f>IFERROR(__xludf.DUMMYFUNCTION("""COMPUTED_VALUE"""),"")</f>
        <v/>
      </c>
      <c r="Q241" s="36" t="str">
        <f>IFERROR(__xludf.DUMMYFUNCTION("""COMPUTED_VALUE"""),"")</f>
        <v/>
      </c>
    </row>
    <row r="242">
      <c r="O242" s="36"/>
      <c r="P242" s="36" t="str">
        <f>IFERROR(__xludf.DUMMYFUNCTION("""COMPUTED_VALUE"""),"")</f>
        <v/>
      </c>
      <c r="Q242" s="36" t="str">
        <f>IFERROR(__xludf.DUMMYFUNCTION("""COMPUTED_VALUE"""),"")</f>
        <v/>
      </c>
    </row>
    <row r="243">
      <c r="O243" s="36"/>
      <c r="P243" s="36" t="str">
        <f>IFERROR(__xludf.DUMMYFUNCTION("""COMPUTED_VALUE"""),"")</f>
        <v/>
      </c>
      <c r="Q243" s="36" t="str">
        <f>IFERROR(__xludf.DUMMYFUNCTION("""COMPUTED_VALUE"""),"")</f>
        <v/>
      </c>
    </row>
    <row r="244">
      <c r="O244" s="36"/>
      <c r="P244" s="36" t="str">
        <f>IFERROR(__xludf.DUMMYFUNCTION("""COMPUTED_VALUE"""),"")</f>
        <v/>
      </c>
      <c r="Q244" s="36" t="str">
        <f>IFERROR(__xludf.DUMMYFUNCTION("""COMPUTED_VALUE"""),"")</f>
        <v/>
      </c>
    </row>
    <row r="245">
      <c r="O245" s="36"/>
      <c r="P245" s="36" t="str">
        <f>IFERROR(__xludf.DUMMYFUNCTION("""COMPUTED_VALUE"""),"")</f>
        <v/>
      </c>
      <c r="Q245" s="36" t="str">
        <f>IFERROR(__xludf.DUMMYFUNCTION("""COMPUTED_VALUE"""),"")</f>
        <v/>
      </c>
    </row>
    <row r="246">
      <c r="O246" s="36"/>
      <c r="P246" s="36" t="str">
        <f>IFERROR(__xludf.DUMMYFUNCTION("""COMPUTED_VALUE"""),"")</f>
        <v/>
      </c>
      <c r="Q246" s="36" t="str">
        <f>IFERROR(__xludf.DUMMYFUNCTION("""COMPUTED_VALUE"""),"")</f>
        <v/>
      </c>
    </row>
    <row r="247">
      <c r="O247" s="36"/>
      <c r="P247" s="36" t="str">
        <f>IFERROR(__xludf.DUMMYFUNCTION("""COMPUTED_VALUE"""),"")</f>
        <v/>
      </c>
      <c r="Q247" s="36" t="str">
        <f>IFERROR(__xludf.DUMMYFUNCTION("""COMPUTED_VALUE"""),"")</f>
        <v/>
      </c>
    </row>
    <row r="248">
      <c r="O248" s="36"/>
      <c r="P248" s="36" t="str">
        <f>IFERROR(__xludf.DUMMYFUNCTION("""COMPUTED_VALUE"""),"")</f>
        <v/>
      </c>
      <c r="Q248" s="36" t="str">
        <f>IFERROR(__xludf.DUMMYFUNCTION("""COMPUTED_VALUE"""),"")</f>
        <v/>
      </c>
    </row>
    <row r="249">
      <c r="O249" s="36"/>
      <c r="P249" s="36" t="str">
        <f>IFERROR(__xludf.DUMMYFUNCTION("""COMPUTED_VALUE"""),"")</f>
        <v/>
      </c>
      <c r="Q249" s="36" t="str">
        <f>IFERROR(__xludf.DUMMYFUNCTION("""COMPUTED_VALUE"""),"")</f>
        <v/>
      </c>
    </row>
    <row r="250">
      <c r="O250" s="36"/>
      <c r="P250" s="36" t="str">
        <f>IFERROR(__xludf.DUMMYFUNCTION("""COMPUTED_VALUE"""),"")</f>
        <v/>
      </c>
      <c r="Q250" s="36" t="str">
        <f>IFERROR(__xludf.DUMMYFUNCTION("""COMPUTED_VALUE"""),"")</f>
        <v/>
      </c>
    </row>
    <row r="251">
      <c r="O251" s="36"/>
      <c r="P251" s="36" t="str">
        <f>IFERROR(__xludf.DUMMYFUNCTION("""COMPUTED_VALUE"""),"")</f>
        <v/>
      </c>
      <c r="Q251" s="36" t="str">
        <f>IFERROR(__xludf.DUMMYFUNCTION("""COMPUTED_VALUE"""),"")</f>
        <v/>
      </c>
    </row>
    <row r="252">
      <c r="O252" s="36"/>
      <c r="P252" s="36" t="str">
        <f>IFERROR(__xludf.DUMMYFUNCTION("""COMPUTED_VALUE"""),"")</f>
        <v/>
      </c>
      <c r="Q252" s="36" t="str">
        <f>IFERROR(__xludf.DUMMYFUNCTION("""COMPUTED_VALUE"""),"")</f>
        <v/>
      </c>
    </row>
    <row r="253">
      <c r="O253" s="36"/>
      <c r="P253" s="36" t="str">
        <f>IFERROR(__xludf.DUMMYFUNCTION("""COMPUTED_VALUE"""),"")</f>
        <v/>
      </c>
      <c r="Q253" s="36" t="str">
        <f>IFERROR(__xludf.DUMMYFUNCTION("""COMPUTED_VALUE"""),"")</f>
        <v/>
      </c>
    </row>
    <row r="254">
      <c r="O254" s="36"/>
      <c r="P254" s="36" t="str">
        <f>IFERROR(__xludf.DUMMYFUNCTION("""COMPUTED_VALUE"""),"")</f>
        <v/>
      </c>
      <c r="Q254" s="36" t="str">
        <f>IFERROR(__xludf.DUMMYFUNCTION("""COMPUTED_VALUE"""),"")</f>
        <v/>
      </c>
    </row>
    <row r="255">
      <c r="O255" s="36"/>
      <c r="P255" s="36" t="str">
        <f>IFERROR(__xludf.DUMMYFUNCTION("""COMPUTED_VALUE"""),"")</f>
        <v/>
      </c>
      <c r="Q255" s="36" t="str">
        <f>IFERROR(__xludf.DUMMYFUNCTION("""COMPUTED_VALUE"""),"")</f>
        <v/>
      </c>
    </row>
    <row r="256">
      <c r="O256" s="36"/>
      <c r="P256" s="36" t="str">
        <f>IFERROR(__xludf.DUMMYFUNCTION("""COMPUTED_VALUE"""),"")</f>
        <v/>
      </c>
      <c r="Q256" s="36" t="str">
        <f>IFERROR(__xludf.DUMMYFUNCTION("""COMPUTED_VALUE"""),"")</f>
        <v/>
      </c>
    </row>
    <row r="257">
      <c r="O257" s="36"/>
      <c r="P257" s="36" t="str">
        <f>IFERROR(__xludf.DUMMYFUNCTION("""COMPUTED_VALUE"""),"")</f>
        <v/>
      </c>
      <c r="Q257" s="36" t="str">
        <f>IFERROR(__xludf.DUMMYFUNCTION("""COMPUTED_VALUE"""),"")</f>
        <v/>
      </c>
    </row>
    <row r="258">
      <c r="O258" s="36"/>
      <c r="P258" s="36" t="str">
        <f>IFERROR(__xludf.DUMMYFUNCTION("""COMPUTED_VALUE"""),"")</f>
        <v/>
      </c>
      <c r="Q258" s="36" t="str">
        <f>IFERROR(__xludf.DUMMYFUNCTION("""COMPUTED_VALUE"""),"")</f>
        <v/>
      </c>
    </row>
    <row r="259">
      <c r="O259" s="36"/>
      <c r="P259" s="36" t="str">
        <f>IFERROR(__xludf.DUMMYFUNCTION("""COMPUTED_VALUE"""),"")</f>
        <v/>
      </c>
      <c r="Q259" s="36" t="str">
        <f>IFERROR(__xludf.DUMMYFUNCTION("""COMPUTED_VALUE"""),"")</f>
        <v/>
      </c>
    </row>
    <row r="260">
      <c r="O260" s="36"/>
      <c r="P260" s="36" t="str">
        <f>IFERROR(__xludf.DUMMYFUNCTION("""COMPUTED_VALUE"""),"")</f>
        <v/>
      </c>
      <c r="Q260" s="36" t="str">
        <f>IFERROR(__xludf.DUMMYFUNCTION("""COMPUTED_VALUE"""),"")</f>
        <v/>
      </c>
    </row>
    <row r="261">
      <c r="O261" s="36"/>
      <c r="P261" s="36" t="str">
        <f>IFERROR(__xludf.DUMMYFUNCTION("""COMPUTED_VALUE"""),"")</f>
        <v/>
      </c>
      <c r="Q261" s="36" t="str">
        <f>IFERROR(__xludf.DUMMYFUNCTION("""COMPUTED_VALUE"""),"")</f>
        <v/>
      </c>
    </row>
    <row r="262">
      <c r="O262" s="36"/>
      <c r="P262" s="36" t="str">
        <f>IFERROR(__xludf.DUMMYFUNCTION("""COMPUTED_VALUE"""),"")</f>
        <v/>
      </c>
      <c r="Q262" s="36" t="str">
        <f>IFERROR(__xludf.DUMMYFUNCTION("""COMPUTED_VALUE"""),"")</f>
        <v/>
      </c>
    </row>
    <row r="263">
      <c r="O263" s="36"/>
      <c r="P263" s="36" t="str">
        <f>IFERROR(__xludf.DUMMYFUNCTION("""COMPUTED_VALUE"""),"")</f>
        <v/>
      </c>
      <c r="Q263" s="36" t="str">
        <f>IFERROR(__xludf.DUMMYFUNCTION("""COMPUTED_VALUE"""),"")</f>
        <v/>
      </c>
    </row>
    <row r="264">
      <c r="O264" s="36"/>
      <c r="P264" s="36" t="str">
        <f>IFERROR(__xludf.DUMMYFUNCTION("""COMPUTED_VALUE"""),"")</f>
        <v/>
      </c>
      <c r="Q264" s="36" t="str">
        <f>IFERROR(__xludf.DUMMYFUNCTION("""COMPUTED_VALUE"""),"")</f>
        <v/>
      </c>
    </row>
    <row r="265">
      <c r="O265" s="36"/>
      <c r="P265" s="36" t="str">
        <f>IFERROR(__xludf.DUMMYFUNCTION("""COMPUTED_VALUE"""),"")</f>
        <v/>
      </c>
      <c r="Q265" s="36" t="str">
        <f>IFERROR(__xludf.DUMMYFUNCTION("""COMPUTED_VALUE"""),"")</f>
        <v/>
      </c>
    </row>
    <row r="266">
      <c r="O266" s="36"/>
      <c r="P266" s="36" t="str">
        <f>IFERROR(__xludf.DUMMYFUNCTION("""COMPUTED_VALUE"""),"")</f>
        <v/>
      </c>
      <c r="Q266" s="36" t="str">
        <f>IFERROR(__xludf.DUMMYFUNCTION("""COMPUTED_VALUE"""),"")</f>
        <v/>
      </c>
    </row>
    <row r="267">
      <c r="O267" s="36"/>
      <c r="P267" s="36" t="str">
        <f>IFERROR(__xludf.DUMMYFUNCTION("""COMPUTED_VALUE"""),"")</f>
        <v/>
      </c>
      <c r="Q267" s="36" t="str">
        <f>IFERROR(__xludf.DUMMYFUNCTION("""COMPUTED_VALUE"""),"")</f>
        <v/>
      </c>
    </row>
    <row r="268">
      <c r="O268" s="36"/>
      <c r="P268" s="36" t="str">
        <f>IFERROR(__xludf.DUMMYFUNCTION("""COMPUTED_VALUE"""),"")</f>
        <v/>
      </c>
      <c r="Q268" s="36" t="str">
        <f>IFERROR(__xludf.DUMMYFUNCTION("""COMPUTED_VALUE"""),"")</f>
        <v/>
      </c>
    </row>
    <row r="269">
      <c r="O269" s="36"/>
      <c r="P269" s="36" t="str">
        <f>IFERROR(__xludf.DUMMYFUNCTION("""COMPUTED_VALUE"""),"")</f>
        <v/>
      </c>
      <c r="Q269" s="36" t="str">
        <f>IFERROR(__xludf.DUMMYFUNCTION("""COMPUTED_VALUE"""),"")</f>
        <v/>
      </c>
    </row>
    <row r="270">
      <c r="O270" s="36"/>
      <c r="P270" s="36" t="str">
        <f>IFERROR(__xludf.DUMMYFUNCTION("""COMPUTED_VALUE"""),"")</f>
        <v/>
      </c>
      <c r="Q270" s="36" t="str">
        <f>IFERROR(__xludf.DUMMYFUNCTION("""COMPUTED_VALUE"""),"")</f>
        <v/>
      </c>
    </row>
    <row r="271">
      <c r="O271" s="36"/>
      <c r="P271" s="36" t="str">
        <f>IFERROR(__xludf.DUMMYFUNCTION("""COMPUTED_VALUE"""),"")</f>
        <v/>
      </c>
      <c r="Q271" s="36" t="str">
        <f>IFERROR(__xludf.DUMMYFUNCTION("""COMPUTED_VALUE"""),"")</f>
        <v/>
      </c>
    </row>
    <row r="272">
      <c r="O272" s="36"/>
      <c r="P272" s="36" t="str">
        <f>IFERROR(__xludf.DUMMYFUNCTION("""COMPUTED_VALUE"""),"")</f>
        <v/>
      </c>
      <c r="Q272" s="36" t="str">
        <f>IFERROR(__xludf.DUMMYFUNCTION("""COMPUTED_VALUE"""),"")</f>
        <v/>
      </c>
    </row>
    <row r="273">
      <c r="O273" s="36"/>
      <c r="P273" s="36" t="str">
        <f>IFERROR(__xludf.DUMMYFUNCTION("""COMPUTED_VALUE"""),"")</f>
        <v/>
      </c>
      <c r="Q273" s="36" t="str">
        <f>IFERROR(__xludf.DUMMYFUNCTION("""COMPUTED_VALUE"""),"")</f>
        <v/>
      </c>
    </row>
    <row r="274">
      <c r="O274" s="36"/>
      <c r="P274" s="36" t="str">
        <f>IFERROR(__xludf.DUMMYFUNCTION("""COMPUTED_VALUE"""),"")</f>
        <v/>
      </c>
      <c r="Q274" s="36" t="str">
        <f>IFERROR(__xludf.DUMMYFUNCTION("""COMPUTED_VALUE"""),"")</f>
        <v/>
      </c>
    </row>
    <row r="275">
      <c r="O275" s="36"/>
      <c r="P275" s="36" t="str">
        <f>IFERROR(__xludf.DUMMYFUNCTION("""COMPUTED_VALUE"""),"")</f>
        <v/>
      </c>
      <c r="Q275" s="36" t="str">
        <f>IFERROR(__xludf.DUMMYFUNCTION("""COMPUTED_VALUE"""),"")</f>
        <v/>
      </c>
    </row>
    <row r="276">
      <c r="O276" s="36"/>
      <c r="P276" s="36" t="str">
        <f>IFERROR(__xludf.DUMMYFUNCTION("""COMPUTED_VALUE"""),"")</f>
        <v/>
      </c>
      <c r="Q276" s="36" t="str">
        <f>IFERROR(__xludf.DUMMYFUNCTION("""COMPUTED_VALUE"""),"")</f>
        <v/>
      </c>
    </row>
    <row r="277">
      <c r="O277" s="36"/>
      <c r="P277" s="36" t="str">
        <f>IFERROR(__xludf.DUMMYFUNCTION("""COMPUTED_VALUE"""),"")</f>
        <v/>
      </c>
      <c r="Q277" s="36" t="str">
        <f>IFERROR(__xludf.DUMMYFUNCTION("""COMPUTED_VALUE"""),"")</f>
        <v/>
      </c>
    </row>
    <row r="278">
      <c r="O278" s="36"/>
      <c r="P278" s="36" t="str">
        <f>IFERROR(__xludf.DUMMYFUNCTION("""COMPUTED_VALUE"""),"")</f>
        <v/>
      </c>
      <c r="Q278" s="36" t="str">
        <f>IFERROR(__xludf.DUMMYFUNCTION("""COMPUTED_VALUE"""),"")</f>
        <v/>
      </c>
    </row>
    <row r="279">
      <c r="O279" s="36"/>
      <c r="P279" s="36" t="str">
        <f>IFERROR(__xludf.DUMMYFUNCTION("""COMPUTED_VALUE"""),"")</f>
        <v/>
      </c>
      <c r="Q279" s="36" t="str">
        <f>IFERROR(__xludf.DUMMYFUNCTION("""COMPUTED_VALUE"""),"")</f>
        <v/>
      </c>
    </row>
    <row r="280">
      <c r="O280" s="36"/>
      <c r="P280" s="36" t="str">
        <f>IFERROR(__xludf.DUMMYFUNCTION("""COMPUTED_VALUE"""),"")</f>
        <v/>
      </c>
      <c r="Q280" s="36" t="str">
        <f>IFERROR(__xludf.DUMMYFUNCTION("""COMPUTED_VALUE"""),"")</f>
        <v/>
      </c>
    </row>
    <row r="281">
      <c r="O281" s="36"/>
      <c r="P281" s="36" t="str">
        <f>IFERROR(__xludf.DUMMYFUNCTION("""COMPUTED_VALUE"""),"")</f>
        <v/>
      </c>
      <c r="Q281" s="36" t="str">
        <f>IFERROR(__xludf.DUMMYFUNCTION("""COMPUTED_VALUE"""),"")</f>
        <v/>
      </c>
    </row>
    <row r="282">
      <c r="O282" s="36"/>
      <c r="P282" s="36" t="str">
        <f>IFERROR(__xludf.DUMMYFUNCTION("""COMPUTED_VALUE"""),"")</f>
        <v/>
      </c>
      <c r="Q282" s="36" t="str">
        <f>IFERROR(__xludf.DUMMYFUNCTION("""COMPUTED_VALUE"""),"")</f>
        <v/>
      </c>
    </row>
    <row r="283">
      <c r="O283" s="36"/>
      <c r="P283" s="36" t="str">
        <f>IFERROR(__xludf.DUMMYFUNCTION("""COMPUTED_VALUE"""),"")</f>
        <v/>
      </c>
      <c r="Q283" s="36" t="str">
        <f>IFERROR(__xludf.DUMMYFUNCTION("""COMPUTED_VALUE"""),"")</f>
        <v/>
      </c>
    </row>
    <row r="284">
      <c r="O284" s="36"/>
      <c r="P284" s="36" t="str">
        <f>IFERROR(__xludf.DUMMYFUNCTION("""COMPUTED_VALUE"""),"")</f>
        <v/>
      </c>
      <c r="Q284" s="36" t="str">
        <f>IFERROR(__xludf.DUMMYFUNCTION("""COMPUTED_VALUE"""),"")</f>
        <v/>
      </c>
    </row>
    <row r="285">
      <c r="O285" s="36"/>
      <c r="P285" s="36" t="str">
        <f>IFERROR(__xludf.DUMMYFUNCTION("""COMPUTED_VALUE"""),"")</f>
        <v/>
      </c>
      <c r="Q285" s="36" t="str">
        <f>IFERROR(__xludf.DUMMYFUNCTION("""COMPUTED_VALUE"""),"")</f>
        <v/>
      </c>
    </row>
    <row r="286">
      <c r="O286" s="36"/>
      <c r="P286" s="36" t="str">
        <f>IFERROR(__xludf.DUMMYFUNCTION("""COMPUTED_VALUE"""),"")</f>
        <v/>
      </c>
      <c r="Q286" s="36" t="str">
        <f>IFERROR(__xludf.DUMMYFUNCTION("""COMPUTED_VALUE"""),"")</f>
        <v/>
      </c>
    </row>
    <row r="287">
      <c r="O287" s="36"/>
      <c r="P287" s="36" t="str">
        <f>IFERROR(__xludf.DUMMYFUNCTION("""COMPUTED_VALUE"""),"")</f>
        <v/>
      </c>
      <c r="Q287" s="36" t="str">
        <f>IFERROR(__xludf.DUMMYFUNCTION("""COMPUTED_VALUE"""),"")</f>
        <v/>
      </c>
    </row>
    <row r="288">
      <c r="O288" s="36"/>
      <c r="P288" s="36" t="str">
        <f>IFERROR(__xludf.DUMMYFUNCTION("""COMPUTED_VALUE"""),"")</f>
        <v/>
      </c>
      <c r="Q288" s="36" t="str">
        <f>IFERROR(__xludf.DUMMYFUNCTION("""COMPUTED_VALUE"""),"")</f>
        <v/>
      </c>
    </row>
    <row r="289">
      <c r="O289" s="36"/>
      <c r="P289" s="36" t="str">
        <f>IFERROR(__xludf.DUMMYFUNCTION("""COMPUTED_VALUE"""),"")</f>
        <v/>
      </c>
      <c r="Q289" s="36" t="str">
        <f>IFERROR(__xludf.DUMMYFUNCTION("""COMPUTED_VALUE"""),"")</f>
        <v/>
      </c>
    </row>
    <row r="290">
      <c r="O290" s="36"/>
      <c r="P290" s="36" t="str">
        <f>IFERROR(__xludf.DUMMYFUNCTION("""COMPUTED_VALUE"""),"")</f>
        <v/>
      </c>
      <c r="Q290" s="36" t="str">
        <f>IFERROR(__xludf.DUMMYFUNCTION("""COMPUTED_VALUE"""),"")</f>
        <v/>
      </c>
    </row>
    <row r="291">
      <c r="O291" s="36"/>
      <c r="P291" s="36" t="str">
        <f>IFERROR(__xludf.DUMMYFUNCTION("""COMPUTED_VALUE"""),"")</f>
        <v/>
      </c>
      <c r="Q291" s="36" t="str">
        <f>IFERROR(__xludf.DUMMYFUNCTION("""COMPUTED_VALUE"""),"")</f>
        <v/>
      </c>
    </row>
    <row r="292">
      <c r="O292" s="36"/>
      <c r="P292" s="36" t="str">
        <f>IFERROR(__xludf.DUMMYFUNCTION("""COMPUTED_VALUE"""),"")</f>
        <v/>
      </c>
      <c r="Q292" s="36" t="str">
        <f>IFERROR(__xludf.DUMMYFUNCTION("""COMPUTED_VALUE"""),"")</f>
        <v/>
      </c>
    </row>
    <row r="293">
      <c r="O293" s="36"/>
      <c r="P293" s="36" t="str">
        <f>IFERROR(__xludf.DUMMYFUNCTION("""COMPUTED_VALUE"""),"")</f>
        <v/>
      </c>
      <c r="Q293" s="36" t="str">
        <f>IFERROR(__xludf.DUMMYFUNCTION("""COMPUTED_VALUE"""),"")</f>
        <v/>
      </c>
    </row>
    <row r="294">
      <c r="O294" s="36"/>
      <c r="P294" s="36" t="str">
        <f>IFERROR(__xludf.DUMMYFUNCTION("""COMPUTED_VALUE"""),"")</f>
        <v/>
      </c>
      <c r="Q294" s="36" t="str">
        <f>IFERROR(__xludf.DUMMYFUNCTION("""COMPUTED_VALUE"""),"")</f>
        <v/>
      </c>
    </row>
    <row r="295">
      <c r="O295" s="36"/>
      <c r="P295" s="36" t="str">
        <f>IFERROR(__xludf.DUMMYFUNCTION("""COMPUTED_VALUE"""),"")</f>
        <v/>
      </c>
      <c r="Q295" s="36" t="str">
        <f>IFERROR(__xludf.DUMMYFUNCTION("""COMPUTED_VALUE"""),"")</f>
        <v/>
      </c>
    </row>
    <row r="296">
      <c r="O296" s="36"/>
      <c r="P296" s="36" t="str">
        <f>IFERROR(__xludf.DUMMYFUNCTION("""COMPUTED_VALUE"""),"")</f>
        <v/>
      </c>
      <c r="Q296" s="36" t="str">
        <f>IFERROR(__xludf.DUMMYFUNCTION("""COMPUTED_VALUE"""),"")</f>
        <v/>
      </c>
    </row>
    <row r="297">
      <c r="O297" s="36"/>
      <c r="P297" s="36" t="str">
        <f>IFERROR(__xludf.DUMMYFUNCTION("""COMPUTED_VALUE"""),"")</f>
        <v/>
      </c>
      <c r="Q297" s="36" t="str">
        <f>IFERROR(__xludf.DUMMYFUNCTION("""COMPUTED_VALUE"""),"")</f>
        <v/>
      </c>
    </row>
    <row r="298">
      <c r="O298" s="36"/>
      <c r="P298" s="36" t="str">
        <f>IFERROR(__xludf.DUMMYFUNCTION("""COMPUTED_VALUE"""),"")</f>
        <v/>
      </c>
      <c r="Q298" s="36" t="str">
        <f>IFERROR(__xludf.DUMMYFUNCTION("""COMPUTED_VALUE"""),"")</f>
        <v/>
      </c>
    </row>
    <row r="299">
      <c r="O299" s="36"/>
      <c r="P299" s="36" t="str">
        <f>IFERROR(__xludf.DUMMYFUNCTION("""COMPUTED_VALUE"""),"")</f>
        <v/>
      </c>
      <c r="Q299" s="36" t="str">
        <f>IFERROR(__xludf.DUMMYFUNCTION("""COMPUTED_VALUE"""),"")</f>
        <v/>
      </c>
    </row>
    <row r="300">
      <c r="O300" s="36"/>
      <c r="P300" s="36" t="str">
        <f>IFERROR(__xludf.DUMMYFUNCTION("""COMPUTED_VALUE"""),"")</f>
        <v/>
      </c>
      <c r="Q300" s="36" t="str">
        <f>IFERROR(__xludf.DUMMYFUNCTION("""COMPUTED_VALUE"""),"")</f>
        <v/>
      </c>
    </row>
  </sheetData>
  <drawing r:id="rId1"/>
  <tableParts count="2"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5" max="5" width="36.63"/>
    <col customWidth="1" min="6" max="6" width="28.13"/>
    <col customWidth="1" hidden="1" min="7" max="7" width="21.25"/>
    <col customWidth="1" min="8" max="8" width="21.25"/>
    <col customWidth="1" min="9" max="9" width="35.13"/>
    <col customWidth="1" min="10" max="10" width="28.13"/>
    <col customWidth="1" min="13" max="13" width="30.38"/>
    <col customWidth="1" min="14" max="14" width="17.25"/>
    <col customWidth="1" min="15" max="15" width="23.38"/>
  </cols>
  <sheetData>
    <row r="1">
      <c r="A1" s="87" t="s">
        <v>278</v>
      </c>
      <c r="C1" s="88"/>
      <c r="E1" s="87" t="s">
        <v>279</v>
      </c>
      <c r="F1" s="39"/>
      <c r="G1" s="89"/>
      <c r="H1" s="87"/>
      <c r="I1" s="87" t="s">
        <v>280</v>
      </c>
      <c r="K1" s="90"/>
      <c r="M1" s="87"/>
    </row>
    <row r="2">
      <c r="A2" s="7" t="s">
        <v>281</v>
      </c>
      <c r="B2" s="7" t="s">
        <v>282</v>
      </c>
      <c r="C2" s="91" t="s">
        <v>283</v>
      </c>
      <c r="E2" s="7" t="s">
        <v>8</v>
      </c>
      <c r="F2" s="92" t="s">
        <v>284</v>
      </c>
      <c r="H2" s="93" t="s">
        <v>30</v>
      </c>
      <c r="I2" s="94" t="s">
        <v>285</v>
      </c>
      <c r="J2" s="7" t="s">
        <v>286</v>
      </c>
      <c r="K2" s="95" t="s">
        <v>283</v>
      </c>
      <c r="M2" s="53"/>
      <c r="N2" s="53"/>
      <c r="O2" s="53"/>
    </row>
    <row r="3">
      <c r="A3" s="96" t="s">
        <v>269</v>
      </c>
      <c r="B3" s="10">
        <f>sum(Penempatan!E2:E1000)</f>
        <v>626</v>
      </c>
      <c r="C3" s="97">
        <f t="shared" ref="C3:C5" si="1">B3/SUM($B$3:$B$5)</f>
        <v>0.3176052765</v>
      </c>
      <c r="E3" s="98" t="str">
        <f t="array" ref="E3:E17">unique(Penempatan!B2:B1000)</f>
        <v>Otomotif</v>
      </c>
      <c r="F3" s="33">
        <f t="array" ref="F3:F1000">if(isblank(E3:E1000),"",_xlfn.xlookup(E3:E1000,Penempatan!B2:B1000,Penempatan!D2:D1000))</f>
        <v>50</v>
      </c>
      <c r="H3" s="99">
        <f t="array" ref="H3:H1000">if(isblank(E3:E1000),"",_xlfn.xlookup(E3:E1000,Penempatan!B2:B1000,Penempatan!C2:C1000))</f>
        <v>207</v>
      </c>
      <c r="I3" s="100" t="s">
        <v>287</v>
      </c>
      <c r="J3" s="10">
        <f>sum(Penempatan!H2:H1000)</f>
        <v>0</v>
      </c>
      <c r="K3" s="101" t="str">
        <f t="shared" ref="K3:K5" si="2">J3/sum($J$3:$J1000)</f>
        <v>#DIV/0!</v>
      </c>
    </row>
    <row r="4">
      <c r="A4" s="96" t="s">
        <v>288</v>
      </c>
      <c r="B4" s="10">
        <f>sum(Penempatan!G2:G1000)</f>
        <v>0</v>
      </c>
      <c r="C4" s="97">
        <f t="shared" si="1"/>
        <v>0</v>
      </c>
      <c r="E4" s="98" t="s">
        <v>49</v>
      </c>
      <c r="F4" s="33">
        <v>131.0</v>
      </c>
      <c r="H4" s="99">
        <v>307.0</v>
      </c>
      <c r="I4" s="100" t="s">
        <v>289</v>
      </c>
      <c r="J4" s="10">
        <f>sum(Penempatan!I1:I1000)</f>
        <v>0</v>
      </c>
      <c r="K4" s="101" t="str">
        <f t="shared" si="2"/>
        <v>#DIV/0!</v>
      </c>
    </row>
    <row r="5">
      <c r="A5" s="96" t="s">
        <v>270</v>
      </c>
      <c r="B5" s="10">
        <f>sum(Penempatan!F2:F1000)</f>
        <v>1345</v>
      </c>
      <c r="C5" s="97">
        <f t="shared" si="1"/>
        <v>0.6823947235</v>
      </c>
      <c r="E5" s="98" t="s">
        <v>54</v>
      </c>
      <c r="F5" s="33">
        <v>56.0</v>
      </c>
      <c r="H5" s="99">
        <v>117.0</v>
      </c>
      <c r="I5" s="100" t="s">
        <v>274</v>
      </c>
      <c r="J5" s="10">
        <f>sum(Penempatan!J2:J1000)</f>
        <v>0</v>
      </c>
      <c r="K5" s="101" t="str">
        <f t="shared" si="2"/>
        <v>#DIV/0!</v>
      </c>
    </row>
    <row r="6">
      <c r="E6" s="98" t="s">
        <v>59</v>
      </c>
      <c r="F6" s="33">
        <v>67.0</v>
      </c>
      <c r="H6" s="99">
        <v>349.0</v>
      </c>
      <c r="K6" s="90"/>
    </row>
    <row r="7">
      <c r="C7" s="88"/>
      <c r="E7" s="98" t="s">
        <v>64</v>
      </c>
      <c r="F7" s="33">
        <v>56.0</v>
      </c>
      <c r="H7" s="99">
        <v>294.0</v>
      </c>
      <c r="K7" s="90"/>
    </row>
    <row r="8">
      <c r="A8" s="5" t="s">
        <v>290</v>
      </c>
      <c r="B8" s="36">
        <f>sum(Penempatan!D2:D1000)</f>
        <v>626</v>
      </c>
      <c r="C8" s="88"/>
      <c r="E8" s="98" t="s">
        <v>69</v>
      </c>
      <c r="F8" s="33">
        <v>29.0</v>
      </c>
      <c r="H8" s="99">
        <v>85.0</v>
      </c>
      <c r="K8" s="90"/>
    </row>
    <row r="9">
      <c r="C9" s="88"/>
      <c r="E9" s="98" t="s">
        <v>73</v>
      </c>
      <c r="F9" s="33">
        <v>71.0</v>
      </c>
      <c r="H9" s="99">
        <v>266.0</v>
      </c>
      <c r="K9" s="90"/>
    </row>
    <row r="10">
      <c r="C10" s="88"/>
      <c r="E10" s="98" t="s">
        <v>77</v>
      </c>
      <c r="F10" s="33">
        <v>30.0</v>
      </c>
      <c r="H10" s="99">
        <v>128.0</v>
      </c>
      <c r="K10" s="90"/>
    </row>
    <row r="11">
      <c r="C11" s="88"/>
      <c r="E11" s="98" t="s">
        <v>80</v>
      </c>
      <c r="F11" s="33">
        <v>7.0</v>
      </c>
      <c r="H11" s="99">
        <v>12.0</v>
      </c>
      <c r="K11" s="90"/>
    </row>
    <row r="12">
      <c r="C12" s="88"/>
      <c r="E12" s="10" t="s">
        <v>83</v>
      </c>
      <c r="F12" s="33">
        <v>9.0</v>
      </c>
      <c r="H12" s="99">
        <v>16.0</v>
      </c>
      <c r="K12" s="90"/>
    </row>
    <row r="13">
      <c r="C13" s="88"/>
      <c r="E13" s="10" t="s">
        <v>88</v>
      </c>
      <c r="F13" s="33">
        <v>87.0</v>
      </c>
      <c r="H13" s="99">
        <v>142.0</v>
      </c>
      <c r="K13" s="90"/>
    </row>
    <row r="14">
      <c r="C14" s="88"/>
      <c r="E14" s="10" t="s">
        <v>94</v>
      </c>
      <c r="F14" s="33">
        <v>32.0</v>
      </c>
      <c r="H14" s="99">
        <v>32.0</v>
      </c>
      <c r="K14" s="90"/>
    </row>
    <row r="15">
      <c r="C15" s="88"/>
      <c r="E15" s="10" t="s">
        <v>99</v>
      </c>
      <c r="F15" s="33">
        <v>1.0</v>
      </c>
      <c r="G15" s="99"/>
      <c r="H15" s="36">
        <v>16.0</v>
      </c>
      <c r="K15" s="90"/>
    </row>
    <row r="16">
      <c r="C16" s="88"/>
      <c r="E16" s="36" t="s">
        <v>48</v>
      </c>
      <c r="F16" s="39" t="s">
        <v>48</v>
      </c>
      <c r="G16" s="89"/>
      <c r="H16" s="36" t="s">
        <v>48</v>
      </c>
      <c r="K16" s="90"/>
    </row>
    <row r="17">
      <c r="C17" s="88"/>
      <c r="E17" s="36"/>
      <c r="F17" s="39" t="s">
        <v>48</v>
      </c>
      <c r="G17" s="89"/>
      <c r="H17" s="36" t="s">
        <v>48</v>
      </c>
      <c r="K17" s="90"/>
    </row>
    <row r="18">
      <c r="C18" s="88"/>
      <c r="F18" s="39" t="s">
        <v>48</v>
      </c>
      <c r="G18" s="89"/>
      <c r="H18" s="36" t="s">
        <v>48</v>
      </c>
      <c r="K18" s="90"/>
    </row>
    <row r="19">
      <c r="C19" s="88"/>
      <c r="F19" s="39" t="s">
        <v>48</v>
      </c>
      <c r="G19" s="89"/>
      <c r="H19" s="36" t="s">
        <v>48</v>
      </c>
      <c r="K19" s="90"/>
    </row>
    <row r="20">
      <c r="C20" s="88"/>
      <c r="F20" s="39" t="s">
        <v>48</v>
      </c>
      <c r="G20" s="89"/>
      <c r="H20" s="36" t="s">
        <v>48</v>
      </c>
      <c r="K20" s="90"/>
    </row>
    <row r="21">
      <c r="C21" s="88"/>
      <c r="F21" s="39" t="s">
        <v>48</v>
      </c>
      <c r="G21" s="89"/>
      <c r="H21" s="36" t="s">
        <v>48</v>
      </c>
      <c r="K21" s="90"/>
    </row>
    <row r="22">
      <c r="C22" s="88"/>
      <c r="F22" s="39" t="s">
        <v>48</v>
      </c>
      <c r="G22" s="89"/>
      <c r="H22" s="36" t="s">
        <v>48</v>
      </c>
      <c r="K22" s="90"/>
    </row>
    <row r="23">
      <c r="C23" s="88"/>
      <c r="F23" s="39" t="s">
        <v>48</v>
      </c>
      <c r="G23" s="89"/>
      <c r="H23" s="36" t="s">
        <v>48</v>
      </c>
      <c r="K23" s="90"/>
    </row>
    <row r="24">
      <c r="C24" s="88"/>
      <c r="F24" s="39" t="s">
        <v>48</v>
      </c>
      <c r="G24" s="89"/>
      <c r="H24" s="36" t="s">
        <v>48</v>
      </c>
      <c r="K24" s="90"/>
    </row>
    <row r="25">
      <c r="C25" s="88"/>
      <c r="F25" s="39" t="s">
        <v>48</v>
      </c>
      <c r="G25" s="89"/>
      <c r="H25" s="36" t="s">
        <v>48</v>
      </c>
      <c r="K25" s="90"/>
    </row>
    <row r="26">
      <c r="C26" s="88"/>
      <c r="F26" s="39" t="s">
        <v>48</v>
      </c>
      <c r="G26" s="89"/>
      <c r="H26" s="36" t="s">
        <v>48</v>
      </c>
      <c r="K26" s="90"/>
    </row>
    <row r="27">
      <c r="C27" s="88"/>
      <c r="F27" s="39" t="s">
        <v>48</v>
      </c>
      <c r="G27" s="89"/>
      <c r="H27" s="36" t="s">
        <v>48</v>
      </c>
      <c r="K27" s="90"/>
    </row>
    <row r="28">
      <c r="C28" s="88"/>
      <c r="F28" s="39" t="s">
        <v>48</v>
      </c>
      <c r="G28" s="89"/>
      <c r="H28" s="36" t="s">
        <v>48</v>
      </c>
      <c r="K28" s="90"/>
    </row>
    <row r="29">
      <c r="C29" s="88"/>
      <c r="F29" s="39" t="s">
        <v>48</v>
      </c>
      <c r="G29" s="89"/>
      <c r="H29" s="36" t="s">
        <v>48</v>
      </c>
      <c r="K29" s="90"/>
    </row>
    <row r="30">
      <c r="C30" s="88"/>
      <c r="F30" s="39" t="s">
        <v>48</v>
      </c>
      <c r="G30" s="89"/>
      <c r="H30" s="36" t="s">
        <v>48</v>
      </c>
      <c r="K30" s="90"/>
    </row>
    <row r="31">
      <c r="C31" s="88"/>
      <c r="F31" s="39" t="s">
        <v>48</v>
      </c>
      <c r="G31" s="89"/>
      <c r="H31" s="36" t="s">
        <v>48</v>
      </c>
      <c r="K31" s="90"/>
    </row>
    <row r="32">
      <c r="C32" s="88"/>
      <c r="F32" s="39" t="s">
        <v>48</v>
      </c>
      <c r="G32" s="89"/>
      <c r="H32" s="36" t="s">
        <v>48</v>
      </c>
      <c r="K32" s="90"/>
    </row>
    <row r="33">
      <c r="C33" s="88"/>
      <c r="F33" s="39" t="s">
        <v>48</v>
      </c>
      <c r="G33" s="89"/>
      <c r="H33" s="36" t="s">
        <v>48</v>
      </c>
      <c r="K33" s="90"/>
    </row>
    <row r="34">
      <c r="C34" s="88"/>
      <c r="F34" s="39" t="s">
        <v>48</v>
      </c>
      <c r="G34" s="89"/>
      <c r="H34" s="36" t="s">
        <v>48</v>
      </c>
      <c r="K34" s="90"/>
    </row>
    <row r="35">
      <c r="C35" s="88"/>
      <c r="F35" s="39" t="s">
        <v>48</v>
      </c>
      <c r="G35" s="89"/>
      <c r="H35" s="36" t="s">
        <v>48</v>
      </c>
      <c r="K35" s="90"/>
    </row>
    <row r="36">
      <c r="C36" s="88"/>
      <c r="F36" s="39" t="s">
        <v>48</v>
      </c>
      <c r="G36" s="89"/>
      <c r="H36" s="36" t="s">
        <v>48</v>
      </c>
      <c r="K36" s="90"/>
    </row>
    <row r="37">
      <c r="C37" s="88"/>
      <c r="F37" s="39" t="s">
        <v>48</v>
      </c>
      <c r="G37" s="89"/>
      <c r="H37" s="36" t="s">
        <v>48</v>
      </c>
      <c r="K37" s="90"/>
    </row>
    <row r="38">
      <c r="C38" s="88"/>
      <c r="F38" s="39" t="s">
        <v>48</v>
      </c>
      <c r="G38" s="89"/>
      <c r="H38" s="36" t="s">
        <v>48</v>
      </c>
      <c r="K38" s="90"/>
    </row>
    <row r="39">
      <c r="C39" s="88"/>
      <c r="F39" s="39" t="s">
        <v>48</v>
      </c>
      <c r="G39" s="89"/>
      <c r="H39" s="36" t="s">
        <v>48</v>
      </c>
      <c r="K39" s="90"/>
    </row>
    <row r="40">
      <c r="C40" s="88"/>
      <c r="F40" s="39" t="s">
        <v>48</v>
      </c>
      <c r="G40" s="89"/>
      <c r="H40" s="36" t="s">
        <v>48</v>
      </c>
      <c r="K40" s="90"/>
    </row>
    <row r="41">
      <c r="C41" s="88"/>
      <c r="F41" s="39" t="s">
        <v>48</v>
      </c>
      <c r="G41" s="89"/>
      <c r="H41" s="36" t="s">
        <v>48</v>
      </c>
      <c r="K41" s="90"/>
    </row>
    <row r="42">
      <c r="C42" s="88"/>
      <c r="F42" s="39" t="s">
        <v>48</v>
      </c>
      <c r="G42" s="89"/>
      <c r="H42" s="36" t="s">
        <v>48</v>
      </c>
      <c r="K42" s="90"/>
    </row>
    <row r="43">
      <c r="C43" s="88"/>
      <c r="F43" s="39" t="s">
        <v>48</v>
      </c>
      <c r="G43" s="89"/>
      <c r="H43" s="36" t="s">
        <v>48</v>
      </c>
      <c r="K43" s="90"/>
    </row>
    <row r="44">
      <c r="C44" s="88"/>
      <c r="F44" s="39" t="s">
        <v>48</v>
      </c>
      <c r="G44" s="89"/>
      <c r="H44" s="36" t="s">
        <v>48</v>
      </c>
      <c r="K44" s="90"/>
    </row>
    <row r="45">
      <c r="C45" s="88"/>
      <c r="F45" s="39" t="s">
        <v>48</v>
      </c>
      <c r="G45" s="89"/>
      <c r="H45" s="36" t="s">
        <v>48</v>
      </c>
      <c r="K45" s="90"/>
    </row>
    <row r="46">
      <c r="C46" s="88"/>
      <c r="F46" s="39" t="s">
        <v>48</v>
      </c>
      <c r="G46" s="89"/>
      <c r="H46" s="36" t="s">
        <v>48</v>
      </c>
      <c r="K46" s="90"/>
    </row>
    <row r="47">
      <c r="C47" s="88"/>
      <c r="F47" s="39" t="s">
        <v>48</v>
      </c>
      <c r="G47" s="89"/>
      <c r="H47" s="36" t="s">
        <v>48</v>
      </c>
      <c r="K47" s="90"/>
    </row>
    <row r="48">
      <c r="C48" s="88"/>
      <c r="F48" s="39" t="s">
        <v>48</v>
      </c>
      <c r="G48" s="89"/>
      <c r="H48" s="36" t="s">
        <v>48</v>
      </c>
      <c r="K48" s="90"/>
    </row>
    <row r="49">
      <c r="C49" s="88"/>
      <c r="F49" s="39" t="s">
        <v>48</v>
      </c>
      <c r="G49" s="89"/>
      <c r="H49" s="36" t="s">
        <v>48</v>
      </c>
      <c r="K49" s="90"/>
    </row>
    <row r="50">
      <c r="C50" s="88"/>
      <c r="F50" s="39" t="s">
        <v>48</v>
      </c>
      <c r="G50" s="89"/>
      <c r="H50" s="36" t="s">
        <v>48</v>
      </c>
      <c r="K50" s="90"/>
    </row>
    <row r="51">
      <c r="C51" s="88"/>
      <c r="F51" s="39" t="s">
        <v>48</v>
      </c>
      <c r="G51" s="89"/>
      <c r="H51" s="36" t="s">
        <v>48</v>
      </c>
      <c r="K51" s="90"/>
    </row>
    <row r="52">
      <c r="C52" s="88"/>
      <c r="F52" s="39" t="s">
        <v>48</v>
      </c>
      <c r="G52" s="89"/>
      <c r="H52" s="36" t="s">
        <v>48</v>
      </c>
      <c r="K52" s="90"/>
    </row>
    <row r="53">
      <c r="C53" s="88"/>
      <c r="F53" s="39" t="s">
        <v>48</v>
      </c>
      <c r="G53" s="89"/>
      <c r="H53" s="36" t="s">
        <v>48</v>
      </c>
      <c r="K53" s="90"/>
    </row>
    <row r="54">
      <c r="C54" s="88"/>
      <c r="F54" s="39" t="s">
        <v>48</v>
      </c>
      <c r="G54" s="89"/>
      <c r="H54" s="36" t="s">
        <v>48</v>
      </c>
      <c r="K54" s="90"/>
    </row>
    <row r="55">
      <c r="C55" s="88"/>
      <c r="F55" s="39" t="s">
        <v>48</v>
      </c>
      <c r="G55" s="89"/>
      <c r="H55" s="36" t="s">
        <v>48</v>
      </c>
      <c r="K55" s="90"/>
    </row>
    <row r="56">
      <c r="C56" s="88"/>
      <c r="F56" s="39" t="s">
        <v>48</v>
      </c>
      <c r="G56" s="89"/>
      <c r="H56" s="36" t="s">
        <v>48</v>
      </c>
      <c r="K56" s="90"/>
    </row>
    <row r="57">
      <c r="C57" s="88"/>
      <c r="F57" s="39" t="s">
        <v>48</v>
      </c>
      <c r="G57" s="89"/>
      <c r="H57" s="36" t="s">
        <v>48</v>
      </c>
      <c r="K57" s="90"/>
    </row>
    <row r="58">
      <c r="C58" s="88"/>
      <c r="F58" s="39" t="s">
        <v>48</v>
      </c>
      <c r="G58" s="89"/>
      <c r="H58" s="36" t="s">
        <v>48</v>
      </c>
      <c r="K58" s="90"/>
    </row>
    <row r="59">
      <c r="C59" s="88"/>
      <c r="F59" s="39" t="s">
        <v>48</v>
      </c>
      <c r="G59" s="89"/>
      <c r="H59" s="36" t="s">
        <v>48</v>
      </c>
      <c r="K59" s="90"/>
    </row>
    <row r="60">
      <c r="C60" s="88"/>
      <c r="F60" s="39" t="s">
        <v>48</v>
      </c>
      <c r="G60" s="89"/>
      <c r="H60" s="36" t="s">
        <v>48</v>
      </c>
      <c r="K60" s="90"/>
    </row>
    <row r="61">
      <c r="C61" s="88"/>
      <c r="F61" s="39" t="s">
        <v>48</v>
      </c>
      <c r="G61" s="89"/>
      <c r="H61" s="36" t="s">
        <v>48</v>
      </c>
      <c r="K61" s="90"/>
    </row>
    <row r="62">
      <c r="C62" s="88"/>
      <c r="F62" s="39" t="s">
        <v>48</v>
      </c>
      <c r="G62" s="89"/>
      <c r="H62" s="36" t="s">
        <v>48</v>
      </c>
      <c r="K62" s="90"/>
    </row>
    <row r="63">
      <c r="C63" s="88"/>
      <c r="F63" s="39" t="s">
        <v>48</v>
      </c>
      <c r="G63" s="89"/>
      <c r="H63" s="36" t="s">
        <v>48</v>
      </c>
      <c r="K63" s="90"/>
    </row>
    <row r="64">
      <c r="C64" s="88"/>
      <c r="F64" s="39" t="s">
        <v>48</v>
      </c>
      <c r="G64" s="89"/>
      <c r="H64" s="36" t="s">
        <v>48</v>
      </c>
      <c r="K64" s="90"/>
    </row>
    <row r="65">
      <c r="C65" s="88"/>
      <c r="F65" s="39" t="s">
        <v>48</v>
      </c>
      <c r="G65" s="89"/>
      <c r="H65" s="36" t="s">
        <v>48</v>
      </c>
      <c r="K65" s="90"/>
    </row>
    <row r="66">
      <c r="C66" s="88"/>
      <c r="F66" s="39" t="s">
        <v>48</v>
      </c>
      <c r="G66" s="89"/>
      <c r="H66" s="36" t="s">
        <v>48</v>
      </c>
      <c r="K66" s="90"/>
    </row>
    <row r="67">
      <c r="C67" s="88"/>
      <c r="F67" s="39" t="s">
        <v>48</v>
      </c>
      <c r="G67" s="89"/>
      <c r="H67" s="36" t="s">
        <v>48</v>
      </c>
      <c r="K67" s="90"/>
    </row>
    <row r="68">
      <c r="C68" s="88"/>
      <c r="F68" s="39" t="s">
        <v>48</v>
      </c>
      <c r="G68" s="89"/>
      <c r="H68" s="36" t="s">
        <v>48</v>
      </c>
      <c r="K68" s="90"/>
    </row>
    <row r="69">
      <c r="C69" s="88"/>
      <c r="F69" s="39" t="s">
        <v>48</v>
      </c>
      <c r="G69" s="89"/>
      <c r="H69" s="36" t="s">
        <v>48</v>
      </c>
      <c r="K69" s="90"/>
    </row>
    <row r="70">
      <c r="C70" s="88"/>
      <c r="F70" s="39" t="s">
        <v>48</v>
      </c>
      <c r="G70" s="89"/>
      <c r="H70" s="36" t="s">
        <v>48</v>
      </c>
      <c r="K70" s="90"/>
    </row>
    <row r="71">
      <c r="C71" s="88"/>
      <c r="F71" s="39" t="s">
        <v>48</v>
      </c>
      <c r="G71" s="89"/>
      <c r="H71" s="36" t="s">
        <v>48</v>
      </c>
      <c r="K71" s="90"/>
    </row>
    <row r="72">
      <c r="C72" s="88"/>
      <c r="F72" s="39" t="s">
        <v>48</v>
      </c>
      <c r="G72" s="89"/>
      <c r="H72" s="36" t="s">
        <v>48</v>
      </c>
      <c r="K72" s="90"/>
    </row>
    <row r="73">
      <c r="C73" s="88"/>
      <c r="F73" s="39" t="s">
        <v>48</v>
      </c>
      <c r="G73" s="89"/>
      <c r="H73" s="36" t="s">
        <v>48</v>
      </c>
      <c r="K73" s="90"/>
    </row>
    <row r="74">
      <c r="C74" s="88"/>
      <c r="F74" s="39" t="s">
        <v>48</v>
      </c>
      <c r="G74" s="89"/>
      <c r="H74" s="36" t="s">
        <v>48</v>
      </c>
      <c r="K74" s="90"/>
    </row>
    <row r="75">
      <c r="C75" s="88"/>
      <c r="F75" s="39" t="s">
        <v>48</v>
      </c>
      <c r="G75" s="89"/>
      <c r="H75" s="36" t="s">
        <v>48</v>
      </c>
      <c r="K75" s="90"/>
    </row>
    <row r="76">
      <c r="C76" s="88"/>
      <c r="F76" s="39" t="s">
        <v>48</v>
      </c>
      <c r="G76" s="89"/>
      <c r="H76" s="36" t="s">
        <v>48</v>
      </c>
      <c r="K76" s="90"/>
    </row>
    <row r="77">
      <c r="C77" s="88"/>
      <c r="F77" s="39" t="s">
        <v>48</v>
      </c>
      <c r="G77" s="89"/>
      <c r="H77" s="36" t="s">
        <v>48</v>
      </c>
      <c r="K77" s="90"/>
    </row>
    <row r="78">
      <c r="C78" s="88"/>
      <c r="F78" s="39" t="s">
        <v>48</v>
      </c>
      <c r="G78" s="89"/>
      <c r="H78" s="36" t="s">
        <v>48</v>
      </c>
      <c r="K78" s="90"/>
    </row>
    <row r="79">
      <c r="C79" s="88"/>
      <c r="F79" s="39" t="s">
        <v>48</v>
      </c>
      <c r="G79" s="89"/>
      <c r="H79" s="36" t="s">
        <v>48</v>
      </c>
      <c r="K79" s="90"/>
    </row>
    <row r="80">
      <c r="C80" s="88"/>
      <c r="F80" s="39" t="s">
        <v>48</v>
      </c>
      <c r="G80" s="89"/>
      <c r="H80" s="36" t="s">
        <v>48</v>
      </c>
      <c r="K80" s="90"/>
    </row>
    <row r="81">
      <c r="C81" s="88"/>
      <c r="F81" s="39" t="s">
        <v>48</v>
      </c>
      <c r="G81" s="89"/>
      <c r="H81" s="36" t="s">
        <v>48</v>
      </c>
      <c r="K81" s="90"/>
    </row>
    <row r="82">
      <c r="C82" s="88"/>
      <c r="F82" s="39" t="s">
        <v>48</v>
      </c>
      <c r="G82" s="89"/>
      <c r="H82" s="36" t="s">
        <v>48</v>
      </c>
      <c r="K82" s="90"/>
    </row>
    <row r="83">
      <c r="C83" s="88"/>
      <c r="F83" s="39" t="s">
        <v>48</v>
      </c>
      <c r="G83" s="89"/>
      <c r="H83" s="36" t="s">
        <v>48</v>
      </c>
      <c r="K83" s="90"/>
    </row>
    <row r="84">
      <c r="C84" s="88"/>
      <c r="F84" s="39" t="s">
        <v>48</v>
      </c>
      <c r="G84" s="89"/>
      <c r="H84" s="36" t="s">
        <v>48</v>
      </c>
      <c r="K84" s="90"/>
    </row>
    <row r="85">
      <c r="C85" s="88"/>
      <c r="F85" s="39" t="s">
        <v>48</v>
      </c>
      <c r="G85" s="89"/>
      <c r="H85" s="36" t="s">
        <v>48</v>
      </c>
      <c r="K85" s="90"/>
    </row>
    <row r="86">
      <c r="C86" s="88"/>
      <c r="F86" s="39" t="s">
        <v>48</v>
      </c>
      <c r="G86" s="89"/>
      <c r="H86" s="36" t="s">
        <v>48</v>
      </c>
      <c r="K86" s="90"/>
    </row>
    <row r="87">
      <c r="C87" s="88"/>
      <c r="F87" s="39" t="s">
        <v>48</v>
      </c>
      <c r="G87" s="89"/>
      <c r="H87" s="36" t="s">
        <v>48</v>
      </c>
      <c r="K87" s="90"/>
    </row>
    <row r="88">
      <c r="C88" s="88"/>
      <c r="F88" s="39" t="s">
        <v>48</v>
      </c>
      <c r="G88" s="89"/>
      <c r="H88" s="36" t="s">
        <v>48</v>
      </c>
      <c r="K88" s="90"/>
    </row>
    <row r="89">
      <c r="C89" s="88"/>
      <c r="F89" s="39" t="s">
        <v>48</v>
      </c>
      <c r="G89" s="89"/>
      <c r="H89" s="36" t="s">
        <v>48</v>
      </c>
      <c r="K89" s="90"/>
    </row>
    <row r="90">
      <c r="C90" s="88"/>
      <c r="F90" s="39" t="s">
        <v>48</v>
      </c>
      <c r="G90" s="89"/>
      <c r="H90" s="36" t="s">
        <v>48</v>
      </c>
      <c r="K90" s="90"/>
    </row>
    <row r="91">
      <c r="C91" s="88"/>
      <c r="F91" s="39" t="s">
        <v>48</v>
      </c>
      <c r="G91" s="89"/>
      <c r="H91" s="36" t="s">
        <v>48</v>
      </c>
      <c r="K91" s="90"/>
    </row>
    <row r="92">
      <c r="C92" s="88"/>
      <c r="F92" s="39" t="s">
        <v>48</v>
      </c>
      <c r="G92" s="89"/>
      <c r="H92" s="36" t="s">
        <v>48</v>
      </c>
      <c r="K92" s="90"/>
    </row>
    <row r="93">
      <c r="C93" s="88"/>
      <c r="F93" s="39" t="s">
        <v>48</v>
      </c>
      <c r="G93" s="89"/>
      <c r="H93" s="36" t="s">
        <v>48</v>
      </c>
      <c r="K93" s="90"/>
    </row>
    <row r="94">
      <c r="C94" s="88"/>
      <c r="F94" s="39" t="s">
        <v>48</v>
      </c>
      <c r="G94" s="89"/>
      <c r="H94" s="36" t="s">
        <v>48</v>
      </c>
      <c r="K94" s="90"/>
    </row>
    <row r="95">
      <c r="C95" s="88"/>
      <c r="F95" s="39" t="s">
        <v>48</v>
      </c>
      <c r="G95" s="89"/>
      <c r="H95" s="36" t="s">
        <v>48</v>
      </c>
      <c r="K95" s="90"/>
    </row>
    <row r="96">
      <c r="C96" s="88"/>
      <c r="F96" s="39" t="s">
        <v>48</v>
      </c>
      <c r="G96" s="89"/>
      <c r="H96" s="36" t="s">
        <v>48</v>
      </c>
      <c r="K96" s="90"/>
    </row>
    <row r="97">
      <c r="C97" s="88"/>
      <c r="F97" s="39" t="s">
        <v>48</v>
      </c>
      <c r="G97" s="89"/>
      <c r="H97" s="36" t="s">
        <v>48</v>
      </c>
      <c r="K97" s="90"/>
    </row>
    <row r="98">
      <c r="C98" s="88"/>
      <c r="F98" s="39" t="s">
        <v>48</v>
      </c>
      <c r="G98" s="89"/>
      <c r="H98" s="36" t="s">
        <v>48</v>
      </c>
      <c r="K98" s="90"/>
    </row>
    <row r="99">
      <c r="C99" s="88"/>
      <c r="F99" s="39" t="s">
        <v>48</v>
      </c>
      <c r="G99" s="89"/>
      <c r="H99" s="36" t="s">
        <v>48</v>
      </c>
      <c r="K99" s="90"/>
    </row>
    <row r="100">
      <c r="C100" s="88"/>
      <c r="F100" s="39" t="s">
        <v>48</v>
      </c>
      <c r="G100" s="89"/>
      <c r="H100" s="36" t="s">
        <v>48</v>
      </c>
      <c r="K100" s="90"/>
    </row>
    <row r="101">
      <c r="C101" s="88"/>
      <c r="F101" s="39" t="s">
        <v>48</v>
      </c>
      <c r="G101" s="89"/>
      <c r="H101" s="36" t="s">
        <v>48</v>
      </c>
      <c r="K101" s="90"/>
    </row>
    <row r="102">
      <c r="C102" s="88"/>
      <c r="F102" s="39" t="s">
        <v>48</v>
      </c>
      <c r="G102" s="89"/>
      <c r="H102" s="36" t="s">
        <v>48</v>
      </c>
      <c r="K102" s="90"/>
    </row>
    <row r="103">
      <c r="C103" s="88"/>
      <c r="F103" s="39" t="s">
        <v>48</v>
      </c>
      <c r="G103" s="89"/>
      <c r="H103" s="36" t="s">
        <v>48</v>
      </c>
      <c r="K103" s="90"/>
    </row>
    <row r="104">
      <c r="C104" s="88"/>
      <c r="F104" s="39" t="s">
        <v>48</v>
      </c>
      <c r="G104" s="89"/>
      <c r="H104" s="36" t="s">
        <v>48</v>
      </c>
      <c r="K104" s="90"/>
    </row>
    <row r="105">
      <c r="C105" s="88"/>
      <c r="F105" s="39" t="s">
        <v>48</v>
      </c>
      <c r="G105" s="89"/>
      <c r="H105" s="36" t="s">
        <v>48</v>
      </c>
      <c r="K105" s="90"/>
    </row>
    <row r="106">
      <c r="C106" s="88"/>
      <c r="F106" s="39" t="s">
        <v>48</v>
      </c>
      <c r="G106" s="89"/>
      <c r="H106" s="36" t="s">
        <v>48</v>
      </c>
      <c r="K106" s="90"/>
    </row>
    <row r="107">
      <c r="C107" s="88"/>
      <c r="F107" s="39" t="s">
        <v>48</v>
      </c>
      <c r="G107" s="89"/>
      <c r="H107" s="36" t="s">
        <v>48</v>
      </c>
      <c r="K107" s="90"/>
    </row>
    <row r="108">
      <c r="C108" s="88"/>
      <c r="F108" s="39" t="s">
        <v>48</v>
      </c>
      <c r="G108" s="89"/>
      <c r="H108" s="36" t="s">
        <v>48</v>
      </c>
      <c r="K108" s="90"/>
    </row>
    <row r="109">
      <c r="C109" s="88"/>
      <c r="F109" s="39" t="s">
        <v>48</v>
      </c>
      <c r="G109" s="89"/>
      <c r="H109" s="36" t="s">
        <v>48</v>
      </c>
      <c r="K109" s="90"/>
    </row>
    <row r="110">
      <c r="C110" s="88"/>
      <c r="F110" s="39" t="s">
        <v>48</v>
      </c>
      <c r="G110" s="89"/>
      <c r="H110" s="36" t="s">
        <v>48</v>
      </c>
      <c r="K110" s="90"/>
    </row>
    <row r="111">
      <c r="C111" s="88"/>
      <c r="F111" s="39" t="s">
        <v>48</v>
      </c>
      <c r="G111" s="89"/>
      <c r="H111" s="36" t="s">
        <v>48</v>
      </c>
      <c r="K111" s="90"/>
    </row>
    <row r="112">
      <c r="C112" s="88"/>
      <c r="F112" s="39" t="s">
        <v>48</v>
      </c>
      <c r="G112" s="89"/>
      <c r="H112" s="36" t="s">
        <v>48</v>
      </c>
      <c r="K112" s="90"/>
    </row>
    <row r="113">
      <c r="C113" s="88"/>
      <c r="F113" s="39" t="s">
        <v>48</v>
      </c>
      <c r="G113" s="89"/>
      <c r="H113" s="36" t="s">
        <v>48</v>
      </c>
      <c r="K113" s="90"/>
    </row>
    <row r="114">
      <c r="C114" s="88"/>
      <c r="F114" s="39" t="s">
        <v>48</v>
      </c>
      <c r="G114" s="89"/>
      <c r="H114" s="36" t="s">
        <v>48</v>
      </c>
      <c r="K114" s="90"/>
    </row>
    <row r="115">
      <c r="C115" s="88"/>
      <c r="F115" s="39" t="s">
        <v>48</v>
      </c>
      <c r="G115" s="89"/>
      <c r="H115" s="36" t="s">
        <v>48</v>
      </c>
      <c r="K115" s="90"/>
    </row>
    <row r="116">
      <c r="C116" s="88"/>
      <c r="F116" s="39" t="s">
        <v>48</v>
      </c>
      <c r="G116" s="89"/>
      <c r="H116" s="36" t="s">
        <v>48</v>
      </c>
      <c r="K116" s="90"/>
    </row>
    <row r="117">
      <c r="C117" s="88"/>
      <c r="F117" s="39" t="s">
        <v>48</v>
      </c>
      <c r="G117" s="89"/>
      <c r="H117" s="36" t="s">
        <v>48</v>
      </c>
      <c r="K117" s="90"/>
    </row>
    <row r="118">
      <c r="C118" s="88"/>
      <c r="F118" s="39" t="s">
        <v>48</v>
      </c>
      <c r="G118" s="89"/>
      <c r="H118" s="36" t="s">
        <v>48</v>
      </c>
      <c r="K118" s="90"/>
    </row>
    <row r="119">
      <c r="C119" s="88"/>
      <c r="F119" s="39" t="s">
        <v>48</v>
      </c>
      <c r="G119" s="89"/>
      <c r="H119" s="36" t="s">
        <v>48</v>
      </c>
      <c r="K119" s="90"/>
    </row>
    <row r="120">
      <c r="C120" s="88"/>
      <c r="F120" s="39" t="s">
        <v>48</v>
      </c>
      <c r="G120" s="89"/>
      <c r="H120" s="36" t="s">
        <v>48</v>
      </c>
      <c r="K120" s="90"/>
    </row>
    <row r="121">
      <c r="C121" s="88"/>
      <c r="F121" s="39" t="s">
        <v>48</v>
      </c>
      <c r="G121" s="89"/>
      <c r="H121" s="36" t="s">
        <v>48</v>
      </c>
      <c r="K121" s="90"/>
    </row>
    <row r="122">
      <c r="C122" s="88"/>
      <c r="F122" s="39" t="s">
        <v>48</v>
      </c>
      <c r="G122" s="89"/>
      <c r="H122" s="36" t="s">
        <v>48</v>
      </c>
      <c r="K122" s="90"/>
    </row>
    <row r="123">
      <c r="C123" s="88"/>
      <c r="F123" s="39" t="s">
        <v>48</v>
      </c>
      <c r="G123" s="89"/>
      <c r="H123" s="36" t="s">
        <v>48</v>
      </c>
      <c r="K123" s="90"/>
    </row>
    <row r="124">
      <c r="C124" s="88"/>
      <c r="F124" s="39" t="s">
        <v>48</v>
      </c>
      <c r="G124" s="89"/>
      <c r="H124" s="36" t="s">
        <v>48</v>
      </c>
      <c r="K124" s="90"/>
    </row>
    <row r="125">
      <c r="C125" s="88"/>
      <c r="F125" s="39" t="s">
        <v>48</v>
      </c>
      <c r="G125" s="89"/>
      <c r="H125" s="36" t="s">
        <v>48</v>
      </c>
      <c r="K125" s="90"/>
    </row>
    <row r="126">
      <c r="C126" s="88"/>
      <c r="F126" s="39" t="s">
        <v>48</v>
      </c>
      <c r="G126" s="89"/>
      <c r="H126" s="36" t="s">
        <v>48</v>
      </c>
      <c r="K126" s="90"/>
    </row>
    <row r="127">
      <c r="C127" s="88"/>
      <c r="F127" s="39" t="s">
        <v>48</v>
      </c>
      <c r="G127" s="89"/>
      <c r="H127" s="36" t="s">
        <v>48</v>
      </c>
      <c r="K127" s="90"/>
    </row>
    <row r="128">
      <c r="C128" s="88"/>
      <c r="F128" s="39" t="s">
        <v>48</v>
      </c>
      <c r="G128" s="89"/>
      <c r="H128" s="36" t="s">
        <v>48</v>
      </c>
      <c r="K128" s="90"/>
    </row>
    <row r="129">
      <c r="C129" s="88"/>
      <c r="F129" s="39" t="s">
        <v>48</v>
      </c>
      <c r="G129" s="89"/>
      <c r="H129" s="36" t="s">
        <v>48</v>
      </c>
      <c r="K129" s="90"/>
    </row>
    <row r="130">
      <c r="C130" s="88"/>
      <c r="F130" s="39" t="s">
        <v>48</v>
      </c>
      <c r="G130" s="89"/>
      <c r="H130" s="36" t="s">
        <v>48</v>
      </c>
      <c r="K130" s="90"/>
    </row>
    <row r="131">
      <c r="C131" s="88"/>
      <c r="F131" s="39" t="s">
        <v>48</v>
      </c>
      <c r="G131" s="89"/>
      <c r="H131" s="36" t="s">
        <v>48</v>
      </c>
      <c r="K131" s="90"/>
    </row>
    <row r="132">
      <c r="C132" s="88"/>
      <c r="F132" s="39" t="s">
        <v>48</v>
      </c>
      <c r="G132" s="89"/>
      <c r="H132" s="36" t="s">
        <v>48</v>
      </c>
      <c r="K132" s="90"/>
    </row>
    <row r="133">
      <c r="C133" s="88"/>
      <c r="F133" s="39" t="s">
        <v>48</v>
      </c>
      <c r="G133" s="89"/>
      <c r="H133" s="36" t="s">
        <v>48</v>
      </c>
      <c r="K133" s="90"/>
    </row>
    <row r="134">
      <c r="C134" s="88"/>
      <c r="F134" s="39" t="s">
        <v>48</v>
      </c>
      <c r="G134" s="89"/>
      <c r="H134" s="36" t="s">
        <v>48</v>
      </c>
      <c r="K134" s="90"/>
    </row>
    <row r="135">
      <c r="C135" s="88"/>
      <c r="F135" s="39" t="s">
        <v>48</v>
      </c>
      <c r="G135" s="89"/>
      <c r="H135" s="36" t="s">
        <v>48</v>
      </c>
      <c r="K135" s="90"/>
    </row>
    <row r="136">
      <c r="C136" s="88"/>
      <c r="F136" s="39" t="s">
        <v>48</v>
      </c>
      <c r="G136" s="89"/>
      <c r="H136" s="36" t="s">
        <v>48</v>
      </c>
      <c r="K136" s="90"/>
    </row>
    <row r="137">
      <c r="C137" s="88"/>
      <c r="F137" s="39" t="s">
        <v>48</v>
      </c>
      <c r="G137" s="89"/>
      <c r="H137" s="36" t="s">
        <v>48</v>
      </c>
      <c r="K137" s="90"/>
    </row>
    <row r="138">
      <c r="C138" s="88"/>
      <c r="F138" s="39" t="s">
        <v>48</v>
      </c>
      <c r="G138" s="89"/>
      <c r="H138" s="36" t="s">
        <v>48</v>
      </c>
      <c r="K138" s="90"/>
    </row>
    <row r="139">
      <c r="C139" s="88"/>
      <c r="F139" s="39" t="s">
        <v>48</v>
      </c>
      <c r="G139" s="89"/>
      <c r="H139" s="36" t="s">
        <v>48</v>
      </c>
      <c r="K139" s="90"/>
    </row>
    <row r="140">
      <c r="C140" s="88"/>
      <c r="F140" s="39" t="s">
        <v>48</v>
      </c>
      <c r="G140" s="89"/>
      <c r="H140" s="36" t="s">
        <v>48</v>
      </c>
      <c r="K140" s="90"/>
    </row>
    <row r="141">
      <c r="C141" s="88"/>
      <c r="F141" s="39" t="s">
        <v>48</v>
      </c>
      <c r="G141" s="89"/>
      <c r="H141" s="36" t="s">
        <v>48</v>
      </c>
      <c r="K141" s="90"/>
    </row>
    <row r="142">
      <c r="C142" s="88"/>
      <c r="F142" s="39" t="s">
        <v>48</v>
      </c>
      <c r="G142" s="89"/>
      <c r="H142" s="36" t="s">
        <v>48</v>
      </c>
      <c r="K142" s="90"/>
    </row>
    <row r="143">
      <c r="C143" s="88"/>
      <c r="F143" s="39" t="s">
        <v>48</v>
      </c>
      <c r="G143" s="89"/>
      <c r="H143" s="36" t="s">
        <v>48</v>
      </c>
      <c r="K143" s="90"/>
    </row>
    <row r="144">
      <c r="C144" s="88"/>
      <c r="F144" s="39" t="s">
        <v>48</v>
      </c>
      <c r="G144" s="89"/>
      <c r="H144" s="36" t="s">
        <v>48</v>
      </c>
      <c r="K144" s="90"/>
    </row>
    <row r="145">
      <c r="C145" s="88"/>
      <c r="F145" s="39" t="s">
        <v>48</v>
      </c>
      <c r="G145" s="89"/>
      <c r="H145" s="36" t="s">
        <v>48</v>
      </c>
      <c r="K145" s="90"/>
    </row>
    <row r="146">
      <c r="C146" s="88"/>
      <c r="F146" s="39" t="s">
        <v>48</v>
      </c>
      <c r="G146" s="89"/>
      <c r="H146" s="36" t="s">
        <v>48</v>
      </c>
      <c r="K146" s="90"/>
    </row>
    <row r="147">
      <c r="C147" s="88"/>
      <c r="F147" s="39" t="s">
        <v>48</v>
      </c>
      <c r="G147" s="89"/>
      <c r="H147" s="36" t="s">
        <v>48</v>
      </c>
      <c r="K147" s="90"/>
    </row>
    <row r="148">
      <c r="C148" s="88"/>
      <c r="F148" s="39" t="s">
        <v>48</v>
      </c>
      <c r="G148" s="89"/>
      <c r="H148" s="36" t="s">
        <v>48</v>
      </c>
      <c r="K148" s="90"/>
    </row>
    <row r="149">
      <c r="C149" s="88"/>
      <c r="F149" s="39" t="s">
        <v>48</v>
      </c>
      <c r="G149" s="89"/>
      <c r="H149" s="36" t="s">
        <v>48</v>
      </c>
      <c r="K149" s="90"/>
    </row>
    <row r="150">
      <c r="C150" s="88"/>
      <c r="F150" s="39" t="s">
        <v>48</v>
      </c>
      <c r="G150" s="89"/>
      <c r="H150" s="36" t="s">
        <v>48</v>
      </c>
      <c r="K150" s="90"/>
    </row>
    <row r="151">
      <c r="C151" s="88"/>
      <c r="F151" s="39" t="s">
        <v>48</v>
      </c>
      <c r="G151" s="89"/>
      <c r="H151" s="36" t="s">
        <v>48</v>
      </c>
      <c r="K151" s="90"/>
    </row>
    <row r="152">
      <c r="C152" s="88"/>
      <c r="F152" s="39" t="s">
        <v>48</v>
      </c>
      <c r="G152" s="89"/>
      <c r="H152" s="36" t="s">
        <v>48</v>
      </c>
      <c r="K152" s="90"/>
    </row>
    <row r="153">
      <c r="C153" s="88"/>
      <c r="F153" s="39" t="s">
        <v>48</v>
      </c>
      <c r="G153" s="89"/>
      <c r="H153" s="36" t="s">
        <v>48</v>
      </c>
      <c r="K153" s="90"/>
    </row>
    <row r="154">
      <c r="C154" s="88"/>
      <c r="F154" s="39" t="s">
        <v>48</v>
      </c>
      <c r="G154" s="89"/>
      <c r="H154" s="36" t="s">
        <v>48</v>
      </c>
      <c r="K154" s="90"/>
    </row>
    <row r="155">
      <c r="C155" s="88"/>
      <c r="F155" s="39" t="s">
        <v>48</v>
      </c>
      <c r="G155" s="89"/>
      <c r="H155" s="36" t="s">
        <v>48</v>
      </c>
      <c r="K155" s="90"/>
    </row>
    <row r="156">
      <c r="C156" s="88"/>
      <c r="F156" s="39" t="s">
        <v>48</v>
      </c>
      <c r="G156" s="89"/>
      <c r="H156" s="36" t="s">
        <v>48</v>
      </c>
      <c r="K156" s="90"/>
    </row>
    <row r="157">
      <c r="C157" s="88"/>
      <c r="F157" s="39" t="s">
        <v>48</v>
      </c>
      <c r="G157" s="89"/>
      <c r="H157" s="36" t="s">
        <v>48</v>
      </c>
      <c r="K157" s="90"/>
    </row>
    <row r="158">
      <c r="C158" s="88"/>
      <c r="F158" s="39" t="s">
        <v>48</v>
      </c>
      <c r="G158" s="89"/>
      <c r="H158" s="36" t="s">
        <v>48</v>
      </c>
      <c r="K158" s="90"/>
    </row>
    <row r="159">
      <c r="C159" s="88"/>
      <c r="F159" s="39" t="s">
        <v>48</v>
      </c>
      <c r="G159" s="89"/>
      <c r="H159" s="36" t="s">
        <v>48</v>
      </c>
      <c r="K159" s="90"/>
    </row>
    <row r="160">
      <c r="C160" s="88"/>
      <c r="F160" s="39" t="s">
        <v>48</v>
      </c>
      <c r="G160" s="89"/>
      <c r="H160" s="36" t="s">
        <v>48</v>
      </c>
      <c r="K160" s="90"/>
    </row>
    <row r="161">
      <c r="C161" s="88"/>
      <c r="F161" s="39" t="s">
        <v>48</v>
      </c>
      <c r="G161" s="89"/>
      <c r="H161" s="36" t="s">
        <v>48</v>
      </c>
      <c r="K161" s="90"/>
    </row>
    <row r="162">
      <c r="C162" s="88"/>
      <c r="F162" s="39" t="s">
        <v>48</v>
      </c>
      <c r="G162" s="89"/>
      <c r="H162" s="36" t="s">
        <v>48</v>
      </c>
      <c r="K162" s="90"/>
    </row>
    <row r="163">
      <c r="C163" s="88"/>
      <c r="F163" s="39" t="s">
        <v>48</v>
      </c>
      <c r="G163" s="89"/>
      <c r="H163" s="36" t="s">
        <v>48</v>
      </c>
      <c r="K163" s="90"/>
    </row>
    <row r="164">
      <c r="C164" s="88"/>
      <c r="F164" s="39" t="s">
        <v>48</v>
      </c>
      <c r="G164" s="89"/>
      <c r="H164" s="36" t="s">
        <v>48</v>
      </c>
      <c r="K164" s="90"/>
    </row>
    <row r="165">
      <c r="C165" s="88"/>
      <c r="F165" s="39" t="s">
        <v>48</v>
      </c>
      <c r="G165" s="89"/>
      <c r="H165" s="36" t="s">
        <v>48</v>
      </c>
      <c r="K165" s="90"/>
    </row>
    <row r="166">
      <c r="C166" s="88"/>
      <c r="F166" s="39" t="s">
        <v>48</v>
      </c>
      <c r="G166" s="89"/>
      <c r="H166" s="36" t="s">
        <v>48</v>
      </c>
      <c r="K166" s="90"/>
    </row>
    <row r="167">
      <c r="C167" s="88"/>
      <c r="F167" s="39" t="s">
        <v>48</v>
      </c>
      <c r="G167" s="89"/>
      <c r="H167" s="36" t="s">
        <v>48</v>
      </c>
      <c r="K167" s="90"/>
    </row>
    <row r="168">
      <c r="C168" s="88"/>
      <c r="F168" s="39" t="s">
        <v>48</v>
      </c>
      <c r="G168" s="89"/>
      <c r="H168" s="36" t="s">
        <v>48</v>
      </c>
      <c r="K168" s="90"/>
    </row>
    <row r="169">
      <c r="C169" s="88"/>
      <c r="F169" s="39" t="s">
        <v>48</v>
      </c>
      <c r="G169" s="89"/>
      <c r="H169" s="36" t="s">
        <v>48</v>
      </c>
      <c r="K169" s="90"/>
    </row>
    <row r="170">
      <c r="C170" s="88"/>
      <c r="F170" s="39" t="s">
        <v>48</v>
      </c>
      <c r="G170" s="89"/>
      <c r="H170" s="36" t="s">
        <v>48</v>
      </c>
      <c r="K170" s="90"/>
    </row>
    <row r="171">
      <c r="C171" s="88"/>
      <c r="F171" s="39" t="s">
        <v>48</v>
      </c>
      <c r="G171" s="89"/>
      <c r="H171" s="36" t="s">
        <v>48</v>
      </c>
      <c r="K171" s="90"/>
    </row>
    <row r="172">
      <c r="C172" s="88"/>
      <c r="F172" s="39" t="s">
        <v>48</v>
      </c>
      <c r="G172" s="89"/>
      <c r="H172" s="36" t="s">
        <v>48</v>
      </c>
      <c r="K172" s="90"/>
    </row>
    <row r="173">
      <c r="C173" s="88"/>
      <c r="F173" s="39" t="s">
        <v>48</v>
      </c>
      <c r="G173" s="89"/>
      <c r="H173" s="36" t="s">
        <v>48</v>
      </c>
      <c r="K173" s="90"/>
    </row>
    <row r="174">
      <c r="C174" s="88"/>
      <c r="F174" s="39" t="s">
        <v>48</v>
      </c>
      <c r="G174" s="89"/>
      <c r="H174" s="36" t="s">
        <v>48</v>
      </c>
      <c r="K174" s="90"/>
    </row>
    <row r="175">
      <c r="C175" s="88"/>
      <c r="F175" s="39" t="s">
        <v>48</v>
      </c>
      <c r="G175" s="89"/>
      <c r="H175" s="36" t="s">
        <v>48</v>
      </c>
      <c r="K175" s="90"/>
    </row>
    <row r="176">
      <c r="C176" s="88"/>
      <c r="F176" s="39" t="s">
        <v>48</v>
      </c>
      <c r="G176" s="89"/>
      <c r="H176" s="36" t="s">
        <v>48</v>
      </c>
      <c r="K176" s="90"/>
    </row>
    <row r="177">
      <c r="C177" s="88"/>
      <c r="F177" s="39" t="s">
        <v>48</v>
      </c>
      <c r="G177" s="89"/>
      <c r="H177" s="36" t="s">
        <v>48</v>
      </c>
      <c r="K177" s="90"/>
    </row>
    <row r="178">
      <c r="C178" s="88"/>
      <c r="F178" s="39" t="s">
        <v>48</v>
      </c>
      <c r="G178" s="89"/>
      <c r="H178" s="36" t="s">
        <v>48</v>
      </c>
      <c r="K178" s="90"/>
    </row>
    <row r="179">
      <c r="C179" s="88"/>
      <c r="F179" s="39" t="s">
        <v>48</v>
      </c>
      <c r="G179" s="89"/>
      <c r="H179" s="36" t="s">
        <v>48</v>
      </c>
      <c r="K179" s="90"/>
    </row>
    <row r="180">
      <c r="C180" s="88"/>
      <c r="F180" s="39" t="s">
        <v>48</v>
      </c>
      <c r="G180" s="89"/>
      <c r="H180" s="36" t="s">
        <v>48</v>
      </c>
      <c r="K180" s="90"/>
    </row>
    <row r="181">
      <c r="C181" s="88"/>
      <c r="F181" s="39" t="s">
        <v>48</v>
      </c>
      <c r="G181" s="89"/>
      <c r="H181" s="36" t="s">
        <v>48</v>
      </c>
      <c r="K181" s="90"/>
    </row>
    <row r="182">
      <c r="C182" s="88"/>
      <c r="F182" s="39" t="s">
        <v>48</v>
      </c>
      <c r="G182" s="89"/>
      <c r="H182" s="36" t="s">
        <v>48</v>
      </c>
      <c r="K182" s="90"/>
    </row>
    <row r="183">
      <c r="C183" s="88"/>
      <c r="F183" s="39" t="s">
        <v>48</v>
      </c>
      <c r="G183" s="89"/>
      <c r="H183" s="36" t="s">
        <v>48</v>
      </c>
      <c r="K183" s="90"/>
    </row>
    <row r="184">
      <c r="C184" s="88"/>
      <c r="F184" s="39" t="s">
        <v>48</v>
      </c>
      <c r="G184" s="89"/>
      <c r="H184" s="36" t="s">
        <v>48</v>
      </c>
      <c r="K184" s="90"/>
    </row>
    <row r="185">
      <c r="C185" s="88"/>
      <c r="F185" s="39" t="s">
        <v>48</v>
      </c>
      <c r="G185" s="89"/>
      <c r="H185" s="36" t="s">
        <v>48</v>
      </c>
      <c r="K185" s="90"/>
    </row>
    <row r="186">
      <c r="C186" s="88"/>
      <c r="F186" s="39" t="s">
        <v>48</v>
      </c>
      <c r="G186" s="89"/>
      <c r="H186" s="36" t="s">
        <v>48</v>
      </c>
      <c r="K186" s="90"/>
    </row>
    <row r="187">
      <c r="C187" s="88"/>
      <c r="F187" s="39" t="s">
        <v>48</v>
      </c>
      <c r="G187" s="89"/>
      <c r="H187" s="36" t="s">
        <v>48</v>
      </c>
      <c r="K187" s="90"/>
    </row>
    <row r="188">
      <c r="C188" s="88"/>
      <c r="F188" s="39" t="s">
        <v>48</v>
      </c>
      <c r="G188" s="89"/>
      <c r="H188" s="36" t="s">
        <v>48</v>
      </c>
      <c r="K188" s="90"/>
    </row>
    <row r="189">
      <c r="C189" s="88"/>
      <c r="F189" s="39" t="s">
        <v>48</v>
      </c>
      <c r="G189" s="89"/>
      <c r="H189" s="36" t="s">
        <v>48</v>
      </c>
      <c r="K189" s="90"/>
    </row>
    <row r="190">
      <c r="C190" s="88"/>
      <c r="F190" s="39" t="s">
        <v>48</v>
      </c>
      <c r="G190" s="89"/>
      <c r="H190" s="36" t="s">
        <v>48</v>
      </c>
      <c r="K190" s="90"/>
    </row>
    <row r="191">
      <c r="C191" s="88"/>
      <c r="F191" s="39" t="s">
        <v>48</v>
      </c>
      <c r="G191" s="89"/>
      <c r="H191" s="36" t="s">
        <v>48</v>
      </c>
      <c r="K191" s="90"/>
    </row>
    <row r="192">
      <c r="C192" s="88"/>
      <c r="F192" s="39" t="s">
        <v>48</v>
      </c>
      <c r="G192" s="89"/>
      <c r="H192" s="36" t="s">
        <v>48</v>
      </c>
      <c r="K192" s="90"/>
    </row>
    <row r="193">
      <c r="C193" s="88"/>
      <c r="F193" s="39" t="s">
        <v>48</v>
      </c>
      <c r="G193" s="89"/>
      <c r="H193" s="36" t="s">
        <v>48</v>
      </c>
      <c r="K193" s="90"/>
    </row>
    <row r="194">
      <c r="C194" s="88"/>
      <c r="F194" s="39" t="s">
        <v>48</v>
      </c>
      <c r="G194" s="89"/>
      <c r="H194" s="36" t="s">
        <v>48</v>
      </c>
      <c r="K194" s="90"/>
    </row>
    <row r="195">
      <c r="C195" s="88"/>
      <c r="F195" s="39" t="s">
        <v>48</v>
      </c>
      <c r="G195" s="89"/>
      <c r="H195" s="36" t="s">
        <v>48</v>
      </c>
      <c r="K195" s="90"/>
    </row>
    <row r="196">
      <c r="C196" s="88"/>
      <c r="F196" s="39" t="s">
        <v>48</v>
      </c>
      <c r="G196" s="89"/>
      <c r="H196" s="36" t="s">
        <v>48</v>
      </c>
      <c r="K196" s="90"/>
    </row>
    <row r="197">
      <c r="C197" s="88"/>
      <c r="F197" s="39" t="s">
        <v>48</v>
      </c>
      <c r="G197" s="89"/>
      <c r="H197" s="36" t="s">
        <v>48</v>
      </c>
      <c r="K197" s="90"/>
    </row>
    <row r="198">
      <c r="C198" s="88"/>
      <c r="F198" s="39" t="s">
        <v>48</v>
      </c>
      <c r="G198" s="89"/>
      <c r="H198" s="36" t="s">
        <v>48</v>
      </c>
      <c r="K198" s="90"/>
    </row>
    <row r="199">
      <c r="C199" s="88"/>
      <c r="F199" s="39" t="s">
        <v>48</v>
      </c>
      <c r="G199" s="89"/>
      <c r="H199" s="36" t="s">
        <v>48</v>
      </c>
      <c r="K199" s="90"/>
    </row>
    <row r="200">
      <c r="C200" s="88"/>
      <c r="F200" s="39" t="s">
        <v>48</v>
      </c>
      <c r="G200" s="89"/>
      <c r="H200" s="36" t="s">
        <v>48</v>
      </c>
      <c r="K200" s="90"/>
    </row>
    <row r="201">
      <c r="C201" s="88"/>
      <c r="F201" s="39" t="s">
        <v>48</v>
      </c>
      <c r="G201" s="89"/>
      <c r="H201" s="36" t="s">
        <v>48</v>
      </c>
      <c r="K201" s="90"/>
    </row>
    <row r="202">
      <c r="C202" s="88"/>
      <c r="F202" s="39" t="s">
        <v>48</v>
      </c>
      <c r="G202" s="89"/>
      <c r="H202" s="36" t="s">
        <v>48</v>
      </c>
      <c r="K202" s="90"/>
    </row>
    <row r="203">
      <c r="C203" s="88"/>
      <c r="F203" s="39" t="s">
        <v>48</v>
      </c>
      <c r="G203" s="89"/>
      <c r="H203" s="36" t="s">
        <v>48</v>
      </c>
      <c r="K203" s="90"/>
    </row>
    <row r="204">
      <c r="C204" s="88"/>
      <c r="F204" s="39" t="s">
        <v>48</v>
      </c>
      <c r="G204" s="89"/>
      <c r="H204" s="36" t="s">
        <v>48</v>
      </c>
      <c r="K204" s="90"/>
    </row>
    <row r="205">
      <c r="C205" s="88"/>
      <c r="F205" s="39" t="s">
        <v>48</v>
      </c>
      <c r="G205" s="89"/>
      <c r="H205" s="36" t="s">
        <v>48</v>
      </c>
      <c r="K205" s="90"/>
    </row>
    <row r="206">
      <c r="C206" s="88"/>
      <c r="F206" s="39" t="s">
        <v>48</v>
      </c>
      <c r="G206" s="89"/>
      <c r="H206" s="36" t="s">
        <v>48</v>
      </c>
      <c r="K206" s="90"/>
    </row>
    <row r="207">
      <c r="C207" s="88"/>
      <c r="F207" s="39" t="s">
        <v>48</v>
      </c>
      <c r="G207" s="89"/>
      <c r="H207" s="36" t="s">
        <v>48</v>
      </c>
      <c r="K207" s="90"/>
    </row>
    <row r="208">
      <c r="C208" s="88"/>
      <c r="F208" s="39" t="s">
        <v>48</v>
      </c>
      <c r="G208" s="89"/>
      <c r="H208" s="36" t="s">
        <v>48</v>
      </c>
      <c r="K208" s="90"/>
    </row>
    <row r="209">
      <c r="C209" s="88"/>
      <c r="F209" s="39" t="s">
        <v>48</v>
      </c>
      <c r="G209" s="89"/>
      <c r="H209" s="36" t="s">
        <v>48</v>
      </c>
      <c r="K209" s="90"/>
    </row>
    <row r="210">
      <c r="C210" s="88"/>
      <c r="F210" s="39" t="s">
        <v>48</v>
      </c>
      <c r="G210" s="89"/>
      <c r="H210" s="36" t="s">
        <v>48</v>
      </c>
      <c r="K210" s="90"/>
    </row>
    <row r="211">
      <c r="C211" s="88"/>
      <c r="F211" s="39" t="s">
        <v>48</v>
      </c>
      <c r="G211" s="89"/>
      <c r="H211" s="36" t="s">
        <v>48</v>
      </c>
      <c r="K211" s="90"/>
    </row>
    <row r="212">
      <c r="C212" s="88"/>
      <c r="F212" s="39" t="s">
        <v>48</v>
      </c>
      <c r="G212" s="89"/>
      <c r="H212" s="36" t="s">
        <v>48</v>
      </c>
      <c r="K212" s="90"/>
    </row>
    <row r="213">
      <c r="C213" s="88"/>
      <c r="F213" s="39" t="s">
        <v>48</v>
      </c>
      <c r="G213" s="89"/>
      <c r="H213" s="36" t="s">
        <v>48</v>
      </c>
      <c r="K213" s="90"/>
    </row>
    <row r="214">
      <c r="C214" s="88"/>
      <c r="F214" s="39" t="s">
        <v>48</v>
      </c>
      <c r="G214" s="89"/>
      <c r="H214" s="36" t="s">
        <v>48</v>
      </c>
      <c r="K214" s="90"/>
    </row>
    <row r="215">
      <c r="C215" s="88"/>
      <c r="F215" s="39" t="s">
        <v>48</v>
      </c>
      <c r="G215" s="89"/>
      <c r="H215" s="36" t="s">
        <v>48</v>
      </c>
      <c r="K215" s="90"/>
    </row>
    <row r="216">
      <c r="C216" s="88"/>
      <c r="F216" s="39" t="s">
        <v>48</v>
      </c>
      <c r="G216" s="89"/>
      <c r="H216" s="36" t="s">
        <v>48</v>
      </c>
      <c r="K216" s="90"/>
    </row>
    <row r="217">
      <c r="C217" s="88"/>
      <c r="F217" s="39" t="s">
        <v>48</v>
      </c>
      <c r="G217" s="89"/>
      <c r="H217" s="36" t="s">
        <v>48</v>
      </c>
      <c r="K217" s="90"/>
    </row>
    <row r="218">
      <c r="C218" s="88"/>
      <c r="F218" s="39" t="s">
        <v>48</v>
      </c>
      <c r="G218" s="89"/>
      <c r="H218" s="36" t="s">
        <v>48</v>
      </c>
      <c r="K218" s="90"/>
    </row>
    <row r="219">
      <c r="C219" s="88"/>
      <c r="F219" s="39" t="s">
        <v>48</v>
      </c>
      <c r="G219" s="89"/>
      <c r="H219" s="36" t="s">
        <v>48</v>
      </c>
      <c r="K219" s="90"/>
    </row>
    <row r="220">
      <c r="C220" s="88"/>
      <c r="F220" s="39" t="s">
        <v>48</v>
      </c>
      <c r="G220" s="89"/>
      <c r="H220" s="36" t="s">
        <v>48</v>
      </c>
      <c r="K220" s="90"/>
    </row>
    <row r="221">
      <c r="C221" s="88"/>
      <c r="F221" s="39" t="s">
        <v>48</v>
      </c>
      <c r="G221" s="89"/>
      <c r="H221" s="36" t="s">
        <v>48</v>
      </c>
      <c r="K221" s="90"/>
    </row>
    <row r="222">
      <c r="C222" s="88"/>
      <c r="F222" s="39" t="s">
        <v>48</v>
      </c>
      <c r="G222" s="89"/>
      <c r="H222" s="36" t="s">
        <v>48</v>
      </c>
      <c r="K222" s="90"/>
    </row>
    <row r="223">
      <c r="C223" s="88"/>
      <c r="F223" s="39" t="s">
        <v>48</v>
      </c>
      <c r="G223" s="89"/>
      <c r="H223" s="36" t="s">
        <v>48</v>
      </c>
      <c r="K223" s="90"/>
    </row>
    <row r="224">
      <c r="C224" s="88"/>
      <c r="F224" s="39" t="s">
        <v>48</v>
      </c>
      <c r="G224" s="89"/>
      <c r="H224" s="36" t="s">
        <v>48</v>
      </c>
      <c r="K224" s="90"/>
    </row>
    <row r="225">
      <c r="C225" s="88"/>
      <c r="F225" s="39" t="s">
        <v>48</v>
      </c>
      <c r="G225" s="89"/>
      <c r="H225" s="36" t="s">
        <v>48</v>
      </c>
      <c r="K225" s="90"/>
    </row>
    <row r="226">
      <c r="C226" s="88"/>
      <c r="F226" s="39" t="s">
        <v>48</v>
      </c>
      <c r="G226" s="89"/>
      <c r="H226" s="36" t="s">
        <v>48</v>
      </c>
      <c r="K226" s="90"/>
    </row>
    <row r="227">
      <c r="C227" s="88"/>
      <c r="F227" s="39" t="s">
        <v>48</v>
      </c>
      <c r="G227" s="89"/>
      <c r="H227" s="36" t="s">
        <v>48</v>
      </c>
      <c r="K227" s="90"/>
    </row>
    <row r="228">
      <c r="C228" s="88"/>
      <c r="F228" s="39" t="s">
        <v>48</v>
      </c>
      <c r="G228" s="89"/>
      <c r="H228" s="36" t="s">
        <v>48</v>
      </c>
      <c r="K228" s="90"/>
    </row>
    <row r="229">
      <c r="C229" s="88"/>
      <c r="F229" s="39" t="s">
        <v>48</v>
      </c>
      <c r="G229" s="89"/>
      <c r="H229" s="36" t="s">
        <v>48</v>
      </c>
      <c r="K229" s="90"/>
    </row>
    <row r="230">
      <c r="C230" s="88"/>
      <c r="F230" s="39" t="s">
        <v>48</v>
      </c>
      <c r="G230" s="89"/>
      <c r="H230" s="36" t="s">
        <v>48</v>
      </c>
      <c r="K230" s="90"/>
    </row>
    <row r="231">
      <c r="C231" s="88"/>
      <c r="F231" s="39" t="s">
        <v>48</v>
      </c>
      <c r="G231" s="89"/>
      <c r="H231" s="36" t="s">
        <v>48</v>
      </c>
      <c r="K231" s="90"/>
    </row>
    <row r="232">
      <c r="C232" s="88"/>
      <c r="F232" s="39" t="s">
        <v>48</v>
      </c>
      <c r="G232" s="89"/>
      <c r="H232" s="36" t="s">
        <v>48</v>
      </c>
      <c r="K232" s="90"/>
    </row>
    <row r="233">
      <c r="C233" s="88"/>
      <c r="F233" s="39" t="s">
        <v>48</v>
      </c>
      <c r="G233" s="89"/>
      <c r="H233" s="36" t="s">
        <v>48</v>
      </c>
      <c r="K233" s="90"/>
    </row>
    <row r="234">
      <c r="C234" s="88"/>
      <c r="F234" s="39" t="s">
        <v>48</v>
      </c>
      <c r="G234" s="89"/>
      <c r="H234" s="36" t="s">
        <v>48</v>
      </c>
      <c r="K234" s="90"/>
    </row>
    <row r="235">
      <c r="C235" s="88"/>
      <c r="F235" s="39" t="s">
        <v>48</v>
      </c>
      <c r="G235" s="89"/>
      <c r="H235" s="36" t="s">
        <v>48</v>
      </c>
      <c r="K235" s="90"/>
    </row>
    <row r="236">
      <c r="C236" s="88"/>
      <c r="F236" s="39" t="s">
        <v>48</v>
      </c>
      <c r="G236" s="89"/>
      <c r="H236" s="36" t="s">
        <v>48</v>
      </c>
      <c r="K236" s="90"/>
    </row>
    <row r="237">
      <c r="C237" s="88"/>
      <c r="F237" s="39" t="s">
        <v>48</v>
      </c>
      <c r="G237" s="89"/>
      <c r="H237" s="36" t="s">
        <v>48</v>
      </c>
      <c r="K237" s="90"/>
    </row>
    <row r="238">
      <c r="C238" s="88"/>
      <c r="F238" s="39" t="s">
        <v>48</v>
      </c>
      <c r="G238" s="89"/>
      <c r="H238" s="36" t="s">
        <v>48</v>
      </c>
      <c r="K238" s="90"/>
    </row>
    <row r="239">
      <c r="C239" s="88"/>
      <c r="F239" s="39" t="s">
        <v>48</v>
      </c>
      <c r="G239" s="89"/>
      <c r="H239" s="36" t="s">
        <v>48</v>
      </c>
      <c r="K239" s="90"/>
    </row>
    <row r="240">
      <c r="C240" s="88"/>
      <c r="F240" s="39" t="s">
        <v>48</v>
      </c>
      <c r="G240" s="89"/>
      <c r="H240" s="36" t="s">
        <v>48</v>
      </c>
      <c r="K240" s="90"/>
    </row>
    <row r="241">
      <c r="C241" s="88"/>
      <c r="F241" s="39" t="s">
        <v>48</v>
      </c>
      <c r="G241" s="89"/>
      <c r="H241" s="36" t="s">
        <v>48</v>
      </c>
      <c r="K241" s="90"/>
    </row>
    <row r="242">
      <c r="C242" s="88"/>
      <c r="F242" s="39" t="s">
        <v>48</v>
      </c>
      <c r="G242" s="89"/>
      <c r="H242" s="36" t="s">
        <v>48</v>
      </c>
      <c r="K242" s="90"/>
    </row>
    <row r="243">
      <c r="C243" s="88"/>
      <c r="F243" s="39" t="s">
        <v>48</v>
      </c>
      <c r="G243" s="89"/>
      <c r="H243" s="36" t="s">
        <v>48</v>
      </c>
      <c r="K243" s="90"/>
    </row>
    <row r="244">
      <c r="C244" s="88"/>
      <c r="F244" s="39" t="s">
        <v>48</v>
      </c>
      <c r="G244" s="89"/>
      <c r="H244" s="36" t="s">
        <v>48</v>
      </c>
      <c r="K244" s="90"/>
    </row>
    <row r="245">
      <c r="C245" s="88"/>
      <c r="F245" s="39" t="s">
        <v>48</v>
      </c>
      <c r="G245" s="89"/>
      <c r="H245" s="36" t="s">
        <v>48</v>
      </c>
      <c r="K245" s="90"/>
    </row>
    <row r="246">
      <c r="C246" s="88"/>
      <c r="F246" s="39" t="s">
        <v>48</v>
      </c>
      <c r="G246" s="89"/>
      <c r="H246" s="36" t="s">
        <v>48</v>
      </c>
      <c r="K246" s="90"/>
    </row>
    <row r="247">
      <c r="C247" s="88"/>
      <c r="F247" s="39" t="s">
        <v>48</v>
      </c>
      <c r="G247" s="89"/>
      <c r="H247" s="36" t="s">
        <v>48</v>
      </c>
      <c r="K247" s="90"/>
    </row>
    <row r="248">
      <c r="C248" s="88"/>
      <c r="F248" s="39" t="s">
        <v>48</v>
      </c>
      <c r="G248" s="89"/>
      <c r="H248" s="36" t="s">
        <v>48</v>
      </c>
      <c r="K248" s="90"/>
    </row>
    <row r="249">
      <c r="C249" s="88"/>
      <c r="F249" s="39" t="s">
        <v>48</v>
      </c>
      <c r="G249" s="89"/>
      <c r="H249" s="36" t="s">
        <v>48</v>
      </c>
      <c r="K249" s="90"/>
    </row>
    <row r="250">
      <c r="C250" s="88"/>
      <c r="F250" s="39" t="s">
        <v>48</v>
      </c>
      <c r="G250" s="89"/>
      <c r="H250" s="36" t="s">
        <v>48</v>
      </c>
      <c r="K250" s="90"/>
    </row>
    <row r="251">
      <c r="C251" s="88"/>
      <c r="F251" s="39" t="s">
        <v>48</v>
      </c>
      <c r="G251" s="89"/>
      <c r="H251" s="36" t="s">
        <v>48</v>
      </c>
      <c r="K251" s="90"/>
    </row>
    <row r="252">
      <c r="C252" s="88"/>
      <c r="F252" s="39" t="s">
        <v>48</v>
      </c>
      <c r="G252" s="89"/>
      <c r="H252" s="36" t="s">
        <v>48</v>
      </c>
      <c r="K252" s="90"/>
    </row>
    <row r="253">
      <c r="C253" s="88"/>
      <c r="F253" s="39" t="s">
        <v>48</v>
      </c>
      <c r="G253" s="89"/>
      <c r="H253" s="36" t="s">
        <v>48</v>
      </c>
      <c r="K253" s="90"/>
    </row>
    <row r="254">
      <c r="C254" s="88"/>
      <c r="F254" s="39" t="s">
        <v>48</v>
      </c>
      <c r="G254" s="89"/>
      <c r="H254" s="36" t="s">
        <v>48</v>
      </c>
      <c r="K254" s="90"/>
    </row>
    <row r="255">
      <c r="C255" s="88"/>
      <c r="F255" s="39" t="s">
        <v>48</v>
      </c>
      <c r="G255" s="89"/>
      <c r="H255" s="36" t="s">
        <v>48</v>
      </c>
      <c r="K255" s="90"/>
    </row>
    <row r="256">
      <c r="C256" s="88"/>
      <c r="F256" s="39" t="s">
        <v>48</v>
      </c>
      <c r="G256" s="89"/>
      <c r="H256" s="36" t="s">
        <v>48</v>
      </c>
      <c r="K256" s="90"/>
    </row>
    <row r="257">
      <c r="C257" s="88"/>
      <c r="F257" s="39" t="s">
        <v>48</v>
      </c>
      <c r="G257" s="89"/>
      <c r="H257" s="36" t="s">
        <v>48</v>
      </c>
      <c r="K257" s="90"/>
    </row>
    <row r="258">
      <c r="C258" s="88"/>
      <c r="F258" s="39" t="s">
        <v>48</v>
      </c>
      <c r="G258" s="89"/>
      <c r="H258" s="36" t="s">
        <v>48</v>
      </c>
      <c r="K258" s="90"/>
    </row>
    <row r="259">
      <c r="C259" s="88"/>
      <c r="F259" s="39" t="s">
        <v>48</v>
      </c>
      <c r="G259" s="89"/>
      <c r="H259" s="36" t="s">
        <v>48</v>
      </c>
      <c r="K259" s="90"/>
    </row>
    <row r="260">
      <c r="C260" s="88"/>
      <c r="F260" s="39" t="s">
        <v>48</v>
      </c>
      <c r="G260" s="89"/>
      <c r="H260" s="36" t="s">
        <v>48</v>
      </c>
      <c r="K260" s="90"/>
    </row>
    <row r="261">
      <c r="C261" s="88"/>
      <c r="F261" s="39" t="s">
        <v>48</v>
      </c>
      <c r="G261" s="89"/>
      <c r="H261" s="36" t="s">
        <v>48</v>
      </c>
      <c r="K261" s="90"/>
    </row>
    <row r="262">
      <c r="C262" s="88"/>
      <c r="F262" s="39" t="s">
        <v>48</v>
      </c>
      <c r="G262" s="89"/>
      <c r="H262" s="36" t="s">
        <v>48</v>
      </c>
      <c r="K262" s="90"/>
    </row>
    <row r="263">
      <c r="C263" s="88"/>
      <c r="F263" s="39" t="s">
        <v>48</v>
      </c>
      <c r="G263" s="89"/>
      <c r="H263" s="36" t="s">
        <v>48</v>
      </c>
      <c r="K263" s="90"/>
    </row>
    <row r="264">
      <c r="C264" s="88"/>
      <c r="F264" s="39" t="s">
        <v>48</v>
      </c>
      <c r="G264" s="89"/>
      <c r="H264" s="36" t="s">
        <v>48</v>
      </c>
      <c r="K264" s="90"/>
    </row>
    <row r="265">
      <c r="C265" s="88"/>
      <c r="F265" s="39" t="s">
        <v>48</v>
      </c>
      <c r="G265" s="89"/>
      <c r="H265" s="36" t="s">
        <v>48</v>
      </c>
      <c r="K265" s="90"/>
    </row>
    <row r="266">
      <c r="C266" s="88"/>
      <c r="F266" s="39" t="s">
        <v>48</v>
      </c>
      <c r="G266" s="89"/>
      <c r="H266" s="36" t="s">
        <v>48</v>
      </c>
      <c r="K266" s="90"/>
    </row>
    <row r="267">
      <c r="C267" s="88"/>
      <c r="F267" s="39" t="s">
        <v>48</v>
      </c>
      <c r="G267" s="89"/>
      <c r="H267" s="36" t="s">
        <v>48</v>
      </c>
      <c r="K267" s="90"/>
    </row>
    <row r="268">
      <c r="C268" s="88"/>
      <c r="F268" s="39" t="s">
        <v>48</v>
      </c>
      <c r="G268" s="89"/>
      <c r="H268" s="36" t="s">
        <v>48</v>
      </c>
      <c r="K268" s="90"/>
    </row>
    <row r="269">
      <c r="C269" s="88"/>
      <c r="F269" s="39" t="s">
        <v>48</v>
      </c>
      <c r="G269" s="89"/>
      <c r="H269" s="36" t="s">
        <v>48</v>
      </c>
      <c r="K269" s="90"/>
    </row>
    <row r="270">
      <c r="C270" s="88"/>
      <c r="F270" s="39" t="s">
        <v>48</v>
      </c>
      <c r="G270" s="89"/>
      <c r="H270" s="36" t="s">
        <v>48</v>
      </c>
      <c r="K270" s="90"/>
    </row>
    <row r="271">
      <c r="C271" s="88"/>
      <c r="F271" s="39" t="s">
        <v>48</v>
      </c>
      <c r="G271" s="89"/>
      <c r="H271" s="36" t="s">
        <v>48</v>
      </c>
      <c r="K271" s="90"/>
    </row>
    <row r="272">
      <c r="C272" s="88"/>
      <c r="F272" s="39" t="s">
        <v>48</v>
      </c>
      <c r="G272" s="89"/>
      <c r="H272" s="36" t="s">
        <v>48</v>
      </c>
      <c r="K272" s="90"/>
    </row>
    <row r="273">
      <c r="C273" s="88"/>
      <c r="F273" s="39" t="s">
        <v>48</v>
      </c>
      <c r="G273" s="89"/>
      <c r="H273" s="36" t="s">
        <v>48</v>
      </c>
      <c r="K273" s="90"/>
    </row>
    <row r="274">
      <c r="C274" s="88"/>
      <c r="F274" s="39" t="s">
        <v>48</v>
      </c>
      <c r="G274" s="89"/>
      <c r="H274" s="36" t="s">
        <v>48</v>
      </c>
      <c r="K274" s="90"/>
    </row>
    <row r="275">
      <c r="C275" s="88"/>
      <c r="F275" s="39" t="s">
        <v>48</v>
      </c>
      <c r="G275" s="89"/>
      <c r="H275" s="36" t="s">
        <v>48</v>
      </c>
      <c r="K275" s="90"/>
    </row>
    <row r="276">
      <c r="C276" s="88"/>
      <c r="F276" s="39" t="s">
        <v>48</v>
      </c>
      <c r="G276" s="89"/>
      <c r="H276" s="36" t="s">
        <v>48</v>
      </c>
      <c r="K276" s="90"/>
    </row>
    <row r="277">
      <c r="C277" s="88"/>
      <c r="F277" s="39" t="s">
        <v>48</v>
      </c>
      <c r="G277" s="89"/>
      <c r="H277" s="36" t="s">
        <v>48</v>
      </c>
      <c r="K277" s="90"/>
    </row>
    <row r="278">
      <c r="C278" s="88"/>
      <c r="F278" s="39" t="s">
        <v>48</v>
      </c>
      <c r="G278" s="89"/>
      <c r="H278" s="36" t="s">
        <v>48</v>
      </c>
      <c r="K278" s="90"/>
    </row>
    <row r="279">
      <c r="C279" s="88"/>
      <c r="F279" s="39" t="s">
        <v>48</v>
      </c>
      <c r="G279" s="89"/>
      <c r="H279" s="36" t="s">
        <v>48</v>
      </c>
      <c r="K279" s="90"/>
    </row>
    <row r="280">
      <c r="C280" s="88"/>
      <c r="F280" s="39" t="s">
        <v>48</v>
      </c>
      <c r="G280" s="89"/>
      <c r="H280" s="36" t="s">
        <v>48</v>
      </c>
      <c r="K280" s="90"/>
    </row>
    <row r="281">
      <c r="C281" s="88"/>
      <c r="F281" s="39" t="s">
        <v>48</v>
      </c>
      <c r="G281" s="89"/>
      <c r="H281" s="36" t="s">
        <v>48</v>
      </c>
      <c r="K281" s="90"/>
    </row>
    <row r="282">
      <c r="C282" s="88"/>
      <c r="F282" s="39" t="s">
        <v>48</v>
      </c>
      <c r="G282" s="89"/>
      <c r="H282" s="36" t="s">
        <v>48</v>
      </c>
      <c r="K282" s="90"/>
    </row>
    <row r="283">
      <c r="C283" s="88"/>
      <c r="F283" s="39" t="s">
        <v>48</v>
      </c>
      <c r="G283" s="89"/>
      <c r="H283" s="36" t="s">
        <v>48</v>
      </c>
      <c r="K283" s="90"/>
    </row>
    <row r="284">
      <c r="C284" s="88"/>
      <c r="F284" s="39" t="s">
        <v>48</v>
      </c>
      <c r="G284" s="89"/>
      <c r="H284" s="36" t="s">
        <v>48</v>
      </c>
      <c r="K284" s="90"/>
    </row>
    <row r="285">
      <c r="C285" s="88"/>
      <c r="F285" s="39" t="s">
        <v>48</v>
      </c>
      <c r="G285" s="89"/>
      <c r="H285" s="36" t="s">
        <v>48</v>
      </c>
      <c r="K285" s="90"/>
    </row>
    <row r="286">
      <c r="C286" s="88"/>
      <c r="F286" s="39" t="s">
        <v>48</v>
      </c>
      <c r="G286" s="89"/>
      <c r="H286" s="36" t="s">
        <v>48</v>
      </c>
      <c r="K286" s="90"/>
    </row>
    <row r="287">
      <c r="C287" s="88"/>
      <c r="F287" s="39" t="s">
        <v>48</v>
      </c>
      <c r="G287" s="89"/>
      <c r="H287" s="36" t="s">
        <v>48</v>
      </c>
      <c r="K287" s="90"/>
    </row>
    <row r="288">
      <c r="C288" s="88"/>
      <c r="F288" s="39" t="s">
        <v>48</v>
      </c>
      <c r="G288" s="89"/>
      <c r="H288" s="36" t="s">
        <v>48</v>
      </c>
      <c r="K288" s="90"/>
    </row>
    <row r="289">
      <c r="C289" s="88"/>
      <c r="F289" s="39" t="s">
        <v>48</v>
      </c>
      <c r="G289" s="89"/>
      <c r="H289" s="36" t="s">
        <v>48</v>
      </c>
      <c r="K289" s="90"/>
    </row>
    <row r="290">
      <c r="C290" s="88"/>
      <c r="F290" s="39" t="s">
        <v>48</v>
      </c>
      <c r="G290" s="89"/>
      <c r="H290" s="36" t="s">
        <v>48</v>
      </c>
      <c r="K290" s="90"/>
    </row>
    <row r="291">
      <c r="C291" s="88"/>
      <c r="F291" s="39" t="s">
        <v>48</v>
      </c>
      <c r="G291" s="89"/>
      <c r="H291" s="36" t="s">
        <v>48</v>
      </c>
      <c r="K291" s="90"/>
    </row>
    <row r="292">
      <c r="C292" s="88"/>
      <c r="F292" s="39" t="s">
        <v>48</v>
      </c>
      <c r="G292" s="89"/>
      <c r="H292" s="36" t="s">
        <v>48</v>
      </c>
      <c r="K292" s="90"/>
    </row>
    <row r="293">
      <c r="C293" s="88"/>
      <c r="F293" s="39" t="s">
        <v>48</v>
      </c>
      <c r="G293" s="89"/>
      <c r="H293" s="36" t="s">
        <v>48</v>
      </c>
      <c r="K293" s="90"/>
    </row>
    <row r="294">
      <c r="C294" s="88"/>
      <c r="F294" s="39" t="s">
        <v>48</v>
      </c>
      <c r="G294" s="89"/>
      <c r="H294" s="36" t="s">
        <v>48</v>
      </c>
      <c r="K294" s="90"/>
    </row>
    <row r="295">
      <c r="C295" s="88"/>
      <c r="F295" s="39" t="s">
        <v>48</v>
      </c>
      <c r="G295" s="89"/>
      <c r="H295" s="36" t="s">
        <v>48</v>
      </c>
      <c r="K295" s="90"/>
    </row>
    <row r="296">
      <c r="C296" s="88"/>
      <c r="F296" s="39" t="s">
        <v>48</v>
      </c>
      <c r="G296" s="89"/>
      <c r="H296" s="36" t="s">
        <v>48</v>
      </c>
      <c r="K296" s="90"/>
    </row>
    <row r="297">
      <c r="C297" s="88"/>
      <c r="F297" s="39" t="s">
        <v>48</v>
      </c>
      <c r="G297" s="89"/>
      <c r="H297" s="36" t="s">
        <v>48</v>
      </c>
      <c r="K297" s="90"/>
    </row>
    <row r="298">
      <c r="C298" s="88"/>
      <c r="F298" s="39" t="s">
        <v>48</v>
      </c>
      <c r="G298" s="89"/>
      <c r="H298" s="36" t="s">
        <v>48</v>
      </c>
      <c r="K298" s="90"/>
    </row>
    <row r="299">
      <c r="C299" s="88"/>
      <c r="F299" s="39" t="s">
        <v>48</v>
      </c>
      <c r="G299" s="89"/>
      <c r="H299" s="36" t="s">
        <v>48</v>
      </c>
      <c r="K299" s="90"/>
    </row>
    <row r="300">
      <c r="C300" s="88"/>
      <c r="F300" s="39" t="s">
        <v>48</v>
      </c>
      <c r="G300" s="89"/>
      <c r="H300" s="36" t="s">
        <v>48</v>
      </c>
      <c r="K300" s="90"/>
    </row>
    <row r="301">
      <c r="C301" s="88"/>
      <c r="F301" s="39" t="s">
        <v>48</v>
      </c>
      <c r="G301" s="89"/>
      <c r="H301" s="36" t="s">
        <v>48</v>
      </c>
      <c r="K301" s="90"/>
    </row>
    <row r="302">
      <c r="C302" s="88"/>
      <c r="F302" s="39" t="s">
        <v>48</v>
      </c>
      <c r="G302" s="89"/>
      <c r="H302" s="36" t="s">
        <v>48</v>
      </c>
      <c r="K302" s="90"/>
    </row>
    <row r="303">
      <c r="C303" s="88"/>
      <c r="F303" s="39" t="s">
        <v>48</v>
      </c>
      <c r="G303" s="89"/>
      <c r="H303" s="36" t="s">
        <v>48</v>
      </c>
      <c r="K303" s="90"/>
    </row>
    <row r="304">
      <c r="C304" s="88"/>
      <c r="F304" s="39" t="s">
        <v>48</v>
      </c>
      <c r="G304" s="89"/>
      <c r="H304" s="36" t="s">
        <v>48</v>
      </c>
      <c r="K304" s="90"/>
    </row>
    <row r="305">
      <c r="C305" s="88"/>
      <c r="F305" s="39" t="s">
        <v>48</v>
      </c>
      <c r="G305" s="89"/>
      <c r="H305" s="36" t="s">
        <v>48</v>
      </c>
      <c r="K305" s="90"/>
    </row>
    <row r="306">
      <c r="C306" s="88"/>
      <c r="F306" s="39" t="s">
        <v>48</v>
      </c>
      <c r="G306" s="89"/>
      <c r="H306" s="36" t="s">
        <v>48</v>
      </c>
      <c r="K306" s="90"/>
    </row>
    <row r="307">
      <c r="C307" s="88"/>
      <c r="F307" s="39" t="s">
        <v>48</v>
      </c>
      <c r="G307" s="89"/>
      <c r="H307" s="36" t="s">
        <v>48</v>
      </c>
      <c r="K307" s="90"/>
    </row>
    <row r="308">
      <c r="C308" s="88"/>
      <c r="F308" s="39" t="s">
        <v>48</v>
      </c>
      <c r="G308" s="89"/>
      <c r="H308" s="36" t="s">
        <v>48</v>
      </c>
      <c r="K308" s="90"/>
    </row>
    <row r="309">
      <c r="C309" s="88"/>
      <c r="F309" s="39" t="s">
        <v>48</v>
      </c>
      <c r="G309" s="89"/>
      <c r="H309" s="36" t="s">
        <v>48</v>
      </c>
      <c r="K309" s="90"/>
    </row>
    <row r="310">
      <c r="C310" s="88"/>
      <c r="F310" s="39" t="s">
        <v>48</v>
      </c>
      <c r="G310" s="89"/>
      <c r="H310" s="36" t="s">
        <v>48</v>
      </c>
      <c r="K310" s="90"/>
    </row>
    <row r="311">
      <c r="C311" s="88"/>
      <c r="F311" s="39" t="s">
        <v>48</v>
      </c>
      <c r="G311" s="89"/>
      <c r="H311" s="36" t="s">
        <v>48</v>
      </c>
      <c r="K311" s="90"/>
    </row>
    <row r="312">
      <c r="C312" s="88"/>
      <c r="F312" s="39" t="s">
        <v>48</v>
      </c>
      <c r="G312" s="89"/>
      <c r="H312" s="36" t="s">
        <v>48</v>
      </c>
      <c r="K312" s="90"/>
    </row>
    <row r="313">
      <c r="C313" s="88"/>
      <c r="F313" s="39" t="s">
        <v>48</v>
      </c>
      <c r="G313" s="89"/>
      <c r="H313" s="36" t="s">
        <v>48</v>
      </c>
      <c r="K313" s="90"/>
    </row>
    <row r="314">
      <c r="C314" s="88"/>
      <c r="F314" s="39" t="s">
        <v>48</v>
      </c>
      <c r="G314" s="89"/>
      <c r="H314" s="36" t="s">
        <v>48</v>
      </c>
      <c r="K314" s="90"/>
    </row>
    <row r="315">
      <c r="C315" s="88"/>
      <c r="F315" s="39" t="s">
        <v>48</v>
      </c>
      <c r="G315" s="89"/>
      <c r="H315" s="36" t="s">
        <v>48</v>
      </c>
      <c r="K315" s="90"/>
    </row>
    <row r="316">
      <c r="C316" s="88"/>
      <c r="F316" s="39" t="s">
        <v>48</v>
      </c>
      <c r="G316" s="89"/>
      <c r="H316" s="36" t="s">
        <v>48</v>
      </c>
      <c r="K316" s="90"/>
    </row>
    <row r="317">
      <c r="C317" s="88"/>
      <c r="F317" s="39" t="s">
        <v>48</v>
      </c>
      <c r="G317" s="89"/>
      <c r="H317" s="36" t="s">
        <v>48</v>
      </c>
      <c r="K317" s="90"/>
    </row>
    <row r="318">
      <c r="C318" s="88"/>
      <c r="F318" s="39" t="s">
        <v>48</v>
      </c>
      <c r="G318" s="89"/>
      <c r="H318" s="36" t="s">
        <v>48</v>
      </c>
      <c r="K318" s="90"/>
    </row>
    <row r="319">
      <c r="C319" s="88"/>
      <c r="F319" s="39" t="s">
        <v>48</v>
      </c>
      <c r="G319" s="89"/>
      <c r="H319" s="36" t="s">
        <v>48</v>
      </c>
      <c r="K319" s="90"/>
    </row>
    <row r="320">
      <c r="C320" s="88"/>
      <c r="F320" s="39" t="s">
        <v>48</v>
      </c>
      <c r="G320" s="89"/>
      <c r="H320" s="36" t="s">
        <v>48</v>
      </c>
      <c r="K320" s="90"/>
    </row>
    <row r="321">
      <c r="C321" s="88"/>
      <c r="F321" s="39" t="s">
        <v>48</v>
      </c>
      <c r="G321" s="89"/>
      <c r="H321" s="36" t="s">
        <v>48</v>
      </c>
      <c r="K321" s="90"/>
    </row>
    <row r="322">
      <c r="C322" s="88"/>
      <c r="F322" s="39" t="s">
        <v>48</v>
      </c>
      <c r="G322" s="89"/>
      <c r="H322" s="36" t="s">
        <v>48</v>
      </c>
      <c r="K322" s="90"/>
    </row>
    <row r="323">
      <c r="C323" s="88"/>
      <c r="F323" s="39" t="s">
        <v>48</v>
      </c>
      <c r="G323" s="89"/>
      <c r="H323" s="36" t="s">
        <v>48</v>
      </c>
      <c r="K323" s="90"/>
    </row>
    <row r="324">
      <c r="C324" s="88"/>
      <c r="F324" s="39" t="s">
        <v>48</v>
      </c>
      <c r="G324" s="89"/>
      <c r="H324" s="36" t="s">
        <v>48</v>
      </c>
      <c r="K324" s="90"/>
    </row>
    <row r="325">
      <c r="C325" s="88"/>
      <c r="F325" s="39" t="s">
        <v>48</v>
      </c>
      <c r="G325" s="89"/>
      <c r="H325" s="36" t="s">
        <v>48</v>
      </c>
      <c r="K325" s="90"/>
    </row>
    <row r="326">
      <c r="C326" s="88"/>
      <c r="F326" s="39" t="s">
        <v>48</v>
      </c>
      <c r="G326" s="89"/>
      <c r="H326" s="36" t="s">
        <v>48</v>
      </c>
      <c r="K326" s="90"/>
    </row>
    <row r="327">
      <c r="C327" s="88"/>
      <c r="F327" s="39" t="s">
        <v>48</v>
      </c>
      <c r="G327" s="89"/>
      <c r="H327" s="36" t="s">
        <v>48</v>
      </c>
      <c r="K327" s="90"/>
    </row>
    <row r="328">
      <c r="C328" s="88"/>
      <c r="F328" s="39" t="s">
        <v>48</v>
      </c>
      <c r="G328" s="89"/>
      <c r="H328" s="36" t="s">
        <v>48</v>
      </c>
      <c r="K328" s="90"/>
    </row>
    <row r="329">
      <c r="C329" s="88"/>
      <c r="F329" s="39" t="s">
        <v>48</v>
      </c>
      <c r="G329" s="89"/>
      <c r="H329" s="36" t="s">
        <v>48</v>
      </c>
      <c r="K329" s="90"/>
    </row>
    <row r="330">
      <c r="C330" s="88"/>
      <c r="F330" s="39" t="s">
        <v>48</v>
      </c>
      <c r="G330" s="89"/>
      <c r="H330" s="36" t="s">
        <v>48</v>
      </c>
      <c r="K330" s="90"/>
    </row>
    <row r="331">
      <c r="C331" s="88"/>
      <c r="F331" s="39" t="s">
        <v>48</v>
      </c>
      <c r="G331" s="89"/>
      <c r="H331" s="36" t="s">
        <v>48</v>
      </c>
      <c r="K331" s="90"/>
    </row>
    <row r="332">
      <c r="C332" s="88"/>
      <c r="F332" s="39" t="s">
        <v>48</v>
      </c>
      <c r="G332" s="89"/>
      <c r="H332" s="36" t="s">
        <v>48</v>
      </c>
      <c r="K332" s="90"/>
    </row>
    <row r="333">
      <c r="C333" s="88"/>
      <c r="F333" s="39" t="s">
        <v>48</v>
      </c>
      <c r="G333" s="89"/>
      <c r="H333" s="36" t="s">
        <v>48</v>
      </c>
      <c r="K333" s="90"/>
    </row>
    <row r="334">
      <c r="C334" s="88"/>
      <c r="F334" s="39" t="s">
        <v>48</v>
      </c>
      <c r="G334" s="89"/>
      <c r="H334" s="36" t="s">
        <v>48</v>
      </c>
      <c r="K334" s="90"/>
    </row>
    <row r="335">
      <c r="C335" s="88"/>
      <c r="F335" s="39" t="s">
        <v>48</v>
      </c>
      <c r="G335" s="89"/>
      <c r="H335" s="36" t="s">
        <v>48</v>
      </c>
      <c r="K335" s="90"/>
    </row>
    <row r="336">
      <c r="C336" s="88"/>
      <c r="F336" s="39" t="s">
        <v>48</v>
      </c>
      <c r="G336" s="89"/>
      <c r="H336" s="36" t="s">
        <v>48</v>
      </c>
      <c r="K336" s="90"/>
    </row>
    <row r="337">
      <c r="C337" s="88"/>
      <c r="F337" s="39" t="s">
        <v>48</v>
      </c>
      <c r="G337" s="89"/>
      <c r="H337" s="36" t="s">
        <v>48</v>
      </c>
      <c r="K337" s="90"/>
    </row>
    <row r="338">
      <c r="C338" s="88"/>
      <c r="F338" s="39" t="s">
        <v>48</v>
      </c>
      <c r="G338" s="89"/>
      <c r="H338" s="36" t="s">
        <v>48</v>
      </c>
      <c r="K338" s="90"/>
    </row>
    <row r="339">
      <c r="C339" s="88"/>
      <c r="F339" s="39" t="s">
        <v>48</v>
      </c>
      <c r="G339" s="89"/>
      <c r="H339" s="36" t="s">
        <v>48</v>
      </c>
      <c r="K339" s="90"/>
    </row>
    <row r="340">
      <c r="C340" s="88"/>
      <c r="F340" s="39" t="s">
        <v>48</v>
      </c>
      <c r="G340" s="89"/>
      <c r="H340" s="36" t="s">
        <v>48</v>
      </c>
      <c r="K340" s="90"/>
    </row>
    <row r="341">
      <c r="C341" s="88"/>
      <c r="F341" s="39" t="s">
        <v>48</v>
      </c>
      <c r="G341" s="89"/>
      <c r="H341" s="36" t="s">
        <v>48</v>
      </c>
      <c r="K341" s="90"/>
    </row>
    <row r="342">
      <c r="C342" s="88"/>
      <c r="F342" s="39" t="s">
        <v>48</v>
      </c>
      <c r="G342" s="89"/>
      <c r="H342" s="36" t="s">
        <v>48</v>
      </c>
      <c r="K342" s="90"/>
    </row>
    <row r="343">
      <c r="C343" s="88"/>
      <c r="F343" s="39" t="s">
        <v>48</v>
      </c>
      <c r="G343" s="89"/>
      <c r="H343" s="36" t="s">
        <v>48</v>
      </c>
      <c r="K343" s="90"/>
    </row>
    <row r="344">
      <c r="C344" s="88"/>
      <c r="F344" s="39" t="s">
        <v>48</v>
      </c>
      <c r="G344" s="89"/>
      <c r="H344" s="36" t="s">
        <v>48</v>
      </c>
      <c r="K344" s="90"/>
    </row>
    <row r="345">
      <c r="C345" s="88"/>
      <c r="F345" s="39" t="s">
        <v>48</v>
      </c>
      <c r="G345" s="89"/>
      <c r="H345" s="36" t="s">
        <v>48</v>
      </c>
      <c r="K345" s="90"/>
    </row>
    <row r="346">
      <c r="C346" s="88"/>
      <c r="F346" s="39" t="s">
        <v>48</v>
      </c>
      <c r="G346" s="89"/>
      <c r="H346" s="36" t="s">
        <v>48</v>
      </c>
      <c r="K346" s="90"/>
    </row>
    <row r="347">
      <c r="C347" s="88"/>
      <c r="F347" s="39" t="s">
        <v>48</v>
      </c>
      <c r="G347" s="89"/>
      <c r="H347" s="36" t="s">
        <v>48</v>
      </c>
      <c r="K347" s="90"/>
    </row>
    <row r="348">
      <c r="C348" s="88"/>
      <c r="F348" s="39" t="s">
        <v>48</v>
      </c>
      <c r="G348" s="89"/>
      <c r="H348" s="36" t="s">
        <v>48</v>
      </c>
      <c r="K348" s="90"/>
    </row>
    <row r="349">
      <c r="C349" s="88"/>
      <c r="F349" s="39" t="s">
        <v>48</v>
      </c>
      <c r="G349" s="89"/>
      <c r="H349" s="36" t="s">
        <v>48</v>
      </c>
      <c r="K349" s="90"/>
    </row>
    <row r="350">
      <c r="C350" s="88"/>
      <c r="F350" s="39" t="s">
        <v>48</v>
      </c>
      <c r="G350" s="89"/>
      <c r="H350" s="36" t="s">
        <v>48</v>
      </c>
      <c r="K350" s="90"/>
    </row>
    <row r="351">
      <c r="C351" s="88"/>
      <c r="F351" s="39" t="s">
        <v>48</v>
      </c>
      <c r="G351" s="89"/>
      <c r="H351" s="36" t="s">
        <v>48</v>
      </c>
      <c r="K351" s="90"/>
    </row>
    <row r="352">
      <c r="C352" s="88"/>
      <c r="F352" s="39" t="s">
        <v>48</v>
      </c>
      <c r="G352" s="89"/>
      <c r="H352" s="36" t="s">
        <v>48</v>
      </c>
      <c r="K352" s="90"/>
    </row>
    <row r="353">
      <c r="C353" s="88"/>
      <c r="F353" s="39" t="s">
        <v>48</v>
      </c>
      <c r="G353" s="89"/>
      <c r="H353" s="36" t="s">
        <v>48</v>
      </c>
      <c r="K353" s="90"/>
    </row>
    <row r="354">
      <c r="C354" s="88"/>
      <c r="F354" s="39" t="s">
        <v>48</v>
      </c>
      <c r="G354" s="89"/>
      <c r="H354" s="36" t="s">
        <v>48</v>
      </c>
      <c r="K354" s="90"/>
    </row>
    <row r="355">
      <c r="C355" s="88"/>
      <c r="F355" s="39" t="s">
        <v>48</v>
      </c>
      <c r="G355" s="89"/>
      <c r="H355" s="36" t="s">
        <v>48</v>
      </c>
      <c r="K355" s="90"/>
    </row>
    <row r="356">
      <c r="C356" s="88"/>
      <c r="F356" s="39" t="s">
        <v>48</v>
      </c>
      <c r="G356" s="89"/>
      <c r="H356" s="36" t="s">
        <v>48</v>
      </c>
      <c r="K356" s="90"/>
    </row>
    <row r="357">
      <c r="C357" s="88"/>
      <c r="F357" s="39" t="s">
        <v>48</v>
      </c>
      <c r="G357" s="89"/>
      <c r="H357" s="36" t="s">
        <v>48</v>
      </c>
      <c r="K357" s="90"/>
    </row>
    <row r="358">
      <c r="C358" s="88"/>
      <c r="F358" s="39" t="s">
        <v>48</v>
      </c>
      <c r="G358" s="89"/>
      <c r="H358" s="36" t="s">
        <v>48</v>
      </c>
      <c r="K358" s="90"/>
    </row>
    <row r="359">
      <c r="C359" s="88"/>
      <c r="F359" s="39" t="s">
        <v>48</v>
      </c>
      <c r="G359" s="89"/>
      <c r="H359" s="36" t="s">
        <v>48</v>
      </c>
      <c r="K359" s="90"/>
    </row>
    <row r="360">
      <c r="C360" s="88"/>
      <c r="F360" s="39" t="s">
        <v>48</v>
      </c>
      <c r="G360" s="89"/>
      <c r="H360" s="36" t="s">
        <v>48</v>
      </c>
      <c r="K360" s="90"/>
    </row>
    <row r="361">
      <c r="C361" s="88"/>
      <c r="F361" s="39" t="s">
        <v>48</v>
      </c>
      <c r="G361" s="89"/>
      <c r="H361" s="36" t="s">
        <v>48</v>
      </c>
      <c r="K361" s="90"/>
    </row>
    <row r="362">
      <c r="C362" s="88"/>
      <c r="F362" s="39" t="s">
        <v>48</v>
      </c>
      <c r="G362" s="89"/>
      <c r="H362" s="36" t="s">
        <v>48</v>
      </c>
      <c r="K362" s="90"/>
    </row>
    <row r="363">
      <c r="C363" s="88"/>
      <c r="F363" s="39" t="s">
        <v>48</v>
      </c>
      <c r="G363" s="89"/>
      <c r="H363" s="36" t="s">
        <v>48</v>
      </c>
      <c r="K363" s="90"/>
    </row>
    <row r="364">
      <c r="C364" s="88"/>
      <c r="F364" s="39" t="s">
        <v>48</v>
      </c>
      <c r="G364" s="89"/>
      <c r="H364" s="36" t="s">
        <v>48</v>
      </c>
      <c r="K364" s="90"/>
    </row>
    <row r="365">
      <c r="C365" s="88"/>
      <c r="F365" s="39" t="s">
        <v>48</v>
      </c>
      <c r="G365" s="89"/>
      <c r="H365" s="36" t="s">
        <v>48</v>
      </c>
      <c r="K365" s="90"/>
    </row>
    <row r="366">
      <c r="C366" s="88"/>
      <c r="F366" s="39" t="s">
        <v>48</v>
      </c>
      <c r="G366" s="89"/>
      <c r="H366" s="36" t="s">
        <v>48</v>
      </c>
      <c r="K366" s="90"/>
    </row>
    <row r="367">
      <c r="C367" s="88"/>
      <c r="F367" s="39" t="s">
        <v>48</v>
      </c>
      <c r="G367" s="89"/>
      <c r="H367" s="36" t="s">
        <v>48</v>
      </c>
      <c r="K367" s="90"/>
    </row>
    <row r="368">
      <c r="C368" s="88"/>
      <c r="F368" s="39" t="s">
        <v>48</v>
      </c>
      <c r="G368" s="89"/>
      <c r="H368" s="36" t="s">
        <v>48</v>
      </c>
      <c r="K368" s="90"/>
    </row>
    <row r="369">
      <c r="C369" s="88"/>
      <c r="F369" s="39" t="s">
        <v>48</v>
      </c>
      <c r="G369" s="89"/>
      <c r="H369" s="36" t="s">
        <v>48</v>
      </c>
      <c r="K369" s="90"/>
    </row>
    <row r="370">
      <c r="C370" s="88"/>
      <c r="F370" s="39" t="s">
        <v>48</v>
      </c>
      <c r="G370" s="89"/>
      <c r="H370" s="36" t="s">
        <v>48</v>
      </c>
      <c r="K370" s="90"/>
    </row>
    <row r="371">
      <c r="C371" s="88"/>
      <c r="F371" s="39" t="s">
        <v>48</v>
      </c>
      <c r="G371" s="89"/>
      <c r="H371" s="36" t="s">
        <v>48</v>
      </c>
      <c r="K371" s="90"/>
    </row>
    <row r="372">
      <c r="C372" s="88"/>
      <c r="F372" s="39" t="s">
        <v>48</v>
      </c>
      <c r="G372" s="89"/>
      <c r="H372" s="36" t="s">
        <v>48</v>
      </c>
      <c r="K372" s="90"/>
    </row>
    <row r="373">
      <c r="C373" s="88"/>
      <c r="F373" s="39" t="s">
        <v>48</v>
      </c>
      <c r="G373" s="89"/>
      <c r="H373" s="36" t="s">
        <v>48</v>
      </c>
      <c r="K373" s="90"/>
    </row>
    <row r="374">
      <c r="C374" s="88"/>
      <c r="F374" s="39" t="s">
        <v>48</v>
      </c>
      <c r="G374" s="89"/>
      <c r="H374" s="36" t="s">
        <v>48</v>
      </c>
      <c r="K374" s="90"/>
    </row>
    <row r="375">
      <c r="C375" s="88"/>
      <c r="F375" s="39" t="s">
        <v>48</v>
      </c>
      <c r="G375" s="89"/>
      <c r="H375" s="36" t="s">
        <v>48</v>
      </c>
      <c r="K375" s="90"/>
    </row>
    <row r="376">
      <c r="C376" s="88"/>
      <c r="F376" s="39" t="s">
        <v>48</v>
      </c>
      <c r="G376" s="89"/>
      <c r="H376" s="36" t="s">
        <v>48</v>
      </c>
      <c r="K376" s="90"/>
    </row>
    <row r="377">
      <c r="C377" s="88"/>
      <c r="F377" s="39" t="s">
        <v>48</v>
      </c>
      <c r="G377" s="89"/>
      <c r="H377" s="36" t="s">
        <v>48</v>
      </c>
      <c r="K377" s="90"/>
    </row>
    <row r="378">
      <c r="C378" s="88"/>
      <c r="F378" s="39" t="s">
        <v>48</v>
      </c>
      <c r="G378" s="89"/>
      <c r="H378" s="36" t="s">
        <v>48</v>
      </c>
      <c r="K378" s="90"/>
    </row>
    <row r="379">
      <c r="C379" s="88"/>
      <c r="F379" s="39" t="s">
        <v>48</v>
      </c>
      <c r="G379" s="89"/>
      <c r="H379" s="36" t="s">
        <v>48</v>
      </c>
      <c r="K379" s="90"/>
    </row>
    <row r="380">
      <c r="C380" s="88"/>
      <c r="F380" s="39" t="s">
        <v>48</v>
      </c>
      <c r="G380" s="89"/>
      <c r="H380" s="36" t="s">
        <v>48</v>
      </c>
      <c r="K380" s="90"/>
    </row>
    <row r="381">
      <c r="C381" s="88"/>
      <c r="F381" s="39" t="s">
        <v>48</v>
      </c>
      <c r="G381" s="89"/>
      <c r="H381" s="36" t="s">
        <v>48</v>
      </c>
      <c r="K381" s="90"/>
    </row>
    <row r="382">
      <c r="C382" s="88"/>
      <c r="F382" s="39" t="s">
        <v>48</v>
      </c>
      <c r="G382" s="89"/>
      <c r="H382" s="36" t="s">
        <v>48</v>
      </c>
      <c r="K382" s="90"/>
    </row>
    <row r="383">
      <c r="C383" s="88"/>
      <c r="F383" s="39" t="s">
        <v>48</v>
      </c>
      <c r="G383" s="89"/>
      <c r="H383" s="36" t="s">
        <v>48</v>
      </c>
      <c r="K383" s="90"/>
    </row>
    <row r="384">
      <c r="C384" s="88"/>
      <c r="F384" s="39" t="s">
        <v>48</v>
      </c>
      <c r="G384" s="89"/>
      <c r="H384" s="36" t="s">
        <v>48</v>
      </c>
      <c r="K384" s="90"/>
    </row>
    <row r="385">
      <c r="C385" s="88"/>
      <c r="F385" s="39" t="s">
        <v>48</v>
      </c>
      <c r="G385" s="89"/>
      <c r="H385" s="36" t="s">
        <v>48</v>
      </c>
      <c r="K385" s="90"/>
    </row>
    <row r="386">
      <c r="C386" s="88"/>
      <c r="F386" s="39" t="s">
        <v>48</v>
      </c>
      <c r="G386" s="89"/>
      <c r="H386" s="36" t="s">
        <v>48</v>
      </c>
      <c r="K386" s="90"/>
    </row>
    <row r="387">
      <c r="C387" s="88"/>
      <c r="F387" s="39" t="s">
        <v>48</v>
      </c>
      <c r="G387" s="89"/>
      <c r="H387" s="36" t="s">
        <v>48</v>
      </c>
      <c r="K387" s="90"/>
    </row>
    <row r="388">
      <c r="C388" s="88"/>
      <c r="F388" s="39" t="s">
        <v>48</v>
      </c>
      <c r="G388" s="89"/>
      <c r="H388" s="36" t="s">
        <v>48</v>
      </c>
      <c r="K388" s="90"/>
    </row>
    <row r="389">
      <c r="C389" s="88"/>
      <c r="F389" s="39" t="s">
        <v>48</v>
      </c>
      <c r="G389" s="89"/>
      <c r="H389" s="36" t="s">
        <v>48</v>
      </c>
      <c r="K389" s="90"/>
    </row>
    <row r="390">
      <c r="C390" s="88"/>
      <c r="F390" s="39" t="s">
        <v>48</v>
      </c>
      <c r="G390" s="89"/>
      <c r="H390" s="36" t="s">
        <v>48</v>
      </c>
      <c r="K390" s="90"/>
    </row>
    <row r="391">
      <c r="C391" s="88"/>
      <c r="F391" s="39" t="s">
        <v>48</v>
      </c>
      <c r="G391" s="89"/>
      <c r="H391" s="36" t="s">
        <v>48</v>
      </c>
      <c r="K391" s="90"/>
    </row>
    <row r="392">
      <c r="C392" s="88"/>
      <c r="F392" s="39" t="s">
        <v>48</v>
      </c>
      <c r="G392" s="89"/>
      <c r="H392" s="36" t="s">
        <v>48</v>
      </c>
      <c r="K392" s="90"/>
    </row>
    <row r="393">
      <c r="C393" s="88"/>
      <c r="F393" s="39" t="s">
        <v>48</v>
      </c>
      <c r="G393" s="89"/>
      <c r="H393" s="36" t="s">
        <v>48</v>
      </c>
      <c r="K393" s="90"/>
    </row>
    <row r="394">
      <c r="C394" s="88"/>
      <c r="F394" s="39" t="s">
        <v>48</v>
      </c>
      <c r="G394" s="89"/>
      <c r="H394" s="36" t="s">
        <v>48</v>
      </c>
      <c r="K394" s="90"/>
    </row>
    <row r="395">
      <c r="C395" s="88"/>
      <c r="F395" s="39" t="s">
        <v>48</v>
      </c>
      <c r="G395" s="89"/>
      <c r="H395" s="36" t="s">
        <v>48</v>
      </c>
      <c r="K395" s="90"/>
    </row>
    <row r="396">
      <c r="C396" s="88"/>
      <c r="F396" s="39" t="s">
        <v>48</v>
      </c>
      <c r="G396" s="89"/>
      <c r="H396" s="36" t="s">
        <v>48</v>
      </c>
      <c r="K396" s="90"/>
    </row>
    <row r="397">
      <c r="C397" s="88"/>
      <c r="F397" s="39" t="s">
        <v>48</v>
      </c>
      <c r="G397" s="89"/>
      <c r="H397" s="36" t="s">
        <v>48</v>
      </c>
      <c r="K397" s="90"/>
    </row>
    <row r="398">
      <c r="C398" s="88"/>
      <c r="F398" s="39" t="s">
        <v>48</v>
      </c>
      <c r="G398" s="89"/>
      <c r="H398" s="36" t="s">
        <v>48</v>
      </c>
      <c r="K398" s="90"/>
    </row>
    <row r="399">
      <c r="C399" s="88"/>
      <c r="F399" s="39" t="s">
        <v>48</v>
      </c>
      <c r="G399" s="89"/>
      <c r="H399" s="36" t="s">
        <v>48</v>
      </c>
      <c r="K399" s="90"/>
    </row>
    <row r="400">
      <c r="C400" s="88"/>
      <c r="F400" s="39" t="s">
        <v>48</v>
      </c>
      <c r="G400" s="89"/>
      <c r="H400" s="36" t="s">
        <v>48</v>
      </c>
      <c r="K400" s="90"/>
    </row>
    <row r="401">
      <c r="C401" s="88"/>
      <c r="F401" s="39" t="s">
        <v>48</v>
      </c>
      <c r="G401" s="89"/>
      <c r="H401" s="36" t="s">
        <v>48</v>
      </c>
      <c r="K401" s="90"/>
    </row>
    <row r="402">
      <c r="C402" s="88"/>
      <c r="F402" s="39" t="s">
        <v>48</v>
      </c>
      <c r="G402" s="89"/>
      <c r="H402" s="36" t="s">
        <v>48</v>
      </c>
      <c r="K402" s="90"/>
    </row>
    <row r="403">
      <c r="C403" s="88"/>
      <c r="F403" s="39" t="s">
        <v>48</v>
      </c>
      <c r="G403" s="89"/>
      <c r="H403" s="36" t="s">
        <v>48</v>
      </c>
      <c r="K403" s="90"/>
    </row>
    <row r="404">
      <c r="C404" s="88"/>
      <c r="F404" s="39" t="s">
        <v>48</v>
      </c>
      <c r="G404" s="89"/>
      <c r="H404" s="36" t="s">
        <v>48</v>
      </c>
      <c r="K404" s="90"/>
    </row>
    <row r="405">
      <c r="C405" s="88"/>
      <c r="F405" s="39" t="s">
        <v>48</v>
      </c>
      <c r="G405" s="89"/>
      <c r="H405" s="36" t="s">
        <v>48</v>
      </c>
      <c r="K405" s="90"/>
    </row>
    <row r="406">
      <c r="C406" s="88"/>
      <c r="F406" s="39" t="s">
        <v>48</v>
      </c>
      <c r="G406" s="89"/>
      <c r="H406" s="36" t="s">
        <v>48</v>
      </c>
      <c r="K406" s="90"/>
    </row>
    <row r="407">
      <c r="C407" s="88"/>
      <c r="F407" s="39" t="s">
        <v>48</v>
      </c>
      <c r="G407" s="89"/>
      <c r="H407" s="36" t="s">
        <v>48</v>
      </c>
      <c r="K407" s="90"/>
    </row>
    <row r="408">
      <c r="C408" s="88"/>
      <c r="F408" s="39" t="s">
        <v>48</v>
      </c>
      <c r="G408" s="89"/>
      <c r="H408" s="36" t="s">
        <v>48</v>
      </c>
      <c r="K408" s="90"/>
    </row>
    <row r="409">
      <c r="C409" s="88"/>
      <c r="F409" s="39" t="s">
        <v>48</v>
      </c>
      <c r="G409" s="89"/>
      <c r="H409" s="36" t="s">
        <v>48</v>
      </c>
      <c r="K409" s="90"/>
    </row>
    <row r="410">
      <c r="C410" s="88"/>
      <c r="F410" s="39" t="s">
        <v>48</v>
      </c>
      <c r="G410" s="89"/>
      <c r="H410" s="36" t="s">
        <v>48</v>
      </c>
      <c r="K410" s="90"/>
    </row>
    <row r="411">
      <c r="C411" s="88"/>
      <c r="F411" s="39" t="s">
        <v>48</v>
      </c>
      <c r="G411" s="89"/>
      <c r="H411" s="36" t="s">
        <v>48</v>
      </c>
      <c r="K411" s="90"/>
    </row>
    <row r="412">
      <c r="C412" s="88"/>
      <c r="F412" s="39" t="s">
        <v>48</v>
      </c>
      <c r="G412" s="89"/>
      <c r="H412" s="36" t="s">
        <v>48</v>
      </c>
      <c r="K412" s="90"/>
    </row>
    <row r="413">
      <c r="C413" s="88"/>
      <c r="F413" s="39" t="s">
        <v>48</v>
      </c>
      <c r="G413" s="89"/>
      <c r="H413" s="36" t="s">
        <v>48</v>
      </c>
      <c r="K413" s="90"/>
    </row>
    <row r="414">
      <c r="C414" s="88"/>
      <c r="F414" s="39" t="s">
        <v>48</v>
      </c>
      <c r="G414" s="89"/>
      <c r="H414" s="36" t="s">
        <v>48</v>
      </c>
      <c r="K414" s="90"/>
    </row>
    <row r="415">
      <c r="C415" s="88"/>
      <c r="F415" s="39" t="s">
        <v>48</v>
      </c>
      <c r="G415" s="89"/>
      <c r="H415" s="36" t="s">
        <v>48</v>
      </c>
      <c r="K415" s="90"/>
    </row>
    <row r="416">
      <c r="C416" s="88"/>
      <c r="F416" s="39" t="s">
        <v>48</v>
      </c>
      <c r="G416" s="89"/>
      <c r="H416" s="36" t="s">
        <v>48</v>
      </c>
      <c r="K416" s="90"/>
    </row>
    <row r="417">
      <c r="C417" s="88"/>
      <c r="F417" s="39" t="s">
        <v>48</v>
      </c>
      <c r="G417" s="89"/>
      <c r="H417" s="36" t="s">
        <v>48</v>
      </c>
      <c r="K417" s="90"/>
    </row>
    <row r="418">
      <c r="C418" s="88"/>
      <c r="F418" s="39" t="s">
        <v>48</v>
      </c>
      <c r="G418" s="89"/>
      <c r="H418" s="36" t="s">
        <v>48</v>
      </c>
      <c r="K418" s="90"/>
    </row>
    <row r="419">
      <c r="C419" s="88"/>
      <c r="F419" s="39" t="s">
        <v>48</v>
      </c>
      <c r="G419" s="89"/>
      <c r="H419" s="36" t="s">
        <v>48</v>
      </c>
      <c r="K419" s="90"/>
    </row>
    <row r="420">
      <c r="C420" s="88"/>
      <c r="F420" s="39" t="s">
        <v>48</v>
      </c>
      <c r="G420" s="89"/>
      <c r="H420" s="36" t="s">
        <v>48</v>
      </c>
      <c r="K420" s="90"/>
    </row>
    <row r="421">
      <c r="C421" s="88"/>
      <c r="F421" s="39" t="s">
        <v>48</v>
      </c>
      <c r="G421" s="89"/>
      <c r="H421" s="36" t="s">
        <v>48</v>
      </c>
      <c r="K421" s="90"/>
    </row>
    <row r="422">
      <c r="C422" s="88"/>
      <c r="F422" s="39" t="s">
        <v>48</v>
      </c>
      <c r="G422" s="89"/>
      <c r="H422" s="36" t="s">
        <v>48</v>
      </c>
      <c r="K422" s="90"/>
    </row>
    <row r="423">
      <c r="C423" s="88"/>
      <c r="F423" s="39" t="s">
        <v>48</v>
      </c>
      <c r="G423" s="89"/>
      <c r="H423" s="36" t="s">
        <v>48</v>
      </c>
      <c r="K423" s="90"/>
    </row>
    <row r="424">
      <c r="C424" s="88"/>
      <c r="F424" s="39" t="s">
        <v>48</v>
      </c>
      <c r="G424" s="89"/>
      <c r="H424" s="36" t="s">
        <v>48</v>
      </c>
      <c r="K424" s="90"/>
    </row>
    <row r="425">
      <c r="C425" s="88"/>
      <c r="F425" s="39" t="s">
        <v>48</v>
      </c>
      <c r="G425" s="89"/>
      <c r="H425" s="36" t="s">
        <v>48</v>
      </c>
      <c r="K425" s="90"/>
    </row>
    <row r="426">
      <c r="C426" s="88"/>
      <c r="F426" s="39" t="s">
        <v>48</v>
      </c>
      <c r="G426" s="89"/>
      <c r="H426" s="36" t="s">
        <v>48</v>
      </c>
      <c r="K426" s="90"/>
    </row>
    <row r="427">
      <c r="C427" s="88"/>
      <c r="F427" s="39" t="s">
        <v>48</v>
      </c>
      <c r="G427" s="89"/>
      <c r="H427" s="36" t="s">
        <v>48</v>
      </c>
      <c r="K427" s="90"/>
    </row>
    <row r="428">
      <c r="C428" s="88"/>
      <c r="F428" s="39" t="s">
        <v>48</v>
      </c>
      <c r="G428" s="89"/>
      <c r="H428" s="36" t="s">
        <v>48</v>
      </c>
      <c r="K428" s="90"/>
    </row>
    <row r="429">
      <c r="C429" s="88"/>
      <c r="F429" s="39" t="s">
        <v>48</v>
      </c>
      <c r="G429" s="89"/>
      <c r="H429" s="36" t="s">
        <v>48</v>
      </c>
      <c r="K429" s="90"/>
    </row>
    <row r="430">
      <c r="C430" s="88"/>
      <c r="F430" s="39" t="s">
        <v>48</v>
      </c>
      <c r="G430" s="89"/>
      <c r="H430" s="36" t="s">
        <v>48</v>
      </c>
      <c r="K430" s="90"/>
    </row>
    <row r="431">
      <c r="C431" s="88"/>
      <c r="F431" s="39" t="s">
        <v>48</v>
      </c>
      <c r="G431" s="89"/>
      <c r="H431" s="36" t="s">
        <v>48</v>
      </c>
      <c r="K431" s="90"/>
    </row>
    <row r="432">
      <c r="C432" s="88"/>
      <c r="F432" s="39" t="s">
        <v>48</v>
      </c>
      <c r="G432" s="89"/>
      <c r="H432" s="36" t="s">
        <v>48</v>
      </c>
      <c r="K432" s="90"/>
    </row>
    <row r="433">
      <c r="C433" s="88"/>
      <c r="F433" s="39" t="s">
        <v>48</v>
      </c>
      <c r="G433" s="89"/>
      <c r="H433" s="36" t="s">
        <v>48</v>
      </c>
      <c r="K433" s="90"/>
    </row>
    <row r="434">
      <c r="C434" s="88"/>
      <c r="F434" s="39" t="s">
        <v>48</v>
      </c>
      <c r="G434" s="89"/>
      <c r="H434" s="36" t="s">
        <v>48</v>
      </c>
      <c r="K434" s="90"/>
    </row>
    <row r="435">
      <c r="C435" s="88"/>
      <c r="F435" s="39" t="s">
        <v>48</v>
      </c>
      <c r="G435" s="89"/>
      <c r="H435" s="36" t="s">
        <v>48</v>
      </c>
      <c r="K435" s="90"/>
    </row>
    <row r="436">
      <c r="C436" s="88"/>
      <c r="F436" s="39" t="s">
        <v>48</v>
      </c>
      <c r="G436" s="89"/>
      <c r="H436" s="36" t="s">
        <v>48</v>
      </c>
      <c r="K436" s="90"/>
    </row>
    <row r="437">
      <c r="C437" s="88"/>
      <c r="F437" s="39" t="s">
        <v>48</v>
      </c>
      <c r="G437" s="89"/>
      <c r="H437" s="36" t="s">
        <v>48</v>
      </c>
      <c r="K437" s="90"/>
    </row>
    <row r="438">
      <c r="C438" s="88"/>
      <c r="F438" s="39" t="s">
        <v>48</v>
      </c>
      <c r="G438" s="89"/>
      <c r="H438" s="36" t="s">
        <v>48</v>
      </c>
      <c r="K438" s="90"/>
    </row>
    <row r="439">
      <c r="C439" s="88"/>
      <c r="F439" s="39" t="s">
        <v>48</v>
      </c>
      <c r="G439" s="89"/>
      <c r="H439" s="36" t="s">
        <v>48</v>
      </c>
      <c r="K439" s="90"/>
    </row>
    <row r="440">
      <c r="C440" s="88"/>
      <c r="F440" s="39" t="s">
        <v>48</v>
      </c>
      <c r="G440" s="89"/>
      <c r="H440" s="36" t="s">
        <v>48</v>
      </c>
      <c r="K440" s="90"/>
    </row>
    <row r="441">
      <c r="C441" s="88"/>
      <c r="F441" s="39" t="s">
        <v>48</v>
      </c>
      <c r="G441" s="89"/>
      <c r="H441" s="36" t="s">
        <v>48</v>
      </c>
      <c r="K441" s="90"/>
    </row>
    <row r="442">
      <c r="C442" s="88"/>
      <c r="F442" s="39" t="s">
        <v>48</v>
      </c>
      <c r="G442" s="89"/>
      <c r="H442" s="36" t="s">
        <v>48</v>
      </c>
      <c r="K442" s="90"/>
    </row>
    <row r="443">
      <c r="C443" s="88"/>
      <c r="F443" s="39" t="s">
        <v>48</v>
      </c>
      <c r="G443" s="89"/>
      <c r="H443" s="36" t="s">
        <v>48</v>
      </c>
      <c r="K443" s="90"/>
    </row>
    <row r="444">
      <c r="C444" s="88"/>
      <c r="F444" s="39" t="s">
        <v>48</v>
      </c>
      <c r="G444" s="89"/>
      <c r="H444" s="36" t="s">
        <v>48</v>
      </c>
      <c r="K444" s="90"/>
    </row>
    <row r="445">
      <c r="C445" s="88"/>
      <c r="F445" s="39" t="s">
        <v>48</v>
      </c>
      <c r="G445" s="89"/>
      <c r="H445" s="36" t="s">
        <v>48</v>
      </c>
      <c r="K445" s="90"/>
    </row>
    <row r="446">
      <c r="C446" s="88"/>
      <c r="F446" s="39" t="s">
        <v>48</v>
      </c>
      <c r="G446" s="89"/>
      <c r="H446" s="36" t="s">
        <v>48</v>
      </c>
      <c r="K446" s="90"/>
    </row>
    <row r="447">
      <c r="C447" s="88"/>
      <c r="F447" s="39" t="s">
        <v>48</v>
      </c>
      <c r="G447" s="89"/>
      <c r="H447" s="36" t="s">
        <v>48</v>
      </c>
      <c r="K447" s="90"/>
    </row>
    <row r="448">
      <c r="C448" s="88"/>
      <c r="F448" s="39" t="s">
        <v>48</v>
      </c>
      <c r="G448" s="89"/>
      <c r="H448" s="36" t="s">
        <v>48</v>
      </c>
      <c r="K448" s="90"/>
    </row>
    <row r="449">
      <c r="C449" s="88"/>
      <c r="F449" s="39" t="s">
        <v>48</v>
      </c>
      <c r="G449" s="89"/>
      <c r="H449" s="36" t="s">
        <v>48</v>
      </c>
      <c r="K449" s="90"/>
    </row>
    <row r="450">
      <c r="C450" s="88"/>
      <c r="F450" s="39" t="s">
        <v>48</v>
      </c>
      <c r="G450" s="89"/>
      <c r="H450" s="36" t="s">
        <v>48</v>
      </c>
      <c r="K450" s="90"/>
    </row>
    <row r="451">
      <c r="C451" s="88"/>
      <c r="F451" s="39" t="s">
        <v>48</v>
      </c>
      <c r="G451" s="89"/>
      <c r="H451" s="36" t="s">
        <v>48</v>
      </c>
      <c r="K451" s="90"/>
    </row>
    <row r="452">
      <c r="C452" s="88"/>
      <c r="F452" s="39" t="s">
        <v>48</v>
      </c>
      <c r="G452" s="89"/>
      <c r="H452" s="36" t="s">
        <v>48</v>
      </c>
      <c r="K452" s="90"/>
    </row>
    <row r="453">
      <c r="C453" s="88"/>
      <c r="F453" s="39" t="s">
        <v>48</v>
      </c>
      <c r="G453" s="89"/>
      <c r="H453" s="36" t="s">
        <v>48</v>
      </c>
      <c r="K453" s="90"/>
    </row>
    <row r="454">
      <c r="C454" s="88"/>
      <c r="F454" s="39" t="s">
        <v>48</v>
      </c>
      <c r="G454" s="89"/>
      <c r="H454" s="36" t="s">
        <v>48</v>
      </c>
      <c r="K454" s="90"/>
    </row>
    <row r="455">
      <c r="C455" s="88"/>
      <c r="F455" s="39" t="s">
        <v>48</v>
      </c>
      <c r="G455" s="89"/>
      <c r="H455" s="36" t="s">
        <v>48</v>
      </c>
      <c r="K455" s="90"/>
    </row>
    <row r="456">
      <c r="C456" s="88"/>
      <c r="F456" s="39" t="s">
        <v>48</v>
      </c>
      <c r="G456" s="89"/>
      <c r="H456" s="36" t="s">
        <v>48</v>
      </c>
      <c r="K456" s="90"/>
    </row>
    <row r="457">
      <c r="C457" s="88"/>
      <c r="F457" s="39" t="s">
        <v>48</v>
      </c>
      <c r="G457" s="89"/>
      <c r="H457" s="36" t="s">
        <v>48</v>
      </c>
      <c r="K457" s="90"/>
    </row>
    <row r="458">
      <c r="C458" s="88"/>
      <c r="F458" s="39" t="s">
        <v>48</v>
      </c>
      <c r="G458" s="89"/>
      <c r="H458" s="36" t="s">
        <v>48</v>
      </c>
      <c r="K458" s="90"/>
    </row>
    <row r="459">
      <c r="C459" s="88"/>
      <c r="F459" s="39" t="s">
        <v>48</v>
      </c>
      <c r="G459" s="89"/>
      <c r="H459" s="36" t="s">
        <v>48</v>
      </c>
      <c r="K459" s="90"/>
    </row>
    <row r="460">
      <c r="C460" s="88"/>
      <c r="F460" s="39" t="s">
        <v>48</v>
      </c>
      <c r="G460" s="89"/>
      <c r="H460" s="36" t="s">
        <v>48</v>
      </c>
      <c r="K460" s="90"/>
    </row>
    <row r="461">
      <c r="C461" s="88"/>
      <c r="F461" s="39" t="s">
        <v>48</v>
      </c>
      <c r="G461" s="89"/>
      <c r="H461" s="36" t="s">
        <v>48</v>
      </c>
      <c r="K461" s="90"/>
    </row>
    <row r="462">
      <c r="C462" s="88"/>
      <c r="F462" s="39" t="s">
        <v>48</v>
      </c>
      <c r="G462" s="89"/>
      <c r="H462" s="36" t="s">
        <v>48</v>
      </c>
      <c r="K462" s="90"/>
    </row>
    <row r="463">
      <c r="C463" s="88"/>
      <c r="F463" s="39" t="s">
        <v>48</v>
      </c>
      <c r="G463" s="89"/>
      <c r="H463" s="36" t="s">
        <v>48</v>
      </c>
      <c r="K463" s="90"/>
    </row>
    <row r="464">
      <c r="C464" s="88"/>
      <c r="F464" s="39" t="s">
        <v>48</v>
      </c>
      <c r="G464" s="89"/>
      <c r="H464" s="36" t="s">
        <v>48</v>
      </c>
      <c r="K464" s="90"/>
    </row>
    <row r="465">
      <c r="C465" s="88"/>
      <c r="F465" s="39" t="s">
        <v>48</v>
      </c>
      <c r="G465" s="89"/>
      <c r="H465" s="36" t="s">
        <v>48</v>
      </c>
      <c r="K465" s="90"/>
    </row>
    <row r="466">
      <c r="C466" s="88"/>
      <c r="F466" s="39" t="s">
        <v>48</v>
      </c>
      <c r="G466" s="89"/>
      <c r="H466" s="36" t="s">
        <v>48</v>
      </c>
      <c r="K466" s="90"/>
    </row>
    <row r="467">
      <c r="C467" s="88"/>
      <c r="F467" s="39" t="s">
        <v>48</v>
      </c>
      <c r="G467" s="89"/>
      <c r="H467" s="36" t="s">
        <v>48</v>
      </c>
      <c r="K467" s="90"/>
    </row>
    <row r="468">
      <c r="C468" s="88"/>
      <c r="F468" s="39" t="s">
        <v>48</v>
      </c>
      <c r="G468" s="89"/>
      <c r="H468" s="36" t="s">
        <v>48</v>
      </c>
      <c r="K468" s="90"/>
    </row>
    <row r="469">
      <c r="C469" s="88"/>
      <c r="F469" s="39" t="s">
        <v>48</v>
      </c>
      <c r="G469" s="89"/>
      <c r="H469" s="36" t="s">
        <v>48</v>
      </c>
      <c r="K469" s="90"/>
    </row>
    <row r="470">
      <c r="C470" s="88"/>
      <c r="F470" s="39" t="s">
        <v>48</v>
      </c>
      <c r="G470" s="89"/>
      <c r="H470" s="36" t="s">
        <v>48</v>
      </c>
      <c r="K470" s="90"/>
    </row>
    <row r="471">
      <c r="C471" s="88"/>
      <c r="F471" s="39" t="s">
        <v>48</v>
      </c>
      <c r="G471" s="89"/>
      <c r="H471" s="36" t="s">
        <v>48</v>
      </c>
      <c r="K471" s="90"/>
    </row>
    <row r="472">
      <c r="C472" s="88"/>
      <c r="F472" s="39" t="s">
        <v>48</v>
      </c>
      <c r="G472" s="89"/>
      <c r="H472" s="36" t="s">
        <v>48</v>
      </c>
      <c r="K472" s="90"/>
    </row>
    <row r="473">
      <c r="C473" s="88"/>
      <c r="F473" s="39" t="s">
        <v>48</v>
      </c>
      <c r="G473" s="89"/>
      <c r="H473" s="36" t="s">
        <v>48</v>
      </c>
      <c r="K473" s="90"/>
    </row>
    <row r="474">
      <c r="C474" s="88"/>
      <c r="F474" s="39" t="s">
        <v>48</v>
      </c>
      <c r="G474" s="89"/>
      <c r="H474" s="36" t="s">
        <v>48</v>
      </c>
      <c r="K474" s="90"/>
    </row>
    <row r="475">
      <c r="C475" s="88"/>
      <c r="F475" s="39" t="s">
        <v>48</v>
      </c>
      <c r="G475" s="89"/>
      <c r="H475" s="36" t="s">
        <v>48</v>
      </c>
      <c r="K475" s="90"/>
    </row>
    <row r="476">
      <c r="C476" s="88"/>
      <c r="F476" s="39" t="s">
        <v>48</v>
      </c>
      <c r="G476" s="89"/>
      <c r="H476" s="36" t="s">
        <v>48</v>
      </c>
      <c r="K476" s="90"/>
    </row>
    <row r="477">
      <c r="C477" s="88"/>
      <c r="F477" s="39" t="s">
        <v>48</v>
      </c>
      <c r="G477" s="89"/>
      <c r="H477" s="36" t="s">
        <v>48</v>
      </c>
      <c r="K477" s="90"/>
    </row>
    <row r="478">
      <c r="C478" s="88"/>
      <c r="F478" s="39" t="s">
        <v>48</v>
      </c>
      <c r="G478" s="89"/>
      <c r="H478" s="36" t="s">
        <v>48</v>
      </c>
      <c r="K478" s="90"/>
    </row>
    <row r="479">
      <c r="C479" s="88"/>
      <c r="F479" s="39" t="s">
        <v>48</v>
      </c>
      <c r="G479" s="89"/>
      <c r="H479" s="36" t="s">
        <v>48</v>
      </c>
      <c r="K479" s="90"/>
    </row>
    <row r="480">
      <c r="C480" s="88"/>
      <c r="F480" s="39" t="s">
        <v>48</v>
      </c>
      <c r="G480" s="89"/>
      <c r="H480" s="36" t="s">
        <v>48</v>
      </c>
      <c r="K480" s="90"/>
    </row>
    <row r="481">
      <c r="C481" s="88"/>
      <c r="F481" s="39" t="s">
        <v>48</v>
      </c>
      <c r="G481" s="89"/>
      <c r="H481" s="36" t="s">
        <v>48</v>
      </c>
      <c r="K481" s="90"/>
    </row>
    <row r="482">
      <c r="C482" s="88"/>
      <c r="F482" s="39" t="s">
        <v>48</v>
      </c>
      <c r="G482" s="89"/>
      <c r="H482" s="36" t="s">
        <v>48</v>
      </c>
      <c r="K482" s="90"/>
    </row>
    <row r="483">
      <c r="C483" s="88"/>
      <c r="F483" s="39" t="s">
        <v>48</v>
      </c>
      <c r="G483" s="89"/>
      <c r="H483" s="36" t="s">
        <v>48</v>
      </c>
      <c r="K483" s="90"/>
    </row>
    <row r="484">
      <c r="C484" s="88"/>
      <c r="F484" s="39" t="s">
        <v>48</v>
      </c>
      <c r="G484" s="89"/>
      <c r="H484" s="36" t="s">
        <v>48</v>
      </c>
      <c r="K484" s="90"/>
    </row>
    <row r="485">
      <c r="C485" s="88"/>
      <c r="F485" s="39" t="s">
        <v>48</v>
      </c>
      <c r="G485" s="89"/>
      <c r="H485" s="36" t="s">
        <v>48</v>
      </c>
      <c r="K485" s="90"/>
    </row>
    <row r="486">
      <c r="C486" s="88"/>
      <c r="F486" s="39" t="s">
        <v>48</v>
      </c>
      <c r="G486" s="89"/>
      <c r="H486" s="36" t="s">
        <v>48</v>
      </c>
      <c r="K486" s="90"/>
    </row>
    <row r="487">
      <c r="C487" s="88"/>
      <c r="F487" s="39" t="s">
        <v>48</v>
      </c>
      <c r="G487" s="89"/>
      <c r="H487" s="36" t="s">
        <v>48</v>
      </c>
      <c r="K487" s="90"/>
    </row>
    <row r="488">
      <c r="C488" s="88"/>
      <c r="F488" s="39" t="s">
        <v>48</v>
      </c>
      <c r="G488" s="89"/>
      <c r="H488" s="36" t="s">
        <v>48</v>
      </c>
      <c r="K488" s="90"/>
    </row>
    <row r="489">
      <c r="C489" s="88"/>
      <c r="F489" s="39" t="s">
        <v>48</v>
      </c>
      <c r="G489" s="89"/>
      <c r="H489" s="36" t="s">
        <v>48</v>
      </c>
      <c r="K489" s="90"/>
    </row>
    <row r="490">
      <c r="C490" s="88"/>
      <c r="F490" s="39" t="s">
        <v>48</v>
      </c>
      <c r="G490" s="89"/>
      <c r="H490" s="36" t="s">
        <v>48</v>
      </c>
      <c r="K490" s="90"/>
    </row>
    <row r="491">
      <c r="C491" s="88"/>
      <c r="F491" s="39" t="s">
        <v>48</v>
      </c>
      <c r="G491" s="89"/>
      <c r="H491" s="36" t="s">
        <v>48</v>
      </c>
      <c r="K491" s="90"/>
    </row>
    <row r="492">
      <c r="C492" s="88"/>
      <c r="F492" s="39" t="s">
        <v>48</v>
      </c>
      <c r="G492" s="89"/>
      <c r="H492" s="36" t="s">
        <v>48</v>
      </c>
      <c r="K492" s="90"/>
    </row>
    <row r="493">
      <c r="C493" s="88"/>
      <c r="F493" s="39" t="s">
        <v>48</v>
      </c>
      <c r="G493" s="89"/>
      <c r="H493" s="36" t="s">
        <v>48</v>
      </c>
      <c r="K493" s="90"/>
    </row>
    <row r="494">
      <c r="C494" s="88"/>
      <c r="F494" s="39" t="s">
        <v>48</v>
      </c>
      <c r="G494" s="89"/>
      <c r="H494" s="36" t="s">
        <v>48</v>
      </c>
      <c r="K494" s="90"/>
    </row>
    <row r="495">
      <c r="C495" s="88"/>
      <c r="F495" s="39" t="s">
        <v>48</v>
      </c>
      <c r="G495" s="89"/>
      <c r="H495" s="36" t="s">
        <v>48</v>
      </c>
      <c r="K495" s="90"/>
    </row>
    <row r="496">
      <c r="C496" s="88"/>
      <c r="F496" s="39" t="s">
        <v>48</v>
      </c>
      <c r="G496" s="89"/>
      <c r="H496" s="36" t="s">
        <v>48</v>
      </c>
      <c r="K496" s="90"/>
    </row>
    <row r="497">
      <c r="C497" s="88"/>
      <c r="F497" s="39" t="s">
        <v>48</v>
      </c>
      <c r="G497" s="89"/>
      <c r="H497" s="36" t="s">
        <v>48</v>
      </c>
      <c r="K497" s="90"/>
    </row>
    <row r="498">
      <c r="C498" s="88"/>
      <c r="F498" s="39" t="s">
        <v>48</v>
      </c>
      <c r="G498" s="89"/>
      <c r="H498" s="36" t="s">
        <v>48</v>
      </c>
      <c r="K498" s="90"/>
    </row>
    <row r="499">
      <c r="C499" s="88"/>
      <c r="F499" s="39" t="s">
        <v>48</v>
      </c>
      <c r="G499" s="89"/>
      <c r="H499" s="36" t="s">
        <v>48</v>
      </c>
      <c r="K499" s="90"/>
    </row>
    <row r="500">
      <c r="C500" s="88"/>
      <c r="F500" s="39" t="s">
        <v>48</v>
      </c>
      <c r="G500" s="89"/>
      <c r="H500" s="36" t="s">
        <v>48</v>
      </c>
      <c r="K500" s="90"/>
    </row>
    <row r="501">
      <c r="C501" s="88"/>
      <c r="F501" s="39" t="s">
        <v>48</v>
      </c>
      <c r="G501" s="89"/>
      <c r="H501" s="36" t="s">
        <v>48</v>
      </c>
      <c r="K501" s="90"/>
    </row>
    <row r="502">
      <c r="C502" s="88"/>
      <c r="F502" s="39" t="s">
        <v>48</v>
      </c>
      <c r="G502" s="89"/>
      <c r="H502" s="36" t="s">
        <v>48</v>
      </c>
      <c r="K502" s="90"/>
    </row>
    <row r="503">
      <c r="C503" s="88"/>
      <c r="F503" s="39" t="s">
        <v>48</v>
      </c>
      <c r="G503" s="89"/>
      <c r="H503" s="36" t="s">
        <v>48</v>
      </c>
      <c r="K503" s="90"/>
    </row>
    <row r="504">
      <c r="C504" s="88"/>
      <c r="F504" s="39" t="s">
        <v>48</v>
      </c>
      <c r="G504" s="89"/>
      <c r="H504" s="36" t="s">
        <v>48</v>
      </c>
      <c r="K504" s="90"/>
    </row>
    <row r="505">
      <c r="C505" s="88"/>
      <c r="F505" s="39" t="s">
        <v>48</v>
      </c>
      <c r="G505" s="89"/>
      <c r="H505" s="36" t="s">
        <v>48</v>
      </c>
      <c r="K505" s="90"/>
    </row>
    <row r="506">
      <c r="C506" s="88"/>
      <c r="F506" s="39" t="s">
        <v>48</v>
      </c>
      <c r="G506" s="89"/>
      <c r="H506" s="36" t="s">
        <v>48</v>
      </c>
      <c r="K506" s="90"/>
    </row>
    <row r="507">
      <c r="C507" s="88"/>
      <c r="F507" s="39" t="s">
        <v>48</v>
      </c>
      <c r="G507" s="89"/>
      <c r="H507" s="36" t="s">
        <v>48</v>
      </c>
      <c r="K507" s="90"/>
    </row>
    <row r="508">
      <c r="C508" s="88"/>
      <c r="F508" s="39" t="s">
        <v>48</v>
      </c>
      <c r="G508" s="89"/>
      <c r="H508" s="36" t="s">
        <v>48</v>
      </c>
      <c r="K508" s="90"/>
    </row>
    <row r="509">
      <c r="C509" s="88"/>
      <c r="F509" s="39" t="s">
        <v>48</v>
      </c>
      <c r="G509" s="89"/>
      <c r="H509" s="36" t="s">
        <v>48</v>
      </c>
      <c r="K509" s="90"/>
    </row>
    <row r="510">
      <c r="C510" s="88"/>
      <c r="F510" s="39" t="s">
        <v>48</v>
      </c>
      <c r="G510" s="89"/>
      <c r="H510" s="36" t="s">
        <v>48</v>
      </c>
      <c r="K510" s="90"/>
    </row>
    <row r="511">
      <c r="C511" s="88"/>
      <c r="F511" s="39" t="s">
        <v>48</v>
      </c>
      <c r="G511" s="89"/>
      <c r="H511" s="36" t="s">
        <v>48</v>
      </c>
      <c r="K511" s="90"/>
    </row>
    <row r="512">
      <c r="C512" s="88"/>
      <c r="F512" s="39" t="s">
        <v>48</v>
      </c>
      <c r="G512" s="89"/>
      <c r="H512" s="36" t="s">
        <v>48</v>
      </c>
      <c r="K512" s="90"/>
    </row>
    <row r="513">
      <c r="C513" s="88"/>
      <c r="F513" s="39" t="s">
        <v>48</v>
      </c>
      <c r="G513" s="89"/>
      <c r="H513" s="36" t="s">
        <v>48</v>
      </c>
      <c r="K513" s="90"/>
    </row>
    <row r="514">
      <c r="C514" s="88"/>
      <c r="F514" s="39" t="s">
        <v>48</v>
      </c>
      <c r="G514" s="89"/>
      <c r="H514" s="36" t="s">
        <v>48</v>
      </c>
      <c r="K514" s="90"/>
    </row>
    <row r="515">
      <c r="C515" s="88"/>
      <c r="F515" s="39" t="s">
        <v>48</v>
      </c>
      <c r="G515" s="89"/>
      <c r="H515" s="36" t="s">
        <v>48</v>
      </c>
      <c r="K515" s="90"/>
    </row>
    <row r="516">
      <c r="C516" s="88"/>
      <c r="F516" s="39" t="s">
        <v>48</v>
      </c>
      <c r="G516" s="89"/>
      <c r="H516" s="36" t="s">
        <v>48</v>
      </c>
      <c r="K516" s="90"/>
    </row>
    <row r="517">
      <c r="C517" s="88"/>
      <c r="F517" s="39" t="s">
        <v>48</v>
      </c>
      <c r="G517" s="89"/>
      <c r="H517" s="36" t="s">
        <v>48</v>
      </c>
      <c r="K517" s="90"/>
    </row>
    <row r="518">
      <c r="C518" s="88"/>
      <c r="F518" s="39" t="s">
        <v>48</v>
      </c>
      <c r="G518" s="89"/>
      <c r="H518" s="36" t="s">
        <v>48</v>
      </c>
      <c r="K518" s="90"/>
    </row>
    <row r="519">
      <c r="C519" s="88"/>
      <c r="F519" s="39" t="s">
        <v>48</v>
      </c>
      <c r="G519" s="89"/>
      <c r="H519" s="36" t="s">
        <v>48</v>
      </c>
      <c r="K519" s="90"/>
    </row>
    <row r="520">
      <c r="C520" s="88"/>
      <c r="F520" s="39" t="s">
        <v>48</v>
      </c>
      <c r="G520" s="89"/>
      <c r="H520" s="36" t="s">
        <v>48</v>
      </c>
      <c r="K520" s="90"/>
    </row>
    <row r="521">
      <c r="C521" s="88"/>
      <c r="F521" s="39" t="s">
        <v>48</v>
      </c>
      <c r="G521" s="89"/>
      <c r="H521" s="36" t="s">
        <v>48</v>
      </c>
      <c r="K521" s="90"/>
    </row>
    <row r="522">
      <c r="C522" s="88"/>
      <c r="F522" s="39" t="s">
        <v>48</v>
      </c>
      <c r="G522" s="89"/>
      <c r="H522" s="36" t="s">
        <v>48</v>
      </c>
      <c r="K522" s="90"/>
    </row>
    <row r="523">
      <c r="C523" s="88"/>
      <c r="F523" s="39" t="s">
        <v>48</v>
      </c>
      <c r="G523" s="89"/>
      <c r="H523" s="36" t="s">
        <v>48</v>
      </c>
      <c r="K523" s="90"/>
    </row>
    <row r="524">
      <c r="C524" s="88"/>
      <c r="F524" s="39" t="s">
        <v>48</v>
      </c>
      <c r="G524" s="89"/>
      <c r="H524" s="36" t="s">
        <v>48</v>
      </c>
      <c r="K524" s="90"/>
    </row>
    <row r="525">
      <c r="C525" s="88"/>
      <c r="F525" s="39" t="s">
        <v>48</v>
      </c>
      <c r="G525" s="89"/>
      <c r="H525" s="36" t="s">
        <v>48</v>
      </c>
      <c r="K525" s="90"/>
    </row>
    <row r="526">
      <c r="C526" s="88"/>
      <c r="F526" s="39" t="s">
        <v>48</v>
      </c>
      <c r="G526" s="89"/>
      <c r="H526" s="36" t="s">
        <v>48</v>
      </c>
      <c r="K526" s="90"/>
    </row>
    <row r="527">
      <c r="C527" s="88"/>
      <c r="F527" s="39" t="s">
        <v>48</v>
      </c>
      <c r="G527" s="89"/>
      <c r="H527" s="36" t="s">
        <v>48</v>
      </c>
      <c r="K527" s="90"/>
    </row>
    <row r="528">
      <c r="C528" s="88"/>
      <c r="F528" s="39" t="s">
        <v>48</v>
      </c>
      <c r="G528" s="89"/>
      <c r="H528" s="36" t="s">
        <v>48</v>
      </c>
      <c r="K528" s="90"/>
    </row>
    <row r="529">
      <c r="C529" s="88"/>
      <c r="F529" s="39" t="s">
        <v>48</v>
      </c>
      <c r="G529" s="89"/>
      <c r="H529" s="36" t="s">
        <v>48</v>
      </c>
      <c r="K529" s="90"/>
    </row>
    <row r="530">
      <c r="C530" s="88"/>
      <c r="F530" s="39" t="s">
        <v>48</v>
      </c>
      <c r="G530" s="89"/>
      <c r="H530" s="36" t="s">
        <v>48</v>
      </c>
      <c r="K530" s="90"/>
    </row>
    <row r="531">
      <c r="C531" s="88"/>
      <c r="F531" s="39" t="s">
        <v>48</v>
      </c>
      <c r="G531" s="89"/>
      <c r="H531" s="36" t="s">
        <v>48</v>
      </c>
      <c r="K531" s="90"/>
    </row>
    <row r="532">
      <c r="C532" s="88"/>
      <c r="F532" s="39" t="s">
        <v>48</v>
      </c>
      <c r="G532" s="89"/>
      <c r="H532" s="36" t="s">
        <v>48</v>
      </c>
      <c r="K532" s="90"/>
    </row>
    <row r="533">
      <c r="C533" s="88"/>
      <c r="F533" s="39" t="s">
        <v>48</v>
      </c>
      <c r="G533" s="89"/>
      <c r="H533" s="36" t="s">
        <v>48</v>
      </c>
      <c r="K533" s="90"/>
    </row>
    <row r="534">
      <c r="C534" s="88"/>
      <c r="F534" s="39" t="s">
        <v>48</v>
      </c>
      <c r="G534" s="89"/>
      <c r="H534" s="36" t="s">
        <v>48</v>
      </c>
      <c r="K534" s="90"/>
    </row>
    <row r="535">
      <c r="C535" s="88"/>
      <c r="F535" s="39" t="s">
        <v>48</v>
      </c>
      <c r="G535" s="89"/>
      <c r="H535" s="36" t="s">
        <v>48</v>
      </c>
      <c r="K535" s="90"/>
    </row>
    <row r="536">
      <c r="C536" s="88"/>
      <c r="F536" s="39" t="s">
        <v>48</v>
      </c>
      <c r="G536" s="89"/>
      <c r="H536" s="36" t="s">
        <v>48</v>
      </c>
      <c r="K536" s="90"/>
    </row>
    <row r="537">
      <c r="C537" s="88"/>
      <c r="F537" s="39" t="s">
        <v>48</v>
      </c>
      <c r="G537" s="89"/>
      <c r="H537" s="36" t="s">
        <v>48</v>
      </c>
      <c r="K537" s="90"/>
    </row>
    <row r="538">
      <c r="C538" s="88"/>
      <c r="F538" s="39" t="s">
        <v>48</v>
      </c>
      <c r="G538" s="89"/>
      <c r="H538" s="36" t="s">
        <v>48</v>
      </c>
      <c r="K538" s="90"/>
    </row>
    <row r="539">
      <c r="C539" s="88"/>
      <c r="F539" s="39" t="s">
        <v>48</v>
      </c>
      <c r="G539" s="89"/>
      <c r="H539" s="36" t="s">
        <v>48</v>
      </c>
      <c r="K539" s="90"/>
    </row>
    <row r="540">
      <c r="C540" s="88"/>
      <c r="F540" s="39" t="s">
        <v>48</v>
      </c>
      <c r="G540" s="89"/>
      <c r="H540" s="36" t="s">
        <v>48</v>
      </c>
      <c r="K540" s="90"/>
    </row>
    <row r="541">
      <c r="C541" s="88"/>
      <c r="F541" s="39" t="s">
        <v>48</v>
      </c>
      <c r="G541" s="89"/>
      <c r="H541" s="36" t="s">
        <v>48</v>
      </c>
      <c r="K541" s="90"/>
    </row>
    <row r="542">
      <c r="C542" s="88"/>
      <c r="F542" s="39" t="s">
        <v>48</v>
      </c>
      <c r="G542" s="89"/>
      <c r="H542" s="36" t="s">
        <v>48</v>
      </c>
      <c r="K542" s="90"/>
    </row>
    <row r="543">
      <c r="C543" s="88"/>
      <c r="F543" s="39" t="s">
        <v>48</v>
      </c>
      <c r="G543" s="89"/>
      <c r="H543" s="36" t="s">
        <v>48</v>
      </c>
      <c r="K543" s="90"/>
    </row>
    <row r="544">
      <c r="C544" s="88"/>
      <c r="F544" s="39" t="s">
        <v>48</v>
      </c>
      <c r="G544" s="89"/>
      <c r="H544" s="36" t="s">
        <v>48</v>
      </c>
      <c r="K544" s="90"/>
    </row>
    <row r="545">
      <c r="C545" s="88"/>
      <c r="F545" s="39" t="s">
        <v>48</v>
      </c>
      <c r="G545" s="89"/>
      <c r="H545" s="36" t="s">
        <v>48</v>
      </c>
      <c r="K545" s="90"/>
    </row>
    <row r="546">
      <c r="C546" s="88"/>
      <c r="F546" s="39" t="s">
        <v>48</v>
      </c>
      <c r="G546" s="89"/>
      <c r="H546" s="36" t="s">
        <v>48</v>
      </c>
      <c r="K546" s="90"/>
    </row>
    <row r="547">
      <c r="C547" s="88"/>
      <c r="F547" s="39" t="s">
        <v>48</v>
      </c>
      <c r="G547" s="89"/>
      <c r="H547" s="36" t="s">
        <v>48</v>
      </c>
      <c r="K547" s="90"/>
    </row>
    <row r="548">
      <c r="C548" s="88"/>
      <c r="F548" s="39" t="s">
        <v>48</v>
      </c>
      <c r="G548" s="89"/>
      <c r="H548" s="36" t="s">
        <v>48</v>
      </c>
      <c r="K548" s="90"/>
    </row>
    <row r="549">
      <c r="C549" s="88"/>
      <c r="F549" s="39" t="s">
        <v>48</v>
      </c>
      <c r="G549" s="89"/>
      <c r="H549" s="36" t="s">
        <v>48</v>
      </c>
      <c r="K549" s="90"/>
    </row>
    <row r="550">
      <c r="C550" s="88"/>
      <c r="F550" s="39" t="s">
        <v>48</v>
      </c>
      <c r="G550" s="89"/>
      <c r="H550" s="36" t="s">
        <v>48</v>
      </c>
      <c r="K550" s="90"/>
    </row>
    <row r="551">
      <c r="C551" s="88"/>
      <c r="F551" s="39" t="s">
        <v>48</v>
      </c>
      <c r="G551" s="89"/>
      <c r="H551" s="36" t="s">
        <v>48</v>
      </c>
      <c r="K551" s="90"/>
    </row>
    <row r="552">
      <c r="C552" s="88"/>
      <c r="F552" s="39" t="s">
        <v>48</v>
      </c>
      <c r="G552" s="89"/>
      <c r="H552" s="36" t="s">
        <v>48</v>
      </c>
      <c r="K552" s="90"/>
    </row>
    <row r="553">
      <c r="C553" s="88"/>
      <c r="F553" s="39" t="s">
        <v>48</v>
      </c>
      <c r="G553" s="89"/>
      <c r="H553" s="36" t="s">
        <v>48</v>
      </c>
      <c r="K553" s="90"/>
    </row>
    <row r="554">
      <c r="C554" s="88"/>
      <c r="F554" s="39" t="s">
        <v>48</v>
      </c>
      <c r="G554" s="89"/>
      <c r="H554" s="36" t="s">
        <v>48</v>
      </c>
      <c r="K554" s="90"/>
    </row>
    <row r="555">
      <c r="C555" s="88"/>
      <c r="F555" s="39" t="s">
        <v>48</v>
      </c>
      <c r="G555" s="89"/>
      <c r="H555" s="36" t="s">
        <v>48</v>
      </c>
      <c r="K555" s="90"/>
    </row>
    <row r="556">
      <c r="C556" s="88"/>
      <c r="F556" s="39" t="s">
        <v>48</v>
      </c>
      <c r="G556" s="89"/>
      <c r="H556" s="36" t="s">
        <v>48</v>
      </c>
      <c r="K556" s="90"/>
    </row>
    <row r="557">
      <c r="C557" s="88"/>
      <c r="F557" s="39" t="s">
        <v>48</v>
      </c>
      <c r="G557" s="89"/>
      <c r="H557" s="36" t="s">
        <v>48</v>
      </c>
      <c r="K557" s="90"/>
    </row>
    <row r="558">
      <c r="C558" s="88"/>
      <c r="F558" s="39" t="s">
        <v>48</v>
      </c>
      <c r="G558" s="89"/>
      <c r="H558" s="36" t="s">
        <v>48</v>
      </c>
      <c r="K558" s="90"/>
    </row>
    <row r="559">
      <c r="C559" s="88"/>
      <c r="F559" s="39" t="s">
        <v>48</v>
      </c>
      <c r="G559" s="89"/>
      <c r="H559" s="36" t="s">
        <v>48</v>
      </c>
      <c r="K559" s="90"/>
    </row>
    <row r="560">
      <c r="C560" s="88"/>
      <c r="F560" s="39" t="s">
        <v>48</v>
      </c>
      <c r="G560" s="89"/>
      <c r="H560" s="36" t="s">
        <v>48</v>
      </c>
      <c r="K560" s="90"/>
    </row>
    <row r="561">
      <c r="C561" s="88"/>
      <c r="F561" s="39" t="s">
        <v>48</v>
      </c>
      <c r="G561" s="89"/>
      <c r="H561" s="36" t="s">
        <v>48</v>
      </c>
      <c r="K561" s="90"/>
    </row>
    <row r="562">
      <c r="C562" s="88"/>
      <c r="F562" s="39" t="s">
        <v>48</v>
      </c>
      <c r="G562" s="89"/>
      <c r="H562" s="36" t="s">
        <v>48</v>
      </c>
      <c r="K562" s="90"/>
    </row>
    <row r="563">
      <c r="C563" s="88"/>
      <c r="F563" s="39" t="s">
        <v>48</v>
      </c>
      <c r="G563" s="89"/>
      <c r="H563" s="36" t="s">
        <v>48</v>
      </c>
      <c r="K563" s="90"/>
    </row>
    <row r="564">
      <c r="C564" s="88"/>
      <c r="F564" s="39" t="s">
        <v>48</v>
      </c>
      <c r="G564" s="89"/>
      <c r="H564" s="36" t="s">
        <v>48</v>
      </c>
      <c r="K564" s="90"/>
    </row>
    <row r="565">
      <c r="C565" s="88"/>
      <c r="F565" s="39" t="s">
        <v>48</v>
      </c>
      <c r="G565" s="89"/>
      <c r="H565" s="36" t="s">
        <v>48</v>
      </c>
      <c r="K565" s="90"/>
    </row>
    <row r="566">
      <c r="C566" s="88"/>
      <c r="F566" s="39" t="s">
        <v>48</v>
      </c>
      <c r="G566" s="89"/>
      <c r="H566" s="36" t="s">
        <v>48</v>
      </c>
      <c r="K566" s="90"/>
    </row>
    <row r="567">
      <c r="C567" s="88"/>
      <c r="F567" s="39" t="s">
        <v>48</v>
      </c>
      <c r="G567" s="89"/>
      <c r="H567" s="36" t="s">
        <v>48</v>
      </c>
      <c r="K567" s="90"/>
    </row>
    <row r="568">
      <c r="C568" s="88"/>
      <c r="F568" s="39" t="s">
        <v>48</v>
      </c>
      <c r="G568" s="89"/>
      <c r="H568" s="36" t="s">
        <v>48</v>
      </c>
      <c r="K568" s="90"/>
    </row>
    <row r="569">
      <c r="C569" s="88"/>
      <c r="F569" s="39" t="s">
        <v>48</v>
      </c>
      <c r="G569" s="89"/>
      <c r="H569" s="36" t="s">
        <v>48</v>
      </c>
      <c r="K569" s="90"/>
    </row>
    <row r="570">
      <c r="C570" s="88"/>
      <c r="F570" s="39" t="s">
        <v>48</v>
      </c>
      <c r="G570" s="89"/>
      <c r="H570" s="36" t="s">
        <v>48</v>
      </c>
      <c r="K570" s="90"/>
    </row>
    <row r="571">
      <c r="C571" s="88"/>
      <c r="F571" s="39" t="s">
        <v>48</v>
      </c>
      <c r="G571" s="89"/>
      <c r="H571" s="36" t="s">
        <v>48</v>
      </c>
      <c r="K571" s="90"/>
    </row>
    <row r="572">
      <c r="C572" s="88"/>
      <c r="F572" s="39" t="s">
        <v>48</v>
      </c>
      <c r="G572" s="89"/>
      <c r="H572" s="36" t="s">
        <v>48</v>
      </c>
      <c r="K572" s="90"/>
    </row>
    <row r="573">
      <c r="C573" s="88"/>
      <c r="F573" s="39" t="s">
        <v>48</v>
      </c>
      <c r="G573" s="89"/>
      <c r="H573" s="36" t="s">
        <v>48</v>
      </c>
      <c r="K573" s="90"/>
    </row>
    <row r="574">
      <c r="C574" s="88"/>
      <c r="F574" s="39" t="s">
        <v>48</v>
      </c>
      <c r="G574" s="89"/>
      <c r="H574" s="36" t="s">
        <v>48</v>
      </c>
      <c r="K574" s="90"/>
    </row>
    <row r="575">
      <c r="C575" s="88"/>
      <c r="F575" s="39" t="s">
        <v>48</v>
      </c>
      <c r="G575" s="89"/>
      <c r="H575" s="36" t="s">
        <v>48</v>
      </c>
      <c r="K575" s="90"/>
    </row>
    <row r="576">
      <c r="C576" s="88"/>
      <c r="F576" s="39" t="s">
        <v>48</v>
      </c>
      <c r="G576" s="89"/>
      <c r="H576" s="36" t="s">
        <v>48</v>
      </c>
      <c r="K576" s="90"/>
    </row>
    <row r="577">
      <c r="C577" s="88"/>
      <c r="F577" s="39" t="s">
        <v>48</v>
      </c>
      <c r="G577" s="89"/>
      <c r="H577" s="36" t="s">
        <v>48</v>
      </c>
      <c r="K577" s="90"/>
    </row>
    <row r="578">
      <c r="C578" s="88"/>
      <c r="F578" s="39" t="s">
        <v>48</v>
      </c>
      <c r="G578" s="89"/>
      <c r="H578" s="36" t="s">
        <v>48</v>
      </c>
      <c r="K578" s="90"/>
    </row>
    <row r="579">
      <c r="C579" s="88"/>
      <c r="F579" s="39" t="s">
        <v>48</v>
      </c>
      <c r="G579" s="89"/>
      <c r="H579" s="36" t="s">
        <v>48</v>
      </c>
      <c r="K579" s="90"/>
    </row>
    <row r="580">
      <c r="C580" s="88"/>
      <c r="F580" s="39" t="s">
        <v>48</v>
      </c>
      <c r="G580" s="89"/>
      <c r="H580" s="36" t="s">
        <v>48</v>
      </c>
      <c r="K580" s="90"/>
    </row>
    <row r="581">
      <c r="C581" s="88"/>
      <c r="F581" s="39" t="s">
        <v>48</v>
      </c>
      <c r="G581" s="89"/>
      <c r="H581" s="36" t="s">
        <v>48</v>
      </c>
      <c r="K581" s="90"/>
    </row>
    <row r="582">
      <c r="C582" s="88"/>
      <c r="F582" s="39" t="s">
        <v>48</v>
      </c>
      <c r="G582" s="89"/>
      <c r="H582" s="36" t="s">
        <v>48</v>
      </c>
      <c r="K582" s="90"/>
    </row>
    <row r="583">
      <c r="C583" s="88"/>
      <c r="F583" s="39" t="s">
        <v>48</v>
      </c>
      <c r="G583" s="89"/>
      <c r="H583" s="36" t="s">
        <v>48</v>
      </c>
      <c r="K583" s="90"/>
    </row>
    <row r="584">
      <c r="C584" s="88"/>
      <c r="F584" s="39" t="s">
        <v>48</v>
      </c>
      <c r="G584" s="89"/>
      <c r="H584" s="36" t="s">
        <v>48</v>
      </c>
      <c r="K584" s="90"/>
    </row>
    <row r="585">
      <c r="C585" s="88"/>
      <c r="F585" s="39" t="s">
        <v>48</v>
      </c>
      <c r="G585" s="89"/>
      <c r="H585" s="36" t="s">
        <v>48</v>
      </c>
      <c r="K585" s="90"/>
    </row>
    <row r="586">
      <c r="C586" s="88"/>
      <c r="F586" s="39" t="s">
        <v>48</v>
      </c>
      <c r="G586" s="89"/>
      <c r="H586" s="36" t="s">
        <v>48</v>
      </c>
      <c r="K586" s="90"/>
    </row>
    <row r="587">
      <c r="C587" s="88"/>
      <c r="F587" s="39" t="s">
        <v>48</v>
      </c>
      <c r="G587" s="89"/>
      <c r="H587" s="36" t="s">
        <v>48</v>
      </c>
      <c r="K587" s="90"/>
    </row>
    <row r="588">
      <c r="C588" s="88"/>
      <c r="F588" s="39" t="s">
        <v>48</v>
      </c>
      <c r="G588" s="89"/>
      <c r="H588" s="36" t="s">
        <v>48</v>
      </c>
      <c r="K588" s="90"/>
    </row>
    <row r="589">
      <c r="C589" s="88"/>
      <c r="F589" s="39" t="s">
        <v>48</v>
      </c>
      <c r="G589" s="89"/>
      <c r="H589" s="36" t="s">
        <v>48</v>
      </c>
      <c r="K589" s="90"/>
    </row>
    <row r="590">
      <c r="C590" s="88"/>
      <c r="F590" s="39" t="s">
        <v>48</v>
      </c>
      <c r="G590" s="89"/>
      <c r="H590" s="36" t="s">
        <v>48</v>
      </c>
      <c r="K590" s="90"/>
    </row>
    <row r="591">
      <c r="C591" s="88"/>
      <c r="F591" s="39" t="s">
        <v>48</v>
      </c>
      <c r="G591" s="89"/>
      <c r="H591" s="36" t="s">
        <v>48</v>
      </c>
      <c r="K591" s="90"/>
    </row>
    <row r="592">
      <c r="C592" s="88"/>
      <c r="F592" s="39" t="s">
        <v>48</v>
      </c>
      <c r="G592" s="89"/>
      <c r="H592" s="36" t="s">
        <v>48</v>
      </c>
      <c r="K592" s="90"/>
    </row>
    <row r="593">
      <c r="C593" s="88"/>
      <c r="F593" s="39" t="s">
        <v>48</v>
      </c>
      <c r="G593" s="89"/>
      <c r="H593" s="36" t="s">
        <v>48</v>
      </c>
      <c r="K593" s="90"/>
    </row>
    <row r="594">
      <c r="C594" s="88"/>
      <c r="F594" s="39" t="s">
        <v>48</v>
      </c>
      <c r="G594" s="89"/>
      <c r="H594" s="36" t="s">
        <v>48</v>
      </c>
      <c r="K594" s="90"/>
    </row>
    <row r="595">
      <c r="C595" s="88"/>
      <c r="F595" s="39" t="s">
        <v>48</v>
      </c>
      <c r="G595" s="89"/>
      <c r="H595" s="36" t="s">
        <v>48</v>
      </c>
      <c r="K595" s="90"/>
    </row>
    <row r="596">
      <c r="C596" s="88"/>
      <c r="F596" s="39" t="s">
        <v>48</v>
      </c>
      <c r="G596" s="89"/>
      <c r="H596" s="36" t="s">
        <v>48</v>
      </c>
      <c r="K596" s="90"/>
    </row>
    <row r="597">
      <c r="C597" s="88"/>
      <c r="F597" s="39" t="s">
        <v>48</v>
      </c>
      <c r="G597" s="89"/>
      <c r="H597" s="36" t="s">
        <v>48</v>
      </c>
      <c r="K597" s="90"/>
    </row>
    <row r="598">
      <c r="C598" s="88"/>
      <c r="F598" s="39" t="s">
        <v>48</v>
      </c>
      <c r="G598" s="89"/>
      <c r="H598" s="36" t="s">
        <v>48</v>
      </c>
      <c r="K598" s="90"/>
    </row>
    <row r="599">
      <c r="C599" s="88"/>
      <c r="F599" s="39" t="s">
        <v>48</v>
      </c>
      <c r="G599" s="89"/>
      <c r="H599" s="36" t="s">
        <v>48</v>
      </c>
      <c r="K599" s="90"/>
    </row>
    <row r="600">
      <c r="C600" s="88"/>
      <c r="F600" s="39" t="s">
        <v>48</v>
      </c>
      <c r="G600" s="89"/>
      <c r="H600" s="36" t="s">
        <v>48</v>
      </c>
      <c r="K600" s="90"/>
    </row>
    <row r="601">
      <c r="C601" s="88"/>
      <c r="F601" s="39" t="s">
        <v>48</v>
      </c>
      <c r="G601" s="89"/>
      <c r="H601" s="36" t="s">
        <v>48</v>
      </c>
      <c r="K601" s="90"/>
    </row>
    <row r="602">
      <c r="C602" s="88"/>
      <c r="F602" s="39" t="s">
        <v>48</v>
      </c>
      <c r="G602" s="89"/>
      <c r="H602" s="36" t="s">
        <v>48</v>
      </c>
      <c r="K602" s="90"/>
    </row>
    <row r="603">
      <c r="C603" s="88"/>
      <c r="F603" s="39" t="s">
        <v>48</v>
      </c>
      <c r="G603" s="89"/>
      <c r="H603" s="36" t="s">
        <v>48</v>
      </c>
      <c r="K603" s="90"/>
    </row>
    <row r="604">
      <c r="C604" s="88"/>
      <c r="F604" s="39" t="s">
        <v>48</v>
      </c>
      <c r="G604" s="89"/>
      <c r="H604" s="36" t="s">
        <v>48</v>
      </c>
      <c r="K604" s="90"/>
    </row>
    <row r="605">
      <c r="C605" s="88"/>
      <c r="F605" s="39" t="s">
        <v>48</v>
      </c>
      <c r="G605" s="89"/>
      <c r="H605" s="36" t="s">
        <v>48</v>
      </c>
      <c r="K605" s="90"/>
    </row>
    <row r="606">
      <c r="C606" s="88"/>
      <c r="F606" s="39" t="s">
        <v>48</v>
      </c>
      <c r="G606" s="89"/>
      <c r="H606" s="36" t="s">
        <v>48</v>
      </c>
      <c r="K606" s="90"/>
    </row>
    <row r="607">
      <c r="C607" s="88"/>
      <c r="F607" s="39" t="s">
        <v>48</v>
      </c>
      <c r="G607" s="89"/>
      <c r="H607" s="36" t="s">
        <v>48</v>
      </c>
      <c r="K607" s="90"/>
    </row>
    <row r="608">
      <c r="C608" s="88"/>
      <c r="F608" s="39" t="s">
        <v>48</v>
      </c>
      <c r="G608" s="89"/>
      <c r="H608" s="36" t="s">
        <v>48</v>
      </c>
      <c r="K608" s="90"/>
    </row>
    <row r="609">
      <c r="C609" s="88"/>
      <c r="F609" s="39" t="s">
        <v>48</v>
      </c>
      <c r="G609" s="89"/>
      <c r="H609" s="36" t="s">
        <v>48</v>
      </c>
      <c r="K609" s="90"/>
    </row>
    <row r="610">
      <c r="C610" s="88"/>
      <c r="F610" s="39" t="s">
        <v>48</v>
      </c>
      <c r="G610" s="89"/>
      <c r="H610" s="36" t="s">
        <v>48</v>
      </c>
      <c r="K610" s="90"/>
    </row>
    <row r="611">
      <c r="C611" s="88"/>
      <c r="F611" s="39" t="s">
        <v>48</v>
      </c>
      <c r="G611" s="89"/>
      <c r="H611" s="36" t="s">
        <v>48</v>
      </c>
      <c r="K611" s="90"/>
    </row>
    <row r="612">
      <c r="C612" s="88"/>
      <c r="F612" s="39" t="s">
        <v>48</v>
      </c>
      <c r="G612" s="89"/>
      <c r="H612" s="36" t="s">
        <v>48</v>
      </c>
      <c r="K612" s="90"/>
    </row>
    <row r="613">
      <c r="C613" s="88"/>
      <c r="F613" s="39" t="s">
        <v>48</v>
      </c>
      <c r="G613" s="89"/>
      <c r="H613" s="36" t="s">
        <v>48</v>
      </c>
      <c r="K613" s="90"/>
    </row>
    <row r="614">
      <c r="C614" s="88"/>
      <c r="F614" s="39" t="s">
        <v>48</v>
      </c>
      <c r="G614" s="89"/>
      <c r="H614" s="36" t="s">
        <v>48</v>
      </c>
      <c r="K614" s="90"/>
    </row>
    <row r="615">
      <c r="C615" s="88"/>
      <c r="F615" s="39" t="s">
        <v>48</v>
      </c>
      <c r="G615" s="89"/>
      <c r="H615" s="36" t="s">
        <v>48</v>
      </c>
      <c r="K615" s="90"/>
    </row>
    <row r="616">
      <c r="C616" s="88"/>
      <c r="F616" s="39" t="s">
        <v>48</v>
      </c>
      <c r="G616" s="89"/>
      <c r="H616" s="36" t="s">
        <v>48</v>
      </c>
      <c r="K616" s="90"/>
    </row>
    <row r="617">
      <c r="C617" s="88"/>
      <c r="F617" s="39" t="s">
        <v>48</v>
      </c>
      <c r="G617" s="89"/>
      <c r="H617" s="36" t="s">
        <v>48</v>
      </c>
      <c r="K617" s="90"/>
    </row>
    <row r="618">
      <c r="C618" s="88"/>
      <c r="F618" s="39" t="s">
        <v>48</v>
      </c>
      <c r="G618" s="89"/>
      <c r="H618" s="36" t="s">
        <v>48</v>
      </c>
      <c r="K618" s="90"/>
    </row>
    <row r="619">
      <c r="C619" s="88"/>
      <c r="F619" s="39" t="s">
        <v>48</v>
      </c>
      <c r="G619" s="89"/>
      <c r="H619" s="36" t="s">
        <v>48</v>
      </c>
      <c r="K619" s="90"/>
    </row>
    <row r="620">
      <c r="C620" s="88"/>
      <c r="F620" s="39" t="s">
        <v>48</v>
      </c>
      <c r="G620" s="89"/>
      <c r="H620" s="36" t="s">
        <v>48</v>
      </c>
      <c r="K620" s="90"/>
    </row>
    <row r="621">
      <c r="C621" s="88"/>
      <c r="F621" s="39" t="s">
        <v>48</v>
      </c>
      <c r="G621" s="89"/>
      <c r="H621" s="36" t="s">
        <v>48</v>
      </c>
      <c r="K621" s="90"/>
    </row>
    <row r="622">
      <c r="C622" s="88"/>
      <c r="F622" s="39" t="s">
        <v>48</v>
      </c>
      <c r="G622" s="89"/>
      <c r="H622" s="36" t="s">
        <v>48</v>
      </c>
      <c r="K622" s="90"/>
    </row>
    <row r="623">
      <c r="C623" s="88"/>
      <c r="F623" s="39" t="s">
        <v>48</v>
      </c>
      <c r="G623" s="89"/>
      <c r="H623" s="36" t="s">
        <v>48</v>
      </c>
      <c r="K623" s="90"/>
    </row>
    <row r="624">
      <c r="C624" s="88"/>
      <c r="F624" s="39" t="s">
        <v>48</v>
      </c>
      <c r="G624" s="89"/>
      <c r="H624" s="36" t="s">
        <v>48</v>
      </c>
      <c r="K624" s="90"/>
    </row>
    <row r="625">
      <c r="C625" s="88"/>
      <c r="F625" s="39" t="s">
        <v>48</v>
      </c>
      <c r="G625" s="89"/>
      <c r="H625" s="36" t="s">
        <v>48</v>
      </c>
      <c r="K625" s="90"/>
    </row>
    <row r="626">
      <c r="C626" s="88"/>
      <c r="F626" s="39" t="s">
        <v>48</v>
      </c>
      <c r="G626" s="89"/>
      <c r="H626" s="36" t="s">
        <v>48</v>
      </c>
      <c r="K626" s="90"/>
    </row>
    <row r="627">
      <c r="C627" s="88"/>
      <c r="F627" s="39" t="s">
        <v>48</v>
      </c>
      <c r="G627" s="89"/>
      <c r="H627" s="36" t="s">
        <v>48</v>
      </c>
      <c r="K627" s="90"/>
    </row>
    <row r="628">
      <c r="C628" s="88"/>
      <c r="F628" s="39" t="s">
        <v>48</v>
      </c>
      <c r="G628" s="89"/>
      <c r="H628" s="36" t="s">
        <v>48</v>
      </c>
      <c r="K628" s="90"/>
    </row>
    <row r="629">
      <c r="C629" s="88"/>
      <c r="F629" s="39" t="s">
        <v>48</v>
      </c>
      <c r="G629" s="89"/>
      <c r="H629" s="36" t="s">
        <v>48</v>
      </c>
      <c r="K629" s="90"/>
    </row>
    <row r="630">
      <c r="C630" s="88"/>
      <c r="F630" s="39" t="s">
        <v>48</v>
      </c>
      <c r="G630" s="89"/>
      <c r="H630" s="36" t="s">
        <v>48</v>
      </c>
      <c r="K630" s="90"/>
    </row>
    <row r="631">
      <c r="C631" s="88"/>
      <c r="F631" s="39" t="s">
        <v>48</v>
      </c>
      <c r="G631" s="89"/>
      <c r="H631" s="36" t="s">
        <v>48</v>
      </c>
      <c r="K631" s="90"/>
    </row>
    <row r="632">
      <c r="C632" s="88"/>
      <c r="F632" s="39" t="s">
        <v>48</v>
      </c>
      <c r="G632" s="89"/>
      <c r="H632" s="36" t="s">
        <v>48</v>
      </c>
      <c r="K632" s="90"/>
    </row>
    <row r="633">
      <c r="C633" s="88"/>
      <c r="F633" s="39" t="s">
        <v>48</v>
      </c>
      <c r="G633" s="89"/>
      <c r="H633" s="36" t="s">
        <v>48</v>
      </c>
      <c r="K633" s="90"/>
    </row>
    <row r="634">
      <c r="C634" s="88"/>
      <c r="F634" s="39" t="s">
        <v>48</v>
      </c>
      <c r="G634" s="89"/>
      <c r="H634" s="36" t="s">
        <v>48</v>
      </c>
      <c r="K634" s="90"/>
    </row>
    <row r="635">
      <c r="C635" s="88"/>
      <c r="F635" s="39" t="s">
        <v>48</v>
      </c>
      <c r="G635" s="89"/>
      <c r="H635" s="36" t="s">
        <v>48</v>
      </c>
      <c r="K635" s="90"/>
    </row>
    <row r="636">
      <c r="C636" s="88"/>
      <c r="F636" s="39" t="s">
        <v>48</v>
      </c>
      <c r="G636" s="89"/>
      <c r="H636" s="36" t="s">
        <v>48</v>
      </c>
      <c r="K636" s="90"/>
    </row>
    <row r="637">
      <c r="C637" s="88"/>
      <c r="F637" s="39" t="s">
        <v>48</v>
      </c>
      <c r="G637" s="89"/>
      <c r="H637" s="36" t="s">
        <v>48</v>
      </c>
      <c r="K637" s="90"/>
    </row>
    <row r="638">
      <c r="C638" s="88"/>
      <c r="F638" s="39" t="s">
        <v>48</v>
      </c>
      <c r="G638" s="89"/>
      <c r="H638" s="36" t="s">
        <v>48</v>
      </c>
      <c r="K638" s="90"/>
    </row>
    <row r="639">
      <c r="C639" s="88"/>
      <c r="F639" s="39" t="s">
        <v>48</v>
      </c>
      <c r="G639" s="89"/>
      <c r="H639" s="36" t="s">
        <v>48</v>
      </c>
      <c r="K639" s="90"/>
    </row>
    <row r="640">
      <c r="C640" s="88"/>
      <c r="F640" s="39" t="s">
        <v>48</v>
      </c>
      <c r="G640" s="89"/>
      <c r="H640" s="36" t="s">
        <v>48</v>
      </c>
      <c r="K640" s="90"/>
    </row>
    <row r="641">
      <c r="C641" s="88"/>
      <c r="F641" s="39" t="s">
        <v>48</v>
      </c>
      <c r="G641" s="89"/>
      <c r="H641" s="36" t="s">
        <v>48</v>
      </c>
      <c r="K641" s="90"/>
    </row>
    <row r="642">
      <c r="C642" s="88"/>
      <c r="F642" s="39" t="s">
        <v>48</v>
      </c>
      <c r="G642" s="89"/>
      <c r="H642" s="36" t="s">
        <v>48</v>
      </c>
      <c r="K642" s="90"/>
    </row>
    <row r="643">
      <c r="C643" s="88"/>
      <c r="F643" s="39" t="s">
        <v>48</v>
      </c>
      <c r="G643" s="89"/>
      <c r="H643" s="36" t="s">
        <v>48</v>
      </c>
      <c r="K643" s="90"/>
    </row>
    <row r="644">
      <c r="C644" s="88"/>
      <c r="F644" s="39" t="s">
        <v>48</v>
      </c>
      <c r="G644" s="89"/>
      <c r="H644" s="36" t="s">
        <v>48</v>
      </c>
      <c r="K644" s="90"/>
    </row>
    <row r="645">
      <c r="C645" s="88"/>
      <c r="F645" s="39" t="s">
        <v>48</v>
      </c>
      <c r="G645" s="89"/>
      <c r="H645" s="36" t="s">
        <v>48</v>
      </c>
      <c r="K645" s="90"/>
    </row>
    <row r="646">
      <c r="C646" s="88"/>
      <c r="F646" s="39" t="s">
        <v>48</v>
      </c>
      <c r="G646" s="89"/>
      <c r="H646" s="36" t="s">
        <v>48</v>
      </c>
      <c r="K646" s="90"/>
    </row>
    <row r="647">
      <c r="C647" s="88"/>
      <c r="F647" s="39" t="s">
        <v>48</v>
      </c>
      <c r="G647" s="89"/>
      <c r="H647" s="36" t="s">
        <v>48</v>
      </c>
      <c r="K647" s="90"/>
    </row>
    <row r="648">
      <c r="C648" s="88"/>
      <c r="F648" s="39" t="s">
        <v>48</v>
      </c>
      <c r="G648" s="89"/>
      <c r="H648" s="36" t="s">
        <v>48</v>
      </c>
      <c r="K648" s="90"/>
    </row>
    <row r="649">
      <c r="C649" s="88"/>
      <c r="F649" s="39" t="s">
        <v>48</v>
      </c>
      <c r="G649" s="89"/>
      <c r="H649" s="36" t="s">
        <v>48</v>
      </c>
      <c r="K649" s="90"/>
    </row>
    <row r="650">
      <c r="C650" s="88"/>
      <c r="F650" s="39" t="s">
        <v>48</v>
      </c>
      <c r="G650" s="89"/>
      <c r="H650" s="36" t="s">
        <v>48</v>
      </c>
      <c r="K650" s="90"/>
    </row>
    <row r="651">
      <c r="C651" s="88"/>
      <c r="F651" s="39" t="s">
        <v>48</v>
      </c>
      <c r="G651" s="89"/>
      <c r="H651" s="36" t="s">
        <v>48</v>
      </c>
      <c r="K651" s="90"/>
    </row>
    <row r="652">
      <c r="C652" s="88"/>
      <c r="F652" s="39" t="s">
        <v>48</v>
      </c>
      <c r="G652" s="89"/>
      <c r="H652" s="36" t="s">
        <v>48</v>
      </c>
      <c r="K652" s="90"/>
    </row>
    <row r="653">
      <c r="C653" s="88"/>
      <c r="F653" s="39" t="s">
        <v>48</v>
      </c>
      <c r="G653" s="89"/>
      <c r="H653" s="36" t="s">
        <v>48</v>
      </c>
      <c r="K653" s="90"/>
    </row>
    <row r="654">
      <c r="C654" s="88"/>
      <c r="F654" s="39" t="s">
        <v>48</v>
      </c>
      <c r="G654" s="89"/>
      <c r="H654" s="36" t="s">
        <v>48</v>
      </c>
      <c r="K654" s="90"/>
    </row>
    <row r="655">
      <c r="C655" s="88"/>
      <c r="F655" s="39" t="s">
        <v>48</v>
      </c>
      <c r="G655" s="89"/>
      <c r="H655" s="36" t="s">
        <v>48</v>
      </c>
      <c r="K655" s="90"/>
    </row>
    <row r="656">
      <c r="C656" s="88"/>
      <c r="F656" s="39" t="s">
        <v>48</v>
      </c>
      <c r="G656" s="89"/>
      <c r="H656" s="36" t="s">
        <v>48</v>
      </c>
      <c r="K656" s="90"/>
    </row>
    <row r="657">
      <c r="C657" s="88"/>
      <c r="F657" s="39" t="s">
        <v>48</v>
      </c>
      <c r="G657" s="89"/>
      <c r="H657" s="36" t="s">
        <v>48</v>
      </c>
      <c r="K657" s="90"/>
    </row>
    <row r="658">
      <c r="C658" s="88"/>
      <c r="F658" s="39" t="s">
        <v>48</v>
      </c>
      <c r="G658" s="89"/>
      <c r="H658" s="36" t="s">
        <v>48</v>
      </c>
      <c r="K658" s="90"/>
    </row>
    <row r="659">
      <c r="C659" s="88"/>
      <c r="F659" s="39" t="s">
        <v>48</v>
      </c>
      <c r="G659" s="89"/>
      <c r="H659" s="36" t="s">
        <v>48</v>
      </c>
      <c r="K659" s="90"/>
    </row>
    <row r="660">
      <c r="C660" s="88"/>
      <c r="F660" s="39" t="s">
        <v>48</v>
      </c>
      <c r="G660" s="89"/>
      <c r="H660" s="36" t="s">
        <v>48</v>
      </c>
      <c r="K660" s="90"/>
    </row>
    <row r="661">
      <c r="C661" s="88"/>
      <c r="F661" s="39" t="s">
        <v>48</v>
      </c>
      <c r="G661" s="89"/>
      <c r="H661" s="36" t="s">
        <v>48</v>
      </c>
      <c r="K661" s="90"/>
    </row>
    <row r="662">
      <c r="C662" s="88"/>
      <c r="F662" s="39" t="s">
        <v>48</v>
      </c>
      <c r="G662" s="89"/>
      <c r="H662" s="36" t="s">
        <v>48</v>
      </c>
      <c r="K662" s="90"/>
    </row>
    <row r="663">
      <c r="C663" s="88"/>
      <c r="F663" s="39" t="s">
        <v>48</v>
      </c>
      <c r="G663" s="89"/>
      <c r="H663" s="36" t="s">
        <v>48</v>
      </c>
      <c r="K663" s="90"/>
    </row>
    <row r="664">
      <c r="C664" s="88"/>
      <c r="F664" s="39" t="s">
        <v>48</v>
      </c>
      <c r="G664" s="89"/>
      <c r="H664" s="36" t="s">
        <v>48</v>
      </c>
      <c r="K664" s="90"/>
    </row>
    <row r="665">
      <c r="C665" s="88"/>
      <c r="F665" s="39" t="s">
        <v>48</v>
      </c>
      <c r="G665" s="89"/>
      <c r="H665" s="36" t="s">
        <v>48</v>
      </c>
      <c r="K665" s="90"/>
    </row>
    <row r="666">
      <c r="C666" s="88"/>
      <c r="F666" s="39" t="s">
        <v>48</v>
      </c>
      <c r="G666" s="89"/>
      <c r="H666" s="36" t="s">
        <v>48</v>
      </c>
      <c r="K666" s="90"/>
    </row>
    <row r="667">
      <c r="C667" s="88"/>
      <c r="F667" s="39" t="s">
        <v>48</v>
      </c>
      <c r="G667" s="89"/>
      <c r="H667" s="36" t="s">
        <v>48</v>
      </c>
      <c r="K667" s="90"/>
    </row>
    <row r="668">
      <c r="C668" s="88"/>
      <c r="F668" s="39" t="s">
        <v>48</v>
      </c>
      <c r="G668" s="89"/>
      <c r="H668" s="36" t="s">
        <v>48</v>
      </c>
      <c r="K668" s="90"/>
    </row>
    <row r="669">
      <c r="C669" s="88"/>
      <c r="F669" s="39" t="s">
        <v>48</v>
      </c>
      <c r="G669" s="89"/>
      <c r="H669" s="36" t="s">
        <v>48</v>
      </c>
      <c r="K669" s="90"/>
    </row>
    <row r="670">
      <c r="C670" s="88"/>
      <c r="F670" s="39" t="s">
        <v>48</v>
      </c>
      <c r="G670" s="89"/>
      <c r="H670" s="36" t="s">
        <v>48</v>
      </c>
      <c r="K670" s="90"/>
    </row>
    <row r="671">
      <c r="C671" s="88"/>
      <c r="F671" s="39" t="s">
        <v>48</v>
      </c>
      <c r="G671" s="89"/>
      <c r="H671" s="36" t="s">
        <v>48</v>
      </c>
      <c r="K671" s="90"/>
    </row>
    <row r="672">
      <c r="C672" s="88"/>
      <c r="F672" s="39" t="s">
        <v>48</v>
      </c>
      <c r="G672" s="89"/>
      <c r="H672" s="36" t="s">
        <v>48</v>
      </c>
      <c r="K672" s="90"/>
    </row>
    <row r="673">
      <c r="C673" s="88"/>
      <c r="F673" s="39" t="s">
        <v>48</v>
      </c>
      <c r="G673" s="89"/>
      <c r="H673" s="36" t="s">
        <v>48</v>
      </c>
      <c r="K673" s="90"/>
    </row>
    <row r="674">
      <c r="C674" s="88"/>
      <c r="F674" s="39" t="s">
        <v>48</v>
      </c>
      <c r="G674" s="89"/>
      <c r="H674" s="36" t="s">
        <v>48</v>
      </c>
      <c r="K674" s="90"/>
    </row>
    <row r="675">
      <c r="C675" s="88"/>
      <c r="F675" s="39" t="s">
        <v>48</v>
      </c>
      <c r="G675" s="89"/>
      <c r="H675" s="36" t="s">
        <v>48</v>
      </c>
      <c r="K675" s="90"/>
    </row>
    <row r="676">
      <c r="C676" s="88"/>
      <c r="F676" s="39" t="s">
        <v>48</v>
      </c>
      <c r="G676" s="89"/>
      <c r="H676" s="36" t="s">
        <v>48</v>
      </c>
      <c r="K676" s="90"/>
    </row>
    <row r="677">
      <c r="C677" s="88"/>
      <c r="F677" s="39" t="s">
        <v>48</v>
      </c>
      <c r="G677" s="89"/>
      <c r="H677" s="36" t="s">
        <v>48</v>
      </c>
      <c r="K677" s="90"/>
    </row>
    <row r="678">
      <c r="C678" s="88"/>
      <c r="F678" s="39" t="s">
        <v>48</v>
      </c>
      <c r="G678" s="89"/>
      <c r="H678" s="36" t="s">
        <v>48</v>
      </c>
      <c r="K678" s="90"/>
    </row>
    <row r="679">
      <c r="C679" s="88"/>
      <c r="F679" s="39" t="s">
        <v>48</v>
      </c>
      <c r="G679" s="89"/>
      <c r="H679" s="36" t="s">
        <v>48</v>
      </c>
      <c r="K679" s="90"/>
    </row>
    <row r="680">
      <c r="C680" s="88"/>
      <c r="F680" s="39" t="s">
        <v>48</v>
      </c>
      <c r="G680" s="89"/>
      <c r="H680" s="36" t="s">
        <v>48</v>
      </c>
      <c r="K680" s="90"/>
    </row>
    <row r="681">
      <c r="C681" s="88"/>
      <c r="F681" s="39" t="s">
        <v>48</v>
      </c>
      <c r="G681" s="89"/>
      <c r="H681" s="36" t="s">
        <v>48</v>
      </c>
      <c r="K681" s="90"/>
    </row>
    <row r="682">
      <c r="C682" s="88"/>
      <c r="F682" s="39" t="s">
        <v>48</v>
      </c>
      <c r="G682" s="89"/>
      <c r="H682" s="36" t="s">
        <v>48</v>
      </c>
      <c r="K682" s="90"/>
    </row>
    <row r="683">
      <c r="C683" s="88"/>
      <c r="F683" s="39" t="s">
        <v>48</v>
      </c>
      <c r="G683" s="89"/>
      <c r="H683" s="36" t="s">
        <v>48</v>
      </c>
      <c r="K683" s="90"/>
    </row>
    <row r="684">
      <c r="C684" s="88"/>
      <c r="F684" s="39" t="s">
        <v>48</v>
      </c>
      <c r="G684" s="89"/>
      <c r="H684" s="36" t="s">
        <v>48</v>
      </c>
      <c r="K684" s="90"/>
    </row>
    <row r="685">
      <c r="C685" s="88"/>
      <c r="F685" s="39" t="s">
        <v>48</v>
      </c>
      <c r="G685" s="89"/>
      <c r="H685" s="36" t="s">
        <v>48</v>
      </c>
      <c r="K685" s="90"/>
    </row>
    <row r="686">
      <c r="C686" s="88"/>
      <c r="F686" s="39" t="s">
        <v>48</v>
      </c>
      <c r="G686" s="89"/>
      <c r="H686" s="36" t="s">
        <v>48</v>
      </c>
      <c r="K686" s="90"/>
    </row>
    <row r="687">
      <c r="C687" s="88"/>
      <c r="F687" s="39" t="s">
        <v>48</v>
      </c>
      <c r="G687" s="89"/>
      <c r="H687" s="36" t="s">
        <v>48</v>
      </c>
      <c r="K687" s="90"/>
    </row>
    <row r="688">
      <c r="C688" s="88"/>
      <c r="F688" s="39" t="s">
        <v>48</v>
      </c>
      <c r="G688" s="89"/>
      <c r="H688" s="36" t="s">
        <v>48</v>
      </c>
      <c r="K688" s="90"/>
    </row>
    <row r="689">
      <c r="C689" s="88"/>
      <c r="F689" s="39" t="s">
        <v>48</v>
      </c>
      <c r="G689" s="89"/>
      <c r="H689" s="36" t="s">
        <v>48</v>
      </c>
      <c r="K689" s="90"/>
    </row>
    <row r="690">
      <c r="C690" s="88"/>
      <c r="F690" s="39" t="s">
        <v>48</v>
      </c>
      <c r="G690" s="89"/>
      <c r="H690" s="36" t="s">
        <v>48</v>
      </c>
      <c r="K690" s="90"/>
    </row>
    <row r="691">
      <c r="C691" s="88"/>
      <c r="F691" s="39" t="s">
        <v>48</v>
      </c>
      <c r="G691" s="89"/>
      <c r="H691" s="36" t="s">
        <v>48</v>
      </c>
      <c r="K691" s="90"/>
    </row>
    <row r="692">
      <c r="C692" s="88"/>
      <c r="F692" s="39" t="s">
        <v>48</v>
      </c>
      <c r="G692" s="89"/>
      <c r="H692" s="36" t="s">
        <v>48</v>
      </c>
      <c r="K692" s="90"/>
    </row>
    <row r="693">
      <c r="C693" s="88"/>
      <c r="F693" s="39" t="s">
        <v>48</v>
      </c>
      <c r="G693" s="89"/>
      <c r="H693" s="36" t="s">
        <v>48</v>
      </c>
      <c r="K693" s="90"/>
    </row>
    <row r="694">
      <c r="C694" s="88"/>
      <c r="F694" s="39" t="s">
        <v>48</v>
      </c>
      <c r="G694" s="89"/>
      <c r="H694" s="36" t="s">
        <v>48</v>
      </c>
      <c r="K694" s="90"/>
    </row>
    <row r="695">
      <c r="C695" s="88"/>
      <c r="F695" s="39" t="s">
        <v>48</v>
      </c>
      <c r="G695" s="89"/>
      <c r="H695" s="36" t="s">
        <v>48</v>
      </c>
      <c r="K695" s="90"/>
    </row>
    <row r="696">
      <c r="C696" s="88"/>
      <c r="F696" s="39" t="s">
        <v>48</v>
      </c>
      <c r="G696" s="89"/>
      <c r="H696" s="36" t="s">
        <v>48</v>
      </c>
      <c r="K696" s="90"/>
    </row>
    <row r="697">
      <c r="C697" s="88"/>
      <c r="F697" s="39" t="s">
        <v>48</v>
      </c>
      <c r="G697" s="89"/>
      <c r="H697" s="36" t="s">
        <v>48</v>
      </c>
      <c r="K697" s="90"/>
    </row>
    <row r="698">
      <c r="C698" s="88"/>
      <c r="F698" s="39" t="s">
        <v>48</v>
      </c>
      <c r="G698" s="89"/>
      <c r="H698" s="36" t="s">
        <v>48</v>
      </c>
      <c r="K698" s="90"/>
    </row>
    <row r="699">
      <c r="C699" s="88"/>
      <c r="F699" s="39" t="s">
        <v>48</v>
      </c>
      <c r="G699" s="89"/>
      <c r="H699" s="36" t="s">
        <v>48</v>
      </c>
      <c r="K699" s="90"/>
    </row>
    <row r="700">
      <c r="C700" s="88"/>
      <c r="F700" s="39" t="s">
        <v>48</v>
      </c>
      <c r="G700" s="89"/>
      <c r="H700" s="36" t="s">
        <v>48</v>
      </c>
      <c r="K700" s="90"/>
    </row>
    <row r="701">
      <c r="C701" s="88"/>
      <c r="F701" s="39" t="s">
        <v>48</v>
      </c>
      <c r="G701" s="89"/>
      <c r="H701" s="36" t="s">
        <v>48</v>
      </c>
      <c r="K701" s="90"/>
    </row>
    <row r="702">
      <c r="C702" s="88"/>
      <c r="F702" s="39" t="s">
        <v>48</v>
      </c>
      <c r="G702" s="89"/>
      <c r="H702" s="36" t="s">
        <v>48</v>
      </c>
      <c r="K702" s="90"/>
    </row>
    <row r="703">
      <c r="C703" s="88"/>
      <c r="F703" s="39" t="s">
        <v>48</v>
      </c>
      <c r="G703" s="89"/>
      <c r="H703" s="36" t="s">
        <v>48</v>
      </c>
      <c r="K703" s="90"/>
    </row>
    <row r="704">
      <c r="C704" s="88"/>
      <c r="F704" s="39" t="s">
        <v>48</v>
      </c>
      <c r="G704" s="89"/>
      <c r="H704" s="36" t="s">
        <v>48</v>
      </c>
      <c r="K704" s="90"/>
    </row>
    <row r="705">
      <c r="C705" s="88"/>
      <c r="F705" s="39" t="s">
        <v>48</v>
      </c>
      <c r="G705" s="89"/>
      <c r="H705" s="36" t="s">
        <v>48</v>
      </c>
      <c r="K705" s="90"/>
    </row>
    <row r="706">
      <c r="C706" s="88"/>
      <c r="F706" s="39" t="s">
        <v>48</v>
      </c>
      <c r="G706" s="89"/>
      <c r="H706" s="36" t="s">
        <v>48</v>
      </c>
      <c r="K706" s="90"/>
    </row>
    <row r="707">
      <c r="C707" s="88"/>
      <c r="F707" s="39" t="s">
        <v>48</v>
      </c>
      <c r="G707" s="89"/>
      <c r="H707" s="36" t="s">
        <v>48</v>
      </c>
      <c r="K707" s="90"/>
    </row>
    <row r="708">
      <c r="C708" s="88"/>
      <c r="F708" s="39" t="s">
        <v>48</v>
      </c>
      <c r="G708" s="89"/>
      <c r="H708" s="36" t="s">
        <v>48</v>
      </c>
      <c r="K708" s="90"/>
    </row>
    <row r="709">
      <c r="C709" s="88"/>
      <c r="F709" s="39" t="s">
        <v>48</v>
      </c>
      <c r="G709" s="89"/>
      <c r="H709" s="36" t="s">
        <v>48</v>
      </c>
      <c r="K709" s="90"/>
    </row>
    <row r="710">
      <c r="C710" s="88"/>
      <c r="F710" s="39" t="s">
        <v>48</v>
      </c>
      <c r="G710" s="89"/>
      <c r="H710" s="36" t="s">
        <v>48</v>
      </c>
      <c r="K710" s="90"/>
    </row>
    <row r="711">
      <c r="C711" s="88"/>
      <c r="F711" s="39" t="s">
        <v>48</v>
      </c>
      <c r="G711" s="89"/>
      <c r="H711" s="36" t="s">
        <v>48</v>
      </c>
      <c r="K711" s="90"/>
    </row>
    <row r="712">
      <c r="C712" s="88"/>
      <c r="F712" s="39" t="s">
        <v>48</v>
      </c>
      <c r="G712" s="89"/>
      <c r="H712" s="36" t="s">
        <v>48</v>
      </c>
      <c r="K712" s="90"/>
    </row>
    <row r="713">
      <c r="C713" s="88"/>
      <c r="F713" s="39" t="s">
        <v>48</v>
      </c>
      <c r="G713" s="89"/>
      <c r="H713" s="36" t="s">
        <v>48</v>
      </c>
      <c r="K713" s="90"/>
    </row>
    <row r="714">
      <c r="C714" s="88"/>
      <c r="F714" s="39" t="s">
        <v>48</v>
      </c>
      <c r="G714" s="89"/>
      <c r="H714" s="36" t="s">
        <v>48</v>
      </c>
      <c r="K714" s="90"/>
    </row>
    <row r="715">
      <c r="C715" s="88"/>
      <c r="F715" s="39" t="s">
        <v>48</v>
      </c>
      <c r="G715" s="89"/>
      <c r="H715" s="36" t="s">
        <v>48</v>
      </c>
      <c r="K715" s="90"/>
    </row>
    <row r="716">
      <c r="C716" s="88"/>
      <c r="F716" s="39" t="s">
        <v>48</v>
      </c>
      <c r="G716" s="89"/>
      <c r="H716" s="36" t="s">
        <v>48</v>
      </c>
      <c r="K716" s="90"/>
    </row>
    <row r="717">
      <c r="C717" s="88"/>
      <c r="F717" s="39" t="s">
        <v>48</v>
      </c>
      <c r="G717" s="89"/>
      <c r="H717" s="36" t="s">
        <v>48</v>
      </c>
      <c r="K717" s="90"/>
    </row>
    <row r="718">
      <c r="C718" s="88"/>
      <c r="F718" s="39" t="s">
        <v>48</v>
      </c>
      <c r="G718" s="89"/>
      <c r="H718" s="36" t="s">
        <v>48</v>
      </c>
      <c r="K718" s="90"/>
    </row>
    <row r="719">
      <c r="C719" s="88"/>
      <c r="F719" s="39" t="s">
        <v>48</v>
      </c>
      <c r="G719" s="89"/>
      <c r="H719" s="36" t="s">
        <v>48</v>
      </c>
      <c r="K719" s="90"/>
    </row>
    <row r="720">
      <c r="C720" s="88"/>
      <c r="F720" s="39" t="s">
        <v>48</v>
      </c>
      <c r="G720" s="89"/>
      <c r="H720" s="36" t="s">
        <v>48</v>
      </c>
      <c r="K720" s="90"/>
    </row>
    <row r="721">
      <c r="C721" s="88"/>
      <c r="F721" s="39" t="s">
        <v>48</v>
      </c>
      <c r="G721" s="89"/>
      <c r="H721" s="36" t="s">
        <v>48</v>
      </c>
      <c r="K721" s="90"/>
    </row>
    <row r="722">
      <c r="C722" s="88"/>
      <c r="F722" s="39" t="s">
        <v>48</v>
      </c>
      <c r="G722" s="89"/>
      <c r="H722" s="36" t="s">
        <v>48</v>
      </c>
      <c r="K722" s="90"/>
    </row>
    <row r="723">
      <c r="C723" s="88"/>
      <c r="F723" s="39" t="s">
        <v>48</v>
      </c>
      <c r="G723" s="89"/>
      <c r="H723" s="36" t="s">
        <v>48</v>
      </c>
      <c r="K723" s="90"/>
    </row>
    <row r="724">
      <c r="C724" s="88"/>
      <c r="F724" s="39" t="s">
        <v>48</v>
      </c>
      <c r="G724" s="89"/>
      <c r="H724" s="36" t="s">
        <v>48</v>
      </c>
      <c r="K724" s="90"/>
    </row>
    <row r="725">
      <c r="C725" s="88"/>
      <c r="F725" s="39" t="s">
        <v>48</v>
      </c>
      <c r="G725" s="89"/>
      <c r="H725" s="36" t="s">
        <v>48</v>
      </c>
      <c r="K725" s="90"/>
    </row>
    <row r="726">
      <c r="C726" s="88"/>
      <c r="F726" s="39" t="s">
        <v>48</v>
      </c>
      <c r="G726" s="89"/>
      <c r="H726" s="36" t="s">
        <v>48</v>
      </c>
      <c r="K726" s="90"/>
    </row>
    <row r="727">
      <c r="C727" s="88"/>
      <c r="F727" s="39" t="s">
        <v>48</v>
      </c>
      <c r="G727" s="89"/>
      <c r="H727" s="36" t="s">
        <v>48</v>
      </c>
      <c r="K727" s="90"/>
    </row>
    <row r="728">
      <c r="C728" s="88"/>
      <c r="F728" s="39" t="s">
        <v>48</v>
      </c>
      <c r="G728" s="89"/>
      <c r="H728" s="36" t="s">
        <v>48</v>
      </c>
      <c r="K728" s="90"/>
    </row>
    <row r="729">
      <c r="C729" s="88"/>
      <c r="F729" s="39" t="s">
        <v>48</v>
      </c>
      <c r="G729" s="89"/>
      <c r="H729" s="36" t="s">
        <v>48</v>
      </c>
      <c r="K729" s="90"/>
    </row>
    <row r="730">
      <c r="C730" s="88"/>
      <c r="F730" s="39" t="s">
        <v>48</v>
      </c>
      <c r="G730" s="89"/>
      <c r="H730" s="36" t="s">
        <v>48</v>
      </c>
      <c r="K730" s="90"/>
    </row>
    <row r="731">
      <c r="C731" s="88"/>
      <c r="F731" s="39" t="s">
        <v>48</v>
      </c>
      <c r="G731" s="89"/>
      <c r="H731" s="36" t="s">
        <v>48</v>
      </c>
      <c r="K731" s="90"/>
    </row>
    <row r="732">
      <c r="C732" s="88"/>
      <c r="F732" s="39" t="s">
        <v>48</v>
      </c>
      <c r="G732" s="89"/>
      <c r="H732" s="36" t="s">
        <v>48</v>
      </c>
      <c r="K732" s="90"/>
    </row>
    <row r="733">
      <c r="C733" s="88"/>
      <c r="F733" s="39" t="s">
        <v>48</v>
      </c>
      <c r="G733" s="89"/>
      <c r="H733" s="36" t="s">
        <v>48</v>
      </c>
      <c r="K733" s="90"/>
    </row>
    <row r="734">
      <c r="C734" s="88"/>
      <c r="F734" s="39" t="s">
        <v>48</v>
      </c>
      <c r="G734" s="89"/>
      <c r="H734" s="36" t="s">
        <v>48</v>
      </c>
      <c r="K734" s="90"/>
    </row>
    <row r="735">
      <c r="C735" s="88"/>
      <c r="F735" s="39" t="s">
        <v>48</v>
      </c>
      <c r="G735" s="89"/>
      <c r="H735" s="36" t="s">
        <v>48</v>
      </c>
      <c r="K735" s="90"/>
    </row>
    <row r="736">
      <c r="C736" s="88"/>
      <c r="F736" s="39" t="s">
        <v>48</v>
      </c>
      <c r="G736" s="89"/>
      <c r="H736" s="36" t="s">
        <v>48</v>
      </c>
      <c r="K736" s="90"/>
    </row>
    <row r="737">
      <c r="C737" s="88"/>
      <c r="F737" s="39" t="s">
        <v>48</v>
      </c>
      <c r="G737" s="89"/>
      <c r="H737" s="36" t="s">
        <v>48</v>
      </c>
      <c r="K737" s="90"/>
    </row>
    <row r="738">
      <c r="C738" s="88"/>
      <c r="F738" s="39" t="s">
        <v>48</v>
      </c>
      <c r="G738" s="89"/>
      <c r="H738" s="36" t="s">
        <v>48</v>
      </c>
      <c r="K738" s="90"/>
    </row>
    <row r="739">
      <c r="C739" s="88"/>
      <c r="F739" s="39" t="s">
        <v>48</v>
      </c>
      <c r="G739" s="89"/>
      <c r="H739" s="36" t="s">
        <v>48</v>
      </c>
      <c r="K739" s="90"/>
    </row>
    <row r="740">
      <c r="C740" s="88"/>
      <c r="F740" s="39" t="s">
        <v>48</v>
      </c>
      <c r="G740" s="89"/>
      <c r="H740" s="36" t="s">
        <v>48</v>
      </c>
      <c r="K740" s="90"/>
    </row>
    <row r="741">
      <c r="C741" s="88"/>
      <c r="F741" s="39" t="s">
        <v>48</v>
      </c>
      <c r="G741" s="89"/>
      <c r="H741" s="36" t="s">
        <v>48</v>
      </c>
      <c r="K741" s="90"/>
    </row>
    <row r="742">
      <c r="C742" s="88"/>
      <c r="F742" s="39" t="s">
        <v>48</v>
      </c>
      <c r="G742" s="89"/>
      <c r="H742" s="36" t="s">
        <v>48</v>
      </c>
      <c r="K742" s="90"/>
    </row>
    <row r="743">
      <c r="C743" s="88"/>
      <c r="F743" s="39" t="s">
        <v>48</v>
      </c>
      <c r="G743" s="89"/>
      <c r="H743" s="36" t="s">
        <v>48</v>
      </c>
      <c r="K743" s="90"/>
    </row>
    <row r="744">
      <c r="C744" s="88"/>
      <c r="F744" s="39" t="s">
        <v>48</v>
      </c>
      <c r="G744" s="89"/>
      <c r="H744" s="36" t="s">
        <v>48</v>
      </c>
      <c r="K744" s="90"/>
    </row>
    <row r="745">
      <c r="C745" s="88"/>
      <c r="F745" s="39" t="s">
        <v>48</v>
      </c>
      <c r="G745" s="89"/>
      <c r="H745" s="36" t="s">
        <v>48</v>
      </c>
      <c r="K745" s="90"/>
    </row>
    <row r="746">
      <c r="C746" s="88"/>
      <c r="F746" s="39" t="s">
        <v>48</v>
      </c>
      <c r="G746" s="89"/>
      <c r="H746" s="36" t="s">
        <v>48</v>
      </c>
      <c r="K746" s="90"/>
    </row>
    <row r="747">
      <c r="C747" s="88"/>
      <c r="F747" s="39" t="s">
        <v>48</v>
      </c>
      <c r="G747" s="89"/>
      <c r="H747" s="36" t="s">
        <v>48</v>
      </c>
      <c r="K747" s="90"/>
    </row>
    <row r="748">
      <c r="C748" s="88"/>
      <c r="F748" s="39" t="s">
        <v>48</v>
      </c>
      <c r="G748" s="89"/>
      <c r="H748" s="36" t="s">
        <v>48</v>
      </c>
      <c r="K748" s="90"/>
    </row>
    <row r="749">
      <c r="C749" s="88"/>
      <c r="F749" s="39" t="s">
        <v>48</v>
      </c>
      <c r="G749" s="89"/>
      <c r="H749" s="36" t="s">
        <v>48</v>
      </c>
      <c r="K749" s="90"/>
    </row>
    <row r="750">
      <c r="C750" s="88"/>
      <c r="F750" s="39" t="s">
        <v>48</v>
      </c>
      <c r="G750" s="89"/>
      <c r="H750" s="36" t="s">
        <v>48</v>
      </c>
      <c r="K750" s="90"/>
    </row>
    <row r="751">
      <c r="C751" s="88"/>
      <c r="F751" s="39" t="s">
        <v>48</v>
      </c>
      <c r="G751" s="89"/>
      <c r="H751" s="36" t="s">
        <v>48</v>
      </c>
      <c r="K751" s="90"/>
    </row>
    <row r="752">
      <c r="C752" s="88"/>
      <c r="F752" s="39" t="s">
        <v>48</v>
      </c>
      <c r="G752" s="89"/>
      <c r="H752" s="36" t="s">
        <v>48</v>
      </c>
      <c r="K752" s="90"/>
    </row>
    <row r="753">
      <c r="C753" s="88"/>
      <c r="F753" s="39" t="s">
        <v>48</v>
      </c>
      <c r="G753" s="89"/>
      <c r="H753" s="36" t="s">
        <v>48</v>
      </c>
      <c r="K753" s="90"/>
    </row>
    <row r="754">
      <c r="C754" s="88"/>
      <c r="F754" s="39" t="s">
        <v>48</v>
      </c>
      <c r="G754" s="89"/>
      <c r="H754" s="36" t="s">
        <v>48</v>
      </c>
      <c r="K754" s="90"/>
    </row>
    <row r="755">
      <c r="C755" s="88"/>
      <c r="F755" s="39" t="s">
        <v>48</v>
      </c>
      <c r="G755" s="89"/>
      <c r="H755" s="36" t="s">
        <v>48</v>
      </c>
      <c r="K755" s="90"/>
    </row>
    <row r="756">
      <c r="C756" s="88"/>
      <c r="F756" s="39" t="s">
        <v>48</v>
      </c>
      <c r="G756" s="89"/>
      <c r="H756" s="36" t="s">
        <v>48</v>
      </c>
      <c r="K756" s="90"/>
    </row>
    <row r="757">
      <c r="C757" s="88"/>
      <c r="F757" s="39" t="s">
        <v>48</v>
      </c>
      <c r="G757" s="89"/>
      <c r="H757" s="36" t="s">
        <v>48</v>
      </c>
      <c r="K757" s="90"/>
    </row>
    <row r="758">
      <c r="C758" s="88"/>
      <c r="F758" s="39" t="s">
        <v>48</v>
      </c>
      <c r="G758" s="89"/>
      <c r="H758" s="36" t="s">
        <v>48</v>
      </c>
      <c r="K758" s="90"/>
    </row>
    <row r="759">
      <c r="C759" s="88"/>
      <c r="F759" s="39" t="s">
        <v>48</v>
      </c>
      <c r="G759" s="89"/>
      <c r="H759" s="36" t="s">
        <v>48</v>
      </c>
      <c r="K759" s="90"/>
    </row>
    <row r="760">
      <c r="C760" s="88"/>
      <c r="F760" s="39" t="s">
        <v>48</v>
      </c>
      <c r="G760" s="89"/>
      <c r="H760" s="36" t="s">
        <v>48</v>
      </c>
      <c r="K760" s="90"/>
    </row>
    <row r="761">
      <c r="C761" s="88"/>
      <c r="F761" s="39" t="s">
        <v>48</v>
      </c>
      <c r="G761" s="89"/>
      <c r="H761" s="36" t="s">
        <v>48</v>
      </c>
      <c r="K761" s="90"/>
    </row>
    <row r="762">
      <c r="C762" s="88"/>
      <c r="F762" s="39" t="s">
        <v>48</v>
      </c>
      <c r="G762" s="89"/>
      <c r="H762" s="36" t="s">
        <v>48</v>
      </c>
      <c r="K762" s="90"/>
    </row>
    <row r="763">
      <c r="C763" s="88"/>
      <c r="F763" s="39" t="s">
        <v>48</v>
      </c>
      <c r="G763" s="89"/>
      <c r="H763" s="36" t="s">
        <v>48</v>
      </c>
      <c r="K763" s="90"/>
    </row>
    <row r="764">
      <c r="C764" s="88"/>
      <c r="F764" s="39" t="s">
        <v>48</v>
      </c>
      <c r="G764" s="89"/>
      <c r="H764" s="36" t="s">
        <v>48</v>
      </c>
      <c r="K764" s="90"/>
    </row>
    <row r="765">
      <c r="C765" s="88"/>
      <c r="F765" s="39" t="s">
        <v>48</v>
      </c>
      <c r="G765" s="89"/>
      <c r="H765" s="36" t="s">
        <v>48</v>
      </c>
      <c r="K765" s="90"/>
    </row>
    <row r="766">
      <c r="C766" s="88"/>
      <c r="F766" s="39" t="s">
        <v>48</v>
      </c>
      <c r="G766" s="89"/>
      <c r="H766" s="36" t="s">
        <v>48</v>
      </c>
      <c r="K766" s="90"/>
    </row>
    <row r="767">
      <c r="C767" s="88"/>
      <c r="F767" s="39" t="s">
        <v>48</v>
      </c>
      <c r="G767" s="89"/>
      <c r="H767" s="36" t="s">
        <v>48</v>
      </c>
      <c r="K767" s="90"/>
    </row>
    <row r="768">
      <c r="C768" s="88"/>
      <c r="F768" s="39" t="s">
        <v>48</v>
      </c>
      <c r="G768" s="89"/>
      <c r="H768" s="36" t="s">
        <v>48</v>
      </c>
      <c r="K768" s="90"/>
    </row>
    <row r="769">
      <c r="C769" s="88"/>
      <c r="F769" s="39" t="s">
        <v>48</v>
      </c>
      <c r="G769" s="89"/>
      <c r="H769" s="36" t="s">
        <v>48</v>
      </c>
      <c r="K769" s="90"/>
    </row>
    <row r="770">
      <c r="C770" s="88"/>
      <c r="F770" s="39" t="s">
        <v>48</v>
      </c>
      <c r="G770" s="89"/>
      <c r="H770" s="36" t="s">
        <v>48</v>
      </c>
      <c r="K770" s="90"/>
    </row>
    <row r="771">
      <c r="C771" s="88"/>
      <c r="F771" s="39" t="s">
        <v>48</v>
      </c>
      <c r="G771" s="89"/>
      <c r="H771" s="36" t="s">
        <v>48</v>
      </c>
      <c r="K771" s="90"/>
    </row>
    <row r="772">
      <c r="C772" s="88"/>
      <c r="F772" s="39" t="s">
        <v>48</v>
      </c>
      <c r="G772" s="89"/>
      <c r="H772" s="36" t="s">
        <v>48</v>
      </c>
      <c r="K772" s="90"/>
    </row>
    <row r="773">
      <c r="C773" s="88"/>
      <c r="F773" s="39" t="s">
        <v>48</v>
      </c>
      <c r="G773" s="89"/>
      <c r="H773" s="36" t="s">
        <v>48</v>
      </c>
      <c r="K773" s="90"/>
    </row>
    <row r="774">
      <c r="C774" s="88"/>
      <c r="F774" s="39" t="s">
        <v>48</v>
      </c>
      <c r="G774" s="89"/>
      <c r="H774" s="36" t="s">
        <v>48</v>
      </c>
      <c r="K774" s="90"/>
    </row>
    <row r="775">
      <c r="C775" s="88"/>
      <c r="F775" s="39" t="s">
        <v>48</v>
      </c>
      <c r="G775" s="89"/>
      <c r="H775" s="36" t="s">
        <v>48</v>
      </c>
      <c r="K775" s="90"/>
    </row>
    <row r="776">
      <c r="C776" s="88"/>
      <c r="F776" s="39" t="s">
        <v>48</v>
      </c>
      <c r="G776" s="89"/>
      <c r="H776" s="36" t="s">
        <v>48</v>
      </c>
      <c r="K776" s="90"/>
    </row>
    <row r="777">
      <c r="C777" s="88"/>
      <c r="F777" s="39" t="s">
        <v>48</v>
      </c>
      <c r="G777" s="89"/>
      <c r="H777" s="36" t="s">
        <v>48</v>
      </c>
      <c r="K777" s="90"/>
    </row>
    <row r="778">
      <c r="C778" s="88"/>
      <c r="F778" s="39" t="s">
        <v>48</v>
      </c>
      <c r="G778" s="89"/>
      <c r="H778" s="36" t="s">
        <v>48</v>
      </c>
      <c r="K778" s="90"/>
    </row>
    <row r="779">
      <c r="C779" s="88"/>
      <c r="F779" s="39" t="s">
        <v>48</v>
      </c>
      <c r="G779" s="89"/>
      <c r="H779" s="36" t="s">
        <v>48</v>
      </c>
      <c r="K779" s="90"/>
    </row>
    <row r="780">
      <c r="C780" s="88"/>
      <c r="F780" s="39" t="s">
        <v>48</v>
      </c>
      <c r="G780" s="89"/>
      <c r="H780" s="36" t="s">
        <v>48</v>
      </c>
      <c r="K780" s="90"/>
    </row>
    <row r="781">
      <c r="C781" s="88"/>
      <c r="F781" s="39" t="s">
        <v>48</v>
      </c>
      <c r="G781" s="89"/>
      <c r="H781" s="36" t="s">
        <v>48</v>
      </c>
      <c r="K781" s="90"/>
    </row>
    <row r="782">
      <c r="C782" s="88"/>
      <c r="F782" s="39" t="s">
        <v>48</v>
      </c>
      <c r="G782" s="89"/>
      <c r="H782" s="36" t="s">
        <v>48</v>
      </c>
      <c r="K782" s="90"/>
    </row>
    <row r="783">
      <c r="C783" s="88"/>
      <c r="F783" s="39" t="s">
        <v>48</v>
      </c>
      <c r="G783" s="89"/>
      <c r="H783" s="36" t="s">
        <v>48</v>
      </c>
      <c r="K783" s="90"/>
    </row>
    <row r="784">
      <c r="C784" s="88"/>
      <c r="F784" s="39" t="s">
        <v>48</v>
      </c>
      <c r="G784" s="89"/>
      <c r="H784" s="36" t="s">
        <v>48</v>
      </c>
      <c r="K784" s="90"/>
    </row>
    <row r="785">
      <c r="C785" s="88"/>
      <c r="F785" s="39" t="s">
        <v>48</v>
      </c>
      <c r="G785" s="89"/>
      <c r="H785" s="36" t="s">
        <v>48</v>
      </c>
      <c r="K785" s="90"/>
    </row>
    <row r="786">
      <c r="C786" s="88"/>
      <c r="F786" s="39" t="s">
        <v>48</v>
      </c>
      <c r="G786" s="89"/>
      <c r="H786" s="36" t="s">
        <v>48</v>
      </c>
      <c r="K786" s="90"/>
    </row>
    <row r="787">
      <c r="C787" s="88"/>
      <c r="F787" s="39" t="s">
        <v>48</v>
      </c>
      <c r="G787" s="89"/>
      <c r="H787" s="36" t="s">
        <v>48</v>
      </c>
      <c r="K787" s="90"/>
    </row>
    <row r="788">
      <c r="C788" s="88"/>
      <c r="F788" s="39" t="s">
        <v>48</v>
      </c>
      <c r="G788" s="89"/>
      <c r="H788" s="36" t="s">
        <v>48</v>
      </c>
      <c r="K788" s="90"/>
    </row>
    <row r="789">
      <c r="C789" s="88"/>
      <c r="F789" s="39" t="s">
        <v>48</v>
      </c>
      <c r="G789" s="89"/>
      <c r="H789" s="36" t="s">
        <v>48</v>
      </c>
      <c r="K789" s="90"/>
    </row>
    <row r="790">
      <c r="C790" s="88"/>
      <c r="F790" s="39" t="s">
        <v>48</v>
      </c>
      <c r="G790" s="89"/>
      <c r="H790" s="36" t="s">
        <v>48</v>
      </c>
      <c r="K790" s="90"/>
    </row>
    <row r="791">
      <c r="C791" s="88"/>
      <c r="F791" s="39" t="s">
        <v>48</v>
      </c>
      <c r="G791" s="89"/>
      <c r="H791" s="36" t="s">
        <v>48</v>
      </c>
      <c r="K791" s="90"/>
    </row>
    <row r="792">
      <c r="C792" s="88"/>
      <c r="F792" s="39" t="s">
        <v>48</v>
      </c>
      <c r="G792" s="89"/>
      <c r="H792" s="36" t="s">
        <v>48</v>
      </c>
      <c r="K792" s="90"/>
    </row>
    <row r="793">
      <c r="C793" s="88"/>
      <c r="F793" s="39" t="s">
        <v>48</v>
      </c>
      <c r="G793" s="89"/>
      <c r="H793" s="36" t="s">
        <v>48</v>
      </c>
      <c r="K793" s="90"/>
    </row>
    <row r="794">
      <c r="C794" s="88"/>
      <c r="F794" s="39" t="s">
        <v>48</v>
      </c>
      <c r="G794" s="89"/>
      <c r="H794" s="36" t="s">
        <v>48</v>
      </c>
      <c r="K794" s="90"/>
    </row>
    <row r="795">
      <c r="C795" s="88"/>
      <c r="F795" s="39" t="s">
        <v>48</v>
      </c>
      <c r="G795" s="89"/>
      <c r="H795" s="36" t="s">
        <v>48</v>
      </c>
      <c r="K795" s="90"/>
    </row>
    <row r="796">
      <c r="C796" s="88"/>
      <c r="F796" s="39" t="s">
        <v>48</v>
      </c>
      <c r="G796" s="89"/>
      <c r="H796" s="36" t="s">
        <v>48</v>
      </c>
      <c r="K796" s="90"/>
    </row>
    <row r="797">
      <c r="C797" s="88"/>
      <c r="F797" s="39" t="s">
        <v>48</v>
      </c>
      <c r="G797" s="89"/>
      <c r="H797" s="36" t="s">
        <v>48</v>
      </c>
      <c r="K797" s="90"/>
    </row>
    <row r="798">
      <c r="C798" s="88"/>
      <c r="F798" s="39" t="s">
        <v>48</v>
      </c>
      <c r="G798" s="89"/>
      <c r="H798" s="36" t="s">
        <v>48</v>
      </c>
      <c r="K798" s="90"/>
    </row>
    <row r="799">
      <c r="C799" s="88"/>
      <c r="F799" s="39" t="s">
        <v>48</v>
      </c>
      <c r="G799" s="89"/>
      <c r="H799" s="36" t="s">
        <v>48</v>
      </c>
      <c r="K799" s="90"/>
    </row>
    <row r="800">
      <c r="C800" s="88"/>
      <c r="F800" s="39" t="s">
        <v>48</v>
      </c>
      <c r="G800" s="89"/>
      <c r="H800" s="36" t="s">
        <v>48</v>
      </c>
      <c r="K800" s="90"/>
    </row>
    <row r="801">
      <c r="C801" s="88"/>
      <c r="F801" s="39" t="s">
        <v>48</v>
      </c>
      <c r="G801" s="89"/>
      <c r="H801" s="36" t="s">
        <v>48</v>
      </c>
      <c r="K801" s="90"/>
    </row>
    <row r="802">
      <c r="C802" s="88"/>
      <c r="F802" s="39" t="s">
        <v>48</v>
      </c>
      <c r="G802" s="89"/>
      <c r="H802" s="36" t="s">
        <v>48</v>
      </c>
      <c r="K802" s="90"/>
    </row>
    <row r="803">
      <c r="C803" s="88"/>
      <c r="F803" s="39" t="s">
        <v>48</v>
      </c>
      <c r="G803" s="89"/>
      <c r="H803" s="36" t="s">
        <v>48</v>
      </c>
      <c r="K803" s="90"/>
    </row>
    <row r="804">
      <c r="C804" s="88"/>
      <c r="F804" s="39" t="s">
        <v>48</v>
      </c>
      <c r="G804" s="89"/>
      <c r="H804" s="36" t="s">
        <v>48</v>
      </c>
      <c r="K804" s="90"/>
    </row>
    <row r="805">
      <c r="C805" s="88"/>
      <c r="F805" s="39" t="s">
        <v>48</v>
      </c>
      <c r="G805" s="89"/>
      <c r="H805" s="36" t="s">
        <v>48</v>
      </c>
      <c r="K805" s="90"/>
    </row>
    <row r="806">
      <c r="C806" s="88"/>
      <c r="F806" s="39" t="s">
        <v>48</v>
      </c>
      <c r="G806" s="89"/>
      <c r="H806" s="36" t="s">
        <v>48</v>
      </c>
      <c r="K806" s="90"/>
    </row>
    <row r="807">
      <c r="C807" s="88"/>
      <c r="F807" s="39" t="s">
        <v>48</v>
      </c>
      <c r="G807" s="89"/>
      <c r="H807" s="36" t="s">
        <v>48</v>
      </c>
      <c r="K807" s="90"/>
    </row>
    <row r="808">
      <c r="C808" s="88"/>
      <c r="F808" s="39" t="s">
        <v>48</v>
      </c>
      <c r="G808" s="89"/>
      <c r="H808" s="36" t="s">
        <v>48</v>
      </c>
      <c r="K808" s="90"/>
    </row>
    <row r="809">
      <c r="C809" s="88"/>
      <c r="F809" s="39" t="s">
        <v>48</v>
      </c>
      <c r="G809" s="89"/>
      <c r="H809" s="36" t="s">
        <v>48</v>
      </c>
      <c r="K809" s="90"/>
    </row>
    <row r="810">
      <c r="C810" s="88"/>
      <c r="F810" s="39" t="s">
        <v>48</v>
      </c>
      <c r="G810" s="89"/>
      <c r="H810" s="36" t="s">
        <v>48</v>
      </c>
      <c r="K810" s="90"/>
    </row>
    <row r="811">
      <c r="C811" s="88"/>
      <c r="F811" s="39" t="s">
        <v>48</v>
      </c>
      <c r="G811" s="89"/>
      <c r="H811" s="36" t="s">
        <v>48</v>
      </c>
      <c r="K811" s="90"/>
    </row>
    <row r="812">
      <c r="C812" s="88"/>
      <c r="F812" s="39" t="s">
        <v>48</v>
      </c>
      <c r="G812" s="89"/>
      <c r="H812" s="36" t="s">
        <v>48</v>
      </c>
      <c r="K812" s="90"/>
    </row>
    <row r="813">
      <c r="C813" s="88"/>
      <c r="F813" s="39" t="s">
        <v>48</v>
      </c>
      <c r="G813" s="89"/>
      <c r="H813" s="36" t="s">
        <v>48</v>
      </c>
      <c r="K813" s="90"/>
    </row>
    <row r="814">
      <c r="C814" s="88"/>
      <c r="F814" s="39" t="s">
        <v>48</v>
      </c>
      <c r="G814" s="89"/>
      <c r="H814" s="36" t="s">
        <v>48</v>
      </c>
      <c r="K814" s="90"/>
    </row>
    <row r="815">
      <c r="C815" s="88"/>
      <c r="F815" s="39" t="s">
        <v>48</v>
      </c>
      <c r="G815" s="89"/>
      <c r="H815" s="36" t="s">
        <v>48</v>
      </c>
      <c r="K815" s="90"/>
    </row>
    <row r="816">
      <c r="C816" s="88"/>
      <c r="F816" s="39" t="s">
        <v>48</v>
      </c>
      <c r="G816" s="89"/>
      <c r="H816" s="36" t="s">
        <v>48</v>
      </c>
      <c r="K816" s="90"/>
    </row>
    <row r="817">
      <c r="C817" s="88"/>
      <c r="F817" s="39" t="s">
        <v>48</v>
      </c>
      <c r="G817" s="89"/>
      <c r="H817" s="36" t="s">
        <v>48</v>
      </c>
      <c r="K817" s="90"/>
    </row>
    <row r="818">
      <c r="C818" s="88"/>
      <c r="F818" s="39" t="s">
        <v>48</v>
      </c>
      <c r="G818" s="89"/>
      <c r="H818" s="36" t="s">
        <v>48</v>
      </c>
      <c r="K818" s="90"/>
    </row>
    <row r="819">
      <c r="C819" s="88"/>
      <c r="F819" s="39" t="s">
        <v>48</v>
      </c>
      <c r="G819" s="89"/>
      <c r="H819" s="36" t="s">
        <v>48</v>
      </c>
      <c r="K819" s="90"/>
    </row>
    <row r="820">
      <c r="C820" s="88"/>
      <c r="F820" s="39" t="s">
        <v>48</v>
      </c>
      <c r="G820" s="89"/>
      <c r="H820" s="36" t="s">
        <v>48</v>
      </c>
      <c r="K820" s="90"/>
    </row>
    <row r="821">
      <c r="C821" s="88"/>
      <c r="F821" s="39" t="s">
        <v>48</v>
      </c>
      <c r="G821" s="89"/>
      <c r="H821" s="36" t="s">
        <v>48</v>
      </c>
      <c r="K821" s="90"/>
    </row>
    <row r="822">
      <c r="C822" s="88"/>
      <c r="F822" s="39" t="s">
        <v>48</v>
      </c>
      <c r="G822" s="89"/>
      <c r="H822" s="36" t="s">
        <v>48</v>
      </c>
      <c r="K822" s="90"/>
    </row>
    <row r="823">
      <c r="C823" s="88"/>
      <c r="F823" s="39" t="s">
        <v>48</v>
      </c>
      <c r="G823" s="89"/>
      <c r="H823" s="36" t="s">
        <v>48</v>
      </c>
      <c r="K823" s="90"/>
    </row>
    <row r="824">
      <c r="C824" s="88"/>
      <c r="F824" s="39" t="s">
        <v>48</v>
      </c>
      <c r="G824" s="89"/>
      <c r="H824" s="36" t="s">
        <v>48</v>
      </c>
      <c r="K824" s="90"/>
    </row>
    <row r="825">
      <c r="C825" s="88"/>
      <c r="F825" s="39" t="s">
        <v>48</v>
      </c>
      <c r="G825" s="89"/>
      <c r="H825" s="36" t="s">
        <v>48</v>
      </c>
      <c r="K825" s="90"/>
    </row>
    <row r="826">
      <c r="C826" s="88"/>
      <c r="F826" s="39" t="s">
        <v>48</v>
      </c>
      <c r="G826" s="89"/>
      <c r="H826" s="36" t="s">
        <v>48</v>
      </c>
      <c r="K826" s="90"/>
    </row>
    <row r="827">
      <c r="C827" s="88"/>
      <c r="F827" s="39" t="s">
        <v>48</v>
      </c>
      <c r="G827" s="89"/>
      <c r="H827" s="36" t="s">
        <v>48</v>
      </c>
      <c r="K827" s="90"/>
    </row>
    <row r="828">
      <c r="C828" s="88"/>
      <c r="F828" s="39" t="s">
        <v>48</v>
      </c>
      <c r="G828" s="89"/>
      <c r="H828" s="36" t="s">
        <v>48</v>
      </c>
      <c r="K828" s="90"/>
    </row>
    <row r="829">
      <c r="C829" s="88"/>
      <c r="F829" s="39" t="s">
        <v>48</v>
      </c>
      <c r="G829" s="89"/>
      <c r="H829" s="36" t="s">
        <v>48</v>
      </c>
      <c r="K829" s="90"/>
    </row>
    <row r="830">
      <c r="C830" s="88"/>
      <c r="F830" s="39" t="s">
        <v>48</v>
      </c>
      <c r="G830" s="89"/>
      <c r="H830" s="36" t="s">
        <v>48</v>
      </c>
      <c r="K830" s="90"/>
    </row>
    <row r="831">
      <c r="C831" s="88"/>
      <c r="F831" s="39" t="s">
        <v>48</v>
      </c>
      <c r="G831" s="89"/>
      <c r="H831" s="36" t="s">
        <v>48</v>
      </c>
      <c r="K831" s="90"/>
    </row>
    <row r="832">
      <c r="C832" s="88"/>
      <c r="F832" s="39" t="s">
        <v>48</v>
      </c>
      <c r="G832" s="89"/>
      <c r="H832" s="36" t="s">
        <v>48</v>
      </c>
      <c r="K832" s="90"/>
    </row>
    <row r="833">
      <c r="C833" s="88"/>
      <c r="F833" s="39" t="s">
        <v>48</v>
      </c>
      <c r="G833" s="89"/>
      <c r="H833" s="36" t="s">
        <v>48</v>
      </c>
      <c r="K833" s="90"/>
    </row>
    <row r="834">
      <c r="C834" s="88"/>
      <c r="F834" s="39" t="s">
        <v>48</v>
      </c>
      <c r="G834" s="89"/>
      <c r="H834" s="36" t="s">
        <v>48</v>
      </c>
      <c r="K834" s="90"/>
    </row>
    <row r="835">
      <c r="C835" s="88"/>
      <c r="F835" s="39" t="s">
        <v>48</v>
      </c>
      <c r="G835" s="89"/>
      <c r="H835" s="36" t="s">
        <v>48</v>
      </c>
      <c r="K835" s="90"/>
    </row>
    <row r="836">
      <c r="C836" s="88"/>
      <c r="F836" s="39" t="s">
        <v>48</v>
      </c>
      <c r="G836" s="89"/>
      <c r="H836" s="36" t="s">
        <v>48</v>
      </c>
      <c r="K836" s="90"/>
    </row>
    <row r="837">
      <c r="C837" s="88"/>
      <c r="F837" s="39" t="s">
        <v>48</v>
      </c>
      <c r="G837" s="89"/>
      <c r="H837" s="36" t="s">
        <v>48</v>
      </c>
      <c r="K837" s="90"/>
    </row>
    <row r="838">
      <c r="C838" s="88"/>
      <c r="F838" s="39" t="s">
        <v>48</v>
      </c>
      <c r="G838" s="89"/>
      <c r="H838" s="36" t="s">
        <v>48</v>
      </c>
      <c r="K838" s="90"/>
    </row>
    <row r="839">
      <c r="C839" s="88"/>
      <c r="F839" s="39" t="s">
        <v>48</v>
      </c>
      <c r="G839" s="89"/>
      <c r="H839" s="36" t="s">
        <v>48</v>
      </c>
      <c r="K839" s="90"/>
    </row>
    <row r="840">
      <c r="C840" s="88"/>
      <c r="F840" s="39" t="s">
        <v>48</v>
      </c>
      <c r="G840" s="89"/>
      <c r="H840" s="36" t="s">
        <v>48</v>
      </c>
      <c r="K840" s="90"/>
    </row>
    <row r="841">
      <c r="C841" s="88"/>
      <c r="F841" s="39" t="s">
        <v>48</v>
      </c>
      <c r="G841" s="89"/>
      <c r="H841" s="36" t="s">
        <v>48</v>
      </c>
      <c r="K841" s="90"/>
    </row>
    <row r="842">
      <c r="C842" s="88"/>
      <c r="F842" s="39" t="s">
        <v>48</v>
      </c>
      <c r="G842" s="89"/>
      <c r="H842" s="36" t="s">
        <v>48</v>
      </c>
      <c r="K842" s="90"/>
    </row>
    <row r="843">
      <c r="C843" s="88"/>
      <c r="F843" s="39" t="s">
        <v>48</v>
      </c>
      <c r="G843" s="89"/>
      <c r="H843" s="36" t="s">
        <v>48</v>
      </c>
      <c r="K843" s="90"/>
    </row>
    <row r="844">
      <c r="C844" s="88"/>
      <c r="F844" s="39" t="s">
        <v>48</v>
      </c>
      <c r="G844" s="89"/>
      <c r="H844" s="36" t="s">
        <v>48</v>
      </c>
      <c r="K844" s="90"/>
    </row>
    <row r="845">
      <c r="C845" s="88"/>
      <c r="F845" s="39" t="s">
        <v>48</v>
      </c>
      <c r="G845" s="89"/>
      <c r="H845" s="36" t="s">
        <v>48</v>
      </c>
      <c r="K845" s="90"/>
    </row>
    <row r="846">
      <c r="C846" s="88"/>
      <c r="F846" s="39" t="s">
        <v>48</v>
      </c>
      <c r="G846" s="89"/>
      <c r="H846" s="36" t="s">
        <v>48</v>
      </c>
      <c r="K846" s="90"/>
    </row>
    <row r="847">
      <c r="C847" s="88"/>
      <c r="F847" s="39" t="s">
        <v>48</v>
      </c>
      <c r="G847" s="89"/>
      <c r="H847" s="36" t="s">
        <v>48</v>
      </c>
      <c r="K847" s="90"/>
    </row>
    <row r="848">
      <c r="C848" s="88"/>
      <c r="F848" s="39" t="s">
        <v>48</v>
      </c>
      <c r="G848" s="89"/>
      <c r="H848" s="36" t="s">
        <v>48</v>
      </c>
      <c r="K848" s="90"/>
    </row>
    <row r="849">
      <c r="C849" s="88"/>
      <c r="F849" s="39" t="s">
        <v>48</v>
      </c>
      <c r="G849" s="89"/>
      <c r="H849" s="36" t="s">
        <v>48</v>
      </c>
      <c r="K849" s="90"/>
    </row>
    <row r="850">
      <c r="C850" s="88"/>
      <c r="F850" s="39" t="s">
        <v>48</v>
      </c>
      <c r="G850" s="89"/>
      <c r="H850" s="36" t="s">
        <v>48</v>
      </c>
      <c r="K850" s="90"/>
    </row>
    <row r="851">
      <c r="C851" s="88"/>
      <c r="F851" s="39" t="s">
        <v>48</v>
      </c>
      <c r="G851" s="89"/>
      <c r="H851" s="36" t="s">
        <v>48</v>
      </c>
      <c r="K851" s="90"/>
    </row>
    <row r="852">
      <c r="C852" s="88"/>
      <c r="F852" s="39" t="s">
        <v>48</v>
      </c>
      <c r="G852" s="89"/>
      <c r="H852" s="36" t="s">
        <v>48</v>
      </c>
      <c r="K852" s="90"/>
    </row>
    <row r="853">
      <c r="C853" s="88"/>
      <c r="F853" s="39" t="s">
        <v>48</v>
      </c>
      <c r="G853" s="89"/>
      <c r="H853" s="36" t="s">
        <v>48</v>
      </c>
      <c r="K853" s="90"/>
    </row>
    <row r="854">
      <c r="C854" s="88"/>
      <c r="F854" s="39" t="s">
        <v>48</v>
      </c>
      <c r="G854" s="89"/>
      <c r="H854" s="36" t="s">
        <v>48</v>
      </c>
      <c r="K854" s="90"/>
    </row>
    <row r="855">
      <c r="C855" s="88"/>
      <c r="F855" s="39" t="s">
        <v>48</v>
      </c>
      <c r="G855" s="89"/>
      <c r="H855" s="36" t="s">
        <v>48</v>
      </c>
      <c r="K855" s="90"/>
    </row>
    <row r="856">
      <c r="C856" s="88"/>
      <c r="F856" s="39" t="s">
        <v>48</v>
      </c>
      <c r="G856" s="89"/>
      <c r="H856" s="36" t="s">
        <v>48</v>
      </c>
      <c r="K856" s="90"/>
    </row>
    <row r="857">
      <c r="C857" s="88"/>
      <c r="F857" s="39" t="s">
        <v>48</v>
      </c>
      <c r="G857" s="89"/>
      <c r="H857" s="36" t="s">
        <v>48</v>
      </c>
      <c r="K857" s="90"/>
    </row>
    <row r="858">
      <c r="C858" s="88"/>
      <c r="F858" s="39" t="s">
        <v>48</v>
      </c>
      <c r="G858" s="89"/>
      <c r="H858" s="36" t="s">
        <v>48</v>
      </c>
      <c r="K858" s="90"/>
    </row>
    <row r="859">
      <c r="C859" s="88"/>
      <c r="F859" s="39" t="s">
        <v>48</v>
      </c>
      <c r="G859" s="89"/>
      <c r="H859" s="36" t="s">
        <v>48</v>
      </c>
      <c r="K859" s="90"/>
    </row>
    <row r="860">
      <c r="C860" s="88"/>
      <c r="F860" s="39" t="s">
        <v>48</v>
      </c>
      <c r="G860" s="89"/>
      <c r="H860" s="36" t="s">
        <v>48</v>
      </c>
      <c r="K860" s="90"/>
    </row>
    <row r="861">
      <c r="C861" s="88"/>
      <c r="F861" s="39" t="s">
        <v>48</v>
      </c>
      <c r="G861" s="89"/>
      <c r="H861" s="36" t="s">
        <v>48</v>
      </c>
      <c r="K861" s="90"/>
    </row>
    <row r="862">
      <c r="C862" s="88"/>
      <c r="F862" s="39" t="s">
        <v>48</v>
      </c>
      <c r="G862" s="89"/>
      <c r="H862" s="36" t="s">
        <v>48</v>
      </c>
      <c r="K862" s="90"/>
    </row>
    <row r="863">
      <c r="C863" s="88"/>
      <c r="F863" s="39" t="s">
        <v>48</v>
      </c>
      <c r="G863" s="89"/>
      <c r="H863" s="36" t="s">
        <v>48</v>
      </c>
      <c r="K863" s="90"/>
    </row>
    <row r="864">
      <c r="C864" s="88"/>
      <c r="F864" s="39" t="s">
        <v>48</v>
      </c>
      <c r="G864" s="89"/>
      <c r="H864" s="36" t="s">
        <v>48</v>
      </c>
      <c r="K864" s="90"/>
    </row>
    <row r="865">
      <c r="C865" s="88"/>
      <c r="F865" s="39" t="s">
        <v>48</v>
      </c>
      <c r="G865" s="89"/>
      <c r="H865" s="36" t="s">
        <v>48</v>
      </c>
      <c r="K865" s="90"/>
    </row>
    <row r="866">
      <c r="C866" s="88"/>
      <c r="F866" s="39" t="s">
        <v>48</v>
      </c>
      <c r="G866" s="89"/>
      <c r="H866" s="36" t="s">
        <v>48</v>
      </c>
      <c r="K866" s="90"/>
    </row>
    <row r="867">
      <c r="C867" s="88"/>
      <c r="F867" s="39" t="s">
        <v>48</v>
      </c>
      <c r="G867" s="89"/>
      <c r="H867" s="36" t="s">
        <v>48</v>
      </c>
      <c r="K867" s="90"/>
    </row>
    <row r="868">
      <c r="C868" s="88"/>
      <c r="F868" s="39" t="s">
        <v>48</v>
      </c>
      <c r="G868" s="89"/>
      <c r="H868" s="36" t="s">
        <v>48</v>
      </c>
      <c r="K868" s="90"/>
    </row>
    <row r="869">
      <c r="C869" s="88"/>
      <c r="F869" s="39" t="s">
        <v>48</v>
      </c>
      <c r="G869" s="89"/>
      <c r="H869" s="36" t="s">
        <v>48</v>
      </c>
      <c r="K869" s="90"/>
    </row>
    <row r="870">
      <c r="C870" s="88"/>
      <c r="F870" s="39" t="s">
        <v>48</v>
      </c>
      <c r="G870" s="89"/>
      <c r="H870" s="36" t="s">
        <v>48</v>
      </c>
      <c r="K870" s="90"/>
    </row>
    <row r="871">
      <c r="C871" s="88"/>
      <c r="F871" s="39" t="s">
        <v>48</v>
      </c>
      <c r="G871" s="89"/>
      <c r="H871" s="36" t="s">
        <v>48</v>
      </c>
      <c r="K871" s="90"/>
    </row>
    <row r="872">
      <c r="C872" s="88"/>
      <c r="F872" s="39" t="s">
        <v>48</v>
      </c>
      <c r="G872" s="89"/>
      <c r="H872" s="36" t="s">
        <v>48</v>
      </c>
      <c r="K872" s="90"/>
    </row>
    <row r="873">
      <c r="C873" s="88"/>
      <c r="F873" s="39" t="s">
        <v>48</v>
      </c>
      <c r="G873" s="89"/>
      <c r="H873" s="36" t="s">
        <v>48</v>
      </c>
      <c r="K873" s="90"/>
    </row>
    <row r="874">
      <c r="C874" s="88"/>
      <c r="F874" s="39" t="s">
        <v>48</v>
      </c>
      <c r="G874" s="89"/>
      <c r="H874" s="36" t="s">
        <v>48</v>
      </c>
      <c r="K874" s="90"/>
    </row>
    <row r="875">
      <c r="C875" s="88"/>
      <c r="F875" s="39" t="s">
        <v>48</v>
      </c>
      <c r="G875" s="89"/>
      <c r="H875" s="36" t="s">
        <v>48</v>
      </c>
      <c r="K875" s="90"/>
    </row>
    <row r="876">
      <c r="C876" s="88"/>
      <c r="F876" s="39" t="s">
        <v>48</v>
      </c>
      <c r="G876" s="89"/>
      <c r="H876" s="36" t="s">
        <v>48</v>
      </c>
      <c r="K876" s="90"/>
    </row>
    <row r="877">
      <c r="C877" s="88"/>
      <c r="F877" s="39" t="s">
        <v>48</v>
      </c>
      <c r="G877" s="89"/>
      <c r="H877" s="36" t="s">
        <v>48</v>
      </c>
      <c r="K877" s="90"/>
    </row>
    <row r="878">
      <c r="C878" s="88"/>
      <c r="F878" s="39" t="s">
        <v>48</v>
      </c>
      <c r="G878" s="89"/>
      <c r="H878" s="36" t="s">
        <v>48</v>
      </c>
      <c r="K878" s="90"/>
    </row>
    <row r="879">
      <c r="C879" s="88"/>
      <c r="F879" s="39" t="s">
        <v>48</v>
      </c>
      <c r="G879" s="89"/>
      <c r="H879" s="36" t="s">
        <v>48</v>
      </c>
      <c r="K879" s="90"/>
    </row>
    <row r="880">
      <c r="C880" s="88"/>
      <c r="F880" s="39" t="s">
        <v>48</v>
      </c>
      <c r="G880" s="89"/>
      <c r="H880" s="36" t="s">
        <v>48</v>
      </c>
      <c r="K880" s="90"/>
    </row>
    <row r="881">
      <c r="C881" s="88"/>
      <c r="F881" s="39" t="s">
        <v>48</v>
      </c>
      <c r="G881" s="89"/>
      <c r="H881" s="36" t="s">
        <v>48</v>
      </c>
      <c r="K881" s="90"/>
    </row>
    <row r="882">
      <c r="C882" s="88"/>
      <c r="F882" s="39" t="s">
        <v>48</v>
      </c>
      <c r="G882" s="89"/>
      <c r="H882" s="36" t="s">
        <v>48</v>
      </c>
      <c r="K882" s="90"/>
    </row>
    <row r="883">
      <c r="C883" s="88"/>
      <c r="F883" s="39" t="s">
        <v>48</v>
      </c>
      <c r="G883" s="89"/>
      <c r="H883" s="36" t="s">
        <v>48</v>
      </c>
      <c r="K883" s="90"/>
    </row>
    <row r="884">
      <c r="C884" s="88"/>
      <c r="F884" s="39" t="s">
        <v>48</v>
      </c>
      <c r="G884" s="89"/>
      <c r="H884" s="36" t="s">
        <v>48</v>
      </c>
      <c r="K884" s="90"/>
    </row>
    <row r="885">
      <c r="C885" s="88"/>
      <c r="F885" s="39" t="s">
        <v>48</v>
      </c>
      <c r="G885" s="89"/>
      <c r="H885" s="36" t="s">
        <v>48</v>
      </c>
      <c r="K885" s="90"/>
    </row>
    <row r="886">
      <c r="C886" s="88"/>
      <c r="F886" s="39" t="s">
        <v>48</v>
      </c>
      <c r="G886" s="89"/>
      <c r="H886" s="36" t="s">
        <v>48</v>
      </c>
      <c r="K886" s="90"/>
    </row>
    <row r="887">
      <c r="C887" s="88"/>
      <c r="F887" s="39" t="s">
        <v>48</v>
      </c>
      <c r="G887" s="89"/>
      <c r="H887" s="36" t="s">
        <v>48</v>
      </c>
      <c r="K887" s="90"/>
    </row>
    <row r="888">
      <c r="C888" s="88"/>
      <c r="F888" s="39" t="s">
        <v>48</v>
      </c>
      <c r="G888" s="89"/>
      <c r="H888" s="36" t="s">
        <v>48</v>
      </c>
      <c r="K888" s="90"/>
    </row>
    <row r="889">
      <c r="C889" s="88"/>
      <c r="F889" s="39" t="s">
        <v>48</v>
      </c>
      <c r="G889" s="89"/>
      <c r="H889" s="36" t="s">
        <v>48</v>
      </c>
      <c r="K889" s="90"/>
    </row>
    <row r="890">
      <c r="C890" s="88"/>
      <c r="F890" s="39" t="s">
        <v>48</v>
      </c>
      <c r="G890" s="89"/>
      <c r="H890" s="36" t="s">
        <v>48</v>
      </c>
      <c r="K890" s="90"/>
    </row>
    <row r="891">
      <c r="C891" s="88"/>
      <c r="F891" s="39" t="s">
        <v>48</v>
      </c>
      <c r="G891" s="89"/>
      <c r="H891" s="36" t="s">
        <v>48</v>
      </c>
      <c r="K891" s="90"/>
    </row>
    <row r="892">
      <c r="C892" s="88"/>
      <c r="F892" s="39" t="s">
        <v>48</v>
      </c>
      <c r="G892" s="89"/>
      <c r="H892" s="36" t="s">
        <v>48</v>
      </c>
      <c r="K892" s="90"/>
    </row>
    <row r="893">
      <c r="C893" s="88"/>
      <c r="F893" s="39" t="s">
        <v>48</v>
      </c>
      <c r="G893" s="89"/>
      <c r="H893" s="36" t="s">
        <v>48</v>
      </c>
      <c r="K893" s="90"/>
    </row>
    <row r="894">
      <c r="C894" s="88"/>
      <c r="F894" s="39" t="s">
        <v>48</v>
      </c>
      <c r="G894" s="89"/>
      <c r="H894" s="36" t="s">
        <v>48</v>
      </c>
      <c r="K894" s="90"/>
    </row>
    <row r="895">
      <c r="C895" s="88"/>
      <c r="F895" s="39" t="s">
        <v>48</v>
      </c>
      <c r="G895" s="89"/>
      <c r="H895" s="36" t="s">
        <v>48</v>
      </c>
      <c r="K895" s="90"/>
    </row>
    <row r="896">
      <c r="C896" s="88"/>
      <c r="F896" s="39" t="s">
        <v>48</v>
      </c>
      <c r="G896" s="89"/>
      <c r="H896" s="36" t="s">
        <v>48</v>
      </c>
      <c r="K896" s="90"/>
    </row>
    <row r="897">
      <c r="C897" s="88"/>
      <c r="F897" s="39" t="s">
        <v>48</v>
      </c>
      <c r="G897" s="89"/>
      <c r="H897" s="36" t="s">
        <v>48</v>
      </c>
      <c r="K897" s="90"/>
    </row>
    <row r="898">
      <c r="C898" s="88"/>
      <c r="F898" s="39" t="s">
        <v>48</v>
      </c>
      <c r="G898" s="89"/>
      <c r="H898" s="36" t="s">
        <v>48</v>
      </c>
      <c r="K898" s="90"/>
    </row>
    <row r="899">
      <c r="C899" s="88"/>
      <c r="F899" s="39" t="s">
        <v>48</v>
      </c>
      <c r="G899" s="89"/>
      <c r="H899" s="36" t="s">
        <v>48</v>
      </c>
      <c r="K899" s="90"/>
    </row>
    <row r="900">
      <c r="C900" s="88"/>
      <c r="F900" s="39" t="s">
        <v>48</v>
      </c>
      <c r="G900" s="89"/>
      <c r="H900" s="36" t="s">
        <v>48</v>
      </c>
      <c r="K900" s="90"/>
    </row>
    <row r="901">
      <c r="C901" s="88"/>
      <c r="F901" s="39" t="s">
        <v>48</v>
      </c>
      <c r="G901" s="89"/>
      <c r="H901" s="36" t="s">
        <v>48</v>
      </c>
      <c r="K901" s="90"/>
    </row>
    <row r="902">
      <c r="C902" s="88"/>
      <c r="F902" s="39" t="s">
        <v>48</v>
      </c>
      <c r="G902" s="89"/>
      <c r="H902" s="36" t="s">
        <v>48</v>
      </c>
      <c r="K902" s="90"/>
    </row>
    <row r="903">
      <c r="C903" s="88"/>
      <c r="F903" s="39" t="s">
        <v>48</v>
      </c>
      <c r="G903" s="89"/>
      <c r="H903" s="36" t="s">
        <v>48</v>
      </c>
      <c r="K903" s="90"/>
    </row>
    <row r="904">
      <c r="C904" s="88"/>
      <c r="F904" s="39" t="s">
        <v>48</v>
      </c>
      <c r="G904" s="89"/>
      <c r="H904" s="36" t="s">
        <v>48</v>
      </c>
      <c r="K904" s="90"/>
    </row>
    <row r="905">
      <c r="C905" s="88"/>
      <c r="F905" s="39" t="s">
        <v>48</v>
      </c>
      <c r="G905" s="89"/>
      <c r="H905" s="36" t="s">
        <v>48</v>
      </c>
      <c r="K905" s="90"/>
    </row>
    <row r="906">
      <c r="C906" s="88"/>
      <c r="F906" s="39" t="s">
        <v>48</v>
      </c>
      <c r="G906" s="89"/>
      <c r="H906" s="36" t="s">
        <v>48</v>
      </c>
      <c r="K906" s="90"/>
    </row>
    <row r="907">
      <c r="C907" s="88"/>
      <c r="F907" s="39" t="s">
        <v>48</v>
      </c>
      <c r="G907" s="89"/>
      <c r="H907" s="36" t="s">
        <v>48</v>
      </c>
      <c r="K907" s="90"/>
    </row>
    <row r="908">
      <c r="C908" s="88"/>
      <c r="F908" s="39" t="s">
        <v>48</v>
      </c>
      <c r="G908" s="89"/>
      <c r="H908" s="36" t="s">
        <v>48</v>
      </c>
      <c r="K908" s="90"/>
    </row>
    <row r="909">
      <c r="C909" s="88"/>
      <c r="F909" s="39" t="s">
        <v>48</v>
      </c>
      <c r="G909" s="89"/>
      <c r="H909" s="36" t="s">
        <v>48</v>
      </c>
      <c r="K909" s="90"/>
    </row>
    <row r="910">
      <c r="C910" s="88"/>
      <c r="F910" s="39" t="s">
        <v>48</v>
      </c>
      <c r="G910" s="89"/>
      <c r="H910" s="36" t="s">
        <v>48</v>
      </c>
      <c r="K910" s="90"/>
    </row>
    <row r="911">
      <c r="C911" s="88"/>
      <c r="F911" s="39" t="s">
        <v>48</v>
      </c>
      <c r="G911" s="89"/>
      <c r="H911" s="36" t="s">
        <v>48</v>
      </c>
      <c r="K911" s="90"/>
    </row>
    <row r="912">
      <c r="C912" s="88"/>
      <c r="F912" s="39" t="s">
        <v>48</v>
      </c>
      <c r="G912" s="89"/>
      <c r="H912" s="36" t="s">
        <v>48</v>
      </c>
      <c r="K912" s="90"/>
    </row>
    <row r="913">
      <c r="C913" s="88"/>
      <c r="F913" s="39" t="s">
        <v>48</v>
      </c>
      <c r="G913" s="89"/>
      <c r="H913" s="36" t="s">
        <v>48</v>
      </c>
      <c r="K913" s="90"/>
    </row>
    <row r="914">
      <c r="C914" s="88"/>
      <c r="F914" s="39" t="s">
        <v>48</v>
      </c>
      <c r="G914" s="89"/>
      <c r="H914" s="36" t="s">
        <v>48</v>
      </c>
      <c r="K914" s="90"/>
    </row>
    <row r="915">
      <c r="C915" s="88"/>
      <c r="F915" s="39" t="s">
        <v>48</v>
      </c>
      <c r="G915" s="89"/>
      <c r="H915" s="36" t="s">
        <v>48</v>
      </c>
      <c r="K915" s="90"/>
    </row>
    <row r="916">
      <c r="C916" s="88"/>
      <c r="F916" s="39" t="s">
        <v>48</v>
      </c>
      <c r="G916" s="89"/>
      <c r="H916" s="36" t="s">
        <v>48</v>
      </c>
      <c r="K916" s="90"/>
    </row>
    <row r="917">
      <c r="C917" s="88"/>
      <c r="F917" s="39" t="s">
        <v>48</v>
      </c>
      <c r="G917" s="89"/>
      <c r="H917" s="36" t="s">
        <v>48</v>
      </c>
      <c r="K917" s="90"/>
    </row>
    <row r="918">
      <c r="C918" s="88"/>
      <c r="F918" s="39" t="s">
        <v>48</v>
      </c>
      <c r="G918" s="89"/>
      <c r="H918" s="36" t="s">
        <v>48</v>
      </c>
      <c r="K918" s="90"/>
    </row>
    <row r="919">
      <c r="C919" s="88"/>
      <c r="F919" s="39" t="s">
        <v>48</v>
      </c>
      <c r="G919" s="89"/>
      <c r="H919" s="36" t="s">
        <v>48</v>
      </c>
      <c r="K919" s="90"/>
    </row>
    <row r="920">
      <c r="C920" s="88"/>
      <c r="F920" s="39" t="s">
        <v>48</v>
      </c>
      <c r="G920" s="89"/>
      <c r="H920" s="36" t="s">
        <v>48</v>
      </c>
      <c r="K920" s="90"/>
    </row>
    <row r="921">
      <c r="C921" s="88"/>
      <c r="F921" s="39" t="s">
        <v>48</v>
      </c>
      <c r="G921" s="89"/>
      <c r="H921" s="36" t="s">
        <v>48</v>
      </c>
      <c r="K921" s="90"/>
    </row>
    <row r="922">
      <c r="C922" s="88"/>
      <c r="F922" s="39" t="s">
        <v>48</v>
      </c>
      <c r="G922" s="89"/>
      <c r="H922" s="36" t="s">
        <v>48</v>
      </c>
      <c r="K922" s="90"/>
    </row>
    <row r="923">
      <c r="C923" s="88"/>
      <c r="F923" s="39" t="s">
        <v>48</v>
      </c>
      <c r="G923" s="89"/>
      <c r="H923" s="36" t="s">
        <v>48</v>
      </c>
      <c r="K923" s="90"/>
    </row>
    <row r="924">
      <c r="C924" s="88"/>
      <c r="F924" s="39" t="s">
        <v>48</v>
      </c>
      <c r="G924" s="89"/>
      <c r="H924" s="36" t="s">
        <v>48</v>
      </c>
      <c r="K924" s="90"/>
    </row>
    <row r="925">
      <c r="C925" s="88"/>
      <c r="F925" s="39" t="s">
        <v>48</v>
      </c>
      <c r="G925" s="89"/>
      <c r="H925" s="36" t="s">
        <v>48</v>
      </c>
      <c r="K925" s="90"/>
    </row>
    <row r="926">
      <c r="C926" s="88"/>
      <c r="F926" s="39" t="s">
        <v>48</v>
      </c>
      <c r="G926" s="89"/>
      <c r="H926" s="36" t="s">
        <v>48</v>
      </c>
      <c r="K926" s="90"/>
    </row>
    <row r="927">
      <c r="C927" s="88"/>
      <c r="F927" s="39" t="s">
        <v>48</v>
      </c>
      <c r="G927" s="89"/>
      <c r="H927" s="36" t="s">
        <v>48</v>
      </c>
      <c r="K927" s="90"/>
    </row>
    <row r="928">
      <c r="C928" s="88"/>
      <c r="F928" s="39" t="s">
        <v>48</v>
      </c>
      <c r="G928" s="89"/>
      <c r="H928" s="36" t="s">
        <v>48</v>
      </c>
      <c r="K928" s="90"/>
    </row>
    <row r="929">
      <c r="C929" s="88"/>
      <c r="F929" s="39" t="s">
        <v>48</v>
      </c>
      <c r="G929" s="89"/>
      <c r="H929" s="36" t="s">
        <v>48</v>
      </c>
      <c r="K929" s="90"/>
    </row>
    <row r="930">
      <c r="C930" s="88"/>
      <c r="F930" s="39" t="s">
        <v>48</v>
      </c>
      <c r="G930" s="89"/>
      <c r="H930" s="36" t="s">
        <v>48</v>
      </c>
      <c r="K930" s="90"/>
    </row>
    <row r="931">
      <c r="C931" s="88"/>
      <c r="F931" s="39" t="s">
        <v>48</v>
      </c>
      <c r="G931" s="89"/>
      <c r="H931" s="36" t="s">
        <v>48</v>
      </c>
      <c r="K931" s="90"/>
    </row>
    <row r="932">
      <c r="C932" s="88"/>
      <c r="F932" s="39" t="s">
        <v>48</v>
      </c>
      <c r="G932" s="89"/>
      <c r="H932" s="36" t="s">
        <v>48</v>
      </c>
      <c r="K932" s="90"/>
    </row>
    <row r="933">
      <c r="C933" s="88"/>
      <c r="F933" s="39" t="s">
        <v>48</v>
      </c>
      <c r="G933" s="89"/>
      <c r="H933" s="36" t="s">
        <v>48</v>
      </c>
      <c r="K933" s="90"/>
    </row>
    <row r="934">
      <c r="C934" s="88"/>
      <c r="F934" s="39" t="s">
        <v>48</v>
      </c>
      <c r="G934" s="89"/>
      <c r="H934" s="36" t="s">
        <v>48</v>
      </c>
      <c r="K934" s="90"/>
    </row>
    <row r="935">
      <c r="C935" s="88"/>
      <c r="F935" s="39" t="s">
        <v>48</v>
      </c>
      <c r="G935" s="89"/>
      <c r="H935" s="36" t="s">
        <v>48</v>
      </c>
      <c r="K935" s="90"/>
    </row>
    <row r="936">
      <c r="C936" s="88"/>
      <c r="F936" s="39" t="s">
        <v>48</v>
      </c>
      <c r="G936" s="89"/>
      <c r="H936" s="36" t="s">
        <v>48</v>
      </c>
      <c r="K936" s="90"/>
    </row>
    <row r="937">
      <c r="C937" s="88"/>
      <c r="F937" s="39" t="s">
        <v>48</v>
      </c>
      <c r="G937" s="89"/>
      <c r="H937" s="36" t="s">
        <v>48</v>
      </c>
      <c r="K937" s="90"/>
    </row>
    <row r="938">
      <c r="C938" s="88"/>
      <c r="F938" s="39" t="s">
        <v>48</v>
      </c>
      <c r="G938" s="89"/>
      <c r="H938" s="36" t="s">
        <v>48</v>
      </c>
      <c r="K938" s="90"/>
    </row>
    <row r="939">
      <c r="C939" s="88"/>
      <c r="F939" s="39" t="s">
        <v>48</v>
      </c>
      <c r="G939" s="89"/>
      <c r="H939" s="36" t="s">
        <v>48</v>
      </c>
      <c r="K939" s="90"/>
    </row>
    <row r="940">
      <c r="C940" s="88"/>
      <c r="F940" s="39" t="s">
        <v>48</v>
      </c>
      <c r="G940" s="89"/>
      <c r="H940" s="36" t="s">
        <v>48</v>
      </c>
      <c r="K940" s="90"/>
    </row>
    <row r="941">
      <c r="C941" s="88"/>
      <c r="F941" s="39" t="s">
        <v>48</v>
      </c>
      <c r="G941" s="89"/>
      <c r="H941" s="36" t="s">
        <v>48</v>
      </c>
      <c r="K941" s="90"/>
    </row>
    <row r="942">
      <c r="C942" s="88"/>
      <c r="F942" s="39" t="s">
        <v>48</v>
      </c>
      <c r="G942" s="89"/>
      <c r="H942" s="36" t="s">
        <v>48</v>
      </c>
      <c r="K942" s="90"/>
    </row>
    <row r="943">
      <c r="C943" s="88"/>
      <c r="F943" s="39" t="s">
        <v>48</v>
      </c>
      <c r="G943" s="89"/>
      <c r="H943" s="36" t="s">
        <v>48</v>
      </c>
      <c r="K943" s="90"/>
    </row>
    <row r="944">
      <c r="C944" s="88"/>
      <c r="F944" s="39" t="s">
        <v>48</v>
      </c>
      <c r="G944" s="89"/>
      <c r="H944" s="36" t="s">
        <v>48</v>
      </c>
      <c r="K944" s="90"/>
    </row>
    <row r="945">
      <c r="C945" s="88"/>
      <c r="F945" s="39" t="s">
        <v>48</v>
      </c>
      <c r="G945" s="89"/>
      <c r="H945" s="36" t="s">
        <v>48</v>
      </c>
      <c r="K945" s="90"/>
    </row>
    <row r="946">
      <c r="C946" s="88"/>
      <c r="F946" s="39" t="s">
        <v>48</v>
      </c>
      <c r="G946" s="89"/>
      <c r="H946" s="36" t="s">
        <v>48</v>
      </c>
      <c r="K946" s="90"/>
    </row>
    <row r="947">
      <c r="C947" s="88"/>
      <c r="F947" s="39" t="s">
        <v>48</v>
      </c>
      <c r="G947" s="89"/>
      <c r="H947" s="36" t="s">
        <v>48</v>
      </c>
      <c r="K947" s="90"/>
    </row>
    <row r="948">
      <c r="C948" s="88"/>
      <c r="F948" s="39" t="s">
        <v>48</v>
      </c>
      <c r="G948" s="89"/>
      <c r="H948" s="36" t="s">
        <v>48</v>
      </c>
      <c r="K948" s="90"/>
    </row>
    <row r="949">
      <c r="C949" s="88"/>
      <c r="F949" s="39" t="s">
        <v>48</v>
      </c>
      <c r="G949" s="89"/>
      <c r="H949" s="36" t="s">
        <v>48</v>
      </c>
      <c r="K949" s="90"/>
    </row>
    <row r="950">
      <c r="C950" s="88"/>
      <c r="F950" s="39" t="s">
        <v>48</v>
      </c>
      <c r="G950" s="89"/>
      <c r="H950" s="36" t="s">
        <v>48</v>
      </c>
      <c r="K950" s="90"/>
    </row>
    <row r="951">
      <c r="C951" s="88"/>
      <c r="F951" s="39" t="s">
        <v>48</v>
      </c>
      <c r="G951" s="89"/>
      <c r="H951" s="36" t="s">
        <v>48</v>
      </c>
      <c r="K951" s="90"/>
    </row>
    <row r="952">
      <c r="C952" s="88"/>
      <c r="F952" s="39" t="s">
        <v>48</v>
      </c>
      <c r="G952" s="89"/>
      <c r="H952" s="36" t="s">
        <v>48</v>
      </c>
      <c r="K952" s="90"/>
    </row>
    <row r="953">
      <c r="C953" s="88"/>
      <c r="F953" s="39" t="s">
        <v>48</v>
      </c>
      <c r="G953" s="89"/>
      <c r="H953" s="36" t="s">
        <v>48</v>
      </c>
      <c r="K953" s="90"/>
    </row>
    <row r="954">
      <c r="C954" s="88"/>
      <c r="F954" s="39" t="s">
        <v>48</v>
      </c>
      <c r="G954" s="89"/>
      <c r="H954" s="36" t="s">
        <v>48</v>
      </c>
      <c r="K954" s="90"/>
    </row>
    <row r="955">
      <c r="C955" s="88"/>
      <c r="F955" s="39" t="s">
        <v>48</v>
      </c>
      <c r="G955" s="89"/>
      <c r="H955" s="36" t="s">
        <v>48</v>
      </c>
      <c r="K955" s="90"/>
    </row>
    <row r="956">
      <c r="C956" s="88"/>
      <c r="F956" s="39" t="s">
        <v>48</v>
      </c>
      <c r="G956" s="89"/>
      <c r="H956" s="36" t="s">
        <v>48</v>
      </c>
      <c r="K956" s="90"/>
    </row>
    <row r="957">
      <c r="C957" s="88"/>
      <c r="F957" s="39" t="s">
        <v>48</v>
      </c>
      <c r="G957" s="89"/>
      <c r="H957" s="36" t="s">
        <v>48</v>
      </c>
      <c r="K957" s="90"/>
    </row>
    <row r="958">
      <c r="C958" s="88"/>
      <c r="F958" s="39" t="s">
        <v>48</v>
      </c>
      <c r="G958" s="89"/>
      <c r="H958" s="36" t="s">
        <v>48</v>
      </c>
      <c r="K958" s="90"/>
    </row>
    <row r="959">
      <c r="C959" s="88"/>
      <c r="F959" s="39" t="s">
        <v>48</v>
      </c>
      <c r="G959" s="89"/>
      <c r="H959" s="36" t="s">
        <v>48</v>
      </c>
      <c r="K959" s="90"/>
    </row>
    <row r="960">
      <c r="C960" s="88"/>
      <c r="F960" s="39" t="s">
        <v>48</v>
      </c>
      <c r="G960" s="89"/>
      <c r="H960" s="36" t="s">
        <v>48</v>
      </c>
      <c r="K960" s="90"/>
    </row>
    <row r="961">
      <c r="C961" s="88"/>
      <c r="F961" s="39" t="s">
        <v>48</v>
      </c>
      <c r="G961" s="89"/>
      <c r="H961" s="36" t="s">
        <v>48</v>
      </c>
      <c r="K961" s="90"/>
    </row>
    <row r="962">
      <c r="C962" s="88"/>
      <c r="F962" s="39" t="s">
        <v>48</v>
      </c>
      <c r="G962" s="89"/>
      <c r="H962" s="36" t="s">
        <v>48</v>
      </c>
      <c r="K962" s="90"/>
    </row>
    <row r="963">
      <c r="C963" s="88"/>
      <c r="F963" s="39" t="s">
        <v>48</v>
      </c>
      <c r="G963" s="89"/>
      <c r="H963" s="36" t="s">
        <v>48</v>
      </c>
      <c r="K963" s="90"/>
    </row>
    <row r="964">
      <c r="C964" s="88"/>
      <c r="F964" s="39" t="s">
        <v>48</v>
      </c>
      <c r="G964" s="89"/>
      <c r="H964" s="36" t="s">
        <v>48</v>
      </c>
      <c r="K964" s="90"/>
    </row>
    <row r="965">
      <c r="C965" s="88"/>
      <c r="F965" s="39" t="s">
        <v>48</v>
      </c>
      <c r="G965" s="89"/>
      <c r="H965" s="36" t="s">
        <v>48</v>
      </c>
      <c r="K965" s="90"/>
    </row>
    <row r="966">
      <c r="C966" s="88"/>
      <c r="F966" s="39" t="s">
        <v>48</v>
      </c>
      <c r="G966" s="89"/>
      <c r="H966" s="36" t="s">
        <v>48</v>
      </c>
      <c r="K966" s="90"/>
    </row>
    <row r="967">
      <c r="C967" s="88"/>
      <c r="F967" s="39" t="s">
        <v>48</v>
      </c>
      <c r="G967" s="89"/>
      <c r="H967" s="36" t="s">
        <v>48</v>
      </c>
      <c r="K967" s="90"/>
    </row>
    <row r="968">
      <c r="C968" s="88"/>
      <c r="F968" s="39" t="s">
        <v>48</v>
      </c>
      <c r="G968" s="89"/>
      <c r="H968" s="36" t="s">
        <v>48</v>
      </c>
      <c r="K968" s="90"/>
    </row>
    <row r="969">
      <c r="C969" s="88"/>
      <c r="F969" s="39" t="s">
        <v>48</v>
      </c>
      <c r="G969" s="89"/>
      <c r="H969" s="36" t="s">
        <v>48</v>
      </c>
      <c r="K969" s="90"/>
    </row>
    <row r="970">
      <c r="C970" s="88"/>
      <c r="F970" s="39" t="s">
        <v>48</v>
      </c>
      <c r="G970" s="89"/>
      <c r="H970" s="36" t="s">
        <v>48</v>
      </c>
      <c r="K970" s="90"/>
    </row>
    <row r="971">
      <c r="C971" s="88"/>
      <c r="F971" s="39" t="s">
        <v>48</v>
      </c>
      <c r="G971" s="89"/>
      <c r="H971" s="36" t="s">
        <v>48</v>
      </c>
      <c r="K971" s="90"/>
    </row>
    <row r="972">
      <c r="C972" s="88"/>
      <c r="F972" s="39" t="s">
        <v>48</v>
      </c>
      <c r="G972" s="89"/>
      <c r="H972" s="36" t="s">
        <v>48</v>
      </c>
      <c r="K972" s="90"/>
    </row>
    <row r="973">
      <c r="C973" s="88"/>
      <c r="F973" s="39" t="s">
        <v>48</v>
      </c>
      <c r="G973" s="89"/>
      <c r="H973" s="36" t="s">
        <v>48</v>
      </c>
      <c r="K973" s="90"/>
    </row>
    <row r="974">
      <c r="C974" s="88"/>
      <c r="F974" s="39" t="s">
        <v>48</v>
      </c>
      <c r="G974" s="89"/>
      <c r="H974" s="36" t="s">
        <v>48</v>
      </c>
      <c r="K974" s="90"/>
    </row>
    <row r="975">
      <c r="C975" s="88"/>
      <c r="F975" s="39" t="s">
        <v>48</v>
      </c>
      <c r="G975" s="89"/>
      <c r="H975" s="36" t="s">
        <v>48</v>
      </c>
      <c r="K975" s="90"/>
    </row>
    <row r="976">
      <c r="C976" s="88"/>
      <c r="F976" s="39" t="s">
        <v>48</v>
      </c>
      <c r="G976" s="89"/>
      <c r="H976" s="36" t="s">
        <v>48</v>
      </c>
      <c r="K976" s="90"/>
    </row>
    <row r="977">
      <c r="C977" s="88"/>
      <c r="F977" s="39" t="s">
        <v>48</v>
      </c>
      <c r="G977" s="89"/>
      <c r="H977" s="36" t="s">
        <v>48</v>
      </c>
      <c r="K977" s="90"/>
    </row>
    <row r="978">
      <c r="C978" s="88"/>
      <c r="F978" s="39" t="s">
        <v>48</v>
      </c>
      <c r="G978" s="89"/>
      <c r="H978" s="36" t="s">
        <v>48</v>
      </c>
      <c r="K978" s="90"/>
    </row>
    <row r="979">
      <c r="C979" s="88"/>
      <c r="F979" s="39" t="s">
        <v>48</v>
      </c>
      <c r="G979" s="89"/>
      <c r="H979" s="36" t="s">
        <v>48</v>
      </c>
      <c r="K979" s="90"/>
    </row>
    <row r="980">
      <c r="C980" s="88"/>
      <c r="F980" s="39" t="s">
        <v>48</v>
      </c>
      <c r="G980" s="89"/>
      <c r="H980" s="36" t="s">
        <v>48</v>
      </c>
      <c r="K980" s="90"/>
    </row>
    <row r="981">
      <c r="C981" s="88"/>
      <c r="F981" s="39" t="s">
        <v>48</v>
      </c>
      <c r="G981" s="89"/>
      <c r="H981" s="36" t="s">
        <v>48</v>
      </c>
      <c r="K981" s="90"/>
    </row>
    <row r="982">
      <c r="C982" s="88"/>
      <c r="F982" s="39" t="s">
        <v>48</v>
      </c>
      <c r="G982" s="89"/>
      <c r="H982" s="36" t="s">
        <v>48</v>
      </c>
      <c r="K982" s="90"/>
    </row>
    <row r="983">
      <c r="C983" s="88"/>
      <c r="F983" s="39" t="s">
        <v>48</v>
      </c>
      <c r="G983" s="89"/>
      <c r="H983" s="36" t="s">
        <v>48</v>
      </c>
      <c r="K983" s="90"/>
    </row>
    <row r="984">
      <c r="C984" s="88"/>
      <c r="F984" s="39" t="s">
        <v>48</v>
      </c>
      <c r="G984" s="89"/>
      <c r="H984" s="36" t="s">
        <v>48</v>
      </c>
      <c r="K984" s="90"/>
    </row>
    <row r="985">
      <c r="C985" s="88"/>
      <c r="F985" s="39" t="s">
        <v>48</v>
      </c>
      <c r="G985" s="89"/>
      <c r="H985" s="36" t="s">
        <v>48</v>
      </c>
      <c r="K985" s="90"/>
    </row>
    <row r="986">
      <c r="C986" s="88"/>
      <c r="F986" s="39" t="s">
        <v>48</v>
      </c>
      <c r="G986" s="89"/>
      <c r="H986" s="36" t="s">
        <v>48</v>
      </c>
      <c r="K986" s="90"/>
    </row>
    <row r="987">
      <c r="C987" s="88"/>
      <c r="F987" s="39" t="s">
        <v>48</v>
      </c>
      <c r="G987" s="89"/>
      <c r="H987" s="36" t="s">
        <v>48</v>
      </c>
      <c r="K987" s="90"/>
    </row>
    <row r="988">
      <c r="C988" s="88"/>
      <c r="F988" s="39" t="s">
        <v>48</v>
      </c>
      <c r="G988" s="89"/>
      <c r="H988" s="36" t="s">
        <v>48</v>
      </c>
      <c r="K988" s="90"/>
    </row>
    <row r="989">
      <c r="C989" s="88"/>
      <c r="F989" s="39" t="s">
        <v>48</v>
      </c>
      <c r="G989" s="89"/>
      <c r="H989" s="36" t="s">
        <v>48</v>
      </c>
      <c r="K989" s="90"/>
    </row>
    <row r="990">
      <c r="C990" s="88"/>
      <c r="F990" s="39" t="s">
        <v>48</v>
      </c>
      <c r="G990" s="89"/>
      <c r="H990" s="36" t="s">
        <v>48</v>
      </c>
      <c r="K990" s="90"/>
    </row>
    <row r="991">
      <c r="C991" s="88"/>
      <c r="F991" s="39" t="s">
        <v>48</v>
      </c>
      <c r="G991" s="89"/>
      <c r="H991" s="36" t="s">
        <v>48</v>
      </c>
      <c r="K991" s="90"/>
    </row>
    <row r="992">
      <c r="C992" s="88"/>
      <c r="F992" s="39" t="s">
        <v>48</v>
      </c>
      <c r="G992" s="89"/>
      <c r="H992" s="36" t="s">
        <v>48</v>
      </c>
      <c r="K992" s="90"/>
    </row>
    <row r="993">
      <c r="C993" s="88"/>
      <c r="F993" s="39" t="s">
        <v>48</v>
      </c>
      <c r="G993" s="89"/>
      <c r="H993" s="36" t="s">
        <v>48</v>
      </c>
      <c r="K993" s="90"/>
    </row>
    <row r="994">
      <c r="C994" s="88"/>
      <c r="F994" s="39" t="s">
        <v>48</v>
      </c>
      <c r="G994" s="89"/>
      <c r="H994" s="36" t="s">
        <v>48</v>
      </c>
      <c r="K994" s="90"/>
    </row>
    <row r="995">
      <c r="C995" s="88"/>
      <c r="F995" s="39" t="s">
        <v>48</v>
      </c>
      <c r="G995" s="89"/>
      <c r="H995" s="36" t="s">
        <v>48</v>
      </c>
      <c r="K995" s="90"/>
    </row>
    <row r="996">
      <c r="C996" s="88"/>
      <c r="F996" s="39" t="s">
        <v>48</v>
      </c>
      <c r="G996" s="89"/>
      <c r="H996" s="36" t="s">
        <v>48</v>
      </c>
      <c r="K996" s="90"/>
    </row>
    <row r="997">
      <c r="C997" s="88"/>
      <c r="F997" s="39" t="s">
        <v>48</v>
      </c>
      <c r="G997" s="89"/>
      <c r="H997" s="36" t="s">
        <v>48</v>
      </c>
      <c r="K997" s="90"/>
    </row>
    <row r="998">
      <c r="C998" s="88"/>
      <c r="F998" s="39" t="s">
        <v>48</v>
      </c>
      <c r="G998" s="89"/>
      <c r="H998" s="36" t="s">
        <v>48</v>
      </c>
      <c r="K998" s="90"/>
    </row>
    <row r="999">
      <c r="C999" s="88"/>
      <c r="F999" s="39" t="s">
        <v>48</v>
      </c>
      <c r="G999" s="89"/>
      <c r="H999" s="36" t="s">
        <v>48</v>
      </c>
      <c r="K999" s="90"/>
    </row>
    <row r="1000">
      <c r="C1000" s="88"/>
      <c r="F1000" s="39" t="s">
        <v>48</v>
      </c>
      <c r="G1000" s="89"/>
      <c r="H1000" s="36" t="s">
        <v>48</v>
      </c>
      <c r="K1000" s="90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5" t="s">
        <v>6</v>
      </c>
      <c r="B1" s="15" t="s">
        <v>282</v>
      </c>
      <c r="C1" s="17"/>
      <c r="D1" s="23" t="s">
        <v>24</v>
      </c>
      <c r="E1" s="15" t="s">
        <v>275</v>
      </c>
      <c r="F1" s="15" t="s">
        <v>291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22.5" customHeight="1">
      <c r="A2" s="102" t="str">
        <f>IFERROR(__xludf.DUMMYFUNCTION("importrange(""https://docs.google.com/spreadsheets/d/10NKx0lfNzeXIK0LUd2dha_WjEz2hZGR-22I1ocfn-pI/edit?usp=sharing"",""Produktivitas!A2:B4"")"),"Pelatihan Peningkatan Produktivitas")</f>
        <v>Pelatihan Peningkatan Produktivitas</v>
      </c>
      <c r="B2" s="102"/>
      <c r="D2" s="103">
        <f>IFERROR(__xludf.DUMMYFUNCTION("importrange(""https://docs.google.com/spreadsheets/d/10NKx0lfNzeXIK0LUd2dha_WjEz2hZGR-22I1ocfn-pI/edit?usp=sharing"",""Produktivitas!D2:F"")"),1.0)</f>
        <v>1</v>
      </c>
      <c r="E2" s="102"/>
      <c r="F2" s="102"/>
    </row>
    <row r="3" ht="22.5" customHeight="1">
      <c r="A3" s="102" t="str">
        <f>IFERROR(__xludf.DUMMYFUNCTION("""COMPUTED_VALUE"""),"Pelatihan Peningkatan Produktivitas Green Job")</f>
        <v>Pelatihan Peningkatan Produktivitas Green Job</v>
      </c>
      <c r="B3" s="102"/>
      <c r="D3" s="29">
        <f>IFERROR(__xludf.DUMMYFUNCTION("""COMPUTED_VALUE"""),2.0)</f>
        <v>2</v>
      </c>
      <c r="E3" s="29"/>
      <c r="F3" s="29"/>
    </row>
    <row r="4" ht="22.5" customHeight="1">
      <c r="A4" s="29" t="str">
        <f>IFERROR(__xludf.DUMMYFUNCTION("""COMPUTED_VALUE"""),"Total Peserta")</f>
        <v>Total Peserta</v>
      </c>
      <c r="B4" s="29">
        <f>IFERROR(__xludf.DUMMYFUNCTION("""COMPUTED_VALUE"""),0.0)</f>
        <v>0</v>
      </c>
      <c r="D4" s="29">
        <f>IFERROR(__xludf.DUMMYFUNCTION("""COMPUTED_VALUE"""),3.0)</f>
        <v>3</v>
      </c>
      <c r="E4" s="29"/>
      <c r="F4" s="29"/>
    </row>
    <row r="5" ht="22.5" customHeight="1">
      <c r="D5" s="29">
        <f>IFERROR(__xludf.DUMMYFUNCTION("""COMPUTED_VALUE"""),4.0)</f>
        <v>4</v>
      </c>
      <c r="E5" s="29"/>
      <c r="F5" s="29"/>
    </row>
    <row r="6" ht="22.5" customHeight="1">
      <c r="D6" s="29">
        <f>IFERROR(__xludf.DUMMYFUNCTION("""COMPUTED_VALUE"""),5.0)</f>
        <v>5</v>
      </c>
      <c r="E6" s="29"/>
      <c r="F6" s="29"/>
    </row>
    <row r="7" ht="22.5" customHeight="1">
      <c r="D7" s="29">
        <f>IFERROR(__xludf.DUMMYFUNCTION("""COMPUTED_VALUE"""),6.0)</f>
        <v>6</v>
      </c>
      <c r="E7" s="29"/>
      <c r="F7" s="29"/>
    </row>
    <row r="8" ht="22.5" customHeight="1">
      <c r="D8" s="29">
        <f>IFERROR(__xludf.DUMMYFUNCTION("""COMPUTED_VALUE"""),7.0)</f>
        <v>7</v>
      </c>
      <c r="E8" s="29"/>
      <c r="F8" s="29"/>
    </row>
    <row r="9">
      <c r="D9" s="36">
        <f>IFERROR(__xludf.DUMMYFUNCTION("""COMPUTED_VALUE"""),8.0)</f>
        <v>8</v>
      </c>
      <c r="E9" s="36"/>
      <c r="F9" s="36"/>
    </row>
    <row r="10">
      <c r="D10" s="36">
        <f>IFERROR(__xludf.DUMMYFUNCTION("""COMPUTED_VALUE"""),9.0)</f>
        <v>9</v>
      </c>
      <c r="E10" s="36"/>
      <c r="F10" s="36"/>
    </row>
    <row r="11">
      <c r="D11" s="36">
        <f>IFERROR(__xludf.DUMMYFUNCTION("""COMPUTED_VALUE"""),10.0)</f>
        <v>10</v>
      </c>
      <c r="E11" s="36"/>
      <c r="F11" s="36"/>
    </row>
    <row r="12">
      <c r="D12" s="36"/>
      <c r="E12" s="36"/>
      <c r="F12" s="36"/>
    </row>
    <row r="13">
      <c r="D13" s="36"/>
      <c r="E13" s="36"/>
      <c r="F13" s="36"/>
    </row>
    <row r="14">
      <c r="D14" s="36"/>
      <c r="E14" s="36"/>
      <c r="F14" s="36"/>
    </row>
    <row r="15">
      <c r="D15" s="36"/>
      <c r="E15" s="36"/>
      <c r="F15" s="36"/>
    </row>
    <row r="16">
      <c r="D16" s="36"/>
      <c r="E16" s="36"/>
      <c r="F16" s="36"/>
    </row>
    <row r="17">
      <c r="D17" s="36"/>
      <c r="E17" s="36"/>
      <c r="F17" s="36"/>
    </row>
    <row r="18">
      <c r="D18" s="36"/>
      <c r="E18" s="36"/>
      <c r="F18" s="36"/>
    </row>
    <row r="19">
      <c r="D19" s="36"/>
      <c r="E19" s="36"/>
      <c r="F19" s="36"/>
    </row>
    <row r="20">
      <c r="D20" s="36"/>
      <c r="E20" s="36"/>
      <c r="F20" s="36"/>
    </row>
    <row r="21">
      <c r="D21" s="36"/>
      <c r="E21" s="36"/>
      <c r="F21" s="36"/>
    </row>
    <row r="22">
      <c r="D22" s="36"/>
      <c r="E22" s="36"/>
      <c r="F22" s="36"/>
    </row>
    <row r="23">
      <c r="D23" s="36"/>
      <c r="E23" s="36"/>
      <c r="F23" s="36"/>
    </row>
    <row r="24">
      <c r="D24" s="36"/>
      <c r="E24" s="36"/>
      <c r="F24" s="36"/>
    </row>
    <row r="25">
      <c r="D25" s="36"/>
      <c r="E25" s="36"/>
      <c r="F25" s="36"/>
    </row>
    <row r="26">
      <c r="D26" s="36"/>
      <c r="E26" s="36"/>
      <c r="F26" s="36"/>
    </row>
    <row r="27">
      <c r="D27" s="36"/>
      <c r="E27" s="36"/>
      <c r="F27" s="36"/>
    </row>
    <row r="28">
      <c r="D28" s="36"/>
      <c r="E28" s="36"/>
      <c r="F28" s="36"/>
    </row>
    <row r="29">
      <c r="D29" s="36"/>
      <c r="E29" s="36"/>
      <c r="F29" s="36"/>
    </row>
    <row r="30">
      <c r="D30" s="36"/>
      <c r="E30" s="36"/>
      <c r="F30" s="36"/>
    </row>
    <row r="31">
      <c r="D31" s="36"/>
      <c r="E31" s="36"/>
      <c r="F31" s="36"/>
    </row>
    <row r="32">
      <c r="D32" s="36"/>
      <c r="E32" s="36"/>
      <c r="F32" s="36"/>
    </row>
    <row r="33">
      <c r="D33" s="36"/>
      <c r="E33" s="36"/>
      <c r="F33" s="36"/>
    </row>
    <row r="34">
      <c r="D34" s="36"/>
      <c r="E34" s="36"/>
      <c r="F34" s="36"/>
    </row>
    <row r="35">
      <c r="D35" s="36"/>
      <c r="E35" s="36"/>
      <c r="F35" s="36"/>
    </row>
    <row r="36">
      <c r="D36" s="36"/>
      <c r="E36" s="36"/>
      <c r="F36" s="36"/>
    </row>
    <row r="37">
      <c r="D37" s="36"/>
      <c r="E37" s="36"/>
      <c r="F37" s="36"/>
    </row>
    <row r="38">
      <c r="D38" s="36"/>
      <c r="E38" s="36"/>
      <c r="F38" s="36"/>
    </row>
    <row r="39">
      <c r="D39" s="36"/>
      <c r="E39" s="36"/>
      <c r="F39" s="36"/>
    </row>
    <row r="40">
      <c r="D40" s="36"/>
      <c r="E40" s="36"/>
      <c r="F40" s="36"/>
    </row>
    <row r="41">
      <c r="D41" s="36"/>
      <c r="E41" s="36"/>
      <c r="F41" s="36"/>
    </row>
    <row r="42">
      <c r="D42" s="36"/>
      <c r="E42" s="36"/>
      <c r="F42" s="36"/>
    </row>
    <row r="43">
      <c r="D43" s="36"/>
      <c r="E43" s="36"/>
      <c r="F43" s="36"/>
    </row>
    <row r="44">
      <c r="D44" s="36"/>
      <c r="E44" s="36"/>
      <c r="F44" s="36"/>
    </row>
    <row r="45">
      <c r="D45" s="36"/>
      <c r="E45" s="36"/>
      <c r="F45" s="36"/>
    </row>
    <row r="46">
      <c r="D46" s="36"/>
      <c r="E46" s="36"/>
      <c r="F46" s="36"/>
    </row>
    <row r="47">
      <c r="D47" s="36"/>
      <c r="E47" s="36"/>
      <c r="F47" s="36"/>
    </row>
    <row r="48">
      <c r="D48" s="36"/>
      <c r="E48" s="36"/>
      <c r="F48" s="36"/>
    </row>
    <row r="49">
      <c r="D49" s="36"/>
      <c r="E49" s="36"/>
      <c r="F49" s="36"/>
    </row>
    <row r="50">
      <c r="D50" s="36"/>
      <c r="E50" s="36"/>
      <c r="F50" s="36"/>
    </row>
    <row r="51">
      <c r="D51" s="36"/>
      <c r="E51" s="36"/>
      <c r="F51" s="36"/>
    </row>
    <row r="52">
      <c r="D52" s="36"/>
      <c r="E52" s="36"/>
      <c r="F52" s="36"/>
    </row>
    <row r="53">
      <c r="D53" s="36"/>
      <c r="E53" s="36"/>
      <c r="F53" s="36"/>
    </row>
    <row r="54">
      <c r="D54" s="36"/>
      <c r="E54" s="36"/>
      <c r="F54" s="36"/>
    </row>
    <row r="55">
      <c r="D55" s="36"/>
      <c r="E55" s="36"/>
      <c r="F55" s="36"/>
    </row>
    <row r="56">
      <c r="D56" s="36"/>
      <c r="E56" s="36"/>
      <c r="F56" s="36"/>
    </row>
    <row r="57">
      <c r="D57" s="36"/>
      <c r="E57" s="36"/>
      <c r="F57" s="36"/>
    </row>
    <row r="58">
      <c r="D58" s="36"/>
      <c r="E58" s="36"/>
      <c r="F58" s="36"/>
    </row>
    <row r="59">
      <c r="D59" s="36"/>
      <c r="E59" s="36"/>
      <c r="F59" s="36"/>
    </row>
    <row r="60">
      <c r="D60" s="36"/>
      <c r="E60" s="36"/>
      <c r="F60" s="36"/>
    </row>
    <row r="61">
      <c r="D61" s="36"/>
      <c r="E61" s="36"/>
      <c r="F61" s="36"/>
    </row>
    <row r="62">
      <c r="D62" s="36"/>
      <c r="E62" s="36"/>
      <c r="F62" s="36"/>
    </row>
    <row r="63">
      <c r="D63" s="36"/>
      <c r="E63" s="36"/>
      <c r="F63" s="36"/>
    </row>
    <row r="64">
      <c r="D64" s="36"/>
      <c r="E64" s="36"/>
      <c r="F64" s="36"/>
    </row>
    <row r="65">
      <c r="D65" s="36"/>
      <c r="E65" s="36"/>
      <c r="F65" s="36"/>
    </row>
    <row r="66">
      <c r="D66" s="36"/>
      <c r="E66" s="36"/>
      <c r="F66" s="36"/>
    </row>
    <row r="67">
      <c r="D67" s="36"/>
      <c r="E67" s="36"/>
      <c r="F67" s="36"/>
    </row>
    <row r="68">
      <c r="D68" s="36"/>
      <c r="E68" s="36"/>
      <c r="F68" s="36"/>
    </row>
    <row r="69">
      <c r="D69" s="36"/>
      <c r="E69" s="36"/>
      <c r="F69" s="36"/>
    </row>
    <row r="70">
      <c r="D70" s="36"/>
      <c r="E70" s="36"/>
      <c r="F70" s="36"/>
    </row>
    <row r="71">
      <c r="D71" s="36"/>
      <c r="E71" s="36"/>
      <c r="F71" s="36"/>
    </row>
    <row r="72">
      <c r="D72" s="36"/>
      <c r="E72" s="36"/>
      <c r="F72" s="36"/>
    </row>
    <row r="73">
      <c r="D73" s="36"/>
      <c r="E73" s="36"/>
      <c r="F73" s="36"/>
    </row>
    <row r="74">
      <c r="D74" s="36"/>
      <c r="E74" s="36"/>
      <c r="F74" s="36"/>
    </row>
    <row r="75">
      <c r="D75" s="36"/>
      <c r="E75" s="36"/>
      <c r="F75" s="36"/>
    </row>
    <row r="76">
      <c r="D76" s="36"/>
      <c r="E76" s="36"/>
      <c r="F76" s="36"/>
    </row>
    <row r="77">
      <c r="D77" s="36"/>
      <c r="E77" s="36"/>
      <c r="F77" s="36"/>
    </row>
    <row r="78">
      <c r="D78" s="36"/>
      <c r="E78" s="36"/>
      <c r="F78" s="36"/>
    </row>
    <row r="79">
      <c r="D79" s="36"/>
      <c r="E79" s="36"/>
      <c r="F79" s="36"/>
    </row>
    <row r="80">
      <c r="D80" s="36"/>
      <c r="E80" s="36"/>
      <c r="F80" s="36"/>
    </row>
    <row r="81">
      <c r="D81" s="36"/>
      <c r="E81" s="36"/>
      <c r="F81" s="36"/>
    </row>
    <row r="82">
      <c r="D82" s="36"/>
      <c r="E82" s="36"/>
      <c r="F82" s="36"/>
    </row>
    <row r="83">
      <c r="D83" s="36"/>
      <c r="E83" s="36"/>
      <c r="F83" s="36"/>
    </row>
    <row r="84">
      <c r="D84" s="36"/>
      <c r="E84" s="36"/>
      <c r="F84" s="36"/>
    </row>
    <row r="85">
      <c r="D85" s="36"/>
      <c r="E85" s="36"/>
      <c r="F85" s="36"/>
    </row>
    <row r="86">
      <c r="D86" s="36"/>
      <c r="E86" s="36"/>
      <c r="F86" s="36"/>
    </row>
    <row r="87">
      <c r="D87" s="36"/>
      <c r="E87" s="36"/>
      <c r="F87" s="36"/>
    </row>
    <row r="88">
      <c r="D88" s="36"/>
      <c r="E88" s="36"/>
      <c r="F88" s="36"/>
    </row>
    <row r="89">
      <c r="D89" s="36"/>
      <c r="E89" s="36"/>
      <c r="F89" s="36"/>
    </row>
    <row r="90">
      <c r="D90" s="36"/>
      <c r="E90" s="36"/>
      <c r="F90" s="36"/>
    </row>
    <row r="91">
      <c r="D91" s="36"/>
      <c r="E91" s="36"/>
      <c r="F91" s="36"/>
    </row>
    <row r="92">
      <c r="D92" s="36"/>
      <c r="E92" s="36"/>
      <c r="F92" s="36"/>
    </row>
    <row r="93">
      <c r="D93" s="36"/>
      <c r="E93" s="36"/>
      <c r="F93" s="36"/>
    </row>
    <row r="94">
      <c r="D94" s="36"/>
      <c r="E94" s="36"/>
      <c r="F94" s="36"/>
    </row>
    <row r="95">
      <c r="D95" s="36"/>
      <c r="E95" s="36"/>
      <c r="F95" s="36"/>
    </row>
    <row r="96">
      <c r="D96" s="36"/>
      <c r="E96" s="36"/>
      <c r="F96" s="36"/>
    </row>
    <row r="97">
      <c r="D97" s="36"/>
      <c r="E97" s="36"/>
      <c r="F97" s="36"/>
    </row>
    <row r="98">
      <c r="D98" s="36"/>
      <c r="E98" s="36"/>
      <c r="F98" s="36"/>
    </row>
    <row r="99">
      <c r="D99" s="36"/>
      <c r="E99" s="36"/>
      <c r="F99" s="36"/>
    </row>
    <row r="100">
      <c r="D100" s="36"/>
      <c r="E100" s="36"/>
      <c r="F100" s="36"/>
    </row>
    <row r="101">
      <c r="D101" s="36"/>
      <c r="E101" s="36"/>
      <c r="F101" s="36"/>
    </row>
    <row r="102">
      <c r="D102" s="36"/>
      <c r="E102" s="36"/>
      <c r="F102" s="36"/>
    </row>
    <row r="103">
      <c r="D103" s="36"/>
      <c r="E103" s="36"/>
      <c r="F103" s="36"/>
    </row>
    <row r="104">
      <c r="D104" s="36"/>
      <c r="E104" s="36"/>
      <c r="F104" s="36"/>
    </row>
    <row r="105">
      <c r="D105" s="36"/>
      <c r="E105" s="36"/>
      <c r="F105" s="36"/>
    </row>
    <row r="106">
      <c r="D106" s="36"/>
      <c r="E106" s="36"/>
      <c r="F106" s="36"/>
    </row>
    <row r="107">
      <c r="D107" s="36"/>
      <c r="E107" s="36"/>
      <c r="F107" s="36"/>
    </row>
    <row r="108">
      <c r="D108" s="36"/>
      <c r="E108" s="36"/>
      <c r="F108" s="36"/>
    </row>
    <row r="109">
      <c r="D109" s="36"/>
      <c r="E109" s="36"/>
      <c r="F109" s="36"/>
    </row>
    <row r="110">
      <c r="D110" s="36"/>
      <c r="E110" s="36"/>
      <c r="F110" s="36"/>
    </row>
    <row r="111">
      <c r="D111" s="36"/>
      <c r="E111" s="36"/>
      <c r="F111" s="36"/>
    </row>
    <row r="112">
      <c r="D112" s="36"/>
      <c r="E112" s="36"/>
      <c r="F112" s="36"/>
    </row>
    <row r="113">
      <c r="D113" s="36"/>
      <c r="E113" s="36"/>
      <c r="F113" s="36"/>
    </row>
    <row r="114">
      <c r="D114" s="36"/>
      <c r="E114" s="36"/>
      <c r="F114" s="36"/>
    </row>
    <row r="115">
      <c r="D115" s="36"/>
      <c r="E115" s="36"/>
      <c r="F115" s="36"/>
    </row>
    <row r="116">
      <c r="D116" s="36"/>
      <c r="E116" s="36"/>
      <c r="F116" s="36"/>
    </row>
    <row r="117">
      <c r="D117" s="36"/>
      <c r="E117" s="36"/>
      <c r="F117" s="36"/>
    </row>
    <row r="118">
      <c r="D118" s="36"/>
      <c r="E118" s="36"/>
      <c r="F118" s="36"/>
    </row>
    <row r="119">
      <c r="D119" s="36"/>
      <c r="E119" s="36"/>
      <c r="F119" s="36"/>
    </row>
    <row r="120">
      <c r="D120" s="36"/>
      <c r="E120" s="36"/>
      <c r="F120" s="36"/>
    </row>
    <row r="121">
      <c r="D121" s="36"/>
      <c r="E121" s="36"/>
      <c r="F121" s="36"/>
    </row>
    <row r="122">
      <c r="D122" s="36"/>
      <c r="E122" s="36"/>
      <c r="F122" s="36"/>
    </row>
    <row r="123">
      <c r="D123" s="36"/>
      <c r="E123" s="36"/>
      <c r="F123" s="36"/>
    </row>
    <row r="124">
      <c r="D124" s="36"/>
      <c r="E124" s="36"/>
      <c r="F124" s="36"/>
    </row>
    <row r="125">
      <c r="D125" s="36"/>
      <c r="E125" s="36"/>
      <c r="F125" s="36"/>
    </row>
    <row r="126">
      <c r="D126" s="36"/>
      <c r="E126" s="36"/>
      <c r="F126" s="36"/>
    </row>
    <row r="127">
      <c r="D127" s="36"/>
      <c r="E127" s="36"/>
      <c r="F127" s="36"/>
    </row>
    <row r="128">
      <c r="D128" s="36"/>
      <c r="E128" s="36"/>
      <c r="F128" s="36"/>
    </row>
    <row r="129">
      <c r="D129" s="36"/>
      <c r="E129" s="36"/>
      <c r="F129" s="36"/>
    </row>
    <row r="130">
      <c r="D130" s="36"/>
      <c r="E130" s="36"/>
      <c r="F130" s="36"/>
    </row>
    <row r="131">
      <c r="D131" s="36"/>
      <c r="E131" s="36"/>
      <c r="F131" s="36"/>
    </row>
    <row r="132">
      <c r="D132" s="36"/>
      <c r="E132" s="36"/>
      <c r="F132" s="36"/>
    </row>
    <row r="133">
      <c r="D133" s="36"/>
      <c r="E133" s="36"/>
      <c r="F133" s="36"/>
    </row>
    <row r="134">
      <c r="D134" s="36"/>
      <c r="E134" s="36"/>
      <c r="F134" s="36"/>
    </row>
    <row r="135">
      <c r="D135" s="36"/>
      <c r="E135" s="36"/>
      <c r="F135" s="36"/>
    </row>
    <row r="136">
      <c r="D136" s="36"/>
      <c r="E136" s="36"/>
      <c r="F136" s="36"/>
    </row>
    <row r="137">
      <c r="D137" s="36"/>
      <c r="E137" s="36"/>
      <c r="F137" s="36"/>
    </row>
    <row r="138">
      <c r="D138" s="36"/>
      <c r="E138" s="36"/>
      <c r="F138" s="36"/>
    </row>
    <row r="139">
      <c r="D139" s="36"/>
      <c r="E139" s="36"/>
      <c r="F139" s="36"/>
    </row>
    <row r="140">
      <c r="D140" s="36"/>
      <c r="E140" s="36"/>
      <c r="F140" s="36"/>
    </row>
    <row r="141">
      <c r="D141" s="36"/>
      <c r="E141" s="36"/>
      <c r="F141" s="36"/>
    </row>
    <row r="142">
      <c r="D142" s="36"/>
      <c r="E142" s="36"/>
      <c r="F142" s="36"/>
    </row>
    <row r="143">
      <c r="D143" s="36"/>
      <c r="E143" s="36"/>
      <c r="F143" s="36"/>
    </row>
    <row r="144">
      <c r="D144" s="36"/>
      <c r="E144" s="36"/>
      <c r="F144" s="36"/>
    </row>
    <row r="145">
      <c r="D145" s="36"/>
      <c r="E145" s="36"/>
      <c r="F145" s="36"/>
    </row>
    <row r="146">
      <c r="D146" s="36"/>
      <c r="E146" s="36"/>
      <c r="F146" s="36"/>
    </row>
    <row r="147">
      <c r="D147" s="36"/>
      <c r="E147" s="36"/>
      <c r="F147" s="36"/>
    </row>
    <row r="148">
      <c r="D148" s="36"/>
      <c r="E148" s="36"/>
      <c r="F148" s="36"/>
    </row>
    <row r="149">
      <c r="D149" s="36"/>
      <c r="E149" s="36"/>
      <c r="F149" s="36"/>
    </row>
    <row r="150">
      <c r="D150" s="36"/>
      <c r="E150" s="36"/>
      <c r="F150" s="36"/>
    </row>
    <row r="151">
      <c r="D151" s="36"/>
      <c r="E151" s="36"/>
      <c r="F151" s="36"/>
    </row>
    <row r="152">
      <c r="D152" s="36"/>
      <c r="E152" s="36"/>
      <c r="F152" s="36"/>
    </row>
    <row r="153">
      <c r="D153" s="36"/>
      <c r="E153" s="36"/>
      <c r="F153" s="36"/>
    </row>
    <row r="154">
      <c r="D154" s="36"/>
      <c r="E154" s="36"/>
      <c r="F154" s="36"/>
    </row>
    <row r="155">
      <c r="D155" s="36"/>
      <c r="E155" s="36"/>
      <c r="F155" s="36"/>
    </row>
    <row r="156">
      <c r="D156" s="36"/>
      <c r="E156" s="36"/>
      <c r="F156" s="36"/>
    </row>
    <row r="157">
      <c r="D157" s="36"/>
      <c r="E157" s="36"/>
      <c r="F157" s="36"/>
    </row>
    <row r="158">
      <c r="D158" s="36"/>
      <c r="E158" s="36"/>
      <c r="F158" s="36"/>
    </row>
    <row r="159">
      <c r="D159" s="36"/>
      <c r="E159" s="36"/>
      <c r="F159" s="36"/>
    </row>
    <row r="160">
      <c r="D160" s="36"/>
      <c r="E160" s="36"/>
      <c r="F160" s="36"/>
    </row>
    <row r="161">
      <c r="D161" s="36"/>
      <c r="E161" s="36"/>
      <c r="F161" s="36"/>
    </row>
    <row r="162">
      <c r="D162" s="36"/>
      <c r="E162" s="36"/>
      <c r="F162" s="36"/>
    </row>
    <row r="163">
      <c r="D163" s="36"/>
      <c r="E163" s="36"/>
      <c r="F163" s="36"/>
    </row>
    <row r="164">
      <c r="D164" s="36"/>
      <c r="E164" s="36"/>
      <c r="F164" s="36"/>
    </row>
    <row r="165">
      <c r="D165" s="36"/>
      <c r="E165" s="36"/>
      <c r="F165" s="36"/>
    </row>
    <row r="166">
      <c r="D166" s="36"/>
      <c r="E166" s="36"/>
      <c r="F166" s="36"/>
    </row>
    <row r="167">
      <c r="D167" s="36"/>
      <c r="E167" s="36"/>
      <c r="F167" s="36"/>
    </row>
    <row r="168">
      <c r="D168" s="36"/>
      <c r="E168" s="36"/>
      <c r="F168" s="36"/>
    </row>
    <row r="169">
      <c r="D169" s="36"/>
      <c r="E169" s="36"/>
      <c r="F169" s="36"/>
    </row>
    <row r="170">
      <c r="D170" s="36"/>
      <c r="E170" s="36"/>
      <c r="F170" s="36"/>
    </row>
    <row r="171">
      <c r="D171" s="36"/>
      <c r="E171" s="36"/>
      <c r="F171" s="36"/>
    </row>
    <row r="172">
      <c r="D172" s="36"/>
      <c r="E172" s="36"/>
      <c r="F172" s="36"/>
    </row>
    <row r="173">
      <c r="D173" s="36"/>
      <c r="E173" s="36"/>
      <c r="F173" s="36"/>
    </row>
    <row r="174">
      <c r="D174" s="36"/>
      <c r="E174" s="36"/>
      <c r="F174" s="36"/>
    </row>
    <row r="175">
      <c r="D175" s="36"/>
      <c r="E175" s="36"/>
      <c r="F175" s="36"/>
    </row>
    <row r="176">
      <c r="D176" s="36"/>
      <c r="E176" s="36"/>
      <c r="F176" s="36"/>
    </row>
    <row r="177">
      <c r="D177" s="36"/>
      <c r="E177" s="36"/>
      <c r="F177" s="36"/>
    </row>
    <row r="178">
      <c r="D178" s="36"/>
      <c r="E178" s="36"/>
      <c r="F178" s="36"/>
    </row>
    <row r="179">
      <c r="D179" s="36"/>
      <c r="E179" s="36"/>
      <c r="F179" s="36"/>
    </row>
    <row r="180">
      <c r="D180" s="36"/>
      <c r="E180" s="36"/>
      <c r="F180" s="36"/>
    </row>
    <row r="181">
      <c r="D181" s="36"/>
      <c r="E181" s="36"/>
      <c r="F181" s="36"/>
    </row>
    <row r="182">
      <c r="D182" s="36"/>
      <c r="E182" s="36"/>
      <c r="F182" s="36"/>
    </row>
    <row r="183">
      <c r="D183" s="36"/>
      <c r="E183" s="36"/>
      <c r="F183" s="36"/>
    </row>
    <row r="184">
      <c r="D184" s="36"/>
      <c r="E184" s="36"/>
      <c r="F184" s="36"/>
    </row>
    <row r="185">
      <c r="D185" s="36"/>
      <c r="E185" s="36"/>
      <c r="F185" s="36"/>
    </row>
    <row r="186">
      <c r="D186" s="36"/>
      <c r="E186" s="36"/>
      <c r="F186" s="36"/>
    </row>
    <row r="187">
      <c r="D187" s="36"/>
      <c r="E187" s="36"/>
      <c r="F187" s="36"/>
    </row>
    <row r="188">
      <c r="D188" s="36"/>
      <c r="E188" s="36"/>
      <c r="F188" s="36"/>
    </row>
    <row r="189">
      <c r="D189" s="36"/>
      <c r="E189" s="36"/>
      <c r="F189" s="36"/>
    </row>
    <row r="190">
      <c r="D190" s="36"/>
      <c r="E190" s="36"/>
      <c r="F190" s="36"/>
    </row>
    <row r="191">
      <c r="D191" s="36"/>
      <c r="E191" s="36"/>
      <c r="F191" s="36"/>
    </row>
    <row r="192">
      <c r="D192" s="36"/>
      <c r="E192" s="36"/>
      <c r="F192" s="36"/>
    </row>
    <row r="193">
      <c r="D193" s="36"/>
      <c r="E193" s="36"/>
      <c r="F193" s="36"/>
    </row>
    <row r="194">
      <c r="D194" s="36"/>
      <c r="E194" s="36"/>
      <c r="F194" s="36"/>
    </row>
    <row r="195">
      <c r="D195" s="36"/>
      <c r="E195" s="36"/>
      <c r="F195" s="36"/>
    </row>
    <row r="196">
      <c r="D196" s="36"/>
      <c r="E196" s="36"/>
      <c r="F196" s="36"/>
    </row>
    <row r="197">
      <c r="D197" s="36"/>
      <c r="E197" s="36"/>
      <c r="F197" s="36"/>
    </row>
    <row r="198">
      <c r="D198" s="36"/>
      <c r="E198" s="36"/>
      <c r="F198" s="36"/>
    </row>
    <row r="199">
      <c r="D199" s="36"/>
      <c r="E199" s="36"/>
      <c r="F199" s="36"/>
    </row>
    <row r="200">
      <c r="D200" s="36"/>
      <c r="E200" s="36"/>
      <c r="F200" s="36"/>
    </row>
  </sheetData>
  <drawing r:id="rId1"/>
  <tableParts count="2">
    <tablePart r:id="rId4"/>
    <tablePart r:id="rId5"/>
  </tableParts>
</worksheet>
</file>